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ija\Downloads\"/>
    </mc:Choice>
  </mc:AlternateContent>
  <xr:revisionPtr revIDLastSave="0" documentId="13_ncr:1_{CDA7EAB7-9AC2-40DA-8770-F2B727B54EDA}" xr6:coauthVersionLast="47" xr6:coauthVersionMax="47" xr10:uidLastSave="{00000000-0000-0000-0000-000000000000}"/>
  <bookViews>
    <workbookView xWindow="-108" yWindow="-108" windowWidth="23256" windowHeight="12576" xr2:uid="{00000000-000D-0000-FFFF-FFFF00000000}"/>
  </bookViews>
  <sheets>
    <sheet name="CA - Foxi" sheetId="2" r:id="rId1"/>
    <sheet name="CA - Redstone" sheetId="3" r:id="rId2"/>
    <sheet name="CA - Playnet" sheetId="4" r:id="rId3"/>
    <sheet name="CA - TipTop" sheetId="5" r:id="rId4"/>
    <sheet name="CA - SOKO studio" sheetId="6" r:id="rId5"/>
    <sheet name="Igre za naredni kvartal" sheetId="7" state="hidden" r:id="rId6"/>
    <sheet name="GameLanguages_za_CA" sheetId="8" state="hidden" r:id="rId7"/>
    <sheet name="AllGames_Languages" sheetId="9" state="hidden" r:id="rId8"/>
    <sheet name="Jurisdiction_report" sheetId="10" state="hidden" r:id="rId9"/>
    <sheet name="GameLanguages_report" sheetId="11" state="hidden" r:id="rId10"/>
    <sheet name="AllGames_Games" sheetId="1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813" i="12" l="1"/>
  <c r="AX813" i="12"/>
  <c r="AU813" i="12"/>
  <c r="AP813" i="12"/>
  <c r="AO813" i="12"/>
  <c r="AM813" i="12"/>
  <c r="AL813" i="12"/>
  <c r="AH813" i="12"/>
  <c r="AG813" i="12"/>
  <c r="AC813" i="12"/>
  <c r="Q813" i="12"/>
  <c r="K813" i="12"/>
  <c r="J813" i="12"/>
  <c r="G813" i="12"/>
  <c r="F813" i="12"/>
  <c r="E813" i="12"/>
  <c r="D813" i="12"/>
  <c r="C813" i="12"/>
  <c r="B813" i="12"/>
  <c r="A813" i="12"/>
  <c r="BC812" i="12"/>
  <c r="AY812" i="12"/>
  <c r="AX812" i="12"/>
  <c r="AV812" i="12"/>
  <c r="AU812" i="12"/>
  <c r="AP812" i="12"/>
  <c r="AO812" i="12"/>
  <c r="AN812" i="12"/>
  <c r="AM812" i="12"/>
  <c r="AL812" i="12"/>
  <c r="AK812" i="12"/>
  <c r="AH812" i="12"/>
  <c r="AG812" i="12"/>
  <c r="AD812" i="12"/>
  <c r="AC812" i="12"/>
  <c r="AA812" i="12"/>
  <c r="Z812" i="12"/>
  <c r="Y812" i="12"/>
  <c r="X812" i="12"/>
  <c r="W812" i="12"/>
  <c r="V812" i="12"/>
  <c r="U812" i="12"/>
  <c r="Q812" i="12"/>
  <c r="P812" i="12"/>
  <c r="L812" i="12"/>
  <c r="K812" i="12"/>
  <c r="J812" i="12"/>
  <c r="I812" i="12"/>
  <c r="G812" i="12"/>
  <c r="F812" i="12"/>
  <c r="E812" i="12"/>
  <c r="D812" i="12"/>
  <c r="C812" i="12"/>
  <c r="B812" i="12"/>
  <c r="A812" i="12"/>
  <c r="BC811" i="12"/>
  <c r="AY811" i="12"/>
  <c r="AV811" i="12"/>
  <c r="AU811" i="12"/>
  <c r="AP811" i="12"/>
  <c r="AO811" i="12"/>
  <c r="AM811" i="12"/>
  <c r="AL811" i="12"/>
  <c r="AK811" i="12"/>
  <c r="AH811" i="12"/>
  <c r="AG811" i="12"/>
  <c r="AD811" i="12"/>
  <c r="AC811" i="12"/>
  <c r="AA811" i="12"/>
  <c r="Z811" i="12"/>
  <c r="Y811" i="12"/>
  <c r="X811" i="12"/>
  <c r="W811" i="12"/>
  <c r="V811" i="12"/>
  <c r="U811" i="12"/>
  <c r="M811" i="12"/>
  <c r="L811" i="12"/>
  <c r="K811" i="12"/>
  <c r="J811" i="12"/>
  <c r="I811" i="12"/>
  <c r="G811" i="12"/>
  <c r="F811" i="12"/>
  <c r="E811" i="12"/>
  <c r="D811" i="12"/>
  <c r="C811" i="12"/>
  <c r="B811" i="12"/>
  <c r="A811" i="12"/>
  <c r="BC810" i="12"/>
  <c r="AY810" i="12"/>
  <c r="AV810" i="12"/>
  <c r="AU810" i="12"/>
  <c r="AP810" i="12"/>
  <c r="AO810" i="12"/>
  <c r="AN810" i="12"/>
  <c r="AM810" i="12"/>
  <c r="AL810" i="12"/>
  <c r="AK810" i="12"/>
  <c r="AH810" i="12"/>
  <c r="AG810" i="12"/>
  <c r="AD810" i="12"/>
  <c r="AC810" i="12"/>
  <c r="AA810" i="12"/>
  <c r="Z810" i="12"/>
  <c r="Y810" i="12"/>
  <c r="X810" i="12"/>
  <c r="W810" i="12"/>
  <c r="V810" i="12"/>
  <c r="U810" i="12"/>
  <c r="P810" i="12"/>
  <c r="M810" i="12"/>
  <c r="L810" i="12"/>
  <c r="K810" i="12"/>
  <c r="J810" i="12"/>
  <c r="I810" i="12"/>
  <c r="G810" i="12"/>
  <c r="F810" i="12"/>
  <c r="E810" i="12"/>
  <c r="D810" i="12"/>
  <c r="C810" i="12"/>
  <c r="B810" i="12"/>
  <c r="A810" i="12"/>
  <c r="BC809" i="12"/>
  <c r="AY809" i="12"/>
  <c r="AX809" i="12"/>
  <c r="AV809" i="12"/>
  <c r="AU809" i="12"/>
  <c r="AP809" i="12"/>
  <c r="AO809" i="12"/>
  <c r="AM809" i="12"/>
  <c r="AL809" i="12"/>
  <c r="AK809" i="12"/>
  <c r="AH809" i="12"/>
  <c r="AG809" i="12"/>
  <c r="AD809" i="12"/>
  <c r="AC809" i="12"/>
  <c r="AA809" i="12"/>
  <c r="Z809" i="12"/>
  <c r="Y809" i="12"/>
  <c r="X809" i="12"/>
  <c r="W809" i="12"/>
  <c r="V809" i="12"/>
  <c r="U809" i="12"/>
  <c r="Q809" i="12"/>
  <c r="P809" i="12"/>
  <c r="M809" i="12"/>
  <c r="L809" i="12"/>
  <c r="K809" i="12"/>
  <c r="J809" i="12"/>
  <c r="I809" i="12"/>
  <c r="G809" i="12"/>
  <c r="F809" i="12"/>
  <c r="E809" i="12"/>
  <c r="D809" i="12"/>
  <c r="C809" i="12"/>
  <c r="B809" i="12"/>
  <c r="A809" i="12"/>
  <c r="BE808" i="12"/>
  <c r="BD808" i="12"/>
  <c r="BC808" i="12"/>
  <c r="BB808" i="12"/>
  <c r="AX808" i="12"/>
  <c r="AV808" i="12"/>
  <c r="AU808" i="12"/>
  <c r="AS808" i="12"/>
  <c r="AQ808" i="12"/>
  <c r="AP808" i="12"/>
  <c r="AO808" i="12"/>
  <c r="AN808" i="12"/>
  <c r="AM808" i="12"/>
  <c r="AL808" i="12"/>
  <c r="AK808" i="12"/>
  <c r="AH808" i="12"/>
  <c r="AG808" i="12"/>
  <c r="AD808" i="12"/>
  <c r="AC808" i="12"/>
  <c r="AA808" i="12"/>
  <c r="Z808" i="12"/>
  <c r="Y808" i="12"/>
  <c r="X808" i="12"/>
  <c r="W808" i="12"/>
  <c r="V808" i="12"/>
  <c r="U808" i="12"/>
  <c r="T808" i="12"/>
  <c r="S808" i="12"/>
  <c r="Q808" i="12"/>
  <c r="P808" i="12"/>
  <c r="O808" i="12"/>
  <c r="N808" i="12"/>
  <c r="K808" i="12"/>
  <c r="J808" i="12"/>
  <c r="I808" i="12"/>
  <c r="G808" i="12"/>
  <c r="F808" i="12"/>
  <c r="E808" i="12"/>
  <c r="D808" i="12"/>
  <c r="C808" i="12"/>
  <c r="B808" i="12"/>
  <c r="A808" i="12"/>
  <c r="BE807" i="12"/>
  <c r="BD807" i="12"/>
  <c r="BC807" i="12"/>
  <c r="BB807" i="12"/>
  <c r="AX807" i="12"/>
  <c r="AV807" i="12"/>
  <c r="AU807" i="12"/>
  <c r="AS807" i="12"/>
  <c r="AQ807" i="12"/>
  <c r="AP807" i="12"/>
  <c r="AO807" i="12"/>
  <c r="AN807" i="12"/>
  <c r="AM807" i="12"/>
  <c r="AL807" i="12"/>
  <c r="AK807" i="12"/>
  <c r="AH807" i="12"/>
  <c r="AG807" i="12"/>
  <c r="AD807" i="12"/>
  <c r="AC807" i="12"/>
  <c r="AA807" i="12"/>
  <c r="Z807" i="12"/>
  <c r="Y807" i="12"/>
  <c r="X807" i="12"/>
  <c r="W807" i="12"/>
  <c r="V807" i="12"/>
  <c r="U807" i="12"/>
  <c r="T807" i="12"/>
  <c r="S807" i="12"/>
  <c r="R807" i="12"/>
  <c r="Q807" i="12"/>
  <c r="P807" i="12"/>
  <c r="O807" i="12"/>
  <c r="N807" i="12"/>
  <c r="K807" i="12"/>
  <c r="J807" i="12"/>
  <c r="I807" i="12"/>
  <c r="G807" i="12"/>
  <c r="F807" i="12"/>
  <c r="E807" i="12"/>
  <c r="D807" i="12"/>
  <c r="C807" i="12"/>
  <c r="B807" i="12"/>
  <c r="A807" i="12"/>
  <c r="BE806" i="12"/>
  <c r="BD806" i="12"/>
  <c r="BC806" i="12"/>
  <c r="BB806" i="12"/>
  <c r="AX806" i="12"/>
  <c r="AU806" i="12"/>
  <c r="AS806" i="12"/>
  <c r="AQ806" i="12"/>
  <c r="AP806" i="12"/>
  <c r="AO806" i="12"/>
  <c r="AN806" i="12"/>
  <c r="AM806" i="12"/>
  <c r="AL806" i="12"/>
  <c r="AK806" i="12"/>
  <c r="AH806" i="12"/>
  <c r="AG806" i="12"/>
  <c r="AD806" i="12"/>
  <c r="AC806" i="12"/>
  <c r="AA806" i="12"/>
  <c r="Z806" i="12"/>
  <c r="Y806" i="12"/>
  <c r="X806" i="12"/>
  <c r="W806" i="12"/>
  <c r="V806" i="12"/>
  <c r="U806" i="12"/>
  <c r="T806" i="12"/>
  <c r="S806" i="12"/>
  <c r="R806" i="12"/>
  <c r="Q806" i="12"/>
  <c r="P806" i="12"/>
  <c r="O806" i="12"/>
  <c r="N806" i="12"/>
  <c r="L806" i="12"/>
  <c r="K806" i="12"/>
  <c r="J806" i="12"/>
  <c r="I806" i="12"/>
  <c r="G806" i="12"/>
  <c r="F806" i="12"/>
  <c r="E806" i="12"/>
  <c r="D806" i="12"/>
  <c r="C806" i="12"/>
  <c r="B806" i="12"/>
  <c r="A806" i="12"/>
  <c r="BE805" i="12"/>
  <c r="BD805" i="12"/>
  <c r="BC805" i="12"/>
  <c r="BB805" i="12"/>
  <c r="AX805" i="12"/>
  <c r="AV805" i="12"/>
  <c r="AU805" i="12"/>
  <c r="AS805" i="12"/>
  <c r="AQ805" i="12"/>
  <c r="AP805" i="12"/>
  <c r="AO805" i="12"/>
  <c r="AN805" i="12"/>
  <c r="AM805" i="12"/>
  <c r="AL805" i="12"/>
  <c r="AK805" i="12"/>
  <c r="AH805" i="12"/>
  <c r="AG805" i="12"/>
  <c r="AD805" i="12"/>
  <c r="AC805" i="12"/>
  <c r="AA805" i="12"/>
  <c r="Z805" i="12"/>
  <c r="Y805" i="12"/>
  <c r="X805" i="12"/>
  <c r="W805" i="12"/>
  <c r="V805" i="12"/>
  <c r="U805" i="12"/>
  <c r="T805" i="12"/>
  <c r="S805" i="12"/>
  <c r="R805" i="12"/>
  <c r="Q805" i="12"/>
  <c r="P805" i="12"/>
  <c r="O805" i="12"/>
  <c r="N805" i="12"/>
  <c r="L805" i="12"/>
  <c r="K805" i="12"/>
  <c r="J805" i="12"/>
  <c r="G805" i="12"/>
  <c r="F805" i="12"/>
  <c r="E805" i="12"/>
  <c r="D805" i="12"/>
  <c r="C805" i="12"/>
  <c r="B805" i="12"/>
  <c r="A805" i="12"/>
  <c r="BC804" i="12"/>
  <c r="AX804" i="12"/>
  <c r="AU804" i="12"/>
  <c r="AH804" i="12"/>
  <c r="AG804" i="12"/>
  <c r="T804" i="12"/>
  <c r="S804" i="12"/>
  <c r="Q804" i="12"/>
  <c r="M804" i="12"/>
  <c r="L804" i="12"/>
  <c r="K804" i="12"/>
  <c r="J804" i="12"/>
  <c r="G804" i="12"/>
  <c r="F804" i="12"/>
  <c r="E804" i="12"/>
  <c r="D804" i="12"/>
  <c r="C804" i="12"/>
  <c r="B804" i="12"/>
  <c r="A804" i="12"/>
  <c r="BC803" i="12"/>
  <c r="AX803" i="12"/>
  <c r="AU803" i="12"/>
  <c r="AH803" i="12"/>
  <c r="AG803" i="12"/>
  <c r="T803" i="12"/>
  <c r="S803" i="12"/>
  <c r="Q803" i="12"/>
  <c r="M803" i="12"/>
  <c r="L803" i="12"/>
  <c r="K803" i="12"/>
  <c r="J803" i="12"/>
  <c r="G803" i="12"/>
  <c r="F803" i="12"/>
  <c r="E803" i="12"/>
  <c r="D803" i="12"/>
  <c r="C803" i="12"/>
  <c r="B803" i="12"/>
  <c r="A803" i="12"/>
  <c r="BC802" i="12"/>
  <c r="AX802" i="12"/>
  <c r="AU802" i="12"/>
  <c r="AH802" i="12"/>
  <c r="AG802" i="12"/>
  <c r="T802" i="12"/>
  <c r="S802" i="12"/>
  <c r="Q802" i="12"/>
  <c r="M802" i="12"/>
  <c r="L802" i="12"/>
  <c r="K802" i="12"/>
  <c r="J802" i="12"/>
  <c r="G802" i="12"/>
  <c r="F802" i="12"/>
  <c r="E802" i="12"/>
  <c r="D802" i="12"/>
  <c r="C802" i="12"/>
  <c r="B802" i="12"/>
  <c r="A802" i="12"/>
  <c r="BC801" i="12"/>
  <c r="AX801" i="12"/>
  <c r="AU801" i="12"/>
  <c r="AH801" i="12"/>
  <c r="AG801" i="12"/>
  <c r="T801" i="12"/>
  <c r="S801" i="12"/>
  <c r="Q801" i="12"/>
  <c r="M801" i="12"/>
  <c r="L801" i="12"/>
  <c r="K801" i="12"/>
  <c r="J801" i="12"/>
  <c r="G801" i="12"/>
  <c r="F801" i="12"/>
  <c r="E801" i="12"/>
  <c r="D801" i="12"/>
  <c r="C801" i="12"/>
  <c r="B801" i="12"/>
  <c r="A801" i="12"/>
  <c r="BC800" i="12"/>
  <c r="AX800" i="12"/>
  <c r="AU800" i="12"/>
  <c r="AH800" i="12"/>
  <c r="AG800" i="12"/>
  <c r="T800" i="12"/>
  <c r="S800" i="12"/>
  <c r="R800" i="12"/>
  <c r="Q800" i="12"/>
  <c r="M800" i="12"/>
  <c r="L800" i="12"/>
  <c r="K800" i="12"/>
  <c r="J800" i="12"/>
  <c r="G800" i="12"/>
  <c r="F800" i="12"/>
  <c r="E800" i="12"/>
  <c r="D800" i="12"/>
  <c r="C800" i="12"/>
  <c r="B800" i="12"/>
  <c r="A800" i="12"/>
  <c r="BE799" i="12"/>
  <c r="BD799" i="12"/>
  <c r="BC799" i="12"/>
  <c r="BB799" i="12"/>
  <c r="AX799" i="12"/>
  <c r="AV799" i="12"/>
  <c r="AU799" i="12"/>
  <c r="AS799" i="12"/>
  <c r="AQ799" i="12"/>
  <c r="AP799" i="12"/>
  <c r="AO799" i="12"/>
  <c r="AN799" i="12"/>
  <c r="AM799" i="12"/>
  <c r="AL799" i="12"/>
  <c r="AK799" i="12"/>
  <c r="AH799" i="12"/>
  <c r="AG799" i="12"/>
  <c r="AD799" i="12"/>
  <c r="AC799" i="12"/>
  <c r="AA799" i="12"/>
  <c r="Z799" i="12"/>
  <c r="Y799" i="12"/>
  <c r="X799" i="12"/>
  <c r="W799" i="12"/>
  <c r="V799" i="12"/>
  <c r="U799" i="12"/>
  <c r="T799" i="12"/>
  <c r="S799" i="12"/>
  <c r="R799" i="12"/>
  <c r="Q799" i="12"/>
  <c r="P799" i="12"/>
  <c r="M799" i="12"/>
  <c r="L799" i="12"/>
  <c r="K799" i="12"/>
  <c r="J799" i="12"/>
  <c r="G799" i="12"/>
  <c r="F799" i="12"/>
  <c r="E799" i="12"/>
  <c r="D799" i="12"/>
  <c r="C799" i="12"/>
  <c r="B799" i="12"/>
  <c r="A799" i="12"/>
  <c r="BE798" i="12"/>
  <c r="BD798" i="12"/>
  <c r="BC798" i="12"/>
  <c r="BB798" i="12"/>
  <c r="AX798" i="12"/>
  <c r="AV798" i="12"/>
  <c r="AU798" i="12"/>
  <c r="AS798" i="12"/>
  <c r="AQ798" i="12"/>
  <c r="AP798" i="12"/>
  <c r="AO798" i="12"/>
  <c r="AN798" i="12"/>
  <c r="AM798" i="12"/>
  <c r="AL798" i="12"/>
  <c r="AK798" i="12"/>
  <c r="AH798" i="12"/>
  <c r="AG798" i="12"/>
  <c r="AD798" i="12"/>
  <c r="AC798" i="12"/>
  <c r="AA798" i="12"/>
  <c r="Z798" i="12"/>
  <c r="Y798" i="12"/>
  <c r="X798" i="12"/>
  <c r="W798" i="12"/>
  <c r="V798" i="12"/>
  <c r="U798" i="12"/>
  <c r="T798" i="12"/>
  <c r="S798" i="12"/>
  <c r="R798" i="12"/>
  <c r="Q798" i="12"/>
  <c r="P798" i="12"/>
  <c r="M798" i="12"/>
  <c r="L798" i="12"/>
  <c r="K798" i="12"/>
  <c r="J798" i="12"/>
  <c r="G798" i="12"/>
  <c r="F798" i="12"/>
  <c r="E798" i="12"/>
  <c r="D798" i="12"/>
  <c r="C798" i="12"/>
  <c r="B798" i="12"/>
  <c r="A798" i="12"/>
  <c r="BE797" i="12"/>
  <c r="BD797" i="12"/>
  <c r="BC797" i="12"/>
  <c r="BB797" i="12"/>
  <c r="AX797" i="12"/>
  <c r="AU797" i="12"/>
  <c r="AS797" i="12"/>
  <c r="AQ797" i="12"/>
  <c r="AP797" i="12"/>
  <c r="AO797" i="12"/>
  <c r="AN797" i="12"/>
  <c r="AM797" i="12"/>
  <c r="AL797" i="12"/>
  <c r="AH797" i="12"/>
  <c r="AG797" i="12"/>
  <c r="AD797" i="12"/>
  <c r="AC797" i="12"/>
  <c r="AA797" i="12"/>
  <c r="Z797" i="12"/>
  <c r="Y797" i="12"/>
  <c r="X797" i="12"/>
  <c r="W797" i="12"/>
  <c r="V797" i="12"/>
  <c r="U797" i="12"/>
  <c r="T797" i="12"/>
  <c r="S797" i="12"/>
  <c r="R797" i="12"/>
  <c r="Q797" i="12"/>
  <c r="P797" i="12"/>
  <c r="O797" i="12"/>
  <c r="N797" i="12"/>
  <c r="M797" i="12"/>
  <c r="L797" i="12"/>
  <c r="K797" i="12"/>
  <c r="J797" i="12"/>
  <c r="G797" i="12"/>
  <c r="F797" i="12"/>
  <c r="E797" i="12"/>
  <c r="D797" i="12"/>
  <c r="C797" i="12"/>
  <c r="B797" i="12"/>
  <c r="A797" i="12"/>
  <c r="BE796" i="12"/>
  <c r="BD796" i="12"/>
  <c r="BC796" i="12"/>
  <c r="BB796" i="12"/>
  <c r="AX796" i="12"/>
  <c r="AU796" i="12"/>
  <c r="AS796" i="12"/>
  <c r="AQ796" i="12"/>
  <c r="AP796" i="12"/>
  <c r="AO796" i="12"/>
  <c r="AN796" i="12"/>
  <c r="AM796" i="12"/>
  <c r="AL796" i="12"/>
  <c r="AH796" i="12"/>
  <c r="AG796" i="12"/>
  <c r="AD796" i="12"/>
  <c r="AC796" i="12"/>
  <c r="AA796" i="12"/>
  <c r="Z796" i="12"/>
  <c r="Y796" i="12"/>
  <c r="X796" i="12"/>
  <c r="W796" i="12"/>
  <c r="V796" i="12"/>
  <c r="U796" i="12"/>
  <c r="T796" i="12"/>
  <c r="S796" i="12"/>
  <c r="R796" i="12"/>
  <c r="Q796" i="12"/>
  <c r="P796" i="12"/>
  <c r="O796" i="12"/>
  <c r="N796" i="12"/>
  <c r="M796" i="12"/>
  <c r="L796" i="12"/>
  <c r="K796" i="12"/>
  <c r="J796" i="12"/>
  <c r="G796" i="12"/>
  <c r="F796" i="12"/>
  <c r="E796" i="12"/>
  <c r="D796" i="12"/>
  <c r="C796" i="12"/>
  <c r="B796" i="12"/>
  <c r="A796" i="12"/>
  <c r="BE795" i="12"/>
  <c r="BD795" i="12"/>
  <c r="BC795" i="12"/>
  <c r="BB795" i="12"/>
  <c r="AX795" i="12"/>
  <c r="AU795" i="12"/>
  <c r="AS795" i="12"/>
  <c r="AQ795" i="12"/>
  <c r="AP795" i="12"/>
  <c r="AO795" i="12"/>
  <c r="AN795" i="12"/>
  <c r="AM795" i="12"/>
  <c r="AL795" i="12"/>
  <c r="AH795" i="12"/>
  <c r="AG795" i="12"/>
  <c r="AD795" i="12"/>
  <c r="AC795" i="12"/>
  <c r="AA795" i="12"/>
  <c r="Z795" i="12"/>
  <c r="Y795" i="12"/>
  <c r="X795" i="12"/>
  <c r="W795" i="12"/>
  <c r="V795" i="12"/>
  <c r="U795" i="12"/>
  <c r="T795" i="12"/>
  <c r="S795" i="12"/>
  <c r="R795" i="12"/>
  <c r="Q795" i="12"/>
  <c r="P795" i="12"/>
  <c r="M795" i="12"/>
  <c r="L795" i="12"/>
  <c r="K795" i="12"/>
  <c r="J795" i="12"/>
  <c r="G795" i="12"/>
  <c r="F795" i="12"/>
  <c r="E795" i="12"/>
  <c r="D795" i="12"/>
  <c r="C795" i="12"/>
  <c r="B795" i="12"/>
  <c r="A795" i="12"/>
  <c r="BE794" i="12"/>
  <c r="BD794" i="12"/>
  <c r="BC794" i="12"/>
  <c r="BB794" i="12"/>
  <c r="AX794" i="12"/>
  <c r="AU794" i="12"/>
  <c r="AS794" i="12"/>
  <c r="AQ794" i="12"/>
  <c r="AP794" i="12"/>
  <c r="AO794" i="12"/>
  <c r="AN794" i="12"/>
  <c r="AM794" i="12"/>
  <c r="AL794" i="12"/>
  <c r="AH794" i="12"/>
  <c r="AG794" i="12"/>
  <c r="AD794" i="12"/>
  <c r="AC794" i="12"/>
  <c r="AA794" i="12"/>
  <c r="Z794" i="12"/>
  <c r="Y794" i="12"/>
  <c r="X794" i="12"/>
  <c r="W794" i="12"/>
  <c r="V794" i="12"/>
  <c r="U794" i="12"/>
  <c r="T794" i="12"/>
  <c r="S794" i="12"/>
  <c r="R794" i="12"/>
  <c r="Q794" i="12"/>
  <c r="P794" i="12"/>
  <c r="O794" i="12"/>
  <c r="N794" i="12"/>
  <c r="M794" i="12"/>
  <c r="L794" i="12"/>
  <c r="K794" i="12"/>
  <c r="J794" i="12"/>
  <c r="G794" i="12"/>
  <c r="F794" i="12"/>
  <c r="E794" i="12"/>
  <c r="D794" i="12"/>
  <c r="C794" i="12"/>
  <c r="B794" i="12"/>
  <c r="A794" i="12"/>
  <c r="BE793" i="12"/>
  <c r="BD793" i="12"/>
  <c r="BC793" i="12"/>
  <c r="BB793" i="12"/>
  <c r="AX793" i="12"/>
  <c r="AU793" i="12"/>
  <c r="AS793" i="12"/>
  <c r="AQ793" i="12"/>
  <c r="AP793" i="12"/>
  <c r="AO793" i="12"/>
  <c r="AN793" i="12"/>
  <c r="AM793" i="12"/>
  <c r="AL793" i="12"/>
  <c r="AH793" i="12"/>
  <c r="AG793" i="12"/>
  <c r="AD793" i="12"/>
  <c r="AC793" i="12"/>
  <c r="AA793" i="12"/>
  <c r="Z793" i="12"/>
  <c r="Y793" i="12"/>
  <c r="X793" i="12"/>
  <c r="W793" i="12"/>
  <c r="V793" i="12"/>
  <c r="U793" i="12"/>
  <c r="T793" i="12"/>
  <c r="S793" i="12"/>
  <c r="R793" i="12"/>
  <c r="Q793" i="12"/>
  <c r="P793" i="12"/>
  <c r="O793" i="12"/>
  <c r="N793" i="12"/>
  <c r="M793" i="12"/>
  <c r="L793" i="12"/>
  <c r="K793" i="12"/>
  <c r="J793" i="12"/>
  <c r="G793" i="12"/>
  <c r="F793" i="12"/>
  <c r="E793" i="12"/>
  <c r="D793" i="12"/>
  <c r="C793" i="12"/>
  <c r="B793" i="12"/>
  <c r="A793" i="12"/>
  <c r="BD792" i="12"/>
  <c r="BC792" i="12"/>
  <c r="AY792" i="12"/>
  <c r="AX792" i="12"/>
  <c r="AV792" i="12"/>
  <c r="AU792" i="12"/>
  <c r="AS792" i="12"/>
  <c r="AP792" i="12"/>
  <c r="AO792" i="12"/>
  <c r="AN792" i="12"/>
  <c r="AM792" i="12"/>
  <c r="AL792" i="12"/>
  <c r="AK792" i="12"/>
  <c r="AH792" i="12"/>
  <c r="AG792" i="12"/>
  <c r="AD792" i="12"/>
  <c r="AC792" i="12"/>
  <c r="AA792" i="12"/>
  <c r="Z792" i="12"/>
  <c r="Y792" i="12"/>
  <c r="X792" i="12"/>
  <c r="W792" i="12"/>
  <c r="V792" i="12"/>
  <c r="U792" i="12"/>
  <c r="Q792" i="12"/>
  <c r="P792" i="12"/>
  <c r="M792" i="12"/>
  <c r="L792" i="12"/>
  <c r="K792" i="12"/>
  <c r="J792" i="12"/>
  <c r="I792" i="12"/>
  <c r="G792" i="12"/>
  <c r="F792" i="12"/>
  <c r="E792" i="12"/>
  <c r="D792" i="12"/>
  <c r="C792" i="12"/>
  <c r="B792" i="12"/>
  <c r="A792" i="12"/>
  <c r="BC791" i="12"/>
  <c r="AU791" i="12"/>
  <c r="AH791" i="12"/>
  <c r="AG791" i="12"/>
  <c r="K791" i="12"/>
  <c r="J791" i="12"/>
  <c r="G791" i="12"/>
  <c r="F791" i="12"/>
  <c r="E791" i="12"/>
  <c r="D791" i="12"/>
  <c r="C791" i="12"/>
  <c r="B791" i="12"/>
  <c r="A791" i="12"/>
  <c r="BC790" i="12"/>
  <c r="AU790" i="12"/>
  <c r="AH790" i="12"/>
  <c r="AG790" i="12"/>
  <c r="K790" i="12"/>
  <c r="J790" i="12"/>
  <c r="G790" i="12"/>
  <c r="F790" i="12"/>
  <c r="E790" i="12"/>
  <c r="D790" i="12"/>
  <c r="C790" i="12"/>
  <c r="B790" i="12"/>
  <c r="A790" i="12"/>
  <c r="BC789" i="12"/>
  <c r="AU789" i="12"/>
  <c r="AH789" i="12"/>
  <c r="AG789" i="12"/>
  <c r="K789" i="12"/>
  <c r="J789" i="12"/>
  <c r="G789" i="12"/>
  <c r="F789" i="12"/>
  <c r="E789" i="12"/>
  <c r="D789" i="12"/>
  <c r="C789" i="12"/>
  <c r="B789" i="12"/>
  <c r="A789" i="12"/>
  <c r="BC788" i="12"/>
  <c r="AU788" i="12"/>
  <c r="AH788" i="12"/>
  <c r="AG788" i="12"/>
  <c r="K788" i="12"/>
  <c r="J788" i="12"/>
  <c r="G788" i="12"/>
  <c r="F788" i="12"/>
  <c r="E788" i="12"/>
  <c r="D788" i="12"/>
  <c r="C788" i="12"/>
  <c r="B788" i="12"/>
  <c r="A788" i="12"/>
  <c r="BC787" i="12"/>
  <c r="AX787" i="12"/>
  <c r="AU787" i="12"/>
  <c r="AH787" i="12"/>
  <c r="AG787" i="12"/>
  <c r="Q787" i="12"/>
  <c r="K787" i="12"/>
  <c r="J787" i="12"/>
  <c r="G787" i="12"/>
  <c r="F787" i="12"/>
  <c r="E787" i="12"/>
  <c r="D787" i="12"/>
  <c r="C787" i="12"/>
  <c r="B787" i="12"/>
  <c r="A787" i="12"/>
  <c r="BC786" i="12"/>
  <c r="AU786" i="12"/>
  <c r="AH786" i="12"/>
  <c r="AG786" i="12"/>
  <c r="K786" i="12"/>
  <c r="J786" i="12"/>
  <c r="G786" i="12"/>
  <c r="F786" i="12"/>
  <c r="E786" i="12"/>
  <c r="D786" i="12"/>
  <c r="C786" i="12"/>
  <c r="B786" i="12"/>
  <c r="A786" i="12"/>
  <c r="BC785" i="12"/>
  <c r="AX785" i="12"/>
  <c r="AU785" i="12"/>
  <c r="AH785" i="12"/>
  <c r="AG785" i="12"/>
  <c r="T785" i="12"/>
  <c r="S785" i="12"/>
  <c r="Q785" i="12"/>
  <c r="K785" i="12"/>
  <c r="J785" i="12"/>
  <c r="G785" i="12"/>
  <c r="F785" i="12"/>
  <c r="E785" i="12"/>
  <c r="D785" i="12"/>
  <c r="C785" i="12"/>
  <c r="B785" i="12"/>
  <c r="A785" i="12"/>
  <c r="BC784" i="12"/>
  <c r="AX784" i="12"/>
  <c r="AU784" i="12"/>
  <c r="AH784" i="12"/>
  <c r="AG784" i="12"/>
  <c r="T784" i="12"/>
  <c r="S784" i="12"/>
  <c r="Q784" i="12"/>
  <c r="K784" i="12"/>
  <c r="J784" i="12"/>
  <c r="G784" i="12"/>
  <c r="F784" i="12"/>
  <c r="E784" i="12"/>
  <c r="D784" i="12"/>
  <c r="C784" i="12"/>
  <c r="B784" i="12"/>
  <c r="A784" i="12"/>
  <c r="BC783" i="12"/>
  <c r="AX783" i="12"/>
  <c r="AU783" i="12"/>
  <c r="AH783" i="12"/>
  <c r="AG783" i="12"/>
  <c r="T783" i="12"/>
  <c r="S783" i="12"/>
  <c r="Q783" i="12"/>
  <c r="K783" i="12"/>
  <c r="J783" i="12"/>
  <c r="G783" i="12"/>
  <c r="F783" i="12"/>
  <c r="E783" i="12"/>
  <c r="D783" i="12"/>
  <c r="C783" i="12"/>
  <c r="B783" i="12"/>
  <c r="A783" i="12"/>
  <c r="BC782" i="12"/>
  <c r="AX782" i="12"/>
  <c r="AU782" i="12"/>
  <c r="AH782" i="12"/>
  <c r="AG782" i="12"/>
  <c r="T782" i="12"/>
  <c r="S782" i="12"/>
  <c r="Q782" i="12"/>
  <c r="K782" i="12"/>
  <c r="J782" i="12"/>
  <c r="G782" i="12"/>
  <c r="F782" i="12"/>
  <c r="E782" i="12"/>
  <c r="D782" i="12"/>
  <c r="C782" i="12"/>
  <c r="B782" i="12"/>
  <c r="A782" i="12"/>
  <c r="BE781" i="12"/>
  <c r="BD781" i="12"/>
  <c r="BC781" i="12"/>
  <c r="BB781" i="12"/>
  <c r="AX781" i="12"/>
  <c r="AV781" i="12"/>
  <c r="AU781" i="12"/>
  <c r="AS781" i="12"/>
  <c r="AQ781" i="12"/>
  <c r="AP781" i="12"/>
  <c r="AO781" i="12"/>
  <c r="AN781" i="12"/>
  <c r="AM781" i="12"/>
  <c r="AL781" i="12"/>
  <c r="AK781" i="12"/>
  <c r="AH781" i="12"/>
  <c r="AG781" i="12"/>
  <c r="AD781" i="12"/>
  <c r="AC781" i="12"/>
  <c r="AA781" i="12"/>
  <c r="Z781" i="12"/>
  <c r="Y781" i="12"/>
  <c r="X781" i="12"/>
  <c r="W781" i="12"/>
  <c r="V781" i="12"/>
  <c r="U781" i="12"/>
  <c r="T781" i="12"/>
  <c r="S781" i="12"/>
  <c r="R781" i="12"/>
  <c r="Q781" i="12"/>
  <c r="P781" i="12"/>
  <c r="O781" i="12"/>
  <c r="N781" i="12"/>
  <c r="L781" i="12"/>
  <c r="K781" i="12"/>
  <c r="J781" i="12"/>
  <c r="I781" i="12"/>
  <c r="G781" i="12"/>
  <c r="F781" i="12"/>
  <c r="E781" i="12"/>
  <c r="D781" i="12"/>
  <c r="C781" i="12"/>
  <c r="B781" i="12"/>
  <c r="A781" i="12"/>
  <c r="BC780" i="12"/>
  <c r="AX780" i="12"/>
  <c r="AU780" i="12"/>
  <c r="AH780" i="12"/>
  <c r="AG780" i="12"/>
  <c r="T780" i="12"/>
  <c r="S780" i="12"/>
  <c r="R780" i="12"/>
  <c r="Q780" i="12"/>
  <c r="K780" i="12"/>
  <c r="J780" i="12"/>
  <c r="G780" i="12"/>
  <c r="F780" i="12"/>
  <c r="E780" i="12"/>
  <c r="D780" i="12"/>
  <c r="C780" i="12"/>
  <c r="B780" i="12"/>
  <c r="A780" i="12"/>
  <c r="BC779" i="12"/>
  <c r="AX779" i="12"/>
  <c r="AU779" i="12"/>
  <c r="AH779" i="12"/>
  <c r="AG779" i="12"/>
  <c r="T779" i="12"/>
  <c r="S779" i="12"/>
  <c r="R779" i="12"/>
  <c r="Q779" i="12"/>
  <c r="K779" i="12"/>
  <c r="J779" i="12"/>
  <c r="G779" i="12"/>
  <c r="F779" i="12"/>
  <c r="E779" i="12"/>
  <c r="D779" i="12"/>
  <c r="C779" i="12"/>
  <c r="B779" i="12"/>
  <c r="A779" i="12"/>
  <c r="BE778" i="12"/>
  <c r="BD778" i="12"/>
  <c r="BC778" i="12"/>
  <c r="BB778" i="12"/>
  <c r="AX778" i="12"/>
  <c r="AV778" i="12"/>
  <c r="AU778" i="12"/>
  <c r="AS778" i="12"/>
  <c r="AQ778" i="12"/>
  <c r="AP778" i="12"/>
  <c r="AO778" i="12"/>
  <c r="AN778" i="12"/>
  <c r="AM778" i="12"/>
  <c r="AL778" i="12"/>
  <c r="AK778" i="12"/>
  <c r="AH778" i="12"/>
  <c r="AG778" i="12"/>
  <c r="AD778" i="12"/>
  <c r="AC778" i="12"/>
  <c r="AA778" i="12"/>
  <c r="Z778" i="12"/>
  <c r="Y778" i="12"/>
  <c r="X778" i="12"/>
  <c r="W778" i="12"/>
  <c r="V778" i="12"/>
  <c r="U778" i="12"/>
  <c r="T778" i="12"/>
  <c r="S778" i="12"/>
  <c r="R778" i="12"/>
  <c r="Q778" i="12"/>
  <c r="P778" i="12"/>
  <c r="O778" i="12"/>
  <c r="N778" i="12"/>
  <c r="L778" i="12"/>
  <c r="K778" i="12"/>
  <c r="J778" i="12"/>
  <c r="I778" i="12"/>
  <c r="G778" i="12"/>
  <c r="F778" i="12"/>
  <c r="E778" i="12"/>
  <c r="D778" i="12"/>
  <c r="C778" i="12"/>
  <c r="B778" i="12"/>
  <c r="A778" i="12"/>
  <c r="BC777" i="12"/>
  <c r="AX777" i="12"/>
  <c r="AU777" i="12"/>
  <c r="AH777" i="12"/>
  <c r="AG777" i="12"/>
  <c r="T777" i="12"/>
  <c r="S777" i="12"/>
  <c r="R777" i="12"/>
  <c r="Q777" i="12"/>
  <c r="K777" i="12"/>
  <c r="J777" i="12"/>
  <c r="G777" i="12"/>
  <c r="F777" i="12"/>
  <c r="E777" i="12"/>
  <c r="D777" i="12"/>
  <c r="C777" i="12"/>
  <c r="B777" i="12"/>
  <c r="A777" i="12"/>
  <c r="BC776" i="12"/>
  <c r="AX776" i="12"/>
  <c r="AU776" i="12"/>
  <c r="AH776" i="12"/>
  <c r="AG776" i="12"/>
  <c r="T776" i="12"/>
  <c r="S776" i="12"/>
  <c r="R776" i="12"/>
  <c r="Q776" i="12"/>
  <c r="K776" i="12"/>
  <c r="J776" i="12"/>
  <c r="G776" i="12"/>
  <c r="F776" i="12"/>
  <c r="E776" i="12"/>
  <c r="D776" i="12"/>
  <c r="C776" i="12"/>
  <c r="B776" i="12"/>
  <c r="A776" i="12"/>
  <c r="BE775" i="12"/>
  <c r="BD775" i="12"/>
  <c r="BC775" i="12"/>
  <c r="BB775" i="12"/>
  <c r="AX775" i="12"/>
  <c r="AV775" i="12"/>
  <c r="AU775" i="12"/>
  <c r="AS775" i="12"/>
  <c r="AQ775" i="12"/>
  <c r="AP775" i="12"/>
  <c r="AO775" i="12"/>
  <c r="AN775" i="12"/>
  <c r="AM775" i="12"/>
  <c r="AL775" i="12"/>
  <c r="AK775" i="12"/>
  <c r="AH775" i="12"/>
  <c r="AG775" i="12"/>
  <c r="AD775" i="12"/>
  <c r="AC775" i="12"/>
  <c r="AA775" i="12"/>
  <c r="Z775" i="12"/>
  <c r="Y775" i="12"/>
  <c r="X775" i="12"/>
  <c r="W775" i="12"/>
  <c r="V775" i="12"/>
  <c r="U775" i="12"/>
  <c r="T775" i="12"/>
  <c r="S775" i="12"/>
  <c r="R775" i="12"/>
  <c r="Q775" i="12"/>
  <c r="P775" i="12"/>
  <c r="O775" i="12"/>
  <c r="N775" i="12"/>
  <c r="L775" i="12"/>
  <c r="K775" i="12"/>
  <c r="J775" i="12"/>
  <c r="I775" i="12"/>
  <c r="G775" i="12"/>
  <c r="F775" i="12"/>
  <c r="E775" i="12"/>
  <c r="D775" i="12"/>
  <c r="C775" i="12"/>
  <c r="B775" i="12"/>
  <c r="A775" i="12"/>
  <c r="BC774" i="12"/>
  <c r="AX774" i="12"/>
  <c r="AU774" i="12"/>
  <c r="AS774" i="12"/>
  <c r="AP774" i="12"/>
  <c r="AL774" i="12"/>
  <c r="AK774" i="12"/>
  <c r="AG774" i="12"/>
  <c r="AD774" i="12"/>
  <c r="AA774" i="12"/>
  <c r="Z774" i="12"/>
  <c r="Y774" i="12"/>
  <c r="X774" i="12"/>
  <c r="W774" i="12"/>
  <c r="V774" i="12"/>
  <c r="U774" i="12"/>
  <c r="T774" i="12"/>
  <c r="S774" i="12"/>
  <c r="Q774" i="12"/>
  <c r="M774" i="12"/>
  <c r="L774" i="12"/>
  <c r="K774" i="12"/>
  <c r="J774" i="12"/>
  <c r="I774" i="12"/>
  <c r="G774" i="12"/>
  <c r="F774" i="12"/>
  <c r="E774" i="12"/>
  <c r="D774" i="12"/>
  <c r="C774" i="12"/>
  <c r="B774" i="12"/>
  <c r="A774" i="12"/>
  <c r="BC773" i="12"/>
  <c r="AX773" i="12"/>
  <c r="AU773" i="12"/>
  <c r="AS773" i="12"/>
  <c r="AP773" i="12"/>
  <c r="AL773" i="12"/>
  <c r="AK773" i="12"/>
  <c r="AG773" i="12"/>
  <c r="AD773" i="12"/>
  <c r="AC773" i="12"/>
  <c r="AA773" i="12"/>
  <c r="Z773" i="12"/>
  <c r="Y773" i="12"/>
  <c r="X773" i="12"/>
  <c r="W773" i="12"/>
  <c r="V773" i="12"/>
  <c r="U773" i="12"/>
  <c r="T773" i="12"/>
  <c r="S773" i="12"/>
  <c r="Q773" i="12"/>
  <c r="L773" i="12"/>
  <c r="K773" i="12"/>
  <c r="J773" i="12"/>
  <c r="I773" i="12"/>
  <c r="G773" i="12"/>
  <c r="F773" i="12"/>
  <c r="E773" i="12"/>
  <c r="D773" i="12"/>
  <c r="C773" i="12"/>
  <c r="B773" i="12"/>
  <c r="A773" i="12"/>
  <c r="BC772" i="12"/>
  <c r="AX772" i="12"/>
  <c r="AU772" i="12"/>
  <c r="AS772" i="12"/>
  <c r="AP772" i="12"/>
  <c r="AL772" i="12"/>
  <c r="AK772" i="12"/>
  <c r="AG772" i="12"/>
  <c r="AD772" i="12"/>
  <c r="AA772" i="12"/>
  <c r="Z772" i="12"/>
  <c r="Y772" i="12"/>
  <c r="X772" i="12"/>
  <c r="W772" i="12"/>
  <c r="V772" i="12"/>
  <c r="U772" i="12"/>
  <c r="T772" i="12"/>
  <c r="S772" i="12"/>
  <c r="Q772" i="12"/>
  <c r="M772" i="12"/>
  <c r="L772" i="12"/>
  <c r="K772" i="12"/>
  <c r="J772" i="12"/>
  <c r="I772" i="12"/>
  <c r="G772" i="12"/>
  <c r="F772" i="12"/>
  <c r="E772" i="12"/>
  <c r="D772" i="12"/>
  <c r="C772" i="12"/>
  <c r="B772" i="12"/>
  <c r="A772" i="12"/>
  <c r="BC771" i="12"/>
  <c r="AX771" i="12"/>
  <c r="AU771" i="12"/>
  <c r="AS771" i="12"/>
  <c r="AP771" i="12"/>
  <c r="AL771" i="12"/>
  <c r="AK771" i="12"/>
  <c r="AG771" i="12"/>
  <c r="AD771" i="12"/>
  <c r="AA771" i="12"/>
  <c r="Z771" i="12"/>
  <c r="Y771" i="12"/>
  <c r="X771" i="12"/>
  <c r="W771" i="12"/>
  <c r="V771" i="12"/>
  <c r="U771" i="12"/>
  <c r="T771" i="12"/>
  <c r="S771" i="12"/>
  <c r="Q771" i="12"/>
  <c r="M771" i="12"/>
  <c r="L771" i="12"/>
  <c r="K771" i="12"/>
  <c r="J771" i="12"/>
  <c r="I771" i="12"/>
  <c r="G771" i="12"/>
  <c r="F771" i="12"/>
  <c r="E771" i="12"/>
  <c r="D771" i="12"/>
  <c r="C771" i="12"/>
  <c r="B771" i="12"/>
  <c r="A771" i="12"/>
  <c r="BC770" i="12"/>
  <c r="AX770" i="12"/>
  <c r="AU770" i="12"/>
  <c r="AS770" i="12"/>
  <c r="AP770" i="12"/>
  <c r="AN770" i="12"/>
  <c r="AL770" i="12"/>
  <c r="AK770" i="12"/>
  <c r="AG770" i="12"/>
  <c r="AD770" i="12"/>
  <c r="AA770" i="12"/>
  <c r="Z770" i="12"/>
  <c r="Y770" i="12"/>
  <c r="X770" i="12"/>
  <c r="W770" i="12"/>
  <c r="V770" i="12"/>
  <c r="U770" i="12"/>
  <c r="T770" i="12"/>
  <c r="S770" i="12"/>
  <c r="Q770" i="12"/>
  <c r="L770" i="12"/>
  <c r="K770" i="12"/>
  <c r="J770" i="12"/>
  <c r="I770" i="12"/>
  <c r="G770" i="12"/>
  <c r="F770" i="12"/>
  <c r="E770" i="12"/>
  <c r="D770" i="12"/>
  <c r="C770" i="12"/>
  <c r="B770" i="12"/>
  <c r="A770" i="12"/>
  <c r="BC769" i="12"/>
  <c r="AX769" i="12"/>
  <c r="AU769" i="12"/>
  <c r="AS769" i="12"/>
  <c r="AP769" i="12"/>
  <c r="AL769" i="12"/>
  <c r="AK769" i="12"/>
  <c r="AG769" i="12"/>
  <c r="AD769" i="12"/>
  <c r="AC769" i="12"/>
  <c r="AA769" i="12"/>
  <c r="Z769" i="12"/>
  <c r="Y769" i="12"/>
  <c r="X769" i="12"/>
  <c r="W769" i="12"/>
  <c r="V769" i="12"/>
  <c r="U769" i="12"/>
  <c r="T769" i="12"/>
  <c r="S769" i="12"/>
  <c r="R769" i="12"/>
  <c r="Q769" i="12"/>
  <c r="L769" i="12"/>
  <c r="K769" i="12"/>
  <c r="J769" i="12"/>
  <c r="I769" i="12"/>
  <c r="G769" i="12"/>
  <c r="F769" i="12"/>
  <c r="E769" i="12"/>
  <c r="D769" i="12"/>
  <c r="C769" i="12"/>
  <c r="B769" i="12"/>
  <c r="A769" i="12"/>
  <c r="BC768" i="12"/>
  <c r="AX768" i="12"/>
  <c r="AU768" i="12"/>
  <c r="AP768" i="12"/>
  <c r="AL768" i="12"/>
  <c r="AK768" i="12"/>
  <c r="AG768" i="12"/>
  <c r="AD768" i="12"/>
  <c r="AA768" i="12"/>
  <c r="Z768" i="12"/>
  <c r="Y768" i="12"/>
  <c r="X768" i="12"/>
  <c r="W768" i="12"/>
  <c r="V768" i="12"/>
  <c r="U768" i="12"/>
  <c r="T768" i="12"/>
  <c r="S768" i="12"/>
  <c r="R768" i="12"/>
  <c r="Q768" i="12"/>
  <c r="L768" i="12"/>
  <c r="K768" i="12"/>
  <c r="J768" i="12"/>
  <c r="I768" i="12"/>
  <c r="G768" i="12"/>
  <c r="F768" i="12"/>
  <c r="E768" i="12"/>
  <c r="D768" i="12"/>
  <c r="C768" i="12"/>
  <c r="B768" i="12"/>
  <c r="A768" i="12"/>
  <c r="BE767" i="12"/>
  <c r="BD767" i="12"/>
  <c r="BC767" i="12"/>
  <c r="BB767" i="12"/>
  <c r="AX767" i="12"/>
  <c r="AU767" i="12"/>
  <c r="AS767" i="12"/>
  <c r="AQ767" i="12"/>
  <c r="AP767" i="12"/>
  <c r="AN767" i="12"/>
  <c r="AL767" i="12"/>
  <c r="AK767" i="12"/>
  <c r="AH767" i="12"/>
  <c r="AG767" i="12"/>
  <c r="AD767" i="12"/>
  <c r="AA767" i="12"/>
  <c r="Z767" i="12"/>
  <c r="Y767" i="12"/>
  <c r="X767" i="12"/>
  <c r="W767" i="12"/>
  <c r="V767" i="12"/>
  <c r="U767" i="12"/>
  <c r="T767" i="12"/>
  <c r="S767" i="12"/>
  <c r="R767" i="12"/>
  <c r="Q767" i="12"/>
  <c r="P767" i="12"/>
  <c r="M767" i="12"/>
  <c r="L767" i="12"/>
  <c r="K767" i="12"/>
  <c r="J767" i="12"/>
  <c r="I767" i="12"/>
  <c r="G767" i="12"/>
  <c r="F767" i="12"/>
  <c r="E767" i="12"/>
  <c r="D767" i="12"/>
  <c r="C767" i="12"/>
  <c r="B767" i="12"/>
  <c r="A767" i="12"/>
  <c r="BE766" i="12"/>
  <c r="BD766" i="12"/>
  <c r="BC766" i="12"/>
  <c r="BB766" i="12"/>
  <c r="AX766" i="12"/>
  <c r="AU766" i="12"/>
  <c r="AS766" i="12"/>
  <c r="AQ766" i="12"/>
  <c r="AP766" i="12"/>
  <c r="AN766" i="12"/>
  <c r="AL766" i="12"/>
  <c r="AK766" i="12"/>
  <c r="AH766" i="12"/>
  <c r="AG766" i="12"/>
  <c r="AD766" i="12"/>
  <c r="AA766" i="12"/>
  <c r="Z766" i="12"/>
  <c r="Y766" i="12"/>
  <c r="X766" i="12"/>
  <c r="W766" i="12"/>
  <c r="V766" i="12"/>
  <c r="U766" i="12"/>
  <c r="T766" i="12"/>
  <c r="S766" i="12"/>
  <c r="R766" i="12"/>
  <c r="Q766" i="12"/>
  <c r="P766" i="12"/>
  <c r="L766" i="12"/>
  <c r="K766" i="12"/>
  <c r="J766" i="12"/>
  <c r="I766" i="12"/>
  <c r="G766" i="12"/>
  <c r="F766" i="12"/>
  <c r="E766" i="12"/>
  <c r="D766" i="12"/>
  <c r="C766" i="12"/>
  <c r="B766" i="12"/>
  <c r="A766" i="12"/>
  <c r="BE765" i="12"/>
  <c r="BD765" i="12"/>
  <c r="BC765" i="12"/>
  <c r="BB765" i="12"/>
  <c r="AX765" i="12"/>
  <c r="AU765" i="12"/>
  <c r="AS765" i="12"/>
  <c r="AQ765" i="12"/>
  <c r="AP765" i="12"/>
  <c r="AN765" i="12"/>
  <c r="AL765" i="12"/>
  <c r="AK765" i="12"/>
  <c r="AH765" i="12"/>
  <c r="AG765" i="12"/>
  <c r="AD765" i="12"/>
  <c r="AA765" i="12"/>
  <c r="Z765" i="12"/>
  <c r="Y765" i="12"/>
  <c r="X765" i="12"/>
  <c r="W765" i="12"/>
  <c r="V765" i="12"/>
  <c r="U765" i="12"/>
  <c r="T765" i="12"/>
  <c r="S765" i="12"/>
  <c r="R765" i="12"/>
  <c r="Q765" i="12"/>
  <c r="P765" i="12"/>
  <c r="M765" i="12"/>
  <c r="L765" i="12"/>
  <c r="K765" i="12"/>
  <c r="J765" i="12"/>
  <c r="I765" i="12"/>
  <c r="G765" i="12"/>
  <c r="F765" i="12"/>
  <c r="E765" i="12"/>
  <c r="D765" i="12"/>
  <c r="C765" i="12"/>
  <c r="B765" i="12"/>
  <c r="A765" i="12"/>
  <c r="BE764" i="12"/>
  <c r="BD764" i="12"/>
  <c r="BC764" i="12"/>
  <c r="BB764" i="12"/>
  <c r="AX764" i="12"/>
  <c r="AU764" i="12"/>
  <c r="AS764" i="12"/>
  <c r="AQ764" i="12"/>
  <c r="AP764" i="12"/>
  <c r="AN764" i="12"/>
  <c r="AL764" i="12"/>
  <c r="AK764" i="12"/>
  <c r="AH764" i="12"/>
  <c r="AG764" i="12"/>
  <c r="AD764" i="12"/>
  <c r="AA764" i="12"/>
  <c r="Z764" i="12"/>
  <c r="Y764" i="12"/>
  <c r="X764" i="12"/>
  <c r="W764" i="12"/>
  <c r="V764" i="12"/>
  <c r="U764" i="12"/>
  <c r="T764" i="12"/>
  <c r="S764" i="12"/>
  <c r="R764" i="12"/>
  <c r="Q764" i="12"/>
  <c r="P764" i="12"/>
  <c r="L764" i="12"/>
  <c r="K764" i="12"/>
  <c r="J764" i="12"/>
  <c r="I764" i="12"/>
  <c r="G764" i="12"/>
  <c r="F764" i="12"/>
  <c r="E764" i="12"/>
  <c r="D764" i="12"/>
  <c r="C764" i="12"/>
  <c r="B764" i="12"/>
  <c r="A764" i="12"/>
  <c r="BE763" i="12"/>
  <c r="BD763" i="12"/>
  <c r="BC763" i="12"/>
  <c r="BB763" i="12"/>
  <c r="AX763" i="12"/>
  <c r="AU763" i="12"/>
  <c r="AS763" i="12"/>
  <c r="AQ763" i="12"/>
  <c r="AN763" i="12"/>
  <c r="AL763" i="12"/>
  <c r="AK763" i="12"/>
  <c r="AJ763" i="12"/>
  <c r="AI763" i="12"/>
  <c r="AH763" i="12"/>
  <c r="AG763" i="12"/>
  <c r="AD763" i="12"/>
  <c r="AA763" i="12"/>
  <c r="Z763" i="12"/>
  <c r="Y763" i="12"/>
  <c r="X763" i="12"/>
  <c r="W763" i="12"/>
  <c r="V763" i="12"/>
  <c r="U763" i="12"/>
  <c r="T763" i="12"/>
  <c r="S763" i="12"/>
  <c r="R763" i="12"/>
  <c r="Q763" i="12"/>
  <c r="P763" i="12"/>
  <c r="M763" i="12"/>
  <c r="L763" i="12"/>
  <c r="K763" i="12"/>
  <c r="J763" i="12"/>
  <c r="I763" i="12"/>
  <c r="G763" i="12"/>
  <c r="F763" i="12"/>
  <c r="E763" i="12"/>
  <c r="D763" i="12"/>
  <c r="C763" i="12"/>
  <c r="B763" i="12"/>
  <c r="A763" i="12"/>
  <c r="BE762" i="12"/>
  <c r="BD762" i="12"/>
  <c r="BC762" i="12"/>
  <c r="BB762" i="12"/>
  <c r="AX762" i="12"/>
  <c r="AU762" i="12"/>
  <c r="AS762" i="12"/>
  <c r="AQ762" i="12"/>
  <c r="AN762" i="12"/>
  <c r="AL762" i="12"/>
  <c r="AK762" i="12"/>
  <c r="AH762" i="12"/>
  <c r="AG762" i="12"/>
  <c r="AD762" i="12"/>
  <c r="AA762" i="12"/>
  <c r="Z762" i="12"/>
  <c r="Y762" i="12"/>
  <c r="X762" i="12"/>
  <c r="W762" i="12"/>
  <c r="V762" i="12"/>
  <c r="U762" i="12"/>
  <c r="T762" i="12"/>
  <c r="S762" i="12"/>
  <c r="R762" i="12"/>
  <c r="Q762" i="12"/>
  <c r="P762" i="12"/>
  <c r="M762" i="12"/>
  <c r="L762" i="12"/>
  <c r="K762" i="12"/>
  <c r="J762" i="12"/>
  <c r="I762" i="12"/>
  <c r="G762" i="12"/>
  <c r="F762" i="12"/>
  <c r="E762" i="12"/>
  <c r="D762" i="12"/>
  <c r="C762" i="12"/>
  <c r="B762" i="12"/>
  <c r="A762" i="12"/>
  <c r="BE761" i="12"/>
  <c r="BD761" i="12"/>
  <c r="BC761" i="12"/>
  <c r="BB761" i="12"/>
  <c r="AX761" i="12"/>
  <c r="AU761" i="12"/>
  <c r="AS761" i="12"/>
  <c r="AQ761" i="12"/>
  <c r="AN761" i="12"/>
  <c r="AL761" i="12"/>
  <c r="AK761" i="12"/>
  <c r="AH761" i="12"/>
  <c r="AG761" i="12"/>
  <c r="AD761" i="12"/>
  <c r="AA761" i="12"/>
  <c r="Z761" i="12"/>
  <c r="Y761" i="12"/>
  <c r="X761" i="12"/>
  <c r="W761" i="12"/>
  <c r="V761" i="12"/>
  <c r="U761" i="12"/>
  <c r="T761" i="12"/>
  <c r="S761" i="12"/>
  <c r="R761" i="12"/>
  <c r="Q761" i="12"/>
  <c r="P761" i="12"/>
  <c r="L761" i="12"/>
  <c r="K761" i="12"/>
  <c r="J761" i="12"/>
  <c r="I761" i="12"/>
  <c r="G761" i="12"/>
  <c r="F761" i="12"/>
  <c r="E761" i="12"/>
  <c r="D761" i="12"/>
  <c r="C761" i="12"/>
  <c r="B761" i="12"/>
  <c r="A761" i="12"/>
  <c r="BC760" i="12"/>
  <c r="AY760" i="12"/>
  <c r="AX760" i="12"/>
  <c r="AV760" i="12"/>
  <c r="AU760" i="12"/>
  <c r="AP760" i="12"/>
  <c r="AO760" i="12"/>
  <c r="AN760" i="12"/>
  <c r="AM760" i="12"/>
  <c r="AL760" i="12"/>
  <c r="AK760" i="12"/>
  <c r="AH760" i="12"/>
  <c r="AG760" i="12"/>
  <c r="AD760" i="12"/>
  <c r="AC760" i="12"/>
  <c r="AA760" i="12"/>
  <c r="Z760" i="12"/>
  <c r="Y760" i="12"/>
  <c r="X760" i="12"/>
  <c r="W760" i="12"/>
  <c r="V760" i="12"/>
  <c r="U760" i="12"/>
  <c r="T760" i="12"/>
  <c r="S760" i="12"/>
  <c r="Q760" i="12"/>
  <c r="P760" i="12"/>
  <c r="L760" i="12"/>
  <c r="K760" i="12"/>
  <c r="J760" i="12"/>
  <c r="I760" i="12"/>
  <c r="G760" i="12"/>
  <c r="F760" i="12"/>
  <c r="E760" i="12"/>
  <c r="D760" i="12"/>
  <c r="C760" i="12"/>
  <c r="B760" i="12"/>
  <c r="A760" i="12"/>
  <c r="BC759" i="12"/>
  <c r="AX759" i="12"/>
  <c r="AU759" i="12"/>
  <c r="AH759" i="12"/>
  <c r="AG759" i="12"/>
  <c r="T759" i="12"/>
  <c r="S759" i="12"/>
  <c r="R759" i="12"/>
  <c r="Q759" i="12"/>
  <c r="L759" i="12"/>
  <c r="K759" i="12"/>
  <c r="J759" i="12"/>
  <c r="I759" i="12"/>
  <c r="G759" i="12"/>
  <c r="F759" i="12"/>
  <c r="E759" i="12"/>
  <c r="D759" i="12"/>
  <c r="C759" i="12"/>
  <c r="B759" i="12"/>
  <c r="A759" i="12"/>
  <c r="BC758" i="12"/>
  <c r="AX758" i="12"/>
  <c r="AV758" i="12"/>
  <c r="AU758" i="12"/>
  <c r="AP758" i="12"/>
  <c r="AO758" i="12"/>
  <c r="AN758" i="12"/>
  <c r="AM758" i="12"/>
  <c r="AL758" i="12"/>
  <c r="AK758" i="12"/>
  <c r="AH758" i="12"/>
  <c r="AG758" i="12"/>
  <c r="AD758" i="12"/>
  <c r="AA758" i="12"/>
  <c r="Z758" i="12"/>
  <c r="Y758" i="12"/>
  <c r="X758" i="12"/>
  <c r="W758" i="12"/>
  <c r="V758" i="12"/>
  <c r="U758" i="12"/>
  <c r="Q758" i="12"/>
  <c r="P758" i="12"/>
  <c r="M758" i="12"/>
  <c r="L758" i="12"/>
  <c r="K758" i="12"/>
  <c r="J758" i="12"/>
  <c r="I758" i="12"/>
  <c r="G758" i="12"/>
  <c r="F758" i="12"/>
  <c r="E758" i="12"/>
  <c r="D758" i="12"/>
  <c r="C758" i="12"/>
  <c r="B758" i="12"/>
  <c r="A758" i="12"/>
  <c r="BC757" i="12"/>
  <c r="AY757" i="12"/>
  <c r="AX757" i="12"/>
  <c r="AU757" i="12"/>
  <c r="AP757" i="12"/>
  <c r="AO757" i="12"/>
  <c r="AN757" i="12"/>
  <c r="AM757" i="12"/>
  <c r="AL757" i="12"/>
  <c r="AK757" i="12"/>
  <c r="AH757" i="12"/>
  <c r="AG757" i="12"/>
  <c r="AD757" i="12"/>
  <c r="AA757" i="12"/>
  <c r="Z757" i="12"/>
  <c r="Y757" i="12"/>
  <c r="X757" i="12"/>
  <c r="W757" i="12"/>
  <c r="V757" i="12"/>
  <c r="U757" i="12"/>
  <c r="Q757" i="12"/>
  <c r="P757" i="12"/>
  <c r="L757" i="12"/>
  <c r="K757" i="12"/>
  <c r="J757" i="12"/>
  <c r="I757" i="12"/>
  <c r="G757" i="12"/>
  <c r="F757" i="12"/>
  <c r="E757" i="12"/>
  <c r="D757" i="12"/>
  <c r="C757" i="12"/>
  <c r="B757" i="12"/>
  <c r="A757" i="12"/>
  <c r="BD756" i="12"/>
  <c r="BC756" i="12"/>
  <c r="AH756" i="12"/>
  <c r="AG756" i="12"/>
  <c r="L756" i="12"/>
  <c r="K756" i="12"/>
  <c r="J756" i="12"/>
  <c r="I756" i="12"/>
  <c r="G756" i="12"/>
  <c r="F756" i="12"/>
  <c r="E756" i="12"/>
  <c r="D756" i="12"/>
  <c r="C756" i="12"/>
  <c r="B756" i="12"/>
  <c r="A756" i="12"/>
  <c r="BC755" i="12"/>
  <c r="AX755" i="12"/>
  <c r="AV755" i="12"/>
  <c r="AU755" i="12"/>
  <c r="AP755" i="12"/>
  <c r="AO755" i="12"/>
  <c r="AM755" i="12"/>
  <c r="AL755" i="12"/>
  <c r="AK755" i="12"/>
  <c r="AH755" i="12"/>
  <c r="AG755" i="12"/>
  <c r="AD755" i="12"/>
  <c r="AC755" i="12"/>
  <c r="AA755" i="12"/>
  <c r="Z755" i="12"/>
  <c r="Y755" i="12"/>
  <c r="X755" i="12"/>
  <c r="V755" i="12"/>
  <c r="U755" i="12"/>
  <c r="Q755" i="12"/>
  <c r="P755" i="12"/>
  <c r="L755" i="12"/>
  <c r="K755" i="12"/>
  <c r="J755" i="12"/>
  <c r="I755" i="12"/>
  <c r="G755" i="12"/>
  <c r="F755" i="12"/>
  <c r="E755" i="12"/>
  <c r="D755" i="12"/>
  <c r="C755" i="12"/>
  <c r="B755" i="12"/>
  <c r="A755" i="12"/>
  <c r="BC754" i="12"/>
  <c r="AX754" i="12"/>
  <c r="AV754" i="12"/>
  <c r="AU754" i="12"/>
  <c r="AP754" i="12"/>
  <c r="AO754" i="12"/>
  <c r="AM754" i="12"/>
  <c r="AL754" i="12"/>
  <c r="AK754" i="12"/>
  <c r="AH754" i="12"/>
  <c r="AG754" i="12"/>
  <c r="AD754" i="12"/>
  <c r="AC754" i="12"/>
  <c r="AA754" i="12"/>
  <c r="Z754" i="12"/>
  <c r="Y754" i="12"/>
  <c r="X754" i="12"/>
  <c r="W754" i="12"/>
  <c r="V754" i="12"/>
  <c r="U754" i="12"/>
  <c r="Q754" i="12"/>
  <c r="P754" i="12"/>
  <c r="L754" i="12"/>
  <c r="K754" i="12"/>
  <c r="J754" i="12"/>
  <c r="I754" i="12"/>
  <c r="G754" i="12"/>
  <c r="F754" i="12"/>
  <c r="E754" i="12"/>
  <c r="D754" i="12"/>
  <c r="C754" i="12"/>
  <c r="B754" i="12"/>
  <c r="A754" i="12"/>
  <c r="BC753" i="12"/>
  <c r="AX753" i="12"/>
  <c r="AU753" i="12"/>
  <c r="AS753" i="12"/>
  <c r="AP753" i="12"/>
  <c r="AO753" i="12"/>
  <c r="AN753" i="12"/>
  <c r="AM753" i="12"/>
  <c r="AL753" i="12"/>
  <c r="AH753" i="12"/>
  <c r="AG753" i="12"/>
  <c r="AD753" i="12"/>
  <c r="AA753" i="12"/>
  <c r="Z753" i="12"/>
  <c r="Y753" i="12"/>
  <c r="X753" i="12"/>
  <c r="V753" i="12"/>
  <c r="U753" i="12"/>
  <c r="T753" i="12"/>
  <c r="S753" i="12"/>
  <c r="Q753" i="12"/>
  <c r="P753" i="12"/>
  <c r="L753" i="12"/>
  <c r="K753" i="12"/>
  <c r="J753" i="12"/>
  <c r="I753" i="12"/>
  <c r="G753" i="12"/>
  <c r="F753" i="12"/>
  <c r="E753" i="12"/>
  <c r="D753" i="12"/>
  <c r="C753" i="12"/>
  <c r="B753" i="12"/>
  <c r="A753" i="12"/>
  <c r="BE752" i="12"/>
  <c r="BD752" i="12"/>
  <c r="BC752" i="12"/>
  <c r="BB752" i="12"/>
  <c r="AX752" i="12"/>
  <c r="AV752" i="12"/>
  <c r="AU752" i="12"/>
  <c r="AS752" i="12"/>
  <c r="AQ752" i="12"/>
  <c r="AN752" i="12"/>
  <c r="AM752" i="12"/>
  <c r="AL752" i="12"/>
  <c r="AK752" i="12"/>
  <c r="AJ752" i="12"/>
  <c r="AI752" i="12"/>
  <c r="AH752" i="12"/>
  <c r="AG752" i="12"/>
  <c r="AD752" i="12"/>
  <c r="AC752" i="12"/>
  <c r="AA752" i="12"/>
  <c r="Z752" i="12"/>
  <c r="Y752" i="12"/>
  <c r="X752" i="12"/>
  <c r="W752" i="12"/>
  <c r="V752" i="12"/>
  <c r="U752" i="12"/>
  <c r="T752" i="12"/>
  <c r="S752" i="12"/>
  <c r="R752" i="12"/>
  <c r="Q752" i="12"/>
  <c r="P752" i="12"/>
  <c r="O752" i="12"/>
  <c r="N752" i="12"/>
  <c r="L752" i="12"/>
  <c r="K752" i="12"/>
  <c r="J752" i="12"/>
  <c r="I752" i="12"/>
  <c r="G752" i="12"/>
  <c r="F752" i="12"/>
  <c r="E752" i="12"/>
  <c r="D752" i="12"/>
  <c r="C752" i="12"/>
  <c r="B752" i="12"/>
  <c r="A752" i="12"/>
  <c r="BD751" i="12"/>
  <c r="BC751" i="12"/>
  <c r="BA751" i="12"/>
  <c r="AX751" i="12"/>
  <c r="AV751" i="12"/>
  <c r="AU751" i="12"/>
  <c r="AP751" i="12"/>
  <c r="AO751" i="12"/>
  <c r="AN751" i="12"/>
  <c r="AM751" i="12"/>
  <c r="AL751" i="12"/>
  <c r="AK751" i="12"/>
  <c r="AH751" i="12"/>
  <c r="AG751" i="12"/>
  <c r="AD751" i="12"/>
  <c r="AC751" i="12"/>
  <c r="AA751" i="12"/>
  <c r="Z751" i="12"/>
  <c r="Y751" i="12"/>
  <c r="X751" i="12"/>
  <c r="W751" i="12"/>
  <c r="V751" i="12"/>
  <c r="U751" i="12"/>
  <c r="Q751" i="12"/>
  <c r="P751" i="12"/>
  <c r="M751" i="12"/>
  <c r="L751" i="12"/>
  <c r="K751" i="12"/>
  <c r="J751" i="12"/>
  <c r="I751" i="12"/>
  <c r="G751" i="12"/>
  <c r="F751" i="12"/>
  <c r="E751" i="12"/>
  <c r="D751" i="12"/>
  <c r="C751" i="12"/>
  <c r="B751" i="12"/>
  <c r="A751" i="12"/>
  <c r="BE750" i="12"/>
  <c r="BD750" i="12"/>
  <c r="BC750" i="12"/>
  <c r="BB750" i="12"/>
  <c r="AX750" i="12"/>
  <c r="AV750" i="12"/>
  <c r="AU750" i="12"/>
  <c r="AS750" i="12"/>
  <c r="AQ750" i="12"/>
  <c r="AN750" i="12"/>
  <c r="AM750" i="12"/>
  <c r="AL750" i="12"/>
  <c r="AK750" i="12"/>
  <c r="AJ750" i="12"/>
  <c r="AI750" i="12"/>
  <c r="AG750" i="12"/>
  <c r="AD750" i="12"/>
  <c r="AC750" i="12"/>
  <c r="AA750" i="12"/>
  <c r="Z750" i="12"/>
  <c r="Y750" i="12"/>
  <c r="X750" i="12"/>
  <c r="W750" i="12"/>
  <c r="V750" i="12"/>
  <c r="U750" i="12"/>
  <c r="T750" i="12"/>
  <c r="S750" i="12"/>
  <c r="R750" i="12"/>
  <c r="Q750" i="12"/>
  <c r="P750" i="12"/>
  <c r="O750" i="12"/>
  <c r="N750" i="12"/>
  <c r="L750" i="12"/>
  <c r="K750" i="12"/>
  <c r="J750" i="12"/>
  <c r="I750" i="12"/>
  <c r="G750" i="12"/>
  <c r="F750" i="12"/>
  <c r="E750" i="12"/>
  <c r="D750" i="12"/>
  <c r="C750" i="12"/>
  <c r="B750" i="12"/>
  <c r="A750" i="12"/>
  <c r="BC749" i="12"/>
  <c r="AY749" i="12"/>
  <c r="AX749" i="12"/>
  <c r="AU749" i="12"/>
  <c r="AR749" i="12"/>
  <c r="AP749" i="12"/>
  <c r="AO749" i="12"/>
  <c r="AL749" i="12"/>
  <c r="AK749" i="12"/>
  <c r="AH749" i="12"/>
  <c r="AG749" i="12"/>
  <c r="AC749" i="12"/>
  <c r="AA749" i="12"/>
  <c r="Z749" i="12"/>
  <c r="Y749" i="12"/>
  <c r="X749" i="12"/>
  <c r="W749" i="12"/>
  <c r="V749" i="12"/>
  <c r="U749" i="12"/>
  <c r="Q749" i="12"/>
  <c r="M749" i="12"/>
  <c r="L749" i="12"/>
  <c r="K749" i="12"/>
  <c r="J749" i="12"/>
  <c r="I749" i="12"/>
  <c r="H749" i="12"/>
  <c r="G749" i="12"/>
  <c r="F749" i="12"/>
  <c r="E749" i="12"/>
  <c r="D749" i="12"/>
  <c r="C749" i="12"/>
  <c r="B749" i="12"/>
  <c r="A749" i="12"/>
  <c r="BD748" i="12"/>
  <c r="BC748" i="12"/>
  <c r="AY748" i="12"/>
  <c r="AX748" i="12"/>
  <c r="AU748" i="12"/>
  <c r="AR748" i="12"/>
  <c r="AP748" i="12"/>
  <c r="AO748" i="12"/>
  <c r="AL748" i="12"/>
  <c r="AK748" i="12"/>
  <c r="AH748" i="12"/>
  <c r="AG748" i="12"/>
  <c r="AC748" i="12"/>
  <c r="AA748" i="12"/>
  <c r="Z748" i="12"/>
  <c r="Y748" i="12"/>
  <c r="X748" i="12"/>
  <c r="V748" i="12"/>
  <c r="U748" i="12"/>
  <c r="Q748" i="12"/>
  <c r="M748" i="12"/>
  <c r="L748" i="12"/>
  <c r="K748" i="12"/>
  <c r="J748" i="12"/>
  <c r="I748" i="12"/>
  <c r="H748" i="12"/>
  <c r="G748" i="12"/>
  <c r="F748" i="12"/>
  <c r="E748" i="12"/>
  <c r="D748" i="12"/>
  <c r="C748" i="12"/>
  <c r="B748" i="12"/>
  <c r="A748" i="12"/>
  <c r="BC747" i="12"/>
  <c r="AY747" i="12"/>
  <c r="AX747" i="12"/>
  <c r="AV747" i="12"/>
  <c r="AU747" i="12"/>
  <c r="AR747" i="12"/>
  <c r="AP747" i="12"/>
  <c r="AO747" i="12"/>
  <c r="AL747" i="12"/>
  <c r="AK747" i="12"/>
  <c r="AH747" i="12"/>
  <c r="AG747" i="12"/>
  <c r="AC747" i="12"/>
  <c r="AA747" i="12"/>
  <c r="Z747" i="12"/>
  <c r="Y747" i="12"/>
  <c r="X747" i="12"/>
  <c r="W747" i="12"/>
  <c r="V747" i="12"/>
  <c r="U747" i="12"/>
  <c r="Q747" i="12"/>
  <c r="M747" i="12"/>
  <c r="L747" i="12"/>
  <c r="K747" i="12"/>
  <c r="J747" i="12"/>
  <c r="I747" i="12"/>
  <c r="H747" i="12"/>
  <c r="G747" i="12"/>
  <c r="F747" i="12"/>
  <c r="E747" i="12"/>
  <c r="D747" i="12"/>
  <c r="C747" i="12"/>
  <c r="B747" i="12"/>
  <c r="A747" i="12"/>
  <c r="BC746" i="12"/>
  <c r="AY746" i="12"/>
  <c r="AX746" i="12"/>
  <c r="AU746" i="12"/>
  <c r="AR746" i="12"/>
  <c r="AP746" i="12"/>
  <c r="AO746" i="12"/>
  <c r="AL746" i="12"/>
  <c r="AK746" i="12"/>
  <c r="AH746" i="12"/>
  <c r="AG746" i="12"/>
  <c r="AC746" i="12"/>
  <c r="AA746" i="12"/>
  <c r="Z746" i="12"/>
  <c r="Y746" i="12"/>
  <c r="X746" i="12"/>
  <c r="W746" i="12"/>
  <c r="V746" i="12"/>
  <c r="U746" i="12"/>
  <c r="Q746" i="12"/>
  <c r="M746" i="12"/>
  <c r="L746" i="12"/>
  <c r="K746" i="12"/>
  <c r="J746" i="12"/>
  <c r="I746" i="12"/>
  <c r="H746" i="12"/>
  <c r="G746" i="12"/>
  <c r="F746" i="12"/>
  <c r="E746" i="12"/>
  <c r="D746" i="12"/>
  <c r="C746" i="12"/>
  <c r="B746" i="12"/>
  <c r="A746" i="12"/>
  <c r="BD745" i="12"/>
  <c r="BC745" i="12"/>
  <c r="AR745" i="12"/>
  <c r="AH745" i="12"/>
  <c r="AG745" i="12"/>
  <c r="AC745" i="12"/>
  <c r="K745" i="12"/>
  <c r="G745" i="12"/>
  <c r="F745" i="12"/>
  <c r="E745" i="12"/>
  <c r="D745" i="12"/>
  <c r="C745" i="12"/>
  <c r="B745" i="12"/>
  <c r="A745" i="12"/>
  <c r="BD744" i="12"/>
  <c r="BC744" i="12"/>
  <c r="AH744" i="12"/>
  <c r="AG744" i="12"/>
  <c r="AC744" i="12"/>
  <c r="K744" i="12"/>
  <c r="G744" i="12"/>
  <c r="F744" i="12"/>
  <c r="E744" i="12"/>
  <c r="D744" i="12"/>
  <c r="C744" i="12"/>
  <c r="B744" i="12"/>
  <c r="A744" i="12"/>
  <c r="BD743" i="12"/>
  <c r="BC743" i="12"/>
  <c r="AU743" i="12"/>
  <c r="AP743" i="12"/>
  <c r="AO743" i="12"/>
  <c r="AM743" i="12"/>
  <c r="AL743" i="12"/>
  <c r="AK743" i="12"/>
  <c r="AH743" i="12"/>
  <c r="AG743" i="12"/>
  <c r="AC743" i="12"/>
  <c r="W743" i="12"/>
  <c r="V743" i="12"/>
  <c r="U743" i="12"/>
  <c r="L743" i="12"/>
  <c r="K743" i="12"/>
  <c r="J743" i="12"/>
  <c r="I743" i="12"/>
  <c r="G743" i="12"/>
  <c r="F743" i="12"/>
  <c r="E743" i="12"/>
  <c r="D743" i="12"/>
  <c r="C743" i="12"/>
  <c r="B743" i="12"/>
  <c r="A743" i="12"/>
  <c r="BD742" i="12"/>
  <c r="BC742" i="12"/>
  <c r="AU742" i="12"/>
  <c r="AP742" i="12"/>
  <c r="AO742" i="12"/>
  <c r="AM742" i="12"/>
  <c r="AL742" i="12"/>
  <c r="AK742" i="12"/>
  <c r="AH742" i="12"/>
  <c r="AG742" i="12"/>
  <c r="AC742" i="12"/>
  <c r="W742" i="12"/>
  <c r="V742" i="12"/>
  <c r="U742" i="12"/>
  <c r="L742" i="12"/>
  <c r="K742" i="12"/>
  <c r="J742" i="12"/>
  <c r="I742" i="12"/>
  <c r="G742" i="12"/>
  <c r="F742" i="12"/>
  <c r="E742" i="12"/>
  <c r="D742" i="12"/>
  <c r="C742" i="12"/>
  <c r="B742" i="12"/>
  <c r="A742" i="12"/>
  <c r="BD741" i="12"/>
  <c r="BC741" i="12"/>
  <c r="AU741" i="12"/>
  <c r="AP741" i="12"/>
  <c r="AO741" i="12"/>
  <c r="AM741" i="12"/>
  <c r="AL741" i="12"/>
  <c r="AK741" i="12"/>
  <c r="AH741" i="12"/>
  <c r="AG741" i="12"/>
  <c r="AC741" i="12"/>
  <c r="W741" i="12"/>
  <c r="V741" i="12"/>
  <c r="U741" i="12"/>
  <c r="L741" i="12"/>
  <c r="K741" i="12"/>
  <c r="J741" i="12"/>
  <c r="I741" i="12"/>
  <c r="G741" i="12"/>
  <c r="F741" i="12"/>
  <c r="E741" i="12"/>
  <c r="D741" i="12"/>
  <c r="C741" i="12"/>
  <c r="B741" i="12"/>
  <c r="A741" i="12"/>
  <c r="BD740" i="12"/>
  <c r="BC740" i="12"/>
  <c r="AU740" i="12"/>
  <c r="AP740" i="12"/>
  <c r="AO740" i="12"/>
  <c r="AM740" i="12"/>
  <c r="AL740" i="12"/>
  <c r="AH740" i="12"/>
  <c r="AG740" i="12"/>
  <c r="AC740" i="12"/>
  <c r="W740" i="12"/>
  <c r="V740" i="12"/>
  <c r="U740" i="12"/>
  <c r="L740" i="12"/>
  <c r="K740" i="12"/>
  <c r="J740" i="12"/>
  <c r="I740" i="12"/>
  <c r="G740" i="12"/>
  <c r="F740" i="12"/>
  <c r="E740" i="12"/>
  <c r="D740" i="12"/>
  <c r="C740" i="12"/>
  <c r="B740" i="12"/>
  <c r="A740" i="12"/>
  <c r="BD739" i="12"/>
  <c r="BC739" i="12"/>
  <c r="AU739" i="12"/>
  <c r="AP739" i="12"/>
  <c r="AO739" i="12"/>
  <c r="AM739" i="12"/>
  <c r="AL739" i="12"/>
  <c r="AH739" i="12"/>
  <c r="AG739" i="12"/>
  <c r="AC739" i="12"/>
  <c r="W739" i="12"/>
  <c r="V739" i="12"/>
  <c r="U739" i="12"/>
  <c r="L739" i="12"/>
  <c r="K739" i="12"/>
  <c r="J739" i="12"/>
  <c r="I739" i="12"/>
  <c r="G739" i="12"/>
  <c r="F739" i="12"/>
  <c r="E739" i="12"/>
  <c r="D739" i="12"/>
  <c r="C739" i="12"/>
  <c r="B739" i="12"/>
  <c r="A739" i="12"/>
  <c r="BC738" i="12"/>
  <c r="AX738" i="12"/>
  <c r="AV738" i="12"/>
  <c r="AU738" i="12"/>
  <c r="AP738" i="12"/>
  <c r="AO738" i="12"/>
  <c r="AM738" i="12"/>
  <c r="AL738" i="12"/>
  <c r="AK738" i="12"/>
  <c r="AH738" i="12"/>
  <c r="AG738" i="12"/>
  <c r="AD738" i="12"/>
  <c r="AC738" i="12"/>
  <c r="AA738" i="12"/>
  <c r="Z738" i="12"/>
  <c r="X738" i="12"/>
  <c r="W738" i="12"/>
  <c r="V738" i="12"/>
  <c r="U738" i="12"/>
  <c r="T738" i="12"/>
  <c r="S738" i="12"/>
  <c r="Q738" i="12"/>
  <c r="K738" i="12"/>
  <c r="J738" i="12"/>
  <c r="G738" i="12"/>
  <c r="F738" i="12"/>
  <c r="E738" i="12"/>
  <c r="D738" i="12"/>
  <c r="C738" i="12"/>
  <c r="B738" i="12"/>
  <c r="A738" i="12"/>
  <c r="BC737" i="12"/>
  <c r="AX737" i="12"/>
  <c r="AV737" i="12"/>
  <c r="AU737" i="12"/>
  <c r="AP737" i="12"/>
  <c r="AO737" i="12"/>
  <c r="AM737" i="12"/>
  <c r="AL737" i="12"/>
  <c r="AK737" i="12"/>
  <c r="AH737" i="12"/>
  <c r="AG737" i="12"/>
  <c r="AD737" i="12"/>
  <c r="AC737" i="12"/>
  <c r="AA737" i="12"/>
  <c r="Z737" i="12"/>
  <c r="X737" i="12"/>
  <c r="W737" i="12"/>
  <c r="V737" i="12"/>
  <c r="U737" i="12"/>
  <c r="Q737" i="12"/>
  <c r="K737" i="12"/>
  <c r="J737" i="12"/>
  <c r="G737" i="12"/>
  <c r="F737" i="12"/>
  <c r="E737" i="12"/>
  <c r="D737" i="12"/>
  <c r="C737" i="12"/>
  <c r="B737" i="12"/>
  <c r="A737" i="12"/>
  <c r="BC736" i="12"/>
  <c r="AX736" i="12"/>
  <c r="AV736" i="12"/>
  <c r="AU736" i="12"/>
  <c r="AP736" i="12"/>
  <c r="AO736" i="12"/>
  <c r="AM736" i="12"/>
  <c r="AL736" i="12"/>
  <c r="AK736" i="12"/>
  <c r="AH736" i="12"/>
  <c r="AG736" i="12"/>
  <c r="AD736" i="12"/>
  <c r="AC736" i="12"/>
  <c r="AA736" i="12"/>
  <c r="Z736" i="12"/>
  <c r="X736" i="12"/>
  <c r="W736" i="12"/>
  <c r="V736" i="12"/>
  <c r="U736" i="12"/>
  <c r="Q736" i="12"/>
  <c r="K736" i="12"/>
  <c r="J736" i="12"/>
  <c r="G736" i="12"/>
  <c r="F736" i="12"/>
  <c r="E736" i="12"/>
  <c r="D736" i="12"/>
  <c r="C736" i="12"/>
  <c r="B736" i="12"/>
  <c r="A736" i="12"/>
  <c r="BE735" i="12"/>
  <c r="BD735" i="12"/>
  <c r="BC735" i="12"/>
  <c r="BB735" i="12"/>
  <c r="AX735" i="12"/>
  <c r="AV735" i="12"/>
  <c r="AU735" i="12"/>
  <c r="AS735" i="12"/>
  <c r="AQ735" i="12"/>
  <c r="AP735" i="12"/>
  <c r="AO735" i="12"/>
  <c r="AN735" i="12"/>
  <c r="AM735" i="12"/>
  <c r="AL735" i="12"/>
  <c r="AK735" i="12"/>
  <c r="AH735" i="12"/>
  <c r="AG735" i="12"/>
  <c r="AD735" i="12"/>
  <c r="AC735" i="12"/>
  <c r="AA735" i="12"/>
  <c r="Z735" i="12"/>
  <c r="Y735" i="12"/>
  <c r="X735" i="12"/>
  <c r="W735" i="12"/>
  <c r="V735" i="12"/>
  <c r="U735" i="12"/>
  <c r="T735" i="12"/>
  <c r="S735" i="12"/>
  <c r="Q735" i="12"/>
  <c r="P735" i="12"/>
  <c r="O735" i="12"/>
  <c r="N735" i="12"/>
  <c r="K735" i="12"/>
  <c r="J735" i="12"/>
  <c r="I735" i="12"/>
  <c r="G735" i="12"/>
  <c r="F735" i="12"/>
  <c r="E735" i="12"/>
  <c r="D735" i="12"/>
  <c r="C735" i="12"/>
  <c r="B735" i="12"/>
  <c r="A735" i="12"/>
  <c r="BC734" i="12"/>
  <c r="AX734" i="12"/>
  <c r="AV734" i="12"/>
  <c r="AU734" i="12"/>
  <c r="AP734" i="12"/>
  <c r="AO734" i="12"/>
  <c r="AM734" i="12"/>
  <c r="AL734" i="12"/>
  <c r="AK734" i="12"/>
  <c r="AH734" i="12"/>
  <c r="AG734" i="12"/>
  <c r="AD734" i="12"/>
  <c r="AC734" i="12"/>
  <c r="AA734" i="12"/>
  <c r="Z734" i="12"/>
  <c r="X734" i="12"/>
  <c r="W734" i="12"/>
  <c r="V734" i="12"/>
  <c r="U734" i="12"/>
  <c r="T734" i="12"/>
  <c r="S734" i="12"/>
  <c r="R734" i="12"/>
  <c r="Q734" i="12"/>
  <c r="K734" i="12"/>
  <c r="J734" i="12"/>
  <c r="G734" i="12"/>
  <c r="F734" i="12"/>
  <c r="E734" i="12"/>
  <c r="D734" i="12"/>
  <c r="C734" i="12"/>
  <c r="B734" i="12"/>
  <c r="A734" i="12"/>
  <c r="BE733" i="12"/>
  <c r="BD733" i="12"/>
  <c r="BC733" i="12"/>
  <c r="BB733" i="12"/>
  <c r="AX733" i="12"/>
  <c r="AV733" i="12"/>
  <c r="AU733" i="12"/>
  <c r="AS733" i="12"/>
  <c r="AQ733" i="12"/>
  <c r="AP733" i="12"/>
  <c r="AO733" i="12"/>
  <c r="AN733" i="12"/>
  <c r="AM733" i="12"/>
  <c r="AL733" i="12"/>
  <c r="AK733" i="12"/>
  <c r="AH733" i="12"/>
  <c r="AG733" i="12"/>
  <c r="AD733" i="12"/>
  <c r="AC733" i="12"/>
  <c r="AA733" i="12"/>
  <c r="Z733" i="12"/>
  <c r="Y733" i="12"/>
  <c r="X733" i="12"/>
  <c r="W733" i="12"/>
  <c r="V733" i="12"/>
  <c r="U733" i="12"/>
  <c r="T733" i="12"/>
  <c r="S733" i="12"/>
  <c r="R733" i="12"/>
  <c r="Q733" i="12"/>
  <c r="P733" i="12"/>
  <c r="O733" i="12"/>
  <c r="N733" i="12"/>
  <c r="K733" i="12"/>
  <c r="J733" i="12"/>
  <c r="I733" i="12"/>
  <c r="G733" i="12"/>
  <c r="F733" i="12"/>
  <c r="E733" i="12"/>
  <c r="D733" i="12"/>
  <c r="C733" i="12"/>
  <c r="B733" i="12"/>
  <c r="A733" i="12"/>
  <c r="BE732" i="12"/>
  <c r="BD732" i="12"/>
  <c r="BC732" i="12"/>
  <c r="BB732" i="12"/>
  <c r="AX732" i="12"/>
  <c r="AV732" i="12"/>
  <c r="AU732" i="12"/>
  <c r="AS732" i="12"/>
  <c r="AQ732" i="12"/>
  <c r="AP732" i="12"/>
  <c r="AO732" i="12"/>
  <c r="AN732" i="12"/>
  <c r="AM732" i="12"/>
  <c r="AL732" i="12"/>
  <c r="AK732" i="12"/>
  <c r="AH732" i="12"/>
  <c r="AG732" i="12"/>
  <c r="AD732" i="12"/>
  <c r="AC732" i="12"/>
  <c r="AA732" i="12"/>
  <c r="Z732" i="12"/>
  <c r="Y732" i="12"/>
  <c r="X732" i="12"/>
  <c r="W732" i="12"/>
  <c r="V732" i="12"/>
  <c r="U732" i="12"/>
  <c r="T732" i="12"/>
  <c r="S732" i="12"/>
  <c r="Q732" i="12"/>
  <c r="P732" i="12"/>
  <c r="O732" i="12"/>
  <c r="N732" i="12"/>
  <c r="K732" i="12"/>
  <c r="J732" i="12"/>
  <c r="I732" i="12"/>
  <c r="G732" i="12"/>
  <c r="F732" i="12"/>
  <c r="E732" i="12"/>
  <c r="D732" i="12"/>
  <c r="C732" i="12"/>
  <c r="B732" i="12"/>
  <c r="A732" i="12"/>
  <c r="BE731" i="12"/>
  <c r="BD731" i="12"/>
  <c r="BC731" i="12"/>
  <c r="BB731" i="12"/>
  <c r="AX731" i="12"/>
  <c r="AV731" i="12"/>
  <c r="AU731" i="12"/>
  <c r="AS731" i="12"/>
  <c r="AQ731" i="12"/>
  <c r="AP731" i="12"/>
  <c r="AO731" i="12"/>
  <c r="AN731" i="12"/>
  <c r="AM731" i="12"/>
  <c r="AL731" i="12"/>
  <c r="AK731" i="12"/>
  <c r="AH731" i="12"/>
  <c r="AG731" i="12"/>
  <c r="AD731" i="12"/>
  <c r="AC731" i="12"/>
  <c r="AA731" i="12"/>
  <c r="Z731" i="12"/>
  <c r="Y731" i="12"/>
  <c r="X731" i="12"/>
  <c r="W731" i="12"/>
  <c r="V731" i="12"/>
  <c r="U731" i="12"/>
  <c r="T731" i="12"/>
  <c r="S731" i="12"/>
  <c r="R731" i="12"/>
  <c r="Q731" i="12"/>
  <c r="P731" i="12"/>
  <c r="O731" i="12"/>
  <c r="N731" i="12"/>
  <c r="K731" i="12"/>
  <c r="J731" i="12"/>
  <c r="G731" i="12"/>
  <c r="F731" i="12"/>
  <c r="E731" i="12"/>
  <c r="D731" i="12"/>
  <c r="C731" i="12"/>
  <c r="B731" i="12"/>
  <c r="A731" i="12"/>
  <c r="BE730" i="12"/>
  <c r="BD730" i="12"/>
  <c r="BC730" i="12"/>
  <c r="BB730" i="12"/>
  <c r="AX730" i="12"/>
  <c r="AV730" i="12"/>
  <c r="AU730" i="12"/>
  <c r="AS730" i="12"/>
  <c r="AQ730" i="12"/>
  <c r="AP730" i="12"/>
  <c r="AO730" i="12"/>
  <c r="AN730" i="12"/>
  <c r="AM730" i="12"/>
  <c r="AL730" i="12"/>
  <c r="AK730" i="12"/>
  <c r="AH730" i="12"/>
  <c r="AG730" i="12"/>
  <c r="AD730" i="12"/>
  <c r="AC730" i="12"/>
  <c r="AA730" i="12"/>
  <c r="Z730" i="12"/>
  <c r="Y730" i="12"/>
  <c r="X730" i="12"/>
  <c r="W730" i="12"/>
  <c r="V730" i="12"/>
  <c r="U730" i="12"/>
  <c r="T730" i="12"/>
  <c r="S730" i="12"/>
  <c r="R730" i="12"/>
  <c r="Q730" i="12"/>
  <c r="P730" i="12"/>
  <c r="O730" i="12"/>
  <c r="N730" i="12"/>
  <c r="K730" i="12"/>
  <c r="J730" i="12"/>
  <c r="I730" i="12"/>
  <c r="G730" i="12"/>
  <c r="F730" i="12"/>
  <c r="E730" i="12"/>
  <c r="D730" i="12"/>
  <c r="C730" i="12"/>
  <c r="B730" i="12"/>
  <c r="A730" i="12"/>
  <c r="BC729" i="12"/>
  <c r="BB729" i="12"/>
  <c r="AX729" i="12"/>
  <c r="AV729" i="12"/>
  <c r="AU729" i="12"/>
  <c r="AS729" i="12"/>
  <c r="AQ729" i="12"/>
  <c r="AP729" i="12"/>
  <c r="AO729" i="12"/>
  <c r="AN729" i="12"/>
  <c r="AM729" i="12"/>
  <c r="AL729" i="12"/>
  <c r="AK729" i="12"/>
  <c r="AG729" i="12"/>
  <c r="AD729" i="12"/>
  <c r="AC729" i="12"/>
  <c r="AA729" i="12"/>
  <c r="Z729" i="12"/>
  <c r="Y729" i="12"/>
  <c r="X729" i="12"/>
  <c r="W729" i="12"/>
  <c r="V729" i="12"/>
  <c r="U729" i="12"/>
  <c r="T729" i="12"/>
  <c r="S729" i="12"/>
  <c r="R729" i="12"/>
  <c r="Q729" i="12"/>
  <c r="P729" i="12"/>
  <c r="O729" i="12"/>
  <c r="N729" i="12"/>
  <c r="K729" i="12"/>
  <c r="J729" i="12"/>
  <c r="G729" i="12"/>
  <c r="F729" i="12"/>
  <c r="E729" i="12"/>
  <c r="D729" i="12"/>
  <c r="C729" i="12"/>
  <c r="B729" i="12"/>
  <c r="A729" i="12"/>
  <c r="BD728" i="12"/>
  <c r="BC728" i="12"/>
  <c r="AU728" i="12"/>
  <c r="AP728" i="12"/>
  <c r="AO728" i="12"/>
  <c r="AM728" i="12"/>
  <c r="AL728" i="12"/>
  <c r="AK728" i="12"/>
  <c r="AH728" i="12"/>
  <c r="AG728" i="12"/>
  <c r="AC728" i="12"/>
  <c r="W728" i="12"/>
  <c r="V728" i="12"/>
  <c r="U728" i="12"/>
  <c r="L728" i="12"/>
  <c r="K728" i="12"/>
  <c r="J728" i="12"/>
  <c r="I728" i="12"/>
  <c r="G728" i="12"/>
  <c r="F728" i="12"/>
  <c r="E728" i="12"/>
  <c r="D728" i="12"/>
  <c r="C728" i="12"/>
  <c r="B728" i="12"/>
  <c r="A728" i="12"/>
  <c r="BD727" i="12"/>
  <c r="BC727" i="12"/>
  <c r="AU727" i="12"/>
  <c r="AP727" i="12"/>
  <c r="AO727" i="12"/>
  <c r="AM727" i="12"/>
  <c r="AL727" i="12"/>
  <c r="AK727" i="12"/>
  <c r="AH727" i="12"/>
  <c r="AG727" i="12"/>
  <c r="AC727" i="12"/>
  <c r="W727" i="12"/>
  <c r="V727" i="12"/>
  <c r="U727" i="12"/>
  <c r="L727" i="12"/>
  <c r="K727" i="12"/>
  <c r="J727" i="12"/>
  <c r="I727" i="12"/>
  <c r="G727" i="12"/>
  <c r="F727" i="12"/>
  <c r="E727" i="12"/>
  <c r="D727" i="12"/>
  <c r="C727" i="12"/>
  <c r="B727" i="12"/>
  <c r="A727" i="12"/>
  <c r="BC726" i="12"/>
  <c r="AY726" i="12"/>
  <c r="AX726" i="12"/>
  <c r="AV726" i="12"/>
  <c r="AU726" i="12"/>
  <c r="AP726" i="12"/>
  <c r="AO726" i="12"/>
  <c r="AN726" i="12"/>
  <c r="AM726" i="12"/>
  <c r="AL726" i="12"/>
  <c r="AK726" i="12"/>
  <c r="AH726" i="12"/>
  <c r="AG726" i="12"/>
  <c r="AD726" i="12"/>
  <c r="AC726" i="12"/>
  <c r="AA726" i="12"/>
  <c r="Z726" i="12"/>
  <c r="Y726" i="12"/>
  <c r="X726" i="12"/>
  <c r="W726" i="12"/>
  <c r="V726" i="12"/>
  <c r="U726" i="12"/>
  <c r="T726" i="12"/>
  <c r="S726" i="12"/>
  <c r="Q726" i="12"/>
  <c r="P726" i="12"/>
  <c r="L726" i="12"/>
  <c r="K726" i="12"/>
  <c r="J726" i="12"/>
  <c r="I726" i="12"/>
  <c r="G726" i="12"/>
  <c r="F726" i="12"/>
  <c r="E726" i="12"/>
  <c r="D726" i="12"/>
  <c r="C726" i="12"/>
  <c r="B726" i="12"/>
  <c r="A726" i="12"/>
  <c r="BC725" i="12"/>
  <c r="AU725" i="12"/>
  <c r="AP725" i="12"/>
  <c r="AO725" i="12"/>
  <c r="AM725" i="12"/>
  <c r="AL725" i="12"/>
  <c r="AH725" i="12"/>
  <c r="AG725" i="12"/>
  <c r="AC725" i="12"/>
  <c r="W725" i="12"/>
  <c r="U725" i="12"/>
  <c r="L725" i="12"/>
  <c r="K725" i="12"/>
  <c r="J725" i="12"/>
  <c r="I725" i="12"/>
  <c r="G725" i="12"/>
  <c r="F725" i="12"/>
  <c r="E725" i="12"/>
  <c r="D725" i="12"/>
  <c r="C725" i="12"/>
  <c r="B725" i="12"/>
  <c r="A725" i="12"/>
  <c r="BC724" i="12"/>
  <c r="AY724" i="12"/>
  <c r="AX724" i="12"/>
  <c r="AV724" i="12"/>
  <c r="AU724" i="12"/>
  <c r="AS724" i="12"/>
  <c r="AP724" i="12"/>
  <c r="AO724" i="12"/>
  <c r="AM724" i="12"/>
  <c r="AL724" i="12"/>
  <c r="AK724" i="12"/>
  <c r="AH724" i="12"/>
  <c r="AG724" i="12"/>
  <c r="AD724" i="12"/>
  <c r="AA724" i="12"/>
  <c r="Y724" i="12"/>
  <c r="X724" i="12"/>
  <c r="W724" i="12"/>
  <c r="V724" i="12"/>
  <c r="U724" i="12"/>
  <c r="T724" i="12"/>
  <c r="S724" i="12"/>
  <c r="R724" i="12"/>
  <c r="Q724" i="12"/>
  <c r="L724" i="12"/>
  <c r="K724" i="12"/>
  <c r="J724" i="12"/>
  <c r="I724" i="12"/>
  <c r="G724" i="12"/>
  <c r="F724" i="12"/>
  <c r="E724" i="12"/>
  <c r="D724" i="12"/>
  <c r="C724" i="12"/>
  <c r="B724" i="12"/>
  <c r="A724" i="12"/>
  <c r="BD723" i="12"/>
  <c r="BC723" i="12"/>
  <c r="AY723" i="12"/>
  <c r="AX723" i="12"/>
  <c r="AV723" i="12"/>
  <c r="AU723" i="12"/>
  <c r="AP723" i="12"/>
  <c r="AO723" i="12"/>
  <c r="AM723" i="12"/>
  <c r="AL723" i="12"/>
  <c r="AK723" i="12"/>
  <c r="AH723" i="12"/>
  <c r="AG723" i="12"/>
  <c r="AD723" i="12"/>
  <c r="AA723" i="12"/>
  <c r="Z723" i="12"/>
  <c r="Y723" i="12"/>
  <c r="X723" i="12"/>
  <c r="W723" i="12"/>
  <c r="V723" i="12"/>
  <c r="U723" i="12"/>
  <c r="Q723" i="12"/>
  <c r="P723" i="12"/>
  <c r="K723" i="12"/>
  <c r="J723" i="12"/>
  <c r="I723" i="12"/>
  <c r="G723" i="12"/>
  <c r="F723" i="12"/>
  <c r="E723" i="12"/>
  <c r="D723" i="12"/>
  <c r="C723" i="12"/>
  <c r="B723" i="12"/>
  <c r="A723" i="12"/>
  <c r="BD722" i="12"/>
  <c r="BC722" i="12"/>
  <c r="AY722" i="12"/>
  <c r="AX722" i="12"/>
  <c r="AV722" i="12"/>
  <c r="AU722" i="12"/>
  <c r="AP722" i="12"/>
  <c r="AO722" i="12"/>
  <c r="AM722" i="12"/>
  <c r="AL722" i="12"/>
  <c r="AK722" i="12"/>
  <c r="AH722" i="12"/>
  <c r="AG722" i="12"/>
  <c r="AD722" i="12"/>
  <c r="AA722" i="12"/>
  <c r="Z722" i="12"/>
  <c r="Y722" i="12"/>
  <c r="X722" i="12"/>
  <c r="W722" i="12"/>
  <c r="V722" i="12"/>
  <c r="U722" i="12"/>
  <c r="Q722" i="12"/>
  <c r="K722" i="12"/>
  <c r="J722" i="12"/>
  <c r="I722" i="12"/>
  <c r="G722" i="12"/>
  <c r="F722" i="12"/>
  <c r="E722" i="12"/>
  <c r="D722" i="12"/>
  <c r="C722" i="12"/>
  <c r="B722" i="12"/>
  <c r="A722" i="12"/>
  <c r="BD721" i="12"/>
  <c r="BC721" i="12"/>
  <c r="AY721" i="12"/>
  <c r="AX721" i="12"/>
  <c r="AV721" i="12"/>
  <c r="AU721" i="12"/>
  <c r="AP721" i="12"/>
  <c r="AO721" i="12"/>
  <c r="AM721" i="12"/>
  <c r="AL721" i="12"/>
  <c r="AK721" i="12"/>
  <c r="AH721" i="12"/>
  <c r="AG721" i="12"/>
  <c r="AD721" i="12"/>
  <c r="AC721" i="12"/>
  <c r="AB721" i="12"/>
  <c r="AA721" i="12"/>
  <c r="Z721" i="12"/>
  <c r="Y721" i="12"/>
  <c r="X721" i="12"/>
  <c r="W721" i="12"/>
  <c r="V721" i="12"/>
  <c r="U721" i="12"/>
  <c r="Q721" i="12"/>
  <c r="K721" i="12"/>
  <c r="J721" i="12"/>
  <c r="I721" i="12"/>
  <c r="G721" i="12"/>
  <c r="F721" i="12"/>
  <c r="E721" i="12"/>
  <c r="D721" i="12"/>
  <c r="C721" i="12"/>
  <c r="B721" i="12"/>
  <c r="A721" i="12"/>
  <c r="BD720" i="12"/>
  <c r="BC720" i="12"/>
  <c r="AY720" i="12"/>
  <c r="AX720" i="12"/>
  <c r="AV720" i="12"/>
  <c r="AU720" i="12"/>
  <c r="AP720" i="12"/>
  <c r="AO720" i="12"/>
  <c r="AM720" i="12"/>
  <c r="AL720" i="12"/>
  <c r="AK720" i="12"/>
  <c r="AH720" i="12"/>
  <c r="AG720" i="12"/>
  <c r="AD720" i="12"/>
  <c r="AC720" i="12"/>
  <c r="AA720" i="12"/>
  <c r="Z720" i="12"/>
  <c r="Y720" i="12"/>
  <c r="X720" i="12"/>
  <c r="W720" i="12"/>
  <c r="V720" i="12"/>
  <c r="U720" i="12"/>
  <c r="Q720" i="12"/>
  <c r="P720" i="12"/>
  <c r="K720" i="12"/>
  <c r="J720" i="12"/>
  <c r="I720" i="12"/>
  <c r="G720" i="12"/>
  <c r="F720" i="12"/>
  <c r="E720" i="12"/>
  <c r="D720" i="12"/>
  <c r="C720" i="12"/>
  <c r="B720" i="12"/>
  <c r="A720" i="12"/>
  <c r="BD719" i="12"/>
  <c r="BC719" i="12"/>
  <c r="AY719" i="12"/>
  <c r="AX719" i="12"/>
  <c r="AV719" i="12"/>
  <c r="AU719" i="12"/>
  <c r="AP719" i="12"/>
  <c r="AO719" i="12"/>
  <c r="AM719" i="12"/>
  <c r="AL719" i="12"/>
  <c r="AK719" i="12"/>
  <c r="AH719" i="12"/>
  <c r="AG719" i="12"/>
  <c r="AD719" i="12"/>
  <c r="AC719" i="12"/>
  <c r="AA719" i="12"/>
  <c r="Z719" i="12"/>
  <c r="Y719" i="12"/>
  <c r="X719" i="12"/>
  <c r="W719" i="12"/>
  <c r="V719" i="12"/>
  <c r="U719" i="12"/>
  <c r="Q719" i="12"/>
  <c r="P719" i="12"/>
  <c r="K719" i="12"/>
  <c r="J719" i="12"/>
  <c r="I719" i="12"/>
  <c r="G719" i="12"/>
  <c r="F719" i="12"/>
  <c r="E719" i="12"/>
  <c r="D719" i="12"/>
  <c r="C719" i="12"/>
  <c r="B719" i="12"/>
  <c r="A719" i="12"/>
  <c r="BC718" i="12"/>
  <c r="AY718" i="12"/>
  <c r="AX718" i="12"/>
  <c r="AV718" i="12"/>
  <c r="AU718" i="12"/>
  <c r="AP718" i="12"/>
  <c r="AO718" i="12"/>
  <c r="AM718" i="12"/>
  <c r="AL718" i="12"/>
  <c r="AK718" i="12"/>
  <c r="AH718" i="12"/>
  <c r="AG718" i="12"/>
  <c r="AD718" i="12"/>
  <c r="AC718" i="12"/>
  <c r="AA718" i="12"/>
  <c r="Z718" i="12"/>
  <c r="Y718" i="12"/>
  <c r="X718" i="12"/>
  <c r="W718" i="12"/>
  <c r="V718" i="12"/>
  <c r="U718" i="12"/>
  <c r="Q718" i="12"/>
  <c r="P718" i="12"/>
  <c r="K718" i="12"/>
  <c r="J718" i="12"/>
  <c r="I718" i="12"/>
  <c r="G718" i="12"/>
  <c r="F718" i="12"/>
  <c r="E718" i="12"/>
  <c r="D718" i="12"/>
  <c r="C718" i="12"/>
  <c r="B718" i="12"/>
  <c r="A718" i="12"/>
  <c r="BE717" i="12"/>
  <c r="BD717" i="12"/>
  <c r="BC717" i="12"/>
  <c r="BB717" i="12"/>
  <c r="AY717" i="12"/>
  <c r="AX717" i="12"/>
  <c r="AV717" i="12"/>
  <c r="AU717" i="12"/>
  <c r="AS717" i="12"/>
  <c r="AQ717" i="12"/>
  <c r="AP717" i="12"/>
  <c r="AO717" i="12"/>
  <c r="AN717" i="12"/>
  <c r="AM717" i="12"/>
  <c r="AL717" i="12"/>
  <c r="AK717" i="12"/>
  <c r="AH717" i="12"/>
  <c r="AG717" i="12"/>
  <c r="AD717" i="12"/>
  <c r="AC717" i="12"/>
  <c r="AA717" i="12"/>
  <c r="Z717" i="12"/>
  <c r="Y717" i="12"/>
  <c r="X717" i="12"/>
  <c r="W717" i="12"/>
  <c r="V717" i="12"/>
  <c r="U717" i="12"/>
  <c r="T717" i="12"/>
  <c r="S717" i="12"/>
  <c r="R717" i="12"/>
  <c r="Q717" i="12"/>
  <c r="P717" i="12"/>
  <c r="L717" i="12"/>
  <c r="K717" i="12"/>
  <c r="J717" i="12"/>
  <c r="I717" i="12"/>
  <c r="G717" i="12"/>
  <c r="F717" i="12"/>
  <c r="E717" i="12"/>
  <c r="D717" i="12"/>
  <c r="C717" i="12"/>
  <c r="B717" i="12"/>
  <c r="A717" i="12"/>
  <c r="BC716" i="12"/>
  <c r="AY716" i="12"/>
  <c r="AX716" i="12"/>
  <c r="AV716" i="12"/>
  <c r="AU716" i="12"/>
  <c r="AP716" i="12"/>
  <c r="AO716" i="12"/>
  <c r="AL716" i="12"/>
  <c r="AK716" i="12"/>
  <c r="AH716" i="12"/>
  <c r="AG716" i="12"/>
  <c r="AC716" i="12"/>
  <c r="AA716" i="12"/>
  <c r="Z716" i="12"/>
  <c r="Y716" i="12"/>
  <c r="X716" i="12"/>
  <c r="W716" i="12"/>
  <c r="V716" i="12"/>
  <c r="U716" i="12"/>
  <c r="Q716" i="12"/>
  <c r="M716" i="12"/>
  <c r="L716" i="12"/>
  <c r="K716" i="12"/>
  <c r="J716" i="12"/>
  <c r="I716" i="12"/>
  <c r="G716" i="12"/>
  <c r="F716" i="12"/>
  <c r="E716" i="12"/>
  <c r="D716" i="12"/>
  <c r="C716" i="12"/>
  <c r="B716" i="12"/>
  <c r="A716" i="12"/>
  <c r="BD715" i="12"/>
  <c r="BC715" i="12"/>
  <c r="AX715" i="12"/>
  <c r="AU715" i="12"/>
  <c r="AS715" i="12"/>
  <c r="AP715" i="12"/>
  <c r="AO715" i="12"/>
  <c r="AN715" i="12"/>
  <c r="AM715" i="12"/>
  <c r="AL715" i="12"/>
  <c r="AK715" i="12"/>
  <c r="AH715" i="12"/>
  <c r="AG715" i="12"/>
  <c r="AC715" i="12"/>
  <c r="AA715" i="12"/>
  <c r="Z715" i="12"/>
  <c r="Y715" i="12"/>
  <c r="X715" i="12"/>
  <c r="W715" i="12"/>
  <c r="V715" i="12"/>
  <c r="U715" i="12"/>
  <c r="T715" i="12"/>
  <c r="S715" i="12"/>
  <c r="R715" i="12"/>
  <c r="Q715" i="12"/>
  <c r="P715" i="12"/>
  <c r="L715" i="12"/>
  <c r="K715" i="12"/>
  <c r="J715" i="12"/>
  <c r="I715" i="12"/>
  <c r="G715" i="12"/>
  <c r="F715" i="12"/>
  <c r="E715" i="12"/>
  <c r="D715" i="12"/>
  <c r="C715" i="12"/>
  <c r="B715" i="12"/>
  <c r="A715" i="12"/>
  <c r="BE714" i="12"/>
  <c r="BD714" i="12"/>
  <c r="BC714" i="12"/>
  <c r="BB714" i="12"/>
  <c r="AY714" i="12"/>
  <c r="AX714" i="12"/>
  <c r="AV714" i="12"/>
  <c r="AU714" i="12"/>
  <c r="AS714" i="12"/>
  <c r="AQ714" i="12"/>
  <c r="AP714" i="12"/>
  <c r="AO714" i="12"/>
  <c r="AN714" i="12"/>
  <c r="AM714" i="12"/>
  <c r="AL714" i="12"/>
  <c r="AK714" i="12"/>
  <c r="AH714" i="12"/>
  <c r="AG714" i="12"/>
  <c r="AD714" i="12"/>
  <c r="AC714" i="12"/>
  <c r="AA714" i="12"/>
  <c r="Z714" i="12"/>
  <c r="Y714" i="12"/>
  <c r="X714" i="12"/>
  <c r="W714" i="12"/>
  <c r="V714" i="12"/>
  <c r="U714" i="12"/>
  <c r="T714" i="12"/>
  <c r="S714" i="12"/>
  <c r="R714" i="12"/>
  <c r="Q714" i="12"/>
  <c r="P714" i="12"/>
  <c r="L714" i="12"/>
  <c r="K714" i="12"/>
  <c r="J714" i="12"/>
  <c r="I714" i="12"/>
  <c r="G714" i="12"/>
  <c r="F714" i="12"/>
  <c r="E714" i="12"/>
  <c r="D714" i="12"/>
  <c r="C714" i="12"/>
  <c r="B714" i="12"/>
  <c r="A714" i="12"/>
  <c r="BD713" i="12"/>
  <c r="BC713" i="12"/>
  <c r="AX713" i="12"/>
  <c r="AV713" i="12"/>
  <c r="AU713" i="12"/>
  <c r="AR713" i="12"/>
  <c r="AP713" i="12"/>
  <c r="AM713" i="12"/>
  <c r="AL713" i="12"/>
  <c r="AK713" i="12"/>
  <c r="AH713" i="12"/>
  <c r="AG713" i="12"/>
  <c r="AA713" i="12"/>
  <c r="Z713" i="12"/>
  <c r="Y713" i="12"/>
  <c r="X713" i="12"/>
  <c r="W713" i="12"/>
  <c r="V713" i="12"/>
  <c r="U713" i="12"/>
  <c r="Q713" i="12"/>
  <c r="M713" i="12"/>
  <c r="L713" i="12"/>
  <c r="K713" i="12"/>
  <c r="J713" i="12"/>
  <c r="I713" i="12"/>
  <c r="H713" i="12"/>
  <c r="G713" i="12"/>
  <c r="F713" i="12"/>
  <c r="E713" i="12"/>
  <c r="D713" i="12"/>
  <c r="C713" i="12"/>
  <c r="B713" i="12"/>
  <c r="A713" i="12"/>
  <c r="BE712" i="12"/>
  <c r="BD712" i="12"/>
  <c r="BC712" i="12"/>
  <c r="BB712" i="12"/>
  <c r="AX712" i="12"/>
  <c r="AV712" i="12"/>
  <c r="AU712" i="12"/>
  <c r="AS712" i="12"/>
  <c r="AQ712" i="12"/>
  <c r="AP712" i="12"/>
  <c r="AO712" i="12"/>
  <c r="AN712" i="12"/>
  <c r="AM712" i="12"/>
  <c r="AL712" i="12"/>
  <c r="AK712" i="12"/>
  <c r="AH712" i="12"/>
  <c r="AG712" i="12"/>
  <c r="AD712" i="12"/>
  <c r="AC712" i="12"/>
  <c r="AA712" i="12"/>
  <c r="Z712" i="12"/>
  <c r="Y712" i="12"/>
  <c r="X712" i="12"/>
  <c r="W712" i="12"/>
  <c r="V712" i="12"/>
  <c r="U712" i="12"/>
  <c r="T712" i="12"/>
  <c r="S712" i="12"/>
  <c r="R712" i="12"/>
  <c r="Q712" i="12"/>
  <c r="P712" i="12"/>
  <c r="O712" i="12"/>
  <c r="N712" i="12"/>
  <c r="M712" i="12"/>
  <c r="L712" i="12"/>
  <c r="K712" i="12"/>
  <c r="J712" i="12"/>
  <c r="G712" i="12"/>
  <c r="F712" i="12"/>
  <c r="E712" i="12"/>
  <c r="D712" i="12"/>
  <c r="C712" i="12"/>
  <c r="B712" i="12"/>
  <c r="A712" i="12"/>
  <c r="BE711" i="12"/>
  <c r="BD711" i="12"/>
  <c r="BC711" i="12"/>
  <c r="BB711" i="12"/>
  <c r="AX711" i="12"/>
  <c r="AV711" i="12"/>
  <c r="AU711" i="12"/>
  <c r="AS711" i="12"/>
  <c r="AQ711" i="12"/>
  <c r="AP711" i="12"/>
  <c r="AO711" i="12"/>
  <c r="AN711" i="12"/>
  <c r="AM711" i="12"/>
  <c r="AL711" i="12"/>
  <c r="AK711" i="12"/>
  <c r="AH711" i="12"/>
  <c r="AG711" i="12"/>
  <c r="AD711" i="12"/>
  <c r="AC711" i="12"/>
  <c r="AA711" i="12"/>
  <c r="Z711" i="12"/>
  <c r="Y711" i="12"/>
  <c r="X711" i="12"/>
  <c r="W711" i="12"/>
  <c r="V711" i="12"/>
  <c r="U711" i="12"/>
  <c r="T711" i="12"/>
  <c r="S711" i="12"/>
  <c r="R711" i="12"/>
  <c r="Q711" i="12"/>
  <c r="P711" i="12"/>
  <c r="M711" i="12"/>
  <c r="L711" i="12"/>
  <c r="K711" i="12"/>
  <c r="J711" i="12"/>
  <c r="G711" i="12"/>
  <c r="F711" i="12"/>
  <c r="E711" i="12"/>
  <c r="D711" i="12"/>
  <c r="C711" i="12"/>
  <c r="B711" i="12"/>
  <c r="A711" i="12"/>
  <c r="BE710" i="12"/>
  <c r="BD710" i="12"/>
  <c r="BC710" i="12"/>
  <c r="BB710" i="12"/>
  <c r="AX710" i="12"/>
  <c r="AV710" i="12"/>
  <c r="AU710" i="12"/>
  <c r="AS710" i="12"/>
  <c r="AQ710" i="12"/>
  <c r="AP710" i="12"/>
  <c r="AO710" i="12"/>
  <c r="AN710" i="12"/>
  <c r="AM710" i="12"/>
  <c r="AL710" i="12"/>
  <c r="AK710" i="12"/>
  <c r="AJ710" i="12"/>
  <c r="AI710" i="12"/>
  <c r="AH710" i="12"/>
  <c r="AG710" i="12"/>
  <c r="AD710" i="12"/>
  <c r="AC710" i="12"/>
  <c r="AA710" i="12"/>
  <c r="Z710" i="12"/>
  <c r="Y710" i="12"/>
  <c r="X710" i="12"/>
  <c r="W710" i="12"/>
  <c r="V710" i="12"/>
  <c r="U710" i="12"/>
  <c r="T710" i="12"/>
  <c r="S710" i="12"/>
  <c r="R710" i="12"/>
  <c r="Q710" i="12"/>
  <c r="P710" i="12"/>
  <c r="M710" i="12"/>
  <c r="L710" i="12"/>
  <c r="K710" i="12"/>
  <c r="J710" i="12"/>
  <c r="G710" i="12"/>
  <c r="F710" i="12"/>
  <c r="E710" i="12"/>
  <c r="D710" i="12"/>
  <c r="C710" i="12"/>
  <c r="B710" i="12"/>
  <c r="A710" i="12"/>
  <c r="BE709" i="12"/>
  <c r="BD709" i="12"/>
  <c r="BC709" i="12"/>
  <c r="BB709" i="12"/>
  <c r="AX709" i="12"/>
  <c r="AV709" i="12"/>
  <c r="AU709" i="12"/>
  <c r="AS709" i="12"/>
  <c r="AQ709" i="12"/>
  <c r="AP709" i="12"/>
  <c r="AO709" i="12"/>
  <c r="AN709" i="12"/>
  <c r="AM709" i="12"/>
  <c r="AL709" i="12"/>
  <c r="AK709" i="12"/>
  <c r="AH709" i="12"/>
  <c r="AG709" i="12"/>
  <c r="AD709" i="12"/>
  <c r="AC709" i="12"/>
  <c r="AA709" i="12"/>
  <c r="Z709" i="12"/>
  <c r="Y709" i="12"/>
  <c r="X709" i="12"/>
  <c r="W709" i="12"/>
  <c r="V709" i="12"/>
  <c r="U709" i="12"/>
  <c r="T709" i="12"/>
  <c r="S709" i="12"/>
  <c r="R709" i="12"/>
  <c r="Q709" i="12"/>
  <c r="P709" i="12"/>
  <c r="M709" i="12"/>
  <c r="L709" i="12"/>
  <c r="K709" i="12"/>
  <c r="J709" i="12"/>
  <c r="G709" i="12"/>
  <c r="F709" i="12"/>
  <c r="E709" i="12"/>
  <c r="D709" i="12"/>
  <c r="C709" i="12"/>
  <c r="B709" i="12"/>
  <c r="A709" i="12"/>
  <c r="BE708" i="12"/>
  <c r="BD708" i="12"/>
  <c r="BC708" i="12"/>
  <c r="BB708" i="12"/>
  <c r="AX708" i="12"/>
  <c r="AV708" i="12"/>
  <c r="AU708" i="12"/>
  <c r="AS708" i="12"/>
  <c r="AQ708" i="12"/>
  <c r="AP708" i="12"/>
  <c r="AO708" i="12"/>
  <c r="AN708" i="12"/>
  <c r="AM708" i="12"/>
  <c r="AL708" i="12"/>
  <c r="AK708" i="12"/>
  <c r="AH708" i="12"/>
  <c r="AG708" i="12"/>
  <c r="AD708" i="12"/>
  <c r="AC708" i="12"/>
  <c r="AA708" i="12"/>
  <c r="Z708" i="12"/>
  <c r="Y708" i="12"/>
  <c r="X708" i="12"/>
  <c r="W708" i="12"/>
  <c r="V708" i="12"/>
  <c r="U708" i="12"/>
  <c r="T708" i="12"/>
  <c r="S708" i="12"/>
  <c r="R708" i="12"/>
  <c r="Q708" i="12"/>
  <c r="P708" i="12"/>
  <c r="M708" i="12"/>
  <c r="L708" i="12"/>
  <c r="K708" i="12"/>
  <c r="J708" i="12"/>
  <c r="G708" i="12"/>
  <c r="F708" i="12"/>
  <c r="E708" i="12"/>
  <c r="D708" i="12"/>
  <c r="C708" i="12"/>
  <c r="B708" i="12"/>
  <c r="A708" i="12"/>
  <c r="BE707" i="12"/>
  <c r="BD707" i="12"/>
  <c r="BC707" i="12"/>
  <c r="BB707" i="12"/>
  <c r="AX707" i="12"/>
  <c r="AV707" i="12"/>
  <c r="AU707" i="12"/>
  <c r="AS707" i="12"/>
  <c r="AQ707" i="12"/>
  <c r="AP707" i="12"/>
  <c r="AO707" i="12"/>
  <c r="AN707" i="12"/>
  <c r="AM707" i="12"/>
  <c r="AL707" i="12"/>
  <c r="AK707" i="12"/>
  <c r="AH707" i="12"/>
  <c r="AG707" i="12"/>
  <c r="AD707" i="12"/>
  <c r="AC707" i="12"/>
  <c r="AA707" i="12"/>
  <c r="Z707" i="12"/>
  <c r="Y707" i="12"/>
  <c r="X707" i="12"/>
  <c r="W707" i="12"/>
  <c r="V707" i="12"/>
  <c r="U707" i="12"/>
  <c r="T707" i="12"/>
  <c r="S707" i="12"/>
  <c r="R707" i="12"/>
  <c r="Q707" i="12"/>
  <c r="P707" i="12"/>
  <c r="M707" i="12"/>
  <c r="L707" i="12"/>
  <c r="K707" i="12"/>
  <c r="J707" i="12"/>
  <c r="G707" i="12"/>
  <c r="F707" i="12"/>
  <c r="E707" i="12"/>
  <c r="D707" i="12"/>
  <c r="C707" i="12"/>
  <c r="B707" i="12"/>
  <c r="A707" i="12"/>
  <c r="BE706" i="12"/>
  <c r="BD706" i="12"/>
  <c r="BC706" i="12"/>
  <c r="BB706" i="12"/>
  <c r="AX706" i="12"/>
  <c r="AV706" i="12"/>
  <c r="AU706" i="12"/>
  <c r="AS706" i="12"/>
  <c r="AQ706" i="12"/>
  <c r="AP706" i="12"/>
  <c r="AO706" i="12"/>
  <c r="AN706" i="12"/>
  <c r="AM706" i="12"/>
  <c r="AL706" i="12"/>
  <c r="AK706" i="12"/>
  <c r="AH706" i="12"/>
  <c r="AG706" i="12"/>
  <c r="AD706" i="12"/>
  <c r="AC706" i="12"/>
  <c r="AA706" i="12"/>
  <c r="Z706" i="12"/>
  <c r="Y706" i="12"/>
  <c r="X706" i="12"/>
  <c r="W706" i="12"/>
  <c r="V706" i="12"/>
  <c r="U706" i="12"/>
  <c r="T706" i="12"/>
  <c r="S706" i="12"/>
  <c r="R706" i="12"/>
  <c r="Q706" i="12"/>
  <c r="P706" i="12"/>
  <c r="M706" i="12"/>
  <c r="L706" i="12"/>
  <c r="K706" i="12"/>
  <c r="J706" i="12"/>
  <c r="G706" i="12"/>
  <c r="F706" i="12"/>
  <c r="E706" i="12"/>
  <c r="D706" i="12"/>
  <c r="C706" i="12"/>
  <c r="B706" i="12"/>
  <c r="A706" i="12"/>
  <c r="BE705" i="12"/>
  <c r="BD705" i="12"/>
  <c r="BC705" i="12"/>
  <c r="BB705" i="12"/>
  <c r="AX705" i="12"/>
  <c r="AV705" i="12"/>
  <c r="AU705" i="12"/>
  <c r="AS705" i="12"/>
  <c r="AQ705" i="12"/>
  <c r="AP705" i="12"/>
  <c r="AO705" i="12"/>
  <c r="AN705" i="12"/>
  <c r="AM705" i="12"/>
  <c r="AL705" i="12"/>
  <c r="AK705" i="12"/>
  <c r="AJ705" i="12"/>
  <c r="AI705" i="12"/>
  <c r="AH705" i="12"/>
  <c r="AG705" i="12"/>
  <c r="AD705" i="12"/>
  <c r="AC705" i="12"/>
  <c r="AA705" i="12"/>
  <c r="Z705" i="12"/>
  <c r="Y705" i="12"/>
  <c r="X705" i="12"/>
  <c r="W705" i="12"/>
  <c r="V705" i="12"/>
  <c r="U705" i="12"/>
  <c r="T705" i="12"/>
  <c r="S705" i="12"/>
  <c r="R705" i="12"/>
  <c r="Q705" i="12"/>
  <c r="P705" i="12"/>
  <c r="M705" i="12"/>
  <c r="L705" i="12"/>
  <c r="K705" i="12"/>
  <c r="J705" i="12"/>
  <c r="G705" i="12"/>
  <c r="F705" i="12"/>
  <c r="E705" i="12"/>
  <c r="D705" i="12"/>
  <c r="C705" i="12"/>
  <c r="B705" i="12"/>
  <c r="A705" i="12"/>
  <c r="BE704" i="12"/>
  <c r="BD704" i="12"/>
  <c r="BC704" i="12"/>
  <c r="BB704" i="12"/>
  <c r="AX704" i="12"/>
  <c r="AV704" i="12"/>
  <c r="AU704" i="12"/>
  <c r="AS704" i="12"/>
  <c r="AQ704" i="12"/>
  <c r="AP704" i="12"/>
  <c r="AO704" i="12"/>
  <c r="AN704" i="12"/>
  <c r="AM704" i="12"/>
  <c r="AL704" i="12"/>
  <c r="AK704" i="12"/>
  <c r="AH704" i="12"/>
  <c r="AG704" i="12"/>
  <c r="AD704" i="12"/>
  <c r="AC704" i="12"/>
  <c r="AA704" i="12"/>
  <c r="Z704" i="12"/>
  <c r="Y704" i="12"/>
  <c r="X704" i="12"/>
  <c r="W704" i="12"/>
  <c r="V704" i="12"/>
  <c r="U704" i="12"/>
  <c r="T704" i="12"/>
  <c r="S704" i="12"/>
  <c r="R704" i="12"/>
  <c r="Q704" i="12"/>
  <c r="P704" i="12"/>
  <c r="M704" i="12"/>
  <c r="L704" i="12"/>
  <c r="K704" i="12"/>
  <c r="J704" i="12"/>
  <c r="G704" i="12"/>
  <c r="F704" i="12"/>
  <c r="E704" i="12"/>
  <c r="D704" i="12"/>
  <c r="C704" i="12"/>
  <c r="B704" i="12"/>
  <c r="A704" i="12"/>
  <c r="BE703" i="12"/>
  <c r="BD703" i="12"/>
  <c r="BC703" i="12"/>
  <c r="BB703" i="12"/>
  <c r="AX703" i="12"/>
  <c r="AV703" i="12"/>
  <c r="AU703" i="12"/>
  <c r="AS703" i="12"/>
  <c r="AQ703" i="12"/>
  <c r="AP703" i="12"/>
  <c r="AO703" i="12"/>
  <c r="AN703" i="12"/>
  <c r="AM703" i="12"/>
  <c r="AL703" i="12"/>
  <c r="AK703" i="12"/>
  <c r="AJ703" i="12"/>
  <c r="AI703" i="12"/>
  <c r="AH703" i="12"/>
  <c r="AG703" i="12"/>
  <c r="AD703" i="12"/>
  <c r="AC703" i="12"/>
  <c r="AA703" i="12"/>
  <c r="Z703" i="12"/>
  <c r="Y703" i="12"/>
  <c r="X703" i="12"/>
  <c r="W703" i="12"/>
  <c r="V703" i="12"/>
  <c r="U703" i="12"/>
  <c r="T703" i="12"/>
  <c r="S703" i="12"/>
  <c r="R703" i="12"/>
  <c r="Q703" i="12"/>
  <c r="P703" i="12"/>
  <c r="O703" i="12"/>
  <c r="N703" i="12"/>
  <c r="M703" i="12"/>
  <c r="L703" i="12"/>
  <c r="K703" i="12"/>
  <c r="J703" i="12"/>
  <c r="I703" i="12"/>
  <c r="G703" i="12"/>
  <c r="F703" i="12"/>
  <c r="E703" i="12"/>
  <c r="D703" i="12"/>
  <c r="C703" i="12"/>
  <c r="B703" i="12"/>
  <c r="A703" i="12"/>
  <c r="BE702" i="12"/>
  <c r="BD702" i="12"/>
  <c r="BC702" i="12"/>
  <c r="BB702" i="12"/>
  <c r="AX702" i="12"/>
  <c r="AV702" i="12"/>
  <c r="AU702" i="12"/>
  <c r="AS702" i="12"/>
  <c r="AQ702" i="12"/>
  <c r="AP702" i="12"/>
  <c r="AO702" i="12"/>
  <c r="AN702" i="12"/>
  <c r="AM702" i="12"/>
  <c r="AL702" i="12"/>
  <c r="AK702" i="12"/>
  <c r="AH702" i="12"/>
  <c r="AG702" i="12"/>
  <c r="AD702" i="12"/>
  <c r="AC702" i="12"/>
  <c r="AA702" i="12"/>
  <c r="Z702" i="12"/>
  <c r="Y702" i="12"/>
  <c r="X702" i="12"/>
  <c r="W702" i="12"/>
  <c r="V702" i="12"/>
  <c r="U702" i="12"/>
  <c r="T702" i="12"/>
  <c r="S702" i="12"/>
  <c r="R702" i="12"/>
  <c r="Q702" i="12"/>
  <c r="P702" i="12"/>
  <c r="O702" i="12"/>
  <c r="N702" i="12"/>
  <c r="M702" i="12"/>
  <c r="L702" i="12"/>
  <c r="K702" i="12"/>
  <c r="J702" i="12"/>
  <c r="I702" i="12"/>
  <c r="G702" i="12"/>
  <c r="F702" i="12"/>
  <c r="E702" i="12"/>
  <c r="D702" i="12"/>
  <c r="C702" i="12"/>
  <c r="B702" i="12"/>
  <c r="A702" i="12"/>
  <c r="BE701" i="12"/>
  <c r="BD701" i="12"/>
  <c r="BC701" i="12"/>
  <c r="BB701" i="12"/>
  <c r="AX701" i="12"/>
  <c r="AV701" i="12"/>
  <c r="AU701" i="12"/>
  <c r="AS701" i="12"/>
  <c r="AQ701" i="12"/>
  <c r="AP701" i="12"/>
  <c r="AO701" i="12"/>
  <c r="AN701" i="12"/>
  <c r="AM701" i="12"/>
  <c r="AL701" i="12"/>
  <c r="AK701" i="12"/>
  <c r="AH701" i="12"/>
  <c r="AG701" i="12"/>
  <c r="AD701" i="12"/>
  <c r="AC701" i="12"/>
  <c r="AA701" i="12"/>
  <c r="Z701" i="12"/>
  <c r="Y701" i="12"/>
  <c r="X701" i="12"/>
  <c r="W701" i="12"/>
  <c r="V701" i="12"/>
  <c r="U701" i="12"/>
  <c r="T701" i="12"/>
  <c r="S701" i="12"/>
  <c r="R701" i="12"/>
  <c r="Q701" i="12"/>
  <c r="P701" i="12"/>
  <c r="O701" i="12"/>
  <c r="N701" i="12"/>
  <c r="M701" i="12"/>
  <c r="L701" i="12"/>
  <c r="K701" i="12"/>
  <c r="J701" i="12"/>
  <c r="I701" i="12"/>
  <c r="G701" i="12"/>
  <c r="F701" i="12"/>
  <c r="E701" i="12"/>
  <c r="D701" i="12"/>
  <c r="C701" i="12"/>
  <c r="B701" i="12"/>
  <c r="A701" i="12"/>
  <c r="BE700" i="12"/>
  <c r="BD700" i="12"/>
  <c r="BC700" i="12"/>
  <c r="BB700" i="12"/>
  <c r="AX700" i="12"/>
  <c r="AV700" i="12"/>
  <c r="AU700" i="12"/>
  <c r="AS700" i="12"/>
  <c r="AQ700" i="12"/>
  <c r="AP700" i="12"/>
  <c r="AO700" i="12"/>
  <c r="AN700" i="12"/>
  <c r="AM700" i="12"/>
  <c r="AL700" i="12"/>
  <c r="AK700" i="12"/>
  <c r="AH700" i="12"/>
  <c r="AG700" i="12"/>
  <c r="AD700" i="12"/>
  <c r="AA700" i="12"/>
  <c r="Z700" i="12"/>
  <c r="Y700" i="12"/>
  <c r="X700" i="12"/>
  <c r="W700" i="12"/>
  <c r="V700" i="12"/>
  <c r="U700" i="12"/>
  <c r="T700" i="12"/>
  <c r="S700" i="12"/>
  <c r="R700" i="12"/>
  <c r="Q700" i="12"/>
  <c r="P700" i="12"/>
  <c r="O700" i="12"/>
  <c r="N700" i="12"/>
  <c r="M700" i="12"/>
  <c r="L700" i="12"/>
  <c r="K700" i="12"/>
  <c r="J700" i="12"/>
  <c r="I700" i="12"/>
  <c r="G700" i="12"/>
  <c r="F700" i="12"/>
  <c r="E700" i="12"/>
  <c r="D700" i="12"/>
  <c r="C700" i="12"/>
  <c r="B700" i="12"/>
  <c r="A700" i="12"/>
  <c r="BE699" i="12"/>
  <c r="BD699" i="12"/>
  <c r="BC699" i="12"/>
  <c r="BB699" i="12"/>
  <c r="AX699" i="12"/>
  <c r="AV699" i="12"/>
  <c r="AU699" i="12"/>
  <c r="AS699" i="12"/>
  <c r="AQ699" i="12"/>
  <c r="AP699" i="12"/>
  <c r="AO699" i="12"/>
  <c r="AN699" i="12"/>
  <c r="AM699" i="12"/>
  <c r="AL699" i="12"/>
  <c r="AK699" i="12"/>
  <c r="AH699" i="12"/>
  <c r="AG699" i="12"/>
  <c r="AD699" i="12"/>
  <c r="AC699" i="12"/>
  <c r="AA699" i="12"/>
  <c r="Z699" i="12"/>
  <c r="Y699" i="12"/>
  <c r="X699" i="12"/>
  <c r="W699" i="12"/>
  <c r="V699" i="12"/>
  <c r="U699" i="12"/>
  <c r="T699" i="12"/>
  <c r="S699" i="12"/>
  <c r="R699" i="12"/>
  <c r="Q699" i="12"/>
  <c r="P699" i="12"/>
  <c r="O699" i="12"/>
  <c r="N699" i="12"/>
  <c r="M699" i="12"/>
  <c r="L699" i="12"/>
  <c r="K699" i="12"/>
  <c r="J699" i="12"/>
  <c r="I699" i="12"/>
  <c r="G699" i="12"/>
  <c r="F699" i="12"/>
  <c r="E699" i="12"/>
  <c r="D699" i="12"/>
  <c r="C699" i="12"/>
  <c r="B699" i="12"/>
  <c r="A699" i="12"/>
  <c r="BE698" i="12"/>
  <c r="BD698" i="12"/>
  <c r="BC698" i="12"/>
  <c r="BB698" i="12"/>
  <c r="AX698" i="12"/>
  <c r="AV698" i="12"/>
  <c r="AU698" i="12"/>
  <c r="AS698" i="12"/>
  <c r="AQ698" i="12"/>
  <c r="AP698" i="12"/>
  <c r="AO698" i="12"/>
  <c r="AN698" i="12"/>
  <c r="AM698" i="12"/>
  <c r="AL698" i="12"/>
  <c r="AK698" i="12"/>
  <c r="AH698" i="12"/>
  <c r="AG698" i="12"/>
  <c r="AD698" i="12"/>
  <c r="AC698" i="12"/>
  <c r="AA698" i="12"/>
  <c r="Z698" i="12"/>
  <c r="Y698" i="12"/>
  <c r="X698" i="12"/>
  <c r="W698" i="12"/>
  <c r="V698" i="12"/>
  <c r="U698" i="12"/>
  <c r="T698" i="12"/>
  <c r="S698" i="12"/>
  <c r="R698" i="12"/>
  <c r="Q698" i="12"/>
  <c r="P698" i="12"/>
  <c r="O698" i="12"/>
  <c r="N698" i="12"/>
  <c r="M698" i="12"/>
  <c r="L698" i="12"/>
  <c r="K698" i="12"/>
  <c r="J698" i="12"/>
  <c r="I698" i="12"/>
  <c r="G698" i="12"/>
  <c r="F698" i="12"/>
  <c r="E698" i="12"/>
  <c r="D698" i="12"/>
  <c r="C698" i="12"/>
  <c r="B698" i="12"/>
  <c r="A698" i="12"/>
  <c r="BE697" i="12"/>
  <c r="BD697" i="12"/>
  <c r="BC697" i="12"/>
  <c r="BB697" i="12"/>
  <c r="AX697" i="12"/>
  <c r="AV697" i="12"/>
  <c r="AU697" i="12"/>
  <c r="AS697" i="12"/>
  <c r="AQ697" i="12"/>
  <c r="AP697" i="12"/>
  <c r="AO697" i="12"/>
  <c r="AN697" i="12"/>
  <c r="AM697" i="12"/>
  <c r="AL697" i="12"/>
  <c r="AK697" i="12"/>
  <c r="AH697" i="12"/>
  <c r="AG697" i="12"/>
  <c r="AD697" i="12"/>
  <c r="AC697" i="12"/>
  <c r="AA697" i="12"/>
  <c r="Z697" i="12"/>
  <c r="Y697" i="12"/>
  <c r="X697" i="12"/>
  <c r="W697" i="12"/>
  <c r="V697" i="12"/>
  <c r="U697" i="12"/>
  <c r="T697" i="12"/>
  <c r="S697" i="12"/>
  <c r="R697" i="12"/>
  <c r="Q697" i="12"/>
  <c r="P697" i="12"/>
  <c r="O697" i="12"/>
  <c r="N697" i="12"/>
  <c r="M697" i="12"/>
  <c r="L697" i="12"/>
  <c r="K697" i="12"/>
  <c r="J697" i="12"/>
  <c r="I697" i="12"/>
  <c r="G697" i="12"/>
  <c r="F697" i="12"/>
  <c r="E697" i="12"/>
  <c r="D697" i="12"/>
  <c r="C697" i="12"/>
  <c r="B697" i="12"/>
  <c r="A697" i="12"/>
  <c r="BD696" i="12"/>
  <c r="BC696" i="12"/>
  <c r="BA696" i="12"/>
  <c r="AX696" i="12"/>
  <c r="AV696" i="12"/>
  <c r="AU696" i="12"/>
  <c r="AP696" i="12"/>
  <c r="AO696" i="12"/>
  <c r="AN696" i="12"/>
  <c r="AM696" i="12"/>
  <c r="AL696" i="12"/>
  <c r="AK696" i="12"/>
  <c r="AH696" i="12"/>
  <c r="AG696" i="12"/>
  <c r="AD696" i="12"/>
  <c r="AC696" i="12"/>
  <c r="AA696" i="12"/>
  <c r="Z696" i="12"/>
  <c r="Y696" i="12"/>
  <c r="X696" i="12"/>
  <c r="W696" i="12"/>
  <c r="V696" i="12"/>
  <c r="U696" i="12"/>
  <c r="T696" i="12"/>
  <c r="S696" i="12"/>
  <c r="Q696" i="12"/>
  <c r="M696" i="12"/>
  <c r="L696" i="12"/>
  <c r="K696" i="12"/>
  <c r="J696" i="12"/>
  <c r="I696" i="12"/>
  <c r="G696" i="12"/>
  <c r="F696" i="12"/>
  <c r="E696" i="12"/>
  <c r="D696" i="12"/>
  <c r="C696" i="12"/>
  <c r="B696" i="12"/>
  <c r="A696" i="12"/>
  <c r="BE695" i="12"/>
  <c r="BD695" i="12"/>
  <c r="BC695" i="12"/>
  <c r="BB695" i="12"/>
  <c r="AX695" i="12"/>
  <c r="AV695" i="12"/>
  <c r="AU695" i="12"/>
  <c r="AS695" i="12"/>
  <c r="AQ695" i="12"/>
  <c r="AP695" i="12"/>
  <c r="AO695" i="12"/>
  <c r="AN695" i="12"/>
  <c r="AM695" i="12"/>
  <c r="AL695" i="12"/>
  <c r="AK695" i="12"/>
  <c r="AH695" i="12"/>
  <c r="AG695" i="12"/>
  <c r="AD695" i="12"/>
  <c r="AA695" i="12"/>
  <c r="Z695" i="12"/>
  <c r="Y695" i="12"/>
  <c r="X695" i="12"/>
  <c r="W695" i="12"/>
  <c r="V695" i="12"/>
  <c r="U695" i="12"/>
  <c r="T695" i="12"/>
  <c r="S695" i="12"/>
  <c r="R695" i="12"/>
  <c r="Q695" i="12"/>
  <c r="P695" i="12"/>
  <c r="O695" i="12"/>
  <c r="N695" i="12"/>
  <c r="M695" i="12"/>
  <c r="L695" i="12"/>
  <c r="K695" i="12"/>
  <c r="J695" i="12"/>
  <c r="I695" i="12"/>
  <c r="G695" i="12"/>
  <c r="F695" i="12"/>
  <c r="E695" i="12"/>
  <c r="D695" i="12"/>
  <c r="C695" i="12"/>
  <c r="B695" i="12"/>
  <c r="A695" i="12"/>
  <c r="BE694" i="12"/>
  <c r="BD694" i="12"/>
  <c r="BC694" i="12"/>
  <c r="BB694" i="12"/>
  <c r="AX694" i="12"/>
  <c r="AU694" i="12"/>
  <c r="AS694" i="12"/>
  <c r="AQ694" i="12"/>
  <c r="AP694" i="12"/>
  <c r="AO694" i="12"/>
  <c r="AN694" i="12"/>
  <c r="AM694" i="12"/>
  <c r="AL694" i="12"/>
  <c r="AK694" i="12"/>
  <c r="AH694" i="12"/>
  <c r="AG694" i="12"/>
  <c r="AD694" i="12"/>
  <c r="AC694" i="12"/>
  <c r="AA694" i="12"/>
  <c r="Z694" i="12"/>
  <c r="Y694" i="12"/>
  <c r="X694" i="12"/>
  <c r="W694" i="12"/>
  <c r="V694" i="12"/>
  <c r="U694" i="12"/>
  <c r="T694" i="12"/>
  <c r="S694" i="12"/>
  <c r="R694" i="12"/>
  <c r="Q694" i="12"/>
  <c r="P694" i="12"/>
  <c r="O694" i="12"/>
  <c r="N694" i="12"/>
  <c r="M694" i="12"/>
  <c r="L694" i="12"/>
  <c r="K694" i="12"/>
  <c r="J694" i="12"/>
  <c r="I694" i="12"/>
  <c r="G694" i="12"/>
  <c r="F694" i="12"/>
  <c r="E694" i="12"/>
  <c r="D694" i="12"/>
  <c r="C694" i="12"/>
  <c r="B694" i="12"/>
  <c r="A694" i="12"/>
  <c r="BE693" i="12"/>
  <c r="BD693" i="12"/>
  <c r="BC693" i="12"/>
  <c r="BB693" i="12"/>
  <c r="AX693" i="12"/>
  <c r="AV693" i="12"/>
  <c r="AU693" i="12"/>
  <c r="AS693" i="12"/>
  <c r="AQ693" i="12"/>
  <c r="AP693" i="12"/>
  <c r="AO693" i="12"/>
  <c r="AN693" i="12"/>
  <c r="AM693" i="12"/>
  <c r="AL693" i="12"/>
  <c r="AK693" i="12"/>
  <c r="AH693" i="12"/>
  <c r="AG693" i="12"/>
  <c r="AD693" i="12"/>
  <c r="AC693" i="12"/>
  <c r="AA693" i="12"/>
  <c r="Z693" i="12"/>
  <c r="Y693" i="12"/>
  <c r="X693" i="12"/>
  <c r="W693" i="12"/>
  <c r="V693" i="12"/>
  <c r="U693" i="12"/>
  <c r="T693" i="12"/>
  <c r="S693" i="12"/>
  <c r="R693" i="12"/>
  <c r="Q693" i="12"/>
  <c r="P693" i="12"/>
  <c r="O693" i="12"/>
  <c r="N693" i="12"/>
  <c r="M693" i="12"/>
  <c r="L693" i="12"/>
  <c r="K693" i="12"/>
  <c r="J693" i="12"/>
  <c r="I693" i="12"/>
  <c r="G693" i="12"/>
  <c r="F693" i="12"/>
  <c r="E693" i="12"/>
  <c r="D693" i="12"/>
  <c r="C693" i="12"/>
  <c r="B693" i="12"/>
  <c r="A693" i="12"/>
  <c r="BE692" i="12"/>
  <c r="BD692" i="12"/>
  <c r="BC692" i="12"/>
  <c r="BB692" i="12"/>
  <c r="AX692" i="12"/>
  <c r="AV692" i="12"/>
  <c r="AU692" i="12"/>
  <c r="AS692" i="12"/>
  <c r="AQ692" i="12"/>
  <c r="AP692" i="12"/>
  <c r="AO692" i="12"/>
  <c r="AN692" i="12"/>
  <c r="AM692" i="12"/>
  <c r="AL692" i="12"/>
  <c r="AK692" i="12"/>
  <c r="AH692" i="12"/>
  <c r="AG692" i="12"/>
  <c r="AD692" i="12"/>
  <c r="AC692" i="12"/>
  <c r="AA692" i="12"/>
  <c r="Z692" i="12"/>
  <c r="Y692" i="12"/>
  <c r="X692" i="12"/>
  <c r="W692" i="12"/>
  <c r="V692" i="12"/>
  <c r="U692" i="12"/>
  <c r="T692" i="12"/>
  <c r="S692" i="12"/>
  <c r="R692" i="12"/>
  <c r="Q692" i="12"/>
  <c r="P692" i="12"/>
  <c r="O692" i="12"/>
  <c r="N692" i="12"/>
  <c r="M692" i="12"/>
  <c r="L692" i="12"/>
  <c r="K692" i="12"/>
  <c r="J692" i="12"/>
  <c r="I692" i="12"/>
  <c r="G692" i="12"/>
  <c r="F692" i="12"/>
  <c r="E692" i="12"/>
  <c r="D692" i="12"/>
  <c r="C692" i="12"/>
  <c r="B692" i="12"/>
  <c r="A692" i="12"/>
  <c r="BE691" i="12"/>
  <c r="BD691" i="12"/>
  <c r="BC691" i="12"/>
  <c r="BB691" i="12"/>
  <c r="AX691" i="12"/>
  <c r="AV691" i="12"/>
  <c r="AU691" i="12"/>
  <c r="AS691" i="12"/>
  <c r="AQ691" i="12"/>
  <c r="AP691" i="12"/>
  <c r="AO691" i="12"/>
  <c r="AN691" i="12"/>
  <c r="AM691" i="12"/>
  <c r="AL691" i="12"/>
  <c r="AK691" i="12"/>
  <c r="AH691" i="12"/>
  <c r="AG691" i="12"/>
  <c r="AD691" i="12"/>
  <c r="AA691" i="12"/>
  <c r="Z691" i="12"/>
  <c r="Y691" i="12"/>
  <c r="X691" i="12"/>
  <c r="W691" i="12"/>
  <c r="V691" i="12"/>
  <c r="U691" i="12"/>
  <c r="T691" i="12"/>
  <c r="S691" i="12"/>
  <c r="R691" i="12"/>
  <c r="Q691" i="12"/>
  <c r="P691" i="12"/>
  <c r="O691" i="12"/>
  <c r="N691" i="12"/>
  <c r="L691" i="12"/>
  <c r="K691" i="12"/>
  <c r="J691" i="12"/>
  <c r="I691" i="12"/>
  <c r="G691" i="12"/>
  <c r="F691" i="12"/>
  <c r="E691" i="12"/>
  <c r="D691" i="12"/>
  <c r="C691" i="12"/>
  <c r="B691" i="12"/>
  <c r="A691" i="12"/>
  <c r="BE690" i="12"/>
  <c r="BD690" i="12"/>
  <c r="BC690" i="12"/>
  <c r="BB690" i="12"/>
  <c r="AX690" i="12"/>
  <c r="AU690" i="12"/>
  <c r="AS690" i="12"/>
  <c r="AQ690" i="12"/>
  <c r="AN690" i="12"/>
  <c r="AL690" i="12"/>
  <c r="AK690" i="12"/>
  <c r="AH690" i="12"/>
  <c r="AG690" i="12"/>
  <c r="AD690" i="12"/>
  <c r="AA690" i="12"/>
  <c r="Z690" i="12"/>
  <c r="Y690" i="12"/>
  <c r="X690" i="12"/>
  <c r="W690" i="12"/>
  <c r="V690" i="12"/>
  <c r="U690" i="12"/>
  <c r="T690" i="12"/>
  <c r="S690" i="12"/>
  <c r="R690" i="12"/>
  <c r="Q690" i="12"/>
  <c r="P690" i="12"/>
  <c r="L690" i="12"/>
  <c r="K690" i="12"/>
  <c r="J690" i="12"/>
  <c r="I690" i="12"/>
  <c r="G690" i="12"/>
  <c r="F690" i="12"/>
  <c r="E690" i="12"/>
  <c r="D690" i="12"/>
  <c r="C690" i="12"/>
  <c r="B690" i="12"/>
  <c r="A690" i="12"/>
  <c r="BE689" i="12"/>
  <c r="BD689" i="12"/>
  <c r="BC689" i="12"/>
  <c r="BB689" i="12"/>
  <c r="AX689" i="12"/>
  <c r="AU689" i="12"/>
  <c r="AS689" i="12"/>
  <c r="AQ689" i="12"/>
  <c r="AN689" i="12"/>
  <c r="AL689" i="12"/>
  <c r="AK689" i="12"/>
  <c r="AH689" i="12"/>
  <c r="AG689" i="12"/>
  <c r="AD689" i="12"/>
  <c r="AA689" i="12"/>
  <c r="Z689" i="12"/>
  <c r="Y689" i="12"/>
  <c r="X689" i="12"/>
  <c r="W689" i="12"/>
  <c r="V689" i="12"/>
  <c r="U689" i="12"/>
  <c r="T689" i="12"/>
  <c r="S689" i="12"/>
  <c r="R689" i="12"/>
  <c r="Q689" i="12"/>
  <c r="P689" i="12"/>
  <c r="M689" i="12"/>
  <c r="L689" i="12"/>
  <c r="K689" i="12"/>
  <c r="J689" i="12"/>
  <c r="I689" i="12"/>
  <c r="G689" i="12"/>
  <c r="F689" i="12"/>
  <c r="E689" i="12"/>
  <c r="D689" i="12"/>
  <c r="C689" i="12"/>
  <c r="B689" i="12"/>
  <c r="A689" i="12"/>
  <c r="BE688" i="12"/>
  <c r="BD688" i="12"/>
  <c r="BC688" i="12"/>
  <c r="BB688" i="12"/>
  <c r="AX688" i="12"/>
  <c r="AV688" i="12"/>
  <c r="AU688" i="12"/>
  <c r="AS688" i="12"/>
  <c r="AQ688" i="12"/>
  <c r="AN688" i="12"/>
  <c r="AL688" i="12"/>
  <c r="AK688" i="12"/>
  <c r="AH688" i="12"/>
  <c r="AG688" i="12"/>
  <c r="AD688" i="12"/>
  <c r="AA688" i="12"/>
  <c r="Z688" i="12"/>
  <c r="Y688" i="12"/>
  <c r="X688" i="12"/>
  <c r="W688" i="12"/>
  <c r="V688" i="12"/>
  <c r="U688" i="12"/>
  <c r="T688" i="12"/>
  <c r="S688" i="12"/>
  <c r="R688" i="12"/>
  <c r="Q688" i="12"/>
  <c r="P688" i="12"/>
  <c r="L688" i="12"/>
  <c r="K688" i="12"/>
  <c r="J688" i="12"/>
  <c r="I688" i="12"/>
  <c r="G688" i="12"/>
  <c r="F688" i="12"/>
  <c r="E688" i="12"/>
  <c r="D688" i="12"/>
  <c r="C688" i="12"/>
  <c r="B688" i="12"/>
  <c r="A688" i="12"/>
  <c r="BE687" i="12"/>
  <c r="BD687" i="12"/>
  <c r="BC687" i="12"/>
  <c r="BB687" i="12"/>
  <c r="AX687" i="12"/>
  <c r="AV687" i="12"/>
  <c r="AU687" i="12"/>
  <c r="AS687" i="12"/>
  <c r="AQ687" i="12"/>
  <c r="AN687" i="12"/>
  <c r="AL687" i="12"/>
  <c r="AK687" i="12"/>
  <c r="AH687" i="12"/>
  <c r="AG687" i="12"/>
  <c r="AD687" i="12"/>
  <c r="AA687" i="12"/>
  <c r="Z687" i="12"/>
  <c r="Y687" i="12"/>
  <c r="X687" i="12"/>
  <c r="W687" i="12"/>
  <c r="V687" i="12"/>
  <c r="U687" i="12"/>
  <c r="T687" i="12"/>
  <c r="S687" i="12"/>
  <c r="R687" i="12"/>
  <c r="Q687" i="12"/>
  <c r="P687" i="12"/>
  <c r="M687" i="12"/>
  <c r="L687" i="12"/>
  <c r="K687" i="12"/>
  <c r="J687" i="12"/>
  <c r="I687" i="12"/>
  <c r="G687" i="12"/>
  <c r="F687" i="12"/>
  <c r="E687" i="12"/>
  <c r="D687" i="12"/>
  <c r="C687" i="12"/>
  <c r="B687" i="12"/>
  <c r="A687" i="12"/>
  <c r="BE686" i="12"/>
  <c r="BD686" i="12"/>
  <c r="BC686" i="12"/>
  <c r="BB686" i="12"/>
  <c r="AX686" i="12"/>
  <c r="AU686" i="12"/>
  <c r="AS686" i="12"/>
  <c r="AQ686" i="12"/>
  <c r="AN686" i="12"/>
  <c r="AL686" i="12"/>
  <c r="AK686" i="12"/>
  <c r="AH686" i="12"/>
  <c r="AG686" i="12"/>
  <c r="AD686" i="12"/>
  <c r="AA686" i="12"/>
  <c r="Z686" i="12"/>
  <c r="Y686" i="12"/>
  <c r="X686" i="12"/>
  <c r="W686" i="12"/>
  <c r="V686" i="12"/>
  <c r="U686" i="12"/>
  <c r="T686" i="12"/>
  <c r="S686" i="12"/>
  <c r="R686" i="12"/>
  <c r="Q686" i="12"/>
  <c r="P686" i="12"/>
  <c r="L686" i="12"/>
  <c r="K686" i="12"/>
  <c r="J686" i="12"/>
  <c r="I686" i="12"/>
  <c r="G686" i="12"/>
  <c r="F686" i="12"/>
  <c r="E686" i="12"/>
  <c r="D686" i="12"/>
  <c r="C686" i="12"/>
  <c r="B686" i="12"/>
  <c r="A686" i="12"/>
  <c r="BE685" i="12"/>
  <c r="BD685" i="12"/>
  <c r="BC685" i="12"/>
  <c r="BB685" i="12"/>
  <c r="AX685" i="12"/>
  <c r="AU685" i="12"/>
  <c r="AS685" i="12"/>
  <c r="AQ685" i="12"/>
  <c r="AN685" i="12"/>
  <c r="AL685" i="12"/>
  <c r="AK685" i="12"/>
  <c r="AH685" i="12"/>
  <c r="AG685" i="12"/>
  <c r="AD685" i="12"/>
  <c r="AA685" i="12"/>
  <c r="Z685" i="12"/>
  <c r="Y685" i="12"/>
  <c r="X685" i="12"/>
  <c r="W685" i="12"/>
  <c r="V685" i="12"/>
  <c r="U685" i="12"/>
  <c r="T685" i="12"/>
  <c r="S685" i="12"/>
  <c r="R685" i="12"/>
  <c r="Q685" i="12"/>
  <c r="P685" i="12"/>
  <c r="L685" i="12"/>
  <c r="K685" i="12"/>
  <c r="J685" i="12"/>
  <c r="I685" i="12"/>
  <c r="G685" i="12"/>
  <c r="F685" i="12"/>
  <c r="E685" i="12"/>
  <c r="D685" i="12"/>
  <c r="C685" i="12"/>
  <c r="B685" i="12"/>
  <c r="A685" i="12"/>
  <c r="BE684" i="12"/>
  <c r="BD684" i="12"/>
  <c r="BC684" i="12"/>
  <c r="BB684" i="12"/>
  <c r="AX684" i="12"/>
  <c r="AU684" i="12"/>
  <c r="AS684" i="12"/>
  <c r="AQ684" i="12"/>
  <c r="AN684" i="12"/>
  <c r="AL684" i="12"/>
  <c r="AK684" i="12"/>
  <c r="AH684" i="12"/>
  <c r="AG684" i="12"/>
  <c r="AD684" i="12"/>
  <c r="AA684" i="12"/>
  <c r="Z684" i="12"/>
  <c r="Y684" i="12"/>
  <c r="X684" i="12"/>
  <c r="W684" i="12"/>
  <c r="V684" i="12"/>
  <c r="U684" i="12"/>
  <c r="T684" i="12"/>
  <c r="S684" i="12"/>
  <c r="R684" i="12"/>
  <c r="Q684" i="12"/>
  <c r="P684" i="12"/>
  <c r="L684" i="12"/>
  <c r="K684" i="12"/>
  <c r="J684" i="12"/>
  <c r="I684" i="12"/>
  <c r="G684" i="12"/>
  <c r="F684" i="12"/>
  <c r="E684" i="12"/>
  <c r="D684" i="12"/>
  <c r="C684" i="12"/>
  <c r="B684" i="12"/>
  <c r="A684" i="12"/>
  <c r="BE683" i="12"/>
  <c r="BD683" i="12"/>
  <c r="BC683" i="12"/>
  <c r="BB683" i="12"/>
  <c r="AX683" i="12"/>
  <c r="AU683" i="12"/>
  <c r="AS683" i="12"/>
  <c r="AQ683" i="12"/>
  <c r="AN683" i="12"/>
  <c r="AL683" i="12"/>
  <c r="AK683" i="12"/>
  <c r="AH683" i="12"/>
  <c r="AG683" i="12"/>
  <c r="AD683" i="12"/>
  <c r="AA683" i="12"/>
  <c r="Z683" i="12"/>
  <c r="Y683" i="12"/>
  <c r="X683" i="12"/>
  <c r="W683" i="12"/>
  <c r="V683" i="12"/>
  <c r="U683" i="12"/>
  <c r="T683" i="12"/>
  <c r="S683" i="12"/>
  <c r="R683" i="12"/>
  <c r="Q683" i="12"/>
  <c r="P683" i="12"/>
  <c r="L683" i="12"/>
  <c r="K683" i="12"/>
  <c r="J683" i="12"/>
  <c r="I683" i="12"/>
  <c r="G683" i="12"/>
  <c r="F683" i="12"/>
  <c r="E683" i="12"/>
  <c r="D683" i="12"/>
  <c r="C683" i="12"/>
  <c r="B683" i="12"/>
  <c r="A683" i="12"/>
  <c r="BE682" i="12"/>
  <c r="BD682" i="12"/>
  <c r="BC682" i="12"/>
  <c r="BB682" i="12"/>
  <c r="AX682" i="12"/>
  <c r="AU682" i="12"/>
  <c r="AS682" i="12"/>
  <c r="AQ682" i="12"/>
  <c r="AN682" i="12"/>
  <c r="AL682" i="12"/>
  <c r="AK682" i="12"/>
  <c r="AH682" i="12"/>
  <c r="AG682" i="12"/>
  <c r="AD682" i="12"/>
  <c r="AA682" i="12"/>
  <c r="Z682" i="12"/>
  <c r="Y682" i="12"/>
  <c r="X682" i="12"/>
  <c r="W682" i="12"/>
  <c r="V682" i="12"/>
  <c r="U682" i="12"/>
  <c r="T682" i="12"/>
  <c r="S682" i="12"/>
  <c r="R682" i="12"/>
  <c r="Q682" i="12"/>
  <c r="P682" i="12"/>
  <c r="L682" i="12"/>
  <c r="K682" i="12"/>
  <c r="J682" i="12"/>
  <c r="I682" i="12"/>
  <c r="G682" i="12"/>
  <c r="F682" i="12"/>
  <c r="E682" i="12"/>
  <c r="D682" i="12"/>
  <c r="C682" i="12"/>
  <c r="B682" i="12"/>
  <c r="A682" i="12"/>
  <c r="BE681" i="12"/>
  <c r="BD681" i="12"/>
  <c r="BC681" i="12"/>
  <c r="BB681" i="12"/>
  <c r="AX681" i="12"/>
  <c r="AU681" i="12"/>
  <c r="AS681" i="12"/>
  <c r="AQ681" i="12"/>
  <c r="AN681" i="12"/>
  <c r="AL681" i="12"/>
  <c r="AK681" i="12"/>
  <c r="AH681" i="12"/>
  <c r="AG681" i="12"/>
  <c r="AD681" i="12"/>
  <c r="AA681" i="12"/>
  <c r="Z681" i="12"/>
  <c r="Y681" i="12"/>
  <c r="X681" i="12"/>
  <c r="W681" i="12"/>
  <c r="V681" i="12"/>
  <c r="U681" i="12"/>
  <c r="T681" i="12"/>
  <c r="S681" i="12"/>
  <c r="R681" i="12"/>
  <c r="Q681" i="12"/>
  <c r="P681" i="12"/>
  <c r="M681" i="12"/>
  <c r="L681" i="12"/>
  <c r="K681" i="12"/>
  <c r="J681" i="12"/>
  <c r="I681" i="12"/>
  <c r="G681" i="12"/>
  <c r="F681" i="12"/>
  <c r="E681" i="12"/>
  <c r="D681" i="12"/>
  <c r="C681" i="12"/>
  <c r="B681" i="12"/>
  <c r="A681" i="12"/>
  <c r="BE680" i="12"/>
  <c r="BD680" i="12"/>
  <c r="BC680" i="12"/>
  <c r="BB680" i="12"/>
  <c r="AX680" i="12"/>
  <c r="AV680" i="12"/>
  <c r="AU680" i="12"/>
  <c r="AS680" i="12"/>
  <c r="AQ680" i="12"/>
  <c r="AN680" i="12"/>
  <c r="AL680" i="12"/>
  <c r="AK680" i="12"/>
  <c r="AH680" i="12"/>
  <c r="AG680" i="12"/>
  <c r="AD680" i="12"/>
  <c r="AA680" i="12"/>
  <c r="Z680" i="12"/>
  <c r="Y680" i="12"/>
  <c r="X680" i="12"/>
  <c r="W680" i="12"/>
  <c r="V680" i="12"/>
  <c r="U680" i="12"/>
  <c r="T680" i="12"/>
  <c r="S680" i="12"/>
  <c r="R680" i="12"/>
  <c r="Q680" i="12"/>
  <c r="P680" i="12"/>
  <c r="L680" i="12"/>
  <c r="K680" i="12"/>
  <c r="J680" i="12"/>
  <c r="I680" i="12"/>
  <c r="G680" i="12"/>
  <c r="F680" i="12"/>
  <c r="E680" i="12"/>
  <c r="D680" i="12"/>
  <c r="C680" i="12"/>
  <c r="B680" i="12"/>
  <c r="A680" i="12"/>
  <c r="BD679" i="12"/>
  <c r="BC679" i="12"/>
  <c r="BA679" i="12"/>
  <c r="AX679" i="12"/>
  <c r="AV679" i="12"/>
  <c r="AU679" i="12"/>
  <c r="AP679" i="12"/>
  <c r="AO679" i="12"/>
  <c r="AM679" i="12"/>
  <c r="AL679" i="12"/>
  <c r="AK679" i="12"/>
  <c r="AJ679" i="12"/>
  <c r="AI679" i="12"/>
  <c r="AH679" i="12"/>
  <c r="AG679" i="12"/>
  <c r="AC679" i="12"/>
  <c r="AA679" i="12"/>
  <c r="Z679" i="12"/>
  <c r="Y679" i="12"/>
  <c r="X679" i="12"/>
  <c r="W679" i="12"/>
  <c r="V679" i="12"/>
  <c r="U679" i="12"/>
  <c r="Q679" i="12"/>
  <c r="M679" i="12"/>
  <c r="L679" i="12"/>
  <c r="K679" i="12"/>
  <c r="J679" i="12"/>
  <c r="I679" i="12"/>
  <c r="G679" i="12"/>
  <c r="F679" i="12"/>
  <c r="E679" i="12"/>
  <c r="D679" i="12"/>
  <c r="C679" i="12"/>
  <c r="B679" i="12"/>
  <c r="A679" i="12"/>
  <c r="BD678" i="12"/>
  <c r="BC678" i="12"/>
  <c r="AX678" i="12"/>
  <c r="AV678" i="12"/>
  <c r="AU678" i="12"/>
  <c r="AR678" i="12"/>
  <c r="AP678" i="12"/>
  <c r="AM678" i="12"/>
  <c r="AL678" i="12"/>
  <c r="AK678" i="12"/>
  <c r="AH678" i="12"/>
  <c r="AG678" i="12"/>
  <c r="AA678" i="12"/>
  <c r="Z678" i="12"/>
  <c r="Y678" i="12"/>
  <c r="X678" i="12"/>
  <c r="W678" i="12"/>
  <c r="V678" i="12"/>
  <c r="U678" i="12"/>
  <c r="Q678" i="12"/>
  <c r="M678" i="12"/>
  <c r="L678" i="12"/>
  <c r="K678" i="12"/>
  <c r="J678" i="12"/>
  <c r="I678" i="12"/>
  <c r="H678" i="12"/>
  <c r="G678" i="12"/>
  <c r="F678" i="12"/>
  <c r="E678" i="12"/>
  <c r="D678" i="12"/>
  <c r="C678" i="12"/>
  <c r="B678" i="12"/>
  <c r="A678" i="12"/>
  <c r="BD677" i="12"/>
  <c r="BC677" i="12"/>
  <c r="AX677" i="12"/>
  <c r="AV677" i="12"/>
  <c r="AU677" i="12"/>
  <c r="AR677" i="12"/>
  <c r="AP677" i="12"/>
  <c r="AM677" i="12"/>
  <c r="AL677" i="12"/>
  <c r="AK677" i="12"/>
  <c r="AH677" i="12"/>
  <c r="AG677" i="12"/>
  <c r="AA677" i="12"/>
  <c r="Z677" i="12"/>
  <c r="X677" i="12"/>
  <c r="W677" i="12"/>
  <c r="V677" i="12"/>
  <c r="U677" i="12"/>
  <c r="Q677" i="12"/>
  <c r="M677" i="12"/>
  <c r="L677" i="12"/>
  <c r="K677" i="12"/>
  <c r="J677" i="12"/>
  <c r="I677" i="12"/>
  <c r="H677" i="12"/>
  <c r="G677" i="12"/>
  <c r="F677" i="12"/>
  <c r="E677" i="12"/>
  <c r="D677" i="12"/>
  <c r="C677" i="12"/>
  <c r="B677" i="12"/>
  <c r="A677" i="12"/>
  <c r="BD676" i="12"/>
  <c r="BC676" i="12"/>
  <c r="AX676" i="12"/>
  <c r="AV676" i="12"/>
  <c r="AU676" i="12"/>
  <c r="AR676" i="12"/>
  <c r="AP676" i="12"/>
  <c r="AM676" i="12"/>
  <c r="AL676" i="12"/>
  <c r="AK676" i="12"/>
  <c r="AH676" i="12"/>
  <c r="AG676" i="12"/>
  <c r="AA676" i="12"/>
  <c r="Z676" i="12"/>
  <c r="Y676" i="12"/>
  <c r="X676" i="12"/>
  <c r="W676" i="12"/>
  <c r="V676" i="12"/>
  <c r="U676" i="12"/>
  <c r="Q676" i="12"/>
  <c r="M676" i="12"/>
  <c r="L676" i="12"/>
  <c r="K676" i="12"/>
  <c r="J676" i="12"/>
  <c r="I676" i="12"/>
  <c r="H676" i="12"/>
  <c r="G676" i="12"/>
  <c r="F676" i="12"/>
  <c r="E676" i="12"/>
  <c r="D676" i="12"/>
  <c r="C676" i="12"/>
  <c r="B676" i="12"/>
  <c r="A676" i="12"/>
  <c r="BE675" i="12"/>
  <c r="BD675" i="12"/>
  <c r="BC675" i="12"/>
  <c r="BB675" i="12"/>
  <c r="AX675" i="12"/>
  <c r="AU675" i="12"/>
  <c r="AS675" i="12"/>
  <c r="AQ675" i="12"/>
  <c r="AP675" i="12"/>
  <c r="AO675" i="12"/>
  <c r="AN675" i="12"/>
  <c r="AM675" i="12"/>
  <c r="AL675" i="12"/>
  <c r="AK675" i="12"/>
  <c r="AH675" i="12"/>
  <c r="AG675" i="12"/>
  <c r="AD675" i="12"/>
  <c r="AC675" i="12"/>
  <c r="AA675" i="12"/>
  <c r="Z675" i="12"/>
  <c r="Y675" i="12"/>
  <c r="X675" i="12"/>
  <c r="W675" i="12"/>
  <c r="V675" i="12"/>
  <c r="U675" i="12"/>
  <c r="S675" i="12"/>
  <c r="R675" i="12"/>
  <c r="Q675" i="12"/>
  <c r="P675" i="12"/>
  <c r="O675" i="12"/>
  <c r="N675" i="12"/>
  <c r="L675" i="12"/>
  <c r="K675" i="12"/>
  <c r="J675" i="12"/>
  <c r="I675" i="12"/>
  <c r="G675" i="12"/>
  <c r="F675" i="12"/>
  <c r="E675" i="12"/>
  <c r="D675" i="12"/>
  <c r="C675" i="12"/>
  <c r="B675" i="12"/>
  <c r="A675" i="12"/>
  <c r="BD674" i="12"/>
  <c r="BC674" i="12"/>
  <c r="AX674" i="12"/>
  <c r="AU674" i="12"/>
  <c r="AP674" i="12"/>
  <c r="AO674" i="12"/>
  <c r="AN674" i="12"/>
  <c r="AL674" i="12"/>
  <c r="AK674" i="12"/>
  <c r="AH674" i="12"/>
  <c r="AG674" i="12"/>
  <c r="AD674" i="12"/>
  <c r="AC674" i="12"/>
  <c r="AA674" i="12"/>
  <c r="Z674" i="12"/>
  <c r="Y674" i="12"/>
  <c r="X674" i="12"/>
  <c r="W674" i="12"/>
  <c r="V674" i="12"/>
  <c r="U674" i="12"/>
  <c r="T674" i="12"/>
  <c r="S674" i="12"/>
  <c r="R674" i="12"/>
  <c r="Q674" i="12"/>
  <c r="M674" i="12"/>
  <c r="L674" i="12"/>
  <c r="K674" i="12"/>
  <c r="J674" i="12"/>
  <c r="I674" i="12"/>
  <c r="G674" i="12"/>
  <c r="F674" i="12"/>
  <c r="E674" i="12"/>
  <c r="D674" i="12"/>
  <c r="C674" i="12"/>
  <c r="B674" i="12"/>
  <c r="A674" i="12"/>
  <c r="BD673" i="12"/>
  <c r="BC673" i="12"/>
  <c r="AX673" i="12"/>
  <c r="AU673" i="12"/>
  <c r="AP673" i="12"/>
  <c r="AO673" i="12"/>
  <c r="AN673" i="12"/>
  <c r="AM673" i="12"/>
  <c r="AL673" i="12"/>
  <c r="AK673" i="12"/>
  <c r="AH673" i="12"/>
  <c r="AG673" i="12"/>
  <c r="AD673" i="12"/>
  <c r="AC673" i="12"/>
  <c r="AA673" i="12"/>
  <c r="Z673" i="12"/>
  <c r="Y673" i="12"/>
  <c r="X673" i="12"/>
  <c r="W673" i="12"/>
  <c r="V673" i="12"/>
  <c r="U673" i="12"/>
  <c r="T673" i="12"/>
  <c r="S673" i="12"/>
  <c r="Q673" i="12"/>
  <c r="P673" i="12"/>
  <c r="L673" i="12"/>
  <c r="K673" i="12"/>
  <c r="J673" i="12"/>
  <c r="I673" i="12"/>
  <c r="G673" i="12"/>
  <c r="F673" i="12"/>
  <c r="E673" i="12"/>
  <c r="D673" i="12"/>
  <c r="C673" i="12"/>
  <c r="B673" i="12"/>
  <c r="A673" i="12"/>
  <c r="BE672" i="12"/>
  <c r="BD672" i="12"/>
  <c r="BC672" i="12"/>
  <c r="BB672" i="12"/>
  <c r="AX672" i="12"/>
  <c r="AV672" i="12"/>
  <c r="AU672" i="12"/>
  <c r="AS672" i="12"/>
  <c r="AQ672" i="12"/>
  <c r="AP672" i="12"/>
  <c r="AO672" i="12"/>
  <c r="AN672" i="12"/>
  <c r="AM672" i="12"/>
  <c r="AL672" i="12"/>
  <c r="AK672" i="12"/>
  <c r="AH672" i="12"/>
  <c r="AG672" i="12"/>
  <c r="AD672" i="12"/>
  <c r="AC672" i="12"/>
  <c r="AA672" i="12"/>
  <c r="Z672" i="12"/>
  <c r="Y672" i="12"/>
  <c r="X672" i="12"/>
  <c r="W672" i="12"/>
  <c r="V672" i="12"/>
  <c r="U672" i="12"/>
  <c r="T672" i="12"/>
  <c r="S672" i="12"/>
  <c r="R672" i="12"/>
  <c r="Q672" i="12"/>
  <c r="P672" i="12"/>
  <c r="L672" i="12"/>
  <c r="K672" i="12"/>
  <c r="J672" i="12"/>
  <c r="I672" i="12"/>
  <c r="G672" i="12"/>
  <c r="F672" i="12"/>
  <c r="E672" i="12"/>
  <c r="D672" i="12"/>
  <c r="C672" i="12"/>
  <c r="B672" i="12"/>
  <c r="A672" i="12"/>
  <c r="BE671" i="12"/>
  <c r="BD671" i="12"/>
  <c r="BC671" i="12"/>
  <c r="BB671" i="12"/>
  <c r="AX671" i="12"/>
  <c r="AV671" i="12"/>
  <c r="AU671" i="12"/>
  <c r="AS671" i="12"/>
  <c r="AQ671" i="12"/>
  <c r="AP671" i="12"/>
  <c r="AO671" i="12"/>
  <c r="AN671" i="12"/>
  <c r="AL671" i="12"/>
  <c r="AK671" i="12"/>
  <c r="AJ671" i="12"/>
  <c r="AI671" i="12"/>
  <c r="AH671" i="12"/>
  <c r="AG671" i="12"/>
  <c r="AD671" i="12"/>
  <c r="AC671" i="12"/>
  <c r="AA671" i="12"/>
  <c r="Z671" i="12"/>
  <c r="Y671" i="12"/>
  <c r="X671" i="12"/>
  <c r="W671" i="12"/>
  <c r="V671" i="12"/>
  <c r="U671" i="12"/>
  <c r="T671" i="12"/>
  <c r="S671" i="12"/>
  <c r="R671" i="12"/>
  <c r="Q671" i="12"/>
  <c r="P671" i="12"/>
  <c r="L671" i="12"/>
  <c r="K671" i="12"/>
  <c r="J671" i="12"/>
  <c r="I671" i="12"/>
  <c r="G671" i="12"/>
  <c r="F671" i="12"/>
  <c r="E671" i="12"/>
  <c r="D671" i="12"/>
  <c r="C671" i="12"/>
  <c r="B671" i="12"/>
  <c r="A671" i="12"/>
  <c r="BE670" i="12"/>
  <c r="BD670" i="12"/>
  <c r="BC670" i="12"/>
  <c r="BB670" i="12"/>
  <c r="BA670" i="12"/>
  <c r="AY670" i="12"/>
  <c r="AX670" i="12"/>
  <c r="AV670" i="12"/>
  <c r="AU670" i="12"/>
  <c r="AT670" i="12"/>
  <c r="AS670" i="12"/>
  <c r="AQ670" i="12"/>
  <c r="AP670" i="12"/>
  <c r="AO670" i="12"/>
  <c r="AN670" i="12"/>
  <c r="AM670" i="12"/>
  <c r="AL670" i="12"/>
  <c r="AK670" i="12"/>
  <c r="AJ670" i="12"/>
  <c r="AI670" i="12"/>
  <c r="AH670" i="12"/>
  <c r="AG670" i="12"/>
  <c r="AD670" i="12"/>
  <c r="AC670" i="12"/>
  <c r="AA670" i="12"/>
  <c r="Z670" i="12"/>
  <c r="Y670" i="12"/>
  <c r="X670" i="12"/>
  <c r="W670" i="12"/>
  <c r="V670" i="12"/>
  <c r="U670" i="12"/>
  <c r="T670" i="12"/>
  <c r="S670" i="12"/>
  <c r="R670" i="12"/>
  <c r="Q670" i="12"/>
  <c r="P670" i="12"/>
  <c r="O670" i="12"/>
  <c r="N670" i="12"/>
  <c r="M670" i="12"/>
  <c r="L670" i="12"/>
  <c r="K670" i="12"/>
  <c r="J670" i="12"/>
  <c r="I670" i="12"/>
  <c r="G670" i="12"/>
  <c r="F670" i="12"/>
  <c r="E670" i="12"/>
  <c r="D670" i="12"/>
  <c r="C670" i="12"/>
  <c r="B670" i="12"/>
  <c r="A670" i="12"/>
  <c r="BD669" i="12"/>
  <c r="BC669" i="12"/>
  <c r="BA669" i="12"/>
  <c r="AX669" i="12"/>
  <c r="AV669" i="12"/>
  <c r="AU669" i="12"/>
  <c r="AT669" i="12"/>
  <c r="AP669" i="12"/>
  <c r="AO669" i="12"/>
  <c r="AM669" i="12"/>
  <c r="AL669" i="12"/>
  <c r="AK669" i="12"/>
  <c r="AH669" i="12"/>
  <c r="AG669" i="12"/>
  <c r="AD669" i="12"/>
  <c r="AC669" i="12"/>
  <c r="AA669" i="12"/>
  <c r="Z669" i="12"/>
  <c r="Y669" i="12"/>
  <c r="X669" i="12"/>
  <c r="W669" i="12"/>
  <c r="V669" i="12"/>
  <c r="U669" i="12"/>
  <c r="Q669" i="12"/>
  <c r="P669" i="12"/>
  <c r="M669" i="12"/>
  <c r="L669" i="12"/>
  <c r="K669" i="12"/>
  <c r="J669" i="12"/>
  <c r="I669" i="12"/>
  <c r="G669" i="12"/>
  <c r="F669" i="12"/>
  <c r="E669" i="12"/>
  <c r="D669" i="12"/>
  <c r="C669" i="12"/>
  <c r="B669" i="12"/>
  <c r="A669" i="12"/>
  <c r="BE668" i="12"/>
  <c r="BD668" i="12"/>
  <c r="BC668" i="12"/>
  <c r="BB668" i="12"/>
  <c r="BA668" i="12"/>
  <c r="AX668" i="12"/>
  <c r="AV668" i="12"/>
  <c r="AU668" i="12"/>
  <c r="AS668" i="12"/>
  <c r="AQ668" i="12"/>
  <c r="AP668" i="12"/>
  <c r="AN668" i="12"/>
  <c r="AM668" i="12"/>
  <c r="AL668" i="12"/>
  <c r="AK668" i="12"/>
  <c r="AH668" i="12"/>
  <c r="AG668" i="12"/>
  <c r="AD668" i="12"/>
  <c r="AC668" i="12"/>
  <c r="AA668" i="12"/>
  <c r="Z668" i="12"/>
  <c r="Y668" i="12"/>
  <c r="X668" i="12"/>
  <c r="W668" i="12"/>
  <c r="V668" i="12"/>
  <c r="U668" i="12"/>
  <c r="T668" i="12"/>
  <c r="S668" i="12"/>
  <c r="R668" i="12"/>
  <c r="Q668" i="12"/>
  <c r="P668" i="12"/>
  <c r="M668" i="12"/>
  <c r="L668" i="12"/>
  <c r="K668" i="12"/>
  <c r="J668" i="12"/>
  <c r="I668" i="12"/>
  <c r="G668" i="12"/>
  <c r="F668" i="12"/>
  <c r="E668" i="12"/>
  <c r="D668" i="12"/>
  <c r="C668" i="12"/>
  <c r="B668" i="12"/>
  <c r="A668" i="12"/>
  <c r="BD667" i="12"/>
  <c r="BC667" i="12"/>
  <c r="BA667" i="12"/>
  <c r="AX667" i="12"/>
  <c r="AV667" i="12"/>
  <c r="AU667" i="12"/>
  <c r="AP667" i="12"/>
  <c r="AN667" i="12"/>
  <c r="AL667" i="12"/>
  <c r="AK667" i="12"/>
  <c r="AH667" i="12"/>
  <c r="AG667" i="12"/>
  <c r="AA667" i="12"/>
  <c r="Z667" i="12"/>
  <c r="Y667" i="12"/>
  <c r="X667" i="12"/>
  <c r="W667" i="12"/>
  <c r="V667" i="12"/>
  <c r="U667" i="12"/>
  <c r="T667" i="12"/>
  <c r="S667" i="12"/>
  <c r="R667" i="12"/>
  <c r="Q667" i="12"/>
  <c r="P667" i="12"/>
  <c r="M667" i="12"/>
  <c r="L667" i="12"/>
  <c r="K667" i="12"/>
  <c r="J667" i="12"/>
  <c r="I667" i="12"/>
  <c r="G667" i="12"/>
  <c r="F667" i="12"/>
  <c r="E667" i="12"/>
  <c r="D667" i="12"/>
  <c r="C667" i="12"/>
  <c r="B667" i="12"/>
  <c r="A667" i="12"/>
  <c r="BD666" i="12"/>
  <c r="BC666" i="12"/>
  <c r="AX666" i="12"/>
  <c r="AV666" i="12"/>
  <c r="AU666" i="12"/>
  <c r="AS666" i="12"/>
  <c r="AP666" i="12"/>
  <c r="AN666" i="12"/>
  <c r="AL666" i="12"/>
  <c r="AK666" i="12"/>
  <c r="AJ666" i="12"/>
  <c r="AI666" i="12"/>
  <c r="AH666" i="12"/>
  <c r="AG666" i="12"/>
  <c r="AA666" i="12"/>
  <c r="Z666" i="12"/>
  <c r="Y666" i="12"/>
  <c r="X666" i="12"/>
  <c r="W666" i="12"/>
  <c r="V666" i="12"/>
  <c r="U666" i="12"/>
  <c r="T666" i="12"/>
  <c r="S666" i="12"/>
  <c r="R666" i="12"/>
  <c r="Q666" i="12"/>
  <c r="P666" i="12"/>
  <c r="M666" i="12"/>
  <c r="L666" i="12"/>
  <c r="K666" i="12"/>
  <c r="J666" i="12"/>
  <c r="I666" i="12"/>
  <c r="G666" i="12"/>
  <c r="F666" i="12"/>
  <c r="E666" i="12"/>
  <c r="D666" i="12"/>
  <c r="C666" i="12"/>
  <c r="B666" i="12"/>
  <c r="A666" i="12"/>
  <c r="BD665" i="12"/>
  <c r="BC665" i="12"/>
  <c r="BA665" i="12"/>
  <c r="AV665" i="12"/>
  <c r="AU665" i="12"/>
  <c r="AR665" i="12"/>
  <c r="AL665" i="12"/>
  <c r="AK665" i="12"/>
  <c r="AH665" i="12"/>
  <c r="AG665" i="12"/>
  <c r="AA665" i="12"/>
  <c r="Z665" i="12"/>
  <c r="Y665" i="12"/>
  <c r="X665" i="12"/>
  <c r="W665" i="12"/>
  <c r="V665" i="12"/>
  <c r="U665" i="12"/>
  <c r="M665" i="12"/>
  <c r="L665" i="12"/>
  <c r="K665" i="12"/>
  <c r="J665" i="12"/>
  <c r="I665" i="12"/>
  <c r="H665" i="12"/>
  <c r="G665" i="12"/>
  <c r="F665" i="12"/>
  <c r="E665" i="12"/>
  <c r="D665" i="12"/>
  <c r="C665" i="12"/>
  <c r="B665" i="12"/>
  <c r="A665" i="12"/>
  <c r="BD664" i="12"/>
  <c r="BC664" i="12"/>
  <c r="BA664" i="12"/>
  <c r="AX664" i="12"/>
  <c r="AV664" i="12"/>
  <c r="AU664" i="12"/>
  <c r="AP664" i="12"/>
  <c r="AO664" i="12"/>
  <c r="AN664" i="12"/>
  <c r="AM664" i="12"/>
  <c r="AL664" i="12"/>
  <c r="AK664" i="12"/>
  <c r="AH664" i="12"/>
  <c r="AG664" i="12"/>
  <c r="AD664" i="12"/>
  <c r="AB664" i="12"/>
  <c r="AA664" i="12"/>
  <c r="Z664" i="12"/>
  <c r="Y664" i="12"/>
  <c r="X664" i="12"/>
  <c r="W664" i="12"/>
  <c r="V664" i="12"/>
  <c r="U664" i="12"/>
  <c r="Q664" i="12"/>
  <c r="P664" i="12"/>
  <c r="M664" i="12"/>
  <c r="L664" i="12"/>
  <c r="K664" i="12"/>
  <c r="J664" i="12"/>
  <c r="I664" i="12"/>
  <c r="G664" i="12"/>
  <c r="F664" i="12"/>
  <c r="E664" i="12"/>
  <c r="D664" i="12"/>
  <c r="C664" i="12"/>
  <c r="B664" i="12"/>
  <c r="A664" i="12"/>
  <c r="BE663" i="12"/>
  <c r="BD663" i="12"/>
  <c r="BC663" i="12"/>
  <c r="BB663" i="12"/>
  <c r="BA663" i="12"/>
  <c r="AX663" i="12"/>
  <c r="AV663" i="12"/>
  <c r="AU663" i="12"/>
  <c r="AS663" i="12"/>
  <c r="AQ663" i="12"/>
  <c r="AP663" i="12"/>
  <c r="AO663" i="12"/>
  <c r="AN663" i="12"/>
  <c r="AM663" i="12"/>
  <c r="AL663" i="12"/>
  <c r="AH663" i="12"/>
  <c r="AG663" i="12"/>
  <c r="AD663" i="12"/>
  <c r="AC663" i="12"/>
  <c r="AB663" i="12"/>
  <c r="AA663" i="12"/>
  <c r="Z663" i="12"/>
  <c r="Y663" i="12"/>
  <c r="X663" i="12"/>
  <c r="W663" i="12"/>
  <c r="V663" i="12"/>
  <c r="U663" i="12"/>
  <c r="T663" i="12"/>
  <c r="S663" i="12"/>
  <c r="R663" i="12"/>
  <c r="Q663" i="12"/>
  <c r="P663" i="12"/>
  <c r="M663" i="12"/>
  <c r="L663" i="12"/>
  <c r="K663" i="12"/>
  <c r="J663" i="12"/>
  <c r="I663" i="12"/>
  <c r="G663" i="12"/>
  <c r="F663" i="12"/>
  <c r="E663" i="12"/>
  <c r="D663" i="12"/>
  <c r="C663" i="12"/>
  <c r="B663" i="12"/>
  <c r="A663" i="12"/>
  <c r="BE662" i="12"/>
  <c r="BD662" i="12"/>
  <c r="BC662" i="12"/>
  <c r="BB662" i="12"/>
  <c r="AX662" i="12"/>
  <c r="AU662" i="12"/>
  <c r="AS662" i="12"/>
  <c r="AQ662" i="12"/>
  <c r="AN662" i="12"/>
  <c r="AL662" i="12"/>
  <c r="AK662" i="12"/>
  <c r="AH662" i="12"/>
  <c r="AG662" i="12"/>
  <c r="AD662" i="12"/>
  <c r="AA662" i="12"/>
  <c r="Z662" i="12"/>
  <c r="Y662" i="12"/>
  <c r="X662" i="12"/>
  <c r="W662" i="12"/>
  <c r="V662" i="12"/>
  <c r="U662" i="12"/>
  <c r="T662" i="12"/>
  <c r="S662" i="12"/>
  <c r="R662" i="12"/>
  <c r="Q662" i="12"/>
  <c r="P662" i="12"/>
  <c r="L662" i="12"/>
  <c r="K662" i="12"/>
  <c r="J662" i="12"/>
  <c r="I662" i="12"/>
  <c r="G662" i="12"/>
  <c r="F662" i="12"/>
  <c r="E662" i="12"/>
  <c r="D662" i="12"/>
  <c r="C662" i="12"/>
  <c r="B662" i="12"/>
  <c r="A662" i="12"/>
  <c r="BE661" i="12"/>
  <c r="BD661" i="12"/>
  <c r="BC661" i="12"/>
  <c r="BB661" i="12"/>
  <c r="AX661" i="12"/>
  <c r="AV661" i="12"/>
  <c r="AU661" i="12"/>
  <c r="AS661" i="12"/>
  <c r="AQ661" i="12"/>
  <c r="AP661" i="12"/>
  <c r="AO661" i="12"/>
  <c r="AN661" i="12"/>
  <c r="AL661" i="12"/>
  <c r="AK661" i="12"/>
  <c r="AJ661" i="12"/>
  <c r="AI661" i="12"/>
  <c r="AH661" i="12"/>
  <c r="AG661" i="12"/>
  <c r="AD661" i="12"/>
  <c r="AC661" i="12"/>
  <c r="AA661" i="12"/>
  <c r="Z661" i="12"/>
  <c r="Y661" i="12"/>
  <c r="X661" i="12"/>
  <c r="W661" i="12"/>
  <c r="V661" i="12"/>
  <c r="U661" i="12"/>
  <c r="T661" i="12"/>
  <c r="S661" i="12"/>
  <c r="R661" i="12"/>
  <c r="Q661" i="12"/>
  <c r="P661" i="12"/>
  <c r="L661" i="12"/>
  <c r="K661" i="12"/>
  <c r="J661" i="12"/>
  <c r="I661" i="12"/>
  <c r="G661" i="12"/>
  <c r="F661" i="12"/>
  <c r="E661" i="12"/>
  <c r="D661" i="12"/>
  <c r="C661" i="12"/>
  <c r="B661" i="12"/>
  <c r="A661" i="12"/>
  <c r="BC660" i="12"/>
  <c r="BA660" i="12"/>
  <c r="AX660" i="12"/>
  <c r="AU660" i="12"/>
  <c r="AH660" i="12"/>
  <c r="AG660" i="12"/>
  <c r="T660" i="12"/>
  <c r="S660" i="12"/>
  <c r="R660" i="12"/>
  <c r="Q660" i="12"/>
  <c r="K660" i="12"/>
  <c r="J660" i="12"/>
  <c r="I660" i="12"/>
  <c r="G660" i="12"/>
  <c r="F660" i="12"/>
  <c r="E660" i="12"/>
  <c r="D660" i="12"/>
  <c r="C660" i="12"/>
  <c r="B660" i="12"/>
  <c r="A660" i="12"/>
  <c r="BE659" i="12"/>
  <c r="BD659" i="12"/>
  <c r="BC659" i="12"/>
  <c r="BB659" i="12"/>
  <c r="BA659" i="12"/>
  <c r="AX659" i="12"/>
  <c r="AU659" i="12"/>
  <c r="AT659" i="12"/>
  <c r="AS659" i="12"/>
  <c r="AQ659" i="12"/>
  <c r="AP659" i="12"/>
  <c r="AO659" i="12"/>
  <c r="AN659" i="12"/>
  <c r="AL659" i="12"/>
  <c r="AK659" i="12"/>
  <c r="AJ659" i="12"/>
  <c r="AI659" i="12"/>
  <c r="AH659" i="12"/>
  <c r="AG659" i="12"/>
  <c r="AD659" i="12"/>
  <c r="AC659" i="12"/>
  <c r="AA659" i="12"/>
  <c r="Z659" i="12"/>
  <c r="Y659" i="12"/>
  <c r="X659" i="12"/>
  <c r="W659" i="12"/>
  <c r="V659" i="12"/>
  <c r="U659" i="12"/>
  <c r="T659" i="12"/>
  <c r="S659" i="12"/>
  <c r="R659" i="12"/>
  <c r="Q659" i="12"/>
  <c r="P659" i="12"/>
  <c r="O659" i="12"/>
  <c r="N659" i="12"/>
  <c r="M659" i="12"/>
  <c r="L659" i="12"/>
  <c r="K659" i="12"/>
  <c r="J659" i="12"/>
  <c r="I659" i="12"/>
  <c r="G659" i="12"/>
  <c r="F659" i="12"/>
  <c r="E659" i="12"/>
  <c r="D659" i="12"/>
  <c r="C659" i="12"/>
  <c r="B659" i="12"/>
  <c r="A659" i="12"/>
  <c r="BE658" i="12"/>
  <c r="BD658" i="12"/>
  <c r="BC658" i="12"/>
  <c r="BB658" i="12"/>
  <c r="BA658" i="12"/>
  <c r="AX658" i="12"/>
  <c r="AV658" i="12"/>
  <c r="AU658" i="12"/>
  <c r="AT658" i="12"/>
  <c r="AS658" i="12"/>
  <c r="AQ658" i="12"/>
  <c r="AP658" i="12"/>
  <c r="AO658" i="12"/>
  <c r="AN658" i="12"/>
  <c r="AM658" i="12"/>
  <c r="AL658" i="12"/>
  <c r="AK658" i="12"/>
  <c r="AJ658" i="12"/>
  <c r="AI658" i="12"/>
  <c r="AH658" i="12"/>
  <c r="AG658" i="12"/>
  <c r="AD658" i="12"/>
  <c r="AC658" i="12"/>
  <c r="AB658" i="12"/>
  <c r="AA658" i="12"/>
  <c r="Z658" i="12"/>
  <c r="Y658" i="12"/>
  <c r="X658" i="12"/>
  <c r="W658" i="12"/>
  <c r="V658" i="12"/>
  <c r="U658" i="12"/>
  <c r="T658" i="12"/>
  <c r="S658" i="12"/>
  <c r="R658" i="12"/>
  <c r="Q658" i="12"/>
  <c r="P658" i="12"/>
  <c r="O658" i="12"/>
  <c r="N658" i="12"/>
  <c r="L658" i="12"/>
  <c r="K658" i="12"/>
  <c r="J658" i="12"/>
  <c r="I658" i="12"/>
  <c r="G658" i="12"/>
  <c r="F658" i="12"/>
  <c r="E658" i="12"/>
  <c r="D658" i="12"/>
  <c r="C658" i="12"/>
  <c r="B658" i="12"/>
  <c r="A658" i="12"/>
  <c r="BE657" i="12"/>
  <c r="BD657" i="12"/>
  <c r="BC657" i="12"/>
  <c r="BB657" i="12"/>
  <c r="BA657" i="12"/>
  <c r="AX657" i="12"/>
  <c r="AV657" i="12"/>
  <c r="AU657" i="12"/>
  <c r="AT657" i="12"/>
  <c r="AS657" i="12"/>
  <c r="AQ657" i="12"/>
  <c r="AP657" i="12"/>
  <c r="AO657" i="12"/>
  <c r="AN657" i="12"/>
  <c r="AM657" i="12"/>
  <c r="AL657" i="12"/>
  <c r="AK657" i="12"/>
  <c r="AJ657" i="12"/>
  <c r="AI657" i="12"/>
  <c r="AH657" i="12"/>
  <c r="AG657" i="12"/>
  <c r="AD657" i="12"/>
  <c r="AC657" i="12"/>
  <c r="AB657" i="12"/>
  <c r="AA657" i="12"/>
  <c r="Z657" i="12"/>
  <c r="Y657" i="12"/>
  <c r="X657" i="12"/>
  <c r="W657" i="12"/>
  <c r="V657" i="12"/>
  <c r="U657" i="12"/>
  <c r="T657" i="12"/>
  <c r="S657" i="12"/>
  <c r="R657" i="12"/>
  <c r="Q657" i="12"/>
  <c r="P657" i="12"/>
  <c r="L657" i="12"/>
  <c r="K657" i="12"/>
  <c r="J657" i="12"/>
  <c r="I657" i="12"/>
  <c r="G657" i="12"/>
  <c r="F657" i="12"/>
  <c r="E657" i="12"/>
  <c r="D657" i="12"/>
  <c r="C657" i="12"/>
  <c r="B657" i="12"/>
  <c r="A657" i="12"/>
  <c r="BE656" i="12"/>
  <c r="BD656" i="12"/>
  <c r="BC656" i="12"/>
  <c r="BB656" i="12"/>
  <c r="BA656" i="12"/>
  <c r="AX656" i="12"/>
  <c r="AV656" i="12"/>
  <c r="AU656" i="12"/>
  <c r="AT656" i="12"/>
  <c r="AS656" i="12"/>
  <c r="AQ656" i="12"/>
  <c r="AP656" i="12"/>
  <c r="AO656" i="12"/>
  <c r="AN656" i="12"/>
  <c r="AM656" i="12"/>
  <c r="AL656" i="12"/>
  <c r="AK656" i="12"/>
  <c r="AH656" i="12"/>
  <c r="AG656" i="12"/>
  <c r="AD656" i="12"/>
  <c r="AC656" i="12"/>
  <c r="AB656" i="12"/>
  <c r="AA656" i="12"/>
  <c r="Z656" i="12"/>
  <c r="Y656" i="12"/>
  <c r="X656" i="12"/>
  <c r="W656" i="12"/>
  <c r="V656" i="12"/>
  <c r="U656" i="12"/>
  <c r="T656" i="12"/>
  <c r="S656" i="12"/>
  <c r="R656" i="12"/>
  <c r="Q656" i="12"/>
  <c r="P656" i="12"/>
  <c r="O656" i="12"/>
  <c r="N656" i="12"/>
  <c r="L656" i="12"/>
  <c r="K656" i="12"/>
  <c r="J656" i="12"/>
  <c r="I656" i="12"/>
  <c r="G656" i="12"/>
  <c r="F656" i="12"/>
  <c r="E656" i="12"/>
  <c r="D656" i="12"/>
  <c r="C656" i="12"/>
  <c r="B656" i="12"/>
  <c r="A656" i="12"/>
  <c r="BE655" i="12"/>
  <c r="BD655" i="12"/>
  <c r="BC655" i="12"/>
  <c r="BB655" i="12"/>
  <c r="BA655" i="12"/>
  <c r="AX655" i="12"/>
  <c r="AV655" i="12"/>
  <c r="AU655" i="12"/>
  <c r="AT655" i="12"/>
  <c r="AS655" i="12"/>
  <c r="AQ655" i="12"/>
  <c r="AP655" i="12"/>
  <c r="AO655" i="12"/>
  <c r="AN655" i="12"/>
  <c r="AM655" i="12"/>
  <c r="AL655" i="12"/>
  <c r="AK655" i="12"/>
  <c r="AH655" i="12"/>
  <c r="AG655" i="12"/>
  <c r="AD655" i="12"/>
  <c r="AC655" i="12"/>
  <c r="AB655" i="12"/>
  <c r="AA655" i="12"/>
  <c r="Z655" i="12"/>
  <c r="Y655" i="12"/>
  <c r="X655" i="12"/>
  <c r="W655" i="12"/>
  <c r="V655" i="12"/>
  <c r="U655" i="12"/>
  <c r="T655" i="12"/>
  <c r="S655" i="12"/>
  <c r="R655" i="12"/>
  <c r="Q655" i="12"/>
  <c r="P655" i="12"/>
  <c r="L655" i="12"/>
  <c r="K655" i="12"/>
  <c r="J655" i="12"/>
  <c r="I655" i="12"/>
  <c r="G655" i="12"/>
  <c r="F655" i="12"/>
  <c r="E655" i="12"/>
  <c r="D655" i="12"/>
  <c r="C655" i="12"/>
  <c r="B655" i="12"/>
  <c r="A655" i="12"/>
  <c r="BE654" i="12"/>
  <c r="BD654" i="12"/>
  <c r="BC654" i="12"/>
  <c r="BB654" i="12"/>
  <c r="BA654" i="12"/>
  <c r="AX654" i="12"/>
  <c r="AV654" i="12"/>
  <c r="AU654" i="12"/>
  <c r="AS654" i="12"/>
  <c r="AQ654" i="12"/>
  <c r="AP654" i="12"/>
  <c r="AO654" i="12"/>
  <c r="AN654" i="12"/>
  <c r="AL654" i="12"/>
  <c r="AK654" i="12"/>
  <c r="AJ654" i="12"/>
  <c r="AI654" i="12"/>
  <c r="AH654" i="12"/>
  <c r="AG654" i="12"/>
  <c r="AD654" i="12"/>
  <c r="AC654" i="12"/>
  <c r="AB654" i="12"/>
  <c r="AA654" i="12"/>
  <c r="Z654" i="12"/>
  <c r="Y654" i="12"/>
  <c r="X654" i="12"/>
  <c r="W654" i="12"/>
  <c r="V654" i="12"/>
  <c r="U654" i="12"/>
  <c r="T654" i="12"/>
  <c r="S654" i="12"/>
  <c r="Q654" i="12"/>
  <c r="P654" i="12"/>
  <c r="O654" i="12"/>
  <c r="N654" i="12"/>
  <c r="M654" i="12"/>
  <c r="L654" i="12"/>
  <c r="K654" i="12"/>
  <c r="J654" i="12"/>
  <c r="I654" i="12"/>
  <c r="G654" i="12"/>
  <c r="F654" i="12"/>
  <c r="E654" i="12"/>
  <c r="D654" i="12"/>
  <c r="C654" i="12"/>
  <c r="B654" i="12"/>
  <c r="A654" i="12"/>
  <c r="BE653" i="12"/>
  <c r="BD653" i="12"/>
  <c r="BC653" i="12"/>
  <c r="BB653" i="12"/>
  <c r="AX653" i="12"/>
  <c r="AV653" i="12"/>
  <c r="AU653" i="12"/>
  <c r="AS653" i="12"/>
  <c r="AQ653" i="12"/>
  <c r="AP653" i="12"/>
  <c r="AO653" i="12"/>
  <c r="AN653" i="12"/>
  <c r="AL653" i="12"/>
  <c r="AK653" i="12"/>
  <c r="AJ653" i="12"/>
  <c r="AH653" i="12"/>
  <c r="AG653" i="12"/>
  <c r="AD653" i="12"/>
  <c r="AC653" i="12"/>
  <c r="AA653" i="12"/>
  <c r="Z653" i="12"/>
  <c r="Y653" i="12"/>
  <c r="X653" i="12"/>
  <c r="W653" i="12"/>
  <c r="V653" i="12"/>
  <c r="U653" i="12"/>
  <c r="T653" i="12"/>
  <c r="S653" i="12"/>
  <c r="R653" i="12"/>
  <c r="Q653" i="12"/>
  <c r="P653" i="12"/>
  <c r="O653" i="12"/>
  <c r="N653" i="12"/>
  <c r="L653" i="12"/>
  <c r="K653" i="12"/>
  <c r="J653" i="12"/>
  <c r="I653" i="12"/>
  <c r="G653" i="12"/>
  <c r="F653" i="12"/>
  <c r="E653" i="12"/>
  <c r="D653" i="12"/>
  <c r="C653" i="12"/>
  <c r="B653" i="12"/>
  <c r="A653" i="12"/>
  <c r="BE652" i="12"/>
  <c r="BD652" i="12"/>
  <c r="BC652" i="12"/>
  <c r="BB652" i="12"/>
  <c r="AX652" i="12"/>
  <c r="AV652" i="12"/>
  <c r="AU652" i="12"/>
  <c r="AS652" i="12"/>
  <c r="AQ652" i="12"/>
  <c r="AP652" i="12"/>
  <c r="AO652" i="12"/>
  <c r="AN652" i="12"/>
  <c r="AL652" i="12"/>
  <c r="AK652" i="12"/>
  <c r="AJ652" i="12"/>
  <c r="AI652" i="12"/>
  <c r="AH652" i="12"/>
  <c r="AG652" i="12"/>
  <c r="AD652" i="12"/>
  <c r="AC652" i="12"/>
  <c r="AA652" i="12"/>
  <c r="Z652" i="12"/>
  <c r="Y652" i="12"/>
  <c r="X652" i="12"/>
  <c r="W652" i="12"/>
  <c r="V652" i="12"/>
  <c r="U652" i="12"/>
  <c r="T652" i="12"/>
  <c r="S652" i="12"/>
  <c r="R652" i="12"/>
  <c r="Q652" i="12"/>
  <c r="P652" i="12"/>
  <c r="O652" i="12"/>
  <c r="N652" i="12"/>
  <c r="L652" i="12"/>
  <c r="K652" i="12"/>
  <c r="J652" i="12"/>
  <c r="I652" i="12"/>
  <c r="G652" i="12"/>
  <c r="F652" i="12"/>
  <c r="E652" i="12"/>
  <c r="D652" i="12"/>
  <c r="C652" i="12"/>
  <c r="B652" i="12"/>
  <c r="A652" i="12"/>
  <c r="BE651" i="12"/>
  <c r="BD651" i="12"/>
  <c r="BC651" i="12"/>
  <c r="BB651" i="12"/>
  <c r="AX651" i="12"/>
  <c r="AV651" i="12"/>
  <c r="AU651" i="12"/>
  <c r="AS651" i="12"/>
  <c r="AQ651" i="12"/>
  <c r="AP651" i="12"/>
  <c r="AO651" i="12"/>
  <c r="AN651" i="12"/>
  <c r="AM651" i="12"/>
  <c r="AL651" i="12"/>
  <c r="AK651" i="12"/>
  <c r="AH651" i="12"/>
  <c r="AG651" i="12"/>
  <c r="AD651" i="12"/>
  <c r="AC651" i="12"/>
  <c r="AA651" i="12"/>
  <c r="Z651" i="12"/>
  <c r="Y651" i="12"/>
  <c r="X651" i="12"/>
  <c r="W651" i="12"/>
  <c r="V651" i="12"/>
  <c r="U651" i="12"/>
  <c r="T651" i="12"/>
  <c r="S651" i="12"/>
  <c r="R651" i="12"/>
  <c r="Q651" i="12"/>
  <c r="P651" i="12"/>
  <c r="O651" i="12"/>
  <c r="N651" i="12"/>
  <c r="L651" i="12"/>
  <c r="K651" i="12"/>
  <c r="J651" i="12"/>
  <c r="I651" i="12"/>
  <c r="G651" i="12"/>
  <c r="F651" i="12"/>
  <c r="E651" i="12"/>
  <c r="D651" i="12"/>
  <c r="C651" i="12"/>
  <c r="B651" i="12"/>
  <c r="A651" i="12"/>
  <c r="BE650" i="12"/>
  <c r="BD650" i="12"/>
  <c r="BC650" i="12"/>
  <c r="BB650" i="12"/>
  <c r="AX650" i="12"/>
  <c r="AV650" i="12"/>
  <c r="AU650" i="12"/>
  <c r="AS650" i="12"/>
  <c r="AQ650" i="12"/>
  <c r="AP650" i="12"/>
  <c r="AO650" i="12"/>
  <c r="AN650" i="12"/>
  <c r="AL650" i="12"/>
  <c r="AK650" i="12"/>
  <c r="AJ650" i="12"/>
  <c r="AI650" i="12"/>
  <c r="AH650" i="12"/>
  <c r="AG650" i="12"/>
  <c r="AD650" i="12"/>
  <c r="AC650" i="12"/>
  <c r="AA650" i="12"/>
  <c r="Z650" i="12"/>
  <c r="Y650" i="12"/>
  <c r="X650" i="12"/>
  <c r="W650" i="12"/>
  <c r="V650" i="12"/>
  <c r="U650" i="12"/>
  <c r="T650" i="12"/>
  <c r="S650" i="12"/>
  <c r="R650" i="12"/>
  <c r="Q650" i="12"/>
  <c r="P650" i="12"/>
  <c r="O650" i="12"/>
  <c r="N650" i="12"/>
  <c r="M650" i="12"/>
  <c r="L650" i="12"/>
  <c r="K650" i="12"/>
  <c r="J650" i="12"/>
  <c r="I650" i="12"/>
  <c r="G650" i="12"/>
  <c r="F650" i="12"/>
  <c r="E650" i="12"/>
  <c r="D650" i="12"/>
  <c r="C650" i="12"/>
  <c r="B650" i="12"/>
  <c r="A650" i="12"/>
  <c r="BE649" i="12"/>
  <c r="BD649" i="12"/>
  <c r="BC649" i="12"/>
  <c r="BB649" i="12"/>
  <c r="AX649" i="12"/>
  <c r="AU649" i="12"/>
  <c r="AS649" i="12"/>
  <c r="AQ649" i="12"/>
  <c r="AN649" i="12"/>
  <c r="AL649" i="12"/>
  <c r="AK649" i="12"/>
  <c r="AH649" i="12"/>
  <c r="AG649" i="12"/>
  <c r="AD649" i="12"/>
  <c r="AA649" i="12"/>
  <c r="Z649" i="12"/>
  <c r="Y649" i="12"/>
  <c r="X649" i="12"/>
  <c r="W649" i="12"/>
  <c r="V649" i="12"/>
  <c r="U649" i="12"/>
  <c r="T649" i="12"/>
  <c r="S649" i="12"/>
  <c r="R649" i="12"/>
  <c r="Q649" i="12"/>
  <c r="P649" i="12"/>
  <c r="L649" i="12"/>
  <c r="K649" i="12"/>
  <c r="J649" i="12"/>
  <c r="G649" i="12"/>
  <c r="F649" i="12"/>
  <c r="E649" i="12"/>
  <c r="D649" i="12"/>
  <c r="C649" i="12"/>
  <c r="B649" i="12"/>
  <c r="A649" i="12"/>
  <c r="BE648" i="12"/>
  <c r="BD648" i="12"/>
  <c r="BC648" i="12"/>
  <c r="BB648" i="12"/>
  <c r="AX648" i="12"/>
  <c r="AU648" i="12"/>
  <c r="AS648" i="12"/>
  <c r="AQ648" i="12"/>
  <c r="AN648" i="12"/>
  <c r="AL648" i="12"/>
  <c r="AK648" i="12"/>
  <c r="AH648" i="12"/>
  <c r="AG648" i="12"/>
  <c r="AD648" i="12"/>
  <c r="AA648" i="12"/>
  <c r="Z648" i="12"/>
  <c r="Y648" i="12"/>
  <c r="X648" i="12"/>
  <c r="W648" i="12"/>
  <c r="V648" i="12"/>
  <c r="U648" i="12"/>
  <c r="T648" i="12"/>
  <c r="S648" i="12"/>
  <c r="R648" i="12"/>
  <c r="Q648" i="12"/>
  <c r="P648" i="12"/>
  <c r="L648" i="12"/>
  <c r="K648" i="12"/>
  <c r="J648" i="12"/>
  <c r="I648" i="12"/>
  <c r="G648" i="12"/>
  <c r="F648" i="12"/>
  <c r="E648" i="12"/>
  <c r="D648" i="12"/>
  <c r="C648" i="12"/>
  <c r="B648" i="12"/>
  <c r="A648" i="12"/>
  <c r="BE647" i="12"/>
  <c r="BD647" i="12"/>
  <c r="BC647" i="12"/>
  <c r="BB647" i="12"/>
  <c r="AX647" i="12"/>
  <c r="AU647" i="12"/>
  <c r="AS647" i="12"/>
  <c r="AQ647" i="12"/>
  <c r="AN647" i="12"/>
  <c r="AL647" i="12"/>
  <c r="AK647" i="12"/>
  <c r="AH647" i="12"/>
  <c r="AG647" i="12"/>
  <c r="AD647" i="12"/>
  <c r="AA647" i="12"/>
  <c r="Z647" i="12"/>
  <c r="Y647" i="12"/>
  <c r="X647" i="12"/>
  <c r="W647" i="12"/>
  <c r="V647" i="12"/>
  <c r="U647" i="12"/>
  <c r="T647" i="12"/>
  <c r="S647" i="12"/>
  <c r="R647" i="12"/>
  <c r="Q647" i="12"/>
  <c r="P647" i="12"/>
  <c r="M647" i="12"/>
  <c r="L647" i="12"/>
  <c r="K647" i="12"/>
  <c r="J647" i="12"/>
  <c r="G647" i="12"/>
  <c r="F647" i="12"/>
  <c r="E647" i="12"/>
  <c r="D647" i="12"/>
  <c r="C647" i="12"/>
  <c r="B647" i="12"/>
  <c r="A647" i="12"/>
  <c r="BE646" i="12"/>
  <c r="BD646" i="12"/>
  <c r="BC646" i="12"/>
  <c r="BB646" i="12"/>
  <c r="AX646" i="12"/>
  <c r="AU646" i="12"/>
  <c r="AS646" i="12"/>
  <c r="AQ646" i="12"/>
  <c r="AN646" i="12"/>
  <c r="AL646" i="12"/>
  <c r="AK646" i="12"/>
  <c r="AH646" i="12"/>
  <c r="AG646" i="12"/>
  <c r="AD646" i="12"/>
  <c r="AA646" i="12"/>
  <c r="Z646" i="12"/>
  <c r="Y646" i="12"/>
  <c r="X646" i="12"/>
  <c r="W646" i="12"/>
  <c r="V646" i="12"/>
  <c r="U646" i="12"/>
  <c r="T646" i="12"/>
  <c r="S646" i="12"/>
  <c r="R646" i="12"/>
  <c r="Q646" i="12"/>
  <c r="P646" i="12"/>
  <c r="L646" i="12"/>
  <c r="K646" i="12"/>
  <c r="J646" i="12"/>
  <c r="G646" i="12"/>
  <c r="F646" i="12"/>
  <c r="E646" i="12"/>
  <c r="D646" i="12"/>
  <c r="C646" i="12"/>
  <c r="B646" i="12"/>
  <c r="A646" i="12"/>
  <c r="BE645" i="12"/>
  <c r="BD645" i="12"/>
  <c r="BC645" i="12"/>
  <c r="BB645" i="12"/>
  <c r="AX645" i="12"/>
  <c r="AU645" i="12"/>
  <c r="AS645" i="12"/>
  <c r="AQ645" i="12"/>
  <c r="AN645" i="12"/>
  <c r="AL645" i="12"/>
  <c r="AK645" i="12"/>
  <c r="AJ645" i="12"/>
  <c r="AI645" i="12"/>
  <c r="AH645" i="12"/>
  <c r="AG645" i="12"/>
  <c r="AD645" i="12"/>
  <c r="AA645" i="12"/>
  <c r="Z645" i="12"/>
  <c r="Y645" i="12"/>
  <c r="X645" i="12"/>
  <c r="W645" i="12"/>
  <c r="V645" i="12"/>
  <c r="U645" i="12"/>
  <c r="T645" i="12"/>
  <c r="S645" i="12"/>
  <c r="R645" i="12"/>
  <c r="Q645" i="12"/>
  <c r="P645" i="12"/>
  <c r="L645" i="12"/>
  <c r="K645" i="12"/>
  <c r="J645" i="12"/>
  <c r="G645" i="12"/>
  <c r="F645" i="12"/>
  <c r="E645" i="12"/>
  <c r="D645" i="12"/>
  <c r="C645" i="12"/>
  <c r="B645" i="12"/>
  <c r="A645" i="12"/>
  <c r="BE644" i="12"/>
  <c r="BD644" i="12"/>
  <c r="BC644" i="12"/>
  <c r="BB644" i="12"/>
  <c r="AX644" i="12"/>
  <c r="AU644" i="12"/>
  <c r="AS644" i="12"/>
  <c r="AQ644" i="12"/>
  <c r="AN644" i="12"/>
  <c r="AL644" i="12"/>
  <c r="AK644" i="12"/>
  <c r="AH644" i="12"/>
  <c r="AG644" i="12"/>
  <c r="AD644" i="12"/>
  <c r="AA644" i="12"/>
  <c r="Z644" i="12"/>
  <c r="Y644" i="12"/>
  <c r="X644" i="12"/>
  <c r="W644" i="12"/>
  <c r="V644" i="12"/>
  <c r="U644" i="12"/>
  <c r="T644" i="12"/>
  <c r="S644" i="12"/>
  <c r="R644" i="12"/>
  <c r="Q644" i="12"/>
  <c r="P644" i="12"/>
  <c r="M644" i="12"/>
  <c r="L644" i="12"/>
  <c r="K644" i="12"/>
  <c r="G644" i="12"/>
  <c r="F644" i="12"/>
  <c r="E644" i="12"/>
  <c r="D644" i="12"/>
  <c r="C644" i="12"/>
  <c r="B644" i="12"/>
  <c r="A644" i="12"/>
  <c r="BE643" i="12"/>
  <c r="BD643" i="12"/>
  <c r="BC643" i="12"/>
  <c r="BB643" i="12"/>
  <c r="AX643" i="12"/>
  <c r="AU643" i="12"/>
  <c r="AS643" i="12"/>
  <c r="AQ643" i="12"/>
  <c r="AN643" i="12"/>
  <c r="AL643" i="12"/>
  <c r="AK643" i="12"/>
  <c r="AH643" i="12"/>
  <c r="AG643" i="12"/>
  <c r="AD643" i="12"/>
  <c r="AA643" i="12"/>
  <c r="Z643" i="12"/>
  <c r="Y643" i="12"/>
  <c r="X643" i="12"/>
  <c r="W643" i="12"/>
  <c r="V643" i="12"/>
  <c r="U643" i="12"/>
  <c r="T643" i="12"/>
  <c r="S643" i="12"/>
  <c r="R643" i="12"/>
  <c r="Q643" i="12"/>
  <c r="P643" i="12"/>
  <c r="M643" i="12"/>
  <c r="L643" i="12"/>
  <c r="K643" i="12"/>
  <c r="G643" i="12"/>
  <c r="F643" i="12"/>
  <c r="E643" i="12"/>
  <c r="D643" i="12"/>
  <c r="C643" i="12"/>
  <c r="B643" i="12"/>
  <c r="A643" i="12"/>
  <c r="BE642" i="12"/>
  <c r="BD642" i="12"/>
  <c r="BC642" i="12"/>
  <c r="BB642" i="12"/>
  <c r="AX642" i="12"/>
  <c r="AV642" i="12"/>
  <c r="AU642" i="12"/>
  <c r="AT642" i="12"/>
  <c r="AS642" i="12"/>
  <c r="AQ642" i="12"/>
  <c r="AP642" i="12"/>
  <c r="AO642" i="12"/>
  <c r="AN642" i="12"/>
  <c r="AM642" i="12"/>
  <c r="AL642" i="12"/>
  <c r="AK642" i="12"/>
  <c r="AH642" i="12"/>
  <c r="AG642" i="12"/>
  <c r="AD642" i="12"/>
  <c r="AC642" i="12"/>
  <c r="AA642" i="12"/>
  <c r="Z642" i="12"/>
  <c r="Y642" i="12"/>
  <c r="X642" i="12"/>
  <c r="W642" i="12"/>
  <c r="V642" i="12"/>
  <c r="U642" i="12"/>
  <c r="T642" i="12"/>
  <c r="S642" i="12"/>
  <c r="R642" i="12"/>
  <c r="Q642" i="12"/>
  <c r="P642" i="12"/>
  <c r="M642" i="12"/>
  <c r="L642" i="12"/>
  <c r="K642" i="12"/>
  <c r="J642" i="12"/>
  <c r="G642" i="12"/>
  <c r="F642" i="12"/>
  <c r="E642" i="12"/>
  <c r="D642" i="12"/>
  <c r="C642" i="12"/>
  <c r="B642" i="12"/>
  <c r="A642" i="12"/>
  <c r="BE641" i="12"/>
  <c r="BD641" i="12"/>
  <c r="BC641" i="12"/>
  <c r="BB641" i="12"/>
  <c r="AX641" i="12"/>
  <c r="AU641" i="12"/>
  <c r="AS641" i="12"/>
  <c r="AQ641" i="12"/>
  <c r="AP641" i="12"/>
  <c r="AO641" i="12"/>
  <c r="AN641" i="12"/>
  <c r="AM641" i="12"/>
  <c r="AL641" i="12"/>
  <c r="AH641" i="12"/>
  <c r="AG641" i="12"/>
  <c r="AD641" i="12"/>
  <c r="AC641" i="12"/>
  <c r="AA641" i="12"/>
  <c r="Z641" i="12"/>
  <c r="Y641" i="12"/>
  <c r="X641" i="12"/>
  <c r="W641" i="12"/>
  <c r="V641" i="12"/>
  <c r="U641" i="12"/>
  <c r="T641" i="12"/>
  <c r="S641" i="12"/>
  <c r="R641" i="12"/>
  <c r="Q641" i="12"/>
  <c r="P641" i="12"/>
  <c r="M641" i="12"/>
  <c r="L641" i="12"/>
  <c r="K641" i="12"/>
  <c r="J641" i="12"/>
  <c r="G641" i="12"/>
  <c r="F641" i="12"/>
  <c r="E641" i="12"/>
  <c r="D641" i="12"/>
  <c r="C641" i="12"/>
  <c r="B641" i="12"/>
  <c r="A641" i="12"/>
  <c r="BE640" i="12"/>
  <c r="BD640" i="12"/>
  <c r="BC640" i="12"/>
  <c r="BB640" i="12"/>
  <c r="AX640" i="12"/>
  <c r="AU640" i="12"/>
  <c r="AS640" i="12"/>
  <c r="AQ640" i="12"/>
  <c r="AP640" i="12"/>
  <c r="AO640" i="12"/>
  <c r="AN640" i="12"/>
  <c r="AM640" i="12"/>
  <c r="AL640" i="12"/>
  <c r="AK640" i="12"/>
  <c r="AJ640" i="12"/>
  <c r="AI640" i="12"/>
  <c r="AH640" i="12"/>
  <c r="AG640" i="12"/>
  <c r="AD640" i="12"/>
  <c r="AC640" i="12"/>
  <c r="AA640" i="12"/>
  <c r="Z640" i="12"/>
  <c r="Y640" i="12"/>
  <c r="X640" i="12"/>
  <c r="W640" i="12"/>
  <c r="V640" i="12"/>
  <c r="U640" i="12"/>
  <c r="T640" i="12"/>
  <c r="S640" i="12"/>
  <c r="R640" i="12"/>
  <c r="Q640" i="12"/>
  <c r="P640" i="12"/>
  <c r="O640" i="12"/>
  <c r="N640" i="12"/>
  <c r="K640" i="12"/>
  <c r="J640" i="12"/>
  <c r="I640" i="12"/>
  <c r="G640" i="12"/>
  <c r="F640" i="12"/>
  <c r="E640" i="12"/>
  <c r="D640" i="12"/>
  <c r="C640" i="12"/>
  <c r="B640" i="12"/>
  <c r="A640" i="12"/>
  <c r="BC639" i="12"/>
  <c r="BA639" i="12"/>
  <c r="AX639" i="12"/>
  <c r="AU639" i="12"/>
  <c r="AH639" i="12"/>
  <c r="AG639" i="12"/>
  <c r="T639" i="12"/>
  <c r="Q639" i="12"/>
  <c r="K639" i="12"/>
  <c r="G639" i="12"/>
  <c r="F639" i="12"/>
  <c r="E639" i="12"/>
  <c r="D639" i="12"/>
  <c r="C639" i="12"/>
  <c r="B639" i="12"/>
  <c r="A639" i="12"/>
  <c r="BE638" i="12"/>
  <c r="BD638" i="12"/>
  <c r="BC638" i="12"/>
  <c r="BB638" i="12"/>
  <c r="AX638" i="12"/>
  <c r="AV638" i="12"/>
  <c r="AU638" i="12"/>
  <c r="AS638" i="12"/>
  <c r="AQ638" i="12"/>
  <c r="AP638" i="12"/>
  <c r="AO638" i="12"/>
  <c r="AN638" i="12"/>
  <c r="AM638" i="12"/>
  <c r="AL638" i="12"/>
  <c r="AK638" i="12"/>
  <c r="AG638" i="12"/>
  <c r="AD638" i="12"/>
  <c r="AC638" i="12"/>
  <c r="AA638" i="12"/>
  <c r="Z638" i="12"/>
  <c r="Y638" i="12"/>
  <c r="X638" i="12"/>
  <c r="W638" i="12"/>
  <c r="V638" i="12"/>
  <c r="U638" i="12"/>
  <c r="T638" i="12"/>
  <c r="S638" i="12"/>
  <c r="R638" i="12"/>
  <c r="Q638" i="12"/>
  <c r="P638" i="12"/>
  <c r="O638" i="12"/>
  <c r="N638" i="12"/>
  <c r="M638" i="12"/>
  <c r="L638" i="12"/>
  <c r="K638" i="12"/>
  <c r="J638" i="12"/>
  <c r="I638" i="12"/>
  <c r="G638" i="12"/>
  <c r="F638" i="12"/>
  <c r="E638" i="12"/>
  <c r="D638" i="12"/>
  <c r="C638" i="12"/>
  <c r="B638" i="12"/>
  <c r="A638" i="12"/>
  <c r="BE637" i="12"/>
  <c r="BD637" i="12"/>
  <c r="BC637" i="12"/>
  <c r="BB637" i="12"/>
  <c r="AX637" i="12"/>
  <c r="AU637" i="12"/>
  <c r="AS637" i="12"/>
  <c r="AQ637" i="12"/>
  <c r="AP637" i="12"/>
  <c r="AO637" i="12"/>
  <c r="AN637" i="12"/>
  <c r="AM637" i="12"/>
  <c r="AL637" i="12"/>
  <c r="AK637" i="12"/>
  <c r="AG637" i="12"/>
  <c r="AD637" i="12"/>
  <c r="AC637" i="12"/>
  <c r="AA637" i="12"/>
  <c r="Z637" i="12"/>
  <c r="Y637" i="12"/>
  <c r="X637" i="12"/>
  <c r="W637" i="12"/>
  <c r="V637" i="12"/>
  <c r="U637" i="12"/>
  <c r="T637" i="12"/>
  <c r="S637" i="12"/>
  <c r="R637" i="12"/>
  <c r="Q637" i="12"/>
  <c r="P637" i="12"/>
  <c r="O637" i="12"/>
  <c r="N637" i="12"/>
  <c r="M637" i="12"/>
  <c r="L637" i="12"/>
  <c r="K637" i="12"/>
  <c r="J637" i="12"/>
  <c r="I637" i="12"/>
  <c r="G637" i="12"/>
  <c r="F637" i="12"/>
  <c r="E637" i="12"/>
  <c r="D637" i="12"/>
  <c r="C637" i="12"/>
  <c r="B637" i="12"/>
  <c r="A637" i="12"/>
  <c r="BE636" i="12"/>
  <c r="BD636" i="12"/>
  <c r="BC636" i="12"/>
  <c r="BB636" i="12"/>
  <c r="AX636" i="12"/>
  <c r="AV636" i="12"/>
  <c r="AU636" i="12"/>
  <c r="AS636" i="12"/>
  <c r="AQ636" i="12"/>
  <c r="AP636" i="12"/>
  <c r="AO636" i="12"/>
  <c r="AN636" i="12"/>
  <c r="AM636" i="12"/>
  <c r="AL636" i="12"/>
  <c r="AK636" i="12"/>
  <c r="AH636" i="12"/>
  <c r="AG636" i="12"/>
  <c r="AD636" i="12"/>
  <c r="AC636" i="12"/>
  <c r="AA636" i="12"/>
  <c r="Z636" i="12"/>
  <c r="Y636" i="12"/>
  <c r="X636" i="12"/>
  <c r="W636" i="12"/>
  <c r="V636" i="12"/>
  <c r="U636" i="12"/>
  <c r="T636" i="12"/>
  <c r="S636" i="12"/>
  <c r="R636" i="12"/>
  <c r="Q636" i="12"/>
  <c r="P636" i="12"/>
  <c r="O636" i="12"/>
  <c r="N636" i="12"/>
  <c r="L636" i="12"/>
  <c r="K636" i="12"/>
  <c r="J636" i="12"/>
  <c r="I636" i="12"/>
  <c r="G636" i="12"/>
  <c r="F636" i="12"/>
  <c r="E636" i="12"/>
  <c r="D636" i="12"/>
  <c r="C636" i="12"/>
  <c r="B636" i="12"/>
  <c r="A636" i="12"/>
  <c r="BE635" i="12"/>
  <c r="BD635" i="12"/>
  <c r="BC635" i="12"/>
  <c r="BB635" i="12"/>
  <c r="AX635" i="12"/>
  <c r="AV635" i="12"/>
  <c r="AU635" i="12"/>
  <c r="AS635" i="12"/>
  <c r="AQ635" i="12"/>
  <c r="AP635" i="12"/>
  <c r="AO635" i="12"/>
  <c r="AN635" i="12"/>
  <c r="AM635" i="12"/>
  <c r="AL635" i="12"/>
  <c r="AK635" i="12"/>
  <c r="AH635" i="12"/>
  <c r="AG635" i="12"/>
  <c r="AD635" i="12"/>
  <c r="AC635" i="12"/>
  <c r="AA635" i="12"/>
  <c r="Z635" i="12"/>
  <c r="Y635" i="12"/>
  <c r="X635" i="12"/>
  <c r="W635" i="12"/>
  <c r="V635" i="12"/>
  <c r="U635" i="12"/>
  <c r="T635" i="12"/>
  <c r="S635" i="12"/>
  <c r="R635" i="12"/>
  <c r="Q635" i="12"/>
  <c r="P635" i="12"/>
  <c r="O635" i="12"/>
  <c r="N635" i="12"/>
  <c r="L635" i="12"/>
  <c r="K635" i="12"/>
  <c r="J635" i="12"/>
  <c r="I635" i="12"/>
  <c r="G635" i="12"/>
  <c r="F635" i="12"/>
  <c r="E635" i="12"/>
  <c r="D635" i="12"/>
  <c r="C635" i="12"/>
  <c r="B635" i="12"/>
  <c r="A635" i="12"/>
  <c r="BE634" i="12"/>
  <c r="BD634" i="12"/>
  <c r="BC634" i="12"/>
  <c r="BB634" i="12"/>
  <c r="AX634" i="12"/>
  <c r="AU634" i="12"/>
  <c r="AS634" i="12"/>
  <c r="AQ634" i="12"/>
  <c r="AP634" i="12"/>
  <c r="AO634" i="12"/>
  <c r="AN634" i="12"/>
  <c r="AM634" i="12"/>
  <c r="AL634" i="12"/>
  <c r="AK634" i="12"/>
  <c r="AH634" i="12"/>
  <c r="AG634" i="12"/>
  <c r="AD634" i="12"/>
  <c r="AC634" i="12"/>
  <c r="AA634" i="12"/>
  <c r="Z634" i="12"/>
  <c r="Y634" i="12"/>
  <c r="X634" i="12"/>
  <c r="W634" i="12"/>
  <c r="V634" i="12"/>
  <c r="U634" i="12"/>
  <c r="T634" i="12"/>
  <c r="S634" i="12"/>
  <c r="R634" i="12"/>
  <c r="Q634" i="12"/>
  <c r="P634" i="12"/>
  <c r="O634" i="12"/>
  <c r="N634" i="12"/>
  <c r="M634" i="12"/>
  <c r="L634" i="12"/>
  <c r="K634" i="12"/>
  <c r="J634" i="12"/>
  <c r="I634" i="12"/>
  <c r="G634" i="12"/>
  <c r="F634" i="12"/>
  <c r="E634" i="12"/>
  <c r="D634" i="12"/>
  <c r="C634" i="12"/>
  <c r="B634" i="12"/>
  <c r="A634" i="12"/>
  <c r="BE633" i="12"/>
  <c r="BD633" i="12"/>
  <c r="BC633" i="12"/>
  <c r="BB633" i="12"/>
  <c r="AX633" i="12"/>
  <c r="AU633" i="12"/>
  <c r="AS633" i="12"/>
  <c r="AQ633" i="12"/>
  <c r="AP633" i="12"/>
  <c r="AO633" i="12"/>
  <c r="AN633" i="12"/>
  <c r="AM633" i="12"/>
  <c r="AL633" i="12"/>
  <c r="AK633" i="12"/>
  <c r="AH633" i="12"/>
  <c r="AG633" i="12"/>
  <c r="AD633" i="12"/>
  <c r="AC633" i="12"/>
  <c r="AA633" i="12"/>
  <c r="Z633" i="12"/>
  <c r="Y633" i="12"/>
  <c r="X633" i="12"/>
  <c r="W633" i="12"/>
  <c r="V633" i="12"/>
  <c r="U633" i="12"/>
  <c r="T633" i="12"/>
  <c r="S633" i="12"/>
  <c r="R633" i="12"/>
  <c r="Q633" i="12"/>
  <c r="P633" i="12"/>
  <c r="O633" i="12"/>
  <c r="N633" i="12"/>
  <c r="L633" i="12"/>
  <c r="K633" i="12"/>
  <c r="J633" i="12"/>
  <c r="I633" i="12"/>
  <c r="G633" i="12"/>
  <c r="F633" i="12"/>
  <c r="E633" i="12"/>
  <c r="D633" i="12"/>
  <c r="C633" i="12"/>
  <c r="B633" i="12"/>
  <c r="A633" i="12"/>
  <c r="BE632" i="12"/>
  <c r="BD632" i="12"/>
  <c r="BC632" i="12"/>
  <c r="BB632" i="12"/>
  <c r="BA632" i="12"/>
  <c r="AX632" i="12"/>
  <c r="AV632" i="12"/>
  <c r="AU632" i="12"/>
  <c r="AS632" i="12"/>
  <c r="AQ632" i="12"/>
  <c r="AP632" i="12"/>
  <c r="AO632" i="12"/>
  <c r="AN632" i="12"/>
  <c r="AL632" i="12"/>
  <c r="AK632" i="12"/>
  <c r="AJ632" i="12"/>
  <c r="AI632" i="12"/>
  <c r="AH632" i="12"/>
  <c r="AG632" i="12"/>
  <c r="AD632" i="12"/>
  <c r="AC632" i="12"/>
  <c r="AA632" i="12"/>
  <c r="Z632" i="12"/>
  <c r="Y632" i="12"/>
  <c r="X632" i="12"/>
  <c r="W632" i="12"/>
  <c r="V632" i="12"/>
  <c r="U632" i="12"/>
  <c r="T632" i="12"/>
  <c r="S632" i="12"/>
  <c r="R632" i="12"/>
  <c r="Q632" i="12"/>
  <c r="P632" i="12"/>
  <c r="M632" i="12"/>
  <c r="L632" i="12"/>
  <c r="K632" i="12"/>
  <c r="J632" i="12"/>
  <c r="I632" i="12"/>
  <c r="G632" i="12"/>
  <c r="F632" i="12"/>
  <c r="E632" i="12"/>
  <c r="D632" i="12"/>
  <c r="C632" i="12"/>
  <c r="B632" i="12"/>
  <c r="A632" i="12"/>
  <c r="BE631" i="12"/>
  <c r="BD631" i="12"/>
  <c r="BC631" i="12"/>
  <c r="BB631" i="12"/>
  <c r="BA631" i="12"/>
  <c r="AX631" i="12"/>
  <c r="AV631" i="12"/>
  <c r="AU631" i="12"/>
  <c r="AT631" i="12"/>
  <c r="AS631" i="12"/>
  <c r="AQ631" i="12"/>
  <c r="AP631" i="12"/>
  <c r="AO631" i="12"/>
  <c r="AN631" i="12"/>
  <c r="AL631" i="12"/>
  <c r="AK631" i="12"/>
  <c r="AJ631" i="12"/>
  <c r="AI631" i="12"/>
  <c r="AH631" i="12"/>
  <c r="AG631" i="12"/>
  <c r="AD631" i="12"/>
  <c r="AC631" i="12"/>
  <c r="AB631" i="12"/>
  <c r="AA631" i="12"/>
  <c r="Z631" i="12"/>
  <c r="Y631" i="12"/>
  <c r="X631" i="12"/>
  <c r="W631" i="12"/>
  <c r="V631" i="12"/>
  <c r="U631" i="12"/>
  <c r="T631" i="12"/>
  <c r="S631" i="12"/>
  <c r="R631" i="12"/>
  <c r="Q631" i="12"/>
  <c r="P631" i="12"/>
  <c r="M631" i="12"/>
  <c r="L631" i="12"/>
  <c r="K631" i="12"/>
  <c r="J631" i="12"/>
  <c r="I631" i="12"/>
  <c r="G631" i="12"/>
  <c r="F631" i="12"/>
  <c r="E631" i="12"/>
  <c r="D631" i="12"/>
  <c r="C631" i="12"/>
  <c r="B631" i="12"/>
  <c r="A631" i="12"/>
  <c r="BE630" i="12"/>
  <c r="BD630" i="12"/>
  <c r="BC630" i="12"/>
  <c r="AX630" i="12"/>
  <c r="AV630" i="12"/>
  <c r="AU630" i="12"/>
  <c r="AS630" i="12"/>
  <c r="AQ630" i="12"/>
  <c r="AP630" i="12"/>
  <c r="AO630" i="12"/>
  <c r="AN630" i="12"/>
  <c r="AL630" i="12"/>
  <c r="AK630" i="12"/>
  <c r="AJ630" i="12"/>
  <c r="AI630" i="12"/>
  <c r="AH630" i="12"/>
  <c r="AG630" i="12"/>
  <c r="AD630" i="12"/>
  <c r="AC630" i="12"/>
  <c r="AA630" i="12"/>
  <c r="Z630" i="12"/>
  <c r="Y630" i="12"/>
  <c r="X630" i="12"/>
  <c r="W630" i="12"/>
  <c r="V630" i="12"/>
  <c r="U630" i="12"/>
  <c r="T630" i="12"/>
  <c r="S630" i="12"/>
  <c r="R630" i="12"/>
  <c r="Q630" i="12"/>
  <c r="P630" i="12"/>
  <c r="M630" i="12"/>
  <c r="L630" i="12"/>
  <c r="K630" i="12"/>
  <c r="J630" i="12"/>
  <c r="I630" i="12"/>
  <c r="G630" i="12"/>
  <c r="F630" i="12"/>
  <c r="E630" i="12"/>
  <c r="D630" i="12"/>
  <c r="C630" i="12"/>
  <c r="B630" i="12"/>
  <c r="A630" i="12"/>
  <c r="BD629" i="12"/>
  <c r="BC629" i="12"/>
  <c r="AX629" i="12"/>
  <c r="AU629" i="12"/>
  <c r="AR629" i="12"/>
  <c r="AP629" i="12"/>
  <c r="AL629" i="12"/>
  <c r="AK629" i="12"/>
  <c r="AH629" i="12"/>
  <c r="AG629" i="12"/>
  <c r="AB629" i="12"/>
  <c r="AA629" i="12"/>
  <c r="Y629" i="12"/>
  <c r="X629" i="12"/>
  <c r="W629" i="12"/>
  <c r="V629" i="12"/>
  <c r="U629" i="12"/>
  <c r="T629" i="12"/>
  <c r="S629" i="12"/>
  <c r="Q629" i="12"/>
  <c r="M629" i="12"/>
  <c r="L629" i="12"/>
  <c r="K629" i="12"/>
  <c r="J629" i="12"/>
  <c r="I629" i="12"/>
  <c r="H629" i="12"/>
  <c r="G629" i="12"/>
  <c r="F629" i="12"/>
  <c r="E629" i="12"/>
  <c r="D629" i="12"/>
  <c r="C629" i="12"/>
  <c r="B629" i="12"/>
  <c r="A629" i="12"/>
  <c r="BD628" i="12"/>
  <c r="BC628" i="12"/>
  <c r="BA628" i="12"/>
  <c r="AX628" i="12"/>
  <c r="AU628" i="12"/>
  <c r="AR628" i="12"/>
  <c r="AL628" i="12"/>
  <c r="AK628" i="12"/>
  <c r="AH628" i="12"/>
  <c r="AG628" i="12"/>
  <c r="AA628" i="12"/>
  <c r="Z628" i="12"/>
  <c r="Y628" i="12"/>
  <c r="X628" i="12"/>
  <c r="V628" i="12"/>
  <c r="U628" i="12"/>
  <c r="Q628" i="12"/>
  <c r="M628" i="12"/>
  <c r="L628" i="12"/>
  <c r="K628" i="12"/>
  <c r="J628" i="12"/>
  <c r="I628" i="12"/>
  <c r="H628" i="12"/>
  <c r="G628" i="12"/>
  <c r="F628" i="12"/>
  <c r="E628" i="12"/>
  <c r="D628" i="12"/>
  <c r="C628" i="12"/>
  <c r="B628" i="12"/>
  <c r="A628" i="12"/>
  <c r="BD627" i="12"/>
  <c r="BC627" i="12"/>
  <c r="AX627" i="12"/>
  <c r="AU627" i="12"/>
  <c r="AR627" i="12"/>
  <c r="AP627" i="12"/>
  <c r="AL627" i="12"/>
  <c r="AK627" i="12"/>
  <c r="AH627" i="12"/>
  <c r="AG627" i="12"/>
  <c r="AD627" i="12"/>
  <c r="AA627" i="12"/>
  <c r="Z627" i="12"/>
  <c r="Y627" i="12"/>
  <c r="X627" i="12"/>
  <c r="V627" i="12"/>
  <c r="U627" i="12"/>
  <c r="T627" i="12"/>
  <c r="S627" i="12"/>
  <c r="Q627" i="12"/>
  <c r="M627" i="12"/>
  <c r="L627" i="12"/>
  <c r="K627" i="12"/>
  <c r="J627" i="12"/>
  <c r="I627" i="12"/>
  <c r="H627" i="12"/>
  <c r="G627" i="12"/>
  <c r="F627" i="12"/>
  <c r="E627" i="12"/>
  <c r="D627" i="12"/>
  <c r="C627" i="12"/>
  <c r="B627" i="12"/>
  <c r="A627" i="12"/>
  <c r="BE626" i="12"/>
  <c r="BD626" i="12"/>
  <c r="BC626" i="12"/>
  <c r="BB626" i="12"/>
  <c r="AX626" i="12"/>
  <c r="AV626" i="12"/>
  <c r="AU626" i="12"/>
  <c r="AT626" i="12"/>
  <c r="AS626" i="12"/>
  <c r="AQ626" i="12"/>
  <c r="AP626" i="12"/>
  <c r="AO626" i="12"/>
  <c r="AN626" i="12"/>
  <c r="AL626" i="12"/>
  <c r="AK626" i="12"/>
  <c r="AH626" i="12"/>
  <c r="AG626" i="12"/>
  <c r="AD626" i="12"/>
  <c r="AC626" i="12"/>
  <c r="AA626" i="12"/>
  <c r="Z626" i="12"/>
  <c r="Y626" i="12"/>
  <c r="X626" i="12"/>
  <c r="W626" i="12"/>
  <c r="V626" i="12"/>
  <c r="U626" i="12"/>
  <c r="T626" i="12"/>
  <c r="S626" i="12"/>
  <c r="R626" i="12"/>
  <c r="Q626" i="12"/>
  <c r="P626" i="12"/>
  <c r="M626" i="12"/>
  <c r="L626" i="12"/>
  <c r="K626" i="12"/>
  <c r="J626" i="12"/>
  <c r="I626" i="12"/>
  <c r="G626" i="12"/>
  <c r="F626" i="12"/>
  <c r="E626" i="12"/>
  <c r="D626" i="12"/>
  <c r="C626" i="12"/>
  <c r="B626" i="12"/>
  <c r="A626" i="12"/>
  <c r="BE625" i="12"/>
  <c r="BD625" i="12"/>
  <c r="BC625" i="12"/>
  <c r="AZ625" i="12"/>
  <c r="AX625" i="12"/>
  <c r="AV625" i="12"/>
  <c r="AU625" i="12"/>
  <c r="AT625" i="12"/>
  <c r="AQ625" i="12"/>
  <c r="AP625" i="12"/>
  <c r="AO625" i="12"/>
  <c r="AN625" i="12"/>
  <c r="AL625" i="12"/>
  <c r="AK625" i="12"/>
  <c r="AH625" i="12"/>
  <c r="AG625" i="12"/>
  <c r="AD625" i="12"/>
  <c r="AC625" i="12"/>
  <c r="AA625" i="12"/>
  <c r="Z625" i="12"/>
  <c r="Y625" i="12"/>
  <c r="X625" i="12"/>
  <c r="W625" i="12"/>
  <c r="V625" i="12"/>
  <c r="U625" i="12"/>
  <c r="T625" i="12"/>
  <c r="S625" i="12"/>
  <c r="R625" i="12"/>
  <c r="Q625" i="12"/>
  <c r="P625" i="12"/>
  <c r="M625" i="12"/>
  <c r="L625" i="12"/>
  <c r="K625" i="12"/>
  <c r="J625" i="12"/>
  <c r="I625" i="12"/>
  <c r="G625" i="12"/>
  <c r="F625" i="12"/>
  <c r="E625" i="12"/>
  <c r="D625" i="12"/>
  <c r="C625" i="12"/>
  <c r="B625" i="12"/>
  <c r="A625" i="12"/>
  <c r="BE624" i="12"/>
  <c r="BD624" i="12"/>
  <c r="BC624" i="12"/>
  <c r="AX624" i="12"/>
  <c r="AV624" i="12"/>
  <c r="AU624" i="12"/>
  <c r="AT624" i="12"/>
  <c r="AS624" i="12"/>
  <c r="AQ624" i="12"/>
  <c r="AP624" i="12"/>
  <c r="AO624" i="12"/>
  <c r="AN624" i="12"/>
  <c r="AL624" i="12"/>
  <c r="AK624" i="12"/>
  <c r="AJ624" i="12"/>
  <c r="AI624" i="12"/>
  <c r="AH624" i="12"/>
  <c r="AG624" i="12"/>
  <c r="AD624" i="12"/>
  <c r="AC624" i="12"/>
  <c r="AA624" i="12"/>
  <c r="Z624" i="12"/>
  <c r="Y624" i="12"/>
  <c r="X624" i="12"/>
  <c r="W624" i="12"/>
  <c r="V624" i="12"/>
  <c r="U624" i="12"/>
  <c r="T624" i="12"/>
  <c r="S624" i="12"/>
  <c r="R624" i="12"/>
  <c r="Q624" i="12"/>
  <c r="P624" i="12"/>
  <c r="O624" i="12"/>
  <c r="N624" i="12"/>
  <c r="M624" i="12"/>
  <c r="L624" i="12"/>
  <c r="K624" i="12"/>
  <c r="J624" i="12"/>
  <c r="I624" i="12"/>
  <c r="G624" i="12"/>
  <c r="F624" i="12"/>
  <c r="E624" i="12"/>
  <c r="D624" i="12"/>
  <c r="C624" i="12"/>
  <c r="B624" i="12"/>
  <c r="A624" i="12"/>
  <c r="BE623" i="12"/>
  <c r="BD623" i="12"/>
  <c r="BC623" i="12"/>
  <c r="AX623" i="12"/>
  <c r="AV623" i="12"/>
  <c r="AU623" i="12"/>
  <c r="AT623" i="12"/>
  <c r="AS623" i="12"/>
  <c r="AQ623" i="12"/>
  <c r="AP623" i="12"/>
  <c r="AO623" i="12"/>
  <c r="AN623" i="12"/>
  <c r="AL623" i="12"/>
  <c r="AK623" i="12"/>
  <c r="AJ623" i="12"/>
  <c r="AI623" i="12"/>
  <c r="AH623" i="12"/>
  <c r="AG623" i="12"/>
  <c r="AD623" i="12"/>
  <c r="AC623" i="12"/>
  <c r="AA623" i="12"/>
  <c r="Z623" i="12"/>
  <c r="Y623" i="12"/>
  <c r="X623" i="12"/>
  <c r="W623" i="12"/>
  <c r="V623" i="12"/>
  <c r="U623" i="12"/>
  <c r="T623" i="12"/>
  <c r="S623" i="12"/>
  <c r="R623" i="12"/>
  <c r="Q623" i="12"/>
  <c r="P623" i="12"/>
  <c r="M623" i="12"/>
  <c r="L623" i="12"/>
  <c r="K623" i="12"/>
  <c r="J623" i="12"/>
  <c r="I623" i="12"/>
  <c r="G623" i="12"/>
  <c r="F623" i="12"/>
  <c r="E623" i="12"/>
  <c r="D623" i="12"/>
  <c r="C623" i="12"/>
  <c r="B623" i="12"/>
  <c r="A623" i="12"/>
  <c r="BE622" i="12"/>
  <c r="BD622" i="12"/>
  <c r="BC622" i="12"/>
  <c r="BB622" i="12"/>
  <c r="AX622" i="12"/>
  <c r="AU622" i="12"/>
  <c r="AS622" i="12"/>
  <c r="AQ622" i="12"/>
  <c r="AN622" i="12"/>
  <c r="AL622" i="12"/>
  <c r="AK622" i="12"/>
  <c r="AH622" i="12"/>
  <c r="AG622" i="12"/>
  <c r="AD622" i="12"/>
  <c r="AA622" i="12"/>
  <c r="Z622" i="12"/>
  <c r="Y622" i="12"/>
  <c r="X622" i="12"/>
  <c r="W622" i="12"/>
  <c r="V622" i="12"/>
  <c r="U622" i="12"/>
  <c r="T622" i="12"/>
  <c r="S622" i="12"/>
  <c r="R622" i="12"/>
  <c r="Q622" i="12"/>
  <c r="P622" i="12"/>
  <c r="L622" i="12"/>
  <c r="K622" i="12"/>
  <c r="J622" i="12"/>
  <c r="I622" i="12"/>
  <c r="G622" i="12"/>
  <c r="F622" i="12"/>
  <c r="E622" i="12"/>
  <c r="D622" i="12"/>
  <c r="C622" i="12"/>
  <c r="B622" i="12"/>
  <c r="A622" i="12"/>
  <c r="BE621" i="12"/>
  <c r="BD621" i="12"/>
  <c r="BC621" i="12"/>
  <c r="BB621" i="12"/>
  <c r="AX621" i="12"/>
  <c r="AU621" i="12"/>
  <c r="AS621" i="12"/>
  <c r="AQ621" i="12"/>
  <c r="AP621" i="12"/>
  <c r="AO621" i="12"/>
  <c r="AN621" i="12"/>
  <c r="AM621" i="12"/>
  <c r="AL621" i="12"/>
  <c r="AJ621" i="12"/>
  <c r="AI621" i="12"/>
  <c r="AH621" i="12"/>
  <c r="AG621" i="12"/>
  <c r="AD621" i="12"/>
  <c r="AC621" i="12"/>
  <c r="AA621" i="12"/>
  <c r="Z621" i="12"/>
  <c r="Y621" i="12"/>
  <c r="X621" i="12"/>
  <c r="W621" i="12"/>
  <c r="V621" i="12"/>
  <c r="U621" i="12"/>
  <c r="T621" i="12"/>
  <c r="S621" i="12"/>
  <c r="R621" i="12"/>
  <c r="Q621" i="12"/>
  <c r="P621" i="12"/>
  <c r="M621" i="12"/>
  <c r="L621" i="12"/>
  <c r="K621" i="12"/>
  <c r="J621" i="12"/>
  <c r="G621" i="12"/>
  <c r="F621" i="12"/>
  <c r="E621" i="12"/>
  <c r="D621" i="12"/>
  <c r="C621" i="12"/>
  <c r="B621" i="12"/>
  <c r="A621" i="12"/>
  <c r="BE620" i="12"/>
  <c r="BD620" i="12"/>
  <c r="BC620" i="12"/>
  <c r="BB620" i="12"/>
  <c r="AX620" i="12"/>
  <c r="AU620" i="12"/>
  <c r="AS620" i="12"/>
  <c r="AQ620" i="12"/>
  <c r="AP620" i="12"/>
  <c r="AO620" i="12"/>
  <c r="AN620" i="12"/>
  <c r="AM620" i="12"/>
  <c r="AL620" i="12"/>
  <c r="AH620" i="12"/>
  <c r="AG620" i="12"/>
  <c r="AD620" i="12"/>
  <c r="AC620" i="12"/>
  <c r="AA620" i="12"/>
  <c r="Z620" i="12"/>
  <c r="Y620" i="12"/>
  <c r="X620" i="12"/>
  <c r="W620" i="12"/>
  <c r="V620" i="12"/>
  <c r="U620" i="12"/>
  <c r="T620" i="12"/>
  <c r="S620" i="12"/>
  <c r="R620" i="12"/>
  <c r="Q620" i="12"/>
  <c r="P620" i="12"/>
  <c r="M620" i="12"/>
  <c r="L620" i="12"/>
  <c r="K620" i="12"/>
  <c r="J620" i="12"/>
  <c r="G620" i="12"/>
  <c r="F620" i="12"/>
  <c r="E620" i="12"/>
  <c r="D620" i="12"/>
  <c r="C620" i="12"/>
  <c r="B620" i="12"/>
  <c r="A620" i="12"/>
  <c r="BE619" i="12"/>
  <c r="BD619" i="12"/>
  <c r="BC619" i="12"/>
  <c r="BB619" i="12"/>
  <c r="AX619" i="12"/>
  <c r="AU619" i="12"/>
  <c r="AS619" i="12"/>
  <c r="AQ619" i="12"/>
  <c r="AP619" i="12"/>
  <c r="AO619" i="12"/>
  <c r="AN619" i="12"/>
  <c r="AM619" i="12"/>
  <c r="AL619" i="12"/>
  <c r="AJ619" i="12"/>
  <c r="AI619" i="12"/>
  <c r="AH619" i="12"/>
  <c r="AG619" i="12"/>
  <c r="AD619" i="12"/>
  <c r="AC619" i="12"/>
  <c r="AA619" i="12"/>
  <c r="Z619" i="12"/>
  <c r="Y619" i="12"/>
  <c r="X619" i="12"/>
  <c r="W619" i="12"/>
  <c r="V619" i="12"/>
  <c r="U619" i="12"/>
  <c r="T619" i="12"/>
  <c r="S619" i="12"/>
  <c r="R619" i="12"/>
  <c r="Q619" i="12"/>
  <c r="P619" i="12"/>
  <c r="M619" i="12"/>
  <c r="L619" i="12"/>
  <c r="K619" i="12"/>
  <c r="J619" i="12"/>
  <c r="G619" i="12"/>
  <c r="F619" i="12"/>
  <c r="E619" i="12"/>
  <c r="D619" i="12"/>
  <c r="C619" i="12"/>
  <c r="B619" i="12"/>
  <c r="A619" i="12"/>
  <c r="BE618" i="12"/>
  <c r="BD618" i="12"/>
  <c r="BC618" i="12"/>
  <c r="BB618" i="12"/>
  <c r="AX618" i="12"/>
  <c r="AU618" i="12"/>
  <c r="AS618" i="12"/>
  <c r="AQ618" i="12"/>
  <c r="AP618" i="12"/>
  <c r="AO618" i="12"/>
  <c r="AN618" i="12"/>
  <c r="AM618" i="12"/>
  <c r="AL618" i="12"/>
  <c r="AK618" i="12"/>
  <c r="AG618" i="12"/>
  <c r="AD618" i="12"/>
  <c r="AC618" i="12"/>
  <c r="AA618" i="12"/>
  <c r="Z618" i="12"/>
  <c r="Y618" i="12"/>
  <c r="X618" i="12"/>
  <c r="W618" i="12"/>
  <c r="V618" i="12"/>
  <c r="U618" i="12"/>
  <c r="T618" i="12"/>
  <c r="S618" i="12"/>
  <c r="R618" i="12"/>
  <c r="Q618" i="12"/>
  <c r="P618" i="12"/>
  <c r="O618" i="12"/>
  <c r="N618" i="12"/>
  <c r="M618" i="12"/>
  <c r="L618" i="12"/>
  <c r="K618" i="12"/>
  <c r="J618" i="12"/>
  <c r="I618" i="12"/>
  <c r="G618" i="12"/>
  <c r="F618" i="12"/>
  <c r="E618" i="12"/>
  <c r="D618" i="12"/>
  <c r="C618" i="12"/>
  <c r="B618" i="12"/>
  <c r="A618" i="12"/>
  <c r="BE617" i="12"/>
  <c r="BD617" i="12"/>
  <c r="BC617" i="12"/>
  <c r="BB617" i="12"/>
  <c r="AX617" i="12"/>
  <c r="AU617" i="12"/>
  <c r="AS617" i="12"/>
  <c r="AQ617" i="12"/>
  <c r="AP617" i="12"/>
  <c r="AO617" i="12"/>
  <c r="AN617" i="12"/>
  <c r="AM617" i="12"/>
  <c r="AL617" i="12"/>
  <c r="AK617" i="12"/>
  <c r="AH617" i="12"/>
  <c r="AG617" i="12"/>
  <c r="AD617" i="12"/>
  <c r="AC617" i="12"/>
  <c r="AA617" i="12"/>
  <c r="Z617" i="12"/>
  <c r="Y617" i="12"/>
  <c r="X617" i="12"/>
  <c r="W617" i="12"/>
  <c r="V617" i="12"/>
  <c r="U617" i="12"/>
  <c r="T617" i="12"/>
  <c r="S617" i="12"/>
  <c r="R617" i="12"/>
  <c r="Q617" i="12"/>
  <c r="P617" i="12"/>
  <c r="O617" i="12"/>
  <c r="N617" i="12"/>
  <c r="L617" i="12"/>
  <c r="K617" i="12"/>
  <c r="J617" i="12"/>
  <c r="I617" i="12"/>
  <c r="G617" i="12"/>
  <c r="F617" i="12"/>
  <c r="E617" i="12"/>
  <c r="D617" i="12"/>
  <c r="C617" i="12"/>
  <c r="B617" i="12"/>
  <c r="A617" i="12"/>
  <c r="BE616" i="12"/>
  <c r="BD616" i="12"/>
  <c r="BC616" i="12"/>
  <c r="BB616" i="12"/>
  <c r="AX616" i="12"/>
  <c r="AU616" i="12"/>
  <c r="AS616" i="12"/>
  <c r="AQ616" i="12"/>
  <c r="AP616" i="12"/>
  <c r="AO616" i="12"/>
  <c r="AN616" i="12"/>
  <c r="AM616" i="12"/>
  <c r="AL616" i="12"/>
  <c r="AK616" i="12"/>
  <c r="AG616" i="12"/>
  <c r="AD616" i="12"/>
  <c r="AC616" i="12"/>
  <c r="AA616" i="12"/>
  <c r="Z616" i="12"/>
  <c r="Y616" i="12"/>
  <c r="X616" i="12"/>
  <c r="W616" i="12"/>
  <c r="V616" i="12"/>
  <c r="U616" i="12"/>
  <c r="T616" i="12"/>
  <c r="S616" i="12"/>
  <c r="R616" i="12"/>
  <c r="Q616" i="12"/>
  <c r="P616" i="12"/>
  <c r="O616" i="12"/>
  <c r="N616" i="12"/>
  <c r="L616" i="12"/>
  <c r="K616" i="12"/>
  <c r="J616" i="12"/>
  <c r="I616" i="12"/>
  <c r="G616" i="12"/>
  <c r="F616" i="12"/>
  <c r="E616" i="12"/>
  <c r="D616" i="12"/>
  <c r="C616" i="12"/>
  <c r="B616" i="12"/>
  <c r="A616" i="12"/>
  <c r="BE615" i="12"/>
  <c r="BD615" i="12"/>
  <c r="BC615" i="12"/>
  <c r="BB615" i="12"/>
  <c r="AX615" i="12"/>
  <c r="AU615" i="12"/>
  <c r="AS615" i="12"/>
  <c r="AQ615" i="12"/>
  <c r="AP615" i="12"/>
  <c r="AO615" i="12"/>
  <c r="AN615" i="12"/>
  <c r="AM615" i="12"/>
  <c r="AL615" i="12"/>
  <c r="AK615" i="12"/>
  <c r="AG615" i="12"/>
  <c r="AD615" i="12"/>
  <c r="AC615" i="12"/>
  <c r="AA615" i="12"/>
  <c r="Z615" i="12"/>
  <c r="Y615" i="12"/>
  <c r="X615" i="12"/>
  <c r="W615" i="12"/>
  <c r="V615" i="12"/>
  <c r="U615" i="12"/>
  <c r="T615" i="12"/>
  <c r="S615" i="12"/>
  <c r="R615" i="12"/>
  <c r="Q615" i="12"/>
  <c r="P615" i="12"/>
  <c r="O615" i="12"/>
  <c r="N615" i="12"/>
  <c r="L615" i="12"/>
  <c r="K615" i="12"/>
  <c r="J615" i="12"/>
  <c r="I615" i="12"/>
  <c r="G615" i="12"/>
  <c r="F615" i="12"/>
  <c r="E615" i="12"/>
  <c r="D615" i="12"/>
  <c r="C615" i="12"/>
  <c r="B615" i="12"/>
  <c r="A615" i="12"/>
  <c r="BC614" i="12"/>
  <c r="AX614" i="12"/>
  <c r="AU614" i="12"/>
  <c r="AR614" i="12"/>
  <c r="AP614" i="12"/>
  <c r="AM614" i="12"/>
  <c r="AL614" i="12"/>
  <c r="AK614" i="12"/>
  <c r="AH614" i="12"/>
  <c r="AG614" i="12"/>
  <c r="AA614" i="12"/>
  <c r="Z614" i="12"/>
  <c r="Y614" i="12"/>
  <c r="X614" i="12"/>
  <c r="W614" i="12"/>
  <c r="V614" i="12"/>
  <c r="U614" i="12"/>
  <c r="Q614" i="12"/>
  <c r="M614" i="12"/>
  <c r="L614" i="12"/>
  <c r="K614" i="12"/>
  <c r="J614" i="12"/>
  <c r="I614" i="12"/>
  <c r="H614" i="12"/>
  <c r="G614" i="12"/>
  <c r="F614" i="12"/>
  <c r="E614" i="12"/>
  <c r="D614" i="12"/>
  <c r="C614" i="12"/>
  <c r="B614" i="12"/>
  <c r="A614" i="12"/>
  <c r="BE613" i="12"/>
  <c r="BD613" i="12"/>
  <c r="BC613" i="12"/>
  <c r="BB613" i="12"/>
  <c r="AX613" i="12"/>
  <c r="AU613" i="12"/>
  <c r="AS613" i="12"/>
  <c r="AQ613" i="12"/>
  <c r="AN613" i="12"/>
  <c r="AL613" i="12"/>
  <c r="AK613" i="12"/>
  <c r="AJ613" i="12"/>
  <c r="AI613" i="12"/>
  <c r="AH613" i="12"/>
  <c r="AG613" i="12"/>
  <c r="AD613" i="12"/>
  <c r="AA613" i="12"/>
  <c r="Z613" i="12"/>
  <c r="Y613" i="12"/>
  <c r="X613" i="12"/>
  <c r="W613" i="12"/>
  <c r="V613" i="12"/>
  <c r="U613" i="12"/>
  <c r="T613" i="12"/>
  <c r="S613" i="12"/>
  <c r="R613" i="12"/>
  <c r="Q613" i="12"/>
  <c r="P613" i="12"/>
  <c r="M613" i="12"/>
  <c r="L613" i="12"/>
  <c r="K613" i="12"/>
  <c r="J613" i="12"/>
  <c r="G613" i="12"/>
  <c r="F613" i="12"/>
  <c r="E613" i="12"/>
  <c r="D613" i="12"/>
  <c r="C613" i="12"/>
  <c r="B613" i="12"/>
  <c r="A613" i="12"/>
  <c r="BE612" i="12"/>
  <c r="BD612" i="12"/>
  <c r="BC612" i="12"/>
  <c r="BB612" i="12"/>
  <c r="AX612" i="12"/>
  <c r="AU612" i="12"/>
  <c r="AS612" i="12"/>
  <c r="AQ612" i="12"/>
  <c r="AN612" i="12"/>
  <c r="AL612" i="12"/>
  <c r="AK612" i="12"/>
  <c r="AJ612" i="12"/>
  <c r="AI612" i="12"/>
  <c r="AH612" i="12"/>
  <c r="AG612" i="12"/>
  <c r="AD612" i="12"/>
  <c r="AA612" i="12"/>
  <c r="Z612" i="12"/>
  <c r="Y612" i="12"/>
  <c r="X612" i="12"/>
  <c r="W612" i="12"/>
  <c r="V612" i="12"/>
  <c r="U612" i="12"/>
  <c r="T612" i="12"/>
  <c r="S612" i="12"/>
  <c r="R612" i="12"/>
  <c r="Q612" i="12"/>
  <c r="P612" i="12"/>
  <c r="M612" i="12"/>
  <c r="L612" i="12"/>
  <c r="K612" i="12"/>
  <c r="J612" i="12"/>
  <c r="G612" i="12"/>
  <c r="F612" i="12"/>
  <c r="E612" i="12"/>
  <c r="D612" i="12"/>
  <c r="C612" i="12"/>
  <c r="B612" i="12"/>
  <c r="A612" i="12"/>
  <c r="BE611" i="12"/>
  <c r="BD611" i="12"/>
  <c r="BC611" i="12"/>
  <c r="BB611" i="12"/>
  <c r="AX611" i="12"/>
  <c r="AU611" i="12"/>
  <c r="AS611" i="12"/>
  <c r="AQ611" i="12"/>
  <c r="AN611" i="12"/>
  <c r="AL611" i="12"/>
  <c r="AK611" i="12"/>
  <c r="AH611" i="12"/>
  <c r="AG611" i="12"/>
  <c r="AD611" i="12"/>
  <c r="AA611" i="12"/>
  <c r="Z611" i="12"/>
  <c r="Y611" i="12"/>
  <c r="X611" i="12"/>
  <c r="W611" i="12"/>
  <c r="V611" i="12"/>
  <c r="U611" i="12"/>
  <c r="T611" i="12"/>
  <c r="S611" i="12"/>
  <c r="R611" i="12"/>
  <c r="Q611" i="12"/>
  <c r="P611" i="12"/>
  <c r="M611" i="12"/>
  <c r="L611" i="12"/>
  <c r="K611" i="12"/>
  <c r="J611" i="12"/>
  <c r="G611" i="12"/>
  <c r="F611" i="12"/>
  <c r="E611" i="12"/>
  <c r="D611" i="12"/>
  <c r="C611" i="12"/>
  <c r="B611" i="12"/>
  <c r="A611" i="12"/>
  <c r="BD610" i="12"/>
  <c r="BC610" i="12"/>
  <c r="BA610" i="12"/>
  <c r="AX610" i="12"/>
  <c r="AU610" i="12"/>
  <c r="AR610" i="12"/>
  <c r="AL610" i="12"/>
  <c r="AK610" i="12"/>
  <c r="AH610" i="12"/>
  <c r="AG610" i="12"/>
  <c r="AB610" i="12"/>
  <c r="AA610" i="12"/>
  <c r="Z610" i="12"/>
  <c r="X610" i="12"/>
  <c r="V610" i="12"/>
  <c r="U610" i="12"/>
  <c r="Q610" i="12"/>
  <c r="M610" i="12"/>
  <c r="L610" i="12"/>
  <c r="K610" i="12"/>
  <c r="J610" i="12"/>
  <c r="I610" i="12"/>
  <c r="H610" i="12"/>
  <c r="G610" i="12"/>
  <c r="F610" i="12"/>
  <c r="E610" i="12"/>
  <c r="D610" i="12"/>
  <c r="C610" i="12"/>
  <c r="B610" i="12"/>
  <c r="A610" i="12"/>
  <c r="BD609" i="12"/>
  <c r="BC609" i="12"/>
  <c r="BA609" i="12"/>
  <c r="AX609" i="12"/>
  <c r="AU609" i="12"/>
  <c r="AS609" i="12"/>
  <c r="AN609" i="12"/>
  <c r="AH609" i="12"/>
  <c r="AG609" i="12"/>
  <c r="AD609" i="12"/>
  <c r="AA609" i="12"/>
  <c r="Z609" i="12"/>
  <c r="Y609" i="12"/>
  <c r="X609" i="12"/>
  <c r="V609" i="12"/>
  <c r="U609" i="12"/>
  <c r="T609" i="12"/>
  <c r="S609" i="12"/>
  <c r="Q609" i="12"/>
  <c r="P609" i="12"/>
  <c r="N609" i="12"/>
  <c r="K609" i="12"/>
  <c r="J609" i="12"/>
  <c r="I609" i="12"/>
  <c r="G609" i="12"/>
  <c r="F609" i="12"/>
  <c r="E609" i="12"/>
  <c r="D609" i="12"/>
  <c r="C609" i="12"/>
  <c r="B609" i="12"/>
  <c r="A609" i="12"/>
  <c r="BE608" i="12"/>
  <c r="BD608" i="12"/>
  <c r="BC608" i="12"/>
  <c r="BB608" i="12"/>
  <c r="AX608" i="12"/>
  <c r="AU608" i="12"/>
  <c r="AS608" i="12"/>
  <c r="AQ608" i="12"/>
  <c r="AP608" i="12"/>
  <c r="AO608" i="12"/>
  <c r="AN608" i="12"/>
  <c r="AM608" i="12"/>
  <c r="AL608" i="12"/>
  <c r="AK608" i="12"/>
  <c r="AG608" i="12"/>
  <c r="AD608" i="12"/>
  <c r="AC608" i="12"/>
  <c r="AA608" i="12"/>
  <c r="Z608" i="12"/>
  <c r="Y608" i="12"/>
  <c r="X608" i="12"/>
  <c r="W608" i="12"/>
  <c r="V608" i="12"/>
  <c r="U608" i="12"/>
  <c r="T608" i="12"/>
  <c r="S608" i="12"/>
  <c r="R608" i="12"/>
  <c r="Q608" i="12"/>
  <c r="P608" i="12"/>
  <c r="O608" i="12"/>
  <c r="N608" i="12"/>
  <c r="M608" i="12"/>
  <c r="L608" i="12"/>
  <c r="K608" i="12"/>
  <c r="J608" i="12"/>
  <c r="I608" i="12"/>
  <c r="G608" i="12"/>
  <c r="F608" i="12"/>
  <c r="E608" i="12"/>
  <c r="D608" i="12"/>
  <c r="C608" i="12"/>
  <c r="B608" i="12"/>
  <c r="A608" i="12"/>
  <c r="BD607" i="12"/>
  <c r="BC607" i="12"/>
  <c r="BA607" i="12"/>
  <c r="AX607" i="12"/>
  <c r="AU607" i="12"/>
  <c r="AR607" i="12"/>
  <c r="AP607" i="12"/>
  <c r="AL607" i="12"/>
  <c r="AK607" i="12"/>
  <c r="AH607" i="12"/>
  <c r="AG607" i="12"/>
  <c r="AA607" i="12"/>
  <c r="Z607" i="12"/>
  <c r="Y607" i="12"/>
  <c r="X607" i="12"/>
  <c r="V607" i="12"/>
  <c r="Q607" i="12"/>
  <c r="M607" i="12"/>
  <c r="L607" i="12"/>
  <c r="K607" i="12"/>
  <c r="J607" i="12"/>
  <c r="I607" i="12"/>
  <c r="H607" i="12"/>
  <c r="G607" i="12"/>
  <c r="F607" i="12"/>
  <c r="E607" i="12"/>
  <c r="D607" i="12"/>
  <c r="C607" i="12"/>
  <c r="B607" i="12"/>
  <c r="A607" i="12"/>
  <c r="BD606" i="12"/>
  <c r="BC606" i="12"/>
  <c r="BA606" i="12"/>
  <c r="AX606" i="12"/>
  <c r="AU606" i="12"/>
  <c r="AS606" i="12"/>
  <c r="AN606" i="12"/>
  <c r="AH606" i="12"/>
  <c r="AG606" i="12"/>
  <c r="AD606" i="12"/>
  <c r="AA606" i="12"/>
  <c r="Z606" i="12"/>
  <c r="Y606" i="12"/>
  <c r="X606" i="12"/>
  <c r="V606" i="12"/>
  <c r="U606" i="12"/>
  <c r="T606" i="12"/>
  <c r="S606" i="12"/>
  <c r="R606" i="12"/>
  <c r="Q606" i="12"/>
  <c r="P606" i="12"/>
  <c r="N606" i="12"/>
  <c r="K606" i="12"/>
  <c r="J606" i="12"/>
  <c r="I606" i="12"/>
  <c r="G606" i="12"/>
  <c r="F606" i="12"/>
  <c r="E606" i="12"/>
  <c r="D606" i="12"/>
  <c r="C606" i="12"/>
  <c r="B606" i="12"/>
  <c r="A606" i="12"/>
  <c r="BD605" i="12"/>
  <c r="BC605" i="12"/>
  <c r="BA605" i="12"/>
  <c r="AX605" i="12"/>
  <c r="AU605" i="12"/>
  <c r="AS605" i="12"/>
  <c r="AN605" i="12"/>
  <c r="AH605" i="12"/>
  <c r="AG605" i="12"/>
  <c r="AD605" i="12"/>
  <c r="AA605" i="12"/>
  <c r="X605" i="12"/>
  <c r="T605" i="12"/>
  <c r="S605" i="12"/>
  <c r="R605" i="12"/>
  <c r="Q605" i="12"/>
  <c r="P605" i="12"/>
  <c r="N605" i="12"/>
  <c r="K605" i="12"/>
  <c r="J605" i="12"/>
  <c r="I605" i="12"/>
  <c r="G605" i="12"/>
  <c r="F605" i="12"/>
  <c r="E605" i="12"/>
  <c r="D605" i="12"/>
  <c r="C605" i="12"/>
  <c r="B605" i="12"/>
  <c r="A605" i="12"/>
  <c r="BD604" i="12"/>
  <c r="BC604" i="12"/>
  <c r="BA604" i="12"/>
  <c r="AX604" i="12"/>
  <c r="AU604" i="12"/>
  <c r="AR604" i="12"/>
  <c r="AL604" i="12"/>
  <c r="AK604" i="12"/>
  <c r="AH604" i="12"/>
  <c r="AG604" i="12"/>
  <c r="AA604" i="12"/>
  <c r="Y604" i="12"/>
  <c r="X604" i="12"/>
  <c r="W604" i="12"/>
  <c r="V604" i="12"/>
  <c r="U604" i="12"/>
  <c r="Q604" i="12"/>
  <c r="M604" i="12"/>
  <c r="L604" i="12"/>
  <c r="K604" i="12"/>
  <c r="J604" i="12"/>
  <c r="I604" i="12"/>
  <c r="H604" i="12"/>
  <c r="G604" i="12"/>
  <c r="F604" i="12"/>
  <c r="E604" i="12"/>
  <c r="D604" i="12"/>
  <c r="C604" i="12"/>
  <c r="B604" i="12"/>
  <c r="A604" i="12"/>
  <c r="BD603" i="12"/>
  <c r="BC603" i="12"/>
  <c r="BA603" i="12"/>
  <c r="AX603" i="12"/>
  <c r="AU603" i="12"/>
  <c r="AR603" i="12"/>
  <c r="AP603" i="12"/>
  <c r="AL603" i="12"/>
  <c r="AK603" i="12"/>
  <c r="AH603" i="12"/>
  <c r="AG603" i="12"/>
  <c r="AA603" i="12"/>
  <c r="Y603" i="12"/>
  <c r="X603" i="12"/>
  <c r="V603" i="12"/>
  <c r="U603" i="12"/>
  <c r="Q603" i="12"/>
  <c r="M603" i="12"/>
  <c r="L603" i="12"/>
  <c r="K603" i="12"/>
  <c r="J603" i="12"/>
  <c r="I603" i="12"/>
  <c r="H603" i="12"/>
  <c r="G603" i="12"/>
  <c r="F603" i="12"/>
  <c r="E603" i="12"/>
  <c r="D603" i="12"/>
  <c r="C603" i="12"/>
  <c r="B603" i="12"/>
  <c r="A603" i="12"/>
  <c r="BD602" i="12"/>
  <c r="BC602" i="12"/>
  <c r="BA602" i="12"/>
  <c r="AX602" i="12"/>
  <c r="AU602" i="12"/>
  <c r="AS602" i="12"/>
  <c r="AN602" i="12"/>
  <c r="AH602" i="12"/>
  <c r="AG602" i="12"/>
  <c r="AD602" i="12"/>
  <c r="Z602" i="12"/>
  <c r="Y602" i="12"/>
  <c r="X602" i="12"/>
  <c r="V602" i="12"/>
  <c r="U602" i="12"/>
  <c r="T602" i="12"/>
  <c r="S602" i="12"/>
  <c r="Q602" i="12"/>
  <c r="P602" i="12"/>
  <c r="N602" i="12"/>
  <c r="L602" i="12"/>
  <c r="K602" i="12"/>
  <c r="J602" i="12"/>
  <c r="I602" i="12"/>
  <c r="G602" i="12"/>
  <c r="F602" i="12"/>
  <c r="E602" i="12"/>
  <c r="D602" i="12"/>
  <c r="C602" i="12"/>
  <c r="B602" i="12"/>
  <c r="A602" i="12"/>
  <c r="BD601" i="12"/>
  <c r="BC601" i="12"/>
  <c r="BA601" i="12"/>
  <c r="AX601" i="12"/>
  <c r="AU601" i="12"/>
  <c r="AS601" i="12"/>
  <c r="AN601" i="12"/>
  <c r="AH601" i="12"/>
  <c r="AG601" i="12"/>
  <c r="AD601" i="12"/>
  <c r="Z601" i="12"/>
  <c r="Y601" i="12"/>
  <c r="X601" i="12"/>
  <c r="V601" i="12"/>
  <c r="U601" i="12"/>
  <c r="T601" i="12"/>
  <c r="S601" i="12"/>
  <c r="Q601" i="12"/>
  <c r="P601" i="12"/>
  <c r="N601" i="12"/>
  <c r="L601" i="12"/>
  <c r="K601" i="12"/>
  <c r="J601" i="12"/>
  <c r="I601" i="12"/>
  <c r="G601" i="12"/>
  <c r="F601" i="12"/>
  <c r="E601" i="12"/>
  <c r="D601" i="12"/>
  <c r="C601" i="12"/>
  <c r="B601" i="12"/>
  <c r="A601" i="12"/>
  <c r="BE600" i="12"/>
  <c r="BD600" i="12"/>
  <c r="BC600" i="12"/>
  <c r="BA600" i="12"/>
  <c r="AX600" i="12"/>
  <c r="AV600" i="12"/>
  <c r="AU600" i="12"/>
  <c r="AS600" i="12"/>
  <c r="AQ600" i="12"/>
  <c r="AP600" i="12"/>
  <c r="AO600" i="12"/>
  <c r="AL600" i="12"/>
  <c r="AK600" i="12"/>
  <c r="AJ600" i="12"/>
  <c r="AI600" i="12"/>
  <c r="AH600" i="12"/>
  <c r="AG600" i="12"/>
  <c r="AD600" i="12"/>
  <c r="AC600" i="12"/>
  <c r="AA600" i="12"/>
  <c r="Z600" i="12"/>
  <c r="Y600" i="12"/>
  <c r="X600" i="12"/>
  <c r="W600" i="12"/>
  <c r="V600" i="12"/>
  <c r="U600" i="12"/>
  <c r="T600" i="12"/>
  <c r="S600" i="12"/>
  <c r="R600" i="12"/>
  <c r="Q600" i="12"/>
  <c r="M600" i="12"/>
  <c r="L600" i="12"/>
  <c r="K600" i="12"/>
  <c r="J600" i="12"/>
  <c r="I600" i="12"/>
  <c r="G600" i="12"/>
  <c r="F600" i="12"/>
  <c r="E600" i="12"/>
  <c r="D600" i="12"/>
  <c r="C600" i="12"/>
  <c r="B600" i="12"/>
  <c r="A600" i="12"/>
  <c r="BD599" i="12"/>
  <c r="BC599" i="12"/>
  <c r="BA599" i="12"/>
  <c r="AU599" i="12"/>
  <c r="AH599" i="12"/>
  <c r="AG599" i="12"/>
  <c r="T599" i="12"/>
  <c r="Q599" i="12"/>
  <c r="K599" i="12"/>
  <c r="G599" i="12"/>
  <c r="F599" i="12"/>
  <c r="E599" i="12"/>
  <c r="D599" i="12"/>
  <c r="C599" i="12"/>
  <c r="B599" i="12"/>
  <c r="A599" i="12"/>
  <c r="BE598" i="12"/>
  <c r="BD598" i="12"/>
  <c r="BC598" i="12"/>
  <c r="BA598" i="12"/>
  <c r="AX598" i="12"/>
  <c r="AV598" i="12"/>
  <c r="AU598" i="12"/>
  <c r="AS598" i="12"/>
  <c r="AQ598" i="12"/>
  <c r="AP598" i="12"/>
  <c r="AO598" i="12"/>
  <c r="AN598" i="12"/>
  <c r="AL598" i="12"/>
  <c r="AK598" i="12"/>
  <c r="AH598" i="12"/>
  <c r="AG598" i="12"/>
  <c r="AD598" i="12"/>
  <c r="AC598" i="12"/>
  <c r="AA598" i="12"/>
  <c r="Z598" i="12"/>
  <c r="Y598" i="12"/>
  <c r="X598" i="12"/>
  <c r="W598" i="12"/>
  <c r="V598" i="12"/>
  <c r="U598" i="12"/>
  <c r="T598" i="12"/>
  <c r="S598" i="12"/>
  <c r="R598" i="12"/>
  <c r="Q598" i="12"/>
  <c r="P598" i="12"/>
  <c r="O598" i="12"/>
  <c r="N598" i="12"/>
  <c r="M598" i="12"/>
  <c r="L598" i="12"/>
  <c r="K598" i="12"/>
  <c r="J598" i="12"/>
  <c r="I598" i="12"/>
  <c r="G598" i="12"/>
  <c r="F598" i="12"/>
  <c r="E598" i="12"/>
  <c r="D598" i="12"/>
  <c r="C598" i="12"/>
  <c r="B598" i="12"/>
  <c r="A598" i="12"/>
  <c r="BE597" i="12"/>
  <c r="BD597" i="12"/>
  <c r="BC597" i="12"/>
  <c r="BA597" i="12"/>
  <c r="AX597" i="12"/>
  <c r="AV597" i="12"/>
  <c r="AU597" i="12"/>
  <c r="AS597" i="12"/>
  <c r="AQ597" i="12"/>
  <c r="AP597" i="12"/>
  <c r="AO597" i="12"/>
  <c r="AN597" i="12"/>
  <c r="AL597" i="12"/>
  <c r="AK597" i="12"/>
  <c r="AH597" i="12"/>
  <c r="AG597" i="12"/>
  <c r="AD597" i="12"/>
  <c r="AC597" i="12"/>
  <c r="AA597" i="12"/>
  <c r="Z597" i="12"/>
  <c r="Y597" i="12"/>
  <c r="X597" i="12"/>
  <c r="W597" i="12"/>
  <c r="V597" i="12"/>
  <c r="U597" i="12"/>
  <c r="T597" i="12"/>
  <c r="S597" i="12"/>
  <c r="R597" i="12"/>
  <c r="Q597" i="12"/>
  <c r="P597" i="12"/>
  <c r="O597" i="12"/>
  <c r="N597" i="12"/>
  <c r="L597" i="12"/>
  <c r="K597" i="12"/>
  <c r="J597" i="12"/>
  <c r="I597" i="12"/>
  <c r="G597" i="12"/>
  <c r="F597" i="12"/>
  <c r="E597" i="12"/>
  <c r="D597" i="12"/>
  <c r="C597" i="12"/>
  <c r="B597" i="12"/>
  <c r="A597" i="12"/>
  <c r="BD596" i="12"/>
  <c r="BC596" i="12"/>
  <c r="BA596" i="12"/>
  <c r="AX596" i="12"/>
  <c r="AU596" i="12"/>
  <c r="AH596" i="12"/>
  <c r="AG596" i="12"/>
  <c r="T596" i="12"/>
  <c r="S596" i="12"/>
  <c r="R596" i="12"/>
  <c r="Q596" i="12"/>
  <c r="K596" i="12"/>
  <c r="G596" i="12"/>
  <c r="F596" i="12"/>
  <c r="E596" i="12"/>
  <c r="D596" i="12"/>
  <c r="C596" i="12"/>
  <c r="B596" i="12"/>
  <c r="A596" i="12"/>
  <c r="BE595" i="12"/>
  <c r="BD595" i="12"/>
  <c r="BC595" i="12"/>
  <c r="BA595" i="12"/>
  <c r="AX595" i="12"/>
  <c r="AU595" i="12"/>
  <c r="AS595" i="12"/>
  <c r="AQ595" i="12"/>
  <c r="AP595" i="12"/>
  <c r="AO595" i="12"/>
  <c r="AN595" i="12"/>
  <c r="AL595" i="12"/>
  <c r="AK595" i="12"/>
  <c r="AJ595" i="12"/>
  <c r="AI595" i="12"/>
  <c r="AH595" i="12"/>
  <c r="AG595" i="12"/>
  <c r="AD595" i="12"/>
  <c r="AC595" i="12"/>
  <c r="AB595" i="12"/>
  <c r="AA595" i="12"/>
  <c r="Z595" i="12"/>
  <c r="Y595" i="12"/>
  <c r="X595" i="12"/>
  <c r="W595" i="12"/>
  <c r="V595" i="12"/>
  <c r="U595" i="12"/>
  <c r="T595" i="12"/>
  <c r="S595" i="12"/>
  <c r="R595" i="12"/>
  <c r="Q595" i="12"/>
  <c r="P595" i="12"/>
  <c r="K595" i="12"/>
  <c r="J595" i="12"/>
  <c r="I595" i="12"/>
  <c r="G595" i="12"/>
  <c r="F595" i="12"/>
  <c r="E595" i="12"/>
  <c r="D595" i="12"/>
  <c r="C595" i="12"/>
  <c r="B595" i="12"/>
  <c r="A595" i="12"/>
  <c r="BD594" i="12"/>
  <c r="BC594" i="12"/>
  <c r="BA594" i="12"/>
  <c r="AU594" i="12"/>
  <c r="AH594" i="12"/>
  <c r="AG594" i="12"/>
  <c r="Q594" i="12"/>
  <c r="K594" i="12"/>
  <c r="G594" i="12"/>
  <c r="F594" i="12"/>
  <c r="E594" i="12"/>
  <c r="D594" i="12"/>
  <c r="C594" i="12"/>
  <c r="B594" i="12"/>
  <c r="A594" i="12"/>
  <c r="BE593" i="12"/>
  <c r="BD593" i="12"/>
  <c r="BC593" i="12"/>
  <c r="BA593" i="12"/>
  <c r="AX593" i="12"/>
  <c r="AU593" i="12"/>
  <c r="AS593" i="12"/>
  <c r="AQ593" i="12"/>
  <c r="AP593" i="12"/>
  <c r="AO593" i="12"/>
  <c r="AN593" i="12"/>
  <c r="AL593" i="12"/>
  <c r="AK593" i="12"/>
  <c r="AH593" i="12"/>
  <c r="AG593" i="12"/>
  <c r="AD593" i="12"/>
  <c r="AC593" i="12"/>
  <c r="AA593" i="12"/>
  <c r="Z593" i="12"/>
  <c r="Y593" i="12"/>
  <c r="X593" i="12"/>
  <c r="W593" i="12"/>
  <c r="V593" i="12"/>
  <c r="U593" i="12"/>
  <c r="T593" i="12"/>
  <c r="S593" i="12"/>
  <c r="R593" i="12"/>
  <c r="Q593" i="12"/>
  <c r="P593" i="12"/>
  <c r="O593" i="12"/>
  <c r="N593" i="12"/>
  <c r="M593" i="12"/>
  <c r="L593" i="12"/>
  <c r="K593" i="12"/>
  <c r="J593" i="12"/>
  <c r="I593" i="12"/>
  <c r="G593" i="12"/>
  <c r="F593" i="12"/>
  <c r="E593" i="12"/>
  <c r="D593" i="12"/>
  <c r="C593" i="12"/>
  <c r="B593" i="12"/>
  <c r="A593" i="12"/>
  <c r="BE592" i="12"/>
  <c r="BD592" i="12"/>
  <c r="BC592" i="12"/>
  <c r="BA592" i="12"/>
  <c r="AX592" i="12"/>
  <c r="AU592" i="12"/>
  <c r="AT592" i="12"/>
  <c r="AS592" i="12"/>
  <c r="AQ592" i="12"/>
  <c r="AP592" i="12"/>
  <c r="AO592" i="12"/>
  <c r="AN592" i="12"/>
  <c r="AM592" i="12"/>
  <c r="AK592" i="12"/>
  <c r="AH592" i="12"/>
  <c r="AG592" i="12"/>
  <c r="AD592" i="12"/>
  <c r="AC592" i="12"/>
  <c r="AA592" i="12"/>
  <c r="Z592" i="12"/>
  <c r="Y592" i="12"/>
  <c r="X592" i="12"/>
  <c r="W592" i="12"/>
  <c r="V592" i="12"/>
  <c r="U592" i="12"/>
  <c r="T592" i="12"/>
  <c r="S592" i="12"/>
  <c r="R592" i="12"/>
  <c r="Q592" i="12"/>
  <c r="P592" i="12"/>
  <c r="L592" i="12"/>
  <c r="K592" i="12"/>
  <c r="J592" i="12"/>
  <c r="I592" i="12"/>
  <c r="G592" i="12"/>
  <c r="F592" i="12"/>
  <c r="E592" i="12"/>
  <c r="D592" i="12"/>
  <c r="C592" i="12"/>
  <c r="B592" i="12"/>
  <c r="A592" i="12"/>
  <c r="BE591" i="12"/>
  <c r="BD591" i="12"/>
  <c r="BC591" i="12"/>
  <c r="AX591" i="12"/>
  <c r="AU591" i="12"/>
  <c r="AT591" i="12"/>
  <c r="AS591" i="12"/>
  <c r="AQ591" i="12"/>
  <c r="AP591" i="12"/>
  <c r="AO591" i="12"/>
  <c r="AN591" i="12"/>
  <c r="AL591" i="12"/>
  <c r="AH591" i="12"/>
  <c r="AG591" i="12"/>
  <c r="AD591" i="12"/>
  <c r="AC591" i="12"/>
  <c r="AA591" i="12"/>
  <c r="Z591" i="12"/>
  <c r="Y591" i="12"/>
  <c r="X591" i="12"/>
  <c r="W591" i="12"/>
  <c r="V591" i="12"/>
  <c r="U591" i="12"/>
  <c r="T591" i="12"/>
  <c r="S591" i="12"/>
  <c r="R591" i="12"/>
  <c r="Q591" i="12"/>
  <c r="P591" i="12"/>
  <c r="M591" i="12"/>
  <c r="L591" i="12"/>
  <c r="K591" i="12"/>
  <c r="J591" i="12"/>
  <c r="I591" i="12"/>
  <c r="G591" i="12"/>
  <c r="F591" i="12"/>
  <c r="E591" i="12"/>
  <c r="D591" i="12"/>
  <c r="C591" i="12"/>
  <c r="B591" i="12"/>
  <c r="A591" i="12"/>
  <c r="BE590" i="12"/>
  <c r="BD590" i="12"/>
  <c r="BC590" i="12"/>
  <c r="AX590" i="12"/>
  <c r="AU590" i="12"/>
  <c r="AT590" i="12"/>
  <c r="AS590" i="12"/>
  <c r="AQ590" i="12"/>
  <c r="AP590" i="12"/>
  <c r="AO590" i="12"/>
  <c r="AN590" i="12"/>
  <c r="AL590" i="12"/>
  <c r="AK590" i="12"/>
  <c r="AH590" i="12"/>
  <c r="AG590" i="12"/>
  <c r="AD590" i="12"/>
  <c r="AC590" i="12"/>
  <c r="AB590" i="12"/>
  <c r="AA590" i="12"/>
  <c r="Z590" i="12"/>
  <c r="Y590" i="12"/>
  <c r="X590" i="12"/>
  <c r="W590" i="12"/>
  <c r="V590" i="12"/>
  <c r="U590" i="12"/>
  <c r="T590" i="12"/>
  <c r="S590" i="12"/>
  <c r="R590" i="12"/>
  <c r="Q590" i="12"/>
  <c r="P590" i="12"/>
  <c r="O590" i="12"/>
  <c r="N590" i="12"/>
  <c r="M590" i="12"/>
  <c r="L590" i="12"/>
  <c r="K590" i="12"/>
  <c r="J590" i="12"/>
  <c r="I590" i="12"/>
  <c r="G590" i="12"/>
  <c r="F590" i="12"/>
  <c r="E590" i="12"/>
  <c r="D590" i="12"/>
  <c r="C590" i="12"/>
  <c r="B590" i="12"/>
  <c r="A590" i="12"/>
  <c r="BE589" i="12"/>
  <c r="BD589" i="12"/>
  <c r="BC589" i="12"/>
  <c r="BA589" i="12"/>
  <c r="AX589" i="12"/>
  <c r="AU589" i="12"/>
  <c r="AS589" i="12"/>
  <c r="AQ589" i="12"/>
  <c r="AP589" i="12"/>
  <c r="AO589" i="12"/>
  <c r="AN589" i="12"/>
  <c r="AL589" i="12"/>
  <c r="AK589" i="12"/>
  <c r="AJ589" i="12"/>
  <c r="AI589" i="12"/>
  <c r="AH589" i="12"/>
  <c r="AG589" i="12"/>
  <c r="AD589" i="12"/>
  <c r="AC589" i="12"/>
  <c r="AA589" i="12"/>
  <c r="Z589" i="12"/>
  <c r="Y589" i="12"/>
  <c r="X589" i="12"/>
  <c r="W589" i="12"/>
  <c r="V589" i="12"/>
  <c r="U589" i="12"/>
  <c r="T589" i="12"/>
  <c r="S589" i="12"/>
  <c r="Q589" i="12"/>
  <c r="P589" i="12"/>
  <c r="M589" i="12"/>
  <c r="L589" i="12"/>
  <c r="K589" i="12"/>
  <c r="J589" i="12"/>
  <c r="I589" i="12"/>
  <c r="G589" i="12"/>
  <c r="F589" i="12"/>
  <c r="E589" i="12"/>
  <c r="D589" i="12"/>
  <c r="C589" i="12"/>
  <c r="B589" i="12"/>
  <c r="A589" i="12"/>
  <c r="BE588" i="12"/>
  <c r="BD588" i="12"/>
  <c r="BC588" i="12"/>
  <c r="BA588" i="12"/>
  <c r="AX588" i="12"/>
  <c r="AU588" i="12"/>
  <c r="AS588" i="12"/>
  <c r="AQ588" i="12"/>
  <c r="AP588" i="12"/>
  <c r="AO588" i="12"/>
  <c r="AN588" i="12"/>
  <c r="AL588" i="12"/>
  <c r="AK588" i="12"/>
  <c r="AJ588" i="12"/>
  <c r="AI588" i="12"/>
  <c r="AH588" i="12"/>
  <c r="AG588" i="12"/>
  <c r="AD588" i="12"/>
  <c r="AC588" i="12"/>
  <c r="AA588" i="12"/>
  <c r="Z588" i="12"/>
  <c r="Y588" i="12"/>
  <c r="X588" i="12"/>
  <c r="W588" i="12"/>
  <c r="V588" i="12"/>
  <c r="U588" i="12"/>
  <c r="T588" i="12"/>
  <c r="S588" i="12"/>
  <c r="R588" i="12"/>
  <c r="Q588" i="12"/>
  <c r="P588" i="12"/>
  <c r="M588" i="12"/>
  <c r="L588" i="12"/>
  <c r="K588" i="12"/>
  <c r="J588" i="12"/>
  <c r="I588" i="12"/>
  <c r="G588" i="12"/>
  <c r="F588" i="12"/>
  <c r="E588" i="12"/>
  <c r="D588" i="12"/>
  <c r="C588" i="12"/>
  <c r="B588" i="12"/>
  <c r="A588" i="12"/>
  <c r="BE587" i="12"/>
  <c r="BD587" i="12"/>
  <c r="BC587" i="12"/>
  <c r="BA587" i="12"/>
  <c r="AX587" i="12"/>
  <c r="AU587" i="12"/>
  <c r="AQ587" i="12"/>
  <c r="AP587" i="12"/>
  <c r="AO587" i="12"/>
  <c r="AN587" i="12"/>
  <c r="AL587" i="12"/>
  <c r="AK587" i="12"/>
  <c r="AJ587" i="12"/>
  <c r="AI587" i="12"/>
  <c r="AH587" i="12"/>
  <c r="AG587" i="12"/>
  <c r="AD587" i="12"/>
  <c r="AC587" i="12"/>
  <c r="AA587" i="12"/>
  <c r="Z587" i="12"/>
  <c r="Y587" i="12"/>
  <c r="X587" i="12"/>
  <c r="W587" i="12"/>
  <c r="V587" i="12"/>
  <c r="U587" i="12"/>
  <c r="T587" i="12"/>
  <c r="S587" i="12"/>
  <c r="R587" i="12"/>
  <c r="Q587" i="12"/>
  <c r="P587" i="12"/>
  <c r="M587" i="12"/>
  <c r="L587" i="12"/>
  <c r="K587" i="12"/>
  <c r="J587" i="12"/>
  <c r="I587" i="12"/>
  <c r="G587" i="12"/>
  <c r="F587" i="12"/>
  <c r="E587" i="12"/>
  <c r="D587" i="12"/>
  <c r="C587" i="12"/>
  <c r="B587" i="12"/>
  <c r="A587" i="12"/>
  <c r="BE586" i="12"/>
  <c r="BD586" i="12"/>
  <c r="BC586" i="12"/>
  <c r="BB586" i="12"/>
  <c r="AX586" i="12"/>
  <c r="AU586" i="12"/>
  <c r="AS586" i="12"/>
  <c r="AQ586" i="12"/>
  <c r="AP586" i="12"/>
  <c r="AO586" i="12"/>
  <c r="AN586" i="12"/>
  <c r="AM586" i="12"/>
  <c r="AL586" i="12"/>
  <c r="AK586" i="12"/>
  <c r="AH586" i="12"/>
  <c r="AG586" i="12"/>
  <c r="AD586" i="12"/>
  <c r="AC586" i="12"/>
  <c r="AA586" i="12"/>
  <c r="Z586" i="12"/>
  <c r="Y586" i="12"/>
  <c r="X586" i="12"/>
  <c r="W586" i="12"/>
  <c r="V586" i="12"/>
  <c r="U586" i="12"/>
  <c r="T586" i="12"/>
  <c r="S586" i="12"/>
  <c r="R586" i="12"/>
  <c r="Q586" i="12"/>
  <c r="P586" i="12"/>
  <c r="O586" i="12"/>
  <c r="N586" i="12"/>
  <c r="L586" i="12"/>
  <c r="K586" i="12"/>
  <c r="J586" i="12"/>
  <c r="I586" i="12"/>
  <c r="G586" i="12"/>
  <c r="F586" i="12"/>
  <c r="E586" i="12"/>
  <c r="D586" i="12"/>
  <c r="C586" i="12"/>
  <c r="B586" i="12"/>
  <c r="A586" i="12"/>
  <c r="BE585" i="12"/>
  <c r="BD585" i="12"/>
  <c r="BC585" i="12"/>
  <c r="BB585" i="12"/>
  <c r="AX585" i="12"/>
  <c r="AU585" i="12"/>
  <c r="AS585" i="12"/>
  <c r="AQ585" i="12"/>
  <c r="AP585" i="12"/>
  <c r="AO585" i="12"/>
  <c r="AN585" i="12"/>
  <c r="AM585" i="12"/>
  <c r="AL585" i="12"/>
  <c r="AK585" i="12"/>
  <c r="AH585" i="12"/>
  <c r="AG585" i="12"/>
  <c r="AD585" i="12"/>
  <c r="AC585" i="12"/>
  <c r="AA585" i="12"/>
  <c r="Z585" i="12"/>
  <c r="Y585" i="12"/>
  <c r="X585" i="12"/>
  <c r="W585" i="12"/>
  <c r="V585" i="12"/>
  <c r="U585" i="12"/>
  <c r="T585" i="12"/>
  <c r="S585" i="12"/>
  <c r="R585" i="12"/>
  <c r="Q585" i="12"/>
  <c r="P585" i="12"/>
  <c r="O585" i="12"/>
  <c r="N585" i="12"/>
  <c r="L585" i="12"/>
  <c r="K585" i="12"/>
  <c r="J585" i="12"/>
  <c r="I585" i="12"/>
  <c r="G585" i="12"/>
  <c r="F585" i="12"/>
  <c r="E585" i="12"/>
  <c r="D585" i="12"/>
  <c r="C585" i="12"/>
  <c r="B585" i="12"/>
  <c r="A585" i="12"/>
  <c r="BC584" i="12"/>
  <c r="BA584" i="12"/>
  <c r="AU584" i="12"/>
  <c r="AH584" i="12"/>
  <c r="AG584" i="12"/>
  <c r="K584" i="12"/>
  <c r="G584" i="12"/>
  <c r="F584" i="12"/>
  <c r="E584" i="12"/>
  <c r="D584" i="12"/>
  <c r="C584" i="12"/>
  <c r="B584" i="12"/>
  <c r="A584" i="12"/>
  <c r="BC583" i="12"/>
  <c r="BA583" i="12"/>
  <c r="AX583" i="12"/>
  <c r="AU583" i="12"/>
  <c r="AH583" i="12"/>
  <c r="AG583" i="12"/>
  <c r="T583" i="12"/>
  <c r="R583" i="12"/>
  <c r="Q583" i="12"/>
  <c r="K583" i="12"/>
  <c r="G583" i="12"/>
  <c r="F583" i="12"/>
  <c r="E583" i="12"/>
  <c r="D583" i="12"/>
  <c r="C583" i="12"/>
  <c r="B583" i="12"/>
  <c r="A583" i="12"/>
  <c r="BE582" i="12"/>
  <c r="BD582" i="12"/>
  <c r="BC582" i="12"/>
  <c r="BB582" i="12"/>
  <c r="AX582" i="12"/>
  <c r="AU582" i="12"/>
  <c r="AS582" i="12"/>
  <c r="AQ582" i="12"/>
  <c r="AP582" i="12"/>
  <c r="AO582" i="12"/>
  <c r="AN582" i="12"/>
  <c r="AM582" i="12"/>
  <c r="AL582" i="12"/>
  <c r="AK582" i="12"/>
  <c r="AG582" i="12"/>
  <c r="AD582" i="12"/>
  <c r="AC582" i="12"/>
  <c r="AA582" i="12"/>
  <c r="Z582" i="12"/>
  <c r="Y582" i="12"/>
  <c r="X582" i="12"/>
  <c r="W582" i="12"/>
  <c r="V582" i="12"/>
  <c r="U582" i="12"/>
  <c r="T582" i="12"/>
  <c r="S582" i="12"/>
  <c r="R582" i="12"/>
  <c r="Q582" i="12"/>
  <c r="P582" i="12"/>
  <c r="O582" i="12"/>
  <c r="N582" i="12"/>
  <c r="L582" i="12"/>
  <c r="K582" i="12"/>
  <c r="J582" i="12"/>
  <c r="I582" i="12"/>
  <c r="G582" i="12"/>
  <c r="F582" i="12"/>
  <c r="E582" i="12"/>
  <c r="D582" i="12"/>
  <c r="C582" i="12"/>
  <c r="B582" i="12"/>
  <c r="A582" i="12"/>
  <c r="BD581" i="12"/>
  <c r="BC581" i="12"/>
  <c r="BA581" i="12"/>
  <c r="AX581" i="12"/>
  <c r="AV581" i="12"/>
  <c r="AU581" i="12"/>
  <c r="AS581" i="12"/>
  <c r="AP581" i="12"/>
  <c r="AO581" i="12"/>
  <c r="AN581" i="12"/>
  <c r="AL581" i="12"/>
  <c r="AK581" i="12"/>
  <c r="AH581" i="12"/>
  <c r="AG581" i="12"/>
  <c r="AD581" i="12"/>
  <c r="AC581" i="12"/>
  <c r="AA581" i="12"/>
  <c r="Z581" i="12"/>
  <c r="Y581" i="12"/>
  <c r="X581" i="12"/>
  <c r="W581" i="12"/>
  <c r="V581" i="12"/>
  <c r="U581" i="12"/>
  <c r="T581" i="12"/>
  <c r="S581" i="12"/>
  <c r="Q581" i="12"/>
  <c r="P581" i="12"/>
  <c r="K581" i="12"/>
  <c r="J581" i="12"/>
  <c r="I581" i="12"/>
  <c r="G581" i="12"/>
  <c r="F581" i="12"/>
  <c r="E581" i="12"/>
  <c r="D581" i="12"/>
  <c r="C581" i="12"/>
  <c r="B581" i="12"/>
  <c r="A581" i="12"/>
  <c r="BD580" i="12"/>
  <c r="BC580" i="12"/>
  <c r="BA580" i="12"/>
  <c r="AX580" i="12"/>
  <c r="AV580" i="12"/>
  <c r="AU580" i="12"/>
  <c r="AS580" i="12"/>
  <c r="AP580" i="12"/>
  <c r="AO580" i="12"/>
  <c r="AN580" i="12"/>
  <c r="AL580" i="12"/>
  <c r="AK580" i="12"/>
  <c r="AH580" i="12"/>
  <c r="AG580" i="12"/>
  <c r="AD580" i="12"/>
  <c r="AC580" i="12"/>
  <c r="AA580" i="12"/>
  <c r="Z580" i="12"/>
  <c r="Y580" i="12"/>
  <c r="X580" i="12"/>
  <c r="W580" i="12"/>
  <c r="V580" i="12"/>
  <c r="U580" i="12"/>
  <c r="S580" i="12"/>
  <c r="Q580" i="12"/>
  <c r="P580" i="12"/>
  <c r="K580" i="12"/>
  <c r="J580" i="12"/>
  <c r="I580" i="12"/>
  <c r="G580" i="12"/>
  <c r="F580" i="12"/>
  <c r="E580" i="12"/>
  <c r="D580" i="12"/>
  <c r="C580" i="12"/>
  <c r="B580" i="12"/>
  <c r="A580" i="12"/>
  <c r="BE579" i="12"/>
  <c r="BD579" i="12"/>
  <c r="BC579" i="12"/>
  <c r="BB579" i="12"/>
  <c r="AX579" i="12"/>
  <c r="AU579" i="12"/>
  <c r="AS579" i="12"/>
  <c r="AQ579" i="12"/>
  <c r="AP579" i="12"/>
  <c r="AO579" i="12"/>
  <c r="AN579" i="12"/>
  <c r="AM579" i="12"/>
  <c r="AL579" i="12"/>
  <c r="AK579" i="12"/>
  <c r="AG579" i="12"/>
  <c r="AD579" i="12"/>
  <c r="AC579" i="12"/>
  <c r="AA579" i="12"/>
  <c r="Z579" i="12"/>
  <c r="Y579" i="12"/>
  <c r="X579" i="12"/>
  <c r="W579" i="12"/>
  <c r="V579" i="12"/>
  <c r="U579" i="12"/>
  <c r="T579" i="12"/>
  <c r="S579" i="12"/>
  <c r="R579" i="12"/>
  <c r="Q579" i="12"/>
  <c r="P579" i="12"/>
  <c r="O579" i="12"/>
  <c r="N579" i="12"/>
  <c r="L579" i="12"/>
  <c r="K579" i="12"/>
  <c r="J579" i="12"/>
  <c r="I579" i="12"/>
  <c r="G579" i="12"/>
  <c r="F579" i="12"/>
  <c r="E579" i="12"/>
  <c r="D579" i="12"/>
  <c r="C579" i="12"/>
  <c r="B579" i="12"/>
  <c r="A579" i="12"/>
  <c r="BE578" i="12"/>
  <c r="BD578" i="12"/>
  <c r="BC578" i="12"/>
  <c r="BB578" i="12"/>
  <c r="AX578" i="12"/>
  <c r="AU578" i="12"/>
  <c r="AS578" i="12"/>
  <c r="AQ578" i="12"/>
  <c r="AP578" i="12"/>
  <c r="AO578" i="12"/>
  <c r="AN578" i="12"/>
  <c r="AM578" i="12"/>
  <c r="AL578" i="12"/>
  <c r="AK578" i="12"/>
  <c r="AG578" i="12"/>
  <c r="AD578" i="12"/>
  <c r="AC578" i="12"/>
  <c r="AA578" i="12"/>
  <c r="Z578" i="12"/>
  <c r="Y578" i="12"/>
  <c r="X578" i="12"/>
  <c r="V578" i="12"/>
  <c r="U578" i="12"/>
  <c r="T578" i="12"/>
  <c r="S578" i="12"/>
  <c r="R578" i="12"/>
  <c r="Q578" i="12"/>
  <c r="P578" i="12"/>
  <c r="O578" i="12"/>
  <c r="N578" i="12"/>
  <c r="L578" i="12"/>
  <c r="K578" i="12"/>
  <c r="J578" i="12"/>
  <c r="I578" i="12"/>
  <c r="G578" i="12"/>
  <c r="F578" i="12"/>
  <c r="E578" i="12"/>
  <c r="D578" i="12"/>
  <c r="C578" i="12"/>
  <c r="B578" i="12"/>
  <c r="A578" i="12"/>
  <c r="BE577" i="12"/>
  <c r="BD577" i="12"/>
  <c r="BC577" i="12"/>
  <c r="BB577" i="12"/>
  <c r="AX577" i="12"/>
  <c r="AU577" i="12"/>
  <c r="AS577" i="12"/>
  <c r="AQ577" i="12"/>
  <c r="AP577" i="12"/>
  <c r="AO577" i="12"/>
  <c r="AN577" i="12"/>
  <c r="AM577" i="12"/>
  <c r="AL577" i="12"/>
  <c r="AH577" i="12"/>
  <c r="AG577" i="12"/>
  <c r="AD577" i="12"/>
  <c r="AC577" i="12"/>
  <c r="AA577" i="12"/>
  <c r="Z577" i="12"/>
  <c r="Y577" i="12"/>
  <c r="X577" i="12"/>
  <c r="W577" i="12"/>
  <c r="V577" i="12"/>
  <c r="U577" i="12"/>
  <c r="T577" i="12"/>
  <c r="S577" i="12"/>
  <c r="R577" i="12"/>
  <c r="Q577" i="12"/>
  <c r="P577" i="12"/>
  <c r="O577" i="12"/>
  <c r="N577" i="12"/>
  <c r="M577" i="12"/>
  <c r="L577" i="12"/>
  <c r="K577" i="12"/>
  <c r="J577" i="12"/>
  <c r="G577" i="12"/>
  <c r="F577" i="12"/>
  <c r="E577" i="12"/>
  <c r="D577" i="12"/>
  <c r="C577" i="12"/>
  <c r="B577" i="12"/>
  <c r="A577" i="12"/>
  <c r="BE576" i="12"/>
  <c r="BD576" i="12"/>
  <c r="BC576" i="12"/>
  <c r="BB576" i="12"/>
  <c r="AX576" i="12"/>
  <c r="AU576" i="12"/>
  <c r="AS576" i="12"/>
  <c r="AQ576" i="12"/>
  <c r="AP576" i="12"/>
  <c r="AO576" i="12"/>
  <c r="AN576" i="12"/>
  <c r="AM576" i="12"/>
  <c r="AL576" i="12"/>
  <c r="AK576" i="12"/>
  <c r="AG576" i="12"/>
  <c r="AD576" i="12"/>
  <c r="AC576" i="12"/>
  <c r="AA576" i="12"/>
  <c r="Z576" i="12"/>
  <c r="Y576" i="12"/>
  <c r="X576" i="12"/>
  <c r="W576" i="12"/>
  <c r="V576" i="12"/>
  <c r="U576" i="12"/>
  <c r="T576" i="12"/>
  <c r="S576" i="12"/>
  <c r="R576" i="12"/>
  <c r="Q576" i="12"/>
  <c r="P576" i="12"/>
  <c r="O576" i="12"/>
  <c r="N576" i="12"/>
  <c r="L576" i="12"/>
  <c r="K576" i="12"/>
  <c r="J576" i="12"/>
  <c r="I576" i="12"/>
  <c r="G576" i="12"/>
  <c r="F576" i="12"/>
  <c r="E576" i="12"/>
  <c r="D576" i="12"/>
  <c r="C576" i="12"/>
  <c r="B576" i="12"/>
  <c r="A576" i="12"/>
  <c r="BC575" i="12"/>
  <c r="BA575" i="12"/>
  <c r="AX575" i="12"/>
  <c r="AU575" i="12"/>
  <c r="AS575" i="12"/>
  <c r="AN575" i="12"/>
  <c r="AL575" i="12"/>
  <c r="AH575" i="12"/>
  <c r="AG575" i="12"/>
  <c r="AD575" i="12"/>
  <c r="AC575" i="12"/>
  <c r="AA575" i="12"/>
  <c r="Z575" i="12"/>
  <c r="Y575" i="12"/>
  <c r="X575" i="12"/>
  <c r="W575" i="12"/>
  <c r="V575" i="12"/>
  <c r="U575" i="12"/>
  <c r="T575" i="12"/>
  <c r="S575" i="12"/>
  <c r="Q575" i="12"/>
  <c r="P575" i="12"/>
  <c r="M575" i="12"/>
  <c r="L575" i="12"/>
  <c r="K575" i="12"/>
  <c r="J575" i="12"/>
  <c r="G575" i="12"/>
  <c r="F575" i="12"/>
  <c r="E575" i="12"/>
  <c r="D575" i="12"/>
  <c r="C575" i="12"/>
  <c r="B575" i="12"/>
  <c r="A575" i="12"/>
  <c r="BD574" i="12"/>
  <c r="BC574" i="12"/>
  <c r="BB574" i="12"/>
  <c r="BA574" i="12"/>
  <c r="AX574" i="12"/>
  <c r="AV574" i="12"/>
  <c r="AU574" i="12"/>
  <c r="AS574" i="12"/>
  <c r="AP574" i="12"/>
  <c r="AO574" i="12"/>
  <c r="AN574" i="12"/>
  <c r="AL574" i="12"/>
  <c r="AK574" i="12"/>
  <c r="AH574" i="12"/>
  <c r="AG574" i="12"/>
  <c r="AD574" i="12"/>
  <c r="AC574" i="12"/>
  <c r="AA574" i="12"/>
  <c r="Z574" i="12"/>
  <c r="Y574" i="12"/>
  <c r="X574" i="12"/>
  <c r="W574" i="12"/>
  <c r="V574" i="12"/>
  <c r="U574" i="12"/>
  <c r="T574" i="12"/>
  <c r="S574" i="12"/>
  <c r="Q574" i="12"/>
  <c r="P574" i="12"/>
  <c r="K574" i="12"/>
  <c r="J574" i="12"/>
  <c r="I574" i="12"/>
  <c r="G574" i="12"/>
  <c r="F574" i="12"/>
  <c r="E574" i="12"/>
  <c r="D574" i="12"/>
  <c r="C574" i="12"/>
  <c r="B574" i="12"/>
  <c r="A574" i="12"/>
  <c r="BE573" i="12"/>
  <c r="BD573" i="12"/>
  <c r="BC573" i="12"/>
  <c r="BB573" i="12"/>
  <c r="AX573" i="12"/>
  <c r="AU573" i="12"/>
  <c r="AS573" i="12"/>
  <c r="AQ573" i="12"/>
  <c r="AP573" i="12"/>
  <c r="AO573" i="12"/>
  <c r="AN573" i="12"/>
  <c r="AM573" i="12"/>
  <c r="AL573" i="12"/>
  <c r="AK573" i="12"/>
  <c r="AG573" i="12"/>
  <c r="AD573" i="12"/>
  <c r="AC573" i="12"/>
  <c r="AA573" i="12"/>
  <c r="Z573" i="12"/>
  <c r="Y573" i="12"/>
  <c r="X573" i="12"/>
  <c r="W573" i="12"/>
  <c r="V573" i="12"/>
  <c r="U573" i="12"/>
  <c r="T573" i="12"/>
  <c r="S573" i="12"/>
  <c r="R573" i="12"/>
  <c r="Q573" i="12"/>
  <c r="P573" i="12"/>
  <c r="O573" i="12"/>
  <c r="N573" i="12"/>
  <c r="L573" i="12"/>
  <c r="K573" i="12"/>
  <c r="J573" i="12"/>
  <c r="I573" i="12"/>
  <c r="G573" i="12"/>
  <c r="F573" i="12"/>
  <c r="E573" i="12"/>
  <c r="D573" i="12"/>
  <c r="C573" i="12"/>
  <c r="B573" i="12"/>
  <c r="A573" i="12"/>
  <c r="BE572" i="12"/>
  <c r="BD572" i="12"/>
  <c r="BC572" i="12"/>
  <c r="BB572" i="12"/>
  <c r="AX572" i="12"/>
  <c r="AU572" i="12"/>
  <c r="AS572" i="12"/>
  <c r="AQ572" i="12"/>
  <c r="AP572" i="12"/>
  <c r="AO572" i="12"/>
  <c r="AN572" i="12"/>
  <c r="AM572" i="12"/>
  <c r="AL572" i="12"/>
  <c r="AH572" i="12"/>
  <c r="AG572" i="12"/>
  <c r="AD572" i="12"/>
  <c r="AC572" i="12"/>
  <c r="AA572" i="12"/>
  <c r="Z572" i="12"/>
  <c r="Y572" i="12"/>
  <c r="X572" i="12"/>
  <c r="W572" i="12"/>
  <c r="V572" i="12"/>
  <c r="U572" i="12"/>
  <c r="T572" i="12"/>
  <c r="S572" i="12"/>
  <c r="R572" i="12"/>
  <c r="Q572" i="12"/>
  <c r="P572" i="12"/>
  <c r="M572" i="12"/>
  <c r="L572" i="12"/>
  <c r="K572" i="12"/>
  <c r="J572" i="12"/>
  <c r="G572" i="12"/>
  <c r="F572" i="12"/>
  <c r="E572" i="12"/>
  <c r="D572" i="12"/>
  <c r="C572" i="12"/>
  <c r="B572" i="12"/>
  <c r="A572" i="12"/>
  <c r="BE571" i="12"/>
  <c r="BD571" i="12"/>
  <c r="BC571" i="12"/>
  <c r="BB571" i="12"/>
  <c r="AX571" i="12"/>
  <c r="AU571" i="12"/>
  <c r="AS571" i="12"/>
  <c r="AQ571" i="12"/>
  <c r="AP571" i="12"/>
  <c r="AO571" i="12"/>
  <c r="AN571" i="12"/>
  <c r="AM571" i="12"/>
  <c r="AL571" i="12"/>
  <c r="AK571" i="12"/>
  <c r="AG571" i="12"/>
  <c r="AD571" i="12"/>
  <c r="AC571" i="12"/>
  <c r="AA571" i="12"/>
  <c r="Z571" i="12"/>
  <c r="Y571" i="12"/>
  <c r="X571" i="12"/>
  <c r="W571" i="12"/>
  <c r="V571" i="12"/>
  <c r="U571" i="12"/>
  <c r="T571" i="12"/>
  <c r="S571" i="12"/>
  <c r="R571" i="12"/>
  <c r="Q571" i="12"/>
  <c r="P571" i="12"/>
  <c r="O571" i="12"/>
  <c r="N571" i="12"/>
  <c r="M571" i="12"/>
  <c r="L571" i="12"/>
  <c r="K571" i="12"/>
  <c r="J571" i="12"/>
  <c r="I571" i="12"/>
  <c r="G571" i="12"/>
  <c r="F571" i="12"/>
  <c r="E571" i="12"/>
  <c r="D571" i="12"/>
  <c r="C571" i="12"/>
  <c r="B571" i="12"/>
  <c r="A571" i="12"/>
  <c r="BE570" i="12"/>
  <c r="BD570" i="12"/>
  <c r="BC570" i="12"/>
  <c r="BB570" i="12"/>
  <c r="AX570" i="12"/>
  <c r="AU570" i="12"/>
  <c r="AS570" i="12"/>
  <c r="AQ570" i="12"/>
  <c r="AP570" i="12"/>
  <c r="AO570" i="12"/>
  <c r="AN570" i="12"/>
  <c r="AM570" i="12"/>
  <c r="AL570" i="12"/>
  <c r="AH570" i="12"/>
  <c r="AG570" i="12"/>
  <c r="AD570" i="12"/>
  <c r="AC570" i="12"/>
  <c r="AA570" i="12"/>
  <c r="Z570" i="12"/>
  <c r="Y570" i="12"/>
  <c r="X570" i="12"/>
  <c r="W570" i="12"/>
  <c r="V570" i="12"/>
  <c r="U570" i="12"/>
  <c r="T570" i="12"/>
  <c r="S570" i="12"/>
  <c r="R570" i="12"/>
  <c r="Q570" i="12"/>
  <c r="P570" i="12"/>
  <c r="M570" i="12"/>
  <c r="L570" i="12"/>
  <c r="K570" i="12"/>
  <c r="J570" i="12"/>
  <c r="G570" i="12"/>
  <c r="F570" i="12"/>
  <c r="E570" i="12"/>
  <c r="D570" i="12"/>
  <c r="C570" i="12"/>
  <c r="B570" i="12"/>
  <c r="A570" i="12"/>
  <c r="BE569" i="12"/>
  <c r="BD569" i="12"/>
  <c r="BC569" i="12"/>
  <c r="BB569" i="12"/>
  <c r="AX569" i="12"/>
  <c r="AU569" i="12"/>
  <c r="AS569" i="12"/>
  <c r="AQ569" i="12"/>
  <c r="AP569" i="12"/>
  <c r="AO569" i="12"/>
  <c r="AN569" i="12"/>
  <c r="AM569" i="12"/>
  <c r="AL569" i="12"/>
  <c r="AH569" i="12"/>
  <c r="AG569" i="12"/>
  <c r="AD569" i="12"/>
  <c r="AC569" i="12"/>
  <c r="AA569" i="12"/>
  <c r="Z569" i="12"/>
  <c r="Y569" i="12"/>
  <c r="X569" i="12"/>
  <c r="W569" i="12"/>
  <c r="V569" i="12"/>
  <c r="U569" i="12"/>
  <c r="T569" i="12"/>
  <c r="S569" i="12"/>
  <c r="R569" i="12"/>
  <c r="Q569" i="12"/>
  <c r="P569" i="12"/>
  <c r="M569" i="12"/>
  <c r="L569" i="12"/>
  <c r="K569" i="12"/>
  <c r="J569" i="12"/>
  <c r="G569" i="12"/>
  <c r="F569" i="12"/>
  <c r="E569" i="12"/>
  <c r="D569" i="12"/>
  <c r="C569" i="12"/>
  <c r="B569" i="12"/>
  <c r="A569" i="12"/>
  <c r="BE568" i="12"/>
  <c r="BD568" i="12"/>
  <c r="BC568" i="12"/>
  <c r="BB568" i="12"/>
  <c r="AX568" i="12"/>
  <c r="AU568" i="12"/>
  <c r="AS568" i="12"/>
  <c r="AQ568" i="12"/>
  <c r="AP568" i="12"/>
  <c r="AN568" i="12"/>
  <c r="AM568" i="12"/>
  <c r="AL568" i="12"/>
  <c r="AH568" i="12"/>
  <c r="AG568" i="12"/>
  <c r="AD568" i="12"/>
  <c r="AC568" i="12"/>
  <c r="AA568" i="12"/>
  <c r="Z568" i="12"/>
  <c r="Y568" i="12"/>
  <c r="X568" i="12"/>
  <c r="W568" i="12"/>
  <c r="V568" i="12"/>
  <c r="U568" i="12"/>
  <c r="T568" i="12"/>
  <c r="S568" i="12"/>
  <c r="R568" i="12"/>
  <c r="Q568" i="12"/>
  <c r="P568" i="12"/>
  <c r="M568" i="12"/>
  <c r="L568" i="12"/>
  <c r="K568" i="12"/>
  <c r="J568" i="12"/>
  <c r="G568" i="12"/>
  <c r="F568" i="12"/>
  <c r="E568" i="12"/>
  <c r="D568" i="12"/>
  <c r="C568" i="12"/>
  <c r="B568" i="12"/>
  <c r="A568" i="12"/>
  <c r="BE567" i="12"/>
  <c r="BD567" i="12"/>
  <c r="BC567" i="12"/>
  <c r="BB567" i="12"/>
  <c r="AX567" i="12"/>
  <c r="AU567" i="12"/>
  <c r="AS567" i="12"/>
  <c r="AQ567" i="12"/>
  <c r="AN567" i="12"/>
  <c r="AL567" i="12"/>
  <c r="AK567" i="12"/>
  <c r="AH567" i="12"/>
  <c r="AG567" i="12"/>
  <c r="AD567" i="12"/>
  <c r="AA567" i="12"/>
  <c r="Z567" i="12"/>
  <c r="Y567" i="12"/>
  <c r="X567" i="12"/>
  <c r="W567" i="12"/>
  <c r="V567" i="12"/>
  <c r="U567" i="12"/>
  <c r="T567" i="12"/>
  <c r="S567" i="12"/>
  <c r="R567" i="12"/>
  <c r="Q567" i="12"/>
  <c r="P567" i="12"/>
  <c r="L567" i="12"/>
  <c r="K567" i="12"/>
  <c r="J567" i="12"/>
  <c r="I567" i="12"/>
  <c r="G567" i="12"/>
  <c r="F567" i="12"/>
  <c r="E567" i="12"/>
  <c r="D567" i="12"/>
  <c r="C567" i="12"/>
  <c r="B567" i="12"/>
  <c r="A567" i="12"/>
  <c r="BE566" i="12"/>
  <c r="BD566" i="12"/>
  <c r="BC566" i="12"/>
  <c r="BB566" i="12"/>
  <c r="AX566" i="12"/>
  <c r="AU566" i="12"/>
  <c r="AS566" i="12"/>
  <c r="AQ566" i="12"/>
  <c r="AN566" i="12"/>
  <c r="AL566" i="12"/>
  <c r="AK566" i="12"/>
  <c r="AJ566" i="12"/>
  <c r="AI566" i="12"/>
  <c r="AH566" i="12"/>
  <c r="AG566" i="12"/>
  <c r="AD566" i="12"/>
  <c r="AA566" i="12"/>
  <c r="Z566" i="12"/>
  <c r="Y566" i="12"/>
  <c r="X566" i="12"/>
  <c r="W566" i="12"/>
  <c r="V566" i="12"/>
  <c r="U566" i="12"/>
  <c r="T566" i="12"/>
  <c r="S566" i="12"/>
  <c r="R566" i="12"/>
  <c r="Q566" i="12"/>
  <c r="P566" i="12"/>
  <c r="L566" i="12"/>
  <c r="K566" i="12"/>
  <c r="J566" i="12"/>
  <c r="I566" i="12"/>
  <c r="G566" i="12"/>
  <c r="F566" i="12"/>
  <c r="E566" i="12"/>
  <c r="D566" i="12"/>
  <c r="C566" i="12"/>
  <c r="B566" i="12"/>
  <c r="A566" i="12"/>
  <c r="BE565" i="12"/>
  <c r="BD565" i="12"/>
  <c r="BC565" i="12"/>
  <c r="BB565" i="12"/>
  <c r="AX565" i="12"/>
  <c r="AU565" i="12"/>
  <c r="AS565" i="12"/>
  <c r="AQ565" i="12"/>
  <c r="AN565" i="12"/>
  <c r="AL565" i="12"/>
  <c r="AK565" i="12"/>
  <c r="AH565" i="12"/>
  <c r="AG565" i="12"/>
  <c r="AD565" i="12"/>
  <c r="AA565" i="12"/>
  <c r="Z565" i="12"/>
  <c r="Y565" i="12"/>
  <c r="X565" i="12"/>
  <c r="W565" i="12"/>
  <c r="V565" i="12"/>
  <c r="U565" i="12"/>
  <c r="T565" i="12"/>
  <c r="S565" i="12"/>
  <c r="R565" i="12"/>
  <c r="Q565" i="12"/>
  <c r="P565" i="12"/>
  <c r="M565" i="12"/>
  <c r="L565" i="12"/>
  <c r="K565" i="12"/>
  <c r="J565" i="12"/>
  <c r="I565" i="12"/>
  <c r="G565" i="12"/>
  <c r="F565" i="12"/>
  <c r="E565" i="12"/>
  <c r="D565" i="12"/>
  <c r="C565" i="12"/>
  <c r="B565" i="12"/>
  <c r="A565" i="12"/>
  <c r="BE564" i="12"/>
  <c r="BD564" i="12"/>
  <c r="BC564" i="12"/>
  <c r="BB564" i="12"/>
  <c r="AX564" i="12"/>
  <c r="AU564" i="12"/>
  <c r="AS564" i="12"/>
  <c r="AQ564" i="12"/>
  <c r="AN564" i="12"/>
  <c r="AL564" i="12"/>
  <c r="AK564" i="12"/>
  <c r="AJ564" i="12"/>
  <c r="AI564" i="12"/>
  <c r="AH564" i="12"/>
  <c r="AG564" i="12"/>
  <c r="AD564" i="12"/>
  <c r="AA564" i="12"/>
  <c r="Z564" i="12"/>
  <c r="Y564" i="12"/>
  <c r="X564" i="12"/>
  <c r="W564" i="12"/>
  <c r="V564" i="12"/>
  <c r="U564" i="12"/>
  <c r="T564" i="12"/>
  <c r="S564" i="12"/>
  <c r="R564" i="12"/>
  <c r="Q564" i="12"/>
  <c r="P564" i="12"/>
  <c r="M564" i="12"/>
  <c r="L564" i="12"/>
  <c r="K564" i="12"/>
  <c r="J564" i="12"/>
  <c r="G564" i="12"/>
  <c r="F564" i="12"/>
  <c r="E564" i="12"/>
  <c r="D564" i="12"/>
  <c r="C564" i="12"/>
  <c r="B564" i="12"/>
  <c r="A564" i="12"/>
  <c r="BE563" i="12"/>
  <c r="BD563" i="12"/>
  <c r="BC563" i="12"/>
  <c r="BB563" i="12"/>
  <c r="AX563" i="12"/>
  <c r="AU563" i="12"/>
  <c r="AS563" i="12"/>
  <c r="AQ563" i="12"/>
  <c r="AN563" i="12"/>
  <c r="AL563" i="12"/>
  <c r="AK563" i="12"/>
  <c r="AH563" i="12"/>
  <c r="AG563" i="12"/>
  <c r="AD563" i="12"/>
  <c r="AA563" i="12"/>
  <c r="Z563" i="12"/>
  <c r="Y563" i="12"/>
  <c r="X563" i="12"/>
  <c r="W563" i="12"/>
  <c r="V563" i="12"/>
  <c r="U563" i="12"/>
  <c r="T563" i="12"/>
  <c r="S563" i="12"/>
  <c r="R563" i="12"/>
  <c r="Q563" i="12"/>
  <c r="P563" i="12"/>
  <c r="M563" i="12"/>
  <c r="L563" i="12"/>
  <c r="K563" i="12"/>
  <c r="J563" i="12"/>
  <c r="G563" i="12"/>
  <c r="F563" i="12"/>
  <c r="E563" i="12"/>
  <c r="D563" i="12"/>
  <c r="C563" i="12"/>
  <c r="B563" i="12"/>
  <c r="A563" i="12"/>
  <c r="BE562" i="12"/>
  <c r="BD562" i="12"/>
  <c r="BC562" i="12"/>
  <c r="BB562" i="12"/>
  <c r="AX562" i="12"/>
  <c r="AU562" i="12"/>
  <c r="AS562" i="12"/>
  <c r="AQ562" i="12"/>
  <c r="AN562" i="12"/>
  <c r="AL562" i="12"/>
  <c r="AK562" i="12"/>
  <c r="AH562" i="12"/>
  <c r="AG562" i="12"/>
  <c r="AD562" i="12"/>
  <c r="AA562" i="12"/>
  <c r="Z562" i="12"/>
  <c r="Y562" i="12"/>
  <c r="X562" i="12"/>
  <c r="W562" i="12"/>
  <c r="V562" i="12"/>
  <c r="U562" i="12"/>
  <c r="T562" i="12"/>
  <c r="S562" i="12"/>
  <c r="R562" i="12"/>
  <c r="Q562" i="12"/>
  <c r="P562" i="12"/>
  <c r="M562" i="12"/>
  <c r="L562" i="12"/>
  <c r="K562" i="12"/>
  <c r="J562" i="12"/>
  <c r="G562" i="12"/>
  <c r="F562" i="12"/>
  <c r="E562" i="12"/>
  <c r="D562" i="12"/>
  <c r="C562" i="12"/>
  <c r="B562" i="12"/>
  <c r="A562" i="12"/>
  <c r="BE561" i="12"/>
  <c r="BD561" i="12"/>
  <c r="BC561" i="12"/>
  <c r="BB561" i="12"/>
  <c r="AX561" i="12"/>
  <c r="AU561" i="12"/>
  <c r="AS561" i="12"/>
  <c r="AQ561" i="12"/>
  <c r="AN561" i="12"/>
  <c r="AL561" i="12"/>
  <c r="AK561" i="12"/>
  <c r="AH561" i="12"/>
  <c r="AG561" i="12"/>
  <c r="AD561" i="12"/>
  <c r="AA561" i="12"/>
  <c r="Z561" i="12"/>
  <c r="Y561" i="12"/>
  <c r="X561" i="12"/>
  <c r="W561" i="12"/>
  <c r="V561" i="12"/>
  <c r="U561" i="12"/>
  <c r="T561" i="12"/>
  <c r="S561" i="12"/>
  <c r="R561" i="12"/>
  <c r="Q561" i="12"/>
  <c r="P561" i="12"/>
  <c r="M561" i="12"/>
  <c r="L561" i="12"/>
  <c r="K561" i="12"/>
  <c r="J561" i="12"/>
  <c r="G561" i="12"/>
  <c r="F561" i="12"/>
  <c r="E561" i="12"/>
  <c r="D561" i="12"/>
  <c r="C561" i="12"/>
  <c r="B561" i="12"/>
  <c r="A561" i="12"/>
  <c r="BE560" i="12"/>
  <c r="BD560" i="12"/>
  <c r="BC560" i="12"/>
  <c r="BB560" i="12"/>
  <c r="AX560" i="12"/>
  <c r="AU560" i="12"/>
  <c r="AS560" i="12"/>
  <c r="AQ560" i="12"/>
  <c r="AN560" i="12"/>
  <c r="AL560" i="12"/>
  <c r="AK560" i="12"/>
  <c r="AJ560" i="12"/>
  <c r="AI560" i="12"/>
  <c r="AH560" i="12"/>
  <c r="AG560" i="12"/>
  <c r="AD560" i="12"/>
  <c r="AA560" i="12"/>
  <c r="Z560" i="12"/>
  <c r="Y560" i="12"/>
  <c r="X560" i="12"/>
  <c r="W560" i="12"/>
  <c r="V560" i="12"/>
  <c r="U560" i="12"/>
  <c r="T560" i="12"/>
  <c r="S560" i="12"/>
  <c r="R560" i="12"/>
  <c r="Q560" i="12"/>
  <c r="P560" i="12"/>
  <c r="M560" i="12"/>
  <c r="L560" i="12"/>
  <c r="K560" i="12"/>
  <c r="J560" i="12"/>
  <c r="G560" i="12"/>
  <c r="F560" i="12"/>
  <c r="E560" i="12"/>
  <c r="D560" i="12"/>
  <c r="C560" i="12"/>
  <c r="B560" i="12"/>
  <c r="A560" i="12"/>
  <c r="BE559" i="12"/>
  <c r="BD559" i="12"/>
  <c r="BC559" i="12"/>
  <c r="BB559" i="12"/>
  <c r="AX559" i="12"/>
  <c r="AU559" i="12"/>
  <c r="AS559" i="12"/>
  <c r="AQ559" i="12"/>
  <c r="AN559" i="12"/>
  <c r="AL559" i="12"/>
  <c r="AK559" i="12"/>
  <c r="AH559" i="12"/>
  <c r="AG559" i="12"/>
  <c r="AD559" i="12"/>
  <c r="AA559" i="12"/>
  <c r="Z559" i="12"/>
  <c r="Y559" i="12"/>
  <c r="X559" i="12"/>
  <c r="W559" i="12"/>
  <c r="V559" i="12"/>
  <c r="U559" i="12"/>
  <c r="T559" i="12"/>
  <c r="S559" i="12"/>
  <c r="R559" i="12"/>
  <c r="Q559" i="12"/>
  <c r="P559" i="12"/>
  <c r="M559" i="12"/>
  <c r="L559" i="12"/>
  <c r="K559" i="12"/>
  <c r="J559" i="12"/>
  <c r="G559" i="12"/>
  <c r="F559" i="12"/>
  <c r="E559" i="12"/>
  <c r="D559" i="12"/>
  <c r="C559" i="12"/>
  <c r="B559" i="12"/>
  <c r="A559" i="12"/>
  <c r="BE558" i="12"/>
  <c r="BD558" i="12"/>
  <c r="BC558" i="12"/>
  <c r="BB558" i="12"/>
  <c r="AX558" i="12"/>
  <c r="AU558" i="12"/>
  <c r="AS558" i="12"/>
  <c r="AQ558" i="12"/>
  <c r="AP558" i="12"/>
  <c r="AO558" i="12"/>
  <c r="AN558" i="12"/>
  <c r="AM558" i="12"/>
  <c r="AL558" i="12"/>
  <c r="AH558" i="12"/>
  <c r="AG558" i="12"/>
  <c r="AD558" i="12"/>
  <c r="AC558" i="12"/>
  <c r="AA558" i="12"/>
  <c r="Z558" i="12"/>
  <c r="Y558" i="12"/>
  <c r="X558" i="12"/>
  <c r="W558" i="12"/>
  <c r="V558" i="12"/>
  <c r="U558" i="12"/>
  <c r="T558" i="12"/>
  <c r="S558" i="12"/>
  <c r="R558" i="12"/>
  <c r="Q558" i="12"/>
  <c r="P558" i="12"/>
  <c r="M558" i="12"/>
  <c r="L558" i="12"/>
  <c r="K558" i="12"/>
  <c r="J558" i="12"/>
  <c r="G558" i="12"/>
  <c r="F558" i="12"/>
  <c r="E558" i="12"/>
  <c r="D558" i="12"/>
  <c r="C558" i="12"/>
  <c r="B558" i="12"/>
  <c r="A558" i="12"/>
  <c r="BE557" i="12"/>
  <c r="BD557" i="12"/>
  <c r="BC557" i="12"/>
  <c r="BB557" i="12"/>
  <c r="AX557" i="12"/>
  <c r="AU557" i="12"/>
  <c r="AS557" i="12"/>
  <c r="AQ557" i="12"/>
  <c r="AN557" i="12"/>
  <c r="AL557" i="12"/>
  <c r="AK557" i="12"/>
  <c r="AJ557" i="12"/>
  <c r="AI557" i="12"/>
  <c r="AH557" i="12"/>
  <c r="AG557" i="12"/>
  <c r="AD557" i="12"/>
  <c r="AA557" i="12"/>
  <c r="Z557" i="12"/>
  <c r="Y557" i="12"/>
  <c r="X557" i="12"/>
  <c r="W557" i="12"/>
  <c r="V557" i="12"/>
  <c r="U557" i="12"/>
  <c r="T557" i="12"/>
  <c r="S557" i="12"/>
  <c r="R557" i="12"/>
  <c r="Q557" i="12"/>
  <c r="P557" i="12"/>
  <c r="L557" i="12"/>
  <c r="K557" i="12"/>
  <c r="J557" i="12"/>
  <c r="G557" i="12"/>
  <c r="F557" i="12"/>
  <c r="E557" i="12"/>
  <c r="D557" i="12"/>
  <c r="C557" i="12"/>
  <c r="B557" i="12"/>
  <c r="A557" i="12"/>
  <c r="BD556" i="12"/>
  <c r="BC556" i="12"/>
  <c r="BA556" i="12"/>
  <c r="AV556" i="12"/>
  <c r="AU556" i="12"/>
  <c r="AR556" i="12"/>
  <c r="AO556" i="12"/>
  <c r="AL556" i="12"/>
  <c r="AK556" i="12"/>
  <c r="AH556" i="12"/>
  <c r="AG556" i="12"/>
  <c r="AA556" i="12"/>
  <c r="Z556" i="12"/>
  <c r="Y556" i="12"/>
  <c r="X556" i="12"/>
  <c r="W556" i="12"/>
  <c r="V556" i="12"/>
  <c r="U556" i="12"/>
  <c r="M556" i="12"/>
  <c r="L556" i="12"/>
  <c r="K556" i="12"/>
  <c r="J556" i="12"/>
  <c r="I556" i="12"/>
  <c r="G556" i="12"/>
  <c r="F556" i="12"/>
  <c r="E556" i="12"/>
  <c r="D556" i="12"/>
  <c r="C556" i="12"/>
  <c r="B556" i="12"/>
  <c r="A556" i="12"/>
  <c r="BD555" i="12"/>
  <c r="BC555" i="12"/>
  <c r="AV555" i="12"/>
  <c r="AU555" i="12"/>
  <c r="AR555" i="12"/>
  <c r="AL555" i="12"/>
  <c r="AK555" i="12"/>
  <c r="AH555" i="12"/>
  <c r="AG555" i="12"/>
  <c r="AD555" i="12"/>
  <c r="AA555" i="12"/>
  <c r="Z555" i="12"/>
  <c r="Y555" i="12"/>
  <c r="X555" i="12"/>
  <c r="W555" i="12"/>
  <c r="V555" i="12"/>
  <c r="U555" i="12"/>
  <c r="M555" i="12"/>
  <c r="L555" i="12"/>
  <c r="K555" i="12"/>
  <c r="J555" i="12"/>
  <c r="I555" i="12"/>
  <c r="G555" i="12"/>
  <c r="F555" i="12"/>
  <c r="E555" i="12"/>
  <c r="D555" i="12"/>
  <c r="C555" i="12"/>
  <c r="B555" i="12"/>
  <c r="A555" i="12"/>
  <c r="BC554" i="12"/>
  <c r="BA554" i="12"/>
  <c r="AU554" i="12"/>
  <c r="AH554" i="12"/>
  <c r="AG554" i="12"/>
  <c r="T554" i="12"/>
  <c r="S554" i="12"/>
  <c r="Q554" i="12"/>
  <c r="K554" i="12"/>
  <c r="J554" i="12"/>
  <c r="I554" i="12"/>
  <c r="G554" i="12"/>
  <c r="F554" i="12"/>
  <c r="E554" i="12"/>
  <c r="D554" i="12"/>
  <c r="C554" i="12"/>
  <c r="B554" i="12"/>
  <c r="A554" i="12"/>
  <c r="BC553" i="12"/>
  <c r="BA553" i="12"/>
  <c r="AU553" i="12"/>
  <c r="AJ553" i="12"/>
  <c r="AH553" i="12"/>
  <c r="AG553" i="12"/>
  <c r="S553" i="12"/>
  <c r="Q553" i="12"/>
  <c r="K553" i="12"/>
  <c r="J553" i="12"/>
  <c r="I553" i="12"/>
  <c r="G553" i="12"/>
  <c r="F553" i="12"/>
  <c r="E553" i="12"/>
  <c r="D553" i="12"/>
  <c r="C553" i="12"/>
  <c r="B553" i="12"/>
  <c r="A553" i="12"/>
  <c r="BD552" i="12"/>
  <c r="BC552" i="12"/>
  <c r="AX552" i="12"/>
  <c r="AU552" i="12"/>
  <c r="AR552" i="12"/>
  <c r="AP552" i="12"/>
  <c r="AL552" i="12"/>
  <c r="AK552" i="12"/>
  <c r="AH552" i="12"/>
  <c r="AG552" i="12"/>
  <c r="AD552" i="12"/>
  <c r="AA552" i="12"/>
  <c r="Z552" i="12"/>
  <c r="Y552" i="12"/>
  <c r="X552" i="12"/>
  <c r="W552" i="12"/>
  <c r="V552" i="12"/>
  <c r="U552" i="12"/>
  <c r="S552" i="12"/>
  <c r="Q552" i="12"/>
  <c r="M552" i="12"/>
  <c r="L552" i="12"/>
  <c r="K552" i="12"/>
  <c r="J552" i="12"/>
  <c r="I552" i="12"/>
  <c r="H552" i="12"/>
  <c r="G552" i="12"/>
  <c r="F552" i="12"/>
  <c r="E552" i="12"/>
  <c r="D552" i="12"/>
  <c r="C552" i="12"/>
  <c r="B552" i="12"/>
  <c r="A552" i="12"/>
  <c r="BE551" i="12"/>
  <c r="BD551" i="12"/>
  <c r="BC551" i="12"/>
  <c r="AX551" i="12"/>
  <c r="AU551" i="12"/>
  <c r="AS551" i="12"/>
  <c r="AQ551" i="12"/>
  <c r="AP551" i="12"/>
  <c r="AN551" i="12"/>
  <c r="AL551" i="12"/>
  <c r="AK551" i="12"/>
  <c r="AH551" i="12"/>
  <c r="AG551" i="12"/>
  <c r="AD551" i="12"/>
  <c r="AA551" i="12"/>
  <c r="Z551" i="12"/>
  <c r="Y551" i="12"/>
  <c r="X551" i="12"/>
  <c r="W551" i="12"/>
  <c r="V551" i="12"/>
  <c r="U551" i="12"/>
  <c r="T551" i="12"/>
  <c r="S551" i="12"/>
  <c r="R551" i="12"/>
  <c r="Q551" i="12"/>
  <c r="P551" i="12"/>
  <c r="M551" i="12"/>
  <c r="L551" i="12"/>
  <c r="K551" i="12"/>
  <c r="J551" i="12"/>
  <c r="I551" i="12"/>
  <c r="G551" i="12"/>
  <c r="F551" i="12"/>
  <c r="E551" i="12"/>
  <c r="D551" i="12"/>
  <c r="C551" i="12"/>
  <c r="B551" i="12"/>
  <c r="A551" i="12"/>
  <c r="BE550" i="12"/>
  <c r="BD550" i="12"/>
  <c r="BC550" i="12"/>
  <c r="AX550" i="12"/>
  <c r="AU550" i="12"/>
  <c r="AS550" i="12"/>
  <c r="AQ550" i="12"/>
  <c r="AP550" i="12"/>
  <c r="AN550" i="12"/>
  <c r="AL550" i="12"/>
  <c r="AK550" i="12"/>
  <c r="AH550" i="12"/>
  <c r="AG550" i="12"/>
  <c r="AD550" i="12"/>
  <c r="AC550" i="12"/>
  <c r="AA550" i="12"/>
  <c r="Z550" i="12"/>
  <c r="Y550" i="12"/>
  <c r="X550" i="12"/>
  <c r="W550" i="12"/>
  <c r="V550" i="12"/>
  <c r="U550" i="12"/>
  <c r="T550" i="12"/>
  <c r="S550" i="12"/>
  <c r="R550" i="12"/>
  <c r="Q550" i="12"/>
  <c r="P550" i="12"/>
  <c r="M550" i="12"/>
  <c r="L550" i="12"/>
  <c r="K550" i="12"/>
  <c r="J550" i="12"/>
  <c r="I550" i="12"/>
  <c r="G550" i="12"/>
  <c r="F550" i="12"/>
  <c r="E550" i="12"/>
  <c r="D550" i="12"/>
  <c r="C550" i="12"/>
  <c r="B550" i="12"/>
  <c r="A550" i="12"/>
  <c r="BE549" i="12"/>
  <c r="BD549" i="12"/>
  <c r="BC549" i="12"/>
  <c r="AX549" i="12"/>
  <c r="AV549" i="12"/>
  <c r="AU549" i="12"/>
  <c r="AQ549" i="12"/>
  <c r="AP549" i="12"/>
  <c r="AO549" i="12"/>
  <c r="AN549" i="12"/>
  <c r="AL549" i="12"/>
  <c r="AK549" i="12"/>
  <c r="AJ549" i="12"/>
  <c r="AH549" i="12"/>
  <c r="AG549" i="12"/>
  <c r="AD549" i="12"/>
  <c r="AA549" i="12"/>
  <c r="Z549" i="12"/>
  <c r="Y549" i="12"/>
  <c r="X549" i="12"/>
  <c r="W549" i="12"/>
  <c r="V549" i="12"/>
  <c r="U549" i="12"/>
  <c r="T549" i="12"/>
  <c r="S549" i="12"/>
  <c r="R549" i="12"/>
  <c r="Q549" i="12"/>
  <c r="P549" i="12"/>
  <c r="L549" i="12"/>
  <c r="K549" i="12"/>
  <c r="J549" i="12"/>
  <c r="I549" i="12"/>
  <c r="G549" i="12"/>
  <c r="F549" i="12"/>
  <c r="E549" i="12"/>
  <c r="D549" i="12"/>
  <c r="C549" i="12"/>
  <c r="B549" i="12"/>
  <c r="A549" i="12"/>
  <c r="BE548" i="12"/>
  <c r="BD548" i="12"/>
  <c r="BC548" i="12"/>
  <c r="BB548" i="12"/>
  <c r="AU548" i="12"/>
  <c r="AS548" i="12"/>
  <c r="AQ548" i="12"/>
  <c r="AP548" i="12"/>
  <c r="AO548" i="12"/>
  <c r="AN548" i="12"/>
  <c r="AM548" i="12"/>
  <c r="AL548" i="12"/>
  <c r="AK548" i="12"/>
  <c r="AG548" i="12"/>
  <c r="AD548" i="12"/>
  <c r="AC548" i="12"/>
  <c r="AA548" i="12"/>
  <c r="Z548" i="12"/>
  <c r="Y548" i="12"/>
  <c r="X548" i="12"/>
  <c r="W548" i="12"/>
  <c r="V548" i="12"/>
  <c r="U548" i="12"/>
  <c r="T548" i="12"/>
  <c r="S548" i="12"/>
  <c r="R548" i="12"/>
  <c r="Q548" i="12"/>
  <c r="P548" i="12"/>
  <c r="O548" i="12"/>
  <c r="N548" i="12"/>
  <c r="M548" i="12"/>
  <c r="L548" i="12"/>
  <c r="K548" i="12"/>
  <c r="J548" i="12"/>
  <c r="I548" i="12"/>
  <c r="G548" i="12"/>
  <c r="F548" i="12"/>
  <c r="E548" i="12"/>
  <c r="D548" i="12"/>
  <c r="C548" i="12"/>
  <c r="B548" i="12"/>
  <c r="A548" i="12"/>
  <c r="BE547" i="12"/>
  <c r="BD547" i="12"/>
  <c r="BC547" i="12"/>
  <c r="BB547" i="12"/>
  <c r="AU547" i="12"/>
  <c r="AS547" i="12"/>
  <c r="AQ547" i="12"/>
  <c r="AP547" i="12"/>
  <c r="AO547" i="12"/>
  <c r="AN547" i="12"/>
  <c r="AM547" i="12"/>
  <c r="AL547" i="12"/>
  <c r="AK547" i="12"/>
  <c r="AH547" i="12"/>
  <c r="AG547" i="12"/>
  <c r="AD547" i="12"/>
  <c r="AC547" i="12"/>
  <c r="AA547" i="12"/>
  <c r="Z547" i="12"/>
  <c r="Y547" i="12"/>
  <c r="X547" i="12"/>
  <c r="W547" i="12"/>
  <c r="V547" i="12"/>
  <c r="U547" i="12"/>
  <c r="T547" i="12"/>
  <c r="S547" i="12"/>
  <c r="R547" i="12"/>
  <c r="Q547" i="12"/>
  <c r="P547" i="12"/>
  <c r="O547" i="12"/>
  <c r="N547" i="12"/>
  <c r="M547" i="12"/>
  <c r="L547" i="12"/>
  <c r="K547" i="12"/>
  <c r="J547" i="12"/>
  <c r="I547" i="12"/>
  <c r="G547" i="12"/>
  <c r="F547" i="12"/>
  <c r="E547" i="12"/>
  <c r="D547" i="12"/>
  <c r="C547" i="12"/>
  <c r="B547" i="12"/>
  <c r="A547" i="12"/>
  <c r="BE546" i="12"/>
  <c r="BD546" i="12"/>
  <c r="BC546" i="12"/>
  <c r="AX546" i="12"/>
  <c r="AU546" i="12"/>
  <c r="AT546" i="12"/>
  <c r="AS546" i="12"/>
  <c r="AQ546" i="12"/>
  <c r="AP546" i="12"/>
  <c r="AO546" i="12"/>
  <c r="AN546" i="12"/>
  <c r="AM546" i="12"/>
  <c r="AL546" i="12"/>
  <c r="AK546" i="12"/>
  <c r="AJ546" i="12"/>
  <c r="AI546" i="12"/>
  <c r="AH546" i="12"/>
  <c r="AG546" i="12"/>
  <c r="AD546" i="12"/>
  <c r="AA546" i="12"/>
  <c r="Z546" i="12"/>
  <c r="Y546" i="12"/>
  <c r="X546" i="12"/>
  <c r="W546" i="12"/>
  <c r="V546" i="12"/>
  <c r="U546" i="12"/>
  <c r="T546" i="12"/>
  <c r="S546" i="12"/>
  <c r="R546" i="12"/>
  <c r="Q546" i="12"/>
  <c r="P546" i="12"/>
  <c r="O546" i="12"/>
  <c r="N546" i="12"/>
  <c r="L546" i="12"/>
  <c r="K546" i="12"/>
  <c r="J546" i="12"/>
  <c r="I546" i="12"/>
  <c r="G546" i="12"/>
  <c r="F546" i="12"/>
  <c r="E546" i="12"/>
  <c r="D546" i="12"/>
  <c r="C546" i="12"/>
  <c r="B546" i="12"/>
  <c r="A546" i="12"/>
  <c r="BE545" i="12"/>
  <c r="BD545" i="12"/>
  <c r="BC545" i="12"/>
  <c r="AX545" i="12"/>
  <c r="AU545" i="12"/>
  <c r="AT545" i="12"/>
  <c r="AS545" i="12"/>
  <c r="AQ545" i="12"/>
  <c r="AP545" i="12"/>
  <c r="AO545" i="12"/>
  <c r="AN545" i="12"/>
  <c r="AL545" i="12"/>
  <c r="AK545" i="12"/>
  <c r="AH545" i="12"/>
  <c r="AG545" i="12"/>
  <c r="AD545" i="12"/>
  <c r="AC545" i="12"/>
  <c r="AB545" i="12"/>
  <c r="AA545" i="12"/>
  <c r="Z545" i="12"/>
  <c r="Y545" i="12"/>
  <c r="X545" i="12"/>
  <c r="W545" i="12"/>
  <c r="V545" i="12"/>
  <c r="U545" i="12"/>
  <c r="T545" i="12"/>
  <c r="S545" i="12"/>
  <c r="R545" i="12"/>
  <c r="Q545" i="12"/>
  <c r="P545" i="12"/>
  <c r="O545" i="12"/>
  <c r="N545" i="12"/>
  <c r="M545" i="12"/>
  <c r="L545" i="12"/>
  <c r="K545" i="12"/>
  <c r="J545" i="12"/>
  <c r="I545" i="12"/>
  <c r="G545" i="12"/>
  <c r="F545" i="12"/>
  <c r="E545" i="12"/>
  <c r="D545" i="12"/>
  <c r="C545" i="12"/>
  <c r="B545" i="12"/>
  <c r="A545" i="12"/>
  <c r="BD544" i="12"/>
  <c r="BC544" i="12"/>
  <c r="AU544" i="12"/>
  <c r="AR544" i="12"/>
  <c r="AL544" i="12"/>
  <c r="AK544" i="12"/>
  <c r="AH544" i="12"/>
  <c r="AG544" i="12"/>
  <c r="AA544" i="12"/>
  <c r="Z544" i="12"/>
  <c r="Y544" i="12"/>
  <c r="X544" i="12"/>
  <c r="W544" i="12"/>
  <c r="V544" i="12"/>
  <c r="U544" i="12"/>
  <c r="Q544" i="12"/>
  <c r="M544" i="12"/>
  <c r="L544" i="12"/>
  <c r="K544" i="12"/>
  <c r="J544" i="12"/>
  <c r="I544" i="12"/>
  <c r="H544" i="12"/>
  <c r="G544" i="12"/>
  <c r="F544" i="12"/>
  <c r="E544" i="12"/>
  <c r="D544" i="12"/>
  <c r="C544" i="12"/>
  <c r="B544" i="12"/>
  <c r="A544" i="12"/>
  <c r="BE543" i="12"/>
  <c r="BD543" i="12"/>
  <c r="BC543" i="12"/>
  <c r="BA543" i="12"/>
  <c r="AU543" i="12"/>
  <c r="AS543" i="12"/>
  <c r="AQ543" i="12"/>
  <c r="AP543" i="12"/>
  <c r="AO543" i="12"/>
  <c r="AN543" i="12"/>
  <c r="AL543" i="12"/>
  <c r="AK543" i="12"/>
  <c r="AJ543" i="12"/>
  <c r="AI543" i="12"/>
  <c r="AH543" i="12"/>
  <c r="AG543" i="12"/>
  <c r="AD543" i="12"/>
  <c r="AC543" i="12"/>
  <c r="AA543" i="12"/>
  <c r="Z543" i="12"/>
  <c r="Y543" i="12"/>
  <c r="X543" i="12"/>
  <c r="W543" i="12"/>
  <c r="V543" i="12"/>
  <c r="U543" i="12"/>
  <c r="T543" i="12"/>
  <c r="S543" i="12"/>
  <c r="R543" i="12"/>
  <c r="Q543" i="12"/>
  <c r="P543" i="12"/>
  <c r="M543" i="12"/>
  <c r="L543" i="12"/>
  <c r="K543" i="12"/>
  <c r="J543" i="12"/>
  <c r="I543" i="12"/>
  <c r="G543" i="12"/>
  <c r="F543" i="12"/>
  <c r="E543" i="12"/>
  <c r="D543" i="12"/>
  <c r="C543" i="12"/>
  <c r="B543" i="12"/>
  <c r="A543" i="12"/>
  <c r="BE542" i="12"/>
  <c r="BD542" i="12"/>
  <c r="BC542" i="12"/>
  <c r="BA542" i="12"/>
  <c r="AU542" i="12"/>
  <c r="AS542" i="12"/>
  <c r="AQ542" i="12"/>
  <c r="AP542" i="12"/>
  <c r="AO542" i="12"/>
  <c r="AN542" i="12"/>
  <c r="AL542" i="12"/>
  <c r="AK542" i="12"/>
  <c r="AJ542" i="12"/>
  <c r="AI542" i="12"/>
  <c r="AH542" i="12"/>
  <c r="AG542" i="12"/>
  <c r="AD542" i="12"/>
  <c r="AC542" i="12"/>
  <c r="AA542" i="12"/>
  <c r="Z542" i="12"/>
  <c r="Y542" i="12"/>
  <c r="X542" i="12"/>
  <c r="W542" i="12"/>
  <c r="V542" i="12"/>
  <c r="U542" i="12"/>
  <c r="T542" i="12"/>
  <c r="S542" i="12"/>
  <c r="R542" i="12"/>
  <c r="Q542" i="12"/>
  <c r="P542" i="12"/>
  <c r="M542" i="12"/>
  <c r="L542" i="12"/>
  <c r="K542" i="12"/>
  <c r="J542" i="12"/>
  <c r="I542" i="12"/>
  <c r="G542" i="12"/>
  <c r="F542" i="12"/>
  <c r="E542" i="12"/>
  <c r="D542" i="12"/>
  <c r="C542" i="12"/>
  <c r="B542" i="12"/>
  <c r="A542" i="12"/>
  <c r="BE541" i="12"/>
  <c r="BD541" i="12"/>
  <c r="BC541" i="12"/>
  <c r="BA541" i="12"/>
  <c r="AU541" i="12"/>
  <c r="AS541" i="12"/>
  <c r="AQ541" i="12"/>
  <c r="AP541" i="12"/>
  <c r="AO541" i="12"/>
  <c r="AN541" i="12"/>
  <c r="AL541" i="12"/>
  <c r="AK541" i="12"/>
  <c r="AJ541" i="12"/>
  <c r="AI541" i="12"/>
  <c r="AH541" i="12"/>
  <c r="AG541" i="12"/>
  <c r="AD541" i="12"/>
  <c r="AC541" i="12"/>
  <c r="AA541" i="12"/>
  <c r="Z541" i="12"/>
  <c r="Y541" i="12"/>
  <c r="X541" i="12"/>
  <c r="W541" i="12"/>
  <c r="V541" i="12"/>
  <c r="U541" i="12"/>
  <c r="T541" i="12"/>
  <c r="S541" i="12"/>
  <c r="R541" i="12"/>
  <c r="Q541" i="12"/>
  <c r="P541" i="12"/>
  <c r="M541" i="12"/>
  <c r="L541" i="12"/>
  <c r="K541" i="12"/>
  <c r="J541" i="12"/>
  <c r="I541" i="12"/>
  <c r="G541" i="12"/>
  <c r="F541" i="12"/>
  <c r="E541" i="12"/>
  <c r="D541" i="12"/>
  <c r="C541" i="12"/>
  <c r="B541" i="12"/>
  <c r="A541" i="12"/>
  <c r="BE540" i="12"/>
  <c r="BD540" i="12"/>
  <c r="BC540" i="12"/>
  <c r="BB540" i="12"/>
  <c r="BA540" i="12"/>
  <c r="AU540" i="12"/>
  <c r="AS540" i="12"/>
  <c r="AQ540" i="12"/>
  <c r="AP540" i="12"/>
  <c r="AO540" i="12"/>
  <c r="AN540" i="12"/>
  <c r="AL540" i="12"/>
  <c r="AK540" i="12"/>
  <c r="AH540" i="12"/>
  <c r="AG540" i="12"/>
  <c r="AD540" i="12"/>
  <c r="AC540" i="12"/>
  <c r="AB540" i="12"/>
  <c r="AA540" i="12"/>
  <c r="Z540" i="12"/>
  <c r="Y540" i="12"/>
  <c r="X540" i="12"/>
  <c r="W540" i="12"/>
  <c r="V540" i="12"/>
  <c r="U540" i="12"/>
  <c r="T540" i="12"/>
  <c r="S540" i="12"/>
  <c r="R540" i="12"/>
  <c r="P540" i="12"/>
  <c r="M540" i="12"/>
  <c r="L540" i="12"/>
  <c r="K540" i="12"/>
  <c r="J540" i="12"/>
  <c r="I540" i="12"/>
  <c r="G540" i="12"/>
  <c r="F540" i="12"/>
  <c r="E540" i="12"/>
  <c r="D540" i="12"/>
  <c r="C540" i="12"/>
  <c r="B540" i="12"/>
  <c r="A540" i="12"/>
  <c r="BE539" i="12"/>
  <c r="BD539" i="12"/>
  <c r="BC539" i="12"/>
  <c r="BA539" i="12"/>
  <c r="AU539" i="12"/>
  <c r="AT539" i="12"/>
  <c r="AS539" i="12"/>
  <c r="AQ539" i="12"/>
  <c r="AP539" i="12"/>
  <c r="AO539" i="12"/>
  <c r="AN539" i="12"/>
  <c r="AL539" i="12"/>
  <c r="AK539" i="12"/>
  <c r="AH539" i="12"/>
  <c r="AG539" i="12"/>
  <c r="AD539" i="12"/>
  <c r="AC539" i="12"/>
  <c r="AA539" i="12"/>
  <c r="Z539" i="12"/>
  <c r="Y539" i="12"/>
  <c r="X539" i="12"/>
  <c r="W539" i="12"/>
  <c r="V539" i="12"/>
  <c r="U539" i="12"/>
  <c r="T539" i="12"/>
  <c r="S539" i="12"/>
  <c r="R539" i="12"/>
  <c r="P539" i="12"/>
  <c r="M539" i="12"/>
  <c r="L539" i="12"/>
  <c r="K539" i="12"/>
  <c r="J539" i="12"/>
  <c r="I539" i="12"/>
  <c r="G539" i="12"/>
  <c r="F539" i="12"/>
  <c r="E539" i="12"/>
  <c r="D539" i="12"/>
  <c r="C539" i="12"/>
  <c r="B539" i="12"/>
  <c r="A539" i="12"/>
  <c r="BE538" i="12"/>
  <c r="BD538" i="12"/>
  <c r="BC538" i="12"/>
  <c r="BA538" i="12"/>
  <c r="AU538" i="12"/>
  <c r="AS538" i="12"/>
  <c r="AQ538" i="12"/>
  <c r="AP538" i="12"/>
  <c r="AO538" i="12"/>
  <c r="AN538" i="12"/>
  <c r="AL538" i="12"/>
  <c r="AK538" i="12"/>
  <c r="AH538" i="12"/>
  <c r="AG538" i="12"/>
  <c r="AD538" i="12"/>
  <c r="AC538" i="12"/>
  <c r="AA538" i="12"/>
  <c r="Z538" i="12"/>
  <c r="Y538" i="12"/>
  <c r="X538" i="12"/>
  <c r="W538" i="12"/>
  <c r="V538" i="12"/>
  <c r="U538" i="12"/>
  <c r="T538" i="12"/>
  <c r="S538" i="12"/>
  <c r="R538" i="12"/>
  <c r="Q538" i="12"/>
  <c r="P538" i="12"/>
  <c r="L538" i="12"/>
  <c r="K538" i="12"/>
  <c r="J538" i="12"/>
  <c r="I538" i="12"/>
  <c r="G538" i="12"/>
  <c r="F538" i="12"/>
  <c r="E538" i="12"/>
  <c r="D538" i="12"/>
  <c r="C538" i="12"/>
  <c r="B538" i="12"/>
  <c r="A538" i="12"/>
  <c r="BE537" i="12"/>
  <c r="BD537" i="12"/>
  <c r="BC537" i="12"/>
  <c r="BB537" i="12"/>
  <c r="AX537" i="12"/>
  <c r="AU537" i="12"/>
  <c r="AS537" i="12"/>
  <c r="AQ537" i="12"/>
  <c r="AN537" i="12"/>
  <c r="AL537" i="12"/>
  <c r="AK537" i="12"/>
  <c r="AH537" i="12"/>
  <c r="AG537" i="12"/>
  <c r="AD537" i="12"/>
  <c r="AA537" i="12"/>
  <c r="Z537" i="12"/>
  <c r="Y537" i="12"/>
  <c r="X537" i="12"/>
  <c r="W537" i="12"/>
  <c r="V537" i="12"/>
  <c r="U537" i="12"/>
  <c r="T537" i="12"/>
  <c r="S537" i="12"/>
  <c r="R537" i="12"/>
  <c r="Q537" i="12"/>
  <c r="P537" i="12"/>
  <c r="L537" i="12"/>
  <c r="K537" i="12"/>
  <c r="J537" i="12"/>
  <c r="G537" i="12"/>
  <c r="F537" i="12"/>
  <c r="E537" i="12"/>
  <c r="D537" i="12"/>
  <c r="C537" i="12"/>
  <c r="B537" i="12"/>
  <c r="A537" i="12"/>
  <c r="BE536" i="12"/>
  <c r="BD536" i="12"/>
  <c r="BC536" i="12"/>
  <c r="BB536" i="12"/>
  <c r="AX536" i="12"/>
  <c r="AU536" i="12"/>
  <c r="AS536" i="12"/>
  <c r="AR536" i="12"/>
  <c r="AQ536" i="12"/>
  <c r="AN536" i="12"/>
  <c r="AL536" i="12"/>
  <c r="AK536" i="12"/>
  <c r="AH536" i="12"/>
  <c r="AG536" i="12"/>
  <c r="AD536" i="12"/>
  <c r="AA536" i="12"/>
  <c r="Z536" i="12"/>
  <c r="Y536" i="12"/>
  <c r="X536" i="12"/>
  <c r="W536" i="12"/>
  <c r="V536" i="12"/>
  <c r="U536" i="12"/>
  <c r="T536" i="12"/>
  <c r="S536" i="12"/>
  <c r="R536" i="12"/>
  <c r="Q536" i="12"/>
  <c r="P536" i="12"/>
  <c r="M536" i="12"/>
  <c r="L536" i="12"/>
  <c r="K536" i="12"/>
  <c r="J536" i="12"/>
  <c r="I536" i="12"/>
  <c r="G536" i="12"/>
  <c r="F536" i="12"/>
  <c r="E536" i="12"/>
  <c r="D536" i="12"/>
  <c r="C536" i="12"/>
  <c r="B536" i="12"/>
  <c r="A536" i="12"/>
  <c r="BE535" i="12"/>
  <c r="BD535" i="12"/>
  <c r="BC535" i="12"/>
  <c r="BB535" i="12"/>
  <c r="AX535" i="12"/>
  <c r="AU535" i="12"/>
  <c r="AS535" i="12"/>
  <c r="AQ535" i="12"/>
  <c r="AN535" i="12"/>
  <c r="AL535" i="12"/>
  <c r="AK535" i="12"/>
  <c r="AH535" i="12"/>
  <c r="AG535" i="12"/>
  <c r="AD535" i="12"/>
  <c r="AA535" i="12"/>
  <c r="Z535" i="12"/>
  <c r="Y535" i="12"/>
  <c r="X535" i="12"/>
  <c r="W535" i="12"/>
  <c r="V535" i="12"/>
  <c r="U535" i="12"/>
  <c r="T535" i="12"/>
  <c r="S535" i="12"/>
  <c r="R535" i="12"/>
  <c r="Q535" i="12"/>
  <c r="P535" i="12"/>
  <c r="M535" i="12"/>
  <c r="L535" i="12"/>
  <c r="K535" i="12"/>
  <c r="J535" i="12"/>
  <c r="I535" i="12"/>
  <c r="G535" i="12"/>
  <c r="F535" i="12"/>
  <c r="E535" i="12"/>
  <c r="D535" i="12"/>
  <c r="C535" i="12"/>
  <c r="B535" i="12"/>
  <c r="A535" i="12"/>
  <c r="BE534" i="12"/>
  <c r="BD534" i="12"/>
  <c r="BC534" i="12"/>
  <c r="BB534" i="12"/>
  <c r="AX534" i="12"/>
  <c r="AU534" i="12"/>
  <c r="AS534" i="12"/>
  <c r="AQ534" i="12"/>
  <c r="AN534" i="12"/>
  <c r="AL534" i="12"/>
  <c r="AK534" i="12"/>
  <c r="AH534" i="12"/>
  <c r="AG534" i="12"/>
  <c r="AD534" i="12"/>
  <c r="AA534" i="12"/>
  <c r="Z534" i="12"/>
  <c r="Y534" i="12"/>
  <c r="X534" i="12"/>
  <c r="W534" i="12"/>
  <c r="V534" i="12"/>
  <c r="U534" i="12"/>
  <c r="T534" i="12"/>
  <c r="S534" i="12"/>
  <c r="R534" i="12"/>
  <c r="Q534" i="12"/>
  <c r="P534" i="12"/>
  <c r="L534" i="12"/>
  <c r="K534" i="12"/>
  <c r="J534" i="12"/>
  <c r="I534" i="12"/>
  <c r="G534" i="12"/>
  <c r="F534" i="12"/>
  <c r="E534" i="12"/>
  <c r="D534" i="12"/>
  <c r="C534" i="12"/>
  <c r="B534" i="12"/>
  <c r="A534" i="12"/>
  <c r="BE533" i="12"/>
  <c r="BD533" i="12"/>
  <c r="BC533" i="12"/>
  <c r="BB533" i="12"/>
  <c r="AU533" i="12"/>
  <c r="AS533" i="12"/>
  <c r="AQ533" i="12"/>
  <c r="AN533" i="12"/>
  <c r="AL533" i="12"/>
  <c r="AK533" i="12"/>
  <c r="AJ533" i="12"/>
  <c r="AI533" i="12"/>
  <c r="AH533" i="12"/>
  <c r="AG533" i="12"/>
  <c r="AD533" i="12"/>
  <c r="AA533" i="12"/>
  <c r="Z533" i="12"/>
  <c r="Y533" i="12"/>
  <c r="X533" i="12"/>
  <c r="W533" i="12"/>
  <c r="V533" i="12"/>
  <c r="U533" i="12"/>
  <c r="T533" i="12"/>
  <c r="S533" i="12"/>
  <c r="R533" i="12"/>
  <c r="Q533" i="12"/>
  <c r="P533" i="12"/>
  <c r="L533" i="12"/>
  <c r="K533" i="12"/>
  <c r="J533" i="12"/>
  <c r="I533" i="12"/>
  <c r="G533" i="12"/>
  <c r="F533" i="12"/>
  <c r="E533" i="12"/>
  <c r="D533" i="12"/>
  <c r="C533" i="12"/>
  <c r="B533" i="12"/>
  <c r="A533" i="12"/>
  <c r="BE532" i="12"/>
  <c r="BD532" i="12"/>
  <c r="BC532" i="12"/>
  <c r="BB532" i="12"/>
  <c r="AX532" i="12"/>
  <c r="AU532" i="12"/>
  <c r="AS532" i="12"/>
  <c r="AQ532" i="12"/>
  <c r="AN532" i="12"/>
  <c r="AL532" i="12"/>
  <c r="AK532" i="12"/>
  <c r="AH532" i="12"/>
  <c r="AG532" i="12"/>
  <c r="AD532" i="12"/>
  <c r="AA532" i="12"/>
  <c r="Z532" i="12"/>
  <c r="Y532" i="12"/>
  <c r="X532" i="12"/>
  <c r="W532" i="12"/>
  <c r="V532" i="12"/>
  <c r="U532" i="12"/>
  <c r="T532" i="12"/>
  <c r="S532" i="12"/>
  <c r="R532" i="12"/>
  <c r="Q532" i="12"/>
  <c r="P532" i="12"/>
  <c r="L532" i="12"/>
  <c r="K532" i="12"/>
  <c r="J532" i="12"/>
  <c r="I532" i="12"/>
  <c r="G532" i="12"/>
  <c r="F532" i="12"/>
  <c r="E532" i="12"/>
  <c r="D532" i="12"/>
  <c r="C532" i="12"/>
  <c r="B532" i="12"/>
  <c r="A532" i="12"/>
  <c r="BE531" i="12"/>
  <c r="BD531" i="12"/>
  <c r="BC531" i="12"/>
  <c r="BB531" i="12"/>
  <c r="AU531" i="12"/>
  <c r="AS531" i="12"/>
  <c r="AQ531" i="12"/>
  <c r="AN531" i="12"/>
  <c r="AL531" i="12"/>
  <c r="AK531" i="12"/>
  <c r="AH531" i="12"/>
  <c r="AG531" i="12"/>
  <c r="AD531" i="12"/>
  <c r="AA531" i="12"/>
  <c r="Z531" i="12"/>
  <c r="Y531" i="12"/>
  <c r="X531" i="12"/>
  <c r="W531" i="12"/>
  <c r="V531" i="12"/>
  <c r="U531" i="12"/>
  <c r="T531" i="12"/>
  <c r="S531" i="12"/>
  <c r="R531" i="12"/>
  <c r="P531" i="12"/>
  <c r="L531" i="12"/>
  <c r="K531" i="12"/>
  <c r="J531" i="12"/>
  <c r="I531" i="12"/>
  <c r="G531" i="12"/>
  <c r="F531" i="12"/>
  <c r="E531" i="12"/>
  <c r="D531" i="12"/>
  <c r="C531" i="12"/>
  <c r="B531" i="12"/>
  <c r="A531" i="12"/>
  <c r="BE530" i="12"/>
  <c r="BD530" i="12"/>
  <c r="BC530" i="12"/>
  <c r="BB530" i="12"/>
  <c r="AU530" i="12"/>
  <c r="AS530" i="12"/>
  <c r="AQ530" i="12"/>
  <c r="AN530" i="12"/>
  <c r="AL530" i="12"/>
  <c r="AK530" i="12"/>
  <c r="AH530" i="12"/>
  <c r="AG530" i="12"/>
  <c r="AD530" i="12"/>
  <c r="AA530" i="12"/>
  <c r="Z530" i="12"/>
  <c r="Y530" i="12"/>
  <c r="X530" i="12"/>
  <c r="W530" i="12"/>
  <c r="V530" i="12"/>
  <c r="U530" i="12"/>
  <c r="T530" i="12"/>
  <c r="S530" i="12"/>
  <c r="R530" i="12"/>
  <c r="P530" i="12"/>
  <c r="L530" i="12"/>
  <c r="K530" i="12"/>
  <c r="J530" i="12"/>
  <c r="I530" i="12"/>
  <c r="G530" i="12"/>
  <c r="F530" i="12"/>
  <c r="E530" i="12"/>
  <c r="D530" i="12"/>
  <c r="C530" i="12"/>
  <c r="B530" i="12"/>
  <c r="A530" i="12"/>
  <c r="BE529" i="12"/>
  <c r="BD529" i="12"/>
  <c r="BC529" i="12"/>
  <c r="BB529" i="12"/>
  <c r="AU529" i="12"/>
  <c r="AS529" i="12"/>
  <c r="AQ529" i="12"/>
  <c r="AN529" i="12"/>
  <c r="AL529" i="12"/>
  <c r="AK529" i="12"/>
  <c r="AH529" i="12"/>
  <c r="AG529" i="12"/>
  <c r="AD529" i="12"/>
  <c r="AA529" i="12"/>
  <c r="Z529" i="12"/>
  <c r="Y529" i="12"/>
  <c r="X529" i="12"/>
  <c r="W529" i="12"/>
  <c r="V529" i="12"/>
  <c r="U529" i="12"/>
  <c r="T529" i="12"/>
  <c r="S529" i="12"/>
  <c r="R529" i="12"/>
  <c r="P529" i="12"/>
  <c r="L529" i="12"/>
  <c r="K529" i="12"/>
  <c r="J529" i="12"/>
  <c r="I529" i="12"/>
  <c r="G529" i="12"/>
  <c r="F529" i="12"/>
  <c r="E529" i="12"/>
  <c r="D529" i="12"/>
  <c r="C529" i="12"/>
  <c r="B529" i="12"/>
  <c r="A529" i="12"/>
  <c r="BE528" i="12"/>
  <c r="BD528" i="12"/>
  <c r="BC528" i="12"/>
  <c r="BB528" i="12"/>
  <c r="AU528" i="12"/>
  <c r="AS528" i="12"/>
  <c r="AQ528" i="12"/>
  <c r="AN528" i="12"/>
  <c r="AL528" i="12"/>
  <c r="AK528" i="12"/>
  <c r="AH528" i="12"/>
  <c r="AG528" i="12"/>
  <c r="AD528" i="12"/>
  <c r="AA528" i="12"/>
  <c r="Z528" i="12"/>
  <c r="Y528" i="12"/>
  <c r="X528" i="12"/>
  <c r="W528" i="12"/>
  <c r="V528" i="12"/>
  <c r="U528" i="12"/>
  <c r="T528" i="12"/>
  <c r="S528" i="12"/>
  <c r="R528" i="12"/>
  <c r="P528" i="12"/>
  <c r="M528" i="12"/>
  <c r="L528" i="12"/>
  <c r="K528" i="12"/>
  <c r="J528" i="12"/>
  <c r="I528" i="12"/>
  <c r="G528" i="12"/>
  <c r="F528" i="12"/>
  <c r="E528" i="12"/>
  <c r="D528" i="12"/>
  <c r="C528" i="12"/>
  <c r="B528" i="12"/>
  <c r="A528" i="12"/>
  <c r="BE527" i="12"/>
  <c r="BD527" i="12"/>
  <c r="BC527" i="12"/>
  <c r="BB527" i="12"/>
  <c r="AU527" i="12"/>
  <c r="AS527" i="12"/>
  <c r="AQ527" i="12"/>
  <c r="AN527" i="12"/>
  <c r="AL527" i="12"/>
  <c r="AK527" i="12"/>
  <c r="AH527" i="12"/>
  <c r="AG527" i="12"/>
  <c r="AD527" i="12"/>
  <c r="AA527" i="12"/>
  <c r="Z527" i="12"/>
  <c r="Y527" i="12"/>
  <c r="X527" i="12"/>
  <c r="W527" i="12"/>
  <c r="V527" i="12"/>
  <c r="U527" i="12"/>
  <c r="T527" i="12"/>
  <c r="S527" i="12"/>
  <c r="R527" i="12"/>
  <c r="P527" i="12"/>
  <c r="M527" i="12"/>
  <c r="L527" i="12"/>
  <c r="K527" i="12"/>
  <c r="J527" i="12"/>
  <c r="I527" i="12"/>
  <c r="G527" i="12"/>
  <c r="F527" i="12"/>
  <c r="E527" i="12"/>
  <c r="D527" i="12"/>
  <c r="C527" i="12"/>
  <c r="B527" i="12"/>
  <c r="A527" i="12"/>
  <c r="BE526" i="12"/>
  <c r="BD526" i="12"/>
  <c r="BC526" i="12"/>
  <c r="BB526" i="12"/>
  <c r="AU526" i="12"/>
  <c r="AS526" i="12"/>
  <c r="AQ526" i="12"/>
  <c r="AN526" i="12"/>
  <c r="AL526" i="12"/>
  <c r="AK526" i="12"/>
  <c r="AH526" i="12"/>
  <c r="AG526" i="12"/>
  <c r="AD526" i="12"/>
  <c r="AA526" i="12"/>
  <c r="Z526" i="12"/>
  <c r="Y526" i="12"/>
  <c r="X526" i="12"/>
  <c r="W526" i="12"/>
  <c r="V526" i="12"/>
  <c r="U526" i="12"/>
  <c r="T526" i="12"/>
  <c r="S526" i="12"/>
  <c r="R526" i="12"/>
  <c r="P526" i="12"/>
  <c r="M526" i="12"/>
  <c r="L526" i="12"/>
  <c r="K526" i="12"/>
  <c r="J526" i="12"/>
  <c r="I526" i="12"/>
  <c r="G526" i="12"/>
  <c r="F526" i="12"/>
  <c r="E526" i="12"/>
  <c r="D526" i="12"/>
  <c r="C526" i="12"/>
  <c r="B526" i="12"/>
  <c r="A526" i="12"/>
  <c r="BC525" i="12"/>
  <c r="AU525" i="12"/>
  <c r="AR525" i="12"/>
  <c r="AP525" i="12"/>
  <c r="AL525" i="12"/>
  <c r="AK525" i="12"/>
  <c r="AI525" i="12"/>
  <c r="AH525" i="12"/>
  <c r="AG525" i="12"/>
  <c r="AD525" i="12"/>
  <c r="AC525" i="12"/>
  <c r="AA525" i="12"/>
  <c r="Z525" i="12"/>
  <c r="Y525" i="12"/>
  <c r="X525" i="12"/>
  <c r="W525" i="12"/>
  <c r="V525" i="12"/>
  <c r="U525" i="12"/>
  <c r="Q525" i="12"/>
  <c r="M525" i="12"/>
  <c r="L525" i="12"/>
  <c r="K525" i="12"/>
  <c r="J525" i="12"/>
  <c r="I525" i="12"/>
  <c r="G525" i="12"/>
  <c r="F525" i="12"/>
  <c r="E525" i="12"/>
  <c r="D525" i="12"/>
  <c r="C525" i="12"/>
  <c r="B525" i="12"/>
  <c r="A525" i="12"/>
  <c r="BD524" i="12"/>
  <c r="BC524" i="12"/>
  <c r="BA524" i="12"/>
  <c r="AU524" i="12"/>
  <c r="AR524" i="12"/>
  <c r="AL524" i="12"/>
  <c r="AK524" i="12"/>
  <c r="AI524" i="12"/>
  <c r="AH524" i="12"/>
  <c r="AG524" i="12"/>
  <c r="AC524" i="12"/>
  <c r="AB524" i="12"/>
  <c r="AA524" i="12"/>
  <c r="Z524" i="12"/>
  <c r="Y524" i="12"/>
  <c r="X524" i="12"/>
  <c r="W524" i="12"/>
  <c r="V524" i="12"/>
  <c r="U524" i="12"/>
  <c r="Q524" i="12"/>
  <c r="M524" i="12"/>
  <c r="L524" i="12"/>
  <c r="K524" i="12"/>
  <c r="J524" i="12"/>
  <c r="I524" i="12"/>
  <c r="G524" i="12"/>
  <c r="F524" i="12"/>
  <c r="E524" i="12"/>
  <c r="D524" i="12"/>
  <c r="C524" i="12"/>
  <c r="B524" i="12"/>
  <c r="A524" i="12"/>
  <c r="BD523" i="12"/>
  <c r="BC523" i="12"/>
  <c r="AU523" i="12"/>
  <c r="AR523" i="12"/>
  <c r="AP523" i="12"/>
  <c r="AL523" i="12"/>
  <c r="AK523" i="12"/>
  <c r="AI523" i="12"/>
  <c r="AH523" i="12"/>
  <c r="AG523" i="12"/>
  <c r="AD523" i="12"/>
  <c r="AC523" i="12"/>
  <c r="AA523" i="12"/>
  <c r="Z523" i="12"/>
  <c r="Y523" i="12"/>
  <c r="X523" i="12"/>
  <c r="W523" i="12"/>
  <c r="V523" i="12"/>
  <c r="U523" i="12"/>
  <c r="Q523" i="12"/>
  <c r="M523" i="12"/>
  <c r="L523" i="12"/>
  <c r="K523" i="12"/>
  <c r="J523" i="12"/>
  <c r="I523" i="12"/>
  <c r="H523" i="12"/>
  <c r="G523" i="12"/>
  <c r="F523" i="12"/>
  <c r="E523" i="12"/>
  <c r="D523" i="12"/>
  <c r="C523" i="12"/>
  <c r="B523" i="12"/>
  <c r="A523" i="12"/>
  <c r="BD522" i="12"/>
  <c r="BC522" i="12"/>
  <c r="BA522" i="12"/>
  <c r="AU522" i="12"/>
  <c r="AR522" i="12"/>
  <c r="AL522" i="12"/>
  <c r="AK522" i="12"/>
  <c r="AI522" i="12"/>
  <c r="AH522" i="12"/>
  <c r="AG522" i="12"/>
  <c r="AC522" i="12"/>
  <c r="AB522" i="12"/>
  <c r="AA522" i="12"/>
  <c r="Z522" i="12"/>
  <c r="Y522" i="12"/>
  <c r="X522" i="12"/>
  <c r="W522" i="12"/>
  <c r="V522" i="12"/>
  <c r="U522" i="12"/>
  <c r="Q522" i="12"/>
  <c r="M522" i="12"/>
  <c r="L522" i="12"/>
  <c r="K522" i="12"/>
  <c r="J522" i="12"/>
  <c r="I522" i="12"/>
  <c r="H522" i="12"/>
  <c r="G522" i="12"/>
  <c r="F522" i="12"/>
  <c r="E522" i="12"/>
  <c r="D522" i="12"/>
  <c r="C522" i="12"/>
  <c r="B522" i="12"/>
  <c r="A522" i="12"/>
  <c r="BD521" i="12"/>
  <c r="BC521" i="12"/>
  <c r="BA521" i="12"/>
  <c r="AU521" i="12"/>
  <c r="AR521" i="12"/>
  <c r="AL521" i="12"/>
  <c r="AK521" i="12"/>
  <c r="AI521" i="12"/>
  <c r="AH521" i="12"/>
  <c r="AG521" i="12"/>
  <c r="AD521" i="12"/>
  <c r="AC521" i="12"/>
  <c r="AB521" i="12"/>
  <c r="AA521" i="12"/>
  <c r="Z521" i="12"/>
  <c r="Y521" i="12"/>
  <c r="X521" i="12"/>
  <c r="W521" i="12"/>
  <c r="V521" i="12"/>
  <c r="U521" i="12"/>
  <c r="Q521" i="12"/>
  <c r="M521" i="12"/>
  <c r="L521" i="12"/>
  <c r="K521" i="12"/>
  <c r="J521" i="12"/>
  <c r="I521" i="12"/>
  <c r="G521" i="12"/>
  <c r="F521" i="12"/>
  <c r="E521" i="12"/>
  <c r="D521" i="12"/>
  <c r="C521" i="12"/>
  <c r="B521" i="12"/>
  <c r="A521" i="12"/>
  <c r="BC520" i="12"/>
  <c r="AU520" i="12"/>
  <c r="AR520" i="12"/>
  <c r="AP520" i="12"/>
  <c r="AL520" i="12"/>
  <c r="AK520" i="12"/>
  <c r="AI520" i="12"/>
  <c r="AH520" i="12"/>
  <c r="AG520" i="12"/>
  <c r="AD520" i="12"/>
  <c r="AC520" i="12"/>
  <c r="AA520" i="12"/>
  <c r="Z520" i="12"/>
  <c r="Y520" i="12"/>
  <c r="X520" i="12"/>
  <c r="W520" i="12"/>
  <c r="V520" i="12"/>
  <c r="U520" i="12"/>
  <c r="Q520" i="12"/>
  <c r="M520" i="12"/>
  <c r="L520" i="12"/>
  <c r="K520" i="12"/>
  <c r="J520" i="12"/>
  <c r="I520" i="12"/>
  <c r="G520" i="12"/>
  <c r="F520" i="12"/>
  <c r="E520" i="12"/>
  <c r="D520" i="12"/>
  <c r="C520" i="12"/>
  <c r="B520" i="12"/>
  <c r="A520" i="12"/>
  <c r="BD519" i="12"/>
  <c r="BC519" i="12"/>
  <c r="BA519" i="12"/>
  <c r="AU519" i="12"/>
  <c r="AR519" i="12"/>
  <c r="AL519" i="12"/>
  <c r="AK519" i="12"/>
  <c r="AI519" i="12"/>
  <c r="AH519" i="12"/>
  <c r="AG519" i="12"/>
  <c r="AD519" i="12"/>
  <c r="AC519" i="12"/>
  <c r="AA519" i="12"/>
  <c r="Z519" i="12"/>
  <c r="Y519" i="12"/>
  <c r="X519" i="12"/>
  <c r="W519" i="12"/>
  <c r="V519" i="12"/>
  <c r="U519" i="12"/>
  <c r="Q519" i="12"/>
  <c r="M519" i="12"/>
  <c r="L519" i="12"/>
  <c r="K519" i="12"/>
  <c r="J519" i="12"/>
  <c r="I519" i="12"/>
  <c r="G519" i="12"/>
  <c r="F519" i="12"/>
  <c r="E519" i="12"/>
  <c r="D519" i="12"/>
  <c r="C519" i="12"/>
  <c r="B519" i="12"/>
  <c r="A519" i="12"/>
  <c r="BD518" i="12"/>
  <c r="BC518" i="12"/>
  <c r="BA518" i="12"/>
  <c r="AU518" i="12"/>
  <c r="AR518" i="12"/>
  <c r="AL518" i="12"/>
  <c r="AK518" i="12"/>
  <c r="AI518" i="12"/>
  <c r="AH518" i="12"/>
  <c r="AG518" i="12"/>
  <c r="AC518" i="12"/>
  <c r="AA518" i="12"/>
  <c r="Z518" i="12"/>
  <c r="Y518" i="12"/>
  <c r="X518" i="12"/>
  <c r="W518" i="12"/>
  <c r="V518" i="12"/>
  <c r="U518" i="12"/>
  <c r="Q518" i="12"/>
  <c r="M518" i="12"/>
  <c r="L518" i="12"/>
  <c r="K518" i="12"/>
  <c r="J518" i="12"/>
  <c r="I518" i="12"/>
  <c r="G518" i="12"/>
  <c r="F518" i="12"/>
  <c r="E518" i="12"/>
  <c r="D518" i="12"/>
  <c r="C518" i="12"/>
  <c r="B518" i="12"/>
  <c r="A518" i="12"/>
  <c r="BE517" i="12"/>
  <c r="BD517" i="12"/>
  <c r="BC517" i="12"/>
  <c r="BB517" i="12"/>
  <c r="AU517" i="12"/>
  <c r="AS517" i="12"/>
  <c r="AQ517" i="12"/>
  <c r="AP517" i="12"/>
  <c r="AO517" i="12"/>
  <c r="AN517" i="12"/>
  <c r="AM517" i="12"/>
  <c r="AL517" i="12"/>
  <c r="AK517" i="12"/>
  <c r="AJ517" i="12"/>
  <c r="AI517" i="12"/>
  <c r="AG517" i="12"/>
  <c r="AD517" i="12"/>
  <c r="AC517" i="12"/>
  <c r="AA517" i="12"/>
  <c r="Z517" i="12"/>
  <c r="Y517" i="12"/>
  <c r="X517" i="12"/>
  <c r="W517" i="12"/>
  <c r="V517" i="12"/>
  <c r="U517" i="12"/>
  <c r="T517" i="12"/>
  <c r="S517" i="12"/>
  <c r="R517" i="12"/>
  <c r="P517" i="12"/>
  <c r="O517" i="12"/>
  <c r="N517" i="12"/>
  <c r="L517" i="12"/>
  <c r="K517" i="12"/>
  <c r="J517" i="12"/>
  <c r="I517" i="12"/>
  <c r="G517" i="12"/>
  <c r="F517" i="12"/>
  <c r="E517" i="12"/>
  <c r="D517" i="12"/>
  <c r="C517" i="12"/>
  <c r="B517" i="12"/>
  <c r="A517" i="12"/>
  <c r="BC516" i="12"/>
  <c r="BA516" i="12"/>
  <c r="AH516" i="12"/>
  <c r="AG516" i="12"/>
  <c r="T516" i="12"/>
  <c r="K516" i="12"/>
  <c r="J516" i="12"/>
  <c r="I516" i="12"/>
  <c r="G516" i="12"/>
  <c r="F516" i="12"/>
  <c r="E516" i="12"/>
  <c r="D516" i="12"/>
  <c r="C516" i="12"/>
  <c r="B516" i="12"/>
  <c r="A516" i="12"/>
  <c r="BC515" i="12"/>
  <c r="BA515" i="12"/>
  <c r="AH515" i="12"/>
  <c r="AG515" i="12"/>
  <c r="T515" i="12"/>
  <c r="K515" i="12"/>
  <c r="J515" i="12"/>
  <c r="I515" i="12"/>
  <c r="G515" i="12"/>
  <c r="F515" i="12"/>
  <c r="E515" i="12"/>
  <c r="D515" i="12"/>
  <c r="C515" i="12"/>
  <c r="B515" i="12"/>
  <c r="A515" i="12"/>
  <c r="BE514" i="12"/>
  <c r="BD514" i="12"/>
  <c r="BC514" i="12"/>
  <c r="BB514" i="12"/>
  <c r="AU514" i="12"/>
  <c r="AS514" i="12"/>
  <c r="AQ514" i="12"/>
  <c r="AP514" i="12"/>
  <c r="AO514" i="12"/>
  <c r="AN514" i="12"/>
  <c r="AM514" i="12"/>
  <c r="AL514" i="12"/>
  <c r="AK514" i="12"/>
  <c r="AG514" i="12"/>
  <c r="AD514" i="12"/>
  <c r="AC514" i="12"/>
  <c r="AA514" i="12"/>
  <c r="Z514" i="12"/>
  <c r="Y514" i="12"/>
  <c r="X514" i="12"/>
  <c r="W514" i="12"/>
  <c r="V514" i="12"/>
  <c r="U514" i="12"/>
  <c r="T514" i="12"/>
  <c r="S514" i="12"/>
  <c r="R514" i="12"/>
  <c r="P514" i="12"/>
  <c r="O514" i="12"/>
  <c r="N514" i="12"/>
  <c r="L514" i="12"/>
  <c r="K514" i="12"/>
  <c r="J514" i="12"/>
  <c r="I514" i="12"/>
  <c r="G514" i="12"/>
  <c r="F514" i="12"/>
  <c r="E514" i="12"/>
  <c r="D514" i="12"/>
  <c r="C514" i="12"/>
  <c r="B514" i="12"/>
  <c r="A514" i="12"/>
  <c r="BE513" i="12"/>
  <c r="BD513" i="12"/>
  <c r="BC513" i="12"/>
  <c r="BB513" i="12"/>
  <c r="AU513" i="12"/>
  <c r="AS513" i="12"/>
  <c r="AQ513" i="12"/>
  <c r="AP513" i="12"/>
  <c r="AO513" i="12"/>
  <c r="AN513" i="12"/>
  <c r="AM513" i="12"/>
  <c r="AL513" i="12"/>
  <c r="AK513" i="12"/>
  <c r="AG513" i="12"/>
  <c r="AD513" i="12"/>
  <c r="AC513" i="12"/>
  <c r="AA513" i="12"/>
  <c r="Z513" i="12"/>
  <c r="Y513" i="12"/>
  <c r="X513" i="12"/>
  <c r="W513" i="12"/>
  <c r="V513" i="12"/>
  <c r="T513" i="12"/>
  <c r="S513" i="12"/>
  <c r="R513" i="12"/>
  <c r="P513" i="12"/>
  <c r="O513" i="12"/>
  <c r="N513" i="12"/>
  <c r="L513" i="12"/>
  <c r="K513" i="12"/>
  <c r="J513" i="12"/>
  <c r="I513" i="12"/>
  <c r="G513" i="12"/>
  <c r="F513" i="12"/>
  <c r="E513" i="12"/>
  <c r="D513" i="12"/>
  <c r="C513" i="12"/>
  <c r="B513" i="12"/>
  <c r="A513" i="12"/>
  <c r="BE512" i="12"/>
  <c r="BD512" i="12"/>
  <c r="BC512" i="12"/>
  <c r="BB512" i="12"/>
  <c r="AU512" i="12"/>
  <c r="AS512" i="12"/>
  <c r="AQ512" i="12"/>
  <c r="AP512" i="12"/>
  <c r="AO512" i="12"/>
  <c r="AN512" i="12"/>
  <c r="AM512" i="12"/>
  <c r="AL512" i="12"/>
  <c r="AK512" i="12"/>
  <c r="AG512" i="12"/>
  <c r="AD512" i="12"/>
  <c r="AC512" i="12"/>
  <c r="AA512" i="12"/>
  <c r="Z512" i="12"/>
  <c r="Y512" i="12"/>
  <c r="X512" i="12"/>
  <c r="W512" i="12"/>
  <c r="V512" i="12"/>
  <c r="U512" i="12"/>
  <c r="T512" i="12"/>
  <c r="S512" i="12"/>
  <c r="R512" i="12"/>
  <c r="P512" i="12"/>
  <c r="O512" i="12"/>
  <c r="N512" i="12"/>
  <c r="L512" i="12"/>
  <c r="K512" i="12"/>
  <c r="J512" i="12"/>
  <c r="I512" i="12"/>
  <c r="G512" i="12"/>
  <c r="F512" i="12"/>
  <c r="E512" i="12"/>
  <c r="D512" i="12"/>
  <c r="C512" i="12"/>
  <c r="B512" i="12"/>
  <c r="A512" i="12"/>
  <c r="BE511" i="12"/>
  <c r="BD511" i="12"/>
  <c r="BC511" i="12"/>
  <c r="BB511" i="12"/>
  <c r="AU511" i="12"/>
  <c r="AS511" i="12"/>
  <c r="AQ511" i="12"/>
  <c r="AP511" i="12"/>
  <c r="AO511" i="12"/>
  <c r="AN511" i="12"/>
  <c r="AM511" i="12"/>
  <c r="AL511" i="12"/>
  <c r="AK511" i="12"/>
  <c r="AG511" i="12"/>
  <c r="AD511" i="12"/>
  <c r="AC511" i="12"/>
  <c r="AA511" i="12"/>
  <c r="Z511" i="12"/>
  <c r="Y511" i="12"/>
  <c r="X511" i="12"/>
  <c r="W511" i="12"/>
  <c r="V511" i="12"/>
  <c r="U511" i="12"/>
  <c r="T511" i="12"/>
  <c r="S511" i="12"/>
  <c r="R511" i="12"/>
  <c r="P511" i="12"/>
  <c r="O511" i="12"/>
  <c r="N511" i="12"/>
  <c r="L511" i="12"/>
  <c r="K511" i="12"/>
  <c r="J511" i="12"/>
  <c r="I511" i="12"/>
  <c r="G511" i="12"/>
  <c r="F511" i="12"/>
  <c r="E511" i="12"/>
  <c r="D511" i="12"/>
  <c r="C511" i="12"/>
  <c r="B511" i="12"/>
  <c r="A511" i="12"/>
  <c r="BE510" i="12"/>
  <c r="BD510" i="12"/>
  <c r="BC510" i="12"/>
  <c r="BB510" i="12"/>
  <c r="AU510" i="12"/>
  <c r="AS510" i="12"/>
  <c r="AQ510" i="12"/>
  <c r="AP510" i="12"/>
  <c r="AO510" i="12"/>
  <c r="AN510" i="12"/>
  <c r="AM510" i="12"/>
  <c r="AL510" i="12"/>
  <c r="AK510" i="12"/>
  <c r="AG510" i="12"/>
  <c r="AD510" i="12"/>
  <c r="AC510" i="12"/>
  <c r="AA510" i="12"/>
  <c r="Z510" i="12"/>
  <c r="Y510" i="12"/>
  <c r="X510" i="12"/>
  <c r="W510" i="12"/>
  <c r="V510" i="12"/>
  <c r="U510" i="12"/>
  <c r="T510" i="12"/>
  <c r="S510" i="12"/>
  <c r="R510" i="12"/>
  <c r="P510" i="12"/>
  <c r="O510" i="12"/>
  <c r="N510" i="12"/>
  <c r="L510" i="12"/>
  <c r="K510" i="12"/>
  <c r="J510" i="12"/>
  <c r="I510" i="12"/>
  <c r="G510" i="12"/>
  <c r="F510" i="12"/>
  <c r="E510" i="12"/>
  <c r="D510" i="12"/>
  <c r="C510" i="12"/>
  <c r="B510" i="12"/>
  <c r="A510" i="12"/>
  <c r="BE509" i="12"/>
  <c r="BD509" i="12"/>
  <c r="BC509" i="12"/>
  <c r="BB509" i="12"/>
  <c r="AU509" i="12"/>
  <c r="AS509" i="12"/>
  <c r="AQ509" i="12"/>
  <c r="AP509" i="12"/>
  <c r="AO509" i="12"/>
  <c r="AN509" i="12"/>
  <c r="AM509" i="12"/>
  <c r="AL509" i="12"/>
  <c r="AK509" i="12"/>
  <c r="AG509" i="12"/>
  <c r="AD509" i="12"/>
  <c r="AC509" i="12"/>
  <c r="AA509" i="12"/>
  <c r="Z509" i="12"/>
  <c r="Y509" i="12"/>
  <c r="X509" i="12"/>
  <c r="W509" i="12"/>
  <c r="V509" i="12"/>
  <c r="U509" i="12"/>
  <c r="T509" i="12"/>
  <c r="S509" i="12"/>
  <c r="R509" i="12"/>
  <c r="P509" i="12"/>
  <c r="O509" i="12"/>
  <c r="N509" i="12"/>
  <c r="L509" i="12"/>
  <c r="K509" i="12"/>
  <c r="J509" i="12"/>
  <c r="I509" i="12"/>
  <c r="G509" i="12"/>
  <c r="F509" i="12"/>
  <c r="E509" i="12"/>
  <c r="D509" i="12"/>
  <c r="C509" i="12"/>
  <c r="B509" i="12"/>
  <c r="A509" i="12"/>
  <c r="BE508" i="12"/>
  <c r="BD508" i="12"/>
  <c r="BC508" i="12"/>
  <c r="BB508" i="12"/>
  <c r="AU508" i="12"/>
  <c r="AS508" i="12"/>
  <c r="AQ508" i="12"/>
  <c r="AP508" i="12"/>
  <c r="AO508" i="12"/>
  <c r="AN508" i="12"/>
  <c r="AM508" i="12"/>
  <c r="AL508" i="12"/>
  <c r="AK508" i="12"/>
  <c r="AG508" i="12"/>
  <c r="AD508" i="12"/>
  <c r="AC508" i="12"/>
  <c r="AA508" i="12"/>
  <c r="Z508" i="12"/>
  <c r="Y508" i="12"/>
  <c r="X508" i="12"/>
  <c r="W508" i="12"/>
  <c r="V508" i="12"/>
  <c r="U508" i="12"/>
  <c r="T508" i="12"/>
  <c r="S508" i="12"/>
  <c r="R508" i="12"/>
  <c r="P508" i="12"/>
  <c r="O508" i="12"/>
  <c r="N508" i="12"/>
  <c r="L508" i="12"/>
  <c r="K508" i="12"/>
  <c r="J508" i="12"/>
  <c r="I508" i="12"/>
  <c r="G508" i="12"/>
  <c r="F508" i="12"/>
  <c r="E508" i="12"/>
  <c r="D508" i="12"/>
  <c r="C508" i="12"/>
  <c r="B508" i="12"/>
  <c r="A508" i="12"/>
  <c r="BE507" i="12"/>
  <c r="BD507" i="12"/>
  <c r="BC507" i="12"/>
  <c r="BB507" i="12"/>
  <c r="AU507" i="12"/>
  <c r="AS507" i="12"/>
  <c r="AQ507" i="12"/>
  <c r="AP507" i="12"/>
  <c r="AO507" i="12"/>
  <c r="AN507" i="12"/>
  <c r="AM507" i="12"/>
  <c r="AL507" i="12"/>
  <c r="AK507" i="12"/>
  <c r="AG507" i="12"/>
  <c r="AD507" i="12"/>
  <c r="AC507" i="12"/>
  <c r="AA507" i="12"/>
  <c r="Z507" i="12"/>
  <c r="Y507" i="12"/>
  <c r="X507" i="12"/>
  <c r="W507" i="12"/>
  <c r="V507" i="12"/>
  <c r="U507" i="12"/>
  <c r="T507" i="12"/>
  <c r="S507" i="12"/>
  <c r="R507" i="12"/>
  <c r="P507" i="12"/>
  <c r="O507" i="12"/>
  <c r="N507" i="12"/>
  <c r="L507" i="12"/>
  <c r="K507" i="12"/>
  <c r="J507" i="12"/>
  <c r="I507" i="12"/>
  <c r="G507" i="12"/>
  <c r="F507" i="12"/>
  <c r="E507" i="12"/>
  <c r="D507" i="12"/>
  <c r="C507" i="12"/>
  <c r="B507" i="12"/>
  <c r="A507" i="12"/>
  <c r="BE506" i="12"/>
  <c r="BD506" i="12"/>
  <c r="BC506" i="12"/>
  <c r="BB506" i="12"/>
  <c r="AU506" i="12"/>
  <c r="AS506" i="12"/>
  <c r="AQ506" i="12"/>
  <c r="AP506" i="12"/>
  <c r="AO506" i="12"/>
  <c r="AN506" i="12"/>
  <c r="AM506" i="12"/>
  <c r="AL506" i="12"/>
  <c r="AK506" i="12"/>
  <c r="AG506" i="12"/>
  <c r="AD506" i="12"/>
  <c r="AC506" i="12"/>
  <c r="AA506" i="12"/>
  <c r="Z506" i="12"/>
  <c r="Y506" i="12"/>
  <c r="X506" i="12"/>
  <c r="W506" i="12"/>
  <c r="V506" i="12"/>
  <c r="U506" i="12"/>
  <c r="T506" i="12"/>
  <c r="S506" i="12"/>
  <c r="R506" i="12"/>
  <c r="P506" i="12"/>
  <c r="O506" i="12"/>
  <c r="N506" i="12"/>
  <c r="L506" i="12"/>
  <c r="K506" i="12"/>
  <c r="J506" i="12"/>
  <c r="I506" i="12"/>
  <c r="G506" i="12"/>
  <c r="F506" i="12"/>
  <c r="E506" i="12"/>
  <c r="D506" i="12"/>
  <c r="C506" i="12"/>
  <c r="B506" i="12"/>
  <c r="A506" i="12"/>
  <c r="BD505" i="12"/>
  <c r="BC505" i="12"/>
  <c r="BA505" i="12"/>
  <c r="AU505" i="12"/>
  <c r="AH505" i="12"/>
  <c r="AG505" i="12"/>
  <c r="K505" i="12"/>
  <c r="G505" i="12"/>
  <c r="F505" i="12"/>
  <c r="D505" i="12"/>
  <c r="C505" i="12"/>
  <c r="B505" i="12"/>
  <c r="A505" i="12"/>
  <c r="BD504" i="12"/>
  <c r="BC504" i="12"/>
  <c r="BA504" i="12"/>
  <c r="AU504" i="12"/>
  <c r="AH504" i="12"/>
  <c r="AG504" i="12"/>
  <c r="K504" i="12"/>
  <c r="G504" i="12"/>
  <c r="F504" i="12"/>
  <c r="D504" i="12"/>
  <c r="C504" i="12"/>
  <c r="B504" i="12"/>
  <c r="A504" i="12"/>
  <c r="BD503" i="12"/>
  <c r="BC503" i="12"/>
  <c r="BA503" i="12"/>
  <c r="AU503" i="12"/>
  <c r="AH503" i="12"/>
  <c r="AG503" i="12"/>
  <c r="K503" i="12"/>
  <c r="G503" i="12"/>
  <c r="F503" i="12"/>
  <c r="D503" i="12"/>
  <c r="C503" i="12"/>
  <c r="B503" i="12"/>
  <c r="A503" i="12"/>
  <c r="BD502" i="12"/>
  <c r="BC502" i="12"/>
  <c r="BA502" i="12"/>
  <c r="AU502" i="12"/>
  <c r="AH502" i="12"/>
  <c r="AG502" i="12"/>
  <c r="G502" i="12"/>
  <c r="F502" i="12"/>
  <c r="D502" i="12"/>
  <c r="C502" i="12"/>
  <c r="B502" i="12"/>
  <c r="A502" i="12"/>
  <c r="BD501" i="12"/>
  <c r="BC501" i="12"/>
  <c r="BA501" i="12"/>
  <c r="AU501" i="12"/>
  <c r="AH501" i="12"/>
  <c r="AG501" i="12"/>
  <c r="G501" i="12"/>
  <c r="F501" i="12"/>
  <c r="D501" i="12"/>
  <c r="C501" i="12"/>
  <c r="B501" i="12"/>
  <c r="A501" i="12"/>
  <c r="BD500" i="12"/>
  <c r="BC500" i="12"/>
  <c r="BA500" i="12"/>
  <c r="AU500" i="12"/>
  <c r="AH500" i="12"/>
  <c r="AG500" i="12"/>
  <c r="T500" i="12"/>
  <c r="G500" i="12"/>
  <c r="F500" i="12"/>
  <c r="D500" i="12"/>
  <c r="C500" i="12"/>
  <c r="B500" i="12"/>
  <c r="A500" i="12"/>
  <c r="BD499" i="12"/>
  <c r="BC499" i="12"/>
  <c r="BA499" i="12"/>
  <c r="AU499" i="12"/>
  <c r="AH499" i="12"/>
  <c r="AG499" i="12"/>
  <c r="G499" i="12"/>
  <c r="F499" i="12"/>
  <c r="D499" i="12"/>
  <c r="C499" i="12"/>
  <c r="B499" i="12"/>
  <c r="A499" i="12"/>
  <c r="BD498" i="12"/>
  <c r="BC498" i="12"/>
  <c r="BA498" i="12"/>
  <c r="AU498" i="12"/>
  <c r="AH498" i="12"/>
  <c r="AG498" i="12"/>
  <c r="G498" i="12"/>
  <c r="F498" i="12"/>
  <c r="D498" i="12"/>
  <c r="C498" i="12"/>
  <c r="B498" i="12"/>
  <c r="A498" i="12"/>
  <c r="BD497" i="12"/>
  <c r="BC497" i="12"/>
  <c r="BA497" i="12"/>
  <c r="AU497" i="12"/>
  <c r="AH497" i="12"/>
  <c r="AG497" i="12"/>
  <c r="G497" i="12"/>
  <c r="F497" i="12"/>
  <c r="D497" i="12"/>
  <c r="C497" i="12"/>
  <c r="B497" i="12"/>
  <c r="A497" i="12"/>
  <c r="BD496" i="12"/>
  <c r="BC496" i="12"/>
  <c r="BA496" i="12"/>
  <c r="AU496" i="12"/>
  <c r="AH496" i="12"/>
  <c r="AG496" i="12"/>
  <c r="G496" i="12"/>
  <c r="F496" i="12"/>
  <c r="D496" i="12"/>
  <c r="C496" i="12"/>
  <c r="B496" i="12"/>
  <c r="A496" i="12"/>
  <c r="BD495" i="12"/>
  <c r="BC495" i="12"/>
  <c r="BA495" i="12"/>
  <c r="AU495" i="12"/>
  <c r="AH495" i="12"/>
  <c r="AG495" i="12"/>
  <c r="T495" i="12"/>
  <c r="G495" i="12"/>
  <c r="F495" i="12"/>
  <c r="D495" i="12"/>
  <c r="C495" i="12"/>
  <c r="B495" i="12"/>
  <c r="A495" i="12"/>
  <c r="BD494" i="12"/>
  <c r="BC494" i="12"/>
  <c r="BA494" i="12"/>
  <c r="AU494" i="12"/>
  <c r="AH494" i="12"/>
  <c r="AG494" i="12"/>
  <c r="G494" i="12"/>
  <c r="F494" i="12"/>
  <c r="D494" i="12"/>
  <c r="C494" i="12"/>
  <c r="B494" i="12"/>
  <c r="A494" i="12"/>
  <c r="BE493" i="12"/>
  <c r="BD493" i="12"/>
  <c r="BC493" i="12"/>
  <c r="BB493" i="12"/>
  <c r="AU493" i="12"/>
  <c r="AS493" i="12"/>
  <c r="AQ493" i="12"/>
  <c r="AP493" i="12"/>
  <c r="AO493" i="12"/>
  <c r="AN493" i="12"/>
  <c r="AM493" i="12"/>
  <c r="AL493" i="12"/>
  <c r="AK493" i="12"/>
  <c r="AJ493" i="12"/>
  <c r="AI493" i="12"/>
  <c r="AG493" i="12"/>
  <c r="AD493" i="12"/>
  <c r="AC493" i="12"/>
  <c r="AA493" i="12"/>
  <c r="Z493" i="12"/>
  <c r="Y493" i="12"/>
  <c r="X493" i="12"/>
  <c r="W493" i="12"/>
  <c r="V493" i="12"/>
  <c r="U493" i="12"/>
  <c r="T493" i="12"/>
  <c r="S493" i="12"/>
  <c r="Q493" i="12"/>
  <c r="P493" i="12"/>
  <c r="L493" i="12"/>
  <c r="K493" i="12"/>
  <c r="J493" i="12"/>
  <c r="I493" i="12"/>
  <c r="G493" i="12"/>
  <c r="F493" i="12"/>
  <c r="E493" i="12"/>
  <c r="D493" i="12"/>
  <c r="C493" i="12"/>
  <c r="B493" i="12"/>
  <c r="A493" i="12"/>
  <c r="BE492" i="12"/>
  <c r="BD492" i="12"/>
  <c r="BC492" i="12"/>
  <c r="BB492" i="12"/>
  <c r="AU492" i="12"/>
  <c r="AS492" i="12"/>
  <c r="AQ492" i="12"/>
  <c r="AP492" i="12"/>
  <c r="AO492" i="12"/>
  <c r="AN492" i="12"/>
  <c r="AM492" i="12"/>
  <c r="AL492" i="12"/>
  <c r="AK492" i="12"/>
  <c r="AG492" i="12"/>
  <c r="AD492" i="12"/>
  <c r="AC492" i="12"/>
  <c r="AA492" i="12"/>
  <c r="Z492" i="12"/>
  <c r="Y492" i="12"/>
  <c r="X492" i="12"/>
  <c r="W492" i="12"/>
  <c r="V492" i="12"/>
  <c r="U492" i="12"/>
  <c r="T492" i="12"/>
  <c r="S492" i="12"/>
  <c r="R492" i="12"/>
  <c r="Q492" i="12"/>
  <c r="P492" i="12"/>
  <c r="O492" i="12"/>
  <c r="N492" i="12"/>
  <c r="M492" i="12"/>
  <c r="L492" i="12"/>
  <c r="K492" i="12"/>
  <c r="J492" i="12"/>
  <c r="I492" i="12"/>
  <c r="G492" i="12"/>
  <c r="F492" i="12"/>
  <c r="E492" i="12"/>
  <c r="D492" i="12"/>
  <c r="C492" i="12"/>
  <c r="B492" i="12"/>
  <c r="A492" i="12"/>
  <c r="BE491" i="12"/>
  <c r="BD491" i="12"/>
  <c r="BC491" i="12"/>
  <c r="BB491" i="12"/>
  <c r="AU491" i="12"/>
  <c r="AS491" i="12"/>
  <c r="AQ491" i="12"/>
  <c r="AP491" i="12"/>
  <c r="AO491" i="12"/>
  <c r="AN491" i="12"/>
  <c r="AM491" i="12"/>
  <c r="AL491" i="12"/>
  <c r="AK491" i="12"/>
  <c r="AG491" i="12"/>
  <c r="AD491" i="12"/>
  <c r="AC491" i="12"/>
  <c r="AA491" i="12"/>
  <c r="Z491" i="12"/>
  <c r="Y491" i="12"/>
  <c r="X491" i="12"/>
  <c r="W491" i="12"/>
  <c r="V491" i="12"/>
  <c r="U491" i="12"/>
  <c r="T491" i="12"/>
  <c r="S491" i="12"/>
  <c r="R491" i="12"/>
  <c r="Q491" i="12"/>
  <c r="P491" i="12"/>
  <c r="O491" i="12"/>
  <c r="N491" i="12"/>
  <c r="M491" i="12"/>
  <c r="L491" i="12"/>
  <c r="K491" i="12"/>
  <c r="J491" i="12"/>
  <c r="I491" i="12"/>
  <c r="G491" i="12"/>
  <c r="F491" i="12"/>
  <c r="E491" i="12"/>
  <c r="D491" i="12"/>
  <c r="C491" i="12"/>
  <c r="B491" i="12"/>
  <c r="A491" i="12"/>
  <c r="BE490" i="12"/>
  <c r="BD490" i="12"/>
  <c r="BC490" i="12"/>
  <c r="BB490" i="12"/>
  <c r="AU490" i="12"/>
  <c r="AS490" i="12"/>
  <c r="AQ490" i="12"/>
  <c r="AP490" i="12"/>
  <c r="AO490" i="12"/>
  <c r="AN490" i="12"/>
  <c r="AM490" i="12"/>
  <c r="AL490" i="12"/>
  <c r="AK490" i="12"/>
  <c r="AG490" i="12"/>
  <c r="AD490" i="12"/>
  <c r="AC490" i="12"/>
  <c r="AA490" i="12"/>
  <c r="Z490" i="12"/>
  <c r="Y490" i="12"/>
  <c r="X490" i="12"/>
  <c r="W490" i="12"/>
  <c r="V490" i="12"/>
  <c r="U490" i="12"/>
  <c r="T490" i="12"/>
  <c r="S490" i="12"/>
  <c r="R490" i="12"/>
  <c r="Q490" i="12"/>
  <c r="P490" i="12"/>
  <c r="O490" i="12"/>
  <c r="N490" i="12"/>
  <c r="M490" i="12"/>
  <c r="L490" i="12"/>
  <c r="K490" i="12"/>
  <c r="J490" i="12"/>
  <c r="I490" i="12"/>
  <c r="G490" i="12"/>
  <c r="F490" i="12"/>
  <c r="E490" i="12"/>
  <c r="D490" i="12"/>
  <c r="C490" i="12"/>
  <c r="B490" i="12"/>
  <c r="A490" i="12"/>
  <c r="BE489" i="12"/>
  <c r="BD489" i="12"/>
  <c r="BC489" i="12"/>
  <c r="BA489" i="12"/>
  <c r="AU489" i="12"/>
  <c r="AT489" i="12"/>
  <c r="AS489" i="12"/>
  <c r="AQ489" i="12"/>
  <c r="AP489" i="12"/>
  <c r="AO489" i="12"/>
  <c r="AN489" i="12"/>
  <c r="AL489" i="12"/>
  <c r="AK489" i="12"/>
  <c r="AH489" i="12"/>
  <c r="AG489" i="12"/>
  <c r="AD489" i="12"/>
  <c r="AC489" i="12"/>
  <c r="AA489" i="12"/>
  <c r="Z489" i="12"/>
  <c r="Y489" i="12"/>
  <c r="X489" i="12"/>
  <c r="W489" i="12"/>
  <c r="V489" i="12"/>
  <c r="U489" i="12"/>
  <c r="T489" i="12"/>
  <c r="S489" i="12"/>
  <c r="R489" i="12"/>
  <c r="Q489" i="12"/>
  <c r="P489" i="12"/>
  <c r="M489" i="12"/>
  <c r="L489" i="12"/>
  <c r="K489" i="12"/>
  <c r="J489" i="12"/>
  <c r="G489" i="12"/>
  <c r="F489" i="12"/>
  <c r="E489" i="12"/>
  <c r="D489" i="12"/>
  <c r="C489" i="12"/>
  <c r="B489" i="12"/>
  <c r="A489" i="12"/>
  <c r="BE488" i="12"/>
  <c r="BD488" i="12"/>
  <c r="BC488" i="12"/>
  <c r="BA488" i="12"/>
  <c r="AU488" i="12"/>
  <c r="AS488" i="12"/>
  <c r="AQ488" i="12"/>
  <c r="AP488" i="12"/>
  <c r="AO488" i="12"/>
  <c r="AN488" i="12"/>
  <c r="AL488" i="12"/>
  <c r="AK488" i="12"/>
  <c r="AH488" i="12"/>
  <c r="AG488" i="12"/>
  <c r="AD488" i="12"/>
  <c r="AC488" i="12"/>
  <c r="AA488" i="12"/>
  <c r="Z488" i="12"/>
  <c r="Y488" i="12"/>
  <c r="X488" i="12"/>
  <c r="W488" i="12"/>
  <c r="V488" i="12"/>
  <c r="U488" i="12"/>
  <c r="T488" i="12"/>
  <c r="S488" i="12"/>
  <c r="R488" i="12"/>
  <c r="Q488" i="12"/>
  <c r="P488" i="12"/>
  <c r="M488" i="12"/>
  <c r="L488" i="12"/>
  <c r="K488" i="12"/>
  <c r="J488" i="12"/>
  <c r="G488" i="12"/>
  <c r="F488" i="12"/>
  <c r="E488" i="12"/>
  <c r="D488" i="12"/>
  <c r="C488" i="12"/>
  <c r="B488" i="12"/>
  <c r="A488" i="12"/>
  <c r="BE487" i="12"/>
  <c r="BD487" i="12"/>
  <c r="BC487" i="12"/>
  <c r="BB487" i="12"/>
  <c r="AZ487" i="12"/>
  <c r="AY487" i="12"/>
  <c r="AX487" i="12"/>
  <c r="AV487" i="12"/>
  <c r="AU487" i="12"/>
  <c r="AS487" i="12"/>
  <c r="AQ487" i="12"/>
  <c r="AP487" i="12"/>
  <c r="AO487" i="12"/>
  <c r="AN487" i="12"/>
  <c r="AM487" i="12"/>
  <c r="AL487" i="12"/>
  <c r="AK487" i="12"/>
  <c r="AJ487" i="12"/>
  <c r="AI487" i="12"/>
  <c r="AH487" i="12"/>
  <c r="AG487" i="12"/>
  <c r="AD487" i="12"/>
  <c r="AC487" i="12"/>
  <c r="AA487" i="12"/>
  <c r="Z487" i="12"/>
  <c r="Y487" i="12"/>
  <c r="X487" i="12"/>
  <c r="V487" i="12"/>
  <c r="U487" i="12"/>
  <c r="T487" i="12"/>
  <c r="S487" i="12"/>
  <c r="R487" i="12"/>
  <c r="Q487" i="12"/>
  <c r="P487" i="12"/>
  <c r="O487" i="12"/>
  <c r="N487" i="12"/>
  <c r="L487" i="12"/>
  <c r="K487" i="12"/>
  <c r="J487" i="12"/>
  <c r="I487" i="12"/>
  <c r="G487" i="12"/>
  <c r="F487" i="12"/>
  <c r="E487" i="12"/>
  <c r="D487" i="12"/>
  <c r="C487" i="12"/>
  <c r="B487" i="12"/>
  <c r="A487" i="12"/>
  <c r="BE486" i="12"/>
  <c r="BD486" i="12"/>
  <c r="BC486" i="12"/>
  <c r="BA486" i="12"/>
  <c r="AU486" i="12"/>
  <c r="AT486" i="12"/>
  <c r="AS486" i="12"/>
  <c r="AQ486" i="12"/>
  <c r="AP486" i="12"/>
  <c r="AO486" i="12"/>
  <c r="AN486" i="12"/>
  <c r="AL486" i="12"/>
  <c r="AK486" i="12"/>
  <c r="AH486" i="12"/>
  <c r="AG486" i="12"/>
  <c r="AD486" i="12"/>
  <c r="AC486" i="12"/>
  <c r="AA486" i="12"/>
  <c r="Z486" i="12"/>
  <c r="Y486" i="12"/>
  <c r="X486" i="12"/>
  <c r="W486" i="12"/>
  <c r="V486" i="12"/>
  <c r="U486" i="12"/>
  <c r="T486" i="12"/>
  <c r="S486" i="12"/>
  <c r="R486" i="12"/>
  <c r="Q486" i="12"/>
  <c r="P486" i="12"/>
  <c r="M486" i="12"/>
  <c r="L486" i="12"/>
  <c r="K486" i="12"/>
  <c r="J486" i="12"/>
  <c r="I486" i="12"/>
  <c r="G486" i="12"/>
  <c r="F486" i="12"/>
  <c r="E486" i="12"/>
  <c r="D486" i="12"/>
  <c r="C486" i="12"/>
  <c r="B486" i="12"/>
  <c r="A486" i="12"/>
  <c r="BE485" i="12"/>
  <c r="BD485" i="12"/>
  <c r="BC485" i="12"/>
  <c r="BB485" i="12"/>
  <c r="AX485" i="12"/>
  <c r="AU485" i="12"/>
  <c r="AS485" i="12"/>
  <c r="AQ485" i="12"/>
  <c r="AP485" i="12"/>
  <c r="AN485" i="12"/>
  <c r="AM485" i="12"/>
  <c r="AL485" i="12"/>
  <c r="AH485" i="12"/>
  <c r="AG485" i="12"/>
  <c r="AD485" i="12"/>
  <c r="AC485" i="12"/>
  <c r="AA485" i="12"/>
  <c r="Z485" i="12"/>
  <c r="Y485" i="12"/>
  <c r="X485" i="12"/>
  <c r="W485" i="12"/>
  <c r="V485" i="12"/>
  <c r="U485" i="12"/>
  <c r="T485" i="12"/>
  <c r="S485" i="12"/>
  <c r="R485" i="12"/>
  <c r="Q485" i="12"/>
  <c r="P485" i="12"/>
  <c r="M485" i="12"/>
  <c r="L485" i="12"/>
  <c r="K485" i="12"/>
  <c r="J485" i="12"/>
  <c r="G485" i="12"/>
  <c r="F485" i="12"/>
  <c r="E485" i="12"/>
  <c r="D485" i="12"/>
  <c r="C485" i="12"/>
  <c r="B485" i="12"/>
  <c r="A485" i="12"/>
  <c r="BE484" i="12"/>
  <c r="BD484" i="12"/>
  <c r="BC484" i="12"/>
  <c r="BB484" i="12"/>
  <c r="AX484" i="12"/>
  <c r="AU484" i="12"/>
  <c r="AS484" i="12"/>
  <c r="AQ484" i="12"/>
  <c r="AP484" i="12"/>
  <c r="AO484" i="12"/>
  <c r="AN484" i="12"/>
  <c r="AM484" i="12"/>
  <c r="AL484" i="12"/>
  <c r="AH484" i="12"/>
  <c r="AG484" i="12"/>
  <c r="AD484" i="12"/>
  <c r="AC484" i="12"/>
  <c r="AA484" i="12"/>
  <c r="Z484" i="12"/>
  <c r="Y484" i="12"/>
  <c r="X484" i="12"/>
  <c r="W484" i="12"/>
  <c r="V484" i="12"/>
  <c r="U484" i="12"/>
  <c r="T484" i="12"/>
  <c r="S484" i="12"/>
  <c r="R484" i="12"/>
  <c r="Q484" i="12"/>
  <c r="P484" i="12"/>
  <c r="M484" i="12"/>
  <c r="L484" i="12"/>
  <c r="K484" i="12"/>
  <c r="J484" i="12"/>
  <c r="G484" i="12"/>
  <c r="F484" i="12"/>
  <c r="E484" i="12"/>
  <c r="D484" i="12"/>
  <c r="C484" i="12"/>
  <c r="B484" i="12"/>
  <c r="A484" i="12"/>
  <c r="BE483" i="12"/>
  <c r="BD483" i="12"/>
  <c r="BC483" i="12"/>
  <c r="BB483" i="12"/>
  <c r="AX483" i="12"/>
  <c r="AU483" i="12"/>
  <c r="AS483" i="12"/>
  <c r="AQ483" i="12"/>
  <c r="AP483" i="12"/>
  <c r="AO483" i="12"/>
  <c r="AN483" i="12"/>
  <c r="AM483" i="12"/>
  <c r="AL483" i="12"/>
  <c r="AH483" i="12"/>
  <c r="AG483" i="12"/>
  <c r="AD483" i="12"/>
  <c r="AC483" i="12"/>
  <c r="AA483" i="12"/>
  <c r="Z483" i="12"/>
  <c r="Y483" i="12"/>
  <c r="X483" i="12"/>
  <c r="W483" i="12"/>
  <c r="V483" i="12"/>
  <c r="U483" i="12"/>
  <c r="T483" i="12"/>
  <c r="S483" i="12"/>
  <c r="R483" i="12"/>
  <c r="Q483" i="12"/>
  <c r="P483" i="12"/>
  <c r="M483" i="12"/>
  <c r="L483" i="12"/>
  <c r="K483" i="12"/>
  <c r="J483" i="12"/>
  <c r="G483" i="12"/>
  <c r="F483" i="12"/>
  <c r="E483" i="12"/>
  <c r="D483" i="12"/>
  <c r="C483" i="12"/>
  <c r="B483" i="12"/>
  <c r="A483" i="12"/>
  <c r="BE482" i="12"/>
  <c r="BD482" i="12"/>
  <c r="BC482" i="12"/>
  <c r="BB482" i="12"/>
  <c r="AU482" i="12"/>
  <c r="AS482" i="12"/>
  <c r="AQ482" i="12"/>
  <c r="AP482" i="12"/>
  <c r="AO482" i="12"/>
  <c r="AN482" i="12"/>
  <c r="AM482" i="12"/>
  <c r="AL482" i="12"/>
  <c r="AH482" i="12"/>
  <c r="AG482" i="12"/>
  <c r="AD482" i="12"/>
  <c r="AC482" i="12"/>
  <c r="AA482" i="12"/>
  <c r="Z482" i="12"/>
  <c r="Y482" i="12"/>
  <c r="X482" i="12"/>
  <c r="W482" i="12"/>
  <c r="V482" i="12"/>
  <c r="U482" i="12"/>
  <c r="T482" i="12"/>
  <c r="S482" i="12"/>
  <c r="R482" i="12"/>
  <c r="Q482" i="12"/>
  <c r="P482" i="12"/>
  <c r="M482" i="12"/>
  <c r="L482" i="12"/>
  <c r="K482" i="12"/>
  <c r="J482" i="12"/>
  <c r="G482" i="12"/>
  <c r="F482" i="12"/>
  <c r="E482" i="12"/>
  <c r="D482" i="12"/>
  <c r="C482" i="12"/>
  <c r="B482" i="12"/>
  <c r="A482" i="12"/>
  <c r="BD481" i="12"/>
  <c r="BC481" i="12"/>
  <c r="BB481" i="12"/>
  <c r="AU481" i="12"/>
  <c r="AS481" i="12"/>
  <c r="AP481" i="12"/>
  <c r="AO481" i="12"/>
  <c r="AN481" i="12"/>
  <c r="AM481" i="12"/>
  <c r="AL481" i="12"/>
  <c r="AK481" i="12"/>
  <c r="AG481" i="12"/>
  <c r="AD481" i="12"/>
  <c r="AC481" i="12"/>
  <c r="AA481" i="12"/>
  <c r="Z481" i="12"/>
  <c r="Y481" i="12"/>
  <c r="X481" i="12"/>
  <c r="W481" i="12"/>
  <c r="V481" i="12"/>
  <c r="U481" i="12"/>
  <c r="T481" i="12"/>
  <c r="S481" i="12"/>
  <c r="P481" i="12"/>
  <c r="M481" i="12"/>
  <c r="L481" i="12"/>
  <c r="K481" i="12"/>
  <c r="J481" i="12"/>
  <c r="G481" i="12"/>
  <c r="F481" i="12"/>
  <c r="E481" i="12"/>
  <c r="D481" i="12"/>
  <c r="C481" i="12"/>
  <c r="B481" i="12"/>
  <c r="A481" i="12"/>
  <c r="BE480" i="12"/>
  <c r="BD480" i="12"/>
  <c r="BC480" i="12"/>
  <c r="BB480" i="12"/>
  <c r="AU480" i="12"/>
  <c r="AS480" i="12"/>
  <c r="AQ480" i="12"/>
  <c r="AP480" i="12"/>
  <c r="AO480" i="12"/>
  <c r="AN480" i="12"/>
  <c r="AM480" i="12"/>
  <c r="AL480" i="12"/>
  <c r="AH480" i="12"/>
  <c r="AG480" i="12"/>
  <c r="AD480" i="12"/>
  <c r="AC480" i="12"/>
  <c r="AA480" i="12"/>
  <c r="Z480" i="12"/>
  <c r="Y480" i="12"/>
  <c r="X480" i="12"/>
  <c r="W480" i="12"/>
  <c r="V480" i="12"/>
  <c r="U480" i="12"/>
  <c r="T480" i="12"/>
  <c r="S480" i="12"/>
  <c r="R480" i="12"/>
  <c r="Q480" i="12"/>
  <c r="P480" i="12"/>
  <c r="M480" i="12"/>
  <c r="L480" i="12"/>
  <c r="K480" i="12"/>
  <c r="G480" i="12"/>
  <c r="F480" i="12"/>
  <c r="E480" i="12"/>
  <c r="D480" i="12"/>
  <c r="C480" i="12"/>
  <c r="B480" i="12"/>
  <c r="A480" i="12"/>
  <c r="BE479" i="12"/>
  <c r="BD479" i="12"/>
  <c r="BC479" i="12"/>
  <c r="AU479" i="12"/>
  <c r="AS479" i="12"/>
  <c r="AQ479" i="12"/>
  <c r="AP479" i="12"/>
  <c r="AO479" i="12"/>
  <c r="AN479" i="12"/>
  <c r="AM479" i="12"/>
  <c r="AL479" i="12"/>
  <c r="AK479" i="12"/>
  <c r="AH479" i="12"/>
  <c r="AG479" i="12"/>
  <c r="AD479" i="12"/>
  <c r="AC479" i="12"/>
  <c r="AA479" i="12"/>
  <c r="Z479" i="12"/>
  <c r="Y479" i="12"/>
  <c r="X479" i="12"/>
  <c r="W479" i="12"/>
  <c r="V479" i="12"/>
  <c r="U479" i="12"/>
  <c r="T479" i="12"/>
  <c r="S479" i="12"/>
  <c r="R479" i="12"/>
  <c r="P479" i="12"/>
  <c r="O479" i="12"/>
  <c r="N479" i="12"/>
  <c r="M479" i="12"/>
  <c r="L479" i="12"/>
  <c r="K479" i="12"/>
  <c r="J479" i="12"/>
  <c r="I479" i="12"/>
  <c r="G479" i="12"/>
  <c r="F479" i="12"/>
  <c r="E479" i="12"/>
  <c r="D479" i="12"/>
  <c r="C479" i="12"/>
  <c r="B479" i="12"/>
  <c r="A479" i="12"/>
  <c r="BD478" i="12"/>
  <c r="BC478" i="12"/>
  <c r="BA478" i="12"/>
  <c r="AU478" i="12"/>
  <c r="AR478" i="12"/>
  <c r="AL478" i="12"/>
  <c r="AK478" i="12"/>
  <c r="AI478" i="12"/>
  <c r="AH478" i="12"/>
  <c r="AG478" i="12"/>
  <c r="AA478" i="12"/>
  <c r="Z478" i="12"/>
  <c r="X478" i="12"/>
  <c r="Q478" i="12"/>
  <c r="L478" i="12"/>
  <c r="K478" i="12"/>
  <c r="J478" i="12"/>
  <c r="G478" i="12"/>
  <c r="F478" i="12"/>
  <c r="E478" i="12"/>
  <c r="D478" i="12"/>
  <c r="C478" i="12"/>
  <c r="B478" i="12"/>
  <c r="A478" i="12"/>
  <c r="BE477" i="12"/>
  <c r="BD477" i="12"/>
  <c r="BC477" i="12"/>
  <c r="BB477" i="12"/>
  <c r="AU477" i="12"/>
  <c r="AS477" i="12"/>
  <c r="AQ477" i="12"/>
  <c r="AP477" i="12"/>
  <c r="AO477" i="12"/>
  <c r="AN477" i="12"/>
  <c r="AM477" i="12"/>
  <c r="AL477" i="12"/>
  <c r="AK477" i="12"/>
  <c r="AJ477" i="12"/>
  <c r="AI477" i="12"/>
  <c r="AG477" i="12"/>
  <c r="AD477" i="12"/>
  <c r="AC477" i="12"/>
  <c r="AA477" i="12"/>
  <c r="Z477" i="12"/>
  <c r="Y477" i="12"/>
  <c r="X477" i="12"/>
  <c r="W477" i="12"/>
  <c r="V477" i="12"/>
  <c r="U477" i="12"/>
  <c r="T477" i="12"/>
  <c r="S477" i="12"/>
  <c r="R477" i="12"/>
  <c r="P477" i="12"/>
  <c r="O477" i="12"/>
  <c r="N477" i="12"/>
  <c r="M477" i="12"/>
  <c r="L477" i="12"/>
  <c r="K477" i="12"/>
  <c r="J477" i="12"/>
  <c r="I477" i="12"/>
  <c r="G477" i="12"/>
  <c r="F477" i="12"/>
  <c r="E477" i="12"/>
  <c r="D477" i="12"/>
  <c r="C477" i="12"/>
  <c r="B477" i="12"/>
  <c r="A477" i="12"/>
  <c r="BE476" i="12"/>
  <c r="BD476" i="12"/>
  <c r="BC476" i="12"/>
  <c r="BA476" i="12"/>
  <c r="AU476" i="12"/>
  <c r="AS476" i="12"/>
  <c r="AQ476" i="12"/>
  <c r="AO476" i="12"/>
  <c r="AN476" i="12"/>
  <c r="AL476" i="12"/>
  <c r="AK476" i="12"/>
  <c r="AH476" i="12"/>
  <c r="AG476" i="12"/>
  <c r="AD476" i="12"/>
  <c r="AC476" i="12"/>
  <c r="AB476" i="12"/>
  <c r="AA476" i="12"/>
  <c r="Z476" i="12"/>
  <c r="Y476" i="12"/>
  <c r="X476" i="12"/>
  <c r="W476" i="12"/>
  <c r="V476" i="12"/>
  <c r="U476" i="12"/>
  <c r="T476" i="12"/>
  <c r="S476" i="12"/>
  <c r="R476" i="12"/>
  <c r="P476" i="12"/>
  <c r="O476" i="12"/>
  <c r="N476" i="12"/>
  <c r="M476" i="12"/>
  <c r="L476" i="12"/>
  <c r="K476" i="12"/>
  <c r="J476" i="12"/>
  <c r="I476" i="12"/>
  <c r="G476" i="12"/>
  <c r="F476" i="12"/>
  <c r="E476" i="12"/>
  <c r="D476" i="12"/>
  <c r="C476" i="12"/>
  <c r="B476" i="12"/>
  <c r="A476" i="12"/>
  <c r="BE475" i="12"/>
  <c r="BD475" i="12"/>
  <c r="BC475" i="12"/>
  <c r="BA475" i="12"/>
  <c r="AU475" i="12"/>
  <c r="AS475" i="12"/>
  <c r="AQ475" i="12"/>
  <c r="AP475" i="12"/>
  <c r="AO475" i="12"/>
  <c r="AN475" i="12"/>
  <c r="AL475" i="12"/>
  <c r="AK475" i="12"/>
  <c r="AH475" i="12"/>
  <c r="AG475" i="12"/>
  <c r="AD475" i="12"/>
  <c r="AC475" i="12"/>
  <c r="AB475" i="12"/>
  <c r="AA475" i="12"/>
  <c r="Z475" i="12"/>
  <c r="Y475" i="12"/>
  <c r="X475" i="12"/>
  <c r="W475" i="12"/>
  <c r="V475" i="12"/>
  <c r="U475" i="12"/>
  <c r="T475" i="12"/>
  <c r="S475" i="12"/>
  <c r="R475" i="12"/>
  <c r="P475" i="12"/>
  <c r="O475" i="12"/>
  <c r="N475" i="12"/>
  <c r="M475" i="12"/>
  <c r="L475" i="12"/>
  <c r="K475" i="12"/>
  <c r="J475" i="12"/>
  <c r="I475" i="12"/>
  <c r="G475" i="12"/>
  <c r="F475" i="12"/>
  <c r="E475" i="12"/>
  <c r="D475" i="12"/>
  <c r="C475" i="12"/>
  <c r="B475" i="12"/>
  <c r="A475" i="12"/>
  <c r="BE474" i="12"/>
  <c r="BD474" i="12"/>
  <c r="BC474" i="12"/>
  <c r="BA474" i="12"/>
  <c r="AU474" i="12"/>
  <c r="AT474" i="12"/>
  <c r="AS474" i="12"/>
  <c r="AQ474" i="12"/>
  <c r="AP474" i="12"/>
  <c r="AO474" i="12"/>
  <c r="AN474" i="12"/>
  <c r="AL474" i="12"/>
  <c r="AK474" i="12"/>
  <c r="AJ474" i="12"/>
  <c r="AI474" i="12"/>
  <c r="AH474" i="12"/>
  <c r="AG474" i="12"/>
  <c r="AD474" i="12"/>
  <c r="AC474" i="12"/>
  <c r="AB474" i="12"/>
  <c r="AA474" i="12"/>
  <c r="Z474" i="12"/>
  <c r="Y474" i="12"/>
  <c r="X474" i="12"/>
  <c r="W474" i="12"/>
  <c r="V474" i="12"/>
  <c r="U474" i="12"/>
  <c r="T474" i="12"/>
  <c r="S474" i="12"/>
  <c r="R474" i="12"/>
  <c r="P474" i="12"/>
  <c r="O474" i="12"/>
  <c r="N474" i="12"/>
  <c r="M474" i="12"/>
  <c r="L474" i="12"/>
  <c r="K474" i="12"/>
  <c r="J474" i="12"/>
  <c r="I474" i="12"/>
  <c r="G474" i="12"/>
  <c r="F474" i="12"/>
  <c r="E474" i="12"/>
  <c r="D474" i="12"/>
  <c r="C474" i="12"/>
  <c r="B474" i="12"/>
  <c r="A474" i="12"/>
  <c r="BC473" i="12"/>
  <c r="BA473" i="12"/>
  <c r="AH473" i="12"/>
  <c r="AG473" i="12"/>
  <c r="S473" i="12"/>
  <c r="J473" i="12"/>
  <c r="I473" i="12"/>
  <c r="G473" i="12"/>
  <c r="F473" i="12"/>
  <c r="E473" i="12"/>
  <c r="D473" i="12"/>
  <c r="C473" i="12"/>
  <c r="B473" i="12"/>
  <c r="A473" i="12"/>
  <c r="BC472" i="12"/>
  <c r="BA472" i="12"/>
  <c r="AH472" i="12"/>
  <c r="AG472" i="12"/>
  <c r="T472" i="12"/>
  <c r="S472" i="12"/>
  <c r="J472" i="12"/>
  <c r="I472" i="12"/>
  <c r="G472" i="12"/>
  <c r="F472" i="12"/>
  <c r="E472" i="12"/>
  <c r="D472" i="12"/>
  <c r="C472" i="12"/>
  <c r="B472" i="12"/>
  <c r="A472" i="12"/>
  <c r="BC471" i="12"/>
  <c r="BA471" i="12"/>
  <c r="AH471" i="12"/>
  <c r="AG471" i="12"/>
  <c r="T471" i="12"/>
  <c r="S471" i="12"/>
  <c r="J471" i="12"/>
  <c r="I471" i="12"/>
  <c r="G471" i="12"/>
  <c r="F471" i="12"/>
  <c r="E471" i="12"/>
  <c r="D471" i="12"/>
  <c r="C471" i="12"/>
  <c r="B471" i="12"/>
  <c r="A471" i="12"/>
  <c r="BE470" i="12"/>
  <c r="BD470" i="12"/>
  <c r="BC470" i="12"/>
  <c r="BB470" i="12"/>
  <c r="AU470" i="12"/>
  <c r="AS470" i="12"/>
  <c r="AQ470" i="12"/>
  <c r="AP470" i="12"/>
  <c r="AO470" i="12"/>
  <c r="AN470" i="12"/>
  <c r="AM470" i="12"/>
  <c r="AL470" i="12"/>
  <c r="AH470" i="12"/>
  <c r="AG470" i="12"/>
  <c r="AD470" i="12"/>
  <c r="AC470" i="12"/>
  <c r="AA470" i="12"/>
  <c r="Z470" i="12"/>
  <c r="Y470" i="12"/>
  <c r="X470" i="12"/>
  <c r="W470" i="12"/>
  <c r="V470" i="12"/>
  <c r="U470" i="12"/>
  <c r="T470" i="12"/>
  <c r="S470" i="12"/>
  <c r="R470" i="12"/>
  <c r="P470" i="12"/>
  <c r="M470" i="12"/>
  <c r="L470" i="12"/>
  <c r="K470" i="12"/>
  <c r="J470" i="12"/>
  <c r="G470" i="12"/>
  <c r="F470" i="12"/>
  <c r="E470" i="12"/>
  <c r="D470" i="12"/>
  <c r="C470" i="12"/>
  <c r="B470" i="12"/>
  <c r="A470" i="12"/>
  <c r="BE469" i="12"/>
  <c r="BD469" i="12"/>
  <c r="BC469" i="12"/>
  <c r="BB469" i="12"/>
  <c r="AU469" i="12"/>
  <c r="AS469" i="12"/>
  <c r="AQ469" i="12"/>
  <c r="AP469" i="12"/>
  <c r="AO469" i="12"/>
  <c r="AN469" i="12"/>
  <c r="AM469" i="12"/>
  <c r="AL469" i="12"/>
  <c r="AH469" i="12"/>
  <c r="AG469" i="12"/>
  <c r="AD469" i="12"/>
  <c r="AC469" i="12"/>
  <c r="AA469" i="12"/>
  <c r="Z469" i="12"/>
  <c r="Y469" i="12"/>
  <c r="X469" i="12"/>
  <c r="W469" i="12"/>
  <c r="V469" i="12"/>
  <c r="U469" i="12"/>
  <c r="T469" i="12"/>
  <c r="S469" i="12"/>
  <c r="R469" i="12"/>
  <c r="P469" i="12"/>
  <c r="M469" i="12"/>
  <c r="L469" i="12"/>
  <c r="K469" i="12"/>
  <c r="J469" i="12"/>
  <c r="G469" i="12"/>
  <c r="F469" i="12"/>
  <c r="E469" i="12"/>
  <c r="D469" i="12"/>
  <c r="C469" i="12"/>
  <c r="B469" i="12"/>
  <c r="A469" i="12"/>
  <c r="BE468" i="12"/>
  <c r="BD468" i="12"/>
  <c r="BC468" i="12"/>
  <c r="BB468" i="12"/>
  <c r="AU468" i="12"/>
  <c r="AS468" i="12"/>
  <c r="AQ468" i="12"/>
  <c r="AP468" i="12"/>
  <c r="AO468" i="12"/>
  <c r="AN468" i="12"/>
  <c r="AM468" i="12"/>
  <c r="AL468" i="12"/>
  <c r="AK468" i="12"/>
  <c r="AH468" i="12"/>
  <c r="AG468" i="12"/>
  <c r="AD468" i="12"/>
  <c r="AC468" i="12"/>
  <c r="AA468" i="12"/>
  <c r="Z468" i="12"/>
  <c r="Y468" i="12"/>
  <c r="X468" i="12"/>
  <c r="W468" i="12"/>
  <c r="V468" i="12"/>
  <c r="U468" i="12"/>
  <c r="T468" i="12"/>
  <c r="S468" i="12"/>
  <c r="R468" i="12"/>
  <c r="P468" i="12"/>
  <c r="M468" i="12"/>
  <c r="L468" i="12"/>
  <c r="K468" i="12"/>
  <c r="J468" i="12"/>
  <c r="I468" i="12"/>
  <c r="G468" i="12"/>
  <c r="F468" i="12"/>
  <c r="E468" i="12"/>
  <c r="D468" i="12"/>
  <c r="C468" i="12"/>
  <c r="B468" i="12"/>
  <c r="A468" i="12"/>
  <c r="BE467" i="12"/>
  <c r="BD467" i="12"/>
  <c r="BC467" i="12"/>
  <c r="BB467" i="12"/>
  <c r="AU467" i="12"/>
  <c r="AS467" i="12"/>
  <c r="AQ467" i="12"/>
  <c r="AP467" i="12"/>
  <c r="AO467" i="12"/>
  <c r="AN467" i="12"/>
  <c r="AM467" i="12"/>
  <c r="AL467" i="12"/>
  <c r="AK467" i="12"/>
  <c r="AH467" i="12"/>
  <c r="AG467" i="12"/>
  <c r="AD467" i="12"/>
  <c r="AC467" i="12"/>
  <c r="AA467" i="12"/>
  <c r="Z467" i="12"/>
  <c r="Y467" i="12"/>
  <c r="X467" i="12"/>
  <c r="W467" i="12"/>
  <c r="V467" i="12"/>
  <c r="U467" i="12"/>
  <c r="T467" i="12"/>
  <c r="S467" i="12"/>
  <c r="R467" i="12"/>
  <c r="P467" i="12"/>
  <c r="M467" i="12"/>
  <c r="L467" i="12"/>
  <c r="K467" i="12"/>
  <c r="J467" i="12"/>
  <c r="G467" i="12"/>
  <c r="F467" i="12"/>
  <c r="E467" i="12"/>
  <c r="D467" i="12"/>
  <c r="C467" i="12"/>
  <c r="B467" i="12"/>
  <c r="A467" i="12"/>
  <c r="BE466" i="12"/>
  <c r="BD466" i="12"/>
  <c r="BC466" i="12"/>
  <c r="BB466" i="12"/>
  <c r="AU466" i="12"/>
  <c r="AS466" i="12"/>
  <c r="AQ466" i="12"/>
  <c r="AP466" i="12"/>
  <c r="AO466" i="12"/>
  <c r="AN466" i="12"/>
  <c r="AM466" i="12"/>
  <c r="AL466" i="12"/>
  <c r="AK466" i="12"/>
  <c r="AH466" i="12"/>
  <c r="AG466" i="12"/>
  <c r="AD466" i="12"/>
  <c r="AC466" i="12"/>
  <c r="AA466" i="12"/>
  <c r="Z466" i="12"/>
  <c r="Y466" i="12"/>
  <c r="X466" i="12"/>
  <c r="W466" i="12"/>
  <c r="V466" i="12"/>
  <c r="U466" i="12"/>
  <c r="T466" i="12"/>
  <c r="S466" i="12"/>
  <c r="R466" i="12"/>
  <c r="P466" i="12"/>
  <c r="M466" i="12"/>
  <c r="L466" i="12"/>
  <c r="K466" i="12"/>
  <c r="J466" i="12"/>
  <c r="G466" i="12"/>
  <c r="F466" i="12"/>
  <c r="E466" i="12"/>
  <c r="D466" i="12"/>
  <c r="C466" i="12"/>
  <c r="B466" i="12"/>
  <c r="A466" i="12"/>
  <c r="BE465" i="12"/>
  <c r="BD465" i="12"/>
  <c r="BC465" i="12"/>
  <c r="BB465" i="12"/>
  <c r="AU465" i="12"/>
  <c r="AS465" i="12"/>
  <c r="AQ465" i="12"/>
  <c r="AP465" i="12"/>
  <c r="AO465" i="12"/>
  <c r="AN465" i="12"/>
  <c r="AM465" i="12"/>
  <c r="AL465" i="12"/>
  <c r="AK465" i="12"/>
  <c r="AH465" i="12"/>
  <c r="AG465" i="12"/>
  <c r="AD465" i="12"/>
  <c r="AC465" i="12"/>
  <c r="AA465" i="12"/>
  <c r="Z465" i="12"/>
  <c r="Y465" i="12"/>
  <c r="X465" i="12"/>
  <c r="W465" i="12"/>
  <c r="V465" i="12"/>
  <c r="U465" i="12"/>
  <c r="T465" i="12"/>
  <c r="S465" i="12"/>
  <c r="R465" i="12"/>
  <c r="P465" i="12"/>
  <c r="M465" i="12"/>
  <c r="L465" i="12"/>
  <c r="K465" i="12"/>
  <c r="J465" i="12"/>
  <c r="G465" i="12"/>
  <c r="F465" i="12"/>
  <c r="E465" i="12"/>
  <c r="D465" i="12"/>
  <c r="C465" i="12"/>
  <c r="B465" i="12"/>
  <c r="A465" i="12"/>
  <c r="BE464" i="12"/>
  <c r="BD464" i="12"/>
  <c r="BC464" i="12"/>
  <c r="BB464" i="12"/>
  <c r="AU464" i="12"/>
  <c r="AS464" i="12"/>
  <c r="AQ464" i="12"/>
  <c r="AP464" i="12"/>
  <c r="AO464" i="12"/>
  <c r="AN464" i="12"/>
  <c r="AM464" i="12"/>
  <c r="AL464" i="12"/>
  <c r="AK464" i="12"/>
  <c r="AH464" i="12"/>
  <c r="AG464" i="12"/>
  <c r="AD464" i="12"/>
  <c r="AC464" i="12"/>
  <c r="AA464" i="12"/>
  <c r="Z464" i="12"/>
  <c r="Y464" i="12"/>
  <c r="X464" i="12"/>
  <c r="W464" i="12"/>
  <c r="V464" i="12"/>
  <c r="U464" i="12"/>
  <c r="T464" i="12"/>
  <c r="S464" i="12"/>
  <c r="R464" i="12"/>
  <c r="P464" i="12"/>
  <c r="O464" i="12"/>
  <c r="N464" i="12"/>
  <c r="L464" i="12"/>
  <c r="K464" i="12"/>
  <c r="J464" i="12"/>
  <c r="I464" i="12"/>
  <c r="G464" i="12"/>
  <c r="F464" i="12"/>
  <c r="E464" i="12"/>
  <c r="D464" i="12"/>
  <c r="C464" i="12"/>
  <c r="B464" i="12"/>
  <c r="A464" i="12"/>
  <c r="BC463" i="12"/>
  <c r="BA463" i="12"/>
  <c r="AH463" i="12"/>
  <c r="AG463" i="12"/>
  <c r="T463" i="12"/>
  <c r="R463" i="12"/>
  <c r="J463" i="12"/>
  <c r="I463" i="12"/>
  <c r="G463" i="12"/>
  <c r="F463" i="12"/>
  <c r="E463" i="12"/>
  <c r="D463" i="12"/>
  <c r="C463" i="12"/>
  <c r="B463" i="12"/>
  <c r="A463" i="12"/>
  <c r="BC462" i="12"/>
  <c r="BA462" i="12"/>
  <c r="AH462" i="12"/>
  <c r="AG462" i="12"/>
  <c r="T462" i="12"/>
  <c r="R462" i="12"/>
  <c r="K462" i="12"/>
  <c r="J462" i="12"/>
  <c r="I462" i="12"/>
  <c r="G462" i="12"/>
  <c r="F462" i="12"/>
  <c r="E462" i="12"/>
  <c r="D462" i="12"/>
  <c r="C462" i="12"/>
  <c r="B462" i="12"/>
  <c r="A462" i="12"/>
  <c r="BC461" i="12"/>
  <c r="BA461" i="12"/>
  <c r="AH461" i="12"/>
  <c r="AG461" i="12"/>
  <c r="T461" i="12"/>
  <c r="K461" i="12"/>
  <c r="J461" i="12"/>
  <c r="I461" i="12"/>
  <c r="G461" i="12"/>
  <c r="F461" i="12"/>
  <c r="E461" i="12"/>
  <c r="D461" i="12"/>
  <c r="C461" i="12"/>
  <c r="B461" i="12"/>
  <c r="A461" i="12"/>
  <c r="BE460" i="12"/>
  <c r="BD460" i="12"/>
  <c r="BC460" i="12"/>
  <c r="BB460" i="12"/>
  <c r="AU460" i="12"/>
  <c r="AS460" i="12"/>
  <c r="AQ460" i="12"/>
  <c r="AP460" i="12"/>
  <c r="AO460" i="12"/>
  <c r="AN460" i="12"/>
  <c r="AM460" i="12"/>
  <c r="AL460" i="12"/>
  <c r="AK460" i="12"/>
  <c r="AH460" i="12"/>
  <c r="AG460" i="12"/>
  <c r="AD460" i="12"/>
  <c r="AC460" i="12"/>
  <c r="AA460" i="12"/>
  <c r="Z460" i="12"/>
  <c r="Y460" i="12"/>
  <c r="X460" i="12"/>
  <c r="W460" i="12"/>
  <c r="V460" i="12"/>
  <c r="U460" i="12"/>
  <c r="T460" i="12"/>
  <c r="S460" i="12"/>
  <c r="R460" i="12"/>
  <c r="P460" i="12"/>
  <c r="O460" i="12"/>
  <c r="N460" i="12"/>
  <c r="M460" i="12"/>
  <c r="L460" i="12"/>
  <c r="K460" i="12"/>
  <c r="J460" i="12"/>
  <c r="I460" i="12"/>
  <c r="G460" i="12"/>
  <c r="F460" i="12"/>
  <c r="E460" i="12"/>
  <c r="D460" i="12"/>
  <c r="C460" i="12"/>
  <c r="B460" i="12"/>
  <c r="A460" i="12"/>
  <c r="BE459" i="12"/>
  <c r="BD459" i="12"/>
  <c r="BC459" i="12"/>
  <c r="BB459" i="12"/>
  <c r="AU459" i="12"/>
  <c r="AS459" i="12"/>
  <c r="AQ459" i="12"/>
  <c r="AP459" i="12"/>
  <c r="AO459" i="12"/>
  <c r="AN459" i="12"/>
  <c r="AM459" i="12"/>
  <c r="AL459" i="12"/>
  <c r="AK459" i="12"/>
  <c r="AG459" i="12"/>
  <c r="AD459" i="12"/>
  <c r="AC459" i="12"/>
  <c r="AA459" i="12"/>
  <c r="Z459" i="12"/>
  <c r="Y459" i="12"/>
  <c r="X459" i="12"/>
  <c r="W459" i="12"/>
  <c r="V459" i="12"/>
  <c r="U459" i="12"/>
  <c r="T459" i="12"/>
  <c r="S459" i="12"/>
  <c r="R459" i="12"/>
  <c r="P459" i="12"/>
  <c r="O459" i="12"/>
  <c r="N459" i="12"/>
  <c r="L459" i="12"/>
  <c r="K459" i="12"/>
  <c r="J459" i="12"/>
  <c r="I459" i="12"/>
  <c r="G459" i="12"/>
  <c r="F459" i="12"/>
  <c r="E459" i="12"/>
  <c r="D459" i="12"/>
  <c r="C459" i="12"/>
  <c r="B459" i="12"/>
  <c r="A459" i="12"/>
  <c r="BE458" i="12"/>
  <c r="BD458" i="12"/>
  <c r="BC458" i="12"/>
  <c r="BB458" i="12"/>
  <c r="AU458" i="12"/>
  <c r="AS458" i="12"/>
  <c r="AQ458" i="12"/>
  <c r="AP458" i="12"/>
  <c r="AO458" i="12"/>
  <c r="AN458" i="12"/>
  <c r="AM458" i="12"/>
  <c r="AL458" i="12"/>
  <c r="AK458" i="12"/>
  <c r="AG458" i="12"/>
  <c r="AD458" i="12"/>
  <c r="AC458" i="12"/>
  <c r="AA458" i="12"/>
  <c r="Z458" i="12"/>
  <c r="Y458" i="12"/>
  <c r="X458" i="12"/>
  <c r="W458" i="12"/>
  <c r="V458" i="12"/>
  <c r="U458" i="12"/>
  <c r="T458" i="12"/>
  <c r="S458" i="12"/>
  <c r="R458" i="12"/>
  <c r="P458" i="12"/>
  <c r="O458" i="12"/>
  <c r="N458" i="12"/>
  <c r="L458" i="12"/>
  <c r="K458" i="12"/>
  <c r="J458" i="12"/>
  <c r="I458" i="12"/>
  <c r="G458" i="12"/>
  <c r="F458" i="12"/>
  <c r="E458" i="12"/>
  <c r="D458" i="12"/>
  <c r="C458" i="12"/>
  <c r="B458" i="12"/>
  <c r="A458" i="12"/>
  <c r="BE457" i="12"/>
  <c r="BD457" i="12"/>
  <c r="BC457" i="12"/>
  <c r="BB457" i="12"/>
  <c r="AU457" i="12"/>
  <c r="AS457" i="12"/>
  <c r="AQ457" i="12"/>
  <c r="AP457" i="12"/>
  <c r="AO457" i="12"/>
  <c r="AN457" i="12"/>
  <c r="AM457" i="12"/>
  <c r="AL457" i="12"/>
  <c r="AK457" i="12"/>
  <c r="AG457" i="12"/>
  <c r="AD457" i="12"/>
  <c r="AC457" i="12"/>
  <c r="AA457" i="12"/>
  <c r="Z457" i="12"/>
  <c r="Y457" i="12"/>
  <c r="X457" i="12"/>
  <c r="W457" i="12"/>
  <c r="V457" i="12"/>
  <c r="U457" i="12"/>
  <c r="T457" i="12"/>
  <c r="S457" i="12"/>
  <c r="R457" i="12"/>
  <c r="P457" i="12"/>
  <c r="O457" i="12"/>
  <c r="N457" i="12"/>
  <c r="L457" i="12"/>
  <c r="K457" i="12"/>
  <c r="J457" i="12"/>
  <c r="I457" i="12"/>
  <c r="G457" i="12"/>
  <c r="F457" i="12"/>
  <c r="E457" i="12"/>
  <c r="D457" i="12"/>
  <c r="C457" i="12"/>
  <c r="B457" i="12"/>
  <c r="A457" i="12"/>
  <c r="BE456" i="12"/>
  <c r="BD456" i="12"/>
  <c r="BC456" i="12"/>
  <c r="AU456" i="12"/>
  <c r="AT456" i="12"/>
  <c r="AS456" i="12"/>
  <c r="AQ456" i="12"/>
  <c r="AP456" i="12"/>
  <c r="AO456" i="12"/>
  <c r="AN456" i="12"/>
  <c r="AL456" i="12"/>
  <c r="AK456" i="12"/>
  <c r="AH456" i="12"/>
  <c r="AG456" i="12"/>
  <c r="AD456" i="12"/>
  <c r="AC456" i="12"/>
  <c r="AA456" i="12"/>
  <c r="Z456" i="12"/>
  <c r="Y456" i="12"/>
  <c r="X456" i="12"/>
  <c r="W456" i="12"/>
  <c r="V456" i="12"/>
  <c r="U456" i="12"/>
  <c r="T456" i="12"/>
  <c r="S456" i="12"/>
  <c r="R456" i="12"/>
  <c r="P456" i="12"/>
  <c r="O456" i="12"/>
  <c r="N456" i="12"/>
  <c r="M456" i="12"/>
  <c r="L456" i="12"/>
  <c r="K456" i="12"/>
  <c r="J456" i="12"/>
  <c r="I456" i="12"/>
  <c r="G456" i="12"/>
  <c r="F456" i="12"/>
  <c r="E456" i="12"/>
  <c r="D456" i="12"/>
  <c r="C456" i="12"/>
  <c r="B456" i="12"/>
  <c r="A456" i="12"/>
  <c r="BE455" i="12"/>
  <c r="BD455" i="12"/>
  <c r="BC455" i="12"/>
  <c r="BA455" i="12"/>
  <c r="AX455" i="12"/>
  <c r="AU455" i="12"/>
  <c r="AT455" i="12"/>
  <c r="AS455" i="12"/>
  <c r="AQ455" i="12"/>
  <c r="AP455" i="12"/>
  <c r="AO455" i="12"/>
  <c r="AN455" i="12"/>
  <c r="AM455" i="12"/>
  <c r="AL455" i="12"/>
  <c r="AK455" i="12"/>
  <c r="AJ455" i="12"/>
  <c r="AI455" i="12"/>
  <c r="AH455" i="12"/>
  <c r="AG455" i="12"/>
  <c r="AD455" i="12"/>
  <c r="AC455" i="12"/>
  <c r="AA455" i="12"/>
  <c r="Z455" i="12"/>
  <c r="Y455" i="12"/>
  <c r="X455" i="12"/>
  <c r="W455" i="12"/>
  <c r="V455" i="12"/>
  <c r="U455" i="12"/>
  <c r="T455" i="12"/>
  <c r="S455" i="12"/>
  <c r="R455" i="12"/>
  <c r="Q455" i="12"/>
  <c r="P455" i="12"/>
  <c r="L455" i="12"/>
  <c r="K455" i="12"/>
  <c r="J455" i="12"/>
  <c r="I455" i="12"/>
  <c r="G455" i="12"/>
  <c r="F455" i="12"/>
  <c r="E455" i="12"/>
  <c r="D455" i="12"/>
  <c r="C455" i="12"/>
  <c r="B455" i="12"/>
  <c r="A455" i="12"/>
  <c r="BE454" i="12"/>
  <c r="BD454" i="12"/>
  <c r="BC454" i="12"/>
  <c r="BB454" i="12"/>
  <c r="AU454" i="12"/>
  <c r="AS454" i="12"/>
  <c r="AQ454" i="12"/>
  <c r="AN454" i="12"/>
  <c r="AL454" i="12"/>
  <c r="AK454" i="12"/>
  <c r="AH454" i="12"/>
  <c r="AG454" i="12"/>
  <c r="AD454" i="12"/>
  <c r="AA454" i="12"/>
  <c r="Z454" i="12"/>
  <c r="Y454" i="12"/>
  <c r="X454" i="12"/>
  <c r="W454" i="12"/>
  <c r="V454" i="12"/>
  <c r="U454" i="12"/>
  <c r="T454" i="12"/>
  <c r="S454" i="12"/>
  <c r="R454" i="12"/>
  <c r="P454" i="12"/>
  <c r="L454" i="12"/>
  <c r="K454" i="12"/>
  <c r="J454" i="12"/>
  <c r="I454" i="12"/>
  <c r="G454" i="12"/>
  <c r="F454" i="12"/>
  <c r="E454" i="12"/>
  <c r="D454" i="12"/>
  <c r="C454" i="12"/>
  <c r="B454" i="12"/>
  <c r="A454" i="12"/>
  <c r="BE453" i="12"/>
  <c r="BD453" i="12"/>
  <c r="BC453" i="12"/>
  <c r="BB453" i="12"/>
  <c r="AU453" i="12"/>
  <c r="AS453" i="12"/>
  <c r="AQ453" i="12"/>
  <c r="AN453" i="12"/>
  <c r="AL453" i="12"/>
  <c r="AK453" i="12"/>
  <c r="AJ453" i="12"/>
  <c r="AI453" i="12"/>
  <c r="AH453" i="12"/>
  <c r="AG453" i="12"/>
  <c r="AD453" i="12"/>
  <c r="AA453" i="12"/>
  <c r="Z453" i="12"/>
  <c r="Y453" i="12"/>
  <c r="X453" i="12"/>
  <c r="W453" i="12"/>
  <c r="V453" i="12"/>
  <c r="U453" i="12"/>
  <c r="T453" i="12"/>
  <c r="S453" i="12"/>
  <c r="R453" i="12"/>
  <c r="P453" i="12"/>
  <c r="M453" i="12"/>
  <c r="L453" i="12"/>
  <c r="K453" i="12"/>
  <c r="J453" i="12"/>
  <c r="G453" i="12"/>
  <c r="F453" i="12"/>
  <c r="E453" i="12"/>
  <c r="D453" i="12"/>
  <c r="C453" i="12"/>
  <c r="B453" i="12"/>
  <c r="A453" i="12"/>
  <c r="BE452" i="12"/>
  <c r="BD452" i="12"/>
  <c r="BC452" i="12"/>
  <c r="BB452" i="12"/>
  <c r="AU452" i="12"/>
  <c r="AS452" i="12"/>
  <c r="AQ452" i="12"/>
  <c r="AN452" i="12"/>
  <c r="AL452" i="12"/>
  <c r="AK452" i="12"/>
  <c r="AH452" i="12"/>
  <c r="AG452" i="12"/>
  <c r="AD452" i="12"/>
  <c r="AA452" i="12"/>
  <c r="Z452" i="12"/>
  <c r="Y452" i="12"/>
  <c r="X452" i="12"/>
  <c r="W452" i="12"/>
  <c r="V452" i="12"/>
  <c r="U452" i="12"/>
  <c r="T452" i="12"/>
  <c r="S452" i="12"/>
  <c r="R452" i="12"/>
  <c r="P452" i="12"/>
  <c r="M452" i="12"/>
  <c r="L452" i="12"/>
  <c r="K452" i="12"/>
  <c r="J452" i="12"/>
  <c r="G452" i="12"/>
  <c r="F452" i="12"/>
  <c r="E452" i="12"/>
  <c r="D452" i="12"/>
  <c r="C452" i="12"/>
  <c r="B452" i="12"/>
  <c r="A452" i="12"/>
  <c r="BE451" i="12"/>
  <c r="BD451" i="12"/>
  <c r="BC451" i="12"/>
  <c r="BB451" i="12"/>
  <c r="AU451" i="12"/>
  <c r="AS451" i="12"/>
  <c r="AQ451" i="12"/>
  <c r="AN451" i="12"/>
  <c r="AL451" i="12"/>
  <c r="AK451" i="12"/>
  <c r="AH451" i="12"/>
  <c r="AG451" i="12"/>
  <c r="AD451" i="12"/>
  <c r="AA451" i="12"/>
  <c r="Z451" i="12"/>
  <c r="Y451" i="12"/>
  <c r="X451" i="12"/>
  <c r="W451" i="12"/>
  <c r="V451" i="12"/>
  <c r="U451" i="12"/>
  <c r="T451" i="12"/>
  <c r="S451" i="12"/>
  <c r="R451" i="12"/>
  <c r="P451" i="12"/>
  <c r="M451" i="12"/>
  <c r="L451" i="12"/>
  <c r="K451" i="12"/>
  <c r="J451" i="12"/>
  <c r="G451" i="12"/>
  <c r="F451" i="12"/>
  <c r="E451" i="12"/>
  <c r="D451" i="12"/>
  <c r="C451" i="12"/>
  <c r="B451" i="12"/>
  <c r="A451" i="12"/>
  <c r="BE450" i="12"/>
  <c r="BD450" i="12"/>
  <c r="BC450" i="12"/>
  <c r="BB450" i="12"/>
  <c r="AU450" i="12"/>
  <c r="AS450" i="12"/>
  <c r="AQ450" i="12"/>
  <c r="AN450" i="12"/>
  <c r="AL450" i="12"/>
  <c r="AK450" i="12"/>
  <c r="AH450" i="12"/>
  <c r="AG450" i="12"/>
  <c r="AD450" i="12"/>
  <c r="AA450" i="12"/>
  <c r="Z450" i="12"/>
  <c r="Y450" i="12"/>
  <c r="X450" i="12"/>
  <c r="W450" i="12"/>
  <c r="V450" i="12"/>
  <c r="U450" i="12"/>
  <c r="T450" i="12"/>
  <c r="S450" i="12"/>
  <c r="R450" i="12"/>
  <c r="P450" i="12"/>
  <c r="L450" i="12"/>
  <c r="K450" i="12"/>
  <c r="J450" i="12"/>
  <c r="G450" i="12"/>
  <c r="F450" i="12"/>
  <c r="E450" i="12"/>
  <c r="D450" i="12"/>
  <c r="C450" i="12"/>
  <c r="B450" i="12"/>
  <c r="A450" i="12"/>
  <c r="BE449" i="12"/>
  <c r="BD449" i="12"/>
  <c r="BC449" i="12"/>
  <c r="BB449" i="12"/>
  <c r="AU449" i="12"/>
  <c r="AS449" i="12"/>
  <c r="AQ449" i="12"/>
  <c r="AN449" i="12"/>
  <c r="AL449" i="12"/>
  <c r="AK449" i="12"/>
  <c r="AH449" i="12"/>
  <c r="AG449" i="12"/>
  <c r="AD449" i="12"/>
  <c r="AA449" i="12"/>
  <c r="Z449" i="12"/>
  <c r="Y449" i="12"/>
  <c r="X449" i="12"/>
  <c r="W449" i="12"/>
  <c r="V449" i="12"/>
  <c r="U449" i="12"/>
  <c r="T449" i="12"/>
  <c r="S449" i="12"/>
  <c r="R449" i="12"/>
  <c r="P449" i="12"/>
  <c r="M449" i="12"/>
  <c r="L449" i="12"/>
  <c r="K449" i="12"/>
  <c r="J449" i="12"/>
  <c r="G449" i="12"/>
  <c r="F449" i="12"/>
  <c r="E449" i="12"/>
  <c r="D449" i="12"/>
  <c r="C449" i="12"/>
  <c r="B449" i="12"/>
  <c r="A449" i="12"/>
  <c r="BE448" i="12"/>
  <c r="BD448" i="12"/>
  <c r="BC448" i="12"/>
  <c r="BB448" i="12"/>
  <c r="AU448" i="12"/>
  <c r="AS448" i="12"/>
  <c r="AQ448" i="12"/>
  <c r="AN448" i="12"/>
  <c r="AL448" i="12"/>
  <c r="AK448" i="12"/>
  <c r="AH448" i="12"/>
  <c r="AG448" i="12"/>
  <c r="AD448" i="12"/>
  <c r="AA448" i="12"/>
  <c r="Z448" i="12"/>
  <c r="Y448" i="12"/>
  <c r="X448" i="12"/>
  <c r="W448" i="12"/>
  <c r="V448" i="12"/>
  <c r="U448" i="12"/>
  <c r="T448" i="12"/>
  <c r="S448" i="12"/>
  <c r="R448" i="12"/>
  <c r="P448" i="12"/>
  <c r="M448" i="12"/>
  <c r="L448" i="12"/>
  <c r="K448" i="12"/>
  <c r="J448" i="12"/>
  <c r="G448" i="12"/>
  <c r="F448" i="12"/>
  <c r="E448" i="12"/>
  <c r="D448" i="12"/>
  <c r="C448" i="12"/>
  <c r="B448" i="12"/>
  <c r="A448" i="12"/>
  <c r="BE447" i="12"/>
  <c r="BD447" i="12"/>
  <c r="BC447" i="12"/>
  <c r="BB447" i="12"/>
  <c r="AU447" i="12"/>
  <c r="AS447" i="12"/>
  <c r="AQ447" i="12"/>
  <c r="AN447" i="12"/>
  <c r="AL447" i="12"/>
  <c r="AK447" i="12"/>
  <c r="AH447" i="12"/>
  <c r="AG447" i="12"/>
  <c r="AD447" i="12"/>
  <c r="AA447" i="12"/>
  <c r="Z447" i="12"/>
  <c r="Y447" i="12"/>
  <c r="X447" i="12"/>
  <c r="W447" i="12"/>
  <c r="V447" i="12"/>
  <c r="U447" i="12"/>
  <c r="T447" i="12"/>
  <c r="S447" i="12"/>
  <c r="R447" i="12"/>
  <c r="P447" i="12"/>
  <c r="M447" i="12"/>
  <c r="L447" i="12"/>
  <c r="K447" i="12"/>
  <c r="J447" i="12"/>
  <c r="G447" i="12"/>
  <c r="F447" i="12"/>
  <c r="E447" i="12"/>
  <c r="D447" i="12"/>
  <c r="C447" i="12"/>
  <c r="B447" i="12"/>
  <c r="A447" i="12"/>
  <c r="BE446" i="12"/>
  <c r="BD446" i="12"/>
  <c r="BC446" i="12"/>
  <c r="BB446" i="12"/>
  <c r="AU446" i="12"/>
  <c r="AS446" i="12"/>
  <c r="AQ446" i="12"/>
  <c r="AN446" i="12"/>
  <c r="AL446" i="12"/>
  <c r="AK446" i="12"/>
  <c r="AH446" i="12"/>
  <c r="AG446" i="12"/>
  <c r="AD446" i="12"/>
  <c r="AA446" i="12"/>
  <c r="Z446" i="12"/>
  <c r="Y446" i="12"/>
  <c r="X446" i="12"/>
  <c r="W446" i="12"/>
  <c r="V446" i="12"/>
  <c r="U446" i="12"/>
  <c r="T446" i="12"/>
  <c r="S446" i="12"/>
  <c r="R446" i="12"/>
  <c r="P446" i="12"/>
  <c r="M446" i="12"/>
  <c r="L446" i="12"/>
  <c r="K446" i="12"/>
  <c r="J446" i="12"/>
  <c r="G446" i="12"/>
  <c r="F446" i="12"/>
  <c r="E446" i="12"/>
  <c r="D446" i="12"/>
  <c r="C446" i="12"/>
  <c r="B446" i="12"/>
  <c r="A446" i="12"/>
  <c r="BE445" i="12"/>
  <c r="BD445" i="12"/>
  <c r="BC445" i="12"/>
  <c r="BB445" i="12"/>
  <c r="AU445" i="12"/>
  <c r="AS445" i="12"/>
  <c r="AQ445" i="12"/>
  <c r="AN445" i="12"/>
  <c r="AL445" i="12"/>
  <c r="AK445" i="12"/>
  <c r="AH445" i="12"/>
  <c r="AG445" i="12"/>
  <c r="AD445" i="12"/>
  <c r="AA445" i="12"/>
  <c r="Z445" i="12"/>
  <c r="Y445" i="12"/>
  <c r="X445" i="12"/>
  <c r="W445" i="12"/>
  <c r="V445" i="12"/>
  <c r="U445" i="12"/>
  <c r="T445" i="12"/>
  <c r="S445" i="12"/>
  <c r="R445" i="12"/>
  <c r="P445" i="12"/>
  <c r="M445" i="12"/>
  <c r="L445" i="12"/>
  <c r="K445" i="12"/>
  <c r="J445" i="12"/>
  <c r="I445" i="12"/>
  <c r="G445" i="12"/>
  <c r="F445" i="12"/>
  <c r="E445" i="12"/>
  <c r="D445" i="12"/>
  <c r="C445" i="12"/>
  <c r="B445" i="12"/>
  <c r="A445" i="12"/>
  <c r="BE444" i="12"/>
  <c r="BD444" i="12"/>
  <c r="BC444" i="12"/>
  <c r="BB444" i="12"/>
  <c r="AU444" i="12"/>
  <c r="AS444" i="12"/>
  <c r="AQ444" i="12"/>
  <c r="AN444" i="12"/>
  <c r="AL444" i="12"/>
  <c r="AK444" i="12"/>
  <c r="AH444" i="12"/>
  <c r="AG444" i="12"/>
  <c r="AD444" i="12"/>
  <c r="AA444" i="12"/>
  <c r="Z444" i="12"/>
  <c r="Y444" i="12"/>
  <c r="X444" i="12"/>
  <c r="W444" i="12"/>
  <c r="V444" i="12"/>
  <c r="U444" i="12"/>
  <c r="T444" i="12"/>
  <c r="S444" i="12"/>
  <c r="R444" i="12"/>
  <c r="P444" i="12"/>
  <c r="M444" i="12"/>
  <c r="L444" i="12"/>
  <c r="K444" i="12"/>
  <c r="J444" i="12"/>
  <c r="G444" i="12"/>
  <c r="F444" i="12"/>
  <c r="E444" i="12"/>
  <c r="D444" i="12"/>
  <c r="C444" i="12"/>
  <c r="B444" i="12"/>
  <c r="A444" i="12"/>
  <c r="BE443" i="12"/>
  <c r="BD443" i="12"/>
  <c r="BC443" i="12"/>
  <c r="BB443" i="12"/>
  <c r="AU443" i="12"/>
  <c r="AS443" i="12"/>
  <c r="AQ443" i="12"/>
  <c r="AN443" i="12"/>
  <c r="AL443" i="12"/>
  <c r="AK443" i="12"/>
  <c r="AH443" i="12"/>
  <c r="AG443" i="12"/>
  <c r="AD443" i="12"/>
  <c r="AA443" i="12"/>
  <c r="Z443" i="12"/>
  <c r="Y443" i="12"/>
  <c r="X443" i="12"/>
  <c r="W443" i="12"/>
  <c r="V443" i="12"/>
  <c r="U443" i="12"/>
  <c r="T443" i="12"/>
  <c r="S443" i="12"/>
  <c r="R443" i="12"/>
  <c r="P443" i="12"/>
  <c r="M443" i="12"/>
  <c r="L443" i="12"/>
  <c r="K443" i="12"/>
  <c r="J443" i="12"/>
  <c r="G443" i="12"/>
  <c r="F443" i="12"/>
  <c r="E443" i="12"/>
  <c r="D443" i="12"/>
  <c r="C443" i="12"/>
  <c r="B443" i="12"/>
  <c r="A443" i="12"/>
  <c r="BD442" i="12"/>
  <c r="BC442" i="12"/>
  <c r="BA442" i="12"/>
  <c r="AH442" i="12"/>
  <c r="AG442" i="12"/>
  <c r="T442" i="12"/>
  <c r="G442" i="12"/>
  <c r="F442" i="12"/>
  <c r="D442" i="12"/>
  <c r="C442" i="12"/>
  <c r="B442" i="12"/>
  <c r="A442" i="12"/>
  <c r="BD441" i="12"/>
  <c r="BC441" i="12"/>
  <c r="BA441" i="12"/>
  <c r="AU441" i="12"/>
  <c r="AH441" i="12"/>
  <c r="AG441" i="12"/>
  <c r="T441" i="12"/>
  <c r="G441" i="12"/>
  <c r="F441" i="12"/>
  <c r="D441" i="12"/>
  <c r="C441" i="12"/>
  <c r="B441" i="12"/>
  <c r="A441" i="12"/>
  <c r="BD440" i="12"/>
  <c r="BC440" i="12"/>
  <c r="BA440" i="12"/>
  <c r="AU440" i="12"/>
  <c r="AH440" i="12"/>
  <c r="AG440" i="12"/>
  <c r="T440" i="12"/>
  <c r="G440" i="12"/>
  <c r="F440" i="12"/>
  <c r="D440" i="12"/>
  <c r="C440" i="12"/>
  <c r="B440" i="12"/>
  <c r="A440" i="12"/>
  <c r="BD439" i="12"/>
  <c r="BC439" i="12"/>
  <c r="BA439" i="12"/>
  <c r="AU439" i="12"/>
  <c r="AH439" i="12"/>
  <c r="AG439" i="12"/>
  <c r="T439" i="12"/>
  <c r="G439" i="12"/>
  <c r="F439" i="12"/>
  <c r="D439" i="12"/>
  <c r="C439" i="12"/>
  <c r="B439" i="12"/>
  <c r="A439" i="12"/>
  <c r="BE438" i="12"/>
  <c r="BD438" i="12"/>
  <c r="BC438" i="12"/>
  <c r="BB438" i="12"/>
  <c r="AU438" i="12"/>
  <c r="AS438" i="12"/>
  <c r="AQ438" i="12"/>
  <c r="AN438" i="12"/>
  <c r="AL438" i="12"/>
  <c r="AK438" i="12"/>
  <c r="AH438" i="12"/>
  <c r="AG438" i="12"/>
  <c r="AD438" i="12"/>
  <c r="AA438" i="12"/>
  <c r="Z438" i="12"/>
  <c r="Y438" i="12"/>
  <c r="X438" i="12"/>
  <c r="W438" i="12"/>
  <c r="V438" i="12"/>
  <c r="U438" i="12"/>
  <c r="T438" i="12"/>
  <c r="S438" i="12"/>
  <c r="R438" i="12"/>
  <c r="P438" i="12"/>
  <c r="L438" i="12"/>
  <c r="K438" i="12"/>
  <c r="J438" i="12"/>
  <c r="G438" i="12"/>
  <c r="F438" i="12"/>
  <c r="E438" i="12"/>
  <c r="D438" i="12"/>
  <c r="C438" i="12"/>
  <c r="B438" i="12"/>
  <c r="A438" i="12"/>
  <c r="BE437" i="12"/>
  <c r="BD437" i="12"/>
  <c r="BC437" i="12"/>
  <c r="BB437" i="12"/>
  <c r="AU437" i="12"/>
  <c r="AS437" i="12"/>
  <c r="AQ437" i="12"/>
  <c r="AN437" i="12"/>
  <c r="AL437" i="12"/>
  <c r="AK437" i="12"/>
  <c r="AH437" i="12"/>
  <c r="AG437" i="12"/>
  <c r="AD437" i="12"/>
  <c r="AA437" i="12"/>
  <c r="Z437" i="12"/>
  <c r="Y437" i="12"/>
  <c r="X437" i="12"/>
  <c r="W437" i="12"/>
  <c r="V437" i="12"/>
  <c r="U437" i="12"/>
  <c r="T437" i="12"/>
  <c r="S437" i="12"/>
  <c r="R437" i="12"/>
  <c r="Q437" i="12"/>
  <c r="P437" i="12"/>
  <c r="M437" i="12"/>
  <c r="L437" i="12"/>
  <c r="K437" i="12"/>
  <c r="J437" i="12"/>
  <c r="I437" i="12"/>
  <c r="G437" i="12"/>
  <c r="F437" i="12"/>
  <c r="E437" i="12"/>
  <c r="D437" i="12"/>
  <c r="C437" i="12"/>
  <c r="B437" i="12"/>
  <c r="A437" i="12"/>
  <c r="BE436" i="12"/>
  <c r="BD436" i="12"/>
  <c r="BC436" i="12"/>
  <c r="BB436" i="12"/>
  <c r="AU436" i="12"/>
  <c r="AS436" i="12"/>
  <c r="AQ436" i="12"/>
  <c r="AO436" i="12"/>
  <c r="AN436" i="12"/>
  <c r="AM436" i="12"/>
  <c r="AL436" i="12"/>
  <c r="AK436" i="12"/>
  <c r="AH436" i="12"/>
  <c r="AG436" i="12"/>
  <c r="AD436" i="12"/>
  <c r="AC436" i="12"/>
  <c r="AA436" i="12"/>
  <c r="Z436" i="12"/>
  <c r="Y436" i="12"/>
  <c r="X436" i="12"/>
  <c r="W436" i="12"/>
  <c r="V436" i="12"/>
  <c r="U436" i="12"/>
  <c r="T436" i="12"/>
  <c r="S436" i="12"/>
  <c r="R436" i="12"/>
  <c r="Q436" i="12"/>
  <c r="P436" i="12"/>
  <c r="M436" i="12"/>
  <c r="L436" i="12"/>
  <c r="K436" i="12"/>
  <c r="J436" i="12"/>
  <c r="G436" i="12"/>
  <c r="F436" i="12"/>
  <c r="E436" i="12"/>
  <c r="D436" i="12"/>
  <c r="C436" i="12"/>
  <c r="B436" i="12"/>
  <c r="A436" i="12"/>
  <c r="BE435" i="12"/>
  <c r="BD435" i="12"/>
  <c r="BC435" i="12"/>
  <c r="BB435" i="12"/>
  <c r="AU435" i="12"/>
  <c r="AS435" i="12"/>
  <c r="AQ435" i="12"/>
  <c r="AP435" i="12"/>
  <c r="AO435" i="12"/>
  <c r="AN435" i="12"/>
  <c r="AM435" i="12"/>
  <c r="AL435" i="12"/>
  <c r="AK435" i="12"/>
  <c r="AH435" i="12"/>
  <c r="AG435" i="12"/>
  <c r="AD435" i="12"/>
  <c r="AC435" i="12"/>
  <c r="AA435" i="12"/>
  <c r="Z435" i="12"/>
  <c r="Y435" i="12"/>
  <c r="X435" i="12"/>
  <c r="W435" i="12"/>
  <c r="V435" i="12"/>
  <c r="U435" i="12"/>
  <c r="T435" i="12"/>
  <c r="S435" i="12"/>
  <c r="R435" i="12"/>
  <c r="Q435" i="12"/>
  <c r="P435" i="12"/>
  <c r="M435" i="12"/>
  <c r="L435" i="12"/>
  <c r="K435" i="12"/>
  <c r="J435" i="12"/>
  <c r="G435" i="12"/>
  <c r="F435" i="12"/>
  <c r="E435" i="12"/>
  <c r="D435" i="12"/>
  <c r="C435" i="12"/>
  <c r="B435" i="12"/>
  <c r="A435" i="12"/>
  <c r="BE434" i="12"/>
  <c r="BD434" i="12"/>
  <c r="BC434" i="12"/>
  <c r="BB434" i="12"/>
  <c r="AU434" i="12"/>
  <c r="AS434" i="12"/>
  <c r="AQ434" i="12"/>
  <c r="AP434" i="12"/>
  <c r="AO434" i="12"/>
  <c r="AN434" i="12"/>
  <c r="AM434" i="12"/>
  <c r="AL434" i="12"/>
  <c r="AK434" i="12"/>
  <c r="AH434" i="12"/>
  <c r="AG434" i="12"/>
  <c r="AD434" i="12"/>
  <c r="AC434" i="12"/>
  <c r="AA434" i="12"/>
  <c r="Z434" i="12"/>
  <c r="Y434" i="12"/>
  <c r="X434" i="12"/>
  <c r="W434" i="12"/>
  <c r="V434" i="12"/>
  <c r="U434" i="12"/>
  <c r="T434" i="12"/>
  <c r="S434" i="12"/>
  <c r="R434" i="12"/>
  <c r="Q434" i="12"/>
  <c r="P434" i="12"/>
  <c r="M434" i="12"/>
  <c r="L434" i="12"/>
  <c r="K434" i="12"/>
  <c r="J434" i="12"/>
  <c r="G434" i="12"/>
  <c r="F434" i="12"/>
  <c r="E434" i="12"/>
  <c r="D434" i="12"/>
  <c r="C434" i="12"/>
  <c r="B434" i="12"/>
  <c r="A434" i="12"/>
  <c r="BE433" i="12"/>
  <c r="BD433" i="12"/>
  <c r="BC433" i="12"/>
  <c r="AU433" i="12"/>
  <c r="AT433" i="12"/>
  <c r="AS433" i="12"/>
  <c r="AQ433" i="12"/>
  <c r="AP433" i="12"/>
  <c r="AO433" i="12"/>
  <c r="AN433" i="12"/>
  <c r="AL433" i="12"/>
  <c r="AK433" i="12"/>
  <c r="AH433" i="12"/>
  <c r="AG433" i="12"/>
  <c r="AD433" i="12"/>
  <c r="AC433" i="12"/>
  <c r="AA433" i="12"/>
  <c r="Z433" i="12"/>
  <c r="Y433" i="12"/>
  <c r="X433" i="12"/>
  <c r="W433" i="12"/>
  <c r="V433" i="12"/>
  <c r="U433" i="12"/>
  <c r="T433" i="12"/>
  <c r="S433" i="12"/>
  <c r="R433" i="12"/>
  <c r="P433" i="12"/>
  <c r="O433" i="12"/>
  <c r="N433" i="12"/>
  <c r="M433" i="12"/>
  <c r="L433" i="12"/>
  <c r="K433" i="12"/>
  <c r="J433" i="12"/>
  <c r="I433" i="12"/>
  <c r="G433" i="12"/>
  <c r="F433" i="12"/>
  <c r="E433" i="12"/>
  <c r="D433" i="12"/>
  <c r="C433" i="12"/>
  <c r="B433" i="12"/>
  <c r="A433" i="12"/>
  <c r="BE432" i="12"/>
  <c r="BD432" i="12"/>
  <c r="BC432" i="12"/>
  <c r="AY432" i="12"/>
  <c r="AU432" i="12"/>
  <c r="AT432" i="12"/>
  <c r="AS432" i="12"/>
  <c r="AQ432" i="12"/>
  <c r="AP432" i="12"/>
  <c r="AO432" i="12"/>
  <c r="AN432" i="12"/>
  <c r="AL432" i="12"/>
  <c r="AK432" i="12"/>
  <c r="AH432" i="12"/>
  <c r="AG432" i="12"/>
  <c r="AD432" i="12"/>
  <c r="AC432" i="12"/>
  <c r="AA432" i="12"/>
  <c r="Z432" i="12"/>
  <c r="Y432" i="12"/>
  <c r="X432" i="12"/>
  <c r="W432" i="12"/>
  <c r="V432" i="12"/>
  <c r="U432" i="12"/>
  <c r="T432" i="12"/>
  <c r="S432" i="12"/>
  <c r="R432" i="12"/>
  <c r="Q432" i="12"/>
  <c r="P432" i="12"/>
  <c r="O432" i="12"/>
  <c r="N432" i="12"/>
  <c r="K432" i="12"/>
  <c r="J432" i="12"/>
  <c r="I432" i="12"/>
  <c r="G432" i="12"/>
  <c r="F432" i="12"/>
  <c r="E432" i="12"/>
  <c r="D432" i="12"/>
  <c r="C432" i="12"/>
  <c r="B432" i="12"/>
  <c r="A432" i="12"/>
  <c r="BC431" i="12"/>
  <c r="BA431" i="12"/>
  <c r="AH431" i="12"/>
  <c r="AG431" i="12"/>
  <c r="S431" i="12"/>
  <c r="K431" i="12"/>
  <c r="G431" i="12"/>
  <c r="F431" i="12"/>
  <c r="D431" i="12"/>
  <c r="C431" i="12"/>
  <c r="B431" i="12"/>
  <c r="A431" i="12"/>
  <c r="BC430" i="12"/>
  <c r="BA430" i="12"/>
  <c r="AH430" i="12"/>
  <c r="AG430" i="12"/>
  <c r="T430" i="12"/>
  <c r="S430" i="12"/>
  <c r="K430" i="12"/>
  <c r="G430" i="12"/>
  <c r="F430" i="12"/>
  <c r="D430" i="12"/>
  <c r="C430" i="12"/>
  <c r="B430" i="12"/>
  <c r="A430" i="12"/>
  <c r="BE429" i="12"/>
  <c r="BD429" i="12"/>
  <c r="BC429" i="12"/>
  <c r="BB429" i="12"/>
  <c r="AU429" i="12"/>
  <c r="AS429" i="12"/>
  <c r="AQ429" i="12"/>
  <c r="AP429" i="12"/>
  <c r="AO429" i="12"/>
  <c r="AN429" i="12"/>
  <c r="AM429" i="12"/>
  <c r="AL429" i="12"/>
  <c r="AK429" i="12"/>
  <c r="AH429" i="12"/>
  <c r="AG429" i="12"/>
  <c r="AD429" i="12"/>
  <c r="AA429" i="12"/>
  <c r="Z429" i="12"/>
  <c r="Y429" i="12"/>
  <c r="X429" i="12"/>
  <c r="W429" i="12"/>
  <c r="V429" i="12"/>
  <c r="U429" i="12"/>
  <c r="S429" i="12"/>
  <c r="P429" i="12"/>
  <c r="O429" i="12"/>
  <c r="N429" i="12"/>
  <c r="L429" i="12"/>
  <c r="K429" i="12"/>
  <c r="J429" i="12"/>
  <c r="I429" i="12"/>
  <c r="G429" i="12"/>
  <c r="F429" i="12"/>
  <c r="E429" i="12"/>
  <c r="D429" i="12"/>
  <c r="C429" i="12"/>
  <c r="B429" i="12"/>
  <c r="A429" i="12"/>
  <c r="BE428" i="12"/>
  <c r="BD428" i="12"/>
  <c r="BC428" i="12"/>
  <c r="BB428" i="12"/>
  <c r="AU428" i="12"/>
  <c r="AS428" i="12"/>
  <c r="AQ428" i="12"/>
  <c r="AN428" i="12"/>
  <c r="AL428" i="12"/>
  <c r="AK428" i="12"/>
  <c r="AH428" i="12"/>
  <c r="AG428" i="12"/>
  <c r="AD428" i="12"/>
  <c r="AA428" i="12"/>
  <c r="Z428" i="12"/>
  <c r="Y428" i="12"/>
  <c r="X428" i="12"/>
  <c r="W428" i="12"/>
  <c r="V428" i="12"/>
  <c r="U428" i="12"/>
  <c r="T428" i="12"/>
  <c r="S428" i="12"/>
  <c r="P428" i="12"/>
  <c r="K428" i="12"/>
  <c r="J428" i="12"/>
  <c r="I428" i="12"/>
  <c r="G428" i="12"/>
  <c r="F428" i="12"/>
  <c r="D428" i="12"/>
  <c r="C428" i="12"/>
  <c r="B428" i="12"/>
  <c r="A428" i="12"/>
  <c r="BE427" i="12"/>
  <c r="BD427" i="12"/>
  <c r="BC427" i="12"/>
  <c r="AU427" i="12"/>
  <c r="AS427" i="12"/>
  <c r="AQ427" i="12"/>
  <c r="AP427" i="12"/>
  <c r="AN427" i="12"/>
  <c r="AL427" i="12"/>
  <c r="AK427" i="12"/>
  <c r="AH427" i="12"/>
  <c r="AG427" i="12"/>
  <c r="AA427" i="12"/>
  <c r="Z427" i="12"/>
  <c r="Y427" i="12"/>
  <c r="X427" i="12"/>
  <c r="W427" i="12"/>
  <c r="V427" i="12"/>
  <c r="U427" i="12"/>
  <c r="T427" i="12"/>
  <c r="S427" i="12"/>
  <c r="R427" i="12"/>
  <c r="P427" i="12"/>
  <c r="O427" i="12"/>
  <c r="N427" i="12"/>
  <c r="L427" i="12"/>
  <c r="K427" i="12"/>
  <c r="J427" i="12"/>
  <c r="I427" i="12"/>
  <c r="G427" i="12"/>
  <c r="F427" i="12"/>
  <c r="E427" i="12"/>
  <c r="D427" i="12"/>
  <c r="C427" i="12"/>
  <c r="B427" i="12"/>
  <c r="A427" i="12"/>
  <c r="BE426" i="12"/>
  <c r="BD426" i="12"/>
  <c r="BC426" i="12"/>
  <c r="BA426" i="12"/>
  <c r="AU426" i="12"/>
  <c r="AQ426" i="12"/>
  <c r="AL426" i="12"/>
  <c r="AK426" i="12"/>
  <c r="AH426" i="12"/>
  <c r="AG426" i="12"/>
  <c r="AD426" i="12"/>
  <c r="AC426" i="12"/>
  <c r="AA426" i="12"/>
  <c r="Z426" i="12"/>
  <c r="Y426" i="12"/>
  <c r="X426" i="12"/>
  <c r="V426" i="12"/>
  <c r="T426" i="12"/>
  <c r="S426" i="12"/>
  <c r="R426" i="12"/>
  <c r="Q426" i="12"/>
  <c r="P426" i="12"/>
  <c r="O426" i="12"/>
  <c r="N426" i="12"/>
  <c r="M426" i="12"/>
  <c r="L426" i="12"/>
  <c r="K426" i="12"/>
  <c r="J426" i="12"/>
  <c r="I426" i="12"/>
  <c r="G426" i="12"/>
  <c r="F426" i="12"/>
  <c r="E426" i="12"/>
  <c r="D426" i="12"/>
  <c r="C426" i="12"/>
  <c r="B426" i="12"/>
  <c r="A426" i="12"/>
  <c r="BE425" i="12"/>
  <c r="BD425" i="12"/>
  <c r="BC425" i="12"/>
  <c r="BB425" i="12"/>
  <c r="AU425" i="12"/>
  <c r="AS425" i="12"/>
  <c r="AQ425" i="12"/>
  <c r="AP425" i="12"/>
  <c r="AO425" i="12"/>
  <c r="AN425" i="12"/>
  <c r="AM425" i="12"/>
  <c r="AL425" i="12"/>
  <c r="AK425" i="12"/>
  <c r="AG425" i="12"/>
  <c r="AD425" i="12"/>
  <c r="AC425" i="12"/>
  <c r="AA425" i="12"/>
  <c r="Z425" i="12"/>
  <c r="Y425" i="12"/>
  <c r="X425" i="12"/>
  <c r="W425" i="12"/>
  <c r="V425" i="12"/>
  <c r="U425" i="12"/>
  <c r="T425" i="12"/>
  <c r="S425" i="12"/>
  <c r="R425" i="12"/>
  <c r="P425" i="12"/>
  <c r="O425" i="12"/>
  <c r="N425" i="12"/>
  <c r="L425" i="12"/>
  <c r="K425" i="12"/>
  <c r="J425" i="12"/>
  <c r="I425" i="12"/>
  <c r="G425" i="12"/>
  <c r="F425" i="12"/>
  <c r="E425" i="12"/>
  <c r="D425" i="12"/>
  <c r="C425" i="12"/>
  <c r="B425" i="12"/>
  <c r="A425" i="12"/>
  <c r="BE424" i="12"/>
  <c r="BD424" i="12"/>
  <c r="BC424" i="12"/>
  <c r="BB424" i="12"/>
  <c r="AU424" i="12"/>
  <c r="AS424" i="12"/>
  <c r="AQ424" i="12"/>
  <c r="AP424" i="12"/>
  <c r="AO424" i="12"/>
  <c r="AN424" i="12"/>
  <c r="AM424" i="12"/>
  <c r="AL424" i="12"/>
  <c r="AK424" i="12"/>
  <c r="AG424" i="12"/>
  <c r="AD424" i="12"/>
  <c r="AC424" i="12"/>
  <c r="AA424" i="12"/>
  <c r="Z424" i="12"/>
  <c r="Y424" i="12"/>
  <c r="X424" i="12"/>
  <c r="W424" i="12"/>
  <c r="V424" i="12"/>
  <c r="U424" i="12"/>
  <c r="T424" i="12"/>
  <c r="S424" i="12"/>
  <c r="R424" i="12"/>
  <c r="P424" i="12"/>
  <c r="O424" i="12"/>
  <c r="N424" i="12"/>
  <c r="M424" i="12"/>
  <c r="L424" i="12"/>
  <c r="K424" i="12"/>
  <c r="J424" i="12"/>
  <c r="I424" i="12"/>
  <c r="G424" i="12"/>
  <c r="F424" i="12"/>
  <c r="E424" i="12"/>
  <c r="D424" i="12"/>
  <c r="C424" i="12"/>
  <c r="B424" i="12"/>
  <c r="A424" i="12"/>
  <c r="BE423" i="12"/>
  <c r="BD423" i="12"/>
  <c r="BC423" i="12"/>
  <c r="BB423" i="12"/>
  <c r="AU423" i="12"/>
  <c r="AS423" i="12"/>
  <c r="AQ423" i="12"/>
  <c r="AN423" i="12"/>
  <c r="AL423" i="12"/>
  <c r="AK423" i="12"/>
  <c r="AJ423" i="12"/>
  <c r="AI423" i="12"/>
  <c r="AH423" i="12"/>
  <c r="AG423" i="12"/>
  <c r="AD423" i="12"/>
  <c r="AA423" i="12"/>
  <c r="Z423" i="12"/>
  <c r="Y423" i="12"/>
  <c r="X423" i="12"/>
  <c r="W423" i="12"/>
  <c r="V423" i="12"/>
  <c r="U423" i="12"/>
  <c r="T423" i="12"/>
  <c r="S423" i="12"/>
  <c r="R423" i="12"/>
  <c r="P423" i="12"/>
  <c r="M423" i="12"/>
  <c r="L423" i="12"/>
  <c r="K423" i="12"/>
  <c r="J423" i="12"/>
  <c r="I423" i="12"/>
  <c r="G423" i="12"/>
  <c r="F423" i="12"/>
  <c r="E423" i="12"/>
  <c r="D423" i="12"/>
  <c r="C423" i="12"/>
  <c r="B423" i="12"/>
  <c r="A423" i="12"/>
  <c r="BC422" i="12"/>
  <c r="BA422" i="12"/>
  <c r="AU422" i="12"/>
  <c r="AK422" i="12"/>
  <c r="AH422" i="12"/>
  <c r="AG422" i="12"/>
  <c r="L422" i="12"/>
  <c r="K422" i="12"/>
  <c r="J422" i="12"/>
  <c r="I422" i="12"/>
  <c r="G422" i="12"/>
  <c r="F422" i="12"/>
  <c r="E422" i="12"/>
  <c r="D422" i="12"/>
  <c r="C422" i="12"/>
  <c r="B422" i="12"/>
  <c r="A422" i="12"/>
  <c r="BE421" i="12"/>
  <c r="BD421" i="12"/>
  <c r="BC421" i="12"/>
  <c r="BB421" i="12"/>
  <c r="AU421" i="12"/>
  <c r="AS421" i="12"/>
  <c r="AQ421" i="12"/>
  <c r="AP421" i="12"/>
  <c r="AO421" i="12"/>
  <c r="AN421" i="12"/>
  <c r="AM421" i="12"/>
  <c r="AL421" i="12"/>
  <c r="AK421" i="12"/>
  <c r="AG421" i="12"/>
  <c r="AD421" i="12"/>
  <c r="AC421" i="12"/>
  <c r="AA421" i="12"/>
  <c r="Z421" i="12"/>
  <c r="Y421" i="12"/>
  <c r="X421" i="12"/>
  <c r="W421" i="12"/>
  <c r="V421" i="12"/>
  <c r="U421" i="12"/>
  <c r="T421" i="12"/>
  <c r="S421" i="12"/>
  <c r="R421" i="12"/>
  <c r="P421" i="12"/>
  <c r="O421" i="12"/>
  <c r="N421" i="12"/>
  <c r="L421" i="12"/>
  <c r="K421" i="12"/>
  <c r="J421" i="12"/>
  <c r="I421" i="12"/>
  <c r="G421" i="12"/>
  <c r="F421" i="12"/>
  <c r="E421" i="12"/>
  <c r="D421" i="12"/>
  <c r="C421" i="12"/>
  <c r="B421" i="12"/>
  <c r="A421" i="12"/>
  <c r="BE420" i="12"/>
  <c r="BD420" i="12"/>
  <c r="BC420" i="12"/>
  <c r="BB420" i="12"/>
  <c r="AU420" i="12"/>
  <c r="AS420" i="12"/>
  <c r="AQ420" i="12"/>
  <c r="AP420" i="12"/>
  <c r="AO420" i="12"/>
  <c r="AN420" i="12"/>
  <c r="AM420" i="12"/>
  <c r="AL420" i="12"/>
  <c r="AG420" i="12"/>
  <c r="AD420" i="12"/>
  <c r="AC420" i="12"/>
  <c r="AA420" i="12"/>
  <c r="Z420" i="12"/>
  <c r="Y420" i="12"/>
  <c r="X420" i="12"/>
  <c r="W420" i="12"/>
  <c r="V420" i="12"/>
  <c r="U420" i="12"/>
  <c r="T420" i="12"/>
  <c r="S420" i="12"/>
  <c r="R420" i="12"/>
  <c r="P420" i="12"/>
  <c r="O420" i="12"/>
  <c r="N420" i="12"/>
  <c r="L420" i="12"/>
  <c r="K420" i="12"/>
  <c r="J420" i="12"/>
  <c r="I420" i="12"/>
  <c r="G420" i="12"/>
  <c r="F420" i="12"/>
  <c r="E420" i="12"/>
  <c r="D420" i="12"/>
  <c r="C420" i="12"/>
  <c r="B420" i="12"/>
  <c r="A420" i="12"/>
  <c r="BE419" i="12"/>
  <c r="BD419" i="12"/>
  <c r="BC419" i="12"/>
  <c r="BB419" i="12"/>
  <c r="AU419" i="12"/>
  <c r="AS419" i="12"/>
  <c r="AQ419" i="12"/>
  <c r="AN419" i="12"/>
  <c r="AL419" i="12"/>
  <c r="AK419" i="12"/>
  <c r="AH419" i="12"/>
  <c r="AG419" i="12"/>
  <c r="AD419" i="12"/>
  <c r="AA419" i="12"/>
  <c r="Z419" i="12"/>
  <c r="Y419" i="12"/>
  <c r="X419" i="12"/>
  <c r="W419" i="12"/>
  <c r="V419" i="12"/>
  <c r="U419" i="12"/>
  <c r="T419" i="12"/>
  <c r="S419" i="12"/>
  <c r="R419" i="12"/>
  <c r="P419" i="12"/>
  <c r="M419" i="12"/>
  <c r="L419" i="12"/>
  <c r="K419" i="12"/>
  <c r="J419" i="12"/>
  <c r="I419" i="12"/>
  <c r="G419" i="12"/>
  <c r="F419" i="12"/>
  <c r="E419" i="12"/>
  <c r="D419" i="12"/>
  <c r="C419" i="12"/>
  <c r="B419" i="12"/>
  <c r="A419" i="12"/>
  <c r="BE418" i="12"/>
  <c r="BD418" i="12"/>
  <c r="BC418" i="12"/>
  <c r="BB418" i="12"/>
  <c r="AU418" i="12"/>
  <c r="AS418" i="12"/>
  <c r="AQ418" i="12"/>
  <c r="AN418" i="12"/>
  <c r="AL418" i="12"/>
  <c r="AK418" i="12"/>
  <c r="AH418" i="12"/>
  <c r="AG418" i="12"/>
  <c r="AD418" i="12"/>
  <c r="AA418" i="12"/>
  <c r="Z418" i="12"/>
  <c r="Y418" i="12"/>
  <c r="X418" i="12"/>
  <c r="W418" i="12"/>
  <c r="V418" i="12"/>
  <c r="U418" i="12"/>
  <c r="T418" i="12"/>
  <c r="S418" i="12"/>
  <c r="R418" i="12"/>
  <c r="P418" i="12"/>
  <c r="M418" i="12"/>
  <c r="L418" i="12"/>
  <c r="K418" i="12"/>
  <c r="J418" i="12"/>
  <c r="I418" i="12"/>
  <c r="G418" i="12"/>
  <c r="F418" i="12"/>
  <c r="E418" i="12"/>
  <c r="D418" i="12"/>
  <c r="C418" i="12"/>
  <c r="B418" i="12"/>
  <c r="A418" i="12"/>
  <c r="BE417" i="12"/>
  <c r="BD417" i="12"/>
  <c r="BC417" i="12"/>
  <c r="BB417" i="12"/>
  <c r="AU417" i="12"/>
  <c r="AS417" i="12"/>
  <c r="AQ417" i="12"/>
  <c r="AP417" i="12"/>
  <c r="AO417" i="12"/>
  <c r="AN417" i="12"/>
  <c r="AM417" i="12"/>
  <c r="AL417" i="12"/>
  <c r="AK417" i="12"/>
  <c r="AG417" i="12"/>
  <c r="AD417" i="12"/>
  <c r="AC417" i="12"/>
  <c r="AA417" i="12"/>
  <c r="Z417" i="12"/>
  <c r="Y417" i="12"/>
  <c r="X417" i="12"/>
  <c r="W417" i="12"/>
  <c r="V417" i="12"/>
  <c r="U417" i="12"/>
  <c r="T417" i="12"/>
  <c r="S417" i="12"/>
  <c r="R417" i="12"/>
  <c r="P417" i="12"/>
  <c r="O417" i="12"/>
  <c r="N417" i="12"/>
  <c r="L417" i="12"/>
  <c r="K417" i="12"/>
  <c r="J417" i="12"/>
  <c r="I417" i="12"/>
  <c r="G417" i="12"/>
  <c r="F417" i="12"/>
  <c r="E417" i="12"/>
  <c r="D417" i="12"/>
  <c r="C417" i="12"/>
  <c r="B417" i="12"/>
  <c r="A417" i="12"/>
  <c r="BE416" i="12"/>
  <c r="BD416" i="12"/>
  <c r="BC416" i="12"/>
  <c r="BB416" i="12"/>
  <c r="AU416" i="12"/>
  <c r="AS416" i="12"/>
  <c r="AQ416" i="12"/>
  <c r="AP416" i="12"/>
  <c r="AO416" i="12"/>
  <c r="AN416" i="12"/>
  <c r="AM416" i="12"/>
  <c r="AL416" i="12"/>
  <c r="AK416" i="12"/>
  <c r="AG416" i="12"/>
  <c r="AD416" i="12"/>
  <c r="AC416" i="12"/>
  <c r="AA416" i="12"/>
  <c r="Z416" i="12"/>
  <c r="Y416" i="12"/>
  <c r="X416" i="12"/>
  <c r="W416" i="12"/>
  <c r="V416" i="12"/>
  <c r="U416" i="12"/>
  <c r="T416" i="12"/>
  <c r="S416" i="12"/>
  <c r="R416" i="12"/>
  <c r="P416" i="12"/>
  <c r="O416" i="12"/>
  <c r="N416" i="12"/>
  <c r="L416" i="12"/>
  <c r="K416" i="12"/>
  <c r="J416" i="12"/>
  <c r="I416" i="12"/>
  <c r="G416" i="12"/>
  <c r="F416" i="12"/>
  <c r="E416" i="12"/>
  <c r="D416" i="12"/>
  <c r="C416" i="12"/>
  <c r="B416" i="12"/>
  <c r="A416" i="12"/>
  <c r="BE415" i="12"/>
  <c r="BD415" i="12"/>
  <c r="BC415" i="12"/>
  <c r="BB415" i="12"/>
  <c r="AU415" i="12"/>
  <c r="AS415" i="12"/>
  <c r="AQ415" i="12"/>
  <c r="AN415" i="12"/>
  <c r="AL415" i="12"/>
  <c r="AK415" i="12"/>
  <c r="AJ415" i="12"/>
  <c r="AI415" i="12"/>
  <c r="AH415" i="12"/>
  <c r="AG415" i="12"/>
  <c r="AD415" i="12"/>
  <c r="AA415" i="12"/>
  <c r="Z415" i="12"/>
  <c r="Y415" i="12"/>
  <c r="X415" i="12"/>
  <c r="W415" i="12"/>
  <c r="V415" i="12"/>
  <c r="U415" i="12"/>
  <c r="T415" i="12"/>
  <c r="S415" i="12"/>
  <c r="R415" i="12"/>
  <c r="P415" i="12"/>
  <c r="M415" i="12"/>
  <c r="L415" i="12"/>
  <c r="K415" i="12"/>
  <c r="J415" i="12"/>
  <c r="I415" i="12"/>
  <c r="G415" i="12"/>
  <c r="F415" i="12"/>
  <c r="E415" i="12"/>
  <c r="D415" i="12"/>
  <c r="C415" i="12"/>
  <c r="B415" i="12"/>
  <c r="A415" i="12"/>
  <c r="BE414" i="12"/>
  <c r="BD414" i="12"/>
  <c r="BC414" i="12"/>
  <c r="BB414" i="12"/>
  <c r="AU414" i="12"/>
  <c r="AS414" i="12"/>
  <c r="AQ414" i="12"/>
  <c r="AN414" i="12"/>
  <c r="AL414" i="12"/>
  <c r="AK414" i="12"/>
  <c r="AH414" i="12"/>
  <c r="AG414" i="12"/>
  <c r="AD414" i="12"/>
  <c r="AA414" i="12"/>
  <c r="Z414" i="12"/>
  <c r="Y414" i="12"/>
  <c r="X414" i="12"/>
  <c r="W414" i="12"/>
  <c r="V414" i="12"/>
  <c r="U414" i="12"/>
  <c r="T414" i="12"/>
  <c r="S414" i="12"/>
  <c r="R414" i="12"/>
  <c r="P414" i="12"/>
  <c r="M414" i="12"/>
  <c r="L414" i="12"/>
  <c r="K414" i="12"/>
  <c r="J414" i="12"/>
  <c r="I414" i="12"/>
  <c r="G414" i="12"/>
  <c r="F414" i="12"/>
  <c r="E414" i="12"/>
  <c r="D414" i="12"/>
  <c r="C414" i="12"/>
  <c r="B414" i="12"/>
  <c r="A414" i="12"/>
  <c r="BE413" i="12"/>
  <c r="BD413" i="12"/>
  <c r="BC413" i="12"/>
  <c r="BB413" i="12"/>
  <c r="AU413" i="12"/>
  <c r="AS413" i="12"/>
  <c r="AQ413" i="12"/>
  <c r="AP413" i="12"/>
  <c r="AO413" i="12"/>
  <c r="AN413" i="12"/>
  <c r="AM413" i="12"/>
  <c r="AL413" i="12"/>
  <c r="AK413" i="12"/>
  <c r="AG413" i="12"/>
  <c r="AD413" i="12"/>
  <c r="AC413" i="12"/>
  <c r="AA413" i="12"/>
  <c r="Z413" i="12"/>
  <c r="Y413" i="12"/>
  <c r="X413" i="12"/>
  <c r="W413" i="12"/>
  <c r="V413" i="12"/>
  <c r="U413" i="12"/>
  <c r="T413" i="12"/>
  <c r="S413" i="12"/>
  <c r="R413" i="12"/>
  <c r="P413" i="12"/>
  <c r="O413" i="12"/>
  <c r="N413" i="12"/>
  <c r="L413" i="12"/>
  <c r="K413" i="12"/>
  <c r="J413" i="12"/>
  <c r="I413" i="12"/>
  <c r="G413" i="12"/>
  <c r="F413" i="12"/>
  <c r="E413" i="12"/>
  <c r="D413" i="12"/>
  <c r="C413" i="12"/>
  <c r="B413" i="12"/>
  <c r="A413" i="12"/>
  <c r="BE412" i="12"/>
  <c r="BD412" i="12"/>
  <c r="BC412" i="12"/>
  <c r="BB412" i="12"/>
  <c r="AU412" i="12"/>
  <c r="AS412" i="12"/>
  <c r="AQ412" i="12"/>
  <c r="AP412" i="12"/>
  <c r="AO412" i="12"/>
  <c r="AN412" i="12"/>
  <c r="AM412" i="12"/>
  <c r="AL412" i="12"/>
  <c r="AK412" i="12"/>
  <c r="AG412" i="12"/>
  <c r="AD412" i="12"/>
  <c r="AC412" i="12"/>
  <c r="AA412" i="12"/>
  <c r="Z412" i="12"/>
  <c r="Y412" i="12"/>
  <c r="X412" i="12"/>
  <c r="W412" i="12"/>
  <c r="V412" i="12"/>
  <c r="U412" i="12"/>
  <c r="T412" i="12"/>
  <c r="S412" i="12"/>
  <c r="R412" i="12"/>
  <c r="P412" i="12"/>
  <c r="O412" i="12"/>
  <c r="N412" i="12"/>
  <c r="L412" i="12"/>
  <c r="K412" i="12"/>
  <c r="J412" i="12"/>
  <c r="I412" i="12"/>
  <c r="G412" i="12"/>
  <c r="F412" i="12"/>
  <c r="E412" i="12"/>
  <c r="D412" i="12"/>
  <c r="C412" i="12"/>
  <c r="B412" i="12"/>
  <c r="A412" i="12"/>
  <c r="BE411" i="12"/>
  <c r="BD411" i="12"/>
  <c r="BC411" i="12"/>
  <c r="BB411" i="12"/>
  <c r="AU411" i="12"/>
  <c r="AS411" i="12"/>
  <c r="AQ411" i="12"/>
  <c r="AN411" i="12"/>
  <c r="AL411" i="12"/>
  <c r="AK411" i="12"/>
  <c r="AH411" i="12"/>
  <c r="AG411" i="12"/>
  <c r="AD411" i="12"/>
  <c r="AA411" i="12"/>
  <c r="Z411" i="12"/>
  <c r="Y411" i="12"/>
  <c r="X411" i="12"/>
  <c r="W411" i="12"/>
  <c r="V411" i="12"/>
  <c r="U411" i="12"/>
  <c r="T411" i="12"/>
  <c r="S411" i="12"/>
  <c r="R411" i="12"/>
  <c r="P411" i="12"/>
  <c r="L411" i="12"/>
  <c r="K411" i="12"/>
  <c r="J411" i="12"/>
  <c r="I411" i="12"/>
  <c r="G411" i="12"/>
  <c r="F411" i="12"/>
  <c r="E411" i="12"/>
  <c r="D411" i="12"/>
  <c r="C411" i="12"/>
  <c r="B411" i="12"/>
  <c r="A411" i="12"/>
  <c r="BE410" i="12"/>
  <c r="BD410" i="12"/>
  <c r="BC410" i="12"/>
  <c r="BB410" i="12"/>
  <c r="AU410" i="12"/>
  <c r="AS410" i="12"/>
  <c r="AQ410" i="12"/>
  <c r="AN410" i="12"/>
  <c r="AL410" i="12"/>
  <c r="AK410" i="12"/>
  <c r="AH410" i="12"/>
  <c r="AG410" i="12"/>
  <c r="AD410" i="12"/>
  <c r="AA410" i="12"/>
  <c r="Z410" i="12"/>
  <c r="Y410" i="12"/>
  <c r="X410" i="12"/>
  <c r="W410" i="12"/>
  <c r="V410" i="12"/>
  <c r="U410" i="12"/>
  <c r="T410" i="12"/>
  <c r="S410" i="12"/>
  <c r="R410" i="12"/>
  <c r="P410" i="12"/>
  <c r="M410" i="12"/>
  <c r="L410" i="12"/>
  <c r="K410" i="12"/>
  <c r="J410" i="12"/>
  <c r="I410" i="12"/>
  <c r="G410" i="12"/>
  <c r="F410" i="12"/>
  <c r="E410" i="12"/>
  <c r="D410" i="12"/>
  <c r="C410" i="12"/>
  <c r="B410" i="12"/>
  <c r="A410" i="12"/>
  <c r="BE409" i="12"/>
  <c r="BD409" i="12"/>
  <c r="BC409" i="12"/>
  <c r="BB409" i="12"/>
  <c r="AU409" i="12"/>
  <c r="AS409" i="12"/>
  <c r="AQ409" i="12"/>
  <c r="AP409" i="12"/>
  <c r="AO409" i="12"/>
  <c r="AN409" i="12"/>
  <c r="AM409" i="12"/>
  <c r="AL409" i="12"/>
  <c r="AK409" i="12"/>
  <c r="AG409" i="12"/>
  <c r="AD409" i="12"/>
  <c r="AC409" i="12"/>
  <c r="AA409" i="12"/>
  <c r="Z409" i="12"/>
  <c r="Y409" i="12"/>
  <c r="X409" i="12"/>
  <c r="W409" i="12"/>
  <c r="V409" i="12"/>
  <c r="U409" i="12"/>
  <c r="T409" i="12"/>
  <c r="S409" i="12"/>
  <c r="R409" i="12"/>
  <c r="P409" i="12"/>
  <c r="O409" i="12"/>
  <c r="N409" i="12"/>
  <c r="L409" i="12"/>
  <c r="K409" i="12"/>
  <c r="J409" i="12"/>
  <c r="I409" i="12"/>
  <c r="G409" i="12"/>
  <c r="F409" i="12"/>
  <c r="E409" i="12"/>
  <c r="D409" i="12"/>
  <c r="C409" i="12"/>
  <c r="B409" i="12"/>
  <c r="A409" i="12"/>
  <c r="BE408" i="12"/>
  <c r="BD408" i="12"/>
  <c r="BC408" i="12"/>
  <c r="BB408" i="12"/>
  <c r="AU408" i="12"/>
  <c r="AS408" i="12"/>
  <c r="AQ408" i="12"/>
  <c r="AN408" i="12"/>
  <c r="AL408" i="12"/>
  <c r="AK408" i="12"/>
  <c r="AH408" i="12"/>
  <c r="AG408" i="12"/>
  <c r="AD408" i="12"/>
  <c r="AA408" i="12"/>
  <c r="Z408" i="12"/>
  <c r="Y408" i="12"/>
  <c r="X408" i="12"/>
  <c r="W408" i="12"/>
  <c r="V408" i="12"/>
  <c r="U408" i="12"/>
  <c r="S408" i="12"/>
  <c r="R408" i="12"/>
  <c r="P408" i="12"/>
  <c r="M408" i="12"/>
  <c r="L408" i="12"/>
  <c r="K408" i="12"/>
  <c r="J408" i="12"/>
  <c r="I408" i="12"/>
  <c r="G408" i="12"/>
  <c r="F408" i="12"/>
  <c r="E408" i="12"/>
  <c r="D408" i="12"/>
  <c r="C408" i="12"/>
  <c r="B408" i="12"/>
  <c r="A408" i="12"/>
  <c r="BE407" i="12"/>
  <c r="BD407" i="12"/>
  <c r="BC407" i="12"/>
  <c r="BB407" i="12"/>
  <c r="AU407" i="12"/>
  <c r="AS407" i="12"/>
  <c r="AQ407" i="12"/>
  <c r="AN407" i="12"/>
  <c r="AL407" i="12"/>
  <c r="AK407" i="12"/>
  <c r="AH407" i="12"/>
  <c r="AG407" i="12"/>
  <c r="AD407" i="12"/>
  <c r="AA407" i="12"/>
  <c r="Z407" i="12"/>
  <c r="Y407" i="12"/>
  <c r="X407" i="12"/>
  <c r="W407" i="12"/>
  <c r="V407" i="12"/>
  <c r="U407" i="12"/>
  <c r="S407" i="12"/>
  <c r="R407" i="12"/>
  <c r="P407" i="12"/>
  <c r="M407" i="12"/>
  <c r="L407" i="12"/>
  <c r="K407" i="12"/>
  <c r="J407" i="12"/>
  <c r="I407" i="12"/>
  <c r="G407" i="12"/>
  <c r="F407" i="12"/>
  <c r="E407" i="12"/>
  <c r="D407" i="12"/>
  <c r="C407" i="12"/>
  <c r="B407" i="12"/>
  <c r="A407" i="12"/>
  <c r="BE406" i="12"/>
  <c r="BD406" i="12"/>
  <c r="BC406" i="12"/>
  <c r="BB406" i="12"/>
  <c r="AU406" i="12"/>
  <c r="AS406" i="12"/>
  <c r="AQ406" i="12"/>
  <c r="AP406" i="12"/>
  <c r="AO406" i="12"/>
  <c r="AN406" i="12"/>
  <c r="AM406" i="12"/>
  <c r="AL406" i="12"/>
  <c r="AK406" i="12"/>
  <c r="AG406" i="12"/>
  <c r="AD406" i="12"/>
  <c r="AC406" i="12"/>
  <c r="AA406" i="12"/>
  <c r="Z406" i="12"/>
  <c r="Y406" i="12"/>
  <c r="X406" i="12"/>
  <c r="W406" i="12"/>
  <c r="V406" i="12"/>
  <c r="U406" i="12"/>
  <c r="S406" i="12"/>
  <c r="R406" i="12"/>
  <c r="P406" i="12"/>
  <c r="O406" i="12"/>
  <c r="N406" i="12"/>
  <c r="L406" i="12"/>
  <c r="K406" i="12"/>
  <c r="J406" i="12"/>
  <c r="I406" i="12"/>
  <c r="G406" i="12"/>
  <c r="F406" i="12"/>
  <c r="E406" i="12"/>
  <c r="D406" i="12"/>
  <c r="C406" i="12"/>
  <c r="B406" i="12"/>
  <c r="A406" i="12"/>
  <c r="BE405" i="12"/>
  <c r="BD405" i="12"/>
  <c r="BC405" i="12"/>
  <c r="BB405" i="12"/>
  <c r="AU405" i="12"/>
  <c r="AS405" i="12"/>
  <c r="AQ405" i="12"/>
  <c r="AP405" i="12"/>
  <c r="AO405" i="12"/>
  <c r="AN405" i="12"/>
  <c r="AM405" i="12"/>
  <c r="AL405" i="12"/>
  <c r="AK405" i="12"/>
  <c r="AH405" i="12"/>
  <c r="AG405" i="12"/>
  <c r="AD405" i="12"/>
  <c r="AC405" i="12"/>
  <c r="AA405" i="12"/>
  <c r="Z405" i="12"/>
  <c r="Y405" i="12"/>
  <c r="X405" i="12"/>
  <c r="W405" i="12"/>
  <c r="V405" i="12"/>
  <c r="U405" i="12"/>
  <c r="T405" i="12"/>
  <c r="S405" i="12"/>
  <c r="R405" i="12"/>
  <c r="P405" i="12"/>
  <c r="M405" i="12"/>
  <c r="L405" i="12"/>
  <c r="K405" i="12"/>
  <c r="J405" i="12"/>
  <c r="G405" i="12"/>
  <c r="F405" i="12"/>
  <c r="E405" i="12"/>
  <c r="D405" i="12"/>
  <c r="C405" i="12"/>
  <c r="B405" i="12"/>
  <c r="A405" i="12"/>
  <c r="BE404" i="12"/>
  <c r="BD404" i="12"/>
  <c r="BC404" i="12"/>
  <c r="BB404" i="12"/>
  <c r="AU404" i="12"/>
  <c r="AS404" i="12"/>
  <c r="AQ404" i="12"/>
  <c r="AP404" i="12"/>
  <c r="AO404" i="12"/>
  <c r="AN404" i="12"/>
  <c r="AM404" i="12"/>
  <c r="AL404" i="12"/>
  <c r="AK404" i="12"/>
  <c r="AH404" i="12"/>
  <c r="AG404" i="12"/>
  <c r="AD404" i="12"/>
  <c r="AC404" i="12"/>
  <c r="AA404" i="12"/>
  <c r="Z404" i="12"/>
  <c r="Y404" i="12"/>
  <c r="X404" i="12"/>
  <c r="W404" i="12"/>
  <c r="V404" i="12"/>
  <c r="U404" i="12"/>
  <c r="T404" i="12"/>
  <c r="S404" i="12"/>
  <c r="R404" i="12"/>
  <c r="P404" i="12"/>
  <c r="M404" i="12"/>
  <c r="L404" i="12"/>
  <c r="K404" i="12"/>
  <c r="J404" i="12"/>
  <c r="G404" i="12"/>
  <c r="F404" i="12"/>
  <c r="E404" i="12"/>
  <c r="D404" i="12"/>
  <c r="C404" i="12"/>
  <c r="B404" i="12"/>
  <c r="A404" i="12"/>
  <c r="BE403" i="12"/>
  <c r="BD403" i="12"/>
  <c r="BC403" i="12"/>
  <c r="BB403" i="12"/>
  <c r="AU403" i="12"/>
  <c r="AS403" i="12"/>
  <c r="AQ403" i="12"/>
  <c r="AP403" i="12"/>
  <c r="AO403" i="12"/>
  <c r="AN403" i="12"/>
  <c r="AM403" i="12"/>
  <c r="AL403" i="12"/>
  <c r="AK403" i="12"/>
  <c r="AH403" i="12"/>
  <c r="AG403" i="12"/>
  <c r="AD403" i="12"/>
  <c r="AC403" i="12"/>
  <c r="AA403" i="12"/>
  <c r="Z403" i="12"/>
  <c r="Y403" i="12"/>
  <c r="X403" i="12"/>
  <c r="W403" i="12"/>
  <c r="V403" i="12"/>
  <c r="U403" i="12"/>
  <c r="T403" i="12"/>
  <c r="S403" i="12"/>
  <c r="R403" i="12"/>
  <c r="P403" i="12"/>
  <c r="M403" i="12"/>
  <c r="L403" i="12"/>
  <c r="K403" i="12"/>
  <c r="J403" i="12"/>
  <c r="G403" i="12"/>
  <c r="F403" i="12"/>
  <c r="E403" i="12"/>
  <c r="D403" i="12"/>
  <c r="C403" i="12"/>
  <c r="B403" i="12"/>
  <c r="A403" i="12"/>
  <c r="BE402" i="12"/>
  <c r="BD402" i="12"/>
  <c r="BC402" i="12"/>
  <c r="BA402" i="12"/>
  <c r="AU402" i="12"/>
  <c r="AS402" i="12"/>
  <c r="AQ402" i="12"/>
  <c r="AN402" i="12"/>
  <c r="AL402" i="12"/>
  <c r="AK402" i="12"/>
  <c r="AJ402" i="12"/>
  <c r="AI402" i="12"/>
  <c r="AH402" i="12"/>
  <c r="AG402" i="12"/>
  <c r="AD402" i="12"/>
  <c r="AC402" i="12"/>
  <c r="AA402" i="12"/>
  <c r="Z402" i="12"/>
  <c r="Y402" i="12"/>
  <c r="X402" i="12"/>
  <c r="W402" i="12"/>
  <c r="V402" i="12"/>
  <c r="U402" i="12"/>
  <c r="T402" i="12"/>
  <c r="S402" i="12"/>
  <c r="R402" i="12"/>
  <c r="Q402" i="12"/>
  <c r="P402" i="12"/>
  <c r="O402" i="12"/>
  <c r="N402" i="12"/>
  <c r="L402" i="12"/>
  <c r="K402" i="12"/>
  <c r="J402" i="12"/>
  <c r="I402" i="12"/>
  <c r="G402" i="12"/>
  <c r="F402" i="12"/>
  <c r="E402" i="12"/>
  <c r="D402" i="12"/>
  <c r="C402" i="12"/>
  <c r="B402" i="12"/>
  <c r="A402" i="12"/>
  <c r="BA401" i="12"/>
  <c r="AK401" i="12"/>
  <c r="K401" i="12"/>
  <c r="D401" i="12"/>
  <c r="B401" i="12"/>
  <c r="A401" i="12"/>
  <c r="BE400" i="12"/>
  <c r="BD400" i="12"/>
  <c r="BC400" i="12"/>
  <c r="BB400" i="12"/>
  <c r="AU400" i="12"/>
  <c r="AS400" i="12"/>
  <c r="AQ400" i="12"/>
  <c r="AP400" i="12"/>
  <c r="AO400" i="12"/>
  <c r="AN400" i="12"/>
  <c r="AM400" i="12"/>
  <c r="AL400" i="12"/>
  <c r="AK400" i="12"/>
  <c r="AG400" i="12"/>
  <c r="AD400" i="12"/>
  <c r="AC400" i="12"/>
  <c r="AA400" i="12"/>
  <c r="Z400" i="12"/>
  <c r="Y400" i="12"/>
  <c r="X400" i="12"/>
  <c r="W400" i="12"/>
  <c r="V400" i="12"/>
  <c r="U400" i="12"/>
  <c r="S400" i="12"/>
  <c r="P400" i="12"/>
  <c r="O400" i="12"/>
  <c r="N400" i="12"/>
  <c r="L400" i="12"/>
  <c r="K400" i="12"/>
  <c r="J400" i="12"/>
  <c r="I400" i="12"/>
  <c r="G400" i="12"/>
  <c r="F400" i="12"/>
  <c r="E400" i="12"/>
  <c r="D400" i="12"/>
  <c r="C400" i="12"/>
  <c r="B400" i="12"/>
  <c r="A400" i="12"/>
  <c r="BE399" i="12"/>
  <c r="BD399" i="12"/>
  <c r="BC399" i="12"/>
  <c r="BB399" i="12"/>
  <c r="AU399" i="12"/>
  <c r="AS399" i="12"/>
  <c r="AQ399" i="12"/>
  <c r="AP399" i="12"/>
  <c r="AO399" i="12"/>
  <c r="AN399" i="12"/>
  <c r="AM399" i="12"/>
  <c r="AL399" i="12"/>
  <c r="AK399" i="12"/>
  <c r="AG399" i="12"/>
  <c r="AD399" i="12"/>
  <c r="AC399" i="12"/>
  <c r="AA399" i="12"/>
  <c r="Z399" i="12"/>
  <c r="Y399" i="12"/>
  <c r="X399" i="12"/>
  <c r="W399" i="12"/>
  <c r="V399" i="12"/>
  <c r="U399" i="12"/>
  <c r="T399" i="12"/>
  <c r="S399" i="12"/>
  <c r="P399" i="12"/>
  <c r="O399" i="12"/>
  <c r="N399" i="12"/>
  <c r="M399" i="12"/>
  <c r="L399" i="12"/>
  <c r="K399" i="12"/>
  <c r="J399" i="12"/>
  <c r="I399" i="12"/>
  <c r="G399" i="12"/>
  <c r="F399" i="12"/>
  <c r="E399" i="12"/>
  <c r="D399" i="12"/>
  <c r="C399" i="12"/>
  <c r="B399" i="12"/>
  <c r="A399" i="12"/>
  <c r="BE398" i="12"/>
  <c r="BD398" i="12"/>
  <c r="BC398" i="12"/>
  <c r="BB398" i="12"/>
  <c r="AU398" i="12"/>
  <c r="AS398" i="12"/>
  <c r="AQ398" i="12"/>
  <c r="AP398" i="12"/>
  <c r="AO398" i="12"/>
  <c r="AN398" i="12"/>
  <c r="AM398" i="12"/>
  <c r="AL398" i="12"/>
  <c r="AK398" i="12"/>
  <c r="AG398" i="12"/>
  <c r="AD398" i="12"/>
  <c r="AC398" i="12"/>
  <c r="AA398" i="12"/>
  <c r="Z398" i="12"/>
  <c r="Y398" i="12"/>
  <c r="X398" i="12"/>
  <c r="W398" i="12"/>
  <c r="V398" i="12"/>
  <c r="U398" i="12"/>
  <c r="T398" i="12"/>
  <c r="S398" i="12"/>
  <c r="P398" i="12"/>
  <c r="O398" i="12"/>
  <c r="N398" i="12"/>
  <c r="M398" i="12"/>
  <c r="L398" i="12"/>
  <c r="K398" i="12"/>
  <c r="J398" i="12"/>
  <c r="I398" i="12"/>
  <c r="G398" i="12"/>
  <c r="F398" i="12"/>
  <c r="E398" i="12"/>
  <c r="D398" i="12"/>
  <c r="C398" i="12"/>
  <c r="B398" i="12"/>
  <c r="A398" i="12"/>
  <c r="BE397" i="12"/>
  <c r="BD397" i="12"/>
  <c r="BC397" i="12"/>
  <c r="BB397" i="12"/>
  <c r="AU397" i="12"/>
  <c r="AS397" i="12"/>
  <c r="AQ397" i="12"/>
  <c r="AP397" i="12"/>
  <c r="AO397" i="12"/>
  <c r="AN397" i="12"/>
  <c r="AM397" i="12"/>
  <c r="AL397" i="12"/>
  <c r="AK397" i="12"/>
  <c r="AG397" i="12"/>
  <c r="AD397" i="12"/>
  <c r="AC397" i="12"/>
  <c r="AA397" i="12"/>
  <c r="Z397" i="12"/>
  <c r="Y397" i="12"/>
  <c r="X397" i="12"/>
  <c r="W397" i="12"/>
  <c r="V397" i="12"/>
  <c r="U397" i="12"/>
  <c r="T397" i="12"/>
  <c r="S397" i="12"/>
  <c r="R397" i="12"/>
  <c r="Q397" i="12"/>
  <c r="P397" i="12"/>
  <c r="O397" i="12"/>
  <c r="N397" i="12"/>
  <c r="M397" i="12"/>
  <c r="L397" i="12"/>
  <c r="K397" i="12"/>
  <c r="J397" i="12"/>
  <c r="I397" i="12"/>
  <c r="G397" i="12"/>
  <c r="F397" i="12"/>
  <c r="E397" i="12"/>
  <c r="D397" i="12"/>
  <c r="C397" i="12"/>
  <c r="B397" i="12"/>
  <c r="A397" i="12"/>
  <c r="BE396" i="12"/>
  <c r="BD396" i="12"/>
  <c r="BC396" i="12"/>
  <c r="BB396" i="12"/>
  <c r="AU396" i="12"/>
  <c r="AS396" i="12"/>
  <c r="AQ396" i="12"/>
  <c r="AP396" i="12"/>
  <c r="AO396" i="12"/>
  <c r="AN396" i="12"/>
  <c r="AM396" i="12"/>
  <c r="AL396" i="12"/>
  <c r="AK396" i="12"/>
  <c r="AG396" i="12"/>
  <c r="AD396" i="12"/>
  <c r="AC396" i="12"/>
  <c r="AA396" i="12"/>
  <c r="Z396" i="12"/>
  <c r="Y396" i="12"/>
  <c r="X396" i="12"/>
  <c r="W396" i="12"/>
  <c r="V396" i="12"/>
  <c r="U396" i="12"/>
  <c r="T396" i="12"/>
  <c r="S396" i="12"/>
  <c r="R396" i="12"/>
  <c r="Q396" i="12"/>
  <c r="P396" i="12"/>
  <c r="O396" i="12"/>
  <c r="N396" i="12"/>
  <c r="M396" i="12"/>
  <c r="L396" i="12"/>
  <c r="K396" i="12"/>
  <c r="J396" i="12"/>
  <c r="I396" i="12"/>
  <c r="G396" i="12"/>
  <c r="F396" i="12"/>
  <c r="E396" i="12"/>
  <c r="D396" i="12"/>
  <c r="C396" i="12"/>
  <c r="B396" i="12"/>
  <c r="A396" i="12"/>
  <c r="BE395" i="12"/>
  <c r="BD395" i="12"/>
  <c r="BC395" i="12"/>
  <c r="BB395" i="12"/>
  <c r="AU395" i="12"/>
  <c r="AS395" i="12"/>
  <c r="AQ395" i="12"/>
  <c r="AP395" i="12"/>
  <c r="AO395" i="12"/>
  <c r="AN395" i="12"/>
  <c r="AM395" i="12"/>
  <c r="AL395" i="12"/>
  <c r="AK395" i="12"/>
  <c r="AG395" i="12"/>
  <c r="AD395" i="12"/>
  <c r="AC395" i="12"/>
  <c r="AA395" i="12"/>
  <c r="Z395" i="12"/>
  <c r="Y395" i="12"/>
  <c r="X395" i="12"/>
  <c r="W395" i="12"/>
  <c r="V395" i="12"/>
  <c r="U395" i="12"/>
  <c r="T395" i="12"/>
  <c r="S395" i="12"/>
  <c r="P395" i="12"/>
  <c r="O395" i="12"/>
  <c r="N395" i="12"/>
  <c r="L395" i="12"/>
  <c r="K395" i="12"/>
  <c r="J395" i="12"/>
  <c r="I395" i="12"/>
  <c r="G395" i="12"/>
  <c r="F395" i="12"/>
  <c r="E395" i="12"/>
  <c r="D395" i="12"/>
  <c r="C395" i="12"/>
  <c r="B395" i="12"/>
  <c r="A395" i="12"/>
  <c r="BE394" i="12"/>
  <c r="BD394" i="12"/>
  <c r="BC394" i="12"/>
  <c r="BB394" i="12"/>
  <c r="AU394" i="12"/>
  <c r="AS394" i="12"/>
  <c r="AQ394" i="12"/>
  <c r="AP394" i="12"/>
  <c r="AO394" i="12"/>
  <c r="AN394" i="12"/>
  <c r="AM394" i="12"/>
  <c r="AL394" i="12"/>
  <c r="AK394" i="12"/>
  <c r="AH394" i="12"/>
  <c r="AG394" i="12"/>
  <c r="AD394" i="12"/>
  <c r="AC394" i="12"/>
  <c r="AA394" i="12"/>
  <c r="Z394" i="12"/>
  <c r="Y394" i="12"/>
  <c r="X394" i="12"/>
  <c r="W394" i="12"/>
  <c r="V394" i="12"/>
  <c r="U394" i="12"/>
  <c r="T394" i="12"/>
  <c r="S394" i="12"/>
  <c r="R394" i="12"/>
  <c r="Q394" i="12"/>
  <c r="P394" i="12"/>
  <c r="L394" i="12"/>
  <c r="K394" i="12"/>
  <c r="J394" i="12"/>
  <c r="G394" i="12"/>
  <c r="F394" i="12"/>
  <c r="E394" i="12"/>
  <c r="D394" i="12"/>
  <c r="C394" i="12"/>
  <c r="B394" i="12"/>
  <c r="A394" i="12"/>
  <c r="BE393" i="12"/>
  <c r="BD393" i="12"/>
  <c r="BC393" i="12"/>
  <c r="BB393" i="12"/>
  <c r="AU393" i="12"/>
  <c r="AS393" i="12"/>
  <c r="AQ393" i="12"/>
  <c r="AP393" i="12"/>
  <c r="AO393" i="12"/>
  <c r="AN393" i="12"/>
  <c r="AM393" i="12"/>
  <c r="AL393" i="12"/>
  <c r="AK393" i="12"/>
  <c r="AH393" i="12"/>
  <c r="AG393" i="12"/>
  <c r="AD393" i="12"/>
  <c r="AC393" i="12"/>
  <c r="AA393" i="12"/>
  <c r="Z393" i="12"/>
  <c r="Y393" i="12"/>
  <c r="X393" i="12"/>
  <c r="W393" i="12"/>
  <c r="V393" i="12"/>
  <c r="U393" i="12"/>
  <c r="T393" i="12"/>
  <c r="S393" i="12"/>
  <c r="P393" i="12"/>
  <c r="L393" i="12"/>
  <c r="K393" i="12"/>
  <c r="J393" i="12"/>
  <c r="G393" i="12"/>
  <c r="F393" i="12"/>
  <c r="E393" i="12"/>
  <c r="D393" i="12"/>
  <c r="C393" i="12"/>
  <c r="B393" i="12"/>
  <c r="A393" i="12"/>
  <c r="BE392" i="12"/>
  <c r="BD392" i="12"/>
  <c r="BC392" i="12"/>
  <c r="BB392" i="12"/>
  <c r="AU392" i="12"/>
  <c r="AS392" i="12"/>
  <c r="AQ392" i="12"/>
  <c r="AP392" i="12"/>
  <c r="AO392" i="12"/>
  <c r="AN392" i="12"/>
  <c r="AM392" i="12"/>
  <c r="AL392" i="12"/>
  <c r="AK392" i="12"/>
  <c r="AH392" i="12"/>
  <c r="AG392" i="12"/>
  <c r="AD392" i="12"/>
  <c r="AC392" i="12"/>
  <c r="AA392" i="12"/>
  <c r="Z392" i="12"/>
  <c r="Y392" i="12"/>
  <c r="X392" i="12"/>
  <c r="W392" i="12"/>
  <c r="V392" i="12"/>
  <c r="U392" i="12"/>
  <c r="T392" i="12"/>
  <c r="S392" i="12"/>
  <c r="P392" i="12"/>
  <c r="L392" i="12"/>
  <c r="K392" i="12"/>
  <c r="J392" i="12"/>
  <c r="G392" i="12"/>
  <c r="F392" i="12"/>
  <c r="E392" i="12"/>
  <c r="D392" i="12"/>
  <c r="C392" i="12"/>
  <c r="B392" i="12"/>
  <c r="A392" i="12"/>
  <c r="BE391" i="12"/>
  <c r="BD391" i="12"/>
  <c r="BC391" i="12"/>
  <c r="BB391" i="12"/>
  <c r="AU391" i="12"/>
  <c r="AS391" i="12"/>
  <c r="AQ391" i="12"/>
  <c r="AP391" i="12"/>
  <c r="AO391" i="12"/>
  <c r="AN391" i="12"/>
  <c r="AM391" i="12"/>
  <c r="AL391" i="12"/>
  <c r="AK391" i="12"/>
  <c r="AG391" i="12"/>
  <c r="AD391" i="12"/>
  <c r="AC391" i="12"/>
  <c r="AA391" i="12"/>
  <c r="Z391" i="12"/>
  <c r="Y391" i="12"/>
  <c r="X391" i="12"/>
  <c r="W391" i="12"/>
  <c r="V391" i="12"/>
  <c r="U391" i="12"/>
  <c r="T391" i="12"/>
  <c r="S391" i="12"/>
  <c r="P391" i="12"/>
  <c r="O391" i="12"/>
  <c r="N391" i="12"/>
  <c r="M391" i="12"/>
  <c r="L391" i="12"/>
  <c r="K391" i="12"/>
  <c r="J391" i="12"/>
  <c r="I391" i="12"/>
  <c r="G391" i="12"/>
  <c r="F391" i="12"/>
  <c r="E391" i="12"/>
  <c r="D391" i="12"/>
  <c r="C391" i="12"/>
  <c r="B391" i="12"/>
  <c r="A391" i="12"/>
  <c r="BE390" i="12"/>
  <c r="BD390" i="12"/>
  <c r="BC390" i="12"/>
  <c r="BB390" i="12"/>
  <c r="AU390" i="12"/>
  <c r="AS390" i="12"/>
  <c r="AQ390" i="12"/>
  <c r="AP390" i="12"/>
  <c r="AO390" i="12"/>
  <c r="AN390" i="12"/>
  <c r="AM390" i="12"/>
  <c r="AL390" i="12"/>
  <c r="AK390" i="12"/>
  <c r="AG390" i="12"/>
  <c r="AD390" i="12"/>
  <c r="AC390" i="12"/>
  <c r="AA390" i="12"/>
  <c r="Z390" i="12"/>
  <c r="Y390" i="12"/>
  <c r="X390" i="12"/>
  <c r="W390" i="12"/>
  <c r="V390" i="12"/>
  <c r="U390" i="12"/>
  <c r="S390" i="12"/>
  <c r="P390" i="12"/>
  <c r="O390" i="12"/>
  <c r="N390" i="12"/>
  <c r="M390" i="12"/>
  <c r="L390" i="12"/>
  <c r="K390" i="12"/>
  <c r="J390" i="12"/>
  <c r="I390" i="12"/>
  <c r="G390" i="12"/>
  <c r="F390" i="12"/>
  <c r="E390" i="12"/>
  <c r="D390" i="12"/>
  <c r="C390" i="12"/>
  <c r="B390" i="12"/>
  <c r="A390" i="12"/>
  <c r="BE389" i="12"/>
  <c r="BD389" i="12"/>
  <c r="BC389" i="12"/>
  <c r="BB389" i="12"/>
  <c r="AU389" i="12"/>
  <c r="AS389" i="12"/>
  <c r="AQ389" i="12"/>
  <c r="AN389" i="12"/>
  <c r="AL389" i="12"/>
  <c r="AK389" i="12"/>
  <c r="AH389" i="12"/>
  <c r="AG389" i="12"/>
  <c r="AD389" i="12"/>
  <c r="AA389" i="12"/>
  <c r="Z389" i="12"/>
  <c r="Y389" i="12"/>
  <c r="X389" i="12"/>
  <c r="W389" i="12"/>
  <c r="V389" i="12"/>
  <c r="U389" i="12"/>
  <c r="T389" i="12"/>
  <c r="S389" i="12"/>
  <c r="R389" i="12"/>
  <c r="Q389" i="12"/>
  <c r="P389" i="12"/>
  <c r="M389" i="12"/>
  <c r="L389" i="12"/>
  <c r="K389" i="12"/>
  <c r="J389" i="12"/>
  <c r="I389" i="12"/>
  <c r="G389" i="12"/>
  <c r="F389" i="12"/>
  <c r="E389" i="12"/>
  <c r="D389" i="12"/>
  <c r="C389" i="12"/>
  <c r="B389" i="12"/>
  <c r="A389" i="12"/>
  <c r="BE388" i="12"/>
  <c r="BD388" i="12"/>
  <c r="BC388" i="12"/>
  <c r="BB388" i="12"/>
  <c r="AU388" i="12"/>
  <c r="AS388" i="12"/>
  <c r="AQ388" i="12"/>
  <c r="AP388" i="12"/>
  <c r="AO388" i="12"/>
  <c r="AN388" i="12"/>
  <c r="AM388" i="12"/>
  <c r="AL388" i="12"/>
  <c r="AK388" i="12"/>
  <c r="AG388" i="12"/>
  <c r="AD388" i="12"/>
  <c r="AC388" i="12"/>
  <c r="AA388" i="12"/>
  <c r="Z388" i="12"/>
  <c r="Y388" i="12"/>
  <c r="X388" i="12"/>
  <c r="W388" i="12"/>
  <c r="V388" i="12"/>
  <c r="U388" i="12"/>
  <c r="T388" i="12"/>
  <c r="S388" i="12"/>
  <c r="P388" i="12"/>
  <c r="O388" i="12"/>
  <c r="N388" i="12"/>
  <c r="M388" i="12"/>
  <c r="L388" i="12"/>
  <c r="K388" i="12"/>
  <c r="J388" i="12"/>
  <c r="I388" i="12"/>
  <c r="G388" i="12"/>
  <c r="F388" i="12"/>
  <c r="E388" i="12"/>
  <c r="D388" i="12"/>
  <c r="C388" i="12"/>
  <c r="B388" i="12"/>
  <c r="A388" i="12"/>
  <c r="BE387" i="12"/>
  <c r="BD387" i="12"/>
  <c r="BC387" i="12"/>
  <c r="BB387" i="12"/>
  <c r="AU387" i="12"/>
  <c r="AS387" i="12"/>
  <c r="AQ387" i="12"/>
  <c r="AP387" i="12"/>
  <c r="AO387" i="12"/>
  <c r="AN387" i="12"/>
  <c r="AM387" i="12"/>
  <c r="AL387" i="12"/>
  <c r="AK387" i="12"/>
  <c r="AH387" i="12"/>
  <c r="AG387" i="12"/>
  <c r="AD387" i="12"/>
  <c r="AC387" i="12"/>
  <c r="AA387" i="12"/>
  <c r="Z387" i="12"/>
  <c r="Y387" i="12"/>
  <c r="X387" i="12"/>
  <c r="W387" i="12"/>
  <c r="V387" i="12"/>
  <c r="U387" i="12"/>
  <c r="T387" i="12"/>
  <c r="S387" i="12"/>
  <c r="P387" i="12"/>
  <c r="M387" i="12"/>
  <c r="L387" i="12"/>
  <c r="K387" i="12"/>
  <c r="J387" i="12"/>
  <c r="G387" i="12"/>
  <c r="F387" i="12"/>
  <c r="E387" i="12"/>
  <c r="D387" i="12"/>
  <c r="C387" i="12"/>
  <c r="B387" i="12"/>
  <c r="A387" i="12"/>
  <c r="BE386" i="12"/>
  <c r="BD386" i="12"/>
  <c r="BC386" i="12"/>
  <c r="BB386" i="12"/>
  <c r="AU386" i="12"/>
  <c r="AS386" i="12"/>
  <c r="AQ386" i="12"/>
  <c r="AN386" i="12"/>
  <c r="AL386" i="12"/>
  <c r="AK386" i="12"/>
  <c r="AH386" i="12"/>
  <c r="AG386" i="12"/>
  <c r="AD386" i="12"/>
  <c r="AA386" i="12"/>
  <c r="Z386" i="12"/>
  <c r="Y386" i="12"/>
  <c r="X386" i="12"/>
  <c r="W386" i="12"/>
  <c r="V386" i="12"/>
  <c r="U386" i="12"/>
  <c r="T386" i="12"/>
  <c r="S386" i="12"/>
  <c r="P386" i="12"/>
  <c r="K386" i="12"/>
  <c r="J386" i="12"/>
  <c r="I386" i="12"/>
  <c r="G386" i="12"/>
  <c r="F386" i="12"/>
  <c r="E386" i="12"/>
  <c r="D386" i="12"/>
  <c r="C386" i="12"/>
  <c r="B386" i="12"/>
  <c r="A386" i="12"/>
  <c r="BE385" i="12"/>
  <c r="BD385" i="12"/>
  <c r="BC385" i="12"/>
  <c r="BB385" i="12"/>
  <c r="AU385" i="12"/>
  <c r="AS385" i="12"/>
  <c r="AQ385" i="12"/>
  <c r="AP385" i="12"/>
  <c r="AO385" i="12"/>
  <c r="AN385" i="12"/>
  <c r="AM385" i="12"/>
  <c r="AL385" i="12"/>
  <c r="AK385" i="12"/>
  <c r="AH385" i="12"/>
  <c r="AG385" i="12"/>
  <c r="AD385" i="12"/>
  <c r="AC385" i="12"/>
  <c r="AA385" i="12"/>
  <c r="Z385" i="12"/>
  <c r="Y385" i="12"/>
  <c r="X385" i="12"/>
  <c r="W385" i="12"/>
  <c r="V385" i="12"/>
  <c r="U385" i="12"/>
  <c r="T385" i="12"/>
  <c r="S385" i="12"/>
  <c r="P385" i="12"/>
  <c r="M385" i="12"/>
  <c r="L385" i="12"/>
  <c r="K385" i="12"/>
  <c r="J385" i="12"/>
  <c r="G385" i="12"/>
  <c r="F385" i="12"/>
  <c r="E385" i="12"/>
  <c r="D385" i="12"/>
  <c r="C385" i="12"/>
  <c r="B385" i="12"/>
  <c r="A385" i="12"/>
  <c r="BE384" i="12"/>
  <c r="BD384" i="12"/>
  <c r="BC384" i="12"/>
  <c r="BB384" i="12"/>
  <c r="AU384" i="12"/>
  <c r="AS384" i="12"/>
  <c r="AQ384" i="12"/>
  <c r="AP384" i="12"/>
  <c r="AO384" i="12"/>
  <c r="AN384" i="12"/>
  <c r="AM384" i="12"/>
  <c r="AL384" i="12"/>
  <c r="AK384" i="12"/>
  <c r="AG384" i="12"/>
  <c r="AD384" i="12"/>
  <c r="AC384" i="12"/>
  <c r="AA384" i="12"/>
  <c r="Z384" i="12"/>
  <c r="Y384" i="12"/>
  <c r="X384" i="12"/>
  <c r="W384" i="12"/>
  <c r="V384" i="12"/>
  <c r="U384" i="12"/>
  <c r="T384" i="12"/>
  <c r="S384" i="12"/>
  <c r="P384" i="12"/>
  <c r="O384" i="12"/>
  <c r="N384" i="12"/>
  <c r="M384" i="12"/>
  <c r="L384" i="12"/>
  <c r="K384" i="12"/>
  <c r="J384" i="12"/>
  <c r="I384" i="12"/>
  <c r="G384" i="12"/>
  <c r="F384" i="12"/>
  <c r="E384" i="12"/>
  <c r="D384" i="12"/>
  <c r="C384" i="12"/>
  <c r="B384" i="12"/>
  <c r="A384" i="12"/>
  <c r="BE383" i="12"/>
  <c r="BD383" i="12"/>
  <c r="BC383" i="12"/>
  <c r="BB383" i="12"/>
  <c r="AU383" i="12"/>
  <c r="AS383" i="12"/>
  <c r="AQ383" i="12"/>
  <c r="AN383" i="12"/>
  <c r="AL383" i="12"/>
  <c r="AK383" i="12"/>
  <c r="AH383" i="12"/>
  <c r="AG383" i="12"/>
  <c r="AD383" i="12"/>
  <c r="AA383" i="12"/>
  <c r="Z383" i="12"/>
  <c r="Y383" i="12"/>
  <c r="X383" i="12"/>
  <c r="W383" i="12"/>
  <c r="V383" i="12"/>
  <c r="U383" i="12"/>
  <c r="S383" i="12"/>
  <c r="P383" i="12"/>
  <c r="K383" i="12"/>
  <c r="J383" i="12"/>
  <c r="I383" i="12"/>
  <c r="G383" i="12"/>
  <c r="F383" i="12"/>
  <c r="E383" i="12"/>
  <c r="D383" i="12"/>
  <c r="C383" i="12"/>
  <c r="B383" i="12"/>
  <c r="A383" i="12"/>
  <c r="BE382" i="12"/>
  <c r="BD382" i="12"/>
  <c r="BC382" i="12"/>
  <c r="BB382" i="12"/>
  <c r="AU382" i="12"/>
  <c r="AS382" i="12"/>
  <c r="AQ382" i="12"/>
  <c r="AP382" i="12"/>
  <c r="AO382" i="12"/>
  <c r="AN382" i="12"/>
  <c r="AM382" i="12"/>
  <c r="AL382" i="12"/>
  <c r="AK382" i="12"/>
  <c r="AH382" i="12"/>
  <c r="AG382" i="12"/>
  <c r="AD382" i="12"/>
  <c r="AC382" i="12"/>
  <c r="AA382" i="12"/>
  <c r="Z382" i="12"/>
  <c r="Y382" i="12"/>
  <c r="X382" i="12"/>
  <c r="W382" i="12"/>
  <c r="V382" i="12"/>
  <c r="U382" i="12"/>
  <c r="T382" i="12"/>
  <c r="S382" i="12"/>
  <c r="P382" i="12"/>
  <c r="K382" i="12"/>
  <c r="J382" i="12"/>
  <c r="G382" i="12"/>
  <c r="F382" i="12"/>
  <c r="D382" i="12"/>
  <c r="C382" i="12"/>
  <c r="B382" i="12"/>
  <c r="A382" i="12"/>
  <c r="BE381" i="12"/>
  <c r="BD381" i="12"/>
  <c r="BC381" i="12"/>
  <c r="BB381" i="12"/>
  <c r="AU381" i="12"/>
  <c r="AS381" i="12"/>
  <c r="AQ381" i="12"/>
  <c r="AP381" i="12"/>
  <c r="AO381" i="12"/>
  <c r="AN381" i="12"/>
  <c r="AM381" i="12"/>
  <c r="AL381" i="12"/>
  <c r="AK381" i="12"/>
  <c r="AH381" i="12"/>
  <c r="AG381" i="12"/>
  <c r="AD381" i="12"/>
  <c r="AC381" i="12"/>
  <c r="AA381" i="12"/>
  <c r="Z381" i="12"/>
  <c r="Y381" i="12"/>
  <c r="X381" i="12"/>
  <c r="W381" i="12"/>
  <c r="V381" i="12"/>
  <c r="U381" i="12"/>
  <c r="T381" i="12"/>
  <c r="S381" i="12"/>
  <c r="P381" i="12"/>
  <c r="K381" i="12"/>
  <c r="J381" i="12"/>
  <c r="G381" i="12"/>
  <c r="F381" i="12"/>
  <c r="E381" i="12"/>
  <c r="D381" i="12"/>
  <c r="C381" i="12"/>
  <c r="B381" i="12"/>
  <c r="A381" i="12"/>
  <c r="BE380" i="12"/>
  <c r="BD380" i="12"/>
  <c r="BC380" i="12"/>
  <c r="BB380" i="12"/>
  <c r="AU380" i="12"/>
  <c r="AS380" i="12"/>
  <c r="AQ380" i="12"/>
  <c r="AN380" i="12"/>
  <c r="AL380" i="12"/>
  <c r="AK380" i="12"/>
  <c r="AH380" i="12"/>
  <c r="AG380" i="12"/>
  <c r="AD380" i="12"/>
  <c r="AA380" i="12"/>
  <c r="Z380" i="12"/>
  <c r="Y380" i="12"/>
  <c r="X380" i="12"/>
  <c r="W380" i="12"/>
  <c r="V380" i="12"/>
  <c r="U380" i="12"/>
  <c r="T380" i="12"/>
  <c r="S380" i="12"/>
  <c r="P380" i="12"/>
  <c r="K380" i="12"/>
  <c r="J380" i="12"/>
  <c r="I380" i="12"/>
  <c r="G380" i="12"/>
  <c r="F380" i="12"/>
  <c r="E380" i="12"/>
  <c r="D380" i="12"/>
  <c r="C380" i="12"/>
  <c r="B380" i="12"/>
  <c r="A380" i="12"/>
  <c r="BE379" i="12"/>
  <c r="BD379" i="12"/>
  <c r="BC379" i="12"/>
  <c r="BB379" i="12"/>
  <c r="AU379" i="12"/>
  <c r="AS379" i="12"/>
  <c r="AQ379" i="12"/>
  <c r="AP379" i="12"/>
  <c r="AO379" i="12"/>
  <c r="AN379" i="12"/>
  <c r="AM379" i="12"/>
  <c r="AL379" i="12"/>
  <c r="AG379" i="12"/>
  <c r="AD379" i="12"/>
  <c r="AC379" i="12"/>
  <c r="AA379" i="12"/>
  <c r="Z379" i="12"/>
  <c r="Y379" i="12"/>
  <c r="X379" i="12"/>
  <c r="W379" i="12"/>
  <c r="V379" i="12"/>
  <c r="U379" i="12"/>
  <c r="T379" i="12"/>
  <c r="S379" i="12"/>
  <c r="P379" i="12"/>
  <c r="O379" i="12"/>
  <c r="N379" i="12"/>
  <c r="L379" i="12"/>
  <c r="K379" i="12"/>
  <c r="J379" i="12"/>
  <c r="I379" i="12"/>
  <c r="G379" i="12"/>
  <c r="F379" i="12"/>
  <c r="E379" i="12"/>
  <c r="D379" i="12"/>
  <c r="C379" i="12"/>
  <c r="B379" i="12"/>
  <c r="A379" i="12"/>
  <c r="BE378" i="12"/>
  <c r="BD378" i="12"/>
  <c r="BC378" i="12"/>
  <c r="BB378" i="12"/>
  <c r="AU378" i="12"/>
  <c r="AS378" i="12"/>
  <c r="AQ378" i="12"/>
  <c r="AN378" i="12"/>
  <c r="AL378" i="12"/>
  <c r="AK378" i="12"/>
  <c r="AH378" i="12"/>
  <c r="AG378" i="12"/>
  <c r="AD378" i="12"/>
  <c r="AA378" i="12"/>
  <c r="Z378" i="12"/>
  <c r="Y378" i="12"/>
  <c r="X378" i="12"/>
  <c r="W378" i="12"/>
  <c r="V378" i="12"/>
  <c r="U378" i="12"/>
  <c r="T378" i="12"/>
  <c r="S378" i="12"/>
  <c r="P378" i="12"/>
  <c r="K378" i="12"/>
  <c r="J378" i="12"/>
  <c r="I378" i="12"/>
  <c r="G378" i="12"/>
  <c r="F378" i="12"/>
  <c r="E378" i="12"/>
  <c r="D378" i="12"/>
  <c r="C378" i="12"/>
  <c r="B378" i="12"/>
  <c r="A378" i="12"/>
  <c r="BE377" i="12"/>
  <c r="BD377" i="12"/>
  <c r="BC377" i="12"/>
  <c r="BB377" i="12"/>
  <c r="AU377" i="12"/>
  <c r="AS377" i="12"/>
  <c r="AQ377" i="12"/>
  <c r="AP377" i="12"/>
  <c r="AO377" i="12"/>
  <c r="AN377" i="12"/>
  <c r="AM377" i="12"/>
  <c r="AL377" i="12"/>
  <c r="AK377" i="12"/>
  <c r="AH377" i="12"/>
  <c r="AG377" i="12"/>
  <c r="AD377" i="12"/>
  <c r="AC377" i="12"/>
  <c r="AA377" i="12"/>
  <c r="Z377" i="12"/>
  <c r="Y377" i="12"/>
  <c r="X377" i="12"/>
  <c r="W377" i="12"/>
  <c r="V377" i="12"/>
  <c r="U377" i="12"/>
  <c r="T377" i="12"/>
  <c r="S377" i="12"/>
  <c r="P377" i="12"/>
  <c r="K377" i="12"/>
  <c r="J377" i="12"/>
  <c r="G377" i="12"/>
  <c r="F377" i="12"/>
  <c r="E377" i="12"/>
  <c r="D377" i="12"/>
  <c r="C377" i="12"/>
  <c r="B377" i="12"/>
  <c r="A377" i="12"/>
  <c r="BE376" i="12"/>
  <c r="BD376" i="12"/>
  <c r="BC376" i="12"/>
  <c r="BB376" i="12"/>
  <c r="AU376" i="12"/>
  <c r="AS376" i="12"/>
  <c r="AQ376" i="12"/>
  <c r="AP376" i="12"/>
  <c r="AO376" i="12"/>
  <c r="AN376" i="12"/>
  <c r="AM376" i="12"/>
  <c r="AL376" i="12"/>
  <c r="AK376" i="12"/>
  <c r="AH376" i="12"/>
  <c r="AG376" i="12"/>
  <c r="AD376" i="12"/>
  <c r="AC376" i="12"/>
  <c r="AA376" i="12"/>
  <c r="Z376" i="12"/>
  <c r="Y376" i="12"/>
  <c r="X376" i="12"/>
  <c r="W376" i="12"/>
  <c r="V376" i="12"/>
  <c r="U376" i="12"/>
  <c r="T376" i="12"/>
  <c r="S376" i="12"/>
  <c r="P376" i="12"/>
  <c r="K376" i="12"/>
  <c r="J376" i="12"/>
  <c r="G376" i="12"/>
  <c r="F376" i="12"/>
  <c r="E376" i="12"/>
  <c r="D376" i="12"/>
  <c r="C376" i="12"/>
  <c r="B376" i="12"/>
  <c r="A376" i="12"/>
  <c r="BE375" i="12"/>
  <c r="BD375" i="12"/>
  <c r="BC375" i="12"/>
  <c r="BB375" i="12"/>
  <c r="AU375" i="12"/>
  <c r="AS375" i="12"/>
  <c r="AQ375" i="12"/>
  <c r="AN375" i="12"/>
  <c r="AL375" i="12"/>
  <c r="AK375" i="12"/>
  <c r="AH375" i="12"/>
  <c r="AG375" i="12"/>
  <c r="AD375" i="12"/>
  <c r="AA375" i="12"/>
  <c r="Z375" i="12"/>
  <c r="Y375" i="12"/>
  <c r="X375" i="12"/>
  <c r="W375" i="12"/>
  <c r="V375" i="12"/>
  <c r="U375" i="12"/>
  <c r="T375" i="12"/>
  <c r="S375" i="12"/>
  <c r="P375" i="12"/>
  <c r="K375" i="12"/>
  <c r="J375" i="12"/>
  <c r="I375" i="12"/>
  <c r="G375" i="12"/>
  <c r="F375" i="12"/>
  <c r="E375" i="12"/>
  <c r="D375" i="12"/>
  <c r="C375" i="12"/>
  <c r="B375" i="12"/>
  <c r="A375" i="12"/>
  <c r="BE374" i="12"/>
  <c r="BD374" i="12"/>
  <c r="BC374" i="12"/>
  <c r="BB374" i="12"/>
  <c r="AU374" i="12"/>
  <c r="AS374" i="12"/>
  <c r="AQ374" i="12"/>
  <c r="AN374" i="12"/>
  <c r="AL374" i="12"/>
  <c r="AK374" i="12"/>
  <c r="AH374" i="12"/>
  <c r="AG374" i="12"/>
  <c r="AD374" i="12"/>
  <c r="AA374" i="12"/>
  <c r="Z374" i="12"/>
  <c r="Y374" i="12"/>
  <c r="X374" i="12"/>
  <c r="W374" i="12"/>
  <c r="V374" i="12"/>
  <c r="U374" i="12"/>
  <c r="T374" i="12"/>
  <c r="S374" i="12"/>
  <c r="P374" i="12"/>
  <c r="K374" i="12"/>
  <c r="J374" i="12"/>
  <c r="I374" i="12"/>
  <c r="G374" i="12"/>
  <c r="F374" i="12"/>
  <c r="E374" i="12"/>
  <c r="D374" i="12"/>
  <c r="C374" i="12"/>
  <c r="B374" i="12"/>
  <c r="A374" i="12"/>
  <c r="BE373" i="12"/>
  <c r="BD373" i="12"/>
  <c r="BC373" i="12"/>
  <c r="BB373" i="12"/>
  <c r="AU373" i="12"/>
  <c r="AS373" i="12"/>
  <c r="AQ373" i="12"/>
  <c r="AN373" i="12"/>
  <c r="AL373" i="12"/>
  <c r="AK373" i="12"/>
  <c r="AH373" i="12"/>
  <c r="AG373" i="12"/>
  <c r="AD373" i="12"/>
  <c r="AA373" i="12"/>
  <c r="Z373" i="12"/>
  <c r="Y373" i="12"/>
  <c r="X373" i="12"/>
  <c r="W373" i="12"/>
  <c r="V373" i="12"/>
  <c r="U373" i="12"/>
  <c r="T373" i="12"/>
  <c r="S373" i="12"/>
  <c r="P373" i="12"/>
  <c r="K373" i="12"/>
  <c r="J373" i="12"/>
  <c r="I373" i="12"/>
  <c r="G373" i="12"/>
  <c r="F373" i="12"/>
  <c r="E373" i="12"/>
  <c r="D373" i="12"/>
  <c r="C373" i="12"/>
  <c r="B373" i="12"/>
  <c r="A373" i="12"/>
  <c r="BE372" i="12"/>
  <c r="BD372" i="12"/>
  <c r="BC372" i="12"/>
  <c r="BB372" i="12"/>
  <c r="AU372" i="12"/>
  <c r="AS372" i="12"/>
  <c r="AQ372" i="12"/>
  <c r="AP372" i="12"/>
  <c r="AO372" i="12"/>
  <c r="AN372" i="12"/>
  <c r="AM372" i="12"/>
  <c r="AL372" i="12"/>
  <c r="AK372" i="12"/>
  <c r="AG372" i="12"/>
  <c r="AD372" i="12"/>
  <c r="AC372" i="12"/>
  <c r="AA372" i="12"/>
  <c r="Z372" i="12"/>
  <c r="Y372" i="12"/>
  <c r="X372" i="12"/>
  <c r="W372" i="12"/>
  <c r="V372" i="12"/>
  <c r="U372" i="12"/>
  <c r="T372" i="12"/>
  <c r="S372" i="12"/>
  <c r="P372" i="12"/>
  <c r="O372" i="12"/>
  <c r="N372" i="12"/>
  <c r="M372" i="12"/>
  <c r="L372" i="12"/>
  <c r="K372" i="12"/>
  <c r="J372" i="12"/>
  <c r="I372" i="12"/>
  <c r="G372" i="12"/>
  <c r="F372" i="12"/>
  <c r="E372" i="12"/>
  <c r="D372" i="12"/>
  <c r="C372" i="12"/>
  <c r="B372" i="12"/>
  <c r="A372" i="12"/>
  <c r="BE371" i="12"/>
  <c r="BD371" i="12"/>
  <c r="BC371" i="12"/>
  <c r="BB371" i="12"/>
  <c r="AU371" i="12"/>
  <c r="AS371" i="12"/>
  <c r="AQ371" i="12"/>
  <c r="AP371" i="12"/>
  <c r="AO371" i="12"/>
  <c r="AN371" i="12"/>
  <c r="AM371" i="12"/>
  <c r="AL371" i="12"/>
  <c r="AK371" i="12"/>
  <c r="AG371" i="12"/>
  <c r="AD371" i="12"/>
  <c r="AC371" i="12"/>
  <c r="AA371" i="12"/>
  <c r="Z371" i="12"/>
  <c r="Y371" i="12"/>
  <c r="X371" i="12"/>
  <c r="W371" i="12"/>
  <c r="V371" i="12"/>
  <c r="U371" i="12"/>
  <c r="T371" i="12"/>
  <c r="S371" i="12"/>
  <c r="P371" i="12"/>
  <c r="O371" i="12"/>
  <c r="N371" i="12"/>
  <c r="L371" i="12"/>
  <c r="K371" i="12"/>
  <c r="J371" i="12"/>
  <c r="I371" i="12"/>
  <c r="G371" i="12"/>
  <c r="F371" i="12"/>
  <c r="E371" i="12"/>
  <c r="D371" i="12"/>
  <c r="C371" i="12"/>
  <c r="B371" i="12"/>
  <c r="A371" i="12"/>
  <c r="BE370" i="12"/>
  <c r="BD370" i="12"/>
  <c r="BC370" i="12"/>
  <c r="BB370" i="12"/>
  <c r="AU370" i="12"/>
  <c r="AS370" i="12"/>
  <c r="AQ370" i="12"/>
  <c r="AP370" i="12"/>
  <c r="AO370" i="12"/>
  <c r="AN370" i="12"/>
  <c r="AM370" i="12"/>
  <c r="AL370" i="12"/>
  <c r="AK370" i="12"/>
  <c r="AH370" i="12"/>
  <c r="AG370" i="12"/>
  <c r="AD370" i="12"/>
  <c r="AC370" i="12"/>
  <c r="AA370" i="12"/>
  <c r="Z370" i="12"/>
  <c r="Y370" i="12"/>
  <c r="X370" i="12"/>
  <c r="W370" i="12"/>
  <c r="V370" i="12"/>
  <c r="U370" i="12"/>
  <c r="T370" i="12"/>
  <c r="S370" i="12"/>
  <c r="P370" i="12"/>
  <c r="K370" i="12"/>
  <c r="J370" i="12"/>
  <c r="G370" i="12"/>
  <c r="F370" i="12"/>
  <c r="D370" i="12"/>
  <c r="C370" i="12"/>
  <c r="B370" i="12"/>
  <c r="A370" i="12"/>
  <c r="BE369" i="12"/>
  <c r="BD369" i="12"/>
  <c r="BC369" i="12"/>
  <c r="BB369" i="12"/>
  <c r="AU369" i="12"/>
  <c r="AS369" i="12"/>
  <c r="AQ369" i="12"/>
  <c r="AP369" i="12"/>
  <c r="AO369" i="12"/>
  <c r="AN369" i="12"/>
  <c r="AM369" i="12"/>
  <c r="AL369" i="12"/>
  <c r="AK369" i="12"/>
  <c r="AH369" i="12"/>
  <c r="AG369" i="12"/>
  <c r="AD369" i="12"/>
  <c r="AC369" i="12"/>
  <c r="AA369" i="12"/>
  <c r="Z369" i="12"/>
  <c r="Y369" i="12"/>
  <c r="X369" i="12"/>
  <c r="W369" i="12"/>
  <c r="V369" i="12"/>
  <c r="U369" i="12"/>
  <c r="T369" i="12"/>
  <c r="S369" i="12"/>
  <c r="P369" i="12"/>
  <c r="K369" i="12"/>
  <c r="J369" i="12"/>
  <c r="G369" i="12"/>
  <c r="F369" i="12"/>
  <c r="D369" i="12"/>
  <c r="C369" i="12"/>
  <c r="B369" i="12"/>
  <c r="A369" i="12"/>
  <c r="BE368" i="12"/>
  <c r="BD368" i="12"/>
  <c r="BC368" i="12"/>
  <c r="BB368" i="12"/>
  <c r="AU368" i="12"/>
  <c r="AS368" i="12"/>
  <c r="AQ368" i="12"/>
  <c r="AP368" i="12"/>
  <c r="AO368" i="12"/>
  <c r="AN368" i="12"/>
  <c r="AM368" i="12"/>
  <c r="AL368" i="12"/>
  <c r="AK368" i="12"/>
  <c r="AG368" i="12"/>
  <c r="AD368" i="12"/>
  <c r="AC368" i="12"/>
  <c r="AA368" i="12"/>
  <c r="Z368" i="12"/>
  <c r="Y368" i="12"/>
  <c r="X368" i="12"/>
  <c r="W368" i="12"/>
  <c r="V368" i="12"/>
  <c r="U368" i="12"/>
  <c r="T368" i="12"/>
  <c r="S368" i="12"/>
  <c r="P368" i="12"/>
  <c r="O368" i="12"/>
  <c r="N368" i="12"/>
  <c r="M368" i="12"/>
  <c r="L368" i="12"/>
  <c r="K368" i="12"/>
  <c r="J368" i="12"/>
  <c r="I368" i="12"/>
  <c r="G368" i="12"/>
  <c r="F368" i="12"/>
  <c r="E368" i="12"/>
  <c r="D368" i="12"/>
  <c r="C368" i="12"/>
  <c r="B368" i="12"/>
  <c r="A368" i="12"/>
  <c r="BE367" i="12"/>
  <c r="BD367" i="12"/>
  <c r="BC367" i="12"/>
  <c r="BB367" i="12"/>
  <c r="AU367" i="12"/>
  <c r="AS367" i="12"/>
  <c r="AQ367" i="12"/>
  <c r="AP367" i="12"/>
  <c r="AO367" i="12"/>
  <c r="AN367" i="12"/>
  <c r="AM367" i="12"/>
  <c r="AL367" i="12"/>
  <c r="AK367" i="12"/>
  <c r="AH367" i="12"/>
  <c r="AG367" i="12"/>
  <c r="AD367" i="12"/>
  <c r="AC367" i="12"/>
  <c r="AA367" i="12"/>
  <c r="Z367" i="12"/>
  <c r="Y367" i="12"/>
  <c r="X367" i="12"/>
  <c r="W367" i="12"/>
  <c r="V367" i="12"/>
  <c r="U367" i="12"/>
  <c r="T367" i="12"/>
  <c r="S367" i="12"/>
  <c r="P367" i="12"/>
  <c r="K367" i="12"/>
  <c r="J367" i="12"/>
  <c r="G367" i="12"/>
  <c r="F367" i="12"/>
  <c r="D367" i="12"/>
  <c r="C367" i="12"/>
  <c r="B367" i="12"/>
  <c r="A367" i="12"/>
  <c r="BE366" i="12"/>
  <c r="BD366" i="12"/>
  <c r="BC366" i="12"/>
  <c r="BB366" i="12"/>
  <c r="AU366" i="12"/>
  <c r="AS366" i="12"/>
  <c r="AQ366" i="12"/>
  <c r="AP366" i="12"/>
  <c r="AO366" i="12"/>
  <c r="AN366" i="12"/>
  <c r="AM366" i="12"/>
  <c r="AL366" i="12"/>
  <c r="AK366" i="12"/>
  <c r="AH366" i="12"/>
  <c r="AG366" i="12"/>
  <c r="AD366" i="12"/>
  <c r="AC366" i="12"/>
  <c r="AA366" i="12"/>
  <c r="Z366" i="12"/>
  <c r="Y366" i="12"/>
  <c r="X366" i="12"/>
  <c r="W366" i="12"/>
  <c r="V366" i="12"/>
  <c r="U366" i="12"/>
  <c r="T366" i="12"/>
  <c r="S366" i="12"/>
  <c r="P366" i="12"/>
  <c r="K366" i="12"/>
  <c r="J366" i="12"/>
  <c r="G366" i="12"/>
  <c r="F366" i="12"/>
  <c r="D366" i="12"/>
  <c r="C366" i="12"/>
  <c r="B366" i="12"/>
  <c r="A366" i="12"/>
  <c r="BE365" i="12"/>
  <c r="BD365" i="12"/>
  <c r="BC365" i="12"/>
  <c r="BB365" i="12"/>
  <c r="AU365" i="12"/>
  <c r="AS365" i="12"/>
  <c r="AQ365" i="12"/>
  <c r="AP365" i="12"/>
  <c r="AO365" i="12"/>
  <c r="AN365" i="12"/>
  <c r="AM365" i="12"/>
  <c r="AL365" i="12"/>
  <c r="AK365" i="12"/>
  <c r="AG365" i="12"/>
  <c r="AD365" i="12"/>
  <c r="AC365" i="12"/>
  <c r="AA365" i="12"/>
  <c r="Z365" i="12"/>
  <c r="Y365" i="12"/>
  <c r="X365" i="12"/>
  <c r="W365" i="12"/>
  <c r="V365" i="12"/>
  <c r="U365" i="12"/>
  <c r="T365" i="12"/>
  <c r="S365" i="12"/>
  <c r="P365" i="12"/>
  <c r="O365" i="12"/>
  <c r="N365" i="12"/>
  <c r="L365" i="12"/>
  <c r="K365" i="12"/>
  <c r="J365" i="12"/>
  <c r="I365" i="12"/>
  <c r="G365" i="12"/>
  <c r="F365" i="12"/>
  <c r="E365" i="12"/>
  <c r="D365" i="12"/>
  <c r="C365" i="12"/>
  <c r="B365" i="12"/>
  <c r="A365" i="12"/>
  <c r="BE364" i="12"/>
  <c r="BD364" i="12"/>
  <c r="BC364" i="12"/>
  <c r="BB364" i="12"/>
  <c r="AU364" i="12"/>
  <c r="AS364" i="12"/>
  <c r="AQ364" i="12"/>
  <c r="AN364" i="12"/>
  <c r="AL364" i="12"/>
  <c r="AK364" i="12"/>
  <c r="AH364" i="12"/>
  <c r="AG364" i="12"/>
  <c r="AD364" i="12"/>
  <c r="AA364" i="12"/>
  <c r="Z364" i="12"/>
  <c r="Y364" i="12"/>
  <c r="X364" i="12"/>
  <c r="W364" i="12"/>
  <c r="V364" i="12"/>
  <c r="U364" i="12"/>
  <c r="T364" i="12"/>
  <c r="S364" i="12"/>
  <c r="P364" i="12"/>
  <c r="K364" i="12"/>
  <c r="J364" i="12"/>
  <c r="I364" i="12"/>
  <c r="G364" i="12"/>
  <c r="F364" i="12"/>
  <c r="D364" i="12"/>
  <c r="C364" i="12"/>
  <c r="B364" i="12"/>
  <c r="A364" i="12"/>
  <c r="BE363" i="12"/>
  <c r="BD363" i="12"/>
  <c r="BC363" i="12"/>
  <c r="BB363" i="12"/>
  <c r="AU363" i="12"/>
  <c r="AS363" i="12"/>
  <c r="AQ363" i="12"/>
  <c r="AP363" i="12"/>
  <c r="AO363" i="12"/>
  <c r="AN363" i="12"/>
  <c r="AM363" i="12"/>
  <c r="AL363" i="12"/>
  <c r="AK363" i="12"/>
  <c r="AG363" i="12"/>
  <c r="AD363" i="12"/>
  <c r="AC363" i="12"/>
  <c r="AA363" i="12"/>
  <c r="Z363" i="12"/>
  <c r="Y363" i="12"/>
  <c r="X363" i="12"/>
  <c r="W363" i="12"/>
  <c r="V363" i="12"/>
  <c r="U363" i="12"/>
  <c r="T363" i="12"/>
  <c r="S363" i="12"/>
  <c r="P363" i="12"/>
  <c r="O363" i="12"/>
  <c r="N363" i="12"/>
  <c r="L363" i="12"/>
  <c r="K363" i="12"/>
  <c r="I363" i="12"/>
  <c r="G363" i="12"/>
  <c r="F363" i="12"/>
  <c r="E363" i="12"/>
  <c r="D363" i="12"/>
  <c r="C363" i="12"/>
  <c r="B363" i="12"/>
  <c r="A363" i="12"/>
  <c r="BE362" i="12"/>
  <c r="BD362" i="12"/>
  <c r="BC362" i="12"/>
  <c r="BB362" i="12"/>
  <c r="AU362" i="12"/>
  <c r="AS362" i="12"/>
  <c r="AQ362" i="12"/>
  <c r="AN362" i="12"/>
  <c r="AL362" i="12"/>
  <c r="AK362" i="12"/>
  <c r="AH362" i="12"/>
  <c r="AG362" i="12"/>
  <c r="AD362" i="12"/>
  <c r="AA362" i="12"/>
  <c r="Z362" i="12"/>
  <c r="Y362" i="12"/>
  <c r="X362" i="12"/>
  <c r="W362" i="12"/>
  <c r="V362" i="12"/>
  <c r="U362" i="12"/>
  <c r="T362" i="12"/>
  <c r="S362" i="12"/>
  <c r="P362" i="12"/>
  <c r="K362" i="12"/>
  <c r="J362" i="12"/>
  <c r="I362" i="12"/>
  <c r="G362" i="12"/>
  <c r="F362" i="12"/>
  <c r="D362" i="12"/>
  <c r="C362" i="12"/>
  <c r="B362" i="12"/>
  <c r="A362" i="12"/>
  <c r="BE361" i="12"/>
  <c r="BD361" i="12"/>
  <c r="BC361" i="12"/>
  <c r="AU361" i="12"/>
  <c r="AT361" i="12"/>
  <c r="AS361" i="12"/>
  <c r="AQ361" i="12"/>
  <c r="AP361" i="12"/>
  <c r="AO361" i="12"/>
  <c r="AN361" i="12"/>
  <c r="AL361" i="12"/>
  <c r="AK361" i="12"/>
  <c r="AH361" i="12"/>
  <c r="AG361" i="12"/>
  <c r="AD361" i="12"/>
  <c r="AC361" i="12"/>
  <c r="AA361" i="12"/>
  <c r="Z361" i="12"/>
  <c r="Y361" i="12"/>
  <c r="X361" i="12"/>
  <c r="W361" i="12"/>
  <c r="V361" i="12"/>
  <c r="U361" i="12"/>
  <c r="T361" i="12"/>
  <c r="S361" i="12"/>
  <c r="R361" i="12"/>
  <c r="Q361" i="12"/>
  <c r="P361" i="12"/>
  <c r="O361" i="12"/>
  <c r="N361" i="12"/>
  <c r="K361" i="12"/>
  <c r="J361" i="12"/>
  <c r="I361" i="12"/>
  <c r="G361" i="12"/>
  <c r="F361" i="12"/>
  <c r="E361" i="12"/>
  <c r="D361" i="12"/>
  <c r="C361" i="12"/>
  <c r="B361" i="12"/>
  <c r="A361" i="12"/>
  <c r="BE360" i="12"/>
  <c r="BD360" i="12"/>
  <c r="BC360" i="12"/>
  <c r="BA360" i="12"/>
  <c r="AU360" i="12"/>
  <c r="AS360" i="12"/>
  <c r="AQ360" i="12"/>
  <c r="AN360" i="12"/>
  <c r="AL360" i="12"/>
  <c r="AK360" i="12"/>
  <c r="AH360" i="12"/>
  <c r="AG360" i="12"/>
  <c r="AD360" i="12"/>
  <c r="AC360" i="12"/>
  <c r="AA360" i="12"/>
  <c r="Z360" i="12"/>
  <c r="Y360" i="12"/>
  <c r="X360" i="12"/>
  <c r="W360" i="12"/>
  <c r="V360" i="12"/>
  <c r="U360" i="12"/>
  <c r="T360" i="12"/>
  <c r="S360" i="12"/>
  <c r="P360" i="12"/>
  <c r="K360" i="12"/>
  <c r="J360" i="12"/>
  <c r="I360" i="12"/>
  <c r="G360" i="12"/>
  <c r="F360" i="12"/>
  <c r="E360" i="12"/>
  <c r="D360" i="12"/>
  <c r="C360" i="12"/>
  <c r="B360" i="12"/>
  <c r="A360" i="12"/>
  <c r="BE359" i="12"/>
  <c r="BD359" i="12"/>
  <c r="BC359" i="12"/>
  <c r="BA359" i="12"/>
  <c r="AU359" i="12"/>
  <c r="AS359" i="12"/>
  <c r="AQ359" i="12"/>
  <c r="AN359" i="12"/>
  <c r="AL359" i="12"/>
  <c r="AK359" i="12"/>
  <c r="AH359" i="12"/>
  <c r="AG359" i="12"/>
  <c r="AD359" i="12"/>
  <c r="AA359" i="12"/>
  <c r="Z359" i="12"/>
  <c r="Y359" i="12"/>
  <c r="X359" i="12"/>
  <c r="W359" i="12"/>
  <c r="V359" i="12"/>
  <c r="U359" i="12"/>
  <c r="T359" i="12"/>
  <c r="S359" i="12"/>
  <c r="P359" i="12"/>
  <c r="K359" i="12"/>
  <c r="J359" i="12"/>
  <c r="I359" i="12"/>
  <c r="G359" i="12"/>
  <c r="F359" i="12"/>
  <c r="E359" i="12"/>
  <c r="D359" i="12"/>
  <c r="C359" i="12"/>
  <c r="B359" i="12"/>
  <c r="A359" i="12"/>
  <c r="BE358" i="12"/>
  <c r="BD358" i="12"/>
  <c r="BC358" i="12"/>
  <c r="BA358" i="12"/>
  <c r="AU358" i="12"/>
  <c r="AS358" i="12"/>
  <c r="AQ358" i="12"/>
  <c r="AN358" i="12"/>
  <c r="AL358" i="12"/>
  <c r="AK358" i="12"/>
  <c r="AH358" i="12"/>
  <c r="AG358" i="12"/>
  <c r="AD358" i="12"/>
  <c r="AC358" i="12"/>
  <c r="AA358" i="12"/>
  <c r="Z358" i="12"/>
  <c r="Y358" i="12"/>
  <c r="X358" i="12"/>
  <c r="W358" i="12"/>
  <c r="V358" i="12"/>
  <c r="U358" i="12"/>
  <c r="T358" i="12"/>
  <c r="S358" i="12"/>
  <c r="P358" i="12"/>
  <c r="K358" i="12"/>
  <c r="J358" i="12"/>
  <c r="I358" i="12"/>
  <c r="G358" i="12"/>
  <c r="F358" i="12"/>
  <c r="E358" i="12"/>
  <c r="D358" i="12"/>
  <c r="C358" i="12"/>
  <c r="B358" i="12"/>
  <c r="A358" i="12"/>
  <c r="BE357" i="12"/>
  <c r="BD357" i="12"/>
  <c r="BC357" i="12"/>
  <c r="BA357" i="12"/>
  <c r="AU357" i="12"/>
  <c r="AS357" i="12"/>
  <c r="AQ357" i="12"/>
  <c r="AN357" i="12"/>
  <c r="AL357" i="12"/>
  <c r="AK357" i="12"/>
  <c r="AH357" i="12"/>
  <c r="AG357" i="12"/>
  <c r="AD357" i="12"/>
  <c r="AC357" i="12"/>
  <c r="AB357" i="12"/>
  <c r="AA357" i="12"/>
  <c r="Z357" i="12"/>
  <c r="Y357" i="12"/>
  <c r="X357" i="12"/>
  <c r="W357" i="12"/>
  <c r="V357" i="12"/>
  <c r="U357" i="12"/>
  <c r="T357" i="12"/>
  <c r="S357" i="12"/>
  <c r="P357" i="12"/>
  <c r="M357" i="12"/>
  <c r="L357" i="12"/>
  <c r="K357" i="12"/>
  <c r="J357" i="12"/>
  <c r="I357" i="12"/>
  <c r="G357" i="12"/>
  <c r="F357" i="12"/>
  <c r="E357" i="12"/>
  <c r="D357" i="12"/>
  <c r="C357" i="12"/>
  <c r="B357" i="12"/>
  <c r="A357" i="12"/>
  <c r="BD356" i="12"/>
  <c r="BC356" i="12"/>
  <c r="BA356" i="12"/>
  <c r="AU356" i="12"/>
  <c r="AR356" i="12"/>
  <c r="AL356" i="12"/>
  <c r="AK356" i="12"/>
  <c r="AH356" i="12"/>
  <c r="AG356" i="12"/>
  <c r="AB356" i="12"/>
  <c r="AA356" i="12"/>
  <c r="Z356" i="12"/>
  <c r="Y356" i="12"/>
  <c r="X356" i="12"/>
  <c r="W356" i="12"/>
  <c r="V356" i="12"/>
  <c r="U356" i="12"/>
  <c r="S356" i="12"/>
  <c r="M356" i="12"/>
  <c r="L356" i="12"/>
  <c r="K356" i="12"/>
  <c r="J356" i="12"/>
  <c r="I356" i="12"/>
  <c r="G356" i="12"/>
  <c r="F356" i="12"/>
  <c r="E356" i="12"/>
  <c r="D356" i="12"/>
  <c r="C356" i="12"/>
  <c r="B356" i="12"/>
  <c r="A356" i="12"/>
  <c r="BD355" i="12"/>
  <c r="BC355" i="12"/>
  <c r="BA355" i="12"/>
  <c r="AU355" i="12"/>
  <c r="AR355" i="12"/>
  <c r="AL355" i="12"/>
  <c r="AK355" i="12"/>
  <c r="AH355" i="12"/>
  <c r="AG355" i="12"/>
  <c r="AA355" i="12"/>
  <c r="Z355" i="12"/>
  <c r="Y355" i="12"/>
  <c r="X355" i="12"/>
  <c r="W355" i="12"/>
  <c r="V355" i="12"/>
  <c r="U355" i="12"/>
  <c r="S355" i="12"/>
  <c r="M355" i="12"/>
  <c r="L355" i="12"/>
  <c r="K355" i="12"/>
  <c r="J355" i="12"/>
  <c r="I355" i="12"/>
  <c r="G355" i="12"/>
  <c r="F355" i="12"/>
  <c r="E355" i="12"/>
  <c r="D355" i="12"/>
  <c r="C355" i="12"/>
  <c r="B355" i="12"/>
  <c r="A355" i="12"/>
  <c r="BD354" i="12"/>
  <c r="BC354" i="12"/>
  <c r="BA354" i="12"/>
  <c r="AU354" i="12"/>
  <c r="AR354" i="12"/>
  <c r="AL354" i="12"/>
  <c r="AK354" i="12"/>
  <c r="AH354" i="12"/>
  <c r="AG354" i="12"/>
  <c r="AA354" i="12"/>
  <c r="Z354" i="12"/>
  <c r="Y354" i="12"/>
  <c r="X354" i="12"/>
  <c r="W354" i="12"/>
  <c r="V354" i="12"/>
  <c r="U354" i="12"/>
  <c r="S354" i="12"/>
  <c r="M354" i="12"/>
  <c r="L354" i="12"/>
  <c r="K354" i="12"/>
  <c r="J354" i="12"/>
  <c r="I354" i="12"/>
  <c r="G354" i="12"/>
  <c r="F354" i="12"/>
  <c r="E354" i="12"/>
  <c r="D354" i="12"/>
  <c r="C354" i="12"/>
  <c r="B354" i="12"/>
  <c r="A354" i="12"/>
  <c r="BD353" i="12"/>
  <c r="BC353" i="12"/>
  <c r="BA353" i="12"/>
  <c r="AU353" i="12"/>
  <c r="AR353" i="12"/>
  <c r="AL353" i="12"/>
  <c r="AK353" i="12"/>
  <c r="AH353" i="12"/>
  <c r="AG353" i="12"/>
  <c r="AA353" i="12"/>
  <c r="Z353" i="12"/>
  <c r="Y353" i="12"/>
  <c r="X353" i="12"/>
  <c r="W353" i="12"/>
  <c r="V353" i="12"/>
  <c r="U353" i="12"/>
  <c r="S353" i="12"/>
  <c r="M353" i="12"/>
  <c r="L353" i="12"/>
  <c r="K353" i="12"/>
  <c r="J353" i="12"/>
  <c r="I353" i="12"/>
  <c r="G353" i="12"/>
  <c r="F353" i="12"/>
  <c r="E353" i="12"/>
  <c r="D353" i="12"/>
  <c r="C353" i="12"/>
  <c r="B353" i="12"/>
  <c r="A353" i="12"/>
  <c r="BD352" i="12"/>
  <c r="BC352" i="12"/>
  <c r="BA352" i="12"/>
  <c r="AU352" i="12"/>
  <c r="AR352" i="12"/>
  <c r="AL352" i="12"/>
  <c r="AK352" i="12"/>
  <c r="AH352" i="12"/>
  <c r="AG352" i="12"/>
  <c r="AA352" i="12"/>
  <c r="Z352" i="12"/>
  <c r="Y352" i="12"/>
  <c r="X352" i="12"/>
  <c r="W352" i="12"/>
  <c r="V352" i="12"/>
  <c r="U352" i="12"/>
  <c r="S352" i="12"/>
  <c r="M352" i="12"/>
  <c r="L352" i="12"/>
  <c r="K352" i="12"/>
  <c r="J352" i="12"/>
  <c r="I352" i="12"/>
  <c r="G352" i="12"/>
  <c r="F352" i="12"/>
  <c r="E352" i="12"/>
  <c r="D352" i="12"/>
  <c r="C352" i="12"/>
  <c r="B352" i="12"/>
  <c r="A352" i="12"/>
  <c r="BD351" i="12"/>
  <c r="BC351" i="12"/>
  <c r="BA351" i="12"/>
  <c r="AU351" i="12"/>
  <c r="AR351" i="12"/>
  <c r="AL351" i="12"/>
  <c r="AK351" i="12"/>
  <c r="AH351" i="12"/>
  <c r="AG351" i="12"/>
  <c r="AA351" i="12"/>
  <c r="Z351" i="12"/>
  <c r="Y351" i="12"/>
  <c r="X351" i="12"/>
  <c r="W351" i="12"/>
  <c r="V351" i="12"/>
  <c r="U351" i="12"/>
  <c r="S351" i="12"/>
  <c r="M351" i="12"/>
  <c r="L351" i="12"/>
  <c r="K351" i="12"/>
  <c r="J351" i="12"/>
  <c r="I351" i="12"/>
  <c r="G351" i="12"/>
  <c r="F351" i="12"/>
  <c r="E351" i="12"/>
  <c r="D351" i="12"/>
  <c r="C351" i="12"/>
  <c r="B351" i="12"/>
  <c r="A351" i="12"/>
  <c r="BD350" i="12"/>
  <c r="BC350" i="12"/>
  <c r="BA350" i="12"/>
  <c r="AU350" i="12"/>
  <c r="AR350" i="12"/>
  <c r="AL350" i="12"/>
  <c r="AK350" i="12"/>
  <c r="AH350" i="12"/>
  <c r="AG350" i="12"/>
  <c r="AA350" i="12"/>
  <c r="Z350" i="12"/>
  <c r="Y350" i="12"/>
  <c r="X350" i="12"/>
  <c r="W350" i="12"/>
  <c r="V350" i="12"/>
  <c r="U350" i="12"/>
  <c r="M350" i="12"/>
  <c r="L350" i="12"/>
  <c r="K350" i="12"/>
  <c r="J350" i="12"/>
  <c r="I350" i="12"/>
  <c r="H350" i="12"/>
  <c r="G350" i="12"/>
  <c r="F350" i="12"/>
  <c r="E350" i="12"/>
  <c r="D350" i="12"/>
  <c r="C350" i="12"/>
  <c r="B350" i="12"/>
  <c r="A350" i="12"/>
  <c r="BE349" i="12"/>
  <c r="BD349" i="12"/>
  <c r="BC349" i="12"/>
  <c r="BA349" i="12"/>
  <c r="AU349" i="12"/>
  <c r="AS349" i="12"/>
  <c r="AQ349" i="12"/>
  <c r="AN349" i="12"/>
  <c r="AL349" i="12"/>
  <c r="AK349" i="12"/>
  <c r="AH349" i="12"/>
  <c r="AG349" i="12"/>
  <c r="AD349" i="12"/>
  <c r="AC349" i="12"/>
  <c r="AB349" i="12"/>
  <c r="AA349" i="12"/>
  <c r="Z349" i="12"/>
  <c r="Y349" i="12"/>
  <c r="X349" i="12"/>
  <c r="W349" i="12"/>
  <c r="V349" i="12"/>
  <c r="U349" i="12"/>
  <c r="T349" i="12"/>
  <c r="S349" i="12"/>
  <c r="R349" i="12"/>
  <c r="Q349" i="12"/>
  <c r="P349" i="12"/>
  <c r="K349" i="12"/>
  <c r="J349" i="12"/>
  <c r="I349" i="12"/>
  <c r="G349" i="12"/>
  <c r="F349" i="12"/>
  <c r="E349" i="12"/>
  <c r="D349" i="12"/>
  <c r="C349" i="12"/>
  <c r="B349" i="12"/>
  <c r="A349" i="12"/>
  <c r="BE348" i="12"/>
  <c r="BD348" i="12"/>
  <c r="BC348" i="12"/>
  <c r="BA348" i="12"/>
  <c r="AU348" i="12"/>
  <c r="AS348" i="12"/>
  <c r="AQ348" i="12"/>
  <c r="AN348" i="12"/>
  <c r="AL348" i="12"/>
  <c r="AK348" i="12"/>
  <c r="AD348" i="12"/>
  <c r="AC348" i="12"/>
  <c r="AB348" i="12"/>
  <c r="AA348" i="12"/>
  <c r="Z348" i="12"/>
  <c r="Y348" i="12"/>
  <c r="X348" i="12"/>
  <c r="W348" i="12"/>
  <c r="V348" i="12"/>
  <c r="U348" i="12"/>
  <c r="T348" i="12"/>
  <c r="S348" i="12"/>
  <c r="P348" i="12"/>
  <c r="K348" i="12"/>
  <c r="J348" i="12"/>
  <c r="I348" i="12"/>
  <c r="G348" i="12"/>
  <c r="F348" i="12"/>
  <c r="E348" i="12"/>
  <c r="D348" i="12"/>
  <c r="C348" i="12"/>
  <c r="B348" i="12"/>
  <c r="A348" i="12"/>
  <c r="BE347" i="12"/>
  <c r="BD347" i="12"/>
  <c r="BC347" i="12"/>
  <c r="BA347" i="12"/>
  <c r="AU347" i="12"/>
  <c r="AS347" i="12"/>
  <c r="AQ347" i="12"/>
  <c r="AN347" i="12"/>
  <c r="AL347" i="12"/>
  <c r="AK347" i="12"/>
  <c r="AH347" i="12"/>
  <c r="AG347" i="12"/>
  <c r="AD347" i="12"/>
  <c r="AC347" i="12"/>
  <c r="AB347" i="12"/>
  <c r="AA347" i="12"/>
  <c r="Z347" i="12"/>
  <c r="Y347" i="12"/>
  <c r="X347" i="12"/>
  <c r="W347" i="12"/>
  <c r="V347" i="12"/>
  <c r="U347" i="12"/>
  <c r="T347" i="12"/>
  <c r="S347" i="12"/>
  <c r="P347" i="12"/>
  <c r="M347" i="12"/>
  <c r="L347" i="12"/>
  <c r="K347" i="12"/>
  <c r="J347" i="12"/>
  <c r="I347" i="12"/>
  <c r="G347" i="12"/>
  <c r="F347" i="12"/>
  <c r="E347" i="12"/>
  <c r="D347" i="12"/>
  <c r="C347" i="12"/>
  <c r="B347" i="12"/>
  <c r="A347" i="12"/>
  <c r="BE346" i="12"/>
  <c r="BD346" i="12"/>
  <c r="BC346" i="12"/>
  <c r="AU346" i="12"/>
  <c r="AT346" i="12"/>
  <c r="AS346" i="12"/>
  <c r="AQ346" i="12"/>
  <c r="AP346" i="12"/>
  <c r="AO346" i="12"/>
  <c r="AN346" i="12"/>
  <c r="AL346" i="12"/>
  <c r="AK346" i="12"/>
  <c r="AI346" i="12"/>
  <c r="AH346" i="12"/>
  <c r="AG346" i="12"/>
  <c r="AD346" i="12"/>
  <c r="AC346" i="12"/>
  <c r="AA346" i="12"/>
  <c r="Z346" i="12"/>
  <c r="Y346" i="12"/>
  <c r="X346" i="12"/>
  <c r="W346" i="12"/>
  <c r="V346" i="12"/>
  <c r="U346" i="12"/>
  <c r="T346" i="12"/>
  <c r="S346" i="12"/>
  <c r="R346" i="12"/>
  <c r="Q346" i="12"/>
  <c r="P346" i="12"/>
  <c r="O346" i="12"/>
  <c r="N346" i="12"/>
  <c r="L346" i="12"/>
  <c r="K346" i="12"/>
  <c r="J346" i="12"/>
  <c r="I346" i="12"/>
  <c r="G346" i="12"/>
  <c r="F346" i="12"/>
  <c r="E346" i="12"/>
  <c r="D346" i="12"/>
  <c r="C346" i="12"/>
  <c r="B346" i="12"/>
  <c r="A346" i="12"/>
  <c r="BE345" i="12"/>
  <c r="BD345" i="12"/>
  <c r="BC345" i="12"/>
  <c r="AW345" i="12"/>
  <c r="AU345" i="12"/>
  <c r="AT345" i="12"/>
  <c r="AS345" i="12"/>
  <c r="AQ345" i="12"/>
  <c r="AP345" i="12"/>
  <c r="AO345" i="12"/>
  <c r="AN345" i="12"/>
  <c r="AM345" i="12"/>
  <c r="AL345" i="12"/>
  <c r="AK345" i="12"/>
  <c r="AH345" i="12"/>
  <c r="AG345" i="12"/>
  <c r="AD345" i="12"/>
  <c r="AC345" i="12"/>
  <c r="AA345" i="12"/>
  <c r="Z345" i="12"/>
  <c r="Y345" i="12"/>
  <c r="X345" i="12"/>
  <c r="W345" i="12"/>
  <c r="V345" i="12"/>
  <c r="U345" i="12"/>
  <c r="T345" i="12"/>
  <c r="S345" i="12"/>
  <c r="P345" i="12"/>
  <c r="K345" i="12"/>
  <c r="J345" i="12"/>
  <c r="I345" i="12"/>
  <c r="G345" i="12"/>
  <c r="F345" i="12"/>
  <c r="E345" i="12"/>
  <c r="D345" i="12"/>
  <c r="C345" i="12"/>
  <c r="B345" i="12"/>
  <c r="A345" i="12"/>
  <c r="BE344" i="12"/>
  <c r="BD344" i="12"/>
  <c r="BC344" i="12"/>
  <c r="BA344" i="12"/>
  <c r="AW344" i="12"/>
  <c r="AU344" i="12"/>
  <c r="AT344" i="12"/>
  <c r="AS344" i="12"/>
  <c r="AQ344" i="12"/>
  <c r="AP344" i="12"/>
  <c r="AO344" i="12"/>
  <c r="AN344" i="12"/>
  <c r="AL344" i="12"/>
  <c r="AK344" i="12"/>
  <c r="AJ344" i="12"/>
  <c r="AI344" i="12"/>
  <c r="AH344" i="12"/>
  <c r="AG344" i="12"/>
  <c r="AD344" i="12"/>
  <c r="AC344" i="12"/>
  <c r="AA344" i="12"/>
  <c r="Z344" i="12"/>
  <c r="Y344" i="12"/>
  <c r="X344" i="12"/>
  <c r="W344" i="12"/>
  <c r="V344" i="12"/>
  <c r="U344" i="12"/>
  <c r="T344" i="12"/>
  <c r="S344" i="12"/>
  <c r="R344" i="12"/>
  <c r="P344" i="12"/>
  <c r="O344" i="12"/>
  <c r="N344" i="12"/>
  <c r="L344" i="12"/>
  <c r="K344" i="12"/>
  <c r="J344" i="12"/>
  <c r="I344" i="12"/>
  <c r="G344" i="12"/>
  <c r="F344" i="12"/>
  <c r="E344" i="12"/>
  <c r="D344" i="12"/>
  <c r="C344" i="12"/>
  <c r="B344" i="12"/>
  <c r="A344" i="12"/>
  <c r="BE343" i="12"/>
  <c r="BD343" i="12"/>
  <c r="BC343" i="12"/>
  <c r="AU343" i="12"/>
  <c r="AT343" i="12"/>
  <c r="AS343" i="12"/>
  <c r="AQ343" i="12"/>
  <c r="AP343" i="12"/>
  <c r="AO343" i="12"/>
  <c r="AN343" i="12"/>
  <c r="AL343" i="12"/>
  <c r="AK343" i="12"/>
  <c r="AH343" i="12"/>
  <c r="AG343" i="12"/>
  <c r="AD343" i="12"/>
  <c r="AC343" i="12"/>
  <c r="AA343" i="12"/>
  <c r="Z343" i="12"/>
  <c r="Y343" i="12"/>
  <c r="X343" i="12"/>
  <c r="W343" i="12"/>
  <c r="V343" i="12"/>
  <c r="U343" i="12"/>
  <c r="T343" i="12"/>
  <c r="S343" i="12"/>
  <c r="R343" i="12"/>
  <c r="Q343" i="12"/>
  <c r="P343" i="12"/>
  <c r="O343" i="12"/>
  <c r="N343" i="12"/>
  <c r="L343" i="12"/>
  <c r="K343" i="12"/>
  <c r="J343" i="12"/>
  <c r="I343" i="12"/>
  <c r="G343" i="12"/>
  <c r="F343" i="12"/>
  <c r="E343" i="12"/>
  <c r="D343" i="12"/>
  <c r="C343" i="12"/>
  <c r="B343" i="12"/>
  <c r="A343" i="12"/>
  <c r="BE342" i="12"/>
  <c r="BD342" i="12"/>
  <c r="BC342" i="12"/>
  <c r="BA342" i="12"/>
  <c r="AW342" i="12"/>
  <c r="AU342" i="12"/>
  <c r="AT342" i="12"/>
  <c r="AS342" i="12"/>
  <c r="AQ342" i="12"/>
  <c r="AP342" i="12"/>
  <c r="AO342" i="12"/>
  <c r="AN342" i="12"/>
  <c r="AL342" i="12"/>
  <c r="AK342" i="12"/>
  <c r="AH342" i="12"/>
  <c r="AG342" i="12"/>
  <c r="AD342" i="12"/>
  <c r="AC342" i="12"/>
  <c r="AB342" i="12"/>
  <c r="AA342" i="12"/>
  <c r="Z342" i="12"/>
  <c r="Y342" i="12"/>
  <c r="X342" i="12"/>
  <c r="W342" i="12"/>
  <c r="V342" i="12"/>
  <c r="U342" i="12"/>
  <c r="T342" i="12"/>
  <c r="S342" i="12"/>
  <c r="R342" i="12"/>
  <c r="Q342" i="12"/>
  <c r="P342" i="12"/>
  <c r="O342" i="12"/>
  <c r="N342" i="12"/>
  <c r="M342" i="12"/>
  <c r="L342" i="12"/>
  <c r="K342" i="12"/>
  <c r="J342" i="12"/>
  <c r="I342" i="12"/>
  <c r="G342" i="12"/>
  <c r="F342" i="12"/>
  <c r="E342" i="12"/>
  <c r="D342" i="12"/>
  <c r="C342" i="12"/>
  <c r="B342" i="12"/>
  <c r="A342" i="12"/>
  <c r="BE341" i="12"/>
  <c r="BD341" i="12"/>
  <c r="BC341" i="12"/>
  <c r="AU341" i="12"/>
  <c r="AT341" i="12"/>
  <c r="AS341" i="12"/>
  <c r="AQ341" i="12"/>
  <c r="AP341" i="12"/>
  <c r="AO341" i="12"/>
  <c r="AN341" i="12"/>
  <c r="AL341" i="12"/>
  <c r="AK341" i="12"/>
  <c r="AH341" i="12"/>
  <c r="AG341" i="12"/>
  <c r="AD341" i="12"/>
  <c r="AC341" i="12"/>
  <c r="AA341" i="12"/>
  <c r="Z341" i="12"/>
  <c r="Y341" i="12"/>
  <c r="X341" i="12"/>
  <c r="W341" i="12"/>
  <c r="V341" i="12"/>
  <c r="U341" i="12"/>
  <c r="T341" i="12"/>
  <c r="S341" i="12"/>
  <c r="R341" i="12"/>
  <c r="Q341" i="12"/>
  <c r="P341" i="12"/>
  <c r="O341" i="12"/>
  <c r="N341" i="12"/>
  <c r="L341" i="12"/>
  <c r="K341" i="12"/>
  <c r="J341" i="12"/>
  <c r="I341" i="12"/>
  <c r="G341" i="12"/>
  <c r="F341" i="12"/>
  <c r="E341" i="12"/>
  <c r="D341" i="12"/>
  <c r="C341" i="12"/>
  <c r="B341" i="12"/>
  <c r="A341" i="12"/>
  <c r="BE340" i="12"/>
  <c r="BD340" i="12"/>
  <c r="BC340" i="12"/>
  <c r="BA340" i="12"/>
  <c r="AU340" i="12"/>
  <c r="AT340" i="12"/>
  <c r="AS340" i="12"/>
  <c r="AQ340" i="12"/>
  <c r="AP340" i="12"/>
  <c r="AO340" i="12"/>
  <c r="AN340" i="12"/>
  <c r="AL340" i="12"/>
  <c r="AK340" i="12"/>
  <c r="AJ340" i="12"/>
  <c r="AI340" i="12"/>
  <c r="AH340" i="12"/>
  <c r="AG340" i="12"/>
  <c r="AD340" i="12"/>
  <c r="AC340" i="12"/>
  <c r="AB340" i="12"/>
  <c r="AA340" i="12"/>
  <c r="Z340" i="12"/>
  <c r="Y340" i="12"/>
  <c r="X340" i="12"/>
  <c r="W340" i="12"/>
  <c r="V340" i="12"/>
  <c r="U340" i="12"/>
  <c r="T340" i="12"/>
  <c r="S340" i="12"/>
  <c r="R340" i="12"/>
  <c r="Q340" i="12"/>
  <c r="P340" i="12"/>
  <c r="O340" i="12"/>
  <c r="N340" i="12"/>
  <c r="L340" i="12"/>
  <c r="K340" i="12"/>
  <c r="J340" i="12"/>
  <c r="I340" i="12"/>
  <c r="G340" i="12"/>
  <c r="F340" i="12"/>
  <c r="E340" i="12"/>
  <c r="D340" i="12"/>
  <c r="C340" i="12"/>
  <c r="B340" i="12"/>
  <c r="A340" i="12"/>
  <c r="BE339" i="12"/>
  <c r="BD339" i="12"/>
  <c r="BC339" i="12"/>
  <c r="BA339" i="12"/>
  <c r="AW339" i="12"/>
  <c r="AU339" i="12"/>
  <c r="AT339" i="12"/>
  <c r="AS339" i="12"/>
  <c r="AQ339" i="12"/>
  <c r="AP339" i="12"/>
  <c r="AO339" i="12"/>
  <c r="AN339" i="12"/>
  <c r="AL339" i="12"/>
  <c r="AK339" i="12"/>
  <c r="AH339" i="12"/>
  <c r="AG339" i="12"/>
  <c r="AD339" i="12"/>
  <c r="AC339" i="12"/>
  <c r="AB339" i="12"/>
  <c r="AA339" i="12"/>
  <c r="Z339" i="12"/>
  <c r="Y339" i="12"/>
  <c r="X339" i="12"/>
  <c r="W339" i="12"/>
  <c r="V339" i="12"/>
  <c r="U339" i="12"/>
  <c r="T339" i="12"/>
  <c r="S339" i="12"/>
  <c r="P339" i="12"/>
  <c r="K339" i="12"/>
  <c r="J339" i="12"/>
  <c r="I339" i="12"/>
  <c r="G339" i="12"/>
  <c r="F339" i="12"/>
  <c r="E339" i="12"/>
  <c r="D339" i="12"/>
  <c r="C339" i="12"/>
  <c r="B339" i="12"/>
  <c r="A339" i="12"/>
  <c r="BE338" i="12"/>
  <c r="BD338" i="12"/>
  <c r="BC338" i="12"/>
  <c r="AW338" i="12"/>
  <c r="AU338" i="12"/>
  <c r="AT338" i="12"/>
  <c r="AS338" i="12"/>
  <c r="AQ338" i="12"/>
  <c r="AP338" i="12"/>
  <c r="AO338" i="12"/>
  <c r="AN338" i="12"/>
  <c r="AL338" i="12"/>
  <c r="AK338" i="12"/>
  <c r="AH338" i="12"/>
  <c r="AG338" i="12"/>
  <c r="AD338" i="12"/>
  <c r="AC338" i="12"/>
  <c r="AB338" i="12"/>
  <c r="AA338" i="12"/>
  <c r="Z338" i="12"/>
  <c r="Y338" i="12"/>
  <c r="X338" i="12"/>
  <c r="W338" i="12"/>
  <c r="V338" i="12"/>
  <c r="U338" i="12"/>
  <c r="T338" i="12"/>
  <c r="S338" i="12"/>
  <c r="R338" i="12"/>
  <c r="Q338" i="12"/>
  <c r="P338" i="12"/>
  <c r="O338" i="12"/>
  <c r="N338" i="12"/>
  <c r="M338" i="12"/>
  <c r="L338" i="12"/>
  <c r="K338" i="12"/>
  <c r="J338" i="12"/>
  <c r="I338" i="12"/>
  <c r="G338" i="12"/>
  <c r="F338" i="12"/>
  <c r="E338" i="12"/>
  <c r="D338" i="12"/>
  <c r="C338" i="12"/>
  <c r="B338" i="12"/>
  <c r="A338" i="12"/>
  <c r="BE337" i="12"/>
  <c r="BD337" i="12"/>
  <c r="BC337" i="12"/>
  <c r="AW337" i="12"/>
  <c r="AU337" i="12"/>
  <c r="AT337" i="12"/>
  <c r="AS337" i="12"/>
  <c r="AQ337" i="12"/>
  <c r="AP337" i="12"/>
  <c r="AO337" i="12"/>
  <c r="AN337" i="12"/>
  <c r="AM337" i="12"/>
  <c r="AL337" i="12"/>
  <c r="AK337" i="12"/>
  <c r="AH337" i="12"/>
  <c r="AG337" i="12"/>
  <c r="AD337" i="12"/>
  <c r="AC337" i="12"/>
  <c r="AB337" i="12"/>
  <c r="AA337" i="12"/>
  <c r="Z337" i="12"/>
  <c r="Y337" i="12"/>
  <c r="X337" i="12"/>
  <c r="W337" i="12"/>
  <c r="V337" i="12"/>
  <c r="U337" i="12"/>
  <c r="T337" i="12"/>
  <c r="S337" i="12"/>
  <c r="P337" i="12"/>
  <c r="K337" i="12"/>
  <c r="J337" i="12"/>
  <c r="I337" i="12"/>
  <c r="G337" i="12"/>
  <c r="F337" i="12"/>
  <c r="E337" i="12"/>
  <c r="D337" i="12"/>
  <c r="C337" i="12"/>
  <c r="B337" i="12"/>
  <c r="A337" i="12"/>
  <c r="BE336" i="12"/>
  <c r="BD336" i="12"/>
  <c r="BC336" i="12"/>
  <c r="BB336" i="12"/>
  <c r="AU336" i="12"/>
  <c r="AS336" i="12"/>
  <c r="AQ336" i="12"/>
  <c r="AN336" i="12"/>
  <c r="AL336" i="12"/>
  <c r="AK336" i="12"/>
  <c r="AH336" i="12"/>
  <c r="AG336" i="12"/>
  <c r="AD336" i="12"/>
  <c r="AA336" i="12"/>
  <c r="Z336" i="12"/>
  <c r="Y336" i="12"/>
  <c r="X336" i="12"/>
  <c r="W336" i="12"/>
  <c r="V336" i="12"/>
  <c r="U336" i="12"/>
  <c r="T336" i="12"/>
  <c r="S336" i="12"/>
  <c r="P336" i="12"/>
  <c r="K336" i="12"/>
  <c r="J336" i="12"/>
  <c r="I336" i="12"/>
  <c r="G336" i="12"/>
  <c r="F336" i="12"/>
  <c r="D336" i="12"/>
  <c r="C336" i="12"/>
  <c r="B336" i="12"/>
  <c r="A336" i="12"/>
  <c r="BE335" i="12"/>
  <c r="BD335" i="12"/>
  <c r="BC335" i="12"/>
  <c r="BB335" i="12"/>
  <c r="AU335" i="12"/>
  <c r="AS335" i="12"/>
  <c r="AQ335" i="12"/>
  <c r="AP335" i="12"/>
  <c r="AO335" i="12"/>
  <c r="AN335" i="12"/>
  <c r="AM335" i="12"/>
  <c r="AL335" i="12"/>
  <c r="AK335" i="12"/>
  <c r="AG335" i="12"/>
  <c r="AD335" i="12"/>
  <c r="AC335" i="12"/>
  <c r="AA335" i="12"/>
  <c r="Z335" i="12"/>
  <c r="Y335" i="12"/>
  <c r="X335" i="12"/>
  <c r="W335" i="12"/>
  <c r="V335" i="12"/>
  <c r="U335" i="12"/>
  <c r="T335" i="12"/>
  <c r="S335" i="12"/>
  <c r="P335" i="12"/>
  <c r="O335" i="12"/>
  <c r="N335" i="12"/>
  <c r="M335" i="12"/>
  <c r="L335" i="12"/>
  <c r="K335" i="12"/>
  <c r="J335" i="12"/>
  <c r="I335" i="12"/>
  <c r="G335" i="12"/>
  <c r="F335" i="12"/>
  <c r="E335" i="12"/>
  <c r="D335" i="12"/>
  <c r="C335" i="12"/>
  <c r="B335" i="12"/>
  <c r="A335" i="12"/>
  <c r="BE334" i="12"/>
  <c r="BD334" i="12"/>
  <c r="BC334" i="12"/>
  <c r="BB334" i="12"/>
  <c r="AU334" i="12"/>
  <c r="AS334" i="12"/>
  <c r="AQ334" i="12"/>
  <c r="AN334" i="12"/>
  <c r="AL334" i="12"/>
  <c r="AK334" i="12"/>
  <c r="AH334" i="12"/>
  <c r="AG334" i="12"/>
  <c r="AD334" i="12"/>
  <c r="AA334" i="12"/>
  <c r="Z334" i="12"/>
  <c r="Y334" i="12"/>
  <c r="X334" i="12"/>
  <c r="W334" i="12"/>
  <c r="V334" i="12"/>
  <c r="U334" i="12"/>
  <c r="S334" i="12"/>
  <c r="P334" i="12"/>
  <c r="K334" i="12"/>
  <c r="J334" i="12"/>
  <c r="I334" i="12"/>
  <c r="G334" i="12"/>
  <c r="F334" i="12"/>
  <c r="D334" i="12"/>
  <c r="C334" i="12"/>
  <c r="B334" i="12"/>
  <c r="A334" i="12"/>
  <c r="BE333" i="12"/>
  <c r="BD333" i="12"/>
  <c r="BC333" i="12"/>
  <c r="BB333" i="12"/>
  <c r="AU333" i="12"/>
  <c r="AS333" i="12"/>
  <c r="AQ333" i="12"/>
  <c r="AN333" i="12"/>
  <c r="AL333" i="12"/>
  <c r="AK333" i="12"/>
  <c r="AH333" i="12"/>
  <c r="AG333" i="12"/>
  <c r="AD333" i="12"/>
  <c r="AA333" i="12"/>
  <c r="Z333" i="12"/>
  <c r="Y333" i="12"/>
  <c r="X333" i="12"/>
  <c r="W333" i="12"/>
  <c r="V333" i="12"/>
  <c r="U333" i="12"/>
  <c r="T333" i="12"/>
  <c r="S333" i="12"/>
  <c r="P333" i="12"/>
  <c r="K333" i="12"/>
  <c r="J333" i="12"/>
  <c r="I333" i="12"/>
  <c r="G333" i="12"/>
  <c r="F333" i="12"/>
  <c r="D333" i="12"/>
  <c r="C333" i="12"/>
  <c r="B333" i="12"/>
  <c r="A333" i="12"/>
  <c r="BE332" i="12"/>
  <c r="BD332" i="12"/>
  <c r="BC332" i="12"/>
  <c r="AW332" i="12"/>
  <c r="AU332" i="12"/>
  <c r="AT332" i="12"/>
  <c r="AS332" i="12"/>
  <c r="AQ332" i="12"/>
  <c r="AP332" i="12"/>
  <c r="AO332" i="12"/>
  <c r="AN332" i="12"/>
  <c r="AL332" i="12"/>
  <c r="AK332" i="12"/>
  <c r="AH332" i="12"/>
  <c r="AG332" i="12"/>
  <c r="AD332" i="12"/>
  <c r="AC332" i="12"/>
  <c r="AB332" i="12"/>
  <c r="AA332" i="12"/>
  <c r="Z332" i="12"/>
  <c r="Y332" i="12"/>
  <c r="X332" i="12"/>
  <c r="W332" i="12"/>
  <c r="V332" i="12"/>
  <c r="U332" i="12"/>
  <c r="T332" i="12"/>
  <c r="S332" i="12"/>
  <c r="P332" i="12"/>
  <c r="K332" i="12"/>
  <c r="J332" i="12"/>
  <c r="I332" i="12"/>
  <c r="G332" i="12"/>
  <c r="F332" i="12"/>
  <c r="E332" i="12"/>
  <c r="D332" i="12"/>
  <c r="C332" i="12"/>
  <c r="B332" i="12"/>
  <c r="A332" i="12"/>
  <c r="BE331" i="12"/>
  <c r="BD331" i="12"/>
  <c r="BC331" i="12"/>
  <c r="AW331" i="12"/>
  <c r="AU331" i="12"/>
  <c r="AT331" i="12"/>
  <c r="AS331" i="12"/>
  <c r="AQ331" i="12"/>
  <c r="AP331" i="12"/>
  <c r="AO331" i="12"/>
  <c r="AN331" i="12"/>
  <c r="AL331" i="12"/>
  <c r="AK331" i="12"/>
  <c r="AH331" i="12"/>
  <c r="AG331" i="12"/>
  <c r="AD331" i="12"/>
  <c r="AC331" i="12"/>
  <c r="AB331" i="12"/>
  <c r="AA331" i="12"/>
  <c r="Z331" i="12"/>
  <c r="Y331" i="12"/>
  <c r="X331" i="12"/>
  <c r="W331" i="12"/>
  <c r="V331" i="12"/>
  <c r="U331" i="12"/>
  <c r="T331" i="12"/>
  <c r="S331" i="12"/>
  <c r="R331" i="12"/>
  <c r="Q331" i="12"/>
  <c r="P331" i="12"/>
  <c r="O331" i="12"/>
  <c r="N331" i="12"/>
  <c r="L331" i="12"/>
  <c r="K331" i="12"/>
  <c r="J331" i="12"/>
  <c r="I331" i="12"/>
  <c r="G331" i="12"/>
  <c r="F331" i="12"/>
  <c r="E331" i="12"/>
  <c r="D331" i="12"/>
  <c r="C331" i="12"/>
  <c r="B331" i="12"/>
  <c r="A331" i="12"/>
  <c r="BE330" i="12"/>
  <c r="BD330" i="12"/>
  <c r="BC330" i="12"/>
  <c r="BB330" i="12"/>
  <c r="AU330" i="12"/>
  <c r="AS330" i="12"/>
  <c r="AQ330" i="12"/>
  <c r="AN330" i="12"/>
  <c r="AL330" i="12"/>
  <c r="AK330" i="12"/>
  <c r="AH330" i="12"/>
  <c r="AG330" i="12"/>
  <c r="AD330" i="12"/>
  <c r="AA330" i="12"/>
  <c r="Z330" i="12"/>
  <c r="Y330" i="12"/>
  <c r="X330" i="12"/>
  <c r="W330" i="12"/>
  <c r="V330" i="12"/>
  <c r="U330" i="12"/>
  <c r="T330" i="12"/>
  <c r="S330" i="12"/>
  <c r="P330" i="12"/>
  <c r="K330" i="12"/>
  <c r="J330" i="12"/>
  <c r="I330" i="12"/>
  <c r="G330" i="12"/>
  <c r="F330" i="12"/>
  <c r="D330" i="12"/>
  <c r="C330" i="12"/>
  <c r="B330" i="12"/>
  <c r="A330" i="12"/>
  <c r="BE329" i="12"/>
  <c r="BD329" i="12"/>
  <c r="BC329" i="12"/>
  <c r="BB329" i="12"/>
  <c r="AU329" i="12"/>
  <c r="AS329" i="12"/>
  <c r="AQ329" i="12"/>
  <c r="AN329" i="12"/>
  <c r="AL329" i="12"/>
  <c r="AK329" i="12"/>
  <c r="AH329" i="12"/>
  <c r="AG329" i="12"/>
  <c r="AD329" i="12"/>
  <c r="AA329" i="12"/>
  <c r="Z329" i="12"/>
  <c r="Y329" i="12"/>
  <c r="X329" i="12"/>
  <c r="W329" i="12"/>
  <c r="V329" i="12"/>
  <c r="U329" i="12"/>
  <c r="T329" i="12"/>
  <c r="S329" i="12"/>
  <c r="P329" i="12"/>
  <c r="K329" i="12"/>
  <c r="J329" i="12"/>
  <c r="I329" i="12"/>
  <c r="G329" i="12"/>
  <c r="F329" i="12"/>
  <c r="D329" i="12"/>
  <c r="C329" i="12"/>
  <c r="B329" i="12"/>
  <c r="A329" i="12"/>
  <c r="BE328" i="12"/>
  <c r="BD328" i="12"/>
  <c r="BC328" i="12"/>
  <c r="BB328" i="12"/>
  <c r="AU328" i="12"/>
  <c r="AS328" i="12"/>
  <c r="AQ328" i="12"/>
  <c r="AP328" i="12"/>
  <c r="AO328" i="12"/>
  <c r="AN328" i="12"/>
  <c r="AM328" i="12"/>
  <c r="AL328" i="12"/>
  <c r="AG328" i="12"/>
  <c r="AD328" i="12"/>
  <c r="AC328" i="12"/>
  <c r="AA328" i="12"/>
  <c r="Z328" i="12"/>
  <c r="Y328" i="12"/>
  <c r="X328" i="12"/>
  <c r="W328" i="12"/>
  <c r="V328" i="12"/>
  <c r="U328" i="12"/>
  <c r="T328" i="12"/>
  <c r="S328" i="12"/>
  <c r="P328" i="12"/>
  <c r="O328" i="12"/>
  <c r="N328" i="12"/>
  <c r="L328" i="12"/>
  <c r="K328" i="12"/>
  <c r="J328" i="12"/>
  <c r="I328" i="12"/>
  <c r="G328" i="12"/>
  <c r="F328" i="12"/>
  <c r="D328" i="12"/>
  <c r="C328" i="12"/>
  <c r="B328" i="12"/>
  <c r="A328" i="12"/>
  <c r="BE327" i="12"/>
  <c r="BD327" i="12"/>
  <c r="BC327" i="12"/>
  <c r="BB327" i="12"/>
  <c r="AU327" i="12"/>
  <c r="AS327" i="12"/>
  <c r="AQ327" i="12"/>
  <c r="AP327" i="12"/>
  <c r="AO327" i="12"/>
  <c r="AN327" i="12"/>
  <c r="AM327" i="12"/>
  <c r="AL327" i="12"/>
  <c r="AK327" i="12"/>
  <c r="AG327" i="12"/>
  <c r="AD327" i="12"/>
  <c r="AC327" i="12"/>
  <c r="AA327" i="12"/>
  <c r="Z327" i="12"/>
  <c r="Y327" i="12"/>
  <c r="X327" i="12"/>
  <c r="W327" i="12"/>
  <c r="V327" i="12"/>
  <c r="U327" i="12"/>
  <c r="T327" i="12"/>
  <c r="S327" i="12"/>
  <c r="P327" i="12"/>
  <c r="O327" i="12"/>
  <c r="N327" i="12"/>
  <c r="L327" i="12"/>
  <c r="K327" i="12"/>
  <c r="J327" i="12"/>
  <c r="I327" i="12"/>
  <c r="G327" i="12"/>
  <c r="F327" i="12"/>
  <c r="E327" i="12"/>
  <c r="D327" i="12"/>
  <c r="C327" i="12"/>
  <c r="B327" i="12"/>
  <c r="A327" i="12"/>
  <c r="BE326" i="12"/>
  <c r="BD326" i="12"/>
  <c r="BC326" i="12"/>
  <c r="BB326" i="12"/>
  <c r="AU326" i="12"/>
  <c r="AS326" i="12"/>
  <c r="AQ326" i="12"/>
  <c r="AN326" i="12"/>
  <c r="AL326" i="12"/>
  <c r="AK326" i="12"/>
  <c r="AH326" i="12"/>
  <c r="AG326" i="12"/>
  <c r="AD326" i="12"/>
  <c r="AC326" i="12"/>
  <c r="AA326" i="12"/>
  <c r="Z326" i="12"/>
  <c r="Y326" i="12"/>
  <c r="X326" i="12"/>
  <c r="W326" i="12"/>
  <c r="V326" i="12"/>
  <c r="U326" i="12"/>
  <c r="T326" i="12"/>
  <c r="S326" i="12"/>
  <c r="P326" i="12"/>
  <c r="K326" i="12"/>
  <c r="J326" i="12"/>
  <c r="I326" i="12"/>
  <c r="G326" i="12"/>
  <c r="F326" i="12"/>
  <c r="D326" i="12"/>
  <c r="C326" i="12"/>
  <c r="B326" i="12"/>
  <c r="A326" i="12"/>
  <c r="BE325" i="12"/>
  <c r="BD325" i="12"/>
  <c r="BC325" i="12"/>
  <c r="BB325" i="12"/>
  <c r="AU325" i="12"/>
  <c r="AS325" i="12"/>
  <c r="AQ325" i="12"/>
  <c r="AN325" i="12"/>
  <c r="AL325" i="12"/>
  <c r="AK325" i="12"/>
  <c r="AH325" i="12"/>
  <c r="AG325" i="12"/>
  <c r="AD325" i="12"/>
  <c r="AC325" i="12"/>
  <c r="AA325" i="12"/>
  <c r="Z325" i="12"/>
  <c r="Y325" i="12"/>
  <c r="X325" i="12"/>
  <c r="W325" i="12"/>
  <c r="V325" i="12"/>
  <c r="U325" i="12"/>
  <c r="T325" i="12"/>
  <c r="S325" i="12"/>
  <c r="P325" i="12"/>
  <c r="K325" i="12"/>
  <c r="J325" i="12"/>
  <c r="I325" i="12"/>
  <c r="G325" i="12"/>
  <c r="F325" i="12"/>
  <c r="D325" i="12"/>
  <c r="C325" i="12"/>
  <c r="B325" i="12"/>
  <c r="A325" i="12"/>
  <c r="BE324" i="12"/>
  <c r="BD324" i="12"/>
  <c r="BC324" i="12"/>
  <c r="BB324" i="12"/>
  <c r="AU324" i="12"/>
  <c r="AS324" i="12"/>
  <c r="AQ324" i="12"/>
  <c r="AP324" i="12"/>
  <c r="AO324" i="12"/>
  <c r="AN324" i="12"/>
  <c r="AM324" i="12"/>
  <c r="AL324" i="12"/>
  <c r="AK324" i="12"/>
  <c r="AG324" i="12"/>
  <c r="AD324" i="12"/>
  <c r="AC324" i="12"/>
  <c r="AA324" i="12"/>
  <c r="Z324" i="12"/>
  <c r="Y324" i="12"/>
  <c r="X324" i="12"/>
  <c r="W324" i="12"/>
  <c r="V324" i="12"/>
  <c r="U324" i="12"/>
  <c r="T324" i="12"/>
  <c r="S324" i="12"/>
  <c r="P324" i="12"/>
  <c r="O324" i="12"/>
  <c r="N324" i="12"/>
  <c r="M324" i="12"/>
  <c r="L324" i="12"/>
  <c r="K324" i="12"/>
  <c r="J324" i="12"/>
  <c r="I324" i="12"/>
  <c r="G324" i="12"/>
  <c r="F324" i="12"/>
  <c r="E324" i="12"/>
  <c r="D324" i="12"/>
  <c r="C324" i="12"/>
  <c r="B324" i="12"/>
  <c r="A324" i="12"/>
  <c r="BE323" i="12"/>
  <c r="BD323" i="12"/>
  <c r="BC323" i="12"/>
  <c r="BA323" i="12"/>
  <c r="AU323" i="12"/>
  <c r="AS323" i="12"/>
  <c r="AR323" i="12"/>
  <c r="AQ323" i="12"/>
  <c r="AN323" i="12"/>
  <c r="AL323" i="12"/>
  <c r="AK323" i="12"/>
  <c r="AH323" i="12"/>
  <c r="AG323" i="12"/>
  <c r="AD323" i="12"/>
  <c r="AC323" i="12"/>
  <c r="AB323" i="12"/>
  <c r="AA323" i="12"/>
  <c r="Z323" i="12"/>
  <c r="Y323" i="12"/>
  <c r="X323" i="12"/>
  <c r="W323" i="12"/>
  <c r="V323" i="12"/>
  <c r="U323" i="12"/>
  <c r="T323" i="12"/>
  <c r="S323" i="12"/>
  <c r="P323" i="12"/>
  <c r="M323" i="12"/>
  <c r="L323" i="12"/>
  <c r="K323" i="12"/>
  <c r="J323" i="12"/>
  <c r="I323" i="12"/>
  <c r="H323" i="12"/>
  <c r="G323" i="12"/>
  <c r="F323" i="12"/>
  <c r="E323" i="12"/>
  <c r="D323" i="12"/>
  <c r="C323" i="12"/>
  <c r="B323" i="12"/>
  <c r="A323" i="12"/>
  <c r="BE322" i="12"/>
  <c r="BD322" i="12"/>
  <c r="BC322" i="12"/>
  <c r="BA322" i="12"/>
  <c r="AU322" i="12"/>
  <c r="AS322" i="12"/>
  <c r="AQ322" i="12"/>
  <c r="AN322" i="12"/>
  <c r="AL322" i="12"/>
  <c r="AK322" i="12"/>
  <c r="AH322" i="12"/>
  <c r="AG322" i="12"/>
  <c r="AD322" i="12"/>
  <c r="AC322" i="12"/>
  <c r="AB322" i="12"/>
  <c r="AA322" i="12"/>
  <c r="Z322" i="12"/>
  <c r="Y322" i="12"/>
  <c r="X322" i="12"/>
  <c r="W322" i="12"/>
  <c r="V322" i="12"/>
  <c r="U322" i="12"/>
  <c r="T322" i="12"/>
  <c r="S322" i="12"/>
  <c r="P322" i="12"/>
  <c r="M322" i="12"/>
  <c r="L322" i="12"/>
  <c r="K322" i="12"/>
  <c r="J322" i="12"/>
  <c r="I322" i="12"/>
  <c r="G322" i="12"/>
  <c r="F322" i="12"/>
  <c r="E322" i="12"/>
  <c r="D322" i="12"/>
  <c r="C322" i="12"/>
  <c r="B322" i="12"/>
  <c r="A322" i="12"/>
  <c r="BE321" i="12"/>
  <c r="BD321" i="12"/>
  <c r="BC321" i="12"/>
  <c r="AW321" i="12"/>
  <c r="AU321" i="12"/>
  <c r="AT321" i="12"/>
  <c r="AS321" i="12"/>
  <c r="AQ321" i="12"/>
  <c r="AP321" i="12"/>
  <c r="AO321" i="12"/>
  <c r="AN321" i="12"/>
  <c r="AM321" i="12"/>
  <c r="AL321" i="12"/>
  <c r="AK321" i="12"/>
  <c r="AH321" i="12"/>
  <c r="AG321" i="12"/>
  <c r="AD321" i="12"/>
  <c r="AC321" i="12"/>
  <c r="AB321" i="12"/>
  <c r="AA321" i="12"/>
  <c r="Z321" i="12"/>
  <c r="Y321" i="12"/>
  <c r="X321" i="12"/>
  <c r="W321" i="12"/>
  <c r="V321" i="12"/>
  <c r="U321" i="12"/>
  <c r="T321" i="12"/>
  <c r="S321" i="12"/>
  <c r="P321" i="12"/>
  <c r="K321" i="12"/>
  <c r="J321" i="12"/>
  <c r="I321" i="12"/>
  <c r="G321" i="12"/>
  <c r="F321" i="12"/>
  <c r="E321" i="12"/>
  <c r="D321" i="12"/>
  <c r="C321" i="12"/>
  <c r="B321" i="12"/>
  <c r="A321" i="12"/>
  <c r="BD320" i="12"/>
  <c r="BC320" i="12"/>
  <c r="BA320" i="12"/>
  <c r="AU320" i="12"/>
  <c r="AR320" i="12"/>
  <c r="AL320" i="12"/>
  <c r="AK320" i="12"/>
  <c r="AH320" i="12"/>
  <c r="AG320" i="12"/>
  <c r="AC320" i="12"/>
  <c r="AB320" i="12"/>
  <c r="AA320" i="12"/>
  <c r="Z320" i="12"/>
  <c r="Y320" i="12"/>
  <c r="X320" i="12"/>
  <c r="W320" i="12"/>
  <c r="V320" i="12"/>
  <c r="U320" i="12"/>
  <c r="S320" i="12"/>
  <c r="M320" i="12"/>
  <c r="L320" i="12"/>
  <c r="K320" i="12"/>
  <c r="J320" i="12"/>
  <c r="I320" i="12"/>
  <c r="H320" i="12"/>
  <c r="G320" i="12"/>
  <c r="F320" i="12"/>
  <c r="E320" i="12"/>
  <c r="D320" i="12"/>
  <c r="C320" i="12"/>
  <c r="B320" i="12"/>
  <c r="A320" i="12"/>
  <c r="BD319" i="12"/>
  <c r="BC319" i="12"/>
  <c r="BA319" i="12"/>
  <c r="AU319" i="12"/>
  <c r="AR319" i="12"/>
  <c r="AL319" i="12"/>
  <c r="AK319" i="12"/>
  <c r="AH319" i="12"/>
  <c r="AG319" i="12"/>
  <c r="AC319" i="12"/>
  <c r="AA319" i="12"/>
  <c r="Z319" i="12"/>
  <c r="Y319" i="12"/>
  <c r="X319" i="12"/>
  <c r="W319" i="12"/>
  <c r="V319" i="12"/>
  <c r="U319" i="12"/>
  <c r="S319" i="12"/>
  <c r="M319" i="12"/>
  <c r="L319" i="12"/>
  <c r="K319" i="12"/>
  <c r="J319" i="12"/>
  <c r="I319" i="12"/>
  <c r="H319" i="12"/>
  <c r="G319" i="12"/>
  <c r="F319" i="12"/>
  <c r="E319" i="12"/>
  <c r="D319" i="12"/>
  <c r="C319" i="12"/>
  <c r="B319" i="12"/>
  <c r="A319" i="12"/>
  <c r="BD318" i="12"/>
  <c r="BC318" i="12"/>
  <c r="BA318" i="12"/>
  <c r="AU318" i="12"/>
  <c r="AR318" i="12"/>
  <c r="AL318" i="12"/>
  <c r="AK318" i="12"/>
  <c r="AH318" i="12"/>
  <c r="AG318" i="12"/>
  <c r="AC318" i="12"/>
  <c r="AB318" i="12"/>
  <c r="AA318" i="12"/>
  <c r="Z318" i="12"/>
  <c r="Y318" i="12"/>
  <c r="X318" i="12"/>
  <c r="W318" i="12"/>
  <c r="V318" i="12"/>
  <c r="U318" i="12"/>
  <c r="S318" i="12"/>
  <c r="M318" i="12"/>
  <c r="L318" i="12"/>
  <c r="K318" i="12"/>
  <c r="J318" i="12"/>
  <c r="I318" i="12"/>
  <c r="H318" i="12"/>
  <c r="G318" i="12"/>
  <c r="F318" i="12"/>
  <c r="E318" i="12"/>
  <c r="D318" i="12"/>
  <c r="C318" i="12"/>
  <c r="B318" i="12"/>
  <c r="A318" i="12"/>
  <c r="BD317" i="12"/>
  <c r="BC317" i="12"/>
  <c r="BA317" i="12"/>
  <c r="AU317" i="12"/>
  <c r="AR317" i="12"/>
  <c r="AL317" i="12"/>
  <c r="AK317" i="12"/>
  <c r="AH317" i="12"/>
  <c r="AG317" i="12"/>
  <c r="AC317" i="12"/>
  <c r="AB317" i="12"/>
  <c r="AA317" i="12"/>
  <c r="Z317" i="12"/>
  <c r="Y317" i="12"/>
  <c r="X317" i="12"/>
  <c r="W317" i="12"/>
  <c r="V317" i="12"/>
  <c r="U317" i="12"/>
  <c r="S317" i="12"/>
  <c r="M317" i="12"/>
  <c r="L317" i="12"/>
  <c r="K317" i="12"/>
  <c r="J317" i="12"/>
  <c r="I317" i="12"/>
  <c r="H317" i="12"/>
  <c r="G317" i="12"/>
  <c r="F317" i="12"/>
  <c r="E317" i="12"/>
  <c r="D317" i="12"/>
  <c r="C317" i="12"/>
  <c r="B317" i="12"/>
  <c r="A317" i="12"/>
  <c r="BE316" i="12"/>
  <c r="BD316" i="12"/>
  <c r="BC316" i="12"/>
  <c r="BA316" i="12"/>
  <c r="AU316" i="12"/>
  <c r="AS316" i="12"/>
  <c r="AQ316" i="12"/>
  <c r="AN316" i="12"/>
  <c r="AL316" i="12"/>
  <c r="AK316" i="12"/>
  <c r="AH316" i="12"/>
  <c r="AG316" i="12"/>
  <c r="AD316" i="12"/>
  <c r="AC316" i="12"/>
  <c r="AB316" i="12"/>
  <c r="AA316" i="12"/>
  <c r="Z316" i="12"/>
  <c r="Y316" i="12"/>
  <c r="X316" i="12"/>
  <c r="W316" i="12"/>
  <c r="V316" i="12"/>
  <c r="U316" i="12"/>
  <c r="T316" i="12"/>
  <c r="S316" i="12"/>
  <c r="P316" i="12"/>
  <c r="M316" i="12"/>
  <c r="L316" i="12"/>
  <c r="K316" i="12"/>
  <c r="J316" i="12"/>
  <c r="I316" i="12"/>
  <c r="G316" i="12"/>
  <c r="F316" i="12"/>
  <c r="E316" i="12"/>
  <c r="D316" i="12"/>
  <c r="C316" i="12"/>
  <c r="B316" i="12"/>
  <c r="A316" i="12"/>
  <c r="BE315" i="12"/>
  <c r="BD315" i="12"/>
  <c r="BC315" i="12"/>
  <c r="BA315" i="12"/>
  <c r="AU315" i="12"/>
  <c r="AS315" i="12"/>
  <c r="AQ315" i="12"/>
  <c r="AN315" i="12"/>
  <c r="AL315" i="12"/>
  <c r="AK315" i="12"/>
  <c r="AH315" i="12"/>
  <c r="AG315" i="12"/>
  <c r="AD315" i="12"/>
  <c r="AC315" i="12"/>
  <c r="AB315" i="12"/>
  <c r="AA315" i="12"/>
  <c r="Z315" i="12"/>
  <c r="Y315" i="12"/>
  <c r="X315" i="12"/>
  <c r="W315" i="12"/>
  <c r="V315" i="12"/>
  <c r="U315" i="12"/>
  <c r="T315" i="12"/>
  <c r="S315" i="12"/>
  <c r="P315" i="12"/>
  <c r="M315" i="12"/>
  <c r="L315" i="12"/>
  <c r="K315" i="12"/>
  <c r="J315" i="12"/>
  <c r="I315" i="12"/>
  <c r="G315" i="12"/>
  <c r="F315" i="12"/>
  <c r="E315" i="12"/>
  <c r="D315" i="12"/>
  <c r="C315" i="12"/>
  <c r="B315" i="12"/>
  <c r="A315" i="12"/>
  <c r="BE314" i="12"/>
  <c r="BD314" i="12"/>
  <c r="BC314" i="12"/>
  <c r="BB314" i="12"/>
  <c r="AU314" i="12"/>
  <c r="AS314" i="12"/>
  <c r="AQ314" i="12"/>
  <c r="AP314" i="12"/>
  <c r="AO314" i="12"/>
  <c r="AN314" i="12"/>
  <c r="AM314" i="12"/>
  <c r="AL314" i="12"/>
  <c r="AK314" i="12"/>
  <c r="AG314" i="12"/>
  <c r="AD314" i="12"/>
  <c r="AC314" i="12"/>
  <c r="AB314" i="12"/>
  <c r="AA314" i="12"/>
  <c r="Z314" i="12"/>
  <c r="Y314" i="12"/>
  <c r="X314" i="12"/>
  <c r="W314" i="12"/>
  <c r="V314" i="12"/>
  <c r="U314" i="12"/>
  <c r="T314" i="12"/>
  <c r="S314" i="12"/>
  <c r="P314" i="12"/>
  <c r="O314" i="12"/>
  <c r="N314" i="12"/>
  <c r="M314" i="12"/>
  <c r="L314" i="12"/>
  <c r="K314" i="12"/>
  <c r="J314" i="12"/>
  <c r="I314" i="12"/>
  <c r="G314" i="12"/>
  <c r="F314" i="12"/>
  <c r="E314" i="12"/>
  <c r="D314" i="12"/>
  <c r="C314" i="12"/>
  <c r="B314" i="12"/>
  <c r="A314" i="12"/>
  <c r="BE313" i="12"/>
  <c r="BD313" i="12"/>
  <c r="BC313" i="12"/>
  <c r="BB313" i="12"/>
  <c r="AU313" i="12"/>
  <c r="AS313" i="12"/>
  <c r="AQ313" i="12"/>
  <c r="AP313" i="12"/>
  <c r="AO313" i="12"/>
  <c r="AN313" i="12"/>
  <c r="AM313" i="12"/>
  <c r="AL313" i="12"/>
  <c r="AK313" i="12"/>
  <c r="AG313" i="12"/>
  <c r="AD313" i="12"/>
  <c r="AC313" i="12"/>
  <c r="AA313" i="12"/>
  <c r="Z313" i="12"/>
  <c r="Y313" i="12"/>
  <c r="X313" i="12"/>
  <c r="W313" i="12"/>
  <c r="V313" i="12"/>
  <c r="U313" i="12"/>
  <c r="T313" i="12"/>
  <c r="S313" i="12"/>
  <c r="P313" i="12"/>
  <c r="O313" i="12"/>
  <c r="N313" i="12"/>
  <c r="M313" i="12"/>
  <c r="L313" i="12"/>
  <c r="K313" i="12"/>
  <c r="J313" i="12"/>
  <c r="I313" i="12"/>
  <c r="G313" i="12"/>
  <c r="F313" i="12"/>
  <c r="E313" i="12"/>
  <c r="D313" i="12"/>
  <c r="C313" i="12"/>
  <c r="B313" i="12"/>
  <c r="A313" i="12"/>
  <c r="BE312" i="12"/>
  <c r="BD312" i="12"/>
  <c r="BC312" i="12"/>
  <c r="AW312" i="12"/>
  <c r="AU312" i="12"/>
  <c r="AT312" i="12"/>
  <c r="AS312" i="12"/>
  <c r="AQ312" i="12"/>
  <c r="AP312" i="12"/>
  <c r="AO312" i="12"/>
  <c r="AN312" i="12"/>
  <c r="AL312" i="12"/>
  <c r="AK312" i="12"/>
  <c r="AH312" i="12"/>
  <c r="AG312" i="12"/>
  <c r="AD312" i="12"/>
  <c r="AC312" i="12"/>
  <c r="AB312" i="12"/>
  <c r="AA312" i="12"/>
  <c r="Z312" i="12"/>
  <c r="Y312" i="12"/>
  <c r="X312" i="12"/>
  <c r="W312" i="12"/>
  <c r="V312" i="12"/>
  <c r="U312" i="12"/>
  <c r="T312" i="12"/>
  <c r="S312" i="12"/>
  <c r="P312" i="12"/>
  <c r="K312" i="12"/>
  <c r="J312" i="12"/>
  <c r="I312" i="12"/>
  <c r="G312" i="12"/>
  <c r="F312" i="12"/>
  <c r="E312" i="12"/>
  <c r="D312" i="12"/>
  <c r="C312" i="12"/>
  <c r="B312" i="12"/>
  <c r="A312" i="12"/>
  <c r="BE311" i="12"/>
  <c r="BD311" i="12"/>
  <c r="BC311" i="12"/>
  <c r="AW311" i="12"/>
  <c r="AU311" i="12"/>
  <c r="AT311" i="12"/>
  <c r="AS311" i="12"/>
  <c r="AQ311" i="12"/>
  <c r="AP311" i="12"/>
  <c r="AO311" i="12"/>
  <c r="AN311" i="12"/>
  <c r="AM311" i="12"/>
  <c r="AL311" i="12"/>
  <c r="AK311" i="12"/>
  <c r="AH311" i="12"/>
  <c r="AG311" i="12"/>
  <c r="AD311" i="12"/>
  <c r="AC311" i="12"/>
  <c r="AB311" i="12"/>
  <c r="AA311" i="12"/>
  <c r="Z311" i="12"/>
  <c r="Y311" i="12"/>
  <c r="X311" i="12"/>
  <c r="W311" i="12"/>
  <c r="V311" i="12"/>
  <c r="U311" i="12"/>
  <c r="T311" i="12"/>
  <c r="S311" i="12"/>
  <c r="P311" i="12"/>
  <c r="K311" i="12"/>
  <c r="J311" i="12"/>
  <c r="I311" i="12"/>
  <c r="G311" i="12"/>
  <c r="F311" i="12"/>
  <c r="E311" i="12"/>
  <c r="D311" i="12"/>
  <c r="C311" i="12"/>
  <c r="B311" i="12"/>
  <c r="A311" i="12"/>
  <c r="BE310" i="12"/>
  <c r="BD310" i="12"/>
  <c r="BC310" i="12"/>
  <c r="BB310" i="12"/>
  <c r="AU310" i="12"/>
  <c r="AS310" i="12"/>
  <c r="AQ310" i="12"/>
  <c r="AP310" i="12"/>
  <c r="AO310" i="12"/>
  <c r="AN310" i="12"/>
  <c r="AM310" i="12"/>
  <c r="AL310" i="12"/>
  <c r="AK310" i="12"/>
  <c r="AG310" i="12"/>
  <c r="AD310" i="12"/>
  <c r="AC310" i="12"/>
  <c r="AB310" i="12"/>
  <c r="AA310" i="12"/>
  <c r="Z310" i="12"/>
  <c r="Y310" i="12"/>
  <c r="X310" i="12"/>
  <c r="W310" i="12"/>
  <c r="V310" i="12"/>
  <c r="U310" i="12"/>
  <c r="T310" i="12"/>
  <c r="S310" i="12"/>
  <c r="P310" i="12"/>
  <c r="O310" i="12"/>
  <c r="N310" i="12"/>
  <c r="M310" i="12"/>
  <c r="L310" i="12"/>
  <c r="K310" i="12"/>
  <c r="J310" i="12"/>
  <c r="I310" i="12"/>
  <c r="G310" i="12"/>
  <c r="F310" i="12"/>
  <c r="E310" i="12"/>
  <c r="D310" i="12"/>
  <c r="C310" i="12"/>
  <c r="B310" i="12"/>
  <c r="A310" i="12"/>
  <c r="BE309" i="12"/>
  <c r="BD309" i="12"/>
  <c r="BC309" i="12"/>
  <c r="BB309" i="12"/>
  <c r="AU309" i="12"/>
  <c r="AS309" i="12"/>
  <c r="AQ309" i="12"/>
  <c r="AP309" i="12"/>
  <c r="AO309" i="12"/>
  <c r="AN309" i="12"/>
  <c r="AM309" i="12"/>
  <c r="AL309" i="12"/>
  <c r="AK309" i="12"/>
  <c r="AG309" i="12"/>
  <c r="AD309" i="12"/>
  <c r="AC309" i="12"/>
  <c r="AA309" i="12"/>
  <c r="Z309" i="12"/>
  <c r="Y309" i="12"/>
  <c r="X309" i="12"/>
  <c r="W309" i="12"/>
  <c r="V309" i="12"/>
  <c r="U309" i="12"/>
  <c r="T309" i="12"/>
  <c r="S309" i="12"/>
  <c r="P309" i="12"/>
  <c r="O309" i="12"/>
  <c r="N309" i="12"/>
  <c r="M309" i="12"/>
  <c r="L309" i="12"/>
  <c r="K309" i="12"/>
  <c r="J309" i="12"/>
  <c r="I309" i="12"/>
  <c r="G309" i="12"/>
  <c r="F309" i="12"/>
  <c r="E309" i="12"/>
  <c r="D309" i="12"/>
  <c r="C309" i="12"/>
  <c r="B309" i="12"/>
  <c r="A309" i="12"/>
  <c r="BD308" i="12"/>
  <c r="BC308" i="12"/>
  <c r="BA308" i="12"/>
  <c r="AU308" i="12"/>
  <c r="AR308" i="12"/>
  <c r="AL308" i="12"/>
  <c r="AK308" i="12"/>
  <c r="AH308" i="12"/>
  <c r="AG308" i="12"/>
  <c r="AC308" i="12"/>
  <c r="AB308" i="12"/>
  <c r="AA308" i="12"/>
  <c r="Z308" i="12"/>
  <c r="Y308" i="12"/>
  <c r="X308" i="12"/>
  <c r="W308" i="12"/>
  <c r="V308" i="12"/>
  <c r="U308" i="12"/>
  <c r="S308" i="12"/>
  <c r="M308" i="12"/>
  <c r="L308" i="12"/>
  <c r="K308" i="12"/>
  <c r="J308" i="12"/>
  <c r="I308" i="12"/>
  <c r="G308" i="12"/>
  <c r="F308" i="12"/>
  <c r="E308" i="12"/>
  <c r="D308" i="12"/>
  <c r="C308" i="12"/>
  <c r="B308" i="12"/>
  <c r="A308" i="12"/>
  <c r="BD307" i="12"/>
  <c r="BC307" i="12"/>
  <c r="BA307" i="12"/>
  <c r="AU307" i="12"/>
  <c r="AR307" i="12"/>
  <c r="AL307" i="12"/>
  <c r="AK307" i="12"/>
  <c r="AH307" i="12"/>
  <c r="AG307" i="12"/>
  <c r="AC307" i="12"/>
  <c r="AB307" i="12"/>
  <c r="AA307" i="12"/>
  <c r="Z307" i="12"/>
  <c r="Y307" i="12"/>
  <c r="X307" i="12"/>
  <c r="W307" i="12"/>
  <c r="V307" i="12"/>
  <c r="U307" i="12"/>
  <c r="S307" i="12"/>
  <c r="M307" i="12"/>
  <c r="L307" i="12"/>
  <c r="K307" i="12"/>
  <c r="J307" i="12"/>
  <c r="I307" i="12"/>
  <c r="G307" i="12"/>
  <c r="F307" i="12"/>
  <c r="E307" i="12"/>
  <c r="D307" i="12"/>
  <c r="C307" i="12"/>
  <c r="B307" i="12"/>
  <c r="A307" i="12"/>
  <c r="BD306" i="12"/>
  <c r="BC306" i="12"/>
  <c r="BA306" i="12"/>
  <c r="AU306" i="12"/>
  <c r="AR306" i="12"/>
  <c r="AL306" i="12"/>
  <c r="AK306" i="12"/>
  <c r="AH306" i="12"/>
  <c r="AG306" i="12"/>
  <c r="AC306" i="12"/>
  <c r="AB306" i="12"/>
  <c r="AA306" i="12"/>
  <c r="Z306" i="12"/>
  <c r="Y306" i="12"/>
  <c r="X306" i="12"/>
  <c r="W306" i="12"/>
  <c r="V306" i="12"/>
  <c r="U306" i="12"/>
  <c r="S306" i="12"/>
  <c r="M306" i="12"/>
  <c r="L306" i="12"/>
  <c r="K306" i="12"/>
  <c r="J306" i="12"/>
  <c r="I306" i="12"/>
  <c r="G306" i="12"/>
  <c r="F306" i="12"/>
  <c r="E306" i="12"/>
  <c r="D306" i="12"/>
  <c r="C306" i="12"/>
  <c r="B306" i="12"/>
  <c r="A306" i="12"/>
  <c r="BD305" i="12"/>
  <c r="BC305" i="12"/>
  <c r="BA305" i="12"/>
  <c r="AU305" i="12"/>
  <c r="AR305" i="12"/>
  <c r="AL305" i="12"/>
  <c r="AK305" i="12"/>
  <c r="AH305" i="12"/>
  <c r="AG305" i="12"/>
  <c r="AC305" i="12"/>
  <c r="AB305" i="12"/>
  <c r="AA305" i="12"/>
  <c r="Z305" i="12"/>
  <c r="Y305" i="12"/>
  <c r="X305" i="12"/>
  <c r="W305" i="12"/>
  <c r="V305" i="12"/>
  <c r="U305" i="12"/>
  <c r="S305" i="12"/>
  <c r="M305" i="12"/>
  <c r="L305" i="12"/>
  <c r="K305" i="12"/>
  <c r="J305" i="12"/>
  <c r="I305" i="12"/>
  <c r="G305" i="12"/>
  <c r="F305" i="12"/>
  <c r="E305" i="12"/>
  <c r="D305" i="12"/>
  <c r="C305" i="12"/>
  <c r="B305" i="12"/>
  <c r="A305" i="12"/>
  <c r="BD304" i="12"/>
  <c r="BC304" i="12"/>
  <c r="BA304" i="12"/>
  <c r="AU304" i="12"/>
  <c r="AR304" i="12"/>
  <c r="AL304" i="12"/>
  <c r="AK304" i="12"/>
  <c r="AH304" i="12"/>
  <c r="AG304" i="12"/>
  <c r="AC304" i="12"/>
  <c r="AB304" i="12"/>
  <c r="AA304" i="12"/>
  <c r="Z304" i="12"/>
  <c r="Y304" i="12"/>
  <c r="X304" i="12"/>
  <c r="W304" i="12"/>
  <c r="V304" i="12"/>
  <c r="U304" i="12"/>
  <c r="S304" i="12"/>
  <c r="M304" i="12"/>
  <c r="L304" i="12"/>
  <c r="K304" i="12"/>
  <c r="J304" i="12"/>
  <c r="I304" i="12"/>
  <c r="H304" i="12"/>
  <c r="G304" i="12"/>
  <c r="F304" i="12"/>
  <c r="E304" i="12"/>
  <c r="D304" i="12"/>
  <c r="C304" i="12"/>
  <c r="B304" i="12"/>
  <c r="A304" i="12"/>
  <c r="BD303" i="12"/>
  <c r="BC303" i="12"/>
  <c r="BA303" i="12"/>
  <c r="AU303" i="12"/>
  <c r="AR303" i="12"/>
  <c r="AL303" i="12"/>
  <c r="AK303" i="12"/>
  <c r="AH303" i="12"/>
  <c r="AG303" i="12"/>
  <c r="AC303" i="12"/>
  <c r="AB303" i="12"/>
  <c r="AA303" i="12"/>
  <c r="Z303" i="12"/>
  <c r="Y303" i="12"/>
  <c r="X303" i="12"/>
  <c r="W303" i="12"/>
  <c r="V303" i="12"/>
  <c r="U303" i="12"/>
  <c r="S303" i="12"/>
  <c r="M303" i="12"/>
  <c r="L303" i="12"/>
  <c r="K303" i="12"/>
  <c r="J303" i="12"/>
  <c r="I303" i="12"/>
  <c r="H303" i="12"/>
  <c r="G303" i="12"/>
  <c r="F303" i="12"/>
  <c r="E303" i="12"/>
  <c r="D303" i="12"/>
  <c r="C303" i="12"/>
  <c r="B303" i="12"/>
  <c r="A303" i="12"/>
  <c r="BE302" i="12"/>
  <c r="BD302" i="12"/>
  <c r="BC302" i="12"/>
  <c r="BB302" i="12"/>
  <c r="AU302" i="12"/>
  <c r="AS302" i="12"/>
  <c r="AQ302" i="12"/>
  <c r="AP302" i="12"/>
  <c r="AO302" i="12"/>
  <c r="AN302" i="12"/>
  <c r="AM302" i="12"/>
  <c r="AL302" i="12"/>
  <c r="AK302" i="12"/>
  <c r="AG302" i="12"/>
  <c r="AD302" i="12"/>
  <c r="AC302" i="12"/>
  <c r="AA302" i="12"/>
  <c r="Z302" i="12"/>
  <c r="Y302" i="12"/>
  <c r="X302" i="12"/>
  <c r="W302" i="12"/>
  <c r="V302" i="12"/>
  <c r="U302" i="12"/>
  <c r="T302" i="12"/>
  <c r="S302" i="12"/>
  <c r="P302" i="12"/>
  <c r="O302" i="12"/>
  <c r="N302" i="12"/>
  <c r="K302" i="12"/>
  <c r="J302" i="12"/>
  <c r="I302" i="12"/>
  <c r="G302" i="12"/>
  <c r="F302" i="12"/>
  <c r="E302" i="12"/>
  <c r="D302" i="12"/>
  <c r="C302" i="12"/>
  <c r="B302" i="12"/>
  <c r="A302" i="12"/>
  <c r="BE301" i="12"/>
  <c r="BD301" i="12"/>
  <c r="BC301" i="12"/>
  <c r="BB301" i="12"/>
  <c r="AU301" i="12"/>
  <c r="AS301" i="12"/>
  <c r="AQ301" i="12"/>
  <c r="AP301" i="12"/>
  <c r="AO301" i="12"/>
  <c r="AN301" i="12"/>
  <c r="AM301" i="12"/>
  <c r="AL301" i="12"/>
  <c r="AK301" i="12"/>
  <c r="AG301" i="12"/>
  <c r="AD301" i="12"/>
  <c r="AC301" i="12"/>
  <c r="AA301" i="12"/>
  <c r="Z301" i="12"/>
  <c r="Y301" i="12"/>
  <c r="X301" i="12"/>
  <c r="W301" i="12"/>
  <c r="V301" i="12"/>
  <c r="U301" i="12"/>
  <c r="T301" i="12"/>
  <c r="S301" i="12"/>
  <c r="P301" i="12"/>
  <c r="O301" i="12"/>
  <c r="N301" i="12"/>
  <c r="L301" i="12"/>
  <c r="K301" i="12"/>
  <c r="J301" i="12"/>
  <c r="I301" i="12"/>
  <c r="G301" i="12"/>
  <c r="F301" i="12"/>
  <c r="E301" i="12"/>
  <c r="D301" i="12"/>
  <c r="C301" i="12"/>
  <c r="B301" i="12"/>
  <c r="A301" i="12"/>
  <c r="BE300" i="12"/>
  <c r="BD300" i="12"/>
  <c r="BC300" i="12"/>
  <c r="BA300" i="12"/>
  <c r="AU300" i="12"/>
  <c r="AS300" i="12"/>
  <c r="AQ300" i="12"/>
  <c r="AN300" i="12"/>
  <c r="AL300" i="12"/>
  <c r="AK300" i="12"/>
  <c r="AH300" i="12"/>
  <c r="AG300" i="12"/>
  <c r="AD300" i="12"/>
  <c r="AC300" i="12"/>
  <c r="AB300" i="12"/>
  <c r="AA300" i="12"/>
  <c r="Z300" i="12"/>
  <c r="Y300" i="12"/>
  <c r="X300" i="12"/>
  <c r="W300" i="12"/>
  <c r="V300" i="12"/>
  <c r="U300" i="12"/>
  <c r="T300" i="12"/>
  <c r="S300" i="12"/>
  <c r="P300" i="12"/>
  <c r="K300" i="12"/>
  <c r="J300" i="12"/>
  <c r="I300" i="12"/>
  <c r="G300" i="12"/>
  <c r="F300" i="12"/>
  <c r="E300" i="12"/>
  <c r="D300" i="12"/>
  <c r="C300" i="12"/>
  <c r="B300" i="12"/>
  <c r="A300" i="12"/>
  <c r="BD299" i="12"/>
  <c r="BC299" i="12"/>
  <c r="BA299" i="12"/>
  <c r="AU299" i="12"/>
  <c r="AR299" i="12"/>
  <c r="AL299" i="12"/>
  <c r="AK299" i="12"/>
  <c r="AH299" i="12"/>
  <c r="AG299" i="12"/>
  <c r="AC299" i="12"/>
  <c r="AB299" i="12"/>
  <c r="AA299" i="12"/>
  <c r="Z299" i="12"/>
  <c r="Y299" i="12"/>
  <c r="X299" i="12"/>
  <c r="W299" i="12"/>
  <c r="V299" i="12"/>
  <c r="U299" i="12"/>
  <c r="S299" i="12"/>
  <c r="M299" i="12"/>
  <c r="L299" i="12"/>
  <c r="K299" i="12"/>
  <c r="J299" i="12"/>
  <c r="I299" i="12"/>
  <c r="G299" i="12"/>
  <c r="F299" i="12"/>
  <c r="E299" i="12"/>
  <c r="D299" i="12"/>
  <c r="C299" i="12"/>
  <c r="B299" i="12"/>
  <c r="A299" i="12"/>
  <c r="BE298" i="12"/>
  <c r="BD298" i="12"/>
  <c r="BC298" i="12"/>
  <c r="BA298" i="12"/>
  <c r="AU298" i="12"/>
  <c r="AS298" i="12"/>
  <c r="AQ298" i="12"/>
  <c r="AN298" i="12"/>
  <c r="AL298" i="12"/>
  <c r="AK298" i="12"/>
  <c r="AH298" i="12"/>
  <c r="AG298" i="12"/>
  <c r="AD298" i="12"/>
  <c r="AC298" i="12"/>
  <c r="AB298" i="12"/>
  <c r="AA298" i="12"/>
  <c r="Z298" i="12"/>
  <c r="Y298" i="12"/>
  <c r="X298" i="12"/>
  <c r="W298" i="12"/>
  <c r="V298" i="12"/>
  <c r="U298" i="12"/>
  <c r="T298" i="12"/>
  <c r="S298" i="12"/>
  <c r="P298" i="12"/>
  <c r="K298" i="12"/>
  <c r="J298" i="12"/>
  <c r="I298" i="12"/>
  <c r="G298" i="12"/>
  <c r="F298" i="12"/>
  <c r="E298" i="12"/>
  <c r="D298" i="12"/>
  <c r="C298" i="12"/>
  <c r="B298" i="12"/>
  <c r="A298" i="12"/>
  <c r="BE297" i="12"/>
  <c r="BD297" i="12"/>
  <c r="BC297" i="12"/>
  <c r="AY297" i="12"/>
  <c r="AU297" i="12"/>
  <c r="AS297" i="12"/>
  <c r="AQ297" i="12"/>
  <c r="AP297" i="12"/>
  <c r="AO297" i="12"/>
  <c r="AN297" i="12"/>
  <c r="AL297" i="12"/>
  <c r="AK297" i="12"/>
  <c r="AH297" i="12"/>
  <c r="AG297" i="12"/>
  <c r="AD297" i="12"/>
  <c r="AC297" i="12"/>
  <c r="AB297" i="12"/>
  <c r="AA297" i="12"/>
  <c r="Z297" i="12"/>
  <c r="Y297" i="12"/>
  <c r="X297" i="12"/>
  <c r="W297" i="12"/>
  <c r="V297" i="12"/>
  <c r="U297" i="12"/>
  <c r="T297" i="12"/>
  <c r="S297" i="12"/>
  <c r="P297" i="12"/>
  <c r="M297" i="12"/>
  <c r="L297" i="12"/>
  <c r="K297" i="12"/>
  <c r="J297" i="12"/>
  <c r="I297" i="12"/>
  <c r="G297" i="12"/>
  <c r="F297" i="12"/>
  <c r="E297" i="12"/>
  <c r="D297" i="12"/>
  <c r="C297" i="12"/>
  <c r="B297" i="12"/>
  <c r="A297" i="12"/>
  <c r="BE296" i="12"/>
  <c r="BD296" i="12"/>
  <c r="BC296" i="12"/>
  <c r="BB296" i="12"/>
  <c r="AU296" i="12"/>
  <c r="AS296" i="12"/>
  <c r="AQ296" i="12"/>
  <c r="AP296" i="12"/>
  <c r="AO296" i="12"/>
  <c r="AN296" i="12"/>
  <c r="AM296" i="12"/>
  <c r="AL296" i="12"/>
  <c r="AK296" i="12"/>
  <c r="AG296" i="12"/>
  <c r="AD296" i="12"/>
  <c r="AC296" i="12"/>
  <c r="AA296" i="12"/>
  <c r="Z296" i="12"/>
  <c r="Y296" i="12"/>
  <c r="X296" i="12"/>
  <c r="W296" i="12"/>
  <c r="V296" i="12"/>
  <c r="U296" i="12"/>
  <c r="T296" i="12"/>
  <c r="S296" i="12"/>
  <c r="P296" i="12"/>
  <c r="O296" i="12"/>
  <c r="N296" i="12"/>
  <c r="L296" i="12"/>
  <c r="K296" i="12"/>
  <c r="J296" i="12"/>
  <c r="I296" i="12"/>
  <c r="G296" i="12"/>
  <c r="F296" i="12"/>
  <c r="E296" i="12"/>
  <c r="D296" i="12"/>
  <c r="C296" i="12"/>
  <c r="B296" i="12"/>
  <c r="A296" i="12"/>
  <c r="BE295" i="12"/>
  <c r="BD295" i="12"/>
  <c r="BC295" i="12"/>
  <c r="BA295" i="12"/>
  <c r="AY295" i="12"/>
  <c r="AW295" i="12"/>
  <c r="AU295" i="12"/>
  <c r="AS295" i="12"/>
  <c r="AQ295" i="12"/>
  <c r="AP295" i="12"/>
  <c r="AO295" i="12"/>
  <c r="AN295" i="12"/>
  <c r="AL295" i="12"/>
  <c r="AK295" i="12"/>
  <c r="AH295" i="12"/>
  <c r="AG295" i="12"/>
  <c r="AD295" i="12"/>
  <c r="AC295" i="12"/>
  <c r="AB295" i="12"/>
  <c r="AA295" i="12"/>
  <c r="Z295" i="12"/>
  <c r="Y295" i="12"/>
  <c r="X295" i="12"/>
  <c r="W295" i="12"/>
  <c r="V295" i="12"/>
  <c r="U295" i="12"/>
  <c r="T295" i="12"/>
  <c r="S295" i="12"/>
  <c r="P295" i="12"/>
  <c r="K295" i="12"/>
  <c r="J295" i="12"/>
  <c r="I295" i="12"/>
  <c r="G295" i="12"/>
  <c r="F295" i="12"/>
  <c r="E295" i="12"/>
  <c r="D295" i="12"/>
  <c r="C295" i="12"/>
  <c r="B295" i="12"/>
  <c r="A295" i="12"/>
  <c r="BE294" i="12"/>
  <c r="BD294" i="12"/>
  <c r="BC294" i="12"/>
  <c r="BB294" i="12"/>
  <c r="AU294" i="12"/>
  <c r="AS294" i="12"/>
  <c r="AQ294" i="12"/>
  <c r="AP294" i="12"/>
  <c r="AO294" i="12"/>
  <c r="AN294" i="12"/>
  <c r="AM294" i="12"/>
  <c r="AL294" i="12"/>
  <c r="AK294" i="12"/>
  <c r="AH294" i="12"/>
  <c r="AG294" i="12"/>
  <c r="AD294" i="12"/>
  <c r="AC294" i="12"/>
  <c r="AA294" i="12"/>
  <c r="Z294" i="12"/>
  <c r="Y294" i="12"/>
  <c r="X294" i="12"/>
  <c r="W294" i="12"/>
  <c r="V294" i="12"/>
  <c r="U294" i="12"/>
  <c r="T294" i="12"/>
  <c r="S294" i="12"/>
  <c r="P294" i="12"/>
  <c r="O294" i="12"/>
  <c r="N294" i="12"/>
  <c r="M294" i="12"/>
  <c r="L294" i="12"/>
  <c r="K294" i="12"/>
  <c r="J294" i="12"/>
  <c r="I294" i="12"/>
  <c r="G294" i="12"/>
  <c r="F294" i="12"/>
  <c r="E294" i="12"/>
  <c r="D294" i="12"/>
  <c r="C294" i="12"/>
  <c r="B294" i="12"/>
  <c r="A294" i="12"/>
  <c r="BE293" i="12"/>
  <c r="BD293" i="12"/>
  <c r="BC293" i="12"/>
  <c r="BB293" i="12"/>
  <c r="AU293" i="12"/>
  <c r="AS293" i="12"/>
  <c r="AQ293" i="12"/>
  <c r="AP293" i="12"/>
  <c r="AO293" i="12"/>
  <c r="AN293" i="12"/>
  <c r="AM293" i="12"/>
  <c r="AL293" i="12"/>
  <c r="AK293" i="12"/>
  <c r="AG293" i="12"/>
  <c r="AD293" i="12"/>
  <c r="AC293" i="12"/>
  <c r="AA293" i="12"/>
  <c r="Z293" i="12"/>
  <c r="Y293" i="12"/>
  <c r="X293" i="12"/>
  <c r="W293" i="12"/>
  <c r="V293" i="12"/>
  <c r="U293" i="12"/>
  <c r="T293" i="12"/>
  <c r="S293" i="12"/>
  <c r="P293" i="12"/>
  <c r="O293" i="12"/>
  <c r="N293" i="12"/>
  <c r="M293" i="12"/>
  <c r="L293" i="12"/>
  <c r="K293" i="12"/>
  <c r="J293" i="12"/>
  <c r="I293" i="12"/>
  <c r="G293" i="12"/>
  <c r="F293" i="12"/>
  <c r="E293" i="12"/>
  <c r="D293" i="12"/>
  <c r="C293" i="12"/>
  <c r="B293" i="12"/>
  <c r="A293" i="12"/>
  <c r="BE292" i="12"/>
  <c r="BD292" i="12"/>
  <c r="BC292" i="12"/>
  <c r="BB292" i="12"/>
  <c r="AU292" i="12"/>
  <c r="AS292" i="12"/>
  <c r="AQ292" i="12"/>
  <c r="AP292" i="12"/>
  <c r="AO292" i="12"/>
  <c r="AN292" i="12"/>
  <c r="AM292" i="12"/>
  <c r="AL292" i="12"/>
  <c r="AK292" i="12"/>
  <c r="AH292" i="12"/>
  <c r="AG292" i="12"/>
  <c r="AD292" i="12"/>
  <c r="AC292" i="12"/>
  <c r="AA292" i="12"/>
  <c r="Z292" i="12"/>
  <c r="Y292" i="12"/>
  <c r="X292" i="12"/>
  <c r="W292" i="12"/>
  <c r="V292" i="12"/>
  <c r="U292" i="12"/>
  <c r="T292" i="12"/>
  <c r="S292" i="12"/>
  <c r="P292" i="12"/>
  <c r="O292" i="12"/>
  <c r="N292" i="12"/>
  <c r="M292" i="12"/>
  <c r="L292" i="12"/>
  <c r="K292" i="12"/>
  <c r="J292" i="12"/>
  <c r="I292" i="12"/>
  <c r="G292" i="12"/>
  <c r="F292" i="12"/>
  <c r="E292" i="12"/>
  <c r="D292" i="12"/>
  <c r="C292" i="12"/>
  <c r="B292" i="12"/>
  <c r="A292" i="12"/>
  <c r="BE291" i="12"/>
  <c r="BD291" i="12"/>
  <c r="BC291" i="12"/>
  <c r="BB291" i="12"/>
  <c r="AU291" i="12"/>
  <c r="AS291" i="12"/>
  <c r="AQ291" i="12"/>
  <c r="AP291" i="12"/>
  <c r="AO291" i="12"/>
  <c r="AN291" i="12"/>
  <c r="AM291" i="12"/>
  <c r="AL291" i="12"/>
  <c r="AK291" i="12"/>
  <c r="AG291" i="12"/>
  <c r="AD291" i="12"/>
  <c r="AC291" i="12"/>
  <c r="AA291" i="12"/>
  <c r="Z291" i="12"/>
  <c r="Y291" i="12"/>
  <c r="X291" i="12"/>
  <c r="W291" i="12"/>
  <c r="V291" i="12"/>
  <c r="U291" i="12"/>
  <c r="T291" i="12"/>
  <c r="S291" i="12"/>
  <c r="P291" i="12"/>
  <c r="O291" i="12"/>
  <c r="N291" i="12"/>
  <c r="L291" i="12"/>
  <c r="K291" i="12"/>
  <c r="J291" i="12"/>
  <c r="I291" i="12"/>
  <c r="G291" i="12"/>
  <c r="F291" i="12"/>
  <c r="E291" i="12"/>
  <c r="D291" i="12"/>
  <c r="C291" i="12"/>
  <c r="B291" i="12"/>
  <c r="A291" i="12"/>
  <c r="BE290" i="12"/>
  <c r="BD290" i="12"/>
  <c r="BC290" i="12"/>
  <c r="BB290" i="12"/>
  <c r="AU290" i="12"/>
  <c r="AS290" i="12"/>
  <c r="AQ290" i="12"/>
  <c r="AP290" i="12"/>
  <c r="AO290" i="12"/>
  <c r="AN290" i="12"/>
  <c r="AM290" i="12"/>
  <c r="AL290" i="12"/>
  <c r="AK290" i="12"/>
  <c r="AG290" i="12"/>
  <c r="AD290" i="12"/>
  <c r="AC290" i="12"/>
  <c r="AA290" i="12"/>
  <c r="Z290" i="12"/>
  <c r="Y290" i="12"/>
  <c r="X290" i="12"/>
  <c r="W290" i="12"/>
  <c r="V290" i="12"/>
  <c r="U290" i="12"/>
  <c r="T290" i="12"/>
  <c r="S290" i="12"/>
  <c r="P290" i="12"/>
  <c r="O290" i="12"/>
  <c r="N290" i="12"/>
  <c r="M290" i="12"/>
  <c r="L290" i="12"/>
  <c r="K290" i="12"/>
  <c r="J290" i="12"/>
  <c r="I290" i="12"/>
  <c r="G290" i="12"/>
  <c r="F290" i="12"/>
  <c r="E290" i="12"/>
  <c r="D290" i="12"/>
  <c r="C290" i="12"/>
  <c r="B290" i="12"/>
  <c r="A290" i="12"/>
  <c r="BE289" i="12"/>
  <c r="BD289" i="12"/>
  <c r="BC289" i="12"/>
  <c r="BB289" i="12"/>
  <c r="AU289" i="12"/>
  <c r="AS289" i="12"/>
  <c r="AQ289" i="12"/>
  <c r="AP289" i="12"/>
  <c r="AO289" i="12"/>
  <c r="AN289" i="12"/>
  <c r="AM289" i="12"/>
  <c r="AL289" i="12"/>
  <c r="AK289" i="12"/>
  <c r="AG289" i="12"/>
  <c r="AD289" i="12"/>
  <c r="AC289" i="12"/>
  <c r="AA289" i="12"/>
  <c r="Z289" i="12"/>
  <c r="Y289" i="12"/>
  <c r="X289" i="12"/>
  <c r="W289" i="12"/>
  <c r="V289" i="12"/>
  <c r="U289" i="12"/>
  <c r="T289" i="12"/>
  <c r="S289" i="12"/>
  <c r="P289" i="12"/>
  <c r="O289" i="12"/>
  <c r="N289" i="12"/>
  <c r="M289" i="12"/>
  <c r="L289" i="12"/>
  <c r="K289" i="12"/>
  <c r="J289" i="12"/>
  <c r="I289" i="12"/>
  <c r="G289" i="12"/>
  <c r="F289" i="12"/>
  <c r="E289" i="12"/>
  <c r="D289" i="12"/>
  <c r="C289" i="12"/>
  <c r="B289" i="12"/>
  <c r="A289" i="12"/>
  <c r="BE288" i="12"/>
  <c r="BD288" i="12"/>
  <c r="BC288" i="12"/>
  <c r="BB288" i="12"/>
  <c r="AU288" i="12"/>
  <c r="AS288" i="12"/>
  <c r="AQ288" i="12"/>
  <c r="AP288" i="12"/>
  <c r="AO288" i="12"/>
  <c r="AN288" i="12"/>
  <c r="AM288" i="12"/>
  <c r="AL288" i="12"/>
  <c r="AK288" i="12"/>
  <c r="AG288" i="12"/>
  <c r="AD288" i="12"/>
  <c r="AC288" i="12"/>
  <c r="AA288" i="12"/>
  <c r="Z288" i="12"/>
  <c r="Y288" i="12"/>
  <c r="X288" i="12"/>
  <c r="W288" i="12"/>
  <c r="V288" i="12"/>
  <c r="U288" i="12"/>
  <c r="T288" i="12"/>
  <c r="S288" i="12"/>
  <c r="P288" i="12"/>
  <c r="O288" i="12"/>
  <c r="N288" i="12"/>
  <c r="M288" i="12"/>
  <c r="L288" i="12"/>
  <c r="K288" i="12"/>
  <c r="J288" i="12"/>
  <c r="I288" i="12"/>
  <c r="G288" i="12"/>
  <c r="F288" i="12"/>
  <c r="E288" i="12"/>
  <c r="D288" i="12"/>
  <c r="C288" i="12"/>
  <c r="B288" i="12"/>
  <c r="A288" i="12"/>
  <c r="BE287" i="12"/>
  <c r="BD287" i="12"/>
  <c r="BC287" i="12"/>
  <c r="BB287" i="12"/>
  <c r="AU287" i="12"/>
  <c r="AS287" i="12"/>
  <c r="AQ287" i="12"/>
  <c r="AP287" i="12"/>
  <c r="AO287" i="12"/>
  <c r="AN287" i="12"/>
  <c r="AM287" i="12"/>
  <c r="AL287" i="12"/>
  <c r="AK287" i="12"/>
  <c r="AG287" i="12"/>
  <c r="AD287" i="12"/>
  <c r="AC287" i="12"/>
  <c r="AA287" i="12"/>
  <c r="Z287" i="12"/>
  <c r="Y287" i="12"/>
  <c r="X287" i="12"/>
  <c r="W287" i="12"/>
  <c r="V287" i="12"/>
  <c r="U287" i="12"/>
  <c r="T287" i="12"/>
  <c r="S287" i="12"/>
  <c r="P287" i="12"/>
  <c r="O287" i="12"/>
  <c r="N287" i="12"/>
  <c r="L287" i="12"/>
  <c r="K287" i="12"/>
  <c r="J287" i="12"/>
  <c r="I287" i="12"/>
  <c r="G287" i="12"/>
  <c r="F287" i="12"/>
  <c r="E287" i="12"/>
  <c r="D287" i="12"/>
  <c r="C287" i="12"/>
  <c r="B287" i="12"/>
  <c r="A287" i="12"/>
  <c r="BE286" i="12"/>
  <c r="BD286" i="12"/>
  <c r="BC286" i="12"/>
  <c r="BB286" i="12"/>
  <c r="AU286" i="12"/>
  <c r="AS286" i="12"/>
  <c r="AQ286" i="12"/>
  <c r="AP286" i="12"/>
  <c r="AO286" i="12"/>
  <c r="AN286" i="12"/>
  <c r="AM286" i="12"/>
  <c r="AL286" i="12"/>
  <c r="AK286" i="12"/>
  <c r="AG286" i="12"/>
  <c r="AD286" i="12"/>
  <c r="AC286" i="12"/>
  <c r="AA286" i="12"/>
  <c r="Z286" i="12"/>
  <c r="Y286" i="12"/>
  <c r="X286" i="12"/>
  <c r="W286" i="12"/>
  <c r="V286" i="12"/>
  <c r="U286" i="12"/>
  <c r="T286" i="12"/>
  <c r="S286" i="12"/>
  <c r="P286" i="12"/>
  <c r="O286" i="12"/>
  <c r="N286" i="12"/>
  <c r="M286" i="12"/>
  <c r="L286" i="12"/>
  <c r="K286" i="12"/>
  <c r="J286" i="12"/>
  <c r="I286" i="12"/>
  <c r="G286" i="12"/>
  <c r="F286" i="12"/>
  <c r="E286" i="12"/>
  <c r="D286" i="12"/>
  <c r="C286" i="12"/>
  <c r="B286" i="12"/>
  <c r="A286" i="12"/>
  <c r="BE285" i="12"/>
  <c r="BD285" i="12"/>
  <c r="BC285" i="12"/>
  <c r="AW285" i="12"/>
  <c r="AU285" i="12"/>
  <c r="AT285" i="12"/>
  <c r="AS285" i="12"/>
  <c r="AQ285" i="12"/>
  <c r="AP285" i="12"/>
  <c r="AO285" i="12"/>
  <c r="AN285" i="12"/>
  <c r="AL285" i="12"/>
  <c r="AK285" i="12"/>
  <c r="AH285" i="12"/>
  <c r="AG285" i="12"/>
  <c r="AD285" i="12"/>
  <c r="AC285" i="12"/>
  <c r="AB285" i="12"/>
  <c r="AA285" i="12"/>
  <c r="Z285" i="12"/>
  <c r="Y285" i="12"/>
  <c r="X285" i="12"/>
  <c r="W285" i="12"/>
  <c r="V285" i="12"/>
  <c r="U285" i="12"/>
  <c r="T285" i="12"/>
  <c r="S285" i="12"/>
  <c r="P285" i="12"/>
  <c r="M285" i="12"/>
  <c r="L285" i="12"/>
  <c r="K285" i="12"/>
  <c r="J285" i="12"/>
  <c r="I285" i="12"/>
  <c r="G285" i="12"/>
  <c r="F285" i="12"/>
  <c r="E285" i="12"/>
  <c r="D285" i="12"/>
  <c r="C285" i="12"/>
  <c r="B285" i="12"/>
  <c r="A285" i="12"/>
  <c r="BD284" i="12"/>
  <c r="BC284" i="12"/>
  <c r="BA284" i="12"/>
  <c r="AU284" i="12"/>
  <c r="AR284" i="12"/>
  <c r="AL284" i="12"/>
  <c r="AK284" i="12"/>
  <c r="AH284" i="12"/>
  <c r="AG284" i="12"/>
  <c r="AC284" i="12"/>
  <c r="AB284" i="12"/>
  <c r="AA284" i="12"/>
  <c r="Z284" i="12"/>
  <c r="Y284" i="12"/>
  <c r="X284" i="12"/>
  <c r="W284" i="12"/>
  <c r="V284" i="12"/>
  <c r="U284" i="12"/>
  <c r="M284" i="12"/>
  <c r="L284" i="12"/>
  <c r="K284" i="12"/>
  <c r="J284" i="12"/>
  <c r="I284" i="12"/>
  <c r="H284" i="12"/>
  <c r="G284" i="12"/>
  <c r="F284" i="12"/>
  <c r="E284" i="12"/>
  <c r="D284" i="12"/>
  <c r="C284" i="12"/>
  <c r="B284" i="12"/>
  <c r="A284" i="12"/>
  <c r="BE283" i="12"/>
  <c r="BD283" i="12"/>
  <c r="BC283" i="12"/>
  <c r="AU283" i="12"/>
  <c r="AT283" i="12"/>
  <c r="AS283" i="12"/>
  <c r="AQ283" i="12"/>
  <c r="AP283" i="12"/>
  <c r="AO283" i="12"/>
  <c r="AN283" i="12"/>
  <c r="AL283" i="12"/>
  <c r="AK283" i="12"/>
  <c r="AH283" i="12"/>
  <c r="AG283" i="12"/>
  <c r="AD283" i="12"/>
  <c r="AC283" i="12"/>
  <c r="AB283" i="12"/>
  <c r="AA283" i="12"/>
  <c r="Z283" i="12"/>
  <c r="Y283" i="12"/>
  <c r="X283" i="12"/>
  <c r="W283" i="12"/>
  <c r="V283" i="12"/>
  <c r="U283" i="12"/>
  <c r="T283" i="12"/>
  <c r="S283" i="12"/>
  <c r="P283" i="12"/>
  <c r="K283" i="12"/>
  <c r="J283" i="12"/>
  <c r="I283" i="12"/>
  <c r="G283" i="12"/>
  <c r="F283" i="12"/>
  <c r="E283" i="12"/>
  <c r="D283" i="12"/>
  <c r="C283" i="12"/>
  <c r="B283" i="12"/>
  <c r="A283" i="12"/>
  <c r="BE282" i="12"/>
  <c r="BD282" i="12"/>
  <c r="BC282" i="12"/>
  <c r="BB282" i="12"/>
  <c r="AU282" i="12"/>
  <c r="AS282" i="12"/>
  <c r="AQ282" i="12"/>
  <c r="AN282" i="12"/>
  <c r="AL282" i="12"/>
  <c r="AK282" i="12"/>
  <c r="AH282" i="12"/>
  <c r="AG282" i="12"/>
  <c r="AD282" i="12"/>
  <c r="AA282" i="12"/>
  <c r="Z282" i="12"/>
  <c r="Y282" i="12"/>
  <c r="X282" i="12"/>
  <c r="W282" i="12"/>
  <c r="V282" i="12"/>
  <c r="U282" i="12"/>
  <c r="T282" i="12"/>
  <c r="S282" i="12"/>
  <c r="P282" i="12"/>
  <c r="K282" i="12"/>
  <c r="J282" i="12"/>
  <c r="I282" i="12"/>
  <c r="G282" i="12"/>
  <c r="F282" i="12"/>
  <c r="D282" i="12"/>
  <c r="C282" i="12"/>
  <c r="B282" i="12"/>
  <c r="A282" i="12"/>
  <c r="BC281" i="12"/>
  <c r="AU281" i="12"/>
  <c r="AK281" i="12"/>
  <c r="AH281" i="12"/>
  <c r="AG281" i="12"/>
  <c r="Z281" i="12"/>
  <c r="X281" i="12"/>
  <c r="V281" i="12"/>
  <c r="T281" i="12"/>
  <c r="S281" i="12"/>
  <c r="K281" i="12"/>
  <c r="J281" i="12"/>
  <c r="I281" i="12"/>
  <c r="G281" i="12"/>
  <c r="F281" i="12"/>
  <c r="D281" i="12"/>
  <c r="C281" i="12"/>
  <c r="B281" i="12"/>
  <c r="A281" i="12"/>
  <c r="BE280" i="12"/>
  <c r="BD280" i="12"/>
  <c r="BC280" i="12"/>
  <c r="BB280" i="12"/>
  <c r="AU280" i="12"/>
  <c r="AS280" i="12"/>
  <c r="AQ280" i="12"/>
  <c r="AN280" i="12"/>
  <c r="AL280" i="12"/>
  <c r="AK280" i="12"/>
  <c r="AH280" i="12"/>
  <c r="AG280" i="12"/>
  <c r="AD280" i="12"/>
  <c r="AA280" i="12"/>
  <c r="Z280" i="12"/>
  <c r="Y280" i="12"/>
  <c r="X280" i="12"/>
  <c r="W280" i="12"/>
  <c r="V280" i="12"/>
  <c r="U280" i="12"/>
  <c r="T280" i="12"/>
  <c r="S280" i="12"/>
  <c r="P280" i="12"/>
  <c r="K280" i="12"/>
  <c r="J280" i="12"/>
  <c r="I280" i="12"/>
  <c r="G280" i="12"/>
  <c r="F280" i="12"/>
  <c r="D280" i="12"/>
  <c r="C280" i="12"/>
  <c r="B280" i="12"/>
  <c r="A280" i="12"/>
  <c r="BE279" i="12"/>
  <c r="BD279" i="12"/>
  <c r="BC279" i="12"/>
  <c r="BA279" i="12"/>
  <c r="AU279" i="12"/>
  <c r="AS279" i="12"/>
  <c r="AR279" i="12"/>
  <c r="AQ279" i="12"/>
  <c r="AN279" i="12"/>
  <c r="AL279" i="12"/>
  <c r="AK279" i="12"/>
  <c r="AH279" i="12"/>
  <c r="AG279" i="12"/>
  <c r="AD279" i="12"/>
  <c r="AC279" i="12"/>
  <c r="AB279" i="12"/>
  <c r="AA279" i="12"/>
  <c r="Z279" i="12"/>
  <c r="Y279" i="12"/>
  <c r="X279" i="12"/>
  <c r="W279" i="12"/>
  <c r="V279" i="12"/>
  <c r="U279" i="12"/>
  <c r="T279" i="12"/>
  <c r="S279" i="12"/>
  <c r="P279" i="12"/>
  <c r="M279" i="12"/>
  <c r="L279" i="12"/>
  <c r="K279" i="12"/>
  <c r="J279" i="12"/>
  <c r="I279" i="12"/>
  <c r="H279" i="12"/>
  <c r="G279" i="12"/>
  <c r="F279" i="12"/>
  <c r="E279" i="12"/>
  <c r="D279" i="12"/>
  <c r="C279" i="12"/>
  <c r="B279" i="12"/>
  <c r="A279" i="12"/>
  <c r="BE278" i="12"/>
  <c r="BD278" i="12"/>
  <c r="BC278" i="12"/>
  <c r="BB278" i="12"/>
  <c r="AU278" i="12"/>
  <c r="AS278" i="12"/>
  <c r="AQ278" i="12"/>
  <c r="AP278" i="12"/>
  <c r="AO278" i="12"/>
  <c r="AN278" i="12"/>
  <c r="AM278" i="12"/>
  <c r="AL278" i="12"/>
  <c r="AK278" i="12"/>
  <c r="AG278" i="12"/>
  <c r="AD278" i="12"/>
  <c r="AC278" i="12"/>
  <c r="AA278" i="12"/>
  <c r="Z278" i="12"/>
  <c r="Y278" i="12"/>
  <c r="X278" i="12"/>
  <c r="W278" i="12"/>
  <c r="V278" i="12"/>
  <c r="U278" i="12"/>
  <c r="T278" i="12"/>
  <c r="S278" i="12"/>
  <c r="P278" i="12"/>
  <c r="O278" i="12"/>
  <c r="N278" i="12"/>
  <c r="M278" i="12"/>
  <c r="L278" i="12"/>
  <c r="K278" i="12"/>
  <c r="J278" i="12"/>
  <c r="I278" i="12"/>
  <c r="G278" i="12"/>
  <c r="F278" i="12"/>
  <c r="E278" i="12"/>
  <c r="D278" i="12"/>
  <c r="C278" i="12"/>
  <c r="B278" i="12"/>
  <c r="A278" i="12"/>
  <c r="BE277" i="12"/>
  <c r="BD277" i="12"/>
  <c r="BC277" i="12"/>
  <c r="BA277" i="12"/>
  <c r="AU277" i="12"/>
  <c r="AS277" i="12"/>
  <c r="AQ277" i="12"/>
  <c r="AN277" i="12"/>
  <c r="AL277" i="12"/>
  <c r="AK277" i="12"/>
  <c r="AH277" i="12"/>
  <c r="AG277" i="12"/>
  <c r="AD277" i="12"/>
  <c r="AC277" i="12"/>
  <c r="AB277" i="12"/>
  <c r="AA277" i="12"/>
  <c r="Z277" i="12"/>
  <c r="Y277" i="12"/>
  <c r="X277" i="12"/>
  <c r="W277" i="12"/>
  <c r="V277" i="12"/>
  <c r="U277" i="12"/>
  <c r="T277" i="12"/>
  <c r="S277" i="12"/>
  <c r="P277" i="12"/>
  <c r="K277" i="12"/>
  <c r="J277" i="12"/>
  <c r="I277" i="12"/>
  <c r="G277" i="12"/>
  <c r="F277" i="12"/>
  <c r="E277" i="12"/>
  <c r="D277" i="12"/>
  <c r="C277" i="12"/>
  <c r="B277" i="12"/>
  <c r="A277" i="12"/>
  <c r="BE276" i="12"/>
  <c r="BD276" i="12"/>
  <c r="BC276" i="12"/>
  <c r="BB276" i="12"/>
  <c r="AU276" i="12"/>
  <c r="AS276" i="12"/>
  <c r="AQ276" i="12"/>
  <c r="AN276" i="12"/>
  <c r="AL276" i="12"/>
  <c r="AK276" i="12"/>
  <c r="AH276" i="12"/>
  <c r="AG276" i="12"/>
  <c r="AD276" i="12"/>
  <c r="AC276" i="12"/>
  <c r="AA276" i="12"/>
  <c r="Z276" i="12"/>
  <c r="Y276" i="12"/>
  <c r="X276" i="12"/>
  <c r="W276" i="12"/>
  <c r="V276" i="12"/>
  <c r="U276" i="12"/>
  <c r="T276" i="12"/>
  <c r="S276" i="12"/>
  <c r="P276" i="12"/>
  <c r="K276" i="12"/>
  <c r="J276" i="12"/>
  <c r="I276" i="12"/>
  <c r="G276" i="12"/>
  <c r="F276" i="12"/>
  <c r="D276" i="12"/>
  <c r="C276" i="12"/>
  <c r="B276" i="12"/>
  <c r="A276" i="12"/>
  <c r="BE275" i="12"/>
  <c r="BD275" i="12"/>
  <c r="BC275" i="12"/>
  <c r="BB275" i="12"/>
  <c r="AU275" i="12"/>
  <c r="AS275" i="12"/>
  <c r="AQ275" i="12"/>
  <c r="AN275" i="12"/>
  <c r="AL275" i="12"/>
  <c r="AK275" i="12"/>
  <c r="AH275" i="12"/>
  <c r="AG275" i="12"/>
  <c r="AD275" i="12"/>
  <c r="AA275" i="12"/>
  <c r="Z275" i="12"/>
  <c r="Y275" i="12"/>
  <c r="X275" i="12"/>
  <c r="W275" i="12"/>
  <c r="V275" i="12"/>
  <c r="U275" i="12"/>
  <c r="T275" i="12"/>
  <c r="S275" i="12"/>
  <c r="P275" i="12"/>
  <c r="K275" i="12"/>
  <c r="J275" i="12"/>
  <c r="I275" i="12"/>
  <c r="G275" i="12"/>
  <c r="F275" i="12"/>
  <c r="D275" i="12"/>
  <c r="C275" i="12"/>
  <c r="B275" i="12"/>
  <c r="A275" i="12"/>
  <c r="BE274" i="12"/>
  <c r="BD274" i="12"/>
  <c r="BC274" i="12"/>
  <c r="AU274" i="12"/>
  <c r="AS274" i="12"/>
  <c r="AQ274" i="12"/>
  <c r="AN274" i="12"/>
  <c r="AL274" i="12"/>
  <c r="AK274" i="12"/>
  <c r="AH274" i="12"/>
  <c r="AG274" i="12"/>
  <c r="AD274" i="12"/>
  <c r="AC274" i="12"/>
  <c r="AB274" i="12"/>
  <c r="AA274" i="12"/>
  <c r="Z274" i="12"/>
  <c r="Y274" i="12"/>
  <c r="X274" i="12"/>
  <c r="W274" i="12"/>
  <c r="V274" i="12"/>
  <c r="U274" i="12"/>
  <c r="T274" i="12"/>
  <c r="S274" i="12"/>
  <c r="P274" i="12"/>
  <c r="K274" i="12"/>
  <c r="J274" i="12"/>
  <c r="I274" i="12"/>
  <c r="G274" i="12"/>
  <c r="F274" i="12"/>
  <c r="E274" i="12"/>
  <c r="D274" i="12"/>
  <c r="C274" i="12"/>
  <c r="B274" i="12"/>
  <c r="A274" i="12"/>
  <c r="BE273" i="12"/>
  <c r="BD273" i="12"/>
  <c r="BC273" i="12"/>
  <c r="BA273" i="12"/>
  <c r="AU273" i="12"/>
  <c r="AS273" i="12"/>
  <c r="AR273" i="12"/>
  <c r="AQ273" i="12"/>
  <c r="AN273" i="12"/>
  <c r="AL273" i="12"/>
  <c r="AK273" i="12"/>
  <c r="AH273" i="12"/>
  <c r="AG273" i="12"/>
  <c r="AD273" i="12"/>
  <c r="AC273" i="12"/>
  <c r="AB273" i="12"/>
  <c r="AA273" i="12"/>
  <c r="Z273" i="12"/>
  <c r="Y273" i="12"/>
  <c r="X273" i="12"/>
  <c r="W273" i="12"/>
  <c r="V273" i="12"/>
  <c r="U273" i="12"/>
  <c r="T273" i="12"/>
  <c r="S273" i="12"/>
  <c r="P273" i="12"/>
  <c r="M273" i="12"/>
  <c r="L273" i="12"/>
  <c r="K273" i="12"/>
  <c r="J273" i="12"/>
  <c r="I273" i="12"/>
  <c r="H273" i="12"/>
  <c r="G273" i="12"/>
  <c r="F273" i="12"/>
  <c r="E273" i="12"/>
  <c r="D273" i="12"/>
  <c r="C273" i="12"/>
  <c r="B273" i="12"/>
  <c r="A273" i="12"/>
  <c r="BE272" i="12"/>
  <c r="BD272" i="12"/>
  <c r="BC272" i="12"/>
  <c r="BA272" i="12"/>
  <c r="AU272" i="12"/>
  <c r="AS272" i="12"/>
  <c r="AQ272" i="12"/>
  <c r="AN272" i="12"/>
  <c r="AL272" i="12"/>
  <c r="AK272" i="12"/>
  <c r="AH272" i="12"/>
  <c r="AG272" i="12"/>
  <c r="AD272" i="12"/>
  <c r="AC272" i="12"/>
  <c r="AB272" i="12"/>
  <c r="AA272" i="12"/>
  <c r="Z272" i="12"/>
  <c r="Y272" i="12"/>
  <c r="X272" i="12"/>
  <c r="W272" i="12"/>
  <c r="V272" i="12"/>
  <c r="U272" i="12"/>
  <c r="T272" i="12"/>
  <c r="S272" i="12"/>
  <c r="P272" i="12"/>
  <c r="M272" i="12"/>
  <c r="L272" i="12"/>
  <c r="K272" i="12"/>
  <c r="J272" i="12"/>
  <c r="I272" i="12"/>
  <c r="G272" i="12"/>
  <c r="F272" i="12"/>
  <c r="E272" i="12"/>
  <c r="D272" i="12"/>
  <c r="C272" i="12"/>
  <c r="B272" i="12"/>
  <c r="A272" i="12"/>
  <c r="BD271" i="12"/>
  <c r="BC271" i="12"/>
  <c r="BA271" i="12"/>
  <c r="AU271" i="12"/>
  <c r="AR271" i="12"/>
  <c r="AL271" i="12"/>
  <c r="AK271" i="12"/>
  <c r="AH271" i="12"/>
  <c r="AG271" i="12"/>
  <c r="AC271" i="12"/>
  <c r="AB271" i="12"/>
  <c r="AA271" i="12"/>
  <c r="Z271" i="12"/>
  <c r="Y271" i="12"/>
  <c r="X271" i="12"/>
  <c r="W271" i="12"/>
  <c r="V271" i="12"/>
  <c r="U271" i="12"/>
  <c r="M271" i="12"/>
  <c r="L271" i="12"/>
  <c r="K271" i="12"/>
  <c r="J271" i="12"/>
  <c r="I271" i="12"/>
  <c r="H271" i="12"/>
  <c r="G271" i="12"/>
  <c r="F271" i="12"/>
  <c r="E271" i="12"/>
  <c r="D271" i="12"/>
  <c r="C271" i="12"/>
  <c r="B271" i="12"/>
  <c r="A271" i="12"/>
  <c r="BE270" i="12"/>
  <c r="BD270" i="12"/>
  <c r="BC270" i="12"/>
  <c r="BB270" i="12"/>
  <c r="AU270" i="12"/>
  <c r="AS270" i="12"/>
  <c r="AQ270" i="12"/>
  <c r="AN270" i="12"/>
  <c r="AL270" i="12"/>
  <c r="AK270" i="12"/>
  <c r="AH270" i="12"/>
  <c r="AG270" i="12"/>
  <c r="AD270" i="12"/>
  <c r="AC270" i="12"/>
  <c r="AA270" i="12"/>
  <c r="Z270" i="12"/>
  <c r="Y270" i="12"/>
  <c r="X270" i="12"/>
  <c r="W270" i="12"/>
  <c r="V270" i="12"/>
  <c r="U270" i="12"/>
  <c r="T270" i="12"/>
  <c r="S270" i="12"/>
  <c r="P270" i="12"/>
  <c r="K270" i="12"/>
  <c r="J270" i="12"/>
  <c r="I270" i="12"/>
  <c r="G270" i="12"/>
  <c r="F270" i="12"/>
  <c r="D270" i="12"/>
  <c r="C270" i="12"/>
  <c r="B270" i="12"/>
  <c r="A270" i="12"/>
  <c r="BE269" i="12"/>
  <c r="BD269" i="12"/>
  <c r="BC269" i="12"/>
  <c r="BA269" i="12"/>
  <c r="AU269" i="12"/>
  <c r="AS269" i="12"/>
  <c r="AQ269" i="12"/>
  <c r="AN269" i="12"/>
  <c r="AL269" i="12"/>
  <c r="AK269" i="12"/>
  <c r="AH269" i="12"/>
  <c r="AG269" i="12"/>
  <c r="AD269" i="12"/>
  <c r="AC269" i="12"/>
  <c r="AB269" i="12"/>
  <c r="AA269" i="12"/>
  <c r="Z269" i="12"/>
  <c r="Y269" i="12"/>
  <c r="X269" i="12"/>
  <c r="W269" i="12"/>
  <c r="V269" i="12"/>
  <c r="U269" i="12"/>
  <c r="S269" i="12"/>
  <c r="P269" i="12"/>
  <c r="K269" i="12"/>
  <c r="J269" i="12"/>
  <c r="I269" i="12"/>
  <c r="G269" i="12"/>
  <c r="F269" i="12"/>
  <c r="E269" i="12"/>
  <c r="D269" i="12"/>
  <c r="C269" i="12"/>
  <c r="B269" i="12"/>
  <c r="A269" i="12"/>
  <c r="BE268" i="12"/>
  <c r="BD268" i="12"/>
  <c r="BC268" i="12"/>
  <c r="BB268" i="12"/>
  <c r="AU268" i="12"/>
  <c r="AS268" i="12"/>
  <c r="AQ268" i="12"/>
  <c r="AP268" i="12"/>
  <c r="AO268" i="12"/>
  <c r="AN268" i="12"/>
  <c r="AM268" i="12"/>
  <c r="AL268" i="12"/>
  <c r="AK268" i="12"/>
  <c r="AG268" i="12"/>
  <c r="AD268" i="12"/>
  <c r="AC268" i="12"/>
  <c r="AA268" i="12"/>
  <c r="Z268" i="12"/>
  <c r="Y268" i="12"/>
  <c r="X268" i="12"/>
  <c r="W268" i="12"/>
  <c r="V268" i="12"/>
  <c r="U268" i="12"/>
  <c r="T268" i="12"/>
  <c r="S268" i="12"/>
  <c r="P268" i="12"/>
  <c r="O268" i="12"/>
  <c r="N268" i="12"/>
  <c r="L268" i="12"/>
  <c r="K268" i="12"/>
  <c r="J268" i="12"/>
  <c r="I268" i="12"/>
  <c r="G268" i="12"/>
  <c r="F268" i="12"/>
  <c r="E268" i="12"/>
  <c r="D268" i="12"/>
  <c r="C268" i="12"/>
  <c r="B268" i="12"/>
  <c r="A268" i="12"/>
  <c r="BE267" i="12"/>
  <c r="BD267" i="12"/>
  <c r="BC267" i="12"/>
  <c r="AW267" i="12"/>
  <c r="AU267" i="12"/>
  <c r="AT267" i="12"/>
  <c r="AS267" i="12"/>
  <c r="AQ267" i="12"/>
  <c r="AP267" i="12"/>
  <c r="AO267" i="12"/>
  <c r="AN267" i="12"/>
  <c r="AL267" i="12"/>
  <c r="AK267" i="12"/>
  <c r="AH267" i="12"/>
  <c r="AG267" i="12"/>
  <c r="AD267" i="12"/>
  <c r="AC267" i="12"/>
  <c r="AB267" i="12"/>
  <c r="AA267" i="12"/>
  <c r="Z267" i="12"/>
  <c r="Y267" i="12"/>
  <c r="X267" i="12"/>
  <c r="W267" i="12"/>
  <c r="V267" i="12"/>
  <c r="U267" i="12"/>
  <c r="T267" i="12"/>
  <c r="S267" i="12"/>
  <c r="P267" i="12"/>
  <c r="M267" i="12"/>
  <c r="L267" i="12"/>
  <c r="K267" i="12"/>
  <c r="J267" i="12"/>
  <c r="I267" i="12"/>
  <c r="G267" i="12"/>
  <c r="F267" i="12"/>
  <c r="E267" i="12"/>
  <c r="D267" i="12"/>
  <c r="C267" i="12"/>
  <c r="B267" i="12"/>
  <c r="A267" i="12"/>
  <c r="BE266" i="12"/>
  <c r="BD266" i="12"/>
  <c r="BC266" i="12"/>
  <c r="BB266" i="12"/>
  <c r="AU266" i="12"/>
  <c r="AS266" i="12"/>
  <c r="AQ266" i="12"/>
  <c r="AN266" i="12"/>
  <c r="AL266" i="12"/>
  <c r="AK266" i="12"/>
  <c r="AH266" i="12"/>
  <c r="AG266" i="12"/>
  <c r="AD266" i="12"/>
  <c r="AC266" i="12"/>
  <c r="AA266" i="12"/>
  <c r="Z266" i="12"/>
  <c r="Y266" i="12"/>
  <c r="X266" i="12"/>
  <c r="W266" i="12"/>
  <c r="V266" i="12"/>
  <c r="U266" i="12"/>
  <c r="T266" i="12"/>
  <c r="S266" i="12"/>
  <c r="P266" i="12"/>
  <c r="K266" i="12"/>
  <c r="J266" i="12"/>
  <c r="I266" i="12"/>
  <c r="G266" i="12"/>
  <c r="F266" i="12"/>
  <c r="D266" i="12"/>
  <c r="C266" i="12"/>
  <c r="B266" i="12"/>
  <c r="A266" i="12"/>
  <c r="BE265" i="12"/>
  <c r="BD265" i="12"/>
  <c r="BC265" i="12"/>
  <c r="AW265" i="12"/>
  <c r="AU265" i="12"/>
  <c r="AT265" i="12"/>
  <c r="AS265" i="12"/>
  <c r="AQ265" i="12"/>
  <c r="AP265" i="12"/>
  <c r="AO265" i="12"/>
  <c r="AN265" i="12"/>
  <c r="AL265" i="12"/>
  <c r="AK265" i="12"/>
  <c r="AH265" i="12"/>
  <c r="AG265" i="12"/>
  <c r="AD265" i="12"/>
  <c r="AC265" i="12"/>
  <c r="AB265" i="12"/>
  <c r="AA265" i="12"/>
  <c r="Z265" i="12"/>
  <c r="Y265" i="12"/>
  <c r="X265" i="12"/>
  <c r="W265" i="12"/>
  <c r="V265" i="12"/>
  <c r="U265" i="12"/>
  <c r="T265" i="12"/>
  <c r="S265" i="12"/>
  <c r="P265" i="12"/>
  <c r="M265" i="12"/>
  <c r="L265" i="12"/>
  <c r="K265" i="12"/>
  <c r="J265" i="12"/>
  <c r="I265" i="12"/>
  <c r="G265" i="12"/>
  <c r="F265" i="12"/>
  <c r="E265" i="12"/>
  <c r="D265" i="12"/>
  <c r="C265" i="12"/>
  <c r="B265" i="12"/>
  <c r="A265" i="12"/>
  <c r="BE264" i="12"/>
  <c r="BD264" i="12"/>
  <c r="BC264" i="12"/>
  <c r="AY264" i="12"/>
  <c r="AW264" i="12"/>
  <c r="AU264" i="12"/>
  <c r="AT264" i="12"/>
  <c r="AS264" i="12"/>
  <c r="AQ264" i="12"/>
  <c r="AP264" i="12"/>
  <c r="AO264" i="12"/>
  <c r="AN264" i="12"/>
  <c r="AL264" i="12"/>
  <c r="AK264" i="12"/>
  <c r="AH264" i="12"/>
  <c r="AG264" i="12"/>
  <c r="AD264" i="12"/>
  <c r="AC264" i="12"/>
  <c r="AB264" i="12"/>
  <c r="AA264" i="12"/>
  <c r="Z264" i="12"/>
  <c r="Y264" i="12"/>
  <c r="X264" i="12"/>
  <c r="W264" i="12"/>
  <c r="V264" i="12"/>
  <c r="U264" i="12"/>
  <c r="T264" i="12"/>
  <c r="S264" i="12"/>
  <c r="P264" i="12"/>
  <c r="M264" i="12"/>
  <c r="L264" i="12"/>
  <c r="K264" i="12"/>
  <c r="J264" i="12"/>
  <c r="I264" i="12"/>
  <c r="G264" i="12"/>
  <c r="F264" i="12"/>
  <c r="E264" i="12"/>
  <c r="D264" i="12"/>
  <c r="C264" i="12"/>
  <c r="B264" i="12"/>
  <c r="A264" i="12"/>
  <c r="BE263" i="12"/>
  <c r="BD263" i="12"/>
  <c r="BC263" i="12"/>
  <c r="BA263" i="12"/>
  <c r="AU263" i="12"/>
  <c r="AS263" i="12"/>
  <c r="AQ263" i="12"/>
  <c r="AN263" i="12"/>
  <c r="AL263" i="12"/>
  <c r="AK263" i="12"/>
  <c r="AH263" i="12"/>
  <c r="AG263" i="12"/>
  <c r="AD263" i="12"/>
  <c r="AC263" i="12"/>
  <c r="AB263" i="12"/>
  <c r="AA263" i="12"/>
  <c r="Z263" i="12"/>
  <c r="Y263" i="12"/>
  <c r="X263" i="12"/>
  <c r="W263" i="12"/>
  <c r="V263" i="12"/>
  <c r="U263" i="12"/>
  <c r="T263" i="12"/>
  <c r="S263" i="12"/>
  <c r="P263" i="12"/>
  <c r="M263" i="12"/>
  <c r="L263" i="12"/>
  <c r="K263" i="12"/>
  <c r="J263" i="12"/>
  <c r="I263" i="12"/>
  <c r="G263" i="12"/>
  <c r="F263" i="12"/>
  <c r="E263" i="12"/>
  <c r="D263" i="12"/>
  <c r="C263" i="12"/>
  <c r="B263" i="12"/>
  <c r="A263" i="12"/>
  <c r="BE262" i="12"/>
  <c r="BD262" i="12"/>
  <c r="BC262" i="12"/>
  <c r="BB262" i="12"/>
  <c r="AU262" i="12"/>
  <c r="AS262" i="12"/>
  <c r="AQ262" i="12"/>
  <c r="AN262" i="12"/>
  <c r="AL262" i="12"/>
  <c r="AK262" i="12"/>
  <c r="AH262" i="12"/>
  <c r="AG262" i="12"/>
  <c r="AD262" i="12"/>
  <c r="AC262" i="12"/>
  <c r="AA262" i="12"/>
  <c r="Z262" i="12"/>
  <c r="Y262" i="12"/>
  <c r="X262" i="12"/>
  <c r="W262" i="12"/>
  <c r="V262" i="12"/>
  <c r="U262" i="12"/>
  <c r="T262" i="12"/>
  <c r="S262" i="12"/>
  <c r="P262" i="12"/>
  <c r="K262" i="12"/>
  <c r="J262" i="12"/>
  <c r="I262" i="12"/>
  <c r="G262" i="12"/>
  <c r="F262" i="12"/>
  <c r="D262" i="12"/>
  <c r="C262" i="12"/>
  <c r="B262" i="12"/>
  <c r="A262" i="12"/>
  <c r="BE261" i="12"/>
  <c r="BD261" i="12"/>
  <c r="BC261" i="12"/>
  <c r="BA261" i="12"/>
  <c r="AY261" i="12"/>
  <c r="AU261" i="12"/>
  <c r="AS261" i="12"/>
  <c r="AQ261" i="12"/>
  <c r="AO261" i="12"/>
  <c r="AN261" i="12"/>
  <c r="AL261" i="12"/>
  <c r="AK261" i="12"/>
  <c r="AH261" i="12"/>
  <c r="AG261" i="12"/>
  <c r="AD261" i="12"/>
  <c r="AC261" i="12"/>
  <c r="AB261" i="12"/>
  <c r="AA261" i="12"/>
  <c r="Z261" i="12"/>
  <c r="Y261" i="12"/>
  <c r="X261" i="12"/>
  <c r="W261" i="12"/>
  <c r="V261" i="12"/>
  <c r="U261" i="12"/>
  <c r="T261" i="12"/>
  <c r="S261" i="12"/>
  <c r="P261" i="12"/>
  <c r="M261" i="12"/>
  <c r="L261" i="12"/>
  <c r="K261" i="12"/>
  <c r="J261" i="12"/>
  <c r="I261" i="12"/>
  <c r="G261" i="12"/>
  <c r="F261" i="12"/>
  <c r="E261" i="12"/>
  <c r="D261" i="12"/>
  <c r="C261" i="12"/>
  <c r="B261" i="12"/>
  <c r="A261" i="12"/>
  <c r="BE260" i="12"/>
  <c r="BD260" i="12"/>
  <c r="BC260" i="12"/>
  <c r="BB260" i="12"/>
  <c r="AU260" i="12"/>
  <c r="AQ260" i="12"/>
  <c r="AP260" i="12"/>
  <c r="AO260" i="12"/>
  <c r="AN260" i="12"/>
  <c r="AM260" i="12"/>
  <c r="AL260" i="12"/>
  <c r="AK260" i="12"/>
  <c r="AG260" i="12"/>
  <c r="AD260" i="12"/>
  <c r="AC260" i="12"/>
  <c r="AA260" i="12"/>
  <c r="Z260" i="12"/>
  <c r="Y260" i="12"/>
  <c r="X260" i="12"/>
  <c r="W260" i="12"/>
  <c r="V260" i="12"/>
  <c r="U260" i="12"/>
  <c r="S260" i="12"/>
  <c r="P260" i="12"/>
  <c r="O260" i="12"/>
  <c r="N260" i="12"/>
  <c r="L260" i="12"/>
  <c r="K260" i="12"/>
  <c r="J260" i="12"/>
  <c r="I260" i="12"/>
  <c r="G260" i="12"/>
  <c r="F260" i="12"/>
  <c r="E260" i="12"/>
  <c r="D260" i="12"/>
  <c r="C260" i="12"/>
  <c r="B260" i="12"/>
  <c r="A260" i="12"/>
  <c r="BE259" i="12"/>
  <c r="BD259" i="12"/>
  <c r="BC259" i="12"/>
  <c r="BB259" i="12"/>
  <c r="AU259" i="12"/>
  <c r="AS259" i="12"/>
  <c r="AQ259" i="12"/>
  <c r="AN259" i="12"/>
  <c r="AL259" i="12"/>
  <c r="AK259" i="12"/>
  <c r="AH259" i="12"/>
  <c r="AG259" i="12"/>
  <c r="AD259" i="12"/>
  <c r="AC259" i="12"/>
  <c r="AA259" i="12"/>
  <c r="Z259" i="12"/>
  <c r="Y259" i="12"/>
  <c r="X259" i="12"/>
  <c r="W259" i="12"/>
  <c r="V259" i="12"/>
  <c r="U259" i="12"/>
  <c r="T259" i="12"/>
  <c r="S259" i="12"/>
  <c r="P259" i="12"/>
  <c r="K259" i="12"/>
  <c r="J259" i="12"/>
  <c r="I259" i="12"/>
  <c r="G259" i="12"/>
  <c r="F259" i="12"/>
  <c r="D259" i="12"/>
  <c r="C259" i="12"/>
  <c r="B259" i="12"/>
  <c r="A259" i="12"/>
  <c r="BE258" i="12"/>
  <c r="BD258" i="12"/>
  <c r="BC258" i="12"/>
  <c r="BB258" i="12"/>
  <c r="AU258" i="12"/>
  <c r="AS258" i="12"/>
  <c r="AQ258" i="12"/>
  <c r="AN258" i="12"/>
  <c r="AL258" i="12"/>
  <c r="AK258" i="12"/>
  <c r="AH258" i="12"/>
  <c r="AG258" i="12"/>
  <c r="AD258" i="12"/>
  <c r="AC258" i="12"/>
  <c r="AA258" i="12"/>
  <c r="Z258" i="12"/>
  <c r="Y258" i="12"/>
  <c r="X258" i="12"/>
  <c r="W258" i="12"/>
  <c r="V258" i="12"/>
  <c r="U258" i="12"/>
  <c r="T258" i="12"/>
  <c r="S258" i="12"/>
  <c r="P258" i="12"/>
  <c r="K258" i="12"/>
  <c r="J258" i="12"/>
  <c r="I258" i="12"/>
  <c r="G258" i="12"/>
  <c r="F258" i="12"/>
  <c r="D258" i="12"/>
  <c r="C258" i="12"/>
  <c r="B258" i="12"/>
  <c r="A258" i="12"/>
  <c r="BE257" i="12"/>
  <c r="BD257" i="12"/>
  <c r="BC257" i="12"/>
  <c r="BB257" i="12"/>
  <c r="AU257" i="12"/>
  <c r="AS257" i="12"/>
  <c r="AQ257" i="12"/>
  <c r="AN257" i="12"/>
  <c r="AL257" i="12"/>
  <c r="AK257" i="12"/>
  <c r="AH257" i="12"/>
  <c r="AG257" i="12"/>
  <c r="AD257" i="12"/>
  <c r="AC257" i="12"/>
  <c r="AA257" i="12"/>
  <c r="Z257" i="12"/>
  <c r="Y257" i="12"/>
  <c r="X257" i="12"/>
  <c r="W257" i="12"/>
  <c r="V257" i="12"/>
  <c r="U257" i="12"/>
  <c r="T257" i="12"/>
  <c r="S257" i="12"/>
  <c r="P257" i="12"/>
  <c r="K257" i="12"/>
  <c r="J257" i="12"/>
  <c r="I257" i="12"/>
  <c r="G257" i="12"/>
  <c r="F257" i="12"/>
  <c r="D257" i="12"/>
  <c r="C257" i="12"/>
  <c r="B257" i="12"/>
  <c r="A257" i="12"/>
  <c r="BA256" i="12"/>
  <c r="AK256" i="12"/>
  <c r="Z256" i="12"/>
  <c r="X256" i="12"/>
  <c r="G256" i="12"/>
  <c r="D256" i="12"/>
  <c r="B256" i="12"/>
  <c r="A256" i="12"/>
  <c r="BE255" i="12"/>
  <c r="BD255" i="12"/>
  <c r="BC255" i="12"/>
  <c r="BB255" i="12"/>
  <c r="AU255" i="12"/>
  <c r="AS255" i="12"/>
  <c r="AQ255" i="12"/>
  <c r="AP255" i="12"/>
  <c r="AO255" i="12"/>
  <c r="AN255" i="12"/>
  <c r="AM255" i="12"/>
  <c r="AL255" i="12"/>
  <c r="AK255" i="12"/>
  <c r="AG255" i="12"/>
  <c r="AD255" i="12"/>
  <c r="AC255" i="12"/>
  <c r="AA255" i="12"/>
  <c r="Z255" i="12"/>
  <c r="Y255" i="12"/>
  <c r="X255" i="12"/>
  <c r="W255" i="12"/>
  <c r="V255" i="12"/>
  <c r="U255" i="12"/>
  <c r="T255" i="12"/>
  <c r="S255" i="12"/>
  <c r="P255" i="12"/>
  <c r="O255" i="12"/>
  <c r="N255" i="12"/>
  <c r="L255" i="12"/>
  <c r="K255" i="12"/>
  <c r="J255" i="12"/>
  <c r="I255" i="12"/>
  <c r="G255" i="12"/>
  <c r="F255" i="12"/>
  <c r="E255" i="12"/>
  <c r="D255" i="12"/>
  <c r="C255" i="12"/>
  <c r="B255" i="12"/>
  <c r="A255" i="12"/>
  <c r="BE254" i="12"/>
  <c r="BD254" i="12"/>
  <c r="BC254" i="12"/>
  <c r="AU254" i="12"/>
  <c r="AT254" i="12"/>
  <c r="AS254" i="12"/>
  <c r="AQ254" i="12"/>
  <c r="AP254" i="12"/>
  <c r="AO254" i="12"/>
  <c r="AN254" i="12"/>
  <c r="AL254" i="12"/>
  <c r="AK254" i="12"/>
  <c r="AH254" i="12"/>
  <c r="AG254" i="12"/>
  <c r="AD254" i="12"/>
  <c r="AC254" i="12"/>
  <c r="AB254" i="12"/>
  <c r="AA254" i="12"/>
  <c r="Z254" i="12"/>
  <c r="Y254" i="12"/>
  <c r="X254" i="12"/>
  <c r="W254" i="12"/>
  <c r="V254" i="12"/>
  <c r="U254" i="12"/>
  <c r="T254" i="12"/>
  <c r="S254" i="12"/>
  <c r="P254" i="12"/>
  <c r="M254" i="12"/>
  <c r="L254" i="12"/>
  <c r="K254" i="12"/>
  <c r="J254" i="12"/>
  <c r="I254" i="12"/>
  <c r="G254" i="12"/>
  <c r="F254" i="12"/>
  <c r="E254" i="12"/>
  <c r="D254" i="12"/>
  <c r="C254" i="12"/>
  <c r="B254" i="12"/>
  <c r="A254" i="12"/>
  <c r="BE253" i="12"/>
  <c r="BD253" i="12"/>
  <c r="BC253" i="12"/>
  <c r="BA253" i="12"/>
  <c r="AU253" i="12"/>
  <c r="AS253" i="12"/>
  <c r="AQ253" i="12"/>
  <c r="AN253" i="12"/>
  <c r="AL253" i="12"/>
  <c r="AK253" i="12"/>
  <c r="AD253" i="12"/>
  <c r="AC253" i="12"/>
  <c r="AB253" i="12"/>
  <c r="AA253" i="12"/>
  <c r="Z253" i="12"/>
  <c r="Y253" i="12"/>
  <c r="X253" i="12"/>
  <c r="W253" i="12"/>
  <c r="V253" i="12"/>
  <c r="U253" i="12"/>
  <c r="T253" i="12"/>
  <c r="S253" i="12"/>
  <c r="P253" i="12"/>
  <c r="K253" i="12"/>
  <c r="J253" i="12"/>
  <c r="I253" i="12"/>
  <c r="G253" i="12"/>
  <c r="F253" i="12"/>
  <c r="E253" i="12"/>
  <c r="D253" i="12"/>
  <c r="C253" i="12"/>
  <c r="B253" i="12"/>
  <c r="A253" i="12"/>
  <c r="BE252" i="12"/>
  <c r="BD252" i="12"/>
  <c r="BC252" i="12"/>
  <c r="BA252" i="12"/>
  <c r="AU252" i="12"/>
  <c r="AS252" i="12"/>
  <c r="AR252" i="12"/>
  <c r="AQ252" i="12"/>
  <c r="AN252" i="12"/>
  <c r="AL252" i="12"/>
  <c r="AK252" i="12"/>
  <c r="AH252" i="12"/>
  <c r="AG252" i="12"/>
  <c r="AD252" i="12"/>
  <c r="AC252" i="12"/>
  <c r="AB252" i="12"/>
  <c r="AA252" i="12"/>
  <c r="Z252" i="12"/>
  <c r="Y252" i="12"/>
  <c r="X252" i="12"/>
  <c r="W252" i="12"/>
  <c r="V252" i="12"/>
  <c r="U252" i="12"/>
  <c r="T252" i="12"/>
  <c r="S252" i="12"/>
  <c r="P252" i="12"/>
  <c r="M252" i="12"/>
  <c r="L252" i="12"/>
  <c r="K252" i="12"/>
  <c r="J252" i="12"/>
  <c r="I252" i="12"/>
  <c r="H252" i="12"/>
  <c r="G252" i="12"/>
  <c r="F252" i="12"/>
  <c r="E252" i="12"/>
  <c r="D252" i="12"/>
  <c r="C252" i="12"/>
  <c r="B252" i="12"/>
  <c r="A252" i="12"/>
  <c r="BC251" i="12"/>
  <c r="AU251" i="12"/>
  <c r="AK251" i="12"/>
  <c r="AH251" i="12"/>
  <c r="AG251" i="12"/>
  <c r="Z251" i="12"/>
  <c r="X251" i="12"/>
  <c r="V251" i="12"/>
  <c r="K251" i="12"/>
  <c r="J251" i="12"/>
  <c r="I251" i="12"/>
  <c r="G251" i="12"/>
  <c r="F251" i="12"/>
  <c r="D251" i="12"/>
  <c r="C251" i="12"/>
  <c r="B251" i="12"/>
  <c r="A251" i="12"/>
  <c r="BE250" i="12"/>
  <c r="BD250" i="12"/>
  <c r="BC250" i="12"/>
  <c r="BB250" i="12"/>
  <c r="AU250" i="12"/>
  <c r="AS250" i="12"/>
  <c r="AQ250" i="12"/>
  <c r="AN250" i="12"/>
  <c r="AL250" i="12"/>
  <c r="AK250" i="12"/>
  <c r="AH250" i="12"/>
  <c r="AG250" i="12"/>
  <c r="AD250" i="12"/>
  <c r="AC250" i="12"/>
  <c r="AA250" i="12"/>
  <c r="Z250" i="12"/>
  <c r="Y250" i="12"/>
  <c r="X250" i="12"/>
  <c r="W250" i="12"/>
  <c r="V250" i="12"/>
  <c r="U250" i="12"/>
  <c r="T250" i="12"/>
  <c r="S250" i="12"/>
  <c r="P250" i="12"/>
  <c r="K250" i="12"/>
  <c r="J250" i="12"/>
  <c r="I250" i="12"/>
  <c r="G250" i="12"/>
  <c r="F250" i="12"/>
  <c r="D250" i="12"/>
  <c r="C250" i="12"/>
  <c r="B250" i="12"/>
  <c r="A250" i="12"/>
  <c r="BE249" i="12"/>
  <c r="BD249" i="12"/>
  <c r="BC249" i="12"/>
  <c r="BB249" i="12"/>
  <c r="AU249" i="12"/>
  <c r="AS249" i="12"/>
  <c r="AQ249" i="12"/>
  <c r="AN249" i="12"/>
  <c r="AL249" i="12"/>
  <c r="AK249" i="12"/>
  <c r="AH249" i="12"/>
  <c r="AG249" i="12"/>
  <c r="AD249" i="12"/>
  <c r="AC249" i="12"/>
  <c r="AA249" i="12"/>
  <c r="Z249" i="12"/>
  <c r="Y249" i="12"/>
  <c r="X249" i="12"/>
  <c r="W249" i="12"/>
  <c r="V249" i="12"/>
  <c r="U249" i="12"/>
  <c r="T249" i="12"/>
  <c r="S249" i="12"/>
  <c r="P249" i="12"/>
  <c r="K249" i="12"/>
  <c r="J249" i="12"/>
  <c r="I249" i="12"/>
  <c r="G249" i="12"/>
  <c r="F249" i="12"/>
  <c r="D249" i="12"/>
  <c r="C249" i="12"/>
  <c r="B249" i="12"/>
  <c r="A249" i="12"/>
  <c r="BE248" i="12"/>
  <c r="BD248" i="12"/>
  <c r="BC248" i="12"/>
  <c r="BB248" i="12"/>
  <c r="AU248" i="12"/>
  <c r="AS248" i="12"/>
  <c r="AQ248" i="12"/>
  <c r="AP248" i="12"/>
  <c r="AO248" i="12"/>
  <c r="AN248" i="12"/>
  <c r="AM248" i="12"/>
  <c r="AL248" i="12"/>
  <c r="AK248" i="12"/>
  <c r="AG248" i="12"/>
  <c r="AD248" i="12"/>
  <c r="AC248" i="12"/>
  <c r="AA248" i="12"/>
  <c r="Z248" i="12"/>
  <c r="Y248" i="12"/>
  <c r="X248" i="12"/>
  <c r="W248" i="12"/>
  <c r="V248" i="12"/>
  <c r="U248" i="12"/>
  <c r="T248" i="12"/>
  <c r="S248" i="12"/>
  <c r="P248" i="12"/>
  <c r="O248" i="12"/>
  <c r="N248" i="12"/>
  <c r="L248" i="12"/>
  <c r="K248" i="12"/>
  <c r="J248" i="12"/>
  <c r="I248" i="12"/>
  <c r="G248" i="12"/>
  <c r="F248" i="12"/>
  <c r="E248" i="12"/>
  <c r="D248" i="12"/>
  <c r="C248" i="12"/>
  <c r="B248" i="12"/>
  <c r="A248" i="12"/>
  <c r="BE247" i="12"/>
  <c r="BD247" i="12"/>
  <c r="BC247" i="12"/>
  <c r="AY247" i="12"/>
  <c r="AW247" i="12"/>
  <c r="AU247" i="12"/>
  <c r="AT247" i="12"/>
  <c r="AS247" i="12"/>
  <c r="AQ247" i="12"/>
  <c r="AP247" i="12"/>
  <c r="AO247" i="12"/>
  <c r="AN247" i="12"/>
  <c r="AL247" i="12"/>
  <c r="AK247" i="12"/>
  <c r="AH247" i="12"/>
  <c r="AG247" i="12"/>
  <c r="AD247" i="12"/>
  <c r="AC247" i="12"/>
  <c r="AB247" i="12"/>
  <c r="AA247" i="12"/>
  <c r="Z247" i="12"/>
  <c r="Y247" i="12"/>
  <c r="X247" i="12"/>
  <c r="W247" i="12"/>
  <c r="V247" i="12"/>
  <c r="U247" i="12"/>
  <c r="T247" i="12"/>
  <c r="S247" i="12"/>
  <c r="P247" i="12"/>
  <c r="K247" i="12"/>
  <c r="J247" i="12"/>
  <c r="I247" i="12"/>
  <c r="G247" i="12"/>
  <c r="F247" i="12"/>
  <c r="E247" i="12"/>
  <c r="D247" i="12"/>
  <c r="C247" i="12"/>
  <c r="B247" i="12"/>
  <c r="A247" i="12"/>
  <c r="BE246" i="12"/>
  <c r="BD246" i="12"/>
  <c r="BC246" i="12"/>
  <c r="AY246" i="12"/>
  <c r="AU246" i="12"/>
  <c r="AS246" i="12"/>
  <c r="AQ246" i="12"/>
  <c r="AP246" i="12"/>
  <c r="AO246" i="12"/>
  <c r="AN246" i="12"/>
  <c r="AL246" i="12"/>
  <c r="AK246" i="12"/>
  <c r="AH246" i="12"/>
  <c r="AG246" i="12"/>
  <c r="AD246" i="12"/>
  <c r="AC246" i="12"/>
  <c r="AB246" i="12"/>
  <c r="AA246" i="12"/>
  <c r="Z246" i="12"/>
  <c r="Y246" i="12"/>
  <c r="X246" i="12"/>
  <c r="W246" i="12"/>
  <c r="V246" i="12"/>
  <c r="U246" i="12"/>
  <c r="T246" i="12"/>
  <c r="S246" i="12"/>
  <c r="P246" i="12"/>
  <c r="M246" i="12"/>
  <c r="L246" i="12"/>
  <c r="K246" i="12"/>
  <c r="J246" i="12"/>
  <c r="I246" i="12"/>
  <c r="G246" i="12"/>
  <c r="F246" i="12"/>
  <c r="E246" i="12"/>
  <c r="D246" i="12"/>
  <c r="C246" i="12"/>
  <c r="B246" i="12"/>
  <c r="A246" i="12"/>
  <c r="BE245" i="12"/>
  <c r="BD245" i="12"/>
  <c r="BC245" i="12"/>
  <c r="BB245" i="12"/>
  <c r="AU245" i="12"/>
  <c r="AS245" i="12"/>
  <c r="AQ245" i="12"/>
  <c r="AN245" i="12"/>
  <c r="AL245" i="12"/>
  <c r="AK245" i="12"/>
  <c r="AH245" i="12"/>
  <c r="AG245" i="12"/>
  <c r="AD245" i="12"/>
  <c r="AA245" i="12"/>
  <c r="Z245" i="12"/>
  <c r="Y245" i="12"/>
  <c r="X245" i="12"/>
  <c r="W245" i="12"/>
  <c r="V245" i="12"/>
  <c r="U245" i="12"/>
  <c r="S245" i="12"/>
  <c r="P245" i="12"/>
  <c r="K245" i="12"/>
  <c r="J245" i="12"/>
  <c r="I245" i="12"/>
  <c r="G245" i="12"/>
  <c r="F245" i="12"/>
  <c r="D245" i="12"/>
  <c r="C245" i="12"/>
  <c r="B245" i="12"/>
  <c r="A245" i="12"/>
  <c r="BE244" i="12"/>
  <c r="BD244" i="12"/>
  <c r="BC244" i="12"/>
  <c r="BA244" i="12"/>
  <c r="AU244" i="12"/>
  <c r="AS244" i="12"/>
  <c r="AQ244" i="12"/>
  <c r="AP244" i="12"/>
  <c r="AO244" i="12"/>
  <c r="AN244" i="12"/>
  <c r="AL244" i="12"/>
  <c r="AK244" i="12"/>
  <c r="AH244" i="12"/>
  <c r="AG244" i="12"/>
  <c r="AD244" i="12"/>
  <c r="AC244" i="12"/>
  <c r="AB244" i="12"/>
  <c r="AA244" i="12"/>
  <c r="Z244" i="12"/>
  <c r="Y244" i="12"/>
  <c r="X244" i="12"/>
  <c r="W244" i="12"/>
  <c r="V244" i="12"/>
  <c r="U244" i="12"/>
  <c r="T244" i="12"/>
  <c r="S244" i="12"/>
  <c r="P244" i="12"/>
  <c r="K244" i="12"/>
  <c r="J244" i="12"/>
  <c r="I244" i="12"/>
  <c r="G244" i="12"/>
  <c r="F244" i="12"/>
  <c r="E244" i="12"/>
  <c r="D244" i="12"/>
  <c r="C244" i="12"/>
  <c r="B244" i="12"/>
  <c r="A244" i="12"/>
  <c r="BE243" i="12"/>
  <c r="BD243" i="12"/>
  <c r="BC243" i="12"/>
  <c r="AY243" i="12"/>
  <c r="AU243" i="12"/>
  <c r="AT243" i="12"/>
  <c r="AS243" i="12"/>
  <c r="AQ243" i="12"/>
  <c r="AP243" i="12"/>
  <c r="AO243" i="12"/>
  <c r="AN243" i="12"/>
  <c r="AL243" i="12"/>
  <c r="AK243" i="12"/>
  <c r="AH243" i="12"/>
  <c r="AG243" i="12"/>
  <c r="AD243" i="12"/>
  <c r="AC243" i="12"/>
  <c r="AB243" i="12"/>
  <c r="AA243" i="12"/>
  <c r="Z243" i="12"/>
  <c r="Y243" i="12"/>
  <c r="X243" i="12"/>
  <c r="W243" i="12"/>
  <c r="V243" i="12"/>
  <c r="U243" i="12"/>
  <c r="T243" i="12"/>
  <c r="S243" i="12"/>
  <c r="P243" i="12"/>
  <c r="K243" i="12"/>
  <c r="J243" i="12"/>
  <c r="I243" i="12"/>
  <c r="G243" i="12"/>
  <c r="F243" i="12"/>
  <c r="E243" i="12"/>
  <c r="D243" i="12"/>
  <c r="C243" i="12"/>
  <c r="B243" i="12"/>
  <c r="A243" i="12"/>
  <c r="BE242" i="12"/>
  <c r="BD242" i="12"/>
  <c r="BC242" i="12"/>
  <c r="BB242" i="12"/>
  <c r="AU242" i="12"/>
  <c r="AS242" i="12"/>
  <c r="AQ242" i="12"/>
  <c r="AP242" i="12"/>
  <c r="AO242" i="12"/>
  <c r="AN242" i="12"/>
  <c r="AM242" i="12"/>
  <c r="AL242" i="12"/>
  <c r="AK242" i="12"/>
  <c r="AG242" i="12"/>
  <c r="AD242" i="12"/>
  <c r="AC242" i="12"/>
  <c r="AA242" i="12"/>
  <c r="Z242" i="12"/>
  <c r="Y242" i="12"/>
  <c r="X242" i="12"/>
  <c r="W242" i="12"/>
  <c r="V242" i="12"/>
  <c r="U242" i="12"/>
  <c r="S242" i="12"/>
  <c r="P242" i="12"/>
  <c r="O242" i="12"/>
  <c r="N242" i="12"/>
  <c r="L242" i="12"/>
  <c r="K242" i="12"/>
  <c r="J242" i="12"/>
  <c r="I242" i="12"/>
  <c r="G242" i="12"/>
  <c r="F242" i="12"/>
  <c r="E242" i="12"/>
  <c r="D242" i="12"/>
  <c r="C242" i="12"/>
  <c r="B242" i="12"/>
  <c r="A242" i="12"/>
  <c r="BE241" i="12"/>
  <c r="BD241" i="12"/>
  <c r="BC241" i="12"/>
  <c r="BB241" i="12"/>
  <c r="AU241" i="12"/>
  <c r="AT241" i="12"/>
  <c r="AS241" i="12"/>
  <c r="AQ241" i="12"/>
  <c r="AP241" i="12"/>
  <c r="AO241" i="12"/>
  <c r="AN241" i="12"/>
  <c r="AL241" i="12"/>
  <c r="AK241" i="12"/>
  <c r="AH241" i="12"/>
  <c r="AG241" i="12"/>
  <c r="AD241" i="12"/>
  <c r="AC241" i="12"/>
  <c r="AB241" i="12"/>
  <c r="AA241" i="12"/>
  <c r="Z241" i="12"/>
  <c r="Y241" i="12"/>
  <c r="X241" i="12"/>
  <c r="W241" i="12"/>
  <c r="V241" i="12"/>
  <c r="U241" i="12"/>
  <c r="T241" i="12"/>
  <c r="S241" i="12"/>
  <c r="P241" i="12"/>
  <c r="M241" i="12"/>
  <c r="L241" i="12"/>
  <c r="K241" i="12"/>
  <c r="J241" i="12"/>
  <c r="I241" i="12"/>
  <c r="G241" i="12"/>
  <c r="F241" i="12"/>
  <c r="E241" i="12"/>
  <c r="D241" i="12"/>
  <c r="C241" i="12"/>
  <c r="B241" i="12"/>
  <c r="A241" i="12"/>
  <c r="BE240" i="12"/>
  <c r="BD240" i="12"/>
  <c r="BC240" i="12"/>
  <c r="BB240" i="12"/>
  <c r="AU240" i="12"/>
  <c r="AS240" i="12"/>
  <c r="AQ240" i="12"/>
  <c r="AN240" i="12"/>
  <c r="AL240" i="12"/>
  <c r="AK240" i="12"/>
  <c r="AH240" i="12"/>
  <c r="AG240" i="12"/>
  <c r="AD240" i="12"/>
  <c r="AC240" i="12"/>
  <c r="AA240" i="12"/>
  <c r="Z240" i="12"/>
  <c r="Y240" i="12"/>
  <c r="X240" i="12"/>
  <c r="W240" i="12"/>
  <c r="V240" i="12"/>
  <c r="U240" i="12"/>
  <c r="T240" i="12"/>
  <c r="S240" i="12"/>
  <c r="P240" i="12"/>
  <c r="K240" i="12"/>
  <c r="J240" i="12"/>
  <c r="I240" i="12"/>
  <c r="G240" i="12"/>
  <c r="F240" i="12"/>
  <c r="D240" i="12"/>
  <c r="C240" i="12"/>
  <c r="B240" i="12"/>
  <c r="A240" i="12"/>
  <c r="BE239" i="12"/>
  <c r="BD239" i="12"/>
  <c r="BC239" i="12"/>
  <c r="BB239" i="12"/>
  <c r="AU239" i="12"/>
  <c r="AS239" i="12"/>
  <c r="AQ239" i="12"/>
  <c r="AN239" i="12"/>
  <c r="AL239" i="12"/>
  <c r="AK239" i="12"/>
  <c r="AH239" i="12"/>
  <c r="AG239" i="12"/>
  <c r="AD239" i="12"/>
  <c r="AA239" i="12"/>
  <c r="Z239" i="12"/>
  <c r="Y239" i="12"/>
  <c r="X239" i="12"/>
  <c r="W239" i="12"/>
  <c r="V239" i="12"/>
  <c r="U239" i="12"/>
  <c r="T239" i="12"/>
  <c r="S239" i="12"/>
  <c r="P239" i="12"/>
  <c r="K239" i="12"/>
  <c r="J239" i="12"/>
  <c r="I239" i="12"/>
  <c r="G239" i="12"/>
  <c r="F239" i="12"/>
  <c r="D239" i="12"/>
  <c r="C239" i="12"/>
  <c r="B239" i="12"/>
  <c r="A239" i="12"/>
  <c r="BE238" i="12"/>
  <c r="BD238" i="12"/>
  <c r="BC238" i="12"/>
  <c r="BB238" i="12"/>
  <c r="BA238" i="12"/>
  <c r="AY238" i="12"/>
  <c r="AU238" i="12"/>
  <c r="AT238" i="12"/>
  <c r="AS238" i="12"/>
  <c r="AQ238" i="12"/>
  <c r="AP238" i="12"/>
  <c r="AO238" i="12"/>
  <c r="AN238" i="12"/>
  <c r="AL238" i="12"/>
  <c r="AK238" i="12"/>
  <c r="AH238" i="12"/>
  <c r="AG238" i="12"/>
  <c r="AD238" i="12"/>
  <c r="AC238" i="12"/>
  <c r="AB238" i="12"/>
  <c r="AA238" i="12"/>
  <c r="Z238" i="12"/>
  <c r="Y238" i="12"/>
  <c r="X238" i="12"/>
  <c r="W238" i="12"/>
  <c r="V238" i="12"/>
  <c r="U238" i="12"/>
  <c r="T238" i="12"/>
  <c r="S238" i="12"/>
  <c r="P238" i="12"/>
  <c r="M238" i="12"/>
  <c r="L238" i="12"/>
  <c r="K238" i="12"/>
  <c r="J238" i="12"/>
  <c r="I238" i="12"/>
  <c r="G238" i="12"/>
  <c r="F238" i="12"/>
  <c r="E238" i="12"/>
  <c r="D238" i="12"/>
  <c r="C238" i="12"/>
  <c r="B238" i="12"/>
  <c r="A238" i="12"/>
  <c r="BE237" i="12"/>
  <c r="BD237" i="12"/>
  <c r="BC237" i="12"/>
  <c r="BB237" i="12"/>
  <c r="AU237" i="12"/>
  <c r="AS237" i="12"/>
  <c r="AQ237" i="12"/>
  <c r="AP237" i="12"/>
  <c r="AO237" i="12"/>
  <c r="AN237" i="12"/>
  <c r="AM237" i="12"/>
  <c r="AL237" i="12"/>
  <c r="AK237" i="12"/>
  <c r="AG237" i="12"/>
  <c r="AD237" i="12"/>
  <c r="AC237" i="12"/>
  <c r="AA237" i="12"/>
  <c r="Z237" i="12"/>
  <c r="Y237" i="12"/>
  <c r="X237" i="12"/>
  <c r="W237" i="12"/>
  <c r="V237" i="12"/>
  <c r="U237" i="12"/>
  <c r="T237" i="12"/>
  <c r="S237" i="12"/>
  <c r="P237" i="12"/>
  <c r="O237" i="12"/>
  <c r="N237" i="12"/>
  <c r="L237" i="12"/>
  <c r="K237" i="12"/>
  <c r="J237" i="12"/>
  <c r="I237" i="12"/>
  <c r="G237" i="12"/>
  <c r="F237" i="12"/>
  <c r="E237" i="12"/>
  <c r="D237" i="12"/>
  <c r="C237" i="12"/>
  <c r="B237" i="12"/>
  <c r="A237" i="12"/>
  <c r="BE236" i="12"/>
  <c r="BD236" i="12"/>
  <c r="BC236" i="12"/>
  <c r="BB236" i="12"/>
  <c r="AU236" i="12"/>
  <c r="AS236" i="12"/>
  <c r="AQ236" i="12"/>
  <c r="AN236" i="12"/>
  <c r="AL236" i="12"/>
  <c r="AK236" i="12"/>
  <c r="AH236" i="12"/>
  <c r="AG236" i="12"/>
  <c r="AD236" i="12"/>
  <c r="AC236" i="12"/>
  <c r="AA236" i="12"/>
  <c r="Z236" i="12"/>
  <c r="Y236" i="12"/>
  <c r="X236" i="12"/>
  <c r="W236" i="12"/>
  <c r="V236" i="12"/>
  <c r="U236" i="12"/>
  <c r="S236" i="12"/>
  <c r="P236" i="12"/>
  <c r="K236" i="12"/>
  <c r="J236" i="12"/>
  <c r="I236" i="12"/>
  <c r="G236" i="12"/>
  <c r="F236" i="12"/>
  <c r="D236" i="12"/>
  <c r="C236" i="12"/>
  <c r="B236" i="12"/>
  <c r="A236" i="12"/>
  <c r="BE235" i="12"/>
  <c r="BD235" i="12"/>
  <c r="BC235" i="12"/>
  <c r="AY235" i="12"/>
  <c r="AW235" i="12"/>
  <c r="AU235" i="12"/>
  <c r="AT235" i="12"/>
  <c r="AS235" i="12"/>
  <c r="AQ235" i="12"/>
  <c r="AP235" i="12"/>
  <c r="AO235" i="12"/>
  <c r="AN235" i="12"/>
  <c r="AL235" i="12"/>
  <c r="AK235" i="12"/>
  <c r="AH235" i="12"/>
  <c r="AG235" i="12"/>
  <c r="AD235" i="12"/>
  <c r="AC235" i="12"/>
  <c r="AB235" i="12"/>
  <c r="AA235" i="12"/>
  <c r="Z235" i="12"/>
  <c r="Y235" i="12"/>
  <c r="X235" i="12"/>
  <c r="W235" i="12"/>
  <c r="V235" i="12"/>
  <c r="U235" i="12"/>
  <c r="T235" i="12"/>
  <c r="S235" i="12"/>
  <c r="P235" i="12"/>
  <c r="K235" i="12"/>
  <c r="J235" i="12"/>
  <c r="I235" i="12"/>
  <c r="G235" i="12"/>
  <c r="F235" i="12"/>
  <c r="E235" i="12"/>
  <c r="D235" i="12"/>
  <c r="C235" i="12"/>
  <c r="B235" i="12"/>
  <c r="A235" i="12"/>
  <c r="BE234" i="12"/>
  <c r="BD234" i="12"/>
  <c r="BC234" i="12"/>
  <c r="BB234" i="12"/>
  <c r="AU234" i="12"/>
  <c r="AS234" i="12"/>
  <c r="AQ234" i="12"/>
  <c r="AN234" i="12"/>
  <c r="AL234" i="12"/>
  <c r="AK234" i="12"/>
  <c r="AH234" i="12"/>
  <c r="AG234" i="12"/>
  <c r="AD234" i="12"/>
  <c r="AA234" i="12"/>
  <c r="Z234" i="12"/>
  <c r="Y234" i="12"/>
  <c r="X234" i="12"/>
  <c r="W234" i="12"/>
  <c r="V234" i="12"/>
  <c r="U234" i="12"/>
  <c r="T234" i="12"/>
  <c r="S234" i="12"/>
  <c r="P234" i="12"/>
  <c r="K234" i="12"/>
  <c r="J234" i="12"/>
  <c r="I234" i="12"/>
  <c r="G234" i="12"/>
  <c r="F234" i="12"/>
  <c r="D234" i="12"/>
  <c r="C234" i="12"/>
  <c r="B234" i="12"/>
  <c r="A234" i="12"/>
  <c r="BE233" i="12"/>
  <c r="BD233" i="12"/>
  <c r="BC233" i="12"/>
  <c r="BA233" i="12"/>
  <c r="AY233" i="12"/>
  <c r="AU233" i="12"/>
  <c r="AT233" i="12"/>
  <c r="AS233" i="12"/>
  <c r="AQ233" i="12"/>
  <c r="AP233" i="12"/>
  <c r="AO233" i="12"/>
  <c r="AN233" i="12"/>
  <c r="AL233" i="12"/>
  <c r="AK233" i="12"/>
  <c r="AH233" i="12"/>
  <c r="AG233" i="12"/>
  <c r="AD233" i="12"/>
  <c r="AC233" i="12"/>
  <c r="AB233" i="12"/>
  <c r="AA233" i="12"/>
  <c r="Z233" i="12"/>
  <c r="Y233" i="12"/>
  <c r="X233" i="12"/>
  <c r="W233" i="12"/>
  <c r="V233" i="12"/>
  <c r="U233" i="12"/>
  <c r="T233" i="12"/>
  <c r="S233" i="12"/>
  <c r="P233" i="12"/>
  <c r="M233" i="12"/>
  <c r="L233" i="12"/>
  <c r="K233" i="12"/>
  <c r="J233" i="12"/>
  <c r="I233" i="12"/>
  <c r="G233" i="12"/>
  <c r="F233" i="12"/>
  <c r="E233" i="12"/>
  <c r="D233" i="12"/>
  <c r="C233" i="12"/>
  <c r="B233" i="12"/>
  <c r="A233" i="12"/>
  <c r="BE232" i="12"/>
  <c r="BD232" i="12"/>
  <c r="BC232" i="12"/>
  <c r="BA232" i="12"/>
  <c r="AU232" i="12"/>
  <c r="AT232" i="12"/>
  <c r="AS232" i="12"/>
  <c r="AQ232" i="12"/>
  <c r="AP232" i="12"/>
  <c r="AO232" i="12"/>
  <c r="AN232" i="12"/>
  <c r="AL232" i="12"/>
  <c r="AK232" i="12"/>
  <c r="AH232" i="12"/>
  <c r="AG232" i="12"/>
  <c r="AD232" i="12"/>
  <c r="AC232" i="12"/>
  <c r="AA232" i="12"/>
  <c r="Z232" i="12"/>
  <c r="Y232" i="12"/>
  <c r="X232" i="12"/>
  <c r="W232" i="12"/>
  <c r="V232" i="12"/>
  <c r="U232" i="12"/>
  <c r="T232" i="12"/>
  <c r="S232" i="12"/>
  <c r="P232" i="12"/>
  <c r="K232" i="12"/>
  <c r="J232" i="12"/>
  <c r="I232" i="12"/>
  <c r="G232" i="12"/>
  <c r="F232" i="12"/>
  <c r="E232" i="12"/>
  <c r="D232" i="12"/>
  <c r="C232" i="12"/>
  <c r="B232" i="12"/>
  <c r="A232" i="12"/>
  <c r="BE231" i="12"/>
  <c r="BD231" i="12"/>
  <c r="BC231" i="12"/>
  <c r="BB231" i="12"/>
  <c r="AU231" i="12"/>
  <c r="AS231" i="12"/>
  <c r="AQ231" i="12"/>
  <c r="AN231" i="12"/>
  <c r="AL231" i="12"/>
  <c r="AK231" i="12"/>
  <c r="AH231" i="12"/>
  <c r="AG231" i="12"/>
  <c r="AD231" i="12"/>
  <c r="AA231" i="12"/>
  <c r="Z231" i="12"/>
  <c r="Y231" i="12"/>
  <c r="X231" i="12"/>
  <c r="W231" i="12"/>
  <c r="V231" i="12"/>
  <c r="U231" i="12"/>
  <c r="T231" i="12"/>
  <c r="S231" i="12"/>
  <c r="P231" i="12"/>
  <c r="K231" i="12"/>
  <c r="J231" i="12"/>
  <c r="I231" i="12"/>
  <c r="G231" i="12"/>
  <c r="F231" i="12"/>
  <c r="D231" i="12"/>
  <c r="C231" i="12"/>
  <c r="B231" i="12"/>
  <c r="A231" i="12"/>
  <c r="BE230" i="12"/>
  <c r="BD230" i="12"/>
  <c r="BC230" i="12"/>
  <c r="BB230" i="12"/>
  <c r="AU230" i="12"/>
  <c r="AS230" i="12"/>
  <c r="AQ230" i="12"/>
  <c r="AP230" i="12"/>
  <c r="AO230" i="12"/>
  <c r="AN230" i="12"/>
  <c r="AM230" i="12"/>
  <c r="AL230" i="12"/>
  <c r="AK230" i="12"/>
  <c r="AG230" i="12"/>
  <c r="AD230" i="12"/>
  <c r="AC230" i="12"/>
  <c r="AA230" i="12"/>
  <c r="Z230" i="12"/>
  <c r="Y230" i="12"/>
  <c r="X230" i="12"/>
  <c r="W230" i="12"/>
  <c r="V230" i="12"/>
  <c r="U230" i="12"/>
  <c r="T230" i="12"/>
  <c r="S230" i="12"/>
  <c r="P230" i="12"/>
  <c r="O230" i="12"/>
  <c r="N230" i="12"/>
  <c r="L230" i="12"/>
  <c r="K230" i="12"/>
  <c r="J230" i="12"/>
  <c r="I230" i="12"/>
  <c r="G230" i="12"/>
  <c r="F230" i="12"/>
  <c r="E230" i="12"/>
  <c r="D230" i="12"/>
  <c r="C230" i="12"/>
  <c r="B230" i="12"/>
  <c r="A230" i="12"/>
  <c r="BE229" i="12"/>
  <c r="BD229" i="12"/>
  <c r="BC229" i="12"/>
  <c r="BB229" i="12"/>
  <c r="AU229" i="12"/>
  <c r="AS229" i="12"/>
  <c r="AQ229" i="12"/>
  <c r="AN229" i="12"/>
  <c r="AL229" i="12"/>
  <c r="AK229" i="12"/>
  <c r="AH229" i="12"/>
  <c r="AG229" i="12"/>
  <c r="AD229" i="12"/>
  <c r="AC229" i="12"/>
  <c r="AA229" i="12"/>
  <c r="Z229" i="12"/>
  <c r="Y229" i="12"/>
  <c r="X229" i="12"/>
  <c r="W229" i="12"/>
  <c r="V229" i="12"/>
  <c r="U229" i="12"/>
  <c r="T229" i="12"/>
  <c r="S229" i="12"/>
  <c r="P229" i="12"/>
  <c r="K229" i="12"/>
  <c r="J229" i="12"/>
  <c r="I229" i="12"/>
  <c r="G229" i="12"/>
  <c r="F229" i="12"/>
  <c r="D229" i="12"/>
  <c r="C229" i="12"/>
  <c r="B229" i="12"/>
  <c r="A229" i="12"/>
  <c r="BE228" i="12"/>
  <c r="BD228" i="12"/>
  <c r="BC228" i="12"/>
  <c r="BB228" i="12"/>
  <c r="AU228" i="12"/>
  <c r="AS228" i="12"/>
  <c r="AQ228" i="12"/>
  <c r="AN228" i="12"/>
  <c r="AL228" i="12"/>
  <c r="AK228" i="12"/>
  <c r="AH228" i="12"/>
  <c r="AG228" i="12"/>
  <c r="AD228" i="12"/>
  <c r="AC228" i="12"/>
  <c r="AA228" i="12"/>
  <c r="Z228" i="12"/>
  <c r="Y228" i="12"/>
  <c r="X228" i="12"/>
  <c r="W228" i="12"/>
  <c r="V228" i="12"/>
  <c r="U228" i="12"/>
  <c r="T228" i="12"/>
  <c r="S228" i="12"/>
  <c r="P228" i="12"/>
  <c r="K228" i="12"/>
  <c r="J228" i="12"/>
  <c r="I228" i="12"/>
  <c r="G228" i="12"/>
  <c r="F228" i="12"/>
  <c r="D228" i="12"/>
  <c r="C228" i="12"/>
  <c r="B228" i="12"/>
  <c r="A228" i="12"/>
  <c r="BE227" i="12"/>
  <c r="BD227" i="12"/>
  <c r="BC227" i="12"/>
  <c r="BA227" i="12"/>
  <c r="AU227" i="12"/>
  <c r="AS227" i="12"/>
  <c r="AQ227" i="12"/>
  <c r="AN227" i="12"/>
  <c r="AL227" i="12"/>
  <c r="AK227" i="12"/>
  <c r="AD227" i="12"/>
  <c r="AC227" i="12"/>
  <c r="AB227" i="12"/>
  <c r="AA227" i="12"/>
  <c r="Z227" i="12"/>
  <c r="Y227" i="12"/>
  <c r="X227" i="12"/>
  <c r="W227" i="12"/>
  <c r="V227" i="12"/>
  <c r="U227" i="12"/>
  <c r="T227" i="12"/>
  <c r="S227" i="12"/>
  <c r="P227" i="12"/>
  <c r="K227" i="12"/>
  <c r="J227" i="12"/>
  <c r="I227" i="12"/>
  <c r="G227" i="12"/>
  <c r="F227" i="12"/>
  <c r="E227" i="12"/>
  <c r="D227" i="12"/>
  <c r="C227" i="12"/>
  <c r="B227" i="12"/>
  <c r="A227" i="12"/>
  <c r="BE226" i="12"/>
  <c r="BD226" i="12"/>
  <c r="BC226" i="12"/>
  <c r="AY226" i="12"/>
  <c r="AW226" i="12"/>
  <c r="AU226" i="12"/>
  <c r="AT226" i="12"/>
  <c r="AS226" i="12"/>
  <c r="AQ226" i="12"/>
  <c r="AP226" i="12"/>
  <c r="AO226" i="12"/>
  <c r="AN226" i="12"/>
  <c r="AL226" i="12"/>
  <c r="AK226" i="12"/>
  <c r="AH226" i="12"/>
  <c r="AG226" i="12"/>
  <c r="AD226" i="12"/>
  <c r="AC226" i="12"/>
  <c r="AB226" i="12"/>
  <c r="AA226" i="12"/>
  <c r="Z226" i="12"/>
  <c r="Y226" i="12"/>
  <c r="X226" i="12"/>
  <c r="W226" i="12"/>
  <c r="V226" i="12"/>
  <c r="U226" i="12"/>
  <c r="T226" i="12"/>
  <c r="S226" i="12"/>
  <c r="P226" i="12"/>
  <c r="K226" i="12"/>
  <c r="J226" i="12"/>
  <c r="I226" i="12"/>
  <c r="G226" i="12"/>
  <c r="F226" i="12"/>
  <c r="E226" i="12"/>
  <c r="D226" i="12"/>
  <c r="C226" i="12"/>
  <c r="B226" i="12"/>
  <c r="A226" i="12"/>
  <c r="BE225" i="12"/>
  <c r="BD225" i="12"/>
  <c r="BC225" i="12"/>
  <c r="BA225" i="12"/>
  <c r="AU225" i="12"/>
  <c r="AT225" i="12"/>
  <c r="AS225" i="12"/>
  <c r="AQ225" i="12"/>
  <c r="AP225" i="12"/>
  <c r="AO225" i="12"/>
  <c r="AN225" i="12"/>
  <c r="AL225" i="12"/>
  <c r="AK225" i="12"/>
  <c r="AH225" i="12"/>
  <c r="AG225" i="12"/>
  <c r="AD225" i="12"/>
  <c r="AC225" i="12"/>
  <c r="AB225" i="12"/>
  <c r="AA225" i="12"/>
  <c r="Z225" i="12"/>
  <c r="Y225" i="12"/>
  <c r="X225" i="12"/>
  <c r="W225" i="12"/>
  <c r="V225" i="12"/>
  <c r="U225" i="12"/>
  <c r="T225" i="12"/>
  <c r="S225" i="12"/>
  <c r="P225" i="12"/>
  <c r="K225" i="12"/>
  <c r="J225" i="12"/>
  <c r="I225" i="12"/>
  <c r="G225" i="12"/>
  <c r="F225" i="12"/>
  <c r="E225" i="12"/>
  <c r="D225" i="12"/>
  <c r="C225" i="12"/>
  <c r="B225" i="12"/>
  <c r="A225" i="12"/>
  <c r="BC224" i="12"/>
  <c r="AU224" i="12"/>
  <c r="AK224" i="12"/>
  <c r="AG224" i="12"/>
  <c r="AA224" i="12"/>
  <c r="Z224" i="12"/>
  <c r="Y224" i="12"/>
  <c r="X224" i="12"/>
  <c r="W224" i="12"/>
  <c r="V224" i="12"/>
  <c r="U224" i="12"/>
  <c r="T224" i="12"/>
  <c r="S224" i="12"/>
  <c r="K224" i="12"/>
  <c r="J224" i="12"/>
  <c r="I224" i="12"/>
  <c r="G224" i="12"/>
  <c r="F224" i="12"/>
  <c r="D224" i="12"/>
  <c r="C224" i="12"/>
  <c r="B224" i="12"/>
  <c r="A224" i="12"/>
  <c r="BE223" i="12"/>
  <c r="BD223" i="12"/>
  <c r="BC223" i="12"/>
  <c r="BB223" i="12"/>
  <c r="AU223" i="12"/>
  <c r="AS223" i="12"/>
  <c r="AQ223" i="12"/>
  <c r="AN223" i="12"/>
  <c r="AL223" i="12"/>
  <c r="AK223" i="12"/>
  <c r="AH223" i="12"/>
  <c r="AG223" i="12"/>
  <c r="AD223" i="12"/>
  <c r="AC223" i="12"/>
  <c r="AA223" i="12"/>
  <c r="Z223" i="12"/>
  <c r="Y223" i="12"/>
  <c r="X223" i="12"/>
  <c r="W223" i="12"/>
  <c r="V223" i="12"/>
  <c r="U223" i="12"/>
  <c r="T223" i="12"/>
  <c r="S223" i="12"/>
  <c r="P223" i="12"/>
  <c r="K223" i="12"/>
  <c r="J223" i="12"/>
  <c r="I223" i="12"/>
  <c r="G223" i="12"/>
  <c r="F223" i="12"/>
  <c r="D223" i="12"/>
  <c r="C223" i="12"/>
  <c r="B223" i="12"/>
  <c r="A223" i="12"/>
  <c r="BE222" i="12"/>
  <c r="BD222" i="12"/>
  <c r="BC222" i="12"/>
  <c r="BB222" i="12"/>
  <c r="AU222" i="12"/>
  <c r="AS222" i="12"/>
  <c r="AQ222" i="12"/>
  <c r="AN222" i="12"/>
  <c r="AL222" i="12"/>
  <c r="AK222" i="12"/>
  <c r="AH222" i="12"/>
  <c r="AG222" i="12"/>
  <c r="AD222" i="12"/>
  <c r="AC222" i="12"/>
  <c r="AA222" i="12"/>
  <c r="Z222" i="12"/>
  <c r="Y222" i="12"/>
  <c r="X222" i="12"/>
  <c r="W222" i="12"/>
  <c r="V222" i="12"/>
  <c r="U222" i="12"/>
  <c r="T222" i="12"/>
  <c r="S222" i="12"/>
  <c r="P222" i="12"/>
  <c r="K222" i="12"/>
  <c r="J222" i="12"/>
  <c r="I222" i="12"/>
  <c r="G222" i="12"/>
  <c r="F222" i="12"/>
  <c r="D222" i="12"/>
  <c r="C222" i="12"/>
  <c r="B222" i="12"/>
  <c r="A222" i="12"/>
  <c r="BE221" i="12"/>
  <c r="BD221" i="12"/>
  <c r="BC221" i="12"/>
  <c r="BA221" i="12"/>
  <c r="AY221" i="12"/>
  <c r="AU221" i="12"/>
  <c r="AS221" i="12"/>
  <c r="AQ221" i="12"/>
  <c r="AP221" i="12"/>
  <c r="AO221" i="12"/>
  <c r="AN221" i="12"/>
  <c r="AL221" i="12"/>
  <c r="AK221" i="12"/>
  <c r="AH221" i="12"/>
  <c r="AG221" i="12"/>
  <c r="AD221" i="12"/>
  <c r="AC221" i="12"/>
  <c r="AB221" i="12"/>
  <c r="AA221" i="12"/>
  <c r="Z221" i="12"/>
  <c r="Y221" i="12"/>
  <c r="X221" i="12"/>
  <c r="W221" i="12"/>
  <c r="V221" i="12"/>
  <c r="U221" i="12"/>
  <c r="T221" i="12"/>
  <c r="S221" i="12"/>
  <c r="P221" i="12"/>
  <c r="K221" i="12"/>
  <c r="J221" i="12"/>
  <c r="I221" i="12"/>
  <c r="G221" i="12"/>
  <c r="F221" i="12"/>
  <c r="E221" i="12"/>
  <c r="D221" i="12"/>
  <c r="C221" i="12"/>
  <c r="B221" i="12"/>
  <c r="A221" i="12"/>
  <c r="BE220" i="12"/>
  <c r="BD220" i="12"/>
  <c r="BC220" i="12"/>
  <c r="BB220" i="12"/>
  <c r="AU220" i="12"/>
  <c r="AS220" i="12"/>
  <c r="AQ220" i="12"/>
  <c r="AN220" i="12"/>
  <c r="AL220" i="12"/>
  <c r="AK220" i="12"/>
  <c r="AH220" i="12"/>
  <c r="AG220" i="12"/>
  <c r="AD220" i="12"/>
  <c r="AC220" i="12"/>
  <c r="AA220" i="12"/>
  <c r="Z220" i="12"/>
  <c r="Y220" i="12"/>
  <c r="X220" i="12"/>
  <c r="W220" i="12"/>
  <c r="V220" i="12"/>
  <c r="U220" i="12"/>
  <c r="S220" i="12"/>
  <c r="P220" i="12"/>
  <c r="K220" i="12"/>
  <c r="J220" i="12"/>
  <c r="I220" i="12"/>
  <c r="G220" i="12"/>
  <c r="F220" i="12"/>
  <c r="D220" i="12"/>
  <c r="C220" i="12"/>
  <c r="B220" i="12"/>
  <c r="A220" i="12"/>
  <c r="BE219" i="12"/>
  <c r="BD219" i="12"/>
  <c r="BC219" i="12"/>
  <c r="BB219" i="12"/>
  <c r="AU219" i="12"/>
  <c r="AS219" i="12"/>
  <c r="AQ219" i="12"/>
  <c r="AN219" i="12"/>
  <c r="AL219" i="12"/>
  <c r="AK219" i="12"/>
  <c r="AH219" i="12"/>
  <c r="AG219" i="12"/>
  <c r="AD219" i="12"/>
  <c r="AA219" i="12"/>
  <c r="Z219" i="12"/>
  <c r="Y219" i="12"/>
  <c r="X219" i="12"/>
  <c r="W219" i="12"/>
  <c r="V219" i="12"/>
  <c r="U219" i="12"/>
  <c r="S219" i="12"/>
  <c r="P219" i="12"/>
  <c r="K219" i="12"/>
  <c r="J219" i="12"/>
  <c r="I219" i="12"/>
  <c r="G219" i="12"/>
  <c r="F219" i="12"/>
  <c r="D219" i="12"/>
  <c r="C219" i="12"/>
  <c r="B219" i="12"/>
  <c r="A219" i="12"/>
  <c r="BE218" i="12"/>
  <c r="BD218" i="12"/>
  <c r="BC218" i="12"/>
  <c r="BB218" i="12"/>
  <c r="AU218" i="12"/>
  <c r="AS218" i="12"/>
  <c r="AQ218" i="12"/>
  <c r="AP218" i="12"/>
  <c r="AO218" i="12"/>
  <c r="AN218" i="12"/>
  <c r="AM218" i="12"/>
  <c r="AL218" i="12"/>
  <c r="AK218" i="12"/>
  <c r="AG218" i="12"/>
  <c r="AD218" i="12"/>
  <c r="AC218" i="12"/>
  <c r="AA218" i="12"/>
  <c r="Z218" i="12"/>
  <c r="Y218" i="12"/>
  <c r="X218" i="12"/>
  <c r="W218" i="12"/>
  <c r="V218" i="12"/>
  <c r="U218" i="12"/>
  <c r="S218" i="12"/>
  <c r="P218" i="12"/>
  <c r="O218" i="12"/>
  <c r="N218" i="12"/>
  <c r="M218" i="12"/>
  <c r="L218" i="12"/>
  <c r="K218" i="12"/>
  <c r="J218" i="12"/>
  <c r="I218" i="12"/>
  <c r="G218" i="12"/>
  <c r="F218" i="12"/>
  <c r="E218" i="12"/>
  <c r="D218" i="12"/>
  <c r="C218" i="12"/>
  <c r="B218" i="12"/>
  <c r="A218" i="12"/>
  <c r="BA217" i="12"/>
  <c r="AL217" i="12"/>
  <c r="AK217" i="12"/>
  <c r="Z217" i="12"/>
  <c r="X217" i="12"/>
  <c r="V217" i="12"/>
  <c r="K217" i="12"/>
  <c r="G217" i="12"/>
  <c r="F217" i="12"/>
  <c r="D217" i="12"/>
  <c r="B217" i="12"/>
  <c r="A217" i="12"/>
  <c r="BE216" i="12"/>
  <c r="BD216" i="12"/>
  <c r="BC216" i="12"/>
  <c r="BB216" i="12"/>
  <c r="AU216" i="12"/>
  <c r="AS216" i="12"/>
  <c r="AQ216" i="12"/>
  <c r="AP216" i="12"/>
  <c r="AO216" i="12"/>
  <c r="AN216" i="12"/>
  <c r="AM216" i="12"/>
  <c r="AL216" i="12"/>
  <c r="AK216" i="12"/>
  <c r="AG216" i="12"/>
  <c r="AD216" i="12"/>
  <c r="AC216" i="12"/>
  <c r="AA216" i="12"/>
  <c r="Z216" i="12"/>
  <c r="Y216" i="12"/>
  <c r="X216" i="12"/>
  <c r="W216" i="12"/>
  <c r="V216" i="12"/>
  <c r="U216" i="12"/>
  <c r="S216" i="12"/>
  <c r="P216" i="12"/>
  <c r="O216" i="12"/>
  <c r="N216" i="12"/>
  <c r="M216" i="12"/>
  <c r="L216" i="12"/>
  <c r="K216" i="12"/>
  <c r="J216" i="12"/>
  <c r="I216" i="12"/>
  <c r="G216" i="12"/>
  <c r="F216" i="12"/>
  <c r="E216" i="12"/>
  <c r="D216" i="12"/>
  <c r="C216" i="12"/>
  <c r="B216" i="12"/>
  <c r="A216" i="12"/>
  <c r="BD215" i="12"/>
  <c r="BC215" i="12"/>
  <c r="BA215" i="12"/>
  <c r="AU215" i="12"/>
  <c r="AK215" i="12"/>
  <c r="AC215" i="12"/>
  <c r="AB215" i="12"/>
  <c r="AA215" i="12"/>
  <c r="Z215" i="12"/>
  <c r="Y215" i="12"/>
  <c r="X215" i="12"/>
  <c r="W215" i="12"/>
  <c r="V215" i="12"/>
  <c r="U215" i="12"/>
  <c r="M215" i="12"/>
  <c r="L215" i="12"/>
  <c r="K215" i="12"/>
  <c r="J215" i="12"/>
  <c r="I215" i="12"/>
  <c r="G215" i="12"/>
  <c r="F215" i="12"/>
  <c r="E215" i="12"/>
  <c r="D215" i="12"/>
  <c r="C215" i="12"/>
  <c r="B215" i="12"/>
  <c r="A215" i="12"/>
  <c r="BD214" i="12"/>
  <c r="BC214" i="12"/>
  <c r="AU214" i="12"/>
  <c r="AK214" i="12"/>
  <c r="AH214" i="12"/>
  <c r="AG214" i="12"/>
  <c r="AC214" i="12"/>
  <c r="AB214" i="12"/>
  <c r="AA214" i="12"/>
  <c r="Z214" i="12"/>
  <c r="Y214" i="12"/>
  <c r="X214" i="12"/>
  <c r="W214" i="12"/>
  <c r="V214" i="12"/>
  <c r="U214" i="12"/>
  <c r="M214" i="12"/>
  <c r="L214" i="12"/>
  <c r="K214" i="12"/>
  <c r="J214" i="12"/>
  <c r="I214" i="12"/>
  <c r="G214" i="12"/>
  <c r="F214" i="12"/>
  <c r="E214" i="12"/>
  <c r="D214" i="12"/>
  <c r="C214" i="12"/>
  <c r="B214" i="12"/>
  <c r="A214" i="12"/>
  <c r="BD213" i="12"/>
  <c r="BC213" i="12"/>
  <c r="BA213" i="12"/>
  <c r="AU213" i="12"/>
  <c r="AK213" i="12"/>
  <c r="AC213" i="12"/>
  <c r="AB213" i="12"/>
  <c r="AA213" i="12"/>
  <c r="Z213" i="12"/>
  <c r="Y213" i="12"/>
  <c r="X213" i="12"/>
  <c r="W213" i="12"/>
  <c r="V213" i="12"/>
  <c r="U213" i="12"/>
  <c r="M213" i="12"/>
  <c r="L213" i="12"/>
  <c r="K213" i="12"/>
  <c r="J213" i="12"/>
  <c r="I213" i="12"/>
  <c r="G213" i="12"/>
  <c r="F213" i="12"/>
  <c r="E213" i="12"/>
  <c r="D213" i="12"/>
  <c r="C213" i="12"/>
  <c r="B213" i="12"/>
  <c r="A213" i="12"/>
  <c r="BD212" i="12"/>
  <c r="BC212" i="12"/>
  <c r="BA212" i="12"/>
  <c r="AU212" i="12"/>
  <c r="AK212" i="12"/>
  <c r="AC212" i="12"/>
  <c r="AB212" i="12"/>
  <c r="AA212" i="12"/>
  <c r="Z212" i="12"/>
  <c r="Y212" i="12"/>
  <c r="X212" i="12"/>
  <c r="W212" i="12"/>
  <c r="V212" i="12"/>
  <c r="U212" i="12"/>
  <c r="M212" i="12"/>
  <c r="L212" i="12"/>
  <c r="K212" i="12"/>
  <c r="J212" i="12"/>
  <c r="I212" i="12"/>
  <c r="G212" i="12"/>
  <c r="F212" i="12"/>
  <c r="E212" i="12"/>
  <c r="D212" i="12"/>
  <c r="C212" i="12"/>
  <c r="B212" i="12"/>
  <c r="A212" i="12"/>
  <c r="BD211" i="12"/>
  <c r="BC211" i="12"/>
  <c r="AU211" i="12"/>
  <c r="AK211" i="12"/>
  <c r="AH211" i="12"/>
  <c r="AG211" i="12"/>
  <c r="AC211" i="12"/>
  <c r="AB211" i="12"/>
  <c r="AA211" i="12"/>
  <c r="Z211" i="12"/>
  <c r="Y211" i="12"/>
  <c r="X211" i="12"/>
  <c r="W211" i="12"/>
  <c r="V211" i="12"/>
  <c r="U211" i="12"/>
  <c r="M211" i="12"/>
  <c r="L211" i="12"/>
  <c r="K211" i="12"/>
  <c r="J211" i="12"/>
  <c r="I211" i="12"/>
  <c r="G211" i="12"/>
  <c r="F211" i="12"/>
  <c r="E211" i="12"/>
  <c r="D211" i="12"/>
  <c r="C211" i="12"/>
  <c r="B211" i="12"/>
  <c r="A211" i="12"/>
  <c r="BD210" i="12"/>
  <c r="BC210" i="12"/>
  <c r="BA210" i="12"/>
  <c r="AU210" i="12"/>
  <c r="AK210" i="12"/>
  <c r="AC210" i="12"/>
  <c r="AB210" i="12"/>
  <c r="AA210" i="12"/>
  <c r="Z210" i="12"/>
  <c r="Y210" i="12"/>
  <c r="X210" i="12"/>
  <c r="W210" i="12"/>
  <c r="V210" i="12"/>
  <c r="U210" i="12"/>
  <c r="M210" i="12"/>
  <c r="L210" i="12"/>
  <c r="K210" i="12"/>
  <c r="J210" i="12"/>
  <c r="I210" i="12"/>
  <c r="G210" i="12"/>
  <c r="F210" i="12"/>
  <c r="E210" i="12"/>
  <c r="D210" i="12"/>
  <c r="C210" i="12"/>
  <c r="B210" i="12"/>
  <c r="A210" i="12"/>
  <c r="BD209" i="12"/>
  <c r="BC209" i="12"/>
  <c r="BA209" i="12"/>
  <c r="AU209" i="12"/>
  <c r="AK209" i="12"/>
  <c r="AC209" i="12"/>
  <c r="AB209" i="12"/>
  <c r="AA209" i="12"/>
  <c r="Z209" i="12"/>
  <c r="Y209" i="12"/>
  <c r="X209" i="12"/>
  <c r="W209" i="12"/>
  <c r="V209" i="12"/>
  <c r="U209" i="12"/>
  <c r="M209" i="12"/>
  <c r="L209" i="12"/>
  <c r="K209" i="12"/>
  <c r="J209" i="12"/>
  <c r="I209" i="12"/>
  <c r="G209" i="12"/>
  <c r="F209" i="12"/>
  <c r="E209" i="12"/>
  <c r="D209" i="12"/>
  <c r="C209" i="12"/>
  <c r="B209" i="12"/>
  <c r="A209" i="12"/>
  <c r="BD208" i="12"/>
  <c r="BC208" i="12"/>
  <c r="BA208" i="12"/>
  <c r="AU208" i="12"/>
  <c r="AK208" i="12"/>
  <c r="AB208" i="12"/>
  <c r="AA208" i="12"/>
  <c r="Z208" i="12"/>
  <c r="Y208" i="12"/>
  <c r="X208" i="12"/>
  <c r="W208" i="12"/>
  <c r="V208" i="12"/>
  <c r="U208" i="12"/>
  <c r="M208" i="12"/>
  <c r="L208" i="12"/>
  <c r="K208" i="12"/>
  <c r="J208" i="12"/>
  <c r="I208" i="12"/>
  <c r="G208" i="12"/>
  <c r="F208" i="12"/>
  <c r="E208" i="12"/>
  <c r="D208" i="12"/>
  <c r="C208" i="12"/>
  <c r="B208" i="12"/>
  <c r="A208" i="12"/>
  <c r="BD207" i="12"/>
  <c r="BC207" i="12"/>
  <c r="BA207" i="12"/>
  <c r="AU207" i="12"/>
  <c r="AK207" i="12"/>
  <c r="AC207" i="12"/>
  <c r="AB207" i="12"/>
  <c r="AA207" i="12"/>
  <c r="Z207" i="12"/>
  <c r="Y207" i="12"/>
  <c r="X207" i="12"/>
  <c r="W207" i="12"/>
  <c r="V207" i="12"/>
  <c r="U207" i="12"/>
  <c r="M207" i="12"/>
  <c r="L207" i="12"/>
  <c r="K207" i="12"/>
  <c r="J207" i="12"/>
  <c r="I207" i="12"/>
  <c r="G207" i="12"/>
  <c r="F207" i="12"/>
  <c r="E207" i="12"/>
  <c r="D207" i="12"/>
  <c r="C207" i="12"/>
  <c r="B207" i="12"/>
  <c r="A207" i="12"/>
  <c r="BD206" i="12"/>
  <c r="BC206" i="12"/>
  <c r="BA206" i="12"/>
  <c r="AU206" i="12"/>
  <c r="AK206" i="12"/>
  <c r="AC206" i="12"/>
  <c r="AB206" i="12"/>
  <c r="AA206" i="12"/>
  <c r="Z206" i="12"/>
  <c r="Y206" i="12"/>
  <c r="X206" i="12"/>
  <c r="W206" i="12"/>
  <c r="V206" i="12"/>
  <c r="U206" i="12"/>
  <c r="M206" i="12"/>
  <c r="L206" i="12"/>
  <c r="K206" i="12"/>
  <c r="J206" i="12"/>
  <c r="I206" i="12"/>
  <c r="G206" i="12"/>
  <c r="F206" i="12"/>
  <c r="E206" i="12"/>
  <c r="D206" i="12"/>
  <c r="C206" i="12"/>
  <c r="B206" i="12"/>
  <c r="A206" i="12"/>
  <c r="BD205" i="12"/>
  <c r="BC205" i="12"/>
  <c r="BA205" i="12"/>
  <c r="AY205" i="12"/>
  <c r="AU205" i="12"/>
  <c r="AT205" i="12"/>
  <c r="AP205" i="12"/>
  <c r="AO205" i="12"/>
  <c r="AL205" i="12"/>
  <c r="AK205" i="12"/>
  <c r="AH205" i="12"/>
  <c r="AG205" i="12"/>
  <c r="AC205" i="12"/>
  <c r="AB205" i="12"/>
  <c r="AA205" i="12"/>
  <c r="Z205" i="12"/>
  <c r="Y205" i="12"/>
  <c r="X205" i="12"/>
  <c r="W205" i="12"/>
  <c r="V205" i="12"/>
  <c r="U205" i="12"/>
  <c r="M205" i="12"/>
  <c r="L205" i="12"/>
  <c r="K205" i="12"/>
  <c r="J205" i="12"/>
  <c r="I205" i="12"/>
  <c r="G205" i="12"/>
  <c r="F205" i="12"/>
  <c r="E205" i="12"/>
  <c r="D205" i="12"/>
  <c r="C205" i="12"/>
  <c r="B205" i="12"/>
  <c r="A205" i="12"/>
  <c r="BD204" i="12"/>
  <c r="BC204" i="12"/>
  <c r="BA204" i="12"/>
  <c r="AU204" i="12"/>
  <c r="AK204" i="12"/>
  <c r="AC204" i="12"/>
  <c r="AB204" i="12"/>
  <c r="AA204" i="12"/>
  <c r="Z204" i="12"/>
  <c r="Y204" i="12"/>
  <c r="X204" i="12"/>
  <c r="W204" i="12"/>
  <c r="V204" i="12"/>
  <c r="U204" i="12"/>
  <c r="M204" i="12"/>
  <c r="L204" i="12"/>
  <c r="K204" i="12"/>
  <c r="J204" i="12"/>
  <c r="I204" i="12"/>
  <c r="G204" i="12"/>
  <c r="F204" i="12"/>
  <c r="E204" i="12"/>
  <c r="D204" i="12"/>
  <c r="C204" i="12"/>
  <c r="B204" i="12"/>
  <c r="A204" i="12"/>
  <c r="BE203" i="12"/>
  <c r="BD203" i="12"/>
  <c r="BC203" i="12"/>
  <c r="BB203" i="12"/>
  <c r="AU203" i="12"/>
  <c r="AS203" i="12"/>
  <c r="AQ203" i="12"/>
  <c r="AN203" i="12"/>
  <c r="AL203" i="12"/>
  <c r="AK203" i="12"/>
  <c r="AH203" i="12"/>
  <c r="AG203" i="12"/>
  <c r="AD203" i="12"/>
  <c r="AC203" i="12"/>
  <c r="AA203" i="12"/>
  <c r="Z203" i="12"/>
  <c r="Y203" i="12"/>
  <c r="X203" i="12"/>
  <c r="W203" i="12"/>
  <c r="V203" i="12"/>
  <c r="U203" i="12"/>
  <c r="S203" i="12"/>
  <c r="P203" i="12"/>
  <c r="K203" i="12"/>
  <c r="J203" i="12"/>
  <c r="I203" i="12"/>
  <c r="G203" i="12"/>
  <c r="F203" i="12"/>
  <c r="D203" i="12"/>
  <c r="C203" i="12"/>
  <c r="B203" i="12"/>
  <c r="A203" i="12"/>
  <c r="BE202" i="12"/>
  <c r="BD202" i="12"/>
  <c r="BC202" i="12"/>
  <c r="BB202" i="12"/>
  <c r="AU202" i="12"/>
  <c r="AS202" i="12"/>
  <c r="AQ202" i="12"/>
  <c r="AN202" i="12"/>
  <c r="AL202" i="12"/>
  <c r="AK202" i="12"/>
  <c r="AH202" i="12"/>
  <c r="AG202" i="12"/>
  <c r="AD202" i="12"/>
  <c r="AA202" i="12"/>
  <c r="Z202" i="12"/>
  <c r="Y202" i="12"/>
  <c r="X202" i="12"/>
  <c r="W202" i="12"/>
  <c r="V202" i="12"/>
  <c r="U202" i="12"/>
  <c r="S202" i="12"/>
  <c r="P202" i="12"/>
  <c r="K202" i="12"/>
  <c r="J202" i="12"/>
  <c r="I202" i="12"/>
  <c r="G202" i="12"/>
  <c r="F202" i="12"/>
  <c r="D202" i="12"/>
  <c r="C202" i="12"/>
  <c r="B202" i="12"/>
  <c r="A202" i="12"/>
  <c r="BE201" i="12"/>
  <c r="BD201" i="12"/>
  <c r="BC201" i="12"/>
  <c r="BA201" i="12"/>
  <c r="AU201" i="12"/>
  <c r="AS201" i="12"/>
  <c r="AQ201" i="12"/>
  <c r="AN201" i="12"/>
  <c r="AL201" i="12"/>
  <c r="AK201" i="12"/>
  <c r="AD201" i="12"/>
  <c r="AC201" i="12"/>
  <c r="AB201" i="12"/>
  <c r="AA201" i="12"/>
  <c r="Z201" i="12"/>
  <c r="Y201" i="12"/>
  <c r="X201" i="12"/>
  <c r="W201" i="12"/>
  <c r="V201" i="12"/>
  <c r="U201" i="12"/>
  <c r="T201" i="12"/>
  <c r="S201" i="12"/>
  <c r="P201" i="12"/>
  <c r="M201" i="12"/>
  <c r="L201" i="12"/>
  <c r="K201" i="12"/>
  <c r="J201" i="12"/>
  <c r="I201" i="12"/>
  <c r="G201" i="12"/>
  <c r="F201" i="12"/>
  <c r="E201" i="12"/>
  <c r="D201" i="12"/>
  <c r="C201" i="12"/>
  <c r="B201" i="12"/>
  <c r="A201" i="12"/>
  <c r="BE200" i="12"/>
  <c r="BD200" i="12"/>
  <c r="BC200" i="12"/>
  <c r="BB200" i="12"/>
  <c r="AU200" i="12"/>
  <c r="AS200" i="12"/>
  <c r="AQ200" i="12"/>
  <c r="AP200" i="12"/>
  <c r="AO200" i="12"/>
  <c r="AN200" i="12"/>
  <c r="AM200" i="12"/>
  <c r="AL200" i="12"/>
  <c r="AK200" i="12"/>
  <c r="AH200" i="12"/>
  <c r="AG200" i="12"/>
  <c r="AD200" i="12"/>
  <c r="AC200" i="12"/>
  <c r="AA200" i="12"/>
  <c r="Z200" i="12"/>
  <c r="Y200" i="12"/>
  <c r="X200" i="12"/>
  <c r="W200" i="12"/>
  <c r="V200" i="12"/>
  <c r="U200" i="12"/>
  <c r="S200" i="12"/>
  <c r="P200" i="12"/>
  <c r="O200" i="12"/>
  <c r="N200" i="12"/>
  <c r="M200" i="12"/>
  <c r="L200" i="12"/>
  <c r="K200" i="12"/>
  <c r="J200" i="12"/>
  <c r="I200" i="12"/>
  <c r="G200" i="12"/>
  <c r="F200" i="12"/>
  <c r="E200" i="12"/>
  <c r="D200" i="12"/>
  <c r="C200" i="12"/>
  <c r="B200" i="12"/>
  <c r="A200" i="12"/>
  <c r="BE199" i="12"/>
  <c r="BD199" i="12"/>
  <c r="BC199" i="12"/>
  <c r="BB199" i="12"/>
  <c r="AU199" i="12"/>
  <c r="AS199" i="12"/>
  <c r="AQ199" i="12"/>
  <c r="AP199" i="12"/>
  <c r="AO199" i="12"/>
  <c r="AN199" i="12"/>
  <c r="AM199" i="12"/>
  <c r="AL199" i="12"/>
  <c r="AK199" i="12"/>
  <c r="AG199" i="12"/>
  <c r="AD199" i="12"/>
  <c r="AC199" i="12"/>
  <c r="AA199" i="12"/>
  <c r="Z199" i="12"/>
  <c r="Y199" i="12"/>
  <c r="X199" i="12"/>
  <c r="W199" i="12"/>
  <c r="V199" i="12"/>
  <c r="U199" i="12"/>
  <c r="S199" i="12"/>
  <c r="P199" i="12"/>
  <c r="O199" i="12"/>
  <c r="N199" i="12"/>
  <c r="L199" i="12"/>
  <c r="K199" i="12"/>
  <c r="J199" i="12"/>
  <c r="I199" i="12"/>
  <c r="G199" i="12"/>
  <c r="F199" i="12"/>
  <c r="E199" i="12"/>
  <c r="D199" i="12"/>
  <c r="C199" i="12"/>
  <c r="B199" i="12"/>
  <c r="A199" i="12"/>
  <c r="BE198" i="12"/>
  <c r="BD198" i="12"/>
  <c r="BC198" i="12"/>
  <c r="BA198" i="12"/>
  <c r="AU198" i="12"/>
  <c r="AS198" i="12"/>
  <c r="AQ198" i="12"/>
  <c r="AN198" i="12"/>
  <c r="AL198" i="12"/>
  <c r="AK198" i="12"/>
  <c r="AH198" i="12"/>
  <c r="AG198" i="12"/>
  <c r="AD198" i="12"/>
  <c r="AC198" i="12"/>
  <c r="AB198" i="12"/>
  <c r="AA198" i="12"/>
  <c r="Z198" i="12"/>
  <c r="Y198" i="12"/>
  <c r="X198" i="12"/>
  <c r="W198" i="12"/>
  <c r="V198" i="12"/>
  <c r="U198" i="12"/>
  <c r="S198" i="12"/>
  <c r="P198" i="12"/>
  <c r="K198" i="12"/>
  <c r="J198" i="12"/>
  <c r="I198" i="12"/>
  <c r="G198" i="12"/>
  <c r="F198" i="12"/>
  <c r="E198" i="12"/>
  <c r="D198" i="12"/>
  <c r="C198" i="12"/>
  <c r="B198" i="12"/>
  <c r="A198" i="12"/>
  <c r="BE197" i="12"/>
  <c r="BD197" i="12"/>
  <c r="BC197" i="12"/>
  <c r="AW197" i="12"/>
  <c r="AU197" i="12"/>
  <c r="AT197" i="12"/>
  <c r="AS197" i="12"/>
  <c r="AQ197" i="12"/>
  <c r="AP197" i="12"/>
  <c r="AO197" i="12"/>
  <c r="AN197" i="12"/>
  <c r="AL197" i="12"/>
  <c r="AK197" i="12"/>
  <c r="AH197" i="12"/>
  <c r="AG197" i="12"/>
  <c r="AD197" i="12"/>
  <c r="AC197" i="12"/>
  <c r="AB197" i="12"/>
  <c r="AA197" i="12"/>
  <c r="Z197" i="12"/>
  <c r="Y197" i="12"/>
  <c r="X197" i="12"/>
  <c r="W197" i="12"/>
  <c r="V197" i="12"/>
  <c r="U197" i="12"/>
  <c r="T197" i="12"/>
  <c r="S197" i="12"/>
  <c r="P197" i="12"/>
  <c r="M197" i="12"/>
  <c r="L197" i="12"/>
  <c r="K197" i="12"/>
  <c r="J197" i="12"/>
  <c r="I197" i="12"/>
  <c r="G197" i="12"/>
  <c r="F197" i="12"/>
  <c r="E197" i="12"/>
  <c r="D197" i="12"/>
  <c r="C197" i="12"/>
  <c r="B197" i="12"/>
  <c r="A197" i="12"/>
  <c r="BE196" i="12"/>
  <c r="BD196" i="12"/>
  <c r="BC196" i="12"/>
  <c r="BA196" i="12"/>
  <c r="AY196" i="12"/>
  <c r="AU196" i="12"/>
  <c r="AT196" i="12"/>
  <c r="AS196" i="12"/>
  <c r="AQ196" i="12"/>
  <c r="AP196" i="12"/>
  <c r="AO196" i="12"/>
  <c r="AN196" i="12"/>
  <c r="AL196" i="12"/>
  <c r="AK196" i="12"/>
  <c r="AH196" i="12"/>
  <c r="AG196" i="12"/>
  <c r="AD196" i="12"/>
  <c r="AC196" i="12"/>
  <c r="AB196" i="12"/>
  <c r="AA196" i="12"/>
  <c r="Z196" i="12"/>
  <c r="Y196" i="12"/>
  <c r="X196" i="12"/>
  <c r="W196" i="12"/>
  <c r="V196" i="12"/>
  <c r="U196" i="12"/>
  <c r="T196" i="12"/>
  <c r="S196" i="12"/>
  <c r="P196" i="12"/>
  <c r="K196" i="12"/>
  <c r="J196" i="12"/>
  <c r="I196" i="12"/>
  <c r="G196" i="12"/>
  <c r="F196" i="12"/>
  <c r="E196" i="12"/>
  <c r="D196" i="12"/>
  <c r="C196" i="12"/>
  <c r="B196" i="12"/>
  <c r="A196" i="12"/>
  <c r="BE195" i="12"/>
  <c r="BD195" i="12"/>
  <c r="BC195" i="12"/>
  <c r="BA195" i="12"/>
  <c r="AU195" i="12"/>
  <c r="AS195" i="12"/>
  <c r="AQ195" i="12"/>
  <c r="AN195" i="12"/>
  <c r="AL195" i="12"/>
  <c r="AK195" i="12"/>
  <c r="AH195" i="12"/>
  <c r="AG195" i="12"/>
  <c r="AD195" i="12"/>
  <c r="AC195" i="12"/>
  <c r="AB195" i="12"/>
  <c r="AA195" i="12"/>
  <c r="Z195" i="12"/>
  <c r="Y195" i="12"/>
  <c r="X195" i="12"/>
  <c r="W195" i="12"/>
  <c r="V195" i="12"/>
  <c r="U195" i="12"/>
  <c r="S195" i="12"/>
  <c r="P195" i="12"/>
  <c r="M195" i="12"/>
  <c r="L195" i="12"/>
  <c r="K195" i="12"/>
  <c r="J195" i="12"/>
  <c r="I195" i="12"/>
  <c r="G195" i="12"/>
  <c r="F195" i="12"/>
  <c r="E195" i="12"/>
  <c r="D195" i="12"/>
  <c r="C195" i="12"/>
  <c r="B195" i="12"/>
  <c r="A195" i="12"/>
  <c r="BD194" i="12"/>
  <c r="BC194" i="12"/>
  <c r="BA194" i="12"/>
  <c r="AU194" i="12"/>
  <c r="AK194" i="12"/>
  <c r="AC194" i="12"/>
  <c r="AB194" i="12"/>
  <c r="AA194" i="12"/>
  <c r="Z194" i="12"/>
  <c r="Y194" i="12"/>
  <c r="X194" i="12"/>
  <c r="W194" i="12"/>
  <c r="V194" i="12"/>
  <c r="U194" i="12"/>
  <c r="M194" i="12"/>
  <c r="L194" i="12"/>
  <c r="K194" i="12"/>
  <c r="J194" i="12"/>
  <c r="I194" i="12"/>
  <c r="G194" i="12"/>
  <c r="F194" i="12"/>
  <c r="E194" i="12"/>
  <c r="D194" i="12"/>
  <c r="C194" i="12"/>
  <c r="B194" i="12"/>
  <c r="A194" i="12"/>
  <c r="BD193" i="12"/>
  <c r="BC193" i="12"/>
  <c r="BA193" i="12"/>
  <c r="AY193" i="12"/>
  <c r="AU193" i="12"/>
  <c r="AP193" i="12"/>
  <c r="AO193" i="12"/>
  <c r="AK193" i="12"/>
  <c r="AH193" i="12"/>
  <c r="AG193" i="12"/>
  <c r="AC193" i="12"/>
  <c r="AB193" i="12"/>
  <c r="AA193" i="12"/>
  <c r="Z193" i="12"/>
  <c r="Y193" i="12"/>
  <c r="X193" i="12"/>
  <c r="W193" i="12"/>
  <c r="V193" i="12"/>
  <c r="U193" i="12"/>
  <c r="M193" i="12"/>
  <c r="L193" i="12"/>
  <c r="K193" i="12"/>
  <c r="J193" i="12"/>
  <c r="I193" i="12"/>
  <c r="G193" i="12"/>
  <c r="F193" i="12"/>
  <c r="E193" i="12"/>
  <c r="D193" i="12"/>
  <c r="C193" i="12"/>
  <c r="B193" i="12"/>
  <c r="A193" i="12"/>
  <c r="BE192" i="12"/>
  <c r="BD192" i="12"/>
  <c r="BC192" i="12"/>
  <c r="BB192" i="12"/>
  <c r="AU192" i="12"/>
  <c r="AS192" i="12"/>
  <c r="AQ192" i="12"/>
  <c r="AP192" i="12"/>
  <c r="AO192" i="12"/>
  <c r="AN192" i="12"/>
  <c r="AM192" i="12"/>
  <c r="AL192" i="12"/>
  <c r="AK192" i="12"/>
  <c r="AG192" i="12"/>
  <c r="AD192" i="12"/>
  <c r="AA192" i="12"/>
  <c r="Z192" i="12"/>
  <c r="Y192" i="12"/>
  <c r="X192" i="12"/>
  <c r="W192" i="12"/>
  <c r="V192" i="12"/>
  <c r="U192" i="12"/>
  <c r="S192" i="12"/>
  <c r="P192" i="12"/>
  <c r="O192" i="12"/>
  <c r="N192" i="12"/>
  <c r="L192" i="12"/>
  <c r="K192" i="12"/>
  <c r="J192" i="12"/>
  <c r="I192" i="12"/>
  <c r="G192" i="12"/>
  <c r="F192" i="12"/>
  <c r="E192" i="12"/>
  <c r="D192" i="12"/>
  <c r="C192" i="12"/>
  <c r="B192" i="12"/>
  <c r="A192" i="12"/>
  <c r="BE191" i="12"/>
  <c r="BD191" i="12"/>
  <c r="BC191" i="12"/>
  <c r="BB191" i="12"/>
  <c r="AU191" i="12"/>
  <c r="AS191" i="12"/>
  <c r="AQ191" i="12"/>
  <c r="AN191" i="12"/>
  <c r="AL191" i="12"/>
  <c r="AK191" i="12"/>
  <c r="AH191" i="12"/>
  <c r="AG191" i="12"/>
  <c r="AD191" i="12"/>
  <c r="AC191" i="12"/>
  <c r="AA191" i="12"/>
  <c r="Z191" i="12"/>
  <c r="Y191" i="12"/>
  <c r="X191" i="12"/>
  <c r="W191" i="12"/>
  <c r="V191" i="12"/>
  <c r="U191" i="12"/>
  <c r="S191" i="12"/>
  <c r="P191" i="12"/>
  <c r="K191" i="12"/>
  <c r="J191" i="12"/>
  <c r="I191" i="12"/>
  <c r="G191" i="12"/>
  <c r="F191" i="12"/>
  <c r="D191" i="12"/>
  <c r="C191" i="12"/>
  <c r="B191" i="12"/>
  <c r="A191" i="12"/>
  <c r="BE190" i="12"/>
  <c r="BD190" i="12"/>
  <c r="BC190" i="12"/>
  <c r="BB190" i="12"/>
  <c r="AU190" i="12"/>
  <c r="AS190" i="12"/>
  <c r="AQ190" i="12"/>
  <c r="AN190" i="12"/>
  <c r="AL190" i="12"/>
  <c r="AK190" i="12"/>
  <c r="AH190" i="12"/>
  <c r="AG190" i="12"/>
  <c r="AD190" i="12"/>
  <c r="AC190" i="12"/>
  <c r="AA190" i="12"/>
  <c r="Z190" i="12"/>
  <c r="Y190" i="12"/>
  <c r="X190" i="12"/>
  <c r="W190" i="12"/>
  <c r="V190" i="12"/>
  <c r="U190" i="12"/>
  <c r="S190" i="12"/>
  <c r="P190" i="12"/>
  <c r="K190" i="12"/>
  <c r="J190" i="12"/>
  <c r="I190" i="12"/>
  <c r="G190" i="12"/>
  <c r="F190" i="12"/>
  <c r="D190" i="12"/>
  <c r="C190" i="12"/>
  <c r="B190" i="12"/>
  <c r="A190" i="12"/>
  <c r="BE189" i="12"/>
  <c r="BD189" i="12"/>
  <c r="BC189" i="12"/>
  <c r="BA189" i="12"/>
  <c r="AU189" i="12"/>
  <c r="AS189" i="12"/>
  <c r="AQ189" i="12"/>
  <c r="AN189" i="12"/>
  <c r="AL189" i="12"/>
  <c r="AK189" i="12"/>
  <c r="AH189" i="12"/>
  <c r="AG189" i="12"/>
  <c r="AD189" i="12"/>
  <c r="AC189" i="12"/>
  <c r="AB189" i="12"/>
  <c r="AA189" i="12"/>
  <c r="Z189" i="12"/>
  <c r="Y189" i="12"/>
  <c r="X189" i="12"/>
  <c r="W189" i="12"/>
  <c r="V189" i="12"/>
  <c r="U189" i="12"/>
  <c r="S189" i="12"/>
  <c r="P189" i="12"/>
  <c r="M189" i="12"/>
  <c r="L189" i="12"/>
  <c r="K189" i="12"/>
  <c r="J189" i="12"/>
  <c r="I189" i="12"/>
  <c r="G189" i="12"/>
  <c r="F189" i="12"/>
  <c r="E189" i="12"/>
  <c r="D189" i="12"/>
  <c r="C189" i="12"/>
  <c r="B189" i="12"/>
  <c r="A189" i="12"/>
  <c r="BD188" i="12"/>
  <c r="BC188" i="12"/>
  <c r="BA188" i="12"/>
  <c r="AU188" i="12"/>
  <c r="AR188" i="12"/>
  <c r="AL188" i="12"/>
  <c r="AK188" i="12"/>
  <c r="AH188" i="12"/>
  <c r="AG188" i="12"/>
  <c r="AC188" i="12"/>
  <c r="AB188" i="12"/>
  <c r="AA188" i="12"/>
  <c r="Z188" i="12"/>
  <c r="Y188" i="12"/>
  <c r="X188" i="12"/>
  <c r="W188" i="12"/>
  <c r="V188" i="12"/>
  <c r="U188" i="12"/>
  <c r="M188" i="12"/>
  <c r="L188" i="12"/>
  <c r="K188" i="12"/>
  <c r="J188" i="12"/>
  <c r="I188" i="12"/>
  <c r="H188" i="12"/>
  <c r="G188" i="12"/>
  <c r="F188" i="12"/>
  <c r="E188" i="12"/>
  <c r="D188" i="12"/>
  <c r="C188" i="12"/>
  <c r="B188" i="12"/>
  <c r="A188" i="12"/>
  <c r="BD187" i="12"/>
  <c r="BC187" i="12"/>
  <c r="BA187" i="12"/>
  <c r="AU187" i="12"/>
  <c r="AR187" i="12"/>
  <c r="AL187" i="12"/>
  <c r="AK187" i="12"/>
  <c r="AH187" i="12"/>
  <c r="AG187" i="12"/>
  <c r="AC187" i="12"/>
  <c r="AB187" i="12"/>
  <c r="AA187" i="12"/>
  <c r="Z187" i="12"/>
  <c r="Y187" i="12"/>
  <c r="X187" i="12"/>
  <c r="W187" i="12"/>
  <c r="V187" i="12"/>
  <c r="U187" i="12"/>
  <c r="M187" i="12"/>
  <c r="L187" i="12"/>
  <c r="K187" i="12"/>
  <c r="J187" i="12"/>
  <c r="I187" i="12"/>
  <c r="H187" i="12"/>
  <c r="G187" i="12"/>
  <c r="F187" i="12"/>
  <c r="E187" i="12"/>
  <c r="D187" i="12"/>
  <c r="C187" i="12"/>
  <c r="B187" i="12"/>
  <c r="A187" i="12"/>
  <c r="BD186" i="12"/>
  <c r="BC186" i="12"/>
  <c r="BA186" i="12"/>
  <c r="AU186" i="12"/>
  <c r="AR186" i="12"/>
  <c r="AL186" i="12"/>
  <c r="AK186" i="12"/>
  <c r="AH186" i="12"/>
  <c r="AG186" i="12"/>
  <c r="AC186" i="12"/>
  <c r="AB186" i="12"/>
  <c r="AA186" i="12"/>
  <c r="Z186" i="12"/>
  <c r="Y186" i="12"/>
  <c r="X186" i="12"/>
  <c r="W186" i="12"/>
  <c r="V186" i="12"/>
  <c r="U186" i="12"/>
  <c r="S186" i="12"/>
  <c r="M186" i="12"/>
  <c r="L186" i="12"/>
  <c r="K186" i="12"/>
  <c r="J186" i="12"/>
  <c r="I186" i="12"/>
  <c r="H186" i="12"/>
  <c r="G186" i="12"/>
  <c r="F186" i="12"/>
  <c r="E186" i="12"/>
  <c r="D186" i="12"/>
  <c r="C186" i="12"/>
  <c r="B186" i="12"/>
  <c r="A186" i="12"/>
  <c r="BD185" i="12"/>
  <c r="BC185" i="12"/>
  <c r="BA185" i="12"/>
  <c r="AU185" i="12"/>
  <c r="AR185" i="12"/>
  <c r="AL185" i="12"/>
  <c r="AK185" i="12"/>
  <c r="AH185" i="12"/>
  <c r="AG185" i="12"/>
  <c r="AC185" i="12"/>
  <c r="AB185" i="12"/>
  <c r="AA185" i="12"/>
  <c r="Z185" i="12"/>
  <c r="Y185" i="12"/>
  <c r="X185" i="12"/>
  <c r="W185" i="12"/>
  <c r="V185" i="12"/>
  <c r="U185" i="12"/>
  <c r="M185" i="12"/>
  <c r="L185" i="12"/>
  <c r="K185" i="12"/>
  <c r="J185" i="12"/>
  <c r="I185" i="12"/>
  <c r="H185" i="12"/>
  <c r="G185" i="12"/>
  <c r="F185" i="12"/>
  <c r="E185" i="12"/>
  <c r="D185" i="12"/>
  <c r="C185" i="12"/>
  <c r="B185" i="12"/>
  <c r="A185" i="12"/>
  <c r="BD184" i="12"/>
  <c r="BC184" i="12"/>
  <c r="BA184" i="12"/>
  <c r="AU184" i="12"/>
  <c r="AR184" i="12"/>
  <c r="AL184" i="12"/>
  <c r="AK184" i="12"/>
  <c r="AH184" i="12"/>
  <c r="AG184" i="12"/>
  <c r="Z184" i="12"/>
  <c r="X184" i="12"/>
  <c r="V184" i="12"/>
  <c r="M184" i="12"/>
  <c r="L184" i="12"/>
  <c r="K184" i="12"/>
  <c r="J184" i="12"/>
  <c r="I184" i="12"/>
  <c r="H184" i="12"/>
  <c r="G184" i="12"/>
  <c r="F184" i="12"/>
  <c r="E184" i="12"/>
  <c r="D184" i="12"/>
  <c r="C184" i="12"/>
  <c r="B184" i="12"/>
  <c r="A184" i="12"/>
  <c r="BD183" i="12"/>
  <c r="BC183" i="12"/>
  <c r="BA183" i="12"/>
  <c r="AU183" i="12"/>
  <c r="AR183" i="12"/>
  <c r="AL183" i="12"/>
  <c r="AK183" i="12"/>
  <c r="AH183" i="12"/>
  <c r="AG183" i="12"/>
  <c r="AC183" i="12"/>
  <c r="AB183" i="12"/>
  <c r="AA183" i="12"/>
  <c r="Z183" i="12"/>
  <c r="Y183" i="12"/>
  <c r="X183" i="12"/>
  <c r="W183" i="12"/>
  <c r="V183" i="12"/>
  <c r="U183" i="12"/>
  <c r="M183" i="12"/>
  <c r="L183" i="12"/>
  <c r="K183" i="12"/>
  <c r="J183" i="12"/>
  <c r="I183" i="12"/>
  <c r="H183" i="12"/>
  <c r="G183" i="12"/>
  <c r="F183" i="12"/>
  <c r="E183" i="12"/>
  <c r="D183" i="12"/>
  <c r="C183" i="12"/>
  <c r="B183" i="12"/>
  <c r="A183" i="12"/>
  <c r="BD182" i="12"/>
  <c r="BC182" i="12"/>
  <c r="BA182" i="12"/>
  <c r="AU182" i="12"/>
  <c r="AR182" i="12"/>
  <c r="AL182" i="12"/>
  <c r="AK182" i="12"/>
  <c r="AH182" i="12"/>
  <c r="AG182" i="12"/>
  <c r="AC182" i="12"/>
  <c r="AB182" i="12"/>
  <c r="AA182" i="12"/>
  <c r="Z182" i="12"/>
  <c r="Y182" i="12"/>
  <c r="X182" i="12"/>
  <c r="W182" i="12"/>
  <c r="V182" i="12"/>
  <c r="U182" i="12"/>
  <c r="M182" i="12"/>
  <c r="K182" i="12"/>
  <c r="J182" i="12"/>
  <c r="I182" i="12"/>
  <c r="H182" i="12"/>
  <c r="G182" i="12"/>
  <c r="F182" i="12"/>
  <c r="E182" i="12"/>
  <c r="D182" i="12"/>
  <c r="C182" i="12"/>
  <c r="B182" i="12"/>
  <c r="A182" i="12"/>
  <c r="BD181" i="12"/>
  <c r="BC181" i="12"/>
  <c r="BA181" i="12"/>
  <c r="AU181" i="12"/>
  <c r="AR181" i="12"/>
  <c r="AL181" i="12"/>
  <c r="AK181" i="12"/>
  <c r="AH181" i="12"/>
  <c r="AG181" i="12"/>
  <c r="AC181" i="12"/>
  <c r="AB181" i="12"/>
  <c r="AA181" i="12"/>
  <c r="Z181" i="12"/>
  <c r="Y181" i="12"/>
  <c r="X181" i="12"/>
  <c r="W181" i="12"/>
  <c r="V181" i="12"/>
  <c r="U181" i="12"/>
  <c r="M181" i="12"/>
  <c r="L181" i="12"/>
  <c r="K181" i="12"/>
  <c r="J181" i="12"/>
  <c r="I181" i="12"/>
  <c r="H181" i="12"/>
  <c r="G181" i="12"/>
  <c r="F181" i="12"/>
  <c r="E181" i="12"/>
  <c r="D181" i="12"/>
  <c r="C181" i="12"/>
  <c r="B181" i="12"/>
  <c r="A181" i="12"/>
  <c r="BE180" i="12"/>
  <c r="BD180" i="12"/>
  <c r="BC180" i="12"/>
  <c r="BB180" i="12"/>
  <c r="AU180" i="12"/>
  <c r="AS180" i="12"/>
  <c r="AQ180" i="12"/>
  <c r="AP180" i="12"/>
  <c r="AO180" i="12"/>
  <c r="AN180" i="12"/>
  <c r="AM180" i="12"/>
  <c r="AL180" i="12"/>
  <c r="AK180" i="12"/>
  <c r="AG180" i="12"/>
  <c r="AD180" i="12"/>
  <c r="AC180" i="12"/>
  <c r="AA180" i="12"/>
  <c r="Z180" i="12"/>
  <c r="Y180" i="12"/>
  <c r="X180" i="12"/>
  <c r="W180" i="12"/>
  <c r="V180" i="12"/>
  <c r="U180" i="12"/>
  <c r="S180" i="12"/>
  <c r="P180" i="12"/>
  <c r="O180" i="12"/>
  <c r="N180" i="12"/>
  <c r="M180" i="12"/>
  <c r="L180" i="12"/>
  <c r="K180" i="12"/>
  <c r="J180" i="12"/>
  <c r="I180" i="12"/>
  <c r="G180" i="12"/>
  <c r="F180" i="12"/>
  <c r="E180" i="12"/>
  <c r="D180" i="12"/>
  <c r="C180" i="12"/>
  <c r="B180" i="12"/>
  <c r="A180" i="12"/>
  <c r="BE179" i="12"/>
  <c r="BD179" i="12"/>
  <c r="BC179" i="12"/>
  <c r="BB179" i="12"/>
  <c r="AU179" i="12"/>
  <c r="AS179" i="12"/>
  <c r="AQ179" i="12"/>
  <c r="AP179" i="12"/>
  <c r="AO179" i="12"/>
  <c r="AN179" i="12"/>
  <c r="AM179" i="12"/>
  <c r="AL179" i="12"/>
  <c r="AK179" i="12"/>
  <c r="AG179" i="12"/>
  <c r="AD179" i="12"/>
  <c r="AC179" i="12"/>
  <c r="AA179" i="12"/>
  <c r="Z179" i="12"/>
  <c r="Y179" i="12"/>
  <c r="X179" i="12"/>
  <c r="W179" i="12"/>
  <c r="V179" i="12"/>
  <c r="U179" i="12"/>
  <c r="S179" i="12"/>
  <c r="P179" i="12"/>
  <c r="O179" i="12"/>
  <c r="N179" i="12"/>
  <c r="M179" i="12"/>
  <c r="L179" i="12"/>
  <c r="K179" i="12"/>
  <c r="J179" i="12"/>
  <c r="I179" i="12"/>
  <c r="G179" i="12"/>
  <c r="F179" i="12"/>
  <c r="E179" i="12"/>
  <c r="D179" i="12"/>
  <c r="C179" i="12"/>
  <c r="B179" i="12"/>
  <c r="A179" i="12"/>
  <c r="BA178" i="12"/>
  <c r="AL178" i="12"/>
  <c r="AK178" i="12"/>
  <c r="Z178" i="12"/>
  <c r="X178" i="12"/>
  <c r="V178" i="12"/>
  <c r="K178" i="12"/>
  <c r="G178" i="12"/>
  <c r="F178" i="12"/>
  <c r="D178" i="12"/>
  <c r="B178" i="12"/>
  <c r="A178" i="12"/>
  <c r="BE177" i="12"/>
  <c r="BD177" i="12"/>
  <c r="BC177" i="12"/>
  <c r="BA177" i="12"/>
  <c r="AU177" i="12"/>
  <c r="AS177" i="12"/>
  <c r="AQ177" i="12"/>
  <c r="AN177" i="12"/>
  <c r="AL177" i="12"/>
  <c r="AK177" i="12"/>
  <c r="AH177" i="12"/>
  <c r="AG177" i="12"/>
  <c r="AD177" i="12"/>
  <c r="AB177" i="12"/>
  <c r="AA177" i="12"/>
  <c r="Z177" i="12"/>
  <c r="Y177" i="12"/>
  <c r="X177" i="12"/>
  <c r="W177" i="12"/>
  <c r="V177" i="12"/>
  <c r="U177" i="12"/>
  <c r="S177" i="12"/>
  <c r="P177" i="12"/>
  <c r="K177" i="12"/>
  <c r="J177" i="12"/>
  <c r="I177" i="12"/>
  <c r="G177" i="12"/>
  <c r="F177" i="12"/>
  <c r="E177" i="12"/>
  <c r="D177" i="12"/>
  <c r="C177" i="12"/>
  <c r="B177" i="12"/>
  <c r="A177" i="12"/>
  <c r="BE176" i="12"/>
  <c r="BD176" i="12"/>
  <c r="BC176" i="12"/>
  <c r="BB176" i="12"/>
  <c r="AU176" i="12"/>
  <c r="AS176" i="12"/>
  <c r="AQ176" i="12"/>
  <c r="AP176" i="12"/>
  <c r="AO176" i="12"/>
  <c r="AN176" i="12"/>
  <c r="AM176" i="12"/>
  <c r="AL176" i="12"/>
  <c r="AK176" i="12"/>
  <c r="AG176" i="12"/>
  <c r="AD176" i="12"/>
  <c r="AC176" i="12"/>
  <c r="AA176" i="12"/>
  <c r="Z176" i="12"/>
  <c r="Y176" i="12"/>
  <c r="X176" i="12"/>
  <c r="W176" i="12"/>
  <c r="V176" i="12"/>
  <c r="U176" i="12"/>
  <c r="S176" i="12"/>
  <c r="P176" i="12"/>
  <c r="O176" i="12"/>
  <c r="N176" i="12"/>
  <c r="M176" i="12"/>
  <c r="L176" i="12"/>
  <c r="K176" i="12"/>
  <c r="J176" i="12"/>
  <c r="I176" i="12"/>
  <c r="G176" i="12"/>
  <c r="F176" i="12"/>
  <c r="E176" i="12"/>
  <c r="D176" i="12"/>
  <c r="C176" i="12"/>
  <c r="B176" i="12"/>
  <c r="A176" i="12"/>
  <c r="BE175" i="12"/>
  <c r="BD175" i="12"/>
  <c r="BC175" i="12"/>
  <c r="BA175" i="12"/>
  <c r="AY175" i="12"/>
  <c r="AU175" i="12"/>
  <c r="AS175" i="12"/>
  <c r="AQ175" i="12"/>
  <c r="AP175" i="12"/>
  <c r="AO175" i="12"/>
  <c r="AN175" i="12"/>
  <c r="AL175" i="12"/>
  <c r="AK175" i="12"/>
  <c r="AH175" i="12"/>
  <c r="AG175" i="12"/>
  <c r="AD175" i="12"/>
  <c r="AC175" i="12"/>
  <c r="AB175" i="12"/>
  <c r="AA175" i="12"/>
  <c r="Z175" i="12"/>
  <c r="Y175" i="12"/>
  <c r="X175" i="12"/>
  <c r="W175" i="12"/>
  <c r="V175" i="12"/>
  <c r="U175" i="12"/>
  <c r="S175" i="12"/>
  <c r="P175" i="12"/>
  <c r="K175" i="12"/>
  <c r="J175" i="12"/>
  <c r="I175" i="12"/>
  <c r="G175" i="12"/>
  <c r="F175" i="12"/>
  <c r="E175" i="12"/>
  <c r="D175" i="12"/>
  <c r="C175" i="12"/>
  <c r="B175" i="12"/>
  <c r="A175" i="12"/>
  <c r="BC174" i="12"/>
  <c r="AU174" i="12"/>
  <c r="AK174" i="12"/>
  <c r="AG174" i="12"/>
  <c r="Z174" i="12"/>
  <c r="X174" i="12"/>
  <c r="V174" i="12"/>
  <c r="K174" i="12"/>
  <c r="J174" i="12"/>
  <c r="I174" i="12"/>
  <c r="G174" i="12"/>
  <c r="F174" i="12"/>
  <c r="D174" i="12"/>
  <c r="C174" i="12"/>
  <c r="B174" i="12"/>
  <c r="A174" i="12"/>
  <c r="BD173" i="12"/>
  <c r="BC173" i="12"/>
  <c r="BA173" i="12"/>
  <c r="AU173" i="12"/>
  <c r="AR173" i="12"/>
  <c r="AL173" i="12"/>
  <c r="AK173" i="12"/>
  <c r="AH173" i="12"/>
  <c r="AG173" i="12"/>
  <c r="AC173" i="12"/>
  <c r="AB173" i="12"/>
  <c r="AA173" i="12"/>
  <c r="Z173" i="12"/>
  <c r="Y173" i="12"/>
  <c r="X173" i="12"/>
  <c r="W173" i="12"/>
  <c r="V173" i="12"/>
  <c r="U173" i="12"/>
  <c r="M173" i="12"/>
  <c r="L173" i="12"/>
  <c r="K173" i="12"/>
  <c r="J173" i="12"/>
  <c r="I173" i="12"/>
  <c r="H173" i="12"/>
  <c r="G173" i="12"/>
  <c r="F173" i="12"/>
  <c r="E173" i="12"/>
  <c r="D173" i="12"/>
  <c r="C173" i="12"/>
  <c r="B173" i="12"/>
  <c r="A173" i="12"/>
  <c r="BD172" i="12"/>
  <c r="BC172" i="12"/>
  <c r="BA172" i="12"/>
  <c r="AU172" i="12"/>
  <c r="AR172" i="12"/>
  <c r="AL172" i="12"/>
  <c r="AK172" i="12"/>
  <c r="AH172" i="12"/>
  <c r="AG172" i="12"/>
  <c r="Z172" i="12"/>
  <c r="X172" i="12"/>
  <c r="V172" i="12"/>
  <c r="M172" i="12"/>
  <c r="K172" i="12"/>
  <c r="J172" i="12"/>
  <c r="I172" i="12"/>
  <c r="H172" i="12"/>
  <c r="G172" i="12"/>
  <c r="F172" i="12"/>
  <c r="E172" i="12"/>
  <c r="D172" i="12"/>
  <c r="C172" i="12"/>
  <c r="B172" i="12"/>
  <c r="A172" i="12"/>
  <c r="BE171" i="12"/>
  <c r="BD171" i="12"/>
  <c r="BC171" i="12"/>
  <c r="BB171" i="12"/>
  <c r="AU171" i="12"/>
  <c r="AS171" i="12"/>
  <c r="AQ171" i="12"/>
  <c r="AN171" i="12"/>
  <c r="AL171" i="12"/>
  <c r="AK171" i="12"/>
  <c r="AH171" i="12"/>
  <c r="AG171" i="12"/>
  <c r="AD171" i="12"/>
  <c r="AA171" i="12"/>
  <c r="Z171" i="12"/>
  <c r="Y171" i="12"/>
  <c r="X171" i="12"/>
  <c r="W171" i="12"/>
  <c r="V171" i="12"/>
  <c r="U171" i="12"/>
  <c r="S171" i="12"/>
  <c r="P171" i="12"/>
  <c r="K171" i="12"/>
  <c r="J171" i="12"/>
  <c r="I171" i="12"/>
  <c r="G171" i="12"/>
  <c r="F171" i="12"/>
  <c r="D171" i="12"/>
  <c r="C171" i="12"/>
  <c r="B171" i="12"/>
  <c r="A171" i="12"/>
  <c r="BE170" i="12"/>
  <c r="BD170" i="12"/>
  <c r="BC170" i="12"/>
  <c r="BA170" i="12"/>
  <c r="AU170" i="12"/>
  <c r="AS170" i="12"/>
  <c r="AQ170" i="12"/>
  <c r="AP170" i="12"/>
  <c r="AO170" i="12"/>
  <c r="AN170" i="12"/>
  <c r="AL170" i="12"/>
  <c r="AK170" i="12"/>
  <c r="AH170" i="12"/>
  <c r="AG170" i="12"/>
  <c r="AD170" i="12"/>
  <c r="AB170" i="12"/>
  <c r="AA170" i="12"/>
  <c r="Z170" i="12"/>
  <c r="Y170" i="12"/>
  <c r="X170" i="12"/>
  <c r="W170" i="12"/>
  <c r="V170" i="12"/>
  <c r="U170" i="12"/>
  <c r="S170" i="12"/>
  <c r="P170" i="12"/>
  <c r="M170" i="12"/>
  <c r="L170" i="12"/>
  <c r="K170" i="12"/>
  <c r="J170" i="12"/>
  <c r="I170" i="12"/>
  <c r="G170" i="12"/>
  <c r="F170" i="12"/>
  <c r="E170" i="12"/>
  <c r="D170" i="12"/>
  <c r="C170" i="12"/>
  <c r="B170" i="12"/>
  <c r="A170" i="12"/>
  <c r="BE169" i="12"/>
  <c r="BD169" i="12"/>
  <c r="BC169" i="12"/>
  <c r="BB169" i="12"/>
  <c r="AU169" i="12"/>
  <c r="AS169" i="12"/>
  <c r="AQ169" i="12"/>
  <c r="AP169" i="12"/>
  <c r="AO169" i="12"/>
  <c r="AN169" i="12"/>
  <c r="AM169" i="12"/>
  <c r="AL169" i="12"/>
  <c r="AK169" i="12"/>
  <c r="AG169" i="12"/>
  <c r="AD169" i="12"/>
  <c r="AC169" i="12"/>
  <c r="AA169" i="12"/>
  <c r="Z169" i="12"/>
  <c r="Y169" i="12"/>
  <c r="X169" i="12"/>
  <c r="W169" i="12"/>
  <c r="V169" i="12"/>
  <c r="U169" i="12"/>
  <c r="S169" i="12"/>
  <c r="P169" i="12"/>
  <c r="O169" i="12"/>
  <c r="N169" i="12"/>
  <c r="M169" i="12"/>
  <c r="L169" i="12"/>
  <c r="K169" i="12"/>
  <c r="J169" i="12"/>
  <c r="I169" i="12"/>
  <c r="G169" i="12"/>
  <c r="F169" i="12"/>
  <c r="E169" i="12"/>
  <c r="D169" i="12"/>
  <c r="C169" i="12"/>
  <c r="B169" i="12"/>
  <c r="A169" i="12"/>
  <c r="BE168" i="12"/>
  <c r="BD168" i="12"/>
  <c r="BC168" i="12"/>
  <c r="BA168" i="12"/>
  <c r="AU168" i="12"/>
  <c r="AS168" i="12"/>
  <c r="AQ168" i="12"/>
  <c r="AN168" i="12"/>
  <c r="AL168" i="12"/>
  <c r="AK168" i="12"/>
  <c r="AD168" i="12"/>
  <c r="AB168" i="12"/>
  <c r="AA168" i="12"/>
  <c r="Z168" i="12"/>
  <c r="Y168" i="12"/>
  <c r="X168" i="12"/>
  <c r="W168" i="12"/>
  <c r="V168" i="12"/>
  <c r="U168" i="12"/>
  <c r="T168" i="12"/>
  <c r="S168" i="12"/>
  <c r="P168" i="12"/>
  <c r="K168" i="12"/>
  <c r="J168" i="12"/>
  <c r="I168" i="12"/>
  <c r="G168" i="12"/>
  <c r="F168" i="12"/>
  <c r="E168" i="12"/>
  <c r="D168" i="12"/>
  <c r="C168" i="12"/>
  <c r="B168" i="12"/>
  <c r="A168" i="12"/>
  <c r="BE167" i="12"/>
  <c r="BD167" i="12"/>
  <c r="BC167" i="12"/>
  <c r="BB167" i="12"/>
  <c r="AU167" i="12"/>
  <c r="AS167" i="12"/>
  <c r="AQ167" i="12"/>
  <c r="AN167" i="12"/>
  <c r="AL167" i="12"/>
  <c r="AK167" i="12"/>
  <c r="AH167" i="12"/>
  <c r="AG167" i="12"/>
  <c r="AD167" i="12"/>
  <c r="AC167" i="12"/>
  <c r="AA167" i="12"/>
  <c r="Z167" i="12"/>
  <c r="Y167" i="12"/>
  <c r="X167" i="12"/>
  <c r="W167" i="12"/>
  <c r="V167" i="12"/>
  <c r="U167" i="12"/>
  <c r="S167" i="12"/>
  <c r="P167" i="12"/>
  <c r="K167" i="12"/>
  <c r="J167" i="12"/>
  <c r="I167" i="12"/>
  <c r="G167" i="12"/>
  <c r="F167" i="12"/>
  <c r="D167" i="12"/>
  <c r="C167" i="12"/>
  <c r="B167" i="12"/>
  <c r="A167" i="12"/>
  <c r="BE166" i="12"/>
  <c r="BD166" i="12"/>
  <c r="BC166" i="12"/>
  <c r="BB166" i="12"/>
  <c r="AU166" i="12"/>
  <c r="AS166" i="12"/>
  <c r="AQ166" i="12"/>
  <c r="AP166" i="12"/>
  <c r="AO166" i="12"/>
  <c r="AN166" i="12"/>
  <c r="AM166" i="12"/>
  <c r="AL166" i="12"/>
  <c r="AK166" i="12"/>
  <c r="AG166" i="12"/>
  <c r="AD166" i="12"/>
  <c r="AC166" i="12"/>
  <c r="AA166" i="12"/>
  <c r="Z166" i="12"/>
  <c r="Y166" i="12"/>
  <c r="X166" i="12"/>
  <c r="W166" i="12"/>
  <c r="V166" i="12"/>
  <c r="U166" i="12"/>
  <c r="S166" i="12"/>
  <c r="P166" i="12"/>
  <c r="O166" i="12"/>
  <c r="N166" i="12"/>
  <c r="M166" i="12"/>
  <c r="L166" i="12"/>
  <c r="K166" i="12"/>
  <c r="J166" i="12"/>
  <c r="I166" i="12"/>
  <c r="G166" i="12"/>
  <c r="F166" i="12"/>
  <c r="E166" i="12"/>
  <c r="D166" i="12"/>
  <c r="C166" i="12"/>
  <c r="B166" i="12"/>
  <c r="A166" i="12"/>
  <c r="BE165" i="12"/>
  <c r="BD165" i="12"/>
  <c r="BC165" i="12"/>
  <c r="BB165" i="12"/>
  <c r="AU165" i="12"/>
  <c r="AS165" i="12"/>
  <c r="AQ165" i="12"/>
  <c r="AN165" i="12"/>
  <c r="AL165" i="12"/>
  <c r="AK165" i="12"/>
  <c r="AH165" i="12"/>
  <c r="AG165" i="12"/>
  <c r="AD165" i="12"/>
  <c r="AA165" i="12"/>
  <c r="Z165" i="12"/>
  <c r="Y165" i="12"/>
  <c r="X165" i="12"/>
  <c r="W165" i="12"/>
  <c r="V165" i="12"/>
  <c r="U165" i="12"/>
  <c r="S165" i="12"/>
  <c r="P165" i="12"/>
  <c r="K165" i="12"/>
  <c r="J165" i="12"/>
  <c r="I165" i="12"/>
  <c r="G165" i="12"/>
  <c r="F165" i="12"/>
  <c r="D165" i="12"/>
  <c r="C165" i="12"/>
  <c r="B165" i="12"/>
  <c r="A165" i="12"/>
  <c r="BE164" i="12"/>
  <c r="BD164" i="12"/>
  <c r="BC164" i="12"/>
  <c r="BB164" i="12"/>
  <c r="AU164" i="12"/>
  <c r="AS164" i="12"/>
  <c r="AQ164" i="12"/>
  <c r="AN164" i="12"/>
  <c r="AL164" i="12"/>
  <c r="AK164" i="12"/>
  <c r="AH164" i="12"/>
  <c r="AG164" i="12"/>
  <c r="AD164" i="12"/>
  <c r="AC164" i="12"/>
  <c r="AA164" i="12"/>
  <c r="Z164" i="12"/>
  <c r="Y164" i="12"/>
  <c r="X164" i="12"/>
  <c r="W164" i="12"/>
  <c r="V164" i="12"/>
  <c r="U164" i="12"/>
  <c r="S164" i="12"/>
  <c r="P164" i="12"/>
  <c r="K164" i="12"/>
  <c r="J164" i="12"/>
  <c r="I164" i="12"/>
  <c r="G164" i="12"/>
  <c r="F164" i="12"/>
  <c r="D164" i="12"/>
  <c r="C164" i="12"/>
  <c r="B164" i="12"/>
  <c r="A164" i="12"/>
  <c r="BE163" i="12"/>
  <c r="BD163" i="12"/>
  <c r="BC163" i="12"/>
  <c r="BB163" i="12"/>
  <c r="AU163" i="12"/>
  <c r="AS163" i="12"/>
  <c r="AQ163" i="12"/>
  <c r="AN163" i="12"/>
  <c r="AL163" i="12"/>
  <c r="AK163" i="12"/>
  <c r="AH163" i="12"/>
  <c r="AG163" i="12"/>
  <c r="AD163" i="12"/>
  <c r="AA163" i="12"/>
  <c r="Z163" i="12"/>
  <c r="Y163" i="12"/>
  <c r="X163" i="12"/>
  <c r="W163" i="12"/>
  <c r="V163" i="12"/>
  <c r="U163" i="12"/>
  <c r="S163" i="12"/>
  <c r="P163" i="12"/>
  <c r="K163" i="12"/>
  <c r="J163" i="12"/>
  <c r="I163" i="12"/>
  <c r="G163" i="12"/>
  <c r="F163" i="12"/>
  <c r="D163" i="12"/>
  <c r="C163" i="12"/>
  <c r="B163" i="12"/>
  <c r="A163" i="12"/>
  <c r="BE162" i="12"/>
  <c r="BD162" i="12"/>
  <c r="BC162" i="12"/>
  <c r="BA162" i="12"/>
  <c r="AU162" i="12"/>
  <c r="AS162" i="12"/>
  <c r="AQ162" i="12"/>
  <c r="AN162" i="12"/>
  <c r="AL162" i="12"/>
  <c r="AK162" i="12"/>
  <c r="AH162" i="12"/>
  <c r="AG162" i="12"/>
  <c r="AD162" i="12"/>
  <c r="AC162" i="12"/>
  <c r="AB162" i="12"/>
  <c r="AA162" i="12"/>
  <c r="Z162" i="12"/>
  <c r="Y162" i="12"/>
  <c r="X162" i="12"/>
  <c r="W162" i="12"/>
  <c r="V162" i="12"/>
  <c r="U162" i="12"/>
  <c r="T162" i="12"/>
  <c r="S162" i="12"/>
  <c r="P162" i="12"/>
  <c r="M162" i="12"/>
  <c r="L162" i="12"/>
  <c r="K162" i="12"/>
  <c r="J162" i="12"/>
  <c r="I162" i="12"/>
  <c r="G162" i="12"/>
  <c r="F162" i="12"/>
  <c r="E162" i="12"/>
  <c r="D162" i="12"/>
  <c r="C162" i="12"/>
  <c r="B162" i="12"/>
  <c r="A162" i="12"/>
  <c r="BE161" i="12"/>
  <c r="BD161" i="12"/>
  <c r="BC161" i="12"/>
  <c r="BA161" i="12"/>
  <c r="AU161" i="12"/>
  <c r="AS161" i="12"/>
  <c r="AQ161" i="12"/>
  <c r="AP161" i="12"/>
  <c r="AO161" i="12"/>
  <c r="AN161" i="12"/>
  <c r="AL161" i="12"/>
  <c r="AK161" i="12"/>
  <c r="AH161" i="12"/>
  <c r="AG161" i="12"/>
  <c r="AD161" i="12"/>
  <c r="AC161" i="12"/>
  <c r="AB161" i="12"/>
  <c r="AA161" i="12"/>
  <c r="Z161" i="12"/>
  <c r="Y161" i="12"/>
  <c r="X161" i="12"/>
  <c r="W161" i="12"/>
  <c r="V161" i="12"/>
  <c r="U161" i="12"/>
  <c r="T161" i="12"/>
  <c r="S161" i="12"/>
  <c r="P161" i="12"/>
  <c r="M161" i="12"/>
  <c r="L161" i="12"/>
  <c r="K161" i="12"/>
  <c r="J161" i="12"/>
  <c r="I161" i="12"/>
  <c r="G161" i="12"/>
  <c r="F161" i="12"/>
  <c r="E161" i="12"/>
  <c r="D161" i="12"/>
  <c r="C161" i="12"/>
  <c r="B161" i="12"/>
  <c r="A161" i="12"/>
  <c r="BE160" i="12"/>
  <c r="BD160" i="12"/>
  <c r="BC160" i="12"/>
  <c r="BA160" i="12"/>
  <c r="AY160" i="12"/>
  <c r="AU160" i="12"/>
  <c r="AT160" i="12"/>
  <c r="AS160" i="12"/>
  <c r="AQ160" i="12"/>
  <c r="AP160" i="12"/>
  <c r="AO160" i="12"/>
  <c r="AN160" i="12"/>
  <c r="AL160" i="12"/>
  <c r="AK160" i="12"/>
  <c r="AH160" i="12"/>
  <c r="AG160" i="12"/>
  <c r="AD160" i="12"/>
  <c r="AC160" i="12"/>
  <c r="AB160" i="12"/>
  <c r="AA160" i="12"/>
  <c r="Z160" i="12"/>
  <c r="Y160" i="12"/>
  <c r="X160" i="12"/>
  <c r="W160" i="12"/>
  <c r="V160" i="12"/>
  <c r="U160" i="12"/>
  <c r="T160" i="12"/>
  <c r="S160" i="12"/>
  <c r="P160" i="12"/>
  <c r="M160" i="12"/>
  <c r="L160" i="12"/>
  <c r="K160" i="12"/>
  <c r="J160" i="12"/>
  <c r="I160" i="12"/>
  <c r="G160" i="12"/>
  <c r="F160" i="12"/>
  <c r="E160" i="12"/>
  <c r="D160" i="12"/>
  <c r="C160" i="12"/>
  <c r="B160" i="12"/>
  <c r="A160" i="12"/>
  <c r="BD159" i="12"/>
  <c r="BC159" i="12"/>
  <c r="BA159" i="12"/>
  <c r="AU159" i="12"/>
  <c r="AR159" i="12"/>
  <c r="AK159" i="12"/>
  <c r="AH159" i="12"/>
  <c r="AG159" i="12"/>
  <c r="AC159" i="12"/>
  <c r="AB159" i="12"/>
  <c r="AA159" i="12"/>
  <c r="Z159" i="12"/>
  <c r="Y159" i="12"/>
  <c r="X159" i="12"/>
  <c r="W159" i="12"/>
  <c r="V159" i="12"/>
  <c r="U159" i="12"/>
  <c r="M159" i="12"/>
  <c r="L159" i="12"/>
  <c r="K159" i="12"/>
  <c r="J159" i="12"/>
  <c r="I159" i="12"/>
  <c r="H159" i="12"/>
  <c r="G159" i="12"/>
  <c r="F159" i="12"/>
  <c r="E159" i="12"/>
  <c r="D159" i="12"/>
  <c r="C159" i="12"/>
  <c r="B159" i="12"/>
  <c r="A159" i="12"/>
  <c r="BD158" i="12"/>
  <c r="BC158" i="12"/>
  <c r="BA158" i="12"/>
  <c r="AU158" i="12"/>
  <c r="AR158" i="12"/>
  <c r="AL158" i="12"/>
  <c r="AK158" i="12"/>
  <c r="AH158" i="12"/>
  <c r="AG158" i="12"/>
  <c r="AC158" i="12"/>
  <c r="AB158" i="12"/>
  <c r="AA158" i="12"/>
  <c r="Z158" i="12"/>
  <c r="Y158" i="12"/>
  <c r="X158" i="12"/>
  <c r="W158" i="12"/>
  <c r="V158" i="12"/>
  <c r="U158" i="12"/>
  <c r="M158" i="12"/>
  <c r="L158" i="12"/>
  <c r="K158" i="12"/>
  <c r="J158" i="12"/>
  <c r="I158" i="12"/>
  <c r="H158" i="12"/>
  <c r="G158" i="12"/>
  <c r="F158" i="12"/>
  <c r="E158" i="12"/>
  <c r="D158" i="12"/>
  <c r="C158" i="12"/>
  <c r="B158" i="12"/>
  <c r="A158" i="12"/>
  <c r="BE157" i="12"/>
  <c r="BD157" i="12"/>
  <c r="BC157" i="12"/>
  <c r="BA157" i="12"/>
  <c r="AU157" i="12"/>
  <c r="AS157" i="12"/>
  <c r="AQ157" i="12"/>
  <c r="AN157" i="12"/>
  <c r="AL157" i="12"/>
  <c r="AK157" i="12"/>
  <c r="AD157" i="12"/>
  <c r="AC157" i="12"/>
  <c r="AB157" i="12"/>
  <c r="AA157" i="12"/>
  <c r="Z157" i="12"/>
  <c r="Y157" i="12"/>
  <c r="X157" i="12"/>
  <c r="W157" i="12"/>
  <c r="V157" i="12"/>
  <c r="U157" i="12"/>
  <c r="T157" i="12"/>
  <c r="S157" i="12"/>
  <c r="P157" i="12"/>
  <c r="K157" i="12"/>
  <c r="J157" i="12"/>
  <c r="I157" i="12"/>
  <c r="G157" i="12"/>
  <c r="F157" i="12"/>
  <c r="E157" i="12"/>
  <c r="D157" i="12"/>
  <c r="C157" i="12"/>
  <c r="B157" i="12"/>
  <c r="A157" i="12"/>
  <c r="BE156" i="12"/>
  <c r="BD156" i="12"/>
  <c r="BC156" i="12"/>
  <c r="BA156" i="12"/>
  <c r="AU156" i="12"/>
  <c r="AS156" i="12"/>
  <c r="AQ156" i="12"/>
  <c r="AO156" i="12"/>
  <c r="AN156" i="12"/>
  <c r="AL156" i="12"/>
  <c r="AK156" i="12"/>
  <c r="AH156" i="12"/>
  <c r="AG156" i="12"/>
  <c r="AD156" i="12"/>
  <c r="AC156" i="12"/>
  <c r="AB156" i="12"/>
  <c r="AA156" i="12"/>
  <c r="Z156" i="12"/>
  <c r="Y156" i="12"/>
  <c r="X156" i="12"/>
  <c r="W156" i="12"/>
  <c r="V156" i="12"/>
  <c r="U156" i="12"/>
  <c r="S156" i="12"/>
  <c r="P156" i="12"/>
  <c r="M156" i="12"/>
  <c r="L156" i="12"/>
  <c r="K156" i="12"/>
  <c r="J156" i="12"/>
  <c r="I156" i="12"/>
  <c r="G156" i="12"/>
  <c r="F156" i="12"/>
  <c r="E156" i="12"/>
  <c r="D156" i="12"/>
  <c r="C156" i="12"/>
  <c r="B156" i="12"/>
  <c r="A156" i="12"/>
  <c r="BE155" i="12"/>
  <c r="BD155" i="12"/>
  <c r="BC155" i="12"/>
  <c r="BA155" i="12"/>
  <c r="AW155" i="12"/>
  <c r="AU155" i="12"/>
  <c r="AT155" i="12"/>
  <c r="AS155" i="12"/>
  <c r="AQ155" i="12"/>
  <c r="AP155" i="12"/>
  <c r="AO155" i="12"/>
  <c r="AN155" i="12"/>
  <c r="AL155" i="12"/>
  <c r="AK155" i="12"/>
  <c r="AH155" i="12"/>
  <c r="AG155" i="12"/>
  <c r="AD155" i="12"/>
  <c r="AC155" i="12"/>
  <c r="AB155" i="12"/>
  <c r="AA155" i="12"/>
  <c r="Z155" i="12"/>
  <c r="Y155" i="12"/>
  <c r="X155" i="12"/>
  <c r="W155" i="12"/>
  <c r="V155" i="12"/>
  <c r="U155" i="12"/>
  <c r="T155" i="12"/>
  <c r="S155" i="12"/>
  <c r="P155" i="12"/>
  <c r="K155" i="12"/>
  <c r="J155" i="12"/>
  <c r="I155" i="12"/>
  <c r="G155" i="12"/>
  <c r="F155" i="12"/>
  <c r="E155" i="12"/>
  <c r="D155" i="12"/>
  <c r="C155" i="12"/>
  <c r="B155" i="12"/>
  <c r="A155" i="12"/>
  <c r="BE154" i="12"/>
  <c r="BD154" i="12"/>
  <c r="BC154" i="12"/>
  <c r="BA154" i="12"/>
  <c r="AY154" i="12"/>
  <c r="AU154" i="12"/>
  <c r="AT154" i="12"/>
  <c r="AS154" i="12"/>
  <c r="AQ154" i="12"/>
  <c r="AP154" i="12"/>
  <c r="AO154" i="12"/>
  <c r="AN154" i="12"/>
  <c r="AL154" i="12"/>
  <c r="AK154" i="12"/>
  <c r="AH154" i="12"/>
  <c r="AG154" i="12"/>
  <c r="AD154" i="12"/>
  <c r="AC154" i="12"/>
  <c r="AB154" i="12"/>
  <c r="AA154" i="12"/>
  <c r="Z154" i="12"/>
  <c r="Y154" i="12"/>
  <c r="X154" i="12"/>
  <c r="W154" i="12"/>
  <c r="V154" i="12"/>
  <c r="U154" i="12"/>
  <c r="T154" i="12"/>
  <c r="S154" i="12"/>
  <c r="P154" i="12"/>
  <c r="M154" i="12"/>
  <c r="L154" i="12"/>
  <c r="K154" i="12"/>
  <c r="J154" i="12"/>
  <c r="I154" i="12"/>
  <c r="G154" i="12"/>
  <c r="F154" i="12"/>
  <c r="E154" i="12"/>
  <c r="D154" i="12"/>
  <c r="C154" i="12"/>
  <c r="B154" i="12"/>
  <c r="A154" i="12"/>
  <c r="BE153" i="12"/>
  <c r="BD153" i="12"/>
  <c r="BC153" i="12"/>
  <c r="BB153" i="12"/>
  <c r="AU153" i="12"/>
  <c r="AS153" i="12"/>
  <c r="AQ153" i="12"/>
  <c r="AN153" i="12"/>
  <c r="AL153" i="12"/>
  <c r="AK153" i="12"/>
  <c r="AH153" i="12"/>
  <c r="AG153" i="12"/>
  <c r="AD153" i="12"/>
  <c r="AA153" i="12"/>
  <c r="Z153" i="12"/>
  <c r="Y153" i="12"/>
  <c r="X153" i="12"/>
  <c r="W153" i="12"/>
  <c r="V153" i="12"/>
  <c r="U153" i="12"/>
  <c r="S153" i="12"/>
  <c r="P153" i="12"/>
  <c r="K153" i="12"/>
  <c r="J153" i="12"/>
  <c r="I153" i="12"/>
  <c r="G153" i="12"/>
  <c r="F153" i="12"/>
  <c r="D153" i="12"/>
  <c r="C153" i="12"/>
  <c r="B153" i="12"/>
  <c r="A153" i="12"/>
  <c r="BC152" i="12"/>
  <c r="AU152" i="12"/>
  <c r="AL152" i="12"/>
  <c r="AK152" i="12"/>
  <c r="AG152" i="12"/>
  <c r="Z152" i="12"/>
  <c r="X152" i="12"/>
  <c r="K152" i="12"/>
  <c r="J152" i="12"/>
  <c r="I152" i="12"/>
  <c r="G152" i="12"/>
  <c r="F152" i="12"/>
  <c r="D152" i="12"/>
  <c r="C152" i="12"/>
  <c r="B152" i="12"/>
  <c r="A152" i="12"/>
  <c r="BE151" i="12"/>
  <c r="BD151" i="12"/>
  <c r="BC151" i="12"/>
  <c r="BB151" i="12"/>
  <c r="AU151" i="12"/>
  <c r="AS151" i="12"/>
  <c r="AQ151" i="12"/>
  <c r="AP151" i="12"/>
  <c r="AO151" i="12"/>
  <c r="AN151" i="12"/>
  <c r="AM151" i="12"/>
  <c r="AL151" i="12"/>
  <c r="AK151" i="12"/>
  <c r="AG151" i="12"/>
  <c r="AD151" i="12"/>
  <c r="AC151" i="12"/>
  <c r="AA151" i="12"/>
  <c r="Z151" i="12"/>
  <c r="Y151" i="12"/>
  <c r="X151" i="12"/>
  <c r="W151" i="12"/>
  <c r="V151" i="12"/>
  <c r="U151" i="12"/>
  <c r="S151" i="12"/>
  <c r="P151" i="12"/>
  <c r="O151" i="12"/>
  <c r="N151" i="12"/>
  <c r="L151" i="12"/>
  <c r="K151" i="12"/>
  <c r="J151" i="12"/>
  <c r="I151" i="12"/>
  <c r="G151" i="12"/>
  <c r="F151" i="12"/>
  <c r="E151" i="12"/>
  <c r="D151" i="12"/>
  <c r="C151" i="12"/>
  <c r="B151" i="12"/>
  <c r="A151" i="12"/>
  <c r="BD150" i="12"/>
  <c r="BC150" i="12"/>
  <c r="BA150" i="12"/>
  <c r="AU150" i="12"/>
  <c r="AR150" i="12"/>
  <c r="AL150" i="12"/>
  <c r="AK150" i="12"/>
  <c r="AH150" i="12"/>
  <c r="AG150" i="12"/>
  <c r="Z150" i="12"/>
  <c r="X150" i="12"/>
  <c r="V150" i="12"/>
  <c r="M150" i="12"/>
  <c r="K150" i="12"/>
  <c r="J150" i="12"/>
  <c r="I150" i="12"/>
  <c r="H150" i="12"/>
  <c r="G150" i="12"/>
  <c r="F150" i="12"/>
  <c r="E150" i="12"/>
  <c r="D150" i="12"/>
  <c r="C150" i="12"/>
  <c r="B150" i="12"/>
  <c r="A150" i="12"/>
  <c r="BD149" i="12"/>
  <c r="BC149" i="12"/>
  <c r="BA149" i="12"/>
  <c r="AU149" i="12"/>
  <c r="AK149" i="12"/>
  <c r="Z149" i="12"/>
  <c r="X149" i="12"/>
  <c r="K149" i="12"/>
  <c r="G149" i="12"/>
  <c r="F149" i="12"/>
  <c r="D149" i="12"/>
  <c r="C149" i="12"/>
  <c r="B149" i="12"/>
  <c r="A149" i="12"/>
  <c r="BA148" i="12"/>
  <c r="AK148" i="12"/>
  <c r="Z148" i="12"/>
  <c r="X148" i="12"/>
  <c r="V148" i="12"/>
  <c r="K148" i="12"/>
  <c r="G148" i="12"/>
  <c r="F148" i="12"/>
  <c r="D148" i="12"/>
  <c r="B148" i="12"/>
  <c r="A148" i="12"/>
  <c r="BE147" i="12"/>
  <c r="BD147" i="12"/>
  <c r="BC147" i="12"/>
  <c r="BB147" i="12"/>
  <c r="AU147" i="12"/>
  <c r="AS147" i="12"/>
  <c r="AQ147" i="12"/>
  <c r="AP147" i="12"/>
  <c r="AO147" i="12"/>
  <c r="AN147" i="12"/>
  <c r="AM147" i="12"/>
  <c r="AL147" i="12"/>
  <c r="AK147" i="12"/>
  <c r="AG147" i="12"/>
  <c r="AD147" i="12"/>
  <c r="AC147" i="12"/>
  <c r="AA147" i="12"/>
  <c r="Z147" i="12"/>
  <c r="Y147" i="12"/>
  <c r="X147" i="12"/>
  <c r="W147" i="12"/>
  <c r="V147" i="12"/>
  <c r="U147" i="12"/>
  <c r="S147" i="12"/>
  <c r="P147" i="12"/>
  <c r="O147" i="12"/>
  <c r="N147" i="12"/>
  <c r="L147" i="12"/>
  <c r="K147" i="12"/>
  <c r="J147" i="12"/>
  <c r="I147" i="12"/>
  <c r="G147" i="12"/>
  <c r="F147" i="12"/>
  <c r="E147" i="12"/>
  <c r="D147" i="12"/>
  <c r="C147" i="12"/>
  <c r="B147" i="12"/>
  <c r="A147" i="12"/>
  <c r="BE146" i="12"/>
  <c r="BD146" i="12"/>
  <c r="BC146" i="12"/>
  <c r="BA146" i="12"/>
  <c r="AY146" i="12"/>
  <c r="AU146" i="12"/>
  <c r="AT146" i="12"/>
  <c r="AS146" i="12"/>
  <c r="AQ146" i="12"/>
  <c r="AP146" i="12"/>
  <c r="AO146" i="12"/>
  <c r="AN146" i="12"/>
  <c r="AL146" i="12"/>
  <c r="AK146" i="12"/>
  <c r="AH146" i="12"/>
  <c r="AG146" i="12"/>
  <c r="AD146" i="12"/>
  <c r="AC146" i="12"/>
  <c r="AB146" i="12"/>
  <c r="AA146" i="12"/>
  <c r="Z146" i="12"/>
  <c r="Y146" i="12"/>
  <c r="X146" i="12"/>
  <c r="W146" i="12"/>
  <c r="V146" i="12"/>
  <c r="U146" i="12"/>
  <c r="T146" i="12"/>
  <c r="S146" i="12"/>
  <c r="P146" i="12"/>
  <c r="M146" i="12"/>
  <c r="L146" i="12"/>
  <c r="K146" i="12"/>
  <c r="J146" i="12"/>
  <c r="I146" i="12"/>
  <c r="G146" i="12"/>
  <c r="F146" i="12"/>
  <c r="E146" i="12"/>
  <c r="D146" i="12"/>
  <c r="C146" i="12"/>
  <c r="B146" i="12"/>
  <c r="A146" i="12"/>
  <c r="BE145" i="12"/>
  <c r="BD145" i="12"/>
  <c r="BC145" i="12"/>
  <c r="BA145" i="12"/>
  <c r="AU145" i="12"/>
  <c r="AS145" i="12"/>
  <c r="AQ145" i="12"/>
  <c r="AN145" i="12"/>
  <c r="AL145" i="12"/>
  <c r="AK145" i="12"/>
  <c r="AH145" i="12"/>
  <c r="AG145" i="12"/>
  <c r="AD145" i="12"/>
  <c r="AC145" i="12"/>
  <c r="AB145" i="12"/>
  <c r="AA145" i="12"/>
  <c r="Z145" i="12"/>
  <c r="Y145" i="12"/>
  <c r="X145" i="12"/>
  <c r="W145" i="12"/>
  <c r="V145" i="12"/>
  <c r="U145" i="12"/>
  <c r="S145" i="12"/>
  <c r="P145" i="12"/>
  <c r="M145" i="12"/>
  <c r="L145" i="12"/>
  <c r="K145" i="12"/>
  <c r="J145" i="12"/>
  <c r="I145" i="12"/>
  <c r="G145" i="12"/>
  <c r="F145" i="12"/>
  <c r="E145" i="12"/>
  <c r="D145" i="12"/>
  <c r="C145" i="12"/>
  <c r="B145" i="12"/>
  <c r="A145" i="12"/>
  <c r="BD144" i="12"/>
  <c r="BC144" i="12"/>
  <c r="BA144" i="12"/>
  <c r="AU144" i="12"/>
  <c r="AR144" i="12"/>
  <c r="AL144" i="12"/>
  <c r="AK144" i="12"/>
  <c r="AH144" i="12"/>
  <c r="AG144" i="12"/>
  <c r="Z144" i="12"/>
  <c r="X144" i="12"/>
  <c r="V144" i="12"/>
  <c r="M144" i="12"/>
  <c r="K144" i="12"/>
  <c r="I144" i="12"/>
  <c r="H144" i="12"/>
  <c r="G144" i="12"/>
  <c r="F144" i="12"/>
  <c r="D144" i="12"/>
  <c r="C144" i="12"/>
  <c r="B144" i="12"/>
  <c r="A144" i="12"/>
  <c r="BD143" i="12"/>
  <c r="BC143" i="12"/>
  <c r="BA143" i="12"/>
  <c r="AU143" i="12"/>
  <c r="AR143" i="12"/>
  <c r="AL143" i="12"/>
  <c r="AK143" i="12"/>
  <c r="AH143" i="12"/>
  <c r="AG143" i="12"/>
  <c r="Z143" i="12"/>
  <c r="X143" i="12"/>
  <c r="V143" i="12"/>
  <c r="M143" i="12"/>
  <c r="K143" i="12"/>
  <c r="J143" i="12"/>
  <c r="I143" i="12"/>
  <c r="H143" i="12"/>
  <c r="G143" i="12"/>
  <c r="F143" i="12"/>
  <c r="E143" i="12"/>
  <c r="D143" i="12"/>
  <c r="C143" i="12"/>
  <c r="B143" i="12"/>
  <c r="A143" i="12"/>
  <c r="BE142" i="12"/>
  <c r="BD142" i="12"/>
  <c r="BC142" i="12"/>
  <c r="BB142" i="12"/>
  <c r="AU142" i="12"/>
  <c r="AS142" i="12"/>
  <c r="AQ142" i="12"/>
  <c r="AP142" i="12"/>
  <c r="AO142" i="12"/>
  <c r="AN142" i="12"/>
  <c r="AM142" i="12"/>
  <c r="AL142" i="12"/>
  <c r="AK142" i="12"/>
  <c r="AG142" i="12"/>
  <c r="AD142" i="12"/>
  <c r="AC142" i="12"/>
  <c r="AA142" i="12"/>
  <c r="Z142" i="12"/>
  <c r="Y142" i="12"/>
  <c r="X142" i="12"/>
  <c r="W142" i="12"/>
  <c r="V142" i="12"/>
  <c r="U142" i="12"/>
  <c r="S142" i="12"/>
  <c r="P142" i="12"/>
  <c r="O142" i="12"/>
  <c r="N142" i="12"/>
  <c r="L142" i="12"/>
  <c r="K142" i="12"/>
  <c r="J142" i="12"/>
  <c r="I142" i="12"/>
  <c r="G142" i="12"/>
  <c r="F142" i="12"/>
  <c r="E142" i="12"/>
  <c r="D142" i="12"/>
  <c r="C142" i="12"/>
  <c r="B142" i="12"/>
  <c r="A142" i="12"/>
  <c r="BE141" i="12"/>
  <c r="BD141" i="12"/>
  <c r="BC141" i="12"/>
  <c r="BA141" i="12"/>
  <c r="AY141" i="12"/>
  <c r="AU141" i="12"/>
  <c r="AT141" i="12"/>
  <c r="AS141" i="12"/>
  <c r="AQ141" i="12"/>
  <c r="AP141" i="12"/>
  <c r="AO141" i="12"/>
  <c r="AN141" i="12"/>
  <c r="AL141" i="12"/>
  <c r="AK141" i="12"/>
  <c r="AH141" i="12"/>
  <c r="AG141" i="12"/>
  <c r="AD141" i="12"/>
  <c r="AC141" i="12"/>
  <c r="AB141" i="12"/>
  <c r="AA141" i="12"/>
  <c r="Z141" i="12"/>
  <c r="Y141" i="12"/>
  <c r="X141" i="12"/>
  <c r="W141" i="12"/>
  <c r="V141" i="12"/>
  <c r="U141" i="12"/>
  <c r="S141" i="12"/>
  <c r="P141" i="12"/>
  <c r="M141" i="12"/>
  <c r="L141" i="12"/>
  <c r="K141" i="12"/>
  <c r="J141" i="12"/>
  <c r="I141" i="12"/>
  <c r="G141" i="12"/>
  <c r="F141" i="12"/>
  <c r="E141" i="12"/>
  <c r="D141" i="12"/>
  <c r="C141" i="12"/>
  <c r="B141" i="12"/>
  <c r="A141" i="12"/>
  <c r="BE140" i="12"/>
  <c r="BD140" i="12"/>
  <c r="BC140" i="12"/>
  <c r="BA140" i="12"/>
  <c r="AU140" i="12"/>
  <c r="AT140" i="12"/>
  <c r="AS140" i="12"/>
  <c r="AQ140" i="12"/>
  <c r="AP140" i="12"/>
  <c r="AO140" i="12"/>
  <c r="AN140" i="12"/>
  <c r="AL140" i="12"/>
  <c r="AK140" i="12"/>
  <c r="AH140" i="12"/>
  <c r="AG140" i="12"/>
  <c r="AD140" i="12"/>
  <c r="AC140" i="12"/>
  <c r="AB140" i="12"/>
  <c r="AA140" i="12"/>
  <c r="Z140" i="12"/>
  <c r="Y140" i="12"/>
  <c r="X140" i="12"/>
  <c r="W140" i="12"/>
  <c r="V140" i="12"/>
  <c r="U140" i="12"/>
  <c r="T140" i="12"/>
  <c r="S140" i="12"/>
  <c r="P140" i="12"/>
  <c r="K140" i="12"/>
  <c r="J140" i="12"/>
  <c r="I140" i="12"/>
  <c r="G140" i="12"/>
  <c r="F140" i="12"/>
  <c r="E140" i="12"/>
  <c r="D140" i="12"/>
  <c r="C140" i="12"/>
  <c r="B140" i="12"/>
  <c r="A140" i="12"/>
  <c r="BE139" i="12"/>
  <c r="BD139" i="12"/>
  <c r="BC139" i="12"/>
  <c r="BA139" i="12"/>
  <c r="AU139" i="12"/>
  <c r="AS139" i="12"/>
  <c r="AQ139" i="12"/>
  <c r="AO139" i="12"/>
  <c r="AN139" i="12"/>
  <c r="AL139" i="12"/>
  <c r="AK139" i="12"/>
  <c r="AH139" i="12"/>
  <c r="AG139" i="12"/>
  <c r="AD139" i="12"/>
  <c r="AC139" i="12"/>
  <c r="AB139" i="12"/>
  <c r="AA139" i="12"/>
  <c r="Z139" i="12"/>
  <c r="Y139" i="12"/>
  <c r="X139" i="12"/>
  <c r="W139" i="12"/>
  <c r="V139" i="12"/>
  <c r="U139" i="12"/>
  <c r="T139" i="12"/>
  <c r="S139" i="12"/>
  <c r="P139" i="12"/>
  <c r="M139" i="12"/>
  <c r="L139" i="12"/>
  <c r="K139" i="12"/>
  <c r="J139" i="12"/>
  <c r="I139" i="12"/>
  <c r="G139" i="12"/>
  <c r="F139" i="12"/>
  <c r="E139" i="12"/>
  <c r="D139" i="12"/>
  <c r="C139" i="12"/>
  <c r="B139" i="12"/>
  <c r="A139" i="12"/>
  <c r="BE138" i="12"/>
  <c r="BD138" i="12"/>
  <c r="BC138" i="12"/>
  <c r="AU138" i="12"/>
  <c r="AS138" i="12"/>
  <c r="AQ138" i="12"/>
  <c r="AN138" i="12"/>
  <c r="AL138" i="12"/>
  <c r="AK138" i="12"/>
  <c r="AH138" i="12"/>
  <c r="AG138" i="12"/>
  <c r="AD138" i="12"/>
  <c r="AC138" i="12"/>
  <c r="AB138" i="12"/>
  <c r="AA138" i="12"/>
  <c r="Z138" i="12"/>
  <c r="Y138" i="12"/>
  <c r="X138" i="12"/>
  <c r="W138" i="12"/>
  <c r="V138" i="12"/>
  <c r="U138" i="12"/>
  <c r="S138" i="12"/>
  <c r="P138" i="12"/>
  <c r="K138" i="12"/>
  <c r="J138" i="12"/>
  <c r="I138" i="12"/>
  <c r="G138" i="12"/>
  <c r="F138" i="12"/>
  <c r="E138" i="12"/>
  <c r="D138" i="12"/>
  <c r="C138" i="12"/>
  <c r="B138" i="12"/>
  <c r="A138" i="12"/>
  <c r="BE137" i="12"/>
  <c r="BD137" i="12"/>
  <c r="BC137" i="12"/>
  <c r="BA137" i="12"/>
  <c r="AU137" i="12"/>
  <c r="AS137" i="12"/>
  <c r="AQ137" i="12"/>
  <c r="AO137" i="12"/>
  <c r="AN137" i="12"/>
  <c r="AL137" i="12"/>
  <c r="AK137" i="12"/>
  <c r="AH137" i="12"/>
  <c r="AG137" i="12"/>
  <c r="AD137" i="12"/>
  <c r="AC137" i="12"/>
  <c r="AB137" i="12"/>
  <c r="AA137" i="12"/>
  <c r="Z137" i="12"/>
  <c r="Y137" i="12"/>
  <c r="X137" i="12"/>
  <c r="W137" i="12"/>
  <c r="V137" i="12"/>
  <c r="U137" i="12"/>
  <c r="T137" i="12"/>
  <c r="S137" i="12"/>
  <c r="P137" i="12"/>
  <c r="M137" i="12"/>
  <c r="L137" i="12"/>
  <c r="K137" i="12"/>
  <c r="J137" i="12"/>
  <c r="I137" i="12"/>
  <c r="G137" i="12"/>
  <c r="F137" i="12"/>
  <c r="E137" i="12"/>
  <c r="D137" i="12"/>
  <c r="C137" i="12"/>
  <c r="B137" i="12"/>
  <c r="A137" i="12"/>
  <c r="BE136" i="12"/>
  <c r="BD136" i="12"/>
  <c r="BC136" i="12"/>
  <c r="BA136" i="12"/>
  <c r="AY136" i="12"/>
  <c r="AU136" i="12"/>
  <c r="AS136" i="12"/>
  <c r="AQ136" i="12"/>
  <c r="AP136" i="12"/>
  <c r="AO136" i="12"/>
  <c r="AN136" i="12"/>
  <c r="AL136" i="12"/>
  <c r="AK136" i="12"/>
  <c r="AH136" i="12"/>
  <c r="AG136" i="12"/>
  <c r="AD136" i="12"/>
  <c r="AC136" i="12"/>
  <c r="AB136" i="12"/>
  <c r="AA136" i="12"/>
  <c r="Z136" i="12"/>
  <c r="Y136" i="12"/>
  <c r="X136" i="12"/>
  <c r="W136" i="12"/>
  <c r="V136" i="12"/>
  <c r="U136" i="12"/>
  <c r="T136" i="12"/>
  <c r="S136" i="12"/>
  <c r="P136" i="12"/>
  <c r="M136" i="12"/>
  <c r="L136" i="12"/>
  <c r="K136" i="12"/>
  <c r="J136" i="12"/>
  <c r="I136" i="12"/>
  <c r="G136" i="12"/>
  <c r="F136" i="12"/>
  <c r="E136" i="12"/>
  <c r="D136" i="12"/>
  <c r="C136" i="12"/>
  <c r="B136" i="12"/>
  <c r="A136" i="12"/>
  <c r="BD135" i="12"/>
  <c r="BC135" i="12"/>
  <c r="BA135" i="12"/>
  <c r="AU135" i="12"/>
  <c r="AL135" i="12"/>
  <c r="AK135" i="12"/>
  <c r="AC135" i="12"/>
  <c r="AB135" i="12"/>
  <c r="AA135" i="12"/>
  <c r="Z135" i="12"/>
  <c r="Y135" i="12"/>
  <c r="X135" i="12"/>
  <c r="W135" i="12"/>
  <c r="V135" i="12"/>
  <c r="U135" i="12"/>
  <c r="S135" i="12"/>
  <c r="K135" i="12"/>
  <c r="J135" i="12"/>
  <c r="I135" i="12"/>
  <c r="G135" i="12"/>
  <c r="F135" i="12"/>
  <c r="E135" i="12"/>
  <c r="D135" i="12"/>
  <c r="C135" i="12"/>
  <c r="B135" i="12"/>
  <c r="A135" i="12"/>
  <c r="BE134" i="12"/>
  <c r="BD134" i="12"/>
  <c r="BC134" i="12"/>
  <c r="BA134" i="12"/>
  <c r="AU134" i="12"/>
  <c r="AS134" i="12"/>
  <c r="AQ134" i="12"/>
  <c r="AN134" i="12"/>
  <c r="AL134" i="12"/>
  <c r="AK134" i="12"/>
  <c r="AD134" i="12"/>
  <c r="AC134" i="12"/>
  <c r="AB134" i="12"/>
  <c r="AA134" i="12"/>
  <c r="Z134" i="12"/>
  <c r="Y134" i="12"/>
  <c r="X134" i="12"/>
  <c r="W134" i="12"/>
  <c r="V134" i="12"/>
  <c r="U134" i="12"/>
  <c r="T134" i="12"/>
  <c r="S134" i="12"/>
  <c r="P134" i="12"/>
  <c r="M134" i="12"/>
  <c r="L134" i="12"/>
  <c r="K134" i="12"/>
  <c r="J134" i="12"/>
  <c r="I134" i="12"/>
  <c r="G134" i="12"/>
  <c r="F134" i="12"/>
  <c r="E134" i="12"/>
  <c r="D134" i="12"/>
  <c r="C134" i="12"/>
  <c r="B134" i="12"/>
  <c r="A134" i="12"/>
  <c r="BE133" i="12"/>
  <c r="BD133" i="12"/>
  <c r="BC133" i="12"/>
  <c r="BB133" i="12"/>
  <c r="AU133" i="12"/>
  <c r="AS133" i="12"/>
  <c r="AQ133" i="12"/>
  <c r="AN133" i="12"/>
  <c r="AL133" i="12"/>
  <c r="AK133" i="12"/>
  <c r="AH133" i="12"/>
  <c r="AG133" i="12"/>
  <c r="AD133" i="12"/>
  <c r="AC133" i="12"/>
  <c r="AA133" i="12"/>
  <c r="Z133" i="12"/>
  <c r="Y133" i="12"/>
  <c r="X133" i="12"/>
  <c r="W133" i="12"/>
  <c r="V133" i="12"/>
  <c r="U133" i="12"/>
  <c r="S133" i="12"/>
  <c r="P133" i="12"/>
  <c r="K133" i="12"/>
  <c r="J133" i="12"/>
  <c r="I133" i="12"/>
  <c r="G133" i="12"/>
  <c r="F133" i="12"/>
  <c r="D133" i="12"/>
  <c r="C133" i="12"/>
  <c r="B133" i="12"/>
  <c r="A133" i="12"/>
  <c r="BE132" i="12"/>
  <c r="BD132" i="12"/>
  <c r="BC132" i="12"/>
  <c r="BA132" i="12"/>
  <c r="AU132" i="12"/>
  <c r="AS132" i="12"/>
  <c r="AQ132" i="12"/>
  <c r="AN132" i="12"/>
  <c r="AL132" i="12"/>
  <c r="AK132" i="12"/>
  <c r="AH132" i="12"/>
  <c r="AG132" i="12"/>
  <c r="AD132" i="12"/>
  <c r="AC132" i="12"/>
  <c r="AB132" i="12"/>
  <c r="AA132" i="12"/>
  <c r="Z132" i="12"/>
  <c r="Y132" i="12"/>
  <c r="X132" i="12"/>
  <c r="W132" i="12"/>
  <c r="V132" i="12"/>
  <c r="U132" i="12"/>
  <c r="T132" i="12"/>
  <c r="S132" i="12"/>
  <c r="P132" i="12"/>
  <c r="K132" i="12"/>
  <c r="J132" i="12"/>
  <c r="I132" i="12"/>
  <c r="G132" i="12"/>
  <c r="F132" i="12"/>
  <c r="E132" i="12"/>
  <c r="D132" i="12"/>
  <c r="C132" i="12"/>
  <c r="B132" i="12"/>
  <c r="A132" i="12"/>
  <c r="BD131" i="12"/>
  <c r="BC131" i="12"/>
  <c r="AU131" i="12"/>
  <c r="AR131" i="12"/>
  <c r="AL131" i="12"/>
  <c r="AK131" i="12"/>
  <c r="AH131" i="12"/>
  <c r="AG131" i="12"/>
  <c r="AC131" i="12"/>
  <c r="AB131" i="12"/>
  <c r="AA131" i="12"/>
  <c r="Z131" i="12"/>
  <c r="Y131" i="12"/>
  <c r="X131" i="12"/>
  <c r="W131" i="12"/>
  <c r="V131" i="12"/>
  <c r="U131" i="12"/>
  <c r="M131" i="12"/>
  <c r="L131" i="12"/>
  <c r="K131" i="12"/>
  <c r="J131" i="12"/>
  <c r="I131" i="12"/>
  <c r="H131" i="12"/>
  <c r="G131" i="12"/>
  <c r="F131" i="12"/>
  <c r="E131" i="12"/>
  <c r="D131" i="12"/>
  <c r="C131" i="12"/>
  <c r="B131" i="12"/>
  <c r="A131" i="12"/>
  <c r="BE130" i="12"/>
  <c r="BD130" i="12"/>
  <c r="BC130" i="12"/>
  <c r="BA130" i="12"/>
  <c r="AY130" i="12"/>
  <c r="AU130" i="12"/>
  <c r="AS130" i="12"/>
  <c r="AQ130" i="12"/>
  <c r="AP130" i="12"/>
  <c r="AO130" i="12"/>
  <c r="AN130" i="12"/>
  <c r="AL130" i="12"/>
  <c r="AK130" i="12"/>
  <c r="AH130" i="12"/>
  <c r="AG130" i="12"/>
  <c r="AD130" i="12"/>
  <c r="AC130" i="12"/>
  <c r="AB130" i="12"/>
  <c r="AA130" i="12"/>
  <c r="Z130" i="12"/>
  <c r="Y130" i="12"/>
  <c r="X130" i="12"/>
  <c r="W130" i="12"/>
  <c r="V130" i="12"/>
  <c r="U130" i="12"/>
  <c r="S130" i="12"/>
  <c r="P130" i="12"/>
  <c r="K130" i="12"/>
  <c r="J130" i="12"/>
  <c r="I130" i="12"/>
  <c r="G130" i="12"/>
  <c r="F130" i="12"/>
  <c r="E130" i="12"/>
  <c r="D130" i="12"/>
  <c r="C130" i="12"/>
  <c r="B130" i="12"/>
  <c r="A130" i="12"/>
  <c r="BD129" i="12"/>
  <c r="BC129" i="12"/>
  <c r="BA129" i="12"/>
  <c r="AU129" i="12"/>
  <c r="AR129" i="12"/>
  <c r="AL129" i="12"/>
  <c r="AK129" i="12"/>
  <c r="AH129" i="12"/>
  <c r="AG129" i="12"/>
  <c r="Z129" i="12"/>
  <c r="X129" i="12"/>
  <c r="V129" i="12"/>
  <c r="K129" i="12"/>
  <c r="J129" i="12"/>
  <c r="I129" i="12"/>
  <c r="H129" i="12"/>
  <c r="G129" i="12"/>
  <c r="F129" i="12"/>
  <c r="E129" i="12"/>
  <c r="D129" i="12"/>
  <c r="C129" i="12"/>
  <c r="B129" i="12"/>
  <c r="A129" i="12"/>
  <c r="BD128" i="12"/>
  <c r="BC128" i="12"/>
  <c r="BA128" i="12"/>
  <c r="AU128" i="12"/>
  <c r="AR128" i="12"/>
  <c r="AL128" i="12"/>
  <c r="AK128" i="12"/>
  <c r="AH128" i="12"/>
  <c r="AG128" i="12"/>
  <c r="Z128" i="12"/>
  <c r="X128" i="12"/>
  <c r="V128" i="12"/>
  <c r="K128" i="12"/>
  <c r="J128" i="12"/>
  <c r="I128" i="12"/>
  <c r="H128" i="12"/>
  <c r="G128" i="12"/>
  <c r="F128" i="12"/>
  <c r="E128" i="12"/>
  <c r="D128" i="12"/>
  <c r="C128" i="12"/>
  <c r="B128" i="12"/>
  <c r="A128" i="12"/>
  <c r="BD127" i="12"/>
  <c r="BC127" i="12"/>
  <c r="BA127" i="12"/>
  <c r="AU127" i="12"/>
  <c r="AR127" i="12"/>
  <c r="AL127" i="12"/>
  <c r="AK127" i="12"/>
  <c r="AH127" i="12"/>
  <c r="AG127" i="12"/>
  <c r="AA127" i="12"/>
  <c r="Z127" i="12"/>
  <c r="Y127" i="12"/>
  <c r="X127" i="12"/>
  <c r="W127" i="12"/>
  <c r="V127" i="12"/>
  <c r="U127" i="12"/>
  <c r="K127" i="12"/>
  <c r="J127" i="12"/>
  <c r="I127" i="12"/>
  <c r="H127" i="12"/>
  <c r="G127" i="12"/>
  <c r="F127" i="12"/>
  <c r="E127" i="12"/>
  <c r="D127" i="12"/>
  <c r="C127" i="12"/>
  <c r="B127" i="12"/>
  <c r="A127" i="12"/>
  <c r="BD126" i="12"/>
  <c r="BC126" i="12"/>
  <c r="BA126" i="12"/>
  <c r="AU126" i="12"/>
  <c r="AR126" i="12"/>
  <c r="AL126" i="12"/>
  <c r="AK126" i="12"/>
  <c r="AH126" i="12"/>
  <c r="AG126" i="12"/>
  <c r="AC126" i="12"/>
  <c r="AB126" i="12"/>
  <c r="AA126" i="12"/>
  <c r="Z126" i="12"/>
  <c r="Y126" i="12"/>
  <c r="X126" i="12"/>
  <c r="W126" i="12"/>
  <c r="V126" i="12"/>
  <c r="U126" i="12"/>
  <c r="K126" i="12"/>
  <c r="J126" i="12"/>
  <c r="I126" i="12"/>
  <c r="H126" i="12"/>
  <c r="G126" i="12"/>
  <c r="F126" i="12"/>
  <c r="E126" i="12"/>
  <c r="D126" i="12"/>
  <c r="C126" i="12"/>
  <c r="B126" i="12"/>
  <c r="A126" i="12"/>
  <c r="BE125" i="12"/>
  <c r="BD125" i="12"/>
  <c r="BC125" i="12"/>
  <c r="BA125" i="12"/>
  <c r="AU125" i="12"/>
  <c r="AS125" i="12"/>
  <c r="AQ125" i="12"/>
  <c r="AN125" i="12"/>
  <c r="AL125" i="12"/>
  <c r="AK125" i="12"/>
  <c r="AH125" i="12"/>
  <c r="AG125" i="12"/>
  <c r="AD125" i="12"/>
  <c r="AC125" i="12"/>
  <c r="AB125" i="12"/>
  <c r="AA125" i="12"/>
  <c r="Z125" i="12"/>
  <c r="Y125" i="12"/>
  <c r="X125" i="12"/>
  <c r="W125" i="12"/>
  <c r="V125" i="12"/>
  <c r="U125" i="12"/>
  <c r="S125" i="12"/>
  <c r="P125" i="12"/>
  <c r="M125" i="12"/>
  <c r="L125" i="12"/>
  <c r="K125" i="12"/>
  <c r="J125" i="12"/>
  <c r="I125" i="12"/>
  <c r="G125" i="12"/>
  <c r="F125" i="12"/>
  <c r="E125" i="12"/>
  <c r="D125" i="12"/>
  <c r="C125" i="12"/>
  <c r="B125" i="12"/>
  <c r="A125" i="12"/>
  <c r="BC124" i="12"/>
  <c r="AU124" i="12"/>
  <c r="AK124" i="12"/>
  <c r="AG124" i="12"/>
  <c r="Z124" i="12"/>
  <c r="X124" i="12"/>
  <c r="K124" i="12"/>
  <c r="I124" i="12"/>
  <c r="G124" i="12"/>
  <c r="F124" i="12"/>
  <c r="D124" i="12"/>
  <c r="C124" i="12"/>
  <c r="B124" i="12"/>
  <c r="A124" i="12"/>
  <c r="BE123" i="12"/>
  <c r="BD123" i="12"/>
  <c r="BC123" i="12"/>
  <c r="BB123" i="12"/>
  <c r="AU123" i="12"/>
  <c r="AS123" i="12"/>
  <c r="AQ123" i="12"/>
  <c r="AP123" i="12"/>
  <c r="AO123" i="12"/>
  <c r="AN123" i="12"/>
  <c r="AM123" i="12"/>
  <c r="AL123" i="12"/>
  <c r="AK123" i="12"/>
  <c r="AG123" i="12"/>
  <c r="AD123" i="12"/>
  <c r="AC123" i="12"/>
  <c r="AA123" i="12"/>
  <c r="Z123" i="12"/>
  <c r="Y123" i="12"/>
  <c r="X123" i="12"/>
  <c r="W123" i="12"/>
  <c r="V123" i="12"/>
  <c r="U123" i="12"/>
  <c r="S123" i="12"/>
  <c r="P123" i="12"/>
  <c r="O123" i="12"/>
  <c r="N123" i="12"/>
  <c r="M123" i="12"/>
  <c r="L123" i="12"/>
  <c r="K123" i="12"/>
  <c r="J123" i="12"/>
  <c r="I123" i="12"/>
  <c r="G123" i="12"/>
  <c r="F123" i="12"/>
  <c r="E123" i="12"/>
  <c r="D123" i="12"/>
  <c r="C123" i="12"/>
  <c r="B123" i="12"/>
  <c r="A123" i="12"/>
  <c r="BD122" i="12"/>
  <c r="BC122" i="12"/>
  <c r="AU122" i="12"/>
  <c r="AR122" i="12"/>
  <c r="AL122" i="12"/>
  <c r="AK122" i="12"/>
  <c r="AH122" i="12"/>
  <c r="AG122" i="12"/>
  <c r="AD122" i="12"/>
  <c r="AA122" i="12"/>
  <c r="Z122" i="12"/>
  <c r="Y122" i="12"/>
  <c r="X122" i="12"/>
  <c r="W122" i="12"/>
  <c r="V122" i="12"/>
  <c r="U122" i="12"/>
  <c r="K122" i="12"/>
  <c r="J122" i="12"/>
  <c r="I122" i="12"/>
  <c r="H122" i="12"/>
  <c r="G122" i="12"/>
  <c r="F122" i="12"/>
  <c r="E122" i="12"/>
  <c r="D122" i="12"/>
  <c r="C122" i="12"/>
  <c r="B122" i="12"/>
  <c r="A122" i="12"/>
  <c r="BD121" i="12"/>
  <c r="BC121" i="12"/>
  <c r="BA121" i="12"/>
  <c r="AU121" i="12"/>
  <c r="AR121" i="12"/>
  <c r="AL121" i="12"/>
  <c r="AK121" i="12"/>
  <c r="AH121" i="12"/>
  <c r="AG121" i="12"/>
  <c r="AC121" i="12"/>
  <c r="AB121" i="12"/>
  <c r="AA121" i="12"/>
  <c r="Z121" i="12"/>
  <c r="Y121" i="12"/>
  <c r="X121" i="12"/>
  <c r="W121" i="12"/>
  <c r="V121" i="12"/>
  <c r="U121" i="12"/>
  <c r="M121" i="12"/>
  <c r="L121" i="12"/>
  <c r="K121" i="12"/>
  <c r="J121" i="12"/>
  <c r="I121" i="12"/>
  <c r="H121" i="12"/>
  <c r="G121" i="12"/>
  <c r="F121" i="12"/>
  <c r="E121" i="12"/>
  <c r="D121" i="12"/>
  <c r="C121" i="12"/>
  <c r="B121" i="12"/>
  <c r="A121" i="12"/>
  <c r="BE120" i="12"/>
  <c r="BD120" i="12"/>
  <c r="BC120" i="12"/>
  <c r="BB120" i="12"/>
  <c r="AU120" i="12"/>
  <c r="AS120" i="12"/>
  <c r="AQ120" i="12"/>
  <c r="AP120" i="12"/>
  <c r="AO120" i="12"/>
  <c r="AN120" i="12"/>
  <c r="AM120" i="12"/>
  <c r="AL120" i="12"/>
  <c r="AK120" i="12"/>
  <c r="AG120" i="12"/>
  <c r="AD120" i="12"/>
  <c r="AC120" i="12"/>
  <c r="AA120" i="12"/>
  <c r="Z120" i="12"/>
  <c r="Y120" i="12"/>
  <c r="X120" i="12"/>
  <c r="W120" i="12"/>
  <c r="V120" i="12"/>
  <c r="U120" i="12"/>
  <c r="S120" i="12"/>
  <c r="P120" i="12"/>
  <c r="O120" i="12"/>
  <c r="N120" i="12"/>
  <c r="L120" i="12"/>
  <c r="K120" i="12"/>
  <c r="J120" i="12"/>
  <c r="I120" i="12"/>
  <c r="G120" i="12"/>
  <c r="F120" i="12"/>
  <c r="E120" i="12"/>
  <c r="D120" i="12"/>
  <c r="C120" i="12"/>
  <c r="B120" i="12"/>
  <c r="A120" i="12"/>
  <c r="BC119" i="12"/>
  <c r="AU119" i="12"/>
  <c r="AK119" i="12"/>
  <c r="AG119" i="12"/>
  <c r="Z119" i="12"/>
  <c r="X119" i="12"/>
  <c r="K119" i="12"/>
  <c r="I119" i="12"/>
  <c r="G119" i="12"/>
  <c r="F119" i="12"/>
  <c r="D119" i="12"/>
  <c r="C119" i="12"/>
  <c r="B119" i="12"/>
  <c r="A119" i="12"/>
  <c r="BE118" i="12"/>
  <c r="BD118" i="12"/>
  <c r="BC118" i="12"/>
  <c r="BB118" i="12"/>
  <c r="AU118" i="12"/>
  <c r="AS118" i="12"/>
  <c r="AQ118" i="12"/>
  <c r="AN118" i="12"/>
  <c r="AL118" i="12"/>
  <c r="AK118" i="12"/>
  <c r="AH118" i="12"/>
  <c r="AG118" i="12"/>
  <c r="AD118" i="12"/>
  <c r="AC118" i="12"/>
  <c r="AA118" i="12"/>
  <c r="Z118" i="12"/>
  <c r="Y118" i="12"/>
  <c r="X118" i="12"/>
  <c r="W118" i="12"/>
  <c r="V118" i="12"/>
  <c r="U118" i="12"/>
  <c r="S118" i="12"/>
  <c r="P118" i="12"/>
  <c r="K118" i="12"/>
  <c r="J118" i="12"/>
  <c r="I118" i="12"/>
  <c r="G118" i="12"/>
  <c r="F118" i="12"/>
  <c r="D118" i="12"/>
  <c r="C118" i="12"/>
  <c r="B118" i="12"/>
  <c r="A118" i="12"/>
  <c r="BE117" i="12"/>
  <c r="BD117" i="12"/>
  <c r="BC117" i="12"/>
  <c r="BA117" i="12"/>
  <c r="AU117" i="12"/>
  <c r="AT117" i="12"/>
  <c r="AS117" i="12"/>
  <c r="AQ117" i="12"/>
  <c r="AP117" i="12"/>
  <c r="AO117" i="12"/>
  <c r="AN117" i="12"/>
  <c r="AL117" i="12"/>
  <c r="AK117" i="12"/>
  <c r="AH117" i="12"/>
  <c r="AG117" i="12"/>
  <c r="AD117" i="12"/>
  <c r="AC117" i="12"/>
  <c r="AB117" i="12"/>
  <c r="AA117" i="12"/>
  <c r="Z117" i="12"/>
  <c r="Y117" i="12"/>
  <c r="X117" i="12"/>
  <c r="W117" i="12"/>
  <c r="V117" i="12"/>
  <c r="U117" i="12"/>
  <c r="T117" i="12"/>
  <c r="S117" i="12"/>
  <c r="P117" i="12"/>
  <c r="M117" i="12"/>
  <c r="L117" i="12"/>
  <c r="K117" i="12"/>
  <c r="J117" i="12"/>
  <c r="I117" i="12"/>
  <c r="G117" i="12"/>
  <c r="F117" i="12"/>
  <c r="E117" i="12"/>
  <c r="D117" i="12"/>
  <c r="C117" i="12"/>
  <c r="B117" i="12"/>
  <c r="A117" i="12"/>
  <c r="BE116" i="12"/>
  <c r="BD116" i="12"/>
  <c r="BC116" i="12"/>
  <c r="BB116" i="12"/>
  <c r="AU116" i="12"/>
  <c r="AS116" i="12"/>
  <c r="AQ116" i="12"/>
  <c r="AP116" i="12"/>
  <c r="AO116" i="12"/>
  <c r="AN116" i="12"/>
  <c r="AM116" i="12"/>
  <c r="AL116" i="12"/>
  <c r="AK116" i="12"/>
  <c r="AG116" i="12"/>
  <c r="AD116" i="12"/>
  <c r="AC116" i="12"/>
  <c r="AA116" i="12"/>
  <c r="Z116" i="12"/>
  <c r="Y116" i="12"/>
  <c r="X116" i="12"/>
  <c r="W116" i="12"/>
  <c r="V116" i="12"/>
  <c r="U116" i="12"/>
  <c r="S116" i="12"/>
  <c r="P116" i="12"/>
  <c r="O116" i="12"/>
  <c r="N116" i="12"/>
  <c r="L116" i="12"/>
  <c r="K116" i="12"/>
  <c r="J116" i="12"/>
  <c r="I116" i="12"/>
  <c r="G116" i="12"/>
  <c r="F116" i="12"/>
  <c r="E116" i="12"/>
  <c r="D116" i="12"/>
  <c r="C116" i="12"/>
  <c r="B116" i="12"/>
  <c r="A116" i="12"/>
  <c r="BE115" i="12"/>
  <c r="BD115" i="12"/>
  <c r="BC115" i="12"/>
  <c r="BA115" i="12"/>
  <c r="AU115" i="12"/>
  <c r="AS115" i="12"/>
  <c r="AQ115" i="12"/>
  <c r="AN115" i="12"/>
  <c r="AL115" i="12"/>
  <c r="AK115" i="12"/>
  <c r="AD115" i="12"/>
  <c r="AC115" i="12"/>
  <c r="AB115" i="12"/>
  <c r="AA115" i="12"/>
  <c r="Z115" i="12"/>
  <c r="Y115" i="12"/>
  <c r="X115" i="12"/>
  <c r="W115" i="12"/>
  <c r="V115" i="12"/>
  <c r="U115" i="12"/>
  <c r="T115" i="12"/>
  <c r="S115" i="12"/>
  <c r="P115" i="12"/>
  <c r="M115" i="12"/>
  <c r="L115" i="12"/>
  <c r="K115" i="12"/>
  <c r="J115" i="12"/>
  <c r="I115" i="12"/>
  <c r="G115" i="12"/>
  <c r="F115" i="12"/>
  <c r="E115" i="12"/>
  <c r="D115" i="12"/>
  <c r="C115" i="12"/>
  <c r="B115" i="12"/>
  <c r="A115" i="12"/>
  <c r="BE114" i="12"/>
  <c r="BD114" i="12"/>
  <c r="BC114" i="12"/>
  <c r="BA114" i="12"/>
  <c r="AU114" i="12"/>
  <c r="AS114" i="12"/>
  <c r="AQ114" i="12"/>
  <c r="AN114" i="12"/>
  <c r="AL114" i="12"/>
  <c r="AK114" i="12"/>
  <c r="AD114" i="12"/>
  <c r="AC114" i="12"/>
  <c r="AA114" i="12"/>
  <c r="Z114" i="12"/>
  <c r="Y114" i="12"/>
  <c r="X114" i="12"/>
  <c r="W114" i="12"/>
  <c r="V114" i="12"/>
  <c r="U114" i="12"/>
  <c r="T114" i="12"/>
  <c r="S114" i="12"/>
  <c r="P114" i="12"/>
  <c r="M114" i="12"/>
  <c r="L114" i="12"/>
  <c r="K114" i="12"/>
  <c r="J114" i="12"/>
  <c r="I114" i="12"/>
  <c r="G114" i="12"/>
  <c r="F114" i="12"/>
  <c r="E114" i="12"/>
  <c r="D114" i="12"/>
  <c r="C114" i="12"/>
  <c r="B114" i="12"/>
  <c r="A114" i="12"/>
  <c r="BE113" i="12"/>
  <c r="BD113" i="12"/>
  <c r="BC113" i="12"/>
  <c r="BA113" i="12"/>
  <c r="AU113" i="12"/>
  <c r="AS113" i="12"/>
  <c r="AQ113" i="12"/>
  <c r="AN113" i="12"/>
  <c r="AL113" i="12"/>
  <c r="AK113" i="12"/>
  <c r="AH113" i="12"/>
  <c r="AG113" i="12"/>
  <c r="AD113" i="12"/>
  <c r="AC113" i="12"/>
  <c r="AB113" i="12"/>
  <c r="AA113" i="12"/>
  <c r="Z113" i="12"/>
  <c r="Y113" i="12"/>
  <c r="X113" i="12"/>
  <c r="W113" i="12"/>
  <c r="V113" i="12"/>
  <c r="U113" i="12"/>
  <c r="S113" i="12"/>
  <c r="P113" i="12"/>
  <c r="M113" i="12"/>
  <c r="L113" i="12"/>
  <c r="K113" i="12"/>
  <c r="J113" i="12"/>
  <c r="I113" i="12"/>
  <c r="G113" i="12"/>
  <c r="F113" i="12"/>
  <c r="E113" i="12"/>
  <c r="D113" i="12"/>
  <c r="C113" i="12"/>
  <c r="B113" i="12"/>
  <c r="A113" i="12"/>
  <c r="BE112" i="12"/>
  <c r="BD112" i="12"/>
  <c r="BC112" i="12"/>
  <c r="BA112" i="12"/>
  <c r="AU112" i="12"/>
  <c r="AS112" i="12"/>
  <c r="AQ112" i="12"/>
  <c r="AN112" i="12"/>
  <c r="AL112" i="12"/>
  <c r="AK112" i="12"/>
  <c r="AH112" i="12"/>
  <c r="AG112" i="12"/>
  <c r="AD112" i="12"/>
  <c r="AC112" i="12"/>
  <c r="AB112" i="12"/>
  <c r="AA112" i="12"/>
  <c r="Z112" i="12"/>
  <c r="Y112" i="12"/>
  <c r="X112" i="12"/>
  <c r="W112" i="12"/>
  <c r="V112" i="12"/>
  <c r="U112" i="12"/>
  <c r="S112" i="12"/>
  <c r="P112" i="12"/>
  <c r="M112" i="12"/>
  <c r="L112" i="12"/>
  <c r="K112" i="12"/>
  <c r="J112" i="12"/>
  <c r="I112" i="12"/>
  <c r="G112" i="12"/>
  <c r="F112" i="12"/>
  <c r="E112" i="12"/>
  <c r="D112" i="12"/>
  <c r="C112" i="12"/>
  <c r="B112" i="12"/>
  <c r="A112" i="12"/>
  <c r="BE111" i="12"/>
  <c r="BD111" i="12"/>
  <c r="BC111" i="12"/>
  <c r="BA111" i="12"/>
  <c r="AU111" i="12"/>
  <c r="AS111" i="12"/>
  <c r="AQ111" i="12"/>
  <c r="AN111" i="12"/>
  <c r="AL111" i="12"/>
  <c r="AK111" i="12"/>
  <c r="AD111" i="12"/>
  <c r="AC111" i="12"/>
  <c r="AA111" i="12"/>
  <c r="Z111" i="12"/>
  <c r="Y111" i="12"/>
  <c r="X111" i="12"/>
  <c r="W111" i="12"/>
  <c r="V111" i="12"/>
  <c r="U111" i="12"/>
  <c r="T111" i="12"/>
  <c r="S111" i="12"/>
  <c r="P111" i="12"/>
  <c r="M111" i="12"/>
  <c r="L111" i="12"/>
  <c r="K111" i="12"/>
  <c r="J111" i="12"/>
  <c r="I111" i="12"/>
  <c r="G111" i="12"/>
  <c r="F111" i="12"/>
  <c r="E111" i="12"/>
  <c r="D111" i="12"/>
  <c r="C111" i="12"/>
  <c r="B111" i="12"/>
  <c r="A111" i="12"/>
  <c r="BE110" i="12"/>
  <c r="BD110" i="12"/>
  <c r="BC110" i="12"/>
  <c r="BA110" i="12"/>
  <c r="AU110" i="12"/>
  <c r="AS110" i="12"/>
  <c r="AQ110" i="12"/>
  <c r="AN110" i="12"/>
  <c r="AL110" i="12"/>
  <c r="AK110" i="12"/>
  <c r="AD110" i="12"/>
  <c r="AC110" i="12"/>
  <c r="AA110" i="12"/>
  <c r="Z110" i="12"/>
  <c r="Y110" i="12"/>
  <c r="X110" i="12"/>
  <c r="W110" i="12"/>
  <c r="V110" i="12"/>
  <c r="U110" i="12"/>
  <c r="T110" i="12"/>
  <c r="S110" i="12"/>
  <c r="P110" i="12"/>
  <c r="M110" i="12"/>
  <c r="L110" i="12"/>
  <c r="K110" i="12"/>
  <c r="J110" i="12"/>
  <c r="I110" i="12"/>
  <c r="G110" i="12"/>
  <c r="F110" i="12"/>
  <c r="E110" i="12"/>
  <c r="D110" i="12"/>
  <c r="C110" i="12"/>
  <c r="B110" i="12"/>
  <c r="A110" i="12"/>
  <c r="BE109" i="12"/>
  <c r="BD109" i="12"/>
  <c r="BC109" i="12"/>
  <c r="BA109" i="12"/>
  <c r="AU109" i="12"/>
  <c r="AS109" i="12"/>
  <c r="AQ109" i="12"/>
  <c r="AN109" i="12"/>
  <c r="AL109" i="12"/>
  <c r="AK109" i="12"/>
  <c r="AH109" i="12"/>
  <c r="AG109" i="12"/>
  <c r="AD109" i="12"/>
  <c r="AC109" i="12"/>
  <c r="AB109" i="12"/>
  <c r="AA109" i="12"/>
  <c r="Z109" i="12"/>
  <c r="Y109" i="12"/>
  <c r="X109" i="12"/>
  <c r="W109" i="12"/>
  <c r="V109" i="12"/>
  <c r="U109" i="12"/>
  <c r="S109" i="12"/>
  <c r="P109" i="12"/>
  <c r="M109" i="12"/>
  <c r="L109" i="12"/>
  <c r="K109" i="12"/>
  <c r="J109" i="12"/>
  <c r="I109" i="12"/>
  <c r="G109" i="12"/>
  <c r="F109" i="12"/>
  <c r="E109" i="12"/>
  <c r="D109" i="12"/>
  <c r="C109" i="12"/>
  <c r="B109" i="12"/>
  <c r="A109" i="12"/>
  <c r="BE108" i="12"/>
  <c r="BD108" i="12"/>
  <c r="BC108" i="12"/>
  <c r="BA108" i="12"/>
  <c r="AY108" i="12"/>
  <c r="AU108" i="12"/>
  <c r="AS108" i="12"/>
  <c r="AQ108" i="12"/>
  <c r="AP108" i="12"/>
  <c r="AO108" i="12"/>
  <c r="AN108" i="12"/>
  <c r="AL108" i="12"/>
  <c r="AK108" i="12"/>
  <c r="AH108" i="12"/>
  <c r="AG108" i="12"/>
  <c r="AD108" i="12"/>
  <c r="AC108" i="12"/>
  <c r="AB108" i="12"/>
  <c r="AA108" i="12"/>
  <c r="Z108" i="12"/>
  <c r="Y108" i="12"/>
  <c r="X108" i="12"/>
  <c r="W108" i="12"/>
  <c r="V108" i="12"/>
  <c r="U108" i="12"/>
  <c r="T108" i="12"/>
  <c r="S108" i="12"/>
  <c r="P108" i="12"/>
  <c r="M108" i="12"/>
  <c r="L108" i="12"/>
  <c r="K108" i="12"/>
  <c r="J108" i="12"/>
  <c r="I108" i="12"/>
  <c r="G108" i="12"/>
  <c r="F108" i="12"/>
  <c r="E108" i="12"/>
  <c r="D108" i="12"/>
  <c r="C108" i="12"/>
  <c r="B108" i="12"/>
  <c r="A108" i="12"/>
  <c r="BE107" i="12"/>
  <c r="BD107" i="12"/>
  <c r="BC107" i="12"/>
  <c r="BA107" i="12"/>
  <c r="AY107" i="12"/>
  <c r="AU107" i="12"/>
  <c r="AS107" i="12"/>
  <c r="AQ107" i="12"/>
  <c r="AP107" i="12"/>
  <c r="AO107" i="12"/>
  <c r="AN107" i="12"/>
  <c r="AL107" i="12"/>
  <c r="AK107" i="12"/>
  <c r="AH107" i="12"/>
  <c r="AG107" i="12"/>
  <c r="AD107" i="12"/>
  <c r="AC107" i="12"/>
  <c r="AB107" i="12"/>
  <c r="AA107" i="12"/>
  <c r="Z107" i="12"/>
  <c r="Y107" i="12"/>
  <c r="X107" i="12"/>
  <c r="W107" i="12"/>
  <c r="V107" i="12"/>
  <c r="U107" i="12"/>
  <c r="S107" i="12"/>
  <c r="P107" i="12"/>
  <c r="M107" i="12"/>
  <c r="L107" i="12"/>
  <c r="K107" i="12"/>
  <c r="J107" i="12"/>
  <c r="I107" i="12"/>
  <c r="G107" i="12"/>
  <c r="F107" i="12"/>
  <c r="E107" i="12"/>
  <c r="D107" i="12"/>
  <c r="C107" i="12"/>
  <c r="B107" i="12"/>
  <c r="A107" i="12"/>
  <c r="BE106" i="12"/>
  <c r="BD106" i="12"/>
  <c r="BC106" i="12"/>
  <c r="BB106" i="12"/>
  <c r="AU106" i="12"/>
  <c r="AS106" i="12"/>
  <c r="AQ106" i="12"/>
  <c r="AP106" i="12"/>
  <c r="AO106" i="12"/>
  <c r="AN106" i="12"/>
  <c r="AM106" i="12"/>
  <c r="AL106" i="12"/>
  <c r="AK106" i="12"/>
  <c r="AG106" i="12"/>
  <c r="AD106" i="12"/>
  <c r="AC106" i="12"/>
  <c r="AA106" i="12"/>
  <c r="Z106" i="12"/>
  <c r="Y106" i="12"/>
  <c r="X106" i="12"/>
  <c r="W106" i="12"/>
  <c r="V106" i="12"/>
  <c r="U106" i="12"/>
  <c r="S106" i="12"/>
  <c r="P106" i="12"/>
  <c r="O106" i="12"/>
  <c r="N106" i="12"/>
  <c r="L106" i="12"/>
  <c r="K106" i="12"/>
  <c r="J106" i="12"/>
  <c r="I106" i="12"/>
  <c r="G106" i="12"/>
  <c r="F106" i="12"/>
  <c r="E106" i="12"/>
  <c r="D106" i="12"/>
  <c r="C106" i="12"/>
  <c r="B106" i="12"/>
  <c r="A106" i="12"/>
  <c r="BE105" i="12"/>
  <c r="BD105" i="12"/>
  <c r="BC105" i="12"/>
  <c r="BA105" i="12"/>
  <c r="AY105" i="12"/>
  <c r="AU105" i="12"/>
  <c r="AS105" i="12"/>
  <c r="AQ105" i="12"/>
  <c r="AP105" i="12"/>
  <c r="AO105" i="12"/>
  <c r="AN105" i="12"/>
  <c r="AL105" i="12"/>
  <c r="AK105" i="12"/>
  <c r="AH105" i="12"/>
  <c r="AG105" i="12"/>
  <c r="AD105" i="12"/>
  <c r="AC105" i="12"/>
  <c r="AB105" i="12"/>
  <c r="AA105" i="12"/>
  <c r="Z105" i="12"/>
  <c r="Y105" i="12"/>
  <c r="X105" i="12"/>
  <c r="W105" i="12"/>
  <c r="V105" i="12"/>
  <c r="U105" i="12"/>
  <c r="S105" i="12"/>
  <c r="P105" i="12"/>
  <c r="K105" i="12"/>
  <c r="J105" i="12"/>
  <c r="I105" i="12"/>
  <c r="G105" i="12"/>
  <c r="F105" i="12"/>
  <c r="E105" i="12"/>
  <c r="D105" i="12"/>
  <c r="C105" i="12"/>
  <c r="B105" i="12"/>
  <c r="A105" i="12"/>
  <c r="BE104" i="12"/>
  <c r="BD104" i="12"/>
  <c r="BC104" i="12"/>
  <c r="BA104" i="12"/>
  <c r="AU104" i="12"/>
  <c r="AS104" i="12"/>
  <c r="AQ104" i="12"/>
  <c r="AN104" i="12"/>
  <c r="AL104" i="12"/>
  <c r="AK104" i="12"/>
  <c r="AH104" i="12"/>
  <c r="AG104" i="12"/>
  <c r="AD104" i="12"/>
  <c r="AC104" i="12"/>
  <c r="AB104" i="12"/>
  <c r="AA104" i="12"/>
  <c r="Z104" i="12"/>
  <c r="Y104" i="12"/>
  <c r="X104" i="12"/>
  <c r="W104" i="12"/>
  <c r="V104" i="12"/>
  <c r="U104" i="12"/>
  <c r="S104" i="12"/>
  <c r="P104" i="12"/>
  <c r="K104" i="12"/>
  <c r="J104" i="12"/>
  <c r="I104" i="12"/>
  <c r="G104" i="12"/>
  <c r="F104" i="12"/>
  <c r="E104" i="12"/>
  <c r="D104" i="12"/>
  <c r="C104" i="12"/>
  <c r="B104" i="12"/>
  <c r="A104" i="12"/>
  <c r="BE103" i="12"/>
  <c r="BD103" i="12"/>
  <c r="BC103" i="12"/>
  <c r="BA103" i="12"/>
  <c r="AY103" i="12"/>
  <c r="AU103" i="12"/>
  <c r="AS103" i="12"/>
  <c r="AQ103" i="12"/>
  <c r="AP103" i="12"/>
  <c r="AO103" i="12"/>
  <c r="AN103" i="12"/>
  <c r="AL103" i="12"/>
  <c r="AK103" i="12"/>
  <c r="AH103" i="12"/>
  <c r="AG103" i="12"/>
  <c r="AD103" i="12"/>
  <c r="AC103" i="12"/>
  <c r="AB103" i="12"/>
  <c r="AA103" i="12"/>
  <c r="Z103" i="12"/>
  <c r="Y103" i="12"/>
  <c r="X103" i="12"/>
  <c r="W103" i="12"/>
  <c r="V103" i="12"/>
  <c r="U103" i="12"/>
  <c r="S103" i="12"/>
  <c r="P103" i="12"/>
  <c r="K103" i="12"/>
  <c r="J103" i="12"/>
  <c r="I103" i="12"/>
  <c r="G103" i="12"/>
  <c r="F103" i="12"/>
  <c r="E103" i="12"/>
  <c r="D103" i="12"/>
  <c r="C103" i="12"/>
  <c r="B103" i="12"/>
  <c r="A103" i="12"/>
  <c r="BE102" i="12"/>
  <c r="BD102" i="12"/>
  <c r="BC102" i="12"/>
  <c r="BA102" i="12"/>
  <c r="AU102" i="12"/>
  <c r="AS102" i="12"/>
  <c r="AQ102" i="12"/>
  <c r="AN102" i="12"/>
  <c r="AL102" i="12"/>
  <c r="AK102" i="12"/>
  <c r="AD102" i="12"/>
  <c r="AC102" i="12"/>
  <c r="AB102" i="12"/>
  <c r="AA102" i="12"/>
  <c r="Z102" i="12"/>
  <c r="Y102" i="12"/>
  <c r="X102" i="12"/>
  <c r="W102" i="12"/>
  <c r="V102" i="12"/>
  <c r="U102" i="12"/>
  <c r="T102" i="12"/>
  <c r="S102" i="12"/>
  <c r="P102" i="12"/>
  <c r="M102" i="12"/>
  <c r="L102" i="12"/>
  <c r="K102" i="12"/>
  <c r="J102" i="12"/>
  <c r="I102" i="12"/>
  <c r="G102" i="12"/>
  <c r="F102" i="12"/>
  <c r="E102" i="12"/>
  <c r="D102" i="12"/>
  <c r="C102" i="12"/>
  <c r="B102" i="12"/>
  <c r="A102" i="12"/>
  <c r="BE101" i="12"/>
  <c r="BD101" i="12"/>
  <c r="BC101" i="12"/>
  <c r="BB101" i="12"/>
  <c r="AU101" i="12"/>
  <c r="AS101" i="12"/>
  <c r="AQ101" i="12"/>
  <c r="AP101" i="12"/>
  <c r="AO101" i="12"/>
  <c r="AN101" i="12"/>
  <c r="AM101" i="12"/>
  <c r="AL101" i="12"/>
  <c r="AK101" i="12"/>
  <c r="AG101" i="12"/>
  <c r="AD101" i="12"/>
  <c r="AC101" i="12"/>
  <c r="AA101" i="12"/>
  <c r="Z101" i="12"/>
  <c r="Y101" i="12"/>
  <c r="X101" i="12"/>
  <c r="W101" i="12"/>
  <c r="V101" i="12"/>
  <c r="U101" i="12"/>
  <c r="S101" i="12"/>
  <c r="P101" i="12"/>
  <c r="O101" i="12"/>
  <c r="N101" i="12"/>
  <c r="M101" i="12"/>
  <c r="L101" i="12"/>
  <c r="K101" i="12"/>
  <c r="J101" i="12"/>
  <c r="I101" i="12"/>
  <c r="G101" i="12"/>
  <c r="F101" i="12"/>
  <c r="E101" i="12"/>
  <c r="D101" i="12"/>
  <c r="C101" i="12"/>
  <c r="B101" i="12"/>
  <c r="A101" i="12"/>
  <c r="BE100" i="12"/>
  <c r="BD100" i="12"/>
  <c r="BC100" i="12"/>
  <c r="BB100" i="12"/>
  <c r="AU100" i="12"/>
  <c r="AS100" i="12"/>
  <c r="AQ100" i="12"/>
  <c r="AN100" i="12"/>
  <c r="AL100" i="12"/>
  <c r="AK100" i="12"/>
  <c r="AH100" i="12"/>
  <c r="AG100" i="12"/>
  <c r="AD100" i="12"/>
  <c r="AA100" i="12"/>
  <c r="Z100" i="12"/>
  <c r="Y100" i="12"/>
  <c r="X100" i="12"/>
  <c r="W100" i="12"/>
  <c r="V100" i="12"/>
  <c r="U100" i="12"/>
  <c r="S100" i="12"/>
  <c r="P100" i="12"/>
  <c r="K100" i="12"/>
  <c r="J100" i="12"/>
  <c r="I100" i="12"/>
  <c r="G100" i="12"/>
  <c r="F100" i="12"/>
  <c r="D100" i="12"/>
  <c r="C100" i="12"/>
  <c r="B100" i="12"/>
  <c r="A100" i="12"/>
  <c r="BE99" i="12"/>
  <c r="BD99" i="12"/>
  <c r="BC99" i="12"/>
  <c r="BB99" i="12"/>
  <c r="AU99" i="12"/>
  <c r="AS99" i="12"/>
  <c r="AQ99" i="12"/>
  <c r="AN99" i="12"/>
  <c r="AL99" i="12"/>
  <c r="AK99" i="12"/>
  <c r="AH99" i="12"/>
  <c r="AG99" i="12"/>
  <c r="AD99" i="12"/>
  <c r="AA99" i="12"/>
  <c r="Z99" i="12"/>
  <c r="Y99" i="12"/>
  <c r="X99" i="12"/>
  <c r="W99" i="12"/>
  <c r="V99" i="12"/>
  <c r="U99" i="12"/>
  <c r="S99" i="12"/>
  <c r="P99" i="12"/>
  <c r="K99" i="12"/>
  <c r="J99" i="12"/>
  <c r="I99" i="12"/>
  <c r="G99" i="12"/>
  <c r="F99" i="12"/>
  <c r="D99" i="12"/>
  <c r="C99" i="12"/>
  <c r="B99" i="12"/>
  <c r="A99" i="12"/>
  <c r="BE98" i="12"/>
  <c r="BD98" i="12"/>
  <c r="BC98" i="12"/>
  <c r="BB98" i="12"/>
  <c r="AU98" i="12"/>
  <c r="AS98" i="12"/>
  <c r="AQ98" i="12"/>
  <c r="AP98" i="12"/>
  <c r="AO98" i="12"/>
  <c r="AN98" i="12"/>
  <c r="AM98" i="12"/>
  <c r="AL98" i="12"/>
  <c r="AK98" i="12"/>
  <c r="AG98" i="12"/>
  <c r="AD98" i="12"/>
  <c r="AC98" i="12"/>
  <c r="AA98" i="12"/>
  <c r="Z98" i="12"/>
  <c r="Y98" i="12"/>
  <c r="X98" i="12"/>
  <c r="W98" i="12"/>
  <c r="V98" i="12"/>
  <c r="U98" i="12"/>
  <c r="S98" i="12"/>
  <c r="P98" i="12"/>
  <c r="O98" i="12"/>
  <c r="N98" i="12"/>
  <c r="M98" i="12"/>
  <c r="L98" i="12"/>
  <c r="K98" i="12"/>
  <c r="J98" i="12"/>
  <c r="I98" i="12"/>
  <c r="G98" i="12"/>
  <c r="F98" i="12"/>
  <c r="E98" i="12"/>
  <c r="D98" i="12"/>
  <c r="C98" i="12"/>
  <c r="B98" i="12"/>
  <c r="A98" i="12"/>
  <c r="BE97" i="12"/>
  <c r="BD97" i="12"/>
  <c r="BC97" i="12"/>
  <c r="BB97" i="12"/>
  <c r="AU97" i="12"/>
  <c r="AS97" i="12"/>
  <c r="AQ97" i="12"/>
  <c r="AN97" i="12"/>
  <c r="AL97" i="12"/>
  <c r="AK97" i="12"/>
  <c r="AH97" i="12"/>
  <c r="AG97" i="12"/>
  <c r="AD97" i="12"/>
  <c r="AC97" i="12"/>
  <c r="AA97" i="12"/>
  <c r="Z97" i="12"/>
  <c r="Y97" i="12"/>
  <c r="X97" i="12"/>
  <c r="W97" i="12"/>
  <c r="V97" i="12"/>
  <c r="U97" i="12"/>
  <c r="S97" i="12"/>
  <c r="P97" i="12"/>
  <c r="K97" i="12"/>
  <c r="J97" i="12"/>
  <c r="I97" i="12"/>
  <c r="G97" i="12"/>
  <c r="F97" i="12"/>
  <c r="D97" i="12"/>
  <c r="C97" i="12"/>
  <c r="B97" i="12"/>
  <c r="A97" i="12"/>
  <c r="BE96" i="12"/>
  <c r="BD96" i="12"/>
  <c r="BC96" i="12"/>
  <c r="BB96" i="12"/>
  <c r="AU96" i="12"/>
  <c r="AS96" i="12"/>
  <c r="AQ96" i="12"/>
  <c r="AN96" i="12"/>
  <c r="AL96" i="12"/>
  <c r="AK96" i="12"/>
  <c r="AH96" i="12"/>
  <c r="AG96" i="12"/>
  <c r="AD96" i="12"/>
  <c r="AC96" i="12"/>
  <c r="AA96" i="12"/>
  <c r="Z96" i="12"/>
  <c r="Y96" i="12"/>
  <c r="X96" i="12"/>
  <c r="W96" i="12"/>
  <c r="V96" i="12"/>
  <c r="U96" i="12"/>
  <c r="S96" i="12"/>
  <c r="P96" i="12"/>
  <c r="K96" i="12"/>
  <c r="J96" i="12"/>
  <c r="I96" i="12"/>
  <c r="G96" i="12"/>
  <c r="F96" i="12"/>
  <c r="D96" i="12"/>
  <c r="C96" i="12"/>
  <c r="B96" i="12"/>
  <c r="A96" i="12"/>
  <c r="BE95" i="12"/>
  <c r="BD95" i="12"/>
  <c r="BC95" i="12"/>
  <c r="BB95" i="12"/>
  <c r="AU95" i="12"/>
  <c r="AS95" i="12"/>
  <c r="AQ95" i="12"/>
  <c r="AP95" i="12"/>
  <c r="AO95" i="12"/>
  <c r="AN95" i="12"/>
  <c r="AM95" i="12"/>
  <c r="AL95" i="12"/>
  <c r="AK95" i="12"/>
  <c r="AG95" i="12"/>
  <c r="AD95" i="12"/>
  <c r="AC95" i="12"/>
  <c r="AA95" i="12"/>
  <c r="Z95" i="12"/>
  <c r="Y95" i="12"/>
  <c r="X95" i="12"/>
  <c r="W95" i="12"/>
  <c r="V95" i="12"/>
  <c r="U95" i="12"/>
  <c r="S95" i="12"/>
  <c r="P95" i="12"/>
  <c r="O95" i="12"/>
  <c r="N95" i="12"/>
  <c r="L95" i="12"/>
  <c r="K95" i="12"/>
  <c r="J95" i="12"/>
  <c r="I95" i="12"/>
  <c r="G95" i="12"/>
  <c r="F95" i="12"/>
  <c r="E95" i="12"/>
  <c r="D95" i="12"/>
  <c r="C95" i="12"/>
  <c r="B95" i="12"/>
  <c r="A95" i="12"/>
  <c r="BD94" i="12"/>
  <c r="BC94" i="12"/>
  <c r="AU94" i="12"/>
  <c r="AR94" i="12"/>
  <c r="AL94" i="12"/>
  <c r="AK94" i="12"/>
  <c r="AH94" i="12"/>
  <c r="AG94" i="12"/>
  <c r="AC94" i="12"/>
  <c r="AB94" i="12"/>
  <c r="AA94" i="12"/>
  <c r="Z94" i="12"/>
  <c r="Y94" i="12"/>
  <c r="X94" i="12"/>
  <c r="W94" i="12"/>
  <c r="V94" i="12"/>
  <c r="U94" i="12"/>
  <c r="M94" i="12"/>
  <c r="L94" i="12"/>
  <c r="K94" i="12"/>
  <c r="J94" i="12"/>
  <c r="I94" i="12"/>
  <c r="H94" i="12"/>
  <c r="G94" i="12"/>
  <c r="F94" i="12"/>
  <c r="E94" i="12"/>
  <c r="D94" i="12"/>
  <c r="C94" i="12"/>
  <c r="B94" i="12"/>
  <c r="A94" i="12"/>
  <c r="BE93" i="12"/>
  <c r="BD93" i="12"/>
  <c r="BC93" i="12"/>
  <c r="BB93" i="12"/>
  <c r="AU93" i="12"/>
  <c r="AS93" i="12"/>
  <c r="AQ93" i="12"/>
  <c r="AP93" i="12"/>
  <c r="AO93" i="12"/>
  <c r="AN93" i="12"/>
  <c r="AM93" i="12"/>
  <c r="AL93" i="12"/>
  <c r="AK93" i="12"/>
  <c r="AH93" i="12"/>
  <c r="AG93" i="12"/>
  <c r="AD93" i="12"/>
  <c r="AC93" i="12"/>
  <c r="AA93" i="12"/>
  <c r="Z93" i="12"/>
  <c r="Y93" i="12"/>
  <c r="X93" i="12"/>
  <c r="W93" i="12"/>
  <c r="V93" i="12"/>
  <c r="U93" i="12"/>
  <c r="S93" i="12"/>
  <c r="P93" i="12"/>
  <c r="O93" i="12"/>
  <c r="N93" i="12"/>
  <c r="L93" i="12"/>
  <c r="K93" i="12"/>
  <c r="J93" i="12"/>
  <c r="I93" i="12"/>
  <c r="G93" i="12"/>
  <c r="F93" i="12"/>
  <c r="E93" i="12"/>
  <c r="D93" i="12"/>
  <c r="C93" i="12"/>
  <c r="B93" i="12"/>
  <c r="A93" i="12"/>
  <c r="BE92" i="12"/>
  <c r="BD92" i="12"/>
  <c r="BC92" i="12"/>
  <c r="BB92" i="12"/>
  <c r="AU92" i="12"/>
  <c r="AS92" i="12"/>
  <c r="AQ92" i="12"/>
  <c r="AP92" i="12"/>
  <c r="AO92" i="12"/>
  <c r="AN92" i="12"/>
  <c r="AM92" i="12"/>
  <c r="AL92" i="12"/>
  <c r="AK92" i="12"/>
  <c r="AG92" i="12"/>
  <c r="AD92" i="12"/>
  <c r="AC92" i="12"/>
  <c r="AA92" i="12"/>
  <c r="Z92" i="12"/>
  <c r="Y92" i="12"/>
  <c r="X92" i="12"/>
  <c r="W92" i="12"/>
  <c r="V92" i="12"/>
  <c r="U92" i="12"/>
  <c r="S92" i="12"/>
  <c r="P92" i="12"/>
  <c r="O92" i="12"/>
  <c r="N92" i="12"/>
  <c r="L92" i="12"/>
  <c r="K92" i="12"/>
  <c r="J92" i="12"/>
  <c r="I92" i="12"/>
  <c r="G92" i="12"/>
  <c r="F92" i="12"/>
  <c r="E92" i="12"/>
  <c r="D92" i="12"/>
  <c r="C92" i="12"/>
  <c r="B92" i="12"/>
  <c r="A92" i="12"/>
  <c r="BE91" i="12"/>
  <c r="BD91" i="12"/>
  <c r="BC91" i="12"/>
  <c r="BB91" i="12"/>
  <c r="AU91" i="12"/>
  <c r="AS91" i="12"/>
  <c r="AQ91" i="12"/>
  <c r="AN91" i="12"/>
  <c r="AL91" i="12"/>
  <c r="AK91" i="12"/>
  <c r="AH91" i="12"/>
  <c r="AG91" i="12"/>
  <c r="AD91" i="12"/>
  <c r="AC91" i="12"/>
  <c r="AA91" i="12"/>
  <c r="Z91" i="12"/>
  <c r="Y91" i="12"/>
  <c r="X91" i="12"/>
  <c r="W91" i="12"/>
  <c r="V91" i="12"/>
  <c r="U91" i="12"/>
  <c r="S91" i="12"/>
  <c r="P91" i="12"/>
  <c r="K91" i="12"/>
  <c r="J91" i="12"/>
  <c r="I91" i="12"/>
  <c r="G91" i="12"/>
  <c r="F91" i="12"/>
  <c r="D91" i="12"/>
  <c r="C91" i="12"/>
  <c r="B91" i="12"/>
  <c r="A91" i="12"/>
  <c r="BE90" i="12"/>
  <c r="BD90" i="12"/>
  <c r="BC90" i="12"/>
  <c r="BB90" i="12"/>
  <c r="AU90" i="12"/>
  <c r="AS90" i="12"/>
  <c r="AQ90" i="12"/>
  <c r="AN90" i="12"/>
  <c r="AL90" i="12"/>
  <c r="AK90" i="12"/>
  <c r="AG90" i="12"/>
  <c r="AD90" i="12"/>
  <c r="AA90" i="12"/>
  <c r="Z90" i="12"/>
  <c r="Y90" i="12"/>
  <c r="X90" i="12"/>
  <c r="W90" i="12"/>
  <c r="V90" i="12"/>
  <c r="U90" i="12"/>
  <c r="S90" i="12"/>
  <c r="P90" i="12"/>
  <c r="K90" i="12"/>
  <c r="J90" i="12"/>
  <c r="I90" i="12"/>
  <c r="G90" i="12"/>
  <c r="F90" i="12"/>
  <c r="D90" i="12"/>
  <c r="C90" i="12"/>
  <c r="B90" i="12"/>
  <c r="A90" i="12"/>
  <c r="BE89" i="12"/>
  <c r="BD89" i="12"/>
  <c r="BC89" i="12"/>
  <c r="BB89" i="12"/>
  <c r="AU89" i="12"/>
  <c r="AS89" i="12"/>
  <c r="AQ89" i="12"/>
  <c r="AN89" i="12"/>
  <c r="AL89" i="12"/>
  <c r="AK89" i="12"/>
  <c r="AH89" i="12"/>
  <c r="AG89" i="12"/>
  <c r="AD89" i="12"/>
  <c r="AC89" i="12"/>
  <c r="AA89" i="12"/>
  <c r="Z89" i="12"/>
  <c r="Y89" i="12"/>
  <c r="X89" i="12"/>
  <c r="W89" i="12"/>
  <c r="V89" i="12"/>
  <c r="U89" i="12"/>
  <c r="S89" i="12"/>
  <c r="P89" i="12"/>
  <c r="K89" i="12"/>
  <c r="J89" i="12"/>
  <c r="I89" i="12"/>
  <c r="G89" i="12"/>
  <c r="F89" i="12"/>
  <c r="D89" i="12"/>
  <c r="C89" i="12"/>
  <c r="B89" i="12"/>
  <c r="A89" i="12"/>
  <c r="BE88" i="12"/>
  <c r="BD88" i="12"/>
  <c r="BC88" i="12"/>
  <c r="BA88" i="12"/>
  <c r="AU88" i="12"/>
  <c r="AT88" i="12"/>
  <c r="AS88" i="12"/>
  <c r="AQ88" i="12"/>
  <c r="AP88" i="12"/>
  <c r="AO88" i="12"/>
  <c r="AN88" i="12"/>
  <c r="AL88" i="12"/>
  <c r="AK88" i="12"/>
  <c r="AH88" i="12"/>
  <c r="AG88" i="12"/>
  <c r="AD88" i="12"/>
  <c r="AC88" i="12"/>
  <c r="AB88" i="12"/>
  <c r="AA88" i="12"/>
  <c r="Z88" i="12"/>
  <c r="Y88" i="12"/>
  <c r="X88" i="12"/>
  <c r="W88" i="12"/>
  <c r="V88" i="12"/>
  <c r="U88" i="12"/>
  <c r="S88" i="12"/>
  <c r="P88" i="12"/>
  <c r="K88" i="12"/>
  <c r="J88" i="12"/>
  <c r="I88" i="12"/>
  <c r="G88" i="12"/>
  <c r="F88" i="12"/>
  <c r="E88" i="12"/>
  <c r="D88" i="12"/>
  <c r="C88" i="12"/>
  <c r="B88" i="12"/>
  <c r="A88" i="12"/>
  <c r="BE87" i="12"/>
  <c r="BD87" i="12"/>
  <c r="BC87" i="12"/>
  <c r="BB87" i="12"/>
  <c r="AU87" i="12"/>
  <c r="AS87" i="12"/>
  <c r="AQ87" i="12"/>
  <c r="AN87" i="12"/>
  <c r="AL87" i="12"/>
  <c r="AK87" i="12"/>
  <c r="AH87" i="12"/>
  <c r="AG87" i="12"/>
  <c r="AD87" i="12"/>
  <c r="AA87" i="12"/>
  <c r="Z87" i="12"/>
  <c r="Y87" i="12"/>
  <c r="X87" i="12"/>
  <c r="W87" i="12"/>
  <c r="V87" i="12"/>
  <c r="U87" i="12"/>
  <c r="S87" i="12"/>
  <c r="P87" i="12"/>
  <c r="K87" i="12"/>
  <c r="J87" i="12"/>
  <c r="I87" i="12"/>
  <c r="G87" i="12"/>
  <c r="F87" i="12"/>
  <c r="D87" i="12"/>
  <c r="C87" i="12"/>
  <c r="B87" i="12"/>
  <c r="A87" i="12"/>
  <c r="BE86" i="12"/>
  <c r="BD86" i="12"/>
  <c r="BC86" i="12"/>
  <c r="BA86" i="12"/>
  <c r="AU86" i="12"/>
  <c r="AS86" i="12"/>
  <c r="AQ86" i="12"/>
  <c r="AO86" i="12"/>
  <c r="AN86" i="12"/>
  <c r="AL86" i="12"/>
  <c r="AK86" i="12"/>
  <c r="AH86" i="12"/>
  <c r="AG86" i="12"/>
  <c r="AD86" i="12"/>
  <c r="AC86" i="12"/>
  <c r="AB86" i="12"/>
  <c r="AA86" i="12"/>
  <c r="Z86" i="12"/>
  <c r="Y86" i="12"/>
  <c r="X86" i="12"/>
  <c r="W86" i="12"/>
  <c r="V86" i="12"/>
  <c r="U86" i="12"/>
  <c r="T86" i="12"/>
  <c r="S86" i="12"/>
  <c r="P86" i="12"/>
  <c r="M86" i="12"/>
  <c r="L86" i="12"/>
  <c r="K86" i="12"/>
  <c r="J86" i="12"/>
  <c r="I86" i="12"/>
  <c r="G86" i="12"/>
  <c r="F86" i="12"/>
  <c r="E86" i="12"/>
  <c r="D86" i="12"/>
  <c r="C86" i="12"/>
  <c r="B86" i="12"/>
  <c r="A86" i="12"/>
  <c r="BE85" i="12"/>
  <c r="BD85" i="12"/>
  <c r="BC85" i="12"/>
  <c r="BA85" i="12"/>
  <c r="AU85" i="12"/>
  <c r="AS85" i="12"/>
  <c r="AQ85" i="12"/>
  <c r="AN85" i="12"/>
  <c r="AL85" i="12"/>
  <c r="AK85" i="12"/>
  <c r="AH85" i="12"/>
  <c r="AG85" i="12"/>
  <c r="AD85" i="12"/>
  <c r="AC85" i="12"/>
  <c r="AA85" i="12"/>
  <c r="Z85" i="12"/>
  <c r="Y85" i="12"/>
  <c r="X85" i="12"/>
  <c r="W85" i="12"/>
  <c r="V85" i="12"/>
  <c r="U85" i="12"/>
  <c r="T85" i="12"/>
  <c r="S85" i="12"/>
  <c r="P85" i="12"/>
  <c r="K85" i="12"/>
  <c r="J85" i="12"/>
  <c r="I85" i="12"/>
  <c r="G85" i="12"/>
  <c r="F85" i="12"/>
  <c r="E85" i="12"/>
  <c r="D85" i="12"/>
  <c r="C85" i="12"/>
  <c r="B85" i="12"/>
  <c r="A85" i="12"/>
  <c r="BE84" i="12"/>
  <c r="BD84" i="12"/>
  <c r="BC84" i="12"/>
  <c r="BB84" i="12"/>
  <c r="AU84" i="12"/>
  <c r="AS84" i="12"/>
  <c r="AQ84" i="12"/>
  <c r="AP84" i="12"/>
  <c r="AO84" i="12"/>
  <c r="AN84" i="12"/>
  <c r="AM84" i="12"/>
  <c r="AL84" i="12"/>
  <c r="AK84" i="12"/>
  <c r="AG84" i="12"/>
  <c r="AD84" i="12"/>
  <c r="AC84" i="12"/>
  <c r="AA84" i="12"/>
  <c r="Z84" i="12"/>
  <c r="Y84" i="12"/>
  <c r="X84" i="12"/>
  <c r="W84" i="12"/>
  <c r="V84" i="12"/>
  <c r="U84" i="12"/>
  <c r="S84" i="12"/>
  <c r="P84" i="12"/>
  <c r="O84" i="12"/>
  <c r="N84" i="12"/>
  <c r="L84" i="12"/>
  <c r="K84" i="12"/>
  <c r="J84" i="12"/>
  <c r="I84" i="12"/>
  <c r="G84" i="12"/>
  <c r="F84" i="12"/>
  <c r="E84" i="12"/>
  <c r="D84" i="12"/>
  <c r="C84" i="12"/>
  <c r="B84" i="12"/>
  <c r="A84" i="12"/>
  <c r="BD83" i="12"/>
  <c r="BC83" i="12"/>
  <c r="BA83" i="12"/>
  <c r="AU83" i="12"/>
  <c r="AR83" i="12"/>
  <c r="AL83" i="12"/>
  <c r="AK83" i="12"/>
  <c r="AH83" i="12"/>
  <c r="AG83" i="12"/>
  <c r="AC83" i="12"/>
  <c r="AB83" i="12"/>
  <c r="AA83" i="12"/>
  <c r="Z83" i="12"/>
  <c r="Y83" i="12"/>
  <c r="X83" i="12"/>
  <c r="W83" i="12"/>
  <c r="V83" i="12"/>
  <c r="U83" i="12"/>
  <c r="M83" i="12"/>
  <c r="L83" i="12"/>
  <c r="K83" i="12"/>
  <c r="J83" i="12"/>
  <c r="I83" i="12"/>
  <c r="H83" i="12"/>
  <c r="G83" i="12"/>
  <c r="F83" i="12"/>
  <c r="E83" i="12"/>
  <c r="D83" i="12"/>
  <c r="C83" i="12"/>
  <c r="B83" i="12"/>
  <c r="A83" i="12"/>
  <c r="BE82" i="12"/>
  <c r="BD82" i="12"/>
  <c r="BC82" i="12"/>
  <c r="BA82" i="12"/>
  <c r="AY82" i="12"/>
  <c r="AU82" i="12"/>
  <c r="AS82" i="12"/>
  <c r="AQ82" i="12"/>
  <c r="AP82" i="12"/>
  <c r="AO82" i="12"/>
  <c r="AN82" i="12"/>
  <c r="AL82" i="12"/>
  <c r="AK82" i="12"/>
  <c r="AH82" i="12"/>
  <c r="AG82" i="12"/>
  <c r="AD82" i="12"/>
  <c r="AC82" i="12"/>
  <c r="AB82" i="12"/>
  <c r="AA82" i="12"/>
  <c r="Z82" i="12"/>
  <c r="Y82" i="12"/>
  <c r="X82" i="12"/>
  <c r="W82" i="12"/>
  <c r="V82" i="12"/>
  <c r="U82" i="12"/>
  <c r="T82" i="12"/>
  <c r="S82" i="12"/>
  <c r="P82" i="12"/>
  <c r="K82" i="12"/>
  <c r="J82" i="12"/>
  <c r="I82" i="12"/>
  <c r="G82" i="12"/>
  <c r="F82" i="12"/>
  <c r="E82" i="12"/>
  <c r="D82" i="12"/>
  <c r="C82" i="12"/>
  <c r="B82" i="12"/>
  <c r="A82" i="12"/>
  <c r="BE81" i="12"/>
  <c r="BD81" i="12"/>
  <c r="BC81" i="12"/>
  <c r="AU81" i="12"/>
  <c r="AS81" i="12"/>
  <c r="AQ81" i="12"/>
  <c r="AN81" i="12"/>
  <c r="AL81" i="12"/>
  <c r="AK81" i="12"/>
  <c r="AH81" i="12"/>
  <c r="AG81" i="12"/>
  <c r="AD81" i="12"/>
  <c r="AC81" i="12"/>
  <c r="AB81" i="12"/>
  <c r="AA81" i="12"/>
  <c r="Z81" i="12"/>
  <c r="Y81" i="12"/>
  <c r="X81" i="12"/>
  <c r="W81" i="12"/>
  <c r="V81" i="12"/>
  <c r="U81" i="12"/>
  <c r="S81" i="12"/>
  <c r="P81" i="12"/>
  <c r="K81" i="12"/>
  <c r="J81" i="12"/>
  <c r="I81" i="12"/>
  <c r="G81" i="12"/>
  <c r="F81" i="12"/>
  <c r="E81" i="12"/>
  <c r="D81" i="12"/>
  <c r="C81" i="12"/>
  <c r="B81" i="12"/>
  <c r="A81" i="12"/>
  <c r="BD80" i="12"/>
  <c r="BC80" i="12"/>
  <c r="BA80" i="12"/>
  <c r="AU80" i="12"/>
  <c r="AK80" i="12"/>
  <c r="AD80" i="12"/>
  <c r="AC80" i="12"/>
  <c r="AB80" i="12"/>
  <c r="AA80" i="12"/>
  <c r="Z80" i="12"/>
  <c r="Y80" i="12"/>
  <c r="X80" i="12"/>
  <c r="V80" i="12"/>
  <c r="U80" i="12"/>
  <c r="T80" i="12"/>
  <c r="S80" i="12"/>
  <c r="P80" i="12"/>
  <c r="M80" i="12"/>
  <c r="L80" i="12"/>
  <c r="K80" i="12"/>
  <c r="J80" i="12"/>
  <c r="I80" i="12"/>
  <c r="G80" i="12"/>
  <c r="F80" i="12"/>
  <c r="D80" i="12"/>
  <c r="C80" i="12"/>
  <c r="B80" i="12"/>
  <c r="A80" i="12"/>
  <c r="BD79" i="12"/>
  <c r="BC79" i="12"/>
  <c r="BA79" i="12"/>
  <c r="AU79" i="12"/>
  <c r="AK79" i="12"/>
  <c r="AH79" i="12"/>
  <c r="AG79" i="12"/>
  <c r="AC79" i="12"/>
  <c r="AB79" i="12"/>
  <c r="AA79" i="12"/>
  <c r="Z79" i="12"/>
  <c r="Y79" i="12"/>
  <c r="X79" i="12"/>
  <c r="W79" i="12"/>
  <c r="V79" i="12"/>
  <c r="U79" i="12"/>
  <c r="M79" i="12"/>
  <c r="L79" i="12"/>
  <c r="K79" i="12"/>
  <c r="J79" i="12"/>
  <c r="I79" i="12"/>
  <c r="G79" i="12"/>
  <c r="F79" i="12"/>
  <c r="E79" i="12"/>
  <c r="D79" i="12"/>
  <c r="C79" i="12"/>
  <c r="B79" i="12"/>
  <c r="A79" i="12"/>
  <c r="BE78" i="12"/>
  <c r="BD78" i="12"/>
  <c r="BC78" i="12"/>
  <c r="BB78" i="12"/>
  <c r="AU78" i="12"/>
  <c r="AS78" i="12"/>
  <c r="AQ78" i="12"/>
  <c r="AN78" i="12"/>
  <c r="AL78" i="12"/>
  <c r="AK78" i="12"/>
  <c r="AG78" i="12"/>
  <c r="AD78" i="12"/>
  <c r="AA78" i="12"/>
  <c r="Z78" i="12"/>
  <c r="Y78" i="12"/>
  <c r="X78" i="12"/>
  <c r="W78" i="12"/>
  <c r="V78" i="12"/>
  <c r="U78" i="12"/>
  <c r="S78" i="12"/>
  <c r="P78" i="12"/>
  <c r="K78" i="12"/>
  <c r="J78" i="12"/>
  <c r="I78" i="12"/>
  <c r="G78" i="12"/>
  <c r="F78" i="12"/>
  <c r="D78" i="12"/>
  <c r="C78" i="12"/>
  <c r="B78" i="12"/>
  <c r="A78" i="12"/>
  <c r="BD77" i="12"/>
  <c r="BC77" i="12"/>
  <c r="BA77" i="12"/>
  <c r="AU77" i="12"/>
  <c r="AR77" i="12"/>
  <c r="AK77" i="12"/>
  <c r="AH77" i="12"/>
  <c r="AG77" i="12"/>
  <c r="Z77" i="12"/>
  <c r="X77" i="12"/>
  <c r="V77" i="12"/>
  <c r="K77" i="12"/>
  <c r="J77" i="12"/>
  <c r="I77" i="12"/>
  <c r="H77" i="12"/>
  <c r="G77" i="12"/>
  <c r="F77" i="12"/>
  <c r="E77" i="12"/>
  <c r="D77" i="12"/>
  <c r="C77" i="12"/>
  <c r="B77" i="12"/>
  <c r="A77" i="12"/>
  <c r="BE76" i="12"/>
  <c r="BD76" i="12"/>
  <c r="BC76" i="12"/>
  <c r="BA76" i="12"/>
  <c r="AY76" i="12"/>
  <c r="AU76" i="12"/>
  <c r="AS76" i="12"/>
  <c r="AQ76" i="12"/>
  <c r="AP76" i="12"/>
  <c r="AO76" i="12"/>
  <c r="AN76" i="12"/>
  <c r="AL76" i="12"/>
  <c r="AK76" i="12"/>
  <c r="AH76" i="12"/>
  <c r="AG76" i="12"/>
  <c r="AD76" i="12"/>
  <c r="AC76" i="12"/>
  <c r="AB76" i="12"/>
  <c r="AA76" i="12"/>
  <c r="Z76" i="12"/>
  <c r="Y76" i="12"/>
  <c r="X76" i="12"/>
  <c r="W76" i="12"/>
  <c r="V76" i="12"/>
  <c r="U76" i="12"/>
  <c r="T76" i="12"/>
  <c r="S76" i="12"/>
  <c r="P76" i="12"/>
  <c r="M76" i="12"/>
  <c r="L76" i="12"/>
  <c r="K76" i="12"/>
  <c r="J76" i="12"/>
  <c r="I76" i="12"/>
  <c r="G76" i="12"/>
  <c r="F76" i="12"/>
  <c r="E76" i="12"/>
  <c r="D76" i="12"/>
  <c r="C76" i="12"/>
  <c r="B76" i="12"/>
  <c r="A76" i="12"/>
  <c r="BD75" i="12"/>
  <c r="BC75" i="12"/>
  <c r="BA75" i="12"/>
  <c r="AU75" i="12"/>
  <c r="AK75" i="12"/>
  <c r="AH75" i="12"/>
  <c r="AG75" i="12"/>
  <c r="AC75" i="12"/>
  <c r="AB75" i="12"/>
  <c r="AA75" i="12"/>
  <c r="Z75" i="12"/>
  <c r="Y75" i="12"/>
  <c r="X75" i="12"/>
  <c r="W75" i="12"/>
  <c r="V75" i="12"/>
  <c r="U75" i="12"/>
  <c r="K75" i="12"/>
  <c r="J75" i="12"/>
  <c r="I75" i="12"/>
  <c r="G75" i="12"/>
  <c r="F75" i="12"/>
  <c r="E75" i="12"/>
  <c r="D75" i="12"/>
  <c r="C75" i="12"/>
  <c r="B75" i="12"/>
  <c r="A75" i="12"/>
  <c r="BD74" i="12"/>
  <c r="BC74" i="12"/>
  <c r="BA74" i="12"/>
  <c r="AU74" i="12"/>
  <c r="AN74" i="12"/>
  <c r="AK74" i="12"/>
  <c r="Z74" i="12"/>
  <c r="X74" i="12"/>
  <c r="V74" i="12"/>
  <c r="K74" i="12"/>
  <c r="J74" i="12"/>
  <c r="I74" i="12"/>
  <c r="G74" i="12"/>
  <c r="F74" i="12"/>
  <c r="E74" i="12"/>
  <c r="D74" i="12"/>
  <c r="C74" i="12"/>
  <c r="B74" i="12"/>
  <c r="A74" i="12"/>
  <c r="BE73" i="12"/>
  <c r="BD73" i="12"/>
  <c r="BC73" i="12"/>
  <c r="BB73" i="12"/>
  <c r="AU73" i="12"/>
  <c r="AS73" i="12"/>
  <c r="AQ73" i="12"/>
  <c r="AN73" i="12"/>
  <c r="AL73" i="12"/>
  <c r="AK73" i="12"/>
  <c r="AG73" i="12"/>
  <c r="AD73" i="12"/>
  <c r="AA73" i="12"/>
  <c r="Z73" i="12"/>
  <c r="Y73" i="12"/>
  <c r="X73" i="12"/>
  <c r="W73" i="12"/>
  <c r="V73" i="12"/>
  <c r="U73" i="12"/>
  <c r="S73" i="12"/>
  <c r="P73" i="12"/>
  <c r="K73" i="12"/>
  <c r="J73" i="12"/>
  <c r="I73" i="12"/>
  <c r="G73" i="12"/>
  <c r="F73" i="12"/>
  <c r="D73" i="12"/>
  <c r="C73" i="12"/>
  <c r="B73" i="12"/>
  <c r="A73" i="12"/>
  <c r="BD72" i="12"/>
  <c r="BC72" i="12"/>
  <c r="BA72" i="12"/>
  <c r="AU72" i="12"/>
  <c r="AK72" i="12"/>
  <c r="AH72" i="12"/>
  <c r="AG72" i="12"/>
  <c r="Z72" i="12"/>
  <c r="X72" i="12"/>
  <c r="V72" i="12"/>
  <c r="K72" i="12"/>
  <c r="I72" i="12"/>
  <c r="G72" i="12"/>
  <c r="F72" i="12"/>
  <c r="D72" i="12"/>
  <c r="C72" i="12"/>
  <c r="B72" i="12"/>
  <c r="A72" i="12"/>
  <c r="BD71" i="12"/>
  <c r="BC71" i="12"/>
  <c r="BA71" i="12"/>
  <c r="AU71" i="12"/>
  <c r="AR71" i="12"/>
  <c r="AK71" i="12"/>
  <c r="AH71" i="12"/>
  <c r="AG71" i="12"/>
  <c r="AC71" i="12"/>
  <c r="AB71" i="12"/>
  <c r="AA71" i="12"/>
  <c r="Z71" i="12"/>
  <c r="Y71" i="12"/>
  <c r="X71" i="12"/>
  <c r="W71" i="12"/>
  <c r="V71" i="12"/>
  <c r="U71" i="12"/>
  <c r="M71" i="12"/>
  <c r="L71" i="12"/>
  <c r="K71" i="12"/>
  <c r="J71" i="12"/>
  <c r="I71" i="12"/>
  <c r="H71" i="12"/>
  <c r="G71" i="12"/>
  <c r="F71" i="12"/>
  <c r="E71" i="12"/>
  <c r="D71" i="12"/>
  <c r="C71" i="12"/>
  <c r="B71" i="12"/>
  <c r="A71" i="12"/>
  <c r="BD70" i="12"/>
  <c r="BC70" i="12"/>
  <c r="BA70" i="12"/>
  <c r="AU70" i="12"/>
  <c r="AN70" i="12"/>
  <c r="AL70" i="12"/>
  <c r="AK70" i="12"/>
  <c r="Z70" i="12"/>
  <c r="X70" i="12"/>
  <c r="V70" i="12"/>
  <c r="K70" i="12"/>
  <c r="G70" i="12"/>
  <c r="F70" i="12"/>
  <c r="D70" i="12"/>
  <c r="C70" i="12"/>
  <c r="B70" i="12"/>
  <c r="A70" i="12"/>
  <c r="BD69" i="12"/>
  <c r="BC69" i="12"/>
  <c r="BA69" i="12"/>
  <c r="AU69" i="12"/>
  <c r="AN69" i="12"/>
  <c r="AL69" i="12"/>
  <c r="AK69" i="12"/>
  <c r="AH69" i="12"/>
  <c r="AG69" i="12"/>
  <c r="Z69" i="12"/>
  <c r="X69" i="12"/>
  <c r="K69" i="12"/>
  <c r="J69" i="12"/>
  <c r="I69" i="12"/>
  <c r="G69" i="12"/>
  <c r="F69" i="12"/>
  <c r="E69" i="12"/>
  <c r="D69" i="12"/>
  <c r="C69" i="12"/>
  <c r="B69" i="12"/>
  <c r="A69" i="12"/>
  <c r="BE68" i="12"/>
  <c r="BD68" i="12"/>
  <c r="BC68" i="12"/>
  <c r="BA68" i="12"/>
  <c r="AU68" i="12"/>
  <c r="AS68" i="12"/>
  <c r="AQ68" i="12"/>
  <c r="AO68" i="12"/>
  <c r="AN68" i="12"/>
  <c r="AL68" i="12"/>
  <c r="AK68" i="12"/>
  <c r="AH68" i="12"/>
  <c r="AG68" i="12"/>
  <c r="AD68" i="12"/>
  <c r="AC68" i="12"/>
  <c r="AB68" i="12"/>
  <c r="AA68" i="12"/>
  <c r="Z68" i="12"/>
  <c r="Y68" i="12"/>
  <c r="X68" i="12"/>
  <c r="W68" i="12"/>
  <c r="V68" i="12"/>
  <c r="U68" i="12"/>
  <c r="S68" i="12"/>
  <c r="P68" i="12"/>
  <c r="M68" i="12"/>
  <c r="L68" i="12"/>
  <c r="K68" i="12"/>
  <c r="J68" i="12"/>
  <c r="I68" i="12"/>
  <c r="G68" i="12"/>
  <c r="F68" i="12"/>
  <c r="E68" i="12"/>
  <c r="D68" i="12"/>
  <c r="C68" i="12"/>
  <c r="B68" i="12"/>
  <c r="A68" i="12"/>
  <c r="BD67" i="12"/>
  <c r="BC67" i="12"/>
  <c r="BA67" i="12"/>
  <c r="AU67" i="12"/>
  <c r="AR67" i="12"/>
  <c r="AK67" i="12"/>
  <c r="AH67" i="12"/>
  <c r="AG67" i="12"/>
  <c r="AC67" i="12"/>
  <c r="AB67" i="12"/>
  <c r="AA67" i="12"/>
  <c r="Z67" i="12"/>
  <c r="Y67" i="12"/>
  <c r="X67" i="12"/>
  <c r="W67" i="12"/>
  <c r="V67" i="12"/>
  <c r="U67" i="12"/>
  <c r="M67" i="12"/>
  <c r="L67" i="12"/>
  <c r="K67" i="12"/>
  <c r="J67" i="12"/>
  <c r="I67" i="12"/>
  <c r="H67" i="12"/>
  <c r="G67" i="12"/>
  <c r="F67" i="12"/>
  <c r="E67" i="12"/>
  <c r="D67" i="12"/>
  <c r="C67" i="12"/>
  <c r="B67" i="12"/>
  <c r="A67" i="12"/>
  <c r="BE66" i="12"/>
  <c r="BD66" i="12"/>
  <c r="BC66" i="12"/>
  <c r="BA66" i="12"/>
  <c r="AY66" i="12"/>
  <c r="AU66" i="12"/>
  <c r="AT66" i="12"/>
  <c r="AS66" i="12"/>
  <c r="AQ66" i="12"/>
  <c r="AP66" i="12"/>
  <c r="AO66" i="12"/>
  <c r="AN66" i="12"/>
  <c r="AL66" i="12"/>
  <c r="AK66" i="12"/>
  <c r="AH66" i="12"/>
  <c r="AG66" i="12"/>
  <c r="AD66" i="12"/>
  <c r="AC66" i="12"/>
  <c r="AB66" i="12"/>
  <c r="AA66" i="12"/>
  <c r="Z66" i="12"/>
  <c r="Y66" i="12"/>
  <c r="X66" i="12"/>
  <c r="W66" i="12"/>
  <c r="V66" i="12"/>
  <c r="U66" i="12"/>
  <c r="T66" i="12"/>
  <c r="S66" i="12"/>
  <c r="P66" i="12"/>
  <c r="M66" i="12"/>
  <c r="L66" i="12"/>
  <c r="K66" i="12"/>
  <c r="J66" i="12"/>
  <c r="I66" i="12"/>
  <c r="G66" i="12"/>
  <c r="F66" i="12"/>
  <c r="E66" i="12"/>
  <c r="D66" i="12"/>
  <c r="C66" i="12"/>
  <c r="B66" i="12"/>
  <c r="A66" i="12"/>
  <c r="BE65" i="12"/>
  <c r="BD65" i="12"/>
  <c r="BC65" i="12"/>
  <c r="BA65" i="12"/>
  <c r="AU65" i="12"/>
  <c r="AS65" i="12"/>
  <c r="AQ65" i="12"/>
  <c r="AP65" i="12"/>
  <c r="AO65" i="12"/>
  <c r="AN65" i="12"/>
  <c r="AL65" i="12"/>
  <c r="AK65" i="12"/>
  <c r="AH65" i="12"/>
  <c r="AG65" i="12"/>
  <c r="AD65" i="12"/>
  <c r="AC65" i="12"/>
  <c r="AB65" i="12"/>
  <c r="AA65" i="12"/>
  <c r="Z65" i="12"/>
  <c r="Y65" i="12"/>
  <c r="X65" i="12"/>
  <c r="W65" i="12"/>
  <c r="V65" i="12"/>
  <c r="U65" i="12"/>
  <c r="T65" i="12"/>
  <c r="S65" i="12"/>
  <c r="P65" i="12"/>
  <c r="M65" i="12"/>
  <c r="L65" i="12"/>
  <c r="K65" i="12"/>
  <c r="J65" i="12"/>
  <c r="I65" i="12"/>
  <c r="G65" i="12"/>
  <c r="F65" i="12"/>
  <c r="E65" i="12"/>
  <c r="D65" i="12"/>
  <c r="C65" i="12"/>
  <c r="B65" i="12"/>
  <c r="A65" i="12"/>
  <c r="BE64" i="12"/>
  <c r="BD64" i="12"/>
  <c r="BC64" i="12"/>
  <c r="BA64" i="12"/>
  <c r="AU64" i="12"/>
  <c r="AS64" i="12"/>
  <c r="AQ64" i="12"/>
  <c r="AN64" i="12"/>
  <c r="AL64" i="12"/>
  <c r="AK64" i="12"/>
  <c r="AH64" i="12"/>
  <c r="AG64" i="12"/>
  <c r="AD64" i="12"/>
  <c r="AC64" i="12"/>
  <c r="AB64" i="12"/>
  <c r="AA64" i="12"/>
  <c r="Z64" i="12"/>
  <c r="Y64" i="12"/>
  <c r="X64" i="12"/>
  <c r="W64" i="12"/>
  <c r="V64" i="12"/>
  <c r="U64" i="12"/>
  <c r="T64" i="12"/>
  <c r="S64" i="12"/>
  <c r="P64" i="12"/>
  <c r="M64" i="12"/>
  <c r="L64" i="12"/>
  <c r="K64" i="12"/>
  <c r="J64" i="12"/>
  <c r="I64" i="12"/>
  <c r="G64" i="12"/>
  <c r="F64" i="12"/>
  <c r="E64" i="12"/>
  <c r="D64" i="12"/>
  <c r="C64" i="12"/>
  <c r="B64" i="12"/>
  <c r="A64" i="12"/>
  <c r="BE63" i="12"/>
  <c r="BD63" i="12"/>
  <c r="BC63" i="12"/>
  <c r="BA63" i="12"/>
  <c r="AU63" i="12"/>
  <c r="AT63" i="12"/>
  <c r="AS63" i="12"/>
  <c r="AQ63" i="12"/>
  <c r="AP63" i="12"/>
  <c r="AO63" i="12"/>
  <c r="AN63" i="12"/>
  <c r="AL63" i="12"/>
  <c r="AK63" i="12"/>
  <c r="AH63" i="12"/>
  <c r="AG63" i="12"/>
  <c r="AD63" i="12"/>
  <c r="AC63" i="12"/>
  <c r="AB63" i="12"/>
  <c r="AA63" i="12"/>
  <c r="Z63" i="12"/>
  <c r="Y63" i="12"/>
  <c r="X63" i="12"/>
  <c r="W63" i="12"/>
  <c r="V63" i="12"/>
  <c r="U63" i="12"/>
  <c r="T63" i="12"/>
  <c r="S63" i="12"/>
  <c r="P63" i="12"/>
  <c r="M63" i="12"/>
  <c r="L63" i="12"/>
  <c r="K63" i="12"/>
  <c r="J63" i="12"/>
  <c r="I63" i="12"/>
  <c r="G63" i="12"/>
  <c r="F63" i="12"/>
  <c r="E63" i="12"/>
  <c r="D63" i="12"/>
  <c r="C63" i="12"/>
  <c r="B63" i="12"/>
  <c r="A63" i="12"/>
  <c r="BE62" i="12"/>
  <c r="BD62" i="12"/>
  <c r="BC62" i="12"/>
  <c r="BA62" i="12"/>
  <c r="AU62" i="12"/>
  <c r="AS62" i="12"/>
  <c r="AQ62" i="12"/>
  <c r="AN62" i="12"/>
  <c r="AL62" i="12"/>
  <c r="AK62" i="12"/>
  <c r="AH62" i="12"/>
  <c r="AG62" i="12"/>
  <c r="AD62" i="12"/>
  <c r="AC62" i="12"/>
  <c r="AB62" i="12"/>
  <c r="AA62" i="12"/>
  <c r="Z62" i="12"/>
  <c r="Y62" i="12"/>
  <c r="X62" i="12"/>
  <c r="W62" i="12"/>
  <c r="V62" i="12"/>
  <c r="U62" i="12"/>
  <c r="S62" i="12"/>
  <c r="P62" i="12"/>
  <c r="M62" i="12"/>
  <c r="L62" i="12"/>
  <c r="K62" i="12"/>
  <c r="J62" i="12"/>
  <c r="I62" i="12"/>
  <c r="G62" i="12"/>
  <c r="F62" i="12"/>
  <c r="E62" i="12"/>
  <c r="D62" i="12"/>
  <c r="C62" i="12"/>
  <c r="B62" i="12"/>
  <c r="A62" i="12"/>
  <c r="BE61" i="12"/>
  <c r="BD61" i="12"/>
  <c r="BC61" i="12"/>
  <c r="BA61" i="12"/>
  <c r="AU61" i="12"/>
  <c r="AS61" i="12"/>
  <c r="AQ61" i="12"/>
  <c r="AN61" i="12"/>
  <c r="AL61" i="12"/>
  <c r="AK61" i="12"/>
  <c r="AD61" i="12"/>
  <c r="AC61" i="12"/>
  <c r="AB61" i="12"/>
  <c r="AA61" i="12"/>
  <c r="Z61" i="12"/>
  <c r="Y61" i="12"/>
  <c r="X61" i="12"/>
  <c r="W61" i="12"/>
  <c r="V61" i="12"/>
  <c r="U61" i="12"/>
  <c r="T61" i="12"/>
  <c r="S61" i="12"/>
  <c r="P61" i="12"/>
  <c r="M61" i="12"/>
  <c r="L61" i="12"/>
  <c r="K61" i="12"/>
  <c r="J61" i="12"/>
  <c r="I61" i="12"/>
  <c r="G61" i="12"/>
  <c r="F61" i="12"/>
  <c r="E61" i="12"/>
  <c r="D61" i="12"/>
  <c r="C61" i="12"/>
  <c r="B61" i="12"/>
  <c r="A61" i="12"/>
  <c r="BE60" i="12"/>
  <c r="BD60" i="12"/>
  <c r="BC60" i="12"/>
  <c r="BA60" i="12"/>
  <c r="AU60" i="12"/>
  <c r="AT60" i="12"/>
  <c r="AS60" i="12"/>
  <c r="AQ60" i="12"/>
  <c r="AP60" i="12"/>
  <c r="AO60" i="12"/>
  <c r="AN60" i="12"/>
  <c r="AL60" i="12"/>
  <c r="AK60" i="12"/>
  <c r="AH60" i="12"/>
  <c r="AG60" i="12"/>
  <c r="AD60" i="12"/>
  <c r="AC60" i="12"/>
  <c r="AB60" i="12"/>
  <c r="AA60" i="12"/>
  <c r="Z60" i="12"/>
  <c r="Y60" i="12"/>
  <c r="X60" i="12"/>
  <c r="W60" i="12"/>
  <c r="V60" i="12"/>
  <c r="U60" i="12"/>
  <c r="T60" i="12"/>
  <c r="S60" i="12"/>
  <c r="P60" i="12"/>
  <c r="K60" i="12"/>
  <c r="J60" i="12"/>
  <c r="I60" i="12"/>
  <c r="G60" i="12"/>
  <c r="F60" i="12"/>
  <c r="E60" i="12"/>
  <c r="D60" i="12"/>
  <c r="C60" i="12"/>
  <c r="B60" i="12"/>
  <c r="A60" i="12"/>
  <c r="BE59" i="12"/>
  <c r="BD59" i="12"/>
  <c r="BC59" i="12"/>
  <c r="BA59" i="12"/>
  <c r="AU59" i="12"/>
  <c r="AS59" i="12"/>
  <c r="AQ59" i="12"/>
  <c r="AO59" i="12"/>
  <c r="AN59" i="12"/>
  <c r="AL59" i="12"/>
  <c r="AK59" i="12"/>
  <c r="AH59" i="12"/>
  <c r="AG59" i="12"/>
  <c r="AD59" i="12"/>
  <c r="AC59" i="12"/>
  <c r="AB59" i="12"/>
  <c r="AA59" i="12"/>
  <c r="Z59" i="12"/>
  <c r="Y59" i="12"/>
  <c r="X59" i="12"/>
  <c r="W59" i="12"/>
  <c r="V59" i="12"/>
  <c r="U59" i="12"/>
  <c r="T59" i="12"/>
  <c r="S59" i="12"/>
  <c r="P59" i="12"/>
  <c r="M59" i="12"/>
  <c r="L59" i="12"/>
  <c r="K59" i="12"/>
  <c r="J59" i="12"/>
  <c r="I59" i="12"/>
  <c r="G59" i="12"/>
  <c r="F59" i="12"/>
  <c r="E59" i="12"/>
  <c r="D59" i="12"/>
  <c r="C59" i="12"/>
  <c r="B59" i="12"/>
  <c r="A59" i="12"/>
  <c r="BD58" i="12"/>
  <c r="BC58" i="12"/>
  <c r="BA58" i="12"/>
  <c r="AU58" i="12"/>
  <c r="AK58" i="12"/>
  <c r="AH58" i="12"/>
  <c r="AG58" i="12"/>
  <c r="AA58" i="12"/>
  <c r="Z58" i="12"/>
  <c r="X58" i="12"/>
  <c r="K58" i="12"/>
  <c r="J58" i="12"/>
  <c r="I58" i="12"/>
  <c r="G58" i="12"/>
  <c r="F58" i="12"/>
  <c r="E58" i="12"/>
  <c r="D58" i="12"/>
  <c r="C58" i="12"/>
  <c r="B58" i="12"/>
  <c r="A58" i="12"/>
  <c r="BE57" i="12"/>
  <c r="BD57" i="12"/>
  <c r="BC57" i="12"/>
  <c r="BA57" i="12"/>
  <c r="AU57" i="12"/>
  <c r="AS57" i="12"/>
  <c r="AQ57" i="12"/>
  <c r="AN57" i="12"/>
  <c r="AL57" i="12"/>
  <c r="AK57" i="12"/>
  <c r="AH57" i="12"/>
  <c r="AG57" i="12"/>
  <c r="AD57" i="12"/>
  <c r="AC57" i="12"/>
  <c r="AB57" i="12"/>
  <c r="AA57" i="12"/>
  <c r="Z57" i="12"/>
  <c r="Y57" i="12"/>
  <c r="X57" i="12"/>
  <c r="W57" i="12"/>
  <c r="V57" i="12"/>
  <c r="U57" i="12"/>
  <c r="S57" i="12"/>
  <c r="P57" i="12"/>
  <c r="K57" i="12"/>
  <c r="J57" i="12"/>
  <c r="I57" i="12"/>
  <c r="G57" i="12"/>
  <c r="F57" i="12"/>
  <c r="E57" i="12"/>
  <c r="D57" i="12"/>
  <c r="C57" i="12"/>
  <c r="B57" i="12"/>
  <c r="A57" i="12"/>
  <c r="BE56" i="12"/>
  <c r="BD56" i="12"/>
  <c r="BC56" i="12"/>
  <c r="BA56" i="12"/>
  <c r="AU56" i="12"/>
  <c r="AS56" i="12"/>
  <c r="AQ56" i="12"/>
  <c r="AN56" i="12"/>
  <c r="AL56" i="12"/>
  <c r="AK56" i="12"/>
  <c r="AD56" i="12"/>
  <c r="AC56" i="12"/>
  <c r="AB56" i="12"/>
  <c r="AA56" i="12"/>
  <c r="Z56" i="12"/>
  <c r="Y56" i="12"/>
  <c r="X56" i="12"/>
  <c r="W56" i="12"/>
  <c r="V56" i="12"/>
  <c r="U56" i="12"/>
  <c r="T56" i="12"/>
  <c r="S56" i="12"/>
  <c r="P56" i="12"/>
  <c r="K56" i="12"/>
  <c r="J56" i="12"/>
  <c r="I56" i="12"/>
  <c r="G56" i="12"/>
  <c r="F56" i="12"/>
  <c r="E56" i="12"/>
  <c r="D56" i="12"/>
  <c r="C56" i="12"/>
  <c r="B56" i="12"/>
  <c r="A56" i="12"/>
  <c r="BE55" i="12"/>
  <c r="BD55" i="12"/>
  <c r="BC55" i="12"/>
  <c r="BB55" i="12"/>
  <c r="AU55" i="12"/>
  <c r="AS55" i="12"/>
  <c r="AQ55" i="12"/>
  <c r="AN55" i="12"/>
  <c r="AL55" i="12"/>
  <c r="AK55" i="12"/>
  <c r="AH55" i="12"/>
  <c r="AG55" i="12"/>
  <c r="AD55" i="12"/>
  <c r="AA55" i="12"/>
  <c r="Z55" i="12"/>
  <c r="Y55" i="12"/>
  <c r="X55" i="12"/>
  <c r="W55" i="12"/>
  <c r="V55" i="12"/>
  <c r="U55" i="12"/>
  <c r="S55" i="12"/>
  <c r="P55" i="12"/>
  <c r="K55" i="12"/>
  <c r="J55" i="12"/>
  <c r="I55" i="12"/>
  <c r="G55" i="12"/>
  <c r="F55" i="12"/>
  <c r="E55" i="12"/>
  <c r="D55" i="12"/>
  <c r="C55" i="12"/>
  <c r="B55" i="12"/>
  <c r="A55" i="12"/>
  <c r="BE54" i="12"/>
  <c r="BD54" i="12"/>
  <c r="BC54" i="12"/>
  <c r="BA54" i="12"/>
  <c r="AU54" i="12"/>
  <c r="AS54" i="12"/>
  <c r="AQ54" i="12"/>
  <c r="AN54" i="12"/>
  <c r="AL54" i="12"/>
  <c r="AK54" i="12"/>
  <c r="AD54" i="12"/>
  <c r="AB54" i="12"/>
  <c r="AA54" i="12"/>
  <c r="Z54" i="12"/>
  <c r="Y54" i="12"/>
  <c r="X54" i="12"/>
  <c r="W54" i="12"/>
  <c r="V54" i="12"/>
  <c r="U54" i="12"/>
  <c r="T54" i="12"/>
  <c r="S54" i="12"/>
  <c r="P54" i="12"/>
  <c r="M54" i="12"/>
  <c r="L54" i="12"/>
  <c r="K54" i="12"/>
  <c r="J54" i="12"/>
  <c r="I54" i="12"/>
  <c r="G54" i="12"/>
  <c r="F54" i="12"/>
  <c r="E54" i="12"/>
  <c r="D54" i="12"/>
  <c r="C54" i="12"/>
  <c r="B54" i="12"/>
  <c r="A54" i="12"/>
  <c r="BE53" i="12"/>
  <c r="BD53" i="12"/>
  <c r="BC53" i="12"/>
  <c r="BA53" i="12"/>
  <c r="AU53" i="12"/>
  <c r="AS53" i="12"/>
  <c r="AQ53" i="12"/>
  <c r="AN53" i="12"/>
  <c r="AL53" i="12"/>
  <c r="AK53" i="12"/>
  <c r="AD53" i="12"/>
  <c r="AC53" i="12"/>
  <c r="AB53" i="12"/>
  <c r="AA53" i="12"/>
  <c r="Z53" i="12"/>
  <c r="Y53" i="12"/>
  <c r="X53" i="12"/>
  <c r="W53" i="12"/>
  <c r="V53" i="12"/>
  <c r="U53" i="12"/>
  <c r="T53" i="12"/>
  <c r="S53" i="12"/>
  <c r="P53" i="12"/>
  <c r="M53" i="12"/>
  <c r="L53" i="12"/>
  <c r="K53" i="12"/>
  <c r="J53" i="12"/>
  <c r="I53" i="12"/>
  <c r="G53" i="12"/>
  <c r="F53" i="12"/>
  <c r="E53" i="12"/>
  <c r="D53" i="12"/>
  <c r="C53" i="12"/>
  <c r="B53" i="12"/>
  <c r="A53" i="12"/>
  <c r="BD52" i="12"/>
  <c r="BC52" i="12"/>
  <c r="BA52" i="12"/>
  <c r="AU52" i="12"/>
  <c r="AK52" i="12"/>
  <c r="AD52" i="12"/>
  <c r="AC52" i="12"/>
  <c r="AB52" i="12"/>
  <c r="AA52" i="12"/>
  <c r="Z52" i="12"/>
  <c r="Y52" i="12"/>
  <c r="X52" i="12"/>
  <c r="V52" i="12"/>
  <c r="U52" i="12"/>
  <c r="T52" i="12"/>
  <c r="S52" i="12"/>
  <c r="P52" i="12"/>
  <c r="K52" i="12"/>
  <c r="J52" i="12"/>
  <c r="I52" i="12"/>
  <c r="G52" i="12"/>
  <c r="F52" i="12"/>
  <c r="D52" i="12"/>
  <c r="C52" i="12"/>
  <c r="B52" i="12"/>
  <c r="A52" i="12"/>
  <c r="BD51" i="12"/>
  <c r="BC51" i="12"/>
  <c r="BA51" i="12"/>
  <c r="AU51" i="12"/>
  <c r="AK51" i="12"/>
  <c r="AD51" i="12"/>
  <c r="AC51" i="12"/>
  <c r="AB51" i="12"/>
  <c r="AA51" i="12"/>
  <c r="Z51" i="12"/>
  <c r="Y51" i="12"/>
  <c r="X51" i="12"/>
  <c r="W51" i="12"/>
  <c r="V51" i="12"/>
  <c r="U51" i="12"/>
  <c r="T51" i="12"/>
  <c r="S51" i="12"/>
  <c r="P51" i="12"/>
  <c r="K51" i="12"/>
  <c r="J51" i="12"/>
  <c r="I51" i="12"/>
  <c r="G51" i="12"/>
  <c r="F51" i="12"/>
  <c r="D51" i="12"/>
  <c r="C51" i="12"/>
  <c r="B51" i="12"/>
  <c r="A51" i="12"/>
  <c r="BD50" i="12"/>
  <c r="BC50" i="12"/>
  <c r="BA50" i="12"/>
  <c r="AU50" i="12"/>
  <c r="AK50" i="12"/>
  <c r="AH50" i="12"/>
  <c r="AG50" i="12"/>
  <c r="AC50" i="12"/>
  <c r="AA50" i="12"/>
  <c r="Z50" i="12"/>
  <c r="Y50" i="12"/>
  <c r="X50" i="12"/>
  <c r="W50" i="12"/>
  <c r="V50" i="12"/>
  <c r="U50" i="12"/>
  <c r="M50" i="12"/>
  <c r="L50" i="12"/>
  <c r="K50" i="12"/>
  <c r="J50" i="12"/>
  <c r="I50" i="12"/>
  <c r="G50" i="12"/>
  <c r="F50" i="12"/>
  <c r="E50" i="12"/>
  <c r="D50" i="12"/>
  <c r="C50" i="12"/>
  <c r="B50" i="12"/>
  <c r="A50" i="12"/>
  <c r="BE49" i="12"/>
  <c r="BD49" i="12"/>
  <c r="BC49" i="12"/>
  <c r="BA49" i="12"/>
  <c r="AU49" i="12"/>
  <c r="AS49" i="12"/>
  <c r="AQ49" i="12"/>
  <c r="AN49" i="12"/>
  <c r="AL49" i="12"/>
  <c r="AK49" i="12"/>
  <c r="AD49" i="12"/>
  <c r="AB49" i="12"/>
  <c r="AA49" i="12"/>
  <c r="Z49" i="12"/>
  <c r="Y49" i="12"/>
  <c r="X49" i="12"/>
  <c r="W49" i="12"/>
  <c r="V49" i="12"/>
  <c r="U49" i="12"/>
  <c r="T49" i="12"/>
  <c r="S49" i="12"/>
  <c r="P49" i="12"/>
  <c r="M49" i="12"/>
  <c r="L49" i="12"/>
  <c r="K49" i="12"/>
  <c r="J49" i="12"/>
  <c r="I49" i="12"/>
  <c r="G49" i="12"/>
  <c r="F49" i="12"/>
  <c r="E49" i="12"/>
  <c r="D49" i="12"/>
  <c r="C49" i="12"/>
  <c r="B49" i="12"/>
  <c r="A49" i="12"/>
  <c r="BE48" i="12"/>
  <c r="BD48" i="12"/>
  <c r="BC48" i="12"/>
  <c r="BA48" i="12"/>
  <c r="AU48" i="12"/>
  <c r="AS48" i="12"/>
  <c r="AQ48" i="12"/>
  <c r="AN48" i="12"/>
  <c r="AL48" i="12"/>
  <c r="AK48" i="12"/>
  <c r="AH48" i="12"/>
  <c r="AG48" i="12"/>
  <c r="AD48" i="12"/>
  <c r="AC48" i="12"/>
  <c r="AB48" i="12"/>
  <c r="AA48" i="12"/>
  <c r="Z48" i="12"/>
  <c r="Y48" i="12"/>
  <c r="X48" i="12"/>
  <c r="W48" i="12"/>
  <c r="V48" i="12"/>
  <c r="U48" i="12"/>
  <c r="T48" i="12"/>
  <c r="S48" i="12"/>
  <c r="P48" i="12"/>
  <c r="M48" i="12"/>
  <c r="L48" i="12"/>
  <c r="K48" i="12"/>
  <c r="J48" i="12"/>
  <c r="I48" i="12"/>
  <c r="G48" i="12"/>
  <c r="F48" i="12"/>
  <c r="E48" i="12"/>
  <c r="D48" i="12"/>
  <c r="C48" i="12"/>
  <c r="B48" i="12"/>
  <c r="A48" i="12"/>
  <c r="BD47" i="12"/>
  <c r="BC47" i="12"/>
  <c r="BA47" i="12"/>
  <c r="AU47" i="12"/>
  <c r="AK47" i="12"/>
  <c r="AH47" i="12"/>
  <c r="AG47" i="12"/>
  <c r="AC47" i="12"/>
  <c r="AB47" i="12"/>
  <c r="AA47" i="12"/>
  <c r="Z47" i="12"/>
  <c r="Y47" i="12"/>
  <c r="X47" i="12"/>
  <c r="W47" i="12"/>
  <c r="V47" i="12"/>
  <c r="U47" i="12"/>
  <c r="M47" i="12"/>
  <c r="L47" i="12"/>
  <c r="K47" i="12"/>
  <c r="G47" i="12"/>
  <c r="F47" i="12"/>
  <c r="D47" i="12"/>
  <c r="C47" i="12"/>
  <c r="B47" i="12"/>
  <c r="A47" i="12"/>
  <c r="BD46" i="12"/>
  <c r="BC46" i="12"/>
  <c r="BA46" i="12"/>
  <c r="AU46" i="12"/>
  <c r="AK46" i="12"/>
  <c r="AC46" i="12"/>
  <c r="AA46" i="12"/>
  <c r="Z46" i="12"/>
  <c r="Y46" i="12"/>
  <c r="X46" i="12"/>
  <c r="W46" i="12"/>
  <c r="V46" i="12"/>
  <c r="U46" i="12"/>
  <c r="M46" i="12"/>
  <c r="L46" i="12"/>
  <c r="K46" i="12"/>
  <c r="J46" i="12"/>
  <c r="I46" i="12"/>
  <c r="G46" i="12"/>
  <c r="F46" i="12"/>
  <c r="E46" i="12"/>
  <c r="D46" i="12"/>
  <c r="C46" i="12"/>
  <c r="B46" i="12"/>
  <c r="A46" i="12"/>
  <c r="BE45" i="12"/>
  <c r="BD45" i="12"/>
  <c r="BC45" i="12"/>
  <c r="BA45" i="12"/>
  <c r="AY45" i="12"/>
  <c r="AU45" i="12"/>
  <c r="AT45" i="12"/>
  <c r="AS45" i="12"/>
  <c r="AQ45" i="12"/>
  <c r="AP45" i="12"/>
  <c r="AO45" i="12"/>
  <c r="AN45" i="12"/>
  <c r="AL45" i="12"/>
  <c r="AK45" i="12"/>
  <c r="AH45" i="12"/>
  <c r="AG45" i="12"/>
  <c r="AD45" i="12"/>
  <c r="AC45" i="12"/>
  <c r="AB45" i="12"/>
  <c r="AA45" i="12"/>
  <c r="Z45" i="12"/>
  <c r="Y45" i="12"/>
  <c r="X45" i="12"/>
  <c r="W45" i="12"/>
  <c r="V45" i="12"/>
  <c r="U45" i="12"/>
  <c r="S45" i="12"/>
  <c r="P45" i="12"/>
  <c r="M45" i="12"/>
  <c r="L45" i="12"/>
  <c r="K45" i="12"/>
  <c r="J45" i="12"/>
  <c r="I45" i="12"/>
  <c r="G45" i="12"/>
  <c r="F45" i="12"/>
  <c r="E45" i="12"/>
  <c r="D45" i="12"/>
  <c r="C45" i="12"/>
  <c r="B45" i="12"/>
  <c r="A45" i="12"/>
  <c r="BE44" i="12"/>
  <c r="BD44" i="12"/>
  <c r="BC44" i="12"/>
  <c r="BA44" i="12"/>
  <c r="AU44" i="12"/>
  <c r="AS44" i="12"/>
  <c r="AQ44" i="12"/>
  <c r="AN44" i="12"/>
  <c r="AL44" i="12"/>
  <c r="AK44" i="12"/>
  <c r="AD44" i="12"/>
  <c r="AB44" i="12"/>
  <c r="AA44" i="12"/>
  <c r="Z44" i="12"/>
  <c r="Y44" i="12"/>
  <c r="X44" i="12"/>
  <c r="W44" i="12"/>
  <c r="V44" i="12"/>
  <c r="U44" i="12"/>
  <c r="T44" i="12"/>
  <c r="S44" i="12"/>
  <c r="P44" i="12"/>
  <c r="K44" i="12"/>
  <c r="J44" i="12"/>
  <c r="I44" i="12"/>
  <c r="G44" i="12"/>
  <c r="F44" i="12"/>
  <c r="E44" i="12"/>
  <c r="D44" i="12"/>
  <c r="C44" i="12"/>
  <c r="B44" i="12"/>
  <c r="A44" i="12"/>
  <c r="BE43" i="12"/>
  <c r="BD43" i="12"/>
  <c r="BC43" i="12"/>
  <c r="BA43" i="12"/>
  <c r="AU43" i="12"/>
  <c r="AS43" i="12"/>
  <c r="AQ43" i="12"/>
  <c r="AN43" i="12"/>
  <c r="AL43" i="12"/>
  <c r="AK43" i="12"/>
  <c r="AD43" i="12"/>
  <c r="AC43" i="12"/>
  <c r="AB43" i="12"/>
  <c r="AA43" i="12"/>
  <c r="Z43" i="12"/>
  <c r="Y43" i="12"/>
  <c r="X43" i="12"/>
  <c r="W43" i="12"/>
  <c r="V43" i="12"/>
  <c r="U43" i="12"/>
  <c r="T43" i="12"/>
  <c r="S43" i="12"/>
  <c r="P43" i="12"/>
  <c r="M43" i="12"/>
  <c r="L43" i="12"/>
  <c r="K43" i="12"/>
  <c r="J43" i="12"/>
  <c r="I43" i="12"/>
  <c r="G43" i="12"/>
  <c r="F43" i="12"/>
  <c r="E43" i="12"/>
  <c r="D43" i="12"/>
  <c r="C43" i="12"/>
  <c r="B43" i="12"/>
  <c r="A43" i="12"/>
  <c r="BD42" i="12"/>
  <c r="BC42" i="12"/>
  <c r="BA42" i="12"/>
  <c r="AU42" i="12"/>
  <c r="AK42" i="12"/>
  <c r="AC42" i="12"/>
  <c r="AB42" i="12"/>
  <c r="AA42" i="12"/>
  <c r="Z42" i="12"/>
  <c r="Y42" i="12"/>
  <c r="X42" i="12"/>
  <c r="W42" i="12"/>
  <c r="V42" i="12"/>
  <c r="U42" i="12"/>
  <c r="K42" i="12"/>
  <c r="J42" i="12"/>
  <c r="I42" i="12"/>
  <c r="G42" i="12"/>
  <c r="F42" i="12"/>
  <c r="E42" i="12"/>
  <c r="D42" i="12"/>
  <c r="C42" i="12"/>
  <c r="B42" i="12"/>
  <c r="A42" i="12"/>
  <c r="BE41" i="12"/>
  <c r="BD41" i="12"/>
  <c r="BC41" i="12"/>
  <c r="BA41" i="12"/>
  <c r="AU41" i="12"/>
  <c r="AS41" i="12"/>
  <c r="AQ41" i="12"/>
  <c r="AN41" i="12"/>
  <c r="AL41" i="12"/>
  <c r="AK41" i="12"/>
  <c r="AD41" i="12"/>
  <c r="AC41" i="12"/>
  <c r="AB41" i="12"/>
  <c r="AA41" i="12"/>
  <c r="Z41" i="12"/>
  <c r="Y41" i="12"/>
  <c r="X41" i="12"/>
  <c r="W41" i="12"/>
  <c r="V41" i="12"/>
  <c r="U41" i="12"/>
  <c r="T41" i="12"/>
  <c r="S41" i="12"/>
  <c r="P41" i="12"/>
  <c r="M41" i="12"/>
  <c r="L41" i="12"/>
  <c r="K41" i="12"/>
  <c r="J41" i="12"/>
  <c r="I41" i="12"/>
  <c r="G41" i="12"/>
  <c r="F41" i="12"/>
  <c r="E41" i="12"/>
  <c r="D41" i="12"/>
  <c r="C41" i="12"/>
  <c r="B41" i="12"/>
  <c r="A41" i="12"/>
  <c r="BE40" i="12"/>
  <c r="BD40" i="12"/>
  <c r="BC40" i="12"/>
  <c r="BA40" i="12"/>
  <c r="AU40" i="12"/>
  <c r="AS40" i="12"/>
  <c r="AQ40" i="12"/>
  <c r="AN40" i="12"/>
  <c r="AL40" i="12"/>
  <c r="AK40" i="12"/>
  <c r="AD40" i="12"/>
  <c r="AC40" i="12"/>
  <c r="AB40" i="12"/>
  <c r="AA40" i="12"/>
  <c r="Z40" i="12"/>
  <c r="Y40" i="12"/>
  <c r="X40" i="12"/>
  <c r="W40" i="12"/>
  <c r="V40" i="12"/>
  <c r="U40" i="12"/>
  <c r="T40" i="12"/>
  <c r="S40" i="12"/>
  <c r="P40" i="12"/>
  <c r="K40" i="12"/>
  <c r="J40" i="12"/>
  <c r="I40" i="12"/>
  <c r="G40" i="12"/>
  <c r="F40" i="12"/>
  <c r="E40" i="12"/>
  <c r="D40" i="12"/>
  <c r="C40" i="12"/>
  <c r="B40" i="12"/>
  <c r="A40" i="12"/>
  <c r="BD39" i="12"/>
  <c r="BC39" i="12"/>
  <c r="BA39" i="12"/>
  <c r="AU39" i="12"/>
  <c r="AO39" i="12"/>
  <c r="AK39" i="12"/>
  <c r="AH39" i="12"/>
  <c r="AG39" i="12"/>
  <c r="AC39" i="12"/>
  <c r="AB39" i="12"/>
  <c r="AA39" i="12"/>
  <c r="Z39" i="12"/>
  <c r="Y39" i="12"/>
  <c r="X39" i="12"/>
  <c r="W39" i="12"/>
  <c r="V39" i="12"/>
  <c r="U39" i="12"/>
  <c r="M39" i="12"/>
  <c r="L39" i="12"/>
  <c r="K39" i="12"/>
  <c r="J39" i="12"/>
  <c r="I39" i="12"/>
  <c r="G39" i="12"/>
  <c r="F39" i="12"/>
  <c r="E39" i="12"/>
  <c r="D39" i="12"/>
  <c r="C39" i="12"/>
  <c r="B39" i="12"/>
  <c r="A39" i="12"/>
  <c r="BE38" i="12"/>
  <c r="BD38" i="12"/>
  <c r="BC38" i="12"/>
  <c r="BA38" i="12"/>
  <c r="AU38" i="12"/>
  <c r="AS38" i="12"/>
  <c r="AQ38" i="12"/>
  <c r="AN38" i="12"/>
  <c r="AL38" i="12"/>
  <c r="AK38" i="12"/>
  <c r="AD38" i="12"/>
  <c r="AC38" i="12"/>
  <c r="AB38" i="12"/>
  <c r="AA38" i="12"/>
  <c r="Z38" i="12"/>
  <c r="Y38" i="12"/>
  <c r="X38" i="12"/>
  <c r="W38" i="12"/>
  <c r="V38" i="12"/>
  <c r="U38" i="12"/>
  <c r="T38" i="12"/>
  <c r="S38" i="12"/>
  <c r="P38" i="12"/>
  <c r="K38" i="12"/>
  <c r="J38" i="12"/>
  <c r="I38" i="12"/>
  <c r="G38" i="12"/>
  <c r="F38" i="12"/>
  <c r="E38" i="12"/>
  <c r="D38" i="12"/>
  <c r="C38" i="12"/>
  <c r="B38" i="12"/>
  <c r="A38" i="12"/>
  <c r="BE37" i="12"/>
  <c r="BD37" i="12"/>
  <c r="BC37" i="12"/>
  <c r="BA37" i="12"/>
  <c r="AU37" i="12"/>
  <c r="AS37" i="12"/>
  <c r="AQ37" i="12"/>
  <c r="AN37" i="12"/>
  <c r="AL37" i="12"/>
  <c r="AK37" i="12"/>
  <c r="AD37" i="12"/>
  <c r="AC37" i="12"/>
  <c r="AB37" i="12"/>
  <c r="AA37" i="12"/>
  <c r="Z37" i="12"/>
  <c r="Y37" i="12"/>
  <c r="X37" i="12"/>
  <c r="W37" i="12"/>
  <c r="V37" i="12"/>
  <c r="U37" i="12"/>
  <c r="T37" i="12"/>
  <c r="S37" i="12"/>
  <c r="P37" i="12"/>
  <c r="K37" i="12"/>
  <c r="J37" i="12"/>
  <c r="I37" i="12"/>
  <c r="G37" i="12"/>
  <c r="F37" i="12"/>
  <c r="E37" i="12"/>
  <c r="D37" i="12"/>
  <c r="C37" i="12"/>
  <c r="B37" i="12"/>
  <c r="A37" i="12"/>
  <c r="BE36" i="12"/>
  <c r="BD36" i="12"/>
  <c r="BC36" i="12"/>
  <c r="BA36" i="12"/>
  <c r="AU36" i="12"/>
  <c r="AS36" i="12"/>
  <c r="AQ36" i="12"/>
  <c r="AN36" i="12"/>
  <c r="AL36" i="12"/>
  <c r="AK36" i="12"/>
  <c r="AD36" i="12"/>
  <c r="AC36" i="12"/>
  <c r="AB36" i="12"/>
  <c r="AA36" i="12"/>
  <c r="Z36" i="12"/>
  <c r="Y36" i="12"/>
  <c r="X36" i="12"/>
  <c r="W36" i="12"/>
  <c r="V36" i="12"/>
  <c r="U36" i="12"/>
  <c r="T36" i="12"/>
  <c r="S36" i="12"/>
  <c r="P36" i="12"/>
  <c r="M36" i="12"/>
  <c r="L36" i="12"/>
  <c r="K36" i="12"/>
  <c r="J36" i="12"/>
  <c r="I36" i="12"/>
  <c r="G36" i="12"/>
  <c r="F36" i="12"/>
  <c r="E36" i="12"/>
  <c r="D36" i="12"/>
  <c r="C36" i="12"/>
  <c r="B36" i="12"/>
  <c r="A36" i="12"/>
  <c r="BE35" i="12"/>
  <c r="BD35" i="12"/>
  <c r="BC35" i="12"/>
  <c r="BA35" i="12"/>
  <c r="AU35" i="12"/>
  <c r="AS35" i="12"/>
  <c r="AQ35" i="12"/>
  <c r="AN35" i="12"/>
  <c r="AL35" i="12"/>
  <c r="AK35" i="12"/>
  <c r="AD35" i="12"/>
  <c r="AC35" i="12"/>
  <c r="AB35" i="12"/>
  <c r="AA35" i="12"/>
  <c r="Z35" i="12"/>
  <c r="Y35" i="12"/>
  <c r="X35" i="12"/>
  <c r="W35" i="12"/>
  <c r="V35" i="12"/>
  <c r="U35" i="12"/>
  <c r="T35" i="12"/>
  <c r="S35" i="12"/>
  <c r="P35" i="12"/>
  <c r="K35" i="12"/>
  <c r="J35" i="12"/>
  <c r="I35" i="12"/>
  <c r="G35" i="12"/>
  <c r="F35" i="12"/>
  <c r="E35" i="12"/>
  <c r="D35" i="12"/>
  <c r="C35" i="12"/>
  <c r="B35" i="12"/>
  <c r="A35" i="12"/>
  <c r="BE34" i="12"/>
  <c r="BD34" i="12"/>
  <c r="BC34" i="12"/>
  <c r="BA34" i="12"/>
  <c r="AU34" i="12"/>
  <c r="AS34" i="12"/>
  <c r="AQ34" i="12"/>
  <c r="AN34" i="12"/>
  <c r="AL34" i="12"/>
  <c r="AK34" i="12"/>
  <c r="AH34" i="12"/>
  <c r="AG34" i="12"/>
  <c r="AD34" i="12"/>
  <c r="AC34" i="12"/>
  <c r="AB34" i="12"/>
  <c r="AA34" i="12"/>
  <c r="Z34" i="12"/>
  <c r="Y34" i="12"/>
  <c r="X34" i="12"/>
  <c r="W34" i="12"/>
  <c r="V34" i="12"/>
  <c r="U34" i="12"/>
  <c r="T34" i="12"/>
  <c r="S34" i="12"/>
  <c r="P34" i="12"/>
  <c r="M34" i="12"/>
  <c r="L34" i="12"/>
  <c r="K34" i="12"/>
  <c r="J34" i="12"/>
  <c r="I34" i="12"/>
  <c r="G34" i="12"/>
  <c r="F34" i="12"/>
  <c r="E34" i="12"/>
  <c r="D34" i="12"/>
  <c r="C34" i="12"/>
  <c r="B34" i="12"/>
  <c r="A34" i="12"/>
  <c r="BE33" i="12"/>
  <c r="BD33" i="12"/>
  <c r="BC33" i="12"/>
  <c r="BA33" i="12"/>
  <c r="AU33" i="12"/>
  <c r="AS33" i="12"/>
  <c r="AQ33" i="12"/>
  <c r="AN33" i="12"/>
  <c r="AL33" i="12"/>
  <c r="AK33" i="12"/>
  <c r="AH33" i="12"/>
  <c r="AG33" i="12"/>
  <c r="AD33" i="12"/>
  <c r="AC33" i="12"/>
  <c r="AB33" i="12"/>
  <c r="AA33" i="12"/>
  <c r="Z33" i="12"/>
  <c r="Y33" i="12"/>
  <c r="X33" i="12"/>
  <c r="W33" i="12"/>
  <c r="V33" i="12"/>
  <c r="U33" i="12"/>
  <c r="S33" i="12"/>
  <c r="P33" i="12"/>
  <c r="K33" i="12"/>
  <c r="J33" i="12"/>
  <c r="I33" i="12"/>
  <c r="G33" i="12"/>
  <c r="F33" i="12"/>
  <c r="E33" i="12"/>
  <c r="D33" i="12"/>
  <c r="C33" i="12"/>
  <c r="B33" i="12"/>
  <c r="A33" i="12"/>
  <c r="BD32" i="12"/>
  <c r="BC32" i="12"/>
  <c r="BA32" i="12"/>
  <c r="AU32" i="12"/>
  <c r="AN32" i="12"/>
  <c r="AL32" i="12"/>
  <c r="AK32" i="12"/>
  <c r="AD32" i="12"/>
  <c r="Z32" i="12"/>
  <c r="X32" i="12"/>
  <c r="V32" i="12"/>
  <c r="T32" i="12"/>
  <c r="S32" i="12"/>
  <c r="P32" i="12"/>
  <c r="K32" i="12"/>
  <c r="J32" i="12"/>
  <c r="I32" i="12"/>
  <c r="G32" i="12"/>
  <c r="F32" i="12"/>
  <c r="E32" i="12"/>
  <c r="D32" i="12"/>
  <c r="C32" i="12"/>
  <c r="B32" i="12"/>
  <c r="A32" i="12"/>
  <c r="BE31" i="12"/>
  <c r="BD31" i="12"/>
  <c r="BC31" i="12"/>
  <c r="BA31" i="12"/>
  <c r="AU31" i="12"/>
  <c r="AS31" i="12"/>
  <c r="AQ31" i="12"/>
  <c r="AN31" i="12"/>
  <c r="AL31" i="12"/>
  <c r="AK31" i="12"/>
  <c r="AH31" i="12"/>
  <c r="AG31" i="12"/>
  <c r="AD31" i="12"/>
  <c r="AC31" i="12"/>
  <c r="AB31" i="12"/>
  <c r="AA31" i="12"/>
  <c r="Z31" i="12"/>
  <c r="Y31" i="12"/>
  <c r="X31" i="12"/>
  <c r="W31" i="12"/>
  <c r="V31" i="12"/>
  <c r="U31" i="12"/>
  <c r="S31" i="12"/>
  <c r="P31" i="12"/>
  <c r="K31" i="12"/>
  <c r="J31" i="12"/>
  <c r="I31" i="12"/>
  <c r="G31" i="12"/>
  <c r="F31" i="12"/>
  <c r="E31" i="12"/>
  <c r="D31" i="12"/>
  <c r="C31" i="12"/>
  <c r="B31" i="12"/>
  <c r="A31" i="12"/>
  <c r="BE30" i="12"/>
  <c r="BD30" i="12"/>
  <c r="BC30" i="12"/>
  <c r="BA30" i="12"/>
  <c r="AU30" i="12"/>
  <c r="AS30" i="12"/>
  <c r="AQ30" i="12"/>
  <c r="AO30" i="12"/>
  <c r="AN30" i="12"/>
  <c r="AL30" i="12"/>
  <c r="AK30" i="12"/>
  <c r="AH30" i="12"/>
  <c r="AG30" i="12"/>
  <c r="AD30" i="12"/>
  <c r="AC30" i="12"/>
  <c r="AB30" i="12"/>
  <c r="AA30" i="12"/>
  <c r="Z30" i="12"/>
  <c r="Y30" i="12"/>
  <c r="X30" i="12"/>
  <c r="W30" i="12"/>
  <c r="V30" i="12"/>
  <c r="U30" i="12"/>
  <c r="T30" i="12"/>
  <c r="S30" i="12"/>
  <c r="P30" i="12"/>
  <c r="K30" i="12"/>
  <c r="J30" i="12"/>
  <c r="I30" i="12"/>
  <c r="G30" i="12"/>
  <c r="F30" i="12"/>
  <c r="E30" i="12"/>
  <c r="D30" i="12"/>
  <c r="C30" i="12"/>
  <c r="B30" i="12"/>
  <c r="A30" i="12"/>
  <c r="BD29" i="12"/>
  <c r="BC29" i="12"/>
  <c r="BA29" i="12"/>
  <c r="AU29" i="12"/>
  <c r="AK29" i="12"/>
  <c r="AC29" i="12"/>
  <c r="AA29" i="12"/>
  <c r="Z29" i="12"/>
  <c r="Y29" i="12"/>
  <c r="X29" i="12"/>
  <c r="W29" i="12"/>
  <c r="V29" i="12"/>
  <c r="U29" i="12"/>
  <c r="K29" i="12"/>
  <c r="J29" i="12"/>
  <c r="I29" i="12"/>
  <c r="G29" i="12"/>
  <c r="F29" i="12"/>
  <c r="E29" i="12"/>
  <c r="D29" i="12"/>
  <c r="C29" i="12"/>
  <c r="B29" i="12"/>
  <c r="A29" i="12"/>
  <c r="BD28" i="12"/>
  <c r="BC28" i="12"/>
  <c r="BA28" i="12"/>
  <c r="AU28" i="12"/>
  <c r="AK28" i="12"/>
  <c r="Z28" i="12"/>
  <c r="X28" i="12"/>
  <c r="K28" i="12"/>
  <c r="G28" i="12"/>
  <c r="F28" i="12"/>
  <c r="D28" i="12"/>
  <c r="C28" i="12"/>
  <c r="B28" i="12"/>
  <c r="A28" i="12"/>
  <c r="BD27" i="12"/>
  <c r="BC27" i="12"/>
  <c r="BA27" i="12"/>
  <c r="AU27" i="12"/>
  <c r="AK27" i="12"/>
  <c r="Z27" i="12"/>
  <c r="X27" i="12"/>
  <c r="K27" i="12"/>
  <c r="G27" i="12"/>
  <c r="F27" i="12"/>
  <c r="D27" i="12"/>
  <c r="C27" i="12"/>
  <c r="B27" i="12"/>
  <c r="A27" i="12"/>
  <c r="BE26" i="12"/>
  <c r="BD26" i="12"/>
  <c r="BC26" i="12"/>
  <c r="BA26" i="12"/>
  <c r="AU26" i="12"/>
  <c r="AS26" i="12"/>
  <c r="AQ26" i="12"/>
  <c r="AN26" i="12"/>
  <c r="AL26" i="12"/>
  <c r="AK26" i="12"/>
  <c r="AD26" i="12"/>
  <c r="AC26" i="12"/>
  <c r="AB26" i="12"/>
  <c r="AA26" i="12"/>
  <c r="Z26" i="12"/>
  <c r="Y26" i="12"/>
  <c r="X26" i="12"/>
  <c r="W26" i="12"/>
  <c r="V26" i="12"/>
  <c r="U26" i="12"/>
  <c r="T26" i="12"/>
  <c r="S26" i="12"/>
  <c r="P26" i="12"/>
  <c r="K26" i="12"/>
  <c r="J26" i="12"/>
  <c r="I26" i="12"/>
  <c r="G26" i="12"/>
  <c r="F26" i="12"/>
  <c r="E26" i="12"/>
  <c r="D26" i="12"/>
  <c r="C26" i="12"/>
  <c r="B26" i="12"/>
  <c r="A26" i="12"/>
  <c r="BE25" i="12"/>
  <c r="BD25" i="12"/>
  <c r="BC25" i="12"/>
  <c r="BA25" i="12"/>
  <c r="AY25" i="12"/>
  <c r="AU25" i="12"/>
  <c r="AS25" i="12"/>
  <c r="AQ25" i="12"/>
  <c r="AP25" i="12"/>
  <c r="AO25" i="12"/>
  <c r="AN25" i="12"/>
  <c r="AL25" i="12"/>
  <c r="AK25" i="12"/>
  <c r="AH25" i="12"/>
  <c r="AG25" i="12"/>
  <c r="AD25" i="12"/>
  <c r="AC25" i="12"/>
  <c r="AA25" i="12"/>
  <c r="Z25" i="12"/>
  <c r="Y25" i="12"/>
  <c r="X25" i="12"/>
  <c r="W25" i="12"/>
  <c r="V25" i="12"/>
  <c r="U25" i="12"/>
  <c r="S25" i="12"/>
  <c r="P25" i="12"/>
  <c r="K25" i="12"/>
  <c r="J25" i="12"/>
  <c r="I25" i="12"/>
  <c r="G25" i="12"/>
  <c r="F25" i="12"/>
  <c r="E25" i="12"/>
  <c r="D25" i="12"/>
  <c r="C25" i="12"/>
  <c r="B25" i="12"/>
  <c r="A25" i="12"/>
  <c r="BD24" i="12"/>
  <c r="BC24" i="12"/>
  <c r="BA24" i="12"/>
  <c r="AU24" i="12"/>
  <c r="AK24" i="12"/>
  <c r="AH24" i="12"/>
  <c r="AG24" i="12"/>
  <c r="Z24" i="12"/>
  <c r="X24" i="12"/>
  <c r="K24" i="12"/>
  <c r="G24" i="12"/>
  <c r="F24" i="12"/>
  <c r="D24" i="12"/>
  <c r="C24" i="12"/>
  <c r="B24" i="12"/>
  <c r="A24" i="12"/>
  <c r="BE23" i="12"/>
  <c r="BD23" i="12"/>
  <c r="BC23" i="12"/>
  <c r="BA23" i="12"/>
  <c r="AU23" i="12"/>
  <c r="AS23" i="12"/>
  <c r="AQ23" i="12"/>
  <c r="AN23" i="12"/>
  <c r="AL23" i="12"/>
  <c r="AK23" i="12"/>
  <c r="AD23" i="12"/>
  <c r="AC23" i="12"/>
  <c r="AB23" i="12"/>
  <c r="AA23" i="12"/>
  <c r="Z23" i="12"/>
  <c r="Y23" i="12"/>
  <c r="X23" i="12"/>
  <c r="W23" i="12"/>
  <c r="V23" i="12"/>
  <c r="U23" i="12"/>
  <c r="T23" i="12"/>
  <c r="S23" i="12"/>
  <c r="P23" i="12"/>
  <c r="K23" i="12"/>
  <c r="J23" i="12"/>
  <c r="I23" i="12"/>
  <c r="G23" i="12"/>
  <c r="F23" i="12"/>
  <c r="E23" i="12"/>
  <c r="D23" i="12"/>
  <c r="C23" i="12"/>
  <c r="B23" i="12"/>
  <c r="A23" i="12"/>
  <c r="BE22" i="12"/>
  <c r="BD22" i="12"/>
  <c r="BC22" i="12"/>
  <c r="BA22" i="12"/>
  <c r="AU22" i="12"/>
  <c r="AS22" i="12"/>
  <c r="AQ22" i="12"/>
  <c r="AN22" i="12"/>
  <c r="AL22" i="12"/>
  <c r="AK22" i="12"/>
  <c r="AH22" i="12"/>
  <c r="AG22" i="12"/>
  <c r="AD22" i="12"/>
  <c r="AC22" i="12"/>
  <c r="AB22" i="12"/>
  <c r="AA22" i="12"/>
  <c r="Z22" i="12"/>
  <c r="Y22" i="12"/>
  <c r="X22" i="12"/>
  <c r="W22" i="12"/>
  <c r="V22" i="12"/>
  <c r="U22" i="12"/>
  <c r="S22" i="12"/>
  <c r="P22" i="12"/>
  <c r="K22" i="12"/>
  <c r="J22" i="12"/>
  <c r="I22" i="12"/>
  <c r="G22" i="12"/>
  <c r="F22" i="12"/>
  <c r="E22" i="12"/>
  <c r="D22" i="12"/>
  <c r="C22" i="12"/>
  <c r="B22" i="12"/>
  <c r="A22" i="12"/>
  <c r="BD21" i="12"/>
  <c r="BC21" i="12"/>
  <c r="BA21" i="12"/>
  <c r="AU21" i="12"/>
  <c r="AK21" i="12"/>
  <c r="AH21" i="12"/>
  <c r="AG21" i="12"/>
  <c r="AC21" i="12"/>
  <c r="AB21" i="12"/>
  <c r="AA21" i="12"/>
  <c r="Z21" i="12"/>
  <c r="Y21" i="12"/>
  <c r="X21" i="12"/>
  <c r="W21" i="12"/>
  <c r="V21" i="12"/>
  <c r="U21" i="12"/>
  <c r="K21" i="12"/>
  <c r="J21" i="12"/>
  <c r="I21" i="12"/>
  <c r="G21" i="12"/>
  <c r="F21" i="12"/>
  <c r="E21" i="12"/>
  <c r="D21" i="12"/>
  <c r="C21" i="12"/>
  <c r="B21" i="12"/>
  <c r="A21" i="12"/>
  <c r="BD20" i="12"/>
  <c r="BC20" i="12"/>
  <c r="BA20" i="12"/>
  <c r="AU20" i="12"/>
  <c r="AK20" i="12"/>
  <c r="AH20" i="12"/>
  <c r="AG20" i="12"/>
  <c r="X20" i="12"/>
  <c r="V20" i="12"/>
  <c r="K20" i="12"/>
  <c r="J20" i="12"/>
  <c r="I20" i="12"/>
  <c r="G20" i="12"/>
  <c r="F20" i="12"/>
  <c r="E20" i="12"/>
  <c r="D20" i="12"/>
  <c r="C20" i="12"/>
  <c r="B20" i="12"/>
  <c r="A20" i="12"/>
  <c r="BE19" i="12"/>
  <c r="BD19" i="12"/>
  <c r="BC19" i="12"/>
  <c r="BA19" i="12"/>
  <c r="AU19" i="12"/>
  <c r="AS19" i="12"/>
  <c r="AQ19" i="12"/>
  <c r="AN19" i="12"/>
  <c r="AL19" i="12"/>
  <c r="AK19" i="12"/>
  <c r="AD19" i="12"/>
  <c r="AC19" i="12"/>
  <c r="AB19" i="12"/>
  <c r="AA19" i="12"/>
  <c r="Y19" i="12"/>
  <c r="X19" i="12"/>
  <c r="V19" i="12"/>
  <c r="U19" i="12"/>
  <c r="T19" i="12"/>
  <c r="S19" i="12"/>
  <c r="P19" i="12"/>
  <c r="K19" i="12"/>
  <c r="J19" i="12"/>
  <c r="I19" i="12"/>
  <c r="G19" i="12"/>
  <c r="F19" i="12"/>
  <c r="E19" i="12"/>
  <c r="D19" i="12"/>
  <c r="C19" i="12"/>
  <c r="B19" i="12"/>
  <c r="A19" i="12"/>
  <c r="BE18" i="12"/>
  <c r="BD18" i="12"/>
  <c r="BC18" i="12"/>
  <c r="BB18" i="12"/>
  <c r="AU18" i="12"/>
  <c r="AS18" i="12"/>
  <c r="AQ18" i="12"/>
  <c r="AN18" i="12"/>
  <c r="AL18" i="12"/>
  <c r="AK18" i="12"/>
  <c r="AH18" i="12"/>
  <c r="AG18" i="12"/>
  <c r="AD18" i="12"/>
  <c r="AB18" i="12"/>
  <c r="AA18" i="12"/>
  <c r="Z18" i="12"/>
  <c r="Y18" i="12"/>
  <c r="X18" i="12"/>
  <c r="W18" i="12"/>
  <c r="V18" i="12"/>
  <c r="U18" i="12"/>
  <c r="T18" i="12"/>
  <c r="S18" i="12"/>
  <c r="P18" i="12"/>
  <c r="K18" i="12"/>
  <c r="J18" i="12"/>
  <c r="I18" i="12"/>
  <c r="G18" i="12"/>
  <c r="F18" i="12"/>
  <c r="E18" i="12"/>
  <c r="D18" i="12"/>
  <c r="C18" i="12"/>
  <c r="B18" i="12"/>
  <c r="A18" i="12"/>
  <c r="BE17" i="12"/>
  <c r="BD17" i="12"/>
  <c r="BC17" i="12"/>
  <c r="BA17" i="12"/>
  <c r="AU17" i="12"/>
  <c r="AS17" i="12"/>
  <c r="AQ17" i="12"/>
  <c r="AN17" i="12"/>
  <c r="AL17" i="12"/>
  <c r="AK17" i="12"/>
  <c r="AD17" i="12"/>
  <c r="AC17" i="12"/>
  <c r="AB17" i="12"/>
  <c r="AA17" i="12"/>
  <c r="Z17" i="12"/>
  <c r="Y17" i="12"/>
  <c r="X17" i="12"/>
  <c r="W17" i="12"/>
  <c r="V17" i="12"/>
  <c r="U17" i="12"/>
  <c r="T17" i="12"/>
  <c r="S17" i="12"/>
  <c r="P17" i="12"/>
  <c r="K17" i="12"/>
  <c r="J17" i="12"/>
  <c r="I17" i="12"/>
  <c r="G17" i="12"/>
  <c r="F17" i="12"/>
  <c r="E17" i="12"/>
  <c r="D17" i="12"/>
  <c r="C17" i="12"/>
  <c r="B17" i="12"/>
  <c r="A17" i="12"/>
  <c r="BD16" i="12"/>
  <c r="BC16" i="12"/>
  <c r="BA16" i="12"/>
  <c r="AU16" i="12"/>
  <c r="AK16" i="12"/>
  <c r="Z16" i="12"/>
  <c r="X16" i="12"/>
  <c r="V16" i="12"/>
  <c r="K16" i="12"/>
  <c r="G16" i="12"/>
  <c r="F16" i="12"/>
  <c r="D16" i="12"/>
  <c r="C16" i="12"/>
  <c r="B16" i="12"/>
  <c r="A16" i="12"/>
  <c r="BE15" i="12"/>
  <c r="BD15" i="12"/>
  <c r="BC15" i="12"/>
  <c r="BA15" i="12"/>
  <c r="AU15" i="12"/>
  <c r="AS15" i="12"/>
  <c r="AQ15" i="12"/>
  <c r="AN15" i="12"/>
  <c r="AL15" i="12"/>
  <c r="AK15" i="12"/>
  <c r="AD15" i="12"/>
  <c r="AC15" i="12"/>
  <c r="AB15" i="12"/>
  <c r="AA15" i="12"/>
  <c r="Z15" i="12"/>
  <c r="Y15" i="12"/>
  <c r="X15" i="12"/>
  <c r="W15" i="12"/>
  <c r="V15" i="12"/>
  <c r="U15" i="12"/>
  <c r="T15" i="12"/>
  <c r="S15" i="12"/>
  <c r="P15" i="12"/>
  <c r="K15" i="12"/>
  <c r="J15" i="12"/>
  <c r="I15" i="12"/>
  <c r="G15" i="12"/>
  <c r="F15" i="12"/>
  <c r="E15" i="12"/>
  <c r="D15" i="12"/>
  <c r="C15" i="12"/>
  <c r="B15" i="12"/>
  <c r="A15" i="12"/>
  <c r="BD14" i="12"/>
  <c r="BC14" i="12"/>
  <c r="BA14" i="12"/>
  <c r="AU14" i="12"/>
  <c r="AK14" i="12"/>
  <c r="AC14" i="12"/>
  <c r="AB14" i="12"/>
  <c r="AA14" i="12"/>
  <c r="Z14" i="12"/>
  <c r="Y14" i="12"/>
  <c r="X14" i="12"/>
  <c r="W14" i="12"/>
  <c r="V14" i="12"/>
  <c r="U14" i="12"/>
  <c r="K14" i="12"/>
  <c r="J14" i="12"/>
  <c r="I14" i="12"/>
  <c r="G14" i="12"/>
  <c r="F14" i="12"/>
  <c r="E14" i="12"/>
  <c r="D14" i="12"/>
  <c r="C14" i="12"/>
  <c r="B14" i="12"/>
  <c r="A14" i="12"/>
  <c r="BD13" i="12"/>
  <c r="BC13" i="12"/>
  <c r="BA13" i="12"/>
  <c r="AU13" i="12"/>
  <c r="AK13" i="12"/>
  <c r="Z13" i="12"/>
  <c r="X13" i="12"/>
  <c r="V13" i="12"/>
  <c r="K13" i="12"/>
  <c r="G13" i="12"/>
  <c r="F13" i="12"/>
  <c r="D13" i="12"/>
  <c r="C13" i="12"/>
  <c r="B13" i="12"/>
  <c r="A13" i="12"/>
  <c r="BD12" i="12"/>
  <c r="BC12" i="12"/>
  <c r="AZ12" i="12"/>
  <c r="AU12" i="12"/>
  <c r="AN12" i="12"/>
  <c r="AK12" i="12"/>
  <c r="AH12" i="12"/>
  <c r="AG12" i="12"/>
  <c r="AC12" i="12"/>
  <c r="Z12" i="12"/>
  <c r="X12" i="12"/>
  <c r="V12" i="12"/>
  <c r="K12" i="12"/>
  <c r="G12" i="12"/>
  <c r="F12" i="12"/>
  <c r="D12" i="12"/>
  <c r="C12" i="12"/>
  <c r="B12" i="12"/>
  <c r="A12" i="12"/>
  <c r="BD11" i="12"/>
  <c r="BC11" i="12"/>
  <c r="BA11" i="12"/>
  <c r="AU11" i="12"/>
  <c r="AK11" i="12"/>
  <c r="Z11" i="12"/>
  <c r="X11" i="12"/>
  <c r="V11" i="12"/>
  <c r="K11" i="12"/>
  <c r="G11" i="12"/>
  <c r="F11" i="12"/>
  <c r="D11" i="12"/>
  <c r="C11" i="12"/>
  <c r="B11" i="12"/>
  <c r="A11" i="12"/>
  <c r="BD10" i="12"/>
  <c r="BC10" i="12"/>
  <c r="BA10" i="12"/>
  <c r="AU10" i="12"/>
  <c r="AK10" i="12"/>
  <c r="Z10" i="12"/>
  <c r="X10" i="12"/>
  <c r="V10" i="12"/>
  <c r="K10" i="12"/>
  <c r="G10" i="12"/>
  <c r="F10" i="12"/>
  <c r="D10" i="12"/>
  <c r="C10" i="12"/>
  <c r="B10" i="12"/>
  <c r="A10" i="12"/>
  <c r="BD9" i="12"/>
  <c r="BC9" i="12"/>
  <c r="BA9" i="12"/>
  <c r="AU9" i="12"/>
  <c r="AK9" i="12"/>
  <c r="Z9" i="12"/>
  <c r="X9" i="12"/>
  <c r="V9" i="12"/>
  <c r="K9" i="12"/>
  <c r="G9" i="12"/>
  <c r="F9" i="12"/>
  <c r="D9" i="12"/>
  <c r="C9" i="12"/>
  <c r="B9" i="12"/>
  <c r="A9" i="12"/>
  <c r="BD8" i="12"/>
  <c r="BC8" i="12"/>
  <c r="BA8" i="12"/>
  <c r="AU8" i="12"/>
  <c r="AK8" i="12"/>
  <c r="AH8" i="12"/>
  <c r="AG8" i="12"/>
  <c r="AC8" i="12"/>
  <c r="Z8" i="12"/>
  <c r="X8" i="12"/>
  <c r="K8" i="12"/>
  <c r="G8" i="12"/>
  <c r="F8" i="12"/>
  <c r="D8" i="12"/>
  <c r="C8" i="12"/>
  <c r="B8" i="12"/>
  <c r="A8" i="12"/>
  <c r="BD7" i="12"/>
  <c r="BC7" i="12"/>
  <c r="BA7" i="12"/>
  <c r="AU7" i="12"/>
  <c r="AM7" i="12"/>
  <c r="AK7" i="12"/>
  <c r="AH7" i="12"/>
  <c r="AG7" i="12"/>
  <c r="Z7" i="12"/>
  <c r="X7" i="12"/>
  <c r="V7" i="12"/>
  <c r="K7" i="12"/>
  <c r="G7" i="12"/>
  <c r="F7" i="12"/>
  <c r="D7" i="12"/>
  <c r="C7" i="12"/>
  <c r="B7" i="12"/>
  <c r="A7" i="12"/>
  <c r="BD6" i="12"/>
  <c r="BC6" i="12"/>
  <c r="BA6" i="12"/>
  <c r="AU6" i="12"/>
  <c r="AL6" i="12"/>
  <c r="AK6" i="12"/>
  <c r="AH6" i="12"/>
  <c r="AG6" i="12"/>
  <c r="AC6" i="12"/>
  <c r="Z6" i="12"/>
  <c r="X6" i="12"/>
  <c r="V6" i="12"/>
  <c r="K6" i="12"/>
  <c r="G6" i="12"/>
  <c r="F6" i="12"/>
  <c r="D6" i="12"/>
  <c r="C6" i="12"/>
  <c r="B6" i="12"/>
  <c r="A6" i="12"/>
  <c r="BE5" i="12"/>
  <c r="BD5" i="12"/>
  <c r="BC5" i="12"/>
  <c r="BB5" i="12"/>
  <c r="AZ5" i="12"/>
  <c r="AY5" i="12"/>
  <c r="AU5" i="12"/>
  <c r="AT5" i="12"/>
  <c r="AS5" i="12"/>
  <c r="AQ5" i="12"/>
  <c r="AP5" i="12"/>
  <c r="AO5" i="12"/>
  <c r="AN5" i="12"/>
  <c r="AL5" i="12"/>
  <c r="AK5" i="12"/>
  <c r="AH5" i="12"/>
  <c r="AG5" i="12"/>
  <c r="AD5" i="12"/>
  <c r="AC5" i="12"/>
  <c r="AB5" i="12"/>
  <c r="AA5" i="12"/>
  <c r="Z5" i="12"/>
  <c r="Y5" i="12"/>
  <c r="X5" i="12"/>
  <c r="W5" i="12"/>
  <c r="V5" i="12"/>
  <c r="U5" i="12"/>
  <c r="T5" i="12"/>
  <c r="S5" i="12"/>
  <c r="P5" i="12"/>
  <c r="K5" i="12"/>
  <c r="J5" i="12"/>
  <c r="I5" i="12"/>
  <c r="G5" i="12"/>
  <c r="F5" i="12"/>
  <c r="E5" i="12"/>
  <c r="D5" i="12"/>
  <c r="C5" i="12"/>
  <c r="B5" i="12"/>
  <c r="A5" i="12"/>
  <c r="BE4" i="12"/>
  <c r="BD4" i="12"/>
  <c r="BC4" i="12"/>
  <c r="BA4" i="12"/>
  <c r="AZ4" i="12"/>
  <c r="AU4" i="12"/>
  <c r="AS4" i="12"/>
  <c r="AQ4" i="12"/>
  <c r="AN4" i="12"/>
  <c r="AL4" i="12"/>
  <c r="AK4" i="12"/>
  <c r="AH4" i="12"/>
  <c r="AG4" i="12"/>
  <c r="AD4" i="12"/>
  <c r="AC4" i="12"/>
  <c r="AB4" i="12"/>
  <c r="AA4" i="12"/>
  <c r="Z4" i="12"/>
  <c r="Y4" i="12"/>
  <c r="X4" i="12"/>
  <c r="W4" i="12"/>
  <c r="V4" i="12"/>
  <c r="U4" i="12"/>
  <c r="T4" i="12"/>
  <c r="S4" i="12"/>
  <c r="P4" i="12"/>
  <c r="K4" i="12"/>
  <c r="J4" i="12"/>
  <c r="I4" i="12"/>
  <c r="G4" i="12"/>
  <c r="F4" i="12"/>
  <c r="E4" i="12"/>
  <c r="D4" i="12"/>
  <c r="C4" i="12"/>
  <c r="B4" i="12"/>
  <c r="A4" i="12"/>
  <c r="BE3" i="12"/>
  <c r="BD3" i="12"/>
  <c r="BC3" i="12"/>
  <c r="BA3" i="12"/>
  <c r="AZ3" i="12"/>
  <c r="AU3" i="12"/>
  <c r="AS3" i="12"/>
  <c r="AQ3" i="12"/>
  <c r="AN3" i="12"/>
  <c r="AL3" i="12"/>
  <c r="AK3" i="12"/>
  <c r="AH3" i="12"/>
  <c r="AG3" i="12"/>
  <c r="AD3" i="12"/>
  <c r="AC3" i="12"/>
  <c r="AB3" i="12"/>
  <c r="AA3" i="12"/>
  <c r="Z3" i="12"/>
  <c r="Y3" i="12"/>
  <c r="X3" i="12"/>
  <c r="W3" i="12"/>
  <c r="V3" i="12"/>
  <c r="U3" i="12"/>
  <c r="S3" i="12"/>
  <c r="P3" i="12"/>
  <c r="K3" i="12"/>
  <c r="J3" i="12"/>
  <c r="I3" i="12"/>
  <c r="G3" i="12"/>
  <c r="F3" i="12"/>
  <c r="E3" i="12"/>
  <c r="D3" i="12"/>
  <c r="C3" i="12"/>
  <c r="B3" i="12"/>
  <c r="A3" i="12"/>
  <c r="BE2" i="12"/>
  <c r="BD2" i="12"/>
  <c r="BC2" i="12"/>
  <c r="BA2" i="12"/>
  <c r="AU2" i="12"/>
  <c r="AS2" i="12"/>
  <c r="AQ2" i="12"/>
  <c r="AN2" i="12"/>
  <c r="AL2" i="12"/>
  <c r="AK2" i="12"/>
  <c r="AH2" i="12"/>
  <c r="AG2" i="12"/>
  <c r="AD2" i="12"/>
  <c r="AC2" i="12"/>
  <c r="AB2" i="12"/>
  <c r="AA2" i="12"/>
  <c r="Z2" i="12"/>
  <c r="Y2" i="12"/>
  <c r="X2" i="12"/>
  <c r="W2" i="12"/>
  <c r="V2" i="12"/>
  <c r="U2" i="12"/>
  <c r="T2" i="12"/>
  <c r="S2" i="12"/>
  <c r="P2" i="12"/>
  <c r="K2" i="12"/>
  <c r="J2" i="12"/>
  <c r="I2" i="12"/>
  <c r="G2" i="12"/>
  <c r="F2" i="12"/>
  <c r="E2" i="12"/>
  <c r="D2" i="12"/>
  <c r="C2" i="12"/>
  <c r="B2" i="12"/>
  <c r="A2" i="12"/>
  <c r="BE1" i="12"/>
  <c r="BD1" i="12"/>
  <c r="BC1" i="12"/>
  <c r="BB1" i="12"/>
  <c r="BA1" i="12"/>
  <c r="AZ1" i="12"/>
  <c r="AY1" i="12"/>
  <c r="AX1" i="12"/>
  <c r="AW1" i="12"/>
  <c r="AV1" i="12"/>
  <c r="AU1" i="12"/>
  <c r="AT1" i="12"/>
  <c r="AS1" i="12"/>
  <c r="AR1" i="12"/>
  <c r="AQ1" i="12"/>
  <c r="AP1" i="12"/>
  <c r="AO1" i="12"/>
  <c r="AN1" i="12"/>
  <c r="AM1" i="12"/>
  <c r="AL1" i="12"/>
  <c r="AK1" i="12"/>
  <c r="AJ1" i="12"/>
  <c r="AI1" i="12"/>
  <c r="AH1" i="12"/>
  <c r="AG1" i="12"/>
  <c r="AF1" i="12"/>
  <c r="AE1" i="12"/>
  <c r="AD1" i="12"/>
  <c r="AC1" i="12"/>
  <c r="AB1" i="12"/>
  <c r="AA1" i="12"/>
  <c r="Z1" i="12"/>
  <c r="Y1" i="12"/>
  <c r="X1" i="12"/>
  <c r="W1" i="12"/>
  <c r="V1" i="12"/>
  <c r="U1" i="12"/>
  <c r="T1" i="12"/>
  <c r="S1" i="12"/>
  <c r="R1" i="12"/>
  <c r="Q1" i="12"/>
  <c r="P1" i="12"/>
  <c r="O1" i="12"/>
  <c r="N1" i="12"/>
  <c r="M1" i="12"/>
  <c r="L1" i="12"/>
  <c r="K1" i="12"/>
  <c r="J1" i="12"/>
  <c r="I1" i="12"/>
  <c r="H1" i="12"/>
  <c r="G1" i="12"/>
  <c r="F1" i="12"/>
  <c r="E1" i="12"/>
  <c r="D1" i="12"/>
  <c r="C1" i="12"/>
  <c r="B1" i="12"/>
  <c r="A1" i="12"/>
  <c r="AL814" i="11"/>
  <c r="AK814" i="11"/>
  <c r="AJ814" i="11"/>
  <c r="AI814" i="11"/>
  <c r="AH814" i="11"/>
  <c r="AG814" i="11"/>
  <c r="AF814" i="11"/>
  <c r="AE814" i="11"/>
  <c r="AD814" i="11"/>
  <c r="AC814" i="11"/>
  <c r="AB814" i="11"/>
  <c r="AA814" i="11"/>
  <c r="Z814" i="11"/>
  <c r="Y814" i="11"/>
  <c r="X814" i="11"/>
  <c r="W814" i="11"/>
  <c r="V814" i="11"/>
  <c r="U814" i="11"/>
  <c r="T814" i="11"/>
  <c r="S814" i="11"/>
  <c r="R814" i="11"/>
  <c r="Q814" i="11"/>
  <c r="P814" i="11"/>
  <c r="O814" i="11"/>
  <c r="N814" i="11"/>
  <c r="M814" i="11"/>
  <c r="L814" i="11"/>
  <c r="K814" i="11"/>
  <c r="J814" i="11"/>
  <c r="I814" i="11"/>
  <c r="H814" i="11"/>
  <c r="G814" i="11"/>
  <c r="F814" i="11"/>
  <c r="E814" i="11"/>
  <c r="AL813" i="11"/>
  <c r="AK813" i="11"/>
  <c r="AJ813" i="11"/>
  <c r="AI813" i="11"/>
  <c r="AH813" i="11"/>
  <c r="AG813" i="11"/>
  <c r="AF813" i="11"/>
  <c r="AE813" i="11"/>
  <c r="AD813" i="11"/>
  <c r="AC813" i="11"/>
  <c r="AB813" i="11"/>
  <c r="AA813" i="11"/>
  <c r="Z813" i="11"/>
  <c r="Y813" i="11"/>
  <c r="X813" i="11"/>
  <c r="W813" i="11"/>
  <c r="V813" i="11"/>
  <c r="U813" i="11"/>
  <c r="T813" i="11"/>
  <c r="S813" i="11"/>
  <c r="R813" i="11"/>
  <c r="Q813" i="11"/>
  <c r="P813" i="11"/>
  <c r="O813" i="11"/>
  <c r="N813" i="11"/>
  <c r="M813" i="11"/>
  <c r="L813" i="11"/>
  <c r="K813" i="11"/>
  <c r="J813" i="11"/>
  <c r="I813" i="11"/>
  <c r="H813" i="11"/>
  <c r="G813" i="11"/>
  <c r="F813" i="11"/>
  <c r="E813" i="11"/>
  <c r="D813" i="11"/>
  <c r="C813" i="11"/>
  <c r="B813" i="11"/>
  <c r="A813" i="11"/>
  <c r="AL812" i="11"/>
  <c r="AK812" i="11"/>
  <c r="AJ812" i="11"/>
  <c r="AI812" i="11"/>
  <c r="AH812" i="11"/>
  <c r="AG812" i="11"/>
  <c r="AF812" i="11"/>
  <c r="AE812" i="11"/>
  <c r="AD812" i="11"/>
  <c r="AC812" i="11"/>
  <c r="AB812" i="11"/>
  <c r="AA812" i="11"/>
  <c r="Z812" i="11"/>
  <c r="Y812" i="11"/>
  <c r="X812" i="11"/>
  <c r="W812" i="11"/>
  <c r="V812" i="11"/>
  <c r="U812" i="11"/>
  <c r="T812" i="11"/>
  <c r="S812" i="11"/>
  <c r="R812" i="11"/>
  <c r="Q812" i="11"/>
  <c r="P812" i="11"/>
  <c r="O812" i="11"/>
  <c r="N812" i="11"/>
  <c r="M812" i="11"/>
  <c r="L812" i="11"/>
  <c r="K812" i="11"/>
  <c r="J812" i="11"/>
  <c r="I812" i="11"/>
  <c r="H812" i="11"/>
  <c r="G812" i="11"/>
  <c r="F812" i="11"/>
  <c r="E812" i="11"/>
  <c r="D812" i="11"/>
  <c r="C812" i="11"/>
  <c r="B812" i="11"/>
  <c r="A812" i="11"/>
  <c r="AL811" i="11"/>
  <c r="AK811" i="11"/>
  <c r="AJ811" i="11"/>
  <c r="AI811" i="11"/>
  <c r="AH811" i="11"/>
  <c r="AG811" i="11"/>
  <c r="AF811" i="11"/>
  <c r="AE811" i="11"/>
  <c r="AD811" i="11"/>
  <c r="AC811" i="11"/>
  <c r="AB811" i="11"/>
  <c r="AA811" i="11"/>
  <c r="Z811" i="11"/>
  <c r="Y811" i="11"/>
  <c r="X811" i="11"/>
  <c r="W811" i="11"/>
  <c r="V811" i="11"/>
  <c r="U811" i="11"/>
  <c r="T811" i="11"/>
  <c r="S811" i="11"/>
  <c r="R811" i="11"/>
  <c r="Q811" i="11"/>
  <c r="P811" i="11"/>
  <c r="O811" i="11"/>
  <c r="N811" i="11"/>
  <c r="M811" i="11"/>
  <c r="L811" i="11"/>
  <c r="K811" i="11"/>
  <c r="J811" i="11"/>
  <c r="I811" i="11"/>
  <c r="H811" i="11"/>
  <c r="G811" i="11"/>
  <c r="F811" i="11"/>
  <c r="E811" i="11"/>
  <c r="D811" i="11"/>
  <c r="C811" i="11"/>
  <c r="B811" i="11"/>
  <c r="A811" i="11"/>
  <c r="AL810" i="11"/>
  <c r="AK810" i="11"/>
  <c r="AJ810" i="11"/>
  <c r="AI810" i="11"/>
  <c r="AH810" i="11"/>
  <c r="AG810" i="11"/>
  <c r="AF810" i="11"/>
  <c r="AE810" i="11"/>
  <c r="AD810" i="11"/>
  <c r="AC810" i="11"/>
  <c r="AB810" i="11"/>
  <c r="AA810" i="11"/>
  <c r="Z810" i="11"/>
  <c r="Y810" i="11"/>
  <c r="X810" i="11"/>
  <c r="W810" i="11"/>
  <c r="V810" i="11"/>
  <c r="U810" i="11"/>
  <c r="T810" i="11"/>
  <c r="S810" i="11"/>
  <c r="R810" i="11"/>
  <c r="Q810" i="11"/>
  <c r="P810" i="11"/>
  <c r="O810" i="11"/>
  <c r="N810" i="11"/>
  <c r="M810" i="11"/>
  <c r="L810" i="11"/>
  <c r="K810" i="11"/>
  <c r="J810" i="11"/>
  <c r="I810" i="11"/>
  <c r="H810" i="11"/>
  <c r="G810" i="11"/>
  <c r="F810" i="11"/>
  <c r="E810" i="11"/>
  <c r="D810" i="11"/>
  <c r="C810" i="11"/>
  <c r="B810" i="11"/>
  <c r="A810" i="11"/>
  <c r="AL809" i="11"/>
  <c r="AK809" i="11"/>
  <c r="AJ809" i="11"/>
  <c r="AI809" i="11"/>
  <c r="AH809" i="11"/>
  <c r="AG809" i="11"/>
  <c r="AF809" i="11"/>
  <c r="AE809" i="11"/>
  <c r="AD809" i="11"/>
  <c r="AC809" i="11"/>
  <c r="AB809" i="11"/>
  <c r="AA809" i="11"/>
  <c r="Z809" i="11"/>
  <c r="Y809" i="11"/>
  <c r="X809" i="11"/>
  <c r="W809" i="11"/>
  <c r="V809" i="11"/>
  <c r="U809" i="11"/>
  <c r="T809" i="11"/>
  <c r="S809" i="11"/>
  <c r="R809" i="11"/>
  <c r="Q809" i="11"/>
  <c r="P809" i="11"/>
  <c r="O809" i="11"/>
  <c r="N809" i="11"/>
  <c r="M809" i="11"/>
  <c r="L809" i="11"/>
  <c r="K809" i="11"/>
  <c r="J809" i="11"/>
  <c r="I809" i="11"/>
  <c r="H809" i="11"/>
  <c r="G809" i="11"/>
  <c r="F809" i="11"/>
  <c r="E809" i="11"/>
  <c r="D809" i="11"/>
  <c r="C809" i="11"/>
  <c r="B809" i="11"/>
  <c r="A809" i="11"/>
  <c r="AL808" i="11"/>
  <c r="AK808" i="11"/>
  <c r="AJ808" i="11"/>
  <c r="AI808" i="11"/>
  <c r="AH808" i="11"/>
  <c r="AG808" i="11"/>
  <c r="AF808" i="11"/>
  <c r="AE808" i="11"/>
  <c r="AD808" i="11"/>
  <c r="AC808" i="11"/>
  <c r="AB808" i="11"/>
  <c r="AA808" i="11"/>
  <c r="Z808" i="11"/>
  <c r="Y808" i="11"/>
  <c r="X808" i="11"/>
  <c r="W808" i="11"/>
  <c r="V808" i="11"/>
  <c r="U808" i="11"/>
  <c r="T808" i="11"/>
  <c r="S808" i="11"/>
  <c r="R808" i="11"/>
  <c r="Q808" i="11"/>
  <c r="P808" i="11"/>
  <c r="O808" i="11"/>
  <c r="N808" i="11"/>
  <c r="M808" i="11"/>
  <c r="L808" i="11"/>
  <c r="K808" i="11"/>
  <c r="J808" i="11"/>
  <c r="I808" i="11"/>
  <c r="H808" i="11"/>
  <c r="G808" i="11"/>
  <c r="F808" i="11"/>
  <c r="E808" i="11"/>
  <c r="D808" i="11"/>
  <c r="C808" i="11"/>
  <c r="B808" i="11"/>
  <c r="A808" i="11"/>
  <c r="AL807" i="11"/>
  <c r="AK807" i="11"/>
  <c r="AJ807" i="11"/>
  <c r="AI807" i="11"/>
  <c r="AH807" i="11"/>
  <c r="AG807" i="11"/>
  <c r="AF807" i="11"/>
  <c r="AE807" i="11"/>
  <c r="AD807" i="11"/>
  <c r="AC807" i="11"/>
  <c r="AB807" i="11"/>
  <c r="AA807" i="11"/>
  <c r="Z807" i="11"/>
  <c r="Y807" i="11"/>
  <c r="X807" i="11"/>
  <c r="W807" i="11"/>
  <c r="V807" i="11"/>
  <c r="U807" i="11"/>
  <c r="T807" i="11"/>
  <c r="S807" i="11"/>
  <c r="R807" i="11"/>
  <c r="Q807" i="11"/>
  <c r="P807" i="11"/>
  <c r="O807" i="11"/>
  <c r="N807" i="11"/>
  <c r="M807" i="11"/>
  <c r="L807" i="11"/>
  <c r="K807" i="11"/>
  <c r="J807" i="11"/>
  <c r="I807" i="11"/>
  <c r="H807" i="11"/>
  <c r="G807" i="11"/>
  <c r="F807" i="11"/>
  <c r="E807" i="11"/>
  <c r="D807" i="11"/>
  <c r="C807" i="11"/>
  <c r="B807" i="11"/>
  <c r="A807" i="11"/>
  <c r="AL806" i="11"/>
  <c r="AK806" i="11"/>
  <c r="AJ806" i="11"/>
  <c r="AI806" i="11"/>
  <c r="AH806" i="11"/>
  <c r="AG806" i="11"/>
  <c r="AF806" i="11"/>
  <c r="AE806" i="11"/>
  <c r="AD806" i="11"/>
  <c r="AC806" i="11"/>
  <c r="AB806" i="11"/>
  <c r="AA806" i="11"/>
  <c r="Z806" i="11"/>
  <c r="Y806" i="11"/>
  <c r="X806" i="11"/>
  <c r="W806" i="11"/>
  <c r="V806" i="11"/>
  <c r="U806" i="11"/>
  <c r="T806" i="11"/>
  <c r="S806" i="11"/>
  <c r="R806" i="11"/>
  <c r="Q806" i="11"/>
  <c r="P806" i="11"/>
  <c r="O806" i="11"/>
  <c r="N806" i="11"/>
  <c r="M806" i="11"/>
  <c r="L806" i="11"/>
  <c r="K806" i="11"/>
  <c r="J806" i="11"/>
  <c r="I806" i="11"/>
  <c r="H806" i="11"/>
  <c r="G806" i="11"/>
  <c r="F806" i="11"/>
  <c r="E806" i="11"/>
  <c r="D806" i="11"/>
  <c r="C806" i="11"/>
  <c r="B806" i="11"/>
  <c r="A806" i="11"/>
  <c r="D805" i="11"/>
  <c r="C805" i="11"/>
  <c r="B805" i="11"/>
  <c r="A805" i="11"/>
  <c r="AL804" i="11"/>
  <c r="AK804" i="11"/>
  <c r="AJ804" i="11"/>
  <c r="AI804" i="11"/>
  <c r="AH804" i="11"/>
  <c r="AG804" i="11"/>
  <c r="AF804" i="11"/>
  <c r="AE804" i="11"/>
  <c r="AD804" i="11"/>
  <c r="AC804" i="11"/>
  <c r="AB804" i="11"/>
  <c r="AA804" i="11"/>
  <c r="Z804" i="11"/>
  <c r="Y804" i="11"/>
  <c r="X804" i="11"/>
  <c r="W804" i="11"/>
  <c r="V804" i="11"/>
  <c r="U804" i="11"/>
  <c r="T804" i="11"/>
  <c r="S804" i="11"/>
  <c r="R804" i="11"/>
  <c r="Q804" i="11"/>
  <c r="P804" i="11"/>
  <c r="O804" i="11"/>
  <c r="N804" i="11"/>
  <c r="M804" i="11"/>
  <c r="L804" i="11"/>
  <c r="K804" i="11"/>
  <c r="J804" i="11"/>
  <c r="I804" i="11"/>
  <c r="H804" i="11"/>
  <c r="G804" i="11"/>
  <c r="F804" i="11"/>
  <c r="E804" i="11"/>
  <c r="D804" i="11"/>
  <c r="C804" i="11"/>
  <c r="B804" i="11"/>
  <c r="A804" i="11"/>
  <c r="D803" i="11"/>
  <c r="C803" i="11"/>
  <c r="B803" i="11"/>
  <c r="A803" i="11"/>
  <c r="D802" i="11"/>
  <c r="C802" i="11"/>
  <c r="B802" i="11"/>
  <c r="A802" i="11"/>
  <c r="D801" i="11"/>
  <c r="C801" i="11"/>
  <c r="B801" i="11"/>
  <c r="A801" i="11"/>
  <c r="D800" i="11"/>
  <c r="C800" i="11"/>
  <c r="B800" i="11"/>
  <c r="A800" i="11"/>
  <c r="AL799" i="11"/>
  <c r="AK799" i="11"/>
  <c r="AJ799" i="11"/>
  <c r="AI799" i="11"/>
  <c r="AH799" i="11"/>
  <c r="AG799" i="11"/>
  <c r="AF799" i="11"/>
  <c r="AE799" i="11"/>
  <c r="AD799" i="11"/>
  <c r="AC799" i="11"/>
  <c r="AB799" i="11"/>
  <c r="AA799" i="11"/>
  <c r="Z799" i="11"/>
  <c r="Y799" i="11"/>
  <c r="X799" i="11"/>
  <c r="W799" i="11"/>
  <c r="V799" i="11"/>
  <c r="U799" i="11"/>
  <c r="T799" i="11"/>
  <c r="S799" i="11"/>
  <c r="R799" i="11"/>
  <c r="Q799" i="11"/>
  <c r="P799" i="11"/>
  <c r="O799" i="11"/>
  <c r="N799" i="11"/>
  <c r="M799" i="11"/>
  <c r="L799" i="11"/>
  <c r="K799" i="11"/>
  <c r="J799" i="11"/>
  <c r="I799" i="11"/>
  <c r="H799" i="11"/>
  <c r="G799" i="11"/>
  <c r="F799" i="11"/>
  <c r="E799" i="11"/>
  <c r="D799" i="11"/>
  <c r="C799" i="11"/>
  <c r="B799" i="11"/>
  <c r="A799" i="11"/>
  <c r="AL798" i="11"/>
  <c r="AK798" i="11"/>
  <c r="AJ798" i="11"/>
  <c r="AI798" i="11"/>
  <c r="AH798" i="11"/>
  <c r="AG798" i="11"/>
  <c r="AF798" i="11"/>
  <c r="AE798" i="11"/>
  <c r="AD798" i="11"/>
  <c r="AC798" i="11"/>
  <c r="AB798" i="11"/>
  <c r="AA798" i="11"/>
  <c r="Z798" i="11"/>
  <c r="Y798" i="11"/>
  <c r="X798" i="11"/>
  <c r="W798" i="11"/>
  <c r="V798" i="11"/>
  <c r="U798" i="11"/>
  <c r="T798" i="11"/>
  <c r="S798" i="11"/>
  <c r="R798" i="11"/>
  <c r="Q798" i="11"/>
  <c r="P798" i="11"/>
  <c r="O798" i="11"/>
  <c r="N798" i="11"/>
  <c r="M798" i="11"/>
  <c r="L798" i="11"/>
  <c r="K798" i="11"/>
  <c r="J798" i="11"/>
  <c r="I798" i="11"/>
  <c r="H798" i="11"/>
  <c r="G798" i="11"/>
  <c r="F798" i="11"/>
  <c r="E798" i="11"/>
  <c r="D798" i="11"/>
  <c r="C798" i="11"/>
  <c r="B798" i="11"/>
  <c r="A798" i="11"/>
  <c r="AL797" i="11"/>
  <c r="AK797" i="11"/>
  <c r="AJ797" i="11"/>
  <c r="AI797" i="11"/>
  <c r="AH797" i="11"/>
  <c r="AG797" i="11"/>
  <c r="AF797" i="11"/>
  <c r="AE797" i="11"/>
  <c r="AD797" i="11"/>
  <c r="AC797" i="11"/>
  <c r="AB797" i="11"/>
  <c r="AA797" i="11"/>
  <c r="Z797" i="11"/>
  <c r="Y797" i="11"/>
  <c r="X797" i="11"/>
  <c r="W797" i="11"/>
  <c r="V797" i="11"/>
  <c r="U797" i="11"/>
  <c r="T797" i="11"/>
  <c r="S797" i="11"/>
  <c r="R797" i="11"/>
  <c r="Q797" i="11"/>
  <c r="P797" i="11"/>
  <c r="O797" i="11"/>
  <c r="N797" i="11"/>
  <c r="M797" i="11"/>
  <c r="L797" i="11"/>
  <c r="K797" i="11"/>
  <c r="J797" i="11"/>
  <c r="I797" i="11"/>
  <c r="H797" i="11"/>
  <c r="G797" i="11"/>
  <c r="F797" i="11"/>
  <c r="E797" i="11"/>
  <c r="D797" i="11"/>
  <c r="C797" i="11"/>
  <c r="B797" i="11"/>
  <c r="A797" i="11"/>
  <c r="AL796" i="11"/>
  <c r="AK796" i="11"/>
  <c r="AJ796" i="11"/>
  <c r="AI796" i="11"/>
  <c r="AH796" i="11"/>
  <c r="AG796" i="11"/>
  <c r="AF796" i="11"/>
  <c r="AE796" i="11"/>
  <c r="AD796" i="11"/>
  <c r="AC796" i="11"/>
  <c r="AB796" i="11"/>
  <c r="AA796" i="11"/>
  <c r="Z796" i="11"/>
  <c r="Y796" i="11"/>
  <c r="X796" i="11"/>
  <c r="W796" i="11"/>
  <c r="V796" i="11"/>
  <c r="U796" i="11"/>
  <c r="T796" i="11"/>
  <c r="S796" i="11"/>
  <c r="R796" i="11"/>
  <c r="Q796" i="11"/>
  <c r="P796" i="11"/>
  <c r="O796" i="11"/>
  <c r="N796" i="11"/>
  <c r="M796" i="11"/>
  <c r="L796" i="11"/>
  <c r="K796" i="11"/>
  <c r="J796" i="11"/>
  <c r="I796" i="11"/>
  <c r="H796" i="11"/>
  <c r="G796" i="11"/>
  <c r="F796" i="11"/>
  <c r="E796" i="11"/>
  <c r="D796" i="11"/>
  <c r="C796" i="11"/>
  <c r="B796" i="11"/>
  <c r="A796" i="11"/>
  <c r="AH795" i="11"/>
  <c r="AF795" i="11"/>
  <c r="S795" i="11"/>
  <c r="R795" i="11"/>
  <c r="Q795" i="11"/>
  <c r="P795" i="11"/>
  <c r="O795" i="11"/>
  <c r="N795" i="11"/>
  <c r="M795" i="11"/>
  <c r="L795" i="11"/>
  <c r="K795" i="11"/>
  <c r="J795" i="11"/>
  <c r="I795" i="11"/>
  <c r="H795" i="11"/>
  <c r="G795" i="11"/>
  <c r="F795" i="11"/>
  <c r="E795" i="11"/>
  <c r="D795" i="11"/>
  <c r="C795" i="11"/>
  <c r="B795" i="11"/>
  <c r="A795" i="11"/>
  <c r="AH794" i="11"/>
  <c r="AF794" i="11"/>
  <c r="S794" i="11"/>
  <c r="R794" i="11"/>
  <c r="Q794" i="11"/>
  <c r="P794" i="11"/>
  <c r="O794" i="11"/>
  <c r="N794" i="11"/>
  <c r="M794" i="11"/>
  <c r="L794" i="11"/>
  <c r="K794" i="11"/>
  <c r="J794" i="11"/>
  <c r="I794" i="11"/>
  <c r="H794" i="11"/>
  <c r="G794" i="11"/>
  <c r="F794" i="11"/>
  <c r="E794" i="11"/>
  <c r="D794" i="11"/>
  <c r="C794" i="11"/>
  <c r="B794" i="11"/>
  <c r="A794" i="11"/>
  <c r="AL793" i="11"/>
  <c r="AK793" i="11"/>
  <c r="AJ793" i="11"/>
  <c r="AI793" i="11"/>
  <c r="AH793" i="11"/>
  <c r="AG793" i="11"/>
  <c r="AF793" i="11"/>
  <c r="AE793" i="11"/>
  <c r="AD793" i="11"/>
  <c r="AC793" i="11"/>
  <c r="AB793" i="11"/>
  <c r="AA793" i="11"/>
  <c r="Z793" i="11"/>
  <c r="Y793" i="11"/>
  <c r="X793" i="11"/>
  <c r="W793" i="11"/>
  <c r="V793" i="11"/>
  <c r="U793" i="11"/>
  <c r="T793" i="11"/>
  <c r="S793" i="11"/>
  <c r="R793" i="11"/>
  <c r="Q793" i="11"/>
  <c r="P793" i="11"/>
  <c r="O793" i="11"/>
  <c r="N793" i="11"/>
  <c r="M793" i="11"/>
  <c r="L793" i="11"/>
  <c r="K793" i="11"/>
  <c r="J793" i="11"/>
  <c r="I793" i="11"/>
  <c r="H793" i="11"/>
  <c r="G793" i="11"/>
  <c r="F793" i="11"/>
  <c r="E793" i="11"/>
  <c r="D793" i="11"/>
  <c r="C793" i="11"/>
  <c r="B793" i="11"/>
  <c r="A793" i="11"/>
  <c r="D792" i="11"/>
  <c r="C792" i="11"/>
  <c r="B792" i="11"/>
  <c r="A792" i="11"/>
  <c r="D791" i="11"/>
  <c r="C791" i="11"/>
  <c r="B791" i="11"/>
  <c r="A791" i="11"/>
  <c r="D790" i="11"/>
  <c r="C790" i="11"/>
  <c r="B790" i="11"/>
  <c r="A790" i="11"/>
  <c r="D789" i="11"/>
  <c r="C789" i="11"/>
  <c r="B789" i="11"/>
  <c r="A789" i="11"/>
  <c r="D788" i="11"/>
  <c r="C788" i="11"/>
  <c r="B788" i="11"/>
  <c r="A788" i="11"/>
  <c r="D787" i="11"/>
  <c r="C787" i="11"/>
  <c r="B787" i="11"/>
  <c r="A787" i="11"/>
  <c r="D786" i="11"/>
  <c r="C786" i="11"/>
  <c r="B786" i="11"/>
  <c r="A786" i="11"/>
  <c r="D785" i="11"/>
  <c r="C785" i="11"/>
  <c r="B785" i="11"/>
  <c r="A785" i="11"/>
  <c r="D784" i="11"/>
  <c r="C784" i="11"/>
  <c r="B784" i="11"/>
  <c r="A784" i="11"/>
  <c r="D783" i="11"/>
  <c r="C783" i="11"/>
  <c r="B783" i="11"/>
  <c r="A783" i="11"/>
  <c r="D782" i="11"/>
  <c r="C782" i="11"/>
  <c r="B782" i="11"/>
  <c r="A782" i="11"/>
  <c r="D781" i="11"/>
  <c r="C781" i="11"/>
  <c r="B781" i="11"/>
  <c r="A781" i="11"/>
  <c r="D780" i="11"/>
  <c r="C780" i="11"/>
  <c r="B780" i="11"/>
  <c r="A780" i="11"/>
  <c r="D779" i="11"/>
  <c r="C779" i="11"/>
  <c r="B779" i="11"/>
  <c r="A779" i="11"/>
  <c r="D778" i="11"/>
  <c r="C778" i="11"/>
  <c r="B778" i="11"/>
  <c r="A778" i="11"/>
  <c r="D777" i="11"/>
  <c r="C777" i="11"/>
  <c r="B777" i="11"/>
  <c r="A777" i="11"/>
  <c r="D776" i="11"/>
  <c r="C776" i="11"/>
  <c r="B776" i="11"/>
  <c r="A776" i="11"/>
  <c r="AL775" i="11"/>
  <c r="AK775" i="11"/>
  <c r="AJ775" i="11"/>
  <c r="AI775" i="11"/>
  <c r="AH775" i="11"/>
  <c r="AG775" i="11"/>
  <c r="AF775" i="11"/>
  <c r="AE775" i="11"/>
  <c r="AD775" i="11"/>
  <c r="AC775" i="11"/>
  <c r="AB775" i="11"/>
  <c r="AA775" i="11"/>
  <c r="Z775" i="11"/>
  <c r="Y775" i="11"/>
  <c r="X775" i="11"/>
  <c r="W775" i="11"/>
  <c r="V775" i="11"/>
  <c r="U775" i="11"/>
  <c r="T775" i="11"/>
  <c r="S775" i="11"/>
  <c r="R775" i="11"/>
  <c r="Q775" i="11"/>
  <c r="P775" i="11"/>
  <c r="O775" i="11"/>
  <c r="N775" i="11"/>
  <c r="M775" i="11"/>
  <c r="L775" i="11"/>
  <c r="K775" i="11"/>
  <c r="J775" i="11"/>
  <c r="I775" i="11"/>
  <c r="H775" i="11"/>
  <c r="G775" i="11"/>
  <c r="F775" i="11"/>
  <c r="E775" i="11"/>
  <c r="D775" i="11"/>
  <c r="C775" i="11"/>
  <c r="B775" i="11"/>
  <c r="A775" i="11"/>
  <c r="D774" i="11"/>
  <c r="C774" i="11"/>
  <c r="B774" i="11"/>
  <c r="A774" i="11"/>
  <c r="D773" i="11"/>
  <c r="C773" i="11"/>
  <c r="B773" i="11"/>
  <c r="A773" i="11"/>
  <c r="D772" i="11"/>
  <c r="C772" i="11"/>
  <c r="B772" i="11"/>
  <c r="A772" i="11"/>
  <c r="D771" i="11"/>
  <c r="C771" i="11"/>
  <c r="B771" i="11"/>
  <c r="A771" i="11"/>
  <c r="D770" i="11"/>
  <c r="C770" i="11"/>
  <c r="B770" i="11"/>
  <c r="A770" i="11"/>
  <c r="D769" i="11"/>
  <c r="C769" i="11"/>
  <c r="B769" i="11"/>
  <c r="A769" i="11"/>
  <c r="D768" i="11"/>
  <c r="C768" i="11"/>
  <c r="B768" i="11"/>
  <c r="A768" i="11"/>
  <c r="E767" i="11"/>
  <c r="D767" i="11"/>
  <c r="C767" i="11"/>
  <c r="B767" i="11"/>
  <c r="A767" i="11"/>
  <c r="E766" i="11"/>
  <c r="D766" i="11"/>
  <c r="C766" i="11"/>
  <c r="B766" i="11"/>
  <c r="A766" i="11"/>
  <c r="E765" i="11"/>
  <c r="D765" i="11"/>
  <c r="C765" i="11"/>
  <c r="B765" i="11"/>
  <c r="A765" i="11"/>
  <c r="E764" i="11"/>
  <c r="D764" i="11"/>
  <c r="C764" i="11"/>
  <c r="B764" i="11"/>
  <c r="A764" i="11"/>
  <c r="E763" i="11"/>
  <c r="D763" i="11"/>
  <c r="C763" i="11"/>
  <c r="B763" i="11"/>
  <c r="A763" i="11"/>
  <c r="AL762" i="11"/>
  <c r="AK762" i="11"/>
  <c r="AJ762" i="11"/>
  <c r="AI762" i="11"/>
  <c r="AH762" i="11"/>
  <c r="AG762" i="11"/>
  <c r="AF762" i="11"/>
  <c r="AE762" i="11"/>
  <c r="AD762" i="11"/>
  <c r="AC762" i="11"/>
  <c r="AB762" i="11"/>
  <c r="AA762" i="11"/>
  <c r="Z762" i="11"/>
  <c r="Y762" i="11"/>
  <c r="X762" i="11"/>
  <c r="W762" i="11"/>
  <c r="V762" i="11"/>
  <c r="U762" i="11"/>
  <c r="T762" i="11"/>
  <c r="S762" i="11"/>
  <c r="R762" i="11"/>
  <c r="Q762" i="11"/>
  <c r="P762" i="11"/>
  <c r="O762" i="11"/>
  <c r="N762" i="11"/>
  <c r="M762" i="11"/>
  <c r="L762" i="11"/>
  <c r="K762" i="11"/>
  <c r="J762" i="11"/>
  <c r="I762" i="11"/>
  <c r="H762" i="11"/>
  <c r="G762" i="11"/>
  <c r="F762" i="11"/>
  <c r="E762" i="11"/>
  <c r="D762" i="11"/>
  <c r="C762" i="11"/>
  <c r="B762" i="11"/>
  <c r="A762" i="11"/>
  <c r="AL761" i="11"/>
  <c r="AK761" i="11"/>
  <c r="AJ761" i="11"/>
  <c r="AI761" i="11"/>
  <c r="AH761" i="11"/>
  <c r="AG761" i="11"/>
  <c r="AF761" i="11"/>
  <c r="AE761" i="11"/>
  <c r="AD761" i="11"/>
  <c r="AC761" i="11"/>
  <c r="AB761" i="11"/>
  <c r="AA761" i="11"/>
  <c r="Z761" i="11"/>
  <c r="Y761" i="11"/>
  <c r="X761" i="11"/>
  <c r="W761" i="11"/>
  <c r="V761" i="11"/>
  <c r="U761" i="11"/>
  <c r="T761" i="11"/>
  <c r="S761" i="11"/>
  <c r="R761" i="11"/>
  <c r="Q761" i="11"/>
  <c r="P761" i="11"/>
  <c r="O761" i="11"/>
  <c r="N761" i="11"/>
  <c r="M761" i="11"/>
  <c r="L761" i="11"/>
  <c r="K761" i="11"/>
  <c r="J761" i="11"/>
  <c r="I761" i="11"/>
  <c r="H761" i="11"/>
  <c r="G761" i="11"/>
  <c r="F761" i="11"/>
  <c r="E761" i="11"/>
  <c r="D761" i="11"/>
  <c r="C761" i="11"/>
  <c r="B761" i="11"/>
  <c r="A761" i="11"/>
  <c r="AL760" i="11"/>
  <c r="AK760" i="11"/>
  <c r="AJ760" i="11"/>
  <c r="AI760" i="11"/>
  <c r="AH760" i="11"/>
  <c r="AG760" i="11"/>
  <c r="AF760" i="11"/>
  <c r="AE760" i="11"/>
  <c r="AD760" i="11"/>
  <c r="AC760" i="11"/>
  <c r="AB760" i="11"/>
  <c r="AA760" i="11"/>
  <c r="Z760" i="11"/>
  <c r="Y760" i="11"/>
  <c r="X760" i="11"/>
  <c r="W760" i="11"/>
  <c r="V760" i="11"/>
  <c r="U760" i="11"/>
  <c r="T760" i="11"/>
  <c r="S760" i="11"/>
  <c r="R760" i="11"/>
  <c r="Q760" i="11"/>
  <c r="P760" i="11"/>
  <c r="O760" i="11"/>
  <c r="N760" i="11"/>
  <c r="M760" i="11"/>
  <c r="L760" i="11"/>
  <c r="K760" i="11"/>
  <c r="J760" i="11"/>
  <c r="I760" i="11"/>
  <c r="H760" i="11"/>
  <c r="G760" i="11"/>
  <c r="F760" i="11"/>
  <c r="E760" i="11"/>
  <c r="D760" i="11"/>
  <c r="C760" i="11"/>
  <c r="B760" i="11"/>
  <c r="A760" i="11"/>
  <c r="AL759" i="11"/>
  <c r="AK759" i="11"/>
  <c r="AJ759" i="11"/>
  <c r="AI759" i="11"/>
  <c r="AH759" i="11"/>
  <c r="AG759" i="11"/>
  <c r="AF759" i="11"/>
  <c r="AE759" i="11"/>
  <c r="AD759" i="11"/>
  <c r="AC759" i="11"/>
  <c r="AB759" i="11"/>
  <c r="AA759" i="11"/>
  <c r="Z759" i="11"/>
  <c r="Y759" i="11"/>
  <c r="X759" i="11"/>
  <c r="W759" i="11"/>
  <c r="V759" i="11"/>
  <c r="U759" i="11"/>
  <c r="T759" i="11"/>
  <c r="S759" i="11"/>
  <c r="R759" i="11"/>
  <c r="Q759" i="11"/>
  <c r="P759" i="11"/>
  <c r="O759" i="11"/>
  <c r="N759" i="11"/>
  <c r="M759" i="11"/>
  <c r="L759" i="11"/>
  <c r="K759" i="11"/>
  <c r="J759" i="11"/>
  <c r="I759" i="11"/>
  <c r="H759" i="11"/>
  <c r="G759" i="11"/>
  <c r="F759" i="11"/>
  <c r="E759" i="11"/>
  <c r="D759" i="11"/>
  <c r="C759" i="11"/>
  <c r="B759" i="11"/>
  <c r="A759" i="11"/>
  <c r="AL758" i="11"/>
  <c r="AK758" i="11"/>
  <c r="AJ758" i="11"/>
  <c r="AI758" i="11"/>
  <c r="AH758" i="11"/>
  <c r="AG758" i="11"/>
  <c r="AF758" i="11"/>
  <c r="AE758" i="11"/>
  <c r="AD758" i="11"/>
  <c r="AC758" i="11"/>
  <c r="AB758" i="11"/>
  <c r="AA758" i="11"/>
  <c r="Z758" i="11"/>
  <c r="Y758" i="11"/>
  <c r="X758" i="11"/>
  <c r="W758" i="11"/>
  <c r="V758" i="11"/>
  <c r="U758" i="11"/>
  <c r="T758" i="11"/>
  <c r="S758" i="11"/>
  <c r="R758" i="11"/>
  <c r="Q758" i="11"/>
  <c r="P758" i="11"/>
  <c r="O758" i="11"/>
  <c r="N758" i="11"/>
  <c r="M758" i="11"/>
  <c r="L758" i="11"/>
  <c r="K758" i="11"/>
  <c r="J758" i="11"/>
  <c r="I758" i="11"/>
  <c r="H758" i="11"/>
  <c r="G758" i="11"/>
  <c r="F758" i="11"/>
  <c r="E758" i="11"/>
  <c r="D758" i="11"/>
  <c r="C758" i="11"/>
  <c r="B758" i="11"/>
  <c r="A758" i="11"/>
  <c r="AL757" i="11"/>
  <c r="AK757" i="11"/>
  <c r="AJ757" i="11"/>
  <c r="AI757" i="11"/>
  <c r="AH757" i="11"/>
  <c r="AG757" i="11"/>
  <c r="AF757" i="11"/>
  <c r="AE757" i="11"/>
  <c r="AD757" i="11"/>
  <c r="AC757" i="11"/>
  <c r="AB757" i="11"/>
  <c r="AA757" i="11"/>
  <c r="Z757" i="11"/>
  <c r="Y757" i="11"/>
  <c r="X757" i="11"/>
  <c r="W757" i="11"/>
  <c r="V757" i="11"/>
  <c r="U757" i="11"/>
  <c r="T757" i="11"/>
  <c r="S757" i="11"/>
  <c r="R757" i="11"/>
  <c r="Q757" i="11"/>
  <c r="P757" i="11"/>
  <c r="O757" i="11"/>
  <c r="N757" i="11"/>
  <c r="M757" i="11"/>
  <c r="L757" i="11"/>
  <c r="K757" i="11"/>
  <c r="J757" i="11"/>
  <c r="I757" i="11"/>
  <c r="H757" i="11"/>
  <c r="G757" i="11"/>
  <c r="F757" i="11"/>
  <c r="E757" i="11"/>
  <c r="D757" i="11"/>
  <c r="C757" i="11"/>
  <c r="B757" i="11"/>
  <c r="A757" i="11"/>
  <c r="AL756" i="11"/>
  <c r="AK756" i="11"/>
  <c r="AJ756" i="11"/>
  <c r="AI756" i="11"/>
  <c r="AH756" i="11"/>
  <c r="AG756" i="11"/>
  <c r="AF756" i="11"/>
  <c r="AE756" i="11"/>
  <c r="AD756" i="11"/>
  <c r="AC756" i="11"/>
  <c r="AB756" i="11"/>
  <c r="AA756" i="11"/>
  <c r="Z756" i="11"/>
  <c r="Y756" i="11"/>
  <c r="X756" i="11"/>
  <c r="W756" i="11"/>
  <c r="V756" i="11"/>
  <c r="U756" i="11"/>
  <c r="T756" i="11"/>
  <c r="S756" i="11"/>
  <c r="R756" i="11"/>
  <c r="Q756" i="11"/>
  <c r="P756" i="11"/>
  <c r="O756" i="11"/>
  <c r="N756" i="11"/>
  <c r="M756" i="11"/>
  <c r="L756" i="11"/>
  <c r="K756" i="11"/>
  <c r="J756" i="11"/>
  <c r="I756" i="11"/>
  <c r="H756" i="11"/>
  <c r="G756" i="11"/>
  <c r="F756" i="11"/>
  <c r="E756" i="11"/>
  <c r="D756" i="11"/>
  <c r="C756" i="11"/>
  <c r="B756" i="11"/>
  <c r="A756" i="11"/>
  <c r="AL755" i="11"/>
  <c r="AK755" i="11"/>
  <c r="AJ755" i="11"/>
  <c r="AI755" i="11"/>
  <c r="AH755" i="11"/>
  <c r="AG755" i="11"/>
  <c r="AF755" i="11"/>
  <c r="AE755" i="11"/>
  <c r="AD755" i="11"/>
  <c r="AC755" i="11"/>
  <c r="AB755" i="11"/>
  <c r="AA755" i="11"/>
  <c r="Z755" i="11"/>
  <c r="Y755" i="11"/>
  <c r="X755" i="11"/>
  <c r="W755" i="11"/>
  <c r="V755" i="11"/>
  <c r="U755" i="11"/>
  <c r="T755" i="11"/>
  <c r="S755" i="11"/>
  <c r="R755" i="11"/>
  <c r="Q755" i="11"/>
  <c r="P755" i="11"/>
  <c r="O755" i="11"/>
  <c r="N755" i="11"/>
  <c r="M755" i="11"/>
  <c r="L755" i="11"/>
  <c r="K755" i="11"/>
  <c r="J755" i="11"/>
  <c r="I755" i="11"/>
  <c r="H755" i="11"/>
  <c r="G755" i="11"/>
  <c r="F755" i="11"/>
  <c r="E755" i="11"/>
  <c r="D755" i="11"/>
  <c r="C755" i="11"/>
  <c r="B755" i="11"/>
  <c r="A755" i="11"/>
  <c r="AL754" i="11"/>
  <c r="AK754" i="11"/>
  <c r="AJ754" i="11"/>
  <c r="AI754" i="11"/>
  <c r="AH754" i="11"/>
  <c r="AG754" i="11"/>
  <c r="AF754" i="11"/>
  <c r="AE754" i="11"/>
  <c r="AD754" i="11"/>
  <c r="AC754" i="11"/>
  <c r="AB754" i="11"/>
  <c r="AA754" i="11"/>
  <c r="Z754" i="11"/>
  <c r="Y754" i="11"/>
  <c r="X754" i="11"/>
  <c r="W754" i="11"/>
  <c r="V754" i="11"/>
  <c r="U754" i="11"/>
  <c r="T754" i="11"/>
  <c r="S754" i="11"/>
  <c r="R754" i="11"/>
  <c r="Q754" i="11"/>
  <c r="P754" i="11"/>
  <c r="O754" i="11"/>
  <c r="N754" i="11"/>
  <c r="M754" i="11"/>
  <c r="L754" i="11"/>
  <c r="K754" i="11"/>
  <c r="J754" i="11"/>
  <c r="I754" i="11"/>
  <c r="H754" i="11"/>
  <c r="G754" i="11"/>
  <c r="F754" i="11"/>
  <c r="E754" i="11"/>
  <c r="D754" i="11"/>
  <c r="C754" i="11"/>
  <c r="B754" i="11"/>
  <c r="A754" i="11"/>
  <c r="AL753" i="11"/>
  <c r="AK753" i="11"/>
  <c r="AJ753" i="11"/>
  <c r="AI753" i="11"/>
  <c r="AH753" i="11"/>
  <c r="AG753" i="11"/>
  <c r="AF753" i="11"/>
  <c r="AE753" i="11"/>
  <c r="AD753" i="11"/>
  <c r="AC753" i="11"/>
  <c r="AB753" i="11"/>
  <c r="AA753" i="11"/>
  <c r="Z753" i="11"/>
  <c r="Y753" i="11"/>
  <c r="X753" i="11"/>
  <c r="W753" i="11"/>
  <c r="V753" i="11"/>
  <c r="U753" i="11"/>
  <c r="T753" i="11"/>
  <c r="S753" i="11"/>
  <c r="R753" i="11"/>
  <c r="Q753" i="11"/>
  <c r="P753" i="11"/>
  <c r="O753" i="11"/>
  <c r="N753" i="11"/>
  <c r="M753" i="11"/>
  <c r="L753" i="11"/>
  <c r="K753" i="11"/>
  <c r="J753" i="11"/>
  <c r="I753" i="11"/>
  <c r="H753" i="11"/>
  <c r="G753" i="11"/>
  <c r="F753" i="11"/>
  <c r="E753" i="11"/>
  <c r="D753" i="11"/>
  <c r="C753" i="11"/>
  <c r="B753" i="11"/>
  <c r="A753" i="11"/>
  <c r="AL752" i="11"/>
  <c r="AK752" i="11"/>
  <c r="AJ752" i="11"/>
  <c r="AI752" i="11"/>
  <c r="AH752" i="11"/>
  <c r="AG752" i="11"/>
  <c r="AF752" i="11"/>
  <c r="AE752" i="11"/>
  <c r="AD752" i="11"/>
  <c r="AC752" i="11"/>
  <c r="AB752" i="11"/>
  <c r="AA752" i="11"/>
  <c r="Z752" i="11"/>
  <c r="Y752" i="11"/>
  <c r="X752" i="11"/>
  <c r="W752" i="11"/>
  <c r="V752" i="11"/>
  <c r="U752" i="11"/>
  <c r="T752" i="11"/>
  <c r="S752" i="11"/>
  <c r="R752" i="11"/>
  <c r="Q752" i="11"/>
  <c r="P752" i="11"/>
  <c r="O752" i="11"/>
  <c r="N752" i="11"/>
  <c r="M752" i="11"/>
  <c r="L752" i="11"/>
  <c r="K752" i="11"/>
  <c r="J752" i="11"/>
  <c r="I752" i="11"/>
  <c r="H752" i="11"/>
  <c r="G752" i="11"/>
  <c r="F752" i="11"/>
  <c r="E752" i="11"/>
  <c r="D752" i="11"/>
  <c r="C752" i="11"/>
  <c r="B752" i="11"/>
  <c r="A752" i="11"/>
  <c r="AL751" i="11"/>
  <c r="AK751" i="11"/>
  <c r="AJ751" i="11"/>
  <c r="AI751" i="11"/>
  <c r="AH751" i="11"/>
  <c r="AG751" i="11"/>
  <c r="AF751" i="11"/>
  <c r="AE751" i="11"/>
  <c r="AD751" i="11"/>
  <c r="AC751" i="11"/>
  <c r="AB751" i="11"/>
  <c r="AA751" i="11"/>
  <c r="Z751" i="11"/>
  <c r="Y751" i="11"/>
  <c r="X751" i="11"/>
  <c r="W751" i="11"/>
  <c r="V751" i="11"/>
  <c r="U751" i="11"/>
  <c r="T751" i="11"/>
  <c r="S751" i="11"/>
  <c r="R751" i="11"/>
  <c r="Q751" i="11"/>
  <c r="P751" i="11"/>
  <c r="O751" i="11"/>
  <c r="N751" i="11"/>
  <c r="M751" i="11"/>
  <c r="L751" i="11"/>
  <c r="K751" i="11"/>
  <c r="J751" i="11"/>
  <c r="I751" i="11"/>
  <c r="H751" i="11"/>
  <c r="G751" i="11"/>
  <c r="F751" i="11"/>
  <c r="E751" i="11"/>
  <c r="D751" i="11"/>
  <c r="C751" i="11"/>
  <c r="B751" i="11"/>
  <c r="A751" i="11"/>
  <c r="AL750" i="11"/>
  <c r="AK750" i="11"/>
  <c r="AJ750" i="11"/>
  <c r="AI750" i="11"/>
  <c r="AH750" i="11"/>
  <c r="AG750" i="11"/>
  <c r="AF750" i="11"/>
  <c r="AE750" i="11"/>
  <c r="AD750" i="11"/>
  <c r="AC750" i="11"/>
  <c r="AB750" i="11"/>
  <c r="AA750" i="11"/>
  <c r="Z750" i="11"/>
  <c r="Y750" i="11"/>
  <c r="X750" i="11"/>
  <c r="W750" i="11"/>
  <c r="V750" i="11"/>
  <c r="U750" i="11"/>
  <c r="T750" i="11"/>
  <c r="S750" i="11"/>
  <c r="R750" i="11"/>
  <c r="Q750" i="11"/>
  <c r="P750" i="11"/>
  <c r="O750" i="11"/>
  <c r="N750" i="11"/>
  <c r="M750" i="11"/>
  <c r="L750" i="11"/>
  <c r="K750" i="11"/>
  <c r="J750" i="11"/>
  <c r="I750" i="11"/>
  <c r="H750" i="11"/>
  <c r="G750" i="11"/>
  <c r="F750" i="11"/>
  <c r="E750" i="11"/>
  <c r="D750" i="11"/>
  <c r="C750" i="11"/>
  <c r="B750" i="11"/>
  <c r="A750" i="11"/>
  <c r="D749" i="11"/>
  <c r="C749" i="11"/>
  <c r="B749" i="11"/>
  <c r="A749" i="11"/>
  <c r="D748" i="11"/>
  <c r="C748" i="11"/>
  <c r="B748" i="11"/>
  <c r="A748" i="11"/>
  <c r="D747" i="11"/>
  <c r="C747" i="11"/>
  <c r="B747" i="11"/>
  <c r="A747" i="11"/>
  <c r="AL746" i="11"/>
  <c r="AK746" i="11"/>
  <c r="AJ746" i="11"/>
  <c r="AI746" i="11"/>
  <c r="AH746" i="11"/>
  <c r="AG746" i="11"/>
  <c r="AF746" i="11"/>
  <c r="AE746" i="11"/>
  <c r="AD746" i="11"/>
  <c r="AC746" i="11"/>
  <c r="AB746" i="11"/>
  <c r="AA746" i="11"/>
  <c r="Z746" i="11"/>
  <c r="Y746" i="11"/>
  <c r="X746" i="11"/>
  <c r="W746" i="11"/>
  <c r="V746" i="11"/>
  <c r="U746" i="11"/>
  <c r="T746" i="11"/>
  <c r="S746" i="11"/>
  <c r="R746" i="11"/>
  <c r="Q746" i="11"/>
  <c r="P746" i="11"/>
  <c r="O746" i="11"/>
  <c r="N746" i="11"/>
  <c r="M746" i="11"/>
  <c r="L746" i="11"/>
  <c r="K746" i="11"/>
  <c r="J746" i="11"/>
  <c r="I746" i="11"/>
  <c r="H746" i="11"/>
  <c r="G746" i="11"/>
  <c r="F746" i="11"/>
  <c r="E746" i="11"/>
  <c r="D746" i="11"/>
  <c r="C746" i="11"/>
  <c r="B746" i="11"/>
  <c r="A746" i="11"/>
  <c r="D745" i="11"/>
  <c r="C745" i="11"/>
  <c r="B745" i="11"/>
  <c r="A745" i="11"/>
  <c r="D744" i="11"/>
  <c r="C744" i="11"/>
  <c r="B744" i="11"/>
  <c r="A744" i="11"/>
  <c r="D743" i="11"/>
  <c r="C743" i="11"/>
  <c r="B743" i="11"/>
  <c r="A743" i="11"/>
  <c r="D742" i="11"/>
  <c r="C742" i="11"/>
  <c r="B742" i="11"/>
  <c r="A742" i="11"/>
  <c r="D741" i="11"/>
  <c r="C741" i="11"/>
  <c r="B741" i="11"/>
  <c r="A741" i="11"/>
  <c r="D740" i="11"/>
  <c r="C740" i="11"/>
  <c r="B740" i="11"/>
  <c r="A740" i="11"/>
  <c r="D739" i="11"/>
  <c r="C739" i="11"/>
  <c r="B739" i="11"/>
  <c r="A739" i="11"/>
  <c r="D738" i="11"/>
  <c r="C738" i="11"/>
  <c r="B738" i="11"/>
  <c r="A738" i="11"/>
  <c r="D737" i="11"/>
  <c r="C737" i="11"/>
  <c r="B737" i="11"/>
  <c r="A737" i="11"/>
  <c r="D736" i="11"/>
  <c r="C736" i="11"/>
  <c r="B736" i="11"/>
  <c r="A736" i="11"/>
  <c r="AL735" i="11"/>
  <c r="AK735" i="11"/>
  <c r="AJ735" i="11"/>
  <c r="AI735" i="11"/>
  <c r="AH735" i="11"/>
  <c r="AG735" i="11"/>
  <c r="AF735" i="11"/>
  <c r="AE735" i="11"/>
  <c r="AD735" i="11"/>
  <c r="AC735" i="11"/>
  <c r="AB735" i="11"/>
  <c r="AA735" i="11"/>
  <c r="Z735" i="11"/>
  <c r="Y735" i="11"/>
  <c r="X735" i="11"/>
  <c r="W735" i="11"/>
  <c r="V735" i="11"/>
  <c r="U735" i="11"/>
  <c r="T735" i="11"/>
  <c r="S735" i="11"/>
  <c r="R735" i="11"/>
  <c r="Q735" i="11"/>
  <c r="P735" i="11"/>
  <c r="O735" i="11"/>
  <c r="N735" i="11"/>
  <c r="M735" i="11"/>
  <c r="L735" i="11"/>
  <c r="K735" i="11"/>
  <c r="J735" i="11"/>
  <c r="I735" i="11"/>
  <c r="H735" i="11"/>
  <c r="G735" i="11"/>
  <c r="F735" i="11"/>
  <c r="E735" i="11"/>
  <c r="D735" i="11"/>
  <c r="C735" i="11"/>
  <c r="B735" i="11"/>
  <c r="A735" i="11"/>
  <c r="D734" i="11"/>
  <c r="C734" i="11"/>
  <c r="B734" i="11"/>
  <c r="A734" i="11"/>
  <c r="AL733" i="11"/>
  <c r="AK733" i="11"/>
  <c r="AJ733" i="11"/>
  <c r="AI733" i="11"/>
  <c r="AH733" i="11"/>
  <c r="AG733" i="11"/>
  <c r="AF733" i="11"/>
  <c r="AE733" i="11"/>
  <c r="AD733" i="11"/>
  <c r="AC733" i="11"/>
  <c r="AB733" i="11"/>
  <c r="AA733" i="11"/>
  <c r="Z733" i="11"/>
  <c r="Y733" i="11"/>
  <c r="X733" i="11"/>
  <c r="W733" i="11"/>
  <c r="V733" i="11"/>
  <c r="U733" i="11"/>
  <c r="T733" i="11"/>
  <c r="S733" i="11"/>
  <c r="R733" i="11"/>
  <c r="Q733" i="11"/>
  <c r="P733" i="11"/>
  <c r="O733" i="11"/>
  <c r="N733" i="11"/>
  <c r="M733" i="11"/>
  <c r="L733" i="11"/>
  <c r="K733" i="11"/>
  <c r="J733" i="11"/>
  <c r="I733" i="11"/>
  <c r="H733" i="11"/>
  <c r="G733" i="11"/>
  <c r="F733" i="11"/>
  <c r="E733" i="11"/>
  <c r="D733" i="11"/>
  <c r="C733" i="11"/>
  <c r="B733" i="11"/>
  <c r="A733" i="11"/>
  <c r="AL732" i="11"/>
  <c r="AK732" i="11"/>
  <c r="AJ732" i="11"/>
  <c r="AI732" i="11"/>
  <c r="AH732" i="11"/>
  <c r="AG732" i="11"/>
  <c r="AF732" i="11"/>
  <c r="AE732" i="11"/>
  <c r="AD732" i="11"/>
  <c r="AC732" i="11"/>
  <c r="AB732" i="11"/>
  <c r="AA732" i="11"/>
  <c r="Z732" i="11"/>
  <c r="Y732" i="11"/>
  <c r="X732" i="11"/>
  <c r="W732" i="11"/>
  <c r="V732" i="11"/>
  <c r="U732" i="11"/>
  <c r="T732" i="11"/>
  <c r="S732" i="11"/>
  <c r="R732" i="11"/>
  <c r="Q732" i="11"/>
  <c r="P732" i="11"/>
  <c r="O732" i="11"/>
  <c r="N732" i="11"/>
  <c r="M732" i="11"/>
  <c r="L732" i="11"/>
  <c r="K732" i="11"/>
  <c r="J732" i="11"/>
  <c r="I732" i="11"/>
  <c r="H732" i="11"/>
  <c r="G732" i="11"/>
  <c r="F732" i="11"/>
  <c r="E732" i="11"/>
  <c r="D732" i="11"/>
  <c r="C732" i="11"/>
  <c r="B732" i="11"/>
  <c r="A732" i="11"/>
  <c r="AL731" i="11"/>
  <c r="AK731" i="11"/>
  <c r="AJ731" i="11"/>
  <c r="AI731" i="11"/>
  <c r="AH731" i="11"/>
  <c r="AG731" i="11"/>
  <c r="AF731" i="11"/>
  <c r="AE731" i="11"/>
  <c r="AD731" i="11"/>
  <c r="AC731" i="11"/>
  <c r="AB731" i="11"/>
  <c r="AA731" i="11"/>
  <c r="Z731" i="11"/>
  <c r="Y731" i="11"/>
  <c r="X731" i="11"/>
  <c r="W731" i="11"/>
  <c r="V731" i="11"/>
  <c r="U731" i="11"/>
  <c r="T731" i="11"/>
  <c r="S731" i="11"/>
  <c r="R731" i="11"/>
  <c r="Q731" i="11"/>
  <c r="P731" i="11"/>
  <c r="O731" i="11"/>
  <c r="N731" i="11"/>
  <c r="M731" i="11"/>
  <c r="L731" i="11"/>
  <c r="K731" i="11"/>
  <c r="J731" i="11"/>
  <c r="I731" i="11"/>
  <c r="H731" i="11"/>
  <c r="G731" i="11"/>
  <c r="F731" i="11"/>
  <c r="E731" i="11"/>
  <c r="D731" i="11"/>
  <c r="C731" i="11"/>
  <c r="B731" i="11"/>
  <c r="A731" i="11"/>
  <c r="AL730" i="11"/>
  <c r="AK730" i="11"/>
  <c r="AJ730" i="11"/>
  <c r="AI730" i="11"/>
  <c r="AH730" i="11"/>
  <c r="AG730" i="11"/>
  <c r="AF730" i="11"/>
  <c r="AE730" i="11"/>
  <c r="AD730" i="11"/>
  <c r="AC730" i="11"/>
  <c r="AB730" i="11"/>
  <c r="AA730" i="11"/>
  <c r="Z730" i="11"/>
  <c r="Y730" i="11"/>
  <c r="X730" i="11"/>
  <c r="W730" i="11"/>
  <c r="V730" i="11"/>
  <c r="U730" i="11"/>
  <c r="T730" i="11"/>
  <c r="S730" i="11"/>
  <c r="R730" i="11"/>
  <c r="Q730" i="11"/>
  <c r="P730" i="11"/>
  <c r="O730" i="11"/>
  <c r="N730" i="11"/>
  <c r="M730" i="11"/>
  <c r="L730" i="11"/>
  <c r="K730" i="11"/>
  <c r="J730" i="11"/>
  <c r="I730" i="11"/>
  <c r="H730" i="11"/>
  <c r="G730" i="11"/>
  <c r="F730" i="11"/>
  <c r="E730" i="11"/>
  <c r="D730" i="11"/>
  <c r="C730" i="11"/>
  <c r="B730" i="11"/>
  <c r="A730" i="11"/>
  <c r="AL729" i="11"/>
  <c r="AK729" i="11"/>
  <c r="AJ729" i="11"/>
  <c r="AI729" i="11"/>
  <c r="AH729" i="11"/>
  <c r="AG729" i="11"/>
  <c r="AF729" i="11"/>
  <c r="AE729" i="11"/>
  <c r="AD729" i="11"/>
  <c r="AC729" i="11"/>
  <c r="AB729" i="11"/>
  <c r="AA729" i="11"/>
  <c r="Z729" i="11"/>
  <c r="Y729" i="11"/>
  <c r="X729" i="11"/>
  <c r="W729" i="11"/>
  <c r="V729" i="11"/>
  <c r="U729" i="11"/>
  <c r="T729" i="11"/>
  <c r="S729" i="11"/>
  <c r="R729" i="11"/>
  <c r="Q729" i="11"/>
  <c r="P729" i="11"/>
  <c r="O729" i="11"/>
  <c r="N729" i="11"/>
  <c r="M729" i="11"/>
  <c r="L729" i="11"/>
  <c r="K729" i="11"/>
  <c r="J729" i="11"/>
  <c r="I729" i="11"/>
  <c r="H729" i="11"/>
  <c r="G729" i="11"/>
  <c r="F729" i="11"/>
  <c r="E729" i="11"/>
  <c r="D729" i="11"/>
  <c r="C729" i="11"/>
  <c r="B729" i="11"/>
  <c r="A729" i="11"/>
  <c r="D728" i="11"/>
  <c r="C728" i="11"/>
  <c r="B728" i="11"/>
  <c r="A728" i="11"/>
  <c r="D727" i="11"/>
  <c r="C727" i="11"/>
  <c r="B727" i="11"/>
  <c r="A727" i="11"/>
  <c r="AL726" i="11"/>
  <c r="AK726" i="11"/>
  <c r="AJ726" i="11"/>
  <c r="AI726" i="11"/>
  <c r="AH726" i="11"/>
  <c r="AG726" i="11"/>
  <c r="AF726" i="11"/>
  <c r="AE726" i="11"/>
  <c r="AD726" i="11"/>
  <c r="AC726" i="11"/>
  <c r="AB726" i="11"/>
  <c r="AA726" i="11"/>
  <c r="Z726" i="11"/>
  <c r="Y726" i="11"/>
  <c r="X726" i="11"/>
  <c r="W726" i="11"/>
  <c r="V726" i="11"/>
  <c r="U726" i="11"/>
  <c r="T726" i="11"/>
  <c r="S726" i="11"/>
  <c r="R726" i="11"/>
  <c r="Q726" i="11"/>
  <c r="P726" i="11"/>
  <c r="O726" i="11"/>
  <c r="N726" i="11"/>
  <c r="M726" i="11"/>
  <c r="L726" i="11"/>
  <c r="K726" i="11"/>
  <c r="J726" i="11"/>
  <c r="I726" i="11"/>
  <c r="H726" i="11"/>
  <c r="G726" i="11"/>
  <c r="F726" i="11"/>
  <c r="E726" i="11"/>
  <c r="D726" i="11"/>
  <c r="C726" i="11"/>
  <c r="B726" i="11"/>
  <c r="A726" i="11"/>
  <c r="AL725" i="11"/>
  <c r="AK725" i="11"/>
  <c r="AJ725" i="11"/>
  <c r="AI725" i="11"/>
  <c r="AH725" i="11"/>
  <c r="AG725" i="11"/>
  <c r="AF725" i="11"/>
  <c r="AE725" i="11"/>
  <c r="AD725" i="11"/>
  <c r="AC725" i="11"/>
  <c r="AB725" i="11"/>
  <c r="AA725" i="11"/>
  <c r="Z725" i="11"/>
  <c r="Y725" i="11"/>
  <c r="X725" i="11"/>
  <c r="W725" i="11"/>
  <c r="V725" i="11"/>
  <c r="U725" i="11"/>
  <c r="T725" i="11"/>
  <c r="S725" i="11"/>
  <c r="R725" i="11"/>
  <c r="Q725" i="11"/>
  <c r="P725" i="11"/>
  <c r="O725" i="11"/>
  <c r="N725" i="11"/>
  <c r="M725" i="11"/>
  <c r="L725" i="11"/>
  <c r="K725" i="11"/>
  <c r="J725" i="11"/>
  <c r="I725" i="11"/>
  <c r="H725" i="11"/>
  <c r="G725" i="11"/>
  <c r="F725" i="11"/>
  <c r="E725" i="11"/>
  <c r="D725" i="11"/>
  <c r="C725" i="11"/>
  <c r="B725" i="11"/>
  <c r="A725" i="11"/>
  <c r="AL724" i="11"/>
  <c r="AK724" i="11"/>
  <c r="AJ724" i="11"/>
  <c r="AI724" i="11"/>
  <c r="AH724" i="11"/>
  <c r="AG724" i="11"/>
  <c r="AF724" i="11"/>
  <c r="AE724" i="11"/>
  <c r="AD724" i="11"/>
  <c r="AC724" i="11"/>
  <c r="AB724" i="11"/>
  <c r="AA724" i="11"/>
  <c r="Z724" i="11"/>
  <c r="Y724" i="11"/>
  <c r="X724" i="11"/>
  <c r="W724" i="11"/>
  <c r="V724" i="11"/>
  <c r="U724" i="11"/>
  <c r="T724" i="11"/>
  <c r="S724" i="11"/>
  <c r="R724" i="11"/>
  <c r="Q724" i="11"/>
  <c r="P724" i="11"/>
  <c r="O724" i="11"/>
  <c r="N724" i="11"/>
  <c r="M724" i="11"/>
  <c r="L724" i="11"/>
  <c r="K724" i="11"/>
  <c r="J724" i="11"/>
  <c r="I724" i="11"/>
  <c r="H724" i="11"/>
  <c r="G724" i="11"/>
  <c r="F724" i="11"/>
  <c r="E724" i="11"/>
  <c r="D724" i="11"/>
  <c r="C724" i="11"/>
  <c r="B724" i="11"/>
  <c r="A724" i="11"/>
  <c r="AL723" i="11"/>
  <c r="AK723" i="11"/>
  <c r="AJ723" i="11"/>
  <c r="AI723" i="11"/>
  <c r="AH723" i="11"/>
  <c r="AG723" i="11"/>
  <c r="AF723" i="11"/>
  <c r="AE723" i="11"/>
  <c r="AD723" i="11"/>
  <c r="AC723" i="11"/>
  <c r="AB723" i="11"/>
  <c r="AA723" i="11"/>
  <c r="Z723" i="11"/>
  <c r="Y723" i="11"/>
  <c r="X723" i="11"/>
  <c r="W723" i="11"/>
  <c r="V723" i="11"/>
  <c r="U723" i="11"/>
  <c r="T723" i="11"/>
  <c r="S723" i="11"/>
  <c r="R723" i="11"/>
  <c r="Q723" i="11"/>
  <c r="P723" i="11"/>
  <c r="O723" i="11"/>
  <c r="N723" i="11"/>
  <c r="M723" i="11"/>
  <c r="L723" i="11"/>
  <c r="K723" i="11"/>
  <c r="J723" i="11"/>
  <c r="I723" i="11"/>
  <c r="H723" i="11"/>
  <c r="G723" i="11"/>
  <c r="F723" i="11"/>
  <c r="E723" i="11"/>
  <c r="D723" i="11"/>
  <c r="C723" i="11"/>
  <c r="B723" i="11"/>
  <c r="A723" i="11"/>
  <c r="AL722" i="11"/>
  <c r="AK722" i="11"/>
  <c r="AJ722" i="11"/>
  <c r="AI722" i="11"/>
  <c r="AH722" i="11"/>
  <c r="AG722" i="11"/>
  <c r="AF722" i="11"/>
  <c r="AE722" i="11"/>
  <c r="AD722" i="11"/>
  <c r="AC722" i="11"/>
  <c r="AB722" i="11"/>
  <c r="AA722" i="11"/>
  <c r="Z722" i="11"/>
  <c r="Y722" i="11"/>
  <c r="X722" i="11"/>
  <c r="W722" i="11"/>
  <c r="V722" i="11"/>
  <c r="U722" i="11"/>
  <c r="T722" i="11"/>
  <c r="S722" i="11"/>
  <c r="R722" i="11"/>
  <c r="Q722" i="11"/>
  <c r="P722" i="11"/>
  <c r="O722" i="11"/>
  <c r="N722" i="11"/>
  <c r="M722" i="11"/>
  <c r="L722" i="11"/>
  <c r="K722" i="11"/>
  <c r="J722" i="11"/>
  <c r="I722" i="11"/>
  <c r="H722" i="11"/>
  <c r="G722" i="11"/>
  <c r="F722" i="11"/>
  <c r="E722" i="11"/>
  <c r="D722" i="11"/>
  <c r="C722" i="11"/>
  <c r="B722" i="11"/>
  <c r="A722" i="11"/>
  <c r="AL721" i="11"/>
  <c r="AK721" i="11"/>
  <c r="AJ721" i="11"/>
  <c r="AI721" i="11"/>
  <c r="AH721" i="11"/>
  <c r="AG721" i="11"/>
  <c r="AF721" i="11"/>
  <c r="AE721" i="11"/>
  <c r="AD721" i="11"/>
  <c r="AC721" i="11"/>
  <c r="AB721" i="11"/>
  <c r="AA721" i="11"/>
  <c r="Z721" i="11"/>
  <c r="Y721" i="11"/>
  <c r="X721" i="11"/>
  <c r="W721" i="11"/>
  <c r="V721" i="11"/>
  <c r="U721" i="11"/>
  <c r="T721" i="11"/>
  <c r="S721" i="11"/>
  <c r="R721" i="11"/>
  <c r="Q721" i="11"/>
  <c r="P721" i="11"/>
  <c r="O721" i="11"/>
  <c r="N721" i="11"/>
  <c r="M721" i="11"/>
  <c r="L721" i="11"/>
  <c r="K721" i="11"/>
  <c r="J721" i="11"/>
  <c r="I721" i="11"/>
  <c r="H721" i="11"/>
  <c r="G721" i="11"/>
  <c r="F721" i="11"/>
  <c r="E721" i="11"/>
  <c r="D721" i="11"/>
  <c r="C721" i="11"/>
  <c r="B721" i="11"/>
  <c r="A721" i="11"/>
  <c r="AL720" i="11"/>
  <c r="AK720" i="11"/>
  <c r="AJ720" i="11"/>
  <c r="AI720" i="11"/>
  <c r="AH720" i="11"/>
  <c r="AG720" i="11"/>
  <c r="AF720" i="11"/>
  <c r="AE720" i="11"/>
  <c r="AD720" i="11"/>
  <c r="AC720" i="11"/>
  <c r="AB720" i="11"/>
  <c r="AA720" i="11"/>
  <c r="Z720" i="11"/>
  <c r="Y720" i="11"/>
  <c r="X720" i="11"/>
  <c r="W720" i="11"/>
  <c r="V720" i="11"/>
  <c r="U720" i="11"/>
  <c r="T720" i="11"/>
  <c r="S720" i="11"/>
  <c r="R720" i="11"/>
  <c r="Q720" i="11"/>
  <c r="P720" i="11"/>
  <c r="O720" i="11"/>
  <c r="N720" i="11"/>
  <c r="M720" i="11"/>
  <c r="L720" i="11"/>
  <c r="K720" i="11"/>
  <c r="J720" i="11"/>
  <c r="I720" i="11"/>
  <c r="H720" i="11"/>
  <c r="G720" i="11"/>
  <c r="F720" i="11"/>
  <c r="E720" i="11"/>
  <c r="D720" i="11"/>
  <c r="C720" i="11"/>
  <c r="B720" i="11"/>
  <c r="A720" i="11"/>
  <c r="AL719" i="11"/>
  <c r="AK719" i="11"/>
  <c r="AJ719" i="11"/>
  <c r="AI719" i="11"/>
  <c r="AH719" i="11"/>
  <c r="AG719" i="11"/>
  <c r="AF719" i="11"/>
  <c r="AE719" i="11"/>
  <c r="AD719" i="11"/>
  <c r="AC719" i="11"/>
  <c r="AB719" i="11"/>
  <c r="AA719" i="11"/>
  <c r="Z719" i="11"/>
  <c r="Y719" i="11"/>
  <c r="X719" i="11"/>
  <c r="W719" i="11"/>
  <c r="V719" i="11"/>
  <c r="U719" i="11"/>
  <c r="T719" i="11"/>
  <c r="S719" i="11"/>
  <c r="R719" i="11"/>
  <c r="Q719" i="11"/>
  <c r="P719" i="11"/>
  <c r="O719" i="11"/>
  <c r="N719" i="11"/>
  <c r="M719" i="11"/>
  <c r="L719" i="11"/>
  <c r="K719" i="11"/>
  <c r="J719" i="11"/>
  <c r="I719" i="11"/>
  <c r="H719" i="11"/>
  <c r="G719" i="11"/>
  <c r="F719" i="11"/>
  <c r="E719" i="11"/>
  <c r="D719" i="11"/>
  <c r="C719" i="11"/>
  <c r="B719" i="11"/>
  <c r="A719" i="11"/>
  <c r="AK718" i="11"/>
  <c r="AJ718" i="11"/>
  <c r="AI718" i="11"/>
  <c r="AH718" i="11"/>
  <c r="AG718" i="11"/>
  <c r="AF718" i="11"/>
  <c r="AE718" i="11"/>
  <c r="AD718" i="11"/>
  <c r="AC718" i="11"/>
  <c r="AB718" i="11"/>
  <c r="AA718" i="11"/>
  <c r="Z718" i="11"/>
  <c r="Y718" i="11"/>
  <c r="X718" i="11"/>
  <c r="W718" i="11"/>
  <c r="V718" i="11"/>
  <c r="U718" i="11"/>
  <c r="T718" i="11"/>
  <c r="R718" i="11"/>
  <c r="Q718" i="11"/>
  <c r="P718" i="11"/>
  <c r="O718" i="11"/>
  <c r="N718" i="11"/>
  <c r="M718" i="11"/>
  <c r="L718" i="11"/>
  <c r="K718" i="11"/>
  <c r="J718" i="11"/>
  <c r="I718" i="11"/>
  <c r="H718" i="11"/>
  <c r="G718" i="11"/>
  <c r="F718" i="11"/>
  <c r="E718" i="11"/>
  <c r="D718" i="11"/>
  <c r="C718" i="11"/>
  <c r="B718" i="11"/>
  <c r="A718" i="11"/>
  <c r="AL717" i="11"/>
  <c r="AK717" i="11"/>
  <c r="AJ717" i="11"/>
  <c r="AI717" i="11"/>
  <c r="AH717" i="11"/>
  <c r="AG717" i="11"/>
  <c r="AF717" i="11"/>
  <c r="AE717" i="11"/>
  <c r="AD717" i="11"/>
  <c r="AC717" i="11"/>
  <c r="AB717" i="11"/>
  <c r="AA717" i="11"/>
  <c r="Z717" i="11"/>
  <c r="Y717" i="11"/>
  <c r="X717" i="11"/>
  <c r="W717" i="11"/>
  <c r="V717" i="11"/>
  <c r="U717" i="11"/>
  <c r="T717" i="11"/>
  <c r="S717" i="11"/>
  <c r="R717" i="11"/>
  <c r="Q717" i="11"/>
  <c r="P717" i="11"/>
  <c r="O717" i="11"/>
  <c r="N717" i="11"/>
  <c r="M717" i="11"/>
  <c r="L717" i="11"/>
  <c r="K717" i="11"/>
  <c r="J717" i="11"/>
  <c r="I717" i="11"/>
  <c r="H717" i="11"/>
  <c r="G717" i="11"/>
  <c r="F717" i="11"/>
  <c r="E717" i="11"/>
  <c r="D717" i="11"/>
  <c r="C717" i="11"/>
  <c r="B717" i="11"/>
  <c r="A717" i="11"/>
  <c r="AL716" i="11"/>
  <c r="AK716" i="11"/>
  <c r="AJ716" i="11"/>
  <c r="AI716" i="11"/>
  <c r="AH716" i="11"/>
  <c r="AG716" i="11"/>
  <c r="AF716" i="11"/>
  <c r="AE716" i="11"/>
  <c r="AD716" i="11"/>
  <c r="AC716" i="11"/>
  <c r="AB716" i="11"/>
  <c r="AA716" i="11"/>
  <c r="Z716" i="11"/>
  <c r="Y716" i="11"/>
  <c r="X716" i="11"/>
  <c r="W716" i="11"/>
  <c r="V716" i="11"/>
  <c r="U716" i="11"/>
  <c r="T716" i="11"/>
  <c r="S716" i="11"/>
  <c r="R716" i="11"/>
  <c r="Q716" i="11"/>
  <c r="P716" i="11"/>
  <c r="O716" i="11"/>
  <c r="N716" i="11"/>
  <c r="M716" i="11"/>
  <c r="L716" i="11"/>
  <c r="K716" i="11"/>
  <c r="J716" i="11"/>
  <c r="I716" i="11"/>
  <c r="H716" i="11"/>
  <c r="G716" i="11"/>
  <c r="F716" i="11"/>
  <c r="E716" i="11"/>
  <c r="D716" i="11"/>
  <c r="C716" i="11"/>
  <c r="B716" i="11"/>
  <c r="A716" i="11"/>
  <c r="AL715" i="11"/>
  <c r="AK715" i="11"/>
  <c r="AJ715" i="11"/>
  <c r="AI715" i="11"/>
  <c r="AH715" i="11"/>
  <c r="AG715" i="11"/>
  <c r="AF715" i="11"/>
  <c r="AE715" i="11"/>
  <c r="AD715" i="11"/>
  <c r="AC715" i="11"/>
  <c r="AB715" i="11"/>
  <c r="AA715" i="11"/>
  <c r="Z715" i="11"/>
  <c r="Y715" i="11"/>
  <c r="X715" i="11"/>
  <c r="W715" i="11"/>
  <c r="V715" i="11"/>
  <c r="U715" i="11"/>
  <c r="T715" i="11"/>
  <c r="S715" i="11"/>
  <c r="R715" i="11"/>
  <c r="Q715" i="11"/>
  <c r="P715" i="11"/>
  <c r="O715" i="11"/>
  <c r="N715" i="11"/>
  <c r="M715" i="11"/>
  <c r="L715" i="11"/>
  <c r="K715" i="11"/>
  <c r="J715" i="11"/>
  <c r="I715" i="11"/>
  <c r="H715" i="11"/>
  <c r="G715" i="11"/>
  <c r="F715" i="11"/>
  <c r="E715" i="11"/>
  <c r="D715" i="11"/>
  <c r="C715" i="11"/>
  <c r="B715" i="11"/>
  <c r="A715" i="11"/>
  <c r="AL714" i="11"/>
  <c r="AK714" i="11"/>
  <c r="AJ714" i="11"/>
  <c r="AI714" i="11"/>
  <c r="AH714" i="11"/>
  <c r="AG714" i="11"/>
  <c r="AF714" i="11"/>
  <c r="AE714" i="11"/>
  <c r="AD714" i="11"/>
  <c r="AC714" i="11"/>
  <c r="AB714" i="11"/>
  <c r="AA714" i="11"/>
  <c r="Z714" i="11"/>
  <c r="Y714" i="11"/>
  <c r="X714" i="11"/>
  <c r="W714" i="11"/>
  <c r="V714" i="11"/>
  <c r="U714" i="11"/>
  <c r="T714" i="11"/>
  <c r="S714" i="11"/>
  <c r="R714" i="11"/>
  <c r="Q714" i="11"/>
  <c r="P714" i="11"/>
  <c r="O714" i="11"/>
  <c r="N714" i="11"/>
  <c r="M714" i="11"/>
  <c r="L714" i="11"/>
  <c r="K714" i="11"/>
  <c r="J714" i="11"/>
  <c r="I714" i="11"/>
  <c r="H714" i="11"/>
  <c r="G714" i="11"/>
  <c r="F714" i="11"/>
  <c r="E714" i="11"/>
  <c r="D714" i="11"/>
  <c r="C714" i="11"/>
  <c r="B714" i="11"/>
  <c r="A714" i="11"/>
  <c r="D713" i="11"/>
  <c r="C713" i="11"/>
  <c r="B713" i="11"/>
  <c r="A713" i="11"/>
  <c r="AH712" i="11"/>
  <c r="AF712" i="11"/>
  <c r="S712" i="11"/>
  <c r="R712" i="11"/>
  <c r="Q712" i="11"/>
  <c r="P712" i="11"/>
  <c r="O712" i="11"/>
  <c r="N712" i="11"/>
  <c r="M712" i="11"/>
  <c r="L712" i="11"/>
  <c r="K712" i="11"/>
  <c r="J712" i="11"/>
  <c r="I712" i="11"/>
  <c r="H712" i="11"/>
  <c r="G712" i="11"/>
  <c r="F712" i="11"/>
  <c r="E712" i="11"/>
  <c r="D712" i="11"/>
  <c r="C712" i="11"/>
  <c r="B712" i="11"/>
  <c r="A712" i="11"/>
  <c r="AH711" i="11"/>
  <c r="AF711" i="11"/>
  <c r="S711" i="11"/>
  <c r="R711" i="11"/>
  <c r="Q711" i="11"/>
  <c r="P711" i="11"/>
  <c r="O711" i="11"/>
  <c r="N711" i="11"/>
  <c r="M711" i="11"/>
  <c r="L711" i="11"/>
  <c r="K711" i="11"/>
  <c r="J711" i="11"/>
  <c r="I711" i="11"/>
  <c r="H711" i="11"/>
  <c r="G711" i="11"/>
  <c r="F711" i="11"/>
  <c r="E711" i="11"/>
  <c r="D711" i="11"/>
  <c r="C711" i="11"/>
  <c r="B711" i="11"/>
  <c r="A711" i="11"/>
  <c r="AH710" i="11"/>
  <c r="AF710" i="11"/>
  <c r="S710" i="11"/>
  <c r="R710" i="11"/>
  <c r="Q710" i="11"/>
  <c r="P710" i="11"/>
  <c r="O710" i="11"/>
  <c r="N710" i="11"/>
  <c r="M710" i="11"/>
  <c r="L710" i="11"/>
  <c r="K710" i="11"/>
  <c r="J710" i="11"/>
  <c r="I710" i="11"/>
  <c r="H710" i="11"/>
  <c r="G710" i="11"/>
  <c r="F710" i="11"/>
  <c r="E710" i="11"/>
  <c r="D710" i="11"/>
  <c r="C710" i="11"/>
  <c r="B710" i="11"/>
  <c r="A710" i="11"/>
  <c r="AH709" i="11"/>
  <c r="AF709" i="11"/>
  <c r="S709" i="11"/>
  <c r="R709" i="11"/>
  <c r="Q709" i="11"/>
  <c r="P709" i="11"/>
  <c r="O709" i="11"/>
  <c r="N709" i="11"/>
  <c r="M709" i="11"/>
  <c r="L709" i="11"/>
  <c r="K709" i="11"/>
  <c r="J709" i="11"/>
  <c r="I709" i="11"/>
  <c r="H709" i="11"/>
  <c r="G709" i="11"/>
  <c r="F709" i="11"/>
  <c r="E709" i="11"/>
  <c r="D709" i="11"/>
  <c r="C709" i="11"/>
  <c r="B709" i="11"/>
  <c r="A709" i="11"/>
  <c r="AH708" i="11"/>
  <c r="AF708" i="11"/>
  <c r="S708" i="11"/>
  <c r="R708" i="11"/>
  <c r="Q708" i="11"/>
  <c r="P708" i="11"/>
  <c r="O708" i="11"/>
  <c r="N708" i="11"/>
  <c r="M708" i="11"/>
  <c r="L708" i="11"/>
  <c r="K708" i="11"/>
  <c r="J708" i="11"/>
  <c r="I708" i="11"/>
  <c r="H708" i="11"/>
  <c r="G708" i="11"/>
  <c r="F708" i="11"/>
  <c r="E708" i="11"/>
  <c r="D708" i="11"/>
  <c r="C708" i="11"/>
  <c r="B708" i="11"/>
  <c r="A708" i="11"/>
  <c r="AH707" i="11"/>
  <c r="AF707" i="11"/>
  <c r="S707" i="11"/>
  <c r="R707" i="11"/>
  <c r="Q707" i="11"/>
  <c r="P707" i="11"/>
  <c r="O707" i="11"/>
  <c r="N707" i="11"/>
  <c r="M707" i="11"/>
  <c r="L707" i="11"/>
  <c r="K707" i="11"/>
  <c r="J707" i="11"/>
  <c r="I707" i="11"/>
  <c r="H707" i="11"/>
  <c r="G707" i="11"/>
  <c r="F707" i="11"/>
  <c r="E707" i="11"/>
  <c r="D707" i="11"/>
  <c r="C707" i="11"/>
  <c r="B707" i="11"/>
  <c r="A707" i="11"/>
  <c r="AL706" i="11"/>
  <c r="AK706" i="11"/>
  <c r="AJ706" i="11"/>
  <c r="AI706" i="11"/>
  <c r="AH706" i="11"/>
  <c r="AG706" i="11"/>
  <c r="AF706" i="11"/>
  <c r="AE706" i="11"/>
  <c r="AD706" i="11"/>
  <c r="AC706" i="11"/>
  <c r="AB706" i="11"/>
  <c r="AA706" i="11"/>
  <c r="Z706" i="11"/>
  <c r="Y706" i="11"/>
  <c r="X706" i="11"/>
  <c r="W706" i="11"/>
  <c r="V706" i="11"/>
  <c r="U706" i="11"/>
  <c r="T706" i="11"/>
  <c r="S706" i="11"/>
  <c r="R706" i="11"/>
  <c r="Q706" i="11"/>
  <c r="P706" i="11"/>
  <c r="O706" i="11"/>
  <c r="N706" i="11"/>
  <c r="M706" i="11"/>
  <c r="L706" i="11"/>
  <c r="K706" i="11"/>
  <c r="J706" i="11"/>
  <c r="I706" i="11"/>
  <c r="H706" i="11"/>
  <c r="G706" i="11"/>
  <c r="F706" i="11"/>
  <c r="E706" i="11"/>
  <c r="D706" i="11"/>
  <c r="C706" i="11"/>
  <c r="B706" i="11"/>
  <c r="A706" i="11"/>
  <c r="AH705" i="11"/>
  <c r="AF705" i="11"/>
  <c r="U705" i="11"/>
  <c r="T705" i="11"/>
  <c r="S705" i="11"/>
  <c r="R705" i="11"/>
  <c r="Q705" i="11"/>
  <c r="P705" i="11"/>
  <c r="O705" i="11"/>
  <c r="N705" i="11"/>
  <c r="M705" i="11"/>
  <c r="L705" i="11"/>
  <c r="K705" i="11"/>
  <c r="J705" i="11"/>
  <c r="I705" i="11"/>
  <c r="H705" i="11"/>
  <c r="G705" i="11"/>
  <c r="F705" i="11"/>
  <c r="E705" i="11"/>
  <c r="D705" i="11"/>
  <c r="C705" i="11"/>
  <c r="B705" i="11"/>
  <c r="A705" i="11"/>
  <c r="AL704" i="11"/>
  <c r="AK704" i="11"/>
  <c r="AJ704" i="11"/>
  <c r="AI704" i="11"/>
  <c r="AH704" i="11"/>
  <c r="AG704" i="11"/>
  <c r="AF704" i="11"/>
  <c r="AE704" i="11"/>
  <c r="AD704" i="11"/>
  <c r="AC704" i="11"/>
  <c r="AB704" i="11"/>
  <c r="AA704" i="11"/>
  <c r="Z704" i="11"/>
  <c r="Y704" i="11"/>
  <c r="X704" i="11"/>
  <c r="W704" i="11"/>
  <c r="V704" i="11"/>
  <c r="U704" i="11"/>
  <c r="T704" i="11"/>
  <c r="S704" i="11"/>
  <c r="R704" i="11"/>
  <c r="Q704" i="11"/>
  <c r="P704" i="11"/>
  <c r="O704" i="11"/>
  <c r="N704" i="11"/>
  <c r="M704" i="11"/>
  <c r="L704" i="11"/>
  <c r="K704" i="11"/>
  <c r="J704" i="11"/>
  <c r="I704" i="11"/>
  <c r="H704" i="11"/>
  <c r="G704" i="11"/>
  <c r="F704" i="11"/>
  <c r="E704" i="11"/>
  <c r="D704" i="11"/>
  <c r="C704" i="11"/>
  <c r="B704" i="11"/>
  <c r="A704" i="11"/>
  <c r="AL703" i="11"/>
  <c r="AK703" i="11"/>
  <c r="AJ703" i="11"/>
  <c r="AI703" i="11"/>
  <c r="AH703" i="11"/>
  <c r="AG703" i="11"/>
  <c r="AF703" i="11"/>
  <c r="AE703" i="11"/>
  <c r="AD703" i="11"/>
  <c r="AC703" i="11"/>
  <c r="AB703" i="11"/>
  <c r="AA703" i="11"/>
  <c r="Z703" i="11"/>
  <c r="Y703" i="11"/>
  <c r="X703" i="11"/>
  <c r="W703" i="11"/>
  <c r="V703" i="11"/>
  <c r="U703" i="11"/>
  <c r="T703" i="11"/>
  <c r="S703" i="11"/>
  <c r="R703" i="11"/>
  <c r="Q703" i="11"/>
  <c r="P703" i="11"/>
  <c r="O703" i="11"/>
  <c r="N703" i="11"/>
  <c r="M703" i="11"/>
  <c r="L703" i="11"/>
  <c r="K703" i="11"/>
  <c r="J703" i="11"/>
  <c r="I703" i="11"/>
  <c r="H703" i="11"/>
  <c r="G703" i="11"/>
  <c r="F703" i="11"/>
  <c r="E703" i="11"/>
  <c r="D703" i="11"/>
  <c r="C703" i="11"/>
  <c r="B703" i="11"/>
  <c r="A703" i="11"/>
  <c r="AL702" i="11"/>
  <c r="AK702" i="11"/>
  <c r="AJ702" i="11"/>
  <c r="AI702" i="11"/>
  <c r="AH702" i="11"/>
  <c r="AG702" i="11"/>
  <c r="AF702" i="11"/>
  <c r="AE702" i="11"/>
  <c r="AD702" i="11"/>
  <c r="AC702" i="11"/>
  <c r="AB702" i="11"/>
  <c r="AA702" i="11"/>
  <c r="Z702" i="11"/>
  <c r="Y702" i="11"/>
  <c r="X702" i="11"/>
  <c r="W702" i="11"/>
  <c r="V702" i="11"/>
  <c r="U702" i="11"/>
  <c r="T702" i="11"/>
  <c r="S702" i="11"/>
  <c r="R702" i="11"/>
  <c r="Q702" i="11"/>
  <c r="P702" i="11"/>
  <c r="O702" i="11"/>
  <c r="N702" i="11"/>
  <c r="M702" i="11"/>
  <c r="L702" i="11"/>
  <c r="K702" i="11"/>
  <c r="J702" i="11"/>
  <c r="I702" i="11"/>
  <c r="H702" i="11"/>
  <c r="G702" i="11"/>
  <c r="F702" i="11"/>
  <c r="E702" i="11"/>
  <c r="D702" i="11"/>
  <c r="C702" i="11"/>
  <c r="B702" i="11"/>
  <c r="A702" i="11"/>
  <c r="AL701" i="11"/>
  <c r="AK701" i="11"/>
  <c r="AJ701" i="11"/>
  <c r="AI701" i="11"/>
  <c r="AH701" i="11"/>
  <c r="AG701" i="11"/>
  <c r="AF701" i="11"/>
  <c r="AE701" i="11"/>
  <c r="AD701" i="11"/>
  <c r="AC701" i="11"/>
  <c r="AB701" i="11"/>
  <c r="AA701" i="11"/>
  <c r="Z701" i="11"/>
  <c r="Y701" i="11"/>
  <c r="X701" i="11"/>
  <c r="W701" i="11"/>
  <c r="V701" i="11"/>
  <c r="U701" i="11"/>
  <c r="T701" i="11"/>
  <c r="S701" i="11"/>
  <c r="R701" i="11"/>
  <c r="Q701" i="11"/>
  <c r="P701" i="11"/>
  <c r="O701" i="11"/>
  <c r="N701" i="11"/>
  <c r="M701" i="11"/>
  <c r="L701" i="11"/>
  <c r="K701" i="11"/>
  <c r="J701" i="11"/>
  <c r="I701" i="11"/>
  <c r="H701" i="11"/>
  <c r="G701" i="11"/>
  <c r="F701" i="11"/>
  <c r="E701" i="11"/>
  <c r="D701" i="11"/>
  <c r="C701" i="11"/>
  <c r="B701" i="11"/>
  <c r="A701" i="11"/>
  <c r="AL700" i="11"/>
  <c r="AK700" i="11"/>
  <c r="AJ700" i="11"/>
  <c r="AI700" i="11"/>
  <c r="AH700" i="11"/>
  <c r="AG700" i="11"/>
  <c r="AF700" i="11"/>
  <c r="AE700" i="11"/>
  <c r="AD700" i="11"/>
  <c r="AC700" i="11"/>
  <c r="AB700" i="11"/>
  <c r="AA700" i="11"/>
  <c r="Z700" i="11"/>
  <c r="Y700" i="11"/>
  <c r="X700" i="11"/>
  <c r="W700" i="11"/>
  <c r="V700" i="11"/>
  <c r="U700" i="11"/>
  <c r="T700" i="11"/>
  <c r="S700" i="11"/>
  <c r="R700" i="11"/>
  <c r="Q700" i="11"/>
  <c r="P700" i="11"/>
  <c r="O700" i="11"/>
  <c r="N700" i="11"/>
  <c r="M700" i="11"/>
  <c r="L700" i="11"/>
  <c r="K700" i="11"/>
  <c r="J700" i="11"/>
  <c r="I700" i="11"/>
  <c r="H700" i="11"/>
  <c r="G700" i="11"/>
  <c r="F700" i="11"/>
  <c r="E700" i="11"/>
  <c r="D700" i="11"/>
  <c r="C700" i="11"/>
  <c r="B700" i="11"/>
  <c r="A700" i="11"/>
  <c r="AL699" i="11"/>
  <c r="AK699" i="11"/>
  <c r="AJ699" i="11"/>
  <c r="AI699" i="11"/>
  <c r="AH699" i="11"/>
  <c r="AG699" i="11"/>
  <c r="AF699" i="11"/>
  <c r="AE699" i="11"/>
  <c r="AD699" i="11"/>
  <c r="AC699" i="11"/>
  <c r="AB699" i="11"/>
  <c r="AA699" i="11"/>
  <c r="Z699" i="11"/>
  <c r="Y699" i="11"/>
  <c r="X699" i="11"/>
  <c r="W699" i="11"/>
  <c r="V699" i="11"/>
  <c r="U699" i="11"/>
  <c r="T699" i="11"/>
  <c r="S699" i="11"/>
  <c r="R699" i="11"/>
  <c r="Q699" i="11"/>
  <c r="P699" i="11"/>
  <c r="O699" i="11"/>
  <c r="N699" i="11"/>
  <c r="M699" i="11"/>
  <c r="L699" i="11"/>
  <c r="K699" i="11"/>
  <c r="J699" i="11"/>
  <c r="I699" i="11"/>
  <c r="H699" i="11"/>
  <c r="G699" i="11"/>
  <c r="F699" i="11"/>
  <c r="E699" i="11"/>
  <c r="D699" i="11"/>
  <c r="C699" i="11"/>
  <c r="B699" i="11"/>
  <c r="A699" i="11"/>
  <c r="AL698" i="11"/>
  <c r="AK698" i="11"/>
  <c r="AJ698" i="11"/>
  <c r="AI698" i="11"/>
  <c r="AH698" i="11"/>
  <c r="AG698" i="11"/>
  <c r="AF698" i="11"/>
  <c r="AE698" i="11"/>
  <c r="AD698" i="11"/>
  <c r="AC698" i="11"/>
  <c r="AB698" i="11"/>
  <c r="AA698" i="11"/>
  <c r="Z698" i="11"/>
  <c r="Y698" i="11"/>
  <c r="X698" i="11"/>
  <c r="W698" i="11"/>
  <c r="V698" i="11"/>
  <c r="U698" i="11"/>
  <c r="T698" i="11"/>
  <c r="S698" i="11"/>
  <c r="R698" i="11"/>
  <c r="Q698" i="11"/>
  <c r="P698" i="11"/>
  <c r="O698" i="11"/>
  <c r="N698" i="11"/>
  <c r="M698" i="11"/>
  <c r="L698" i="11"/>
  <c r="K698" i="11"/>
  <c r="J698" i="11"/>
  <c r="I698" i="11"/>
  <c r="H698" i="11"/>
  <c r="G698" i="11"/>
  <c r="F698" i="11"/>
  <c r="E698" i="11"/>
  <c r="D698" i="11"/>
  <c r="C698" i="11"/>
  <c r="B698" i="11"/>
  <c r="A698" i="11"/>
  <c r="AL697" i="11"/>
  <c r="AK697" i="11"/>
  <c r="AJ697" i="11"/>
  <c r="AI697" i="11"/>
  <c r="AH697" i="11"/>
  <c r="AG697" i="11"/>
  <c r="AF697" i="11"/>
  <c r="AE697" i="11"/>
  <c r="AD697" i="11"/>
  <c r="AC697" i="11"/>
  <c r="AB697" i="11"/>
  <c r="AA697" i="11"/>
  <c r="Z697" i="11"/>
  <c r="Y697" i="11"/>
  <c r="X697" i="11"/>
  <c r="W697" i="11"/>
  <c r="V697" i="11"/>
  <c r="U697" i="11"/>
  <c r="T697" i="11"/>
  <c r="S697" i="11"/>
  <c r="R697" i="11"/>
  <c r="Q697" i="11"/>
  <c r="P697" i="11"/>
  <c r="O697" i="11"/>
  <c r="N697" i="11"/>
  <c r="M697" i="11"/>
  <c r="L697" i="11"/>
  <c r="K697" i="11"/>
  <c r="J697" i="11"/>
  <c r="I697" i="11"/>
  <c r="H697" i="11"/>
  <c r="G697" i="11"/>
  <c r="F697" i="11"/>
  <c r="E697" i="11"/>
  <c r="D697" i="11"/>
  <c r="C697" i="11"/>
  <c r="B697" i="11"/>
  <c r="A697" i="11"/>
  <c r="AL696" i="11"/>
  <c r="AK696" i="11"/>
  <c r="AJ696" i="11"/>
  <c r="AI696" i="11"/>
  <c r="AH696" i="11"/>
  <c r="AG696" i="11"/>
  <c r="AF696" i="11"/>
  <c r="AE696" i="11"/>
  <c r="AD696" i="11"/>
  <c r="AC696" i="11"/>
  <c r="AB696" i="11"/>
  <c r="AA696" i="11"/>
  <c r="Z696" i="11"/>
  <c r="Y696" i="11"/>
  <c r="X696" i="11"/>
  <c r="W696" i="11"/>
  <c r="V696" i="11"/>
  <c r="U696" i="11"/>
  <c r="T696" i="11"/>
  <c r="S696" i="11"/>
  <c r="R696" i="11"/>
  <c r="Q696" i="11"/>
  <c r="P696" i="11"/>
  <c r="O696" i="11"/>
  <c r="N696" i="11"/>
  <c r="M696" i="11"/>
  <c r="L696" i="11"/>
  <c r="K696" i="11"/>
  <c r="J696" i="11"/>
  <c r="I696" i="11"/>
  <c r="H696" i="11"/>
  <c r="G696" i="11"/>
  <c r="F696" i="11"/>
  <c r="E696" i="11"/>
  <c r="D696" i="11"/>
  <c r="C696" i="11"/>
  <c r="B696" i="11"/>
  <c r="A696" i="11"/>
  <c r="AL695" i="11"/>
  <c r="AK695" i="11"/>
  <c r="AJ695" i="11"/>
  <c r="AI695" i="11"/>
  <c r="AH695" i="11"/>
  <c r="AG695" i="11"/>
  <c r="AF695" i="11"/>
  <c r="AE695" i="11"/>
  <c r="AD695" i="11"/>
  <c r="AC695" i="11"/>
  <c r="AB695" i="11"/>
  <c r="AA695" i="11"/>
  <c r="Z695" i="11"/>
  <c r="Y695" i="11"/>
  <c r="X695" i="11"/>
  <c r="W695" i="11"/>
  <c r="V695" i="11"/>
  <c r="U695" i="11"/>
  <c r="T695" i="11"/>
  <c r="S695" i="11"/>
  <c r="R695" i="11"/>
  <c r="Q695" i="11"/>
  <c r="P695" i="11"/>
  <c r="O695" i="11"/>
  <c r="N695" i="11"/>
  <c r="M695" i="11"/>
  <c r="L695" i="11"/>
  <c r="K695" i="11"/>
  <c r="J695" i="11"/>
  <c r="I695" i="11"/>
  <c r="H695" i="11"/>
  <c r="G695" i="11"/>
  <c r="F695" i="11"/>
  <c r="E695" i="11"/>
  <c r="D695" i="11"/>
  <c r="C695" i="11"/>
  <c r="B695" i="11"/>
  <c r="A695" i="11"/>
  <c r="AL694" i="11"/>
  <c r="AK694" i="11"/>
  <c r="AJ694" i="11"/>
  <c r="AI694" i="11"/>
  <c r="AH694" i="11"/>
  <c r="AG694" i="11"/>
  <c r="AF694" i="11"/>
  <c r="AE694" i="11"/>
  <c r="AD694" i="11"/>
  <c r="AC694" i="11"/>
  <c r="AB694" i="11"/>
  <c r="AA694" i="11"/>
  <c r="Z694" i="11"/>
  <c r="Y694" i="11"/>
  <c r="X694" i="11"/>
  <c r="W694" i="11"/>
  <c r="V694" i="11"/>
  <c r="U694" i="11"/>
  <c r="T694" i="11"/>
  <c r="S694" i="11"/>
  <c r="R694" i="11"/>
  <c r="Q694" i="11"/>
  <c r="P694" i="11"/>
  <c r="O694" i="11"/>
  <c r="N694" i="11"/>
  <c r="M694" i="11"/>
  <c r="L694" i="11"/>
  <c r="K694" i="11"/>
  <c r="J694" i="11"/>
  <c r="I694" i="11"/>
  <c r="H694" i="11"/>
  <c r="G694" i="11"/>
  <c r="F694" i="11"/>
  <c r="E694" i="11"/>
  <c r="D694" i="11"/>
  <c r="C694" i="11"/>
  <c r="B694" i="11"/>
  <c r="A694" i="11"/>
  <c r="AL693" i="11"/>
  <c r="AK693" i="11"/>
  <c r="AJ693" i="11"/>
  <c r="AI693" i="11"/>
  <c r="AH693" i="11"/>
  <c r="AG693" i="11"/>
  <c r="AF693" i="11"/>
  <c r="AE693" i="11"/>
  <c r="AD693" i="11"/>
  <c r="AC693" i="11"/>
  <c r="AB693" i="11"/>
  <c r="AA693" i="11"/>
  <c r="Z693" i="11"/>
  <c r="Y693" i="11"/>
  <c r="X693" i="11"/>
  <c r="W693" i="11"/>
  <c r="V693" i="11"/>
  <c r="U693" i="11"/>
  <c r="T693" i="11"/>
  <c r="S693" i="11"/>
  <c r="R693" i="11"/>
  <c r="Q693" i="11"/>
  <c r="P693" i="11"/>
  <c r="O693" i="11"/>
  <c r="N693" i="11"/>
  <c r="M693" i="11"/>
  <c r="L693" i="11"/>
  <c r="K693" i="11"/>
  <c r="J693" i="11"/>
  <c r="I693" i="11"/>
  <c r="H693" i="11"/>
  <c r="G693" i="11"/>
  <c r="F693" i="11"/>
  <c r="E693" i="11"/>
  <c r="D693" i="11"/>
  <c r="C693" i="11"/>
  <c r="B693" i="11"/>
  <c r="A693" i="11"/>
  <c r="AL692" i="11"/>
  <c r="AK692" i="11"/>
  <c r="AJ692" i="11"/>
  <c r="AI692" i="11"/>
  <c r="AH692" i="11"/>
  <c r="AG692" i="11"/>
  <c r="AF692" i="11"/>
  <c r="AE692" i="11"/>
  <c r="AD692" i="11"/>
  <c r="AC692" i="11"/>
  <c r="AB692" i="11"/>
  <c r="AA692" i="11"/>
  <c r="Z692" i="11"/>
  <c r="Y692" i="11"/>
  <c r="X692" i="11"/>
  <c r="W692" i="11"/>
  <c r="V692" i="11"/>
  <c r="U692" i="11"/>
  <c r="T692" i="11"/>
  <c r="S692" i="11"/>
  <c r="R692" i="11"/>
  <c r="Q692" i="11"/>
  <c r="P692" i="11"/>
  <c r="O692" i="11"/>
  <c r="N692" i="11"/>
  <c r="M692" i="11"/>
  <c r="L692" i="11"/>
  <c r="K692" i="11"/>
  <c r="J692" i="11"/>
  <c r="I692" i="11"/>
  <c r="H692" i="11"/>
  <c r="G692" i="11"/>
  <c r="F692" i="11"/>
  <c r="E692" i="11"/>
  <c r="D692" i="11"/>
  <c r="C692" i="11"/>
  <c r="B692" i="11"/>
  <c r="A692" i="11"/>
  <c r="AL691" i="11"/>
  <c r="AK691" i="11"/>
  <c r="AJ691" i="11"/>
  <c r="AI691" i="11"/>
  <c r="AH691" i="11"/>
  <c r="AG691" i="11"/>
  <c r="AF691" i="11"/>
  <c r="AE691" i="11"/>
  <c r="AD691" i="11"/>
  <c r="AC691" i="11"/>
  <c r="AB691" i="11"/>
  <c r="AA691" i="11"/>
  <c r="Z691" i="11"/>
  <c r="Y691" i="11"/>
  <c r="X691" i="11"/>
  <c r="W691" i="11"/>
  <c r="V691" i="11"/>
  <c r="U691" i="11"/>
  <c r="T691" i="11"/>
  <c r="S691" i="11"/>
  <c r="R691" i="11"/>
  <c r="Q691" i="11"/>
  <c r="P691" i="11"/>
  <c r="O691" i="11"/>
  <c r="N691" i="11"/>
  <c r="M691" i="11"/>
  <c r="L691" i="11"/>
  <c r="K691" i="11"/>
  <c r="J691" i="11"/>
  <c r="I691" i="11"/>
  <c r="H691" i="11"/>
  <c r="G691" i="11"/>
  <c r="F691" i="11"/>
  <c r="E691" i="11"/>
  <c r="D691" i="11"/>
  <c r="C691" i="11"/>
  <c r="B691" i="11"/>
  <c r="A691" i="11"/>
  <c r="E690" i="11"/>
  <c r="D690" i="11"/>
  <c r="C690" i="11"/>
  <c r="B690" i="11"/>
  <c r="A690" i="11"/>
  <c r="E689" i="11"/>
  <c r="D689" i="11"/>
  <c r="C689" i="11"/>
  <c r="B689" i="11"/>
  <c r="A689" i="11"/>
  <c r="E688" i="11"/>
  <c r="D688" i="11"/>
  <c r="C688" i="11"/>
  <c r="B688" i="11"/>
  <c r="A688" i="11"/>
  <c r="AL687" i="11"/>
  <c r="AK687" i="11"/>
  <c r="AJ687" i="11"/>
  <c r="AI687" i="11"/>
  <c r="AH687" i="11"/>
  <c r="AG687" i="11"/>
  <c r="AF687" i="11"/>
  <c r="AE687" i="11"/>
  <c r="AD687" i="11"/>
  <c r="AC687" i="11"/>
  <c r="AB687" i="11"/>
  <c r="AA687" i="11"/>
  <c r="Z687" i="11"/>
  <c r="Y687" i="11"/>
  <c r="X687" i="11"/>
  <c r="W687" i="11"/>
  <c r="V687" i="11"/>
  <c r="U687" i="11"/>
  <c r="T687" i="11"/>
  <c r="S687" i="11"/>
  <c r="R687" i="11"/>
  <c r="Q687" i="11"/>
  <c r="P687" i="11"/>
  <c r="O687" i="11"/>
  <c r="N687" i="11"/>
  <c r="M687" i="11"/>
  <c r="L687" i="11"/>
  <c r="K687" i="11"/>
  <c r="J687" i="11"/>
  <c r="I687" i="11"/>
  <c r="H687" i="11"/>
  <c r="G687" i="11"/>
  <c r="F687" i="11"/>
  <c r="E687" i="11"/>
  <c r="D687" i="11"/>
  <c r="C687" i="11"/>
  <c r="B687" i="11"/>
  <c r="A687" i="11"/>
  <c r="E686" i="11"/>
  <c r="D686" i="11"/>
  <c r="C686" i="11"/>
  <c r="B686" i="11"/>
  <c r="A686" i="11"/>
  <c r="E685" i="11"/>
  <c r="D685" i="11"/>
  <c r="C685" i="11"/>
  <c r="B685" i="11"/>
  <c r="A685" i="11"/>
  <c r="E684" i="11"/>
  <c r="D684" i="11"/>
  <c r="C684" i="11"/>
  <c r="B684" i="11"/>
  <c r="A684" i="11"/>
  <c r="E683" i="11"/>
  <c r="D683" i="11"/>
  <c r="C683" i="11"/>
  <c r="B683" i="11"/>
  <c r="A683" i="11"/>
  <c r="E682" i="11"/>
  <c r="D682" i="11"/>
  <c r="C682" i="11"/>
  <c r="B682" i="11"/>
  <c r="A682" i="11"/>
  <c r="E681" i="11"/>
  <c r="D681" i="11"/>
  <c r="C681" i="11"/>
  <c r="B681" i="11"/>
  <c r="A681" i="11"/>
  <c r="E680" i="11"/>
  <c r="D680" i="11"/>
  <c r="C680" i="11"/>
  <c r="B680" i="11"/>
  <c r="A680" i="11"/>
  <c r="AL679" i="11"/>
  <c r="AK679" i="11"/>
  <c r="AJ679" i="11"/>
  <c r="AI679" i="11"/>
  <c r="AH679" i="11"/>
  <c r="AG679" i="11"/>
  <c r="AF679" i="11"/>
  <c r="AE679" i="11"/>
  <c r="AD679" i="11"/>
  <c r="AC679" i="11"/>
  <c r="AB679" i="11"/>
  <c r="AA679" i="11"/>
  <c r="Z679" i="11"/>
  <c r="Y679" i="11"/>
  <c r="X679" i="11"/>
  <c r="W679" i="11"/>
  <c r="V679" i="11"/>
  <c r="U679" i="11"/>
  <c r="T679" i="11"/>
  <c r="S679" i="11"/>
  <c r="R679" i="11"/>
  <c r="Q679" i="11"/>
  <c r="P679" i="11"/>
  <c r="O679" i="11"/>
  <c r="N679" i="11"/>
  <c r="M679" i="11"/>
  <c r="L679" i="11"/>
  <c r="K679" i="11"/>
  <c r="J679" i="11"/>
  <c r="I679" i="11"/>
  <c r="H679" i="11"/>
  <c r="G679" i="11"/>
  <c r="F679" i="11"/>
  <c r="E679" i="11"/>
  <c r="D679" i="11"/>
  <c r="C679" i="11"/>
  <c r="B679" i="11"/>
  <c r="A679" i="11"/>
  <c r="AL678" i="11"/>
  <c r="AK678" i="11"/>
  <c r="AJ678" i="11"/>
  <c r="AI678" i="11"/>
  <c r="AH678" i="11"/>
  <c r="AG678" i="11"/>
  <c r="AF678" i="11"/>
  <c r="AE678" i="11"/>
  <c r="AD678" i="11"/>
  <c r="AC678" i="11"/>
  <c r="AB678" i="11"/>
  <c r="AA678" i="11"/>
  <c r="Z678" i="11"/>
  <c r="Y678" i="11"/>
  <c r="X678" i="11"/>
  <c r="W678" i="11"/>
  <c r="V678" i="11"/>
  <c r="U678" i="11"/>
  <c r="T678" i="11"/>
  <c r="S678" i="11"/>
  <c r="R678" i="11"/>
  <c r="Q678" i="11"/>
  <c r="P678" i="11"/>
  <c r="O678" i="11"/>
  <c r="N678" i="11"/>
  <c r="M678" i="11"/>
  <c r="L678" i="11"/>
  <c r="K678" i="11"/>
  <c r="J678" i="11"/>
  <c r="I678" i="11"/>
  <c r="H678" i="11"/>
  <c r="G678" i="11"/>
  <c r="F678" i="11"/>
  <c r="E678" i="11"/>
  <c r="D678" i="11"/>
  <c r="C678" i="11"/>
  <c r="B678" i="11"/>
  <c r="A678" i="11"/>
  <c r="AL677" i="11"/>
  <c r="AK677" i="11"/>
  <c r="AJ677" i="11"/>
  <c r="AI677" i="11"/>
  <c r="AH677" i="11"/>
  <c r="AG677" i="11"/>
  <c r="AF677" i="11"/>
  <c r="AE677" i="11"/>
  <c r="AD677" i="11"/>
  <c r="AC677" i="11"/>
  <c r="AB677" i="11"/>
  <c r="AA677" i="11"/>
  <c r="Z677" i="11"/>
  <c r="Y677" i="11"/>
  <c r="X677" i="11"/>
  <c r="W677" i="11"/>
  <c r="V677" i="11"/>
  <c r="U677" i="11"/>
  <c r="T677" i="11"/>
  <c r="S677" i="11"/>
  <c r="R677" i="11"/>
  <c r="Q677" i="11"/>
  <c r="P677" i="11"/>
  <c r="O677" i="11"/>
  <c r="N677" i="11"/>
  <c r="M677" i="11"/>
  <c r="L677" i="11"/>
  <c r="K677" i="11"/>
  <c r="J677" i="11"/>
  <c r="I677" i="11"/>
  <c r="H677" i="11"/>
  <c r="G677" i="11"/>
  <c r="F677" i="11"/>
  <c r="E677" i="11"/>
  <c r="D677" i="11"/>
  <c r="C677" i="11"/>
  <c r="B677" i="11"/>
  <c r="A677" i="11"/>
  <c r="AL676" i="11"/>
  <c r="AK676" i="11"/>
  <c r="AJ676" i="11"/>
  <c r="AI676" i="11"/>
  <c r="AH676" i="11"/>
  <c r="AG676" i="11"/>
  <c r="AF676" i="11"/>
  <c r="AE676" i="11"/>
  <c r="AD676" i="11"/>
  <c r="AC676" i="11"/>
  <c r="AB676" i="11"/>
  <c r="AA676" i="11"/>
  <c r="Z676" i="11"/>
  <c r="Y676" i="11"/>
  <c r="X676" i="11"/>
  <c r="W676" i="11"/>
  <c r="V676" i="11"/>
  <c r="U676" i="11"/>
  <c r="T676" i="11"/>
  <c r="S676" i="11"/>
  <c r="R676" i="11"/>
  <c r="Q676" i="11"/>
  <c r="P676" i="11"/>
  <c r="O676" i="11"/>
  <c r="N676" i="11"/>
  <c r="M676" i="11"/>
  <c r="L676" i="11"/>
  <c r="K676" i="11"/>
  <c r="J676" i="11"/>
  <c r="I676" i="11"/>
  <c r="H676" i="11"/>
  <c r="G676" i="11"/>
  <c r="F676" i="11"/>
  <c r="E676" i="11"/>
  <c r="D676" i="11"/>
  <c r="C676" i="11"/>
  <c r="B676" i="11"/>
  <c r="A676" i="11"/>
  <c r="AL675" i="11"/>
  <c r="AK675" i="11"/>
  <c r="AJ675" i="11"/>
  <c r="AI675" i="11"/>
  <c r="AH675" i="11"/>
  <c r="AG675" i="11"/>
  <c r="AF675" i="11"/>
  <c r="AE675" i="11"/>
  <c r="AD675" i="11"/>
  <c r="AC675" i="11"/>
  <c r="AB675" i="11"/>
  <c r="AA675" i="11"/>
  <c r="Z675" i="11"/>
  <c r="Y675" i="11"/>
  <c r="X675" i="11"/>
  <c r="W675" i="11"/>
  <c r="V675" i="11"/>
  <c r="U675" i="11"/>
  <c r="T675" i="11"/>
  <c r="S675" i="11"/>
  <c r="R675" i="11"/>
  <c r="Q675" i="11"/>
  <c r="P675" i="11"/>
  <c r="O675" i="11"/>
  <c r="N675" i="11"/>
  <c r="M675" i="11"/>
  <c r="L675" i="11"/>
  <c r="K675" i="11"/>
  <c r="J675" i="11"/>
  <c r="I675" i="11"/>
  <c r="H675" i="11"/>
  <c r="G675" i="11"/>
  <c r="F675" i="11"/>
  <c r="E675" i="11"/>
  <c r="D675" i="11"/>
  <c r="C675" i="11"/>
  <c r="B675" i="11"/>
  <c r="A675" i="11"/>
  <c r="AL674" i="11"/>
  <c r="AK674" i="11"/>
  <c r="AJ674" i="11"/>
  <c r="AI674" i="11"/>
  <c r="AH674" i="11"/>
  <c r="AG674" i="11"/>
  <c r="AF674" i="11"/>
  <c r="AE674" i="11"/>
  <c r="AD674" i="11"/>
  <c r="AC674" i="11"/>
  <c r="AB674" i="11"/>
  <c r="AA674" i="11"/>
  <c r="Z674" i="11"/>
  <c r="Y674" i="11"/>
  <c r="X674" i="11"/>
  <c r="W674" i="11"/>
  <c r="V674" i="11"/>
  <c r="U674" i="11"/>
  <c r="T674" i="11"/>
  <c r="S674" i="11"/>
  <c r="R674" i="11"/>
  <c r="Q674" i="11"/>
  <c r="P674" i="11"/>
  <c r="O674" i="11"/>
  <c r="N674" i="11"/>
  <c r="M674" i="11"/>
  <c r="L674" i="11"/>
  <c r="K674" i="11"/>
  <c r="J674" i="11"/>
  <c r="I674" i="11"/>
  <c r="H674" i="11"/>
  <c r="G674" i="11"/>
  <c r="F674" i="11"/>
  <c r="E674" i="11"/>
  <c r="D674" i="11"/>
  <c r="C674" i="11"/>
  <c r="B674" i="11"/>
  <c r="A674" i="11"/>
  <c r="AL673" i="11"/>
  <c r="AK673" i="11"/>
  <c r="AJ673" i="11"/>
  <c r="AI673" i="11"/>
  <c r="AH673" i="11"/>
  <c r="AG673" i="11"/>
  <c r="AF673" i="11"/>
  <c r="AE673" i="11"/>
  <c r="AD673" i="11"/>
  <c r="AC673" i="11"/>
  <c r="AB673" i="11"/>
  <c r="AA673" i="11"/>
  <c r="Z673" i="11"/>
  <c r="Y673" i="11"/>
  <c r="X673" i="11"/>
  <c r="W673" i="11"/>
  <c r="V673" i="11"/>
  <c r="U673" i="11"/>
  <c r="T673" i="11"/>
  <c r="S673" i="11"/>
  <c r="R673" i="11"/>
  <c r="Q673" i="11"/>
  <c r="P673" i="11"/>
  <c r="O673" i="11"/>
  <c r="N673" i="11"/>
  <c r="M673" i="11"/>
  <c r="L673" i="11"/>
  <c r="K673" i="11"/>
  <c r="J673" i="11"/>
  <c r="I673" i="11"/>
  <c r="H673" i="11"/>
  <c r="G673" i="11"/>
  <c r="F673" i="11"/>
  <c r="E673" i="11"/>
  <c r="D673" i="11"/>
  <c r="C673" i="11"/>
  <c r="B673" i="11"/>
  <c r="A673" i="11"/>
  <c r="AL672" i="11"/>
  <c r="AK672" i="11"/>
  <c r="AJ672" i="11"/>
  <c r="AI672" i="11"/>
  <c r="AH672" i="11"/>
  <c r="AG672" i="11"/>
  <c r="AF672" i="11"/>
  <c r="AE672" i="11"/>
  <c r="AD672" i="11"/>
  <c r="AC672" i="11"/>
  <c r="AB672" i="11"/>
  <c r="AA672" i="11"/>
  <c r="Z672" i="11"/>
  <c r="Y672" i="11"/>
  <c r="X672" i="11"/>
  <c r="W672" i="11"/>
  <c r="V672" i="11"/>
  <c r="U672" i="11"/>
  <c r="T672" i="11"/>
  <c r="S672" i="11"/>
  <c r="R672" i="11"/>
  <c r="Q672" i="11"/>
  <c r="P672" i="11"/>
  <c r="O672" i="11"/>
  <c r="N672" i="11"/>
  <c r="M672" i="11"/>
  <c r="L672" i="11"/>
  <c r="K672" i="11"/>
  <c r="J672" i="11"/>
  <c r="I672" i="11"/>
  <c r="H672" i="11"/>
  <c r="G672" i="11"/>
  <c r="F672" i="11"/>
  <c r="E672" i="11"/>
  <c r="D672" i="11"/>
  <c r="C672" i="11"/>
  <c r="B672" i="11"/>
  <c r="A672" i="11"/>
  <c r="AL671" i="11"/>
  <c r="AK671" i="11"/>
  <c r="AJ671" i="11"/>
  <c r="AI671" i="11"/>
  <c r="AH671" i="11"/>
  <c r="AG671" i="11"/>
  <c r="AF671" i="11"/>
  <c r="AE671" i="11"/>
  <c r="AD671" i="11"/>
  <c r="AC671" i="11"/>
  <c r="AB671" i="11"/>
  <c r="AA671" i="11"/>
  <c r="Z671" i="11"/>
  <c r="Y671" i="11"/>
  <c r="X671" i="11"/>
  <c r="W671" i="11"/>
  <c r="V671" i="11"/>
  <c r="U671" i="11"/>
  <c r="T671" i="11"/>
  <c r="S671" i="11"/>
  <c r="R671" i="11"/>
  <c r="Q671" i="11"/>
  <c r="P671" i="11"/>
  <c r="O671" i="11"/>
  <c r="N671" i="11"/>
  <c r="M671" i="11"/>
  <c r="L671" i="11"/>
  <c r="K671" i="11"/>
  <c r="J671" i="11"/>
  <c r="I671" i="11"/>
  <c r="H671" i="11"/>
  <c r="G671" i="11"/>
  <c r="F671" i="11"/>
  <c r="E671" i="11"/>
  <c r="D671" i="11"/>
  <c r="C671" i="11"/>
  <c r="B671" i="11"/>
  <c r="A671" i="11"/>
  <c r="AL670" i="11"/>
  <c r="AK670" i="11"/>
  <c r="AJ670" i="11"/>
  <c r="AI670" i="11"/>
  <c r="AH670" i="11"/>
  <c r="AG670" i="11"/>
  <c r="AF670" i="11"/>
  <c r="AE670" i="11"/>
  <c r="AD670" i="11"/>
  <c r="AC670" i="11"/>
  <c r="AB670" i="11"/>
  <c r="AA670" i="11"/>
  <c r="Z670" i="11"/>
  <c r="Y670" i="11"/>
  <c r="X670" i="11"/>
  <c r="W670" i="11"/>
  <c r="V670" i="11"/>
  <c r="U670" i="11"/>
  <c r="T670" i="11"/>
  <c r="S670" i="11"/>
  <c r="R670" i="11"/>
  <c r="Q670" i="11"/>
  <c r="P670" i="11"/>
  <c r="O670" i="11"/>
  <c r="N670" i="11"/>
  <c r="M670" i="11"/>
  <c r="L670" i="11"/>
  <c r="K670" i="11"/>
  <c r="J670" i="11"/>
  <c r="I670" i="11"/>
  <c r="H670" i="11"/>
  <c r="G670" i="11"/>
  <c r="F670" i="11"/>
  <c r="E670" i="11"/>
  <c r="D670" i="11"/>
  <c r="C670" i="11"/>
  <c r="B670" i="11"/>
  <c r="A670" i="11"/>
  <c r="AL669" i="11"/>
  <c r="AK669" i="11"/>
  <c r="AJ669" i="11"/>
  <c r="AI669" i="11"/>
  <c r="AH669" i="11"/>
  <c r="AG669" i="11"/>
  <c r="AF669" i="11"/>
  <c r="AE669" i="11"/>
  <c r="AD669" i="11"/>
  <c r="AC669" i="11"/>
  <c r="AB669" i="11"/>
  <c r="AA669" i="11"/>
  <c r="Z669" i="11"/>
  <c r="Y669" i="11"/>
  <c r="X669" i="11"/>
  <c r="W669" i="11"/>
  <c r="V669" i="11"/>
  <c r="U669" i="11"/>
  <c r="T669" i="11"/>
  <c r="S669" i="11"/>
  <c r="R669" i="11"/>
  <c r="Q669" i="11"/>
  <c r="P669" i="11"/>
  <c r="O669" i="11"/>
  <c r="N669" i="11"/>
  <c r="M669" i="11"/>
  <c r="L669" i="11"/>
  <c r="K669" i="11"/>
  <c r="J669" i="11"/>
  <c r="I669" i="11"/>
  <c r="H669" i="11"/>
  <c r="G669" i="11"/>
  <c r="F669" i="11"/>
  <c r="E669" i="11"/>
  <c r="D669" i="11"/>
  <c r="C669" i="11"/>
  <c r="B669" i="11"/>
  <c r="A669" i="11"/>
  <c r="AL668" i="11"/>
  <c r="AK668" i="11"/>
  <c r="AJ668" i="11"/>
  <c r="AI668" i="11"/>
  <c r="AH668" i="11"/>
  <c r="AG668" i="11"/>
  <c r="AF668" i="11"/>
  <c r="AE668" i="11"/>
  <c r="AD668" i="11"/>
  <c r="AC668" i="11"/>
  <c r="AB668" i="11"/>
  <c r="AA668" i="11"/>
  <c r="Z668" i="11"/>
  <c r="Y668" i="11"/>
  <c r="X668" i="11"/>
  <c r="W668" i="11"/>
  <c r="V668" i="11"/>
  <c r="U668" i="11"/>
  <c r="T668" i="11"/>
  <c r="S668" i="11"/>
  <c r="R668" i="11"/>
  <c r="Q668" i="11"/>
  <c r="P668" i="11"/>
  <c r="O668" i="11"/>
  <c r="N668" i="11"/>
  <c r="M668" i="11"/>
  <c r="L668" i="11"/>
  <c r="K668" i="11"/>
  <c r="J668" i="11"/>
  <c r="I668" i="11"/>
  <c r="H668" i="11"/>
  <c r="G668" i="11"/>
  <c r="F668" i="11"/>
  <c r="E668" i="11"/>
  <c r="D668" i="11"/>
  <c r="C668" i="11"/>
  <c r="B668" i="11"/>
  <c r="A668" i="11"/>
  <c r="AL667" i="11"/>
  <c r="AK667" i="11"/>
  <c r="AJ667" i="11"/>
  <c r="AI667" i="11"/>
  <c r="AH667" i="11"/>
  <c r="AG667" i="11"/>
  <c r="AF667" i="11"/>
  <c r="AE667" i="11"/>
  <c r="AD667" i="11"/>
  <c r="AC667" i="11"/>
  <c r="AB667" i="11"/>
  <c r="AA667" i="11"/>
  <c r="Z667" i="11"/>
  <c r="Y667" i="11"/>
  <c r="X667" i="11"/>
  <c r="W667" i="11"/>
  <c r="V667" i="11"/>
  <c r="U667" i="11"/>
  <c r="T667" i="11"/>
  <c r="S667" i="11"/>
  <c r="R667" i="11"/>
  <c r="Q667" i="11"/>
  <c r="P667" i="11"/>
  <c r="O667" i="11"/>
  <c r="N667" i="11"/>
  <c r="M667" i="11"/>
  <c r="L667" i="11"/>
  <c r="K667" i="11"/>
  <c r="J667" i="11"/>
  <c r="I667" i="11"/>
  <c r="H667" i="11"/>
  <c r="G667" i="11"/>
  <c r="F667" i="11"/>
  <c r="E667" i="11"/>
  <c r="D667" i="11"/>
  <c r="C667" i="11"/>
  <c r="B667" i="11"/>
  <c r="A667" i="11"/>
  <c r="AL666" i="11"/>
  <c r="AK666" i="11"/>
  <c r="AJ666" i="11"/>
  <c r="AI666" i="11"/>
  <c r="AH666" i="11"/>
  <c r="AG666" i="11"/>
  <c r="AF666" i="11"/>
  <c r="AE666" i="11"/>
  <c r="AD666" i="11"/>
  <c r="AC666" i="11"/>
  <c r="AB666" i="11"/>
  <c r="AA666" i="11"/>
  <c r="Z666" i="11"/>
  <c r="Y666" i="11"/>
  <c r="X666" i="11"/>
  <c r="W666" i="11"/>
  <c r="V666" i="11"/>
  <c r="U666" i="11"/>
  <c r="T666" i="11"/>
  <c r="S666" i="11"/>
  <c r="R666" i="11"/>
  <c r="Q666" i="11"/>
  <c r="P666" i="11"/>
  <c r="O666" i="11"/>
  <c r="N666" i="11"/>
  <c r="M666" i="11"/>
  <c r="L666" i="11"/>
  <c r="K666" i="11"/>
  <c r="J666" i="11"/>
  <c r="I666" i="11"/>
  <c r="H666" i="11"/>
  <c r="G666" i="11"/>
  <c r="F666" i="11"/>
  <c r="E666" i="11"/>
  <c r="D666" i="11"/>
  <c r="C666" i="11"/>
  <c r="B666" i="11"/>
  <c r="A666" i="11"/>
  <c r="AL665" i="11"/>
  <c r="AK665" i="11"/>
  <c r="AJ665" i="11"/>
  <c r="AI665" i="11"/>
  <c r="AH665" i="11"/>
  <c r="AG665" i="11"/>
  <c r="AF665" i="11"/>
  <c r="AE665" i="11"/>
  <c r="AD665" i="11"/>
  <c r="AC665" i="11"/>
  <c r="AB665" i="11"/>
  <c r="AA665" i="11"/>
  <c r="Z665" i="11"/>
  <c r="Y665" i="11"/>
  <c r="X665" i="11"/>
  <c r="W665" i="11"/>
  <c r="V665" i="11"/>
  <c r="U665" i="11"/>
  <c r="T665" i="11"/>
  <c r="S665" i="11"/>
  <c r="R665" i="11"/>
  <c r="Q665" i="11"/>
  <c r="P665" i="11"/>
  <c r="O665" i="11"/>
  <c r="N665" i="11"/>
  <c r="M665" i="11"/>
  <c r="L665" i="11"/>
  <c r="K665" i="11"/>
  <c r="J665" i="11"/>
  <c r="I665" i="11"/>
  <c r="H665" i="11"/>
  <c r="G665" i="11"/>
  <c r="F665" i="11"/>
  <c r="E665" i="11"/>
  <c r="D665" i="11"/>
  <c r="C665" i="11"/>
  <c r="B665" i="11"/>
  <c r="A665" i="11"/>
  <c r="AL664" i="11"/>
  <c r="AK664" i="11"/>
  <c r="AJ664" i="11"/>
  <c r="AI664" i="11"/>
  <c r="AH664" i="11"/>
  <c r="AG664" i="11"/>
  <c r="AF664" i="11"/>
  <c r="AE664" i="11"/>
  <c r="AD664" i="11"/>
  <c r="AC664" i="11"/>
  <c r="AB664" i="11"/>
  <c r="AA664" i="11"/>
  <c r="Z664" i="11"/>
  <c r="Y664" i="11"/>
  <c r="X664" i="11"/>
  <c r="W664" i="11"/>
  <c r="V664" i="11"/>
  <c r="U664" i="11"/>
  <c r="T664" i="11"/>
  <c r="S664" i="11"/>
  <c r="R664" i="11"/>
  <c r="Q664" i="11"/>
  <c r="P664" i="11"/>
  <c r="O664" i="11"/>
  <c r="N664" i="11"/>
  <c r="M664" i="11"/>
  <c r="L664" i="11"/>
  <c r="K664" i="11"/>
  <c r="J664" i="11"/>
  <c r="I664" i="11"/>
  <c r="H664" i="11"/>
  <c r="G664" i="11"/>
  <c r="F664" i="11"/>
  <c r="E664" i="11"/>
  <c r="D664" i="11"/>
  <c r="C664" i="11"/>
  <c r="B664" i="11"/>
  <c r="A664" i="11"/>
  <c r="AL663" i="11"/>
  <c r="AK663" i="11"/>
  <c r="AJ663" i="11"/>
  <c r="AI663" i="11"/>
  <c r="AH663" i="11"/>
  <c r="AG663" i="11"/>
  <c r="AF663" i="11"/>
  <c r="AE663" i="11"/>
  <c r="AD663" i="11"/>
  <c r="AC663" i="11"/>
  <c r="AB663" i="11"/>
  <c r="AA663" i="11"/>
  <c r="Z663" i="11"/>
  <c r="Y663" i="11"/>
  <c r="X663" i="11"/>
  <c r="W663" i="11"/>
  <c r="V663" i="11"/>
  <c r="U663" i="11"/>
  <c r="T663" i="11"/>
  <c r="S663" i="11"/>
  <c r="R663" i="11"/>
  <c r="Q663" i="11"/>
  <c r="P663" i="11"/>
  <c r="O663" i="11"/>
  <c r="N663" i="11"/>
  <c r="M663" i="11"/>
  <c r="L663" i="11"/>
  <c r="K663" i="11"/>
  <c r="J663" i="11"/>
  <c r="I663" i="11"/>
  <c r="H663" i="11"/>
  <c r="G663" i="11"/>
  <c r="F663" i="11"/>
  <c r="E663" i="11"/>
  <c r="D663" i="11"/>
  <c r="C663" i="11"/>
  <c r="B663" i="11"/>
  <c r="A663" i="11"/>
  <c r="AL662" i="11"/>
  <c r="AF662" i="11"/>
  <c r="AA662" i="11"/>
  <c r="Y662" i="11"/>
  <c r="X662" i="11"/>
  <c r="T662" i="11"/>
  <c r="S662" i="11"/>
  <c r="R662" i="11"/>
  <c r="Q662" i="11"/>
  <c r="P662" i="11"/>
  <c r="O662" i="11"/>
  <c r="N662" i="11"/>
  <c r="M662" i="11"/>
  <c r="L662" i="11"/>
  <c r="K662" i="11"/>
  <c r="J662" i="11"/>
  <c r="I662" i="11"/>
  <c r="H662" i="11"/>
  <c r="G662" i="11"/>
  <c r="F662" i="11"/>
  <c r="E662" i="11"/>
  <c r="D662" i="11"/>
  <c r="C662" i="11"/>
  <c r="B662" i="11"/>
  <c r="A662" i="11"/>
  <c r="AL661" i="11"/>
  <c r="AK661" i="11"/>
  <c r="AJ661" i="11"/>
  <c r="AI661" i="11"/>
  <c r="AH661" i="11"/>
  <c r="AG661" i="11"/>
  <c r="AF661" i="11"/>
  <c r="AE661" i="11"/>
  <c r="AD661" i="11"/>
  <c r="AC661" i="11"/>
  <c r="AB661" i="11"/>
  <c r="AA661" i="11"/>
  <c r="Z661" i="11"/>
  <c r="Y661" i="11"/>
  <c r="X661" i="11"/>
  <c r="W661" i="11"/>
  <c r="V661" i="11"/>
  <c r="U661" i="11"/>
  <c r="T661" i="11"/>
  <c r="S661" i="11"/>
  <c r="R661" i="11"/>
  <c r="Q661" i="11"/>
  <c r="P661" i="11"/>
  <c r="O661" i="11"/>
  <c r="N661" i="11"/>
  <c r="M661" i="11"/>
  <c r="L661" i="11"/>
  <c r="K661" i="11"/>
  <c r="J661" i="11"/>
  <c r="I661" i="11"/>
  <c r="H661" i="11"/>
  <c r="G661" i="11"/>
  <c r="F661" i="11"/>
  <c r="E661" i="11"/>
  <c r="D661" i="11"/>
  <c r="C661" i="11"/>
  <c r="B661" i="11"/>
  <c r="A661" i="11"/>
  <c r="AK660" i="11"/>
  <c r="AJ660" i="11"/>
  <c r="AI660" i="11"/>
  <c r="AH660" i="11"/>
  <c r="AG660" i="11"/>
  <c r="AF660" i="11"/>
  <c r="AE660" i="11"/>
  <c r="AD660" i="11"/>
  <c r="AC660" i="11"/>
  <c r="AB660" i="11"/>
  <c r="AA660" i="11"/>
  <c r="Z660" i="11"/>
  <c r="Y660" i="11"/>
  <c r="X660" i="11"/>
  <c r="W660" i="11"/>
  <c r="V660" i="11"/>
  <c r="U660" i="11"/>
  <c r="T660" i="11"/>
  <c r="S660" i="11"/>
  <c r="R660" i="11"/>
  <c r="Q660" i="11"/>
  <c r="P660" i="11"/>
  <c r="O660" i="11"/>
  <c r="N660" i="11"/>
  <c r="M660" i="11"/>
  <c r="L660" i="11"/>
  <c r="K660" i="11"/>
  <c r="J660" i="11"/>
  <c r="I660" i="11"/>
  <c r="H660" i="11"/>
  <c r="G660" i="11"/>
  <c r="F660" i="11"/>
  <c r="E660" i="11"/>
  <c r="D660" i="11"/>
  <c r="C660" i="11"/>
  <c r="B660" i="11"/>
  <c r="A660" i="11"/>
  <c r="AL659" i="11"/>
  <c r="AK659" i="11"/>
  <c r="AJ659" i="11"/>
  <c r="AI659" i="11"/>
  <c r="AH659" i="11"/>
  <c r="AG659" i="11"/>
  <c r="AF659" i="11"/>
  <c r="AE659" i="11"/>
  <c r="AD659" i="11"/>
  <c r="AC659" i="11"/>
  <c r="AB659" i="11"/>
  <c r="AA659" i="11"/>
  <c r="Z659" i="11"/>
  <c r="Y659" i="11"/>
  <c r="X659" i="11"/>
  <c r="W659" i="11"/>
  <c r="V659" i="11"/>
  <c r="U659" i="11"/>
  <c r="T659" i="11"/>
  <c r="S659" i="11"/>
  <c r="R659" i="11"/>
  <c r="Q659" i="11"/>
  <c r="P659" i="11"/>
  <c r="O659" i="11"/>
  <c r="N659" i="11"/>
  <c r="M659" i="11"/>
  <c r="L659" i="11"/>
  <c r="K659" i="11"/>
  <c r="J659" i="11"/>
  <c r="I659" i="11"/>
  <c r="H659" i="11"/>
  <c r="G659" i="11"/>
  <c r="F659" i="11"/>
  <c r="E659" i="11"/>
  <c r="D659" i="11"/>
  <c r="C659" i="11"/>
  <c r="B659" i="11"/>
  <c r="A659" i="11"/>
  <c r="AL658" i="11"/>
  <c r="AK658" i="11"/>
  <c r="AJ658" i="11"/>
  <c r="AI658" i="11"/>
  <c r="AH658" i="11"/>
  <c r="AG658" i="11"/>
  <c r="AF658" i="11"/>
  <c r="AE658" i="11"/>
  <c r="AD658" i="11"/>
  <c r="AC658" i="11"/>
  <c r="AB658" i="11"/>
  <c r="AA658" i="11"/>
  <c r="Z658" i="11"/>
  <c r="Y658" i="11"/>
  <c r="X658" i="11"/>
  <c r="W658" i="11"/>
  <c r="V658" i="11"/>
  <c r="U658" i="11"/>
  <c r="T658" i="11"/>
  <c r="S658" i="11"/>
  <c r="R658" i="11"/>
  <c r="Q658" i="11"/>
  <c r="P658" i="11"/>
  <c r="O658" i="11"/>
  <c r="N658" i="11"/>
  <c r="M658" i="11"/>
  <c r="L658" i="11"/>
  <c r="K658" i="11"/>
  <c r="J658" i="11"/>
  <c r="I658" i="11"/>
  <c r="H658" i="11"/>
  <c r="G658" i="11"/>
  <c r="F658" i="11"/>
  <c r="E658" i="11"/>
  <c r="D658" i="11"/>
  <c r="C658" i="11"/>
  <c r="B658" i="11"/>
  <c r="A658" i="11"/>
  <c r="AL657" i="11"/>
  <c r="AK657" i="11"/>
  <c r="AJ657" i="11"/>
  <c r="AI657" i="11"/>
  <c r="AH657" i="11"/>
  <c r="AG657" i="11"/>
  <c r="AF657" i="11"/>
  <c r="AE657" i="11"/>
  <c r="AD657" i="11"/>
  <c r="AC657" i="11"/>
  <c r="AB657" i="11"/>
  <c r="AA657" i="11"/>
  <c r="Z657" i="11"/>
  <c r="Y657" i="11"/>
  <c r="X657" i="11"/>
  <c r="W657" i="11"/>
  <c r="V657" i="11"/>
  <c r="U657" i="11"/>
  <c r="T657" i="11"/>
  <c r="S657" i="11"/>
  <c r="R657" i="11"/>
  <c r="Q657" i="11"/>
  <c r="P657" i="11"/>
  <c r="O657" i="11"/>
  <c r="N657" i="11"/>
  <c r="M657" i="11"/>
  <c r="L657" i="11"/>
  <c r="K657" i="11"/>
  <c r="J657" i="11"/>
  <c r="I657" i="11"/>
  <c r="H657" i="11"/>
  <c r="G657" i="11"/>
  <c r="F657" i="11"/>
  <c r="E657" i="11"/>
  <c r="D657" i="11"/>
  <c r="C657" i="11"/>
  <c r="B657" i="11"/>
  <c r="A657" i="11"/>
  <c r="AL656" i="11"/>
  <c r="AK656" i="11"/>
  <c r="AJ656" i="11"/>
  <c r="AI656" i="11"/>
  <c r="AH656" i="11"/>
  <c r="AG656" i="11"/>
  <c r="AF656" i="11"/>
  <c r="AE656" i="11"/>
  <c r="AD656" i="11"/>
  <c r="AC656" i="11"/>
  <c r="AB656" i="11"/>
  <c r="AA656" i="11"/>
  <c r="Z656" i="11"/>
  <c r="Y656" i="11"/>
  <c r="X656" i="11"/>
  <c r="W656" i="11"/>
  <c r="V656" i="11"/>
  <c r="U656" i="11"/>
  <c r="T656" i="11"/>
  <c r="S656" i="11"/>
  <c r="R656" i="11"/>
  <c r="Q656" i="11"/>
  <c r="P656" i="11"/>
  <c r="O656" i="11"/>
  <c r="N656" i="11"/>
  <c r="M656" i="11"/>
  <c r="L656" i="11"/>
  <c r="K656" i="11"/>
  <c r="J656" i="11"/>
  <c r="I656" i="11"/>
  <c r="H656" i="11"/>
  <c r="G656" i="11"/>
  <c r="F656" i="11"/>
  <c r="E656" i="11"/>
  <c r="D656" i="11"/>
  <c r="C656" i="11"/>
  <c r="B656" i="11"/>
  <c r="A656" i="11"/>
  <c r="AL655" i="11"/>
  <c r="AK655" i="11"/>
  <c r="AJ655" i="11"/>
  <c r="AI655" i="11"/>
  <c r="AH655" i="11"/>
  <c r="AG655" i="11"/>
  <c r="AF655" i="11"/>
  <c r="AE655" i="11"/>
  <c r="AD655" i="11"/>
  <c r="AC655" i="11"/>
  <c r="AB655" i="11"/>
  <c r="AA655" i="11"/>
  <c r="Z655" i="11"/>
  <c r="Y655" i="11"/>
  <c r="X655" i="11"/>
  <c r="W655" i="11"/>
  <c r="V655" i="11"/>
  <c r="U655" i="11"/>
  <c r="T655" i="11"/>
  <c r="S655" i="11"/>
  <c r="R655" i="11"/>
  <c r="Q655" i="11"/>
  <c r="P655" i="11"/>
  <c r="O655" i="11"/>
  <c r="N655" i="11"/>
  <c r="M655" i="11"/>
  <c r="L655" i="11"/>
  <c r="K655" i="11"/>
  <c r="J655" i="11"/>
  <c r="I655" i="11"/>
  <c r="H655" i="11"/>
  <c r="G655" i="11"/>
  <c r="F655" i="11"/>
  <c r="E655" i="11"/>
  <c r="D655" i="11"/>
  <c r="C655" i="11"/>
  <c r="B655" i="11"/>
  <c r="A655" i="11"/>
  <c r="AL654" i="11"/>
  <c r="AK654" i="11"/>
  <c r="AJ654" i="11"/>
  <c r="AI654" i="11"/>
  <c r="AH654" i="11"/>
  <c r="AG654" i="11"/>
  <c r="AF654" i="11"/>
  <c r="AE654" i="11"/>
  <c r="AD654" i="11"/>
  <c r="AC654" i="11"/>
  <c r="AB654" i="11"/>
  <c r="AA654" i="11"/>
  <c r="Z654" i="11"/>
  <c r="Y654" i="11"/>
  <c r="X654" i="11"/>
  <c r="W654" i="11"/>
  <c r="V654" i="11"/>
  <c r="U654" i="11"/>
  <c r="T654" i="11"/>
  <c r="S654" i="11"/>
  <c r="R654" i="11"/>
  <c r="Q654" i="11"/>
  <c r="P654" i="11"/>
  <c r="O654" i="11"/>
  <c r="N654" i="11"/>
  <c r="M654" i="11"/>
  <c r="L654" i="11"/>
  <c r="K654" i="11"/>
  <c r="J654" i="11"/>
  <c r="I654" i="11"/>
  <c r="H654" i="11"/>
  <c r="G654" i="11"/>
  <c r="F654" i="11"/>
  <c r="E654" i="11"/>
  <c r="D654" i="11"/>
  <c r="C654" i="11"/>
  <c r="B654" i="11"/>
  <c r="A654" i="11"/>
  <c r="AL653" i="11"/>
  <c r="AK653" i="11"/>
  <c r="AJ653" i="11"/>
  <c r="AI653" i="11"/>
  <c r="AH653" i="11"/>
  <c r="AG653" i="11"/>
  <c r="AF653" i="11"/>
  <c r="AE653" i="11"/>
  <c r="AD653" i="11"/>
  <c r="AC653" i="11"/>
  <c r="AB653" i="11"/>
  <c r="AA653" i="11"/>
  <c r="Z653" i="11"/>
  <c r="Y653" i="11"/>
  <c r="X653" i="11"/>
  <c r="W653" i="11"/>
  <c r="V653" i="11"/>
  <c r="U653" i="11"/>
  <c r="T653" i="11"/>
  <c r="S653" i="11"/>
  <c r="R653" i="11"/>
  <c r="Q653" i="11"/>
  <c r="P653" i="11"/>
  <c r="O653" i="11"/>
  <c r="N653" i="11"/>
  <c r="M653" i="11"/>
  <c r="L653" i="11"/>
  <c r="K653" i="11"/>
  <c r="J653" i="11"/>
  <c r="I653" i="11"/>
  <c r="H653" i="11"/>
  <c r="G653" i="11"/>
  <c r="F653" i="11"/>
  <c r="E653" i="11"/>
  <c r="D653" i="11"/>
  <c r="C653" i="11"/>
  <c r="B653" i="11"/>
  <c r="A653" i="11"/>
  <c r="AL652" i="11"/>
  <c r="AK652" i="11"/>
  <c r="AJ652" i="11"/>
  <c r="AI652" i="11"/>
  <c r="AH652" i="11"/>
  <c r="AG652" i="11"/>
  <c r="AF652" i="11"/>
  <c r="AE652" i="11"/>
  <c r="AD652" i="11"/>
  <c r="AC652" i="11"/>
  <c r="AB652" i="11"/>
  <c r="AA652" i="11"/>
  <c r="Z652" i="11"/>
  <c r="Y652" i="11"/>
  <c r="X652" i="11"/>
  <c r="W652" i="11"/>
  <c r="V652" i="11"/>
  <c r="U652" i="11"/>
  <c r="T652" i="11"/>
  <c r="S652" i="11"/>
  <c r="R652" i="11"/>
  <c r="Q652" i="11"/>
  <c r="P652" i="11"/>
  <c r="O652" i="11"/>
  <c r="N652" i="11"/>
  <c r="M652" i="11"/>
  <c r="L652" i="11"/>
  <c r="K652" i="11"/>
  <c r="J652" i="11"/>
  <c r="I652" i="11"/>
  <c r="H652" i="11"/>
  <c r="G652" i="11"/>
  <c r="F652" i="11"/>
  <c r="E652" i="11"/>
  <c r="D652" i="11"/>
  <c r="C652" i="11"/>
  <c r="B652" i="11"/>
  <c r="A652" i="11"/>
  <c r="AL651" i="11"/>
  <c r="AK651" i="11"/>
  <c r="AJ651" i="11"/>
  <c r="AI651" i="11"/>
  <c r="AH651" i="11"/>
  <c r="AG651" i="11"/>
  <c r="AF651" i="11"/>
  <c r="AE651" i="11"/>
  <c r="AD651" i="11"/>
  <c r="AC651" i="11"/>
  <c r="AB651" i="11"/>
  <c r="AA651" i="11"/>
  <c r="Z651" i="11"/>
  <c r="Y651" i="11"/>
  <c r="X651" i="11"/>
  <c r="W651" i="11"/>
  <c r="V651" i="11"/>
  <c r="U651" i="11"/>
  <c r="T651" i="11"/>
  <c r="S651" i="11"/>
  <c r="R651" i="11"/>
  <c r="Q651" i="11"/>
  <c r="P651" i="11"/>
  <c r="O651" i="11"/>
  <c r="N651" i="11"/>
  <c r="M651" i="11"/>
  <c r="L651" i="11"/>
  <c r="K651" i="11"/>
  <c r="J651" i="11"/>
  <c r="I651" i="11"/>
  <c r="H651" i="11"/>
  <c r="G651" i="11"/>
  <c r="F651" i="11"/>
  <c r="E651" i="11"/>
  <c r="D651" i="11"/>
  <c r="C651" i="11"/>
  <c r="B651" i="11"/>
  <c r="A651" i="11"/>
  <c r="AL650" i="11"/>
  <c r="AK650" i="11"/>
  <c r="AJ650" i="11"/>
  <c r="AI650" i="11"/>
  <c r="AH650" i="11"/>
  <c r="AG650" i="11"/>
  <c r="AF650" i="11"/>
  <c r="AE650" i="11"/>
  <c r="AD650" i="11"/>
  <c r="AC650" i="11"/>
  <c r="AB650" i="11"/>
  <c r="AA650" i="11"/>
  <c r="Z650" i="11"/>
  <c r="Y650" i="11"/>
  <c r="X650" i="11"/>
  <c r="W650" i="11"/>
  <c r="V650" i="11"/>
  <c r="U650" i="11"/>
  <c r="T650" i="11"/>
  <c r="S650" i="11"/>
  <c r="R650" i="11"/>
  <c r="Q650" i="11"/>
  <c r="P650" i="11"/>
  <c r="O650" i="11"/>
  <c r="N650" i="11"/>
  <c r="M650" i="11"/>
  <c r="L650" i="11"/>
  <c r="K650" i="11"/>
  <c r="J650" i="11"/>
  <c r="I650" i="11"/>
  <c r="H650" i="11"/>
  <c r="G650" i="11"/>
  <c r="F650" i="11"/>
  <c r="E650" i="11"/>
  <c r="D650" i="11"/>
  <c r="C650" i="11"/>
  <c r="B650" i="11"/>
  <c r="A650" i="11"/>
  <c r="E649" i="11"/>
  <c r="D649" i="11"/>
  <c r="C649" i="11"/>
  <c r="B649" i="11"/>
  <c r="A649" i="11"/>
  <c r="E648" i="11"/>
  <c r="D648" i="11"/>
  <c r="C648" i="11"/>
  <c r="B648" i="11"/>
  <c r="A648" i="11"/>
  <c r="E647" i="11"/>
  <c r="D647" i="11"/>
  <c r="C647" i="11"/>
  <c r="B647" i="11"/>
  <c r="A647" i="11"/>
  <c r="E646" i="11"/>
  <c r="D646" i="11"/>
  <c r="C646" i="11"/>
  <c r="B646" i="11"/>
  <c r="A646" i="11"/>
  <c r="AF645" i="11"/>
  <c r="AA645" i="11"/>
  <c r="Z645" i="11"/>
  <c r="X645" i="11"/>
  <c r="W645" i="11"/>
  <c r="V645" i="11"/>
  <c r="U645" i="11"/>
  <c r="T645" i="11"/>
  <c r="S645" i="11"/>
  <c r="R645" i="11"/>
  <c r="Q645" i="11"/>
  <c r="P645" i="11"/>
  <c r="O645" i="11"/>
  <c r="N645" i="11"/>
  <c r="M645" i="11"/>
  <c r="L645" i="11"/>
  <c r="K645" i="11"/>
  <c r="J645" i="11"/>
  <c r="I645" i="11"/>
  <c r="H645" i="11"/>
  <c r="G645" i="11"/>
  <c r="F645" i="11"/>
  <c r="E645" i="11"/>
  <c r="D645" i="11"/>
  <c r="C645" i="11"/>
  <c r="B645" i="11"/>
  <c r="A645" i="11"/>
  <c r="D644" i="11"/>
  <c r="C644" i="11"/>
  <c r="B644" i="11"/>
  <c r="A644" i="11"/>
  <c r="AL643" i="11"/>
  <c r="AK643" i="11"/>
  <c r="AJ643" i="11"/>
  <c r="AI643" i="11"/>
  <c r="AH643" i="11"/>
  <c r="AG643" i="11"/>
  <c r="AF643" i="11"/>
  <c r="AE643" i="11"/>
  <c r="AD643" i="11"/>
  <c r="AC643" i="11"/>
  <c r="AB643" i="11"/>
  <c r="AA643" i="11"/>
  <c r="Z643" i="11"/>
  <c r="Y643" i="11"/>
  <c r="X643" i="11"/>
  <c r="W643" i="11"/>
  <c r="V643" i="11"/>
  <c r="U643" i="11"/>
  <c r="T643" i="11"/>
  <c r="S643" i="11"/>
  <c r="R643" i="11"/>
  <c r="Q643" i="11"/>
  <c r="P643" i="11"/>
  <c r="O643" i="11"/>
  <c r="N643" i="11"/>
  <c r="M643" i="11"/>
  <c r="L643" i="11"/>
  <c r="J643" i="11"/>
  <c r="I643" i="11"/>
  <c r="H643" i="11"/>
  <c r="G643" i="11"/>
  <c r="F643" i="11"/>
  <c r="E643" i="11"/>
  <c r="D643" i="11"/>
  <c r="C643" i="11"/>
  <c r="B643" i="11"/>
  <c r="A643" i="11"/>
  <c r="AH642" i="11"/>
  <c r="AF642" i="11"/>
  <c r="S642" i="11"/>
  <c r="R642" i="11"/>
  <c r="Q642" i="11"/>
  <c r="P642" i="11"/>
  <c r="O642" i="11"/>
  <c r="N642" i="11"/>
  <c r="M642" i="11"/>
  <c r="L642" i="11"/>
  <c r="K642" i="11"/>
  <c r="J642" i="11"/>
  <c r="I642" i="11"/>
  <c r="H642" i="11"/>
  <c r="G642" i="11"/>
  <c r="F642" i="11"/>
  <c r="E642" i="11"/>
  <c r="D642" i="11"/>
  <c r="C642" i="11"/>
  <c r="B642" i="11"/>
  <c r="A642" i="11"/>
  <c r="AL641" i="11"/>
  <c r="AK641" i="11"/>
  <c r="AJ641" i="11"/>
  <c r="AI641" i="11"/>
  <c r="AH641" i="11"/>
  <c r="AG641" i="11"/>
  <c r="AF641" i="11"/>
  <c r="AE641" i="11"/>
  <c r="AD641" i="11"/>
  <c r="AC641" i="11"/>
  <c r="AB641" i="11"/>
  <c r="AA641" i="11"/>
  <c r="Z641" i="11"/>
  <c r="Y641" i="11"/>
  <c r="X641" i="11"/>
  <c r="W641" i="11"/>
  <c r="V641" i="11"/>
  <c r="U641" i="11"/>
  <c r="T641" i="11"/>
  <c r="S641" i="11"/>
  <c r="R641" i="11"/>
  <c r="Q641" i="11"/>
  <c r="P641" i="11"/>
  <c r="O641" i="11"/>
  <c r="N641" i="11"/>
  <c r="M641" i="11"/>
  <c r="L641" i="11"/>
  <c r="K641" i="11"/>
  <c r="J641" i="11"/>
  <c r="I641" i="11"/>
  <c r="H641" i="11"/>
  <c r="G641" i="11"/>
  <c r="F641" i="11"/>
  <c r="E641" i="11"/>
  <c r="D641" i="11"/>
  <c r="C641" i="11"/>
  <c r="B641" i="11"/>
  <c r="A641" i="11"/>
  <c r="AL640" i="11"/>
  <c r="AK640" i="11"/>
  <c r="AJ640" i="11"/>
  <c r="AI640" i="11"/>
  <c r="AH640" i="11"/>
  <c r="AG640" i="11"/>
  <c r="AF640" i="11"/>
  <c r="AE640" i="11"/>
  <c r="AD640" i="11"/>
  <c r="AC640" i="11"/>
  <c r="AB640" i="11"/>
  <c r="AA640" i="11"/>
  <c r="Z640" i="11"/>
  <c r="Y640" i="11"/>
  <c r="X640" i="11"/>
  <c r="W640" i="11"/>
  <c r="V640" i="11"/>
  <c r="U640" i="11"/>
  <c r="T640" i="11"/>
  <c r="S640" i="11"/>
  <c r="R640" i="11"/>
  <c r="Q640" i="11"/>
  <c r="P640" i="11"/>
  <c r="O640" i="11"/>
  <c r="N640" i="11"/>
  <c r="M640" i="11"/>
  <c r="L640" i="11"/>
  <c r="K640" i="11"/>
  <c r="J640" i="11"/>
  <c r="I640" i="11"/>
  <c r="H640" i="11"/>
  <c r="G640" i="11"/>
  <c r="F640" i="11"/>
  <c r="E640" i="11"/>
  <c r="D640" i="11"/>
  <c r="C640" i="11"/>
  <c r="B640" i="11"/>
  <c r="A640" i="11"/>
  <c r="AL639" i="11"/>
  <c r="AK639" i="11"/>
  <c r="AJ639" i="11"/>
  <c r="AI639" i="11"/>
  <c r="AH639" i="11"/>
  <c r="AG639" i="11"/>
  <c r="AF639" i="11"/>
  <c r="AE639" i="11"/>
  <c r="AD639" i="11"/>
  <c r="AC639" i="11"/>
  <c r="AB639" i="11"/>
  <c r="AA639" i="11"/>
  <c r="Z639" i="11"/>
  <c r="Y639" i="11"/>
  <c r="X639" i="11"/>
  <c r="W639" i="11"/>
  <c r="V639" i="11"/>
  <c r="U639" i="11"/>
  <c r="T639" i="11"/>
  <c r="S639" i="11"/>
  <c r="R639" i="11"/>
  <c r="Q639" i="11"/>
  <c r="P639" i="11"/>
  <c r="O639" i="11"/>
  <c r="N639" i="11"/>
  <c r="M639" i="11"/>
  <c r="L639" i="11"/>
  <c r="K639" i="11"/>
  <c r="J639" i="11"/>
  <c r="I639" i="11"/>
  <c r="H639" i="11"/>
  <c r="G639" i="11"/>
  <c r="F639" i="11"/>
  <c r="E639" i="11"/>
  <c r="D639" i="11"/>
  <c r="C639" i="11"/>
  <c r="B639" i="11"/>
  <c r="A639" i="11"/>
  <c r="AL638" i="11"/>
  <c r="AK638" i="11"/>
  <c r="AJ638" i="11"/>
  <c r="AI638" i="11"/>
  <c r="AH638" i="11"/>
  <c r="AG638" i="11"/>
  <c r="AF638" i="11"/>
  <c r="AE638" i="11"/>
  <c r="AD638" i="11"/>
  <c r="AC638" i="11"/>
  <c r="AB638" i="11"/>
  <c r="AA638" i="11"/>
  <c r="Z638" i="11"/>
  <c r="Y638" i="11"/>
  <c r="X638" i="11"/>
  <c r="W638" i="11"/>
  <c r="V638" i="11"/>
  <c r="U638" i="11"/>
  <c r="T638" i="11"/>
  <c r="S638" i="11"/>
  <c r="R638" i="11"/>
  <c r="Q638" i="11"/>
  <c r="P638" i="11"/>
  <c r="O638" i="11"/>
  <c r="N638" i="11"/>
  <c r="M638" i="11"/>
  <c r="L638" i="11"/>
  <c r="K638" i="11"/>
  <c r="J638" i="11"/>
  <c r="I638" i="11"/>
  <c r="H638" i="11"/>
  <c r="G638" i="11"/>
  <c r="F638" i="11"/>
  <c r="E638" i="11"/>
  <c r="D638" i="11"/>
  <c r="C638" i="11"/>
  <c r="B638" i="11"/>
  <c r="A638" i="11"/>
  <c r="AL637" i="11"/>
  <c r="AK637" i="11"/>
  <c r="AJ637" i="11"/>
  <c r="AI637" i="11"/>
  <c r="AH637" i="11"/>
  <c r="AG637" i="11"/>
  <c r="AF637" i="11"/>
  <c r="AE637" i="11"/>
  <c r="AD637" i="11"/>
  <c r="AC637" i="11"/>
  <c r="AB637" i="11"/>
  <c r="AA637" i="11"/>
  <c r="Z637" i="11"/>
  <c r="Y637" i="11"/>
  <c r="X637" i="11"/>
  <c r="W637" i="11"/>
  <c r="V637" i="11"/>
  <c r="U637" i="11"/>
  <c r="T637" i="11"/>
  <c r="S637" i="11"/>
  <c r="R637" i="11"/>
  <c r="Q637" i="11"/>
  <c r="P637" i="11"/>
  <c r="O637" i="11"/>
  <c r="N637" i="11"/>
  <c r="M637" i="11"/>
  <c r="L637" i="11"/>
  <c r="K637" i="11"/>
  <c r="J637" i="11"/>
  <c r="I637" i="11"/>
  <c r="H637" i="11"/>
  <c r="G637" i="11"/>
  <c r="F637" i="11"/>
  <c r="E637" i="11"/>
  <c r="D637" i="11"/>
  <c r="C637" i="11"/>
  <c r="B637" i="11"/>
  <c r="A637" i="11"/>
  <c r="AL636" i="11"/>
  <c r="AK636" i="11"/>
  <c r="AJ636" i="11"/>
  <c r="AI636" i="11"/>
  <c r="AH636" i="11"/>
  <c r="AG636" i="11"/>
  <c r="AF636" i="11"/>
  <c r="AE636" i="11"/>
  <c r="AD636" i="11"/>
  <c r="AC636" i="11"/>
  <c r="AB636" i="11"/>
  <c r="AA636" i="11"/>
  <c r="Z636" i="11"/>
  <c r="Y636" i="11"/>
  <c r="X636" i="11"/>
  <c r="W636" i="11"/>
  <c r="V636" i="11"/>
  <c r="U636" i="11"/>
  <c r="T636" i="11"/>
  <c r="S636" i="11"/>
  <c r="R636" i="11"/>
  <c r="Q636" i="11"/>
  <c r="P636" i="11"/>
  <c r="O636" i="11"/>
  <c r="N636" i="11"/>
  <c r="M636" i="11"/>
  <c r="L636" i="11"/>
  <c r="K636" i="11"/>
  <c r="J636" i="11"/>
  <c r="I636" i="11"/>
  <c r="H636" i="11"/>
  <c r="G636" i="11"/>
  <c r="F636" i="11"/>
  <c r="E636" i="11"/>
  <c r="D636" i="11"/>
  <c r="C636" i="11"/>
  <c r="B636" i="11"/>
  <c r="A636" i="11"/>
  <c r="AL635" i="11"/>
  <c r="AK635" i="11"/>
  <c r="AJ635" i="11"/>
  <c r="AI635" i="11"/>
  <c r="AH635" i="11"/>
  <c r="AG635" i="11"/>
  <c r="AF635" i="11"/>
  <c r="AE635" i="11"/>
  <c r="AD635" i="11"/>
  <c r="AC635" i="11"/>
  <c r="AB635" i="11"/>
  <c r="AA635" i="11"/>
  <c r="Z635" i="11"/>
  <c r="Y635" i="11"/>
  <c r="X635" i="11"/>
  <c r="W635" i="11"/>
  <c r="V635" i="11"/>
  <c r="U635" i="11"/>
  <c r="T635" i="11"/>
  <c r="S635" i="11"/>
  <c r="R635" i="11"/>
  <c r="Q635" i="11"/>
  <c r="P635" i="11"/>
  <c r="O635" i="11"/>
  <c r="N635" i="11"/>
  <c r="M635" i="11"/>
  <c r="L635" i="11"/>
  <c r="K635" i="11"/>
  <c r="J635" i="11"/>
  <c r="I635" i="11"/>
  <c r="H635" i="11"/>
  <c r="G635" i="11"/>
  <c r="F635" i="11"/>
  <c r="E635" i="11"/>
  <c r="D635" i="11"/>
  <c r="C635" i="11"/>
  <c r="B635" i="11"/>
  <c r="A635" i="11"/>
  <c r="AL634" i="11"/>
  <c r="AK634" i="11"/>
  <c r="AJ634" i="11"/>
  <c r="AI634" i="11"/>
  <c r="AH634" i="11"/>
  <c r="AG634" i="11"/>
  <c r="AF634" i="11"/>
  <c r="AE634" i="11"/>
  <c r="AD634" i="11"/>
  <c r="AC634" i="11"/>
  <c r="AB634" i="11"/>
  <c r="AA634" i="11"/>
  <c r="Z634" i="11"/>
  <c r="Y634" i="11"/>
  <c r="X634" i="11"/>
  <c r="W634" i="11"/>
  <c r="V634" i="11"/>
  <c r="U634" i="11"/>
  <c r="T634" i="11"/>
  <c r="S634" i="11"/>
  <c r="R634" i="11"/>
  <c r="Q634" i="11"/>
  <c r="P634" i="11"/>
  <c r="O634" i="11"/>
  <c r="N634" i="11"/>
  <c r="M634" i="11"/>
  <c r="L634" i="11"/>
  <c r="K634" i="11"/>
  <c r="J634" i="11"/>
  <c r="I634" i="11"/>
  <c r="H634" i="11"/>
  <c r="G634" i="11"/>
  <c r="F634" i="11"/>
  <c r="E634" i="11"/>
  <c r="D634" i="11"/>
  <c r="C634" i="11"/>
  <c r="B634" i="11"/>
  <c r="A634" i="11"/>
  <c r="AL633" i="11"/>
  <c r="AK633" i="11"/>
  <c r="AJ633" i="11"/>
  <c r="AI633" i="11"/>
  <c r="AH633" i="11"/>
  <c r="AG633" i="11"/>
  <c r="AF633" i="11"/>
  <c r="AE633" i="11"/>
  <c r="AD633" i="11"/>
  <c r="AC633" i="11"/>
  <c r="AB633" i="11"/>
  <c r="AA633" i="11"/>
  <c r="Z633" i="11"/>
  <c r="Y633" i="11"/>
  <c r="X633" i="11"/>
  <c r="W633" i="11"/>
  <c r="V633" i="11"/>
  <c r="U633" i="11"/>
  <c r="T633" i="11"/>
  <c r="S633" i="11"/>
  <c r="R633" i="11"/>
  <c r="Q633" i="11"/>
  <c r="P633" i="11"/>
  <c r="O633" i="11"/>
  <c r="N633" i="11"/>
  <c r="M633" i="11"/>
  <c r="L633" i="11"/>
  <c r="K633" i="11"/>
  <c r="J633" i="11"/>
  <c r="I633" i="11"/>
  <c r="H633" i="11"/>
  <c r="G633" i="11"/>
  <c r="F633" i="11"/>
  <c r="E633" i="11"/>
  <c r="D633" i="11"/>
  <c r="C633" i="11"/>
  <c r="B633" i="11"/>
  <c r="A633" i="11"/>
  <c r="AL632" i="11"/>
  <c r="AK632" i="11"/>
  <c r="AJ632" i="11"/>
  <c r="AI632" i="11"/>
  <c r="AH632" i="11"/>
  <c r="AG632" i="11"/>
  <c r="AF632" i="11"/>
  <c r="AE632" i="11"/>
  <c r="AD632" i="11"/>
  <c r="AC632" i="11"/>
  <c r="AB632" i="11"/>
  <c r="AA632" i="11"/>
  <c r="Z632" i="11"/>
  <c r="Y632" i="11"/>
  <c r="X632" i="11"/>
  <c r="W632" i="11"/>
  <c r="V632" i="11"/>
  <c r="U632" i="11"/>
  <c r="T632" i="11"/>
  <c r="S632" i="11"/>
  <c r="R632" i="11"/>
  <c r="Q632" i="11"/>
  <c r="P632" i="11"/>
  <c r="O632" i="11"/>
  <c r="N632" i="11"/>
  <c r="M632" i="11"/>
  <c r="L632" i="11"/>
  <c r="K632" i="11"/>
  <c r="J632" i="11"/>
  <c r="I632" i="11"/>
  <c r="H632" i="11"/>
  <c r="G632" i="11"/>
  <c r="F632" i="11"/>
  <c r="E632" i="11"/>
  <c r="D632" i="11"/>
  <c r="C632" i="11"/>
  <c r="B632" i="11"/>
  <c r="A632" i="11"/>
  <c r="AL631" i="11"/>
  <c r="AK631" i="11"/>
  <c r="AJ631" i="11"/>
  <c r="AI631" i="11"/>
  <c r="AH631" i="11"/>
  <c r="AG631" i="11"/>
  <c r="AF631" i="11"/>
  <c r="AE631" i="11"/>
  <c r="AD631" i="11"/>
  <c r="AC631" i="11"/>
  <c r="AB631" i="11"/>
  <c r="AA631" i="11"/>
  <c r="Z631" i="11"/>
  <c r="Y631" i="11"/>
  <c r="X631" i="11"/>
  <c r="W631" i="11"/>
  <c r="V631" i="11"/>
  <c r="U631" i="11"/>
  <c r="T631" i="11"/>
  <c r="S631" i="11"/>
  <c r="R631" i="11"/>
  <c r="Q631" i="11"/>
  <c r="P631" i="11"/>
  <c r="O631" i="11"/>
  <c r="N631" i="11"/>
  <c r="M631" i="11"/>
  <c r="L631" i="11"/>
  <c r="K631" i="11"/>
  <c r="J631" i="11"/>
  <c r="I631" i="11"/>
  <c r="H631" i="11"/>
  <c r="G631" i="11"/>
  <c r="F631" i="11"/>
  <c r="E631" i="11"/>
  <c r="D631" i="11"/>
  <c r="C631" i="11"/>
  <c r="B631" i="11"/>
  <c r="A631" i="11"/>
  <c r="AL630" i="11"/>
  <c r="AK630" i="11"/>
  <c r="AJ630" i="11"/>
  <c r="AI630" i="11"/>
  <c r="AH630" i="11"/>
  <c r="AG630" i="11"/>
  <c r="AF630" i="11"/>
  <c r="AE630" i="11"/>
  <c r="AD630" i="11"/>
  <c r="AC630" i="11"/>
  <c r="AB630" i="11"/>
  <c r="AA630" i="11"/>
  <c r="Z630" i="11"/>
  <c r="Y630" i="11"/>
  <c r="X630" i="11"/>
  <c r="W630" i="11"/>
  <c r="V630" i="11"/>
  <c r="U630" i="11"/>
  <c r="T630" i="11"/>
  <c r="S630" i="11"/>
  <c r="R630" i="11"/>
  <c r="Q630" i="11"/>
  <c r="P630" i="11"/>
  <c r="O630" i="11"/>
  <c r="N630" i="11"/>
  <c r="M630" i="11"/>
  <c r="L630" i="11"/>
  <c r="K630" i="11"/>
  <c r="J630" i="11"/>
  <c r="I630" i="11"/>
  <c r="H630" i="11"/>
  <c r="G630" i="11"/>
  <c r="F630" i="11"/>
  <c r="E630" i="11"/>
  <c r="D630" i="11"/>
  <c r="C630" i="11"/>
  <c r="B630" i="11"/>
  <c r="A630" i="11"/>
  <c r="AL629" i="11"/>
  <c r="AK629" i="11"/>
  <c r="AJ629" i="11"/>
  <c r="AI629" i="11"/>
  <c r="AH629" i="11"/>
  <c r="AG629" i="11"/>
  <c r="AF629" i="11"/>
  <c r="AE629" i="11"/>
  <c r="AD629" i="11"/>
  <c r="AC629" i="11"/>
  <c r="AB629" i="11"/>
  <c r="AA629" i="11"/>
  <c r="Z629" i="11"/>
  <c r="Y629" i="11"/>
  <c r="X629" i="11"/>
  <c r="W629" i="11"/>
  <c r="V629" i="11"/>
  <c r="U629" i="11"/>
  <c r="T629" i="11"/>
  <c r="S629" i="11"/>
  <c r="R629" i="11"/>
  <c r="Q629" i="11"/>
  <c r="P629" i="11"/>
  <c r="O629" i="11"/>
  <c r="N629" i="11"/>
  <c r="M629" i="11"/>
  <c r="L629" i="11"/>
  <c r="K629" i="11"/>
  <c r="J629" i="11"/>
  <c r="I629" i="11"/>
  <c r="H629" i="11"/>
  <c r="G629" i="11"/>
  <c r="F629" i="11"/>
  <c r="E629" i="11"/>
  <c r="D629" i="11"/>
  <c r="C629" i="11"/>
  <c r="B629" i="11"/>
  <c r="A629" i="11"/>
  <c r="AL628" i="11"/>
  <c r="AK628" i="11"/>
  <c r="AJ628" i="11"/>
  <c r="AI628" i="11"/>
  <c r="AH628" i="11"/>
  <c r="AG628" i="11"/>
  <c r="AF628" i="11"/>
  <c r="AE628" i="11"/>
  <c r="AD628" i="11"/>
  <c r="AC628" i="11"/>
  <c r="AB628" i="11"/>
  <c r="AA628" i="11"/>
  <c r="Z628" i="11"/>
  <c r="Y628" i="11"/>
  <c r="X628" i="11"/>
  <c r="W628" i="11"/>
  <c r="V628" i="11"/>
  <c r="U628" i="11"/>
  <c r="T628" i="11"/>
  <c r="S628" i="11"/>
  <c r="R628" i="11"/>
  <c r="Q628" i="11"/>
  <c r="P628" i="11"/>
  <c r="O628" i="11"/>
  <c r="N628" i="11"/>
  <c r="M628" i="11"/>
  <c r="L628" i="11"/>
  <c r="K628" i="11"/>
  <c r="J628" i="11"/>
  <c r="I628" i="11"/>
  <c r="H628" i="11"/>
  <c r="G628" i="11"/>
  <c r="F628" i="11"/>
  <c r="E628" i="11"/>
  <c r="D628" i="11"/>
  <c r="C628" i="11"/>
  <c r="B628" i="11"/>
  <c r="A628" i="11"/>
  <c r="AL627" i="11"/>
  <c r="AK627" i="11"/>
  <c r="AJ627" i="11"/>
  <c r="AI627" i="11"/>
  <c r="AH627" i="11"/>
  <c r="AG627" i="11"/>
  <c r="AF627" i="11"/>
  <c r="AE627" i="11"/>
  <c r="AD627" i="11"/>
  <c r="AC627" i="11"/>
  <c r="AB627" i="11"/>
  <c r="AA627" i="11"/>
  <c r="Z627" i="11"/>
  <c r="Y627" i="11"/>
  <c r="X627" i="11"/>
  <c r="W627" i="11"/>
  <c r="V627" i="11"/>
  <c r="U627" i="11"/>
  <c r="T627" i="11"/>
  <c r="S627" i="11"/>
  <c r="R627" i="11"/>
  <c r="Q627" i="11"/>
  <c r="P627" i="11"/>
  <c r="O627" i="11"/>
  <c r="N627" i="11"/>
  <c r="M627" i="11"/>
  <c r="L627" i="11"/>
  <c r="K627" i="11"/>
  <c r="J627" i="11"/>
  <c r="I627" i="11"/>
  <c r="H627" i="11"/>
  <c r="G627" i="11"/>
  <c r="F627" i="11"/>
  <c r="E627" i="11"/>
  <c r="D627" i="11"/>
  <c r="C627" i="11"/>
  <c r="B627" i="11"/>
  <c r="A627" i="11"/>
  <c r="AL626" i="11"/>
  <c r="AK626" i="11"/>
  <c r="AJ626" i="11"/>
  <c r="AI626" i="11"/>
  <c r="AH626" i="11"/>
  <c r="AG626" i="11"/>
  <c r="AF626" i="11"/>
  <c r="AE626" i="11"/>
  <c r="AD626" i="11"/>
  <c r="AC626" i="11"/>
  <c r="AB626" i="11"/>
  <c r="AA626" i="11"/>
  <c r="Z626" i="11"/>
  <c r="Y626" i="11"/>
  <c r="X626" i="11"/>
  <c r="W626" i="11"/>
  <c r="V626" i="11"/>
  <c r="U626" i="11"/>
  <c r="T626" i="11"/>
  <c r="S626" i="11"/>
  <c r="R626" i="11"/>
  <c r="Q626" i="11"/>
  <c r="P626" i="11"/>
  <c r="O626" i="11"/>
  <c r="N626" i="11"/>
  <c r="M626" i="11"/>
  <c r="L626" i="11"/>
  <c r="K626" i="11"/>
  <c r="J626" i="11"/>
  <c r="I626" i="11"/>
  <c r="H626" i="11"/>
  <c r="G626" i="11"/>
  <c r="F626" i="11"/>
  <c r="E626" i="11"/>
  <c r="D626" i="11"/>
  <c r="C626" i="11"/>
  <c r="B626" i="11"/>
  <c r="A626" i="11"/>
  <c r="AL625" i="11"/>
  <c r="AK625" i="11"/>
  <c r="AJ625" i="11"/>
  <c r="AI625" i="11"/>
  <c r="AH625" i="11"/>
  <c r="AG625" i="11"/>
  <c r="AF625" i="11"/>
  <c r="AE625" i="11"/>
  <c r="AD625" i="11"/>
  <c r="AC625" i="11"/>
  <c r="AB625" i="11"/>
  <c r="AA625" i="11"/>
  <c r="Z625" i="11"/>
  <c r="Y625" i="11"/>
  <c r="X625" i="11"/>
  <c r="W625" i="11"/>
  <c r="V625" i="11"/>
  <c r="U625" i="11"/>
  <c r="T625" i="11"/>
  <c r="S625" i="11"/>
  <c r="R625" i="11"/>
  <c r="Q625" i="11"/>
  <c r="P625" i="11"/>
  <c r="O625" i="11"/>
  <c r="N625" i="11"/>
  <c r="M625" i="11"/>
  <c r="L625" i="11"/>
  <c r="K625" i="11"/>
  <c r="J625" i="11"/>
  <c r="I625" i="11"/>
  <c r="H625" i="11"/>
  <c r="G625" i="11"/>
  <c r="F625" i="11"/>
  <c r="E625" i="11"/>
  <c r="D625" i="11"/>
  <c r="C625" i="11"/>
  <c r="B625" i="11"/>
  <c r="A625" i="11"/>
  <c r="AL624" i="11"/>
  <c r="AK624" i="11"/>
  <c r="AJ624" i="11"/>
  <c r="AI624" i="11"/>
  <c r="AH624" i="11"/>
  <c r="AG624" i="11"/>
  <c r="AF624" i="11"/>
  <c r="AE624" i="11"/>
  <c r="AD624" i="11"/>
  <c r="AC624" i="11"/>
  <c r="AB624" i="11"/>
  <c r="AA624" i="11"/>
  <c r="Z624" i="11"/>
  <c r="Y624" i="11"/>
  <c r="X624" i="11"/>
  <c r="W624" i="11"/>
  <c r="V624" i="11"/>
  <c r="U624" i="11"/>
  <c r="T624" i="11"/>
  <c r="S624" i="11"/>
  <c r="R624" i="11"/>
  <c r="Q624" i="11"/>
  <c r="P624" i="11"/>
  <c r="O624" i="11"/>
  <c r="N624" i="11"/>
  <c r="M624" i="11"/>
  <c r="L624" i="11"/>
  <c r="K624" i="11"/>
  <c r="J624" i="11"/>
  <c r="I624" i="11"/>
  <c r="H624" i="11"/>
  <c r="G624" i="11"/>
  <c r="F624" i="11"/>
  <c r="E624" i="11"/>
  <c r="D624" i="11"/>
  <c r="C624" i="11"/>
  <c r="B624" i="11"/>
  <c r="A624" i="11"/>
  <c r="AL623" i="11"/>
  <c r="AK623" i="11"/>
  <c r="AJ623" i="11"/>
  <c r="AI623" i="11"/>
  <c r="AH623" i="11"/>
  <c r="AG623" i="11"/>
  <c r="AF623" i="11"/>
  <c r="AE623" i="11"/>
  <c r="AD623" i="11"/>
  <c r="AC623" i="11"/>
  <c r="AB623" i="11"/>
  <c r="AA623" i="11"/>
  <c r="Z623" i="11"/>
  <c r="Y623" i="11"/>
  <c r="X623" i="11"/>
  <c r="W623" i="11"/>
  <c r="V623" i="11"/>
  <c r="U623" i="11"/>
  <c r="T623" i="11"/>
  <c r="S623" i="11"/>
  <c r="R623" i="11"/>
  <c r="Q623" i="11"/>
  <c r="P623" i="11"/>
  <c r="O623" i="11"/>
  <c r="N623" i="11"/>
  <c r="M623" i="11"/>
  <c r="L623" i="11"/>
  <c r="K623" i="11"/>
  <c r="J623" i="11"/>
  <c r="I623" i="11"/>
  <c r="H623" i="11"/>
  <c r="G623" i="11"/>
  <c r="F623" i="11"/>
  <c r="E623" i="11"/>
  <c r="D623" i="11"/>
  <c r="C623" i="11"/>
  <c r="B623" i="11"/>
  <c r="A623" i="11"/>
  <c r="E622" i="11"/>
  <c r="D622" i="11"/>
  <c r="C622" i="11"/>
  <c r="B622" i="11"/>
  <c r="A622" i="11"/>
  <c r="AL621" i="11"/>
  <c r="AK621" i="11"/>
  <c r="AJ621" i="11"/>
  <c r="AI621" i="11"/>
  <c r="AH621" i="11"/>
  <c r="AG621" i="11"/>
  <c r="AF621" i="11"/>
  <c r="AE621" i="11"/>
  <c r="AD621" i="11"/>
  <c r="AC621" i="11"/>
  <c r="AB621" i="11"/>
  <c r="AA621" i="11"/>
  <c r="Z621" i="11"/>
  <c r="Y621" i="11"/>
  <c r="X621" i="11"/>
  <c r="W621" i="11"/>
  <c r="V621" i="11"/>
  <c r="U621" i="11"/>
  <c r="T621" i="11"/>
  <c r="S621" i="11"/>
  <c r="R621" i="11"/>
  <c r="Q621" i="11"/>
  <c r="P621" i="11"/>
  <c r="O621" i="11"/>
  <c r="N621" i="11"/>
  <c r="M621" i="11"/>
  <c r="L621" i="11"/>
  <c r="K621" i="11"/>
  <c r="J621" i="11"/>
  <c r="I621" i="11"/>
  <c r="H621" i="11"/>
  <c r="G621" i="11"/>
  <c r="F621" i="11"/>
  <c r="E621" i="11"/>
  <c r="D621" i="11"/>
  <c r="C621" i="11"/>
  <c r="B621" i="11"/>
  <c r="A621" i="11"/>
  <c r="AL620" i="11"/>
  <c r="AK620" i="11"/>
  <c r="AJ620" i="11"/>
  <c r="AI620" i="11"/>
  <c r="AH620" i="11"/>
  <c r="AG620" i="11"/>
  <c r="AF620" i="11"/>
  <c r="AE620" i="11"/>
  <c r="AD620" i="11"/>
  <c r="AC620" i="11"/>
  <c r="AB620" i="11"/>
  <c r="AA620" i="11"/>
  <c r="Z620" i="11"/>
  <c r="Y620" i="11"/>
  <c r="X620" i="11"/>
  <c r="W620" i="11"/>
  <c r="V620" i="11"/>
  <c r="U620" i="11"/>
  <c r="T620" i="11"/>
  <c r="S620" i="11"/>
  <c r="R620" i="11"/>
  <c r="Q620" i="11"/>
  <c r="P620" i="11"/>
  <c r="O620" i="11"/>
  <c r="N620" i="11"/>
  <c r="M620" i="11"/>
  <c r="L620" i="11"/>
  <c r="K620" i="11"/>
  <c r="J620" i="11"/>
  <c r="I620" i="11"/>
  <c r="H620" i="11"/>
  <c r="G620" i="11"/>
  <c r="F620" i="11"/>
  <c r="E620" i="11"/>
  <c r="D620" i="11"/>
  <c r="C620" i="11"/>
  <c r="B620" i="11"/>
  <c r="A620" i="11"/>
  <c r="AL619" i="11"/>
  <c r="AK619" i="11"/>
  <c r="AJ619" i="11"/>
  <c r="AI619" i="11"/>
  <c r="AH619" i="11"/>
  <c r="AG619" i="11"/>
  <c r="AF619" i="11"/>
  <c r="AE619" i="11"/>
  <c r="AD619" i="11"/>
  <c r="AC619" i="11"/>
  <c r="AB619" i="11"/>
  <c r="AA619" i="11"/>
  <c r="Z619" i="11"/>
  <c r="Y619" i="11"/>
  <c r="X619" i="11"/>
  <c r="W619" i="11"/>
  <c r="V619" i="11"/>
  <c r="U619" i="11"/>
  <c r="T619" i="11"/>
  <c r="S619" i="11"/>
  <c r="R619" i="11"/>
  <c r="Q619" i="11"/>
  <c r="P619" i="11"/>
  <c r="O619" i="11"/>
  <c r="N619" i="11"/>
  <c r="M619" i="11"/>
  <c r="L619" i="11"/>
  <c r="K619" i="11"/>
  <c r="J619" i="11"/>
  <c r="I619" i="11"/>
  <c r="H619" i="11"/>
  <c r="G619" i="11"/>
  <c r="F619" i="11"/>
  <c r="E619" i="11"/>
  <c r="D619" i="11"/>
  <c r="C619" i="11"/>
  <c r="B619" i="11"/>
  <c r="A619" i="11"/>
  <c r="AL618" i="11"/>
  <c r="AK618" i="11"/>
  <c r="AJ618" i="11"/>
  <c r="AI618" i="11"/>
  <c r="AH618" i="11"/>
  <c r="AG618" i="11"/>
  <c r="AF618" i="11"/>
  <c r="AE618" i="11"/>
  <c r="AD618" i="11"/>
  <c r="AC618" i="11"/>
  <c r="AB618" i="11"/>
  <c r="AA618" i="11"/>
  <c r="Z618" i="11"/>
  <c r="Y618" i="11"/>
  <c r="X618" i="11"/>
  <c r="W618" i="11"/>
  <c r="V618" i="11"/>
  <c r="U618" i="11"/>
  <c r="T618" i="11"/>
  <c r="S618" i="11"/>
  <c r="R618" i="11"/>
  <c r="Q618" i="11"/>
  <c r="P618" i="11"/>
  <c r="O618" i="11"/>
  <c r="N618" i="11"/>
  <c r="M618" i="11"/>
  <c r="L618" i="11"/>
  <c r="K618" i="11"/>
  <c r="J618" i="11"/>
  <c r="I618" i="11"/>
  <c r="H618" i="11"/>
  <c r="G618" i="11"/>
  <c r="F618" i="11"/>
  <c r="E618" i="11"/>
  <c r="D618" i="11"/>
  <c r="C618" i="11"/>
  <c r="B618" i="11"/>
  <c r="A618" i="11"/>
  <c r="AL617" i="11"/>
  <c r="AK617" i="11"/>
  <c r="AJ617" i="11"/>
  <c r="AI617" i="11"/>
  <c r="AH617" i="11"/>
  <c r="AG617" i="11"/>
  <c r="AF617" i="11"/>
  <c r="AE617" i="11"/>
  <c r="AD617" i="11"/>
  <c r="AC617" i="11"/>
  <c r="AB617" i="11"/>
  <c r="AA617" i="11"/>
  <c r="Z617" i="11"/>
  <c r="Y617" i="11"/>
  <c r="X617" i="11"/>
  <c r="W617" i="11"/>
  <c r="V617" i="11"/>
  <c r="U617" i="11"/>
  <c r="T617" i="11"/>
  <c r="S617" i="11"/>
  <c r="R617" i="11"/>
  <c r="Q617" i="11"/>
  <c r="P617" i="11"/>
  <c r="O617" i="11"/>
  <c r="N617" i="11"/>
  <c r="M617" i="11"/>
  <c r="L617" i="11"/>
  <c r="K617" i="11"/>
  <c r="J617" i="11"/>
  <c r="I617" i="11"/>
  <c r="H617" i="11"/>
  <c r="G617" i="11"/>
  <c r="F617" i="11"/>
  <c r="E617" i="11"/>
  <c r="D617" i="11"/>
  <c r="C617" i="11"/>
  <c r="B617" i="11"/>
  <c r="A617" i="11"/>
  <c r="AL616" i="11"/>
  <c r="AF616" i="11"/>
  <c r="AA616" i="11"/>
  <c r="S616" i="11"/>
  <c r="Q616" i="11"/>
  <c r="P616" i="11"/>
  <c r="O616" i="11"/>
  <c r="N616" i="11"/>
  <c r="M616" i="11"/>
  <c r="I616" i="11"/>
  <c r="G616" i="11"/>
  <c r="F616" i="11"/>
  <c r="E616" i="11"/>
  <c r="D616" i="11"/>
  <c r="C616" i="11"/>
  <c r="B616" i="11"/>
  <c r="A616" i="11"/>
  <c r="AL615" i="11"/>
  <c r="AK615" i="11"/>
  <c r="AJ615" i="11"/>
  <c r="AI615" i="11"/>
  <c r="AH615" i="11"/>
  <c r="AG615" i="11"/>
  <c r="AF615" i="11"/>
  <c r="AE615" i="11"/>
  <c r="AD615" i="11"/>
  <c r="AC615" i="11"/>
  <c r="AB615" i="11"/>
  <c r="AA615" i="11"/>
  <c r="Z615" i="11"/>
  <c r="Y615" i="11"/>
  <c r="X615" i="11"/>
  <c r="W615" i="11"/>
  <c r="V615" i="11"/>
  <c r="U615" i="11"/>
  <c r="T615" i="11"/>
  <c r="S615" i="11"/>
  <c r="R615" i="11"/>
  <c r="Q615" i="11"/>
  <c r="P615" i="11"/>
  <c r="O615" i="11"/>
  <c r="N615" i="11"/>
  <c r="M615" i="11"/>
  <c r="L615" i="11"/>
  <c r="K615" i="11"/>
  <c r="J615" i="11"/>
  <c r="I615" i="11"/>
  <c r="H615" i="11"/>
  <c r="G615" i="11"/>
  <c r="F615" i="11"/>
  <c r="E615" i="11"/>
  <c r="D615" i="11"/>
  <c r="C615" i="11"/>
  <c r="B615" i="11"/>
  <c r="A615" i="11"/>
  <c r="AL614" i="11"/>
  <c r="AK614" i="11"/>
  <c r="AJ614" i="11"/>
  <c r="AI614" i="11"/>
  <c r="AH614" i="11"/>
  <c r="AG614" i="11"/>
  <c r="AF614" i="11"/>
  <c r="AE614" i="11"/>
  <c r="AD614" i="11"/>
  <c r="AC614" i="11"/>
  <c r="AB614" i="11"/>
  <c r="AA614" i="11"/>
  <c r="Z614" i="11"/>
  <c r="Y614" i="11"/>
  <c r="X614" i="11"/>
  <c r="W614" i="11"/>
  <c r="V614" i="11"/>
  <c r="U614" i="11"/>
  <c r="T614" i="11"/>
  <c r="S614" i="11"/>
  <c r="R614" i="11"/>
  <c r="Q614" i="11"/>
  <c r="P614" i="11"/>
  <c r="O614" i="11"/>
  <c r="N614" i="11"/>
  <c r="M614" i="11"/>
  <c r="L614" i="11"/>
  <c r="K614" i="11"/>
  <c r="J614" i="11"/>
  <c r="I614" i="11"/>
  <c r="H614" i="11"/>
  <c r="G614" i="11"/>
  <c r="F614" i="11"/>
  <c r="E614" i="11"/>
  <c r="D614" i="11"/>
  <c r="C614" i="11"/>
  <c r="B614" i="11"/>
  <c r="A614" i="11"/>
  <c r="E613" i="11"/>
  <c r="D613" i="11"/>
  <c r="C613" i="11"/>
  <c r="B613" i="11"/>
  <c r="A613" i="11"/>
  <c r="E612" i="11"/>
  <c r="D612" i="11"/>
  <c r="C612" i="11"/>
  <c r="B612" i="11"/>
  <c r="A612" i="11"/>
  <c r="E611" i="11"/>
  <c r="D611" i="11"/>
  <c r="C611" i="11"/>
  <c r="B611" i="11"/>
  <c r="A611" i="11"/>
  <c r="AL610" i="11"/>
  <c r="AK610" i="11"/>
  <c r="AJ610" i="11"/>
  <c r="AI610" i="11"/>
  <c r="AH610" i="11"/>
  <c r="AG610" i="11"/>
  <c r="AF610" i="11"/>
  <c r="AE610" i="11"/>
  <c r="AD610" i="11"/>
  <c r="AC610" i="11"/>
  <c r="AB610" i="11"/>
  <c r="AA610" i="11"/>
  <c r="Z610" i="11"/>
  <c r="Y610" i="11"/>
  <c r="X610" i="11"/>
  <c r="W610" i="11"/>
  <c r="V610" i="11"/>
  <c r="U610" i="11"/>
  <c r="T610" i="11"/>
  <c r="S610" i="11"/>
  <c r="R610" i="11"/>
  <c r="Q610" i="11"/>
  <c r="P610" i="11"/>
  <c r="O610" i="11"/>
  <c r="N610" i="11"/>
  <c r="M610" i="11"/>
  <c r="L610" i="11"/>
  <c r="K610" i="11"/>
  <c r="J610" i="11"/>
  <c r="I610" i="11"/>
  <c r="H610" i="11"/>
  <c r="G610" i="11"/>
  <c r="F610" i="11"/>
  <c r="E610" i="11"/>
  <c r="D610" i="11"/>
  <c r="C610" i="11"/>
  <c r="B610" i="11"/>
  <c r="A610" i="11"/>
  <c r="AL609" i="11"/>
  <c r="AK609" i="11"/>
  <c r="AJ609" i="11"/>
  <c r="AI609" i="11"/>
  <c r="AH609" i="11"/>
  <c r="AG609" i="11"/>
  <c r="AF609" i="11"/>
  <c r="AE609" i="11"/>
  <c r="AD609" i="11"/>
  <c r="AC609" i="11"/>
  <c r="AB609" i="11"/>
  <c r="AA609" i="11"/>
  <c r="Z609" i="11"/>
  <c r="Y609" i="11"/>
  <c r="X609" i="11"/>
  <c r="W609" i="11"/>
  <c r="V609" i="11"/>
  <c r="U609" i="11"/>
  <c r="T609" i="11"/>
  <c r="S609" i="11"/>
  <c r="R609" i="11"/>
  <c r="Q609" i="11"/>
  <c r="P609" i="11"/>
  <c r="O609" i="11"/>
  <c r="N609" i="11"/>
  <c r="M609" i="11"/>
  <c r="L609" i="11"/>
  <c r="K609" i="11"/>
  <c r="J609" i="11"/>
  <c r="I609" i="11"/>
  <c r="H609" i="11"/>
  <c r="G609" i="11"/>
  <c r="F609" i="11"/>
  <c r="E609" i="11"/>
  <c r="D609" i="11"/>
  <c r="C609" i="11"/>
  <c r="B609" i="11"/>
  <c r="A609" i="11"/>
  <c r="AL608" i="11"/>
  <c r="AK608" i="11"/>
  <c r="AJ608" i="11"/>
  <c r="AI608" i="11"/>
  <c r="AH608" i="11"/>
  <c r="AG608" i="11"/>
  <c r="AF608" i="11"/>
  <c r="AE608" i="11"/>
  <c r="AD608" i="11"/>
  <c r="AC608" i="11"/>
  <c r="AB608" i="11"/>
  <c r="AA608" i="11"/>
  <c r="Z608" i="11"/>
  <c r="Y608" i="11"/>
  <c r="X608" i="11"/>
  <c r="W608" i="11"/>
  <c r="V608" i="11"/>
  <c r="U608" i="11"/>
  <c r="T608" i="11"/>
  <c r="S608" i="11"/>
  <c r="R608" i="11"/>
  <c r="Q608" i="11"/>
  <c r="P608" i="11"/>
  <c r="O608" i="11"/>
  <c r="N608" i="11"/>
  <c r="M608" i="11"/>
  <c r="L608" i="11"/>
  <c r="K608" i="11"/>
  <c r="J608" i="11"/>
  <c r="I608" i="11"/>
  <c r="H608" i="11"/>
  <c r="G608" i="11"/>
  <c r="F608" i="11"/>
  <c r="E608" i="11"/>
  <c r="D608" i="11"/>
  <c r="C608" i="11"/>
  <c r="B608" i="11"/>
  <c r="A608" i="11"/>
  <c r="AL607" i="11"/>
  <c r="AK607" i="11"/>
  <c r="AJ607" i="11"/>
  <c r="AI607" i="11"/>
  <c r="AH607" i="11"/>
  <c r="AG607" i="11"/>
  <c r="AF607" i="11"/>
  <c r="AE607" i="11"/>
  <c r="AD607" i="11"/>
  <c r="AC607" i="11"/>
  <c r="AB607" i="11"/>
  <c r="AA607" i="11"/>
  <c r="Z607" i="11"/>
  <c r="Y607" i="11"/>
  <c r="X607" i="11"/>
  <c r="W607" i="11"/>
  <c r="V607" i="11"/>
  <c r="U607" i="11"/>
  <c r="T607" i="11"/>
  <c r="S607" i="11"/>
  <c r="R607" i="11"/>
  <c r="Q607" i="11"/>
  <c r="P607" i="11"/>
  <c r="O607" i="11"/>
  <c r="N607" i="11"/>
  <c r="M607" i="11"/>
  <c r="L607" i="11"/>
  <c r="K607" i="11"/>
  <c r="J607" i="11"/>
  <c r="I607" i="11"/>
  <c r="H607" i="11"/>
  <c r="G607" i="11"/>
  <c r="F607" i="11"/>
  <c r="E607" i="11"/>
  <c r="D607" i="11"/>
  <c r="C607" i="11"/>
  <c r="B607" i="11"/>
  <c r="A607" i="11"/>
  <c r="D606" i="11"/>
  <c r="C606" i="11"/>
  <c r="B606" i="11"/>
  <c r="A606" i="11"/>
  <c r="D605" i="11"/>
  <c r="C605" i="11"/>
  <c r="B605" i="11"/>
  <c r="A605" i="11"/>
  <c r="AL604" i="11"/>
  <c r="AK604" i="11"/>
  <c r="AJ604" i="11"/>
  <c r="AI604" i="11"/>
  <c r="AH604" i="11"/>
  <c r="AG604" i="11"/>
  <c r="AF604" i="11"/>
  <c r="AE604" i="11"/>
  <c r="AD604" i="11"/>
  <c r="AC604" i="11"/>
  <c r="AB604" i="11"/>
  <c r="AA604" i="11"/>
  <c r="Z604" i="11"/>
  <c r="Y604" i="11"/>
  <c r="X604" i="11"/>
  <c r="W604" i="11"/>
  <c r="V604" i="11"/>
  <c r="U604" i="11"/>
  <c r="T604" i="11"/>
  <c r="S604" i="11"/>
  <c r="R604" i="11"/>
  <c r="Q604" i="11"/>
  <c r="P604" i="11"/>
  <c r="O604" i="11"/>
  <c r="N604" i="11"/>
  <c r="M604" i="11"/>
  <c r="L604" i="11"/>
  <c r="K604" i="11"/>
  <c r="J604" i="11"/>
  <c r="I604" i="11"/>
  <c r="H604" i="11"/>
  <c r="G604" i="11"/>
  <c r="F604" i="11"/>
  <c r="E604" i="11"/>
  <c r="D604" i="11"/>
  <c r="C604" i="11"/>
  <c r="B604" i="11"/>
  <c r="A604" i="11"/>
  <c r="AL603" i="11"/>
  <c r="AK603" i="11"/>
  <c r="AJ603" i="11"/>
  <c r="AI603" i="11"/>
  <c r="AH603" i="11"/>
  <c r="AG603" i="11"/>
  <c r="AF603" i="11"/>
  <c r="AE603" i="11"/>
  <c r="AD603" i="11"/>
  <c r="AC603" i="11"/>
  <c r="AB603" i="11"/>
  <c r="AA603" i="11"/>
  <c r="Z603" i="11"/>
  <c r="Y603" i="11"/>
  <c r="X603" i="11"/>
  <c r="W603" i="11"/>
  <c r="V603" i="11"/>
  <c r="U603" i="11"/>
  <c r="T603" i="11"/>
  <c r="S603" i="11"/>
  <c r="R603" i="11"/>
  <c r="Q603" i="11"/>
  <c r="P603" i="11"/>
  <c r="O603" i="11"/>
  <c r="N603" i="11"/>
  <c r="M603" i="11"/>
  <c r="L603" i="11"/>
  <c r="K603" i="11"/>
  <c r="J603" i="11"/>
  <c r="I603" i="11"/>
  <c r="H603" i="11"/>
  <c r="G603" i="11"/>
  <c r="F603" i="11"/>
  <c r="E603" i="11"/>
  <c r="D603" i="11"/>
  <c r="C603" i="11"/>
  <c r="B603" i="11"/>
  <c r="A603" i="11"/>
  <c r="D602" i="11"/>
  <c r="C602" i="11"/>
  <c r="B602" i="11"/>
  <c r="A602" i="11"/>
  <c r="AL601" i="11"/>
  <c r="AK601" i="11"/>
  <c r="AJ601" i="11"/>
  <c r="AI601" i="11"/>
  <c r="AH601" i="11"/>
  <c r="AG601" i="11"/>
  <c r="AF601" i="11"/>
  <c r="AE601" i="11"/>
  <c r="AD601" i="11"/>
  <c r="AC601" i="11"/>
  <c r="AB601" i="11"/>
  <c r="AA601" i="11"/>
  <c r="Z601" i="11"/>
  <c r="Y601" i="11"/>
  <c r="X601" i="11"/>
  <c r="W601" i="11"/>
  <c r="V601" i="11"/>
  <c r="U601" i="11"/>
  <c r="T601" i="11"/>
  <c r="S601" i="11"/>
  <c r="R601" i="11"/>
  <c r="Q601" i="11"/>
  <c r="P601" i="11"/>
  <c r="O601" i="11"/>
  <c r="N601" i="11"/>
  <c r="M601" i="11"/>
  <c r="L601" i="11"/>
  <c r="K601" i="11"/>
  <c r="J601" i="11"/>
  <c r="I601" i="11"/>
  <c r="H601" i="11"/>
  <c r="G601" i="11"/>
  <c r="F601" i="11"/>
  <c r="E601" i="11"/>
  <c r="D601" i="11"/>
  <c r="C601" i="11"/>
  <c r="B601" i="11"/>
  <c r="A601" i="11"/>
  <c r="AL600" i="11"/>
  <c r="AK600" i="11"/>
  <c r="AJ600" i="11"/>
  <c r="AI600" i="11"/>
  <c r="AH600" i="11"/>
  <c r="AG600" i="11"/>
  <c r="AF600" i="11"/>
  <c r="AE600" i="11"/>
  <c r="AD600" i="11"/>
  <c r="AC600" i="11"/>
  <c r="AB600" i="11"/>
  <c r="AA600" i="11"/>
  <c r="Z600" i="11"/>
  <c r="Y600" i="11"/>
  <c r="X600" i="11"/>
  <c r="W600" i="11"/>
  <c r="V600" i="11"/>
  <c r="U600" i="11"/>
  <c r="T600" i="11"/>
  <c r="S600" i="11"/>
  <c r="R600" i="11"/>
  <c r="Q600" i="11"/>
  <c r="P600" i="11"/>
  <c r="O600" i="11"/>
  <c r="N600" i="11"/>
  <c r="M600" i="11"/>
  <c r="L600" i="11"/>
  <c r="K600" i="11"/>
  <c r="J600" i="11"/>
  <c r="I600" i="11"/>
  <c r="H600" i="11"/>
  <c r="G600" i="11"/>
  <c r="F600" i="11"/>
  <c r="E600" i="11"/>
  <c r="D600" i="11"/>
  <c r="C600" i="11"/>
  <c r="B600" i="11"/>
  <c r="A600" i="11"/>
  <c r="D599" i="11"/>
  <c r="C599" i="11"/>
  <c r="B599" i="11"/>
  <c r="A599" i="11"/>
  <c r="AL598" i="11"/>
  <c r="AK598" i="11"/>
  <c r="AJ598" i="11"/>
  <c r="AI598" i="11"/>
  <c r="AH598" i="11"/>
  <c r="AG598" i="11"/>
  <c r="AF598" i="11"/>
  <c r="AE598" i="11"/>
  <c r="AD598" i="11"/>
  <c r="AC598" i="11"/>
  <c r="AB598" i="11"/>
  <c r="AA598" i="11"/>
  <c r="Z598" i="11"/>
  <c r="Y598" i="11"/>
  <c r="X598" i="11"/>
  <c r="W598" i="11"/>
  <c r="V598" i="11"/>
  <c r="U598" i="11"/>
  <c r="T598" i="11"/>
  <c r="S598" i="11"/>
  <c r="R598" i="11"/>
  <c r="Q598" i="11"/>
  <c r="P598" i="11"/>
  <c r="O598" i="11"/>
  <c r="N598" i="11"/>
  <c r="M598" i="11"/>
  <c r="L598" i="11"/>
  <c r="K598" i="11"/>
  <c r="J598" i="11"/>
  <c r="I598" i="11"/>
  <c r="H598" i="11"/>
  <c r="G598" i="11"/>
  <c r="F598" i="11"/>
  <c r="E598" i="11"/>
  <c r="D598" i="11"/>
  <c r="C598" i="11"/>
  <c r="B598" i="11"/>
  <c r="A598" i="11"/>
  <c r="AL597" i="11"/>
  <c r="AK597" i="11"/>
  <c r="AJ597" i="11"/>
  <c r="AI597" i="11"/>
  <c r="AH597" i="11"/>
  <c r="AG597" i="11"/>
  <c r="AF597" i="11"/>
  <c r="AE597" i="11"/>
  <c r="AD597" i="11"/>
  <c r="AC597" i="11"/>
  <c r="AB597" i="11"/>
  <c r="AA597" i="11"/>
  <c r="Z597" i="11"/>
  <c r="Y597" i="11"/>
  <c r="X597" i="11"/>
  <c r="W597" i="11"/>
  <c r="V597" i="11"/>
  <c r="U597" i="11"/>
  <c r="T597" i="11"/>
  <c r="S597" i="11"/>
  <c r="R597" i="11"/>
  <c r="Q597" i="11"/>
  <c r="P597" i="11"/>
  <c r="O597" i="11"/>
  <c r="N597" i="11"/>
  <c r="M597" i="11"/>
  <c r="L597" i="11"/>
  <c r="K597" i="11"/>
  <c r="J597" i="11"/>
  <c r="I597" i="11"/>
  <c r="H597" i="11"/>
  <c r="G597" i="11"/>
  <c r="F597" i="11"/>
  <c r="E597" i="11"/>
  <c r="D597" i="11"/>
  <c r="C597" i="11"/>
  <c r="B597" i="11"/>
  <c r="A597" i="11"/>
  <c r="Y596" i="11"/>
  <c r="D596" i="11"/>
  <c r="C596" i="11"/>
  <c r="B596" i="11"/>
  <c r="A596" i="11"/>
  <c r="AL595" i="11"/>
  <c r="AK595" i="11"/>
  <c r="AJ595" i="11"/>
  <c r="AI595" i="11"/>
  <c r="AH595" i="11"/>
  <c r="AG595" i="11"/>
  <c r="AF595" i="11"/>
  <c r="AE595" i="11"/>
  <c r="AD595" i="11"/>
  <c r="AC595" i="11"/>
  <c r="AB595" i="11"/>
  <c r="AA595" i="11"/>
  <c r="Z595" i="11"/>
  <c r="Y595" i="11"/>
  <c r="X595" i="11"/>
  <c r="W595" i="11"/>
  <c r="V595" i="11"/>
  <c r="U595" i="11"/>
  <c r="T595" i="11"/>
  <c r="S595" i="11"/>
  <c r="R595" i="11"/>
  <c r="Q595" i="11"/>
  <c r="P595" i="11"/>
  <c r="O595" i="11"/>
  <c r="N595" i="11"/>
  <c r="M595" i="11"/>
  <c r="L595" i="11"/>
  <c r="K595" i="11"/>
  <c r="J595" i="11"/>
  <c r="I595" i="11"/>
  <c r="H595" i="11"/>
  <c r="G595" i="11"/>
  <c r="F595" i="11"/>
  <c r="E595" i="11"/>
  <c r="D595" i="11"/>
  <c r="C595" i="11"/>
  <c r="B595" i="11"/>
  <c r="A595" i="11"/>
  <c r="AL594" i="11"/>
  <c r="AF594" i="11"/>
  <c r="AA594" i="11"/>
  <c r="S594" i="11"/>
  <c r="Q594" i="11"/>
  <c r="P594" i="11"/>
  <c r="O594" i="11"/>
  <c r="N594" i="11"/>
  <c r="M594" i="11"/>
  <c r="G594" i="11"/>
  <c r="F594" i="11"/>
  <c r="E594" i="11"/>
  <c r="D594" i="11"/>
  <c r="C594" i="11"/>
  <c r="B594" i="11"/>
  <c r="A594" i="11"/>
  <c r="AL593" i="11"/>
  <c r="AK593" i="11"/>
  <c r="AJ593" i="11"/>
  <c r="AI593" i="11"/>
  <c r="AH593" i="11"/>
  <c r="AG593" i="11"/>
  <c r="AF593" i="11"/>
  <c r="AE593" i="11"/>
  <c r="AD593" i="11"/>
  <c r="AC593" i="11"/>
  <c r="AB593" i="11"/>
  <c r="AA593" i="11"/>
  <c r="Z593" i="11"/>
  <c r="Y593" i="11"/>
  <c r="X593" i="11"/>
  <c r="W593" i="11"/>
  <c r="V593" i="11"/>
  <c r="U593" i="11"/>
  <c r="T593" i="11"/>
  <c r="S593" i="11"/>
  <c r="R593" i="11"/>
  <c r="Q593" i="11"/>
  <c r="P593" i="11"/>
  <c r="O593" i="11"/>
  <c r="N593" i="11"/>
  <c r="M593" i="11"/>
  <c r="L593" i="11"/>
  <c r="K593" i="11"/>
  <c r="J593" i="11"/>
  <c r="I593" i="11"/>
  <c r="H593" i="11"/>
  <c r="G593" i="11"/>
  <c r="F593" i="11"/>
  <c r="E593" i="11"/>
  <c r="D593" i="11"/>
  <c r="C593" i="11"/>
  <c r="B593" i="11"/>
  <c r="A593" i="11"/>
  <c r="AL592" i="11"/>
  <c r="AK592" i="11"/>
  <c r="AJ592" i="11"/>
  <c r="AI592" i="11"/>
  <c r="AH592" i="11"/>
  <c r="AG592" i="11"/>
  <c r="AF592" i="11"/>
  <c r="AE592" i="11"/>
  <c r="AD592" i="11"/>
  <c r="AC592" i="11"/>
  <c r="AB592" i="11"/>
  <c r="AA592" i="11"/>
  <c r="Z592" i="11"/>
  <c r="Y592" i="11"/>
  <c r="X592" i="11"/>
  <c r="W592" i="11"/>
  <c r="V592" i="11"/>
  <c r="U592" i="11"/>
  <c r="T592" i="11"/>
  <c r="S592" i="11"/>
  <c r="R592" i="11"/>
  <c r="Q592" i="11"/>
  <c r="P592" i="11"/>
  <c r="O592" i="11"/>
  <c r="N592" i="11"/>
  <c r="M592" i="11"/>
  <c r="L592" i="11"/>
  <c r="K592" i="11"/>
  <c r="J592" i="11"/>
  <c r="I592" i="11"/>
  <c r="H592" i="11"/>
  <c r="G592" i="11"/>
  <c r="F592" i="11"/>
  <c r="E592" i="11"/>
  <c r="D592" i="11"/>
  <c r="C592" i="11"/>
  <c r="B592" i="11"/>
  <c r="A592" i="11"/>
  <c r="AL591" i="11"/>
  <c r="AK591" i="11"/>
  <c r="AJ591" i="11"/>
  <c r="AI591" i="11"/>
  <c r="AH591" i="11"/>
  <c r="AG591" i="11"/>
  <c r="AF591" i="11"/>
  <c r="AE591" i="11"/>
  <c r="AD591" i="11"/>
  <c r="AC591" i="11"/>
  <c r="AB591" i="11"/>
  <c r="AA591" i="11"/>
  <c r="Z591" i="11"/>
  <c r="Y591" i="11"/>
  <c r="X591" i="11"/>
  <c r="W591" i="11"/>
  <c r="V591" i="11"/>
  <c r="U591" i="11"/>
  <c r="T591" i="11"/>
  <c r="S591" i="11"/>
  <c r="R591" i="11"/>
  <c r="Q591" i="11"/>
  <c r="P591" i="11"/>
  <c r="O591" i="11"/>
  <c r="N591" i="11"/>
  <c r="M591" i="11"/>
  <c r="L591" i="11"/>
  <c r="K591" i="11"/>
  <c r="J591" i="11"/>
  <c r="I591" i="11"/>
  <c r="H591" i="11"/>
  <c r="G591" i="11"/>
  <c r="F591" i="11"/>
  <c r="E591" i="11"/>
  <c r="D591" i="11"/>
  <c r="C591" i="11"/>
  <c r="B591" i="11"/>
  <c r="A591" i="11"/>
  <c r="AL590" i="11"/>
  <c r="AK590" i="11"/>
  <c r="AJ590" i="11"/>
  <c r="AI590" i="11"/>
  <c r="AH590" i="11"/>
  <c r="AG590" i="11"/>
  <c r="AF590" i="11"/>
  <c r="AE590" i="11"/>
  <c r="AD590" i="11"/>
  <c r="AC590" i="11"/>
  <c r="AB590" i="11"/>
  <c r="AA590" i="11"/>
  <c r="Z590" i="11"/>
  <c r="Y590" i="11"/>
  <c r="X590" i="11"/>
  <c r="W590" i="11"/>
  <c r="V590" i="11"/>
  <c r="U590" i="11"/>
  <c r="T590" i="11"/>
  <c r="S590" i="11"/>
  <c r="R590" i="11"/>
  <c r="Q590" i="11"/>
  <c r="P590" i="11"/>
  <c r="O590" i="11"/>
  <c r="N590" i="11"/>
  <c r="M590" i="11"/>
  <c r="L590" i="11"/>
  <c r="K590" i="11"/>
  <c r="J590" i="11"/>
  <c r="I590" i="11"/>
  <c r="H590" i="11"/>
  <c r="G590" i="11"/>
  <c r="F590" i="11"/>
  <c r="E590" i="11"/>
  <c r="D590" i="11"/>
  <c r="C590" i="11"/>
  <c r="B590" i="11"/>
  <c r="A590" i="11"/>
  <c r="AL589" i="11"/>
  <c r="AK589" i="11"/>
  <c r="AJ589" i="11"/>
  <c r="AI589" i="11"/>
  <c r="AH589" i="11"/>
  <c r="AG589" i="11"/>
  <c r="AF589" i="11"/>
  <c r="AE589" i="11"/>
  <c r="AD589" i="11"/>
  <c r="AC589" i="11"/>
  <c r="AB589" i="11"/>
  <c r="AA589" i="11"/>
  <c r="Z589" i="11"/>
  <c r="Y589" i="11"/>
  <c r="X589" i="11"/>
  <c r="W589" i="11"/>
  <c r="V589" i="11"/>
  <c r="U589" i="11"/>
  <c r="T589" i="11"/>
  <c r="S589" i="11"/>
  <c r="R589" i="11"/>
  <c r="Q589" i="11"/>
  <c r="P589" i="11"/>
  <c r="O589" i="11"/>
  <c r="N589" i="11"/>
  <c r="M589" i="11"/>
  <c r="L589" i="11"/>
  <c r="K589" i="11"/>
  <c r="J589" i="11"/>
  <c r="I589" i="11"/>
  <c r="H589" i="11"/>
  <c r="G589" i="11"/>
  <c r="F589" i="11"/>
  <c r="E589" i="11"/>
  <c r="D589" i="11"/>
  <c r="C589" i="11"/>
  <c r="B589" i="11"/>
  <c r="A589" i="11"/>
  <c r="AL588" i="11"/>
  <c r="AK588" i="11"/>
  <c r="AJ588" i="11"/>
  <c r="AI588" i="11"/>
  <c r="AH588" i="11"/>
  <c r="AG588" i="11"/>
  <c r="AF588" i="11"/>
  <c r="AE588" i="11"/>
  <c r="AD588" i="11"/>
  <c r="AC588" i="11"/>
  <c r="AB588" i="11"/>
  <c r="AA588" i="11"/>
  <c r="Z588" i="11"/>
  <c r="Y588" i="11"/>
  <c r="X588" i="11"/>
  <c r="W588" i="11"/>
  <c r="V588" i="11"/>
  <c r="U588" i="11"/>
  <c r="T588" i="11"/>
  <c r="S588" i="11"/>
  <c r="R588" i="11"/>
  <c r="Q588" i="11"/>
  <c r="P588" i="11"/>
  <c r="O588" i="11"/>
  <c r="N588" i="11"/>
  <c r="M588" i="11"/>
  <c r="L588" i="11"/>
  <c r="K588" i="11"/>
  <c r="J588" i="11"/>
  <c r="I588" i="11"/>
  <c r="H588" i="11"/>
  <c r="G588" i="11"/>
  <c r="F588" i="11"/>
  <c r="E588" i="11"/>
  <c r="D588" i="11"/>
  <c r="C588" i="11"/>
  <c r="B588" i="11"/>
  <c r="A588" i="11"/>
  <c r="AL587" i="11"/>
  <c r="AK587" i="11"/>
  <c r="AJ587" i="11"/>
  <c r="AI587" i="11"/>
  <c r="AH587" i="11"/>
  <c r="AG587" i="11"/>
  <c r="AF587" i="11"/>
  <c r="AE587" i="11"/>
  <c r="AD587" i="11"/>
  <c r="AC587" i="11"/>
  <c r="AB587" i="11"/>
  <c r="AA587" i="11"/>
  <c r="Z587" i="11"/>
  <c r="Y587" i="11"/>
  <c r="X587" i="11"/>
  <c r="W587" i="11"/>
  <c r="V587" i="11"/>
  <c r="U587" i="11"/>
  <c r="T587" i="11"/>
  <c r="S587" i="11"/>
  <c r="R587" i="11"/>
  <c r="Q587" i="11"/>
  <c r="P587" i="11"/>
  <c r="O587" i="11"/>
  <c r="N587" i="11"/>
  <c r="M587" i="11"/>
  <c r="L587" i="11"/>
  <c r="K587" i="11"/>
  <c r="J587" i="11"/>
  <c r="I587" i="11"/>
  <c r="H587" i="11"/>
  <c r="G587" i="11"/>
  <c r="F587" i="11"/>
  <c r="E587" i="11"/>
  <c r="D587" i="11"/>
  <c r="C587" i="11"/>
  <c r="B587" i="11"/>
  <c r="A587" i="11"/>
  <c r="AL586" i="11"/>
  <c r="AK586" i="11"/>
  <c r="AJ586" i="11"/>
  <c r="AI586" i="11"/>
  <c r="AH586" i="11"/>
  <c r="AG586" i="11"/>
  <c r="AF586" i="11"/>
  <c r="AE586" i="11"/>
  <c r="AD586" i="11"/>
  <c r="AC586" i="11"/>
  <c r="AB586" i="11"/>
  <c r="AA586" i="11"/>
  <c r="Z586" i="11"/>
  <c r="Y586" i="11"/>
  <c r="X586" i="11"/>
  <c r="W586" i="11"/>
  <c r="V586" i="11"/>
  <c r="U586" i="11"/>
  <c r="T586" i="11"/>
  <c r="S586" i="11"/>
  <c r="R586" i="11"/>
  <c r="Q586" i="11"/>
  <c r="P586" i="11"/>
  <c r="O586" i="11"/>
  <c r="N586" i="11"/>
  <c r="M586" i="11"/>
  <c r="L586" i="11"/>
  <c r="K586" i="11"/>
  <c r="J586" i="11"/>
  <c r="I586" i="11"/>
  <c r="H586" i="11"/>
  <c r="G586" i="11"/>
  <c r="F586" i="11"/>
  <c r="E586" i="11"/>
  <c r="D586" i="11"/>
  <c r="C586" i="11"/>
  <c r="B586" i="11"/>
  <c r="A586" i="11"/>
  <c r="AL585" i="11"/>
  <c r="AK585" i="11"/>
  <c r="AJ585" i="11"/>
  <c r="AI585" i="11"/>
  <c r="AH585" i="11"/>
  <c r="AG585" i="11"/>
  <c r="AF585" i="11"/>
  <c r="AE585" i="11"/>
  <c r="AD585" i="11"/>
  <c r="AC585" i="11"/>
  <c r="AB585" i="11"/>
  <c r="AA585" i="11"/>
  <c r="Z585" i="11"/>
  <c r="Y585" i="11"/>
  <c r="X585" i="11"/>
  <c r="W585" i="11"/>
  <c r="V585" i="11"/>
  <c r="U585" i="11"/>
  <c r="T585" i="11"/>
  <c r="S585" i="11"/>
  <c r="R585" i="11"/>
  <c r="Q585" i="11"/>
  <c r="P585" i="11"/>
  <c r="O585" i="11"/>
  <c r="N585" i="11"/>
  <c r="M585" i="11"/>
  <c r="L585" i="11"/>
  <c r="K585" i="11"/>
  <c r="J585" i="11"/>
  <c r="I585" i="11"/>
  <c r="H585" i="11"/>
  <c r="G585" i="11"/>
  <c r="F585" i="11"/>
  <c r="E585" i="11"/>
  <c r="D585" i="11"/>
  <c r="C585" i="11"/>
  <c r="B585" i="11"/>
  <c r="A585" i="11"/>
  <c r="D584" i="11"/>
  <c r="C584" i="11"/>
  <c r="B584" i="11"/>
  <c r="A584" i="11"/>
  <c r="AL583" i="11"/>
  <c r="AK583" i="11"/>
  <c r="AJ583" i="11"/>
  <c r="AI583" i="11"/>
  <c r="AH583" i="11"/>
  <c r="AG583" i="11"/>
  <c r="AF583" i="11"/>
  <c r="AE583" i="11"/>
  <c r="AD583" i="11"/>
  <c r="AC583" i="11"/>
  <c r="AB583" i="11"/>
  <c r="AA583" i="11"/>
  <c r="Z583" i="11"/>
  <c r="Y583" i="11"/>
  <c r="X583" i="11"/>
  <c r="W583" i="11"/>
  <c r="V583" i="11"/>
  <c r="U583" i="11"/>
  <c r="T583" i="11"/>
  <c r="S583" i="11"/>
  <c r="R583" i="11"/>
  <c r="Q583" i="11"/>
  <c r="P583" i="11"/>
  <c r="O583" i="11"/>
  <c r="N583" i="11"/>
  <c r="M583" i="11"/>
  <c r="L583" i="11"/>
  <c r="K583" i="11"/>
  <c r="J583" i="11"/>
  <c r="I583" i="11"/>
  <c r="H583" i="11"/>
  <c r="G583" i="11"/>
  <c r="F583" i="11"/>
  <c r="E583" i="11"/>
  <c r="D583" i="11"/>
  <c r="C583" i="11"/>
  <c r="B583" i="11"/>
  <c r="A583" i="11"/>
  <c r="AL582" i="11"/>
  <c r="AK582" i="11"/>
  <c r="AJ582" i="11"/>
  <c r="AI582" i="11"/>
  <c r="AH582" i="11"/>
  <c r="AG582" i="11"/>
  <c r="AF582" i="11"/>
  <c r="AE582" i="11"/>
  <c r="AD582" i="11"/>
  <c r="AC582" i="11"/>
  <c r="AB582" i="11"/>
  <c r="AA582" i="11"/>
  <c r="Z582" i="11"/>
  <c r="Y582" i="11"/>
  <c r="X582" i="11"/>
  <c r="W582" i="11"/>
  <c r="V582" i="11"/>
  <c r="U582" i="11"/>
  <c r="T582" i="11"/>
  <c r="S582" i="11"/>
  <c r="R582" i="11"/>
  <c r="Q582" i="11"/>
  <c r="P582" i="11"/>
  <c r="O582" i="11"/>
  <c r="N582" i="11"/>
  <c r="M582" i="11"/>
  <c r="L582" i="11"/>
  <c r="K582" i="11"/>
  <c r="J582" i="11"/>
  <c r="I582" i="11"/>
  <c r="H582" i="11"/>
  <c r="G582" i="11"/>
  <c r="F582" i="11"/>
  <c r="E582" i="11"/>
  <c r="D582" i="11"/>
  <c r="C582" i="11"/>
  <c r="B582" i="11"/>
  <c r="A582" i="11"/>
  <c r="D581" i="11"/>
  <c r="C581" i="11"/>
  <c r="B581" i="11"/>
  <c r="A581" i="11"/>
  <c r="D580" i="11"/>
  <c r="C580" i="11"/>
  <c r="B580" i="11"/>
  <c r="A580" i="11"/>
  <c r="AL579" i="11"/>
  <c r="AK579" i="11"/>
  <c r="AJ579" i="11"/>
  <c r="AI579" i="11"/>
  <c r="AH579" i="11"/>
  <c r="AG579" i="11"/>
  <c r="AF579" i="11"/>
  <c r="AE579" i="11"/>
  <c r="AD579" i="11"/>
  <c r="AC579" i="11"/>
  <c r="AB579" i="11"/>
  <c r="AA579" i="11"/>
  <c r="Z579" i="11"/>
  <c r="Y579" i="11"/>
  <c r="X579" i="11"/>
  <c r="W579" i="11"/>
  <c r="V579" i="11"/>
  <c r="U579" i="11"/>
  <c r="T579" i="11"/>
  <c r="S579" i="11"/>
  <c r="R579" i="11"/>
  <c r="Q579" i="11"/>
  <c r="P579" i="11"/>
  <c r="O579" i="11"/>
  <c r="N579" i="11"/>
  <c r="M579" i="11"/>
  <c r="L579" i="11"/>
  <c r="K579" i="11"/>
  <c r="J579" i="11"/>
  <c r="I579" i="11"/>
  <c r="H579" i="11"/>
  <c r="G579" i="11"/>
  <c r="F579" i="11"/>
  <c r="E579" i="11"/>
  <c r="D579" i="11"/>
  <c r="C579" i="11"/>
  <c r="B579" i="11"/>
  <c r="A579" i="11"/>
  <c r="AL578" i="11"/>
  <c r="AK578" i="11"/>
  <c r="AJ578" i="11"/>
  <c r="AI578" i="11"/>
  <c r="AH578" i="11"/>
  <c r="AG578" i="11"/>
  <c r="AF578" i="11"/>
  <c r="AE578" i="11"/>
  <c r="AD578" i="11"/>
  <c r="AC578" i="11"/>
  <c r="AB578" i="11"/>
  <c r="AA578" i="11"/>
  <c r="Z578" i="11"/>
  <c r="Y578" i="11"/>
  <c r="X578" i="11"/>
  <c r="W578" i="11"/>
  <c r="V578" i="11"/>
  <c r="U578" i="11"/>
  <c r="T578" i="11"/>
  <c r="S578" i="11"/>
  <c r="R578" i="11"/>
  <c r="Q578" i="11"/>
  <c r="P578" i="11"/>
  <c r="O578" i="11"/>
  <c r="N578" i="11"/>
  <c r="M578" i="11"/>
  <c r="L578" i="11"/>
  <c r="K578" i="11"/>
  <c r="J578" i="11"/>
  <c r="I578" i="11"/>
  <c r="H578" i="11"/>
  <c r="G578" i="11"/>
  <c r="F578" i="11"/>
  <c r="E578" i="11"/>
  <c r="D578" i="11"/>
  <c r="C578" i="11"/>
  <c r="B578" i="11"/>
  <c r="A578" i="11"/>
  <c r="AL577" i="11"/>
  <c r="AK577" i="11"/>
  <c r="AJ577" i="11"/>
  <c r="AI577" i="11"/>
  <c r="AH577" i="11"/>
  <c r="AG577" i="11"/>
  <c r="AF577" i="11"/>
  <c r="AE577" i="11"/>
  <c r="AD577" i="11"/>
  <c r="AC577" i="11"/>
  <c r="AB577" i="11"/>
  <c r="AA577" i="11"/>
  <c r="Z577" i="11"/>
  <c r="Y577" i="11"/>
  <c r="X577" i="11"/>
  <c r="W577" i="11"/>
  <c r="V577" i="11"/>
  <c r="U577" i="11"/>
  <c r="T577" i="11"/>
  <c r="S577" i="11"/>
  <c r="R577" i="11"/>
  <c r="Q577" i="11"/>
  <c r="P577" i="11"/>
  <c r="O577" i="11"/>
  <c r="N577" i="11"/>
  <c r="M577" i="11"/>
  <c r="L577" i="11"/>
  <c r="K577" i="11"/>
  <c r="J577" i="11"/>
  <c r="I577" i="11"/>
  <c r="H577" i="11"/>
  <c r="G577" i="11"/>
  <c r="F577" i="11"/>
  <c r="E577" i="11"/>
  <c r="D577" i="11"/>
  <c r="C577" i="11"/>
  <c r="B577" i="11"/>
  <c r="A577" i="11"/>
  <c r="AL576" i="11"/>
  <c r="AK576" i="11"/>
  <c r="AJ576" i="11"/>
  <c r="AI576" i="11"/>
  <c r="AH576" i="11"/>
  <c r="AG576" i="11"/>
  <c r="AF576" i="11"/>
  <c r="AE576" i="11"/>
  <c r="AD576" i="11"/>
  <c r="AC576" i="11"/>
  <c r="AB576" i="11"/>
  <c r="AA576" i="11"/>
  <c r="Z576" i="11"/>
  <c r="Y576" i="11"/>
  <c r="X576" i="11"/>
  <c r="W576" i="11"/>
  <c r="V576" i="11"/>
  <c r="U576" i="11"/>
  <c r="T576" i="11"/>
  <c r="S576" i="11"/>
  <c r="R576" i="11"/>
  <c r="Q576" i="11"/>
  <c r="P576" i="11"/>
  <c r="O576" i="11"/>
  <c r="N576" i="11"/>
  <c r="M576" i="11"/>
  <c r="L576" i="11"/>
  <c r="K576" i="11"/>
  <c r="J576" i="11"/>
  <c r="I576" i="11"/>
  <c r="H576" i="11"/>
  <c r="G576" i="11"/>
  <c r="F576" i="11"/>
  <c r="E576" i="11"/>
  <c r="D576" i="11"/>
  <c r="C576" i="11"/>
  <c r="B576" i="11"/>
  <c r="A576" i="11"/>
  <c r="D575" i="11"/>
  <c r="C575" i="11"/>
  <c r="B575" i="11"/>
  <c r="A575" i="11"/>
  <c r="AL574" i="11"/>
  <c r="AK574" i="11"/>
  <c r="AJ574" i="11"/>
  <c r="AI574" i="11"/>
  <c r="AH574" i="11"/>
  <c r="AG574" i="11"/>
  <c r="AF574" i="11"/>
  <c r="AE574" i="11"/>
  <c r="AD574" i="11"/>
  <c r="AC574" i="11"/>
  <c r="AB574" i="11"/>
  <c r="AA574" i="11"/>
  <c r="Z574" i="11"/>
  <c r="Y574" i="11"/>
  <c r="X574" i="11"/>
  <c r="W574" i="11"/>
  <c r="V574" i="11"/>
  <c r="U574" i="11"/>
  <c r="T574" i="11"/>
  <c r="S574" i="11"/>
  <c r="R574" i="11"/>
  <c r="Q574" i="11"/>
  <c r="P574" i="11"/>
  <c r="O574" i="11"/>
  <c r="N574" i="11"/>
  <c r="M574" i="11"/>
  <c r="L574" i="11"/>
  <c r="K574" i="11"/>
  <c r="J574" i="11"/>
  <c r="I574" i="11"/>
  <c r="H574" i="11"/>
  <c r="G574" i="11"/>
  <c r="F574" i="11"/>
  <c r="E574" i="11"/>
  <c r="D574" i="11"/>
  <c r="C574" i="11"/>
  <c r="B574" i="11"/>
  <c r="A574" i="11"/>
  <c r="AL573" i="11"/>
  <c r="AK573" i="11"/>
  <c r="AJ573" i="11"/>
  <c r="AI573" i="11"/>
  <c r="AH573" i="11"/>
  <c r="AG573" i="11"/>
  <c r="AF573" i="11"/>
  <c r="AE573" i="11"/>
  <c r="AD573" i="11"/>
  <c r="AC573" i="11"/>
  <c r="AB573" i="11"/>
  <c r="AA573" i="11"/>
  <c r="Z573" i="11"/>
  <c r="Y573" i="11"/>
  <c r="X573" i="11"/>
  <c r="W573" i="11"/>
  <c r="V573" i="11"/>
  <c r="U573" i="11"/>
  <c r="T573" i="11"/>
  <c r="S573" i="11"/>
  <c r="R573" i="11"/>
  <c r="Q573" i="11"/>
  <c r="P573" i="11"/>
  <c r="O573" i="11"/>
  <c r="N573" i="11"/>
  <c r="M573" i="11"/>
  <c r="L573" i="11"/>
  <c r="K573" i="11"/>
  <c r="J573" i="11"/>
  <c r="I573" i="11"/>
  <c r="H573" i="11"/>
  <c r="G573" i="11"/>
  <c r="F573" i="11"/>
  <c r="E573" i="11"/>
  <c r="D573" i="11"/>
  <c r="C573" i="11"/>
  <c r="B573" i="11"/>
  <c r="A573" i="11"/>
  <c r="AL572" i="11"/>
  <c r="AK572" i="11"/>
  <c r="AJ572" i="11"/>
  <c r="AI572" i="11"/>
  <c r="AH572" i="11"/>
  <c r="AG572" i="11"/>
  <c r="AF572" i="11"/>
  <c r="AE572" i="11"/>
  <c r="AD572" i="11"/>
  <c r="AC572" i="11"/>
  <c r="AB572" i="11"/>
  <c r="AA572" i="11"/>
  <c r="Z572" i="11"/>
  <c r="Y572" i="11"/>
  <c r="X572" i="11"/>
  <c r="W572" i="11"/>
  <c r="V572" i="11"/>
  <c r="U572" i="11"/>
  <c r="T572" i="11"/>
  <c r="S572" i="11"/>
  <c r="R572" i="11"/>
  <c r="Q572" i="11"/>
  <c r="P572" i="11"/>
  <c r="O572" i="11"/>
  <c r="N572" i="11"/>
  <c r="M572" i="11"/>
  <c r="L572" i="11"/>
  <c r="K572" i="11"/>
  <c r="J572" i="11"/>
  <c r="I572" i="11"/>
  <c r="H572" i="11"/>
  <c r="G572" i="11"/>
  <c r="F572" i="11"/>
  <c r="E572" i="11"/>
  <c r="D572" i="11"/>
  <c r="C572" i="11"/>
  <c r="B572" i="11"/>
  <c r="A572" i="11"/>
  <c r="AL571" i="11"/>
  <c r="AK571" i="11"/>
  <c r="AJ571" i="11"/>
  <c r="AI571" i="11"/>
  <c r="AH571" i="11"/>
  <c r="AG571" i="11"/>
  <c r="AF571" i="11"/>
  <c r="AE571" i="11"/>
  <c r="AD571" i="11"/>
  <c r="AC571" i="11"/>
  <c r="AB571" i="11"/>
  <c r="AA571" i="11"/>
  <c r="Z571" i="11"/>
  <c r="Y571" i="11"/>
  <c r="X571" i="11"/>
  <c r="W571" i="11"/>
  <c r="V571" i="11"/>
  <c r="U571" i="11"/>
  <c r="T571" i="11"/>
  <c r="S571" i="11"/>
  <c r="R571" i="11"/>
  <c r="Q571" i="11"/>
  <c r="P571" i="11"/>
  <c r="O571" i="11"/>
  <c r="N571" i="11"/>
  <c r="M571" i="11"/>
  <c r="L571" i="11"/>
  <c r="K571" i="11"/>
  <c r="J571" i="11"/>
  <c r="I571" i="11"/>
  <c r="H571" i="11"/>
  <c r="G571" i="11"/>
  <c r="F571" i="11"/>
  <c r="E571" i="11"/>
  <c r="D571" i="11"/>
  <c r="C571" i="11"/>
  <c r="B571" i="11"/>
  <c r="A571" i="11"/>
  <c r="AL570" i="11"/>
  <c r="AH570" i="11"/>
  <c r="AF570" i="11"/>
  <c r="AA570" i="11"/>
  <c r="S570" i="11"/>
  <c r="R570" i="11"/>
  <c r="Q570" i="11"/>
  <c r="P570" i="11"/>
  <c r="O570" i="11"/>
  <c r="N570" i="11"/>
  <c r="M570" i="11"/>
  <c r="L570" i="11"/>
  <c r="K570" i="11"/>
  <c r="J570" i="11"/>
  <c r="I570" i="11"/>
  <c r="H570" i="11"/>
  <c r="G570" i="11"/>
  <c r="F570" i="11"/>
  <c r="E570" i="11"/>
  <c r="D570" i="11"/>
  <c r="C570" i="11"/>
  <c r="B570" i="11"/>
  <c r="A570" i="11"/>
  <c r="AL569" i="11"/>
  <c r="AH569" i="11"/>
  <c r="AF569" i="11"/>
  <c r="AA569" i="11"/>
  <c r="S569" i="11"/>
  <c r="R569" i="11"/>
  <c r="Q569" i="11"/>
  <c r="P569" i="11"/>
  <c r="O569" i="11"/>
  <c r="N569" i="11"/>
  <c r="M569" i="11"/>
  <c r="L569" i="11"/>
  <c r="K569" i="11"/>
  <c r="J569" i="11"/>
  <c r="I569" i="11"/>
  <c r="H569" i="11"/>
  <c r="G569" i="11"/>
  <c r="F569" i="11"/>
  <c r="E569" i="11"/>
  <c r="D569" i="11"/>
  <c r="C569" i="11"/>
  <c r="B569" i="11"/>
  <c r="A569" i="11"/>
  <c r="AL568" i="11"/>
  <c r="AF568" i="11"/>
  <c r="AA568" i="11"/>
  <c r="S568" i="11"/>
  <c r="R568" i="11"/>
  <c r="Q568" i="11"/>
  <c r="P568" i="11"/>
  <c r="O568" i="11"/>
  <c r="N568" i="11"/>
  <c r="M568" i="11"/>
  <c r="L568" i="11"/>
  <c r="K568" i="11"/>
  <c r="J568" i="11"/>
  <c r="I568" i="11"/>
  <c r="H568" i="11"/>
  <c r="G568" i="11"/>
  <c r="F568" i="11"/>
  <c r="E568" i="11"/>
  <c r="D568" i="11"/>
  <c r="C568" i="11"/>
  <c r="B568" i="11"/>
  <c r="A568" i="11"/>
  <c r="AL567" i="11"/>
  <c r="AF567" i="11"/>
  <c r="AA567" i="11"/>
  <c r="S567" i="11"/>
  <c r="Q567" i="11"/>
  <c r="P567" i="11"/>
  <c r="O567" i="11"/>
  <c r="N567" i="11"/>
  <c r="M567" i="11"/>
  <c r="I567" i="11"/>
  <c r="G567" i="11"/>
  <c r="F567" i="11"/>
  <c r="E567" i="11"/>
  <c r="D567" i="11"/>
  <c r="C567" i="11"/>
  <c r="B567" i="11"/>
  <c r="A567" i="11"/>
  <c r="AL566" i="11"/>
  <c r="AF566" i="11"/>
  <c r="AA566" i="11"/>
  <c r="S566" i="11"/>
  <c r="Q566" i="11"/>
  <c r="P566" i="11"/>
  <c r="O566" i="11"/>
  <c r="N566" i="11"/>
  <c r="M566" i="11"/>
  <c r="I566" i="11"/>
  <c r="G566" i="11"/>
  <c r="F566" i="11"/>
  <c r="E566" i="11"/>
  <c r="D566" i="11"/>
  <c r="C566" i="11"/>
  <c r="B566" i="11"/>
  <c r="A566" i="11"/>
  <c r="AL565" i="11"/>
  <c r="AF565" i="11"/>
  <c r="AA565" i="11"/>
  <c r="S565" i="11"/>
  <c r="Q565" i="11"/>
  <c r="P565" i="11"/>
  <c r="O565" i="11"/>
  <c r="N565" i="11"/>
  <c r="M565" i="11"/>
  <c r="I565" i="11"/>
  <c r="G565" i="11"/>
  <c r="F565" i="11"/>
  <c r="E565" i="11"/>
  <c r="D565" i="11"/>
  <c r="C565" i="11"/>
  <c r="B565" i="11"/>
  <c r="A565" i="11"/>
  <c r="AL564" i="11"/>
  <c r="AK564" i="11"/>
  <c r="AJ564" i="11"/>
  <c r="AI564" i="11"/>
  <c r="AH564" i="11"/>
  <c r="AG564" i="11"/>
  <c r="AF564" i="11"/>
  <c r="AE564" i="11"/>
  <c r="AD564" i="11"/>
  <c r="AC564" i="11"/>
  <c r="AB564" i="11"/>
  <c r="AA564" i="11"/>
  <c r="Z564" i="11"/>
  <c r="Y564" i="11"/>
  <c r="X564" i="11"/>
  <c r="W564" i="11"/>
  <c r="V564" i="11"/>
  <c r="U564" i="11"/>
  <c r="T564" i="11"/>
  <c r="S564" i="11"/>
  <c r="R564" i="11"/>
  <c r="Q564" i="11"/>
  <c r="P564" i="11"/>
  <c r="O564" i="11"/>
  <c r="N564" i="11"/>
  <c r="M564" i="11"/>
  <c r="L564" i="11"/>
  <c r="K564" i="11"/>
  <c r="J564" i="11"/>
  <c r="I564" i="11"/>
  <c r="H564" i="11"/>
  <c r="G564" i="11"/>
  <c r="F564" i="11"/>
  <c r="E564" i="11"/>
  <c r="D564" i="11"/>
  <c r="C564" i="11"/>
  <c r="B564" i="11"/>
  <c r="A564" i="11"/>
  <c r="AL563" i="11"/>
  <c r="AF563" i="11"/>
  <c r="AA563" i="11"/>
  <c r="S563" i="11"/>
  <c r="Q563" i="11"/>
  <c r="P563" i="11"/>
  <c r="O563" i="11"/>
  <c r="N563" i="11"/>
  <c r="M563" i="11"/>
  <c r="G563" i="11"/>
  <c r="F563" i="11"/>
  <c r="E563" i="11"/>
  <c r="D563" i="11"/>
  <c r="C563" i="11"/>
  <c r="B563" i="11"/>
  <c r="A563" i="11"/>
  <c r="AL562" i="11"/>
  <c r="AF562" i="11"/>
  <c r="AA562" i="11"/>
  <c r="S562" i="11"/>
  <c r="Q562" i="11"/>
  <c r="P562" i="11"/>
  <c r="O562" i="11"/>
  <c r="N562" i="11"/>
  <c r="M562" i="11"/>
  <c r="G562" i="11"/>
  <c r="F562" i="11"/>
  <c r="E562" i="11"/>
  <c r="D562" i="11"/>
  <c r="C562" i="11"/>
  <c r="B562" i="11"/>
  <c r="A562" i="11"/>
  <c r="E561" i="11"/>
  <c r="D561" i="11"/>
  <c r="C561" i="11"/>
  <c r="B561" i="11"/>
  <c r="A561" i="11"/>
  <c r="AL560" i="11"/>
  <c r="AF560" i="11"/>
  <c r="AA560" i="11"/>
  <c r="S560" i="11"/>
  <c r="Q560" i="11"/>
  <c r="P560" i="11"/>
  <c r="O560" i="11"/>
  <c r="N560" i="11"/>
  <c r="M560" i="11"/>
  <c r="G560" i="11"/>
  <c r="F560" i="11"/>
  <c r="E560" i="11"/>
  <c r="D560" i="11"/>
  <c r="C560" i="11"/>
  <c r="B560" i="11"/>
  <c r="A560" i="11"/>
  <c r="Y559" i="11"/>
  <c r="D559" i="11"/>
  <c r="C559" i="11"/>
  <c r="B559" i="11"/>
  <c r="A559" i="11"/>
  <c r="AH558" i="11"/>
  <c r="AF558" i="11"/>
  <c r="R558" i="11"/>
  <c r="Q558" i="11"/>
  <c r="P558" i="11"/>
  <c r="O558" i="11"/>
  <c r="N558" i="11"/>
  <c r="M558" i="11"/>
  <c r="L558" i="11"/>
  <c r="K558" i="11"/>
  <c r="J558" i="11"/>
  <c r="I558" i="11"/>
  <c r="H558" i="11"/>
  <c r="F558" i="11"/>
  <c r="E558" i="11"/>
  <c r="D558" i="11"/>
  <c r="C558" i="11"/>
  <c r="B558" i="11"/>
  <c r="A558" i="11"/>
  <c r="E557" i="11"/>
  <c r="D557" i="11"/>
  <c r="C557" i="11"/>
  <c r="B557" i="11"/>
  <c r="A557" i="11"/>
  <c r="AL556" i="11"/>
  <c r="AK556" i="11"/>
  <c r="AJ556" i="11"/>
  <c r="AI556" i="11"/>
  <c r="AH556" i="11"/>
  <c r="AG556" i="11"/>
  <c r="AF556" i="11"/>
  <c r="AE556" i="11"/>
  <c r="AD556" i="11"/>
  <c r="AC556" i="11"/>
  <c r="AB556" i="11"/>
  <c r="AA556" i="11"/>
  <c r="Z556" i="11"/>
  <c r="Y556" i="11"/>
  <c r="X556" i="11"/>
  <c r="W556" i="11"/>
  <c r="V556" i="11"/>
  <c r="U556" i="11"/>
  <c r="T556" i="11"/>
  <c r="S556" i="11"/>
  <c r="R556" i="11"/>
  <c r="Q556" i="11"/>
  <c r="P556" i="11"/>
  <c r="O556" i="11"/>
  <c r="N556" i="11"/>
  <c r="M556" i="11"/>
  <c r="L556" i="11"/>
  <c r="K556" i="11"/>
  <c r="J556" i="11"/>
  <c r="I556" i="11"/>
  <c r="H556" i="11"/>
  <c r="G556" i="11"/>
  <c r="F556" i="11"/>
  <c r="E556" i="11"/>
  <c r="D556" i="11"/>
  <c r="C556" i="11"/>
  <c r="B556" i="11"/>
  <c r="A556" i="11"/>
  <c r="AL555" i="11"/>
  <c r="AK555" i="11"/>
  <c r="AJ555" i="11"/>
  <c r="AI555" i="11"/>
  <c r="AH555" i="11"/>
  <c r="AG555" i="11"/>
  <c r="AF555" i="11"/>
  <c r="AE555" i="11"/>
  <c r="AD555" i="11"/>
  <c r="AC555" i="11"/>
  <c r="AB555" i="11"/>
  <c r="AA555" i="11"/>
  <c r="Z555" i="11"/>
  <c r="Y555" i="11"/>
  <c r="X555" i="11"/>
  <c r="W555" i="11"/>
  <c r="V555" i="11"/>
  <c r="U555" i="11"/>
  <c r="T555" i="11"/>
  <c r="S555" i="11"/>
  <c r="R555" i="11"/>
  <c r="Q555" i="11"/>
  <c r="P555" i="11"/>
  <c r="O555" i="11"/>
  <c r="N555" i="11"/>
  <c r="M555" i="11"/>
  <c r="L555" i="11"/>
  <c r="K555" i="11"/>
  <c r="J555" i="11"/>
  <c r="I555" i="11"/>
  <c r="H555" i="11"/>
  <c r="G555" i="11"/>
  <c r="F555" i="11"/>
  <c r="E555" i="11"/>
  <c r="D555" i="11"/>
  <c r="C555" i="11"/>
  <c r="B555" i="11"/>
  <c r="A555" i="11"/>
  <c r="D554" i="11"/>
  <c r="C554" i="11"/>
  <c r="B554" i="11"/>
  <c r="A554" i="11"/>
  <c r="AK553" i="11"/>
  <c r="AJ553" i="11"/>
  <c r="AI553" i="11"/>
  <c r="AH553" i="11"/>
  <c r="AG553" i="11"/>
  <c r="AF553" i="11"/>
  <c r="AE553" i="11"/>
  <c r="AD553" i="11"/>
  <c r="AC553" i="11"/>
  <c r="AB553" i="11"/>
  <c r="AA553" i="11"/>
  <c r="Z553" i="11"/>
  <c r="Y553" i="11"/>
  <c r="X553" i="11"/>
  <c r="W553" i="11"/>
  <c r="V553" i="11"/>
  <c r="U553" i="11"/>
  <c r="T553" i="11"/>
  <c r="S553" i="11"/>
  <c r="R553" i="11"/>
  <c r="Q553" i="11"/>
  <c r="P553" i="11"/>
  <c r="O553" i="11"/>
  <c r="N553" i="11"/>
  <c r="M553" i="11"/>
  <c r="L553" i="11"/>
  <c r="K553" i="11"/>
  <c r="J553" i="11"/>
  <c r="I553" i="11"/>
  <c r="H553" i="11"/>
  <c r="G553" i="11"/>
  <c r="F553" i="11"/>
  <c r="E553" i="11"/>
  <c r="D553" i="11"/>
  <c r="C553" i="11"/>
  <c r="B553" i="11"/>
  <c r="A553" i="11"/>
  <c r="AL552" i="11"/>
  <c r="AK552" i="11"/>
  <c r="AJ552" i="11"/>
  <c r="AI552" i="11"/>
  <c r="AH552" i="11"/>
  <c r="AG552" i="11"/>
  <c r="AF552" i="11"/>
  <c r="AE552" i="11"/>
  <c r="AD552" i="11"/>
  <c r="AC552" i="11"/>
  <c r="AB552" i="11"/>
  <c r="AA552" i="11"/>
  <c r="Z552" i="11"/>
  <c r="Y552" i="11"/>
  <c r="X552" i="11"/>
  <c r="W552" i="11"/>
  <c r="V552" i="11"/>
  <c r="U552" i="11"/>
  <c r="T552" i="11"/>
  <c r="S552" i="11"/>
  <c r="R552" i="11"/>
  <c r="Q552" i="11"/>
  <c r="P552" i="11"/>
  <c r="O552" i="11"/>
  <c r="N552" i="11"/>
  <c r="M552" i="11"/>
  <c r="L552" i="11"/>
  <c r="K552" i="11"/>
  <c r="J552" i="11"/>
  <c r="I552" i="11"/>
  <c r="H552" i="11"/>
  <c r="G552" i="11"/>
  <c r="F552" i="11"/>
  <c r="E552" i="11"/>
  <c r="D552" i="11"/>
  <c r="C552" i="11"/>
  <c r="B552" i="11"/>
  <c r="A552" i="11"/>
  <c r="AL551" i="11"/>
  <c r="AK551" i="11"/>
  <c r="AJ551" i="11"/>
  <c r="AI551" i="11"/>
  <c r="AH551" i="11"/>
  <c r="AG551" i="11"/>
  <c r="AF551" i="11"/>
  <c r="AE551" i="11"/>
  <c r="AD551" i="11"/>
  <c r="AC551" i="11"/>
  <c r="AB551" i="11"/>
  <c r="AA551" i="11"/>
  <c r="Z551" i="11"/>
  <c r="Y551" i="11"/>
  <c r="X551" i="11"/>
  <c r="W551" i="11"/>
  <c r="V551" i="11"/>
  <c r="U551" i="11"/>
  <c r="T551" i="11"/>
  <c r="S551" i="11"/>
  <c r="R551" i="11"/>
  <c r="Q551" i="11"/>
  <c r="P551" i="11"/>
  <c r="O551" i="11"/>
  <c r="N551" i="11"/>
  <c r="M551" i="11"/>
  <c r="L551" i="11"/>
  <c r="K551" i="11"/>
  <c r="J551" i="11"/>
  <c r="I551" i="11"/>
  <c r="H551" i="11"/>
  <c r="G551" i="11"/>
  <c r="F551" i="11"/>
  <c r="E551" i="11"/>
  <c r="D551" i="11"/>
  <c r="C551" i="11"/>
  <c r="B551" i="11"/>
  <c r="A551" i="11"/>
  <c r="AL550" i="11"/>
  <c r="AK550" i="11"/>
  <c r="AJ550" i="11"/>
  <c r="AI550" i="11"/>
  <c r="AH550" i="11"/>
  <c r="AG550" i="11"/>
  <c r="AF550" i="11"/>
  <c r="AE550" i="11"/>
  <c r="AD550" i="11"/>
  <c r="AC550" i="11"/>
  <c r="AB550" i="11"/>
  <c r="AA550" i="11"/>
  <c r="Z550" i="11"/>
  <c r="Y550" i="11"/>
  <c r="X550" i="11"/>
  <c r="W550" i="11"/>
  <c r="V550" i="11"/>
  <c r="U550" i="11"/>
  <c r="T550" i="11"/>
  <c r="S550" i="11"/>
  <c r="R550" i="11"/>
  <c r="Q550" i="11"/>
  <c r="P550" i="11"/>
  <c r="O550" i="11"/>
  <c r="N550" i="11"/>
  <c r="M550" i="11"/>
  <c r="L550" i="11"/>
  <c r="K550" i="11"/>
  <c r="J550" i="11"/>
  <c r="I550" i="11"/>
  <c r="H550" i="11"/>
  <c r="G550" i="11"/>
  <c r="F550" i="11"/>
  <c r="E550" i="11"/>
  <c r="D550" i="11"/>
  <c r="C550" i="11"/>
  <c r="B550" i="11"/>
  <c r="A550" i="11"/>
  <c r="AL549" i="11"/>
  <c r="AK549" i="11"/>
  <c r="AJ549" i="11"/>
  <c r="AI549" i="11"/>
  <c r="AH549" i="11"/>
  <c r="AG549" i="11"/>
  <c r="AF549" i="11"/>
  <c r="AE549" i="11"/>
  <c r="AD549" i="11"/>
  <c r="AC549" i="11"/>
  <c r="AB549" i="11"/>
  <c r="AA549" i="11"/>
  <c r="Z549" i="11"/>
  <c r="Y549" i="11"/>
  <c r="X549" i="11"/>
  <c r="W549" i="11"/>
  <c r="V549" i="11"/>
  <c r="U549" i="11"/>
  <c r="T549" i="11"/>
  <c r="S549" i="11"/>
  <c r="R549" i="11"/>
  <c r="Q549" i="11"/>
  <c r="P549" i="11"/>
  <c r="O549" i="11"/>
  <c r="N549" i="11"/>
  <c r="M549" i="11"/>
  <c r="L549" i="11"/>
  <c r="K549" i="11"/>
  <c r="J549" i="11"/>
  <c r="I549" i="11"/>
  <c r="H549" i="11"/>
  <c r="G549" i="11"/>
  <c r="F549" i="11"/>
  <c r="E549" i="11"/>
  <c r="D549" i="11"/>
  <c r="C549" i="11"/>
  <c r="B549" i="11"/>
  <c r="A549" i="11"/>
  <c r="AF548" i="11"/>
  <c r="AC548" i="11"/>
  <c r="Y548" i="11"/>
  <c r="X548" i="11"/>
  <c r="W548" i="11"/>
  <c r="V548" i="11"/>
  <c r="U548" i="11"/>
  <c r="T548" i="11"/>
  <c r="S548" i="11"/>
  <c r="R548" i="11"/>
  <c r="Q548" i="11"/>
  <c r="P548" i="11"/>
  <c r="O548" i="11"/>
  <c r="N548" i="11"/>
  <c r="M548" i="11"/>
  <c r="L548" i="11"/>
  <c r="K548" i="11"/>
  <c r="J548" i="11"/>
  <c r="I548" i="11"/>
  <c r="H548" i="11"/>
  <c r="G548" i="11"/>
  <c r="F548" i="11"/>
  <c r="E548" i="11"/>
  <c r="D548" i="11"/>
  <c r="C548" i="11"/>
  <c r="B548" i="11"/>
  <c r="A548" i="11"/>
  <c r="AF547" i="11"/>
  <c r="AC547" i="11"/>
  <c r="W547" i="11"/>
  <c r="V547" i="11"/>
  <c r="U547" i="11"/>
  <c r="T547" i="11"/>
  <c r="S547" i="11"/>
  <c r="R547" i="11"/>
  <c r="Q547" i="11"/>
  <c r="P547" i="11"/>
  <c r="O547" i="11"/>
  <c r="N547" i="11"/>
  <c r="M547" i="11"/>
  <c r="L547" i="11"/>
  <c r="K547" i="11"/>
  <c r="J547" i="11"/>
  <c r="I547" i="11"/>
  <c r="H547" i="11"/>
  <c r="G547" i="11"/>
  <c r="F547" i="11"/>
  <c r="E547" i="11"/>
  <c r="D547" i="11"/>
  <c r="C547" i="11"/>
  <c r="B547" i="11"/>
  <c r="A547" i="11"/>
  <c r="AL546" i="11"/>
  <c r="AK546" i="11"/>
  <c r="AJ546" i="11"/>
  <c r="AI546" i="11"/>
  <c r="AH546" i="11"/>
  <c r="AG546" i="11"/>
  <c r="AF546" i="11"/>
  <c r="AE546" i="11"/>
  <c r="AD546" i="11"/>
  <c r="AC546" i="11"/>
  <c r="AB546" i="11"/>
  <c r="AA546" i="11"/>
  <c r="Z546" i="11"/>
  <c r="Y546" i="11"/>
  <c r="X546" i="11"/>
  <c r="W546" i="11"/>
  <c r="V546" i="11"/>
  <c r="U546" i="11"/>
  <c r="T546" i="11"/>
  <c r="S546" i="11"/>
  <c r="R546" i="11"/>
  <c r="Q546" i="11"/>
  <c r="P546" i="11"/>
  <c r="O546" i="11"/>
  <c r="N546" i="11"/>
  <c r="M546" i="11"/>
  <c r="L546" i="11"/>
  <c r="K546" i="11"/>
  <c r="J546" i="11"/>
  <c r="I546" i="11"/>
  <c r="H546" i="11"/>
  <c r="G546" i="11"/>
  <c r="F546" i="11"/>
  <c r="E546" i="11"/>
  <c r="D546" i="11"/>
  <c r="C546" i="11"/>
  <c r="B546" i="11"/>
  <c r="A546" i="11"/>
  <c r="AL545" i="11"/>
  <c r="AK545" i="11"/>
  <c r="AJ545" i="11"/>
  <c r="AI545" i="11"/>
  <c r="AH545" i="11"/>
  <c r="AG545" i="11"/>
  <c r="AF545" i="11"/>
  <c r="AE545" i="11"/>
  <c r="AD545" i="11"/>
  <c r="AC545" i="11"/>
  <c r="AB545" i="11"/>
  <c r="AA545" i="11"/>
  <c r="Z545" i="11"/>
  <c r="Y545" i="11"/>
  <c r="X545" i="11"/>
  <c r="W545" i="11"/>
  <c r="V545" i="11"/>
  <c r="U545" i="11"/>
  <c r="T545" i="11"/>
  <c r="S545" i="11"/>
  <c r="R545" i="11"/>
  <c r="Q545" i="11"/>
  <c r="P545" i="11"/>
  <c r="O545" i="11"/>
  <c r="N545" i="11"/>
  <c r="M545" i="11"/>
  <c r="L545" i="11"/>
  <c r="K545" i="11"/>
  <c r="J545" i="11"/>
  <c r="I545" i="11"/>
  <c r="H545" i="11"/>
  <c r="G545" i="11"/>
  <c r="F545" i="11"/>
  <c r="E545" i="11"/>
  <c r="D545" i="11"/>
  <c r="C545" i="11"/>
  <c r="B545" i="11"/>
  <c r="A545" i="11"/>
  <c r="AL544" i="11"/>
  <c r="AK544" i="11"/>
  <c r="AJ544" i="11"/>
  <c r="AI544" i="11"/>
  <c r="AH544" i="11"/>
  <c r="AG544" i="11"/>
  <c r="AF544" i="11"/>
  <c r="AE544" i="11"/>
  <c r="AD544" i="11"/>
  <c r="AC544" i="11"/>
  <c r="AB544" i="11"/>
  <c r="AA544" i="11"/>
  <c r="Z544" i="11"/>
  <c r="Y544" i="11"/>
  <c r="X544" i="11"/>
  <c r="W544" i="11"/>
  <c r="V544" i="11"/>
  <c r="U544" i="11"/>
  <c r="T544" i="11"/>
  <c r="S544" i="11"/>
  <c r="R544" i="11"/>
  <c r="Q544" i="11"/>
  <c r="P544" i="11"/>
  <c r="O544" i="11"/>
  <c r="N544" i="11"/>
  <c r="M544" i="11"/>
  <c r="L544" i="11"/>
  <c r="K544" i="11"/>
  <c r="J544" i="11"/>
  <c r="I544" i="11"/>
  <c r="H544" i="11"/>
  <c r="G544" i="11"/>
  <c r="F544" i="11"/>
  <c r="E544" i="11"/>
  <c r="D544" i="11"/>
  <c r="C544" i="11"/>
  <c r="B544" i="11"/>
  <c r="A544" i="11"/>
  <c r="AL543" i="11"/>
  <c r="AK543" i="11"/>
  <c r="AJ543" i="11"/>
  <c r="AI543" i="11"/>
  <c r="AH543" i="11"/>
  <c r="AG543" i="11"/>
  <c r="AF543" i="11"/>
  <c r="AE543" i="11"/>
  <c r="AD543" i="11"/>
  <c r="AC543" i="11"/>
  <c r="AB543" i="11"/>
  <c r="AA543" i="11"/>
  <c r="Z543" i="11"/>
  <c r="Y543" i="11"/>
  <c r="X543" i="11"/>
  <c r="W543" i="11"/>
  <c r="V543" i="11"/>
  <c r="U543" i="11"/>
  <c r="T543" i="11"/>
  <c r="S543" i="11"/>
  <c r="R543" i="11"/>
  <c r="Q543" i="11"/>
  <c r="P543" i="11"/>
  <c r="O543" i="11"/>
  <c r="N543" i="11"/>
  <c r="M543" i="11"/>
  <c r="L543" i="11"/>
  <c r="K543" i="11"/>
  <c r="J543" i="11"/>
  <c r="I543" i="11"/>
  <c r="H543" i="11"/>
  <c r="G543" i="11"/>
  <c r="F543" i="11"/>
  <c r="E543" i="11"/>
  <c r="D543" i="11"/>
  <c r="C543" i="11"/>
  <c r="B543" i="11"/>
  <c r="A543" i="11"/>
  <c r="AL542" i="11"/>
  <c r="AK542" i="11"/>
  <c r="AJ542" i="11"/>
  <c r="AI542" i="11"/>
  <c r="AH542" i="11"/>
  <c r="AG542" i="11"/>
  <c r="AF542" i="11"/>
  <c r="AE542" i="11"/>
  <c r="AD542" i="11"/>
  <c r="AC542" i="11"/>
  <c r="AB542" i="11"/>
  <c r="AA542" i="11"/>
  <c r="Z542" i="11"/>
  <c r="Y542" i="11"/>
  <c r="X542" i="11"/>
  <c r="W542" i="11"/>
  <c r="V542" i="11"/>
  <c r="U542" i="11"/>
  <c r="T542" i="11"/>
  <c r="S542" i="11"/>
  <c r="R542" i="11"/>
  <c r="Q542" i="11"/>
  <c r="P542" i="11"/>
  <c r="O542" i="11"/>
  <c r="N542" i="11"/>
  <c r="M542" i="11"/>
  <c r="L542" i="11"/>
  <c r="K542" i="11"/>
  <c r="J542" i="11"/>
  <c r="I542" i="11"/>
  <c r="H542" i="11"/>
  <c r="G542" i="11"/>
  <c r="F542" i="11"/>
  <c r="E542" i="11"/>
  <c r="D542" i="11"/>
  <c r="C542" i="11"/>
  <c r="B542" i="11"/>
  <c r="A542" i="11"/>
  <c r="AL541" i="11"/>
  <c r="AK541" i="11"/>
  <c r="AJ541" i="11"/>
  <c r="AI541" i="11"/>
  <c r="AH541" i="11"/>
  <c r="AG541" i="11"/>
  <c r="AF541" i="11"/>
  <c r="AE541" i="11"/>
  <c r="AD541" i="11"/>
  <c r="AC541" i="11"/>
  <c r="AB541" i="11"/>
  <c r="AA541" i="11"/>
  <c r="Z541" i="11"/>
  <c r="Y541" i="11"/>
  <c r="X541" i="11"/>
  <c r="W541" i="11"/>
  <c r="V541" i="11"/>
  <c r="U541" i="11"/>
  <c r="T541" i="11"/>
  <c r="S541" i="11"/>
  <c r="R541" i="11"/>
  <c r="Q541" i="11"/>
  <c r="P541" i="11"/>
  <c r="O541" i="11"/>
  <c r="N541" i="11"/>
  <c r="M541" i="11"/>
  <c r="L541" i="11"/>
  <c r="K541" i="11"/>
  <c r="J541" i="11"/>
  <c r="I541" i="11"/>
  <c r="H541" i="11"/>
  <c r="G541" i="11"/>
  <c r="F541" i="11"/>
  <c r="E541" i="11"/>
  <c r="D541" i="11"/>
  <c r="C541" i="11"/>
  <c r="B541" i="11"/>
  <c r="A541" i="11"/>
  <c r="AL540" i="11"/>
  <c r="AK540" i="11"/>
  <c r="AJ540" i="11"/>
  <c r="AI540" i="11"/>
  <c r="AH540" i="11"/>
  <c r="AG540" i="11"/>
  <c r="AF540" i="11"/>
  <c r="AE540" i="11"/>
  <c r="AD540" i="11"/>
  <c r="AC540" i="11"/>
  <c r="AB540" i="11"/>
  <c r="AA540" i="11"/>
  <c r="Z540" i="11"/>
  <c r="Y540" i="11"/>
  <c r="X540" i="11"/>
  <c r="W540" i="11"/>
  <c r="V540" i="11"/>
  <c r="U540" i="11"/>
  <c r="T540" i="11"/>
  <c r="S540" i="11"/>
  <c r="R540" i="11"/>
  <c r="Q540" i="11"/>
  <c r="P540" i="11"/>
  <c r="O540" i="11"/>
  <c r="N540" i="11"/>
  <c r="M540" i="11"/>
  <c r="L540" i="11"/>
  <c r="K540" i="11"/>
  <c r="J540" i="11"/>
  <c r="I540" i="11"/>
  <c r="H540" i="11"/>
  <c r="G540" i="11"/>
  <c r="F540" i="11"/>
  <c r="E540" i="11"/>
  <c r="D540" i="11"/>
  <c r="C540" i="11"/>
  <c r="B540" i="11"/>
  <c r="A540" i="11"/>
  <c r="AL539" i="11"/>
  <c r="AK539" i="11"/>
  <c r="AJ539" i="11"/>
  <c r="AI539" i="11"/>
  <c r="AH539" i="11"/>
  <c r="AG539" i="11"/>
  <c r="AF539" i="11"/>
  <c r="AE539" i="11"/>
  <c r="AD539" i="11"/>
  <c r="AC539" i="11"/>
  <c r="AB539" i="11"/>
  <c r="AA539" i="11"/>
  <c r="Z539" i="11"/>
  <c r="Y539" i="11"/>
  <c r="X539" i="11"/>
  <c r="W539" i="11"/>
  <c r="V539" i="11"/>
  <c r="U539" i="11"/>
  <c r="T539" i="11"/>
  <c r="S539" i="11"/>
  <c r="R539" i="11"/>
  <c r="Q539" i="11"/>
  <c r="P539" i="11"/>
  <c r="O539" i="11"/>
  <c r="N539" i="11"/>
  <c r="M539" i="11"/>
  <c r="L539" i="11"/>
  <c r="K539" i="11"/>
  <c r="J539" i="11"/>
  <c r="I539" i="11"/>
  <c r="H539" i="11"/>
  <c r="G539" i="11"/>
  <c r="F539" i="11"/>
  <c r="E539" i="11"/>
  <c r="D539" i="11"/>
  <c r="C539" i="11"/>
  <c r="B539" i="11"/>
  <c r="A539" i="11"/>
  <c r="AL538" i="11"/>
  <c r="AK538" i="11"/>
  <c r="AJ538" i="11"/>
  <c r="AI538" i="11"/>
  <c r="AH538" i="11"/>
  <c r="AG538" i="11"/>
  <c r="AF538" i="11"/>
  <c r="AE538" i="11"/>
  <c r="AD538" i="11"/>
  <c r="AC538" i="11"/>
  <c r="AB538" i="11"/>
  <c r="AA538" i="11"/>
  <c r="Z538" i="11"/>
  <c r="Y538" i="11"/>
  <c r="X538" i="11"/>
  <c r="W538" i="11"/>
  <c r="V538" i="11"/>
  <c r="U538" i="11"/>
  <c r="T538" i="11"/>
  <c r="S538" i="11"/>
  <c r="R538" i="11"/>
  <c r="Q538" i="11"/>
  <c r="P538" i="11"/>
  <c r="O538" i="11"/>
  <c r="N538" i="11"/>
  <c r="M538" i="11"/>
  <c r="L538" i="11"/>
  <c r="K538" i="11"/>
  <c r="J538" i="11"/>
  <c r="I538" i="11"/>
  <c r="H538" i="11"/>
  <c r="G538" i="11"/>
  <c r="F538" i="11"/>
  <c r="E538" i="11"/>
  <c r="D538" i="11"/>
  <c r="C538" i="11"/>
  <c r="B538" i="11"/>
  <c r="A538" i="11"/>
  <c r="AL537" i="11"/>
  <c r="AF537" i="11"/>
  <c r="AA537" i="11"/>
  <c r="S537" i="11"/>
  <c r="Q537" i="11"/>
  <c r="P537" i="11"/>
  <c r="O537" i="11"/>
  <c r="N537" i="11"/>
  <c r="M537" i="11"/>
  <c r="G537" i="11"/>
  <c r="F537" i="11"/>
  <c r="E537" i="11"/>
  <c r="D537" i="11"/>
  <c r="C537" i="11"/>
  <c r="B537" i="11"/>
  <c r="A537" i="11"/>
  <c r="AL536" i="11"/>
  <c r="AF536" i="11"/>
  <c r="AC536" i="11"/>
  <c r="AA536" i="11"/>
  <c r="W536" i="11"/>
  <c r="V536" i="11"/>
  <c r="U536" i="11"/>
  <c r="T536" i="11"/>
  <c r="S536" i="11"/>
  <c r="R536" i="11"/>
  <c r="Q536" i="11"/>
  <c r="P536" i="11"/>
  <c r="O536" i="11"/>
  <c r="N536" i="11"/>
  <c r="M536" i="11"/>
  <c r="L536" i="11"/>
  <c r="K536" i="11"/>
  <c r="J536" i="11"/>
  <c r="I536" i="11"/>
  <c r="H536" i="11"/>
  <c r="G536" i="11"/>
  <c r="F536" i="11"/>
  <c r="E536" i="11"/>
  <c r="D536" i="11"/>
  <c r="C536" i="11"/>
  <c r="B536" i="11"/>
  <c r="A536" i="11"/>
  <c r="AL535" i="11"/>
  <c r="AF535" i="11"/>
  <c r="AC535" i="11"/>
  <c r="AA535" i="11"/>
  <c r="W535" i="11"/>
  <c r="V535" i="11"/>
  <c r="U535" i="11"/>
  <c r="T535" i="11"/>
  <c r="S535" i="11"/>
  <c r="R535" i="11"/>
  <c r="Q535" i="11"/>
  <c r="P535" i="11"/>
  <c r="O535" i="11"/>
  <c r="N535" i="11"/>
  <c r="M535" i="11"/>
  <c r="L535" i="11"/>
  <c r="K535" i="11"/>
  <c r="J535" i="11"/>
  <c r="I535" i="11"/>
  <c r="H535" i="11"/>
  <c r="G535" i="11"/>
  <c r="F535" i="11"/>
  <c r="E535" i="11"/>
  <c r="D535" i="11"/>
  <c r="C535" i="11"/>
  <c r="B535" i="11"/>
  <c r="A535" i="11"/>
  <c r="AL534" i="11"/>
  <c r="AK534" i="11"/>
  <c r="AJ534" i="11"/>
  <c r="AI534" i="11"/>
  <c r="AH534" i="11"/>
  <c r="AG534" i="11"/>
  <c r="AF534" i="11"/>
  <c r="AE534" i="11"/>
  <c r="AD534" i="11"/>
  <c r="AC534" i="11"/>
  <c r="AB534" i="11"/>
  <c r="AA534" i="11"/>
  <c r="Z534" i="11"/>
  <c r="Y534" i="11"/>
  <c r="X534" i="11"/>
  <c r="W534" i="11"/>
  <c r="V534" i="11"/>
  <c r="U534" i="11"/>
  <c r="T534" i="11"/>
  <c r="S534" i="11"/>
  <c r="R534" i="11"/>
  <c r="Q534" i="11"/>
  <c r="P534" i="11"/>
  <c r="O534" i="11"/>
  <c r="N534" i="11"/>
  <c r="M534" i="11"/>
  <c r="L534" i="11"/>
  <c r="K534" i="11"/>
  <c r="J534" i="11"/>
  <c r="I534" i="11"/>
  <c r="H534" i="11"/>
  <c r="G534" i="11"/>
  <c r="F534" i="11"/>
  <c r="E534" i="11"/>
  <c r="D534" i="11"/>
  <c r="C534" i="11"/>
  <c r="B534" i="11"/>
  <c r="A534" i="11"/>
  <c r="AL533" i="11"/>
  <c r="AF533" i="11"/>
  <c r="AC533" i="11"/>
  <c r="AA533" i="11"/>
  <c r="W533" i="11"/>
  <c r="V533" i="11"/>
  <c r="U533" i="11"/>
  <c r="T533" i="11"/>
  <c r="S533" i="11"/>
  <c r="R533" i="11"/>
  <c r="Q533" i="11"/>
  <c r="P533" i="11"/>
  <c r="O533" i="11"/>
  <c r="N533" i="11"/>
  <c r="M533" i="11"/>
  <c r="L533" i="11"/>
  <c r="K533" i="11"/>
  <c r="J533" i="11"/>
  <c r="I533" i="11"/>
  <c r="H533" i="11"/>
  <c r="G533" i="11"/>
  <c r="F533" i="11"/>
  <c r="E533" i="11"/>
  <c r="D533" i="11"/>
  <c r="C533" i="11"/>
  <c r="B533" i="11"/>
  <c r="A533" i="11"/>
  <c r="AL532" i="11"/>
  <c r="AF532" i="11"/>
  <c r="AC532" i="11"/>
  <c r="AA532" i="11"/>
  <c r="W532" i="11"/>
  <c r="V532" i="11"/>
  <c r="U532" i="11"/>
  <c r="T532" i="11"/>
  <c r="S532" i="11"/>
  <c r="R532" i="11"/>
  <c r="Q532" i="11"/>
  <c r="P532" i="11"/>
  <c r="O532" i="11"/>
  <c r="N532" i="11"/>
  <c r="M532" i="11"/>
  <c r="L532" i="11"/>
  <c r="K532" i="11"/>
  <c r="J532" i="11"/>
  <c r="I532" i="11"/>
  <c r="H532" i="11"/>
  <c r="G532" i="11"/>
  <c r="F532" i="11"/>
  <c r="E532" i="11"/>
  <c r="D532" i="11"/>
  <c r="C532" i="11"/>
  <c r="B532" i="11"/>
  <c r="A532" i="11"/>
  <c r="AL531" i="11"/>
  <c r="AF531" i="11"/>
  <c r="AC531" i="11"/>
  <c r="AA531" i="11"/>
  <c r="W531" i="11"/>
  <c r="V531" i="11"/>
  <c r="U531" i="11"/>
  <c r="T531" i="11"/>
  <c r="S531" i="11"/>
  <c r="R531" i="11"/>
  <c r="Q531" i="11"/>
  <c r="P531" i="11"/>
  <c r="O531" i="11"/>
  <c r="N531" i="11"/>
  <c r="M531" i="11"/>
  <c r="L531" i="11"/>
  <c r="K531" i="11"/>
  <c r="J531" i="11"/>
  <c r="I531" i="11"/>
  <c r="H531" i="11"/>
  <c r="G531" i="11"/>
  <c r="F531" i="11"/>
  <c r="E531" i="11"/>
  <c r="D531" i="11"/>
  <c r="C531" i="11"/>
  <c r="B531" i="11"/>
  <c r="A531" i="11"/>
  <c r="AL530" i="11"/>
  <c r="AF530" i="11"/>
  <c r="AC530" i="11"/>
  <c r="AA530" i="11"/>
  <c r="W530" i="11"/>
  <c r="V530" i="11"/>
  <c r="U530" i="11"/>
  <c r="T530" i="11"/>
  <c r="S530" i="11"/>
  <c r="R530" i="11"/>
  <c r="Q530" i="11"/>
  <c r="P530" i="11"/>
  <c r="O530" i="11"/>
  <c r="N530" i="11"/>
  <c r="M530" i="11"/>
  <c r="L530" i="11"/>
  <c r="K530" i="11"/>
  <c r="J530" i="11"/>
  <c r="I530" i="11"/>
  <c r="H530" i="11"/>
  <c r="G530" i="11"/>
  <c r="F530" i="11"/>
  <c r="E530" i="11"/>
  <c r="D530" i="11"/>
  <c r="C530" i="11"/>
  <c r="B530" i="11"/>
  <c r="A530" i="11"/>
  <c r="AL529" i="11"/>
  <c r="AF529" i="11"/>
  <c r="AC529" i="11"/>
  <c r="AA529" i="11"/>
  <c r="W529" i="11"/>
  <c r="V529" i="11"/>
  <c r="U529" i="11"/>
  <c r="T529" i="11"/>
  <c r="S529" i="11"/>
  <c r="R529" i="11"/>
  <c r="Q529" i="11"/>
  <c r="P529" i="11"/>
  <c r="O529" i="11"/>
  <c r="N529" i="11"/>
  <c r="M529" i="11"/>
  <c r="L529" i="11"/>
  <c r="K529" i="11"/>
  <c r="J529" i="11"/>
  <c r="I529" i="11"/>
  <c r="H529" i="11"/>
  <c r="G529" i="11"/>
  <c r="F529" i="11"/>
  <c r="E529" i="11"/>
  <c r="D529" i="11"/>
  <c r="C529" i="11"/>
  <c r="B529" i="11"/>
  <c r="A529" i="11"/>
  <c r="AC528" i="11"/>
  <c r="W528" i="11"/>
  <c r="V528" i="11"/>
  <c r="U528" i="11"/>
  <c r="T528" i="11"/>
  <c r="S528" i="11"/>
  <c r="R528" i="11"/>
  <c r="Q528" i="11"/>
  <c r="P528" i="11"/>
  <c r="O528" i="11"/>
  <c r="N528" i="11"/>
  <c r="M528" i="11"/>
  <c r="L528" i="11"/>
  <c r="K528" i="11"/>
  <c r="J528" i="11"/>
  <c r="I528" i="11"/>
  <c r="H528" i="11"/>
  <c r="G528" i="11"/>
  <c r="F528" i="11"/>
  <c r="E528" i="11"/>
  <c r="D528" i="11"/>
  <c r="C528" i="11"/>
  <c r="B528" i="11"/>
  <c r="A528" i="11"/>
  <c r="AC527" i="11"/>
  <c r="W527" i="11"/>
  <c r="V527" i="11"/>
  <c r="U527" i="11"/>
  <c r="T527" i="11"/>
  <c r="S527" i="11"/>
  <c r="R527" i="11"/>
  <c r="Q527" i="11"/>
  <c r="P527" i="11"/>
  <c r="O527" i="11"/>
  <c r="N527" i="11"/>
  <c r="M527" i="11"/>
  <c r="L527" i="11"/>
  <c r="K527" i="11"/>
  <c r="J527" i="11"/>
  <c r="I527" i="11"/>
  <c r="H527" i="11"/>
  <c r="G527" i="11"/>
  <c r="F527" i="11"/>
  <c r="E527" i="11"/>
  <c r="D527" i="11"/>
  <c r="C527" i="11"/>
  <c r="B527" i="11"/>
  <c r="A527" i="11"/>
  <c r="AC526" i="11"/>
  <c r="W526" i="11"/>
  <c r="V526" i="11"/>
  <c r="U526" i="11"/>
  <c r="T526" i="11"/>
  <c r="S526" i="11"/>
  <c r="R526" i="11"/>
  <c r="Q526" i="11"/>
  <c r="P526" i="11"/>
  <c r="O526" i="11"/>
  <c r="N526" i="11"/>
  <c r="M526" i="11"/>
  <c r="L526" i="11"/>
  <c r="K526" i="11"/>
  <c r="J526" i="11"/>
  <c r="I526" i="11"/>
  <c r="H526" i="11"/>
  <c r="G526" i="11"/>
  <c r="F526" i="11"/>
  <c r="E526" i="11"/>
  <c r="D526" i="11"/>
  <c r="C526" i="11"/>
  <c r="B526" i="11"/>
  <c r="A526" i="11"/>
  <c r="AL525" i="11"/>
  <c r="AK525" i="11"/>
  <c r="AJ525" i="11"/>
  <c r="AI525" i="11"/>
  <c r="AH525" i="11"/>
  <c r="AG525" i="11"/>
  <c r="AF525" i="11"/>
  <c r="AE525" i="11"/>
  <c r="AD525" i="11"/>
  <c r="AC525" i="11"/>
  <c r="AB525" i="11"/>
  <c r="AA525" i="11"/>
  <c r="Z525" i="11"/>
  <c r="Y525" i="11"/>
  <c r="X525" i="11"/>
  <c r="W525" i="11"/>
  <c r="V525" i="11"/>
  <c r="U525" i="11"/>
  <c r="T525" i="11"/>
  <c r="S525" i="11"/>
  <c r="R525" i="11"/>
  <c r="Q525" i="11"/>
  <c r="P525" i="11"/>
  <c r="O525" i="11"/>
  <c r="N525" i="11"/>
  <c r="M525" i="11"/>
  <c r="L525" i="11"/>
  <c r="K525" i="11"/>
  <c r="J525" i="11"/>
  <c r="I525" i="11"/>
  <c r="H525" i="11"/>
  <c r="G525" i="11"/>
  <c r="F525" i="11"/>
  <c r="E525" i="11"/>
  <c r="D525" i="11"/>
  <c r="C525" i="11"/>
  <c r="B525" i="11"/>
  <c r="A525" i="11"/>
  <c r="AL524" i="11"/>
  <c r="AK524" i="11"/>
  <c r="AJ524" i="11"/>
  <c r="AI524" i="11"/>
  <c r="AH524" i="11"/>
  <c r="AG524" i="11"/>
  <c r="AF524" i="11"/>
  <c r="AE524" i="11"/>
  <c r="AD524" i="11"/>
  <c r="AC524" i="11"/>
  <c r="AB524" i="11"/>
  <c r="AA524" i="11"/>
  <c r="Z524" i="11"/>
  <c r="Y524" i="11"/>
  <c r="X524" i="11"/>
  <c r="W524" i="11"/>
  <c r="V524" i="11"/>
  <c r="U524" i="11"/>
  <c r="T524" i="11"/>
  <c r="S524" i="11"/>
  <c r="R524" i="11"/>
  <c r="Q524" i="11"/>
  <c r="P524" i="11"/>
  <c r="O524" i="11"/>
  <c r="N524" i="11"/>
  <c r="M524" i="11"/>
  <c r="L524" i="11"/>
  <c r="K524" i="11"/>
  <c r="J524" i="11"/>
  <c r="I524" i="11"/>
  <c r="H524" i="11"/>
  <c r="G524" i="11"/>
  <c r="F524" i="11"/>
  <c r="E524" i="11"/>
  <c r="D524" i="11"/>
  <c r="C524" i="11"/>
  <c r="B524" i="11"/>
  <c r="A524" i="11"/>
  <c r="AL523" i="11"/>
  <c r="AK523" i="11"/>
  <c r="AJ523" i="11"/>
  <c r="AI523" i="11"/>
  <c r="AH523" i="11"/>
  <c r="AG523" i="11"/>
  <c r="AF523" i="11"/>
  <c r="AE523" i="11"/>
  <c r="AD523" i="11"/>
  <c r="AC523" i="11"/>
  <c r="AB523" i="11"/>
  <c r="AA523" i="11"/>
  <c r="Z523" i="11"/>
  <c r="Y523" i="11"/>
  <c r="X523" i="11"/>
  <c r="W523" i="11"/>
  <c r="V523" i="11"/>
  <c r="U523" i="11"/>
  <c r="T523" i="11"/>
  <c r="S523" i="11"/>
  <c r="R523" i="11"/>
  <c r="Q523" i="11"/>
  <c r="P523" i="11"/>
  <c r="O523" i="11"/>
  <c r="N523" i="11"/>
  <c r="M523" i="11"/>
  <c r="L523" i="11"/>
  <c r="K523" i="11"/>
  <c r="J523" i="11"/>
  <c r="I523" i="11"/>
  <c r="H523" i="11"/>
  <c r="G523" i="11"/>
  <c r="F523" i="11"/>
  <c r="E523" i="11"/>
  <c r="D523" i="11"/>
  <c r="C523" i="11"/>
  <c r="B523" i="11"/>
  <c r="A523" i="11"/>
  <c r="AL522" i="11"/>
  <c r="AK522" i="11"/>
  <c r="AJ522" i="11"/>
  <c r="AI522" i="11"/>
  <c r="AH522" i="11"/>
  <c r="AG522" i="11"/>
  <c r="AF522" i="11"/>
  <c r="AE522" i="11"/>
  <c r="AD522" i="11"/>
  <c r="AC522" i="11"/>
  <c r="AB522" i="11"/>
  <c r="AA522" i="11"/>
  <c r="Z522" i="11"/>
  <c r="Y522" i="11"/>
  <c r="X522" i="11"/>
  <c r="W522" i="11"/>
  <c r="V522" i="11"/>
  <c r="U522" i="11"/>
  <c r="T522" i="11"/>
  <c r="S522" i="11"/>
  <c r="R522" i="11"/>
  <c r="Q522" i="11"/>
  <c r="P522" i="11"/>
  <c r="O522" i="11"/>
  <c r="N522" i="11"/>
  <c r="M522" i="11"/>
  <c r="L522" i="11"/>
  <c r="K522" i="11"/>
  <c r="J522" i="11"/>
  <c r="I522" i="11"/>
  <c r="H522" i="11"/>
  <c r="G522" i="11"/>
  <c r="F522" i="11"/>
  <c r="E522" i="11"/>
  <c r="D522" i="11"/>
  <c r="C522" i="11"/>
  <c r="B522" i="11"/>
  <c r="A522" i="11"/>
  <c r="AL521" i="11"/>
  <c r="AK521" i="11"/>
  <c r="AJ521" i="11"/>
  <c r="AI521" i="11"/>
  <c r="AH521" i="11"/>
  <c r="AG521" i="11"/>
  <c r="AF521" i="11"/>
  <c r="AE521" i="11"/>
  <c r="AD521" i="11"/>
  <c r="AC521" i="11"/>
  <c r="AB521" i="11"/>
  <c r="AA521" i="11"/>
  <c r="Z521" i="11"/>
  <c r="Y521" i="11"/>
  <c r="X521" i="11"/>
  <c r="W521" i="11"/>
  <c r="V521" i="11"/>
  <c r="U521" i="11"/>
  <c r="T521" i="11"/>
  <c r="S521" i="11"/>
  <c r="R521" i="11"/>
  <c r="Q521" i="11"/>
  <c r="P521" i="11"/>
  <c r="O521" i="11"/>
  <c r="N521" i="11"/>
  <c r="M521" i="11"/>
  <c r="L521" i="11"/>
  <c r="K521" i="11"/>
  <c r="J521" i="11"/>
  <c r="I521" i="11"/>
  <c r="H521" i="11"/>
  <c r="G521" i="11"/>
  <c r="F521" i="11"/>
  <c r="E521" i="11"/>
  <c r="D521" i="11"/>
  <c r="C521" i="11"/>
  <c r="B521" i="11"/>
  <c r="A521" i="11"/>
  <c r="AL520" i="11"/>
  <c r="AK520" i="11"/>
  <c r="AJ520" i="11"/>
  <c r="AI520" i="11"/>
  <c r="AH520" i="11"/>
  <c r="AG520" i="11"/>
  <c r="AF520" i="11"/>
  <c r="AE520" i="11"/>
  <c r="AD520" i="11"/>
  <c r="AC520" i="11"/>
  <c r="AB520" i="11"/>
  <c r="AA520" i="11"/>
  <c r="Z520" i="11"/>
  <c r="Y520" i="11"/>
  <c r="X520" i="11"/>
  <c r="W520" i="11"/>
  <c r="V520" i="11"/>
  <c r="U520" i="11"/>
  <c r="T520" i="11"/>
  <c r="S520" i="11"/>
  <c r="R520" i="11"/>
  <c r="Q520" i="11"/>
  <c r="P520" i="11"/>
  <c r="O520" i="11"/>
  <c r="N520" i="11"/>
  <c r="M520" i="11"/>
  <c r="L520" i="11"/>
  <c r="K520" i="11"/>
  <c r="J520" i="11"/>
  <c r="I520" i="11"/>
  <c r="H520" i="11"/>
  <c r="G520" i="11"/>
  <c r="F520" i="11"/>
  <c r="E520" i="11"/>
  <c r="D520" i="11"/>
  <c r="C520" i="11"/>
  <c r="B520" i="11"/>
  <c r="A520" i="11"/>
  <c r="AL519" i="11"/>
  <c r="AK519" i="11"/>
  <c r="AJ519" i="11"/>
  <c r="AI519" i="11"/>
  <c r="AH519" i="11"/>
  <c r="AG519" i="11"/>
  <c r="AF519" i="11"/>
  <c r="AE519" i="11"/>
  <c r="AD519" i="11"/>
  <c r="AC519" i="11"/>
  <c r="AB519" i="11"/>
  <c r="AA519" i="11"/>
  <c r="Z519" i="11"/>
  <c r="Y519" i="11"/>
  <c r="X519" i="11"/>
  <c r="W519" i="11"/>
  <c r="V519" i="11"/>
  <c r="U519" i="11"/>
  <c r="T519" i="11"/>
  <c r="S519" i="11"/>
  <c r="R519" i="11"/>
  <c r="Q519" i="11"/>
  <c r="P519" i="11"/>
  <c r="O519" i="11"/>
  <c r="N519" i="11"/>
  <c r="M519" i="11"/>
  <c r="L519" i="11"/>
  <c r="K519" i="11"/>
  <c r="J519" i="11"/>
  <c r="I519" i="11"/>
  <c r="H519" i="11"/>
  <c r="G519" i="11"/>
  <c r="F519" i="11"/>
  <c r="E519" i="11"/>
  <c r="D519" i="11"/>
  <c r="C519" i="11"/>
  <c r="B519" i="11"/>
  <c r="A519" i="11"/>
  <c r="AL518" i="11"/>
  <c r="AK518" i="11"/>
  <c r="AJ518" i="11"/>
  <c r="AI518" i="11"/>
  <c r="AH518" i="11"/>
  <c r="AG518" i="11"/>
  <c r="AF518" i="11"/>
  <c r="AE518" i="11"/>
  <c r="AD518" i="11"/>
  <c r="AC518" i="11"/>
  <c r="AB518" i="11"/>
  <c r="AA518" i="11"/>
  <c r="Z518" i="11"/>
  <c r="Y518" i="11"/>
  <c r="X518" i="11"/>
  <c r="W518" i="11"/>
  <c r="V518" i="11"/>
  <c r="U518" i="11"/>
  <c r="T518" i="11"/>
  <c r="S518" i="11"/>
  <c r="R518" i="11"/>
  <c r="Q518" i="11"/>
  <c r="P518" i="11"/>
  <c r="O518" i="11"/>
  <c r="N518" i="11"/>
  <c r="M518" i="11"/>
  <c r="L518" i="11"/>
  <c r="K518" i="11"/>
  <c r="J518" i="11"/>
  <c r="I518" i="11"/>
  <c r="H518" i="11"/>
  <c r="G518" i="11"/>
  <c r="F518" i="11"/>
  <c r="E518" i="11"/>
  <c r="D518" i="11"/>
  <c r="C518" i="11"/>
  <c r="B518" i="11"/>
  <c r="A518" i="11"/>
  <c r="AC517" i="11"/>
  <c r="W517" i="11"/>
  <c r="V517" i="11"/>
  <c r="U517" i="11"/>
  <c r="T517" i="11"/>
  <c r="S517" i="11"/>
  <c r="R517" i="11"/>
  <c r="Q517" i="11"/>
  <c r="P517" i="11"/>
  <c r="O517" i="11"/>
  <c r="N517" i="11"/>
  <c r="M517" i="11"/>
  <c r="L517" i="11"/>
  <c r="K517" i="11"/>
  <c r="J517" i="11"/>
  <c r="I517" i="11"/>
  <c r="H517" i="11"/>
  <c r="G517" i="11"/>
  <c r="F517" i="11"/>
  <c r="E517" i="11"/>
  <c r="D517" i="11"/>
  <c r="C517" i="11"/>
  <c r="B517" i="11"/>
  <c r="A517" i="11"/>
  <c r="AC516" i="11"/>
  <c r="W516" i="11"/>
  <c r="V516" i="11"/>
  <c r="U516" i="11"/>
  <c r="T516" i="11"/>
  <c r="S516" i="11"/>
  <c r="R516" i="11"/>
  <c r="Q516" i="11"/>
  <c r="P516" i="11"/>
  <c r="O516" i="11"/>
  <c r="N516" i="11"/>
  <c r="M516" i="11"/>
  <c r="L516" i="11"/>
  <c r="K516" i="11"/>
  <c r="J516" i="11"/>
  <c r="I516" i="11"/>
  <c r="H516" i="11"/>
  <c r="G516" i="11"/>
  <c r="F516" i="11"/>
  <c r="E516" i="11"/>
  <c r="D516" i="11"/>
  <c r="C516" i="11"/>
  <c r="B516" i="11"/>
  <c r="A516" i="11"/>
  <c r="AC515" i="11"/>
  <c r="W515" i="11"/>
  <c r="V515" i="11"/>
  <c r="U515" i="11"/>
  <c r="T515" i="11"/>
  <c r="S515" i="11"/>
  <c r="R515" i="11"/>
  <c r="Q515" i="11"/>
  <c r="P515" i="11"/>
  <c r="O515" i="11"/>
  <c r="N515" i="11"/>
  <c r="M515" i="11"/>
  <c r="L515" i="11"/>
  <c r="K515" i="11"/>
  <c r="J515" i="11"/>
  <c r="I515" i="11"/>
  <c r="H515" i="11"/>
  <c r="G515" i="11"/>
  <c r="F515" i="11"/>
  <c r="E515" i="11"/>
  <c r="D515" i="11"/>
  <c r="C515" i="11"/>
  <c r="B515" i="11"/>
  <c r="A515" i="11"/>
  <c r="AC514" i="11"/>
  <c r="W514" i="11"/>
  <c r="V514" i="11"/>
  <c r="U514" i="11"/>
  <c r="T514" i="11"/>
  <c r="S514" i="11"/>
  <c r="R514" i="11"/>
  <c r="Q514" i="11"/>
  <c r="P514" i="11"/>
  <c r="O514" i="11"/>
  <c r="N514" i="11"/>
  <c r="M514" i="11"/>
  <c r="L514" i="11"/>
  <c r="K514" i="11"/>
  <c r="J514" i="11"/>
  <c r="I514" i="11"/>
  <c r="H514" i="11"/>
  <c r="G514" i="11"/>
  <c r="F514" i="11"/>
  <c r="E514" i="11"/>
  <c r="D514" i="11"/>
  <c r="C514" i="11"/>
  <c r="B514" i="11"/>
  <c r="A514" i="11"/>
  <c r="AC513" i="11"/>
  <c r="W513" i="11"/>
  <c r="V513" i="11"/>
  <c r="U513" i="11"/>
  <c r="T513" i="11"/>
  <c r="S513" i="11"/>
  <c r="R513" i="11"/>
  <c r="Q513" i="11"/>
  <c r="P513" i="11"/>
  <c r="O513" i="11"/>
  <c r="N513" i="11"/>
  <c r="M513" i="11"/>
  <c r="L513" i="11"/>
  <c r="K513" i="11"/>
  <c r="J513" i="11"/>
  <c r="I513" i="11"/>
  <c r="H513" i="11"/>
  <c r="G513" i="11"/>
  <c r="F513" i="11"/>
  <c r="E513" i="11"/>
  <c r="D513" i="11"/>
  <c r="C513" i="11"/>
  <c r="B513" i="11"/>
  <c r="A513" i="11"/>
  <c r="AL512" i="11"/>
  <c r="AK512" i="11"/>
  <c r="AJ512" i="11"/>
  <c r="AI512" i="11"/>
  <c r="AH512" i="11"/>
  <c r="AG512" i="11"/>
  <c r="AF512" i="11"/>
  <c r="AE512" i="11"/>
  <c r="AD512" i="11"/>
  <c r="AC512" i="11"/>
  <c r="AB512" i="11"/>
  <c r="AA512" i="11"/>
  <c r="Z512" i="11"/>
  <c r="Y512" i="11"/>
  <c r="X512" i="11"/>
  <c r="W512" i="11"/>
  <c r="V512" i="11"/>
  <c r="U512" i="11"/>
  <c r="T512" i="11"/>
  <c r="S512" i="11"/>
  <c r="R512" i="11"/>
  <c r="Q512" i="11"/>
  <c r="P512" i="11"/>
  <c r="O512" i="11"/>
  <c r="N512" i="11"/>
  <c r="M512" i="11"/>
  <c r="L512" i="11"/>
  <c r="K512" i="11"/>
  <c r="J512" i="11"/>
  <c r="I512" i="11"/>
  <c r="H512" i="11"/>
  <c r="G512" i="11"/>
  <c r="F512" i="11"/>
  <c r="E512" i="11"/>
  <c r="D512" i="11"/>
  <c r="C512" i="11"/>
  <c r="B512" i="11"/>
  <c r="A512" i="11"/>
  <c r="AL511" i="11"/>
  <c r="AK511" i="11"/>
  <c r="AJ511" i="11"/>
  <c r="AI511" i="11"/>
  <c r="AH511" i="11"/>
  <c r="AG511" i="11"/>
  <c r="AF511" i="11"/>
  <c r="AE511" i="11"/>
  <c r="AD511" i="11"/>
  <c r="AC511" i="11"/>
  <c r="AB511" i="11"/>
  <c r="AA511" i="11"/>
  <c r="Z511" i="11"/>
  <c r="Y511" i="11"/>
  <c r="X511" i="11"/>
  <c r="W511" i="11"/>
  <c r="V511" i="11"/>
  <c r="U511" i="11"/>
  <c r="T511" i="11"/>
  <c r="S511" i="11"/>
  <c r="R511" i="11"/>
  <c r="Q511" i="11"/>
  <c r="P511" i="11"/>
  <c r="O511" i="11"/>
  <c r="N511" i="11"/>
  <c r="M511" i="11"/>
  <c r="L511" i="11"/>
  <c r="K511" i="11"/>
  <c r="J511" i="11"/>
  <c r="I511" i="11"/>
  <c r="H511" i="11"/>
  <c r="G511" i="11"/>
  <c r="F511" i="11"/>
  <c r="E511" i="11"/>
  <c r="D511" i="11"/>
  <c r="C511" i="11"/>
  <c r="B511" i="11"/>
  <c r="A511" i="11"/>
  <c r="AL510" i="11"/>
  <c r="AK510" i="11"/>
  <c r="AJ510" i="11"/>
  <c r="AI510" i="11"/>
  <c r="AH510" i="11"/>
  <c r="AG510" i="11"/>
  <c r="AF510" i="11"/>
  <c r="AE510" i="11"/>
  <c r="AD510" i="11"/>
  <c r="AC510" i="11"/>
  <c r="AB510" i="11"/>
  <c r="AA510" i="11"/>
  <c r="Z510" i="11"/>
  <c r="Y510" i="11"/>
  <c r="X510" i="11"/>
  <c r="W510" i="11"/>
  <c r="V510" i="11"/>
  <c r="U510" i="11"/>
  <c r="T510" i="11"/>
  <c r="S510" i="11"/>
  <c r="R510" i="11"/>
  <c r="Q510" i="11"/>
  <c r="P510" i="11"/>
  <c r="O510" i="11"/>
  <c r="N510" i="11"/>
  <c r="M510" i="11"/>
  <c r="L510" i="11"/>
  <c r="K510" i="11"/>
  <c r="J510" i="11"/>
  <c r="I510" i="11"/>
  <c r="H510" i="11"/>
  <c r="G510" i="11"/>
  <c r="F510" i="11"/>
  <c r="E510" i="11"/>
  <c r="D510" i="11"/>
  <c r="C510" i="11"/>
  <c r="B510" i="11"/>
  <c r="A510" i="11"/>
  <c r="AL509" i="11"/>
  <c r="AK509" i="11"/>
  <c r="AJ509" i="11"/>
  <c r="AI509" i="11"/>
  <c r="AH509" i="11"/>
  <c r="AG509" i="11"/>
  <c r="AF509" i="11"/>
  <c r="AE509" i="11"/>
  <c r="AD509" i="11"/>
  <c r="AC509" i="11"/>
  <c r="AB509" i="11"/>
  <c r="AA509" i="11"/>
  <c r="Z509" i="11"/>
  <c r="Y509" i="11"/>
  <c r="X509" i="11"/>
  <c r="W509" i="11"/>
  <c r="V509" i="11"/>
  <c r="U509" i="11"/>
  <c r="T509" i="11"/>
  <c r="S509" i="11"/>
  <c r="R509" i="11"/>
  <c r="Q509" i="11"/>
  <c r="P509" i="11"/>
  <c r="O509" i="11"/>
  <c r="N509" i="11"/>
  <c r="M509" i="11"/>
  <c r="L509" i="11"/>
  <c r="K509" i="11"/>
  <c r="J509" i="11"/>
  <c r="I509" i="11"/>
  <c r="H509" i="11"/>
  <c r="G509" i="11"/>
  <c r="F509" i="11"/>
  <c r="E509" i="11"/>
  <c r="D509" i="11"/>
  <c r="C509" i="11"/>
  <c r="B509" i="11"/>
  <c r="A509" i="11"/>
  <c r="AL508" i="11"/>
  <c r="AK508" i="11"/>
  <c r="AJ508" i="11"/>
  <c r="AI508" i="11"/>
  <c r="AH508" i="11"/>
  <c r="AG508" i="11"/>
  <c r="AF508" i="11"/>
  <c r="AE508" i="11"/>
  <c r="AD508" i="11"/>
  <c r="AC508" i="11"/>
  <c r="AB508" i="11"/>
  <c r="AA508" i="11"/>
  <c r="Z508" i="11"/>
  <c r="Y508" i="11"/>
  <c r="X508" i="11"/>
  <c r="W508" i="11"/>
  <c r="V508" i="11"/>
  <c r="U508" i="11"/>
  <c r="T508" i="11"/>
  <c r="S508" i="11"/>
  <c r="R508" i="11"/>
  <c r="Q508" i="11"/>
  <c r="P508" i="11"/>
  <c r="O508" i="11"/>
  <c r="N508" i="11"/>
  <c r="M508" i="11"/>
  <c r="L508" i="11"/>
  <c r="K508" i="11"/>
  <c r="J508" i="11"/>
  <c r="I508" i="11"/>
  <c r="H508" i="11"/>
  <c r="G508" i="11"/>
  <c r="F508" i="11"/>
  <c r="E508" i="11"/>
  <c r="D508" i="11"/>
  <c r="C508" i="11"/>
  <c r="B508" i="11"/>
  <c r="A508" i="11"/>
  <c r="AL507" i="11"/>
  <c r="AK507" i="11"/>
  <c r="AJ507" i="11"/>
  <c r="AI507" i="11"/>
  <c r="AH507" i="11"/>
  <c r="AG507" i="11"/>
  <c r="AF507" i="11"/>
  <c r="AE507" i="11"/>
  <c r="AD507" i="11"/>
  <c r="AC507" i="11"/>
  <c r="AB507" i="11"/>
  <c r="AA507" i="11"/>
  <c r="Z507" i="11"/>
  <c r="Y507" i="11"/>
  <c r="X507" i="11"/>
  <c r="W507" i="11"/>
  <c r="V507" i="11"/>
  <c r="U507" i="11"/>
  <c r="T507" i="11"/>
  <c r="S507" i="11"/>
  <c r="R507" i="11"/>
  <c r="Q507" i="11"/>
  <c r="P507" i="11"/>
  <c r="O507" i="11"/>
  <c r="N507" i="11"/>
  <c r="M507" i="11"/>
  <c r="L507" i="11"/>
  <c r="K507" i="11"/>
  <c r="J507" i="11"/>
  <c r="I507" i="11"/>
  <c r="H507" i="11"/>
  <c r="G507" i="11"/>
  <c r="F507" i="11"/>
  <c r="E507" i="11"/>
  <c r="D507" i="11"/>
  <c r="C507" i="11"/>
  <c r="B507" i="11"/>
  <c r="A507" i="11"/>
  <c r="AL506" i="11"/>
  <c r="AK506" i="11"/>
  <c r="AJ506" i="11"/>
  <c r="AI506" i="11"/>
  <c r="AH506" i="11"/>
  <c r="AG506" i="11"/>
  <c r="AF506" i="11"/>
  <c r="AE506" i="11"/>
  <c r="AD506" i="11"/>
  <c r="AC506" i="11"/>
  <c r="AB506" i="11"/>
  <c r="AA506" i="11"/>
  <c r="Z506" i="11"/>
  <c r="Y506" i="11"/>
  <c r="X506" i="11"/>
  <c r="W506" i="11"/>
  <c r="V506" i="11"/>
  <c r="U506" i="11"/>
  <c r="T506" i="11"/>
  <c r="S506" i="11"/>
  <c r="R506" i="11"/>
  <c r="Q506" i="11"/>
  <c r="P506" i="11"/>
  <c r="O506" i="11"/>
  <c r="N506" i="11"/>
  <c r="M506" i="11"/>
  <c r="L506" i="11"/>
  <c r="K506" i="11"/>
  <c r="J506" i="11"/>
  <c r="I506" i="11"/>
  <c r="H506" i="11"/>
  <c r="G506" i="11"/>
  <c r="F506" i="11"/>
  <c r="E506" i="11"/>
  <c r="D506" i="11"/>
  <c r="C506" i="11"/>
  <c r="B506" i="11"/>
  <c r="A506" i="11"/>
  <c r="D505" i="11"/>
  <c r="C505" i="11"/>
  <c r="B505" i="11"/>
  <c r="A505" i="11"/>
  <c r="D504" i="11"/>
  <c r="C504" i="11"/>
  <c r="B504" i="11"/>
  <c r="A504" i="11"/>
  <c r="D503" i="11"/>
  <c r="C503" i="11"/>
  <c r="B503" i="11"/>
  <c r="A503" i="11"/>
  <c r="D502" i="11"/>
  <c r="C502" i="11"/>
  <c r="B502" i="11"/>
  <c r="A502" i="11"/>
  <c r="D501" i="11"/>
  <c r="C501" i="11"/>
  <c r="B501" i="11"/>
  <c r="A501" i="11"/>
  <c r="X500" i="11"/>
  <c r="W500" i="11"/>
  <c r="V500" i="11"/>
  <c r="U500" i="11"/>
  <c r="S500" i="11"/>
  <c r="R500" i="11"/>
  <c r="Q500" i="11"/>
  <c r="P500" i="11"/>
  <c r="O500" i="11"/>
  <c r="N500" i="11"/>
  <c r="M500" i="11"/>
  <c r="L500" i="11"/>
  <c r="K500" i="11"/>
  <c r="J500" i="11"/>
  <c r="I500" i="11"/>
  <c r="H500" i="11"/>
  <c r="G500" i="11"/>
  <c r="F500" i="11"/>
  <c r="E500" i="11"/>
  <c r="D500" i="11"/>
  <c r="C500" i="11"/>
  <c r="B500" i="11"/>
  <c r="A500" i="11"/>
  <c r="AC499" i="11"/>
  <c r="W499" i="11"/>
  <c r="V499" i="11"/>
  <c r="U499" i="11"/>
  <c r="T499" i="11"/>
  <c r="S499" i="11"/>
  <c r="R499" i="11"/>
  <c r="Q499" i="11"/>
  <c r="P499" i="11"/>
  <c r="O499" i="11"/>
  <c r="N499" i="11"/>
  <c r="M499" i="11"/>
  <c r="L499" i="11"/>
  <c r="K499" i="11"/>
  <c r="J499" i="11"/>
  <c r="I499" i="11"/>
  <c r="H499" i="11"/>
  <c r="G499" i="11"/>
  <c r="F499" i="11"/>
  <c r="E499" i="11"/>
  <c r="D499" i="11"/>
  <c r="C499" i="11"/>
  <c r="B499" i="11"/>
  <c r="A499" i="11"/>
  <c r="AC498" i="11"/>
  <c r="W498" i="11"/>
  <c r="V498" i="11"/>
  <c r="U498" i="11"/>
  <c r="T498" i="11"/>
  <c r="S498" i="11"/>
  <c r="R498" i="11"/>
  <c r="Q498" i="11"/>
  <c r="P498" i="11"/>
  <c r="O498" i="11"/>
  <c r="N498" i="11"/>
  <c r="M498" i="11"/>
  <c r="L498" i="11"/>
  <c r="K498" i="11"/>
  <c r="J498" i="11"/>
  <c r="I498" i="11"/>
  <c r="H498" i="11"/>
  <c r="G498" i="11"/>
  <c r="F498" i="11"/>
  <c r="E498" i="11"/>
  <c r="D498" i="11"/>
  <c r="C498" i="11"/>
  <c r="B498" i="11"/>
  <c r="A498" i="11"/>
  <c r="AC497" i="11"/>
  <c r="W497" i="11"/>
  <c r="V497" i="11"/>
  <c r="U497" i="11"/>
  <c r="T497" i="11"/>
  <c r="S497" i="11"/>
  <c r="R497" i="11"/>
  <c r="Q497" i="11"/>
  <c r="P497" i="11"/>
  <c r="O497" i="11"/>
  <c r="N497" i="11"/>
  <c r="M497" i="11"/>
  <c r="L497" i="11"/>
  <c r="K497" i="11"/>
  <c r="J497" i="11"/>
  <c r="I497" i="11"/>
  <c r="H497" i="11"/>
  <c r="G497" i="11"/>
  <c r="F497" i="11"/>
  <c r="E497" i="11"/>
  <c r="D497" i="11"/>
  <c r="C497" i="11"/>
  <c r="B497" i="11"/>
  <c r="A497" i="11"/>
  <c r="AC496" i="11"/>
  <c r="W496" i="11"/>
  <c r="V496" i="11"/>
  <c r="U496" i="11"/>
  <c r="T496" i="11"/>
  <c r="S496" i="11"/>
  <c r="R496" i="11"/>
  <c r="Q496" i="11"/>
  <c r="P496" i="11"/>
  <c r="O496" i="11"/>
  <c r="N496" i="11"/>
  <c r="M496" i="11"/>
  <c r="L496" i="11"/>
  <c r="K496" i="11"/>
  <c r="J496" i="11"/>
  <c r="I496" i="11"/>
  <c r="H496" i="11"/>
  <c r="G496" i="11"/>
  <c r="F496" i="11"/>
  <c r="E496" i="11"/>
  <c r="D496" i="11"/>
  <c r="C496" i="11"/>
  <c r="B496" i="11"/>
  <c r="A496" i="11"/>
  <c r="AC495" i="11"/>
  <c r="W495" i="11"/>
  <c r="V495" i="11"/>
  <c r="U495" i="11"/>
  <c r="T495" i="11"/>
  <c r="S495" i="11"/>
  <c r="R495" i="11"/>
  <c r="Q495" i="11"/>
  <c r="P495" i="11"/>
  <c r="O495" i="11"/>
  <c r="N495" i="11"/>
  <c r="M495" i="11"/>
  <c r="L495" i="11"/>
  <c r="K495" i="11"/>
  <c r="J495" i="11"/>
  <c r="I495" i="11"/>
  <c r="H495" i="11"/>
  <c r="G495" i="11"/>
  <c r="F495" i="11"/>
  <c r="E495" i="11"/>
  <c r="D495" i="11"/>
  <c r="C495" i="11"/>
  <c r="B495" i="11"/>
  <c r="A495" i="11"/>
  <c r="AC494" i="11"/>
  <c r="W494" i="11"/>
  <c r="V494" i="11"/>
  <c r="U494" i="11"/>
  <c r="T494" i="11"/>
  <c r="S494" i="11"/>
  <c r="R494" i="11"/>
  <c r="Q494" i="11"/>
  <c r="P494" i="11"/>
  <c r="O494" i="11"/>
  <c r="N494" i="11"/>
  <c r="M494" i="11"/>
  <c r="L494" i="11"/>
  <c r="K494" i="11"/>
  <c r="J494" i="11"/>
  <c r="I494" i="11"/>
  <c r="H494" i="11"/>
  <c r="G494" i="11"/>
  <c r="F494" i="11"/>
  <c r="E494" i="11"/>
  <c r="D494" i="11"/>
  <c r="C494" i="11"/>
  <c r="B494" i="11"/>
  <c r="A494" i="11"/>
  <c r="AL493" i="11"/>
  <c r="AK493" i="11"/>
  <c r="AJ493" i="11"/>
  <c r="AI493" i="11"/>
  <c r="AH493" i="11"/>
  <c r="AG493" i="11"/>
  <c r="AF493" i="11"/>
  <c r="AE493" i="11"/>
  <c r="AD493" i="11"/>
  <c r="AC493" i="11"/>
  <c r="AB493" i="11"/>
  <c r="AA493" i="11"/>
  <c r="Z493" i="11"/>
  <c r="Y493" i="11"/>
  <c r="X493" i="11"/>
  <c r="W493" i="11"/>
  <c r="V493" i="11"/>
  <c r="U493" i="11"/>
  <c r="T493" i="11"/>
  <c r="S493" i="11"/>
  <c r="R493" i="11"/>
  <c r="Q493" i="11"/>
  <c r="P493" i="11"/>
  <c r="O493" i="11"/>
  <c r="N493" i="11"/>
  <c r="M493" i="11"/>
  <c r="L493" i="11"/>
  <c r="K493" i="11"/>
  <c r="J493" i="11"/>
  <c r="I493" i="11"/>
  <c r="H493" i="11"/>
  <c r="G493" i="11"/>
  <c r="F493" i="11"/>
  <c r="E493" i="11"/>
  <c r="D493" i="11"/>
  <c r="C493" i="11"/>
  <c r="B493" i="11"/>
  <c r="A493" i="11"/>
  <c r="AL492" i="11"/>
  <c r="AK492" i="11"/>
  <c r="AJ492" i="11"/>
  <c r="AI492" i="11"/>
  <c r="AH492" i="11"/>
  <c r="AG492" i="11"/>
  <c r="AF492" i="11"/>
  <c r="AE492" i="11"/>
  <c r="AD492" i="11"/>
  <c r="AC492" i="11"/>
  <c r="AB492" i="11"/>
  <c r="AA492" i="11"/>
  <c r="Z492" i="11"/>
  <c r="Y492" i="11"/>
  <c r="X492" i="11"/>
  <c r="W492" i="11"/>
  <c r="V492" i="11"/>
  <c r="U492" i="11"/>
  <c r="T492" i="11"/>
  <c r="S492" i="11"/>
  <c r="R492" i="11"/>
  <c r="Q492" i="11"/>
  <c r="P492" i="11"/>
  <c r="O492" i="11"/>
  <c r="N492" i="11"/>
  <c r="M492" i="11"/>
  <c r="L492" i="11"/>
  <c r="K492" i="11"/>
  <c r="J492" i="11"/>
  <c r="I492" i="11"/>
  <c r="H492" i="11"/>
  <c r="G492" i="11"/>
  <c r="F492" i="11"/>
  <c r="E492" i="11"/>
  <c r="D492" i="11"/>
  <c r="C492" i="11"/>
  <c r="B492" i="11"/>
  <c r="A492" i="11"/>
  <c r="AL491" i="11"/>
  <c r="AK491" i="11"/>
  <c r="AJ491" i="11"/>
  <c r="AI491" i="11"/>
  <c r="AH491" i="11"/>
  <c r="AG491" i="11"/>
  <c r="AF491" i="11"/>
  <c r="AE491" i="11"/>
  <c r="AD491" i="11"/>
  <c r="AC491" i="11"/>
  <c r="AB491" i="11"/>
  <c r="AA491" i="11"/>
  <c r="Z491" i="11"/>
  <c r="Y491" i="11"/>
  <c r="X491" i="11"/>
  <c r="W491" i="11"/>
  <c r="V491" i="11"/>
  <c r="U491" i="11"/>
  <c r="T491" i="11"/>
  <c r="S491" i="11"/>
  <c r="R491" i="11"/>
  <c r="Q491" i="11"/>
  <c r="P491" i="11"/>
  <c r="O491" i="11"/>
  <c r="N491" i="11"/>
  <c r="M491" i="11"/>
  <c r="L491" i="11"/>
  <c r="K491" i="11"/>
  <c r="J491" i="11"/>
  <c r="I491" i="11"/>
  <c r="H491" i="11"/>
  <c r="G491" i="11"/>
  <c r="F491" i="11"/>
  <c r="E491" i="11"/>
  <c r="D491" i="11"/>
  <c r="C491" i="11"/>
  <c r="B491" i="11"/>
  <c r="A491" i="11"/>
  <c r="AL490" i="11"/>
  <c r="AK490" i="11"/>
  <c r="AJ490" i="11"/>
  <c r="AI490" i="11"/>
  <c r="AH490" i="11"/>
  <c r="AG490" i="11"/>
  <c r="AF490" i="11"/>
  <c r="AE490" i="11"/>
  <c r="AD490" i="11"/>
  <c r="AC490" i="11"/>
  <c r="AB490" i="11"/>
  <c r="AA490" i="11"/>
  <c r="Z490" i="11"/>
  <c r="Y490" i="11"/>
  <c r="X490" i="11"/>
  <c r="W490" i="11"/>
  <c r="V490" i="11"/>
  <c r="U490" i="11"/>
  <c r="T490" i="11"/>
  <c r="S490" i="11"/>
  <c r="R490" i="11"/>
  <c r="Q490" i="11"/>
  <c r="P490" i="11"/>
  <c r="O490" i="11"/>
  <c r="N490" i="11"/>
  <c r="M490" i="11"/>
  <c r="L490" i="11"/>
  <c r="K490" i="11"/>
  <c r="J490" i="11"/>
  <c r="I490" i="11"/>
  <c r="H490" i="11"/>
  <c r="G490" i="11"/>
  <c r="F490" i="11"/>
  <c r="E490" i="11"/>
  <c r="D490" i="11"/>
  <c r="C490" i="11"/>
  <c r="B490" i="11"/>
  <c r="A490" i="11"/>
  <c r="AC489" i="11"/>
  <c r="Y489" i="11"/>
  <c r="W489" i="11"/>
  <c r="V489" i="11"/>
  <c r="U489" i="11"/>
  <c r="T489" i="11"/>
  <c r="S489" i="11"/>
  <c r="R489" i="11"/>
  <c r="Q489" i="11"/>
  <c r="P489" i="11"/>
  <c r="O489" i="11"/>
  <c r="N489" i="11"/>
  <c r="M489" i="11"/>
  <c r="L489" i="11"/>
  <c r="K489" i="11"/>
  <c r="J489" i="11"/>
  <c r="I489" i="11"/>
  <c r="H489" i="11"/>
  <c r="G489" i="11"/>
  <c r="F489" i="11"/>
  <c r="E489" i="11"/>
  <c r="D489" i="11"/>
  <c r="C489" i="11"/>
  <c r="B489" i="11"/>
  <c r="A489" i="11"/>
  <c r="AC488" i="11"/>
  <c r="W488" i="11"/>
  <c r="V488" i="11"/>
  <c r="U488" i="11"/>
  <c r="T488" i="11"/>
  <c r="S488" i="11"/>
  <c r="R488" i="11"/>
  <c r="Q488" i="11"/>
  <c r="P488" i="11"/>
  <c r="O488" i="11"/>
  <c r="N488" i="11"/>
  <c r="M488" i="11"/>
  <c r="L488" i="11"/>
  <c r="K488" i="11"/>
  <c r="J488" i="11"/>
  <c r="I488" i="11"/>
  <c r="H488" i="11"/>
  <c r="G488" i="11"/>
  <c r="F488" i="11"/>
  <c r="E488" i="11"/>
  <c r="D488" i="11"/>
  <c r="C488" i="11"/>
  <c r="B488" i="11"/>
  <c r="A488" i="11"/>
  <c r="AL487" i="11"/>
  <c r="AK487" i="11"/>
  <c r="AJ487" i="11"/>
  <c r="AI487" i="11"/>
  <c r="AH487" i="11"/>
  <c r="AG487" i="11"/>
  <c r="AF487" i="11"/>
  <c r="AE487" i="11"/>
  <c r="AD487" i="11"/>
  <c r="AC487" i="11"/>
  <c r="AB487" i="11"/>
  <c r="AA487" i="11"/>
  <c r="Z487" i="11"/>
  <c r="Y487" i="11"/>
  <c r="X487" i="11"/>
  <c r="W487" i="11"/>
  <c r="V487" i="11"/>
  <c r="U487" i="11"/>
  <c r="T487" i="11"/>
  <c r="S487" i="11"/>
  <c r="R487" i="11"/>
  <c r="Q487" i="11"/>
  <c r="P487" i="11"/>
  <c r="O487" i="11"/>
  <c r="N487" i="11"/>
  <c r="M487" i="11"/>
  <c r="L487" i="11"/>
  <c r="K487" i="11"/>
  <c r="J487" i="11"/>
  <c r="I487" i="11"/>
  <c r="H487" i="11"/>
  <c r="G487" i="11"/>
  <c r="F487" i="11"/>
  <c r="E487" i="11"/>
  <c r="D487" i="11"/>
  <c r="C487" i="11"/>
  <c r="B487" i="11"/>
  <c r="A487" i="11"/>
  <c r="AL486" i="11"/>
  <c r="AK486" i="11"/>
  <c r="AJ486" i="11"/>
  <c r="AI486" i="11"/>
  <c r="AH486" i="11"/>
  <c r="AG486" i="11"/>
  <c r="AF486" i="11"/>
  <c r="AE486" i="11"/>
  <c r="AD486" i="11"/>
  <c r="AC486" i="11"/>
  <c r="AB486" i="11"/>
  <c r="AA486" i="11"/>
  <c r="Z486" i="11"/>
  <c r="Y486" i="11"/>
  <c r="X486" i="11"/>
  <c r="W486" i="11"/>
  <c r="V486" i="11"/>
  <c r="U486" i="11"/>
  <c r="T486" i="11"/>
  <c r="S486" i="11"/>
  <c r="R486" i="11"/>
  <c r="Q486" i="11"/>
  <c r="P486" i="11"/>
  <c r="O486" i="11"/>
  <c r="N486" i="11"/>
  <c r="M486" i="11"/>
  <c r="L486" i="11"/>
  <c r="K486" i="11"/>
  <c r="J486" i="11"/>
  <c r="I486" i="11"/>
  <c r="H486" i="11"/>
  <c r="G486" i="11"/>
  <c r="F486" i="11"/>
  <c r="E486" i="11"/>
  <c r="D486" i="11"/>
  <c r="C486" i="11"/>
  <c r="B486" i="11"/>
  <c r="A486" i="11"/>
  <c r="AL485" i="11"/>
  <c r="AH485" i="11"/>
  <c r="AF485" i="11"/>
  <c r="AC485" i="11"/>
  <c r="W485" i="11"/>
  <c r="V485" i="11"/>
  <c r="U485" i="11"/>
  <c r="T485" i="11"/>
  <c r="S485" i="11"/>
  <c r="R485" i="11"/>
  <c r="Q485" i="11"/>
  <c r="P485" i="11"/>
  <c r="O485" i="11"/>
  <c r="N485" i="11"/>
  <c r="M485" i="11"/>
  <c r="L485" i="11"/>
  <c r="K485" i="11"/>
  <c r="J485" i="11"/>
  <c r="I485" i="11"/>
  <c r="H485" i="11"/>
  <c r="G485" i="11"/>
  <c r="F485" i="11"/>
  <c r="E485" i="11"/>
  <c r="D485" i="11"/>
  <c r="C485" i="11"/>
  <c r="B485" i="11"/>
  <c r="A485" i="11"/>
  <c r="AL484" i="11"/>
  <c r="AH484" i="11"/>
  <c r="AF484" i="11"/>
  <c r="AC484" i="11"/>
  <c r="W484" i="11"/>
  <c r="V484" i="11"/>
  <c r="U484" i="11"/>
  <c r="T484" i="11"/>
  <c r="S484" i="11"/>
  <c r="R484" i="11"/>
  <c r="Q484" i="11"/>
  <c r="P484" i="11"/>
  <c r="O484" i="11"/>
  <c r="N484" i="11"/>
  <c r="M484" i="11"/>
  <c r="L484" i="11"/>
  <c r="K484" i="11"/>
  <c r="J484" i="11"/>
  <c r="I484" i="11"/>
  <c r="H484" i="11"/>
  <c r="G484" i="11"/>
  <c r="F484" i="11"/>
  <c r="E484" i="11"/>
  <c r="D484" i="11"/>
  <c r="C484" i="11"/>
  <c r="B484" i="11"/>
  <c r="A484" i="11"/>
  <c r="AH483" i="11"/>
  <c r="AF483" i="11"/>
  <c r="AD483" i="11"/>
  <c r="AC483" i="11"/>
  <c r="AB483" i="11"/>
  <c r="AA483" i="11"/>
  <c r="Y483" i="11"/>
  <c r="W483" i="11"/>
  <c r="V483" i="11"/>
  <c r="U483" i="11"/>
  <c r="T483" i="11"/>
  <c r="S483" i="11"/>
  <c r="R483" i="11"/>
  <c r="Q483" i="11"/>
  <c r="P483" i="11"/>
  <c r="O483" i="11"/>
  <c r="N483" i="11"/>
  <c r="M483" i="11"/>
  <c r="L483" i="11"/>
  <c r="K483" i="11"/>
  <c r="J483" i="11"/>
  <c r="I483" i="11"/>
  <c r="H483" i="11"/>
  <c r="G483" i="11"/>
  <c r="F483" i="11"/>
  <c r="E483" i="11"/>
  <c r="D483" i="11"/>
  <c r="C483" i="11"/>
  <c r="B483" i="11"/>
  <c r="A483" i="11"/>
  <c r="AH482" i="11"/>
  <c r="AF482" i="11"/>
  <c r="AD482" i="11"/>
  <c r="AC482" i="11"/>
  <c r="AB482" i="11"/>
  <c r="AA482" i="11"/>
  <c r="Y482" i="11"/>
  <c r="W482" i="11"/>
  <c r="V482" i="11"/>
  <c r="U482" i="11"/>
  <c r="T482" i="11"/>
  <c r="S482" i="11"/>
  <c r="R482" i="11"/>
  <c r="Q482" i="11"/>
  <c r="P482" i="11"/>
  <c r="O482" i="11"/>
  <c r="N482" i="11"/>
  <c r="M482" i="11"/>
  <c r="L482" i="11"/>
  <c r="K482" i="11"/>
  <c r="J482" i="11"/>
  <c r="I482" i="11"/>
  <c r="H482" i="11"/>
  <c r="G482" i="11"/>
  <c r="F482" i="11"/>
  <c r="E482" i="11"/>
  <c r="D482" i="11"/>
  <c r="C482" i="11"/>
  <c r="B482" i="11"/>
  <c r="A482" i="11"/>
  <c r="AH481" i="11"/>
  <c r="AF481" i="11"/>
  <c r="AC481" i="11"/>
  <c r="W481" i="11"/>
  <c r="V481" i="11"/>
  <c r="U481" i="11"/>
  <c r="T481" i="11"/>
  <c r="S481" i="11"/>
  <c r="R481" i="11"/>
  <c r="Q481" i="11"/>
  <c r="P481" i="11"/>
  <c r="O481" i="11"/>
  <c r="N481" i="11"/>
  <c r="M481" i="11"/>
  <c r="L481" i="11"/>
  <c r="K481" i="11"/>
  <c r="J481" i="11"/>
  <c r="I481" i="11"/>
  <c r="H481" i="11"/>
  <c r="G481" i="11"/>
  <c r="F481" i="11"/>
  <c r="E481" i="11"/>
  <c r="D481" i="11"/>
  <c r="C481" i="11"/>
  <c r="B481" i="11"/>
  <c r="A481" i="11"/>
  <c r="AH480" i="11"/>
  <c r="AF480" i="11"/>
  <c r="AC480" i="11"/>
  <c r="W480" i="11"/>
  <c r="V480" i="11"/>
  <c r="U480" i="11"/>
  <c r="T480" i="11"/>
  <c r="S480" i="11"/>
  <c r="R480" i="11"/>
  <c r="Q480" i="11"/>
  <c r="P480" i="11"/>
  <c r="O480" i="11"/>
  <c r="N480" i="11"/>
  <c r="M480" i="11"/>
  <c r="L480" i="11"/>
  <c r="K480" i="11"/>
  <c r="J480" i="11"/>
  <c r="I480" i="11"/>
  <c r="H480" i="11"/>
  <c r="G480" i="11"/>
  <c r="F480" i="11"/>
  <c r="E480" i="11"/>
  <c r="D480" i="11"/>
  <c r="C480" i="11"/>
  <c r="B480" i="11"/>
  <c r="A480" i="11"/>
  <c r="AL479" i="11"/>
  <c r="AK479" i="11"/>
  <c r="AJ479" i="11"/>
  <c r="AI479" i="11"/>
  <c r="AH479" i="11"/>
  <c r="AG479" i="11"/>
  <c r="AF479" i="11"/>
  <c r="AE479" i="11"/>
  <c r="AD479" i="11"/>
  <c r="AC479" i="11"/>
  <c r="AB479" i="11"/>
  <c r="AA479" i="11"/>
  <c r="Z479" i="11"/>
  <c r="Y479" i="11"/>
  <c r="X479" i="11"/>
  <c r="W479" i="11"/>
  <c r="V479" i="11"/>
  <c r="U479" i="11"/>
  <c r="T479" i="11"/>
  <c r="S479" i="11"/>
  <c r="R479" i="11"/>
  <c r="Q479" i="11"/>
  <c r="P479" i="11"/>
  <c r="O479" i="11"/>
  <c r="N479" i="11"/>
  <c r="M479" i="11"/>
  <c r="L479" i="11"/>
  <c r="K479" i="11"/>
  <c r="J479" i="11"/>
  <c r="I479" i="11"/>
  <c r="H479" i="11"/>
  <c r="G479" i="11"/>
  <c r="F479" i="11"/>
  <c r="E479" i="11"/>
  <c r="D479" i="11"/>
  <c r="C479" i="11"/>
  <c r="B479" i="11"/>
  <c r="A479" i="11"/>
  <c r="AL478" i="11"/>
  <c r="AK478" i="11"/>
  <c r="AJ478" i="11"/>
  <c r="AI478" i="11"/>
  <c r="AH478" i="11"/>
  <c r="AG478" i="11"/>
  <c r="AF478" i="11"/>
  <c r="AE478" i="11"/>
  <c r="AD478" i="11"/>
  <c r="AC478" i="11"/>
  <c r="AB478" i="11"/>
  <c r="AA478" i="11"/>
  <c r="Z478" i="11"/>
  <c r="Y478" i="11"/>
  <c r="X478" i="11"/>
  <c r="W478" i="11"/>
  <c r="V478" i="11"/>
  <c r="U478" i="11"/>
  <c r="T478" i="11"/>
  <c r="S478" i="11"/>
  <c r="R478" i="11"/>
  <c r="Q478" i="11"/>
  <c r="P478" i="11"/>
  <c r="O478" i="11"/>
  <c r="N478" i="11"/>
  <c r="M478" i="11"/>
  <c r="L478" i="11"/>
  <c r="K478" i="11"/>
  <c r="J478" i="11"/>
  <c r="I478" i="11"/>
  <c r="H478" i="11"/>
  <c r="G478" i="11"/>
  <c r="F478" i="11"/>
  <c r="E478" i="11"/>
  <c r="D478" i="11"/>
  <c r="C478" i="11"/>
  <c r="B478" i="11"/>
  <c r="A478" i="11"/>
  <c r="AC477" i="11"/>
  <c r="Y477" i="11"/>
  <c r="W477" i="11"/>
  <c r="V477" i="11"/>
  <c r="U477" i="11"/>
  <c r="T477" i="11"/>
  <c r="S477" i="11"/>
  <c r="R477" i="11"/>
  <c r="Q477" i="11"/>
  <c r="P477" i="11"/>
  <c r="O477" i="11"/>
  <c r="N477" i="11"/>
  <c r="M477" i="11"/>
  <c r="L477" i="11"/>
  <c r="K477" i="11"/>
  <c r="J477" i="11"/>
  <c r="I477" i="11"/>
  <c r="H477" i="11"/>
  <c r="G477" i="11"/>
  <c r="F477" i="11"/>
  <c r="E477" i="11"/>
  <c r="D477" i="11"/>
  <c r="C477" i="11"/>
  <c r="B477" i="11"/>
  <c r="A477" i="11"/>
  <c r="AL476" i="11"/>
  <c r="AK476" i="11"/>
  <c r="AJ476" i="11"/>
  <c r="AI476" i="11"/>
  <c r="AH476" i="11"/>
  <c r="AG476" i="11"/>
  <c r="AF476" i="11"/>
  <c r="AE476" i="11"/>
  <c r="AD476" i="11"/>
  <c r="AC476" i="11"/>
  <c r="AB476" i="11"/>
  <c r="AA476" i="11"/>
  <c r="Z476" i="11"/>
  <c r="Y476" i="11"/>
  <c r="X476" i="11"/>
  <c r="W476" i="11"/>
  <c r="V476" i="11"/>
  <c r="U476" i="11"/>
  <c r="T476" i="11"/>
  <c r="S476" i="11"/>
  <c r="R476" i="11"/>
  <c r="Q476" i="11"/>
  <c r="P476" i="11"/>
  <c r="O476" i="11"/>
  <c r="N476" i="11"/>
  <c r="M476" i="11"/>
  <c r="L476" i="11"/>
  <c r="K476" i="11"/>
  <c r="J476" i="11"/>
  <c r="I476" i="11"/>
  <c r="H476" i="11"/>
  <c r="G476" i="11"/>
  <c r="F476" i="11"/>
  <c r="E476" i="11"/>
  <c r="D476" i="11"/>
  <c r="C476" i="11"/>
  <c r="B476" i="11"/>
  <c r="A476" i="11"/>
  <c r="AL475" i="11"/>
  <c r="AK475" i="11"/>
  <c r="AJ475" i="11"/>
  <c r="AI475" i="11"/>
  <c r="AH475" i="11"/>
  <c r="AG475" i="11"/>
  <c r="AF475" i="11"/>
  <c r="AE475" i="11"/>
  <c r="AD475" i="11"/>
  <c r="AC475" i="11"/>
  <c r="AB475" i="11"/>
  <c r="AA475" i="11"/>
  <c r="Z475" i="11"/>
  <c r="Y475" i="11"/>
  <c r="X475" i="11"/>
  <c r="W475" i="11"/>
  <c r="V475" i="11"/>
  <c r="U475" i="11"/>
  <c r="T475" i="11"/>
  <c r="S475" i="11"/>
  <c r="R475" i="11"/>
  <c r="Q475" i="11"/>
  <c r="P475" i="11"/>
  <c r="O475" i="11"/>
  <c r="N475" i="11"/>
  <c r="M475" i="11"/>
  <c r="L475" i="11"/>
  <c r="K475" i="11"/>
  <c r="J475" i="11"/>
  <c r="I475" i="11"/>
  <c r="H475" i="11"/>
  <c r="G475" i="11"/>
  <c r="F475" i="11"/>
  <c r="E475" i="11"/>
  <c r="D475" i="11"/>
  <c r="C475" i="11"/>
  <c r="B475" i="11"/>
  <c r="A475" i="11"/>
  <c r="AL474" i="11"/>
  <c r="AK474" i="11"/>
  <c r="AJ474" i="11"/>
  <c r="AI474" i="11"/>
  <c r="AH474" i="11"/>
  <c r="AG474" i="11"/>
  <c r="AF474" i="11"/>
  <c r="AE474" i="11"/>
  <c r="AD474" i="11"/>
  <c r="AC474" i="11"/>
  <c r="AB474" i="11"/>
  <c r="AA474" i="11"/>
  <c r="Z474" i="11"/>
  <c r="Y474" i="11"/>
  <c r="X474" i="11"/>
  <c r="W474" i="11"/>
  <c r="V474" i="11"/>
  <c r="U474" i="11"/>
  <c r="T474" i="11"/>
  <c r="S474" i="11"/>
  <c r="R474" i="11"/>
  <c r="Q474" i="11"/>
  <c r="P474" i="11"/>
  <c r="O474" i="11"/>
  <c r="N474" i="11"/>
  <c r="M474" i="11"/>
  <c r="L474" i="11"/>
  <c r="K474" i="11"/>
  <c r="J474" i="11"/>
  <c r="I474" i="11"/>
  <c r="H474" i="11"/>
  <c r="G474" i="11"/>
  <c r="F474" i="11"/>
  <c r="E474" i="11"/>
  <c r="D474" i="11"/>
  <c r="C474" i="11"/>
  <c r="B474" i="11"/>
  <c r="A474" i="11"/>
  <c r="AC473" i="11"/>
  <c r="W473" i="11"/>
  <c r="V473" i="11"/>
  <c r="U473" i="11"/>
  <c r="T473" i="11"/>
  <c r="S473" i="11"/>
  <c r="R473" i="11"/>
  <c r="Q473" i="11"/>
  <c r="P473" i="11"/>
  <c r="O473" i="11"/>
  <c r="N473" i="11"/>
  <c r="M473" i="11"/>
  <c r="L473" i="11"/>
  <c r="K473" i="11"/>
  <c r="J473" i="11"/>
  <c r="I473" i="11"/>
  <c r="H473" i="11"/>
  <c r="G473" i="11"/>
  <c r="F473" i="11"/>
  <c r="E473" i="11"/>
  <c r="D473" i="11"/>
  <c r="C473" i="11"/>
  <c r="B473" i="11"/>
  <c r="A473" i="11"/>
  <c r="AC472" i="11"/>
  <c r="W472" i="11"/>
  <c r="V472" i="11"/>
  <c r="U472" i="11"/>
  <c r="T472" i="11"/>
  <c r="S472" i="11"/>
  <c r="R472" i="11"/>
  <c r="Q472" i="11"/>
  <c r="P472" i="11"/>
  <c r="O472" i="11"/>
  <c r="N472" i="11"/>
  <c r="M472" i="11"/>
  <c r="L472" i="11"/>
  <c r="K472" i="11"/>
  <c r="J472" i="11"/>
  <c r="I472" i="11"/>
  <c r="H472" i="11"/>
  <c r="G472" i="11"/>
  <c r="F472" i="11"/>
  <c r="E472" i="11"/>
  <c r="D472" i="11"/>
  <c r="C472" i="11"/>
  <c r="B472" i="11"/>
  <c r="A472" i="11"/>
  <c r="AC471" i="11"/>
  <c r="W471" i="11"/>
  <c r="V471" i="11"/>
  <c r="U471" i="11"/>
  <c r="T471" i="11"/>
  <c r="S471" i="11"/>
  <c r="R471" i="11"/>
  <c r="Q471" i="11"/>
  <c r="P471" i="11"/>
  <c r="O471" i="11"/>
  <c r="N471" i="11"/>
  <c r="M471" i="11"/>
  <c r="L471" i="11"/>
  <c r="K471" i="11"/>
  <c r="J471" i="11"/>
  <c r="I471" i="11"/>
  <c r="H471" i="11"/>
  <c r="G471" i="11"/>
  <c r="F471" i="11"/>
  <c r="E471" i="11"/>
  <c r="D471" i="11"/>
  <c r="C471" i="11"/>
  <c r="B471" i="11"/>
  <c r="A471" i="11"/>
  <c r="AH470" i="11"/>
  <c r="AF470" i="11"/>
  <c r="AC470" i="11"/>
  <c r="W470" i="11"/>
  <c r="V470" i="11"/>
  <c r="U470" i="11"/>
  <c r="T470" i="11"/>
  <c r="S470" i="11"/>
  <c r="R470" i="11"/>
  <c r="Q470" i="11"/>
  <c r="P470" i="11"/>
  <c r="O470" i="11"/>
  <c r="N470" i="11"/>
  <c r="M470" i="11"/>
  <c r="L470" i="11"/>
  <c r="K470" i="11"/>
  <c r="J470" i="11"/>
  <c r="I470" i="11"/>
  <c r="H470" i="11"/>
  <c r="G470" i="11"/>
  <c r="F470" i="11"/>
  <c r="E470" i="11"/>
  <c r="D470" i="11"/>
  <c r="C470" i="11"/>
  <c r="B470" i="11"/>
  <c r="A470" i="11"/>
  <c r="AH469" i="11"/>
  <c r="AF469" i="11"/>
  <c r="AC469" i="11"/>
  <c r="W469" i="11"/>
  <c r="V469" i="11"/>
  <c r="U469" i="11"/>
  <c r="T469" i="11"/>
  <c r="S469" i="11"/>
  <c r="R469" i="11"/>
  <c r="Q469" i="11"/>
  <c r="P469" i="11"/>
  <c r="O469" i="11"/>
  <c r="N469" i="11"/>
  <c r="M469" i="11"/>
  <c r="L469" i="11"/>
  <c r="K469" i="11"/>
  <c r="J469" i="11"/>
  <c r="I469" i="11"/>
  <c r="H469" i="11"/>
  <c r="G469" i="11"/>
  <c r="F469" i="11"/>
  <c r="E469" i="11"/>
  <c r="D469" i="11"/>
  <c r="C469" i="11"/>
  <c r="B469" i="11"/>
  <c r="A469" i="11"/>
  <c r="AL468" i="11"/>
  <c r="AK468" i="11"/>
  <c r="AJ468" i="11"/>
  <c r="AI468" i="11"/>
  <c r="AH468" i="11"/>
  <c r="AG468" i="11"/>
  <c r="AF468" i="11"/>
  <c r="AE468" i="11"/>
  <c r="AD468" i="11"/>
  <c r="AC468" i="11"/>
  <c r="AB468" i="11"/>
  <c r="AA468" i="11"/>
  <c r="Z468" i="11"/>
  <c r="Y468" i="11"/>
  <c r="X468" i="11"/>
  <c r="W468" i="11"/>
  <c r="V468" i="11"/>
  <c r="U468" i="11"/>
  <c r="T468" i="11"/>
  <c r="S468" i="11"/>
  <c r="R468" i="11"/>
  <c r="Q468" i="11"/>
  <c r="P468" i="11"/>
  <c r="O468" i="11"/>
  <c r="N468" i="11"/>
  <c r="M468" i="11"/>
  <c r="L468" i="11"/>
  <c r="K468" i="11"/>
  <c r="J468" i="11"/>
  <c r="I468" i="11"/>
  <c r="H468" i="11"/>
  <c r="G468" i="11"/>
  <c r="F468" i="11"/>
  <c r="E468" i="11"/>
  <c r="D468" i="11"/>
  <c r="C468" i="11"/>
  <c r="B468" i="11"/>
  <c r="A468" i="11"/>
  <c r="AH467" i="11"/>
  <c r="AF467" i="11"/>
  <c r="AC467" i="11"/>
  <c r="W467" i="11"/>
  <c r="V467" i="11"/>
  <c r="U467" i="11"/>
  <c r="T467" i="11"/>
  <c r="S467" i="11"/>
  <c r="R467" i="11"/>
  <c r="Q467" i="11"/>
  <c r="P467" i="11"/>
  <c r="O467" i="11"/>
  <c r="N467" i="11"/>
  <c r="M467" i="11"/>
  <c r="L467" i="11"/>
  <c r="K467" i="11"/>
  <c r="J467" i="11"/>
  <c r="I467" i="11"/>
  <c r="H467" i="11"/>
  <c r="G467" i="11"/>
  <c r="F467" i="11"/>
  <c r="E467" i="11"/>
  <c r="D467" i="11"/>
  <c r="C467" i="11"/>
  <c r="B467" i="11"/>
  <c r="A467" i="11"/>
  <c r="AH466" i="11"/>
  <c r="AF466" i="11"/>
  <c r="AC466" i="11"/>
  <c r="W466" i="11"/>
  <c r="V466" i="11"/>
  <c r="U466" i="11"/>
  <c r="T466" i="11"/>
  <c r="S466" i="11"/>
  <c r="R466" i="11"/>
  <c r="Q466" i="11"/>
  <c r="P466" i="11"/>
  <c r="O466" i="11"/>
  <c r="N466" i="11"/>
  <c r="M466" i="11"/>
  <c r="L466" i="11"/>
  <c r="K466" i="11"/>
  <c r="J466" i="11"/>
  <c r="I466" i="11"/>
  <c r="H466" i="11"/>
  <c r="G466" i="11"/>
  <c r="F466" i="11"/>
  <c r="E466" i="11"/>
  <c r="D466" i="11"/>
  <c r="C466" i="11"/>
  <c r="B466" i="11"/>
  <c r="A466" i="11"/>
  <c r="AL465" i="11"/>
  <c r="AK465" i="11"/>
  <c r="AJ465" i="11"/>
  <c r="AI465" i="11"/>
  <c r="AH465" i="11"/>
  <c r="AG465" i="11"/>
  <c r="AF465" i="11"/>
  <c r="AE465" i="11"/>
  <c r="AD465" i="11"/>
  <c r="AC465" i="11"/>
  <c r="AB465" i="11"/>
  <c r="AA465" i="11"/>
  <c r="Z465" i="11"/>
  <c r="Y465" i="11"/>
  <c r="X465" i="11"/>
  <c r="W465" i="11"/>
  <c r="V465" i="11"/>
  <c r="U465" i="11"/>
  <c r="T465" i="11"/>
  <c r="S465" i="11"/>
  <c r="R465" i="11"/>
  <c r="Q465" i="11"/>
  <c r="P465" i="11"/>
  <c r="O465" i="11"/>
  <c r="N465" i="11"/>
  <c r="M465" i="11"/>
  <c r="L465" i="11"/>
  <c r="K465" i="11"/>
  <c r="J465" i="11"/>
  <c r="I465" i="11"/>
  <c r="H465" i="11"/>
  <c r="G465" i="11"/>
  <c r="F465" i="11"/>
  <c r="E465" i="11"/>
  <c r="D465" i="11"/>
  <c r="C465" i="11"/>
  <c r="B465" i="11"/>
  <c r="A465" i="11"/>
  <c r="AC464" i="11"/>
  <c r="W464" i="11"/>
  <c r="V464" i="11"/>
  <c r="U464" i="11"/>
  <c r="T464" i="11"/>
  <c r="S464" i="11"/>
  <c r="R464" i="11"/>
  <c r="Q464" i="11"/>
  <c r="P464" i="11"/>
  <c r="O464" i="11"/>
  <c r="N464" i="11"/>
  <c r="M464" i="11"/>
  <c r="L464" i="11"/>
  <c r="K464" i="11"/>
  <c r="J464" i="11"/>
  <c r="I464" i="11"/>
  <c r="H464" i="11"/>
  <c r="G464" i="11"/>
  <c r="F464" i="11"/>
  <c r="E464" i="11"/>
  <c r="D464" i="11"/>
  <c r="C464" i="11"/>
  <c r="B464" i="11"/>
  <c r="A464" i="11"/>
  <c r="AC463" i="11"/>
  <c r="W463" i="11"/>
  <c r="V463" i="11"/>
  <c r="U463" i="11"/>
  <c r="T463" i="11"/>
  <c r="S463" i="11"/>
  <c r="R463" i="11"/>
  <c r="Q463" i="11"/>
  <c r="P463" i="11"/>
  <c r="O463" i="11"/>
  <c r="N463" i="11"/>
  <c r="M463" i="11"/>
  <c r="L463" i="11"/>
  <c r="K463" i="11"/>
  <c r="J463" i="11"/>
  <c r="I463" i="11"/>
  <c r="H463" i="11"/>
  <c r="G463" i="11"/>
  <c r="F463" i="11"/>
  <c r="E463" i="11"/>
  <c r="D463" i="11"/>
  <c r="C463" i="11"/>
  <c r="B463" i="11"/>
  <c r="A463" i="11"/>
  <c r="AC462" i="11"/>
  <c r="W462" i="11"/>
  <c r="V462" i="11"/>
  <c r="U462" i="11"/>
  <c r="T462" i="11"/>
  <c r="S462" i="11"/>
  <c r="R462" i="11"/>
  <c r="Q462" i="11"/>
  <c r="P462" i="11"/>
  <c r="O462" i="11"/>
  <c r="N462" i="11"/>
  <c r="M462" i="11"/>
  <c r="L462" i="11"/>
  <c r="K462" i="11"/>
  <c r="J462" i="11"/>
  <c r="I462" i="11"/>
  <c r="H462" i="11"/>
  <c r="G462" i="11"/>
  <c r="F462" i="11"/>
  <c r="E462" i="11"/>
  <c r="D462" i="11"/>
  <c r="C462" i="11"/>
  <c r="B462" i="11"/>
  <c r="A462" i="11"/>
  <c r="AL461" i="11"/>
  <c r="AK461" i="11"/>
  <c r="AJ461" i="11"/>
  <c r="AI461" i="11"/>
  <c r="AH461" i="11"/>
  <c r="AG461" i="11"/>
  <c r="AF461" i="11"/>
  <c r="AE461" i="11"/>
  <c r="AD461" i="11"/>
  <c r="AC461" i="11"/>
  <c r="AB461" i="11"/>
  <c r="AA461" i="11"/>
  <c r="Z461" i="11"/>
  <c r="Y461" i="11"/>
  <c r="X461" i="11"/>
  <c r="W461" i="11"/>
  <c r="V461" i="11"/>
  <c r="U461" i="11"/>
  <c r="T461" i="11"/>
  <c r="S461" i="11"/>
  <c r="R461" i="11"/>
  <c r="Q461" i="11"/>
  <c r="P461" i="11"/>
  <c r="O461" i="11"/>
  <c r="N461" i="11"/>
  <c r="M461" i="11"/>
  <c r="L461" i="11"/>
  <c r="K461" i="11"/>
  <c r="J461" i="11"/>
  <c r="I461" i="11"/>
  <c r="H461" i="11"/>
  <c r="G461" i="11"/>
  <c r="F461" i="11"/>
  <c r="E461" i="11"/>
  <c r="D461" i="11"/>
  <c r="C461" i="11"/>
  <c r="B461" i="11"/>
  <c r="A461" i="11"/>
  <c r="AL460" i="11"/>
  <c r="AK460" i="11"/>
  <c r="AJ460" i="11"/>
  <c r="AI460" i="11"/>
  <c r="AH460" i="11"/>
  <c r="AG460" i="11"/>
  <c r="AF460" i="11"/>
  <c r="AE460" i="11"/>
  <c r="AD460" i="11"/>
  <c r="AC460" i="11"/>
  <c r="AB460" i="11"/>
  <c r="AA460" i="11"/>
  <c r="Z460" i="11"/>
  <c r="Y460" i="11"/>
  <c r="X460" i="11"/>
  <c r="W460" i="11"/>
  <c r="V460" i="11"/>
  <c r="U460" i="11"/>
  <c r="T460" i="11"/>
  <c r="S460" i="11"/>
  <c r="R460" i="11"/>
  <c r="Q460" i="11"/>
  <c r="P460" i="11"/>
  <c r="O460" i="11"/>
  <c r="N460" i="11"/>
  <c r="M460" i="11"/>
  <c r="L460" i="11"/>
  <c r="K460" i="11"/>
  <c r="J460" i="11"/>
  <c r="I460" i="11"/>
  <c r="H460" i="11"/>
  <c r="G460" i="11"/>
  <c r="F460" i="11"/>
  <c r="E460" i="11"/>
  <c r="D460" i="11"/>
  <c r="C460" i="11"/>
  <c r="B460" i="11"/>
  <c r="A460" i="11"/>
  <c r="AL459" i="11"/>
  <c r="AK459" i="11"/>
  <c r="AJ459" i="11"/>
  <c r="AI459" i="11"/>
  <c r="AH459" i="11"/>
  <c r="AG459" i="11"/>
  <c r="AF459" i="11"/>
  <c r="AE459" i="11"/>
  <c r="AD459" i="11"/>
  <c r="AC459" i="11"/>
  <c r="AB459" i="11"/>
  <c r="AA459" i="11"/>
  <c r="Z459" i="11"/>
  <c r="Y459" i="11"/>
  <c r="X459" i="11"/>
  <c r="W459" i="11"/>
  <c r="V459" i="11"/>
  <c r="U459" i="11"/>
  <c r="T459" i="11"/>
  <c r="S459" i="11"/>
  <c r="R459" i="11"/>
  <c r="Q459" i="11"/>
  <c r="P459" i="11"/>
  <c r="O459" i="11"/>
  <c r="N459" i="11"/>
  <c r="M459" i="11"/>
  <c r="L459" i="11"/>
  <c r="K459" i="11"/>
  <c r="J459" i="11"/>
  <c r="I459" i="11"/>
  <c r="H459" i="11"/>
  <c r="G459" i="11"/>
  <c r="F459" i="11"/>
  <c r="E459" i="11"/>
  <c r="D459" i="11"/>
  <c r="C459" i="11"/>
  <c r="B459" i="11"/>
  <c r="A459" i="11"/>
  <c r="AF458" i="11"/>
  <c r="AC458" i="11"/>
  <c r="AA458" i="11"/>
  <c r="Y458" i="11"/>
  <c r="W458" i="11"/>
  <c r="V458" i="11"/>
  <c r="U458" i="11"/>
  <c r="T458" i="11"/>
  <c r="S458" i="11"/>
  <c r="R458" i="11"/>
  <c r="Q458" i="11"/>
  <c r="P458" i="11"/>
  <c r="O458" i="11"/>
  <c r="N458" i="11"/>
  <c r="M458" i="11"/>
  <c r="L458" i="11"/>
  <c r="K458" i="11"/>
  <c r="J458" i="11"/>
  <c r="I458" i="11"/>
  <c r="H458" i="11"/>
  <c r="G458" i="11"/>
  <c r="F458" i="11"/>
  <c r="E458" i="11"/>
  <c r="D458" i="11"/>
  <c r="C458" i="11"/>
  <c r="B458" i="11"/>
  <c r="A458" i="11"/>
  <c r="AL457" i="11"/>
  <c r="AF457" i="11"/>
  <c r="AC457" i="11"/>
  <c r="AA457" i="11"/>
  <c r="W457" i="11"/>
  <c r="V457" i="11"/>
  <c r="U457" i="11"/>
  <c r="T457" i="11"/>
  <c r="S457" i="11"/>
  <c r="R457" i="11"/>
  <c r="Q457" i="11"/>
  <c r="P457" i="11"/>
  <c r="O457" i="11"/>
  <c r="N457" i="11"/>
  <c r="M457" i="11"/>
  <c r="L457" i="11"/>
  <c r="K457" i="11"/>
  <c r="J457" i="11"/>
  <c r="I457" i="11"/>
  <c r="H457" i="11"/>
  <c r="G457" i="11"/>
  <c r="F457" i="11"/>
  <c r="E457" i="11"/>
  <c r="D457" i="11"/>
  <c r="C457" i="11"/>
  <c r="B457" i="11"/>
  <c r="A457" i="11"/>
  <c r="AL456" i="11"/>
  <c r="AK456" i="11"/>
  <c r="AJ456" i="11"/>
  <c r="AI456" i="11"/>
  <c r="AH456" i="11"/>
  <c r="AG456" i="11"/>
  <c r="AF456" i="11"/>
  <c r="AE456" i="11"/>
  <c r="AD456" i="11"/>
  <c r="AC456" i="11"/>
  <c r="AB456" i="11"/>
  <c r="AA456" i="11"/>
  <c r="Z456" i="11"/>
  <c r="Y456" i="11"/>
  <c r="X456" i="11"/>
  <c r="W456" i="11"/>
  <c r="V456" i="11"/>
  <c r="U456" i="11"/>
  <c r="T456" i="11"/>
  <c r="S456" i="11"/>
  <c r="R456" i="11"/>
  <c r="Q456" i="11"/>
  <c r="P456" i="11"/>
  <c r="O456" i="11"/>
  <c r="N456" i="11"/>
  <c r="M456" i="11"/>
  <c r="L456" i="11"/>
  <c r="K456" i="11"/>
  <c r="J456" i="11"/>
  <c r="I456" i="11"/>
  <c r="H456" i="11"/>
  <c r="G456" i="11"/>
  <c r="F456" i="11"/>
  <c r="E456" i="11"/>
  <c r="D456" i="11"/>
  <c r="C456" i="11"/>
  <c r="B456" i="11"/>
  <c r="A456" i="11"/>
  <c r="AL455" i="11"/>
  <c r="AK455" i="11"/>
  <c r="AJ455" i="11"/>
  <c r="AI455" i="11"/>
  <c r="AH455" i="11"/>
  <c r="AG455" i="11"/>
  <c r="AF455" i="11"/>
  <c r="AE455" i="11"/>
  <c r="AD455" i="11"/>
  <c r="AC455" i="11"/>
  <c r="AB455" i="11"/>
  <c r="AA455" i="11"/>
  <c r="Z455" i="11"/>
  <c r="Y455" i="11"/>
  <c r="X455" i="11"/>
  <c r="W455" i="11"/>
  <c r="V455" i="11"/>
  <c r="U455" i="11"/>
  <c r="T455" i="11"/>
  <c r="S455" i="11"/>
  <c r="R455" i="11"/>
  <c r="Q455" i="11"/>
  <c r="P455" i="11"/>
  <c r="O455" i="11"/>
  <c r="N455" i="11"/>
  <c r="M455" i="11"/>
  <c r="L455" i="11"/>
  <c r="K455" i="11"/>
  <c r="J455" i="11"/>
  <c r="I455" i="11"/>
  <c r="H455" i="11"/>
  <c r="G455" i="11"/>
  <c r="F455" i="11"/>
  <c r="E455" i="11"/>
  <c r="D455" i="11"/>
  <c r="C455" i="11"/>
  <c r="B455" i="11"/>
  <c r="A455" i="11"/>
  <c r="AL454" i="11"/>
  <c r="AF454" i="11"/>
  <c r="AC454" i="11"/>
  <c r="AA454" i="11"/>
  <c r="W454" i="11"/>
  <c r="V454" i="11"/>
  <c r="U454" i="11"/>
  <c r="T454" i="11"/>
  <c r="S454" i="11"/>
  <c r="R454" i="11"/>
  <c r="Q454" i="11"/>
  <c r="P454" i="11"/>
  <c r="O454" i="11"/>
  <c r="N454" i="11"/>
  <c r="M454" i="11"/>
  <c r="L454" i="11"/>
  <c r="K454" i="11"/>
  <c r="J454" i="11"/>
  <c r="I454" i="11"/>
  <c r="H454" i="11"/>
  <c r="G454" i="11"/>
  <c r="F454" i="11"/>
  <c r="E454" i="11"/>
  <c r="D454" i="11"/>
  <c r="C454" i="11"/>
  <c r="B454" i="11"/>
  <c r="A454" i="11"/>
  <c r="AL453" i="11"/>
  <c r="AF453" i="11"/>
  <c r="AC453" i="11"/>
  <c r="AA453" i="11"/>
  <c r="W453" i="11"/>
  <c r="V453" i="11"/>
  <c r="U453" i="11"/>
  <c r="T453" i="11"/>
  <c r="S453" i="11"/>
  <c r="R453" i="11"/>
  <c r="Q453" i="11"/>
  <c r="P453" i="11"/>
  <c r="O453" i="11"/>
  <c r="N453" i="11"/>
  <c r="M453" i="11"/>
  <c r="L453" i="11"/>
  <c r="K453" i="11"/>
  <c r="J453" i="11"/>
  <c r="I453" i="11"/>
  <c r="H453" i="11"/>
  <c r="G453" i="11"/>
  <c r="F453" i="11"/>
  <c r="E453" i="11"/>
  <c r="D453" i="11"/>
  <c r="C453" i="11"/>
  <c r="B453" i="11"/>
  <c r="A453" i="11"/>
  <c r="AL452" i="11"/>
  <c r="AF452" i="11"/>
  <c r="AC452" i="11"/>
  <c r="AA452" i="11"/>
  <c r="W452" i="11"/>
  <c r="V452" i="11"/>
  <c r="U452" i="11"/>
  <c r="T452" i="11"/>
  <c r="S452" i="11"/>
  <c r="R452" i="11"/>
  <c r="Q452" i="11"/>
  <c r="P452" i="11"/>
  <c r="O452" i="11"/>
  <c r="N452" i="11"/>
  <c r="M452" i="11"/>
  <c r="L452" i="11"/>
  <c r="K452" i="11"/>
  <c r="J452" i="11"/>
  <c r="I452" i="11"/>
  <c r="H452" i="11"/>
  <c r="G452" i="11"/>
  <c r="F452" i="11"/>
  <c r="E452" i="11"/>
  <c r="D452" i="11"/>
  <c r="C452" i="11"/>
  <c r="B452" i="11"/>
  <c r="A452" i="11"/>
  <c r="AL451" i="11"/>
  <c r="AF451" i="11"/>
  <c r="AC451" i="11"/>
  <c r="AA451" i="11"/>
  <c r="W451" i="11"/>
  <c r="V451" i="11"/>
  <c r="U451" i="11"/>
  <c r="T451" i="11"/>
  <c r="S451" i="11"/>
  <c r="R451" i="11"/>
  <c r="Q451" i="11"/>
  <c r="P451" i="11"/>
  <c r="O451" i="11"/>
  <c r="N451" i="11"/>
  <c r="M451" i="11"/>
  <c r="L451" i="11"/>
  <c r="K451" i="11"/>
  <c r="J451" i="11"/>
  <c r="I451" i="11"/>
  <c r="H451" i="11"/>
  <c r="G451" i="11"/>
  <c r="F451" i="11"/>
  <c r="E451" i="11"/>
  <c r="D451" i="11"/>
  <c r="C451" i="11"/>
  <c r="B451" i="11"/>
  <c r="A451" i="11"/>
  <c r="AL450" i="11"/>
  <c r="AF450" i="11"/>
  <c r="AC450" i="11"/>
  <c r="AA450" i="11"/>
  <c r="W450" i="11"/>
  <c r="V450" i="11"/>
  <c r="U450" i="11"/>
  <c r="T450" i="11"/>
  <c r="S450" i="11"/>
  <c r="R450" i="11"/>
  <c r="Q450" i="11"/>
  <c r="P450" i="11"/>
  <c r="O450" i="11"/>
  <c r="N450" i="11"/>
  <c r="M450" i="11"/>
  <c r="L450" i="11"/>
  <c r="K450" i="11"/>
  <c r="J450" i="11"/>
  <c r="I450" i="11"/>
  <c r="H450" i="11"/>
  <c r="G450" i="11"/>
  <c r="F450" i="11"/>
  <c r="E450" i="11"/>
  <c r="D450" i="11"/>
  <c r="C450" i="11"/>
  <c r="B450" i="11"/>
  <c r="A450" i="11"/>
  <c r="AL449" i="11"/>
  <c r="AF449" i="11"/>
  <c r="AA449" i="11"/>
  <c r="S449" i="11"/>
  <c r="Q449" i="11"/>
  <c r="P449" i="11"/>
  <c r="O449" i="11"/>
  <c r="N449" i="11"/>
  <c r="M449" i="11"/>
  <c r="G449" i="11"/>
  <c r="F449" i="11"/>
  <c r="E449" i="11"/>
  <c r="D449" i="11"/>
  <c r="C449" i="11"/>
  <c r="B449" i="11"/>
  <c r="A449" i="11"/>
  <c r="AL448" i="11"/>
  <c r="AF448" i="11"/>
  <c r="AA448" i="11"/>
  <c r="S448" i="11"/>
  <c r="Q448" i="11"/>
  <c r="P448" i="11"/>
  <c r="O448" i="11"/>
  <c r="N448" i="11"/>
  <c r="M448" i="11"/>
  <c r="G448" i="11"/>
  <c r="F448" i="11"/>
  <c r="E448" i="11"/>
  <c r="D448" i="11"/>
  <c r="C448" i="11"/>
  <c r="B448" i="11"/>
  <c r="A448" i="11"/>
  <c r="AL447" i="11"/>
  <c r="AF447" i="11"/>
  <c r="AA447" i="11"/>
  <c r="S447" i="11"/>
  <c r="Q447" i="11"/>
  <c r="P447" i="11"/>
  <c r="O447" i="11"/>
  <c r="N447" i="11"/>
  <c r="M447" i="11"/>
  <c r="G447" i="11"/>
  <c r="F447" i="11"/>
  <c r="E447" i="11"/>
  <c r="D447" i="11"/>
  <c r="C447" i="11"/>
  <c r="B447" i="11"/>
  <c r="A447" i="11"/>
  <c r="AL446" i="11"/>
  <c r="AF446" i="11"/>
  <c r="AA446" i="11"/>
  <c r="S446" i="11"/>
  <c r="Q446" i="11"/>
  <c r="P446" i="11"/>
  <c r="O446" i="11"/>
  <c r="N446" i="11"/>
  <c r="M446" i="11"/>
  <c r="G446" i="11"/>
  <c r="F446" i="11"/>
  <c r="E446" i="11"/>
  <c r="D446" i="11"/>
  <c r="C446" i="11"/>
  <c r="B446" i="11"/>
  <c r="A446" i="11"/>
  <c r="AL445" i="11"/>
  <c r="AF445" i="11"/>
  <c r="AC445" i="11"/>
  <c r="AA445" i="11"/>
  <c r="W445" i="11"/>
  <c r="V445" i="11"/>
  <c r="U445" i="11"/>
  <c r="T445" i="11"/>
  <c r="S445" i="11"/>
  <c r="R445" i="11"/>
  <c r="Q445" i="11"/>
  <c r="P445" i="11"/>
  <c r="O445" i="11"/>
  <c r="N445" i="11"/>
  <c r="M445" i="11"/>
  <c r="L445" i="11"/>
  <c r="K445" i="11"/>
  <c r="J445" i="11"/>
  <c r="I445" i="11"/>
  <c r="H445" i="11"/>
  <c r="G445" i="11"/>
  <c r="F445" i="11"/>
  <c r="E445" i="11"/>
  <c r="D445" i="11"/>
  <c r="C445" i="11"/>
  <c r="B445" i="11"/>
  <c r="A445" i="11"/>
  <c r="E444" i="11"/>
  <c r="D444" i="11"/>
  <c r="C444" i="11"/>
  <c r="B444" i="11"/>
  <c r="A444" i="11"/>
  <c r="AL443" i="11"/>
  <c r="AF443" i="11"/>
  <c r="AC443" i="11"/>
  <c r="AA443" i="11"/>
  <c r="W443" i="11"/>
  <c r="V443" i="11"/>
  <c r="U443" i="11"/>
  <c r="T443" i="11"/>
  <c r="S443" i="11"/>
  <c r="R443" i="11"/>
  <c r="Q443" i="11"/>
  <c r="P443" i="11"/>
  <c r="O443" i="11"/>
  <c r="N443" i="11"/>
  <c r="M443" i="11"/>
  <c r="L443" i="11"/>
  <c r="K443" i="11"/>
  <c r="J443" i="11"/>
  <c r="I443" i="11"/>
  <c r="H443" i="11"/>
  <c r="G443" i="11"/>
  <c r="F443" i="11"/>
  <c r="E443" i="11"/>
  <c r="D443" i="11"/>
  <c r="C443" i="11"/>
  <c r="B443" i="11"/>
  <c r="A443" i="11"/>
  <c r="AC442" i="11"/>
  <c r="W442" i="11"/>
  <c r="V442" i="11"/>
  <c r="U442" i="11"/>
  <c r="T442" i="11"/>
  <c r="S442" i="11"/>
  <c r="R442" i="11"/>
  <c r="Q442" i="11"/>
  <c r="P442" i="11"/>
  <c r="O442" i="11"/>
  <c r="N442" i="11"/>
  <c r="M442" i="11"/>
  <c r="L442" i="11"/>
  <c r="K442" i="11"/>
  <c r="J442" i="11"/>
  <c r="I442" i="11"/>
  <c r="H442" i="11"/>
  <c r="G442" i="11"/>
  <c r="F442" i="11"/>
  <c r="E442" i="11"/>
  <c r="D442" i="11"/>
  <c r="C442" i="11"/>
  <c r="B442" i="11"/>
  <c r="A442" i="11"/>
  <c r="AL441" i="11"/>
  <c r="AF441" i="11"/>
  <c r="AC441" i="11"/>
  <c r="AA441" i="11"/>
  <c r="W441" i="11"/>
  <c r="V441" i="11"/>
  <c r="U441" i="11"/>
  <c r="T441" i="11"/>
  <c r="S441" i="11"/>
  <c r="R441" i="11"/>
  <c r="Q441" i="11"/>
  <c r="P441" i="11"/>
  <c r="O441" i="11"/>
  <c r="N441" i="11"/>
  <c r="M441" i="11"/>
  <c r="L441" i="11"/>
  <c r="K441" i="11"/>
  <c r="J441" i="11"/>
  <c r="I441" i="11"/>
  <c r="H441" i="11"/>
  <c r="G441" i="11"/>
  <c r="F441" i="11"/>
  <c r="E441" i="11"/>
  <c r="D441" i="11"/>
  <c r="C441" i="11"/>
  <c r="B441" i="11"/>
  <c r="A441" i="11"/>
  <c r="AL440" i="11"/>
  <c r="AF440" i="11"/>
  <c r="AC440" i="11"/>
  <c r="AA440" i="11"/>
  <c r="W440" i="11"/>
  <c r="V440" i="11"/>
  <c r="U440" i="11"/>
  <c r="T440" i="11"/>
  <c r="S440" i="11"/>
  <c r="R440" i="11"/>
  <c r="Q440" i="11"/>
  <c r="P440" i="11"/>
  <c r="O440" i="11"/>
  <c r="N440" i="11"/>
  <c r="M440" i="11"/>
  <c r="L440" i="11"/>
  <c r="K440" i="11"/>
  <c r="J440" i="11"/>
  <c r="I440" i="11"/>
  <c r="H440" i="11"/>
  <c r="G440" i="11"/>
  <c r="F440" i="11"/>
  <c r="E440" i="11"/>
  <c r="D440" i="11"/>
  <c r="C440" i="11"/>
  <c r="B440" i="11"/>
  <c r="A440" i="11"/>
  <c r="AC439" i="11"/>
  <c r="W439" i="11"/>
  <c r="V439" i="11"/>
  <c r="U439" i="11"/>
  <c r="T439" i="11"/>
  <c r="S439" i="11"/>
  <c r="R439" i="11"/>
  <c r="Q439" i="11"/>
  <c r="P439" i="11"/>
  <c r="O439" i="11"/>
  <c r="N439" i="11"/>
  <c r="M439" i="11"/>
  <c r="L439" i="11"/>
  <c r="K439" i="11"/>
  <c r="J439" i="11"/>
  <c r="I439" i="11"/>
  <c r="H439" i="11"/>
  <c r="G439" i="11"/>
  <c r="F439" i="11"/>
  <c r="E439" i="11"/>
  <c r="D439" i="11"/>
  <c r="C439" i="11"/>
  <c r="B439" i="11"/>
  <c r="A439" i="11"/>
  <c r="AC438" i="11"/>
  <c r="W438" i="11"/>
  <c r="V438" i="11"/>
  <c r="U438" i="11"/>
  <c r="T438" i="11"/>
  <c r="S438" i="11"/>
  <c r="R438" i="11"/>
  <c r="Q438" i="11"/>
  <c r="P438" i="11"/>
  <c r="O438" i="11"/>
  <c r="N438" i="11"/>
  <c r="M438" i="11"/>
  <c r="L438" i="11"/>
  <c r="K438" i="11"/>
  <c r="J438" i="11"/>
  <c r="I438" i="11"/>
  <c r="H438" i="11"/>
  <c r="G438" i="11"/>
  <c r="F438" i="11"/>
  <c r="E438" i="11"/>
  <c r="D438" i="11"/>
  <c r="C438" i="11"/>
  <c r="B438" i="11"/>
  <c r="A438" i="11"/>
  <c r="AC437" i="11"/>
  <c r="W437" i="11"/>
  <c r="V437" i="11"/>
  <c r="U437" i="11"/>
  <c r="T437" i="11"/>
  <c r="S437" i="11"/>
  <c r="R437" i="11"/>
  <c r="Q437" i="11"/>
  <c r="P437" i="11"/>
  <c r="O437" i="11"/>
  <c r="N437" i="11"/>
  <c r="M437" i="11"/>
  <c r="L437" i="11"/>
  <c r="K437" i="11"/>
  <c r="J437" i="11"/>
  <c r="I437" i="11"/>
  <c r="H437" i="11"/>
  <c r="G437" i="11"/>
  <c r="F437" i="11"/>
  <c r="E437" i="11"/>
  <c r="D437" i="11"/>
  <c r="C437" i="11"/>
  <c r="B437" i="11"/>
  <c r="A437" i="11"/>
  <c r="AH436" i="11"/>
  <c r="AF436" i="11"/>
  <c r="AC436" i="11"/>
  <c r="Y436" i="11"/>
  <c r="W436" i="11"/>
  <c r="V436" i="11"/>
  <c r="U436" i="11"/>
  <c r="T436" i="11"/>
  <c r="S436" i="11"/>
  <c r="R436" i="11"/>
  <c r="Q436" i="11"/>
  <c r="P436" i="11"/>
  <c r="O436" i="11"/>
  <c r="N436" i="11"/>
  <c r="M436" i="11"/>
  <c r="L436" i="11"/>
  <c r="K436" i="11"/>
  <c r="J436" i="11"/>
  <c r="I436" i="11"/>
  <c r="H436" i="11"/>
  <c r="G436" i="11"/>
  <c r="F436" i="11"/>
  <c r="E436" i="11"/>
  <c r="D436" i="11"/>
  <c r="C436" i="11"/>
  <c r="B436" i="11"/>
  <c r="A436" i="11"/>
  <c r="AF435" i="11"/>
  <c r="AC435" i="11"/>
  <c r="Y435" i="11"/>
  <c r="W435" i="11"/>
  <c r="V435" i="11"/>
  <c r="U435" i="11"/>
  <c r="T435" i="11"/>
  <c r="S435" i="11"/>
  <c r="R435" i="11"/>
  <c r="Q435" i="11"/>
  <c r="P435" i="11"/>
  <c r="O435" i="11"/>
  <c r="N435" i="11"/>
  <c r="M435" i="11"/>
  <c r="L435" i="11"/>
  <c r="K435" i="11"/>
  <c r="J435" i="11"/>
  <c r="I435" i="11"/>
  <c r="H435" i="11"/>
  <c r="G435" i="11"/>
  <c r="F435" i="11"/>
  <c r="E435" i="11"/>
  <c r="D435" i="11"/>
  <c r="C435" i="11"/>
  <c r="B435" i="11"/>
  <c r="A435" i="11"/>
  <c r="AH434" i="11"/>
  <c r="AF434" i="11"/>
  <c r="AC434" i="11"/>
  <c r="AA434" i="11"/>
  <c r="W434" i="11"/>
  <c r="V434" i="11"/>
  <c r="U434" i="11"/>
  <c r="T434" i="11"/>
  <c r="S434" i="11"/>
  <c r="R434" i="11"/>
  <c r="Q434" i="11"/>
  <c r="P434" i="11"/>
  <c r="O434" i="11"/>
  <c r="N434" i="11"/>
  <c r="M434" i="11"/>
  <c r="L434" i="11"/>
  <c r="K434" i="11"/>
  <c r="J434" i="11"/>
  <c r="I434" i="11"/>
  <c r="H434" i="11"/>
  <c r="G434" i="11"/>
  <c r="F434" i="11"/>
  <c r="E434" i="11"/>
  <c r="D434" i="11"/>
  <c r="C434" i="11"/>
  <c r="B434" i="11"/>
  <c r="A434" i="11"/>
  <c r="AL433" i="11"/>
  <c r="AK433" i="11"/>
  <c r="AJ433" i="11"/>
  <c r="AI433" i="11"/>
  <c r="AH433" i="11"/>
  <c r="AG433" i="11"/>
  <c r="AF433" i="11"/>
  <c r="AE433" i="11"/>
  <c r="AD433" i="11"/>
  <c r="AC433" i="11"/>
  <c r="AB433" i="11"/>
  <c r="AA433" i="11"/>
  <c r="Z433" i="11"/>
  <c r="Y433" i="11"/>
  <c r="X433" i="11"/>
  <c r="W433" i="11"/>
  <c r="V433" i="11"/>
  <c r="U433" i="11"/>
  <c r="T433" i="11"/>
  <c r="S433" i="11"/>
  <c r="R433" i="11"/>
  <c r="Q433" i="11"/>
  <c r="P433" i="11"/>
  <c r="O433" i="11"/>
  <c r="N433" i="11"/>
  <c r="M433" i="11"/>
  <c r="L433" i="11"/>
  <c r="K433" i="11"/>
  <c r="J433" i="11"/>
  <c r="I433" i="11"/>
  <c r="H433" i="11"/>
  <c r="G433" i="11"/>
  <c r="F433" i="11"/>
  <c r="E433" i="11"/>
  <c r="D433" i="11"/>
  <c r="C433" i="11"/>
  <c r="B433" i="11"/>
  <c r="A433" i="11"/>
  <c r="AL432" i="11"/>
  <c r="AK432" i="11"/>
  <c r="AJ432" i="11"/>
  <c r="AI432" i="11"/>
  <c r="AH432" i="11"/>
  <c r="AG432" i="11"/>
  <c r="AF432" i="11"/>
  <c r="AE432" i="11"/>
  <c r="AD432" i="11"/>
  <c r="AC432" i="11"/>
  <c r="AB432" i="11"/>
  <c r="AA432" i="11"/>
  <c r="Z432" i="11"/>
  <c r="Y432" i="11"/>
  <c r="X432" i="11"/>
  <c r="W432" i="11"/>
  <c r="V432" i="11"/>
  <c r="U432" i="11"/>
  <c r="T432" i="11"/>
  <c r="S432" i="11"/>
  <c r="R432" i="11"/>
  <c r="Q432" i="11"/>
  <c r="P432" i="11"/>
  <c r="O432" i="11"/>
  <c r="N432" i="11"/>
  <c r="M432" i="11"/>
  <c r="L432" i="11"/>
  <c r="K432" i="11"/>
  <c r="J432" i="11"/>
  <c r="I432" i="11"/>
  <c r="H432" i="11"/>
  <c r="G432" i="11"/>
  <c r="F432" i="11"/>
  <c r="E432" i="11"/>
  <c r="D432" i="11"/>
  <c r="C432" i="11"/>
  <c r="B432" i="11"/>
  <c r="A432" i="11"/>
  <c r="AC431" i="11"/>
  <c r="W431" i="11"/>
  <c r="V431" i="11"/>
  <c r="U431" i="11"/>
  <c r="T431" i="11"/>
  <c r="S431" i="11"/>
  <c r="R431" i="11"/>
  <c r="Q431" i="11"/>
  <c r="P431" i="11"/>
  <c r="O431" i="11"/>
  <c r="N431" i="11"/>
  <c r="M431" i="11"/>
  <c r="L431" i="11"/>
  <c r="K431" i="11"/>
  <c r="J431" i="11"/>
  <c r="I431" i="11"/>
  <c r="H431" i="11"/>
  <c r="G431" i="11"/>
  <c r="F431" i="11"/>
  <c r="E431" i="11"/>
  <c r="D431" i="11"/>
  <c r="C431" i="11"/>
  <c r="B431" i="11"/>
  <c r="A431" i="11"/>
  <c r="AL430" i="11"/>
  <c r="AK430" i="11"/>
  <c r="AJ430" i="11"/>
  <c r="AI430" i="11"/>
  <c r="AH430" i="11"/>
  <c r="AG430" i="11"/>
  <c r="AF430" i="11"/>
  <c r="AE430" i="11"/>
  <c r="AD430" i="11"/>
  <c r="AC430" i="11"/>
  <c r="AB430" i="11"/>
  <c r="AA430" i="11"/>
  <c r="Z430" i="11"/>
  <c r="Y430" i="11"/>
  <c r="X430" i="11"/>
  <c r="W430" i="11"/>
  <c r="V430" i="11"/>
  <c r="U430" i="11"/>
  <c r="T430" i="11"/>
  <c r="S430" i="11"/>
  <c r="R430" i="11"/>
  <c r="Q430" i="11"/>
  <c r="P430" i="11"/>
  <c r="O430" i="11"/>
  <c r="N430" i="11"/>
  <c r="M430" i="11"/>
  <c r="L430" i="11"/>
  <c r="K430" i="11"/>
  <c r="J430" i="11"/>
  <c r="I430" i="11"/>
  <c r="H430" i="11"/>
  <c r="G430" i="11"/>
  <c r="F430" i="11"/>
  <c r="E430" i="11"/>
  <c r="D430" i="11"/>
  <c r="C430" i="11"/>
  <c r="B430" i="11"/>
  <c r="A430" i="11"/>
  <c r="AL429" i="11"/>
  <c r="AF429" i="11"/>
  <c r="AC429" i="11"/>
  <c r="AA429" i="11"/>
  <c r="W429" i="11"/>
  <c r="V429" i="11"/>
  <c r="U429" i="11"/>
  <c r="T429" i="11"/>
  <c r="S429" i="11"/>
  <c r="R429" i="11"/>
  <c r="Q429" i="11"/>
  <c r="P429" i="11"/>
  <c r="O429" i="11"/>
  <c r="N429" i="11"/>
  <c r="M429" i="11"/>
  <c r="L429" i="11"/>
  <c r="K429" i="11"/>
  <c r="J429" i="11"/>
  <c r="I429" i="11"/>
  <c r="H429" i="11"/>
  <c r="G429" i="11"/>
  <c r="F429" i="11"/>
  <c r="E429" i="11"/>
  <c r="D429" i="11"/>
  <c r="C429" i="11"/>
  <c r="B429" i="11"/>
  <c r="A429" i="11"/>
  <c r="E428" i="11"/>
  <c r="D428" i="11"/>
  <c r="C428" i="11"/>
  <c r="B428" i="11"/>
  <c r="A428" i="11"/>
  <c r="AL427" i="11"/>
  <c r="AK427" i="11"/>
  <c r="AJ427" i="11"/>
  <c r="AI427" i="11"/>
  <c r="AH427" i="11"/>
  <c r="AG427" i="11"/>
  <c r="AF427" i="11"/>
  <c r="AE427" i="11"/>
  <c r="AD427" i="11"/>
  <c r="AC427" i="11"/>
  <c r="AB427" i="11"/>
  <c r="AA427" i="11"/>
  <c r="Z427" i="11"/>
  <c r="Y427" i="11"/>
  <c r="X427" i="11"/>
  <c r="W427" i="11"/>
  <c r="V427" i="11"/>
  <c r="U427" i="11"/>
  <c r="T427" i="11"/>
  <c r="S427" i="11"/>
  <c r="R427" i="11"/>
  <c r="Q427" i="11"/>
  <c r="P427" i="11"/>
  <c r="O427" i="11"/>
  <c r="N427" i="11"/>
  <c r="M427" i="11"/>
  <c r="L427" i="11"/>
  <c r="K427" i="11"/>
  <c r="J427" i="11"/>
  <c r="I427" i="11"/>
  <c r="H427" i="11"/>
  <c r="G427" i="11"/>
  <c r="F427" i="11"/>
  <c r="E427" i="11"/>
  <c r="D427" i="11"/>
  <c r="C427" i="11"/>
  <c r="B427" i="11"/>
  <c r="A427" i="11"/>
  <c r="AL426" i="11"/>
  <c r="AK426" i="11"/>
  <c r="AJ426" i="11"/>
  <c r="AI426" i="11"/>
  <c r="AH426" i="11"/>
  <c r="AG426" i="11"/>
  <c r="AF426" i="11"/>
  <c r="AE426" i="11"/>
  <c r="AD426" i="11"/>
  <c r="AC426" i="11"/>
  <c r="AB426" i="11"/>
  <c r="AA426" i="11"/>
  <c r="Z426" i="11"/>
  <c r="Y426" i="11"/>
  <c r="X426" i="11"/>
  <c r="W426" i="11"/>
  <c r="V426" i="11"/>
  <c r="U426" i="11"/>
  <c r="T426" i="11"/>
  <c r="S426" i="11"/>
  <c r="R426" i="11"/>
  <c r="Q426" i="11"/>
  <c r="P426" i="11"/>
  <c r="O426" i="11"/>
  <c r="N426" i="11"/>
  <c r="M426" i="11"/>
  <c r="L426" i="11"/>
  <c r="K426" i="11"/>
  <c r="J426" i="11"/>
  <c r="I426" i="11"/>
  <c r="H426" i="11"/>
  <c r="G426" i="11"/>
  <c r="F426" i="11"/>
  <c r="E426" i="11"/>
  <c r="D426" i="11"/>
  <c r="C426" i="11"/>
  <c r="B426" i="11"/>
  <c r="A426" i="11"/>
  <c r="AL425" i="11"/>
  <c r="AK425" i="11"/>
  <c r="AJ425" i="11"/>
  <c r="AI425" i="11"/>
  <c r="AH425" i="11"/>
  <c r="AG425" i="11"/>
  <c r="AF425" i="11"/>
  <c r="AE425" i="11"/>
  <c r="AD425" i="11"/>
  <c r="AC425" i="11"/>
  <c r="AB425" i="11"/>
  <c r="AA425" i="11"/>
  <c r="Z425" i="11"/>
  <c r="Y425" i="11"/>
  <c r="X425" i="11"/>
  <c r="W425" i="11"/>
  <c r="V425" i="11"/>
  <c r="U425" i="11"/>
  <c r="T425" i="11"/>
  <c r="S425" i="11"/>
  <c r="R425" i="11"/>
  <c r="Q425" i="11"/>
  <c r="P425" i="11"/>
  <c r="O425" i="11"/>
  <c r="N425" i="11"/>
  <c r="M425" i="11"/>
  <c r="L425" i="11"/>
  <c r="K425" i="11"/>
  <c r="J425" i="11"/>
  <c r="I425" i="11"/>
  <c r="H425" i="11"/>
  <c r="G425" i="11"/>
  <c r="F425" i="11"/>
  <c r="E425" i="11"/>
  <c r="D425" i="11"/>
  <c r="C425" i="11"/>
  <c r="B425" i="11"/>
  <c r="A425" i="11"/>
  <c r="AL424" i="11"/>
  <c r="AF424" i="11"/>
  <c r="AC424" i="11"/>
  <c r="AA424" i="11"/>
  <c r="W424" i="11"/>
  <c r="V424" i="11"/>
  <c r="U424" i="11"/>
  <c r="T424" i="11"/>
  <c r="S424" i="11"/>
  <c r="R424" i="11"/>
  <c r="Q424" i="11"/>
  <c r="P424" i="11"/>
  <c r="O424" i="11"/>
  <c r="N424" i="11"/>
  <c r="M424" i="11"/>
  <c r="L424" i="11"/>
  <c r="K424" i="11"/>
  <c r="J424" i="11"/>
  <c r="I424" i="11"/>
  <c r="H424" i="11"/>
  <c r="G424" i="11"/>
  <c r="F424" i="11"/>
  <c r="E424" i="11"/>
  <c r="D424" i="11"/>
  <c r="C424" i="11"/>
  <c r="B424" i="11"/>
  <c r="A424" i="11"/>
  <c r="AC423" i="11"/>
  <c r="W423" i="11"/>
  <c r="V423" i="11"/>
  <c r="U423" i="11"/>
  <c r="T423" i="11"/>
  <c r="S423" i="11"/>
  <c r="R423" i="11"/>
  <c r="Q423" i="11"/>
  <c r="P423" i="11"/>
  <c r="O423" i="11"/>
  <c r="N423" i="11"/>
  <c r="M423" i="11"/>
  <c r="L423" i="11"/>
  <c r="K423" i="11"/>
  <c r="J423" i="11"/>
  <c r="I423" i="11"/>
  <c r="H423" i="11"/>
  <c r="G423" i="11"/>
  <c r="F423" i="11"/>
  <c r="E423" i="11"/>
  <c r="D423" i="11"/>
  <c r="C423" i="11"/>
  <c r="B423" i="11"/>
  <c r="A423" i="11"/>
  <c r="AL422" i="11"/>
  <c r="AK422" i="11"/>
  <c r="AJ422" i="11"/>
  <c r="AI422" i="11"/>
  <c r="AH422" i="11"/>
  <c r="AG422" i="11"/>
  <c r="AF422" i="11"/>
  <c r="AE422" i="11"/>
  <c r="AD422" i="11"/>
  <c r="AC422" i="11"/>
  <c r="AB422" i="11"/>
  <c r="AA422" i="11"/>
  <c r="Z422" i="11"/>
  <c r="Y422" i="11"/>
  <c r="X422" i="11"/>
  <c r="W422" i="11"/>
  <c r="V422" i="11"/>
  <c r="U422" i="11"/>
  <c r="T422" i="11"/>
  <c r="S422" i="11"/>
  <c r="R422" i="11"/>
  <c r="Q422" i="11"/>
  <c r="P422" i="11"/>
  <c r="O422" i="11"/>
  <c r="N422" i="11"/>
  <c r="M422" i="11"/>
  <c r="L422" i="11"/>
  <c r="K422" i="11"/>
  <c r="J422" i="11"/>
  <c r="I422" i="11"/>
  <c r="H422" i="11"/>
  <c r="G422" i="11"/>
  <c r="F422" i="11"/>
  <c r="E422" i="11"/>
  <c r="D422" i="11"/>
  <c r="C422" i="11"/>
  <c r="B422" i="11"/>
  <c r="A422" i="11"/>
  <c r="AL421" i="11"/>
  <c r="AF421" i="11"/>
  <c r="AC421" i="11"/>
  <c r="AA421" i="11"/>
  <c r="W421" i="11"/>
  <c r="V421" i="11"/>
  <c r="U421" i="11"/>
  <c r="T421" i="11"/>
  <c r="S421" i="11"/>
  <c r="R421" i="11"/>
  <c r="Q421" i="11"/>
  <c r="P421" i="11"/>
  <c r="O421" i="11"/>
  <c r="N421" i="11"/>
  <c r="M421" i="11"/>
  <c r="L421" i="11"/>
  <c r="K421" i="11"/>
  <c r="J421" i="11"/>
  <c r="I421" i="11"/>
  <c r="H421" i="11"/>
  <c r="G421" i="11"/>
  <c r="F421" i="11"/>
  <c r="E421" i="11"/>
  <c r="D421" i="11"/>
  <c r="C421" i="11"/>
  <c r="B421" i="11"/>
  <c r="A421" i="11"/>
  <c r="AL420" i="11"/>
  <c r="AF420" i="11"/>
  <c r="AC420" i="11"/>
  <c r="AA420" i="11"/>
  <c r="W420" i="11"/>
  <c r="V420" i="11"/>
  <c r="U420" i="11"/>
  <c r="T420" i="11"/>
  <c r="S420" i="11"/>
  <c r="R420" i="11"/>
  <c r="Q420" i="11"/>
  <c r="P420" i="11"/>
  <c r="O420" i="11"/>
  <c r="N420" i="11"/>
  <c r="M420" i="11"/>
  <c r="L420" i="11"/>
  <c r="K420" i="11"/>
  <c r="J420" i="11"/>
  <c r="I420" i="11"/>
  <c r="H420" i="11"/>
  <c r="G420" i="11"/>
  <c r="F420" i="11"/>
  <c r="E420" i="11"/>
  <c r="D420" i="11"/>
  <c r="C420" i="11"/>
  <c r="B420" i="11"/>
  <c r="A420" i="11"/>
  <c r="AC419" i="11"/>
  <c r="W419" i="11"/>
  <c r="V419" i="11"/>
  <c r="U419" i="11"/>
  <c r="T419" i="11"/>
  <c r="S419" i="11"/>
  <c r="R419" i="11"/>
  <c r="Q419" i="11"/>
  <c r="P419" i="11"/>
  <c r="O419" i="11"/>
  <c r="N419" i="11"/>
  <c r="M419" i="11"/>
  <c r="L419" i="11"/>
  <c r="K419" i="11"/>
  <c r="J419" i="11"/>
  <c r="I419" i="11"/>
  <c r="H419" i="11"/>
  <c r="G419" i="11"/>
  <c r="F419" i="11"/>
  <c r="E419" i="11"/>
  <c r="D419" i="11"/>
  <c r="C419" i="11"/>
  <c r="B419" i="11"/>
  <c r="A419" i="11"/>
  <c r="AL418" i="11"/>
  <c r="AK418" i="11"/>
  <c r="AJ418" i="11"/>
  <c r="AI418" i="11"/>
  <c r="AH418" i="11"/>
  <c r="AG418" i="11"/>
  <c r="AF418" i="11"/>
  <c r="AE418" i="11"/>
  <c r="AD418" i="11"/>
  <c r="AC418" i="11"/>
  <c r="AB418" i="11"/>
  <c r="AA418" i="11"/>
  <c r="Z418" i="11"/>
  <c r="Y418" i="11"/>
  <c r="X418" i="11"/>
  <c r="W418" i="11"/>
  <c r="V418" i="11"/>
  <c r="U418" i="11"/>
  <c r="T418" i="11"/>
  <c r="S418" i="11"/>
  <c r="R418" i="11"/>
  <c r="Q418" i="11"/>
  <c r="P418" i="11"/>
  <c r="O418" i="11"/>
  <c r="N418" i="11"/>
  <c r="M418" i="11"/>
  <c r="L418" i="11"/>
  <c r="K418" i="11"/>
  <c r="J418" i="11"/>
  <c r="I418" i="11"/>
  <c r="H418" i="11"/>
  <c r="G418" i="11"/>
  <c r="F418" i="11"/>
  <c r="E418" i="11"/>
  <c r="D418" i="11"/>
  <c r="C418" i="11"/>
  <c r="B418" i="11"/>
  <c r="A418" i="11"/>
  <c r="AL417" i="11"/>
  <c r="AK417" i="11"/>
  <c r="AJ417" i="11"/>
  <c r="AI417" i="11"/>
  <c r="AH417" i="11"/>
  <c r="AG417" i="11"/>
  <c r="AF417" i="11"/>
  <c r="AE417" i="11"/>
  <c r="AD417" i="11"/>
  <c r="AC417" i="11"/>
  <c r="AB417" i="11"/>
  <c r="AA417" i="11"/>
  <c r="Z417" i="11"/>
  <c r="Y417" i="11"/>
  <c r="X417" i="11"/>
  <c r="W417" i="11"/>
  <c r="V417" i="11"/>
  <c r="U417" i="11"/>
  <c r="T417" i="11"/>
  <c r="S417" i="11"/>
  <c r="R417" i="11"/>
  <c r="Q417" i="11"/>
  <c r="P417" i="11"/>
  <c r="O417" i="11"/>
  <c r="N417" i="11"/>
  <c r="M417" i="11"/>
  <c r="L417" i="11"/>
  <c r="K417" i="11"/>
  <c r="J417" i="11"/>
  <c r="I417" i="11"/>
  <c r="H417" i="11"/>
  <c r="G417" i="11"/>
  <c r="F417" i="11"/>
  <c r="E417" i="11"/>
  <c r="D417" i="11"/>
  <c r="C417" i="11"/>
  <c r="B417" i="11"/>
  <c r="A417" i="11"/>
  <c r="AL416" i="11"/>
  <c r="AF416" i="11"/>
  <c r="AC416" i="11"/>
  <c r="AA416" i="11"/>
  <c r="W416" i="11"/>
  <c r="V416" i="11"/>
  <c r="U416" i="11"/>
  <c r="T416" i="11"/>
  <c r="S416" i="11"/>
  <c r="R416" i="11"/>
  <c r="Q416" i="11"/>
  <c r="P416" i="11"/>
  <c r="O416" i="11"/>
  <c r="N416" i="11"/>
  <c r="M416" i="11"/>
  <c r="L416" i="11"/>
  <c r="K416" i="11"/>
  <c r="J416" i="11"/>
  <c r="I416" i="11"/>
  <c r="H416" i="11"/>
  <c r="G416" i="11"/>
  <c r="F416" i="11"/>
  <c r="E416" i="11"/>
  <c r="D416" i="11"/>
  <c r="C416" i="11"/>
  <c r="B416" i="11"/>
  <c r="A416" i="11"/>
  <c r="AC415" i="11"/>
  <c r="W415" i="11"/>
  <c r="V415" i="11"/>
  <c r="U415" i="11"/>
  <c r="T415" i="11"/>
  <c r="S415" i="11"/>
  <c r="R415" i="11"/>
  <c r="Q415" i="11"/>
  <c r="P415" i="11"/>
  <c r="O415" i="11"/>
  <c r="N415" i="11"/>
  <c r="M415" i="11"/>
  <c r="L415" i="11"/>
  <c r="K415" i="11"/>
  <c r="J415" i="11"/>
  <c r="I415" i="11"/>
  <c r="H415" i="11"/>
  <c r="G415" i="11"/>
  <c r="F415" i="11"/>
  <c r="E415" i="11"/>
  <c r="D415" i="11"/>
  <c r="C415" i="11"/>
  <c r="B415" i="11"/>
  <c r="A415" i="11"/>
  <c r="AL414" i="11"/>
  <c r="AK414" i="11"/>
  <c r="AJ414" i="11"/>
  <c r="AI414" i="11"/>
  <c r="AH414" i="11"/>
  <c r="AG414" i="11"/>
  <c r="AF414" i="11"/>
  <c r="AE414" i="11"/>
  <c r="AD414" i="11"/>
  <c r="AC414" i="11"/>
  <c r="AB414" i="11"/>
  <c r="AA414" i="11"/>
  <c r="Z414" i="11"/>
  <c r="Y414" i="11"/>
  <c r="X414" i="11"/>
  <c r="W414" i="11"/>
  <c r="V414" i="11"/>
  <c r="U414" i="11"/>
  <c r="T414" i="11"/>
  <c r="S414" i="11"/>
  <c r="R414" i="11"/>
  <c r="Q414" i="11"/>
  <c r="P414" i="11"/>
  <c r="O414" i="11"/>
  <c r="N414" i="11"/>
  <c r="M414" i="11"/>
  <c r="L414" i="11"/>
  <c r="K414" i="11"/>
  <c r="J414" i="11"/>
  <c r="I414" i="11"/>
  <c r="H414" i="11"/>
  <c r="G414" i="11"/>
  <c r="F414" i="11"/>
  <c r="E414" i="11"/>
  <c r="D414" i="11"/>
  <c r="C414" i="11"/>
  <c r="B414" i="11"/>
  <c r="A414" i="11"/>
  <c r="AL413" i="11"/>
  <c r="AK413" i="11"/>
  <c r="AJ413" i="11"/>
  <c r="AI413" i="11"/>
  <c r="AH413" i="11"/>
  <c r="AG413" i="11"/>
  <c r="AF413" i="11"/>
  <c r="AE413" i="11"/>
  <c r="AD413" i="11"/>
  <c r="AC413" i="11"/>
  <c r="AB413" i="11"/>
  <c r="AA413" i="11"/>
  <c r="Z413" i="11"/>
  <c r="Y413" i="11"/>
  <c r="X413" i="11"/>
  <c r="W413" i="11"/>
  <c r="V413" i="11"/>
  <c r="U413" i="11"/>
  <c r="T413" i="11"/>
  <c r="S413" i="11"/>
  <c r="R413" i="11"/>
  <c r="Q413" i="11"/>
  <c r="P413" i="11"/>
  <c r="O413" i="11"/>
  <c r="N413" i="11"/>
  <c r="M413" i="11"/>
  <c r="L413" i="11"/>
  <c r="K413" i="11"/>
  <c r="J413" i="11"/>
  <c r="I413" i="11"/>
  <c r="H413" i="11"/>
  <c r="G413" i="11"/>
  <c r="F413" i="11"/>
  <c r="E413" i="11"/>
  <c r="D413" i="11"/>
  <c r="C413" i="11"/>
  <c r="B413" i="11"/>
  <c r="A413" i="11"/>
  <c r="AL412" i="11"/>
  <c r="AF412" i="11"/>
  <c r="AC412" i="11"/>
  <c r="AA412" i="11"/>
  <c r="W412" i="11"/>
  <c r="V412" i="11"/>
  <c r="U412" i="11"/>
  <c r="T412" i="11"/>
  <c r="S412" i="11"/>
  <c r="R412" i="11"/>
  <c r="Q412" i="11"/>
  <c r="P412" i="11"/>
  <c r="O412" i="11"/>
  <c r="N412" i="11"/>
  <c r="M412" i="11"/>
  <c r="L412" i="11"/>
  <c r="K412" i="11"/>
  <c r="J412" i="11"/>
  <c r="I412" i="11"/>
  <c r="H412" i="11"/>
  <c r="G412" i="11"/>
  <c r="F412" i="11"/>
  <c r="E412" i="11"/>
  <c r="D412" i="11"/>
  <c r="C412" i="11"/>
  <c r="B412" i="11"/>
  <c r="A412" i="11"/>
  <c r="AC411" i="11"/>
  <c r="W411" i="11"/>
  <c r="V411" i="11"/>
  <c r="U411" i="11"/>
  <c r="T411" i="11"/>
  <c r="S411" i="11"/>
  <c r="R411" i="11"/>
  <c r="Q411" i="11"/>
  <c r="P411" i="11"/>
  <c r="O411" i="11"/>
  <c r="N411" i="11"/>
  <c r="M411" i="11"/>
  <c r="L411" i="11"/>
  <c r="K411" i="11"/>
  <c r="J411" i="11"/>
  <c r="I411" i="11"/>
  <c r="H411" i="11"/>
  <c r="G411" i="11"/>
  <c r="F411" i="11"/>
  <c r="E411" i="11"/>
  <c r="D411" i="11"/>
  <c r="C411" i="11"/>
  <c r="B411" i="11"/>
  <c r="A411" i="11"/>
  <c r="AL410" i="11"/>
  <c r="AK410" i="11"/>
  <c r="AJ410" i="11"/>
  <c r="AI410" i="11"/>
  <c r="AH410" i="11"/>
  <c r="AG410" i="11"/>
  <c r="AF410" i="11"/>
  <c r="AE410" i="11"/>
  <c r="AD410" i="11"/>
  <c r="AC410" i="11"/>
  <c r="AB410" i="11"/>
  <c r="AA410" i="11"/>
  <c r="Z410" i="11"/>
  <c r="Y410" i="11"/>
  <c r="X410" i="11"/>
  <c r="W410" i="11"/>
  <c r="V410" i="11"/>
  <c r="U410" i="11"/>
  <c r="T410" i="11"/>
  <c r="S410" i="11"/>
  <c r="R410" i="11"/>
  <c r="Q410" i="11"/>
  <c r="P410" i="11"/>
  <c r="O410" i="11"/>
  <c r="N410" i="11"/>
  <c r="M410" i="11"/>
  <c r="L410" i="11"/>
  <c r="K410" i="11"/>
  <c r="J410" i="11"/>
  <c r="I410" i="11"/>
  <c r="H410" i="11"/>
  <c r="G410" i="11"/>
  <c r="F410" i="11"/>
  <c r="E410" i="11"/>
  <c r="D410" i="11"/>
  <c r="C410" i="11"/>
  <c r="B410" i="11"/>
  <c r="A410" i="11"/>
  <c r="AL409" i="11"/>
  <c r="AF409" i="11"/>
  <c r="AC409" i="11"/>
  <c r="AA409" i="11"/>
  <c r="W409" i="11"/>
  <c r="V409" i="11"/>
  <c r="U409" i="11"/>
  <c r="T409" i="11"/>
  <c r="S409" i="11"/>
  <c r="R409" i="11"/>
  <c r="Q409" i="11"/>
  <c r="P409" i="11"/>
  <c r="O409" i="11"/>
  <c r="N409" i="11"/>
  <c r="M409" i="11"/>
  <c r="L409" i="11"/>
  <c r="K409" i="11"/>
  <c r="J409" i="11"/>
  <c r="I409" i="11"/>
  <c r="H409" i="11"/>
  <c r="G409" i="11"/>
  <c r="F409" i="11"/>
  <c r="E409" i="11"/>
  <c r="D409" i="11"/>
  <c r="C409" i="11"/>
  <c r="B409" i="11"/>
  <c r="A409" i="11"/>
  <c r="AC408" i="11"/>
  <c r="W408" i="11"/>
  <c r="V408" i="11"/>
  <c r="U408" i="11"/>
  <c r="T408" i="11"/>
  <c r="S408" i="11"/>
  <c r="R408" i="11"/>
  <c r="Q408" i="11"/>
  <c r="P408" i="11"/>
  <c r="O408" i="11"/>
  <c r="N408" i="11"/>
  <c r="M408" i="11"/>
  <c r="L408" i="11"/>
  <c r="K408" i="11"/>
  <c r="J408" i="11"/>
  <c r="I408" i="11"/>
  <c r="H408" i="11"/>
  <c r="G408" i="11"/>
  <c r="F408" i="11"/>
  <c r="E408" i="11"/>
  <c r="D408" i="11"/>
  <c r="C408" i="11"/>
  <c r="B408" i="11"/>
  <c r="A408" i="11"/>
  <c r="AL407" i="11"/>
  <c r="AK407" i="11"/>
  <c r="AJ407" i="11"/>
  <c r="AI407" i="11"/>
  <c r="AH407" i="11"/>
  <c r="AG407" i="11"/>
  <c r="AF407" i="11"/>
  <c r="AE407" i="11"/>
  <c r="AD407" i="11"/>
  <c r="AC407" i="11"/>
  <c r="AB407" i="11"/>
  <c r="AA407" i="11"/>
  <c r="Z407" i="11"/>
  <c r="Y407" i="11"/>
  <c r="X407" i="11"/>
  <c r="W407" i="11"/>
  <c r="V407" i="11"/>
  <c r="U407" i="11"/>
  <c r="T407" i="11"/>
  <c r="S407" i="11"/>
  <c r="R407" i="11"/>
  <c r="Q407" i="11"/>
  <c r="P407" i="11"/>
  <c r="O407" i="11"/>
  <c r="N407" i="11"/>
  <c r="M407" i="11"/>
  <c r="L407" i="11"/>
  <c r="K407" i="11"/>
  <c r="J407" i="11"/>
  <c r="I407" i="11"/>
  <c r="H407" i="11"/>
  <c r="G407" i="11"/>
  <c r="F407" i="11"/>
  <c r="E407" i="11"/>
  <c r="D407" i="11"/>
  <c r="C407" i="11"/>
  <c r="B407" i="11"/>
  <c r="A407" i="11"/>
  <c r="AC406" i="11"/>
  <c r="W406" i="11"/>
  <c r="V406" i="11"/>
  <c r="U406" i="11"/>
  <c r="T406" i="11"/>
  <c r="S406" i="11"/>
  <c r="R406" i="11"/>
  <c r="Q406" i="11"/>
  <c r="P406" i="11"/>
  <c r="O406" i="11"/>
  <c r="N406" i="11"/>
  <c r="M406" i="11"/>
  <c r="L406" i="11"/>
  <c r="K406" i="11"/>
  <c r="J406" i="11"/>
  <c r="I406" i="11"/>
  <c r="H406" i="11"/>
  <c r="G406" i="11"/>
  <c r="F406" i="11"/>
  <c r="E406" i="11"/>
  <c r="D406" i="11"/>
  <c r="C406" i="11"/>
  <c r="B406" i="11"/>
  <c r="A406" i="11"/>
  <c r="AH405" i="11"/>
  <c r="AF405" i="11"/>
  <c r="AC405" i="11"/>
  <c r="W405" i="11"/>
  <c r="V405" i="11"/>
  <c r="U405" i="11"/>
  <c r="T405" i="11"/>
  <c r="S405" i="11"/>
  <c r="R405" i="11"/>
  <c r="Q405" i="11"/>
  <c r="P405" i="11"/>
  <c r="O405" i="11"/>
  <c r="N405" i="11"/>
  <c r="M405" i="11"/>
  <c r="L405" i="11"/>
  <c r="K405" i="11"/>
  <c r="J405" i="11"/>
  <c r="I405" i="11"/>
  <c r="H405" i="11"/>
  <c r="G405" i="11"/>
  <c r="F405" i="11"/>
  <c r="E405" i="11"/>
  <c r="D405" i="11"/>
  <c r="C405" i="11"/>
  <c r="B405" i="11"/>
  <c r="A405" i="11"/>
  <c r="AH404" i="11"/>
  <c r="AF404" i="11"/>
  <c r="AC404" i="11"/>
  <c r="AB404" i="11"/>
  <c r="Y404" i="11"/>
  <c r="X404" i="11"/>
  <c r="W404" i="11"/>
  <c r="V404" i="11"/>
  <c r="U404" i="11"/>
  <c r="T404" i="11"/>
  <c r="S404" i="11"/>
  <c r="R404" i="11"/>
  <c r="Q404" i="11"/>
  <c r="P404" i="11"/>
  <c r="O404" i="11"/>
  <c r="N404" i="11"/>
  <c r="M404" i="11"/>
  <c r="L404" i="11"/>
  <c r="K404" i="11"/>
  <c r="J404" i="11"/>
  <c r="I404" i="11"/>
  <c r="H404" i="11"/>
  <c r="G404" i="11"/>
  <c r="F404" i="11"/>
  <c r="E404" i="11"/>
  <c r="D404" i="11"/>
  <c r="C404" i="11"/>
  <c r="B404" i="11"/>
  <c r="A404" i="11"/>
  <c r="AH403" i="11"/>
  <c r="AF403" i="11"/>
  <c r="AC403" i="11"/>
  <c r="W403" i="11"/>
  <c r="V403" i="11"/>
  <c r="U403" i="11"/>
  <c r="T403" i="11"/>
  <c r="S403" i="11"/>
  <c r="R403" i="11"/>
  <c r="Q403" i="11"/>
  <c r="P403" i="11"/>
  <c r="O403" i="11"/>
  <c r="N403" i="11"/>
  <c r="M403" i="11"/>
  <c r="L403" i="11"/>
  <c r="K403" i="11"/>
  <c r="J403" i="11"/>
  <c r="I403" i="11"/>
  <c r="H403" i="11"/>
  <c r="G403" i="11"/>
  <c r="F403" i="11"/>
  <c r="E403" i="11"/>
  <c r="D403" i="11"/>
  <c r="C403" i="11"/>
  <c r="B403" i="11"/>
  <c r="A403" i="11"/>
  <c r="AL402" i="11"/>
  <c r="AK402" i="11"/>
  <c r="AJ402" i="11"/>
  <c r="AI402" i="11"/>
  <c r="AH402" i="11"/>
  <c r="AG402" i="11"/>
  <c r="AF402" i="11"/>
  <c r="AE402" i="11"/>
  <c r="AD402" i="11"/>
  <c r="AC402" i="11"/>
  <c r="AB402" i="11"/>
  <c r="AA402" i="11"/>
  <c r="Z402" i="11"/>
  <c r="Y402" i="11"/>
  <c r="X402" i="11"/>
  <c r="W402" i="11"/>
  <c r="V402" i="11"/>
  <c r="U402" i="11"/>
  <c r="T402" i="11"/>
  <c r="S402" i="11"/>
  <c r="R402" i="11"/>
  <c r="Q402" i="11"/>
  <c r="P402" i="11"/>
  <c r="O402" i="11"/>
  <c r="N402" i="11"/>
  <c r="M402" i="11"/>
  <c r="L402" i="11"/>
  <c r="K402" i="11"/>
  <c r="J402" i="11"/>
  <c r="I402" i="11"/>
  <c r="H402" i="11"/>
  <c r="G402" i="11"/>
  <c r="F402" i="11"/>
  <c r="E402" i="11"/>
  <c r="D402" i="11"/>
  <c r="C402" i="11"/>
  <c r="B402" i="11"/>
  <c r="A402" i="11"/>
  <c r="AC401" i="11"/>
  <c r="W401" i="11"/>
  <c r="V401" i="11"/>
  <c r="U401" i="11"/>
  <c r="T401" i="11"/>
  <c r="S401" i="11"/>
  <c r="R401" i="11"/>
  <c r="Q401" i="11"/>
  <c r="P401" i="11"/>
  <c r="O401" i="11"/>
  <c r="N401" i="11"/>
  <c r="M401" i="11"/>
  <c r="L401" i="11"/>
  <c r="K401" i="11"/>
  <c r="J401" i="11"/>
  <c r="I401" i="11"/>
  <c r="H401" i="11"/>
  <c r="G401" i="11"/>
  <c r="F401" i="11"/>
  <c r="E401" i="11"/>
  <c r="C401" i="11"/>
  <c r="B401" i="11"/>
  <c r="A401" i="11"/>
  <c r="AL400" i="11"/>
  <c r="AK400" i="11"/>
  <c r="AJ400" i="11"/>
  <c r="AI400" i="11"/>
  <c r="AH400" i="11"/>
  <c r="AG400" i="11"/>
  <c r="AF400" i="11"/>
  <c r="AE400" i="11"/>
  <c r="AD400" i="11"/>
  <c r="AC400" i="11"/>
  <c r="AB400" i="11"/>
  <c r="AA400" i="11"/>
  <c r="Z400" i="11"/>
  <c r="Y400" i="11"/>
  <c r="X400" i="11"/>
  <c r="W400" i="11"/>
  <c r="V400" i="11"/>
  <c r="U400" i="11"/>
  <c r="T400" i="11"/>
  <c r="S400" i="11"/>
  <c r="R400" i="11"/>
  <c r="Q400" i="11"/>
  <c r="P400" i="11"/>
  <c r="O400" i="11"/>
  <c r="N400" i="11"/>
  <c r="M400" i="11"/>
  <c r="L400" i="11"/>
  <c r="K400" i="11"/>
  <c r="J400" i="11"/>
  <c r="I400" i="11"/>
  <c r="H400" i="11"/>
  <c r="G400" i="11"/>
  <c r="F400" i="11"/>
  <c r="E400" i="11"/>
  <c r="D400" i="11"/>
  <c r="C400" i="11"/>
  <c r="B400" i="11"/>
  <c r="A400" i="11"/>
  <c r="AL399" i="11"/>
  <c r="AK399" i="11"/>
  <c r="AJ399" i="11"/>
  <c r="AI399" i="11"/>
  <c r="AH399" i="11"/>
  <c r="AG399" i="11"/>
  <c r="AF399" i="11"/>
  <c r="AE399" i="11"/>
  <c r="AD399" i="11"/>
  <c r="AC399" i="11"/>
  <c r="AB399" i="11"/>
  <c r="AA399" i="11"/>
  <c r="Z399" i="11"/>
  <c r="Y399" i="11"/>
  <c r="X399" i="11"/>
  <c r="W399" i="11"/>
  <c r="V399" i="11"/>
  <c r="U399" i="11"/>
  <c r="T399" i="11"/>
  <c r="S399" i="11"/>
  <c r="R399" i="11"/>
  <c r="Q399" i="11"/>
  <c r="P399" i="11"/>
  <c r="O399" i="11"/>
  <c r="N399" i="11"/>
  <c r="M399" i="11"/>
  <c r="L399" i="11"/>
  <c r="K399" i="11"/>
  <c r="J399" i="11"/>
  <c r="I399" i="11"/>
  <c r="H399" i="11"/>
  <c r="G399" i="11"/>
  <c r="F399" i="11"/>
  <c r="E399" i="11"/>
  <c r="D399" i="11"/>
  <c r="C399" i="11"/>
  <c r="B399" i="11"/>
  <c r="A399" i="11"/>
  <c r="AL398" i="11"/>
  <c r="AK398" i="11"/>
  <c r="AJ398" i="11"/>
  <c r="AI398" i="11"/>
  <c r="AH398" i="11"/>
  <c r="AG398" i="11"/>
  <c r="AF398" i="11"/>
  <c r="AE398" i="11"/>
  <c r="AD398" i="11"/>
  <c r="AC398" i="11"/>
  <c r="AB398" i="11"/>
  <c r="AA398" i="11"/>
  <c r="Z398" i="11"/>
  <c r="Y398" i="11"/>
  <c r="X398" i="11"/>
  <c r="W398" i="11"/>
  <c r="V398" i="11"/>
  <c r="U398" i="11"/>
  <c r="T398" i="11"/>
  <c r="S398" i="11"/>
  <c r="R398" i="11"/>
  <c r="Q398" i="11"/>
  <c r="P398" i="11"/>
  <c r="O398" i="11"/>
  <c r="N398" i="11"/>
  <c r="M398" i="11"/>
  <c r="L398" i="11"/>
  <c r="K398" i="11"/>
  <c r="J398" i="11"/>
  <c r="I398" i="11"/>
  <c r="H398" i="11"/>
  <c r="G398" i="11"/>
  <c r="F398" i="11"/>
  <c r="E398" i="11"/>
  <c r="D398" i="11"/>
  <c r="C398" i="11"/>
  <c r="B398" i="11"/>
  <c r="A398" i="11"/>
  <c r="AC397" i="11"/>
  <c r="W397" i="11"/>
  <c r="V397" i="11"/>
  <c r="U397" i="11"/>
  <c r="T397" i="11"/>
  <c r="S397" i="11"/>
  <c r="R397" i="11"/>
  <c r="Q397" i="11"/>
  <c r="P397" i="11"/>
  <c r="O397" i="11"/>
  <c r="N397" i="11"/>
  <c r="M397" i="11"/>
  <c r="L397" i="11"/>
  <c r="K397" i="11"/>
  <c r="J397" i="11"/>
  <c r="I397" i="11"/>
  <c r="H397" i="11"/>
  <c r="G397" i="11"/>
  <c r="F397" i="11"/>
  <c r="E397" i="11"/>
  <c r="D397" i="11"/>
  <c r="C397" i="11"/>
  <c r="B397" i="11"/>
  <c r="A397" i="11"/>
  <c r="AL396" i="11"/>
  <c r="AK396" i="11"/>
  <c r="AJ396" i="11"/>
  <c r="AI396" i="11"/>
  <c r="AH396" i="11"/>
  <c r="AG396" i="11"/>
  <c r="AF396" i="11"/>
  <c r="AE396" i="11"/>
  <c r="AD396" i="11"/>
  <c r="AC396" i="11"/>
  <c r="AB396" i="11"/>
  <c r="AA396" i="11"/>
  <c r="Z396" i="11"/>
  <c r="Y396" i="11"/>
  <c r="X396" i="11"/>
  <c r="W396" i="11"/>
  <c r="V396" i="11"/>
  <c r="U396" i="11"/>
  <c r="T396" i="11"/>
  <c r="S396" i="11"/>
  <c r="R396" i="11"/>
  <c r="Q396" i="11"/>
  <c r="P396" i="11"/>
  <c r="O396" i="11"/>
  <c r="N396" i="11"/>
  <c r="M396" i="11"/>
  <c r="L396" i="11"/>
  <c r="K396" i="11"/>
  <c r="J396" i="11"/>
  <c r="I396" i="11"/>
  <c r="H396" i="11"/>
  <c r="G396" i="11"/>
  <c r="F396" i="11"/>
  <c r="E396" i="11"/>
  <c r="D396" i="11"/>
  <c r="C396" i="11"/>
  <c r="B396" i="11"/>
  <c r="A396" i="11"/>
  <c r="AC395" i="11"/>
  <c r="W395" i="11"/>
  <c r="V395" i="11"/>
  <c r="U395" i="11"/>
  <c r="T395" i="11"/>
  <c r="S395" i="11"/>
  <c r="R395" i="11"/>
  <c r="Q395" i="11"/>
  <c r="P395" i="11"/>
  <c r="O395" i="11"/>
  <c r="N395" i="11"/>
  <c r="M395" i="11"/>
  <c r="L395" i="11"/>
  <c r="K395" i="11"/>
  <c r="J395" i="11"/>
  <c r="I395" i="11"/>
  <c r="H395" i="11"/>
  <c r="G395" i="11"/>
  <c r="F395" i="11"/>
  <c r="E395" i="11"/>
  <c r="D395" i="11"/>
  <c r="C395" i="11"/>
  <c r="B395" i="11"/>
  <c r="A395" i="11"/>
  <c r="AL394" i="11"/>
  <c r="AH394" i="11"/>
  <c r="AF394" i="11"/>
  <c r="AC394" i="11"/>
  <c r="AA394" i="11"/>
  <c r="W394" i="11"/>
  <c r="V394" i="11"/>
  <c r="U394" i="11"/>
  <c r="T394" i="11"/>
  <c r="S394" i="11"/>
  <c r="R394" i="11"/>
  <c r="Q394" i="11"/>
  <c r="P394" i="11"/>
  <c r="O394" i="11"/>
  <c r="N394" i="11"/>
  <c r="M394" i="11"/>
  <c r="L394" i="11"/>
  <c r="K394" i="11"/>
  <c r="J394" i="11"/>
  <c r="I394" i="11"/>
  <c r="H394" i="11"/>
  <c r="G394" i="11"/>
  <c r="F394" i="11"/>
  <c r="E394" i="11"/>
  <c r="D394" i="11"/>
  <c r="C394" i="11"/>
  <c r="B394" i="11"/>
  <c r="A394" i="11"/>
  <c r="AL393" i="11"/>
  <c r="AH393" i="11"/>
  <c r="AF393" i="11"/>
  <c r="AC393" i="11"/>
  <c r="AA393" i="11"/>
  <c r="W393" i="11"/>
  <c r="V393" i="11"/>
  <c r="U393" i="11"/>
  <c r="T393" i="11"/>
  <c r="S393" i="11"/>
  <c r="R393" i="11"/>
  <c r="Q393" i="11"/>
  <c r="P393" i="11"/>
  <c r="O393" i="11"/>
  <c r="N393" i="11"/>
  <c r="M393" i="11"/>
  <c r="L393" i="11"/>
  <c r="K393" i="11"/>
  <c r="J393" i="11"/>
  <c r="I393" i="11"/>
  <c r="H393" i="11"/>
  <c r="G393" i="11"/>
  <c r="F393" i="11"/>
  <c r="E393" i="11"/>
  <c r="D393" i="11"/>
  <c r="C393" i="11"/>
  <c r="B393" i="11"/>
  <c r="A393" i="11"/>
  <c r="AL392" i="11"/>
  <c r="AK392" i="11"/>
  <c r="AJ392" i="11"/>
  <c r="AI392" i="11"/>
  <c r="AH392" i="11"/>
  <c r="AG392" i="11"/>
  <c r="AF392" i="11"/>
  <c r="AE392" i="11"/>
  <c r="AD392" i="11"/>
  <c r="AC392" i="11"/>
  <c r="AB392" i="11"/>
  <c r="AA392" i="11"/>
  <c r="Z392" i="11"/>
  <c r="Y392" i="11"/>
  <c r="X392" i="11"/>
  <c r="W392" i="11"/>
  <c r="V392" i="11"/>
  <c r="U392" i="11"/>
  <c r="T392" i="11"/>
  <c r="S392" i="11"/>
  <c r="R392" i="11"/>
  <c r="Q392" i="11"/>
  <c r="P392" i="11"/>
  <c r="O392" i="11"/>
  <c r="N392" i="11"/>
  <c r="M392" i="11"/>
  <c r="L392" i="11"/>
  <c r="K392" i="11"/>
  <c r="J392" i="11"/>
  <c r="I392" i="11"/>
  <c r="H392" i="11"/>
  <c r="G392" i="11"/>
  <c r="F392" i="11"/>
  <c r="E392" i="11"/>
  <c r="D392" i="11"/>
  <c r="C392" i="11"/>
  <c r="B392" i="11"/>
  <c r="A392" i="11"/>
  <c r="AL391" i="11"/>
  <c r="AK391" i="11"/>
  <c r="AJ391" i="11"/>
  <c r="AI391" i="11"/>
  <c r="AH391" i="11"/>
  <c r="AG391" i="11"/>
  <c r="AF391" i="11"/>
  <c r="AE391" i="11"/>
  <c r="AD391" i="11"/>
  <c r="AC391" i="11"/>
  <c r="AB391" i="11"/>
  <c r="AA391" i="11"/>
  <c r="Z391" i="11"/>
  <c r="Y391" i="11"/>
  <c r="X391" i="11"/>
  <c r="W391" i="11"/>
  <c r="V391" i="11"/>
  <c r="U391" i="11"/>
  <c r="T391" i="11"/>
  <c r="S391" i="11"/>
  <c r="R391" i="11"/>
  <c r="Q391" i="11"/>
  <c r="P391" i="11"/>
  <c r="O391" i="11"/>
  <c r="N391" i="11"/>
  <c r="M391" i="11"/>
  <c r="L391" i="11"/>
  <c r="K391" i="11"/>
  <c r="J391" i="11"/>
  <c r="I391" i="11"/>
  <c r="H391" i="11"/>
  <c r="G391" i="11"/>
  <c r="F391" i="11"/>
  <c r="E391" i="11"/>
  <c r="D391" i="11"/>
  <c r="C391" i="11"/>
  <c r="B391" i="11"/>
  <c r="A391" i="11"/>
  <c r="AC390" i="11"/>
  <c r="W390" i="11"/>
  <c r="V390" i="11"/>
  <c r="U390" i="11"/>
  <c r="T390" i="11"/>
  <c r="S390" i="11"/>
  <c r="R390" i="11"/>
  <c r="Q390" i="11"/>
  <c r="P390" i="11"/>
  <c r="O390" i="11"/>
  <c r="N390" i="11"/>
  <c r="M390" i="11"/>
  <c r="L390" i="11"/>
  <c r="K390" i="11"/>
  <c r="J390" i="11"/>
  <c r="I390" i="11"/>
  <c r="H390" i="11"/>
  <c r="G390" i="11"/>
  <c r="F390" i="11"/>
  <c r="E390" i="11"/>
  <c r="D390" i="11"/>
  <c r="C390" i="11"/>
  <c r="B390" i="11"/>
  <c r="A390" i="11"/>
  <c r="AL389" i="11"/>
  <c r="AK389" i="11"/>
  <c r="AJ389" i="11"/>
  <c r="AI389" i="11"/>
  <c r="AH389" i="11"/>
  <c r="AG389" i="11"/>
  <c r="AF389" i="11"/>
  <c r="AE389" i="11"/>
  <c r="AD389" i="11"/>
  <c r="AC389" i="11"/>
  <c r="AB389" i="11"/>
  <c r="AA389" i="11"/>
  <c r="Z389" i="11"/>
  <c r="Y389" i="11"/>
  <c r="X389" i="11"/>
  <c r="W389" i="11"/>
  <c r="V389" i="11"/>
  <c r="U389" i="11"/>
  <c r="T389" i="11"/>
  <c r="S389" i="11"/>
  <c r="R389" i="11"/>
  <c r="Q389" i="11"/>
  <c r="P389" i="11"/>
  <c r="O389" i="11"/>
  <c r="N389" i="11"/>
  <c r="M389" i="11"/>
  <c r="L389" i="11"/>
  <c r="K389" i="11"/>
  <c r="J389" i="11"/>
  <c r="I389" i="11"/>
  <c r="H389" i="11"/>
  <c r="G389" i="11"/>
  <c r="F389" i="11"/>
  <c r="E389" i="11"/>
  <c r="D389" i="11"/>
  <c r="C389" i="11"/>
  <c r="B389" i="11"/>
  <c r="A389" i="11"/>
  <c r="AL388" i="11"/>
  <c r="AF388" i="11"/>
  <c r="AC388" i="11"/>
  <c r="AA388" i="11"/>
  <c r="W388" i="11"/>
  <c r="V388" i="11"/>
  <c r="U388" i="11"/>
  <c r="T388" i="11"/>
  <c r="S388" i="11"/>
  <c r="R388" i="11"/>
  <c r="Q388" i="11"/>
  <c r="P388" i="11"/>
  <c r="O388" i="11"/>
  <c r="N388" i="11"/>
  <c r="M388" i="11"/>
  <c r="L388" i="11"/>
  <c r="K388" i="11"/>
  <c r="J388" i="11"/>
  <c r="I388" i="11"/>
  <c r="H388" i="11"/>
  <c r="G388" i="11"/>
  <c r="F388" i="11"/>
  <c r="E388" i="11"/>
  <c r="D388" i="11"/>
  <c r="C388" i="11"/>
  <c r="B388" i="11"/>
  <c r="A388" i="11"/>
  <c r="AH387" i="11"/>
  <c r="AF387" i="11"/>
  <c r="AC387" i="11"/>
  <c r="W387" i="11"/>
  <c r="V387" i="11"/>
  <c r="U387" i="11"/>
  <c r="T387" i="11"/>
  <c r="S387" i="11"/>
  <c r="R387" i="11"/>
  <c r="Q387" i="11"/>
  <c r="P387" i="11"/>
  <c r="O387" i="11"/>
  <c r="N387" i="11"/>
  <c r="M387" i="11"/>
  <c r="L387" i="11"/>
  <c r="K387" i="11"/>
  <c r="J387" i="11"/>
  <c r="I387" i="11"/>
  <c r="H387" i="11"/>
  <c r="G387" i="11"/>
  <c r="F387" i="11"/>
  <c r="E387" i="11"/>
  <c r="D387" i="11"/>
  <c r="C387" i="11"/>
  <c r="B387" i="11"/>
  <c r="A387" i="11"/>
  <c r="AC386" i="11"/>
  <c r="W386" i="11"/>
  <c r="V386" i="11"/>
  <c r="U386" i="11"/>
  <c r="T386" i="11"/>
  <c r="S386" i="11"/>
  <c r="R386" i="11"/>
  <c r="Q386" i="11"/>
  <c r="P386" i="11"/>
  <c r="O386" i="11"/>
  <c r="N386" i="11"/>
  <c r="M386" i="11"/>
  <c r="L386" i="11"/>
  <c r="K386" i="11"/>
  <c r="J386" i="11"/>
  <c r="I386" i="11"/>
  <c r="H386" i="11"/>
  <c r="G386" i="11"/>
  <c r="F386" i="11"/>
  <c r="E386" i="11"/>
  <c r="D386" i="11"/>
  <c r="C386" i="11"/>
  <c r="B386" i="11"/>
  <c r="A386" i="11"/>
  <c r="AL385" i="11"/>
  <c r="AK385" i="11"/>
  <c r="AJ385" i="11"/>
  <c r="AI385" i="11"/>
  <c r="AH385" i="11"/>
  <c r="AG385" i="11"/>
  <c r="AF385" i="11"/>
  <c r="AE385" i="11"/>
  <c r="AD385" i="11"/>
  <c r="AC385" i="11"/>
  <c r="AB385" i="11"/>
  <c r="AA385" i="11"/>
  <c r="Z385" i="11"/>
  <c r="Y385" i="11"/>
  <c r="X385" i="11"/>
  <c r="W385" i="11"/>
  <c r="V385" i="11"/>
  <c r="U385" i="11"/>
  <c r="T385" i="11"/>
  <c r="S385" i="11"/>
  <c r="R385" i="11"/>
  <c r="Q385" i="11"/>
  <c r="P385" i="11"/>
  <c r="O385" i="11"/>
  <c r="N385" i="11"/>
  <c r="M385" i="11"/>
  <c r="L385" i="11"/>
  <c r="K385" i="11"/>
  <c r="J385" i="11"/>
  <c r="I385" i="11"/>
  <c r="H385" i="11"/>
  <c r="G385" i="11"/>
  <c r="F385" i="11"/>
  <c r="E385" i="11"/>
  <c r="D385" i="11"/>
  <c r="C385" i="11"/>
  <c r="B385" i="11"/>
  <c r="A385" i="11"/>
  <c r="AC384" i="11"/>
  <c r="W384" i="11"/>
  <c r="V384" i="11"/>
  <c r="U384" i="11"/>
  <c r="T384" i="11"/>
  <c r="S384" i="11"/>
  <c r="R384" i="11"/>
  <c r="Q384" i="11"/>
  <c r="P384" i="11"/>
  <c r="O384" i="11"/>
  <c r="N384" i="11"/>
  <c r="M384" i="11"/>
  <c r="L384" i="11"/>
  <c r="K384" i="11"/>
  <c r="J384" i="11"/>
  <c r="I384" i="11"/>
  <c r="H384" i="11"/>
  <c r="G384" i="11"/>
  <c r="F384" i="11"/>
  <c r="E384" i="11"/>
  <c r="D384" i="11"/>
  <c r="C384" i="11"/>
  <c r="B384" i="11"/>
  <c r="A384" i="11"/>
  <c r="AC383" i="11"/>
  <c r="AA383" i="11"/>
  <c r="W383" i="11"/>
  <c r="V383" i="11"/>
  <c r="U383" i="11"/>
  <c r="T383" i="11"/>
  <c r="S383" i="11"/>
  <c r="R383" i="11"/>
  <c r="Q383" i="11"/>
  <c r="P383" i="11"/>
  <c r="O383" i="11"/>
  <c r="N383" i="11"/>
  <c r="M383" i="11"/>
  <c r="L383" i="11"/>
  <c r="K383" i="11"/>
  <c r="J383" i="11"/>
  <c r="I383" i="11"/>
  <c r="H383" i="11"/>
  <c r="G383" i="11"/>
  <c r="F383" i="11"/>
  <c r="E383" i="11"/>
  <c r="D383" i="11"/>
  <c r="C383" i="11"/>
  <c r="B383" i="11"/>
  <c r="A383" i="11"/>
  <c r="AC382" i="11"/>
  <c r="W382" i="11"/>
  <c r="V382" i="11"/>
  <c r="U382" i="11"/>
  <c r="T382" i="11"/>
  <c r="S382" i="11"/>
  <c r="R382" i="11"/>
  <c r="Q382" i="11"/>
  <c r="P382" i="11"/>
  <c r="O382" i="11"/>
  <c r="N382" i="11"/>
  <c r="M382" i="11"/>
  <c r="L382" i="11"/>
  <c r="K382" i="11"/>
  <c r="J382" i="11"/>
  <c r="I382" i="11"/>
  <c r="H382" i="11"/>
  <c r="G382" i="11"/>
  <c r="F382" i="11"/>
  <c r="E382" i="11"/>
  <c r="D382" i="11"/>
  <c r="C382" i="11"/>
  <c r="B382" i="11"/>
  <c r="A382" i="11"/>
  <c r="AH381" i="11"/>
  <c r="AF381" i="11"/>
  <c r="AC381" i="11"/>
  <c r="W381" i="11"/>
  <c r="V381" i="11"/>
  <c r="U381" i="11"/>
  <c r="T381" i="11"/>
  <c r="S381" i="11"/>
  <c r="R381" i="11"/>
  <c r="Q381" i="11"/>
  <c r="P381" i="11"/>
  <c r="O381" i="11"/>
  <c r="N381" i="11"/>
  <c r="M381" i="11"/>
  <c r="L381" i="11"/>
  <c r="K381" i="11"/>
  <c r="J381" i="11"/>
  <c r="I381" i="11"/>
  <c r="H381" i="11"/>
  <c r="G381" i="11"/>
  <c r="F381" i="11"/>
  <c r="E381" i="11"/>
  <c r="D381" i="11"/>
  <c r="C381" i="11"/>
  <c r="B381" i="11"/>
  <c r="A381" i="11"/>
  <c r="AL380" i="11"/>
  <c r="AK380" i="11"/>
  <c r="AJ380" i="11"/>
  <c r="AI380" i="11"/>
  <c r="AH380" i="11"/>
  <c r="AG380" i="11"/>
  <c r="AF380" i="11"/>
  <c r="AE380" i="11"/>
  <c r="AD380" i="11"/>
  <c r="AC380" i="11"/>
  <c r="AB380" i="11"/>
  <c r="AA380" i="11"/>
  <c r="Z380" i="11"/>
  <c r="Y380" i="11"/>
  <c r="X380" i="11"/>
  <c r="W380" i="11"/>
  <c r="V380" i="11"/>
  <c r="U380" i="11"/>
  <c r="T380" i="11"/>
  <c r="S380" i="11"/>
  <c r="R380" i="11"/>
  <c r="Q380" i="11"/>
  <c r="P380" i="11"/>
  <c r="O380" i="11"/>
  <c r="N380" i="11"/>
  <c r="M380" i="11"/>
  <c r="L380" i="11"/>
  <c r="K380" i="11"/>
  <c r="J380" i="11"/>
  <c r="I380" i="11"/>
  <c r="H380" i="11"/>
  <c r="G380" i="11"/>
  <c r="F380" i="11"/>
  <c r="E380" i="11"/>
  <c r="D380" i="11"/>
  <c r="C380" i="11"/>
  <c r="B380" i="11"/>
  <c r="A380" i="11"/>
  <c r="AC379" i="11"/>
  <c r="W379" i="11"/>
  <c r="V379" i="11"/>
  <c r="U379" i="11"/>
  <c r="T379" i="11"/>
  <c r="S379" i="11"/>
  <c r="R379" i="11"/>
  <c r="Q379" i="11"/>
  <c r="P379" i="11"/>
  <c r="O379" i="11"/>
  <c r="N379" i="11"/>
  <c r="M379" i="11"/>
  <c r="L379" i="11"/>
  <c r="K379" i="11"/>
  <c r="J379" i="11"/>
  <c r="I379" i="11"/>
  <c r="H379" i="11"/>
  <c r="G379" i="11"/>
  <c r="F379" i="11"/>
  <c r="E379" i="11"/>
  <c r="D379" i="11"/>
  <c r="C379" i="11"/>
  <c r="B379" i="11"/>
  <c r="A379" i="11"/>
  <c r="AC378" i="11"/>
  <c r="W378" i="11"/>
  <c r="V378" i="11"/>
  <c r="U378" i="11"/>
  <c r="T378" i="11"/>
  <c r="S378" i="11"/>
  <c r="R378" i="11"/>
  <c r="Q378" i="11"/>
  <c r="P378" i="11"/>
  <c r="O378" i="11"/>
  <c r="N378" i="11"/>
  <c r="M378" i="11"/>
  <c r="L378" i="11"/>
  <c r="K378" i="11"/>
  <c r="J378" i="11"/>
  <c r="I378" i="11"/>
  <c r="H378" i="11"/>
  <c r="G378" i="11"/>
  <c r="F378" i="11"/>
  <c r="E378" i="11"/>
  <c r="D378" i="11"/>
  <c r="C378" i="11"/>
  <c r="B378" i="11"/>
  <c r="A378" i="11"/>
  <c r="AC377" i="11"/>
  <c r="W377" i="11"/>
  <c r="V377" i="11"/>
  <c r="U377" i="11"/>
  <c r="T377" i="11"/>
  <c r="S377" i="11"/>
  <c r="R377" i="11"/>
  <c r="Q377" i="11"/>
  <c r="P377" i="11"/>
  <c r="O377" i="11"/>
  <c r="N377" i="11"/>
  <c r="M377" i="11"/>
  <c r="L377" i="11"/>
  <c r="K377" i="11"/>
  <c r="J377" i="11"/>
  <c r="I377" i="11"/>
  <c r="H377" i="11"/>
  <c r="G377" i="11"/>
  <c r="F377" i="11"/>
  <c r="E377" i="11"/>
  <c r="D377" i="11"/>
  <c r="C377" i="11"/>
  <c r="B377" i="11"/>
  <c r="A377" i="11"/>
  <c r="AH376" i="11"/>
  <c r="AF376" i="11"/>
  <c r="AC376" i="11"/>
  <c r="W376" i="11"/>
  <c r="V376" i="11"/>
  <c r="U376" i="11"/>
  <c r="T376" i="11"/>
  <c r="S376" i="11"/>
  <c r="R376" i="11"/>
  <c r="Q376" i="11"/>
  <c r="P376" i="11"/>
  <c r="O376" i="11"/>
  <c r="N376" i="11"/>
  <c r="M376" i="11"/>
  <c r="L376" i="11"/>
  <c r="K376" i="11"/>
  <c r="J376" i="11"/>
  <c r="I376" i="11"/>
  <c r="H376" i="11"/>
  <c r="G376" i="11"/>
  <c r="F376" i="11"/>
  <c r="E376" i="11"/>
  <c r="D376" i="11"/>
  <c r="C376" i="11"/>
  <c r="B376" i="11"/>
  <c r="A376" i="11"/>
  <c r="AC375" i="11"/>
  <c r="W375" i="11"/>
  <c r="V375" i="11"/>
  <c r="U375" i="11"/>
  <c r="T375" i="11"/>
  <c r="S375" i="11"/>
  <c r="R375" i="11"/>
  <c r="Q375" i="11"/>
  <c r="P375" i="11"/>
  <c r="O375" i="11"/>
  <c r="N375" i="11"/>
  <c r="M375" i="11"/>
  <c r="L375" i="11"/>
  <c r="K375" i="11"/>
  <c r="J375" i="11"/>
  <c r="I375" i="11"/>
  <c r="H375" i="11"/>
  <c r="G375" i="11"/>
  <c r="F375" i="11"/>
  <c r="E375" i="11"/>
  <c r="D375" i="11"/>
  <c r="C375" i="11"/>
  <c r="B375" i="11"/>
  <c r="A375" i="11"/>
  <c r="AC374" i="11"/>
  <c r="W374" i="11"/>
  <c r="V374" i="11"/>
  <c r="U374" i="11"/>
  <c r="T374" i="11"/>
  <c r="S374" i="11"/>
  <c r="R374" i="11"/>
  <c r="Q374" i="11"/>
  <c r="P374" i="11"/>
  <c r="O374" i="11"/>
  <c r="N374" i="11"/>
  <c r="M374" i="11"/>
  <c r="L374" i="11"/>
  <c r="K374" i="11"/>
  <c r="J374" i="11"/>
  <c r="I374" i="11"/>
  <c r="H374" i="11"/>
  <c r="G374" i="11"/>
  <c r="F374" i="11"/>
  <c r="E374" i="11"/>
  <c r="D374" i="11"/>
  <c r="C374" i="11"/>
  <c r="B374" i="11"/>
  <c r="A374" i="11"/>
  <c r="AL373" i="11"/>
  <c r="AK373" i="11"/>
  <c r="AJ373" i="11"/>
  <c r="AI373" i="11"/>
  <c r="AH373" i="11"/>
  <c r="AG373" i="11"/>
  <c r="AF373" i="11"/>
  <c r="AE373" i="11"/>
  <c r="AD373" i="11"/>
  <c r="AC373" i="11"/>
  <c r="AB373" i="11"/>
  <c r="AA373" i="11"/>
  <c r="Z373" i="11"/>
  <c r="Y373" i="11"/>
  <c r="X373" i="11"/>
  <c r="W373" i="11"/>
  <c r="V373" i="11"/>
  <c r="U373" i="11"/>
  <c r="T373" i="11"/>
  <c r="S373" i="11"/>
  <c r="R373" i="11"/>
  <c r="Q373" i="11"/>
  <c r="P373" i="11"/>
  <c r="O373" i="11"/>
  <c r="N373" i="11"/>
  <c r="M373" i="11"/>
  <c r="L373" i="11"/>
  <c r="K373" i="11"/>
  <c r="J373" i="11"/>
  <c r="I373" i="11"/>
  <c r="H373" i="11"/>
  <c r="G373" i="11"/>
  <c r="F373" i="11"/>
  <c r="E373" i="11"/>
  <c r="D373" i="11"/>
  <c r="C373" i="11"/>
  <c r="B373" i="11"/>
  <c r="A373" i="11"/>
  <c r="AL372" i="11"/>
  <c r="AK372" i="11"/>
  <c r="AJ372" i="11"/>
  <c r="AI372" i="11"/>
  <c r="AH372" i="11"/>
  <c r="AG372" i="11"/>
  <c r="AF372" i="11"/>
  <c r="AE372" i="11"/>
  <c r="AD372" i="11"/>
  <c r="AC372" i="11"/>
  <c r="AB372" i="11"/>
  <c r="AA372" i="11"/>
  <c r="Z372" i="11"/>
  <c r="Y372" i="11"/>
  <c r="X372" i="11"/>
  <c r="W372" i="11"/>
  <c r="V372" i="11"/>
  <c r="U372" i="11"/>
  <c r="T372" i="11"/>
  <c r="S372" i="11"/>
  <c r="R372" i="11"/>
  <c r="Q372" i="11"/>
  <c r="P372" i="11"/>
  <c r="O372" i="11"/>
  <c r="N372" i="11"/>
  <c r="M372" i="11"/>
  <c r="L372" i="11"/>
  <c r="K372" i="11"/>
  <c r="J372" i="11"/>
  <c r="I372" i="11"/>
  <c r="H372" i="11"/>
  <c r="G372" i="11"/>
  <c r="F372" i="11"/>
  <c r="E372" i="11"/>
  <c r="D372" i="11"/>
  <c r="C372" i="11"/>
  <c r="B372" i="11"/>
  <c r="A372" i="11"/>
  <c r="AC371" i="11"/>
  <c r="W371" i="11"/>
  <c r="V371" i="11"/>
  <c r="U371" i="11"/>
  <c r="T371" i="11"/>
  <c r="S371" i="11"/>
  <c r="R371" i="11"/>
  <c r="Q371" i="11"/>
  <c r="P371" i="11"/>
  <c r="O371" i="11"/>
  <c r="N371" i="11"/>
  <c r="M371" i="11"/>
  <c r="L371" i="11"/>
  <c r="K371" i="11"/>
  <c r="J371" i="11"/>
  <c r="I371" i="11"/>
  <c r="H371" i="11"/>
  <c r="G371" i="11"/>
  <c r="F371" i="11"/>
  <c r="E371" i="11"/>
  <c r="D371" i="11"/>
  <c r="C371" i="11"/>
  <c r="B371" i="11"/>
  <c r="A371" i="11"/>
  <c r="AH370" i="11"/>
  <c r="AF370" i="11"/>
  <c r="AC370" i="11"/>
  <c r="W370" i="11"/>
  <c r="V370" i="11"/>
  <c r="U370" i="11"/>
  <c r="T370" i="11"/>
  <c r="S370" i="11"/>
  <c r="R370" i="11"/>
  <c r="Q370" i="11"/>
  <c r="P370" i="11"/>
  <c r="O370" i="11"/>
  <c r="N370" i="11"/>
  <c r="M370" i="11"/>
  <c r="L370" i="11"/>
  <c r="K370" i="11"/>
  <c r="J370" i="11"/>
  <c r="I370" i="11"/>
  <c r="H370" i="11"/>
  <c r="G370" i="11"/>
  <c r="F370" i="11"/>
  <c r="E370" i="11"/>
  <c r="D370" i="11"/>
  <c r="C370" i="11"/>
  <c r="B370" i="11"/>
  <c r="A370" i="11"/>
  <c r="AL369" i="11"/>
  <c r="AK369" i="11"/>
  <c r="AJ369" i="11"/>
  <c r="AI369" i="11"/>
  <c r="AH369" i="11"/>
  <c r="AG369" i="11"/>
  <c r="AF369" i="11"/>
  <c r="AE369" i="11"/>
  <c r="AD369" i="11"/>
  <c r="AC369" i="11"/>
  <c r="AB369" i="11"/>
  <c r="AA369" i="11"/>
  <c r="Z369" i="11"/>
  <c r="Y369" i="11"/>
  <c r="X369" i="11"/>
  <c r="W369" i="11"/>
  <c r="V369" i="11"/>
  <c r="U369" i="11"/>
  <c r="T369" i="11"/>
  <c r="S369" i="11"/>
  <c r="R369" i="11"/>
  <c r="Q369" i="11"/>
  <c r="P369" i="11"/>
  <c r="O369" i="11"/>
  <c r="N369" i="11"/>
  <c r="M369" i="11"/>
  <c r="L369" i="11"/>
  <c r="K369" i="11"/>
  <c r="J369" i="11"/>
  <c r="I369" i="11"/>
  <c r="H369" i="11"/>
  <c r="G369" i="11"/>
  <c r="F369" i="11"/>
  <c r="E369" i="11"/>
  <c r="D369" i="11"/>
  <c r="C369" i="11"/>
  <c r="B369" i="11"/>
  <c r="A369" i="11"/>
  <c r="AC368" i="11"/>
  <c r="W368" i="11"/>
  <c r="V368" i="11"/>
  <c r="U368" i="11"/>
  <c r="T368" i="11"/>
  <c r="S368" i="11"/>
  <c r="R368" i="11"/>
  <c r="Q368" i="11"/>
  <c r="P368" i="11"/>
  <c r="O368" i="11"/>
  <c r="N368" i="11"/>
  <c r="M368" i="11"/>
  <c r="L368" i="11"/>
  <c r="K368" i="11"/>
  <c r="J368" i="11"/>
  <c r="I368" i="11"/>
  <c r="H368" i="11"/>
  <c r="G368" i="11"/>
  <c r="F368" i="11"/>
  <c r="E368" i="11"/>
  <c r="D368" i="11"/>
  <c r="C368" i="11"/>
  <c r="B368" i="11"/>
  <c r="A368" i="11"/>
  <c r="AH367" i="11"/>
  <c r="AF367" i="11"/>
  <c r="AC367" i="11"/>
  <c r="W367" i="11"/>
  <c r="V367" i="11"/>
  <c r="U367" i="11"/>
  <c r="T367" i="11"/>
  <c r="S367" i="11"/>
  <c r="R367" i="11"/>
  <c r="Q367" i="11"/>
  <c r="P367" i="11"/>
  <c r="O367" i="11"/>
  <c r="N367" i="11"/>
  <c r="M367" i="11"/>
  <c r="L367" i="11"/>
  <c r="K367" i="11"/>
  <c r="J367" i="11"/>
  <c r="I367" i="11"/>
  <c r="H367" i="11"/>
  <c r="G367" i="11"/>
  <c r="F367" i="11"/>
  <c r="E367" i="11"/>
  <c r="D367" i="11"/>
  <c r="C367" i="11"/>
  <c r="B367" i="11"/>
  <c r="A367" i="11"/>
  <c r="AL366" i="11"/>
  <c r="AK366" i="11"/>
  <c r="AJ366" i="11"/>
  <c r="AI366" i="11"/>
  <c r="AH366" i="11"/>
  <c r="AG366" i="11"/>
  <c r="AF366" i="11"/>
  <c r="AE366" i="11"/>
  <c r="AD366" i="11"/>
  <c r="AC366" i="11"/>
  <c r="AB366" i="11"/>
  <c r="AA366" i="11"/>
  <c r="Z366" i="11"/>
  <c r="Y366" i="11"/>
  <c r="X366" i="11"/>
  <c r="W366" i="11"/>
  <c r="V366" i="11"/>
  <c r="U366" i="11"/>
  <c r="T366" i="11"/>
  <c r="S366" i="11"/>
  <c r="R366" i="11"/>
  <c r="Q366" i="11"/>
  <c r="P366" i="11"/>
  <c r="O366" i="11"/>
  <c r="N366" i="11"/>
  <c r="M366" i="11"/>
  <c r="L366" i="11"/>
  <c r="K366" i="11"/>
  <c r="J366" i="11"/>
  <c r="I366" i="11"/>
  <c r="H366" i="11"/>
  <c r="G366" i="11"/>
  <c r="F366" i="11"/>
  <c r="E366" i="11"/>
  <c r="D366" i="11"/>
  <c r="C366" i="11"/>
  <c r="B366" i="11"/>
  <c r="A366" i="11"/>
  <c r="AC365" i="11"/>
  <c r="W365" i="11"/>
  <c r="V365" i="11"/>
  <c r="U365" i="11"/>
  <c r="T365" i="11"/>
  <c r="S365" i="11"/>
  <c r="R365" i="11"/>
  <c r="Q365" i="11"/>
  <c r="P365" i="11"/>
  <c r="O365" i="11"/>
  <c r="N365" i="11"/>
  <c r="M365" i="11"/>
  <c r="L365" i="11"/>
  <c r="K365" i="11"/>
  <c r="J365" i="11"/>
  <c r="I365" i="11"/>
  <c r="H365" i="11"/>
  <c r="G365" i="11"/>
  <c r="F365" i="11"/>
  <c r="E365" i="11"/>
  <c r="D365" i="11"/>
  <c r="C365" i="11"/>
  <c r="B365" i="11"/>
  <c r="A365" i="11"/>
  <c r="AL364" i="11"/>
  <c r="AK364" i="11"/>
  <c r="AJ364" i="11"/>
  <c r="AI364" i="11"/>
  <c r="AH364" i="11"/>
  <c r="AG364" i="11"/>
  <c r="AF364" i="11"/>
  <c r="AE364" i="11"/>
  <c r="AD364" i="11"/>
  <c r="AC364" i="11"/>
  <c r="AB364" i="11"/>
  <c r="AA364" i="11"/>
  <c r="Z364" i="11"/>
  <c r="Y364" i="11"/>
  <c r="X364" i="11"/>
  <c r="W364" i="11"/>
  <c r="V364" i="11"/>
  <c r="U364" i="11"/>
  <c r="T364" i="11"/>
  <c r="S364" i="11"/>
  <c r="R364" i="11"/>
  <c r="Q364" i="11"/>
  <c r="P364" i="11"/>
  <c r="O364" i="11"/>
  <c r="N364" i="11"/>
  <c r="M364" i="11"/>
  <c r="L364" i="11"/>
  <c r="K364" i="11"/>
  <c r="J364" i="11"/>
  <c r="I364" i="11"/>
  <c r="H364" i="11"/>
  <c r="G364" i="11"/>
  <c r="F364" i="11"/>
  <c r="E364" i="11"/>
  <c r="D364" i="11"/>
  <c r="C364" i="11"/>
  <c r="B364" i="11"/>
  <c r="A364" i="11"/>
  <c r="AF363" i="11"/>
  <c r="AD363" i="11"/>
  <c r="AC363" i="11"/>
  <c r="AB363" i="11"/>
  <c r="AA363" i="11"/>
  <c r="Y363" i="11"/>
  <c r="W363" i="11"/>
  <c r="V363" i="11"/>
  <c r="U363" i="11"/>
  <c r="T363" i="11"/>
  <c r="S363" i="11"/>
  <c r="R363" i="11"/>
  <c r="Q363" i="11"/>
  <c r="P363" i="11"/>
  <c r="O363" i="11"/>
  <c r="N363" i="11"/>
  <c r="M363" i="11"/>
  <c r="L363" i="11"/>
  <c r="K363" i="11"/>
  <c r="J363" i="11"/>
  <c r="I363" i="11"/>
  <c r="H363" i="11"/>
  <c r="G363" i="11"/>
  <c r="F363" i="11"/>
  <c r="E363" i="11"/>
  <c r="D363" i="11"/>
  <c r="C363" i="11"/>
  <c r="B363" i="11"/>
  <c r="A363" i="11"/>
  <c r="AF362" i="11"/>
  <c r="AD362" i="11"/>
  <c r="AC362" i="11"/>
  <c r="AB362" i="11"/>
  <c r="AA362" i="11"/>
  <c r="Y362" i="11"/>
  <c r="W362" i="11"/>
  <c r="V362" i="11"/>
  <c r="U362" i="11"/>
  <c r="T362" i="11"/>
  <c r="S362" i="11"/>
  <c r="R362" i="11"/>
  <c r="Q362" i="11"/>
  <c r="P362" i="11"/>
  <c r="O362" i="11"/>
  <c r="N362" i="11"/>
  <c r="M362" i="11"/>
  <c r="L362" i="11"/>
  <c r="K362" i="11"/>
  <c r="J362" i="11"/>
  <c r="I362" i="11"/>
  <c r="H362" i="11"/>
  <c r="G362" i="11"/>
  <c r="F362" i="11"/>
  <c r="E362" i="11"/>
  <c r="D362" i="11"/>
  <c r="C362" i="11"/>
  <c r="B362" i="11"/>
  <c r="A362" i="11"/>
  <c r="AL361" i="11"/>
  <c r="AK361" i="11"/>
  <c r="AJ361" i="11"/>
  <c r="AI361" i="11"/>
  <c r="AH361" i="11"/>
  <c r="AG361" i="11"/>
  <c r="AF361" i="11"/>
  <c r="AE361" i="11"/>
  <c r="AD361" i="11"/>
  <c r="AC361" i="11"/>
  <c r="AB361" i="11"/>
  <c r="AA361" i="11"/>
  <c r="Z361" i="11"/>
  <c r="Y361" i="11"/>
  <c r="X361" i="11"/>
  <c r="W361" i="11"/>
  <c r="V361" i="11"/>
  <c r="U361" i="11"/>
  <c r="T361" i="11"/>
  <c r="S361" i="11"/>
  <c r="R361" i="11"/>
  <c r="Q361" i="11"/>
  <c r="P361" i="11"/>
  <c r="O361" i="11"/>
  <c r="N361" i="11"/>
  <c r="M361" i="11"/>
  <c r="L361" i="11"/>
  <c r="K361" i="11"/>
  <c r="J361" i="11"/>
  <c r="I361" i="11"/>
  <c r="H361" i="11"/>
  <c r="G361" i="11"/>
  <c r="F361" i="11"/>
  <c r="E361" i="11"/>
  <c r="D361" i="11"/>
  <c r="C361" i="11"/>
  <c r="B361" i="11"/>
  <c r="A361" i="11"/>
  <c r="AL360" i="11"/>
  <c r="AK360" i="11"/>
  <c r="AJ360" i="11"/>
  <c r="AI360" i="11"/>
  <c r="AH360" i="11"/>
  <c r="AG360" i="11"/>
  <c r="AF360" i="11"/>
  <c r="AE360" i="11"/>
  <c r="AD360" i="11"/>
  <c r="AC360" i="11"/>
  <c r="AB360" i="11"/>
  <c r="AA360" i="11"/>
  <c r="Z360" i="11"/>
  <c r="Y360" i="11"/>
  <c r="X360" i="11"/>
  <c r="W360" i="11"/>
  <c r="V360" i="11"/>
  <c r="U360" i="11"/>
  <c r="T360" i="11"/>
  <c r="S360" i="11"/>
  <c r="R360" i="11"/>
  <c r="Q360" i="11"/>
  <c r="P360" i="11"/>
  <c r="O360" i="11"/>
  <c r="N360" i="11"/>
  <c r="M360" i="11"/>
  <c r="L360" i="11"/>
  <c r="K360" i="11"/>
  <c r="J360" i="11"/>
  <c r="I360" i="11"/>
  <c r="H360" i="11"/>
  <c r="G360" i="11"/>
  <c r="F360" i="11"/>
  <c r="E360" i="11"/>
  <c r="D360" i="11"/>
  <c r="C360" i="11"/>
  <c r="B360" i="11"/>
  <c r="A360" i="11"/>
  <c r="AL359" i="11"/>
  <c r="AK359" i="11"/>
  <c r="AJ359" i="11"/>
  <c r="AI359" i="11"/>
  <c r="AH359" i="11"/>
  <c r="AG359" i="11"/>
  <c r="AF359" i="11"/>
  <c r="AE359" i="11"/>
  <c r="AD359" i="11"/>
  <c r="AC359" i="11"/>
  <c r="AB359" i="11"/>
  <c r="AA359" i="11"/>
  <c r="Z359" i="11"/>
  <c r="Y359" i="11"/>
  <c r="X359" i="11"/>
  <c r="W359" i="11"/>
  <c r="V359" i="11"/>
  <c r="U359" i="11"/>
  <c r="T359" i="11"/>
  <c r="S359" i="11"/>
  <c r="R359" i="11"/>
  <c r="Q359" i="11"/>
  <c r="P359" i="11"/>
  <c r="O359" i="11"/>
  <c r="N359" i="11"/>
  <c r="M359" i="11"/>
  <c r="L359" i="11"/>
  <c r="K359" i="11"/>
  <c r="J359" i="11"/>
  <c r="I359" i="11"/>
  <c r="H359" i="11"/>
  <c r="G359" i="11"/>
  <c r="F359" i="11"/>
  <c r="E359" i="11"/>
  <c r="D359" i="11"/>
  <c r="C359" i="11"/>
  <c r="B359" i="11"/>
  <c r="A359" i="11"/>
  <c r="AL358" i="11"/>
  <c r="AK358" i="11"/>
  <c r="AJ358" i="11"/>
  <c r="AI358" i="11"/>
  <c r="AH358" i="11"/>
  <c r="AG358" i="11"/>
  <c r="AF358" i="11"/>
  <c r="AE358" i="11"/>
  <c r="AD358" i="11"/>
  <c r="AC358" i="11"/>
  <c r="AB358" i="11"/>
  <c r="AA358" i="11"/>
  <c r="Z358" i="11"/>
  <c r="Y358" i="11"/>
  <c r="X358" i="11"/>
  <c r="W358" i="11"/>
  <c r="V358" i="11"/>
  <c r="U358" i="11"/>
  <c r="T358" i="11"/>
  <c r="S358" i="11"/>
  <c r="R358" i="11"/>
  <c r="Q358" i="11"/>
  <c r="P358" i="11"/>
  <c r="O358" i="11"/>
  <c r="N358" i="11"/>
  <c r="M358" i="11"/>
  <c r="L358" i="11"/>
  <c r="K358" i="11"/>
  <c r="J358" i="11"/>
  <c r="I358" i="11"/>
  <c r="H358" i="11"/>
  <c r="G358" i="11"/>
  <c r="F358" i="11"/>
  <c r="E358" i="11"/>
  <c r="D358" i="11"/>
  <c r="C358" i="11"/>
  <c r="B358" i="11"/>
  <c r="A358" i="11"/>
  <c r="AL357" i="11"/>
  <c r="AK357" i="11"/>
  <c r="AJ357" i="11"/>
  <c r="AI357" i="11"/>
  <c r="AH357" i="11"/>
  <c r="AG357" i="11"/>
  <c r="AF357" i="11"/>
  <c r="AE357" i="11"/>
  <c r="AD357" i="11"/>
  <c r="AC357" i="11"/>
  <c r="AB357" i="11"/>
  <c r="AA357" i="11"/>
  <c r="Z357" i="11"/>
  <c r="Y357" i="11"/>
  <c r="X357" i="11"/>
  <c r="W357" i="11"/>
  <c r="V357" i="11"/>
  <c r="U357" i="11"/>
  <c r="T357" i="11"/>
  <c r="S357" i="11"/>
  <c r="R357" i="11"/>
  <c r="Q357" i="11"/>
  <c r="P357" i="11"/>
  <c r="O357" i="11"/>
  <c r="N357" i="11"/>
  <c r="M357" i="11"/>
  <c r="L357" i="11"/>
  <c r="K357" i="11"/>
  <c r="J357" i="11"/>
  <c r="I357" i="11"/>
  <c r="H357" i="11"/>
  <c r="G357" i="11"/>
  <c r="F357" i="11"/>
  <c r="E357" i="11"/>
  <c r="D357" i="11"/>
  <c r="C357" i="11"/>
  <c r="B357" i="11"/>
  <c r="A357" i="11"/>
  <c r="AL356" i="11"/>
  <c r="AK356" i="11"/>
  <c r="AJ356" i="11"/>
  <c r="AI356" i="11"/>
  <c r="AH356" i="11"/>
  <c r="AG356" i="11"/>
  <c r="AF356" i="11"/>
  <c r="AE356" i="11"/>
  <c r="AD356" i="11"/>
  <c r="AC356" i="11"/>
  <c r="AB356" i="11"/>
  <c r="AA356" i="11"/>
  <c r="Z356" i="11"/>
  <c r="Y356" i="11"/>
  <c r="X356" i="11"/>
  <c r="W356" i="11"/>
  <c r="V356" i="11"/>
  <c r="U356" i="11"/>
  <c r="T356" i="11"/>
  <c r="S356" i="11"/>
  <c r="R356" i="11"/>
  <c r="Q356" i="11"/>
  <c r="P356" i="11"/>
  <c r="O356" i="11"/>
  <c r="N356" i="11"/>
  <c r="M356" i="11"/>
  <c r="L356" i="11"/>
  <c r="K356" i="11"/>
  <c r="J356" i="11"/>
  <c r="I356" i="11"/>
  <c r="H356" i="11"/>
  <c r="G356" i="11"/>
  <c r="F356" i="11"/>
  <c r="E356" i="11"/>
  <c r="D356" i="11"/>
  <c r="C356" i="11"/>
  <c r="B356" i="11"/>
  <c r="A356" i="11"/>
  <c r="AL355" i="11"/>
  <c r="AK355" i="11"/>
  <c r="AJ355" i="11"/>
  <c r="AI355" i="11"/>
  <c r="AH355" i="11"/>
  <c r="AG355" i="11"/>
  <c r="AF355" i="11"/>
  <c r="AE355" i="11"/>
  <c r="AD355" i="11"/>
  <c r="AC355" i="11"/>
  <c r="AB355" i="11"/>
  <c r="AA355" i="11"/>
  <c r="Z355" i="11"/>
  <c r="Y355" i="11"/>
  <c r="X355" i="11"/>
  <c r="W355" i="11"/>
  <c r="V355" i="11"/>
  <c r="U355" i="11"/>
  <c r="T355" i="11"/>
  <c r="S355" i="11"/>
  <c r="R355" i="11"/>
  <c r="Q355" i="11"/>
  <c r="P355" i="11"/>
  <c r="O355" i="11"/>
  <c r="N355" i="11"/>
  <c r="M355" i="11"/>
  <c r="L355" i="11"/>
  <c r="K355" i="11"/>
  <c r="J355" i="11"/>
  <c r="I355" i="11"/>
  <c r="H355" i="11"/>
  <c r="G355" i="11"/>
  <c r="F355" i="11"/>
  <c r="E355" i="11"/>
  <c r="D355" i="11"/>
  <c r="C355" i="11"/>
  <c r="B355" i="11"/>
  <c r="A355" i="11"/>
  <c r="AL354" i="11"/>
  <c r="AK354" i="11"/>
  <c r="AJ354" i="11"/>
  <c r="AI354" i="11"/>
  <c r="AH354" i="11"/>
  <c r="AG354" i="11"/>
  <c r="AF354" i="11"/>
  <c r="AE354" i="11"/>
  <c r="AD354" i="11"/>
  <c r="AC354" i="11"/>
  <c r="AB354" i="11"/>
  <c r="AA354" i="11"/>
  <c r="Z354" i="11"/>
  <c r="Y354" i="11"/>
  <c r="X354" i="11"/>
  <c r="W354" i="11"/>
  <c r="V354" i="11"/>
  <c r="U354" i="11"/>
  <c r="T354" i="11"/>
  <c r="S354" i="11"/>
  <c r="R354" i="11"/>
  <c r="Q354" i="11"/>
  <c r="P354" i="11"/>
  <c r="O354" i="11"/>
  <c r="N354" i="11"/>
  <c r="M354" i="11"/>
  <c r="L354" i="11"/>
  <c r="K354" i="11"/>
  <c r="J354" i="11"/>
  <c r="I354" i="11"/>
  <c r="H354" i="11"/>
  <c r="G354" i="11"/>
  <c r="F354" i="11"/>
  <c r="E354" i="11"/>
  <c r="D354" i="11"/>
  <c r="C354" i="11"/>
  <c r="B354" i="11"/>
  <c r="A354" i="11"/>
  <c r="AL353" i="11"/>
  <c r="AK353" i="11"/>
  <c r="AJ353" i="11"/>
  <c r="AI353" i="11"/>
  <c r="AH353" i="11"/>
  <c r="AG353" i="11"/>
  <c r="AF353" i="11"/>
  <c r="AE353" i="11"/>
  <c r="AD353" i="11"/>
  <c r="AC353" i="11"/>
  <c r="AB353" i="11"/>
  <c r="AA353" i="11"/>
  <c r="Z353" i="11"/>
  <c r="Y353" i="11"/>
  <c r="X353" i="11"/>
  <c r="W353" i="11"/>
  <c r="V353" i="11"/>
  <c r="U353" i="11"/>
  <c r="T353" i="11"/>
  <c r="S353" i="11"/>
  <c r="R353" i="11"/>
  <c r="Q353" i="11"/>
  <c r="P353" i="11"/>
  <c r="O353" i="11"/>
  <c r="N353" i="11"/>
  <c r="M353" i="11"/>
  <c r="L353" i="11"/>
  <c r="K353" i="11"/>
  <c r="J353" i="11"/>
  <c r="I353" i="11"/>
  <c r="H353" i="11"/>
  <c r="G353" i="11"/>
  <c r="F353" i="11"/>
  <c r="E353" i="11"/>
  <c r="D353" i="11"/>
  <c r="C353" i="11"/>
  <c r="B353" i="11"/>
  <c r="A353" i="11"/>
  <c r="AL352" i="11"/>
  <c r="AK352" i="11"/>
  <c r="AJ352" i="11"/>
  <c r="AI352" i="11"/>
  <c r="AH352" i="11"/>
  <c r="AG352" i="11"/>
  <c r="AF352" i="11"/>
  <c r="AE352" i="11"/>
  <c r="AD352" i="11"/>
  <c r="AC352" i="11"/>
  <c r="AB352" i="11"/>
  <c r="AA352" i="11"/>
  <c r="Z352" i="11"/>
  <c r="Y352" i="11"/>
  <c r="X352" i="11"/>
  <c r="W352" i="11"/>
  <c r="V352" i="11"/>
  <c r="U352" i="11"/>
  <c r="T352" i="11"/>
  <c r="S352" i="11"/>
  <c r="R352" i="11"/>
  <c r="Q352" i="11"/>
  <c r="P352" i="11"/>
  <c r="O352" i="11"/>
  <c r="N352" i="11"/>
  <c r="M352" i="11"/>
  <c r="L352" i="11"/>
  <c r="K352" i="11"/>
  <c r="J352" i="11"/>
  <c r="I352" i="11"/>
  <c r="H352" i="11"/>
  <c r="G352" i="11"/>
  <c r="F352" i="11"/>
  <c r="E352" i="11"/>
  <c r="D352" i="11"/>
  <c r="C352" i="11"/>
  <c r="B352" i="11"/>
  <c r="A352" i="11"/>
  <c r="AL351" i="11"/>
  <c r="AK351" i="11"/>
  <c r="AJ351" i="11"/>
  <c r="AI351" i="11"/>
  <c r="AH351" i="11"/>
  <c r="AG351" i="11"/>
  <c r="AF351" i="11"/>
  <c r="AE351" i="11"/>
  <c r="AD351" i="11"/>
  <c r="AC351" i="11"/>
  <c r="AB351" i="11"/>
  <c r="AA351" i="11"/>
  <c r="Z351" i="11"/>
  <c r="Y351" i="11"/>
  <c r="X351" i="11"/>
  <c r="W351" i="11"/>
  <c r="V351" i="11"/>
  <c r="U351" i="11"/>
  <c r="T351" i="11"/>
  <c r="S351" i="11"/>
  <c r="R351" i="11"/>
  <c r="Q351" i="11"/>
  <c r="P351" i="11"/>
  <c r="O351" i="11"/>
  <c r="N351" i="11"/>
  <c r="M351" i="11"/>
  <c r="L351" i="11"/>
  <c r="K351" i="11"/>
  <c r="J351" i="11"/>
  <c r="I351" i="11"/>
  <c r="H351" i="11"/>
  <c r="G351" i="11"/>
  <c r="F351" i="11"/>
  <c r="E351" i="11"/>
  <c r="D351" i="11"/>
  <c r="C351" i="11"/>
  <c r="B351" i="11"/>
  <c r="A351" i="11"/>
  <c r="AL350" i="11"/>
  <c r="AK350" i="11"/>
  <c r="AJ350" i="11"/>
  <c r="AI350" i="11"/>
  <c r="AH350" i="11"/>
  <c r="AG350" i="11"/>
  <c r="AF350" i="11"/>
  <c r="AE350" i="11"/>
  <c r="AD350" i="11"/>
  <c r="AC350" i="11"/>
  <c r="AB350" i="11"/>
  <c r="AA350" i="11"/>
  <c r="Z350" i="11"/>
  <c r="Y350" i="11"/>
  <c r="X350" i="11"/>
  <c r="W350" i="11"/>
  <c r="V350" i="11"/>
  <c r="U350" i="11"/>
  <c r="T350" i="11"/>
  <c r="S350" i="11"/>
  <c r="R350" i="11"/>
  <c r="Q350" i="11"/>
  <c r="P350" i="11"/>
  <c r="O350" i="11"/>
  <c r="N350" i="11"/>
  <c r="M350" i="11"/>
  <c r="L350" i="11"/>
  <c r="K350" i="11"/>
  <c r="J350" i="11"/>
  <c r="I350" i="11"/>
  <c r="H350" i="11"/>
  <c r="G350" i="11"/>
  <c r="F350" i="11"/>
  <c r="E350" i="11"/>
  <c r="D350" i="11"/>
  <c r="C350" i="11"/>
  <c r="B350" i="11"/>
  <c r="A350" i="11"/>
  <c r="AL349" i="11"/>
  <c r="AK349" i="11"/>
  <c r="AJ349" i="11"/>
  <c r="AI349" i="11"/>
  <c r="AH349" i="11"/>
  <c r="AG349" i="11"/>
  <c r="AF349" i="11"/>
  <c r="AE349" i="11"/>
  <c r="AD349" i="11"/>
  <c r="AC349" i="11"/>
  <c r="AB349" i="11"/>
  <c r="AA349" i="11"/>
  <c r="Z349" i="11"/>
  <c r="Y349" i="11"/>
  <c r="X349" i="11"/>
  <c r="W349" i="11"/>
  <c r="V349" i="11"/>
  <c r="U349" i="11"/>
  <c r="T349" i="11"/>
  <c r="S349" i="11"/>
  <c r="R349" i="11"/>
  <c r="Q349" i="11"/>
  <c r="P349" i="11"/>
  <c r="O349" i="11"/>
  <c r="N349" i="11"/>
  <c r="M349" i="11"/>
  <c r="L349" i="11"/>
  <c r="K349" i="11"/>
  <c r="J349" i="11"/>
  <c r="I349" i="11"/>
  <c r="H349" i="11"/>
  <c r="G349" i="11"/>
  <c r="F349" i="11"/>
  <c r="E349" i="11"/>
  <c r="D349" i="11"/>
  <c r="C349" i="11"/>
  <c r="B349" i="11"/>
  <c r="A349" i="11"/>
  <c r="AL348" i="11"/>
  <c r="AK348" i="11"/>
  <c r="AJ348" i="11"/>
  <c r="AI348" i="11"/>
  <c r="AH348" i="11"/>
  <c r="AG348" i="11"/>
  <c r="AF348" i="11"/>
  <c r="AE348" i="11"/>
  <c r="AD348" i="11"/>
  <c r="AC348" i="11"/>
  <c r="AB348" i="11"/>
  <c r="AA348" i="11"/>
  <c r="Z348" i="11"/>
  <c r="Y348" i="11"/>
  <c r="X348" i="11"/>
  <c r="W348" i="11"/>
  <c r="V348" i="11"/>
  <c r="U348" i="11"/>
  <c r="T348" i="11"/>
  <c r="S348" i="11"/>
  <c r="R348" i="11"/>
  <c r="Q348" i="11"/>
  <c r="P348" i="11"/>
  <c r="O348" i="11"/>
  <c r="N348" i="11"/>
  <c r="M348" i="11"/>
  <c r="L348" i="11"/>
  <c r="K348" i="11"/>
  <c r="J348" i="11"/>
  <c r="I348" i="11"/>
  <c r="H348" i="11"/>
  <c r="G348" i="11"/>
  <c r="F348" i="11"/>
  <c r="E348" i="11"/>
  <c r="D348" i="11"/>
  <c r="C348" i="11"/>
  <c r="B348" i="11"/>
  <c r="A348" i="11"/>
  <c r="AL347" i="11"/>
  <c r="AK347" i="11"/>
  <c r="AJ347" i="11"/>
  <c r="AI347" i="11"/>
  <c r="AH347" i="11"/>
  <c r="AG347" i="11"/>
  <c r="AF347" i="11"/>
  <c r="AE347" i="11"/>
  <c r="AD347" i="11"/>
  <c r="AC347" i="11"/>
  <c r="AB347" i="11"/>
  <c r="AA347" i="11"/>
  <c r="Z347" i="11"/>
  <c r="Y347" i="11"/>
  <c r="X347" i="11"/>
  <c r="W347" i="11"/>
  <c r="V347" i="11"/>
  <c r="U347" i="11"/>
  <c r="T347" i="11"/>
  <c r="S347" i="11"/>
  <c r="R347" i="11"/>
  <c r="Q347" i="11"/>
  <c r="P347" i="11"/>
  <c r="O347" i="11"/>
  <c r="N347" i="11"/>
  <c r="M347" i="11"/>
  <c r="L347" i="11"/>
  <c r="K347" i="11"/>
  <c r="J347" i="11"/>
  <c r="I347" i="11"/>
  <c r="H347" i="11"/>
  <c r="G347" i="11"/>
  <c r="F347" i="11"/>
  <c r="E347" i="11"/>
  <c r="D347" i="11"/>
  <c r="C347" i="11"/>
  <c r="B347" i="11"/>
  <c r="A347" i="11"/>
  <c r="AL346" i="11"/>
  <c r="AK346" i="11"/>
  <c r="AJ346" i="11"/>
  <c r="AI346" i="11"/>
  <c r="AH346" i="11"/>
  <c r="AG346" i="11"/>
  <c r="AF346" i="11"/>
  <c r="AE346" i="11"/>
  <c r="AD346" i="11"/>
  <c r="AC346" i="11"/>
  <c r="AB346" i="11"/>
  <c r="AA346" i="11"/>
  <c r="Z346" i="11"/>
  <c r="Y346" i="11"/>
  <c r="X346" i="11"/>
  <c r="W346" i="11"/>
  <c r="V346" i="11"/>
  <c r="U346" i="11"/>
  <c r="T346" i="11"/>
  <c r="S346" i="11"/>
  <c r="R346" i="11"/>
  <c r="Q346" i="11"/>
  <c r="P346" i="11"/>
  <c r="O346" i="11"/>
  <c r="N346" i="11"/>
  <c r="M346" i="11"/>
  <c r="L346" i="11"/>
  <c r="K346" i="11"/>
  <c r="J346" i="11"/>
  <c r="I346" i="11"/>
  <c r="H346" i="11"/>
  <c r="G346" i="11"/>
  <c r="F346" i="11"/>
  <c r="E346" i="11"/>
  <c r="D346" i="11"/>
  <c r="C346" i="11"/>
  <c r="B346" i="11"/>
  <c r="A346" i="11"/>
  <c r="AL345" i="11"/>
  <c r="AK345" i="11"/>
  <c r="AJ345" i="11"/>
  <c r="AI345" i="11"/>
  <c r="AH345" i="11"/>
  <c r="AG345" i="11"/>
  <c r="AF345" i="11"/>
  <c r="AE345" i="11"/>
  <c r="AD345" i="11"/>
  <c r="AC345" i="11"/>
  <c r="AB345" i="11"/>
  <c r="AA345" i="11"/>
  <c r="Z345" i="11"/>
  <c r="Y345" i="11"/>
  <c r="X345" i="11"/>
  <c r="W345" i="11"/>
  <c r="V345" i="11"/>
  <c r="U345" i="11"/>
  <c r="T345" i="11"/>
  <c r="S345" i="11"/>
  <c r="R345" i="11"/>
  <c r="Q345" i="11"/>
  <c r="P345" i="11"/>
  <c r="O345" i="11"/>
  <c r="N345" i="11"/>
  <c r="M345" i="11"/>
  <c r="L345" i="11"/>
  <c r="K345" i="11"/>
  <c r="J345" i="11"/>
  <c r="I345" i="11"/>
  <c r="H345" i="11"/>
  <c r="G345" i="11"/>
  <c r="F345" i="11"/>
  <c r="E345" i="11"/>
  <c r="D345" i="11"/>
  <c r="C345" i="11"/>
  <c r="B345" i="11"/>
  <c r="A345" i="11"/>
  <c r="AL344" i="11"/>
  <c r="AK344" i="11"/>
  <c r="AJ344" i="11"/>
  <c r="AI344" i="11"/>
  <c r="AH344" i="11"/>
  <c r="AG344" i="11"/>
  <c r="AF344" i="11"/>
  <c r="AE344" i="11"/>
  <c r="AD344" i="11"/>
  <c r="AC344" i="11"/>
  <c r="AB344" i="11"/>
  <c r="AA344" i="11"/>
  <c r="Z344" i="11"/>
  <c r="Y344" i="11"/>
  <c r="X344" i="11"/>
  <c r="W344" i="11"/>
  <c r="V344" i="11"/>
  <c r="U344" i="11"/>
  <c r="T344" i="11"/>
  <c r="S344" i="11"/>
  <c r="R344" i="11"/>
  <c r="Q344" i="11"/>
  <c r="P344" i="11"/>
  <c r="O344" i="11"/>
  <c r="N344" i="11"/>
  <c r="M344" i="11"/>
  <c r="L344" i="11"/>
  <c r="K344" i="11"/>
  <c r="J344" i="11"/>
  <c r="I344" i="11"/>
  <c r="H344" i="11"/>
  <c r="G344" i="11"/>
  <c r="F344" i="11"/>
  <c r="E344" i="11"/>
  <c r="D344" i="11"/>
  <c r="C344" i="11"/>
  <c r="B344" i="11"/>
  <c r="A344" i="11"/>
  <c r="AL343" i="11"/>
  <c r="AK343" i="11"/>
  <c r="AJ343" i="11"/>
  <c r="AI343" i="11"/>
  <c r="AH343" i="11"/>
  <c r="AG343" i="11"/>
  <c r="AF343" i="11"/>
  <c r="AE343" i="11"/>
  <c r="AD343" i="11"/>
  <c r="AC343" i="11"/>
  <c r="AB343" i="11"/>
  <c r="AA343" i="11"/>
  <c r="Z343" i="11"/>
  <c r="Y343" i="11"/>
  <c r="X343" i="11"/>
  <c r="W343" i="11"/>
  <c r="V343" i="11"/>
  <c r="U343" i="11"/>
  <c r="T343" i="11"/>
  <c r="S343" i="11"/>
  <c r="R343" i="11"/>
  <c r="Q343" i="11"/>
  <c r="P343" i="11"/>
  <c r="O343" i="11"/>
  <c r="N343" i="11"/>
  <c r="M343" i="11"/>
  <c r="L343" i="11"/>
  <c r="K343" i="11"/>
  <c r="J343" i="11"/>
  <c r="I343" i="11"/>
  <c r="H343" i="11"/>
  <c r="G343" i="11"/>
  <c r="F343" i="11"/>
  <c r="E343" i="11"/>
  <c r="D343" i="11"/>
  <c r="C343" i="11"/>
  <c r="B343" i="11"/>
  <c r="A343" i="11"/>
  <c r="AL342" i="11"/>
  <c r="AK342" i="11"/>
  <c r="AJ342" i="11"/>
  <c r="AI342" i="11"/>
  <c r="AH342" i="11"/>
  <c r="AG342" i="11"/>
  <c r="AF342" i="11"/>
  <c r="AE342" i="11"/>
  <c r="AD342" i="11"/>
  <c r="AC342" i="11"/>
  <c r="AB342" i="11"/>
  <c r="AA342" i="11"/>
  <c r="Z342" i="11"/>
  <c r="Y342" i="11"/>
  <c r="X342" i="11"/>
  <c r="W342" i="11"/>
  <c r="V342" i="11"/>
  <c r="U342" i="11"/>
  <c r="T342" i="11"/>
  <c r="S342" i="11"/>
  <c r="R342" i="11"/>
  <c r="Q342" i="11"/>
  <c r="P342" i="11"/>
  <c r="O342" i="11"/>
  <c r="N342" i="11"/>
  <c r="M342" i="11"/>
  <c r="L342" i="11"/>
  <c r="K342" i="11"/>
  <c r="J342" i="11"/>
  <c r="I342" i="11"/>
  <c r="H342" i="11"/>
  <c r="G342" i="11"/>
  <c r="F342" i="11"/>
  <c r="E342" i="11"/>
  <c r="D342" i="11"/>
  <c r="C342" i="11"/>
  <c r="B342" i="11"/>
  <c r="A342" i="11"/>
  <c r="AL341" i="11"/>
  <c r="AK341" i="11"/>
  <c r="AJ341" i="11"/>
  <c r="AI341" i="11"/>
  <c r="AH341" i="11"/>
  <c r="AG341" i="11"/>
  <c r="AF341" i="11"/>
  <c r="AE341" i="11"/>
  <c r="AD341" i="11"/>
  <c r="AC341" i="11"/>
  <c r="AB341" i="11"/>
  <c r="AA341" i="11"/>
  <c r="Z341" i="11"/>
  <c r="Y341" i="11"/>
  <c r="X341" i="11"/>
  <c r="W341" i="11"/>
  <c r="V341" i="11"/>
  <c r="U341" i="11"/>
  <c r="T341" i="11"/>
  <c r="S341" i="11"/>
  <c r="R341" i="11"/>
  <c r="Q341" i="11"/>
  <c r="P341" i="11"/>
  <c r="O341" i="11"/>
  <c r="N341" i="11"/>
  <c r="M341" i="11"/>
  <c r="L341" i="11"/>
  <c r="K341" i="11"/>
  <c r="J341" i="11"/>
  <c r="I341" i="11"/>
  <c r="H341" i="11"/>
  <c r="G341" i="11"/>
  <c r="F341" i="11"/>
  <c r="E341" i="11"/>
  <c r="D341" i="11"/>
  <c r="C341" i="11"/>
  <c r="B341" i="11"/>
  <c r="A341" i="11"/>
  <c r="AL340" i="11"/>
  <c r="AK340" i="11"/>
  <c r="AJ340" i="11"/>
  <c r="AI340" i="11"/>
  <c r="AH340" i="11"/>
  <c r="AG340" i="11"/>
  <c r="AF340" i="11"/>
  <c r="AE340" i="11"/>
  <c r="AD340" i="11"/>
  <c r="AC340" i="11"/>
  <c r="AB340" i="11"/>
  <c r="AA340" i="11"/>
  <c r="Z340" i="11"/>
  <c r="Y340" i="11"/>
  <c r="X340" i="11"/>
  <c r="W340" i="11"/>
  <c r="V340" i="11"/>
  <c r="U340" i="11"/>
  <c r="T340" i="11"/>
  <c r="S340" i="11"/>
  <c r="R340" i="11"/>
  <c r="Q340" i="11"/>
  <c r="P340" i="11"/>
  <c r="O340" i="11"/>
  <c r="N340" i="11"/>
  <c r="M340" i="11"/>
  <c r="L340" i="11"/>
  <c r="K340" i="11"/>
  <c r="J340" i="11"/>
  <c r="I340" i="11"/>
  <c r="H340" i="11"/>
  <c r="G340" i="11"/>
  <c r="F340" i="11"/>
  <c r="E340" i="11"/>
  <c r="D340" i="11"/>
  <c r="C340" i="11"/>
  <c r="B340" i="11"/>
  <c r="A340" i="11"/>
  <c r="AL339" i="11"/>
  <c r="AK339" i="11"/>
  <c r="AJ339" i="11"/>
  <c r="AI339" i="11"/>
  <c r="AH339" i="11"/>
  <c r="AG339" i="11"/>
  <c r="AF339" i="11"/>
  <c r="AE339" i="11"/>
  <c r="AD339" i="11"/>
  <c r="AC339" i="11"/>
  <c r="AB339" i="11"/>
  <c r="AA339" i="11"/>
  <c r="Z339" i="11"/>
  <c r="Y339" i="11"/>
  <c r="X339" i="11"/>
  <c r="W339" i="11"/>
  <c r="V339" i="11"/>
  <c r="U339" i="11"/>
  <c r="T339" i="11"/>
  <c r="S339" i="11"/>
  <c r="R339" i="11"/>
  <c r="Q339" i="11"/>
  <c r="P339" i="11"/>
  <c r="O339" i="11"/>
  <c r="N339" i="11"/>
  <c r="M339" i="11"/>
  <c r="L339" i="11"/>
  <c r="K339" i="11"/>
  <c r="J339" i="11"/>
  <c r="I339" i="11"/>
  <c r="H339" i="11"/>
  <c r="G339" i="11"/>
  <c r="F339" i="11"/>
  <c r="E339" i="11"/>
  <c r="D339" i="11"/>
  <c r="C339" i="11"/>
  <c r="B339" i="11"/>
  <c r="A339" i="11"/>
  <c r="AL338" i="11"/>
  <c r="AK338" i="11"/>
  <c r="AJ338" i="11"/>
  <c r="AI338" i="11"/>
  <c r="AH338" i="11"/>
  <c r="AG338" i="11"/>
  <c r="AF338" i="11"/>
  <c r="AE338" i="11"/>
  <c r="AD338" i="11"/>
  <c r="AC338" i="11"/>
  <c r="AB338" i="11"/>
  <c r="AA338" i="11"/>
  <c r="Z338" i="11"/>
  <c r="Y338" i="11"/>
  <c r="X338" i="11"/>
  <c r="W338" i="11"/>
  <c r="V338" i="11"/>
  <c r="U338" i="11"/>
  <c r="T338" i="11"/>
  <c r="S338" i="11"/>
  <c r="R338" i="11"/>
  <c r="Q338" i="11"/>
  <c r="P338" i="11"/>
  <c r="O338" i="11"/>
  <c r="N338" i="11"/>
  <c r="M338" i="11"/>
  <c r="L338" i="11"/>
  <c r="K338" i="11"/>
  <c r="J338" i="11"/>
  <c r="I338" i="11"/>
  <c r="H338" i="11"/>
  <c r="G338" i="11"/>
  <c r="F338" i="11"/>
  <c r="E338" i="11"/>
  <c r="D338" i="11"/>
  <c r="C338" i="11"/>
  <c r="B338" i="11"/>
  <c r="A338" i="11"/>
  <c r="AL337" i="11"/>
  <c r="AK337" i="11"/>
  <c r="AJ337" i="11"/>
  <c r="AI337" i="11"/>
  <c r="AH337" i="11"/>
  <c r="AG337" i="11"/>
  <c r="AF337" i="11"/>
  <c r="AE337" i="11"/>
  <c r="AD337" i="11"/>
  <c r="AC337" i="11"/>
  <c r="AB337" i="11"/>
  <c r="AA337" i="11"/>
  <c r="Z337" i="11"/>
  <c r="Y337" i="11"/>
  <c r="X337" i="11"/>
  <c r="W337" i="11"/>
  <c r="V337" i="11"/>
  <c r="U337" i="11"/>
  <c r="T337" i="11"/>
  <c r="S337" i="11"/>
  <c r="R337" i="11"/>
  <c r="Q337" i="11"/>
  <c r="P337" i="11"/>
  <c r="O337" i="11"/>
  <c r="N337" i="11"/>
  <c r="M337" i="11"/>
  <c r="L337" i="11"/>
  <c r="K337" i="11"/>
  <c r="J337" i="11"/>
  <c r="I337" i="11"/>
  <c r="H337" i="11"/>
  <c r="G337" i="11"/>
  <c r="F337" i="11"/>
  <c r="E337" i="11"/>
  <c r="D337" i="11"/>
  <c r="C337" i="11"/>
  <c r="B337" i="11"/>
  <c r="A337" i="11"/>
  <c r="AL336" i="11"/>
  <c r="AK336" i="11"/>
  <c r="AJ336" i="11"/>
  <c r="AI336" i="11"/>
  <c r="AH336" i="11"/>
  <c r="AG336" i="11"/>
  <c r="AF336" i="11"/>
  <c r="AE336" i="11"/>
  <c r="AD336" i="11"/>
  <c r="AC336" i="11"/>
  <c r="AB336" i="11"/>
  <c r="AA336" i="11"/>
  <c r="Z336" i="11"/>
  <c r="Y336" i="11"/>
  <c r="X336" i="11"/>
  <c r="W336" i="11"/>
  <c r="V336" i="11"/>
  <c r="U336" i="11"/>
  <c r="T336" i="11"/>
  <c r="S336" i="11"/>
  <c r="R336" i="11"/>
  <c r="Q336" i="11"/>
  <c r="P336" i="11"/>
  <c r="O336" i="11"/>
  <c r="N336" i="11"/>
  <c r="M336" i="11"/>
  <c r="L336" i="11"/>
  <c r="K336" i="11"/>
  <c r="J336" i="11"/>
  <c r="I336" i="11"/>
  <c r="H336" i="11"/>
  <c r="G336" i="11"/>
  <c r="F336" i="11"/>
  <c r="E336" i="11"/>
  <c r="D336" i="11"/>
  <c r="C336" i="11"/>
  <c r="B336" i="11"/>
  <c r="A336" i="11"/>
  <c r="AC335" i="11"/>
  <c r="W335" i="11"/>
  <c r="V335" i="11"/>
  <c r="U335" i="11"/>
  <c r="T335" i="11"/>
  <c r="S335" i="11"/>
  <c r="R335" i="11"/>
  <c r="Q335" i="11"/>
  <c r="P335" i="11"/>
  <c r="O335" i="11"/>
  <c r="N335" i="11"/>
  <c r="M335" i="11"/>
  <c r="L335" i="11"/>
  <c r="K335" i="11"/>
  <c r="J335" i="11"/>
  <c r="I335" i="11"/>
  <c r="H335" i="11"/>
  <c r="G335" i="11"/>
  <c r="F335" i="11"/>
  <c r="E335" i="11"/>
  <c r="D335" i="11"/>
  <c r="C335" i="11"/>
  <c r="B335" i="11"/>
  <c r="A335" i="11"/>
  <c r="AC334" i="11"/>
  <c r="W334" i="11"/>
  <c r="V334" i="11"/>
  <c r="U334" i="11"/>
  <c r="T334" i="11"/>
  <c r="S334" i="11"/>
  <c r="R334" i="11"/>
  <c r="Q334" i="11"/>
  <c r="P334" i="11"/>
  <c r="O334" i="11"/>
  <c r="N334" i="11"/>
  <c r="M334" i="11"/>
  <c r="L334" i="11"/>
  <c r="K334" i="11"/>
  <c r="J334" i="11"/>
  <c r="I334" i="11"/>
  <c r="H334" i="11"/>
  <c r="G334" i="11"/>
  <c r="F334" i="11"/>
  <c r="E334" i="11"/>
  <c r="D334" i="11"/>
  <c r="C334" i="11"/>
  <c r="B334" i="11"/>
  <c r="A334" i="11"/>
  <c r="AC333" i="11"/>
  <c r="Y333" i="11"/>
  <c r="W333" i="11"/>
  <c r="V333" i="11"/>
  <c r="U333" i="11"/>
  <c r="T333" i="11"/>
  <c r="S333" i="11"/>
  <c r="R333" i="11"/>
  <c r="Q333" i="11"/>
  <c r="P333" i="11"/>
  <c r="O333" i="11"/>
  <c r="N333" i="11"/>
  <c r="M333" i="11"/>
  <c r="L333" i="11"/>
  <c r="K333" i="11"/>
  <c r="J333" i="11"/>
  <c r="I333" i="11"/>
  <c r="H333" i="11"/>
  <c r="G333" i="11"/>
  <c r="F333" i="11"/>
  <c r="E333" i="11"/>
  <c r="D333" i="11"/>
  <c r="C333" i="11"/>
  <c r="B333" i="11"/>
  <c r="A333" i="11"/>
  <c r="AL332" i="11"/>
  <c r="AK332" i="11"/>
  <c r="AJ332" i="11"/>
  <c r="AI332" i="11"/>
  <c r="AH332" i="11"/>
  <c r="AG332" i="11"/>
  <c r="AF332" i="11"/>
  <c r="AE332" i="11"/>
  <c r="AD332" i="11"/>
  <c r="AC332" i="11"/>
  <c r="AB332" i="11"/>
  <c r="AA332" i="11"/>
  <c r="Z332" i="11"/>
  <c r="Y332" i="11"/>
  <c r="X332" i="11"/>
  <c r="W332" i="11"/>
  <c r="V332" i="11"/>
  <c r="U332" i="11"/>
  <c r="T332" i="11"/>
  <c r="S332" i="11"/>
  <c r="R332" i="11"/>
  <c r="Q332" i="11"/>
  <c r="P332" i="11"/>
  <c r="O332" i="11"/>
  <c r="N332" i="11"/>
  <c r="M332" i="11"/>
  <c r="L332" i="11"/>
  <c r="K332" i="11"/>
  <c r="J332" i="11"/>
  <c r="I332" i="11"/>
  <c r="H332" i="11"/>
  <c r="G332" i="11"/>
  <c r="F332" i="11"/>
  <c r="E332" i="11"/>
  <c r="D332" i="11"/>
  <c r="C332" i="11"/>
  <c r="B332" i="11"/>
  <c r="A332" i="11"/>
  <c r="AL331" i="11"/>
  <c r="AK331" i="11"/>
  <c r="AJ331" i="11"/>
  <c r="AI331" i="11"/>
  <c r="AH331" i="11"/>
  <c r="AG331" i="11"/>
  <c r="AF331" i="11"/>
  <c r="AE331" i="11"/>
  <c r="AD331" i="11"/>
  <c r="AC331" i="11"/>
  <c r="AB331" i="11"/>
  <c r="AA331" i="11"/>
  <c r="Z331" i="11"/>
  <c r="Y331" i="11"/>
  <c r="X331" i="11"/>
  <c r="W331" i="11"/>
  <c r="V331" i="11"/>
  <c r="U331" i="11"/>
  <c r="T331" i="11"/>
  <c r="S331" i="11"/>
  <c r="R331" i="11"/>
  <c r="Q331" i="11"/>
  <c r="P331" i="11"/>
  <c r="O331" i="11"/>
  <c r="N331" i="11"/>
  <c r="M331" i="11"/>
  <c r="L331" i="11"/>
  <c r="K331" i="11"/>
  <c r="J331" i="11"/>
  <c r="I331" i="11"/>
  <c r="H331" i="11"/>
  <c r="G331" i="11"/>
  <c r="F331" i="11"/>
  <c r="E331" i="11"/>
  <c r="D331" i="11"/>
  <c r="C331" i="11"/>
  <c r="B331" i="11"/>
  <c r="A331" i="11"/>
  <c r="AC330" i="11"/>
  <c r="W330" i="11"/>
  <c r="V330" i="11"/>
  <c r="U330" i="11"/>
  <c r="T330" i="11"/>
  <c r="S330" i="11"/>
  <c r="R330" i="11"/>
  <c r="Q330" i="11"/>
  <c r="P330" i="11"/>
  <c r="O330" i="11"/>
  <c r="N330" i="11"/>
  <c r="M330" i="11"/>
  <c r="L330" i="11"/>
  <c r="K330" i="11"/>
  <c r="J330" i="11"/>
  <c r="I330" i="11"/>
  <c r="H330" i="11"/>
  <c r="G330" i="11"/>
  <c r="F330" i="11"/>
  <c r="E330" i="11"/>
  <c r="D330" i="11"/>
  <c r="C330" i="11"/>
  <c r="B330" i="11"/>
  <c r="A330" i="11"/>
  <c r="AL329" i="11"/>
  <c r="AK329" i="11"/>
  <c r="AJ329" i="11"/>
  <c r="AI329" i="11"/>
  <c r="AH329" i="11"/>
  <c r="AG329" i="11"/>
  <c r="AF329" i="11"/>
  <c r="AE329" i="11"/>
  <c r="AD329" i="11"/>
  <c r="AC329" i="11"/>
  <c r="AB329" i="11"/>
  <c r="AA329" i="11"/>
  <c r="Z329" i="11"/>
  <c r="Y329" i="11"/>
  <c r="X329" i="11"/>
  <c r="W329" i="11"/>
  <c r="V329" i="11"/>
  <c r="U329" i="11"/>
  <c r="T329" i="11"/>
  <c r="S329" i="11"/>
  <c r="R329" i="11"/>
  <c r="Q329" i="11"/>
  <c r="P329" i="11"/>
  <c r="O329" i="11"/>
  <c r="N329" i="11"/>
  <c r="M329" i="11"/>
  <c r="L329" i="11"/>
  <c r="K329" i="11"/>
  <c r="J329" i="11"/>
  <c r="I329" i="11"/>
  <c r="H329" i="11"/>
  <c r="G329" i="11"/>
  <c r="F329" i="11"/>
  <c r="E329" i="11"/>
  <c r="D329" i="11"/>
  <c r="C329" i="11"/>
  <c r="B329" i="11"/>
  <c r="A329" i="11"/>
  <c r="AL328" i="11"/>
  <c r="AK328" i="11"/>
  <c r="AJ328" i="11"/>
  <c r="AI328" i="11"/>
  <c r="AH328" i="11"/>
  <c r="AG328" i="11"/>
  <c r="AF328" i="11"/>
  <c r="AE328" i="11"/>
  <c r="AD328" i="11"/>
  <c r="AC328" i="11"/>
  <c r="AB328" i="11"/>
  <c r="AA328" i="11"/>
  <c r="Z328" i="11"/>
  <c r="Y328" i="11"/>
  <c r="X328" i="11"/>
  <c r="W328" i="11"/>
  <c r="V328" i="11"/>
  <c r="U328" i="11"/>
  <c r="T328" i="11"/>
  <c r="S328" i="11"/>
  <c r="R328" i="11"/>
  <c r="Q328" i="11"/>
  <c r="P328" i="11"/>
  <c r="O328" i="11"/>
  <c r="N328" i="11"/>
  <c r="M328" i="11"/>
  <c r="L328" i="11"/>
  <c r="K328" i="11"/>
  <c r="J328" i="11"/>
  <c r="I328" i="11"/>
  <c r="H328" i="11"/>
  <c r="G328" i="11"/>
  <c r="F328" i="11"/>
  <c r="E328" i="11"/>
  <c r="D328" i="11"/>
  <c r="C328" i="11"/>
  <c r="B328" i="11"/>
  <c r="A328" i="11"/>
  <c r="AC327" i="11"/>
  <c r="W327" i="11"/>
  <c r="V327" i="11"/>
  <c r="U327" i="11"/>
  <c r="T327" i="11"/>
  <c r="S327" i="11"/>
  <c r="R327" i="11"/>
  <c r="Q327" i="11"/>
  <c r="P327" i="11"/>
  <c r="O327" i="11"/>
  <c r="N327" i="11"/>
  <c r="M327" i="11"/>
  <c r="L327" i="11"/>
  <c r="K327" i="11"/>
  <c r="J327" i="11"/>
  <c r="I327" i="11"/>
  <c r="H327" i="11"/>
  <c r="G327" i="11"/>
  <c r="F327" i="11"/>
  <c r="E327" i="11"/>
  <c r="D327" i="11"/>
  <c r="C327" i="11"/>
  <c r="B327" i="11"/>
  <c r="A327" i="11"/>
  <c r="AC326" i="11"/>
  <c r="W326" i="11"/>
  <c r="V326" i="11"/>
  <c r="U326" i="11"/>
  <c r="T326" i="11"/>
  <c r="S326" i="11"/>
  <c r="R326" i="11"/>
  <c r="Q326" i="11"/>
  <c r="P326" i="11"/>
  <c r="O326" i="11"/>
  <c r="N326" i="11"/>
  <c r="M326" i="11"/>
  <c r="L326" i="11"/>
  <c r="K326" i="11"/>
  <c r="J326" i="11"/>
  <c r="I326" i="11"/>
  <c r="H326" i="11"/>
  <c r="G326" i="11"/>
  <c r="F326" i="11"/>
  <c r="E326" i="11"/>
  <c r="D326" i="11"/>
  <c r="C326" i="11"/>
  <c r="B326" i="11"/>
  <c r="A326" i="11"/>
  <c r="AL325" i="11"/>
  <c r="AK325" i="11"/>
  <c r="AJ325" i="11"/>
  <c r="AI325" i="11"/>
  <c r="AH325" i="11"/>
  <c r="AG325" i="11"/>
  <c r="AF325" i="11"/>
  <c r="AE325" i="11"/>
  <c r="AD325" i="11"/>
  <c r="AC325" i="11"/>
  <c r="AB325" i="11"/>
  <c r="AA325" i="11"/>
  <c r="Z325" i="11"/>
  <c r="Y325" i="11"/>
  <c r="X325" i="11"/>
  <c r="W325" i="11"/>
  <c r="V325" i="11"/>
  <c r="U325" i="11"/>
  <c r="T325" i="11"/>
  <c r="S325" i="11"/>
  <c r="R325" i="11"/>
  <c r="Q325" i="11"/>
  <c r="P325" i="11"/>
  <c r="O325" i="11"/>
  <c r="N325" i="11"/>
  <c r="M325" i="11"/>
  <c r="L325" i="11"/>
  <c r="K325" i="11"/>
  <c r="J325" i="11"/>
  <c r="I325" i="11"/>
  <c r="H325" i="11"/>
  <c r="G325" i="11"/>
  <c r="F325" i="11"/>
  <c r="E325" i="11"/>
  <c r="D325" i="11"/>
  <c r="C325" i="11"/>
  <c r="B325" i="11"/>
  <c r="A325" i="11"/>
  <c r="AF324" i="11"/>
  <c r="AD324" i="11"/>
  <c r="AC324" i="11"/>
  <c r="AB324" i="11"/>
  <c r="AA324" i="11"/>
  <c r="Y324" i="11"/>
  <c r="W324" i="11"/>
  <c r="V324" i="11"/>
  <c r="U324" i="11"/>
  <c r="T324" i="11"/>
  <c r="S324" i="11"/>
  <c r="R324" i="11"/>
  <c r="Q324" i="11"/>
  <c r="P324" i="11"/>
  <c r="O324" i="11"/>
  <c r="N324" i="11"/>
  <c r="M324" i="11"/>
  <c r="L324" i="11"/>
  <c r="K324" i="11"/>
  <c r="J324" i="11"/>
  <c r="I324" i="11"/>
  <c r="H324" i="11"/>
  <c r="G324" i="11"/>
  <c r="F324" i="11"/>
  <c r="E324" i="11"/>
  <c r="D324" i="11"/>
  <c r="C324" i="11"/>
  <c r="B324" i="11"/>
  <c r="A324" i="11"/>
  <c r="AL323" i="11"/>
  <c r="AK323" i="11"/>
  <c r="AJ323" i="11"/>
  <c r="AI323" i="11"/>
  <c r="AH323" i="11"/>
  <c r="AG323" i="11"/>
  <c r="AF323" i="11"/>
  <c r="AE323" i="11"/>
  <c r="AD323" i="11"/>
  <c r="AC323" i="11"/>
  <c r="AB323" i="11"/>
  <c r="AA323" i="11"/>
  <c r="Z323" i="11"/>
  <c r="Y323" i="11"/>
  <c r="X323" i="11"/>
  <c r="W323" i="11"/>
  <c r="V323" i="11"/>
  <c r="U323" i="11"/>
  <c r="T323" i="11"/>
  <c r="S323" i="11"/>
  <c r="R323" i="11"/>
  <c r="Q323" i="11"/>
  <c r="P323" i="11"/>
  <c r="O323" i="11"/>
  <c r="N323" i="11"/>
  <c r="M323" i="11"/>
  <c r="L323" i="11"/>
  <c r="K323" i="11"/>
  <c r="J323" i="11"/>
  <c r="I323" i="11"/>
  <c r="H323" i="11"/>
  <c r="G323" i="11"/>
  <c r="F323" i="11"/>
  <c r="E323" i="11"/>
  <c r="D323" i="11"/>
  <c r="C323" i="11"/>
  <c r="B323" i="11"/>
  <c r="A323" i="11"/>
  <c r="AL322" i="11"/>
  <c r="AK322" i="11"/>
  <c r="AJ322" i="11"/>
  <c r="AI322" i="11"/>
  <c r="AH322" i="11"/>
  <c r="AG322" i="11"/>
  <c r="AF322" i="11"/>
  <c r="AE322" i="11"/>
  <c r="AD322" i="11"/>
  <c r="AC322" i="11"/>
  <c r="AB322" i="11"/>
  <c r="AA322" i="11"/>
  <c r="Z322" i="11"/>
  <c r="Y322" i="11"/>
  <c r="X322" i="11"/>
  <c r="W322" i="11"/>
  <c r="V322" i="11"/>
  <c r="U322" i="11"/>
  <c r="T322" i="11"/>
  <c r="S322" i="11"/>
  <c r="R322" i="11"/>
  <c r="Q322" i="11"/>
  <c r="P322" i="11"/>
  <c r="O322" i="11"/>
  <c r="N322" i="11"/>
  <c r="M322" i="11"/>
  <c r="L322" i="11"/>
  <c r="K322" i="11"/>
  <c r="J322" i="11"/>
  <c r="I322" i="11"/>
  <c r="H322" i="11"/>
  <c r="G322" i="11"/>
  <c r="F322" i="11"/>
  <c r="E322" i="11"/>
  <c r="D322" i="11"/>
  <c r="C322" i="11"/>
  <c r="B322" i="11"/>
  <c r="A322" i="11"/>
  <c r="AL321" i="11"/>
  <c r="AK321" i="11"/>
  <c r="AJ321" i="11"/>
  <c r="AI321" i="11"/>
  <c r="AH321" i="11"/>
  <c r="AG321" i="11"/>
  <c r="AF321" i="11"/>
  <c r="AE321" i="11"/>
  <c r="AD321" i="11"/>
  <c r="AC321" i="11"/>
  <c r="AB321" i="11"/>
  <c r="AA321" i="11"/>
  <c r="Z321" i="11"/>
  <c r="Y321" i="11"/>
  <c r="X321" i="11"/>
  <c r="W321" i="11"/>
  <c r="V321" i="11"/>
  <c r="U321" i="11"/>
  <c r="T321" i="11"/>
  <c r="S321" i="11"/>
  <c r="R321" i="11"/>
  <c r="Q321" i="11"/>
  <c r="P321" i="11"/>
  <c r="O321" i="11"/>
  <c r="N321" i="11"/>
  <c r="M321" i="11"/>
  <c r="L321" i="11"/>
  <c r="K321" i="11"/>
  <c r="J321" i="11"/>
  <c r="I321" i="11"/>
  <c r="H321" i="11"/>
  <c r="G321" i="11"/>
  <c r="F321" i="11"/>
  <c r="E321" i="11"/>
  <c r="D321" i="11"/>
  <c r="C321" i="11"/>
  <c r="B321" i="11"/>
  <c r="A321" i="11"/>
  <c r="AL320" i="11"/>
  <c r="AK320" i="11"/>
  <c r="AJ320" i="11"/>
  <c r="AI320" i="11"/>
  <c r="AH320" i="11"/>
  <c r="AG320" i="11"/>
  <c r="AF320" i="11"/>
  <c r="AE320" i="11"/>
  <c r="AD320" i="11"/>
  <c r="AC320" i="11"/>
  <c r="AB320" i="11"/>
  <c r="AA320" i="11"/>
  <c r="Z320" i="11"/>
  <c r="Y320" i="11"/>
  <c r="X320" i="11"/>
  <c r="W320" i="11"/>
  <c r="V320" i="11"/>
  <c r="U320" i="11"/>
  <c r="T320" i="11"/>
  <c r="S320" i="11"/>
  <c r="R320" i="11"/>
  <c r="Q320" i="11"/>
  <c r="P320" i="11"/>
  <c r="O320" i="11"/>
  <c r="N320" i="11"/>
  <c r="M320" i="11"/>
  <c r="L320" i="11"/>
  <c r="K320" i="11"/>
  <c r="J320" i="11"/>
  <c r="I320" i="11"/>
  <c r="H320" i="11"/>
  <c r="G320" i="11"/>
  <c r="F320" i="11"/>
  <c r="E320" i="11"/>
  <c r="D320" i="11"/>
  <c r="C320" i="11"/>
  <c r="B320" i="11"/>
  <c r="A320" i="11"/>
  <c r="AL319" i="11"/>
  <c r="AK319" i="11"/>
  <c r="AJ319" i="11"/>
  <c r="AI319" i="11"/>
  <c r="AH319" i="11"/>
  <c r="AG319" i="11"/>
  <c r="AF319" i="11"/>
  <c r="AE319" i="11"/>
  <c r="AD319" i="11"/>
  <c r="AC319" i="11"/>
  <c r="AB319" i="11"/>
  <c r="AA319" i="11"/>
  <c r="Z319" i="11"/>
  <c r="Y319" i="11"/>
  <c r="X319" i="11"/>
  <c r="W319" i="11"/>
  <c r="V319" i="11"/>
  <c r="U319" i="11"/>
  <c r="T319" i="11"/>
  <c r="S319" i="11"/>
  <c r="R319" i="11"/>
  <c r="Q319" i="11"/>
  <c r="P319" i="11"/>
  <c r="O319" i="11"/>
  <c r="N319" i="11"/>
  <c r="M319" i="11"/>
  <c r="L319" i="11"/>
  <c r="K319" i="11"/>
  <c r="J319" i="11"/>
  <c r="I319" i="11"/>
  <c r="H319" i="11"/>
  <c r="G319" i="11"/>
  <c r="F319" i="11"/>
  <c r="E319" i="11"/>
  <c r="D319" i="11"/>
  <c r="C319" i="11"/>
  <c r="B319" i="11"/>
  <c r="A319" i="11"/>
  <c r="AL318" i="11"/>
  <c r="AK318" i="11"/>
  <c r="AJ318" i="11"/>
  <c r="AI318" i="11"/>
  <c r="AH318" i="11"/>
  <c r="AG318" i="11"/>
  <c r="AF318" i="11"/>
  <c r="AE318" i="11"/>
  <c r="AD318" i="11"/>
  <c r="AC318" i="11"/>
  <c r="AB318" i="11"/>
  <c r="AA318" i="11"/>
  <c r="Z318" i="11"/>
  <c r="Y318" i="11"/>
  <c r="X318" i="11"/>
  <c r="W318" i="11"/>
  <c r="V318" i="11"/>
  <c r="U318" i="11"/>
  <c r="T318" i="11"/>
  <c r="S318" i="11"/>
  <c r="R318" i="11"/>
  <c r="Q318" i="11"/>
  <c r="P318" i="11"/>
  <c r="O318" i="11"/>
  <c r="N318" i="11"/>
  <c r="M318" i="11"/>
  <c r="L318" i="11"/>
  <c r="K318" i="11"/>
  <c r="J318" i="11"/>
  <c r="I318" i="11"/>
  <c r="H318" i="11"/>
  <c r="G318" i="11"/>
  <c r="F318" i="11"/>
  <c r="E318" i="11"/>
  <c r="D318" i="11"/>
  <c r="C318" i="11"/>
  <c r="B318" i="11"/>
  <c r="A318" i="11"/>
  <c r="AL317" i="11"/>
  <c r="AK317" i="11"/>
  <c r="AJ317" i="11"/>
  <c r="AI317" i="11"/>
  <c r="AH317" i="11"/>
  <c r="AG317" i="11"/>
  <c r="AF317" i="11"/>
  <c r="AE317" i="11"/>
  <c r="AD317" i="11"/>
  <c r="AC317" i="11"/>
  <c r="AB317" i="11"/>
  <c r="AA317" i="11"/>
  <c r="Z317" i="11"/>
  <c r="Y317" i="11"/>
  <c r="X317" i="11"/>
  <c r="W317" i="11"/>
  <c r="V317" i="11"/>
  <c r="U317" i="11"/>
  <c r="T317" i="11"/>
  <c r="S317" i="11"/>
  <c r="R317" i="11"/>
  <c r="Q317" i="11"/>
  <c r="P317" i="11"/>
  <c r="O317" i="11"/>
  <c r="N317" i="11"/>
  <c r="M317" i="11"/>
  <c r="L317" i="11"/>
  <c r="K317" i="11"/>
  <c r="J317" i="11"/>
  <c r="I317" i="11"/>
  <c r="H317" i="11"/>
  <c r="G317" i="11"/>
  <c r="F317" i="11"/>
  <c r="E317" i="11"/>
  <c r="D317" i="11"/>
  <c r="C317" i="11"/>
  <c r="B317" i="11"/>
  <c r="A317" i="11"/>
  <c r="AL316" i="11"/>
  <c r="AK316" i="11"/>
  <c r="AJ316" i="11"/>
  <c r="AI316" i="11"/>
  <c r="AH316" i="11"/>
  <c r="AG316" i="11"/>
  <c r="AF316" i="11"/>
  <c r="AE316" i="11"/>
  <c r="AD316" i="11"/>
  <c r="AC316" i="11"/>
  <c r="AB316" i="11"/>
  <c r="AA316" i="11"/>
  <c r="Z316" i="11"/>
  <c r="Y316" i="11"/>
  <c r="X316" i="11"/>
  <c r="W316" i="11"/>
  <c r="V316" i="11"/>
  <c r="U316" i="11"/>
  <c r="T316" i="11"/>
  <c r="S316" i="11"/>
  <c r="R316" i="11"/>
  <c r="Q316" i="11"/>
  <c r="P316" i="11"/>
  <c r="O316" i="11"/>
  <c r="N316" i="11"/>
  <c r="M316" i="11"/>
  <c r="L316" i="11"/>
  <c r="K316" i="11"/>
  <c r="J316" i="11"/>
  <c r="I316" i="11"/>
  <c r="H316" i="11"/>
  <c r="G316" i="11"/>
  <c r="F316" i="11"/>
  <c r="E316" i="11"/>
  <c r="D316" i="11"/>
  <c r="C316" i="11"/>
  <c r="B316" i="11"/>
  <c r="A316" i="11"/>
  <c r="AL315" i="11"/>
  <c r="AK315" i="11"/>
  <c r="AJ315" i="11"/>
  <c r="AI315" i="11"/>
  <c r="AH315" i="11"/>
  <c r="AG315" i="11"/>
  <c r="AF315" i="11"/>
  <c r="AE315" i="11"/>
  <c r="AD315" i="11"/>
  <c r="AC315" i="11"/>
  <c r="AB315" i="11"/>
  <c r="AA315" i="11"/>
  <c r="Z315" i="11"/>
  <c r="Y315" i="11"/>
  <c r="X315" i="11"/>
  <c r="W315" i="11"/>
  <c r="V315" i="11"/>
  <c r="U315" i="11"/>
  <c r="T315" i="11"/>
  <c r="S315" i="11"/>
  <c r="R315" i="11"/>
  <c r="Q315" i="11"/>
  <c r="P315" i="11"/>
  <c r="O315" i="11"/>
  <c r="N315" i="11"/>
  <c r="M315" i="11"/>
  <c r="L315" i="11"/>
  <c r="K315" i="11"/>
  <c r="J315" i="11"/>
  <c r="I315" i="11"/>
  <c r="H315" i="11"/>
  <c r="G315" i="11"/>
  <c r="F315" i="11"/>
  <c r="E315" i="11"/>
  <c r="D315" i="11"/>
  <c r="C315" i="11"/>
  <c r="B315" i="11"/>
  <c r="A315" i="11"/>
  <c r="AL314" i="11"/>
  <c r="AK314" i="11"/>
  <c r="AJ314" i="11"/>
  <c r="AI314" i="11"/>
  <c r="AH314" i="11"/>
  <c r="AG314" i="11"/>
  <c r="AF314" i="11"/>
  <c r="AE314" i="11"/>
  <c r="AD314" i="11"/>
  <c r="AC314" i="11"/>
  <c r="AB314" i="11"/>
  <c r="AA314" i="11"/>
  <c r="Z314" i="11"/>
  <c r="Y314" i="11"/>
  <c r="X314" i="11"/>
  <c r="W314" i="11"/>
  <c r="V314" i="11"/>
  <c r="U314" i="11"/>
  <c r="T314" i="11"/>
  <c r="S314" i="11"/>
  <c r="R314" i="11"/>
  <c r="Q314" i="11"/>
  <c r="P314" i="11"/>
  <c r="O314" i="11"/>
  <c r="N314" i="11"/>
  <c r="M314" i="11"/>
  <c r="L314" i="11"/>
  <c r="K314" i="11"/>
  <c r="J314" i="11"/>
  <c r="I314" i="11"/>
  <c r="H314" i="11"/>
  <c r="G314" i="11"/>
  <c r="F314" i="11"/>
  <c r="E314" i="11"/>
  <c r="D314" i="11"/>
  <c r="C314" i="11"/>
  <c r="B314" i="11"/>
  <c r="A314" i="11"/>
  <c r="AC313" i="11"/>
  <c r="Y313" i="11"/>
  <c r="W313" i="11"/>
  <c r="V313" i="11"/>
  <c r="U313" i="11"/>
  <c r="T313" i="11"/>
  <c r="S313" i="11"/>
  <c r="R313" i="11"/>
  <c r="Q313" i="11"/>
  <c r="P313" i="11"/>
  <c r="O313" i="11"/>
  <c r="N313" i="11"/>
  <c r="M313" i="11"/>
  <c r="L313" i="11"/>
  <c r="K313" i="11"/>
  <c r="J313" i="11"/>
  <c r="I313" i="11"/>
  <c r="H313" i="11"/>
  <c r="G313" i="11"/>
  <c r="F313" i="11"/>
  <c r="E313" i="11"/>
  <c r="D313" i="11"/>
  <c r="C313" i="11"/>
  <c r="B313" i="11"/>
  <c r="A313" i="11"/>
  <c r="AL312" i="11"/>
  <c r="AK312" i="11"/>
  <c r="AJ312" i="11"/>
  <c r="AI312" i="11"/>
  <c r="AH312" i="11"/>
  <c r="AG312" i="11"/>
  <c r="AF312" i="11"/>
  <c r="AE312" i="11"/>
  <c r="AD312" i="11"/>
  <c r="AC312" i="11"/>
  <c r="AB312" i="11"/>
  <c r="AA312" i="11"/>
  <c r="Z312" i="11"/>
  <c r="Y312" i="11"/>
  <c r="X312" i="11"/>
  <c r="W312" i="11"/>
  <c r="V312" i="11"/>
  <c r="U312" i="11"/>
  <c r="T312" i="11"/>
  <c r="S312" i="11"/>
  <c r="R312" i="11"/>
  <c r="Q312" i="11"/>
  <c r="P312" i="11"/>
  <c r="O312" i="11"/>
  <c r="N312" i="11"/>
  <c r="M312" i="11"/>
  <c r="L312" i="11"/>
  <c r="K312" i="11"/>
  <c r="J312" i="11"/>
  <c r="I312" i="11"/>
  <c r="H312" i="11"/>
  <c r="G312" i="11"/>
  <c r="F312" i="11"/>
  <c r="E312" i="11"/>
  <c r="D312" i="11"/>
  <c r="C312" i="11"/>
  <c r="B312" i="11"/>
  <c r="A312" i="11"/>
  <c r="AL311" i="11"/>
  <c r="AK311" i="11"/>
  <c r="AJ311" i="11"/>
  <c r="AI311" i="11"/>
  <c r="AH311" i="11"/>
  <c r="AG311" i="11"/>
  <c r="AF311" i="11"/>
  <c r="AE311" i="11"/>
  <c r="AD311" i="11"/>
  <c r="AC311" i="11"/>
  <c r="AB311" i="11"/>
  <c r="AA311" i="11"/>
  <c r="Z311" i="11"/>
  <c r="Y311" i="11"/>
  <c r="X311" i="11"/>
  <c r="W311" i="11"/>
  <c r="V311" i="11"/>
  <c r="U311" i="11"/>
  <c r="T311" i="11"/>
  <c r="S311" i="11"/>
  <c r="R311" i="11"/>
  <c r="Q311" i="11"/>
  <c r="P311" i="11"/>
  <c r="O311" i="11"/>
  <c r="N311" i="11"/>
  <c r="M311" i="11"/>
  <c r="L311" i="11"/>
  <c r="K311" i="11"/>
  <c r="J311" i="11"/>
  <c r="I311" i="11"/>
  <c r="H311" i="11"/>
  <c r="G311" i="11"/>
  <c r="F311" i="11"/>
  <c r="E311" i="11"/>
  <c r="D311" i="11"/>
  <c r="C311" i="11"/>
  <c r="B311" i="11"/>
  <c r="A311" i="11"/>
  <c r="AL310" i="11"/>
  <c r="AK310" i="11"/>
  <c r="AJ310" i="11"/>
  <c r="AI310" i="11"/>
  <c r="AH310" i="11"/>
  <c r="AG310" i="11"/>
  <c r="AF310" i="11"/>
  <c r="AE310" i="11"/>
  <c r="AD310" i="11"/>
  <c r="AC310" i="11"/>
  <c r="AB310" i="11"/>
  <c r="AA310" i="11"/>
  <c r="Z310" i="11"/>
  <c r="Y310" i="11"/>
  <c r="X310" i="11"/>
  <c r="W310" i="11"/>
  <c r="V310" i="11"/>
  <c r="U310" i="11"/>
  <c r="T310" i="11"/>
  <c r="S310" i="11"/>
  <c r="R310" i="11"/>
  <c r="Q310" i="11"/>
  <c r="P310" i="11"/>
  <c r="O310" i="11"/>
  <c r="N310" i="11"/>
  <c r="M310" i="11"/>
  <c r="L310" i="11"/>
  <c r="K310" i="11"/>
  <c r="J310" i="11"/>
  <c r="I310" i="11"/>
  <c r="H310" i="11"/>
  <c r="G310" i="11"/>
  <c r="F310" i="11"/>
  <c r="E310" i="11"/>
  <c r="D310" i="11"/>
  <c r="C310" i="11"/>
  <c r="B310" i="11"/>
  <c r="A310" i="11"/>
  <c r="AC309" i="11"/>
  <c r="W309" i="11"/>
  <c r="V309" i="11"/>
  <c r="U309" i="11"/>
  <c r="T309" i="11"/>
  <c r="S309" i="11"/>
  <c r="R309" i="11"/>
  <c r="Q309" i="11"/>
  <c r="P309" i="11"/>
  <c r="O309" i="11"/>
  <c r="N309" i="11"/>
  <c r="M309" i="11"/>
  <c r="L309" i="11"/>
  <c r="K309" i="11"/>
  <c r="J309" i="11"/>
  <c r="I309" i="11"/>
  <c r="H309" i="11"/>
  <c r="G309" i="11"/>
  <c r="F309" i="11"/>
  <c r="E309" i="11"/>
  <c r="D309" i="11"/>
  <c r="C309" i="11"/>
  <c r="B309" i="11"/>
  <c r="A309" i="11"/>
  <c r="AL308" i="11"/>
  <c r="AK308" i="11"/>
  <c r="AJ308" i="11"/>
  <c r="AI308" i="11"/>
  <c r="AH308" i="11"/>
  <c r="AG308" i="11"/>
  <c r="AF308" i="11"/>
  <c r="AE308" i="11"/>
  <c r="AD308" i="11"/>
  <c r="AC308" i="11"/>
  <c r="AB308" i="11"/>
  <c r="AA308" i="11"/>
  <c r="Z308" i="11"/>
  <c r="Y308" i="11"/>
  <c r="X308" i="11"/>
  <c r="W308" i="11"/>
  <c r="V308" i="11"/>
  <c r="U308" i="11"/>
  <c r="T308" i="11"/>
  <c r="S308" i="11"/>
  <c r="R308" i="11"/>
  <c r="Q308" i="11"/>
  <c r="P308" i="11"/>
  <c r="O308" i="11"/>
  <c r="N308" i="11"/>
  <c r="M308" i="11"/>
  <c r="L308" i="11"/>
  <c r="K308" i="11"/>
  <c r="J308" i="11"/>
  <c r="I308" i="11"/>
  <c r="H308" i="11"/>
  <c r="G308" i="11"/>
  <c r="F308" i="11"/>
  <c r="E308" i="11"/>
  <c r="D308" i="11"/>
  <c r="C308" i="11"/>
  <c r="B308" i="11"/>
  <c r="A308" i="11"/>
  <c r="AL307" i="11"/>
  <c r="AK307" i="11"/>
  <c r="AJ307" i="11"/>
  <c r="AI307" i="11"/>
  <c r="AH307" i="11"/>
  <c r="AG307" i="11"/>
  <c r="AF307" i="11"/>
  <c r="AE307" i="11"/>
  <c r="AD307" i="11"/>
  <c r="AC307" i="11"/>
  <c r="AB307" i="11"/>
  <c r="AA307" i="11"/>
  <c r="Z307" i="11"/>
  <c r="Y307" i="11"/>
  <c r="X307" i="11"/>
  <c r="W307" i="11"/>
  <c r="V307" i="11"/>
  <c r="U307" i="11"/>
  <c r="T307" i="11"/>
  <c r="S307" i="11"/>
  <c r="R307" i="11"/>
  <c r="Q307" i="11"/>
  <c r="P307" i="11"/>
  <c r="O307" i="11"/>
  <c r="N307" i="11"/>
  <c r="M307" i="11"/>
  <c r="L307" i="11"/>
  <c r="K307" i="11"/>
  <c r="J307" i="11"/>
  <c r="I307" i="11"/>
  <c r="H307" i="11"/>
  <c r="G307" i="11"/>
  <c r="F307" i="11"/>
  <c r="E307" i="11"/>
  <c r="D307" i="11"/>
  <c r="C307" i="11"/>
  <c r="B307" i="11"/>
  <c r="A307" i="11"/>
  <c r="AL306" i="11"/>
  <c r="AK306" i="11"/>
  <c r="AJ306" i="11"/>
  <c r="AI306" i="11"/>
  <c r="AH306" i="11"/>
  <c r="AG306" i="11"/>
  <c r="AF306" i="11"/>
  <c r="AE306" i="11"/>
  <c r="AD306" i="11"/>
  <c r="AC306" i="11"/>
  <c r="AB306" i="11"/>
  <c r="AA306" i="11"/>
  <c r="Z306" i="11"/>
  <c r="Y306" i="11"/>
  <c r="X306" i="11"/>
  <c r="W306" i="11"/>
  <c r="V306" i="11"/>
  <c r="U306" i="11"/>
  <c r="T306" i="11"/>
  <c r="S306" i="11"/>
  <c r="R306" i="11"/>
  <c r="Q306" i="11"/>
  <c r="P306" i="11"/>
  <c r="O306" i="11"/>
  <c r="N306" i="11"/>
  <c r="M306" i="11"/>
  <c r="L306" i="11"/>
  <c r="K306" i="11"/>
  <c r="J306" i="11"/>
  <c r="I306" i="11"/>
  <c r="H306" i="11"/>
  <c r="G306" i="11"/>
  <c r="F306" i="11"/>
  <c r="E306" i="11"/>
  <c r="D306" i="11"/>
  <c r="C306" i="11"/>
  <c r="B306" i="11"/>
  <c r="A306" i="11"/>
  <c r="AL305" i="11"/>
  <c r="AK305" i="11"/>
  <c r="AJ305" i="11"/>
  <c r="AI305" i="11"/>
  <c r="AH305" i="11"/>
  <c r="AG305" i="11"/>
  <c r="AF305" i="11"/>
  <c r="AE305" i="11"/>
  <c r="AD305" i="11"/>
  <c r="AC305" i="11"/>
  <c r="AB305" i="11"/>
  <c r="AA305" i="11"/>
  <c r="Z305" i="11"/>
  <c r="Y305" i="11"/>
  <c r="X305" i="11"/>
  <c r="W305" i="11"/>
  <c r="V305" i="11"/>
  <c r="U305" i="11"/>
  <c r="T305" i="11"/>
  <c r="S305" i="11"/>
  <c r="R305" i="11"/>
  <c r="Q305" i="11"/>
  <c r="P305" i="11"/>
  <c r="O305" i="11"/>
  <c r="N305" i="11"/>
  <c r="M305" i="11"/>
  <c r="L305" i="11"/>
  <c r="K305" i="11"/>
  <c r="J305" i="11"/>
  <c r="I305" i="11"/>
  <c r="H305" i="11"/>
  <c r="G305" i="11"/>
  <c r="F305" i="11"/>
  <c r="E305" i="11"/>
  <c r="D305" i="11"/>
  <c r="C305" i="11"/>
  <c r="B305" i="11"/>
  <c r="A305" i="11"/>
  <c r="AL304" i="11"/>
  <c r="AK304" i="11"/>
  <c r="AJ304" i="11"/>
  <c r="AI304" i="11"/>
  <c r="AH304" i="11"/>
  <c r="AG304" i="11"/>
  <c r="AF304" i="11"/>
  <c r="AE304" i="11"/>
  <c r="AD304" i="11"/>
  <c r="AC304" i="11"/>
  <c r="AB304" i="11"/>
  <c r="AA304" i="11"/>
  <c r="Z304" i="11"/>
  <c r="Y304" i="11"/>
  <c r="X304" i="11"/>
  <c r="W304" i="11"/>
  <c r="V304" i="11"/>
  <c r="U304" i="11"/>
  <c r="T304" i="11"/>
  <c r="S304" i="11"/>
  <c r="R304" i="11"/>
  <c r="Q304" i="11"/>
  <c r="P304" i="11"/>
  <c r="O304" i="11"/>
  <c r="N304" i="11"/>
  <c r="M304" i="11"/>
  <c r="L304" i="11"/>
  <c r="K304" i="11"/>
  <c r="J304" i="11"/>
  <c r="I304" i="11"/>
  <c r="H304" i="11"/>
  <c r="G304" i="11"/>
  <c r="F304" i="11"/>
  <c r="E304" i="11"/>
  <c r="D304" i="11"/>
  <c r="C304" i="11"/>
  <c r="B304" i="11"/>
  <c r="A304" i="11"/>
  <c r="AL303" i="11"/>
  <c r="AK303" i="11"/>
  <c r="AJ303" i="11"/>
  <c r="AI303" i="11"/>
  <c r="AH303" i="11"/>
  <c r="AG303" i="11"/>
  <c r="AF303" i="11"/>
  <c r="AE303" i="11"/>
  <c r="AD303" i="11"/>
  <c r="AC303" i="11"/>
  <c r="AB303" i="11"/>
  <c r="AA303" i="11"/>
  <c r="Z303" i="11"/>
  <c r="Y303" i="11"/>
  <c r="X303" i="11"/>
  <c r="W303" i="11"/>
  <c r="V303" i="11"/>
  <c r="U303" i="11"/>
  <c r="T303" i="11"/>
  <c r="S303" i="11"/>
  <c r="R303" i="11"/>
  <c r="Q303" i="11"/>
  <c r="P303" i="11"/>
  <c r="O303" i="11"/>
  <c r="N303" i="11"/>
  <c r="M303" i="11"/>
  <c r="L303" i="11"/>
  <c r="K303" i="11"/>
  <c r="J303" i="11"/>
  <c r="I303" i="11"/>
  <c r="H303" i="11"/>
  <c r="G303" i="11"/>
  <c r="F303" i="11"/>
  <c r="E303" i="11"/>
  <c r="D303" i="11"/>
  <c r="C303" i="11"/>
  <c r="B303" i="11"/>
  <c r="A303" i="11"/>
  <c r="AC302" i="11"/>
  <c r="W302" i="11"/>
  <c r="V302" i="11"/>
  <c r="U302" i="11"/>
  <c r="T302" i="11"/>
  <c r="S302" i="11"/>
  <c r="R302" i="11"/>
  <c r="Q302" i="11"/>
  <c r="P302" i="11"/>
  <c r="O302" i="11"/>
  <c r="N302" i="11"/>
  <c r="M302" i="11"/>
  <c r="L302" i="11"/>
  <c r="K302" i="11"/>
  <c r="J302" i="11"/>
  <c r="I302" i="11"/>
  <c r="H302" i="11"/>
  <c r="G302" i="11"/>
  <c r="F302" i="11"/>
  <c r="E302" i="11"/>
  <c r="D302" i="11"/>
  <c r="C302" i="11"/>
  <c r="B302" i="11"/>
  <c r="A302" i="11"/>
  <c r="AF301" i="11"/>
  <c r="AD301" i="11"/>
  <c r="AC301" i="11"/>
  <c r="AB301" i="11"/>
  <c r="AA301" i="11"/>
  <c r="Y301" i="11"/>
  <c r="W301" i="11"/>
  <c r="V301" i="11"/>
  <c r="U301" i="11"/>
  <c r="T301" i="11"/>
  <c r="S301" i="11"/>
  <c r="R301" i="11"/>
  <c r="Q301" i="11"/>
  <c r="P301" i="11"/>
  <c r="O301" i="11"/>
  <c r="N301" i="11"/>
  <c r="M301" i="11"/>
  <c r="L301" i="11"/>
  <c r="K301" i="11"/>
  <c r="J301" i="11"/>
  <c r="I301" i="11"/>
  <c r="H301" i="11"/>
  <c r="G301" i="11"/>
  <c r="F301" i="11"/>
  <c r="E301" i="11"/>
  <c r="D301" i="11"/>
  <c r="C301" i="11"/>
  <c r="B301" i="11"/>
  <c r="A301" i="11"/>
  <c r="AL300" i="11"/>
  <c r="AK300" i="11"/>
  <c r="AJ300" i="11"/>
  <c r="AI300" i="11"/>
  <c r="AH300" i="11"/>
  <c r="AG300" i="11"/>
  <c r="AF300" i="11"/>
  <c r="AE300" i="11"/>
  <c r="AD300" i="11"/>
  <c r="AC300" i="11"/>
  <c r="AB300" i="11"/>
  <c r="AA300" i="11"/>
  <c r="Z300" i="11"/>
  <c r="Y300" i="11"/>
  <c r="X300" i="11"/>
  <c r="W300" i="11"/>
  <c r="V300" i="11"/>
  <c r="U300" i="11"/>
  <c r="T300" i="11"/>
  <c r="S300" i="11"/>
  <c r="R300" i="11"/>
  <c r="Q300" i="11"/>
  <c r="P300" i="11"/>
  <c r="O300" i="11"/>
  <c r="N300" i="11"/>
  <c r="M300" i="11"/>
  <c r="L300" i="11"/>
  <c r="K300" i="11"/>
  <c r="J300" i="11"/>
  <c r="I300" i="11"/>
  <c r="H300" i="11"/>
  <c r="G300" i="11"/>
  <c r="F300" i="11"/>
  <c r="E300" i="11"/>
  <c r="D300" i="11"/>
  <c r="C300" i="11"/>
  <c r="B300" i="11"/>
  <c r="A300" i="11"/>
  <c r="AL299" i="11"/>
  <c r="AK299" i="11"/>
  <c r="AJ299" i="11"/>
  <c r="AI299" i="11"/>
  <c r="AH299" i="11"/>
  <c r="AG299" i="11"/>
  <c r="AF299" i="11"/>
  <c r="AE299" i="11"/>
  <c r="AD299" i="11"/>
  <c r="AC299" i="11"/>
  <c r="AB299" i="11"/>
  <c r="AA299" i="11"/>
  <c r="Z299" i="11"/>
  <c r="Y299" i="11"/>
  <c r="X299" i="11"/>
  <c r="W299" i="11"/>
  <c r="V299" i="11"/>
  <c r="U299" i="11"/>
  <c r="T299" i="11"/>
  <c r="S299" i="11"/>
  <c r="R299" i="11"/>
  <c r="Q299" i="11"/>
  <c r="P299" i="11"/>
  <c r="O299" i="11"/>
  <c r="N299" i="11"/>
  <c r="M299" i="11"/>
  <c r="L299" i="11"/>
  <c r="K299" i="11"/>
  <c r="J299" i="11"/>
  <c r="I299" i="11"/>
  <c r="H299" i="11"/>
  <c r="G299" i="11"/>
  <c r="F299" i="11"/>
  <c r="E299" i="11"/>
  <c r="D299" i="11"/>
  <c r="C299" i="11"/>
  <c r="B299" i="11"/>
  <c r="A299" i="11"/>
  <c r="AL298" i="11"/>
  <c r="AK298" i="11"/>
  <c r="AJ298" i="11"/>
  <c r="AI298" i="11"/>
  <c r="AH298" i="11"/>
  <c r="AG298" i="11"/>
  <c r="AF298" i="11"/>
  <c r="AE298" i="11"/>
  <c r="AD298" i="11"/>
  <c r="AC298" i="11"/>
  <c r="AB298" i="11"/>
  <c r="AA298" i="11"/>
  <c r="Z298" i="11"/>
  <c r="Y298" i="11"/>
  <c r="X298" i="11"/>
  <c r="W298" i="11"/>
  <c r="V298" i="11"/>
  <c r="U298" i="11"/>
  <c r="T298" i="11"/>
  <c r="S298" i="11"/>
  <c r="R298" i="11"/>
  <c r="Q298" i="11"/>
  <c r="P298" i="11"/>
  <c r="O298" i="11"/>
  <c r="N298" i="11"/>
  <c r="M298" i="11"/>
  <c r="L298" i="11"/>
  <c r="K298" i="11"/>
  <c r="J298" i="11"/>
  <c r="I298" i="11"/>
  <c r="H298" i="11"/>
  <c r="G298" i="11"/>
  <c r="F298" i="11"/>
  <c r="E298" i="11"/>
  <c r="D298" i="11"/>
  <c r="C298" i="11"/>
  <c r="B298" i="11"/>
  <c r="A298" i="11"/>
  <c r="AL297" i="11"/>
  <c r="AK297" i="11"/>
  <c r="AJ297" i="11"/>
  <c r="AI297" i="11"/>
  <c r="AH297" i="11"/>
  <c r="AG297" i="11"/>
  <c r="AF297" i="11"/>
  <c r="AE297" i="11"/>
  <c r="AD297" i="11"/>
  <c r="AC297" i="11"/>
  <c r="AB297" i="11"/>
  <c r="AA297" i="11"/>
  <c r="Z297" i="11"/>
  <c r="Y297" i="11"/>
  <c r="X297" i="11"/>
  <c r="W297" i="11"/>
  <c r="V297" i="11"/>
  <c r="U297" i="11"/>
  <c r="T297" i="11"/>
  <c r="S297" i="11"/>
  <c r="R297" i="11"/>
  <c r="Q297" i="11"/>
  <c r="P297" i="11"/>
  <c r="O297" i="11"/>
  <c r="N297" i="11"/>
  <c r="M297" i="11"/>
  <c r="L297" i="11"/>
  <c r="K297" i="11"/>
  <c r="J297" i="11"/>
  <c r="I297" i="11"/>
  <c r="H297" i="11"/>
  <c r="G297" i="11"/>
  <c r="F297" i="11"/>
  <c r="E297" i="11"/>
  <c r="D297" i="11"/>
  <c r="C297" i="11"/>
  <c r="B297" i="11"/>
  <c r="A297" i="11"/>
  <c r="AC296" i="11"/>
  <c r="Y296" i="11"/>
  <c r="W296" i="11"/>
  <c r="V296" i="11"/>
  <c r="U296" i="11"/>
  <c r="T296" i="11"/>
  <c r="S296" i="11"/>
  <c r="R296" i="11"/>
  <c r="Q296" i="11"/>
  <c r="P296" i="11"/>
  <c r="O296" i="11"/>
  <c r="N296" i="11"/>
  <c r="M296" i="11"/>
  <c r="L296" i="11"/>
  <c r="K296" i="11"/>
  <c r="J296" i="11"/>
  <c r="I296" i="11"/>
  <c r="H296" i="11"/>
  <c r="G296" i="11"/>
  <c r="F296" i="11"/>
  <c r="E296" i="11"/>
  <c r="D296" i="11"/>
  <c r="C296" i="11"/>
  <c r="B296" i="11"/>
  <c r="A296" i="11"/>
  <c r="AL295" i="11"/>
  <c r="AK295" i="11"/>
  <c r="AJ295" i="11"/>
  <c r="AI295" i="11"/>
  <c r="AH295" i="11"/>
  <c r="AG295" i="11"/>
  <c r="AF295" i="11"/>
  <c r="AE295" i="11"/>
  <c r="AD295" i="11"/>
  <c r="AC295" i="11"/>
  <c r="AB295" i="11"/>
  <c r="AA295" i="11"/>
  <c r="Z295" i="11"/>
  <c r="Y295" i="11"/>
  <c r="X295" i="11"/>
  <c r="W295" i="11"/>
  <c r="V295" i="11"/>
  <c r="U295" i="11"/>
  <c r="T295" i="11"/>
  <c r="S295" i="11"/>
  <c r="R295" i="11"/>
  <c r="Q295" i="11"/>
  <c r="P295" i="11"/>
  <c r="O295" i="11"/>
  <c r="N295" i="11"/>
  <c r="M295" i="11"/>
  <c r="L295" i="11"/>
  <c r="K295" i="11"/>
  <c r="J295" i="11"/>
  <c r="I295" i="11"/>
  <c r="H295" i="11"/>
  <c r="G295" i="11"/>
  <c r="F295" i="11"/>
  <c r="E295" i="11"/>
  <c r="D295" i="11"/>
  <c r="C295" i="11"/>
  <c r="B295" i="11"/>
  <c r="A295" i="11"/>
  <c r="AL294" i="11"/>
  <c r="AK294" i="11"/>
  <c r="AJ294" i="11"/>
  <c r="AI294" i="11"/>
  <c r="AH294" i="11"/>
  <c r="AG294" i="11"/>
  <c r="AF294" i="11"/>
  <c r="AE294" i="11"/>
  <c r="AD294" i="11"/>
  <c r="AC294" i="11"/>
  <c r="AB294" i="11"/>
  <c r="AA294" i="11"/>
  <c r="Z294" i="11"/>
  <c r="Y294" i="11"/>
  <c r="X294" i="11"/>
  <c r="W294" i="11"/>
  <c r="V294" i="11"/>
  <c r="U294" i="11"/>
  <c r="T294" i="11"/>
  <c r="S294" i="11"/>
  <c r="R294" i="11"/>
  <c r="Q294" i="11"/>
  <c r="P294" i="11"/>
  <c r="O294" i="11"/>
  <c r="N294" i="11"/>
  <c r="M294" i="11"/>
  <c r="L294" i="11"/>
  <c r="K294" i="11"/>
  <c r="J294" i="11"/>
  <c r="I294" i="11"/>
  <c r="H294" i="11"/>
  <c r="G294" i="11"/>
  <c r="F294" i="11"/>
  <c r="E294" i="11"/>
  <c r="D294" i="11"/>
  <c r="C294" i="11"/>
  <c r="B294" i="11"/>
  <c r="A294" i="11"/>
  <c r="AL293" i="11"/>
  <c r="AK293" i="11"/>
  <c r="AJ293" i="11"/>
  <c r="AI293" i="11"/>
  <c r="AH293" i="11"/>
  <c r="AG293" i="11"/>
  <c r="AF293" i="11"/>
  <c r="AE293" i="11"/>
  <c r="AD293" i="11"/>
  <c r="AC293" i="11"/>
  <c r="AB293" i="11"/>
  <c r="AA293" i="11"/>
  <c r="Z293" i="11"/>
  <c r="Y293" i="11"/>
  <c r="X293" i="11"/>
  <c r="W293" i="11"/>
  <c r="V293" i="11"/>
  <c r="U293" i="11"/>
  <c r="T293" i="11"/>
  <c r="S293" i="11"/>
  <c r="R293" i="11"/>
  <c r="Q293" i="11"/>
  <c r="P293" i="11"/>
  <c r="O293" i="11"/>
  <c r="N293" i="11"/>
  <c r="M293" i="11"/>
  <c r="L293" i="11"/>
  <c r="K293" i="11"/>
  <c r="J293" i="11"/>
  <c r="I293" i="11"/>
  <c r="H293" i="11"/>
  <c r="G293" i="11"/>
  <c r="F293" i="11"/>
  <c r="E293" i="11"/>
  <c r="D293" i="11"/>
  <c r="C293" i="11"/>
  <c r="B293" i="11"/>
  <c r="A293" i="11"/>
  <c r="AL292" i="11"/>
  <c r="AK292" i="11"/>
  <c r="AJ292" i="11"/>
  <c r="AI292" i="11"/>
  <c r="AH292" i="11"/>
  <c r="AG292" i="11"/>
  <c r="AF292" i="11"/>
  <c r="AE292" i="11"/>
  <c r="AD292" i="11"/>
  <c r="AC292" i="11"/>
  <c r="AB292" i="11"/>
  <c r="AA292" i="11"/>
  <c r="Z292" i="11"/>
  <c r="Y292" i="11"/>
  <c r="X292" i="11"/>
  <c r="W292" i="11"/>
  <c r="V292" i="11"/>
  <c r="U292" i="11"/>
  <c r="T292" i="11"/>
  <c r="S292" i="11"/>
  <c r="R292" i="11"/>
  <c r="Q292" i="11"/>
  <c r="P292" i="11"/>
  <c r="O292" i="11"/>
  <c r="N292" i="11"/>
  <c r="M292" i="11"/>
  <c r="L292" i="11"/>
  <c r="K292" i="11"/>
  <c r="J292" i="11"/>
  <c r="I292" i="11"/>
  <c r="H292" i="11"/>
  <c r="G292" i="11"/>
  <c r="F292" i="11"/>
  <c r="E292" i="11"/>
  <c r="D292" i="11"/>
  <c r="C292" i="11"/>
  <c r="B292" i="11"/>
  <c r="A292" i="11"/>
  <c r="AL291" i="11"/>
  <c r="AK291" i="11"/>
  <c r="AJ291" i="11"/>
  <c r="AI291" i="11"/>
  <c r="AH291" i="11"/>
  <c r="AG291" i="11"/>
  <c r="AF291" i="11"/>
  <c r="AE291" i="11"/>
  <c r="AD291" i="11"/>
  <c r="AC291" i="11"/>
  <c r="AB291" i="11"/>
  <c r="AA291" i="11"/>
  <c r="Z291" i="11"/>
  <c r="Y291" i="11"/>
  <c r="X291" i="11"/>
  <c r="W291" i="11"/>
  <c r="V291" i="11"/>
  <c r="U291" i="11"/>
  <c r="T291" i="11"/>
  <c r="S291" i="11"/>
  <c r="R291" i="11"/>
  <c r="Q291" i="11"/>
  <c r="P291" i="11"/>
  <c r="O291" i="11"/>
  <c r="N291" i="11"/>
  <c r="M291" i="11"/>
  <c r="L291" i="11"/>
  <c r="K291" i="11"/>
  <c r="J291" i="11"/>
  <c r="I291" i="11"/>
  <c r="H291" i="11"/>
  <c r="G291" i="11"/>
  <c r="F291" i="11"/>
  <c r="E291" i="11"/>
  <c r="D291" i="11"/>
  <c r="C291" i="11"/>
  <c r="B291" i="11"/>
  <c r="A291" i="11"/>
  <c r="AL290" i="11"/>
  <c r="AK290" i="11"/>
  <c r="AJ290" i="11"/>
  <c r="AI290" i="11"/>
  <c r="AH290" i="11"/>
  <c r="AG290" i="11"/>
  <c r="AF290" i="11"/>
  <c r="AE290" i="11"/>
  <c r="AD290" i="11"/>
  <c r="AC290" i="11"/>
  <c r="AB290" i="11"/>
  <c r="AA290" i="11"/>
  <c r="Z290" i="11"/>
  <c r="Y290" i="11"/>
  <c r="X290" i="11"/>
  <c r="W290" i="11"/>
  <c r="V290" i="11"/>
  <c r="U290" i="11"/>
  <c r="T290" i="11"/>
  <c r="S290" i="11"/>
  <c r="R290" i="11"/>
  <c r="Q290" i="11"/>
  <c r="P290" i="11"/>
  <c r="O290" i="11"/>
  <c r="N290" i="11"/>
  <c r="M290" i="11"/>
  <c r="L290" i="11"/>
  <c r="K290" i="11"/>
  <c r="J290" i="11"/>
  <c r="I290" i="11"/>
  <c r="H290" i="11"/>
  <c r="G290" i="11"/>
  <c r="F290" i="11"/>
  <c r="E290" i="11"/>
  <c r="D290" i="11"/>
  <c r="C290" i="11"/>
  <c r="B290" i="11"/>
  <c r="A290" i="11"/>
  <c r="AL289" i="11"/>
  <c r="AK289" i="11"/>
  <c r="AJ289" i="11"/>
  <c r="AI289" i="11"/>
  <c r="AH289" i="11"/>
  <c r="AG289" i="11"/>
  <c r="AF289" i="11"/>
  <c r="AE289" i="11"/>
  <c r="AD289" i="11"/>
  <c r="AC289" i="11"/>
  <c r="AB289" i="11"/>
  <c r="AA289" i="11"/>
  <c r="Z289" i="11"/>
  <c r="Y289" i="11"/>
  <c r="X289" i="11"/>
  <c r="W289" i="11"/>
  <c r="V289" i="11"/>
  <c r="U289" i="11"/>
  <c r="T289" i="11"/>
  <c r="S289" i="11"/>
  <c r="R289" i="11"/>
  <c r="Q289" i="11"/>
  <c r="P289" i="11"/>
  <c r="O289" i="11"/>
  <c r="N289" i="11"/>
  <c r="M289" i="11"/>
  <c r="L289" i="11"/>
  <c r="K289" i="11"/>
  <c r="J289" i="11"/>
  <c r="I289" i="11"/>
  <c r="H289" i="11"/>
  <c r="G289" i="11"/>
  <c r="F289" i="11"/>
  <c r="E289" i="11"/>
  <c r="D289" i="11"/>
  <c r="C289" i="11"/>
  <c r="B289" i="11"/>
  <c r="A289" i="11"/>
  <c r="AL288" i="11"/>
  <c r="AK288" i="11"/>
  <c r="AJ288" i="11"/>
  <c r="AI288" i="11"/>
  <c r="AH288" i="11"/>
  <c r="AG288" i="11"/>
  <c r="AF288" i="11"/>
  <c r="AE288" i="11"/>
  <c r="AD288" i="11"/>
  <c r="AC288" i="11"/>
  <c r="AB288" i="11"/>
  <c r="AA288" i="11"/>
  <c r="Z288" i="11"/>
  <c r="Y288" i="11"/>
  <c r="X288" i="11"/>
  <c r="W288" i="11"/>
  <c r="V288" i="11"/>
  <c r="U288" i="11"/>
  <c r="T288" i="11"/>
  <c r="S288" i="11"/>
  <c r="R288" i="11"/>
  <c r="Q288" i="11"/>
  <c r="P288" i="11"/>
  <c r="O288" i="11"/>
  <c r="N288" i="11"/>
  <c r="M288" i="11"/>
  <c r="L288" i="11"/>
  <c r="K288" i="11"/>
  <c r="J288" i="11"/>
  <c r="I288" i="11"/>
  <c r="H288" i="11"/>
  <c r="G288" i="11"/>
  <c r="F288" i="11"/>
  <c r="E288" i="11"/>
  <c r="D288" i="11"/>
  <c r="C288" i="11"/>
  <c r="B288" i="11"/>
  <c r="A288" i="11"/>
  <c r="AL287" i="11"/>
  <c r="AK287" i="11"/>
  <c r="AJ287" i="11"/>
  <c r="AI287" i="11"/>
  <c r="AH287" i="11"/>
  <c r="AG287" i="11"/>
  <c r="AF287" i="11"/>
  <c r="AE287" i="11"/>
  <c r="AD287" i="11"/>
  <c r="AC287" i="11"/>
  <c r="AB287" i="11"/>
  <c r="AA287" i="11"/>
  <c r="Z287" i="11"/>
  <c r="Y287" i="11"/>
  <c r="X287" i="11"/>
  <c r="W287" i="11"/>
  <c r="V287" i="11"/>
  <c r="U287" i="11"/>
  <c r="T287" i="11"/>
  <c r="S287" i="11"/>
  <c r="R287" i="11"/>
  <c r="Q287" i="11"/>
  <c r="P287" i="11"/>
  <c r="O287" i="11"/>
  <c r="N287" i="11"/>
  <c r="M287" i="11"/>
  <c r="L287" i="11"/>
  <c r="K287" i="11"/>
  <c r="J287" i="11"/>
  <c r="I287" i="11"/>
  <c r="H287" i="11"/>
  <c r="G287" i="11"/>
  <c r="F287" i="11"/>
  <c r="E287" i="11"/>
  <c r="D287" i="11"/>
  <c r="C287" i="11"/>
  <c r="B287" i="11"/>
  <c r="A287" i="11"/>
  <c r="AC286" i="11"/>
  <c r="Y286" i="11"/>
  <c r="W286" i="11"/>
  <c r="V286" i="11"/>
  <c r="U286" i="11"/>
  <c r="T286" i="11"/>
  <c r="S286" i="11"/>
  <c r="R286" i="11"/>
  <c r="Q286" i="11"/>
  <c r="P286" i="11"/>
  <c r="O286" i="11"/>
  <c r="N286" i="11"/>
  <c r="M286" i="11"/>
  <c r="L286" i="11"/>
  <c r="K286" i="11"/>
  <c r="J286" i="11"/>
  <c r="I286" i="11"/>
  <c r="H286" i="11"/>
  <c r="G286" i="11"/>
  <c r="F286" i="11"/>
  <c r="E286" i="11"/>
  <c r="D286" i="11"/>
  <c r="C286" i="11"/>
  <c r="B286" i="11"/>
  <c r="A286" i="11"/>
  <c r="AL285" i="11"/>
  <c r="AK285" i="11"/>
  <c r="AJ285" i="11"/>
  <c r="AI285" i="11"/>
  <c r="AH285" i="11"/>
  <c r="AG285" i="11"/>
  <c r="AF285" i="11"/>
  <c r="AE285" i="11"/>
  <c r="AD285" i="11"/>
  <c r="AC285" i="11"/>
  <c r="AB285" i="11"/>
  <c r="AA285" i="11"/>
  <c r="Z285" i="11"/>
  <c r="Y285" i="11"/>
  <c r="X285" i="11"/>
  <c r="W285" i="11"/>
  <c r="V285" i="11"/>
  <c r="U285" i="11"/>
  <c r="T285" i="11"/>
  <c r="S285" i="11"/>
  <c r="R285" i="11"/>
  <c r="Q285" i="11"/>
  <c r="P285" i="11"/>
  <c r="O285" i="11"/>
  <c r="N285" i="11"/>
  <c r="M285" i="11"/>
  <c r="L285" i="11"/>
  <c r="K285" i="11"/>
  <c r="J285" i="11"/>
  <c r="I285" i="11"/>
  <c r="H285" i="11"/>
  <c r="G285" i="11"/>
  <c r="F285" i="11"/>
  <c r="E285" i="11"/>
  <c r="D285" i="11"/>
  <c r="C285" i="11"/>
  <c r="B285" i="11"/>
  <c r="A285" i="11"/>
  <c r="AL284" i="11"/>
  <c r="AK284" i="11"/>
  <c r="AJ284" i="11"/>
  <c r="AI284" i="11"/>
  <c r="AH284" i="11"/>
  <c r="AG284" i="11"/>
  <c r="AF284" i="11"/>
  <c r="AE284" i="11"/>
  <c r="AD284" i="11"/>
  <c r="AC284" i="11"/>
  <c r="AB284" i="11"/>
  <c r="AA284" i="11"/>
  <c r="Z284" i="11"/>
  <c r="Y284" i="11"/>
  <c r="X284" i="11"/>
  <c r="W284" i="11"/>
  <c r="V284" i="11"/>
  <c r="U284" i="11"/>
  <c r="T284" i="11"/>
  <c r="S284" i="11"/>
  <c r="R284" i="11"/>
  <c r="Q284" i="11"/>
  <c r="P284" i="11"/>
  <c r="O284" i="11"/>
  <c r="N284" i="11"/>
  <c r="M284" i="11"/>
  <c r="L284" i="11"/>
  <c r="K284" i="11"/>
  <c r="J284" i="11"/>
  <c r="I284" i="11"/>
  <c r="H284" i="11"/>
  <c r="G284" i="11"/>
  <c r="F284" i="11"/>
  <c r="E284" i="11"/>
  <c r="D284" i="11"/>
  <c r="C284" i="11"/>
  <c r="B284" i="11"/>
  <c r="A284" i="11"/>
  <c r="AL283" i="11"/>
  <c r="AK283" i="11"/>
  <c r="AJ283" i="11"/>
  <c r="AI283" i="11"/>
  <c r="AH283" i="11"/>
  <c r="AG283" i="11"/>
  <c r="AF283" i="11"/>
  <c r="AE283" i="11"/>
  <c r="AD283" i="11"/>
  <c r="AC283" i="11"/>
  <c r="AB283" i="11"/>
  <c r="AA283" i="11"/>
  <c r="Z283" i="11"/>
  <c r="Y283" i="11"/>
  <c r="X283" i="11"/>
  <c r="W283" i="11"/>
  <c r="V283" i="11"/>
  <c r="U283" i="11"/>
  <c r="T283" i="11"/>
  <c r="S283" i="11"/>
  <c r="R283" i="11"/>
  <c r="Q283" i="11"/>
  <c r="P283" i="11"/>
  <c r="O283" i="11"/>
  <c r="N283" i="11"/>
  <c r="M283" i="11"/>
  <c r="L283" i="11"/>
  <c r="K283" i="11"/>
  <c r="J283" i="11"/>
  <c r="I283" i="11"/>
  <c r="H283" i="11"/>
  <c r="G283" i="11"/>
  <c r="F283" i="11"/>
  <c r="E283" i="11"/>
  <c r="D283" i="11"/>
  <c r="C283" i="11"/>
  <c r="B283" i="11"/>
  <c r="A283" i="11"/>
  <c r="AC282" i="11"/>
  <c r="W282" i="11"/>
  <c r="V282" i="11"/>
  <c r="U282" i="11"/>
  <c r="T282" i="11"/>
  <c r="S282" i="11"/>
  <c r="R282" i="11"/>
  <c r="Q282" i="11"/>
  <c r="P282" i="11"/>
  <c r="O282" i="11"/>
  <c r="N282" i="11"/>
  <c r="M282" i="11"/>
  <c r="L282" i="11"/>
  <c r="K282" i="11"/>
  <c r="J282" i="11"/>
  <c r="I282" i="11"/>
  <c r="H282" i="11"/>
  <c r="G282" i="11"/>
  <c r="F282" i="11"/>
  <c r="E282" i="11"/>
  <c r="D282" i="11"/>
  <c r="C282" i="11"/>
  <c r="B282" i="11"/>
  <c r="A282" i="11"/>
  <c r="AC281" i="11"/>
  <c r="W281" i="11"/>
  <c r="V281" i="11"/>
  <c r="U281" i="11"/>
  <c r="T281" i="11"/>
  <c r="S281" i="11"/>
  <c r="R281" i="11"/>
  <c r="Q281" i="11"/>
  <c r="P281" i="11"/>
  <c r="O281" i="11"/>
  <c r="N281" i="11"/>
  <c r="M281" i="11"/>
  <c r="L281" i="11"/>
  <c r="K281" i="11"/>
  <c r="J281" i="11"/>
  <c r="I281" i="11"/>
  <c r="H281" i="11"/>
  <c r="G281" i="11"/>
  <c r="F281" i="11"/>
  <c r="E281" i="11"/>
  <c r="D281" i="11"/>
  <c r="C281" i="11"/>
  <c r="B281" i="11"/>
  <c r="A281" i="11"/>
  <c r="AF280" i="11"/>
  <c r="AD280" i="11"/>
  <c r="AC280" i="11"/>
  <c r="AB280" i="11"/>
  <c r="AA280" i="11"/>
  <c r="Y280" i="11"/>
  <c r="W280" i="11"/>
  <c r="V280" i="11"/>
  <c r="U280" i="11"/>
  <c r="T280" i="11"/>
  <c r="S280" i="11"/>
  <c r="R280" i="11"/>
  <c r="Q280" i="11"/>
  <c r="P280" i="11"/>
  <c r="O280" i="11"/>
  <c r="N280" i="11"/>
  <c r="M280" i="11"/>
  <c r="L280" i="11"/>
  <c r="K280" i="11"/>
  <c r="J280" i="11"/>
  <c r="I280" i="11"/>
  <c r="H280" i="11"/>
  <c r="G280" i="11"/>
  <c r="F280" i="11"/>
  <c r="E280" i="11"/>
  <c r="D280" i="11"/>
  <c r="C280" i="11"/>
  <c r="B280" i="11"/>
  <c r="A280" i="11"/>
  <c r="AL279" i="11"/>
  <c r="AK279" i="11"/>
  <c r="AJ279" i="11"/>
  <c r="AI279" i="11"/>
  <c r="AH279" i="11"/>
  <c r="AG279" i="11"/>
  <c r="AF279" i="11"/>
  <c r="AE279" i="11"/>
  <c r="AD279" i="11"/>
  <c r="AC279" i="11"/>
  <c r="AB279" i="11"/>
  <c r="AA279" i="11"/>
  <c r="Z279" i="11"/>
  <c r="Y279" i="11"/>
  <c r="X279" i="11"/>
  <c r="W279" i="11"/>
  <c r="V279" i="11"/>
  <c r="U279" i="11"/>
  <c r="T279" i="11"/>
  <c r="S279" i="11"/>
  <c r="R279" i="11"/>
  <c r="Q279" i="11"/>
  <c r="P279" i="11"/>
  <c r="O279" i="11"/>
  <c r="N279" i="11"/>
  <c r="M279" i="11"/>
  <c r="L279" i="11"/>
  <c r="K279" i="11"/>
  <c r="J279" i="11"/>
  <c r="I279" i="11"/>
  <c r="H279" i="11"/>
  <c r="G279" i="11"/>
  <c r="F279" i="11"/>
  <c r="E279" i="11"/>
  <c r="D279" i="11"/>
  <c r="C279" i="11"/>
  <c r="B279" i="11"/>
  <c r="A279" i="11"/>
  <c r="AF278" i="11"/>
  <c r="AD278" i="11"/>
  <c r="AC278" i="11"/>
  <c r="AB278" i="11"/>
  <c r="AA278" i="11"/>
  <c r="Y278" i="11"/>
  <c r="W278" i="11"/>
  <c r="V278" i="11"/>
  <c r="U278" i="11"/>
  <c r="T278" i="11"/>
  <c r="S278" i="11"/>
  <c r="R278" i="11"/>
  <c r="Q278" i="11"/>
  <c r="P278" i="11"/>
  <c r="O278" i="11"/>
  <c r="N278" i="11"/>
  <c r="M278" i="11"/>
  <c r="L278" i="11"/>
  <c r="K278" i="11"/>
  <c r="J278" i="11"/>
  <c r="I278" i="11"/>
  <c r="H278" i="11"/>
  <c r="G278" i="11"/>
  <c r="F278" i="11"/>
  <c r="E278" i="11"/>
  <c r="D278" i="11"/>
  <c r="C278" i="11"/>
  <c r="B278" i="11"/>
  <c r="A278" i="11"/>
  <c r="AL277" i="11"/>
  <c r="AK277" i="11"/>
  <c r="AJ277" i="11"/>
  <c r="AI277" i="11"/>
  <c r="AH277" i="11"/>
  <c r="AG277" i="11"/>
  <c r="AF277" i="11"/>
  <c r="AE277" i="11"/>
  <c r="AD277" i="11"/>
  <c r="AC277" i="11"/>
  <c r="AB277" i="11"/>
  <c r="AA277" i="11"/>
  <c r="Z277" i="11"/>
  <c r="Y277" i="11"/>
  <c r="X277" i="11"/>
  <c r="W277" i="11"/>
  <c r="V277" i="11"/>
  <c r="U277" i="11"/>
  <c r="T277" i="11"/>
  <c r="S277" i="11"/>
  <c r="R277" i="11"/>
  <c r="Q277" i="11"/>
  <c r="P277" i="11"/>
  <c r="O277" i="11"/>
  <c r="N277" i="11"/>
  <c r="M277" i="11"/>
  <c r="L277" i="11"/>
  <c r="K277" i="11"/>
  <c r="J277" i="11"/>
  <c r="I277" i="11"/>
  <c r="H277" i="11"/>
  <c r="G277" i="11"/>
  <c r="F277" i="11"/>
  <c r="E277" i="11"/>
  <c r="D277" i="11"/>
  <c r="C277" i="11"/>
  <c r="B277" i="11"/>
  <c r="A277" i="11"/>
  <c r="AC276" i="11"/>
  <c r="W276" i="11"/>
  <c r="V276" i="11"/>
  <c r="U276" i="11"/>
  <c r="T276" i="11"/>
  <c r="S276" i="11"/>
  <c r="R276" i="11"/>
  <c r="Q276" i="11"/>
  <c r="P276" i="11"/>
  <c r="O276" i="11"/>
  <c r="N276" i="11"/>
  <c r="M276" i="11"/>
  <c r="L276" i="11"/>
  <c r="K276" i="11"/>
  <c r="J276" i="11"/>
  <c r="I276" i="11"/>
  <c r="H276" i="11"/>
  <c r="G276" i="11"/>
  <c r="F276" i="11"/>
  <c r="E276" i="11"/>
  <c r="D276" i="11"/>
  <c r="C276" i="11"/>
  <c r="B276" i="11"/>
  <c r="A276" i="11"/>
  <c r="AC275" i="11"/>
  <c r="W275" i="11"/>
  <c r="V275" i="11"/>
  <c r="U275" i="11"/>
  <c r="T275" i="11"/>
  <c r="S275" i="11"/>
  <c r="R275" i="11"/>
  <c r="Q275" i="11"/>
  <c r="P275" i="11"/>
  <c r="O275" i="11"/>
  <c r="N275" i="11"/>
  <c r="M275" i="11"/>
  <c r="L275" i="11"/>
  <c r="K275" i="11"/>
  <c r="J275" i="11"/>
  <c r="I275" i="11"/>
  <c r="H275" i="11"/>
  <c r="G275" i="11"/>
  <c r="F275" i="11"/>
  <c r="E275" i="11"/>
  <c r="D275" i="11"/>
  <c r="C275" i="11"/>
  <c r="B275" i="11"/>
  <c r="A275" i="11"/>
  <c r="AL274" i="11"/>
  <c r="AK274" i="11"/>
  <c r="AJ274" i="11"/>
  <c r="AI274" i="11"/>
  <c r="AH274" i="11"/>
  <c r="AG274" i="11"/>
  <c r="AF274" i="11"/>
  <c r="AE274" i="11"/>
  <c r="AD274" i="11"/>
  <c r="AC274" i="11"/>
  <c r="AB274" i="11"/>
  <c r="AA274" i="11"/>
  <c r="Z274" i="11"/>
  <c r="Y274" i="11"/>
  <c r="X274" i="11"/>
  <c r="W274" i="11"/>
  <c r="V274" i="11"/>
  <c r="U274" i="11"/>
  <c r="T274" i="11"/>
  <c r="S274" i="11"/>
  <c r="R274" i="11"/>
  <c r="Q274" i="11"/>
  <c r="P274" i="11"/>
  <c r="O274" i="11"/>
  <c r="N274" i="11"/>
  <c r="M274" i="11"/>
  <c r="L274" i="11"/>
  <c r="K274" i="11"/>
  <c r="J274" i="11"/>
  <c r="I274" i="11"/>
  <c r="H274" i="11"/>
  <c r="G274" i="11"/>
  <c r="F274" i="11"/>
  <c r="E274" i="11"/>
  <c r="D274" i="11"/>
  <c r="C274" i="11"/>
  <c r="B274" i="11"/>
  <c r="A274" i="11"/>
  <c r="AL273" i="11"/>
  <c r="AK273" i="11"/>
  <c r="AJ273" i="11"/>
  <c r="AI273" i="11"/>
  <c r="AH273" i="11"/>
  <c r="AG273" i="11"/>
  <c r="AF273" i="11"/>
  <c r="AE273" i="11"/>
  <c r="AD273" i="11"/>
  <c r="AC273" i="11"/>
  <c r="AB273" i="11"/>
  <c r="AA273" i="11"/>
  <c r="Z273" i="11"/>
  <c r="Y273" i="11"/>
  <c r="X273" i="11"/>
  <c r="W273" i="11"/>
  <c r="V273" i="11"/>
  <c r="U273" i="11"/>
  <c r="T273" i="11"/>
  <c r="S273" i="11"/>
  <c r="R273" i="11"/>
  <c r="Q273" i="11"/>
  <c r="P273" i="11"/>
  <c r="O273" i="11"/>
  <c r="N273" i="11"/>
  <c r="M273" i="11"/>
  <c r="L273" i="11"/>
  <c r="K273" i="11"/>
  <c r="J273" i="11"/>
  <c r="I273" i="11"/>
  <c r="H273" i="11"/>
  <c r="G273" i="11"/>
  <c r="F273" i="11"/>
  <c r="E273" i="11"/>
  <c r="D273" i="11"/>
  <c r="C273" i="11"/>
  <c r="B273" i="11"/>
  <c r="A273" i="11"/>
  <c r="AL272" i="11"/>
  <c r="AK272" i="11"/>
  <c r="AJ272" i="11"/>
  <c r="AI272" i="11"/>
  <c r="AH272" i="11"/>
  <c r="AG272" i="11"/>
  <c r="AF272" i="11"/>
  <c r="AE272" i="11"/>
  <c r="AD272" i="11"/>
  <c r="AC272" i="11"/>
  <c r="AB272" i="11"/>
  <c r="AA272" i="11"/>
  <c r="Z272" i="11"/>
  <c r="Y272" i="11"/>
  <c r="X272" i="11"/>
  <c r="W272" i="11"/>
  <c r="V272" i="11"/>
  <c r="U272" i="11"/>
  <c r="T272" i="11"/>
  <c r="S272" i="11"/>
  <c r="R272" i="11"/>
  <c r="Q272" i="11"/>
  <c r="P272" i="11"/>
  <c r="O272" i="11"/>
  <c r="N272" i="11"/>
  <c r="M272" i="11"/>
  <c r="L272" i="11"/>
  <c r="K272" i="11"/>
  <c r="J272" i="11"/>
  <c r="I272" i="11"/>
  <c r="H272" i="11"/>
  <c r="G272" i="11"/>
  <c r="F272" i="11"/>
  <c r="E272" i="11"/>
  <c r="D272" i="11"/>
  <c r="C272" i="11"/>
  <c r="B272" i="11"/>
  <c r="A272" i="11"/>
  <c r="AL271" i="11"/>
  <c r="AK271" i="11"/>
  <c r="AJ271" i="11"/>
  <c r="AI271" i="11"/>
  <c r="AH271" i="11"/>
  <c r="AG271" i="11"/>
  <c r="AF271" i="11"/>
  <c r="AE271" i="11"/>
  <c r="AD271" i="11"/>
  <c r="AC271" i="11"/>
  <c r="AB271" i="11"/>
  <c r="AA271" i="11"/>
  <c r="Z271" i="11"/>
  <c r="Y271" i="11"/>
  <c r="X271" i="11"/>
  <c r="W271" i="11"/>
  <c r="V271" i="11"/>
  <c r="U271" i="11"/>
  <c r="T271" i="11"/>
  <c r="S271" i="11"/>
  <c r="R271" i="11"/>
  <c r="Q271" i="11"/>
  <c r="P271" i="11"/>
  <c r="O271" i="11"/>
  <c r="N271" i="11"/>
  <c r="M271" i="11"/>
  <c r="L271" i="11"/>
  <c r="K271" i="11"/>
  <c r="J271" i="11"/>
  <c r="I271" i="11"/>
  <c r="H271" i="11"/>
  <c r="G271" i="11"/>
  <c r="F271" i="11"/>
  <c r="E271" i="11"/>
  <c r="D271" i="11"/>
  <c r="C271" i="11"/>
  <c r="B271" i="11"/>
  <c r="A271" i="11"/>
  <c r="AF270" i="11"/>
  <c r="AD270" i="11"/>
  <c r="AC270" i="11"/>
  <c r="AB270" i="11"/>
  <c r="AA270" i="11"/>
  <c r="Y270" i="11"/>
  <c r="W270" i="11"/>
  <c r="V270" i="11"/>
  <c r="U270" i="11"/>
  <c r="T270" i="11"/>
  <c r="S270" i="11"/>
  <c r="R270" i="11"/>
  <c r="Q270" i="11"/>
  <c r="P270" i="11"/>
  <c r="O270" i="11"/>
  <c r="N270" i="11"/>
  <c r="M270" i="11"/>
  <c r="L270" i="11"/>
  <c r="K270" i="11"/>
  <c r="J270" i="11"/>
  <c r="I270" i="11"/>
  <c r="H270" i="11"/>
  <c r="G270" i="11"/>
  <c r="F270" i="11"/>
  <c r="E270" i="11"/>
  <c r="D270" i="11"/>
  <c r="C270" i="11"/>
  <c r="B270" i="11"/>
  <c r="A270" i="11"/>
  <c r="AL269" i="11"/>
  <c r="AK269" i="11"/>
  <c r="AJ269" i="11"/>
  <c r="AI269" i="11"/>
  <c r="AH269" i="11"/>
  <c r="AG269" i="11"/>
  <c r="AF269" i="11"/>
  <c r="AE269" i="11"/>
  <c r="AD269" i="11"/>
  <c r="AC269" i="11"/>
  <c r="AB269" i="11"/>
  <c r="AA269" i="11"/>
  <c r="Z269" i="11"/>
  <c r="Y269" i="11"/>
  <c r="X269" i="11"/>
  <c r="W269" i="11"/>
  <c r="V269" i="11"/>
  <c r="U269" i="11"/>
  <c r="T269" i="11"/>
  <c r="S269" i="11"/>
  <c r="R269" i="11"/>
  <c r="Q269" i="11"/>
  <c r="P269" i="11"/>
  <c r="O269" i="11"/>
  <c r="N269" i="11"/>
  <c r="M269" i="11"/>
  <c r="L269" i="11"/>
  <c r="K269" i="11"/>
  <c r="J269" i="11"/>
  <c r="I269" i="11"/>
  <c r="H269" i="11"/>
  <c r="G269" i="11"/>
  <c r="F269" i="11"/>
  <c r="E269" i="11"/>
  <c r="D269" i="11"/>
  <c r="C269" i="11"/>
  <c r="B269" i="11"/>
  <c r="A269" i="11"/>
  <c r="AC268" i="11"/>
  <c r="Y268" i="11"/>
  <c r="W268" i="11"/>
  <c r="V268" i="11"/>
  <c r="U268" i="11"/>
  <c r="T268" i="11"/>
  <c r="S268" i="11"/>
  <c r="R268" i="11"/>
  <c r="Q268" i="11"/>
  <c r="P268" i="11"/>
  <c r="O268" i="11"/>
  <c r="N268" i="11"/>
  <c r="M268" i="11"/>
  <c r="L268" i="11"/>
  <c r="K268" i="11"/>
  <c r="J268" i="11"/>
  <c r="I268" i="11"/>
  <c r="H268" i="11"/>
  <c r="G268" i="11"/>
  <c r="F268" i="11"/>
  <c r="E268" i="11"/>
  <c r="D268" i="11"/>
  <c r="C268" i="11"/>
  <c r="B268" i="11"/>
  <c r="A268" i="11"/>
  <c r="AL267" i="11"/>
  <c r="AK267" i="11"/>
  <c r="AJ267" i="11"/>
  <c r="AI267" i="11"/>
  <c r="AH267" i="11"/>
  <c r="AG267" i="11"/>
  <c r="AF267" i="11"/>
  <c r="AE267" i="11"/>
  <c r="AD267" i="11"/>
  <c r="AC267" i="11"/>
  <c r="AB267" i="11"/>
  <c r="AA267" i="11"/>
  <c r="Z267" i="11"/>
  <c r="Y267" i="11"/>
  <c r="X267" i="11"/>
  <c r="W267" i="11"/>
  <c r="V267" i="11"/>
  <c r="U267" i="11"/>
  <c r="T267" i="11"/>
  <c r="S267" i="11"/>
  <c r="R267" i="11"/>
  <c r="Q267" i="11"/>
  <c r="P267" i="11"/>
  <c r="O267" i="11"/>
  <c r="N267" i="11"/>
  <c r="M267" i="11"/>
  <c r="L267" i="11"/>
  <c r="K267" i="11"/>
  <c r="J267" i="11"/>
  <c r="I267" i="11"/>
  <c r="H267" i="11"/>
  <c r="G267" i="11"/>
  <c r="F267" i="11"/>
  <c r="E267" i="11"/>
  <c r="D267" i="11"/>
  <c r="C267" i="11"/>
  <c r="B267" i="11"/>
  <c r="A267" i="11"/>
  <c r="AC266" i="11"/>
  <c r="Y266" i="11"/>
  <c r="W266" i="11"/>
  <c r="V266" i="11"/>
  <c r="U266" i="11"/>
  <c r="T266" i="11"/>
  <c r="S266" i="11"/>
  <c r="R266" i="11"/>
  <c r="Q266" i="11"/>
  <c r="P266" i="11"/>
  <c r="O266" i="11"/>
  <c r="N266" i="11"/>
  <c r="M266" i="11"/>
  <c r="L266" i="11"/>
  <c r="K266" i="11"/>
  <c r="J266" i="11"/>
  <c r="I266" i="11"/>
  <c r="H266" i="11"/>
  <c r="G266" i="11"/>
  <c r="F266" i="11"/>
  <c r="E266" i="11"/>
  <c r="D266" i="11"/>
  <c r="C266" i="11"/>
  <c r="B266" i="11"/>
  <c r="A266" i="11"/>
  <c r="AL265" i="11"/>
  <c r="AK265" i="11"/>
  <c r="AJ265" i="11"/>
  <c r="AI265" i="11"/>
  <c r="AH265" i="11"/>
  <c r="AG265" i="11"/>
  <c r="AF265" i="11"/>
  <c r="AE265" i="11"/>
  <c r="AD265" i="11"/>
  <c r="AC265" i="11"/>
  <c r="AB265" i="11"/>
  <c r="AA265" i="11"/>
  <c r="Z265" i="11"/>
  <c r="Y265" i="11"/>
  <c r="X265" i="11"/>
  <c r="W265" i="11"/>
  <c r="V265" i="11"/>
  <c r="U265" i="11"/>
  <c r="T265" i="11"/>
  <c r="S265" i="11"/>
  <c r="R265" i="11"/>
  <c r="Q265" i="11"/>
  <c r="P265" i="11"/>
  <c r="O265" i="11"/>
  <c r="N265" i="11"/>
  <c r="M265" i="11"/>
  <c r="L265" i="11"/>
  <c r="K265" i="11"/>
  <c r="J265" i="11"/>
  <c r="I265" i="11"/>
  <c r="H265" i="11"/>
  <c r="G265" i="11"/>
  <c r="F265" i="11"/>
  <c r="E265" i="11"/>
  <c r="D265" i="11"/>
  <c r="C265" i="11"/>
  <c r="B265" i="11"/>
  <c r="A265" i="11"/>
  <c r="AL264" i="11"/>
  <c r="AK264" i="11"/>
  <c r="AJ264" i="11"/>
  <c r="AI264" i="11"/>
  <c r="AH264" i="11"/>
  <c r="AG264" i="11"/>
  <c r="AF264" i="11"/>
  <c r="AE264" i="11"/>
  <c r="AD264" i="11"/>
  <c r="AC264" i="11"/>
  <c r="AB264" i="11"/>
  <c r="AA264" i="11"/>
  <c r="Z264" i="11"/>
  <c r="Y264" i="11"/>
  <c r="X264" i="11"/>
  <c r="W264" i="11"/>
  <c r="V264" i="11"/>
  <c r="U264" i="11"/>
  <c r="T264" i="11"/>
  <c r="S264" i="11"/>
  <c r="R264" i="11"/>
  <c r="Q264" i="11"/>
  <c r="P264" i="11"/>
  <c r="O264" i="11"/>
  <c r="N264" i="11"/>
  <c r="M264" i="11"/>
  <c r="L264" i="11"/>
  <c r="K264" i="11"/>
  <c r="J264" i="11"/>
  <c r="I264" i="11"/>
  <c r="H264" i="11"/>
  <c r="G264" i="11"/>
  <c r="F264" i="11"/>
  <c r="E264" i="11"/>
  <c r="D264" i="11"/>
  <c r="C264" i="11"/>
  <c r="B264" i="11"/>
  <c r="A264" i="11"/>
  <c r="AL263" i="11"/>
  <c r="AK263" i="11"/>
  <c r="AJ263" i="11"/>
  <c r="AI263" i="11"/>
  <c r="AH263" i="11"/>
  <c r="AG263" i="11"/>
  <c r="AF263" i="11"/>
  <c r="AE263" i="11"/>
  <c r="AD263" i="11"/>
  <c r="AC263" i="11"/>
  <c r="AB263" i="11"/>
  <c r="AA263" i="11"/>
  <c r="Z263" i="11"/>
  <c r="Y263" i="11"/>
  <c r="X263" i="11"/>
  <c r="W263" i="11"/>
  <c r="V263" i="11"/>
  <c r="U263" i="11"/>
  <c r="T263" i="11"/>
  <c r="S263" i="11"/>
  <c r="R263" i="11"/>
  <c r="Q263" i="11"/>
  <c r="P263" i="11"/>
  <c r="O263" i="11"/>
  <c r="N263" i="11"/>
  <c r="M263" i="11"/>
  <c r="L263" i="11"/>
  <c r="K263" i="11"/>
  <c r="J263" i="11"/>
  <c r="I263" i="11"/>
  <c r="H263" i="11"/>
  <c r="G263" i="11"/>
  <c r="F263" i="11"/>
  <c r="E263" i="11"/>
  <c r="D263" i="11"/>
  <c r="C263" i="11"/>
  <c r="B263" i="11"/>
  <c r="A263" i="11"/>
  <c r="AF262" i="11"/>
  <c r="AD262" i="11"/>
  <c r="AC262" i="11"/>
  <c r="AB262" i="11"/>
  <c r="AA262" i="11"/>
  <c r="Y262" i="11"/>
  <c r="W262" i="11"/>
  <c r="V262" i="11"/>
  <c r="U262" i="11"/>
  <c r="T262" i="11"/>
  <c r="S262" i="11"/>
  <c r="R262" i="11"/>
  <c r="Q262" i="11"/>
  <c r="P262" i="11"/>
  <c r="O262" i="11"/>
  <c r="N262" i="11"/>
  <c r="M262" i="11"/>
  <c r="L262" i="11"/>
  <c r="K262" i="11"/>
  <c r="J262" i="11"/>
  <c r="I262" i="11"/>
  <c r="H262" i="11"/>
  <c r="G262" i="11"/>
  <c r="F262" i="11"/>
  <c r="E262" i="11"/>
  <c r="D262" i="11"/>
  <c r="C262" i="11"/>
  <c r="B262" i="11"/>
  <c r="A262" i="11"/>
  <c r="AL261" i="11"/>
  <c r="AK261" i="11"/>
  <c r="AJ261" i="11"/>
  <c r="AI261" i="11"/>
  <c r="AH261" i="11"/>
  <c r="AG261" i="11"/>
  <c r="AF261" i="11"/>
  <c r="AE261" i="11"/>
  <c r="AD261" i="11"/>
  <c r="AC261" i="11"/>
  <c r="AB261" i="11"/>
  <c r="AA261" i="11"/>
  <c r="Z261" i="11"/>
  <c r="Y261" i="11"/>
  <c r="X261" i="11"/>
  <c r="W261" i="11"/>
  <c r="V261" i="11"/>
  <c r="U261" i="11"/>
  <c r="T261" i="11"/>
  <c r="S261" i="11"/>
  <c r="R261" i="11"/>
  <c r="Q261" i="11"/>
  <c r="P261" i="11"/>
  <c r="O261" i="11"/>
  <c r="N261" i="11"/>
  <c r="M261" i="11"/>
  <c r="L261" i="11"/>
  <c r="K261" i="11"/>
  <c r="J261" i="11"/>
  <c r="I261" i="11"/>
  <c r="H261" i="11"/>
  <c r="G261" i="11"/>
  <c r="F261" i="11"/>
  <c r="E261" i="11"/>
  <c r="D261" i="11"/>
  <c r="C261" i="11"/>
  <c r="B261" i="11"/>
  <c r="A261" i="11"/>
  <c r="AC260" i="11"/>
  <c r="W260" i="11"/>
  <c r="V260" i="11"/>
  <c r="U260" i="11"/>
  <c r="T260" i="11"/>
  <c r="S260" i="11"/>
  <c r="R260" i="11"/>
  <c r="Q260" i="11"/>
  <c r="P260" i="11"/>
  <c r="O260" i="11"/>
  <c r="N260" i="11"/>
  <c r="M260" i="11"/>
  <c r="L260" i="11"/>
  <c r="K260" i="11"/>
  <c r="J260" i="11"/>
  <c r="I260" i="11"/>
  <c r="H260" i="11"/>
  <c r="G260" i="11"/>
  <c r="F260" i="11"/>
  <c r="E260" i="11"/>
  <c r="D260" i="11"/>
  <c r="C260" i="11"/>
  <c r="B260" i="11"/>
  <c r="A260" i="11"/>
  <c r="AC259" i="11"/>
  <c r="W259" i="11"/>
  <c r="V259" i="11"/>
  <c r="U259" i="11"/>
  <c r="T259" i="11"/>
  <c r="S259" i="11"/>
  <c r="R259" i="11"/>
  <c r="Q259" i="11"/>
  <c r="P259" i="11"/>
  <c r="O259" i="11"/>
  <c r="N259" i="11"/>
  <c r="M259" i="11"/>
  <c r="L259" i="11"/>
  <c r="K259" i="11"/>
  <c r="J259" i="11"/>
  <c r="I259" i="11"/>
  <c r="H259" i="11"/>
  <c r="G259" i="11"/>
  <c r="F259" i="11"/>
  <c r="E259" i="11"/>
  <c r="D259" i="11"/>
  <c r="C259" i="11"/>
  <c r="B259" i="11"/>
  <c r="A259" i="11"/>
  <c r="AC258" i="11"/>
  <c r="W258" i="11"/>
  <c r="V258" i="11"/>
  <c r="U258" i="11"/>
  <c r="T258" i="11"/>
  <c r="S258" i="11"/>
  <c r="R258" i="11"/>
  <c r="Q258" i="11"/>
  <c r="P258" i="11"/>
  <c r="O258" i="11"/>
  <c r="N258" i="11"/>
  <c r="M258" i="11"/>
  <c r="L258" i="11"/>
  <c r="K258" i="11"/>
  <c r="J258" i="11"/>
  <c r="I258" i="11"/>
  <c r="H258" i="11"/>
  <c r="G258" i="11"/>
  <c r="F258" i="11"/>
  <c r="E258" i="11"/>
  <c r="D258" i="11"/>
  <c r="C258" i="11"/>
  <c r="B258" i="11"/>
  <c r="A258" i="11"/>
  <c r="E257" i="11"/>
  <c r="D257" i="11"/>
  <c r="C257" i="11"/>
  <c r="B257" i="11"/>
  <c r="A257" i="11"/>
  <c r="AL256" i="11"/>
  <c r="AK256" i="11"/>
  <c r="AJ256" i="11"/>
  <c r="AI256" i="11"/>
  <c r="AH256" i="11"/>
  <c r="AG256" i="11"/>
  <c r="AF256" i="11"/>
  <c r="AE256" i="11"/>
  <c r="AD256" i="11"/>
  <c r="AC256" i="11"/>
  <c r="AB256" i="11"/>
  <c r="AA256" i="11"/>
  <c r="Z256" i="11"/>
  <c r="Y256" i="11"/>
  <c r="X256" i="11"/>
  <c r="W256" i="11"/>
  <c r="V256" i="11"/>
  <c r="U256" i="11"/>
  <c r="T256" i="11"/>
  <c r="S256" i="11"/>
  <c r="R256" i="11"/>
  <c r="Q256" i="11"/>
  <c r="P256" i="11"/>
  <c r="O256" i="11"/>
  <c r="N256" i="11"/>
  <c r="M256" i="11"/>
  <c r="L256" i="11"/>
  <c r="K256" i="11"/>
  <c r="J256" i="11"/>
  <c r="I256" i="11"/>
  <c r="H256" i="11"/>
  <c r="G256" i="11"/>
  <c r="F256" i="11"/>
  <c r="E256" i="11"/>
  <c r="C256" i="11"/>
  <c r="B256" i="11"/>
  <c r="A256" i="11"/>
  <c r="AF255" i="11"/>
  <c r="AD255" i="11"/>
  <c r="AC255" i="11"/>
  <c r="AB255" i="11"/>
  <c r="AA255" i="11"/>
  <c r="Y255" i="11"/>
  <c r="X255" i="11"/>
  <c r="W255" i="11"/>
  <c r="V255" i="11"/>
  <c r="U255" i="11"/>
  <c r="T255" i="11"/>
  <c r="S255" i="11"/>
  <c r="R255" i="11"/>
  <c r="Q255" i="11"/>
  <c r="P255" i="11"/>
  <c r="O255" i="11"/>
  <c r="N255" i="11"/>
  <c r="M255" i="11"/>
  <c r="L255" i="11"/>
  <c r="K255" i="11"/>
  <c r="J255" i="11"/>
  <c r="I255" i="11"/>
  <c r="H255" i="11"/>
  <c r="G255" i="11"/>
  <c r="F255" i="11"/>
  <c r="E255" i="11"/>
  <c r="D255" i="11"/>
  <c r="C255" i="11"/>
  <c r="B255" i="11"/>
  <c r="A255" i="11"/>
  <c r="AL254" i="11"/>
  <c r="AK254" i="11"/>
  <c r="AJ254" i="11"/>
  <c r="AI254" i="11"/>
  <c r="AH254" i="11"/>
  <c r="AG254" i="11"/>
  <c r="AF254" i="11"/>
  <c r="AE254" i="11"/>
  <c r="AD254" i="11"/>
  <c r="AC254" i="11"/>
  <c r="AB254" i="11"/>
  <c r="AA254" i="11"/>
  <c r="Z254" i="11"/>
  <c r="Y254" i="11"/>
  <c r="X254" i="11"/>
  <c r="W254" i="11"/>
  <c r="V254" i="11"/>
  <c r="U254" i="11"/>
  <c r="T254" i="11"/>
  <c r="S254" i="11"/>
  <c r="R254" i="11"/>
  <c r="Q254" i="11"/>
  <c r="P254" i="11"/>
  <c r="O254" i="11"/>
  <c r="N254" i="11"/>
  <c r="M254" i="11"/>
  <c r="L254" i="11"/>
  <c r="K254" i="11"/>
  <c r="J254" i="11"/>
  <c r="I254" i="11"/>
  <c r="H254" i="11"/>
  <c r="G254" i="11"/>
  <c r="F254" i="11"/>
  <c r="E254" i="11"/>
  <c r="D254" i="11"/>
  <c r="C254" i="11"/>
  <c r="B254" i="11"/>
  <c r="A254" i="11"/>
  <c r="AL253" i="11"/>
  <c r="AK253" i="11"/>
  <c r="AJ253" i="11"/>
  <c r="AI253" i="11"/>
  <c r="AH253" i="11"/>
  <c r="AG253" i="11"/>
  <c r="AF253" i="11"/>
  <c r="AE253" i="11"/>
  <c r="AD253" i="11"/>
  <c r="AC253" i="11"/>
  <c r="AB253" i="11"/>
  <c r="AA253" i="11"/>
  <c r="Z253" i="11"/>
  <c r="Y253" i="11"/>
  <c r="X253" i="11"/>
  <c r="W253" i="11"/>
  <c r="V253" i="11"/>
  <c r="U253" i="11"/>
  <c r="T253" i="11"/>
  <c r="S253" i="11"/>
  <c r="R253" i="11"/>
  <c r="Q253" i="11"/>
  <c r="P253" i="11"/>
  <c r="O253" i="11"/>
  <c r="N253" i="11"/>
  <c r="M253" i="11"/>
  <c r="L253" i="11"/>
  <c r="K253" i="11"/>
  <c r="J253" i="11"/>
  <c r="I253" i="11"/>
  <c r="H253" i="11"/>
  <c r="G253" i="11"/>
  <c r="F253" i="11"/>
  <c r="E253" i="11"/>
  <c r="D253" i="11"/>
  <c r="C253" i="11"/>
  <c r="B253" i="11"/>
  <c r="A253" i="11"/>
  <c r="AL252" i="11"/>
  <c r="AK252" i="11"/>
  <c r="AJ252" i="11"/>
  <c r="AI252" i="11"/>
  <c r="AH252" i="11"/>
  <c r="AG252" i="11"/>
  <c r="AF252" i="11"/>
  <c r="AE252" i="11"/>
  <c r="AD252" i="11"/>
  <c r="AC252" i="11"/>
  <c r="AB252" i="11"/>
  <c r="AA252" i="11"/>
  <c r="Z252" i="11"/>
  <c r="Y252" i="11"/>
  <c r="X252" i="11"/>
  <c r="W252" i="11"/>
  <c r="V252" i="11"/>
  <c r="U252" i="11"/>
  <c r="T252" i="11"/>
  <c r="S252" i="11"/>
  <c r="R252" i="11"/>
  <c r="Q252" i="11"/>
  <c r="P252" i="11"/>
  <c r="O252" i="11"/>
  <c r="N252" i="11"/>
  <c r="M252" i="11"/>
  <c r="L252" i="11"/>
  <c r="K252" i="11"/>
  <c r="J252" i="11"/>
  <c r="I252" i="11"/>
  <c r="H252" i="11"/>
  <c r="G252" i="11"/>
  <c r="F252" i="11"/>
  <c r="E252" i="11"/>
  <c r="D252" i="11"/>
  <c r="C252" i="11"/>
  <c r="B252" i="11"/>
  <c r="A252" i="11"/>
  <c r="AC251" i="11"/>
  <c r="X251" i="11"/>
  <c r="W251" i="11"/>
  <c r="V251" i="11"/>
  <c r="U251" i="11"/>
  <c r="T251" i="11"/>
  <c r="S251" i="11"/>
  <c r="R251" i="11"/>
  <c r="Q251" i="11"/>
  <c r="P251" i="11"/>
  <c r="O251" i="11"/>
  <c r="N251" i="11"/>
  <c r="M251" i="11"/>
  <c r="L251" i="11"/>
  <c r="K251" i="11"/>
  <c r="J251" i="11"/>
  <c r="I251" i="11"/>
  <c r="H251" i="11"/>
  <c r="G251" i="11"/>
  <c r="F251" i="11"/>
  <c r="E251" i="11"/>
  <c r="D251" i="11"/>
  <c r="C251" i="11"/>
  <c r="B251" i="11"/>
  <c r="A251" i="11"/>
  <c r="AC250" i="11"/>
  <c r="X250" i="11"/>
  <c r="W250" i="11"/>
  <c r="V250" i="11"/>
  <c r="U250" i="11"/>
  <c r="T250" i="11"/>
  <c r="S250" i="11"/>
  <c r="R250" i="11"/>
  <c r="Q250" i="11"/>
  <c r="P250" i="11"/>
  <c r="O250" i="11"/>
  <c r="N250" i="11"/>
  <c r="M250" i="11"/>
  <c r="L250" i="11"/>
  <c r="K250" i="11"/>
  <c r="J250" i="11"/>
  <c r="I250" i="11"/>
  <c r="H250" i="11"/>
  <c r="G250" i="11"/>
  <c r="F250" i="11"/>
  <c r="E250" i="11"/>
  <c r="D250" i="11"/>
  <c r="C250" i="11"/>
  <c r="B250" i="11"/>
  <c r="A250" i="11"/>
  <c r="AC249" i="11"/>
  <c r="X249" i="11"/>
  <c r="W249" i="11"/>
  <c r="V249" i="11"/>
  <c r="U249" i="11"/>
  <c r="T249" i="11"/>
  <c r="S249" i="11"/>
  <c r="R249" i="11"/>
  <c r="Q249" i="11"/>
  <c r="P249" i="11"/>
  <c r="O249" i="11"/>
  <c r="N249" i="11"/>
  <c r="M249" i="11"/>
  <c r="L249" i="11"/>
  <c r="K249" i="11"/>
  <c r="J249" i="11"/>
  <c r="I249" i="11"/>
  <c r="H249" i="11"/>
  <c r="G249" i="11"/>
  <c r="F249" i="11"/>
  <c r="E249" i="11"/>
  <c r="D249" i="11"/>
  <c r="C249" i="11"/>
  <c r="B249" i="11"/>
  <c r="A249" i="11"/>
  <c r="AC248" i="11"/>
  <c r="Y248" i="11"/>
  <c r="X248" i="11"/>
  <c r="W248" i="11"/>
  <c r="V248" i="11"/>
  <c r="U248" i="11"/>
  <c r="T248" i="11"/>
  <c r="S248" i="11"/>
  <c r="R248" i="11"/>
  <c r="Q248" i="11"/>
  <c r="P248" i="11"/>
  <c r="O248" i="11"/>
  <c r="N248" i="11"/>
  <c r="M248" i="11"/>
  <c r="L248" i="11"/>
  <c r="K248" i="11"/>
  <c r="J248" i="11"/>
  <c r="I248" i="11"/>
  <c r="H248" i="11"/>
  <c r="G248" i="11"/>
  <c r="F248" i="11"/>
  <c r="E248" i="11"/>
  <c r="D248" i="11"/>
  <c r="C248" i="11"/>
  <c r="B248" i="11"/>
  <c r="A248" i="11"/>
  <c r="AL247" i="11"/>
  <c r="AK247" i="11"/>
  <c r="AJ247" i="11"/>
  <c r="AI247" i="11"/>
  <c r="AH247" i="11"/>
  <c r="AG247" i="11"/>
  <c r="AF247" i="11"/>
  <c r="AE247" i="11"/>
  <c r="AD247" i="11"/>
  <c r="AC247" i="11"/>
  <c r="AB247" i="11"/>
  <c r="AA247" i="11"/>
  <c r="Z247" i="11"/>
  <c r="Y247" i="11"/>
  <c r="X247" i="11"/>
  <c r="W247" i="11"/>
  <c r="V247" i="11"/>
  <c r="U247" i="11"/>
  <c r="T247" i="11"/>
  <c r="S247" i="11"/>
  <c r="R247" i="11"/>
  <c r="Q247" i="11"/>
  <c r="P247" i="11"/>
  <c r="O247" i="11"/>
  <c r="N247" i="11"/>
  <c r="M247" i="11"/>
  <c r="L247" i="11"/>
  <c r="K247" i="11"/>
  <c r="J247" i="11"/>
  <c r="I247" i="11"/>
  <c r="H247" i="11"/>
  <c r="G247" i="11"/>
  <c r="F247" i="11"/>
  <c r="E247" i="11"/>
  <c r="D247" i="11"/>
  <c r="C247" i="11"/>
  <c r="B247" i="11"/>
  <c r="A247" i="11"/>
  <c r="AL246" i="11"/>
  <c r="AK246" i="11"/>
  <c r="AJ246" i="11"/>
  <c r="AI246" i="11"/>
  <c r="AH246" i="11"/>
  <c r="AG246" i="11"/>
  <c r="AF246" i="11"/>
  <c r="AE246" i="11"/>
  <c r="AD246" i="11"/>
  <c r="AC246" i="11"/>
  <c r="AB246" i="11"/>
  <c r="AA246" i="11"/>
  <c r="Z246" i="11"/>
  <c r="Y246" i="11"/>
  <c r="X246" i="11"/>
  <c r="W246" i="11"/>
  <c r="V246" i="11"/>
  <c r="U246" i="11"/>
  <c r="T246" i="11"/>
  <c r="S246" i="11"/>
  <c r="R246" i="11"/>
  <c r="Q246" i="11"/>
  <c r="P246" i="11"/>
  <c r="O246" i="11"/>
  <c r="N246" i="11"/>
  <c r="M246" i="11"/>
  <c r="L246" i="11"/>
  <c r="K246" i="11"/>
  <c r="J246" i="11"/>
  <c r="I246" i="11"/>
  <c r="H246" i="11"/>
  <c r="G246" i="11"/>
  <c r="F246" i="11"/>
  <c r="E246" i="11"/>
  <c r="D246" i="11"/>
  <c r="C246" i="11"/>
  <c r="B246" i="11"/>
  <c r="A246" i="11"/>
  <c r="AF245" i="11"/>
  <c r="AD245" i="11"/>
  <c r="AC245" i="11"/>
  <c r="AB245" i="11"/>
  <c r="AA245" i="11"/>
  <c r="Y245" i="11"/>
  <c r="X245" i="11"/>
  <c r="W245" i="11"/>
  <c r="V245" i="11"/>
  <c r="U245" i="11"/>
  <c r="T245" i="11"/>
  <c r="S245" i="11"/>
  <c r="R245" i="11"/>
  <c r="Q245" i="11"/>
  <c r="P245" i="11"/>
  <c r="O245" i="11"/>
  <c r="N245" i="11"/>
  <c r="M245" i="11"/>
  <c r="L245" i="11"/>
  <c r="K245" i="11"/>
  <c r="J245" i="11"/>
  <c r="I245" i="11"/>
  <c r="H245" i="11"/>
  <c r="G245" i="11"/>
  <c r="F245" i="11"/>
  <c r="E245" i="11"/>
  <c r="D245" i="11"/>
  <c r="C245" i="11"/>
  <c r="B245" i="11"/>
  <c r="A245" i="11"/>
  <c r="AL244" i="11"/>
  <c r="AK244" i="11"/>
  <c r="AJ244" i="11"/>
  <c r="AI244" i="11"/>
  <c r="AH244" i="11"/>
  <c r="AG244" i="11"/>
  <c r="AF244" i="11"/>
  <c r="AE244" i="11"/>
  <c r="AD244" i="11"/>
  <c r="AC244" i="11"/>
  <c r="AB244" i="11"/>
  <c r="AA244" i="11"/>
  <c r="Z244" i="11"/>
  <c r="Y244" i="11"/>
  <c r="X244" i="11"/>
  <c r="W244" i="11"/>
  <c r="V244" i="11"/>
  <c r="U244" i="11"/>
  <c r="T244" i="11"/>
  <c r="S244" i="11"/>
  <c r="R244" i="11"/>
  <c r="Q244" i="11"/>
  <c r="P244" i="11"/>
  <c r="O244" i="11"/>
  <c r="N244" i="11"/>
  <c r="M244" i="11"/>
  <c r="L244" i="11"/>
  <c r="K244" i="11"/>
  <c r="J244" i="11"/>
  <c r="I244" i="11"/>
  <c r="H244" i="11"/>
  <c r="G244" i="11"/>
  <c r="F244" i="11"/>
  <c r="E244" i="11"/>
  <c r="D244" i="11"/>
  <c r="C244" i="11"/>
  <c r="B244" i="11"/>
  <c r="A244" i="11"/>
  <c r="AL243" i="11"/>
  <c r="AK243" i="11"/>
  <c r="AJ243" i="11"/>
  <c r="AI243" i="11"/>
  <c r="AH243" i="11"/>
  <c r="AG243" i="11"/>
  <c r="AF243" i="11"/>
  <c r="AE243" i="11"/>
  <c r="AD243" i="11"/>
  <c r="AC243" i="11"/>
  <c r="AB243" i="11"/>
  <c r="AA243" i="11"/>
  <c r="Z243" i="11"/>
  <c r="Y243" i="11"/>
  <c r="X243" i="11"/>
  <c r="W243" i="11"/>
  <c r="V243" i="11"/>
  <c r="U243" i="11"/>
  <c r="T243" i="11"/>
  <c r="S243" i="11"/>
  <c r="R243" i="11"/>
  <c r="Q243" i="11"/>
  <c r="P243" i="11"/>
  <c r="O243" i="11"/>
  <c r="N243" i="11"/>
  <c r="M243" i="11"/>
  <c r="L243" i="11"/>
  <c r="K243" i="11"/>
  <c r="J243" i="11"/>
  <c r="I243" i="11"/>
  <c r="H243" i="11"/>
  <c r="G243" i="11"/>
  <c r="F243" i="11"/>
  <c r="E243" i="11"/>
  <c r="D243" i="11"/>
  <c r="C243" i="11"/>
  <c r="B243" i="11"/>
  <c r="A243" i="11"/>
  <c r="AC242" i="11"/>
  <c r="Y242" i="11"/>
  <c r="X242" i="11"/>
  <c r="W242" i="11"/>
  <c r="V242" i="11"/>
  <c r="U242" i="11"/>
  <c r="T242" i="11"/>
  <c r="S242" i="11"/>
  <c r="R242" i="11"/>
  <c r="Q242" i="11"/>
  <c r="P242" i="11"/>
  <c r="O242" i="11"/>
  <c r="N242" i="11"/>
  <c r="M242" i="11"/>
  <c r="L242" i="11"/>
  <c r="K242" i="11"/>
  <c r="J242" i="11"/>
  <c r="I242" i="11"/>
  <c r="H242" i="11"/>
  <c r="G242" i="11"/>
  <c r="F242" i="11"/>
  <c r="E242" i="11"/>
  <c r="D242" i="11"/>
  <c r="C242" i="11"/>
  <c r="B242" i="11"/>
  <c r="A242" i="11"/>
  <c r="AL241" i="11"/>
  <c r="AK241" i="11"/>
  <c r="AJ241" i="11"/>
  <c r="AI241" i="11"/>
  <c r="AH241" i="11"/>
  <c r="AG241" i="11"/>
  <c r="AF241" i="11"/>
  <c r="AE241" i="11"/>
  <c r="AD241" i="11"/>
  <c r="AC241" i="11"/>
  <c r="AB241" i="11"/>
  <c r="AA241" i="11"/>
  <c r="Z241" i="11"/>
  <c r="Y241" i="11"/>
  <c r="X241" i="11"/>
  <c r="W241" i="11"/>
  <c r="V241" i="11"/>
  <c r="U241" i="11"/>
  <c r="T241" i="11"/>
  <c r="S241" i="11"/>
  <c r="R241" i="11"/>
  <c r="Q241" i="11"/>
  <c r="P241" i="11"/>
  <c r="O241" i="11"/>
  <c r="N241" i="11"/>
  <c r="M241" i="11"/>
  <c r="L241" i="11"/>
  <c r="K241" i="11"/>
  <c r="J241" i="11"/>
  <c r="I241" i="11"/>
  <c r="H241" i="11"/>
  <c r="G241" i="11"/>
  <c r="F241" i="11"/>
  <c r="E241" i="11"/>
  <c r="D241" i="11"/>
  <c r="C241" i="11"/>
  <c r="B241" i="11"/>
  <c r="A241" i="11"/>
  <c r="AC240" i="11"/>
  <c r="X240" i="11"/>
  <c r="W240" i="11"/>
  <c r="V240" i="11"/>
  <c r="U240" i="11"/>
  <c r="T240" i="11"/>
  <c r="S240" i="11"/>
  <c r="R240" i="11"/>
  <c r="Q240" i="11"/>
  <c r="P240" i="11"/>
  <c r="O240" i="11"/>
  <c r="N240" i="11"/>
  <c r="M240" i="11"/>
  <c r="L240" i="11"/>
  <c r="K240" i="11"/>
  <c r="J240" i="11"/>
  <c r="I240" i="11"/>
  <c r="H240" i="11"/>
  <c r="G240" i="11"/>
  <c r="F240" i="11"/>
  <c r="E240" i="11"/>
  <c r="D240" i="11"/>
  <c r="C240" i="11"/>
  <c r="B240" i="11"/>
  <c r="A240" i="11"/>
  <c r="AF239" i="11"/>
  <c r="AD239" i="11"/>
  <c r="AC239" i="11"/>
  <c r="AB239" i="11"/>
  <c r="AA239" i="11"/>
  <c r="Y239" i="11"/>
  <c r="X239" i="11"/>
  <c r="W239" i="11"/>
  <c r="V239" i="11"/>
  <c r="U239" i="11"/>
  <c r="T239" i="11"/>
  <c r="S239" i="11"/>
  <c r="R239" i="11"/>
  <c r="Q239" i="11"/>
  <c r="P239" i="11"/>
  <c r="O239" i="11"/>
  <c r="N239" i="11"/>
  <c r="M239" i="11"/>
  <c r="L239" i="11"/>
  <c r="K239" i="11"/>
  <c r="J239" i="11"/>
  <c r="I239" i="11"/>
  <c r="H239" i="11"/>
  <c r="G239" i="11"/>
  <c r="F239" i="11"/>
  <c r="E239" i="11"/>
  <c r="D239" i="11"/>
  <c r="C239" i="11"/>
  <c r="B239" i="11"/>
  <c r="A239" i="11"/>
  <c r="AL238" i="11"/>
  <c r="AK238" i="11"/>
  <c r="AJ238" i="11"/>
  <c r="AI238" i="11"/>
  <c r="AH238" i="11"/>
  <c r="AG238" i="11"/>
  <c r="AF238" i="11"/>
  <c r="AE238" i="11"/>
  <c r="AD238" i="11"/>
  <c r="AC238" i="11"/>
  <c r="AB238" i="11"/>
  <c r="AA238" i="11"/>
  <c r="Z238" i="11"/>
  <c r="Y238" i="11"/>
  <c r="X238" i="11"/>
  <c r="W238" i="11"/>
  <c r="V238" i="11"/>
  <c r="U238" i="11"/>
  <c r="T238" i="11"/>
  <c r="S238" i="11"/>
  <c r="R238" i="11"/>
  <c r="Q238" i="11"/>
  <c r="P238" i="11"/>
  <c r="O238" i="11"/>
  <c r="N238" i="11"/>
  <c r="M238" i="11"/>
  <c r="L238" i="11"/>
  <c r="K238" i="11"/>
  <c r="J238" i="11"/>
  <c r="I238" i="11"/>
  <c r="H238" i="11"/>
  <c r="G238" i="11"/>
  <c r="F238" i="11"/>
  <c r="E238" i="11"/>
  <c r="D238" i="11"/>
  <c r="C238" i="11"/>
  <c r="B238" i="11"/>
  <c r="A238" i="11"/>
  <c r="AC237" i="11"/>
  <c r="X237" i="11"/>
  <c r="W237" i="11"/>
  <c r="V237" i="11"/>
  <c r="U237" i="11"/>
  <c r="T237" i="11"/>
  <c r="S237" i="11"/>
  <c r="R237" i="11"/>
  <c r="Q237" i="11"/>
  <c r="P237" i="11"/>
  <c r="O237" i="11"/>
  <c r="N237" i="11"/>
  <c r="M237" i="11"/>
  <c r="L237" i="11"/>
  <c r="K237" i="11"/>
  <c r="J237" i="11"/>
  <c r="I237" i="11"/>
  <c r="H237" i="11"/>
  <c r="G237" i="11"/>
  <c r="F237" i="11"/>
  <c r="E237" i="11"/>
  <c r="D237" i="11"/>
  <c r="C237" i="11"/>
  <c r="B237" i="11"/>
  <c r="A237" i="11"/>
  <c r="AC236" i="11"/>
  <c r="Y236" i="11"/>
  <c r="X236" i="11"/>
  <c r="W236" i="11"/>
  <c r="V236" i="11"/>
  <c r="U236" i="11"/>
  <c r="T236" i="11"/>
  <c r="S236" i="11"/>
  <c r="R236" i="11"/>
  <c r="Q236" i="11"/>
  <c r="P236" i="11"/>
  <c r="O236" i="11"/>
  <c r="N236" i="11"/>
  <c r="M236" i="11"/>
  <c r="L236" i="11"/>
  <c r="K236" i="11"/>
  <c r="J236" i="11"/>
  <c r="I236" i="11"/>
  <c r="H236" i="11"/>
  <c r="G236" i="11"/>
  <c r="F236" i="11"/>
  <c r="E236" i="11"/>
  <c r="D236" i="11"/>
  <c r="C236" i="11"/>
  <c r="B236" i="11"/>
  <c r="A236" i="11"/>
  <c r="AL235" i="11"/>
  <c r="AK235" i="11"/>
  <c r="AJ235" i="11"/>
  <c r="AI235" i="11"/>
  <c r="AH235" i="11"/>
  <c r="AG235" i="11"/>
  <c r="AF235" i="11"/>
  <c r="AE235" i="11"/>
  <c r="AD235" i="11"/>
  <c r="AC235" i="11"/>
  <c r="AB235" i="11"/>
  <c r="AA235" i="11"/>
  <c r="Z235" i="11"/>
  <c r="Y235" i="11"/>
  <c r="X235" i="11"/>
  <c r="W235" i="11"/>
  <c r="V235" i="11"/>
  <c r="U235" i="11"/>
  <c r="T235" i="11"/>
  <c r="S235" i="11"/>
  <c r="R235" i="11"/>
  <c r="Q235" i="11"/>
  <c r="P235" i="11"/>
  <c r="O235" i="11"/>
  <c r="N235" i="11"/>
  <c r="M235" i="11"/>
  <c r="L235" i="11"/>
  <c r="K235" i="11"/>
  <c r="J235" i="11"/>
  <c r="I235" i="11"/>
  <c r="H235" i="11"/>
  <c r="G235" i="11"/>
  <c r="F235" i="11"/>
  <c r="E235" i="11"/>
  <c r="D235" i="11"/>
  <c r="C235" i="11"/>
  <c r="B235" i="11"/>
  <c r="A235" i="11"/>
  <c r="AF234" i="11"/>
  <c r="AD234" i="11"/>
  <c r="AC234" i="11"/>
  <c r="AB234" i="11"/>
  <c r="AA234" i="11"/>
  <c r="Y234" i="11"/>
  <c r="X234" i="11"/>
  <c r="W234" i="11"/>
  <c r="V234" i="11"/>
  <c r="U234" i="11"/>
  <c r="T234" i="11"/>
  <c r="S234" i="11"/>
  <c r="R234" i="11"/>
  <c r="Q234" i="11"/>
  <c r="P234" i="11"/>
  <c r="O234" i="11"/>
  <c r="N234" i="11"/>
  <c r="M234" i="11"/>
  <c r="L234" i="11"/>
  <c r="K234" i="11"/>
  <c r="J234" i="11"/>
  <c r="I234" i="11"/>
  <c r="H234" i="11"/>
  <c r="G234" i="11"/>
  <c r="F234" i="11"/>
  <c r="E234" i="11"/>
  <c r="D234" i="11"/>
  <c r="C234" i="11"/>
  <c r="B234" i="11"/>
  <c r="A234" i="11"/>
  <c r="AL233" i="11"/>
  <c r="AK233" i="11"/>
  <c r="AJ233" i="11"/>
  <c r="AI233" i="11"/>
  <c r="AH233" i="11"/>
  <c r="AG233" i="11"/>
  <c r="AF233" i="11"/>
  <c r="AE233" i="11"/>
  <c r="AD233" i="11"/>
  <c r="AC233" i="11"/>
  <c r="AB233" i="11"/>
  <c r="AA233" i="11"/>
  <c r="Z233" i="11"/>
  <c r="Y233" i="11"/>
  <c r="X233" i="11"/>
  <c r="W233" i="11"/>
  <c r="V233" i="11"/>
  <c r="U233" i="11"/>
  <c r="T233" i="11"/>
  <c r="S233" i="11"/>
  <c r="R233" i="11"/>
  <c r="Q233" i="11"/>
  <c r="P233" i="11"/>
  <c r="O233" i="11"/>
  <c r="N233" i="11"/>
  <c r="M233" i="11"/>
  <c r="L233" i="11"/>
  <c r="K233" i="11"/>
  <c r="J233" i="11"/>
  <c r="I233" i="11"/>
  <c r="H233" i="11"/>
  <c r="G233" i="11"/>
  <c r="F233" i="11"/>
  <c r="E233" i="11"/>
  <c r="D233" i="11"/>
  <c r="C233" i="11"/>
  <c r="B233" i="11"/>
  <c r="A233" i="11"/>
  <c r="AL232" i="11"/>
  <c r="AK232" i="11"/>
  <c r="AJ232" i="11"/>
  <c r="AI232" i="11"/>
  <c r="AH232" i="11"/>
  <c r="AG232" i="11"/>
  <c r="AF232" i="11"/>
  <c r="AE232" i="11"/>
  <c r="AD232" i="11"/>
  <c r="AC232" i="11"/>
  <c r="AB232" i="11"/>
  <c r="AA232" i="11"/>
  <c r="Z232" i="11"/>
  <c r="Y232" i="11"/>
  <c r="X232" i="11"/>
  <c r="W232" i="11"/>
  <c r="V232" i="11"/>
  <c r="U232" i="11"/>
  <c r="T232" i="11"/>
  <c r="S232" i="11"/>
  <c r="R232" i="11"/>
  <c r="Q232" i="11"/>
  <c r="P232" i="11"/>
  <c r="O232" i="11"/>
  <c r="N232" i="11"/>
  <c r="M232" i="11"/>
  <c r="L232" i="11"/>
  <c r="K232" i="11"/>
  <c r="J232" i="11"/>
  <c r="I232" i="11"/>
  <c r="H232" i="11"/>
  <c r="G232" i="11"/>
  <c r="F232" i="11"/>
  <c r="E232" i="11"/>
  <c r="D232" i="11"/>
  <c r="C232" i="11"/>
  <c r="B232" i="11"/>
  <c r="A232" i="11"/>
  <c r="AL231" i="11"/>
  <c r="AK231" i="11"/>
  <c r="AJ231" i="11"/>
  <c r="AI231" i="11"/>
  <c r="AH231" i="11"/>
  <c r="AG231" i="11"/>
  <c r="AF231" i="11"/>
  <c r="AE231" i="11"/>
  <c r="AD231" i="11"/>
  <c r="AC231" i="11"/>
  <c r="AB231" i="11"/>
  <c r="AA231" i="11"/>
  <c r="Z231" i="11"/>
  <c r="Y231" i="11"/>
  <c r="X231" i="11"/>
  <c r="W231" i="11"/>
  <c r="V231" i="11"/>
  <c r="U231" i="11"/>
  <c r="T231" i="11"/>
  <c r="S231" i="11"/>
  <c r="R231" i="11"/>
  <c r="Q231" i="11"/>
  <c r="P231" i="11"/>
  <c r="O231" i="11"/>
  <c r="N231" i="11"/>
  <c r="M231" i="11"/>
  <c r="L231" i="11"/>
  <c r="K231" i="11"/>
  <c r="J231" i="11"/>
  <c r="I231" i="11"/>
  <c r="H231" i="11"/>
  <c r="G231" i="11"/>
  <c r="F231" i="11"/>
  <c r="E231" i="11"/>
  <c r="D231" i="11"/>
  <c r="C231" i="11"/>
  <c r="B231" i="11"/>
  <c r="A231" i="11"/>
  <c r="AC230" i="11"/>
  <c r="X230" i="11"/>
  <c r="W230" i="11"/>
  <c r="V230" i="11"/>
  <c r="U230" i="11"/>
  <c r="T230" i="11"/>
  <c r="S230" i="11"/>
  <c r="R230" i="11"/>
  <c r="Q230" i="11"/>
  <c r="P230" i="11"/>
  <c r="O230" i="11"/>
  <c r="N230" i="11"/>
  <c r="M230" i="11"/>
  <c r="L230" i="11"/>
  <c r="K230" i="11"/>
  <c r="J230" i="11"/>
  <c r="I230" i="11"/>
  <c r="H230" i="11"/>
  <c r="G230" i="11"/>
  <c r="F230" i="11"/>
  <c r="E230" i="11"/>
  <c r="D230" i="11"/>
  <c r="C230" i="11"/>
  <c r="B230" i="11"/>
  <c r="A230" i="11"/>
  <c r="AC229" i="11"/>
  <c r="X229" i="11"/>
  <c r="W229" i="11"/>
  <c r="V229" i="11"/>
  <c r="U229" i="11"/>
  <c r="T229" i="11"/>
  <c r="S229" i="11"/>
  <c r="R229" i="11"/>
  <c r="Q229" i="11"/>
  <c r="P229" i="11"/>
  <c r="O229" i="11"/>
  <c r="N229" i="11"/>
  <c r="M229" i="11"/>
  <c r="L229" i="11"/>
  <c r="K229" i="11"/>
  <c r="J229" i="11"/>
  <c r="I229" i="11"/>
  <c r="H229" i="11"/>
  <c r="G229" i="11"/>
  <c r="F229" i="11"/>
  <c r="E229" i="11"/>
  <c r="D229" i="11"/>
  <c r="C229" i="11"/>
  <c r="B229" i="11"/>
  <c r="A229" i="11"/>
  <c r="AF228" i="11"/>
  <c r="AD228" i="11"/>
  <c r="AC228" i="11"/>
  <c r="AB228" i="11"/>
  <c r="AA228" i="11"/>
  <c r="Y228" i="11"/>
  <c r="X228" i="11"/>
  <c r="W228" i="11"/>
  <c r="V228" i="11"/>
  <c r="U228" i="11"/>
  <c r="T228" i="11"/>
  <c r="S228" i="11"/>
  <c r="R228" i="11"/>
  <c r="Q228" i="11"/>
  <c r="P228" i="11"/>
  <c r="O228" i="11"/>
  <c r="N228" i="11"/>
  <c r="M228" i="11"/>
  <c r="L228" i="11"/>
  <c r="K228" i="11"/>
  <c r="J228" i="11"/>
  <c r="I228" i="11"/>
  <c r="H228" i="11"/>
  <c r="G228" i="11"/>
  <c r="F228" i="11"/>
  <c r="E228" i="11"/>
  <c r="D228" i="11"/>
  <c r="C228" i="11"/>
  <c r="B228" i="11"/>
  <c r="A228" i="11"/>
  <c r="AL227" i="11"/>
  <c r="AK227" i="11"/>
  <c r="AJ227" i="11"/>
  <c r="AI227" i="11"/>
  <c r="AH227" i="11"/>
  <c r="AG227" i="11"/>
  <c r="AF227" i="11"/>
  <c r="AE227" i="11"/>
  <c r="AD227" i="11"/>
  <c r="AC227" i="11"/>
  <c r="AB227" i="11"/>
  <c r="AA227" i="11"/>
  <c r="Z227" i="11"/>
  <c r="Y227" i="11"/>
  <c r="X227" i="11"/>
  <c r="W227" i="11"/>
  <c r="V227" i="11"/>
  <c r="U227" i="11"/>
  <c r="T227" i="11"/>
  <c r="S227" i="11"/>
  <c r="R227" i="11"/>
  <c r="Q227" i="11"/>
  <c r="P227" i="11"/>
  <c r="O227" i="11"/>
  <c r="N227" i="11"/>
  <c r="M227" i="11"/>
  <c r="L227" i="11"/>
  <c r="K227" i="11"/>
  <c r="J227" i="11"/>
  <c r="I227" i="11"/>
  <c r="H227" i="11"/>
  <c r="G227" i="11"/>
  <c r="F227" i="11"/>
  <c r="E227" i="11"/>
  <c r="D227" i="11"/>
  <c r="C227" i="11"/>
  <c r="B227" i="11"/>
  <c r="A227" i="11"/>
  <c r="AL226" i="11"/>
  <c r="AK226" i="11"/>
  <c r="AJ226" i="11"/>
  <c r="AI226" i="11"/>
  <c r="AH226" i="11"/>
  <c r="AG226" i="11"/>
  <c r="AF226" i="11"/>
  <c r="AE226" i="11"/>
  <c r="AD226" i="11"/>
  <c r="AC226" i="11"/>
  <c r="AB226" i="11"/>
  <c r="AA226" i="11"/>
  <c r="Z226" i="11"/>
  <c r="Y226" i="11"/>
  <c r="X226" i="11"/>
  <c r="W226" i="11"/>
  <c r="V226" i="11"/>
  <c r="U226" i="11"/>
  <c r="T226" i="11"/>
  <c r="S226" i="11"/>
  <c r="R226" i="11"/>
  <c r="Q226" i="11"/>
  <c r="P226" i="11"/>
  <c r="O226" i="11"/>
  <c r="N226" i="11"/>
  <c r="M226" i="11"/>
  <c r="L226" i="11"/>
  <c r="K226" i="11"/>
  <c r="J226" i="11"/>
  <c r="I226" i="11"/>
  <c r="H226" i="11"/>
  <c r="G226" i="11"/>
  <c r="F226" i="11"/>
  <c r="E226" i="11"/>
  <c r="D226" i="11"/>
  <c r="C226" i="11"/>
  <c r="B226" i="11"/>
  <c r="A226" i="11"/>
  <c r="AL225" i="11"/>
  <c r="AK225" i="11"/>
  <c r="AJ225" i="11"/>
  <c r="AI225" i="11"/>
  <c r="AH225" i="11"/>
  <c r="AG225" i="11"/>
  <c r="AF225" i="11"/>
  <c r="AE225" i="11"/>
  <c r="AD225" i="11"/>
  <c r="AC225" i="11"/>
  <c r="AB225" i="11"/>
  <c r="AA225" i="11"/>
  <c r="Z225" i="11"/>
  <c r="Y225" i="11"/>
  <c r="X225" i="11"/>
  <c r="W225" i="11"/>
  <c r="V225" i="11"/>
  <c r="U225" i="11"/>
  <c r="T225" i="11"/>
  <c r="S225" i="11"/>
  <c r="R225" i="11"/>
  <c r="Q225" i="11"/>
  <c r="P225" i="11"/>
  <c r="O225" i="11"/>
  <c r="N225" i="11"/>
  <c r="M225" i="11"/>
  <c r="L225" i="11"/>
  <c r="K225" i="11"/>
  <c r="J225" i="11"/>
  <c r="I225" i="11"/>
  <c r="H225" i="11"/>
  <c r="G225" i="11"/>
  <c r="F225" i="11"/>
  <c r="E225" i="11"/>
  <c r="D225" i="11"/>
  <c r="C225" i="11"/>
  <c r="B225" i="11"/>
  <c r="A225" i="11"/>
  <c r="AC224" i="11"/>
  <c r="X224" i="11"/>
  <c r="W224" i="11"/>
  <c r="V224" i="11"/>
  <c r="U224" i="11"/>
  <c r="T224" i="11"/>
  <c r="S224" i="11"/>
  <c r="R224" i="11"/>
  <c r="Q224" i="11"/>
  <c r="P224" i="11"/>
  <c r="O224" i="11"/>
  <c r="N224" i="11"/>
  <c r="M224" i="11"/>
  <c r="L224" i="11"/>
  <c r="K224" i="11"/>
  <c r="J224" i="11"/>
  <c r="I224" i="11"/>
  <c r="H224" i="11"/>
  <c r="G224" i="11"/>
  <c r="F224" i="11"/>
  <c r="E224" i="11"/>
  <c r="D224" i="11"/>
  <c r="C224" i="11"/>
  <c r="B224" i="11"/>
  <c r="A224" i="11"/>
  <c r="AC223" i="11"/>
  <c r="X223" i="11"/>
  <c r="W223" i="11"/>
  <c r="V223" i="11"/>
  <c r="U223" i="11"/>
  <c r="T223" i="11"/>
  <c r="S223" i="11"/>
  <c r="R223" i="11"/>
  <c r="Q223" i="11"/>
  <c r="P223" i="11"/>
  <c r="O223" i="11"/>
  <c r="N223" i="11"/>
  <c r="M223" i="11"/>
  <c r="L223" i="11"/>
  <c r="K223" i="11"/>
  <c r="J223" i="11"/>
  <c r="I223" i="11"/>
  <c r="H223" i="11"/>
  <c r="G223" i="11"/>
  <c r="F223" i="11"/>
  <c r="E223" i="11"/>
  <c r="D223" i="11"/>
  <c r="C223" i="11"/>
  <c r="B223" i="11"/>
  <c r="A223" i="11"/>
  <c r="AF222" i="11"/>
  <c r="AD222" i="11"/>
  <c r="AC222" i="11"/>
  <c r="AB222" i="11"/>
  <c r="AA222" i="11"/>
  <c r="Y222" i="11"/>
  <c r="X222" i="11"/>
  <c r="W222" i="11"/>
  <c r="V222" i="11"/>
  <c r="U222" i="11"/>
  <c r="T222" i="11"/>
  <c r="S222" i="11"/>
  <c r="R222" i="11"/>
  <c r="Q222" i="11"/>
  <c r="P222" i="11"/>
  <c r="O222" i="11"/>
  <c r="N222" i="11"/>
  <c r="M222" i="11"/>
  <c r="L222" i="11"/>
  <c r="K222" i="11"/>
  <c r="J222" i="11"/>
  <c r="I222" i="11"/>
  <c r="H222" i="11"/>
  <c r="G222" i="11"/>
  <c r="F222" i="11"/>
  <c r="E222" i="11"/>
  <c r="D222" i="11"/>
  <c r="C222" i="11"/>
  <c r="B222" i="11"/>
  <c r="A222" i="11"/>
  <c r="AL221" i="11"/>
  <c r="AK221" i="11"/>
  <c r="AJ221" i="11"/>
  <c r="AI221" i="11"/>
  <c r="AH221" i="11"/>
  <c r="AG221" i="11"/>
  <c r="AF221" i="11"/>
  <c r="AE221" i="11"/>
  <c r="AD221" i="11"/>
  <c r="AC221" i="11"/>
  <c r="AB221" i="11"/>
  <c r="AA221" i="11"/>
  <c r="Z221" i="11"/>
  <c r="Y221" i="11"/>
  <c r="X221" i="11"/>
  <c r="W221" i="11"/>
  <c r="V221" i="11"/>
  <c r="U221" i="11"/>
  <c r="T221" i="11"/>
  <c r="S221" i="11"/>
  <c r="R221" i="11"/>
  <c r="Q221" i="11"/>
  <c r="P221" i="11"/>
  <c r="O221" i="11"/>
  <c r="N221" i="11"/>
  <c r="M221" i="11"/>
  <c r="L221" i="11"/>
  <c r="K221" i="11"/>
  <c r="J221" i="11"/>
  <c r="I221" i="11"/>
  <c r="H221" i="11"/>
  <c r="G221" i="11"/>
  <c r="F221" i="11"/>
  <c r="E221" i="11"/>
  <c r="D221" i="11"/>
  <c r="C221" i="11"/>
  <c r="B221" i="11"/>
  <c r="A221" i="11"/>
  <c r="AC220" i="11"/>
  <c r="X220" i="11"/>
  <c r="W220" i="11"/>
  <c r="V220" i="11"/>
  <c r="U220" i="11"/>
  <c r="T220" i="11"/>
  <c r="S220" i="11"/>
  <c r="R220" i="11"/>
  <c r="Q220" i="11"/>
  <c r="P220" i="11"/>
  <c r="O220" i="11"/>
  <c r="N220" i="11"/>
  <c r="M220" i="11"/>
  <c r="L220" i="11"/>
  <c r="K220" i="11"/>
  <c r="J220" i="11"/>
  <c r="I220" i="11"/>
  <c r="H220" i="11"/>
  <c r="G220" i="11"/>
  <c r="F220" i="11"/>
  <c r="E220" i="11"/>
  <c r="D220" i="11"/>
  <c r="C220" i="11"/>
  <c r="B220" i="11"/>
  <c r="A220" i="11"/>
  <c r="AL219" i="11"/>
  <c r="AK219" i="11"/>
  <c r="AJ219" i="11"/>
  <c r="AI219" i="11"/>
  <c r="AH219" i="11"/>
  <c r="AG219" i="11"/>
  <c r="AF219" i="11"/>
  <c r="AE219" i="11"/>
  <c r="AD219" i="11"/>
  <c r="AC219" i="11"/>
  <c r="AB219" i="11"/>
  <c r="AA219" i="11"/>
  <c r="Z219" i="11"/>
  <c r="Y219" i="11"/>
  <c r="X219" i="11"/>
  <c r="W219" i="11"/>
  <c r="V219" i="11"/>
  <c r="U219" i="11"/>
  <c r="T219" i="11"/>
  <c r="S219" i="11"/>
  <c r="R219" i="11"/>
  <c r="Q219" i="11"/>
  <c r="P219" i="11"/>
  <c r="O219" i="11"/>
  <c r="N219" i="11"/>
  <c r="M219" i="11"/>
  <c r="L219" i="11"/>
  <c r="K219" i="11"/>
  <c r="J219" i="11"/>
  <c r="I219" i="11"/>
  <c r="H219" i="11"/>
  <c r="G219" i="11"/>
  <c r="F219" i="11"/>
  <c r="E219" i="11"/>
  <c r="D219" i="11"/>
  <c r="C219" i="11"/>
  <c r="B219" i="11"/>
  <c r="A219" i="11"/>
  <c r="AC218" i="11"/>
  <c r="X218" i="11"/>
  <c r="W218" i="11"/>
  <c r="V218" i="11"/>
  <c r="U218" i="11"/>
  <c r="T218" i="11"/>
  <c r="S218" i="11"/>
  <c r="R218" i="11"/>
  <c r="Q218" i="11"/>
  <c r="P218" i="11"/>
  <c r="O218" i="11"/>
  <c r="N218" i="11"/>
  <c r="M218" i="11"/>
  <c r="L218" i="11"/>
  <c r="K218" i="11"/>
  <c r="J218" i="11"/>
  <c r="I218" i="11"/>
  <c r="H218" i="11"/>
  <c r="G218" i="11"/>
  <c r="F218" i="11"/>
  <c r="E218" i="11"/>
  <c r="D218" i="11"/>
  <c r="C218" i="11"/>
  <c r="B218" i="11"/>
  <c r="A218" i="11"/>
  <c r="AL217" i="11"/>
  <c r="AK217" i="11"/>
  <c r="AJ217" i="11"/>
  <c r="AI217" i="11"/>
  <c r="AH217" i="11"/>
  <c r="AG217" i="11"/>
  <c r="AF217" i="11"/>
  <c r="AE217" i="11"/>
  <c r="AD217" i="11"/>
  <c r="AC217" i="11"/>
  <c r="AB217" i="11"/>
  <c r="AA217" i="11"/>
  <c r="Z217" i="11"/>
  <c r="Y217" i="11"/>
  <c r="X217" i="11"/>
  <c r="W217" i="11"/>
  <c r="V217" i="11"/>
  <c r="U217" i="11"/>
  <c r="T217" i="11"/>
  <c r="S217" i="11"/>
  <c r="R217" i="11"/>
  <c r="Q217" i="11"/>
  <c r="P217" i="11"/>
  <c r="O217" i="11"/>
  <c r="N217" i="11"/>
  <c r="M217" i="11"/>
  <c r="L217" i="11"/>
  <c r="K217" i="11"/>
  <c r="J217" i="11"/>
  <c r="I217" i="11"/>
  <c r="H217" i="11"/>
  <c r="G217" i="11"/>
  <c r="F217" i="11"/>
  <c r="E217" i="11"/>
  <c r="D217" i="11"/>
  <c r="C217" i="11"/>
  <c r="B217" i="11"/>
  <c r="A217" i="11"/>
  <c r="AC216" i="11"/>
  <c r="X216" i="11"/>
  <c r="W216" i="11"/>
  <c r="V216" i="11"/>
  <c r="U216" i="11"/>
  <c r="T216" i="11"/>
  <c r="S216" i="11"/>
  <c r="R216" i="11"/>
  <c r="Q216" i="11"/>
  <c r="P216" i="11"/>
  <c r="O216" i="11"/>
  <c r="N216" i="11"/>
  <c r="M216" i="11"/>
  <c r="L216" i="11"/>
  <c r="K216" i="11"/>
  <c r="J216" i="11"/>
  <c r="I216" i="11"/>
  <c r="H216" i="11"/>
  <c r="G216" i="11"/>
  <c r="F216" i="11"/>
  <c r="E216" i="11"/>
  <c r="D216" i="11"/>
  <c r="C216" i="11"/>
  <c r="B216" i="11"/>
  <c r="A216" i="11"/>
  <c r="AL215" i="11"/>
  <c r="AK215" i="11"/>
  <c r="AJ215" i="11"/>
  <c r="AI215" i="11"/>
  <c r="AH215" i="11"/>
  <c r="AG215" i="11"/>
  <c r="AF215" i="11"/>
  <c r="AE215" i="11"/>
  <c r="AD215" i="11"/>
  <c r="AC215" i="11"/>
  <c r="AB215" i="11"/>
  <c r="AA215" i="11"/>
  <c r="Z215" i="11"/>
  <c r="Y215" i="11"/>
  <c r="X215" i="11"/>
  <c r="W215" i="11"/>
  <c r="V215" i="11"/>
  <c r="U215" i="11"/>
  <c r="T215" i="11"/>
  <c r="S215" i="11"/>
  <c r="R215" i="11"/>
  <c r="Q215" i="11"/>
  <c r="P215" i="11"/>
  <c r="O215" i="11"/>
  <c r="N215" i="11"/>
  <c r="M215" i="11"/>
  <c r="L215" i="11"/>
  <c r="K215" i="11"/>
  <c r="J215" i="11"/>
  <c r="I215" i="11"/>
  <c r="H215" i="11"/>
  <c r="G215" i="11"/>
  <c r="F215" i="11"/>
  <c r="E215" i="11"/>
  <c r="D215" i="11"/>
  <c r="C215" i="11"/>
  <c r="B215" i="11"/>
  <c r="A215" i="11"/>
  <c r="AL214" i="11"/>
  <c r="AK214" i="11"/>
  <c r="AJ214" i="11"/>
  <c r="AI214" i="11"/>
  <c r="AH214" i="11"/>
  <c r="AG214" i="11"/>
  <c r="AF214" i="11"/>
  <c r="AE214" i="11"/>
  <c r="AD214" i="11"/>
  <c r="AC214" i="11"/>
  <c r="AB214" i="11"/>
  <c r="AA214" i="11"/>
  <c r="Z214" i="11"/>
  <c r="Y214" i="11"/>
  <c r="X214" i="11"/>
  <c r="W214" i="11"/>
  <c r="V214" i="11"/>
  <c r="U214" i="11"/>
  <c r="T214" i="11"/>
  <c r="S214" i="11"/>
  <c r="R214" i="11"/>
  <c r="Q214" i="11"/>
  <c r="P214" i="11"/>
  <c r="O214" i="11"/>
  <c r="N214" i="11"/>
  <c r="M214" i="11"/>
  <c r="L214" i="11"/>
  <c r="K214" i="11"/>
  <c r="J214" i="11"/>
  <c r="I214" i="11"/>
  <c r="H214" i="11"/>
  <c r="G214" i="11"/>
  <c r="F214" i="11"/>
  <c r="E214" i="11"/>
  <c r="D214" i="11"/>
  <c r="C214" i="11"/>
  <c r="B214" i="11"/>
  <c r="A214" i="11"/>
  <c r="AL213" i="11"/>
  <c r="AK213" i="11"/>
  <c r="AJ213" i="11"/>
  <c r="AI213" i="11"/>
  <c r="AH213" i="11"/>
  <c r="AG213" i="11"/>
  <c r="AF213" i="11"/>
  <c r="AE213" i="11"/>
  <c r="AD213" i="11"/>
  <c r="AC213" i="11"/>
  <c r="AB213" i="11"/>
  <c r="AA213" i="11"/>
  <c r="Z213" i="11"/>
  <c r="Y213" i="11"/>
  <c r="X213" i="11"/>
  <c r="W213" i="11"/>
  <c r="V213" i="11"/>
  <c r="U213" i="11"/>
  <c r="T213" i="11"/>
  <c r="S213" i="11"/>
  <c r="R213" i="11"/>
  <c r="Q213" i="11"/>
  <c r="P213" i="11"/>
  <c r="O213" i="11"/>
  <c r="N213" i="11"/>
  <c r="M213" i="11"/>
  <c r="L213" i="11"/>
  <c r="K213" i="11"/>
  <c r="J213" i="11"/>
  <c r="I213" i="11"/>
  <c r="H213" i="11"/>
  <c r="G213" i="11"/>
  <c r="F213" i="11"/>
  <c r="E213" i="11"/>
  <c r="D213" i="11"/>
  <c r="C213" i="11"/>
  <c r="B213" i="11"/>
  <c r="A213" i="11"/>
  <c r="AL212" i="11"/>
  <c r="AK212" i="11"/>
  <c r="AJ212" i="11"/>
  <c r="AI212" i="11"/>
  <c r="AH212" i="11"/>
  <c r="AG212" i="11"/>
  <c r="AF212" i="11"/>
  <c r="AE212" i="11"/>
  <c r="AD212" i="11"/>
  <c r="AC212" i="11"/>
  <c r="AB212" i="11"/>
  <c r="AA212" i="11"/>
  <c r="Z212" i="11"/>
  <c r="Y212" i="11"/>
  <c r="X212" i="11"/>
  <c r="W212" i="11"/>
  <c r="V212" i="11"/>
  <c r="U212" i="11"/>
  <c r="T212" i="11"/>
  <c r="S212" i="11"/>
  <c r="R212" i="11"/>
  <c r="Q212" i="11"/>
  <c r="P212" i="11"/>
  <c r="O212" i="11"/>
  <c r="N212" i="11"/>
  <c r="M212" i="11"/>
  <c r="L212" i="11"/>
  <c r="K212" i="11"/>
  <c r="J212" i="11"/>
  <c r="I212" i="11"/>
  <c r="H212" i="11"/>
  <c r="G212" i="11"/>
  <c r="F212" i="11"/>
  <c r="E212" i="11"/>
  <c r="D212" i="11"/>
  <c r="C212" i="11"/>
  <c r="B212" i="11"/>
  <c r="A212" i="11"/>
  <c r="AL211" i="11"/>
  <c r="AK211" i="11"/>
  <c r="AJ211" i="11"/>
  <c r="AI211" i="11"/>
  <c r="AH211" i="11"/>
  <c r="AG211" i="11"/>
  <c r="AF211" i="11"/>
  <c r="AE211" i="11"/>
  <c r="AD211" i="11"/>
  <c r="AC211" i="11"/>
  <c r="AB211" i="11"/>
  <c r="AA211" i="11"/>
  <c r="Z211" i="11"/>
  <c r="Y211" i="11"/>
  <c r="X211" i="11"/>
  <c r="W211" i="11"/>
  <c r="V211" i="11"/>
  <c r="U211" i="11"/>
  <c r="T211" i="11"/>
  <c r="S211" i="11"/>
  <c r="R211" i="11"/>
  <c r="Q211" i="11"/>
  <c r="P211" i="11"/>
  <c r="O211" i="11"/>
  <c r="N211" i="11"/>
  <c r="M211" i="11"/>
  <c r="L211" i="11"/>
  <c r="K211" i="11"/>
  <c r="J211" i="11"/>
  <c r="I211" i="11"/>
  <c r="H211" i="11"/>
  <c r="G211" i="11"/>
  <c r="F211" i="11"/>
  <c r="E211" i="11"/>
  <c r="D211" i="11"/>
  <c r="C211" i="11"/>
  <c r="B211" i="11"/>
  <c r="A211" i="11"/>
  <c r="AL210" i="11"/>
  <c r="AK210" i="11"/>
  <c r="AJ210" i="11"/>
  <c r="AI210" i="11"/>
  <c r="AH210" i="11"/>
  <c r="AG210" i="11"/>
  <c r="AF210" i="11"/>
  <c r="AE210" i="11"/>
  <c r="AD210" i="11"/>
  <c r="AC210" i="11"/>
  <c r="AB210" i="11"/>
  <c r="AA210" i="11"/>
  <c r="Z210" i="11"/>
  <c r="Y210" i="11"/>
  <c r="X210" i="11"/>
  <c r="W210" i="11"/>
  <c r="V210" i="11"/>
  <c r="U210" i="11"/>
  <c r="T210" i="11"/>
  <c r="S210" i="11"/>
  <c r="R210" i="11"/>
  <c r="Q210" i="11"/>
  <c r="P210" i="11"/>
  <c r="O210" i="11"/>
  <c r="N210" i="11"/>
  <c r="M210" i="11"/>
  <c r="L210" i="11"/>
  <c r="K210" i="11"/>
  <c r="J210" i="11"/>
  <c r="I210" i="11"/>
  <c r="H210" i="11"/>
  <c r="G210" i="11"/>
  <c r="F210" i="11"/>
  <c r="E210" i="11"/>
  <c r="D210" i="11"/>
  <c r="C210" i="11"/>
  <c r="B210" i="11"/>
  <c r="A210" i="11"/>
  <c r="AL209" i="11"/>
  <c r="AK209" i="11"/>
  <c r="AJ209" i="11"/>
  <c r="AI209" i="11"/>
  <c r="AH209" i="11"/>
  <c r="AG209" i="11"/>
  <c r="AF209" i="11"/>
  <c r="AE209" i="11"/>
  <c r="AD209" i="11"/>
  <c r="AC209" i="11"/>
  <c r="AB209" i="11"/>
  <c r="AA209" i="11"/>
  <c r="Z209" i="11"/>
  <c r="Y209" i="11"/>
  <c r="X209" i="11"/>
  <c r="W209" i="11"/>
  <c r="V209" i="11"/>
  <c r="U209" i="11"/>
  <c r="T209" i="11"/>
  <c r="S209" i="11"/>
  <c r="R209" i="11"/>
  <c r="Q209" i="11"/>
  <c r="P209" i="11"/>
  <c r="O209" i="11"/>
  <c r="N209" i="11"/>
  <c r="M209" i="11"/>
  <c r="L209" i="11"/>
  <c r="K209" i="11"/>
  <c r="J209" i="11"/>
  <c r="I209" i="11"/>
  <c r="H209" i="11"/>
  <c r="G209" i="11"/>
  <c r="F209" i="11"/>
  <c r="E209" i="11"/>
  <c r="D209" i="11"/>
  <c r="C209" i="11"/>
  <c r="B209" i="11"/>
  <c r="A209" i="11"/>
  <c r="AL208" i="11"/>
  <c r="AK208" i="11"/>
  <c r="AJ208" i="11"/>
  <c r="AI208" i="11"/>
  <c r="AH208" i="11"/>
  <c r="AG208" i="11"/>
  <c r="AF208" i="11"/>
  <c r="AE208" i="11"/>
  <c r="AD208" i="11"/>
  <c r="AC208" i="11"/>
  <c r="AB208" i="11"/>
  <c r="AA208" i="11"/>
  <c r="Z208" i="11"/>
  <c r="Y208" i="11"/>
  <c r="X208" i="11"/>
  <c r="W208" i="11"/>
  <c r="V208" i="11"/>
  <c r="U208" i="11"/>
  <c r="T208" i="11"/>
  <c r="S208" i="11"/>
  <c r="R208" i="11"/>
  <c r="Q208" i="11"/>
  <c r="P208" i="11"/>
  <c r="O208" i="11"/>
  <c r="N208" i="11"/>
  <c r="M208" i="11"/>
  <c r="L208" i="11"/>
  <c r="K208" i="11"/>
  <c r="J208" i="11"/>
  <c r="I208" i="11"/>
  <c r="H208" i="11"/>
  <c r="G208" i="11"/>
  <c r="F208" i="11"/>
  <c r="E208" i="11"/>
  <c r="D208" i="11"/>
  <c r="C208" i="11"/>
  <c r="B208" i="11"/>
  <c r="A208" i="11"/>
  <c r="AL207" i="11"/>
  <c r="AK207" i="11"/>
  <c r="AJ207" i="11"/>
  <c r="AI207" i="11"/>
  <c r="AH207" i="11"/>
  <c r="AG207" i="11"/>
  <c r="AF207" i="11"/>
  <c r="AE207" i="11"/>
  <c r="AD207" i="11"/>
  <c r="AC207" i="11"/>
  <c r="AB207" i="11"/>
  <c r="AA207" i="11"/>
  <c r="Z207" i="11"/>
  <c r="Y207" i="11"/>
  <c r="X207" i="11"/>
  <c r="W207" i="11"/>
  <c r="V207" i="11"/>
  <c r="U207" i="11"/>
  <c r="T207" i="11"/>
  <c r="S207" i="11"/>
  <c r="R207" i="11"/>
  <c r="Q207" i="11"/>
  <c r="P207" i="11"/>
  <c r="O207" i="11"/>
  <c r="N207" i="11"/>
  <c r="M207" i="11"/>
  <c r="L207" i="11"/>
  <c r="K207" i="11"/>
  <c r="J207" i="11"/>
  <c r="I207" i="11"/>
  <c r="H207" i="11"/>
  <c r="G207" i="11"/>
  <c r="F207" i="11"/>
  <c r="E207" i="11"/>
  <c r="D207" i="11"/>
  <c r="C207" i="11"/>
  <c r="B207" i="11"/>
  <c r="A207" i="11"/>
  <c r="AL206" i="11"/>
  <c r="AK206" i="11"/>
  <c r="AJ206" i="11"/>
  <c r="AI206" i="11"/>
  <c r="AH206" i="11"/>
  <c r="AG206" i="11"/>
  <c r="AF206" i="11"/>
  <c r="AE206" i="11"/>
  <c r="AD206" i="11"/>
  <c r="AC206" i="11"/>
  <c r="AB206" i="11"/>
  <c r="AA206" i="11"/>
  <c r="Z206" i="11"/>
  <c r="Y206" i="11"/>
  <c r="X206" i="11"/>
  <c r="W206" i="11"/>
  <c r="V206" i="11"/>
  <c r="U206" i="11"/>
  <c r="T206" i="11"/>
  <c r="S206" i="11"/>
  <c r="R206" i="11"/>
  <c r="Q206" i="11"/>
  <c r="P206" i="11"/>
  <c r="O206" i="11"/>
  <c r="N206" i="11"/>
  <c r="M206" i="11"/>
  <c r="L206" i="11"/>
  <c r="K206" i="11"/>
  <c r="J206" i="11"/>
  <c r="I206" i="11"/>
  <c r="H206" i="11"/>
  <c r="G206" i="11"/>
  <c r="F206" i="11"/>
  <c r="E206" i="11"/>
  <c r="D206" i="11"/>
  <c r="C206" i="11"/>
  <c r="B206" i="11"/>
  <c r="A206" i="11"/>
  <c r="AL205" i="11"/>
  <c r="AK205" i="11"/>
  <c r="AJ205" i="11"/>
  <c r="AI205" i="11"/>
  <c r="AH205" i="11"/>
  <c r="AG205" i="11"/>
  <c r="AF205" i="11"/>
  <c r="AE205" i="11"/>
  <c r="AD205" i="11"/>
  <c r="AC205" i="11"/>
  <c r="AB205" i="11"/>
  <c r="AA205" i="11"/>
  <c r="Z205" i="11"/>
  <c r="Y205" i="11"/>
  <c r="X205" i="11"/>
  <c r="W205" i="11"/>
  <c r="V205" i="11"/>
  <c r="U205" i="11"/>
  <c r="T205" i="11"/>
  <c r="S205" i="11"/>
  <c r="R205" i="11"/>
  <c r="Q205" i="11"/>
  <c r="P205" i="11"/>
  <c r="O205" i="11"/>
  <c r="N205" i="11"/>
  <c r="M205" i="11"/>
  <c r="L205" i="11"/>
  <c r="K205" i="11"/>
  <c r="J205" i="11"/>
  <c r="I205" i="11"/>
  <c r="H205" i="11"/>
  <c r="G205" i="11"/>
  <c r="F205" i="11"/>
  <c r="E205" i="11"/>
  <c r="D205" i="11"/>
  <c r="C205" i="11"/>
  <c r="B205" i="11"/>
  <c r="A205" i="11"/>
  <c r="AL204" i="11"/>
  <c r="AK204" i="11"/>
  <c r="AJ204" i="11"/>
  <c r="AI204" i="11"/>
  <c r="AH204" i="11"/>
  <c r="AG204" i="11"/>
  <c r="AF204" i="11"/>
  <c r="AE204" i="11"/>
  <c r="AD204" i="11"/>
  <c r="AC204" i="11"/>
  <c r="AB204" i="11"/>
  <c r="AA204" i="11"/>
  <c r="Z204" i="11"/>
  <c r="Y204" i="11"/>
  <c r="X204" i="11"/>
  <c r="W204" i="11"/>
  <c r="V204" i="11"/>
  <c r="U204" i="11"/>
  <c r="T204" i="11"/>
  <c r="S204" i="11"/>
  <c r="R204" i="11"/>
  <c r="Q204" i="11"/>
  <c r="P204" i="11"/>
  <c r="O204" i="11"/>
  <c r="N204" i="11"/>
  <c r="M204" i="11"/>
  <c r="L204" i="11"/>
  <c r="K204" i="11"/>
  <c r="J204" i="11"/>
  <c r="I204" i="11"/>
  <c r="H204" i="11"/>
  <c r="G204" i="11"/>
  <c r="F204" i="11"/>
  <c r="E204" i="11"/>
  <c r="D204" i="11"/>
  <c r="C204" i="11"/>
  <c r="B204" i="11"/>
  <c r="A204" i="11"/>
  <c r="AC203" i="11"/>
  <c r="X203" i="11"/>
  <c r="W203" i="11"/>
  <c r="V203" i="11"/>
  <c r="U203" i="11"/>
  <c r="T203" i="11"/>
  <c r="S203" i="11"/>
  <c r="R203" i="11"/>
  <c r="Q203" i="11"/>
  <c r="P203" i="11"/>
  <c r="O203" i="11"/>
  <c r="N203" i="11"/>
  <c r="M203" i="11"/>
  <c r="L203" i="11"/>
  <c r="K203" i="11"/>
  <c r="J203" i="11"/>
  <c r="I203" i="11"/>
  <c r="H203" i="11"/>
  <c r="G203" i="11"/>
  <c r="F203" i="11"/>
  <c r="E203" i="11"/>
  <c r="D203" i="11"/>
  <c r="C203" i="11"/>
  <c r="B203" i="11"/>
  <c r="A203" i="11"/>
  <c r="AF202" i="11"/>
  <c r="AD202" i="11"/>
  <c r="AC202" i="11"/>
  <c r="AB202" i="11"/>
  <c r="AA202" i="11"/>
  <c r="Y202" i="11"/>
  <c r="X202" i="11"/>
  <c r="W202" i="11"/>
  <c r="V202" i="11"/>
  <c r="U202" i="11"/>
  <c r="T202" i="11"/>
  <c r="S202" i="11"/>
  <c r="R202" i="11"/>
  <c r="Q202" i="11"/>
  <c r="P202" i="11"/>
  <c r="O202" i="11"/>
  <c r="N202" i="11"/>
  <c r="M202" i="11"/>
  <c r="L202" i="11"/>
  <c r="K202" i="11"/>
  <c r="J202" i="11"/>
  <c r="I202" i="11"/>
  <c r="H202" i="11"/>
  <c r="G202" i="11"/>
  <c r="F202" i="11"/>
  <c r="E202" i="11"/>
  <c r="D202" i="11"/>
  <c r="C202" i="11"/>
  <c r="B202" i="11"/>
  <c r="A202" i="11"/>
  <c r="AL201" i="11"/>
  <c r="AK201" i="11"/>
  <c r="AJ201" i="11"/>
  <c r="AI201" i="11"/>
  <c r="AH201" i="11"/>
  <c r="AG201" i="11"/>
  <c r="AF201" i="11"/>
  <c r="AE201" i="11"/>
  <c r="AD201" i="11"/>
  <c r="AC201" i="11"/>
  <c r="AB201" i="11"/>
  <c r="AA201" i="11"/>
  <c r="Z201" i="11"/>
  <c r="Y201" i="11"/>
  <c r="X201" i="11"/>
  <c r="W201" i="11"/>
  <c r="V201" i="11"/>
  <c r="U201" i="11"/>
  <c r="T201" i="11"/>
  <c r="S201" i="11"/>
  <c r="R201" i="11"/>
  <c r="Q201" i="11"/>
  <c r="P201" i="11"/>
  <c r="O201" i="11"/>
  <c r="N201" i="11"/>
  <c r="M201" i="11"/>
  <c r="L201" i="11"/>
  <c r="K201" i="11"/>
  <c r="J201" i="11"/>
  <c r="I201" i="11"/>
  <c r="H201" i="11"/>
  <c r="G201" i="11"/>
  <c r="F201" i="11"/>
  <c r="E201" i="11"/>
  <c r="D201" i="11"/>
  <c r="C201" i="11"/>
  <c r="B201" i="11"/>
  <c r="A201" i="11"/>
  <c r="AL200" i="11"/>
  <c r="AK200" i="11"/>
  <c r="AJ200" i="11"/>
  <c r="AI200" i="11"/>
  <c r="AH200" i="11"/>
  <c r="AG200" i="11"/>
  <c r="AF200" i="11"/>
  <c r="AE200" i="11"/>
  <c r="AD200" i="11"/>
  <c r="AC200" i="11"/>
  <c r="AB200" i="11"/>
  <c r="AA200" i="11"/>
  <c r="Z200" i="11"/>
  <c r="Y200" i="11"/>
  <c r="X200" i="11"/>
  <c r="W200" i="11"/>
  <c r="V200" i="11"/>
  <c r="U200" i="11"/>
  <c r="T200" i="11"/>
  <c r="S200" i="11"/>
  <c r="R200" i="11"/>
  <c r="Q200" i="11"/>
  <c r="P200" i="11"/>
  <c r="O200" i="11"/>
  <c r="N200" i="11"/>
  <c r="M200" i="11"/>
  <c r="L200" i="11"/>
  <c r="K200" i="11"/>
  <c r="J200" i="11"/>
  <c r="I200" i="11"/>
  <c r="H200" i="11"/>
  <c r="G200" i="11"/>
  <c r="F200" i="11"/>
  <c r="E200" i="11"/>
  <c r="D200" i="11"/>
  <c r="C200" i="11"/>
  <c r="B200" i="11"/>
  <c r="A200" i="11"/>
  <c r="AF199" i="11"/>
  <c r="AD199" i="11"/>
  <c r="AC199" i="11"/>
  <c r="AB199" i="11"/>
  <c r="AA199" i="11"/>
  <c r="Y199" i="11"/>
  <c r="X199" i="11"/>
  <c r="W199" i="11"/>
  <c r="V199" i="11"/>
  <c r="U199" i="11"/>
  <c r="T199" i="11"/>
  <c r="S199" i="11"/>
  <c r="R199" i="11"/>
  <c r="Q199" i="11"/>
  <c r="P199" i="11"/>
  <c r="O199" i="11"/>
  <c r="N199" i="11"/>
  <c r="M199" i="11"/>
  <c r="L199" i="11"/>
  <c r="K199" i="11"/>
  <c r="J199" i="11"/>
  <c r="I199" i="11"/>
  <c r="H199" i="11"/>
  <c r="G199" i="11"/>
  <c r="F199" i="11"/>
  <c r="E199" i="11"/>
  <c r="D199" i="11"/>
  <c r="C199" i="11"/>
  <c r="B199" i="11"/>
  <c r="A199" i="11"/>
  <c r="AL198" i="11"/>
  <c r="AK198" i="11"/>
  <c r="AJ198" i="11"/>
  <c r="AI198" i="11"/>
  <c r="AH198" i="11"/>
  <c r="AG198" i="11"/>
  <c r="AF198" i="11"/>
  <c r="AE198" i="11"/>
  <c r="AD198" i="11"/>
  <c r="AC198" i="11"/>
  <c r="AB198" i="11"/>
  <c r="AA198" i="11"/>
  <c r="Z198" i="11"/>
  <c r="Y198" i="11"/>
  <c r="X198" i="11"/>
  <c r="W198" i="11"/>
  <c r="V198" i="11"/>
  <c r="U198" i="11"/>
  <c r="T198" i="11"/>
  <c r="S198" i="11"/>
  <c r="R198" i="11"/>
  <c r="Q198" i="11"/>
  <c r="P198" i="11"/>
  <c r="O198" i="11"/>
  <c r="N198" i="11"/>
  <c r="M198" i="11"/>
  <c r="L198" i="11"/>
  <c r="K198" i="11"/>
  <c r="J198" i="11"/>
  <c r="I198" i="11"/>
  <c r="H198" i="11"/>
  <c r="G198" i="11"/>
  <c r="F198" i="11"/>
  <c r="E198" i="11"/>
  <c r="D198" i="11"/>
  <c r="C198" i="11"/>
  <c r="B198" i="11"/>
  <c r="A198" i="11"/>
  <c r="AL197" i="11"/>
  <c r="AK197" i="11"/>
  <c r="AJ197" i="11"/>
  <c r="AI197" i="11"/>
  <c r="AH197" i="11"/>
  <c r="AG197" i="11"/>
  <c r="AF197" i="11"/>
  <c r="AE197" i="11"/>
  <c r="AD197" i="11"/>
  <c r="AC197" i="11"/>
  <c r="AB197" i="11"/>
  <c r="AA197" i="11"/>
  <c r="Z197" i="11"/>
  <c r="Y197" i="11"/>
  <c r="X197" i="11"/>
  <c r="W197" i="11"/>
  <c r="V197" i="11"/>
  <c r="U197" i="11"/>
  <c r="T197" i="11"/>
  <c r="S197" i="11"/>
  <c r="R197" i="11"/>
  <c r="Q197" i="11"/>
  <c r="P197" i="11"/>
  <c r="O197" i="11"/>
  <c r="N197" i="11"/>
  <c r="M197" i="11"/>
  <c r="L197" i="11"/>
  <c r="K197" i="11"/>
  <c r="J197" i="11"/>
  <c r="I197" i="11"/>
  <c r="H197" i="11"/>
  <c r="G197" i="11"/>
  <c r="F197" i="11"/>
  <c r="E197" i="11"/>
  <c r="D197" i="11"/>
  <c r="C197" i="11"/>
  <c r="B197" i="11"/>
  <c r="A197" i="11"/>
  <c r="AL196" i="11"/>
  <c r="AK196" i="11"/>
  <c r="AJ196" i="11"/>
  <c r="AI196" i="11"/>
  <c r="AH196" i="11"/>
  <c r="AG196" i="11"/>
  <c r="AF196" i="11"/>
  <c r="AE196" i="11"/>
  <c r="AD196" i="11"/>
  <c r="AC196" i="11"/>
  <c r="AB196" i="11"/>
  <c r="AA196" i="11"/>
  <c r="Z196" i="11"/>
  <c r="Y196" i="11"/>
  <c r="X196" i="11"/>
  <c r="W196" i="11"/>
  <c r="V196" i="11"/>
  <c r="U196" i="11"/>
  <c r="T196" i="11"/>
  <c r="S196" i="11"/>
  <c r="R196" i="11"/>
  <c r="Q196" i="11"/>
  <c r="P196" i="11"/>
  <c r="O196" i="11"/>
  <c r="N196" i="11"/>
  <c r="M196" i="11"/>
  <c r="L196" i="11"/>
  <c r="K196" i="11"/>
  <c r="J196" i="11"/>
  <c r="I196" i="11"/>
  <c r="H196" i="11"/>
  <c r="G196" i="11"/>
  <c r="F196" i="11"/>
  <c r="E196" i="11"/>
  <c r="D196" i="11"/>
  <c r="C196" i="11"/>
  <c r="B196" i="11"/>
  <c r="A196" i="11"/>
  <c r="AL195" i="11"/>
  <c r="AK195" i="11"/>
  <c r="AJ195" i="11"/>
  <c r="AI195" i="11"/>
  <c r="AH195" i="11"/>
  <c r="AG195" i="11"/>
  <c r="AF195" i="11"/>
  <c r="AE195" i="11"/>
  <c r="AD195" i="11"/>
  <c r="AC195" i="11"/>
  <c r="AB195" i="11"/>
  <c r="AA195" i="11"/>
  <c r="Z195" i="11"/>
  <c r="Y195" i="11"/>
  <c r="X195" i="11"/>
  <c r="W195" i="11"/>
  <c r="V195" i="11"/>
  <c r="U195" i="11"/>
  <c r="T195" i="11"/>
  <c r="S195" i="11"/>
  <c r="R195" i="11"/>
  <c r="Q195" i="11"/>
  <c r="P195" i="11"/>
  <c r="O195" i="11"/>
  <c r="N195" i="11"/>
  <c r="M195" i="11"/>
  <c r="L195" i="11"/>
  <c r="K195" i="11"/>
  <c r="J195" i="11"/>
  <c r="I195" i="11"/>
  <c r="H195" i="11"/>
  <c r="G195" i="11"/>
  <c r="F195" i="11"/>
  <c r="E195" i="11"/>
  <c r="D195" i="11"/>
  <c r="C195" i="11"/>
  <c r="B195" i="11"/>
  <c r="A195" i="11"/>
  <c r="AL194" i="11"/>
  <c r="AK194" i="11"/>
  <c r="AJ194" i="11"/>
  <c r="AI194" i="11"/>
  <c r="AH194" i="11"/>
  <c r="AG194" i="11"/>
  <c r="AF194" i="11"/>
  <c r="AE194" i="11"/>
  <c r="AD194" i="11"/>
  <c r="AC194" i="11"/>
  <c r="AB194" i="11"/>
  <c r="AA194" i="11"/>
  <c r="Z194" i="11"/>
  <c r="Y194" i="11"/>
  <c r="X194" i="11"/>
  <c r="W194" i="11"/>
  <c r="V194" i="11"/>
  <c r="U194" i="11"/>
  <c r="T194" i="11"/>
  <c r="S194" i="11"/>
  <c r="R194" i="11"/>
  <c r="Q194" i="11"/>
  <c r="P194" i="11"/>
  <c r="O194" i="11"/>
  <c r="N194" i="11"/>
  <c r="M194" i="11"/>
  <c r="L194" i="11"/>
  <c r="K194" i="11"/>
  <c r="J194" i="11"/>
  <c r="I194" i="11"/>
  <c r="H194" i="11"/>
  <c r="G194" i="11"/>
  <c r="F194" i="11"/>
  <c r="E194" i="11"/>
  <c r="D194" i="11"/>
  <c r="C194" i="11"/>
  <c r="B194" i="11"/>
  <c r="A194" i="11"/>
  <c r="AL193" i="11"/>
  <c r="AK193" i="11"/>
  <c r="AJ193" i="11"/>
  <c r="AI193" i="11"/>
  <c r="AH193" i="11"/>
  <c r="AG193" i="11"/>
  <c r="AF193" i="11"/>
  <c r="AE193" i="11"/>
  <c r="AD193" i="11"/>
  <c r="AC193" i="11"/>
  <c r="AB193" i="11"/>
  <c r="AA193" i="11"/>
  <c r="Z193" i="11"/>
  <c r="Y193" i="11"/>
  <c r="X193" i="11"/>
  <c r="W193" i="11"/>
  <c r="V193" i="11"/>
  <c r="U193" i="11"/>
  <c r="T193" i="11"/>
  <c r="S193" i="11"/>
  <c r="R193" i="11"/>
  <c r="Q193" i="11"/>
  <c r="P193" i="11"/>
  <c r="O193" i="11"/>
  <c r="N193" i="11"/>
  <c r="M193" i="11"/>
  <c r="L193" i="11"/>
  <c r="K193" i="11"/>
  <c r="J193" i="11"/>
  <c r="I193" i="11"/>
  <c r="H193" i="11"/>
  <c r="G193" i="11"/>
  <c r="F193" i="11"/>
  <c r="E193" i="11"/>
  <c r="D193" i="11"/>
  <c r="C193" i="11"/>
  <c r="B193" i="11"/>
  <c r="A193" i="11"/>
  <c r="AC192" i="11"/>
  <c r="X192" i="11"/>
  <c r="W192" i="11"/>
  <c r="V192" i="11"/>
  <c r="U192" i="11"/>
  <c r="T192" i="11"/>
  <c r="S192" i="11"/>
  <c r="R192" i="11"/>
  <c r="Q192" i="11"/>
  <c r="P192" i="11"/>
  <c r="O192" i="11"/>
  <c r="N192" i="11"/>
  <c r="M192" i="11"/>
  <c r="L192" i="11"/>
  <c r="K192" i="11"/>
  <c r="J192" i="11"/>
  <c r="I192" i="11"/>
  <c r="H192" i="11"/>
  <c r="G192" i="11"/>
  <c r="F192" i="11"/>
  <c r="E192" i="11"/>
  <c r="D192" i="11"/>
  <c r="C192" i="11"/>
  <c r="B192" i="11"/>
  <c r="A192" i="11"/>
  <c r="AC191" i="11"/>
  <c r="X191" i="11"/>
  <c r="W191" i="11"/>
  <c r="V191" i="11"/>
  <c r="U191" i="11"/>
  <c r="T191" i="11"/>
  <c r="S191" i="11"/>
  <c r="R191" i="11"/>
  <c r="Q191" i="11"/>
  <c r="P191" i="11"/>
  <c r="O191" i="11"/>
  <c r="N191" i="11"/>
  <c r="M191" i="11"/>
  <c r="L191" i="11"/>
  <c r="K191" i="11"/>
  <c r="J191" i="11"/>
  <c r="I191" i="11"/>
  <c r="H191" i="11"/>
  <c r="G191" i="11"/>
  <c r="F191" i="11"/>
  <c r="E191" i="11"/>
  <c r="D191" i="11"/>
  <c r="C191" i="11"/>
  <c r="B191" i="11"/>
  <c r="A191" i="11"/>
  <c r="AF190" i="11"/>
  <c r="AD190" i="11"/>
  <c r="AC190" i="11"/>
  <c r="AB190" i="11"/>
  <c r="AA190" i="11"/>
  <c r="Y190" i="11"/>
  <c r="X190" i="11"/>
  <c r="W190" i="11"/>
  <c r="V190" i="11"/>
  <c r="U190" i="11"/>
  <c r="T190" i="11"/>
  <c r="S190" i="11"/>
  <c r="R190" i="11"/>
  <c r="Q190" i="11"/>
  <c r="P190" i="11"/>
  <c r="O190" i="11"/>
  <c r="N190" i="11"/>
  <c r="M190" i="11"/>
  <c r="L190" i="11"/>
  <c r="K190" i="11"/>
  <c r="J190" i="11"/>
  <c r="I190" i="11"/>
  <c r="H190" i="11"/>
  <c r="G190" i="11"/>
  <c r="F190" i="11"/>
  <c r="E190" i="11"/>
  <c r="D190" i="11"/>
  <c r="C190" i="11"/>
  <c r="B190" i="11"/>
  <c r="A190" i="11"/>
  <c r="AL189" i="11"/>
  <c r="AK189" i="11"/>
  <c r="AJ189" i="11"/>
  <c r="AI189" i="11"/>
  <c r="AH189" i="11"/>
  <c r="AG189" i="11"/>
  <c r="AF189" i="11"/>
  <c r="AE189" i="11"/>
  <c r="AD189" i="11"/>
  <c r="AC189" i="11"/>
  <c r="AB189" i="11"/>
  <c r="AA189" i="11"/>
  <c r="Z189" i="11"/>
  <c r="Y189" i="11"/>
  <c r="X189" i="11"/>
  <c r="W189" i="11"/>
  <c r="V189" i="11"/>
  <c r="U189" i="11"/>
  <c r="T189" i="11"/>
  <c r="S189" i="11"/>
  <c r="R189" i="11"/>
  <c r="Q189" i="11"/>
  <c r="P189" i="11"/>
  <c r="O189" i="11"/>
  <c r="N189" i="11"/>
  <c r="M189" i="11"/>
  <c r="L189" i="11"/>
  <c r="K189" i="11"/>
  <c r="J189" i="11"/>
  <c r="I189" i="11"/>
  <c r="H189" i="11"/>
  <c r="G189" i="11"/>
  <c r="F189" i="11"/>
  <c r="E189" i="11"/>
  <c r="D189" i="11"/>
  <c r="C189" i="11"/>
  <c r="B189" i="11"/>
  <c r="A189" i="11"/>
  <c r="AL188" i="11"/>
  <c r="AK188" i="11"/>
  <c r="AJ188" i="11"/>
  <c r="AI188" i="11"/>
  <c r="AH188" i="11"/>
  <c r="AG188" i="11"/>
  <c r="AF188" i="11"/>
  <c r="AE188" i="11"/>
  <c r="AD188" i="11"/>
  <c r="AC188" i="11"/>
  <c r="AB188" i="11"/>
  <c r="AA188" i="11"/>
  <c r="Z188" i="11"/>
  <c r="Y188" i="11"/>
  <c r="X188" i="11"/>
  <c r="W188" i="11"/>
  <c r="V188" i="11"/>
  <c r="U188" i="11"/>
  <c r="T188" i="11"/>
  <c r="S188" i="11"/>
  <c r="R188" i="11"/>
  <c r="Q188" i="11"/>
  <c r="P188" i="11"/>
  <c r="O188" i="11"/>
  <c r="N188" i="11"/>
  <c r="M188" i="11"/>
  <c r="L188" i="11"/>
  <c r="K188" i="11"/>
  <c r="J188" i="11"/>
  <c r="I188" i="11"/>
  <c r="H188" i="11"/>
  <c r="G188" i="11"/>
  <c r="F188" i="11"/>
  <c r="E188" i="11"/>
  <c r="D188" i="11"/>
  <c r="C188" i="11"/>
  <c r="B188" i="11"/>
  <c r="A188" i="11"/>
  <c r="AL187" i="11"/>
  <c r="AK187" i="11"/>
  <c r="AJ187" i="11"/>
  <c r="AI187" i="11"/>
  <c r="AH187" i="11"/>
  <c r="AG187" i="11"/>
  <c r="AF187" i="11"/>
  <c r="AE187" i="11"/>
  <c r="AD187" i="11"/>
  <c r="AC187" i="11"/>
  <c r="AB187" i="11"/>
  <c r="AA187" i="11"/>
  <c r="Z187" i="11"/>
  <c r="Y187" i="11"/>
  <c r="X187" i="11"/>
  <c r="W187" i="11"/>
  <c r="V187" i="11"/>
  <c r="U187" i="11"/>
  <c r="T187" i="11"/>
  <c r="S187" i="11"/>
  <c r="R187" i="11"/>
  <c r="Q187" i="11"/>
  <c r="P187" i="11"/>
  <c r="O187" i="11"/>
  <c r="N187" i="11"/>
  <c r="M187" i="11"/>
  <c r="L187" i="11"/>
  <c r="K187" i="11"/>
  <c r="J187" i="11"/>
  <c r="I187" i="11"/>
  <c r="H187" i="11"/>
  <c r="G187" i="11"/>
  <c r="F187" i="11"/>
  <c r="E187" i="11"/>
  <c r="D187" i="11"/>
  <c r="C187" i="11"/>
  <c r="B187" i="11"/>
  <c r="A187" i="11"/>
  <c r="AL186" i="11"/>
  <c r="AK186" i="11"/>
  <c r="AJ186" i="11"/>
  <c r="AI186" i="11"/>
  <c r="AH186" i="11"/>
  <c r="AG186" i="11"/>
  <c r="AF186" i="11"/>
  <c r="AE186" i="11"/>
  <c r="AD186" i="11"/>
  <c r="AC186" i="11"/>
  <c r="AB186" i="11"/>
  <c r="AA186" i="11"/>
  <c r="Z186" i="11"/>
  <c r="Y186" i="11"/>
  <c r="X186" i="11"/>
  <c r="W186" i="11"/>
  <c r="V186" i="11"/>
  <c r="U186" i="11"/>
  <c r="T186" i="11"/>
  <c r="S186" i="11"/>
  <c r="R186" i="11"/>
  <c r="Q186" i="11"/>
  <c r="P186" i="11"/>
  <c r="O186" i="11"/>
  <c r="N186" i="11"/>
  <c r="M186" i="11"/>
  <c r="L186" i="11"/>
  <c r="K186" i="11"/>
  <c r="J186" i="11"/>
  <c r="I186" i="11"/>
  <c r="H186" i="11"/>
  <c r="G186" i="11"/>
  <c r="F186" i="11"/>
  <c r="E186" i="11"/>
  <c r="D186" i="11"/>
  <c r="C186" i="11"/>
  <c r="B186" i="11"/>
  <c r="A186" i="11"/>
  <c r="AL185" i="11"/>
  <c r="AK185" i="11"/>
  <c r="AJ185" i="11"/>
  <c r="AI185" i="11"/>
  <c r="AH185" i="11"/>
  <c r="AG185" i="11"/>
  <c r="AF185" i="11"/>
  <c r="AE185" i="11"/>
  <c r="AD185" i="11"/>
  <c r="AC185" i="11"/>
  <c r="AB185" i="11"/>
  <c r="AA185" i="11"/>
  <c r="Z185" i="11"/>
  <c r="Y185" i="11"/>
  <c r="X185" i="11"/>
  <c r="W185" i="11"/>
  <c r="V185" i="11"/>
  <c r="U185" i="11"/>
  <c r="T185" i="11"/>
  <c r="S185" i="11"/>
  <c r="R185" i="11"/>
  <c r="Q185" i="11"/>
  <c r="P185" i="11"/>
  <c r="O185" i="11"/>
  <c r="N185" i="11"/>
  <c r="M185" i="11"/>
  <c r="L185" i="11"/>
  <c r="K185" i="11"/>
  <c r="J185" i="11"/>
  <c r="I185" i="11"/>
  <c r="H185" i="11"/>
  <c r="G185" i="11"/>
  <c r="F185" i="11"/>
  <c r="E185" i="11"/>
  <c r="D185" i="11"/>
  <c r="C185" i="11"/>
  <c r="B185" i="11"/>
  <c r="A185" i="11"/>
  <c r="AL184" i="11"/>
  <c r="AK184" i="11"/>
  <c r="AJ184" i="11"/>
  <c r="AI184" i="11"/>
  <c r="AH184" i="11"/>
  <c r="AG184" i="11"/>
  <c r="AF184" i="11"/>
  <c r="AE184" i="11"/>
  <c r="AD184" i="11"/>
  <c r="AC184" i="11"/>
  <c r="AB184" i="11"/>
  <c r="AA184" i="11"/>
  <c r="Z184" i="11"/>
  <c r="Y184" i="11"/>
  <c r="X184" i="11"/>
  <c r="W184" i="11"/>
  <c r="V184" i="11"/>
  <c r="U184" i="11"/>
  <c r="T184" i="11"/>
  <c r="S184" i="11"/>
  <c r="R184" i="11"/>
  <c r="Q184" i="11"/>
  <c r="P184" i="11"/>
  <c r="O184" i="11"/>
  <c r="N184" i="11"/>
  <c r="M184" i="11"/>
  <c r="L184" i="11"/>
  <c r="K184" i="11"/>
  <c r="J184" i="11"/>
  <c r="I184" i="11"/>
  <c r="H184" i="11"/>
  <c r="G184" i="11"/>
  <c r="F184" i="11"/>
  <c r="E184" i="11"/>
  <c r="D184" i="11"/>
  <c r="C184" i="11"/>
  <c r="B184" i="11"/>
  <c r="A184" i="11"/>
  <c r="AL183" i="11"/>
  <c r="AK183" i="11"/>
  <c r="AJ183" i="11"/>
  <c r="AI183" i="11"/>
  <c r="AH183" i="11"/>
  <c r="AG183" i="11"/>
  <c r="AF183" i="11"/>
  <c r="AE183" i="11"/>
  <c r="AD183" i="11"/>
  <c r="AC183" i="11"/>
  <c r="AB183" i="11"/>
  <c r="AA183" i="11"/>
  <c r="Z183" i="11"/>
  <c r="Y183" i="11"/>
  <c r="X183" i="11"/>
  <c r="W183" i="11"/>
  <c r="V183" i="11"/>
  <c r="U183" i="11"/>
  <c r="T183" i="11"/>
  <c r="S183" i="11"/>
  <c r="R183" i="11"/>
  <c r="Q183" i="11"/>
  <c r="P183" i="11"/>
  <c r="O183" i="11"/>
  <c r="N183" i="11"/>
  <c r="M183" i="11"/>
  <c r="L183" i="11"/>
  <c r="K183" i="11"/>
  <c r="J183" i="11"/>
  <c r="I183" i="11"/>
  <c r="H183" i="11"/>
  <c r="G183" i="11"/>
  <c r="F183" i="11"/>
  <c r="E183" i="11"/>
  <c r="D183" i="11"/>
  <c r="C183" i="11"/>
  <c r="B183" i="11"/>
  <c r="A183" i="11"/>
  <c r="AL182" i="11"/>
  <c r="AK182" i="11"/>
  <c r="AJ182" i="11"/>
  <c r="AI182" i="11"/>
  <c r="AH182" i="11"/>
  <c r="AG182" i="11"/>
  <c r="AF182" i="11"/>
  <c r="AE182" i="11"/>
  <c r="AD182" i="11"/>
  <c r="AC182" i="11"/>
  <c r="AB182" i="11"/>
  <c r="AA182" i="11"/>
  <c r="Z182" i="11"/>
  <c r="Y182" i="11"/>
  <c r="X182" i="11"/>
  <c r="W182" i="11"/>
  <c r="V182" i="11"/>
  <c r="U182" i="11"/>
  <c r="T182" i="11"/>
  <c r="S182" i="11"/>
  <c r="R182" i="11"/>
  <c r="Q182" i="11"/>
  <c r="P182" i="11"/>
  <c r="O182" i="11"/>
  <c r="N182" i="11"/>
  <c r="M182" i="11"/>
  <c r="L182" i="11"/>
  <c r="K182" i="11"/>
  <c r="J182" i="11"/>
  <c r="I182" i="11"/>
  <c r="H182" i="11"/>
  <c r="G182" i="11"/>
  <c r="F182" i="11"/>
  <c r="E182" i="11"/>
  <c r="D182" i="11"/>
  <c r="C182" i="11"/>
  <c r="B182" i="11"/>
  <c r="A182" i="11"/>
  <c r="AL181" i="11"/>
  <c r="AK181" i="11"/>
  <c r="AJ181" i="11"/>
  <c r="AI181" i="11"/>
  <c r="AH181" i="11"/>
  <c r="AG181" i="11"/>
  <c r="AF181" i="11"/>
  <c r="AE181" i="11"/>
  <c r="AD181" i="11"/>
  <c r="AC181" i="11"/>
  <c r="AB181" i="11"/>
  <c r="AA181" i="11"/>
  <c r="Z181" i="11"/>
  <c r="Y181" i="11"/>
  <c r="X181" i="11"/>
  <c r="W181" i="11"/>
  <c r="V181" i="11"/>
  <c r="U181" i="11"/>
  <c r="T181" i="11"/>
  <c r="S181" i="11"/>
  <c r="R181" i="11"/>
  <c r="Q181" i="11"/>
  <c r="P181" i="11"/>
  <c r="O181" i="11"/>
  <c r="N181" i="11"/>
  <c r="M181" i="11"/>
  <c r="L181" i="11"/>
  <c r="K181" i="11"/>
  <c r="J181" i="11"/>
  <c r="I181" i="11"/>
  <c r="H181" i="11"/>
  <c r="G181" i="11"/>
  <c r="F181" i="11"/>
  <c r="E181" i="11"/>
  <c r="D181" i="11"/>
  <c r="C181" i="11"/>
  <c r="B181" i="11"/>
  <c r="A181" i="11"/>
  <c r="AL180" i="11"/>
  <c r="AK180" i="11"/>
  <c r="AJ180" i="11"/>
  <c r="AI180" i="11"/>
  <c r="AH180" i="11"/>
  <c r="AG180" i="11"/>
  <c r="AF180" i="11"/>
  <c r="AE180" i="11"/>
  <c r="AD180" i="11"/>
  <c r="AC180" i="11"/>
  <c r="AB180" i="11"/>
  <c r="AA180" i="11"/>
  <c r="Z180" i="11"/>
  <c r="Y180" i="11"/>
  <c r="X180" i="11"/>
  <c r="W180" i="11"/>
  <c r="V180" i="11"/>
  <c r="U180" i="11"/>
  <c r="T180" i="11"/>
  <c r="S180" i="11"/>
  <c r="R180" i="11"/>
  <c r="Q180" i="11"/>
  <c r="P180" i="11"/>
  <c r="O180" i="11"/>
  <c r="N180" i="11"/>
  <c r="M180" i="11"/>
  <c r="L180" i="11"/>
  <c r="K180" i="11"/>
  <c r="J180" i="11"/>
  <c r="I180" i="11"/>
  <c r="H180" i="11"/>
  <c r="G180" i="11"/>
  <c r="F180" i="11"/>
  <c r="E180" i="11"/>
  <c r="D180" i="11"/>
  <c r="C180" i="11"/>
  <c r="B180" i="11"/>
  <c r="A180" i="11"/>
  <c r="AC179" i="11"/>
  <c r="X179" i="11"/>
  <c r="W179" i="11"/>
  <c r="V179" i="11"/>
  <c r="U179" i="11"/>
  <c r="T179" i="11"/>
  <c r="S179" i="11"/>
  <c r="R179" i="11"/>
  <c r="Q179" i="11"/>
  <c r="P179" i="11"/>
  <c r="O179" i="11"/>
  <c r="N179" i="11"/>
  <c r="M179" i="11"/>
  <c r="L179" i="11"/>
  <c r="K179" i="11"/>
  <c r="J179" i="11"/>
  <c r="I179" i="11"/>
  <c r="H179" i="11"/>
  <c r="G179" i="11"/>
  <c r="F179" i="11"/>
  <c r="E179" i="11"/>
  <c r="D179" i="11"/>
  <c r="C179" i="11"/>
  <c r="B179" i="11"/>
  <c r="A179" i="11"/>
  <c r="AF178" i="11"/>
  <c r="AD178" i="11"/>
  <c r="AC178" i="11"/>
  <c r="AB178" i="11"/>
  <c r="AA178" i="11"/>
  <c r="Y178" i="11"/>
  <c r="X178" i="11"/>
  <c r="W178" i="11"/>
  <c r="V178" i="11"/>
  <c r="U178" i="11"/>
  <c r="T178" i="11"/>
  <c r="S178" i="11"/>
  <c r="R178" i="11"/>
  <c r="Q178" i="11"/>
  <c r="P178" i="11"/>
  <c r="O178" i="11"/>
  <c r="N178" i="11"/>
  <c r="M178" i="11"/>
  <c r="L178" i="11"/>
  <c r="K178" i="11"/>
  <c r="J178" i="11"/>
  <c r="I178" i="11"/>
  <c r="H178" i="11"/>
  <c r="G178" i="11"/>
  <c r="F178" i="11"/>
  <c r="E178" i="11"/>
  <c r="D178" i="11"/>
  <c r="C178" i="11"/>
  <c r="B178" i="11"/>
  <c r="A178" i="11"/>
  <c r="AL177" i="11"/>
  <c r="AK177" i="11"/>
  <c r="AJ177" i="11"/>
  <c r="AI177" i="11"/>
  <c r="AH177" i="11"/>
  <c r="AG177" i="11"/>
  <c r="AF177" i="11"/>
  <c r="AE177" i="11"/>
  <c r="AD177" i="11"/>
  <c r="AC177" i="11"/>
  <c r="AB177" i="11"/>
  <c r="AA177" i="11"/>
  <c r="Z177" i="11"/>
  <c r="Y177" i="11"/>
  <c r="X177" i="11"/>
  <c r="W177" i="11"/>
  <c r="V177" i="11"/>
  <c r="U177" i="11"/>
  <c r="T177" i="11"/>
  <c r="S177" i="11"/>
  <c r="R177" i="11"/>
  <c r="Q177" i="11"/>
  <c r="P177" i="11"/>
  <c r="O177" i="11"/>
  <c r="N177" i="11"/>
  <c r="M177" i="11"/>
  <c r="L177" i="11"/>
  <c r="K177" i="11"/>
  <c r="J177" i="11"/>
  <c r="I177" i="11"/>
  <c r="H177" i="11"/>
  <c r="G177" i="11"/>
  <c r="F177" i="11"/>
  <c r="E177" i="11"/>
  <c r="D177" i="11"/>
  <c r="C177" i="11"/>
  <c r="B177" i="11"/>
  <c r="A177" i="11"/>
  <c r="AF176" i="11"/>
  <c r="AD176" i="11"/>
  <c r="AC176" i="11"/>
  <c r="AB176" i="11"/>
  <c r="AA176" i="11"/>
  <c r="Y176" i="11"/>
  <c r="X176" i="11"/>
  <c r="W176" i="11"/>
  <c r="V176" i="11"/>
  <c r="U176" i="11"/>
  <c r="T176" i="11"/>
  <c r="S176" i="11"/>
  <c r="R176" i="11"/>
  <c r="Q176" i="11"/>
  <c r="P176" i="11"/>
  <c r="O176" i="11"/>
  <c r="N176" i="11"/>
  <c r="M176" i="11"/>
  <c r="L176" i="11"/>
  <c r="K176" i="11"/>
  <c r="J176" i="11"/>
  <c r="I176" i="11"/>
  <c r="H176" i="11"/>
  <c r="G176" i="11"/>
  <c r="F176" i="11"/>
  <c r="E176" i="11"/>
  <c r="D176" i="11"/>
  <c r="C176" i="11"/>
  <c r="B176" i="11"/>
  <c r="A176" i="11"/>
  <c r="AL175" i="11"/>
  <c r="AK175" i="11"/>
  <c r="AJ175" i="11"/>
  <c r="AI175" i="11"/>
  <c r="AH175" i="11"/>
  <c r="AG175" i="11"/>
  <c r="AF175" i="11"/>
  <c r="AE175" i="11"/>
  <c r="AD175" i="11"/>
  <c r="AC175" i="11"/>
  <c r="AB175" i="11"/>
  <c r="AA175" i="11"/>
  <c r="Z175" i="11"/>
  <c r="Y175" i="11"/>
  <c r="X175" i="11"/>
  <c r="W175" i="11"/>
  <c r="V175" i="11"/>
  <c r="U175" i="11"/>
  <c r="T175" i="11"/>
  <c r="S175" i="11"/>
  <c r="R175" i="11"/>
  <c r="Q175" i="11"/>
  <c r="P175" i="11"/>
  <c r="O175" i="11"/>
  <c r="N175" i="11"/>
  <c r="M175" i="11"/>
  <c r="L175" i="11"/>
  <c r="K175" i="11"/>
  <c r="J175" i="11"/>
  <c r="I175" i="11"/>
  <c r="H175" i="11"/>
  <c r="G175" i="11"/>
  <c r="F175" i="11"/>
  <c r="E175" i="11"/>
  <c r="D175" i="11"/>
  <c r="C175" i="11"/>
  <c r="B175" i="11"/>
  <c r="A175" i="11"/>
  <c r="AC174" i="11"/>
  <c r="X174" i="11"/>
  <c r="W174" i="11"/>
  <c r="V174" i="11"/>
  <c r="U174" i="11"/>
  <c r="T174" i="11"/>
  <c r="S174" i="11"/>
  <c r="R174" i="11"/>
  <c r="Q174" i="11"/>
  <c r="P174" i="11"/>
  <c r="O174" i="11"/>
  <c r="N174" i="11"/>
  <c r="M174" i="11"/>
  <c r="L174" i="11"/>
  <c r="K174" i="11"/>
  <c r="J174" i="11"/>
  <c r="I174" i="11"/>
  <c r="H174" i="11"/>
  <c r="G174" i="11"/>
  <c r="F174" i="11"/>
  <c r="E174" i="11"/>
  <c r="D174" i="11"/>
  <c r="C174" i="11"/>
  <c r="B174" i="11"/>
  <c r="A174" i="11"/>
  <c r="AL173" i="11"/>
  <c r="AK173" i="11"/>
  <c r="AJ173" i="11"/>
  <c r="AI173" i="11"/>
  <c r="AH173" i="11"/>
  <c r="AG173" i="11"/>
  <c r="AF173" i="11"/>
  <c r="AE173" i="11"/>
  <c r="AD173" i="11"/>
  <c r="AC173" i="11"/>
  <c r="AB173" i="11"/>
  <c r="AA173" i="11"/>
  <c r="Z173" i="11"/>
  <c r="Y173" i="11"/>
  <c r="X173" i="11"/>
  <c r="W173" i="11"/>
  <c r="V173" i="11"/>
  <c r="U173" i="11"/>
  <c r="T173" i="11"/>
  <c r="S173" i="11"/>
  <c r="R173" i="11"/>
  <c r="Q173" i="11"/>
  <c r="P173" i="11"/>
  <c r="O173" i="11"/>
  <c r="N173" i="11"/>
  <c r="M173" i="11"/>
  <c r="L173" i="11"/>
  <c r="K173" i="11"/>
  <c r="J173" i="11"/>
  <c r="I173" i="11"/>
  <c r="H173" i="11"/>
  <c r="G173" i="11"/>
  <c r="F173" i="11"/>
  <c r="E173" i="11"/>
  <c r="D173" i="11"/>
  <c r="C173" i="11"/>
  <c r="B173" i="11"/>
  <c r="A173" i="11"/>
  <c r="AL172" i="11"/>
  <c r="AK172" i="11"/>
  <c r="AJ172" i="11"/>
  <c r="AI172" i="11"/>
  <c r="AH172" i="11"/>
  <c r="AG172" i="11"/>
  <c r="AF172" i="11"/>
  <c r="AE172" i="11"/>
  <c r="AD172" i="11"/>
  <c r="AC172" i="11"/>
  <c r="AB172" i="11"/>
  <c r="AA172" i="11"/>
  <c r="Z172" i="11"/>
  <c r="Y172" i="11"/>
  <c r="X172" i="11"/>
  <c r="W172" i="11"/>
  <c r="V172" i="11"/>
  <c r="U172" i="11"/>
  <c r="T172" i="11"/>
  <c r="S172" i="11"/>
  <c r="R172" i="11"/>
  <c r="Q172" i="11"/>
  <c r="P172" i="11"/>
  <c r="O172" i="11"/>
  <c r="N172" i="11"/>
  <c r="M172" i="11"/>
  <c r="L172" i="11"/>
  <c r="K172" i="11"/>
  <c r="J172" i="11"/>
  <c r="I172" i="11"/>
  <c r="H172" i="11"/>
  <c r="G172" i="11"/>
  <c r="F172" i="11"/>
  <c r="E172" i="11"/>
  <c r="D172" i="11"/>
  <c r="C172" i="11"/>
  <c r="B172" i="11"/>
  <c r="A172" i="11"/>
  <c r="AF171" i="11"/>
  <c r="AD171" i="11"/>
  <c r="AC171" i="11"/>
  <c r="AB171" i="11"/>
  <c r="AA171" i="11"/>
  <c r="Y171" i="11"/>
  <c r="X171" i="11"/>
  <c r="W171" i="11"/>
  <c r="V171" i="11"/>
  <c r="U171" i="11"/>
  <c r="T171" i="11"/>
  <c r="S171" i="11"/>
  <c r="R171" i="11"/>
  <c r="Q171" i="11"/>
  <c r="P171" i="11"/>
  <c r="O171" i="11"/>
  <c r="N171" i="11"/>
  <c r="M171" i="11"/>
  <c r="L171" i="11"/>
  <c r="K171" i="11"/>
  <c r="J171" i="11"/>
  <c r="I171" i="11"/>
  <c r="H171" i="11"/>
  <c r="G171" i="11"/>
  <c r="F171" i="11"/>
  <c r="E171" i="11"/>
  <c r="D171" i="11"/>
  <c r="C171" i="11"/>
  <c r="B171" i="11"/>
  <c r="A171" i="11"/>
  <c r="AL170" i="11"/>
  <c r="AK170" i="11"/>
  <c r="AJ170" i="11"/>
  <c r="AI170" i="11"/>
  <c r="AH170" i="11"/>
  <c r="AG170" i="11"/>
  <c r="AF170" i="11"/>
  <c r="AE170" i="11"/>
  <c r="AD170" i="11"/>
  <c r="AC170" i="11"/>
  <c r="AB170" i="11"/>
  <c r="AA170" i="11"/>
  <c r="Z170" i="11"/>
  <c r="Y170" i="11"/>
  <c r="X170" i="11"/>
  <c r="W170" i="11"/>
  <c r="V170" i="11"/>
  <c r="U170" i="11"/>
  <c r="T170" i="11"/>
  <c r="S170" i="11"/>
  <c r="R170" i="11"/>
  <c r="Q170" i="11"/>
  <c r="P170" i="11"/>
  <c r="O170" i="11"/>
  <c r="N170" i="11"/>
  <c r="M170" i="11"/>
  <c r="L170" i="11"/>
  <c r="K170" i="11"/>
  <c r="J170" i="11"/>
  <c r="I170" i="11"/>
  <c r="H170" i="11"/>
  <c r="G170" i="11"/>
  <c r="F170" i="11"/>
  <c r="E170" i="11"/>
  <c r="D170" i="11"/>
  <c r="C170" i="11"/>
  <c r="B170" i="11"/>
  <c r="A170" i="11"/>
  <c r="AF169" i="11"/>
  <c r="AD169" i="11"/>
  <c r="AC169" i="11"/>
  <c r="AB169" i="11"/>
  <c r="AA169" i="11"/>
  <c r="Y169" i="11"/>
  <c r="X169" i="11"/>
  <c r="W169" i="11"/>
  <c r="V169" i="11"/>
  <c r="U169" i="11"/>
  <c r="T169" i="11"/>
  <c r="S169" i="11"/>
  <c r="R169" i="11"/>
  <c r="Q169" i="11"/>
  <c r="P169" i="11"/>
  <c r="O169" i="11"/>
  <c r="N169" i="11"/>
  <c r="M169" i="11"/>
  <c r="L169" i="11"/>
  <c r="K169" i="11"/>
  <c r="J169" i="11"/>
  <c r="I169" i="11"/>
  <c r="H169" i="11"/>
  <c r="G169" i="11"/>
  <c r="F169" i="11"/>
  <c r="E169" i="11"/>
  <c r="D169" i="11"/>
  <c r="C169" i="11"/>
  <c r="B169" i="11"/>
  <c r="A169" i="11"/>
  <c r="AL168" i="11"/>
  <c r="AK168" i="11"/>
  <c r="AJ168" i="11"/>
  <c r="AI168" i="11"/>
  <c r="AH168" i="11"/>
  <c r="AG168" i="11"/>
  <c r="AF168" i="11"/>
  <c r="AE168" i="11"/>
  <c r="AD168" i="11"/>
  <c r="AC168" i="11"/>
  <c r="AB168" i="11"/>
  <c r="AA168" i="11"/>
  <c r="Z168" i="11"/>
  <c r="Y168" i="11"/>
  <c r="X168" i="11"/>
  <c r="W168" i="11"/>
  <c r="V168" i="11"/>
  <c r="U168" i="11"/>
  <c r="T168" i="11"/>
  <c r="S168" i="11"/>
  <c r="R168" i="11"/>
  <c r="Q168" i="11"/>
  <c r="P168" i="11"/>
  <c r="O168" i="11"/>
  <c r="N168" i="11"/>
  <c r="M168" i="11"/>
  <c r="L168" i="11"/>
  <c r="K168" i="11"/>
  <c r="J168" i="11"/>
  <c r="I168" i="11"/>
  <c r="H168" i="11"/>
  <c r="G168" i="11"/>
  <c r="F168" i="11"/>
  <c r="E168" i="11"/>
  <c r="D168" i="11"/>
  <c r="C168" i="11"/>
  <c r="B168" i="11"/>
  <c r="A168" i="11"/>
  <c r="AL167" i="11"/>
  <c r="AK167" i="11"/>
  <c r="AJ167" i="11"/>
  <c r="AI167" i="11"/>
  <c r="AH167" i="11"/>
  <c r="AG167" i="11"/>
  <c r="AF167" i="11"/>
  <c r="AE167" i="11"/>
  <c r="AD167" i="11"/>
  <c r="AC167" i="11"/>
  <c r="AB167" i="11"/>
  <c r="AA167" i="11"/>
  <c r="Z167" i="11"/>
  <c r="Y167" i="11"/>
  <c r="X167" i="11"/>
  <c r="W167" i="11"/>
  <c r="V167" i="11"/>
  <c r="U167" i="11"/>
  <c r="T167" i="11"/>
  <c r="S167" i="11"/>
  <c r="R167" i="11"/>
  <c r="Q167" i="11"/>
  <c r="P167" i="11"/>
  <c r="O167" i="11"/>
  <c r="N167" i="11"/>
  <c r="M167" i="11"/>
  <c r="L167" i="11"/>
  <c r="K167" i="11"/>
  <c r="J167" i="11"/>
  <c r="I167" i="11"/>
  <c r="H167" i="11"/>
  <c r="G167" i="11"/>
  <c r="F167" i="11"/>
  <c r="E167" i="11"/>
  <c r="D167" i="11"/>
  <c r="C167" i="11"/>
  <c r="B167" i="11"/>
  <c r="A167" i="11"/>
  <c r="AC166" i="11"/>
  <c r="X166" i="11"/>
  <c r="W166" i="11"/>
  <c r="V166" i="11"/>
  <c r="U166" i="11"/>
  <c r="T166" i="11"/>
  <c r="S166" i="11"/>
  <c r="R166" i="11"/>
  <c r="Q166" i="11"/>
  <c r="P166" i="11"/>
  <c r="O166" i="11"/>
  <c r="N166" i="11"/>
  <c r="M166" i="11"/>
  <c r="L166" i="11"/>
  <c r="K166" i="11"/>
  <c r="J166" i="11"/>
  <c r="I166" i="11"/>
  <c r="H166" i="11"/>
  <c r="G166" i="11"/>
  <c r="F166" i="11"/>
  <c r="E166" i="11"/>
  <c r="D166" i="11"/>
  <c r="C166" i="11"/>
  <c r="B166" i="11"/>
  <c r="A166" i="11"/>
  <c r="AC165" i="11"/>
  <c r="X165" i="11"/>
  <c r="W165" i="11"/>
  <c r="V165" i="11"/>
  <c r="U165" i="11"/>
  <c r="T165" i="11"/>
  <c r="S165" i="11"/>
  <c r="R165" i="11"/>
  <c r="Q165" i="11"/>
  <c r="P165" i="11"/>
  <c r="O165" i="11"/>
  <c r="N165" i="11"/>
  <c r="M165" i="11"/>
  <c r="L165" i="11"/>
  <c r="K165" i="11"/>
  <c r="J165" i="11"/>
  <c r="I165" i="11"/>
  <c r="H165" i="11"/>
  <c r="G165" i="11"/>
  <c r="F165" i="11"/>
  <c r="E165" i="11"/>
  <c r="D165" i="11"/>
  <c r="C165" i="11"/>
  <c r="B165" i="11"/>
  <c r="A165" i="11"/>
  <c r="AC164" i="11"/>
  <c r="X164" i="11"/>
  <c r="W164" i="11"/>
  <c r="V164" i="11"/>
  <c r="U164" i="11"/>
  <c r="T164" i="11"/>
  <c r="S164" i="11"/>
  <c r="R164" i="11"/>
  <c r="Q164" i="11"/>
  <c r="P164" i="11"/>
  <c r="O164" i="11"/>
  <c r="N164" i="11"/>
  <c r="M164" i="11"/>
  <c r="L164" i="11"/>
  <c r="K164" i="11"/>
  <c r="J164" i="11"/>
  <c r="I164" i="11"/>
  <c r="H164" i="11"/>
  <c r="G164" i="11"/>
  <c r="F164" i="11"/>
  <c r="E164" i="11"/>
  <c r="D164" i="11"/>
  <c r="C164" i="11"/>
  <c r="B164" i="11"/>
  <c r="A164" i="11"/>
  <c r="AF163" i="11"/>
  <c r="AD163" i="11"/>
  <c r="AC163" i="11"/>
  <c r="AB163" i="11"/>
  <c r="AA163" i="11"/>
  <c r="Y163" i="11"/>
  <c r="X163" i="11"/>
  <c r="W163" i="11"/>
  <c r="V163" i="11"/>
  <c r="U163" i="11"/>
  <c r="T163" i="11"/>
  <c r="S163" i="11"/>
  <c r="R163" i="11"/>
  <c r="Q163" i="11"/>
  <c r="P163" i="11"/>
  <c r="O163" i="11"/>
  <c r="N163" i="11"/>
  <c r="M163" i="11"/>
  <c r="L163" i="11"/>
  <c r="K163" i="11"/>
  <c r="J163" i="11"/>
  <c r="I163" i="11"/>
  <c r="H163" i="11"/>
  <c r="G163" i="11"/>
  <c r="F163" i="11"/>
  <c r="E163" i="11"/>
  <c r="D163" i="11"/>
  <c r="C163" i="11"/>
  <c r="B163" i="11"/>
  <c r="A163" i="11"/>
  <c r="AL162" i="11"/>
  <c r="AK162" i="11"/>
  <c r="AJ162" i="11"/>
  <c r="AI162" i="11"/>
  <c r="AH162" i="11"/>
  <c r="AG162" i="11"/>
  <c r="AF162" i="11"/>
  <c r="AE162" i="11"/>
  <c r="AD162" i="11"/>
  <c r="AC162" i="11"/>
  <c r="AB162" i="11"/>
  <c r="AA162" i="11"/>
  <c r="Z162" i="11"/>
  <c r="Y162" i="11"/>
  <c r="X162" i="11"/>
  <c r="W162" i="11"/>
  <c r="V162" i="11"/>
  <c r="U162" i="11"/>
  <c r="T162" i="11"/>
  <c r="S162" i="11"/>
  <c r="R162" i="11"/>
  <c r="Q162" i="11"/>
  <c r="P162" i="11"/>
  <c r="O162" i="11"/>
  <c r="N162" i="11"/>
  <c r="M162" i="11"/>
  <c r="L162" i="11"/>
  <c r="K162" i="11"/>
  <c r="J162" i="11"/>
  <c r="I162" i="11"/>
  <c r="H162" i="11"/>
  <c r="G162" i="11"/>
  <c r="F162" i="11"/>
  <c r="E162" i="11"/>
  <c r="D162" i="11"/>
  <c r="C162" i="11"/>
  <c r="B162" i="11"/>
  <c r="A162" i="11"/>
  <c r="AL161" i="11"/>
  <c r="AK161" i="11"/>
  <c r="AJ161" i="11"/>
  <c r="AI161" i="11"/>
  <c r="AH161" i="11"/>
  <c r="AG161" i="11"/>
  <c r="AF161" i="11"/>
  <c r="AE161" i="11"/>
  <c r="AD161" i="11"/>
  <c r="AC161" i="11"/>
  <c r="AB161" i="11"/>
  <c r="AA161" i="11"/>
  <c r="Z161" i="11"/>
  <c r="Y161" i="11"/>
  <c r="X161" i="11"/>
  <c r="W161" i="11"/>
  <c r="V161" i="11"/>
  <c r="U161" i="11"/>
  <c r="T161" i="11"/>
  <c r="S161" i="11"/>
  <c r="R161" i="11"/>
  <c r="Q161" i="11"/>
  <c r="P161" i="11"/>
  <c r="O161" i="11"/>
  <c r="N161" i="11"/>
  <c r="M161" i="11"/>
  <c r="L161" i="11"/>
  <c r="K161" i="11"/>
  <c r="J161" i="11"/>
  <c r="I161" i="11"/>
  <c r="H161" i="11"/>
  <c r="G161" i="11"/>
  <c r="F161" i="11"/>
  <c r="E161" i="11"/>
  <c r="D161" i="11"/>
  <c r="C161" i="11"/>
  <c r="B161" i="11"/>
  <c r="A161" i="11"/>
  <c r="AL160" i="11"/>
  <c r="AK160" i="11"/>
  <c r="AJ160" i="11"/>
  <c r="AI160" i="11"/>
  <c r="AH160" i="11"/>
  <c r="AG160" i="11"/>
  <c r="AF160" i="11"/>
  <c r="AE160" i="11"/>
  <c r="AD160" i="11"/>
  <c r="AC160" i="11"/>
  <c r="AB160" i="11"/>
  <c r="AA160" i="11"/>
  <c r="Z160" i="11"/>
  <c r="Y160" i="11"/>
  <c r="X160" i="11"/>
  <c r="W160" i="11"/>
  <c r="V160" i="11"/>
  <c r="U160" i="11"/>
  <c r="T160" i="11"/>
  <c r="S160" i="11"/>
  <c r="R160" i="11"/>
  <c r="Q160" i="11"/>
  <c r="P160" i="11"/>
  <c r="O160" i="11"/>
  <c r="N160" i="11"/>
  <c r="M160" i="11"/>
  <c r="L160" i="11"/>
  <c r="K160" i="11"/>
  <c r="J160" i="11"/>
  <c r="I160" i="11"/>
  <c r="H160" i="11"/>
  <c r="G160" i="11"/>
  <c r="F160" i="11"/>
  <c r="E160" i="11"/>
  <c r="D160" i="11"/>
  <c r="C160" i="11"/>
  <c r="B160" i="11"/>
  <c r="A160" i="11"/>
  <c r="AL159" i="11"/>
  <c r="AK159" i="11"/>
  <c r="AJ159" i="11"/>
  <c r="AI159" i="11"/>
  <c r="AH159" i="11"/>
  <c r="AG159" i="11"/>
  <c r="AF159" i="11"/>
  <c r="AE159" i="11"/>
  <c r="AD159" i="11"/>
  <c r="AC159" i="11"/>
  <c r="AB159" i="11"/>
  <c r="AA159" i="11"/>
  <c r="Z159" i="11"/>
  <c r="Y159" i="11"/>
  <c r="X159" i="11"/>
  <c r="W159" i="11"/>
  <c r="V159" i="11"/>
  <c r="U159" i="11"/>
  <c r="T159" i="11"/>
  <c r="S159" i="11"/>
  <c r="R159" i="11"/>
  <c r="Q159" i="11"/>
  <c r="P159" i="11"/>
  <c r="O159" i="11"/>
  <c r="N159" i="11"/>
  <c r="M159" i="11"/>
  <c r="L159" i="11"/>
  <c r="K159" i="11"/>
  <c r="J159" i="11"/>
  <c r="I159" i="11"/>
  <c r="H159" i="11"/>
  <c r="G159" i="11"/>
  <c r="F159" i="11"/>
  <c r="E159" i="11"/>
  <c r="D159" i="11"/>
  <c r="C159" i="11"/>
  <c r="B159" i="11"/>
  <c r="A159" i="11"/>
  <c r="AL158" i="11"/>
  <c r="AK158" i="11"/>
  <c r="AJ158" i="11"/>
  <c r="AI158" i="11"/>
  <c r="AH158" i="11"/>
  <c r="AG158" i="11"/>
  <c r="AF158" i="11"/>
  <c r="AE158" i="11"/>
  <c r="AD158" i="11"/>
  <c r="AC158" i="11"/>
  <c r="AB158" i="11"/>
  <c r="AA158" i="11"/>
  <c r="Z158" i="11"/>
  <c r="Y158" i="11"/>
  <c r="X158" i="11"/>
  <c r="W158" i="11"/>
  <c r="V158" i="11"/>
  <c r="U158" i="11"/>
  <c r="T158" i="11"/>
  <c r="S158" i="11"/>
  <c r="R158" i="11"/>
  <c r="Q158" i="11"/>
  <c r="P158" i="11"/>
  <c r="O158" i="11"/>
  <c r="N158" i="11"/>
  <c r="M158" i="11"/>
  <c r="L158" i="11"/>
  <c r="K158" i="11"/>
  <c r="J158" i="11"/>
  <c r="I158" i="11"/>
  <c r="H158" i="11"/>
  <c r="G158" i="11"/>
  <c r="F158" i="11"/>
  <c r="E158" i="11"/>
  <c r="D158" i="11"/>
  <c r="C158" i="11"/>
  <c r="B158" i="11"/>
  <c r="A158" i="11"/>
  <c r="AL157" i="11"/>
  <c r="AK157" i="11"/>
  <c r="AJ157" i="11"/>
  <c r="AI157" i="11"/>
  <c r="AH157" i="11"/>
  <c r="AG157" i="11"/>
  <c r="AF157" i="11"/>
  <c r="AE157" i="11"/>
  <c r="AD157" i="11"/>
  <c r="AC157" i="11"/>
  <c r="AB157" i="11"/>
  <c r="AA157" i="11"/>
  <c r="Z157" i="11"/>
  <c r="Y157" i="11"/>
  <c r="X157" i="11"/>
  <c r="W157" i="11"/>
  <c r="V157" i="11"/>
  <c r="U157" i="11"/>
  <c r="T157" i="11"/>
  <c r="S157" i="11"/>
  <c r="R157" i="11"/>
  <c r="Q157" i="11"/>
  <c r="P157" i="11"/>
  <c r="O157" i="11"/>
  <c r="N157" i="11"/>
  <c r="M157" i="11"/>
  <c r="L157" i="11"/>
  <c r="K157" i="11"/>
  <c r="J157" i="11"/>
  <c r="I157" i="11"/>
  <c r="H157" i="11"/>
  <c r="G157" i="11"/>
  <c r="F157" i="11"/>
  <c r="E157" i="11"/>
  <c r="D157" i="11"/>
  <c r="C157" i="11"/>
  <c r="B157" i="11"/>
  <c r="A157" i="11"/>
  <c r="AL156" i="11"/>
  <c r="AK156" i="11"/>
  <c r="AJ156" i="11"/>
  <c r="AI156" i="11"/>
  <c r="AH156" i="11"/>
  <c r="AG156" i="11"/>
  <c r="AF156" i="11"/>
  <c r="AE156" i="11"/>
  <c r="AD156" i="11"/>
  <c r="AC156" i="11"/>
  <c r="AB156" i="11"/>
  <c r="AA156" i="11"/>
  <c r="Z156" i="11"/>
  <c r="Y156" i="11"/>
  <c r="X156" i="11"/>
  <c r="W156" i="11"/>
  <c r="V156" i="11"/>
  <c r="U156" i="11"/>
  <c r="T156" i="11"/>
  <c r="S156" i="11"/>
  <c r="R156" i="11"/>
  <c r="Q156" i="11"/>
  <c r="P156" i="11"/>
  <c r="O156" i="11"/>
  <c r="N156" i="11"/>
  <c r="M156" i="11"/>
  <c r="L156" i="11"/>
  <c r="K156" i="11"/>
  <c r="J156" i="11"/>
  <c r="I156" i="11"/>
  <c r="H156" i="11"/>
  <c r="G156" i="11"/>
  <c r="F156" i="11"/>
  <c r="E156" i="11"/>
  <c r="D156" i="11"/>
  <c r="C156" i="11"/>
  <c r="B156" i="11"/>
  <c r="A156" i="11"/>
  <c r="AL155" i="11"/>
  <c r="AK155" i="11"/>
  <c r="AJ155" i="11"/>
  <c r="AI155" i="11"/>
  <c r="AH155" i="11"/>
  <c r="AG155" i="11"/>
  <c r="AF155" i="11"/>
  <c r="AE155" i="11"/>
  <c r="AD155" i="11"/>
  <c r="AC155" i="11"/>
  <c r="AB155" i="11"/>
  <c r="AA155" i="11"/>
  <c r="Z155" i="11"/>
  <c r="Y155" i="11"/>
  <c r="X155" i="11"/>
  <c r="W155" i="11"/>
  <c r="V155" i="11"/>
  <c r="U155" i="11"/>
  <c r="T155" i="11"/>
  <c r="S155" i="11"/>
  <c r="R155" i="11"/>
  <c r="Q155" i="11"/>
  <c r="P155" i="11"/>
  <c r="O155" i="11"/>
  <c r="N155" i="11"/>
  <c r="M155" i="11"/>
  <c r="L155" i="11"/>
  <c r="K155" i="11"/>
  <c r="J155" i="11"/>
  <c r="I155" i="11"/>
  <c r="H155" i="11"/>
  <c r="G155" i="11"/>
  <c r="F155" i="11"/>
  <c r="E155" i="11"/>
  <c r="D155" i="11"/>
  <c r="C155" i="11"/>
  <c r="B155" i="11"/>
  <c r="A155" i="11"/>
  <c r="AL154" i="11"/>
  <c r="AK154" i="11"/>
  <c r="AJ154" i="11"/>
  <c r="AI154" i="11"/>
  <c r="AH154" i="11"/>
  <c r="AG154" i="11"/>
  <c r="AF154" i="11"/>
  <c r="AE154" i="11"/>
  <c r="AD154" i="11"/>
  <c r="AC154" i="11"/>
  <c r="AB154" i="11"/>
  <c r="AA154" i="11"/>
  <c r="Z154" i="11"/>
  <c r="Y154" i="11"/>
  <c r="X154" i="11"/>
  <c r="W154" i="11"/>
  <c r="V154" i="11"/>
  <c r="U154" i="11"/>
  <c r="T154" i="11"/>
  <c r="S154" i="11"/>
  <c r="R154" i="11"/>
  <c r="Q154" i="11"/>
  <c r="P154" i="11"/>
  <c r="O154" i="11"/>
  <c r="N154" i="11"/>
  <c r="M154" i="11"/>
  <c r="L154" i="11"/>
  <c r="K154" i="11"/>
  <c r="J154" i="11"/>
  <c r="I154" i="11"/>
  <c r="H154" i="11"/>
  <c r="G154" i="11"/>
  <c r="F154" i="11"/>
  <c r="E154" i="11"/>
  <c r="D154" i="11"/>
  <c r="C154" i="11"/>
  <c r="B154" i="11"/>
  <c r="A154" i="11"/>
  <c r="AC153" i="11"/>
  <c r="X153" i="11"/>
  <c r="W153" i="11"/>
  <c r="V153" i="11"/>
  <c r="U153" i="11"/>
  <c r="T153" i="11"/>
  <c r="S153" i="11"/>
  <c r="R153" i="11"/>
  <c r="Q153" i="11"/>
  <c r="P153" i="11"/>
  <c r="O153" i="11"/>
  <c r="N153" i="11"/>
  <c r="M153" i="11"/>
  <c r="L153" i="11"/>
  <c r="K153" i="11"/>
  <c r="J153" i="11"/>
  <c r="I153" i="11"/>
  <c r="H153" i="11"/>
  <c r="G153" i="11"/>
  <c r="F153" i="11"/>
  <c r="E153" i="11"/>
  <c r="D153" i="11"/>
  <c r="C153" i="11"/>
  <c r="B153" i="11"/>
  <c r="A153" i="11"/>
  <c r="AL152" i="11"/>
  <c r="AK152" i="11"/>
  <c r="AJ152" i="11"/>
  <c r="AI152" i="11"/>
  <c r="AH152" i="11"/>
  <c r="AG152" i="11"/>
  <c r="AF152" i="11"/>
  <c r="AE152" i="11"/>
  <c r="AD152" i="11"/>
  <c r="AC152" i="11"/>
  <c r="AB152" i="11"/>
  <c r="AA152" i="11"/>
  <c r="Z152" i="11"/>
  <c r="Y152" i="11"/>
  <c r="X152" i="11"/>
  <c r="W152" i="11"/>
  <c r="V152" i="11"/>
  <c r="U152" i="11"/>
  <c r="T152" i="11"/>
  <c r="S152" i="11"/>
  <c r="R152" i="11"/>
  <c r="Q152" i="11"/>
  <c r="P152" i="11"/>
  <c r="O152" i="11"/>
  <c r="N152" i="11"/>
  <c r="M152" i="11"/>
  <c r="L152" i="11"/>
  <c r="K152" i="11"/>
  <c r="J152" i="11"/>
  <c r="I152" i="11"/>
  <c r="H152" i="11"/>
  <c r="G152" i="11"/>
  <c r="F152" i="11"/>
  <c r="E152" i="11"/>
  <c r="D152" i="11"/>
  <c r="C152" i="11"/>
  <c r="B152" i="11"/>
  <c r="A152" i="11"/>
  <c r="AC151" i="11"/>
  <c r="X151" i="11"/>
  <c r="W151" i="11"/>
  <c r="V151" i="11"/>
  <c r="U151" i="11"/>
  <c r="T151" i="11"/>
  <c r="S151" i="11"/>
  <c r="R151" i="11"/>
  <c r="Q151" i="11"/>
  <c r="P151" i="11"/>
  <c r="O151" i="11"/>
  <c r="N151" i="11"/>
  <c r="M151" i="11"/>
  <c r="L151" i="11"/>
  <c r="K151" i="11"/>
  <c r="J151" i="11"/>
  <c r="I151" i="11"/>
  <c r="H151" i="11"/>
  <c r="G151" i="11"/>
  <c r="F151" i="11"/>
  <c r="E151" i="11"/>
  <c r="D151" i="11"/>
  <c r="C151" i="11"/>
  <c r="B151" i="11"/>
  <c r="A151" i="11"/>
  <c r="AL150" i="11"/>
  <c r="AK150" i="11"/>
  <c r="AJ150" i="11"/>
  <c r="AI150" i="11"/>
  <c r="AH150" i="11"/>
  <c r="AG150" i="11"/>
  <c r="AF150" i="11"/>
  <c r="AE150" i="11"/>
  <c r="AD150" i="11"/>
  <c r="AC150" i="11"/>
  <c r="AB150" i="11"/>
  <c r="AA150" i="11"/>
  <c r="Z150" i="11"/>
  <c r="Y150" i="11"/>
  <c r="X150" i="11"/>
  <c r="W150" i="11"/>
  <c r="V150" i="11"/>
  <c r="U150" i="11"/>
  <c r="T150" i="11"/>
  <c r="S150" i="11"/>
  <c r="R150" i="11"/>
  <c r="Q150" i="11"/>
  <c r="P150" i="11"/>
  <c r="O150" i="11"/>
  <c r="N150" i="11"/>
  <c r="M150" i="11"/>
  <c r="L150" i="11"/>
  <c r="K150" i="11"/>
  <c r="J150" i="11"/>
  <c r="I150" i="11"/>
  <c r="H150" i="11"/>
  <c r="G150" i="11"/>
  <c r="F150" i="11"/>
  <c r="E150" i="11"/>
  <c r="D150" i="11"/>
  <c r="C150" i="11"/>
  <c r="B150" i="11"/>
  <c r="A150" i="11"/>
  <c r="AC149" i="11"/>
  <c r="X149" i="11"/>
  <c r="W149" i="11"/>
  <c r="V149" i="11"/>
  <c r="U149" i="11"/>
  <c r="T149" i="11"/>
  <c r="S149" i="11"/>
  <c r="R149" i="11"/>
  <c r="Q149" i="11"/>
  <c r="P149" i="11"/>
  <c r="O149" i="11"/>
  <c r="N149" i="11"/>
  <c r="M149" i="11"/>
  <c r="L149" i="11"/>
  <c r="K149" i="11"/>
  <c r="J149" i="11"/>
  <c r="I149" i="11"/>
  <c r="H149" i="11"/>
  <c r="G149" i="11"/>
  <c r="F149" i="11"/>
  <c r="E149" i="11"/>
  <c r="D149" i="11"/>
  <c r="C149" i="11"/>
  <c r="B149" i="11"/>
  <c r="A149" i="11"/>
  <c r="AC148" i="11"/>
  <c r="X148" i="11"/>
  <c r="W148" i="11"/>
  <c r="V148" i="11"/>
  <c r="U148" i="11"/>
  <c r="T148" i="11"/>
  <c r="S148" i="11"/>
  <c r="R148" i="11"/>
  <c r="Q148" i="11"/>
  <c r="P148" i="11"/>
  <c r="O148" i="11"/>
  <c r="N148" i="11"/>
  <c r="M148" i="11"/>
  <c r="L148" i="11"/>
  <c r="K148" i="11"/>
  <c r="J148" i="11"/>
  <c r="I148" i="11"/>
  <c r="H148" i="11"/>
  <c r="G148" i="11"/>
  <c r="F148" i="11"/>
  <c r="E148" i="11"/>
  <c r="D148" i="11"/>
  <c r="C148" i="11"/>
  <c r="B148" i="11"/>
  <c r="A148" i="11"/>
  <c r="AF147" i="11"/>
  <c r="AD147" i="11"/>
  <c r="AC147" i="11"/>
  <c r="AB147" i="11"/>
  <c r="AA147" i="11"/>
  <c r="Y147" i="11"/>
  <c r="X147" i="11"/>
  <c r="W147" i="11"/>
  <c r="V147" i="11"/>
  <c r="U147" i="11"/>
  <c r="T147" i="11"/>
  <c r="S147" i="11"/>
  <c r="R147" i="11"/>
  <c r="Q147" i="11"/>
  <c r="P147" i="11"/>
  <c r="O147" i="11"/>
  <c r="N147" i="11"/>
  <c r="M147" i="11"/>
  <c r="L147" i="11"/>
  <c r="K147" i="11"/>
  <c r="J147" i="11"/>
  <c r="I147" i="11"/>
  <c r="H147" i="11"/>
  <c r="G147" i="11"/>
  <c r="F147" i="11"/>
  <c r="E147" i="11"/>
  <c r="D147" i="11"/>
  <c r="C147" i="11"/>
  <c r="B147" i="11"/>
  <c r="A147" i="11"/>
  <c r="AL146" i="11"/>
  <c r="AK146" i="11"/>
  <c r="AJ146" i="11"/>
  <c r="AI146" i="11"/>
  <c r="AH146" i="11"/>
  <c r="AG146" i="11"/>
  <c r="AF146" i="11"/>
  <c r="AE146" i="11"/>
  <c r="AD146" i="11"/>
  <c r="AC146" i="11"/>
  <c r="AB146" i="11"/>
  <c r="AA146" i="11"/>
  <c r="Z146" i="11"/>
  <c r="Y146" i="11"/>
  <c r="X146" i="11"/>
  <c r="W146" i="11"/>
  <c r="V146" i="11"/>
  <c r="U146" i="11"/>
  <c r="T146" i="11"/>
  <c r="S146" i="11"/>
  <c r="R146" i="11"/>
  <c r="Q146" i="11"/>
  <c r="P146" i="11"/>
  <c r="O146" i="11"/>
  <c r="N146" i="11"/>
  <c r="M146" i="11"/>
  <c r="L146" i="11"/>
  <c r="K146" i="11"/>
  <c r="J146" i="11"/>
  <c r="I146" i="11"/>
  <c r="H146" i="11"/>
  <c r="G146" i="11"/>
  <c r="F146" i="11"/>
  <c r="E146" i="11"/>
  <c r="D146" i="11"/>
  <c r="C146" i="11"/>
  <c r="B146" i="11"/>
  <c r="A146" i="11"/>
  <c r="AL145" i="11"/>
  <c r="AK145" i="11"/>
  <c r="AJ145" i="11"/>
  <c r="AI145" i="11"/>
  <c r="AH145" i="11"/>
  <c r="AG145" i="11"/>
  <c r="AF145" i="11"/>
  <c r="AE145" i="11"/>
  <c r="AD145" i="11"/>
  <c r="AC145" i="11"/>
  <c r="AB145" i="11"/>
  <c r="AA145" i="11"/>
  <c r="Z145" i="11"/>
  <c r="Y145" i="11"/>
  <c r="X145" i="11"/>
  <c r="W145" i="11"/>
  <c r="V145" i="11"/>
  <c r="U145" i="11"/>
  <c r="T145" i="11"/>
  <c r="S145" i="11"/>
  <c r="R145" i="11"/>
  <c r="Q145" i="11"/>
  <c r="P145" i="11"/>
  <c r="O145" i="11"/>
  <c r="N145" i="11"/>
  <c r="M145" i="11"/>
  <c r="L145" i="11"/>
  <c r="K145" i="11"/>
  <c r="J145" i="11"/>
  <c r="I145" i="11"/>
  <c r="H145" i="11"/>
  <c r="G145" i="11"/>
  <c r="F145" i="11"/>
  <c r="E145" i="11"/>
  <c r="D145" i="11"/>
  <c r="C145" i="11"/>
  <c r="B145" i="11"/>
  <c r="A145" i="11"/>
  <c r="AL144" i="11"/>
  <c r="AK144" i="11"/>
  <c r="AJ144" i="11"/>
  <c r="AI144" i="11"/>
  <c r="AH144" i="11"/>
  <c r="AG144" i="11"/>
  <c r="AF144" i="11"/>
  <c r="AE144" i="11"/>
  <c r="AD144" i="11"/>
  <c r="AC144" i="11"/>
  <c r="AB144" i="11"/>
  <c r="AA144" i="11"/>
  <c r="Z144" i="11"/>
  <c r="Y144" i="11"/>
  <c r="X144" i="11"/>
  <c r="W144" i="11"/>
  <c r="V144" i="11"/>
  <c r="U144" i="11"/>
  <c r="T144" i="11"/>
  <c r="S144" i="11"/>
  <c r="R144" i="11"/>
  <c r="Q144" i="11"/>
  <c r="P144" i="11"/>
  <c r="O144" i="11"/>
  <c r="N144" i="11"/>
  <c r="M144" i="11"/>
  <c r="L144" i="11"/>
  <c r="K144" i="11"/>
  <c r="J144" i="11"/>
  <c r="I144" i="11"/>
  <c r="H144" i="11"/>
  <c r="G144" i="11"/>
  <c r="F144" i="11"/>
  <c r="E144" i="11"/>
  <c r="D144" i="11"/>
  <c r="C144" i="11"/>
  <c r="B144" i="11"/>
  <c r="A144" i="11"/>
  <c r="AL143" i="11"/>
  <c r="AK143" i="11"/>
  <c r="AJ143" i="11"/>
  <c r="AI143" i="11"/>
  <c r="AH143" i="11"/>
  <c r="AG143" i="11"/>
  <c r="AF143" i="11"/>
  <c r="AE143" i="11"/>
  <c r="AD143" i="11"/>
  <c r="AC143" i="11"/>
  <c r="AB143" i="11"/>
  <c r="AA143" i="11"/>
  <c r="Z143" i="11"/>
  <c r="Y143" i="11"/>
  <c r="X143" i="11"/>
  <c r="W143" i="11"/>
  <c r="V143" i="11"/>
  <c r="U143" i="11"/>
  <c r="T143" i="11"/>
  <c r="S143" i="11"/>
  <c r="R143" i="11"/>
  <c r="Q143" i="11"/>
  <c r="P143" i="11"/>
  <c r="O143" i="11"/>
  <c r="N143" i="11"/>
  <c r="M143" i="11"/>
  <c r="L143" i="11"/>
  <c r="K143" i="11"/>
  <c r="J143" i="11"/>
  <c r="I143" i="11"/>
  <c r="H143" i="11"/>
  <c r="G143" i="11"/>
  <c r="F143" i="11"/>
  <c r="E143" i="11"/>
  <c r="D143" i="11"/>
  <c r="C143" i="11"/>
  <c r="B143" i="11"/>
  <c r="A143" i="11"/>
  <c r="AF142" i="11"/>
  <c r="AD142" i="11"/>
  <c r="AC142" i="11"/>
  <c r="AB142" i="11"/>
  <c r="AA142" i="11"/>
  <c r="Y142" i="11"/>
  <c r="X142" i="11"/>
  <c r="W142" i="11"/>
  <c r="V142" i="11"/>
  <c r="U142" i="11"/>
  <c r="T142" i="11"/>
  <c r="S142" i="11"/>
  <c r="R142" i="11"/>
  <c r="Q142" i="11"/>
  <c r="P142" i="11"/>
  <c r="O142" i="11"/>
  <c r="N142" i="11"/>
  <c r="M142" i="11"/>
  <c r="L142" i="11"/>
  <c r="K142" i="11"/>
  <c r="J142" i="11"/>
  <c r="I142" i="11"/>
  <c r="H142" i="11"/>
  <c r="G142" i="11"/>
  <c r="F142" i="11"/>
  <c r="E142" i="11"/>
  <c r="D142" i="11"/>
  <c r="C142" i="11"/>
  <c r="B142" i="11"/>
  <c r="A142" i="11"/>
  <c r="AL141" i="11"/>
  <c r="AK141" i="11"/>
  <c r="AJ141" i="11"/>
  <c r="AI141" i="11"/>
  <c r="AH141" i="11"/>
  <c r="AG141" i="11"/>
  <c r="AF141" i="11"/>
  <c r="AE141" i="11"/>
  <c r="AD141" i="11"/>
  <c r="AC141" i="11"/>
  <c r="AB141" i="11"/>
  <c r="AA141" i="11"/>
  <c r="Z141" i="11"/>
  <c r="Y141" i="11"/>
  <c r="X141" i="11"/>
  <c r="W141" i="11"/>
  <c r="V141" i="11"/>
  <c r="U141" i="11"/>
  <c r="T141" i="11"/>
  <c r="S141" i="11"/>
  <c r="R141" i="11"/>
  <c r="Q141" i="11"/>
  <c r="P141" i="11"/>
  <c r="O141" i="11"/>
  <c r="N141" i="11"/>
  <c r="M141" i="11"/>
  <c r="L141" i="11"/>
  <c r="K141" i="11"/>
  <c r="J141" i="11"/>
  <c r="I141" i="11"/>
  <c r="H141" i="11"/>
  <c r="G141" i="11"/>
  <c r="F141" i="11"/>
  <c r="E141" i="11"/>
  <c r="D141" i="11"/>
  <c r="C141" i="11"/>
  <c r="B141" i="11"/>
  <c r="A141" i="11"/>
  <c r="AL140" i="11"/>
  <c r="AK140" i="11"/>
  <c r="AJ140" i="11"/>
  <c r="AI140" i="11"/>
  <c r="AH140" i="11"/>
  <c r="AG140" i="11"/>
  <c r="AF140" i="11"/>
  <c r="AE140" i="11"/>
  <c r="AD140" i="11"/>
  <c r="AC140" i="11"/>
  <c r="AB140" i="11"/>
  <c r="AA140" i="11"/>
  <c r="Z140" i="11"/>
  <c r="Y140" i="11"/>
  <c r="X140" i="11"/>
  <c r="W140" i="11"/>
  <c r="V140" i="11"/>
  <c r="U140" i="11"/>
  <c r="T140" i="11"/>
  <c r="S140" i="11"/>
  <c r="R140" i="11"/>
  <c r="Q140" i="11"/>
  <c r="P140" i="11"/>
  <c r="O140" i="11"/>
  <c r="N140" i="11"/>
  <c r="M140" i="11"/>
  <c r="L140" i="11"/>
  <c r="K140" i="11"/>
  <c r="J140" i="11"/>
  <c r="I140" i="11"/>
  <c r="H140" i="11"/>
  <c r="G140" i="11"/>
  <c r="F140" i="11"/>
  <c r="E140" i="11"/>
  <c r="D140" i="11"/>
  <c r="C140" i="11"/>
  <c r="B140" i="11"/>
  <c r="A140" i="11"/>
  <c r="AL139" i="11"/>
  <c r="AK139" i="11"/>
  <c r="AJ139" i="11"/>
  <c r="AI139" i="11"/>
  <c r="AH139" i="11"/>
  <c r="AG139" i="11"/>
  <c r="AF139" i="11"/>
  <c r="AE139" i="11"/>
  <c r="AD139" i="11"/>
  <c r="AC139" i="11"/>
  <c r="AB139" i="11"/>
  <c r="AA139" i="11"/>
  <c r="Z139" i="11"/>
  <c r="Y139" i="11"/>
  <c r="X139" i="11"/>
  <c r="W139" i="11"/>
  <c r="V139" i="11"/>
  <c r="U139" i="11"/>
  <c r="T139" i="11"/>
  <c r="S139" i="11"/>
  <c r="R139" i="11"/>
  <c r="Q139" i="11"/>
  <c r="P139" i="11"/>
  <c r="O139" i="11"/>
  <c r="N139" i="11"/>
  <c r="M139" i="11"/>
  <c r="L139" i="11"/>
  <c r="K139" i="11"/>
  <c r="J139" i="11"/>
  <c r="I139" i="11"/>
  <c r="H139" i="11"/>
  <c r="G139" i="11"/>
  <c r="F139" i="11"/>
  <c r="E139" i="11"/>
  <c r="D139" i="11"/>
  <c r="C139" i="11"/>
  <c r="B139" i="11"/>
  <c r="A139" i="11"/>
  <c r="AL138" i="11"/>
  <c r="AK138" i="11"/>
  <c r="AJ138" i="11"/>
  <c r="AI138" i="11"/>
  <c r="AH138" i="11"/>
  <c r="AG138" i="11"/>
  <c r="AF138" i="11"/>
  <c r="AE138" i="11"/>
  <c r="AD138" i="11"/>
  <c r="AC138" i="11"/>
  <c r="AB138" i="11"/>
  <c r="AA138" i="11"/>
  <c r="Z138" i="11"/>
  <c r="Y138" i="11"/>
  <c r="X138" i="11"/>
  <c r="W138" i="11"/>
  <c r="V138" i="11"/>
  <c r="U138" i="11"/>
  <c r="T138" i="11"/>
  <c r="S138" i="11"/>
  <c r="R138" i="11"/>
  <c r="Q138" i="11"/>
  <c r="P138" i="11"/>
  <c r="O138" i="11"/>
  <c r="N138" i="11"/>
  <c r="M138" i="11"/>
  <c r="L138" i="11"/>
  <c r="K138" i="11"/>
  <c r="J138" i="11"/>
  <c r="I138" i="11"/>
  <c r="H138" i="11"/>
  <c r="G138" i="11"/>
  <c r="F138" i="11"/>
  <c r="E138" i="11"/>
  <c r="D138" i="11"/>
  <c r="C138" i="11"/>
  <c r="B138" i="11"/>
  <c r="A138" i="11"/>
  <c r="AL137" i="11"/>
  <c r="AK137" i="11"/>
  <c r="AJ137" i="11"/>
  <c r="AI137" i="11"/>
  <c r="AH137" i="11"/>
  <c r="AG137" i="11"/>
  <c r="AF137" i="11"/>
  <c r="AE137" i="11"/>
  <c r="AD137" i="11"/>
  <c r="AC137" i="11"/>
  <c r="AB137" i="11"/>
  <c r="AA137" i="11"/>
  <c r="Z137" i="11"/>
  <c r="Y137" i="11"/>
  <c r="X137" i="11"/>
  <c r="W137" i="11"/>
  <c r="V137" i="11"/>
  <c r="U137" i="11"/>
  <c r="T137" i="11"/>
  <c r="S137" i="11"/>
  <c r="R137" i="11"/>
  <c r="Q137" i="11"/>
  <c r="P137" i="11"/>
  <c r="O137" i="11"/>
  <c r="N137" i="11"/>
  <c r="M137" i="11"/>
  <c r="L137" i="11"/>
  <c r="K137" i="11"/>
  <c r="J137" i="11"/>
  <c r="I137" i="11"/>
  <c r="H137" i="11"/>
  <c r="G137" i="11"/>
  <c r="F137" i="11"/>
  <c r="E137" i="11"/>
  <c r="D137" i="11"/>
  <c r="C137" i="11"/>
  <c r="B137" i="11"/>
  <c r="A137" i="11"/>
  <c r="AL136" i="11"/>
  <c r="AK136" i="11"/>
  <c r="AJ136" i="11"/>
  <c r="AI136" i="11"/>
  <c r="AH136" i="11"/>
  <c r="AG136" i="11"/>
  <c r="AF136" i="11"/>
  <c r="AE136" i="11"/>
  <c r="AD136" i="11"/>
  <c r="AC136" i="11"/>
  <c r="AB136" i="11"/>
  <c r="AA136" i="11"/>
  <c r="Z136" i="11"/>
  <c r="Y136" i="11"/>
  <c r="X136" i="11"/>
  <c r="W136" i="11"/>
  <c r="V136" i="11"/>
  <c r="U136" i="11"/>
  <c r="T136" i="11"/>
  <c r="S136" i="11"/>
  <c r="R136" i="11"/>
  <c r="Q136" i="11"/>
  <c r="P136" i="11"/>
  <c r="O136" i="11"/>
  <c r="N136" i="11"/>
  <c r="M136" i="11"/>
  <c r="L136" i="11"/>
  <c r="K136" i="11"/>
  <c r="J136" i="11"/>
  <c r="I136" i="11"/>
  <c r="H136" i="11"/>
  <c r="G136" i="11"/>
  <c r="F136" i="11"/>
  <c r="E136" i="11"/>
  <c r="D136" i="11"/>
  <c r="C136" i="11"/>
  <c r="B136" i="11"/>
  <c r="A136" i="11"/>
  <c r="AL135" i="11"/>
  <c r="AK135" i="11"/>
  <c r="AJ135" i="11"/>
  <c r="AI135" i="11"/>
  <c r="AH135" i="11"/>
  <c r="AG135" i="11"/>
  <c r="AF135" i="11"/>
  <c r="AE135" i="11"/>
  <c r="AD135" i="11"/>
  <c r="AC135" i="11"/>
  <c r="AB135" i="11"/>
  <c r="AA135" i="11"/>
  <c r="Z135" i="11"/>
  <c r="Y135" i="11"/>
  <c r="X135" i="11"/>
  <c r="W135" i="11"/>
  <c r="V135" i="11"/>
  <c r="U135" i="11"/>
  <c r="T135" i="11"/>
  <c r="S135" i="11"/>
  <c r="R135" i="11"/>
  <c r="Q135" i="11"/>
  <c r="P135" i="11"/>
  <c r="O135" i="11"/>
  <c r="N135" i="11"/>
  <c r="M135" i="11"/>
  <c r="L135" i="11"/>
  <c r="K135" i="11"/>
  <c r="J135" i="11"/>
  <c r="I135" i="11"/>
  <c r="H135" i="11"/>
  <c r="G135" i="11"/>
  <c r="F135" i="11"/>
  <c r="E135" i="11"/>
  <c r="D135" i="11"/>
  <c r="C135" i="11"/>
  <c r="B135" i="11"/>
  <c r="A135" i="11"/>
  <c r="AL134" i="11"/>
  <c r="AK134" i="11"/>
  <c r="AJ134" i="11"/>
  <c r="AI134" i="11"/>
  <c r="AH134" i="11"/>
  <c r="AG134" i="11"/>
  <c r="AF134" i="11"/>
  <c r="AE134" i="11"/>
  <c r="AD134" i="11"/>
  <c r="AC134" i="11"/>
  <c r="AB134" i="11"/>
  <c r="AA134" i="11"/>
  <c r="Z134" i="11"/>
  <c r="Y134" i="11"/>
  <c r="X134" i="11"/>
  <c r="W134" i="11"/>
  <c r="V134" i="11"/>
  <c r="U134" i="11"/>
  <c r="T134" i="11"/>
  <c r="S134" i="11"/>
  <c r="R134" i="11"/>
  <c r="Q134" i="11"/>
  <c r="P134" i="11"/>
  <c r="O134" i="11"/>
  <c r="N134" i="11"/>
  <c r="M134" i="11"/>
  <c r="L134" i="11"/>
  <c r="K134" i="11"/>
  <c r="J134" i="11"/>
  <c r="I134" i="11"/>
  <c r="H134" i="11"/>
  <c r="G134" i="11"/>
  <c r="F134" i="11"/>
  <c r="E134" i="11"/>
  <c r="D134" i="11"/>
  <c r="C134" i="11"/>
  <c r="B134" i="11"/>
  <c r="A134" i="11"/>
  <c r="AF133" i="11"/>
  <c r="AD133" i="11"/>
  <c r="AC133" i="11"/>
  <c r="AB133" i="11"/>
  <c r="AA133" i="11"/>
  <c r="Y133" i="11"/>
  <c r="X133" i="11"/>
  <c r="W133" i="11"/>
  <c r="V133" i="11"/>
  <c r="U133" i="11"/>
  <c r="T133" i="11"/>
  <c r="S133" i="11"/>
  <c r="R133" i="11"/>
  <c r="Q133" i="11"/>
  <c r="P133" i="11"/>
  <c r="O133" i="11"/>
  <c r="N133" i="11"/>
  <c r="M133" i="11"/>
  <c r="L133" i="11"/>
  <c r="K133" i="11"/>
  <c r="J133" i="11"/>
  <c r="I133" i="11"/>
  <c r="H133" i="11"/>
  <c r="G133" i="11"/>
  <c r="F133" i="11"/>
  <c r="E133" i="11"/>
  <c r="D133" i="11"/>
  <c r="C133" i="11"/>
  <c r="B133" i="11"/>
  <c r="A133" i="11"/>
  <c r="AL132" i="11"/>
  <c r="AK132" i="11"/>
  <c r="AJ132" i="11"/>
  <c r="AI132" i="11"/>
  <c r="AH132" i="11"/>
  <c r="AG132" i="11"/>
  <c r="AF132" i="11"/>
  <c r="AE132" i="11"/>
  <c r="AD132" i="11"/>
  <c r="AC132" i="11"/>
  <c r="AB132" i="11"/>
  <c r="AA132" i="11"/>
  <c r="Z132" i="11"/>
  <c r="Y132" i="11"/>
  <c r="X132" i="11"/>
  <c r="W132" i="11"/>
  <c r="V132" i="11"/>
  <c r="U132" i="11"/>
  <c r="T132" i="11"/>
  <c r="S132" i="11"/>
  <c r="R132" i="11"/>
  <c r="Q132" i="11"/>
  <c r="P132" i="11"/>
  <c r="O132" i="11"/>
  <c r="N132" i="11"/>
  <c r="M132" i="11"/>
  <c r="L132" i="11"/>
  <c r="K132" i="11"/>
  <c r="J132" i="11"/>
  <c r="I132" i="11"/>
  <c r="H132" i="11"/>
  <c r="G132" i="11"/>
  <c r="F132" i="11"/>
  <c r="E132" i="11"/>
  <c r="D132" i="11"/>
  <c r="C132" i="11"/>
  <c r="B132" i="11"/>
  <c r="A132" i="11"/>
  <c r="AL131" i="11"/>
  <c r="AK131" i="11"/>
  <c r="AJ131" i="11"/>
  <c r="AI131" i="11"/>
  <c r="AH131" i="11"/>
  <c r="AG131" i="11"/>
  <c r="AF131" i="11"/>
  <c r="AE131" i="11"/>
  <c r="AD131" i="11"/>
  <c r="AC131" i="11"/>
  <c r="AB131" i="11"/>
  <c r="AA131" i="11"/>
  <c r="Z131" i="11"/>
  <c r="Y131" i="11"/>
  <c r="X131" i="11"/>
  <c r="W131" i="11"/>
  <c r="V131" i="11"/>
  <c r="U131" i="11"/>
  <c r="T131" i="11"/>
  <c r="S131" i="11"/>
  <c r="R131" i="11"/>
  <c r="Q131" i="11"/>
  <c r="P131" i="11"/>
  <c r="O131" i="11"/>
  <c r="N131" i="11"/>
  <c r="M131" i="11"/>
  <c r="L131" i="11"/>
  <c r="K131" i="11"/>
  <c r="J131" i="11"/>
  <c r="I131" i="11"/>
  <c r="H131" i="11"/>
  <c r="G131" i="11"/>
  <c r="F131" i="11"/>
  <c r="E131" i="11"/>
  <c r="D131" i="11"/>
  <c r="C131" i="11"/>
  <c r="B131" i="11"/>
  <c r="A131" i="11"/>
  <c r="AL130" i="11"/>
  <c r="AK130" i="11"/>
  <c r="AJ130" i="11"/>
  <c r="AI130" i="11"/>
  <c r="AH130" i="11"/>
  <c r="AG130" i="11"/>
  <c r="AF130" i="11"/>
  <c r="AE130" i="11"/>
  <c r="AD130" i="11"/>
  <c r="AC130" i="11"/>
  <c r="AB130" i="11"/>
  <c r="AA130" i="11"/>
  <c r="Z130" i="11"/>
  <c r="Y130" i="11"/>
  <c r="X130" i="11"/>
  <c r="W130" i="11"/>
  <c r="V130" i="11"/>
  <c r="U130" i="11"/>
  <c r="T130" i="11"/>
  <c r="S130" i="11"/>
  <c r="R130" i="11"/>
  <c r="Q130" i="11"/>
  <c r="P130" i="11"/>
  <c r="O130" i="11"/>
  <c r="N130" i="11"/>
  <c r="M130" i="11"/>
  <c r="L130" i="11"/>
  <c r="K130" i="11"/>
  <c r="J130" i="11"/>
  <c r="I130" i="11"/>
  <c r="H130" i="11"/>
  <c r="G130" i="11"/>
  <c r="F130" i="11"/>
  <c r="E130" i="11"/>
  <c r="D130" i="11"/>
  <c r="C130" i="11"/>
  <c r="B130" i="11"/>
  <c r="A130" i="11"/>
  <c r="AL129" i="11"/>
  <c r="AK129" i="11"/>
  <c r="AJ129" i="11"/>
  <c r="AI129" i="11"/>
  <c r="AH129" i="11"/>
  <c r="AG129" i="11"/>
  <c r="AF129" i="11"/>
  <c r="AE129" i="11"/>
  <c r="AD129" i="11"/>
  <c r="AC129" i="11"/>
  <c r="AB129" i="11"/>
  <c r="AA129" i="11"/>
  <c r="Z129" i="11"/>
  <c r="Y129" i="11"/>
  <c r="X129" i="11"/>
  <c r="W129" i="11"/>
  <c r="V129" i="11"/>
  <c r="U129" i="11"/>
  <c r="T129" i="11"/>
  <c r="S129" i="11"/>
  <c r="R129" i="11"/>
  <c r="Q129" i="11"/>
  <c r="P129" i="11"/>
  <c r="O129" i="11"/>
  <c r="N129" i="11"/>
  <c r="M129" i="11"/>
  <c r="L129" i="11"/>
  <c r="K129" i="11"/>
  <c r="J129" i="11"/>
  <c r="I129" i="11"/>
  <c r="H129" i="11"/>
  <c r="G129" i="11"/>
  <c r="F129" i="11"/>
  <c r="E129" i="11"/>
  <c r="D129" i="11"/>
  <c r="C129" i="11"/>
  <c r="B129" i="11"/>
  <c r="A129" i="11"/>
  <c r="AL128" i="11"/>
  <c r="AK128" i="11"/>
  <c r="AJ128" i="11"/>
  <c r="AI128" i="11"/>
  <c r="AH128" i="11"/>
  <c r="AG128" i="11"/>
  <c r="AF128" i="11"/>
  <c r="AE128" i="11"/>
  <c r="AD128" i="11"/>
  <c r="AC128" i="11"/>
  <c r="AB128" i="11"/>
  <c r="AA128" i="11"/>
  <c r="Z128" i="11"/>
  <c r="Y128" i="11"/>
  <c r="X128" i="11"/>
  <c r="W128" i="11"/>
  <c r="V128" i="11"/>
  <c r="U128" i="11"/>
  <c r="T128" i="11"/>
  <c r="S128" i="11"/>
  <c r="R128" i="11"/>
  <c r="Q128" i="11"/>
  <c r="P128" i="11"/>
  <c r="O128" i="11"/>
  <c r="N128" i="11"/>
  <c r="M128" i="11"/>
  <c r="L128" i="11"/>
  <c r="K128" i="11"/>
  <c r="J128" i="11"/>
  <c r="I128" i="11"/>
  <c r="H128" i="11"/>
  <c r="G128" i="11"/>
  <c r="F128" i="11"/>
  <c r="E128" i="11"/>
  <c r="D128" i="11"/>
  <c r="C128" i="11"/>
  <c r="B128" i="11"/>
  <c r="A128" i="11"/>
  <c r="AL127" i="11"/>
  <c r="AK127" i="11"/>
  <c r="AJ127" i="11"/>
  <c r="AI127" i="11"/>
  <c r="AH127" i="11"/>
  <c r="AG127" i="11"/>
  <c r="AF127" i="11"/>
  <c r="AE127" i="11"/>
  <c r="AD127" i="11"/>
  <c r="AC127" i="11"/>
  <c r="AB127" i="11"/>
  <c r="AA127" i="11"/>
  <c r="Z127" i="11"/>
  <c r="Y127" i="11"/>
  <c r="X127" i="11"/>
  <c r="W127" i="11"/>
  <c r="V127" i="11"/>
  <c r="U127" i="11"/>
  <c r="T127" i="11"/>
  <c r="S127" i="11"/>
  <c r="R127" i="11"/>
  <c r="Q127" i="11"/>
  <c r="P127" i="11"/>
  <c r="O127" i="11"/>
  <c r="N127" i="11"/>
  <c r="M127" i="11"/>
  <c r="L127" i="11"/>
  <c r="K127" i="11"/>
  <c r="J127" i="11"/>
  <c r="I127" i="11"/>
  <c r="H127" i="11"/>
  <c r="G127" i="11"/>
  <c r="F127" i="11"/>
  <c r="E127" i="11"/>
  <c r="D127" i="11"/>
  <c r="C127" i="11"/>
  <c r="B127" i="11"/>
  <c r="A127" i="11"/>
  <c r="AL126" i="11"/>
  <c r="AK126" i="11"/>
  <c r="AJ126" i="11"/>
  <c r="AI126" i="11"/>
  <c r="AH126" i="11"/>
  <c r="AG126" i="11"/>
  <c r="AF126" i="11"/>
  <c r="AE126" i="11"/>
  <c r="AD126" i="11"/>
  <c r="AC126" i="11"/>
  <c r="AB126" i="11"/>
  <c r="AA126" i="11"/>
  <c r="Z126" i="11"/>
  <c r="Y126" i="11"/>
  <c r="X126" i="11"/>
  <c r="W126" i="11"/>
  <c r="V126" i="11"/>
  <c r="U126" i="11"/>
  <c r="T126" i="11"/>
  <c r="S126" i="11"/>
  <c r="R126" i="11"/>
  <c r="Q126" i="11"/>
  <c r="P126" i="11"/>
  <c r="O126" i="11"/>
  <c r="N126" i="11"/>
  <c r="M126" i="11"/>
  <c r="L126" i="11"/>
  <c r="K126" i="11"/>
  <c r="J126" i="11"/>
  <c r="I126" i="11"/>
  <c r="H126" i="11"/>
  <c r="G126" i="11"/>
  <c r="F126" i="11"/>
  <c r="E126" i="11"/>
  <c r="D126" i="11"/>
  <c r="C126" i="11"/>
  <c r="B126" i="11"/>
  <c r="A126" i="11"/>
  <c r="AL125" i="11"/>
  <c r="AK125" i="11"/>
  <c r="AJ125" i="11"/>
  <c r="AI125" i="11"/>
  <c r="AH125" i="11"/>
  <c r="AG125" i="11"/>
  <c r="AF125" i="11"/>
  <c r="AE125" i="11"/>
  <c r="AD125" i="11"/>
  <c r="AC125" i="11"/>
  <c r="AB125" i="11"/>
  <c r="AA125" i="11"/>
  <c r="Z125" i="11"/>
  <c r="Y125" i="11"/>
  <c r="X125" i="11"/>
  <c r="W125" i="11"/>
  <c r="V125" i="11"/>
  <c r="U125" i="11"/>
  <c r="T125" i="11"/>
  <c r="S125" i="11"/>
  <c r="R125" i="11"/>
  <c r="Q125" i="11"/>
  <c r="P125" i="11"/>
  <c r="O125" i="11"/>
  <c r="N125" i="11"/>
  <c r="M125" i="11"/>
  <c r="L125" i="11"/>
  <c r="K125" i="11"/>
  <c r="J125" i="11"/>
  <c r="I125" i="11"/>
  <c r="H125" i="11"/>
  <c r="G125" i="11"/>
  <c r="F125" i="11"/>
  <c r="E125" i="11"/>
  <c r="D125" i="11"/>
  <c r="C125" i="11"/>
  <c r="B125" i="11"/>
  <c r="A125" i="11"/>
  <c r="AC124" i="11"/>
  <c r="X124" i="11"/>
  <c r="W124" i="11"/>
  <c r="V124" i="11"/>
  <c r="U124" i="11"/>
  <c r="T124" i="11"/>
  <c r="S124" i="11"/>
  <c r="R124" i="11"/>
  <c r="Q124" i="11"/>
  <c r="P124" i="11"/>
  <c r="O124" i="11"/>
  <c r="N124" i="11"/>
  <c r="M124" i="11"/>
  <c r="L124" i="11"/>
  <c r="K124" i="11"/>
  <c r="J124" i="11"/>
  <c r="I124" i="11"/>
  <c r="H124" i="11"/>
  <c r="G124" i="11"/>
  <c r="F124" i="11"/>
  <c r="E124" i="11"/>
  <c r="D124" i="11"/>
  <c r="C124" i="11"/>
  <c r="B124" i="11"/>
  <c r="A124" i="11"/>
  <c r="AC123" i="11"/>
  <c r="X123" i="11"/>
  <c r="W123" i="11"/>
  <c r="V123" i="11"/>
  <c r="U123" i="11"/>
  <c r="T123" i="11"/>
  <c r="S123" i="11"/>
  <c r="R123" i="11"/>
  <c r="Q123" i="11"/>
  <c r="P123" i="11"/>
  <c r="O123" i="11"/>
  <c r="N123" i="11"/>
  <c r="M123" i="11"/>
  <c r="L123" i="11"/>
  <c r="K123" i="11"/>
  <c r="J123" i="11"/>
  <c r="I123" i="11"/>
  <c r="H123" i="11"/>
  <c r="G123" i="11"/>
  <c r="F123" i="11"/>
  <c r="E123" i="11"/>
  <c r="D123" i="11"/>
  <c r="C123" i="11"/>
  <c r="B123" i="11"/>
  <c r="A123" i="11"/>
  <c r="AL122" i="11"/>
  <c r="AK122" i="11"/>
  <c r="AJ122" i="11"/>
  <c r="AI122" i="11"/>
  <c r="AH122" i="11"/>
  <c r="AG122" i="11"/>
  <c r="AF122" i="11"/>
  <c r="AE122" i="11"/>
  <c r="AD122" i="11"/>
  <c r="AC122" i="11"/>
  <c r="AB122" i="11"/>
  <c r="AA122" i="11"/>
  <c r="Z122" i="11"/>
  <c r="Y122" i="11"/>
  <c r="X122" i="11"/>
  <c r="W122" i="11"/>
  <c r="V122" i="11"/>
  <c r="U122" i="11"/>
  <c r="T122" i="11"/>
  <c r="S122" i="11"/>
  <c r="R122" i="11"/>
  <c r="Q122" i="11"/>
  <c r="P122" i="11"/>
  <c r="O122" i="11"/>
  <c r="N122" i="11"/>
  <c r="M122" i="11"/>
  <c r="L122" i="11"/>
  <c r="K122" i="11"/>
  <c r="J122" i="11"/>
  <c r="I122" i="11"/>
  <c r="H122" i="11"/>
  <c r="G122" i="11"/>
  <c r="F122" i="11"/>
  <c r="E122" i="11"/>
  <c r="D122" i="11"/>
  <c r="C122" i="11"/>
  <c r="B122" i="11"/>
  <c r="A122" i="11"/>
  <c r="AL121" i="11"/>
  <c r="AK121" i="11"/>
  <c r="AJ121" i="11"/>
  <c r="AI121" i="11"/>
  <c r="AH121" i="11"/>
  <c r="AG121" i="11"/>
  <c r="AF121" i="11"/>
  <c r="AE121" i="11"/>
  <c r="AD121" i="11"/>
  <c r="AC121" i="11"/>
  <c r="AB121" i="11"/>
  <c r="AA121" i="11"/>
  <c r="Z121" i="11"/>
  <c r="Y121" i="11"/>
  <c r="X121" i="11"/>
  <c r="W121" i="11"/>
  <c r="V121" i="11"/>
  <c r="U121" i="11"/>
  <c r="T121" i="11"/>
  <c r="S121" i="11"/>
  <c r="R121" i="11"/>
  <c r="Q121" i="11"/>
  <c r="P121" i="11"/>
  <c r="O121" i="11"/>
  <c r="N121" i="11"/>
  <c r="M121" i="11"/>
  <c r="L121" i="11"/>
  <c r="K121" i="11"/>
  <c r="J121" i="11"/>
  <c r="I121" i="11"/>
  <c r="H121" i="11"/>
  <c r="G121" i="11"/>
  <c r="F121" i="11"/>
  <c r="E121" i="11"/>
  <c r="D121" i="11"/>
  <c r="C121" i="11"/>
  <c r="B121" i="11"/>
  <c r="A121" i="11"/>
  <c r="AL120" i="11"/>
  <c r="AK120" i="11"/>
  <c r="AJ120" i="11"/>
  <c r="AI120" i="11"/>
  <c r="AH120" i="11"/>
  <c r="AG120" i="11"/>
  <c r="AF120" i="11"/>
  <c r="AE120" i="11"/>
  <c r="AD120" i="11"/>
  <c r="AC120" i="11"/>
  <c r="AB120" i="11"/>
  <c r="AA120" i="11"/>
  <c r="Z120" i="11"/>
  <c r="Y120" i="11"/>
  <c r="X120" i="11"/>
  <c r="W120" i="11"/>
  <c r="V120" i="11"/>
  <c r="U120" i="11"/>
  <c r="T120" i="11"/>
  <c r="S120" i="11"/>
  <c r="R120" i="11"/>
  <c r="Q120" i="11"/>
  <c r="P120" i="11"/>
  <c r="O120" i="11"/>
  <c r="N120" i="11"/>
  <c r="M120" i="11"/>
  <c r="L120" i="11"/>
  <c r="K120" i="11"/>
  <c r="J120" i="11"/>
  <c r="I120" i="11"/>
  <c r="H120" i="11"/>
  <c r="G120" i="11"/>
  <c r="F120" i="11"/>
  <c r="E120" i="11"/>
  <c r="D120" i="11"/>
  <c r="C120" i="11"/>
  <c r="B120" i="11"/>
  <c r="A120" i="11"/>
  <c r="AC119" i="11"/>
  <c r="X119" i="11"/>
  <c r="W119" i="11"/>
  <c r="V119" i="11"/>
  <c r="U119" i="11"/>
  <c r="T119" i="11"/>
  <c r="S119" i="11"/>
  <c r="R119" i="11"/>
  <c r="Q119" i="11"/>
  <c r="P119" i="11"/>
  <c r="O119" i="11"/>
  <c r="N119" i="11"/>
  <c r="M119" i="11"/>
  <c r="L119" i="11"/>
  <c r="K119" i="11"/>
  <c r="J119" i="11"/>
  <c r="I119" i="11"/>
  <c r="H119" i="11"/>
  <c r="G119" i="11"/>
  <c r="F119" i="11"/>
  <c r="E119" i="11"/>
  <c r="D119" i="11"/>
  <c r="C119" i="11"/>
  <c r="B119" i="11"/>
  <c r="A119" i="11"/>
  <c r="AC118" i="11"/>
  <c r="X118" i="11"/>
  <c r="W118" i="11"/>
  <c r="V118" i="11"/>
  <c r="U118" i="11"/>
  <c r="T118" i="11"/>
  <c r="S118" i="11"/>
  <c r="R118" i="11"/>
  <c r="Q118" i="11"/>
  <c r="P118" i="11"/>
  <c r="O118" i="11"/>
  <c r="N118" i="11"/>
  <c r="M118" i="11"/>
  <c r="L118" i="11"/>
  <c r="K118" i="11"/>
  <c r="J118" i="11"/>
  <c r="I118" i="11"/>
  <c r="H118" i="11"/>
  <c r="G118" i="11"/>
  <c r="F118" i="11"/>
  <c r="E118" i="11"/>
  <c r="D118" i="11"/>
  <c r="C118" i="11"/>
  <c r="B118" i="11"/>
  <c r="A118" i="11"/>
  <c r="AL117" i="11"/>
  <c r="AK117" i="11"/>
  <c r="AJ117" i="11"/>
  <c r="AI117" i="11"/>
  <c r="AH117" i="11"/>
  <c r="AG117" i="11"/>
  <c r="AF117" i="11"/>
  <c r="AE117" i="11"/>
  <c r="AD117" i="11"/>
  <c r="AC117" i="11"/>
  <c r="AB117" i="11"/>
  <c r="AA117" i="11"/>
  <c r="Z117" i="11"/>
  <c r="Y117" i="11"/>
  <c r="X117" i="11"/>
  <c r="W117" i="11"/>
  <c r="V117" i="11"/>
  <c r="U117" i="11"/>
  <c r="T117" i="11"/>
  <c r="S117" i="11"/>
  <c r="R117" i="11"/>
  <c r="Q117" i="11"/>
  <c r="P117" i="11"/>
  <c r="O117" i="11"/>
  <c r="N117" i="11"/>
  <c r="M117" i="11"/>
  <c r="L117" i="11"/>
  <c r="K117" i="11"/>
  <c r="J117" i="11"/>
  <c r="I117" i="11"/>
  <c r="H117" i="11"/>
  <c r="G117" i="11"/>
  <c r="F117" i="11"/>
  <c r="E117" i="11"/>
  <c r="D117" i="11"/>
  <c r="C117" i="11"/>
  <c r="B117" i="11"/>
  <c r="A117" i="11"/>
  <c r="AL116" i="11"/>
  <c r="AK116" i="11"/>
  <c r="AJ116" i="11"/>
  <c r="AI116" i="11"/>
  <c r="AH116" i="11"/>
  <c r="AG116" i="11"/>
  <c r="AF116" i="11"/>
  <c r="AE116" i="11"/>
  <c r="AD116" i="11"/>
  <c r="AC116" i="11"/>
  <c r="AB116" i="11"/>
  <c r="AA116" i="11"/>
  <c r="Z116" i="11"/>
  <c r="Y116" i="11"/>
  <c r="X116" i="11"/>
  <c r="W116" i="11"/>
  <c r="V116" i="11"/>
  <c r="U116" i="11"/>
  <c r="T116" i="11"/>
  <c r="S116" i="11"/>
  <c r="R116" i="11"/>
  <c r="Q116" i="11"/>
  <c r="P116" i="11"/>
  <c r="O116" i="11"/>
  <c r="N116" i="11"/>
  <c r="M116" i="11"/>
  <c r="L116" i="11"/>
  <c r="K116" i="11"/>
  <c r="J116" i="11"/>
  <c r="I116" i="11"/>
  <c r="H116" i="11"/>
  <c r="G116" i="11"/>
  <c r="F116" i="11"/>
  <c r="E116" i="11"/>
  <c r="D116" i="11"/>
  <c r="C116" i="11"/>
  <c r="B116" i="11"/>
  <c r="A116" i="11"/>
  <c r="AL115" i="11"/>
  <c r="AK115" i="11"/>
  <c r="AJ115" i="11"/>
  <c r="AI115" i="11"/>
  <c r="AH115" i="11"/>
  <c r="AG115" i="11"/>
  <c r="AF115" i="11"/>
  <c r="AE115" i="11"/>
  <c r="AD115" i="11"/>
  <c r="AC115" i="11"/>
  <c r="AB115" i="11"/>
  <c r="AA115" i="11"/>
  <c r="Z115" i="11"/>
  <c r="Y115" i="11"/>
  <c r="X115" i="11"/>
  <c r="W115" i="11"/>
  <c r="V115" i="11"/>
  <c r="U115" i="11"/>
  <c r="T115" i="11"/>
  <c r="S115" i="11"/>
  <c r="R115" i="11"/>
  <c r="Q115" i="11"/>
  <c r="P115" i="11"/>
  <c r="O115" i="11"/>
  <c r="N115" i="11"/>
  <c r="M115" i="11"/>
  <c r="L115" i="11"/>
  <c r="K115" i="11"/>
  <c r="J115" i="11"/>
  <c r="I115" i="11"/>
  <c r="H115" i="11"/>
  <c r="G115" i="11"/>
  <c r="F115" i="11"/>
  <c r="E115" i="11"/>
  <c r="D115" i="11"/>
  <c r="C115" i="11"/>
  <c r="B115" i="11"/>
  <c r="A115" i="11"/>
  <c r="AL114" i="11"/>
  <c r="AK114" i="11"/>
  <c r="AJ114" i="11"/>
  <c r="AI114" i="11"/>
  <c r="AH114" i="11"/>
  <c r="AG114" i="11"/>
  <c r="AF114" i="11"/>
  <c r="AE114" i="11"/>
  <c r="AD114" i="11"/>
  <c r="AC114" i="11"/>
  <c r="AB114" i="11"/>
  <c r="AA114" i="11"/>
  <c r="Z114" i="11"/>
  <c r="Y114" i="11"/>
  <c r="X114" i="11"/>
  <c r="W114" i="11"/>
  <c r="V114" i="11"/>
  <c r="U114" i="11"/>
  <c r="T114" i="11"/>
  <c r="S114" i="11"/>
  <c r="R114" i="11"/>
  <c r="Q114" i="11"/>
  <c r="P114" i="11"/>
  <c r="O114" i="11"/>
  <c r="N114" i="11"/>
  <c r="M114" i="11"/>
  <c r="L114" i="11"/>
  <c r="K114" i="11"/>
  <c r="J114" i="11"/>
  <c r="I114" i="11"/>
  <c r="H114" i="11"/>
  <c r="G114" i="11"/>
  <c r="F114" i="11"/>
  <c r="E114" i="11"/>
  <c r="D114" i="11"/>
  <c r="C114" i="11"/>
  <c r="B114" i="11"/>
  <c r="A114" i="11"/>
  <c r="AL113" i="11"/>
  <c r="AK113" i="11"/>
  <c r="AJ113" i="11"/>
  <c r="AI113" i="11"/>
  <c r="AH113" i="11"/>
  <c r="AG113" i="11"/>
  <c r="AF113" i="11"/>
  <c r="AE113" i="11"/>
  <c r="AD113" i="11"/>
  <c r="AC113" i="11"/>
  <c r="AB113" i="11"/>
  <c r="AA113" i="11"/>
  <c r="Z113" i="11"/>
  <c r="Y113" i="11"/>
  <c r="X113" i="11"/>
  <c r="W113" i="11"/>
  <c r="V113" i="11"/>
  <c r="U113" i="11"/>
  <c r="T113" i="11"/>
  <c r="S113" i="11"/>
  <c r="R113" i="11"/>
  <c r="Q113" i="11"/>
  <c r="P113" i="11"/>
  <c r="O113" i="11"/>
  <c r="N113" i="11"/>
  <c r="M113" i="11"/>
  <c r="L113" i="11"/>
  <c r="K113" i="11"/>
  <c r="J113" i="11"/>
  <c r="I113" i="11"/>
  <c r="H113" i="11"/>
  <c r="G113" i="11"/>
  <c r="F113" i="11"/>
  <c r="E113" i="11"/>
  <c r="D113" i="11"/>
  <c r="C113" i="11"/>
  <c r="B113" i="11"/>
  <c r="A113" i="11"/>
  <c r="AL112" i="11"/>
  <c r="AK112" i="11"/>
  <c r="AJ112" i="11"/>
  <c r="AI112" i="11"/>
  <c r="AH112" i="11"/>
  <c r="AG112" i="11"/>
  <c r="AF112" i="11"/>
  <c r="AE112" i="11"/>
  <c r="AD112" i="11"/>
  <c r="AC112" i="11"/>
  <c r="AB112" i="11"/>
  <c r="AA112" i="11"/>
  <c r="Z112" i="11"/>
  <c r="Y112" i="11"/>
  <c r="X112" i="11"/>
  <c r="W112" i="11"/>
  <c r="V112" i="11"/>
  <c r="U112" i="11"/>
  <c r="T112" i="11"/>
  <c r="S112" i="11"/>
  <c r="R112" i="11"/>
  <c r="Q112" i="11"/>
  <c r="P112" i="11"/>
  <c r="O112" i="11"/>
  <c r="N112" i="11"/>
  <c r="M112" i="11"/>
  <c r="L112" i="11"/>
  <c r="K112" i="11"/>
  <c r="J112" i="11"/>
  <c r="I112" i="11"/>
  <c r="H112" i="11"/>
  <c r="G112" i="11"/>
  <c r="F112" i="11"/>
  <c r="E112" i="11"/>
  <c r="D112" i="11"/>
  <c r="C112" i="11"/>
  <c r="B112" i="11"/>
  <c r="A112" i="11"/>
  <c r="AL111" i="11"/>
  <c r="AK111" i="11"/>
  <c r="AJ111" i="11"/>
  <c r="AI111" i="11"/>
  <c r="AH111" i="11"/>
  <c r="AG111" i="11"/>
  <c r="AF111" i="11"/>
  <c r="AE111" i="11"/>
  <c r="AD111" i="11"/>
  <c r="AC111" i="11"/>
  <c r="AB111" i="11"/>
  <c r="AA111" i="11"/>
  <c r="Z111" i="11"/>
  <c r="Y111" i="11"/>
  <c r="X111" i="11"/>
  <c r="W111" i="11"/>
  <c r="V111" i="11"/>
  <c r="U111" i="11"/>
  <c r="T111" i="11"/>
  <c r="S111" i="11"/>
  <c r="R111" i="11"/>
  <c r="Q111" i="11"/>
  <c r="P111" i="11"/>
  <c r="O111" i="11"/>
  <c r="N111" i="11"/>
  <c r="M111" i="11"/>
  <c r="L111" i="11"/>
  <c r="K111" i="11"/>
  <c r="J111" i="11"/>
  <c r="I111" i="11"/>
  <c r="H111" i="11"/>
  <c r="G111" i="11"/>
  <c r="F111" i="11"/>
  <c r="E111" i="11"/>
  <c r="D111" i="11"/>
  <c r="C111" i="11"/>
  <c r="B111" i="11"/>
  <c r="A111" i="11"/>
  <c r="AL110" i="11"/>
  <c r="AK110" i="11"/>
  <c r="AJ110" i="11"/>
  <c r="AI110" i="11"/>
  <c r="AH110" i="11"/>
  <c r="AG110" i="11"/>
  <c r="AF110" i="11"/>
  <c r="AE110" i="11"/>
  <c r="AD110" i="11"/>
  <c r="AC110" i="11"/>
  <c r="AB110" i="11"/>
  <c r="AA110" i="11"/>
  <c r="Z110" i="11"/>
  <c r="Y110" i="11"/>
  <c r="X110" i="11"/>
  <c r="W110" i="11"/>
  <c r="V110" i="11"/>
  <c r="U110" i="11"/>
  <c r="T110" i="11"/>
  <c r="S110" i="11"/>
  <c r="R110" i="11"/>
  <c r="Q110" i="11"/>
  <c r="P110" i="11"/>
  <c r="O110" i="11"/>
  <c r="N110" i="11"/>
  <c r="M110" i="11"/>
  <c r="L110" i="11"/>
  <c r="K110" i="11"/>
  <c r="J110" i="11"/>
  <c r="I110" i="11"/>
  <c r="H110" i="11"/>
  <c r="G110" i="11"/>
  <c r="F110" i="11"/>
  <c r="E110" i="11"/>
  <c r="D110" i="11"/>
  <c r="C110" i="11"/>
  <c r="B110" i="11"/>
  <c r="A110" i="11"/>
  <c r="AL109" i="11"/>
  <c r="AK109" i="11"/>
  <c r="AJ109" i="11"/>
  <c r="AI109" i="11"/>
  <c r="AH109" i="11"/>
  <c r="AG109" i="11"/>
  <c r="AF109" i="11"/>
  <c r="AE109" i="11"/>
  <c r="AD109" i="11"/>
  <c r="AC109" i="11"/>
  <c r="AB109" i="11"/>
  <c r="AA109" i="11"/>
  <c r="Z109" i="11"/>
  <c r="Y109" i="11"/>
  <c r="X109" i="11"/>
  <c r="W109" i="11"/>
  <c r="V109" i="11"/>
  <c r="U109" i="11"/>
  <c r="T109" i="11"/>
  <c r="S109" i="11"/>
  <c r="R109" i="11"/>
  <c r="Q109" i="11"/>
  <c r="P109" i="11"/>
  <c r="O109" i="11"/>
  <c r="N109" i="11"/>
  <c r="M109" i="11"/>
  <c r="L109" i="11"/>
  <c r="K109" i="11"/>
  <c r="J109" i="11"/>
  <c r="I109" i="11"/>
  <c r="H109" i="11"/>
  <c r="G109" i="11"/>
  <c r="F109" i="11"/>
  <c r="E109" i="11"/>
  <c r="D109" i="11"/>
  <c r="C109" i="11"/>
  <c r="B109" i="11"/>
  <c r="A109" i="11"/>
  <c r="AL108" i="11"/>
  <c r="AK108" i="11"/>
  <c r="AJ108" i="11"/>
  <c r="AI108" i="11"/>
  <c r="AH108" i="11"/>
  <c r="AG108" i="11"/>
  <c r="AF108" i="11"/>
  <c r="AE108" i="11"/>
  <c r="AD108" i="11"/>
  <c r="AC108" i="11"/>
  <c r="AB108" i="11"/>
  <c r="AA108" i="11"/>
  <c r="Z108" i="11"/>
  <c r="Y108" i="11"/>
  <c r="X108" i="11"/>
  <c r="W108" i="11"/>
  <c r="V108" i="11"/>
  <c r="U108" i="11"/>
  <c r="T108" i="11"/>
  <c r="S108" i="11"/>
  <c r="R108" i="11"/>
  <c r="Q108" i="11"/>
  <c r="P108" i="11"/>
  <c r="O108" i="11"/>
  <c r="N108" i="11"/>
  <c r="M108" i="11"/>
  <c r="L108" i="11"/>
  <c r="K108" i="11"/>
  <c r="J108" i="11"/>
  <c r="I108" i="11"/>
  <c r="H108" i="11"/>
  <c r="G108" i="11"/>
  <c r="F108" i="11"/>
  <c r="E108" i="11"/>
  <c r="D108" i="11"/>
  <c r="C108" i="11"/>
  <c r="B108" i="11"/>
  <c r="A108" i="11"/>
  <c r="AL107" i="11"/>
  <c r="AK107" i="11"/>
  <c r="AJ107" i="11"/>
  <c r="AI107" i="11"/>
  <c r="AH107" i="11"/>
  <c r="AG107" i="11"/>
  <c r="AF107" i="11"/>
  <c r="AE107" i="11"/>
  <c r="AD107" i="11"/>
  <c r="AC107" i="11"/>
  <c r="AB107" i="11"/>
  <c r="AA107" i="11"/>
  <c r="Z107" i="11"/>
  <c r="Y107" i="11"/>
  <c r="X107" i="11"/>
  <c r="W107" i="11"/>
  <c r="V107" i="11"/>
  <c r="U107" i="11"/>
  <c r="T107" i="11"/>
  <c r="S107" i="11"/>
  <c r="R107" i="11"/>
  <c r="Q107" i="11"/>
  <c r="P107" i="11"/>
  <c r="O107" i="11"/>
  <c r="N107" i="11"/>
  <c r="M107" i="11"/>
  <c r="L107" i="11"/>
  <c r="K107" i="11"/>
  <c r="J107" i="11"/>
  <c r="I107" i="11"/>
  <c r="H107" i="11"/>
  <c r="G107" i="11"/>
  <c r="F107" i="11"/>
  <c r="E107" i="11"/>
  <c r="D107" i="11"/>
  <c r="C107" i="11"/>
  <c r="B107" i="11"/>
  <c r="A107" i="11"/>
  <c r="AL106" i="11"/>
  <c r="AK106" i="11"/>
  <c r="AJ106" i="11"/>
  <c r="AI106" i="11"/>
  <c r="AH106" i="11"/>
  <c r="AG106" i="11"/>
  <c r="AF106" i="11"/>
  <c r="AE106" i="11"/>
  <c r="AD106" i="11"/>
  <c r="AC106" i="11"/>
  <c r="AB106" i="11"/>
  <c r="AA106" i="11"/>
  <c r="Z106" i="11"/>
  <c r="Y106" i="11"/>
  <c r="X106" i="11"/>
  <c r="W106" i="11"/>
  <c r="V106" i="11"/>
  <c r="U106" i="11"/>
  <c r="T106" i="11"/>
  <c r="S106" i="11"/>
  <c r="R106" i="11"/>
  <c r="Q106" i="11"/>
  <c r="P106" i="11"/>
  <c r="O106" i="11"/>
  <c r="N106" i="11"/>
  <c r="M106" i="11"/>
  <c r="L106" i="11"/>
  <c r="K106" i="11"/>
  <c r="J106" i="11"/>
  <c r="I106" i="11"/>
  <c r="H106" i="11"/>
  <c r="G106" i="11"/>
  <c r="F106" i="11"/>
  <c r="E106" i="11"/>
  <c r="D106" i="11"/>
  <c r="C106" i="11"/>
  <c r="B106" i="11"/>
  <c r="A106" i="11"/>
  <c r="AL105" i="11"/>
  <c r="AK105" i="11"/>
  <c r="AJ105" i="11"/>
  <c r="AI105" i="11"/>
  <c r="AH105" i="11"/>
  <c r="AG105" i="11"/>
  <c r="AF105" i="11"/>
  <c r="AE105" i="11"/>
  <c r="AD105" i="11"/>
  <c r="AC105" i="11"/>
  <c r="AB105" i="11"/>
  <c r="AA105" i="11"/>
  <c r="Z105" i="11"/>
  <c r="Y105" i="11"/>
  <c r="X105" i="11"/>
  <c r="W105" i="11"/>
  <c r="V105" i="11"/>
  <c r="U105" i="11"/>
  <c r="T105" i="11"/>
  <c r="S105" i="11"/>
  <c r="R105" i="11"/>
  <c r="Q105" i="11"/>
  <c r="P105" i="11"/>
  <c r="O105" i="11"/>
  <c r="N105" i="11"/>
  <c r="M105" i="11"/>
  <c r="L105" i="11"/>
  <c r="K105" i="11"/>
  <c r="J105" i="11"/>
  <c r="I105" i="11"/>
  <c r="H105" i="11"/>
  <c r="G105" i="11"/>
  <c r="F105" i="11"/>
  <c r="E105" i="11"/>
  <c r="D105" i="11"/>
  <c r="C105" i="11"/>
  <c r="B105" i="11"/>
  <c r="A105" i="11"/>
  <c r="AL104" i="11"/>
  <c r="AK104" i="11"/>
  <c r="AJ104" i="11"/>
  <c r="AI104" i="11"/>
  <c r="AH104" i="11"/>
  <c r="AG104" i="11"/>
  <c r="AF104" i="11"/>
  <c r="AE104" i="11"/>
  <c r="AD104" i="11"/>
  <c r="AC104" i="11"/>
  <c r="AB104" i="11"/>
  <c r="AA104" i="11"/>
  <c r="Z104" i="11"/>
  <c r="Y104" i="11"/>
  <c r="X104" i="11"/>
  <c r="W104" i="11"/>
  <c r="V104" i="11"/>
  <c r="U104" i="11"/>
  <c r="T104" i="11"/>
  <c r="S104" i="11"/>
  <c r="R104" i="11"/>
  <c r="Q104" i="11"/>
  <c r="P104" i="11"/>
  <c r="O104" i="11"/>
  <c r="N104" i="11"/>
  <c r="M104" i="11"/>
  <c r="L104" i="11"/>
  <c r="K104" i="11"/>
  <c r="J104" i="11"/>
  <c r="I104" i="11"/>
  <c r="H104" i="11"/>
  <c r="G104" i="11"/>
  <c r="F104" i="11"/>
  <c r="E104" i="11"/>
  <c r="D104" i="11"/>
  <c r="C104" i="11"/>
  <c r="B104" i="11"/>
  <c r="A104" i="11"/>
  <c r="AL103" i="11"/>
  <c r="AK103" i="11"/>
  <c r="AJ103" i="11"/>
  <c r="AI103" i="11"/>
  <c r="AH103" i="11"/>
  <c r="AG103" i="11"/>
  <c r="AF103" i="11"/>
  <c r="AE103" i="11"/>
  <c r="AD103" i="11"/>
  <c r="AC103" i="11"/>
  <c r="AB103" i="11"/>
  <c r="AA103" i="11"/>
  <c r="Z103" i="11"/>
  <c r="Y103" i="11"/>
  <c r="X103" i="11"/>
  <c r="W103" i="11"/>
  <c r="V103" i="11"/>
  <c r="U103" i="11"/>
  <c r="T103" i="11"/>
  <c r="S103" i="11"/>
  <c r="R103" i="11"/>
  <c r="Q103" i="11"/>
  <c r="P103" i="11"/>
  <c r="O103" i="11"/>
  <c r="N103" i="11"/>
  <c r="M103" i="11"/>
  <c r="L103" i="11"/>
  <c r="K103" i="11"/>
  <c r="J103" i="11"/>
  <c r="I103" i="11"/>
  <c r="H103" i="11"/>
  <c r="G103" i="11"/>
  <c r="F103" i="11"/>
  <c r="E103" i="11"/>
  <c r="D103" i="11"/>
  <c r="C103" i="11"/>
  <c r="B103" i="11"/>
  <c r="A103" i="11"/>
  <c r="AL102" i="11"/>
  <c r="AK102" i="11"/>
  <c r="AJ102" i="11"/>
  <c r="AI102" i="11"/>
  <c r="AH102" i="11"/>
  <c r="AG102" i="11"/>
  <c r="AF102" i="11"/>
  <c r="AE102" i="11"/>
  <c r="AD102" i="11"/>
  <c r="AC102" i="11"/>
  <c r="AB102" i="11"/>
  <c r="AA102" i="11"/>
  <c r="Z102" i="11"/>
  <c r="Y102" i="11"/>
  <c r="X102" i="11"/>
  <c r="W102" i="11"/>
  <c r="V102" i="11"/>
  <c r="U102" i="11"/>
  <c r="T102" i="11"/>
  <c r="S102" i="11"/>
  <c r="R102" i="11"/>
  <c r="Q102" i="11"/>
  <c r="P102" i="11"/>
  <c r="O102" i="11"/>
  <c r="N102" i="11"/>
  <c r="M102" i="11"/>
  <c r="L102" i="11"/>
  <c r="K102" i="11"/>
  <c r="J102" i="11"/>
  <c r="I102" i="11"/>
  <c r="H102" i="11"/>
  <c r="G102" i="11"/>
  <c r="F102" i="11"/>
  <c r="E102" i="11"/>
  <c r="D102" i="11"/>
  <c r="C102" i="11"/>
  <c r="B102" i="11"/>
  <c r="A102" i="11"/>
  <c r="AL101" i="11"/>
  <c r="AK101" i="11"/>
  <c r="AJ101" i="11"/>
  <c r="AI101" i="11"/>
  <c r="AH101" i="11"/>
  <c r="AG101" i="11"/>
  <c r="AF101" i="11"/>
  <c r="AE101" i="11"/>
  <c r="AD101" i="11"/>
  <c r="AC101" i="11"/>
  <c r="AB101" i="11"/>
  <c r="AA101" i="11"/>
  <c r="Z101" i="11"/>
  <c r="Y101" i="11"/>
  <c r="X101" i="11"/>
  <c r="W101" i="11"/>
  <c r="V101" i="11"/>
  <c r="U101" i="11"/>
  <c r="T101" i="11"/>
  <c r="S101" i="11"/>
  <c r="R101" i="11"/>
  <c r="Q101" i="11"/>
  <c r="P101" i="11"/>
  <c r="O101" i="11"/>
  <c r="N101" i="11"/>
  <c r="M101" i="11"/>
  <c r="L101" i="11"/>
  <c r="K101" i="11"/>
  <c r="J101" i="11"/>
  <c r="I101" i="11"/>
  <c r="H101" i="11"/>
  <c r="G101" i="11"/>
  <c r="F101" i="11"/>
  <c r="E101" i="11"/>
  <c r="D101" i="11"/>
  <c r="C101" i="11"/>
  <c r="B101" i="11"/>
  <c r="A101" i="11"/>
  <c r="AC100" i="11"/>
  <c r="X100" i="11"/>
  <c r="W100" i="11"/>
  <c r="V100" i="11"/>
  <c r="U100" i="11"/>
  <c r="T100" i="11"/>
  <c r="S100" i="11"/>
  <c r="R100" i="11"/>
  <c r="Q100" i="11"/>
  <c r="P100" i="11"/>
  <c r="O100" i="11"/>
  <c r="N100" i="11"/>
  <c r="M100" i="11"/>
  <c r="L100" i="11"/>
  <c r="K100" i="11"/>
  <c r="J100" i="11"/>
  <c r="I100" i="11"/>
  <c r="H100" i="11"/>
  <c r="G100" i="11"/>
  <c r="F100" i="11"/>
  <c r="E100" i="11"/>
  <c r="D100" i="11"/>
  <c r="C100" i="11"/>
  <c r="B100" i="11"/>
  <c r="A100" i="11"/>
  <c r="AC99" i="11"/>
  <c r="X99" i="11"/>
  <c r="W99" i="11"/>
  <c r="V99" i="11"/>
  <c r="U99" i="11"/>
  <c r="T99" i="11"/>
  <c r="S99" i="11"/>
  <c r="R99" i="11"/>
  <c r="Q99" i="11"/>
  <c r="P99" i="11"/>
  <c r="O99" i="11"/>
  <c r="N99" i="11"/>
  <c r="M99" i="11"/>
  <c r="L99" i="11"/>
  <c r="K99" i="11"/>
  <c r="J99" i="11"/>
  <c r="I99" i="11"/>
  <c r="H99" i="11"/>
  <c r="G99" i="11"/>
  <c r="F99" i="11"/>
  <c r="E99" i="11"/>
  <c r="D99" i="11"/>
  <c r="C99" i="11"/>
  <c r="B99" i="11"/>
  <c r="A99" i="11"/>
  <c r="AL98" i="11"/>
  <c r="AK98" i="11"/>
  <c r="AJ98" i="11"/>
  <c r="AI98" i="11"/>
  <c r="AH98" i="11"/>
  <c r="AG98" i="11"/>
  <c r="AF98" i="11"/>
  <c r="AE98" i="11"/>
  <c r="AD98" i="11"/>
  <c r="AC98" i="11"/>
  <c r="AB98" i="11"/>
  <c r="AA98" i="11"/>
  <c r="Z98" i="11"/>
  <c r="Y98" i="11"/>
  <c r="X98" i="11"/>
  <c r="W98" i="11"/>
  <c r="V98" i="11"/>
  <c r="U98" i="11"/>
  <c r="T98" i="11"/>
  <c r="S98" i="11"/>
  <c r="R98" i="11"/>
  <c r="Q98" i="11"/>
  <c r="P98" i="11"/>
  <c r="O98" i="11"/>
  <c r="N98" i="11"/>
  <c r="M98" i="11"/>
  <c r="L98" i="11"/>
  <c r="K98" i="11"/>
  <c r="J98" i="11"/>
  <c r="I98" i="11"/>
  <c r="H98" i="11"/>
  <c r="G98" i="11"/>
  <c r="F98" i="11"/>
  <c r="E98" i="11"/>
  <c r="D98" i="11"/>
  <c r="C98" i="11"/>
  <c r="B98" i="11"/>
  <c r="A98" i="11"/>
  <c r="AC97" i="11"/>
  <c r="X97" i="11"/>
  <c r="W97" i="11"/>
  <c r="V97" i="11"/>
  <c r="U97" i="11"/>
  <c r="T97" i="11"/>
  <c r="S97" i="11"/>
  <c r="R97" i="11"/>
  <c r="Q97" i="11"/>
  <c r="P97" i="11"/>
  <c r="O97" i="11"/>
  <c r="N97" i="11"/>
  <c r="M97" i="11"/>
  <c r="L97" i="11"/>
  <c r="K97" i="11"/>
  <c r="J97" i="11"/>
  <c r="I97" i="11"/>
  <c r="H97" i="11"/>
  <c r="G97" i="11"/>
  <c r="F97" i="11"/>
  <c r="E97" i="11"/>
  <c r="D97" i="11"/>
  <c r="C97" i="11"/>
  <c r="B97" i="11"/>
  <c r="A97" i="11"/>
  <c r="AC96" i="11"/>
  <c r="X96" i="11"/>
  <c r="W96" i="11"/>
  <c r="V96" i="11"/>
  <c r="U96" i="11"/>
  <c r="T96" i="11"/>
  <c r="S96" i="11"/>
  <c r="R96" i="11"/>
  <c r="Q96" i="11"/>
  <c r="P96" i="11"/>
  <c r="O96" i="11"/>
  <c r="N96" i="11"/>
  <c r="M96" i="11"/>
  <c r="L96" i="11"/>
  <c r="K96" i="11"/>
  <c r="J96" i="11"/>
  <c r="I96" i="11"/>
  <c r="H96" i="11"/>
  <c r="G96" i="11"/>
  <c r="F96" i="11"/>
  <c r="E96" i="11"/>
  <c r="D96" i="11"/>
  <c r="C96" i="11"/>
  <c r="B96" i="11"/>
  <c r="A96" i="11"/>
  <c r="AL95" i="11"/>
  <c r="AK95" i="11"/>
  <c r="AJ95" i="11"/>
  <c r="AI95" i="11"/>
  <c r="AH95" i="11"/>
  <c r="AG95" i="11"/>
  <c r="AF95" i="11"/>
  <c r="AE95" i="11"/>
  <c r="AD95" i="11"/>
  <c r="AC95" i="11"/>
  <c r="AB95" i="11"/>
  <c r="AA95" i="11"/>
  <c r="Z95" i="11"/>
  <c r="Y95" i="11"/>
  <c r="X95" i="11"/>
  <c r="W95" i="11"/>
  <c r="V95" i="11"/>
  <c r="U95" i="11"/>
  <c r="T95" i="11"/>
  <c r="S95" i="11"/>
  <c r="R95" i="11"/>
  <c r="Q95" i="11"/>
  <c r="P95" i="11"/>
  <c r="O95" i="11"/>
  <c r="N95" i="11"/>
  <c r="M95" i="11"/>
  <c r="L95" i="11"/>
  <c r="K95" i="11"/>
  <c r="J95" i="11"/>
  <c r="I95" i="11"/>
  <c r="H95" i="11"/>
  <c r="G95" i="11"/>
  <c r="F95" i="11"/>
  <c r="E95" i="11"/>
  <c r="D95" i="11"/>
  <c r="C95" i="11"/>
  <c r="B95" i="11"/>
  <c r="A95" i="11"/>
  <c r="AL94" i="11"/>
  <c r="AK94" i="11"/>
  <c r="AJ94" i="11"/>
  <c r="AI94" i="11"/>
  <c r="AH94" i="11"/>
  <c r="AG94" i="11"/>
  <c r="AF94" i="11"/>
  <c r="AE94" i="11"/>
  <c r="AD94" i="11"/>
  <c r="AC94" i="11"/>
  <c r="AB94" i="11"/>
  <c r="AA94" i="11"/>
  <c r="Z94" i="11"/>
  <c r="Y94" i="11"/>
  <c r="X94" i="11"/>
  <c r="W94" i="11"/>
  <c r="V94" i="11"/>
  <c r="U94" i="11"/>
  <c r="T94" i="11"/>
  <c r="S94" i="11"/>
  <c r="R94" i="11"/>
  <c r="Q94" i="11"/>
  <c r="P94" i="11"/>
  <c r="O94" i="11"/>
  <c r="N94" i="11"/>
  <c r="M94" i="11"/>
  <c r="L94" i="11"/>
  <c r="K94" i="11"/>
  <c r="J94" i="11"/>
  <c r="I94" i="11"/>
  <c r="H94" i="11"/>
  <c r="G94" i="11"/>
  <c r="F94" i="11"/>
  <c r="E94" i="11"/>
  <c r="D94" i="11"/>
  <c r="C94" i="11"/>
  <c r="B94" i="11"/>
  <c r="A94" i="11"/>
  <c r="AH93" i="11"/>
  <c r="AF93" i="11"/>
  <c r="AC93" i="11"/>
  <c r="X93" i="11"/>
  <c r="W93" i="11"/>
  <c r="V93" i="11"/>
  <c r="U93" i="11"/>
  <c r="T93" i="11"/>
  <c r="S93" i="11"/>
  <c r="R93" i="11"/>
  <c r="Q93" i="11"/>
  <c r="P93" i="11"/>
  <c r="O93" i="11"/>
  <c r="N93" i="11"/>
  <c r="M93" i="11"/>
  <c r="L93" i="11"/>
  <c r="K93" i="11"/>
  <c r="J93" i="11"/>
  <c r="I93" i="11"/>
  <c r="H93" i="11"/>
  <c r="G93" i="11"/>
  <c r="F93" i="11"/>
  <c r="E93" i="11"/>
  <c r="D93" i="11"/>
  <c r="C93" i="11"/>
  <c r="B93" i="11"/>
  <c r="A93" i="11"/>
  <c r="AL92" i="11"/>
  <c r="AK92" i="11"/>
  <c r="AJ92" i="11"/>
  <c r="AI92" i="11"/>
  <c r="AH92" i="11"/>
  <c r="AG92" i="11"/>
  <c r="AF92" i="11"/>
  <c r="AE92" i="11"/>
  <c r="AD92" i="11"/>
  <c r="AC92" i="11"/>
  <c r="AB92" i="11"/>
  <c r="AA92" i="11"/>
  <c r="Z92" i="11"/>
  <c r="Y92" i="11"/>
  <c r="X92" i="11"/>
  <c r="W92" i="11"/>
  <c r="V92" i="11"/>
  <c r="U92" i="11"/>
  <c r="T92" i="11"/>
  <c r="S92" i="11"/>
  <c r="R92" i="11"/>
  <c r="Q92" i="11"/>
  <c r="P92" i="11"/>
  <c r="O92" i="11"/>
  <c r="N92" i="11"/>
  <c r="M92" i="11"/>
  <c r="L92" i="11"/>
  <c r="K92" i="11"/>
  <c r="J92" i="11"/>
  <c r="I92" i="11"/>
  <c r="H92" i="11"/>
  <c r="G92" i="11"/>
  <c r="F92" i="11"/>
  <c r="E92" i="11"/>
  <c r="D92" i="11"/>
  <c r="C92" i="11"/>
  <c r="B92" i="11"/>
  <c r="A92" i="11"/>
  <c r="AC91" i="11"/>
  <c r="X91" i="11"/>
  <c r="W91" i="11"/>
  <c r="V91" i="11"/>
  <c r="U91" i="11"/>
  <c r="T91" i="11"/>
  <c r="S91" i="11"/>
  <c r="R91" i="11"/>
  <c r="Q91" i="11"/>
  <c r="P91" i="11"/>
  <c r="O91" i="11"/>
  <c r="N91" i="11"/>
  <c r="M91" i="11"/>
  <c r="L91" i="11"/>
  <c r="K91" i="11"/>
  <c r="J91" i="11"/>
  <c r="I91" i="11"/>
  <c r="H91" i="11"/>
  <c r="G91" i="11"/>
  <c r="F91" i="11"/>
  <c r="E91" i="11"/>
  <c r="D91" i="11"/>
  <c r="C91" i="11"/>
  <c r="B91" i="11"/>
  <c r="A91" i="11"/>
  <c r="AC90" i="11"/>
  <c r="X90" i="11"/>
  <c r="W90" i="11"/>
  <c r="V90" i="11"/>
  <c r="U90" i="11"/>
  <c r="T90" i="11"/>
  <c r="S90" i="11"/>
  <c r="R90" i="11"/>
  <c r="Q90" i="11"/>
  <c r="P90" i="11"/>
  <c r="O90" i="11"/>
  <c r="N90" i="11"/>
  <c r="M90" i="11"/>
  <c r="L90" i="11"/>
  <c r="K90" i="11"/>
  <c r="J90" i="11"/>
  <c r="I90" i="11"/>
  <c r="H90" i="11"/>
  <c r="G90" i="11"/>
  <c r="F90" i="11"/>
  <c r="E90" i="11"/>
  <c r="D90" i="11"/>
  <c r="C90" i="11"/>
  <c r="B90" i="11"/>
  <c r="A90" i="11"/>
  <c r="AC89" i="11"/>
  <c r="X89" i="11"/>
  <c r="W89" i="11"/>
  <c r="V89" i="11"/>
  <c r="U89" i="11"/>
  <c r="T89" i="11"/>
  <c r="S89" i="11"/>
  <c r="R89" i="11"/>
  <c r="Q89" i="11"/>
  <c r="P89" i="11"/>
  <c r="O89" i="11"/>
  <c r="N89" i="11"/>
  <c r="M89" i="11"/>
  <c r="L89" i="11"/>
  <c r="K89" i="11"/>
  <c r="J89" i="11"/>
  <c r="I89" i="11"/>
  <c r="H89" i="11"/>
  <c r="G89" i="11"/>
  <c r="F89" i="11"/>
  <c r="E89" i="11"/>
  <c r="D89" i="11"/>
  <c r="C89" i="11"/>
  <c r="B89" i="11"/>
  <c r="A89" i="11"/>
  <c r="AL88" i="11"/>
  <c r="AK88" i="11"/>
  <c r="AJ88" i="11"/>
  <c r="AI88" i="11"/>
  <c r="AH88" i="11"/>
  <c r="AG88" i="11"/>
  <c r="AF88" i="11"/>
  <c r="AE88" i="11"/>
  <c r="AD88" i="11"/>
  <c r="AC88" i="11"/>
  <c r="AB88" i="11"/>
  <c r="AA88" i="11"/>
  <c r="Z88" i="11"/>
  <c r="Y88" i="11"/>
  <c r="X88" i="11"/>
  <c r="W88" i="11"/>
  <c r="V88" i="11"/>
  <c r="U88" i="11"/>
  <c r="T88" i="11"/>
  <c r="S88" i="11"/>
  <c r="R88" i="11"/>
  <c r="Q88" i="11"/>
  <c r="P88" i="11"/>
  <c r="O88" i="11"/>
  <c r="N88" i="11"/>
  <c r="M88" i="11"/>
  <c r="L88" i="11"/>
  <c r="K88" i="11"/>
  <c r="J88" i="11"/>
  <c r="I88" i="11"/>
  <c r="H88" i="11"/>
  <c r="G88" i="11"/>
  <c r="F88" i="11"/>
  <c r="E88" i="11"/>
  <c r="D88" i="11"/>
  <c r="C88" i="11"/>
  <c r="B88" i="11"/>
  <c r="A88" i="11"/>
  <c r="AC87" i="11"/>
  <c r="X87" i="11"/>
  <c r="W87" i="11"/>
  <c r="V87" i="11"/>
  <c r="U87" i="11"/>
  <c r="T87" i="11"/>
  <c r="S87" i="11"/>
  <c r="R87" i="11"/>
  <c r="Q87" i="11"/>
  <c r="P87" i="11"/>
  <c r="O87" i="11"/>
  <c r="N87" i="11"/>
  <c r="M87" i="11"/>
  <c r="L87" i="11"/>
  <c r="K87" i="11"/>
  <c r="J87" i="11"/>
  <c r="I87" i="11"/>
  <c r="H87" i="11"/>
  <c r="G87" i="11"/>
  <c r="F87" i="11"/>
  <c r="E87" i="11"/>
  <c r="D87" i="11"/>
  <c r="C87" i="11"/>
  <c r="B87" i="11"/>
  <c r="A87" i="11"/>
  <c r="AL86" i="11"/>
  <c r="AK86" i="11"/>
  <c r="AJ86" i="11"/>
  <c r="AI86" i="11"/>
  <c r="AH86" i="11"/>
  <c r="AG86" i="11"/>
  <c r="AF86" i="11"/>
  <c r="AE86" i="11"/>
  <c r="AD86" i="11"/>
  <c r="AC86" i="11"/>
  <c r="AB86" i="11"/>
  <c r="AA86" i="11"/>
  <c r="Z86" i="11"/>
  <c r="Y86" i="11"/>
  <c r="X86" i="11"/>
  <c r="W86" i="11"/>
  <c r="V86" i="11"/>
  <c r="U86" i="11"/>
  <c r="T86" i="11"/>
  <c r="S86" i="11"/>
  <c r="R86" i="11"/>
  <c r="Q86" i="11"/>
  <c r="P86" i="11"/>
  <c r="O86" i="11"/>
  <c r="N86" i="11"/>
  <c r="M86" i="11"/>
  <c r="L86" i="11"/>
  <c r="K86" i="11"/>
  <c r="J86" i="11"/>
  <c r="I86" i="11"/>
  <c r="H86" i="11"/>
  <c r="G86" i="11"/>
  <c r="F86" i="11"/>
  <c r="E86" i="11"/>
  <c r="D86" i="11"/>
  <c r="C86" i="11"/>
  <c r="B86" i="11"/>
  <c r="A86" i="11"/>
  <c r="AL85" i="11"/>
  <c r="AK85" i="11"/>
  <c r="AJ85" i="11"/>
  <c r="AI85" i="11"/>
  <c r="AH85" i="11"/>
  <c r="AG85" i="11"/>
  <c r="AF85" i="11"/>
  <c r="AE85" i="11"/>
  <c r="AD85" i="11"/>
  <c r="AC85" i="11"/>
  <c r="AB85" i="11"/>
  <c r="AA85" i="11"/>
  <c r="Z85" i="11"/>
  <c r="Y85" i="11"/>
  <c r="X85" i="11"/>
  <c r="W85" i="11"/>
  <c r="V85" i="11"/>
  <c r="U85" i="11"/>
  <c r="T85" i="11"/>
  <c r="S85" i="11"/>
  <c r="R85" i="11"/>
  <c r="Q85" i="11"/>
  <c r="P85" i="11"/>
  <c r="O85" i="11"/>
  <c r="N85" i="11"/>
  <c r="M85" i="11"/>
  <c r="L85" i="11"/>
  <c r="K85" i="11"/>
  <c r="J85" i="11"/>
  <c r="I85" i="11"/>
  <c r="H85" i="11"/>
  <c r="G85" i="11"/>
  <c r="F85" i="11"/>
  <c r="E85" i="11"/>
  <c r="D85" i="11"/>
  <c r="C85" i="11"/>
  <c r="B85" i="11"/>
  <c r="A85" i="11"/>
  <c r="AL84" i="11"/>
  <c r="AK84" i="11"/>
  <c r="AJ84" i="11"/>
  <c r="AI84" i="11"/>
  <c r="AH84" i="11"/>
  <c r="AG84" i="11"/>
  <c r="AF84" i="11"/>
  <c r="AE84" i="11"/>
  <c r="AD84" i="11"/>
  <c r="AC84" i="11"/>
  <c r="AB84" i="11"/>
  <c r="AA84" i="11"/>
  <c r="Z84" i="11"/>
  <c r="Y84" i="11"/>
  <c r="X84" i="11"/>
  <c r="W84" i="11"/>
  <c r="V84" i="11"/>
  <c r="U84" i="11"/>
  <c r="T84" i="11"/>
  <c r="S84" i="11"/>
  <c r="R84" i="11"/>
  <c r="Q84" i="11"/>
  <c r="P84" i="11"/>
  <c r="O84" i="11"/>
  <c r="N84" i="11"/>
  <c r="M84" i="11"/>
  <c r="L84" i="11"/>
  <c r="K84" i="11"/>
  <c r="J84" i="11"/>
  <c r="I84" i="11"/>
  <c r="H84" i="11"/>
  <c r="G84" i="11"/>
  <c r="F84" i="11"/>
  <c r="E84" i="11"/>
  <c r="D84" i="11"/>
  <c r="C84" i="11"/>
  <c r="B84" i="11"/>
  <c r="A84" i="11"/>
  <c r="AL83" i="11"/>
  <c r="AK83" i="11"/>
  <c r="AJ83" i="11"/>
  <c r="AI83" i="11"/>
  <c r="AH83" i="11"/>
  <c r="AG83" i="11"/>
  <c r="AF83" i="11"/>
  <c r="AE83" i="11"/>
  <c r="AD83" i="11"/>
  <c r="AC83" i="11"/>
  <c r="AB83" i="11"/>
  <c r="AA83" i="11"/>
  <c r="Z83" i="11"/>
  <c r="Y83" i="11"/>
  <c r="X83" i="11"/>
  <c r="W83" i="11"/>
  <c r="V83" i="11"/>
  <c r="U83" i="11"/>
  <c r="T83" i="11"/>
  <c r="S83" i="11"/>
  <c r="R83" i="11"/>
  <c r="Q83" i="11"/>
  <c r="P83" i="11"/>
  <c r="O83" i="11"/>
  <c r="N83" i="11"/>
  <c r="M83" i="11"/>
  <c r="L83" i="11"/>
  <c r="K83" i="11"/>
  <c r="J83" i="11"/>
  <c r="I83" i="11"/>
  <c r="H83" i="11"/>
  <c r="G83" i="11"/>
  <c r="F83" i="11"/>
  <c r="E83" i="11"/>
  <c r="D83" i="11"/>
  <c r="C83" i="11"/>
  <c r="B83" i="11"/>
  <c r="A83" i="11"/>
  <c r="AL82" i="11"/>
  <c r="AK82" i="11"/>
  <c r="AJ82" i="11"/>
  <c r="AI82" i="11"/>
  <c r="AH82" i="11"/>
  <c r="AG82" i="11"/>
  <c r="AF82" i="11"/>
  <c r="AE82" i="11"/>
  <c r="AD82" i="11"/>
  <c r="AC82" i="11"/>
  <c r="AB82" i="11"/>
  <c r="AA82" i="11"/>
  <c r="Z82" i="11"/>
  <c r="Y82" i="11"/>
  <c r="X82" i="11"/>
  <c r="W82" i="11"/>
  <c r="V82" i="11"/>
  <c r="U82" i="11"/>
  <c r="T82" i="11"/>
  <c r="S82" i="11"/>
  <c r="R82" i="11"/>
  <c r="Q82" i="11"/>
  <c r="P82" i="11"/>
  <c r="O82" i="11"/>
  <c r="N82" i="11"/>
  <c r="M82" i="11"/>
  <c r="L82" i="11"/>
  <c r="K82" i="11"/>
  <c r="J82" i="11"/>
  <c r="I82" i="11"/>
  <c r="H82" i="11"/>
  <c r="G82" i="11"/>
  <c r="F82" i="11"/>
  <c r="E82" i="11"/>
  <c r="D82" i="11"/>
  <c r="C82" i="11"/>
  <c r="B82" i="11"/>
  <c r="A82" i="11"/>
  <c r="AL81" i="11"/>
  <c r="AK81" i="11"/>
  <c r="AJ81" i="11"/>
  <c r="AI81" i="11"/>
  <c r="AH81" i="11"/>
  <c r="AG81" i="11"/>
  <c r="AF81" i="11"/>
  <c r="AE81" i="11"/>
  <c r="AD81" i="11"/>
  <c r="AC81" i="11"/>
  <c r="AB81" i="11"/>
  <c r="AA81" i="11"/>
  <c r="Z81" i="11"/>
  <c r="Y81" i="11"/>
  <c r="X81" i="11"/>
  <c r="W81" i="11"/>
  <c r="V81" i="11"/>
  <c r="U81" i="11"/>
  <c r="T81" i="11"/>
  <c r="S81" i="11"/>
  <c r="R81" i="11"/>
  <c r="Q81" i="11"/>
  <c r="P81" i="11"/>
  <c r="O81" i="11"/>
  <c r="N81" i="11"/>
  <c r="M81" i="11"/>
  <c r="L81" i="11"/>
  <c r="K81" i="11"/>
  <c r="J81" i="11"/>
  <c r="I81" i="11"/>
  <c r="H81" i="11"/>
  <c r="G81" i="11"/>
  <c r="F81" i="11"/>
  <c r="E81" i="11"/>
  <c r="D81" i="11"/>
  <c r="C81" i="11"/>
  <c r="B81" i="11"/>
  <c r="A81" i="11"/>
  <c r="AC80" i="11"/>
  <c r="X80" i="11"/>
  <c r="W80" i="11"/>
  <c r="V80" i="11"/>
  <c r="U80" i="11"/>
  <c r="T80" i="11"/>
  <c r="S80" i="11"/>
  <c r="R80" i="11"/>
  <c r="Q80" i="11"/>
  <c r="P80" i="11"/>
  <c r="O80" i="11"/>
  <c r="N80" i="11"/>
  <c r="M80" i="11"/>
  <c r="L80" i="11"/>
  <c r="K80" i="11"/>
  <c r="J80" i="11"/>
  <c r="I80" i="11"/>
  <c r="H80" i="11"/>
  <c r="G80" i="11"/>
  <c r="F80" i="11"/>
  <c r="E80" i="11"/>
  <c r="D80" i="11"/>
  <c r="C80" i="11"/>
  <c r="B80" i="11"/>
  <c r="A80" i="11"/>
  <c r="AL79" i="11"/>
  <c r="AK79" i="11"/>
  <c r="AJ79" i="11"/>
  <c r="AI79" i="11"/>
  <c r="AH79" i="11"/>
  <c r="AG79" i="11"/>
  <c r="AF79" i="11"/>
  <c r="AE79" i="11"/>
  <c r="AD79" i="11"/>
  <c r="AC79" i="11"/>
  <c r="AB79" i="11"/>
  <c r="AA79" i="11"/>
  <c r="Z79" i="11"/>
  <c r="Y79" i="11"/>
  <c r="X79" i="11"/>
  <c r="W79" i="11"/>
  <c r="V79" i="11"/>
  <c r="U79" i="11"/>
  <c r="T79" i="11"/>
  <c r="S79" i="11"/>
  <c r="R79" i="11"/>
  <c r="Q79" i="11"/>
  <c r="P79" i="11"/>
  <c r="O79" i="11"/>
  <c r="N79" i="11"/>
  <c r="M79" i="11"/>
  <c r="L79" i="11"/>
  <c r="K79" i="11"/>
  <c r="J79" i="11"/>
  <c r="I79" i="11"/>
  <c r="H79" i="11"/>
  <c r="G79" i="11"/>
  <c r="F79" i="11"/>
  <c r="E79" i="11"/>
  <c r="D79" i="11"/>
  <c r="C79" i="11"/>
  <c r="B79" i="11"/>
  <c r="A79" i="11"/>
  <c r="AL78" i="11"/>
  <c r="AK78" i="11"/>
  <c r="AJ78" i="11"/>
  <c r="AI78" i="11"/>
  <c r="AH78" i="11"/>
  <c r="AG78" i="11"/>
  <c r="AF78" i="11"/>
  <c r="AE78" i="11"/>
  <c r="AD78" i="11"/>
  <c r="AC78" i="11"/>
  <c r="AB78" i="11"/>
  <c r="AA78" i="11"/>
  <c r="Z78" i="11"/>
  <c r="Y78" i="11"/>
  <c r="X78" i="11"/>
  <c r="W78" i="11"/>
  <c r="V78" i="11"/>
  <c r="U78" i="11"/>
  <c r="T78" i="11"/>
  <c r="S78" i="11"/>
  <c r="R78" i="11"/>
  <c r="Q78" i="11"/>
  <c r="P78" i="11"/>
  <c r="O78" i="11"/>
  <c r="N78" i="11"/>
  <c r="M78" i="11"/>
  <c r="L78" i="11"/>
  <c r="K78" i="11"/>
  <c r="J78" i="11"/>
  <c r="I78" i="11"/>
  <c r="H78" i="11"/>
  <c r="G78" i="11"/>
  <c r="F78" i="11"/>
  <c r="E78" i="11"/>
  <c r="D78" i="11"/>
  <c r="C78" i="11"/>
  <c r="B78" i="11"/>
  <c r="A78" i="11"/>
  <c r="AL77" i="11"/>
  <c r="AK77" i="11"/>
  <c r="AJ77" i="11"/>
  <c r="AI77" i="11"/>
  <c r="AH77" i="11"/>
  <c r="AG77" i="11"/>
  <c r="AF77" i="11"/>
  <c r="AE77" i="11"/>
  <c r="AD77" i="11"/>
  <c r="AC77" i="11"/>
  <c r="AB77" i="11"/>
  <c r="AA77" i="11"/>
  <c r="Z77" i="11"/>
  <c r="Y77" i="11"/>
  <c r="X77" i="11"/>
  <c r="W77" i="11"/>
  <c r="V77" i="11"/>
  <c r="U77" i="11"/>
  <c r="T77" i="11"/>
  <c r="S77" i="11"/>
  <c r="R77" i="11"/>
  <c r="Q77" i="11"/>
  <c r="P77" i="11"/>
  <c r="O77" i="11"/>
  <c r="N77" i="11"/>
  <c r="M77" i="11"/>
  <c r="L77" i="11"/>
  <c r="K77" i="11"/>
  <c r="J77" i="11"/>
  <c r="I77" i="11"/>
  <c r="H77" i="11"/>
  <c r="G77" i="11"/>
  <c r="F77" i="11"/>
  <c r="E77" i="11"/>
  <c r="D77" i="11"/>
  <c r="C77" i="11"/>
  <c r="B77" i="11"/>
  <c r="A77" i="11"/>
  <c r="AL76" i="11"/>
  <c r="AK76" i="11"/>
  <c r="AJ76" i="11"/>
  <c r="AI76" i="11"/>
  <c r="AH76" i="11"/>
  <c r="AG76" i="11"/>
  <c r="AF76" i="11"/>
  <c r="AE76" i="11"/>
  <c r="AD76" i="11"/>
  <c r="AC76" i="11"/>
  <c r="AB76" i="11"/>
  <c r="AA76" i="11"/>
  <c r="Z76" i="11"/>
  <c r="Y76" i="11"/>
  <c r="X76" i="11"/>
  <c r="W76" i="11"/>
  <c r="V76" i="11"/>
  <c r="U76" i="11"/>
  <c r="T76" i="11"/>
  <c r="S76" i="11"/>
  <c r="R76" i="11"/>
  <c r="Q76" i="11"/>
  <c r="P76" i="11"/>
  <c r="O76" i="11"/>
  <c r="N76" i="11"/>
  <c r="M76" i="11"/>
  <c r="L76" i="11"/>
  <c r="K76" i="11"/>
  <c r="J76" i="11"/>
  <c r="I76" i="11"/>
  <c r="H76" i="11"/>
  <c r="G76" i="11"/>
  <c r="F76" i="11"/>
  <c r="E76" i="11"/>
  <c r="D76" i="11"/>
  <c r="C76" i="11"/>
  <c r="B76" i="11"/>
  <c r="A76" i="11"/>
  <c r="AL75" i="11"/>
  <c r="AK75" i="11"/>
  <c r="AJ75" i="11"/>
  <c r="AI75" i="11"/>
  <c r="AH75" i="11"/>
  <c r="AG75" i="11"/>
  <c r="AF75" i="11"/>
  <c r="AE75" i="11"/>
  <c r="AD75" i="11"/>
  <c r="AC75" i="11"/>
  <c r="AB75" i="11"/>
  <c r="AA75" i="11"/>
  <c r="Z75" i="11"/>
  <c r="Y75" i="11"/>
  <c r="X75" i="11"/>
  <c r="W75" i="11"/>
  <c r="V75" i="11"/>
  <c r="U75" i="11"/>
  <c r="T75" i="11"/>
  <c r="S75" i="11"/>
  <c r="R75" i="11"/>
  <c r="Q75" i="11"/>
  <c r="P75" i="11"/>
  <c r="O75" i="11"/>
  <c r="N75" i="11"/>
  <c r="M75" i="11"/>
  <c r="L75" i="11"/>
  <c r="K75" i="11"/>
  <c r="J75" i="11"/>
  <c r="I75" i="11"/>
  <c r="H75" i="11"/>
  <c r="G75" i="11"/>
  <c r="F75" i="11"/>
  <c r="E75" i="11"/>
  <c r="D75" i="11"/>
  <c r="C75" i="11"/>
  <c r="B75" i="11"/>
  <c r="A75" i="11"/>
  <c r="AL74" i="11"/>
  <c r="AK74" i="11"/>
  <c r="AJ74" i="11"/>
  <c r="AI74" i="11"/>
  <c r="AH74" i="11"/>
  <c r="AG74" i="11"/>
  <c r="AF74" i="11"/>
  <c r="AE74" i="11"/>
  <c r="AD74" i="11"/>
  <c r="AC74" i="11"/>
  <c r="AB74" i="11"/>
  <c r="AA74" i="11"/>
  <c r="Z74" i="11"/>
  <c r="Y74" i="11"/>
  <c r="X74" i="11"/>
  <c r="W74" i="11"/>
  <c r="V74" i="11"/>
  <c r="U74" i="11"/>
  <c r="T74" i="11"/>
  <c r="S74" i="11"/>
  <c r="R74" i="11"/>
  <c r="Q74" i="11"/>
  <c r="P74" i="11"/>
  <c r="O74" i="11"/>
  <c r="N74" i="11"/>
  <c r="M74" i="11"/>
  <c r="L74" i="11"/>
  <c r="K74" i="11"/>
  <c r="J74" i="11"/>
  <c r="I74" i="11"/>
  <c r="H74" i="11"/>
  <c r="G74" i="11"/>
  <c r="F74" i="11"/>
  <c r="E74" i="11"/>
  <c r="D74" i="11"/>
  <c r="C74" i="11"/>
  <c r="B74" i="11"/>
  <c r="A74" i="11"/>
  <c r="AL73" i="11"/>
  <c r="AF73" i="11"/>
  <c r="AC73" i="11"/>
  <c r="AA73" i="11"/>
  <c r="X73" i="11"/>
  <c r="W73" i="11"/>
  <c r="V73" i="11"/>
  <c r="U73" i="11"/>
  <c r="T73" i="11"/>
  <c r="S73" i="11"/>
  <c r="R73" i="11"/>
  <c r="Q73" i="11"/>
  <c r="P73" i="11"/>
  <c r="O73" i="11"/>
  <c r="N73" i="11"/>
  <c r="M73" i="11"/>
  <c r="L73" i="11"/>
  <c r="K73" i="11"/>
  <c r="J73" i="11"/>
  <c r="I73" i="11"/>
  <c r="H73" i="11"/>
  <c r="G73" i="11"/>
  <c r="F73" i="11"/>
  <c r="E73" i="11"/>
  <c r="D73" i="11"/>
  <c r="C73" i="11"/>
  <c r="B73" i="11"/>
  <c r="A73" i="11"/>
  <c r="AL72" i="11"/>
  <c r="AK72" i="11"/>
  <c r="AJ72" i="11"/>
  <c r="AI72" i="11"/>
  <c r="AH72" i="11"/>
  <c r="AG72" i="11"/>
  <c r="AF72" i="11"/>
  <c r="AE72" i="11"/>
  <c r="AD72" i="11"/>
  <c r="AC72" i="11"/>
  <c r="AB72" i="11"/>
  <c r="AA72" i="11"/>
  <c r="Z72" i="11"/>
  <c r="Y72" i="11"/>
  <c r="X72" i="11"/>
  <c r="W72" i="11"/>
  <c r="V72" i="11"/>
  <c r="U72" i="11"/>
  <c r="T72" i="11"/>
  <c r="S72" i="11"/>
  <c r="R72" i="11"/>
  <c r="Q72" i="11"/>
  <c r="P72" i="11"/>
  <c r="O72" i="11"/>
  <c r="N72" i="11"/>
  <c r="M72" i="11"/>
  <c r="L72" i="11"/>
  <c r="K72" i="11"/>
  <c r="J72" i="11"/>
  <c r="I72" i="11"/>
  <c r="H72" i="11"/>
  <c r="G72" i="11"/>
  <c r="F72" i="11"/>
  <c r="E72" i="11"/>
  <c r="D72" i="11"/>
  <c r="C72" i="11"/>
  <c r="B72" i="11"/>
  <c r="A72" i="11"/>
  <c r="AL71" i="11"/>
  <c r="AK71" i="11"/>
  <c r="AJ71" i="11"/>
  <c r="AI71" i="11"/>
  <c r="AH71" i="11"/>
  <c r="AG71" i="11"/>
  <c r="AF71" i="11"/>
  <c r="AE71" i="11"/>
  <c r="AD71" i="11"/>
  <c r="AC71" i="11"/>
  <c r="AB71" i="11"/>
  <c r="AA71" i="11"/>
  <c r="Z71" i="11"/>
  <c r="Y71" i="11"/>
  <c r="X71" i="11"/>
  <c r="W71" i="11"/>
  <c r="V71" i="11"/>
  <c r="U71" i="11"/>
  <c r="T71" i="11"/>
  <c r="S71" i="11"/>
  <c r="R71" i="11"/>
  <c r="Q71" i="11"/>
  <c r="P71" i="11"/>
  <c r="O71" i="11"/>
  <c r="N71" i="11"/>
  <c r="M71" i="11"/>
  <c r="L71" i="11"/>
  <c r="K71" i="11"/>
  <c r="J71" i="11"/>
  <c r="I71" i="11"/>
  <c r="H71" i="11"/>
  <c r="G71" i="11"/>
  <c r="F71" i="11"/>
  <c r="E71" i="11"/>
  <c r="D71" i="11"/>
  <c r="C71" i="11"/>
  <c r="B71" i="11"/>
  <c r="A71" i="11"/>
  <c r="AC70" i="11"/>
  <c r="X70" i="11"/>
  <c r="W70" i="11"/>
  <c r="V70" i="11"/>
  <c r="U70" i="11"/>
  <c r="T70" i="11"/>
  <c r="S70" i="11"/>
  <c r="R70" i="11"/>
  <c r="Q70" i="11"/>
  <c r="P70" i="11"/>
  <c r="O70" i="11"/>
  <c r="N70" i="11"/>
  <c r="M70" i="11"/>
  <c r="L70" i="11"/>
  <c r="K70" i="11"/>
  <c r="J70" i="11"/>
  <c r="I70" i="11"/>
  <c r="H70" i="11"/>
  <c r="G70" i="11"/>
  <c r="F70" i="11"/>
  <c r="E70" i="11"/>
  <c r="D70" i="11"/>
  <c r="C70" i="11"/>
  <c r="B70" i="11"/>
  <c r="A70" i="11"/>
  <c r="AL69" i="11"/>
  <c r="AK69" i="11"/>
  <c r="AJ69" i="11"/>
  <c r="AI69" i="11"/>
  <c r="AH69" i="11"/>
  <c r="AG69" i="11"/>
  <c r="AF69" i="11"/>
  <c r="AE69" i="11"/>
  <c r="AD69" i="11"/>
  <c r="AC69" i="11"/>
  <c r="AB69" i="11"/>
  <c r="AA69" i="11"/>
  <c r="Z69" i="11"/>
  <c r="Y69" i="11"/>
  <c r="X69" i="11"/>
  <c r="W69" i="11"/>
  <c r="V69" i="11"/>
  <c r="U69" i="11"/>
  <c r="T69" i="11"/>
  <c r="S69" i="11"/>
  <c r="R69" i="11"/>
  <c r="Q69" i="11"/>
  <c r="P69" i="11"/>
  <c r="O69" i="11"/>
  <c r="N69" i="11"/>
  <c r="M69" i="11"/>
  <c r="L69" i="11"/>
  <c r="K69" i="11"/>
  <c r="J69" i="11"/>
  <c r="I69" i="11"/>
  <c r="H69" i="11"/>
  <c r="G69" i="11"/>
  <c r="F69" i="11"/>
  <c r="E69" i="11"/>
  <c r="D69" i="11"/>
  <c r="C69" i="11"/>
  <c r="B69" i="11"/>
  <c r="A69" i="11"/>
  <c r="AL68" i="11"/>
  <c r="AK68" i="11"/>
  <c r="AJ68" i="11"/>
  <c r="AI68" i="11"/>
  <c r="AH68" i="11"/>
  <c r="AG68" i="11"/>
  <c r="AF68" i="11"/>
  <c r="AE68" i="11"/>
  <c r="AD68" i="11"/>
  <c r="AC68" i="11"/>
  <c r="AB68" i="11"/>
  <c r="AA68" i="11"/>
  <c r="Z68" i="11"/>
  <c r="Y68" i="11"/>
  <c r="X68" i="11"/>
  <c r="W68" i="11"/>
  <c r="V68" i="11"/>
  <c r="U68" i="11"/>
  <c r="T68" i="11"/>
  <c r="S68" i="11"/>
  <c r="R68" i="11"/>
  <c r="Q68" i="11"/>
  <c r="P68" i="11"/>
  <c r="O68" i="11"/>
  <c r="N68" i="11"/>
  <c r="M68" i="11"/>
  <c r="L68" i="11"/>
  <c r="K68" i="11"/>
  <c r="J68" i="11"/>
  <c r="I68" i="11"/>
  <c r="H68" i="11"/>
  <c r="G68" i="11"/>
  <c r="F68" i="11"/>
  <c r="E68" i="11"/>
  <c r="D68" i="11"/>
  <c r="C68" i="11"/>
  <c r="B68" i="11"/>
  <c r="A68" i="11"/>
  <c r="AL67" i="11"/>
  <c r="AK67" i="11"/>
  <c r="AJ67" i="11"/>
  <c r="AI67" i="11"/>
  <c r="AH67" i="11"/>
  <c r="AG67" i="11"/>
  <c r="AF67" i="11"/>
  <c r="AE67" i="11"/>
  <c r="AD67" i="11"/>
  <c r="AC67" i="11"/>
  <c r="AB67" i="11"/>
  <c r="AA67" i="11"/>
  <c r="Z67" i="11"/>
  <c r="Y67" i="11"/>
  <c r="X67" i="11"/>
  <c r="W67" i="11"/>
  <c r="V67" i="11"/>
  <c r="U67" i="11"/>
  <c r="T67" i="11"/>
  <c r="S67" i="11"/>
  <c r="R67" i="11"/>
  <c r="Q67" i="11"/>
  <c r="P67" i="11"/>
  <c r="O67" i="11"/>
  <c r="N67" i="11"/>
  <c r="M67" i="11"/>
  <c r="L67" i="11"/>
  <c r="K67" i="11"/>
  <c r="J67" i="11"/>
  <c r="I67" i="11"/>
  <c r="H67" i="11"/>
  <c r="G67" i="11"/>
  <c r="F67" i="11"/>
  <c r="E67" i="11"/>
  <c r="D67" i="11"/>
  <c r="C67" i="11"/>
  <c r="B67" i="11"/>
  <c r="A67" i="11"/>
  <c r="AL66" i="11"/>
  <c r="AK66" i="11"/>
  <c r="AJ66" i="11"/>
  <c r="AI66" i="11"/>
  <c r="AH66" i="11"/>
  <c r="AG66" i="11"/>
  <c r="AF66" i="11"/>
  <c r="AE66" i="11"/>
  <c r="AD66" i="11"/>
  <c r="AC66" i="11"/>
  <c r="AB66" i="11"/>
  <c r="AA66" i="11"/>
  <c r="Z66" i="11"/>
  <c r="Y66" i="11"/>
  <c r="X66" i="11"/>
  <c r="W66" i="11"/>
  <c r="V66" i="11"/>
  <c r="U66" i="11"/>
  <c r="T66" i="11"/>
  <c r="S66" i="11"/>
  <c r="R66" i="11"/>
  <c r="Q66" i="11"/>
  <c r="P66" i="11"/>
  <c r="O66" i="11"/>
  <c r="N66" i="11"/>
  <c r="M66" i="11"/>
  <c r="L66" i="11"/>
  <c r="K66" i="11"/>
  <c r="J66" i="11"/>
  <c r="I66" i="11"/>
  <c r="H66" i="11"/>
  <c r="G66" i="11"/>
  <c r="F66" i="11"/>
  <c r="E66" i="11"/>
  <c r="D66" i="11"/>
  <c r="C66" i="11"/>
  <c r="B66" i="11"/>
  <c r="A66" i="11"/>
  <c r="AL65" i="11"/>
  <c r="AK65" i="11"/>
  <c r="AJ65" i="11"/>
  <c r="AI65" i="11"/>
  <c r="AH65" i="11"/>
  <c r="AG65" i="11"/>
  <c r="AF65" i="11"/>
  <c r="AE65" i="11"/>
  <c r="AD65" i="11"/>
  <c r="AC65" i="11"/>
  <c r="AB65" i="11"/>
  <c r="AA65" i="11"/>
  <c r="Z65" i="11"/>
  <c r="Y65" i="11"/>
  <c r="X65" i="11"/>
  <c r="W65" i="11"/>
  <c r="V65" i="11"/>
  <c r="U65" i="11"/>
  <c r="T65" i="11"/>
  <c r="S65" i="11"/>
  <c r="R65" i="11"/>
  <c r="Q65" i="11"/>
  <c r="P65" i="11"/>
  <c r="O65" i="11"/>
  <c r="N65" i="11"/>
  <c r="M65" i="11"/>
  <c r="L65" i="11"/>
  <c r="K65" i="11"/>
  <c r="J65" i="11"/>
  <c r="I65" i="11"/>
  <c r="H65" i="11"/>
  <c r="G65" i="11"/>
  <c r="F65" i="11"/>
  <c r="E65" i="11"/>
  <c r="D65" i="11"/>
  <c r="C65" i="11"/>
  <c r="B65" i="11"/>
  <c r="A65" i="11"/>
  <c r="AL64" i="11"/>
  <c r="AK64" i="11"/>
  <c r="AJ64" i="11"/>
  <c r="AI64" i="11"/>
  <c r="AH64" i="11"/>
  <c r="AG64" i="11"/>
  <c r="AF64" i="11"/>
  <c r="AE64" i="11"/>
  <c r="AD64" i="11"/>
  <c r="AC64" i="11"/>
  <c r="AB64" i="11"/>
  <c r="AA64" i="11"/>
  <c r="Z64" i="11"/>
  <c r="Y64" i="11"/>
  <c r="X64" i="11"/>
  <c r="W64" i="11"/>
  <c r="V64" i="11"/>
  <c r="U64" i="11"/>
  <c r="T64" i="11"/>
  <c r="S64" i="11"/>
  <c r="R64" i="11"/>
  <c r="Q64" i="11"/>
  <c r="P64" i="11"/>
  <c r="O64" i="11"/>
  <c r="N64" i="11"/>
  <c r="M64" i="11"/>
  <c r="L64" i="11"/>
  <c r="K64" i="11"/>
  <c r="J64" i="11"/>
  <c r="I64" i="11"/>
  <c r="H64" i="11"/>
  <c r="G64" i="11"/>
  <c r="F64" i="11"/>
  <c r="E64" i="11"/>
  <c r="D64" i="11"/>
  <c r="C64" i="11"/>
  <c r="B64" i="11"/>
  <c r="A64" i="11"/>
  <c r="AL63" i="11"/>
  <c r="AK63" i="11"/>
  <c r="AJ63" i="11"/>
  <c r="AI63" i="11"/>
  <c r="AH63" i="11"/>
  <c r="AG63" i="11"/>
  <c r="AF63" i="11"/>
  <c r="AE63" i="11"/>
  <c r="AD63" i="11"/>
  <c r="AC63" i="11"/>
  <c r="AB63" i="11"/>
  <c r="AA63" i="11"/>
  <c r="Z63" i="11"/>
  <c r="Y63" i="11"/>
  <c r="X63" i="11"/>
  <c r="W63" i="11"/>
  <c r="V63" i="11"/>
  <c r="U63" i="11"/>
  <c r="T63" i="11"/>
  <c r="S63" i="11"/>
  <c r="R63" i="11"/>
  <c r="Q63" i="11"/>
  <c r="P63" i="11"/>
  <c r="O63" i="11"/>
  <c r="N63" i="11"/>
  <c r="M63" i="11"/>
  <c r="L63" i="11"/>
  <c r="K63" i="11"/>
  <c r="J63" i="11"/>
  <c r="I63" i="11"/>
  <c r="H63" i="11"/>
  <c r="G63" i="11"/>
  <c r="F63" i="11"/>
  <c r="E63" i="11"/>
  <c r="D63" i="11"/>
  <c r="C63" i="11"/>
  <c r="B63" i="11"/>
  <c r="A63" i="11"/>
  <c r="AL62" i="11"/>
  <c r="AK62" i="11"/>
  <c r="AJ62" i="11"/>
  <c r="AI62" i="11"/>
  <c r="AH62" i="11"/>
  <c r="AG62" i="11"/>
  <c r="AF62" i="11"/>
  <c r="AE62" i="11"/>
  <c r="AD62" i="11"/>
  <c r="AC62" i="11"/>
  <c r="AB62" i="11"/>
  <c r="AA62" i="11"/>
  <c r="Z62" i="11"/>
  <c r="Y62" i="11"/>
  <c r="X62" i="11"/>
  <c r="W62" i="11"/>
  <c r="V62" i="11"/>
  <c r="U62" i="11"/>
  <c r="T62" i="11"/>
  <c r="S62" i="11"/>
  <c r="R62" i="11"/>
  <c r="Q62" i="11"/>
  <c r="P62" i="11"/>
  <c r="O62" i="11"/>
  <c r="N62" i="11"/>
  <c r="M62" i="11"/>
  <c r="L62" i="11"/>
  <c r="K62" i="11"/>
  <c r="J62" i="11"/>
  <c r="I62" i="11"/>
  <c r="H62" i="11"/>
  <c r="G62" i="11"/>
  <c r="F62" i="11"/>
  <c r="E62" i="11"/>
  <c r="D62" i="11"/>
  <c r="C62" i="11"/>
  <c r="B62" i="11"/>
  <c r="A62"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K61" i="11"/>
  <c r="J61" i="11"/>
  <c r="I61" i="11"/>
  <c r="H61" i="11"/>
  <c r="G61" i="11"/>
  <c r="F61" i="11"/>
  <c r="E61" i="11"/>
  <c r="D61" i="11"/>
  <c r="C61" i="11"/>
  <c r="B61" i="11"/>
  <c r="A61" i="11"/>
  <c r="AL60" i="11"/>
  <c r="AK60" i="11"/>
  <c r="AJ60" i="11"/>
  <c r="AI60" i="11"/>
  <c r="AH60" i="11"/>
  <c r="AG60" i="11"/>
  <c r="AF60" i="11"/>
  <c r="AE60" i="11"/>
  <c r="AD60" i="11"/>
  <c r="AC60" i="11"/>
  <c r="AB60" i="11"/>
  <c r="AA60" i="11"/>
  <c r="Z60" i="11"/>
  <c r="Y60" i="11"/>
  <c r="X60" i="11"/>
  <c r="W60" i="11"/>
  <c r="V60" i="11"/>
  <c r="U60" i="11"/>
  <c r="T60" i="11"/>
  <c r="S60" i="11"/>
  <c r="R60" i="11"/>
  <c r="Q60" i="11"/>
  <c r="P60" i="11"/>
  <c r="O60" i="11"/>
  <c r="N60" i="11"/>
  <c r="M60" i="11"/>
  <c r="L60" i="11"/>
  <c r="K60" i="11"/>
  <c r="J60" i="11"/>
  <c r="I60" i="11"/>
  <c r="H60" i="11"/>
  <c r="G60" i="11"/>
  <c r="F60" i="11"/>
  <c r="E60" i="11"/>
  <c r="D60" i="11"/>
  <c r="C60" i="11"/>
  <c r="B60" i="11"/>
  <c r="A60" i="11"/>
  <c r="AL59" i="11"/>
  <c r="AK59" i="11"/>
  <c r="AJ59" i="11"/>
  <c r="AI59" i="11"/>
  <c r="AH59" i="11"/>
  <c r="AG59" i="11"/>
  <c r="AF59" i="11"/>
  <c r="AE59" i="11"/>
  <c r="AD59" i="11"/>
  <c r="AC59" i="11"/>
  <c r="AB59" i="11"/>
  <c r="AA59" i="11"/>
  <c r="Z59" i="11"/>
  <c r="Y59" i="11"/>
  <c r="X59" i="11"/>
  <c r="W59" i="11"/>
  <c r="V59" i="11"/>
  <c r="U59" i="11"/>
  <c r="T59" i="11"/>
  <c r="S59" i="11"/>
  <c r="R59" i="11"/>
  <c r="Q59" i="11"/>
  <c r="P59" i="11"/>
  <c r="O59" i="11"/>
  <c r="N59" i="11"/>
  <c r="M59" i="11"/>
  <c r="L59" i="11"/>
  <c r="K59" i="11"/>
  <c r="J59" i="11"/>
  <c r="I59" i="11"/>
  <c r="H59" i="11"/>
  <c r="G59" i="11"/>
  <c r="F59" i="11"/>
  <c r="E59" i="11"/>
  <c r="D59" i="11"/>
  <c r="C59" i="11"/>
  <c r="B59" i="11"/>
  <c r="A59" i="11"/>
  <c r="AL58" i="11"/>
  <c r="AK58" i="11"/>
  <c r="AJ58" i="11"/>
  <c r="AI58" i="11"/>
  <c r="AH58" i="11"/>
  <c r="AG58" i="11"/>
  <c r="AF58" i="11"/>
  <c r="AE58" i="11"/>
  <c r="AD58" i="11"/>
  <c r="AC58" i="11"/>
  <c r="AB58" i="11"/>
  <c r="AA58" i="11"/>
  <c r="Z58" i="11"/>
  <c r="Y58" i="11"/>
  <c r="X58" i="11"/>
  <c r="W58" i="11"/>
  <c r="V58" i="11"/>
  <c r="U58" i="11"/>
  <c r="T58" i="11"/>
  <c r="S58" i="11"/>
  <c r="R58" i="11"/>
  <c r="Q58" i="11"/>
  <c r="P58" i="11"/>
  <c r="O58" i="11"/>
  <c r="N58" i="11"/>
  <c r="M58" i="11"/>
  <c r="L58" i="11"/>
  <c r="K58" i="11"/>
  <c r="J58" i="11"/>
  <c r="I58" i="11"/>
  <c r="H58" i="11"/>
  <c r="G58" i="11"/>
  <c r="F58" i="11"/>
  <c r="E58" i="11"/>
  <c r="D58" i="11"/>
  <c r="C58" i="11"/>
  <c r="B58" i="11"/>
  <c r="A58" i="11"/>
  <c r="AL57" i="11"/>
  <c r="AK57" i="11"/>
  <c r="AJ57" i="11"/>
  <c r="AI57" i="11"/>
  <c r="AH57" i="11"/>
  <c r="AG57" i="11"/>
  <c r="AF57" i="11"/>
  <c r="AE57" i="11"/>
  <c r="AD57" i="11"/>
  <c r="AC57" i="11"/>
  <c r="AB57" i="11"/>
  <c r="AA57" i="11"/>
  <c r="Z57" i="11"/>
  <c r="Y57" i="11"/>
  <c r="X57" i="11"/>
  <c r="W57" i="11"/>
  <c r="V57" i="11"/>
  <c r="U57" i="11"/>
  <c r="T57" i="11"/>
  <c r="S57" i="11"/>
  <c r="R57" i="11"/>
  <c r="Q57" i="11"/>
  <c r="P57" i="11"/>
  <c r="O57" i="11"/>
  <c r="N57" i="11"/>
  <c r="M57" i="11"/>
  <c r="L57" i="11"/>
  <c r="K57" i="11"/>
  <c r="J57" i="11"/>
  <c r="I57" i="11"/>
  <c r="H57" i="11"/>
  <c r="G57" i="11"/>
  <c r="F57" i="11"/>
  <c r="E57" i="11"/>
  <c r="D57" i="11"/>
  <c r="C57" i="11"/>
  <c r="B57" i="11"/>
  <c r="A57" i="11"/>
  <c r="AL56" i="11"/>
  <c r="AK56" i="11"/>
  <c r="AJ56" i="11"/>
  <c r="AI56" i="11"/>
  <c r="AH56" i="11"/>
  <c r="AG56" i="11"/>
  <c r="AF56" i="11"/>
  <c r="AE56" i="11"/>
  <c r="AD56" i="11"/>
  <c r="AC56" i="11"/>
  <c r="AB56" i="11"/>
  <c r="AA56" i="11"/>
  <c r="Z56" i="11"/>
  <c r="Y56" i="11"/>
  <c r="X56" i="11"/>
  <c r="W56" i="11"/>
  <c r="V56" i="11"/>
  <c r="U56" i="11"/>
  <c r="T56" i="11"/>
  <c r="S56" i="11"/>
  <c r="R56" i="11"/>
  <c r="Q56" i="11"/>
  <c r="P56" i="11"/>
  <c r="O56" i="11"/>
  <c r="N56" i="11"/>
  <c r="M56" i="11"/>
  <c r="L56" i="11"/>
  <c r="K56" i="11"/>
  <c r="J56" i="11"/>
  <c r="I56" i="11"/>
  <c r="H56" i="11"/>
  <c r="G56" i="11"/>
  <c r="F56" i="11"/>
  <c r="E56" i="11"/>
  <c r="D56" i="11"/>
  <c r="C56" i="11"/>
  <c r="B56" i="11"/>
  <c r="A56" i="11"/>
  <c r="AL55" i="11"/>
  <c r="AK55" i="11"/>
  <c r="AJ55" i="11"/>
  <c r="AI55" i="11"/>
  <c r="AH55" i="11"/>
  <c r="AG55" i="11"/>
  <c r="AF55" i="11"/>
  <c r="AE55" i="11"/>
  <c r="AD55" i="11"/>
  <c r="AC55" i="11"/>
  <c r="AB55" i="11"/>
  <c r="AA55" i="11"/>
  <c r="Z55" i="11"/>
  <c r="Y55" i="11"/>
  <c r="X55" i="11"/>
  <c r="W55" i="11"/>
  <c r="V55" i="11"/>
  <c r="U55" i="11"/>
  <c r="T55" i="11"/>
  <c r="S55" i="11"/>
  <c r="R55" i="11"/>
  <c r="Q55" i="11"/>
  <c r="P55" i="11"/>
  <c r="O55" i="11"/>
  <c r="N55" i="11"/>
  <c r="M55" i="11"/>
  <c r="L55" i="11"/>
  <c r="K55" i="11"/>
  <c r="J55" i="11"/>
  <c r="I55" i="11"/>
  <c r="H55" i="11"/>
  <c r="G55" i="11"/>
  <c r="F55" i="11"/>
  <c r="E55" i="11"/>
  <c r="D55" i="11"/>
  <c r="C55" i="11"/>
  <c r="B55" i="11"/>
  <c r="A55" i="11"/>
  <c r="AL54" i="11"/>
  <c r="AK54" i="11"/>
  <c r="AJ54" i="11"/>
  <c r="AI54" i="11"/>
  <c r="AH54" i="11"/>
  <c r="AG54" i="11"/>
  <c r="AF54" i="11"/>
  <c r="AE54" i="11"/>
  <c r="AD54" i="11"/>
  <c r="AC54" i="11"/>
  <c r="AB54" i="11"/>
  <c r="AA54" i="11"/>
  <c r="Z54" i="11"/>
  <c r="Y54" i="11"/>
  <c r="X54" i="11"/>
  <c r="W54" i="11"/>
  <c r="V54" i="11"/>
  <c r="U54" i="11"/>
  <c r="T54" i="11"/>
  <c r="S54" i="11"/>
  <c r="R54" i="11"/>
  <c r="Q54" i="11"/>
  <c r="P54" i="11"/>
  <c r="O54" i="11"/>
  <c r="N54" i="11"/>
  <c r="M54" i="11"/>
  <c r="L54" i="11"/>
  <c r="K54" i="11"/>
  <c r="J54" i="11"/>
  <c r="I54" i="11"/>
  <c r="H54" i="11"/>
  <c r="G54" i="11"/>
  <c r="F54" i="11"/>
  <c r="E54" i="11"/>
  <c r="D54" i="11"/>
  <c r="C54" i="11"/>
  <c r="B54" i="11"/>
  <c r="A54" i="11"/>
  <c r="AL53" i="11"/>
  <c r="AK53" i="11"/>
  <c r="AJ53" i="11"/>
  <c r="AI53" i="11"/>
  <c r="AH53" i="11"/>
  <c r="AG53" i="11"/>
  <c r="AF53" i="11"/>
  <c r="AE53" i="11"/>
  <c r="AD53" i="11"/>
  <c r="AC53" i="11"/>
  <c r="AB53" i="11"/>
  <c r="AA53" i="11"/>
  <c r="Z53" i="11"/>
  <c r="Y53" i="11"/>
  <c r="X53" i="11"/>
  <c r="W53" i="11"/>
  <c r="V53" i="11"/>
  <c r="U53" i="11"/>
  <c r="T53" i="11"/>
  <c r="S53" i="11"/>
  <c r="R53" i="11"/>
  <c r="Q53" i="11"/>
  <c r="P53" i="11"/>
  <c r="O53" i="11"/>
  <c r="N53" i="11"/>
  <c r="M53" i="11"/>
  <c r="L53" i="11"/>
  <c r="K53" i="11"/>
  <c r="J53" i="11"/>
  <c r="I53" i="11"/>
  <c r="H53" i="11"/>
  <c r="G53" i="11"/>
  <c r="F53" i="11"/>
  <c r="E53" i="11"/>
  <c r="D53" i="11"/>
  <c r="C53" i="11"/>
  <c r="B53" i="11"/>
  <c r="A53" i="11"/>
  <c r="AC52" i="11"/>
  <c r="X52" i="11"/>
  <c r="W52" i="11"/>
  <c r="V52" i="11"/>
  <c r="U52" i="11"/>
  <c r="T52" i="11"/>
  <c r="S52" i="11"/>
  <c r="R52" i="11"/>
  <c r="Q52" i="11"/>
  <c r="P52" i="11"/>
  <c r="O52" i="11"/>
  <c r="N52" i="11"/>
  <c r="M52" i="11"/>
  <c r="L52" i="11"/>
  <c r="K52" i="11"/>
  <c r="J52" i="11"/>
  <c r="I52" i="11"/>
  <c r="H52" i="11"/>
  <c r="G52" i="11"/>
  <c r="F52" i="11"/>
  <c r="E52" i="11"/>
  <c r="D52" i="11"/>
  <c r="C52" i="11"/>
  <c r="B52" i="11"/>
  <c r="A52" i="11"/>
  <c r="AC51" i="11"/>
  <c r="X51" i="11"/>
  <c r="W51" i="11"/>
  <c r="V51" i="11"/>
  <c r="U51" i="11"/>
  <c r="T51" i="11"/>
  <c r="S51" i="11"/>
  <c r="R51" i="11"/>
  <c r="Q51" i="11"/>
  <c r="P51" i="11"/>
  <c r="O51" i="11"/>
  <c r="N51" i="11"/>
  <c r="M51" i="11"/>
  <c r="L51" i="11"/>
  <c r="K51" i="11"/>
  <c r="J51" i="11"/>
  <c r="I51" i="11"/>
  <c r="H51" i="11"/>
  <c r="G51" i="11"/>
  <c r="F51" i="11"/>
  <c r="E51" i="11"/>
  <c r="D51" i="11"/>
  <c r="C51" i="11"/>
  <c r="B51" i="11"/>
  <c r="A51" i="11"/>
  <c r="AL50" i="11"/>
  <c r="AK50" i="11"/>
  <c r="AJ50" i="11"/>
  <c r="AI50" i="11"/>
  <c r="AH50" i="11"/>
  <c r="AG50" i="11"/>
  <c r="AF50" i="11"/>
  <c r="AE50" i="11"/>
  <c r="AD50" i="11"/>
  <c r="AC50" i="11"/>
  <c r="AB50" i="11"/>
  <c r="AA50" i="11"/>
  <c r="Z50" i="11"/>
  <c r="Y50" i="11"/>
  <c r="X50" i="11"/>
  <c r="W50" i="11"/>
  <c r="V50" i="11"/>
  <c r="U50" i="11"/>
  <c r="T50" i="11"/>
  <c r="S50" i="11"/>
  <c r="R50" i="11"/>
  <c r="Q50" i="11"/>
  <c r="P50" i="11"/>
  <c r="O50" i="11"/>
  <c r="N50" i="11"/>
  <c r="M50" i="11"/>
  <c r="L50" i="11"/>
  <c r="K50" i="11"/>
  <c r="J50" i="11"/>
  <c r="I50" i="11"/>
  <c r="H50" i="11"/>
  <c r="G50" i="11"/>
  <c r="F50" i="11"/>
  <c r="E50" i="11"/>
  <c r="D50" i="11"/>
  <c r="C50" i="11"/>
  <c r="B50" i="11"/>
  <c r="A50" i="11"/>
  <c r="AL49" i="11"/>
  <c r="AK49" i="11"/>
  <c r="AJ49" i="11"/>
  <c r="AI49" i="11"/>
  <c r="AH49" i="11"/>
  <c r="AG49" i="11"/>
  <c r="AF49" i="11"/>
  <c r="AE49" i="11"/>
  <c r="AD49" i="11"/>
  <c r="AC49" i="11"/>
  <c r="AB49" i="11"/>
  <c r="AA49" i="11"/>
  <c r="Z49" i="11"/>
  <c r="Y49" i="11"/>
  <c r="X49" i="11"/>
  <c r="W49" i="11"/>
  <c r="V49" i="11"/>
  <c r="U49" i="11"/>
  <c r="T49" i="11"/>
  <c r="S49" i="11"/>
  <c r="R49" i="11"/>
  <c r="Q49" i="11"/>
  <c r="P49" i="11"/>
  <c r="O49" i="11"/>
  <c r="N49" i="11"/>
  <c r="M49" i="11"/>
  <c r="L49" i="11"/>
  <c r="K49" i="11"/>
  <c r="J49" i="11"/>
  <c r="I49" i="11"/>
  <c r="H49" i="11"/>
  <c r="G49" i="11"/>
  <c r="F49" i="11"/>
  <c r="E49" i="11"/>
  <c r="D49" i="11"/>
  <c r="C49" i="11"/>
  <c r="B49" i="11"/>
  <c r="A49" i="11"/>
  <c r="AL48" i="11"/>
  <c r="AK48" i="11"/>
  <c r="AJ48" i="11"/>
  <c r="AI48" i="11"/>
  <c r="AH48" i="11"/>
  <c r="AG48" i="11"/>
  <c r="AF48" i="11"/>
  <c r="AE48" i="11"/>
  <c r="AD48" i="11"/>
  <c r="AC48" i="11"/>
  <c r="AB48" i="11"/>
  <c r="AA48" i="11"/>
  <c r="Z48" i="11"/>
  <c r="Y48" i="11"/>
  <c r="X48" i="11"/>
  <c r="W48" i="11"/>
  <c r="V48" i="11"/>
  <c r="U48" i="11"/>
  <c r="T48" i="11"/>
  <c r="S48" i="11"/>
  <c r="R48" i="11"/>
  <c r="Q48" i="11"/>
  <c r="P48" i="11"/>
  <c r="O48" i="11"/>
  <c r="N48" i="11"/>
  <c r="M48" i="11"/>
  <c r="L48" i="11"/>
  <c r="K48" i="11"/>
  <c r="J48" i="11"/>
  <c r="I48" i="11"/>
  <c r="H48" i="11"/>
  <c r="G48" i="11"/>
  <c r="F48" i="11"/>
  <c r="E48" i="11"/>
  <c r="D48" i="11"/>
  <c r="C48" i="11"/>
  <c r="B48" i="11"/>
  <c r="A48" i="11"/>
  <c r="AC47" i="11"/>
  <c r="X47" i="11"/>
  <c r="W47" i="11"/>
  <c r="V47" i="11"/>
  <c r="U47" i="11"/>
  <c r="T47" i="11"/>
  <c r="S47" i="11"/>
  <c r="R47" i="11"/>
  <c r="Q47" i="11"/>
  <c r="P47" i="11"/>
  <c r="O47" i="11"/>
  <c r="N47" i="11"/>
  <c r="M47" i="11"/>
  <c r="L47" i="11"/>
  <c r="K47" i="11"/>
  <c r="J47" i="11"/>
  <c r="I47" i="11"/>
  <c r="H47" i="11"/>
  <c r="G47" i="11"/>
  <c r="F47" i="11"/>
  <c r="E47" i="11"/>
  <c r="D47" i="11"/>
  <c r="C47" i="11"/>
  <c r="B47" i="11"/>
  <c r="A47" i="11"/>
  <c r="AL46" i="11"/>
  <c r="AK46" i="11"/>
  <c r="AJ46" i="11"/>
  <c r="AI46" i="11"/>
  <c r="AH46" i="11"/>
  <c r="AG46" i="11"/>
  <c r="AF46" i="11"/>
  <c r="AE46" i="11"/>
  <c r="AD46" i="11"/>
  <c r="AC46" i="11"/>
  <c r="AB46" i="11"/>
  <c r="AA46" i="11"/>
  <c r="Z46" i="11"/>
  <c r="Y46" i="11"/>
  <c r="X46" i="11"/>
  <c r="W46" i="11"/>
  <c r="V46" i="11"/>
  <c r="U46" i="11"/>
  <c r="T46" i="11"/>
  <c r="S46" i="11"/>
  <c r="R46" i="11"/>
  <c r="Q46" i="11"/>
  <c r="P46" i="11"/>
  <c r="O46" i="11"/>
  <c r="N46" i="11"/>
  <c r="M46" i="11"/>
  <c r="L46" i="11"/>
  <c r="K46" i="11"/>
  <c r="J46" i="11"/>
  <c r="I46" i="11"/>
  <c r="H46" i="11"/>
  <c r="G46" i="11"/>
  <c r="F46" i="11"/>
  <c r="E46" i="11"/>
  <c r="D46" i="11"/>
  <c r="C46" i="11"/>
  <c r="B46" i="11"/>
  <c r="A46" i="11"/>
  <c r="AL45" i="11"/>
  <c r="AK45" i="11"/>
  <c r="AJ45" i="11"/>
  <c r="AI45" i="11"/>
  <c r="AH45" i="11"/>
  <c r="AG45" i="11"/>
  <c r="AF45" i="11"/>
  <c r="AE45" i="11"/>
  <c r="AD45" i="11"/>
  <c r="AC45" i="11"/>
  <c r="AB45" i="11"/>
  <c r="AA45" i="11"/>
  <c r="Z45" i="11"/>
  <c r="Y45" i="11"/>
  <c r="X45" i="11"/>
  <c r="W45" i="11"/>
  <c r="V45" i="11"/>
  <c r="U45" i="11"/>
  <c r="T45" i="11"/>
  <c r="S45" i="11"/>
  <c r="R45" i="11"/>
  <c r="Q45" i="11"/>
  <c r="P45" i="11"/>
  <c r="O45" i="11"/>
  <c r="N45" i="11"/>
  <c r="M45" i="11"/>
  <c r="L45" i="11"/>
  <c r="K45" i="11"/>
  <c r="J45" i="11"/>
  <c r="I45" i="11"/>
  <c r="H45" i="11"/>
  <c r="G45" i="11"/>
  <c r="F45" i="11"/>
  <c r="E45" i="11"/>
  <c r="D45" i="11"/>
  <c r="C45" i="11"/>
  <c r="B45" i="11"/>
  <c r="A45" i="11"/>
  <c r="AL44" i="11"/>
  <c r="AK44" i="11"/>
  <c r="AJ44" i="11"/>
  <c r="AI44" i="11"/>
  <c r="AH44" i="11"/>
  <c r="AG44" i="11"/>
  <c r="AF44" i="11"/>
  <c r="AE44" i="11"/>
  <c r="AD44" i="11"/>
  <c r="AC44" i="11"/>
  <c r="AB44" i="11"/>
  <c r="AA44" i="11"/>
  <c r="Z44" i="11"/>
  <c r="Y44" i="11"/>
  <c r="X44" i="11"/>
  <c r="W44" i="11"/>
  <c r="V44" i="11"/>
  <c r="U44" i="11"/>
  <c r="T44" i="11"/>
  <c r="S44" i="11"/>
  <c r="R44" i="11"/>
  <c r="Q44" i="11"/>
  <c r="P44" i="11"/>
  <c r="O44" i="11"/>
  <c r="N44" i="11"/>
  <c r="M44" i="11"/>
  <c r="L44" i="11"/>
  <c r="K44" i="11"/>
  <c r="J44" i="11"/>
  <c r="I44" i="11"/>
  <c r="H44" i="11"/>
  <c r="G44" i="11"/>
  <c r="F44" i="11"/>
  <c r="E44" i="11"/>
  <c r="D44" i="11"/>
  <c r="C44" i="11"/>
  <c r="B44" i="11"/>
  <c r="A44" i="11"/>
  <c r="AL43" i="11"/>
  <c r="AK43" i="11"/>
  <c r="AJ43" i="11"/>
  <c r="AI43" i="11"/>
  <c r="AH43" i="11"/>
  <c r="AG43" i="11"/>
  <c r="AF43" i="11"/>
  <c r="AE43" i="11"/>
  <c r="AD43" i="11"/>
  <c r="AC43" i="11"/>
  <c r="AB43" i="11"/>
  <c r="AA43" i="11"/>
  <c r="Z43" i="11"/>
  <c r="Y43" i="11"/>
  <c r="X43" i="11"/>
  <c r="W43" i="11"/>
  <c r="V43" i="11"/>
  <c r="U43" i="11"/>
  <c r="T43" i="11"/>
  <c r="S43" i="11"/>
  <c r="R43" i="11"/>
  <c r="Q43" i="11"/>
  <c r="P43" i="11"/>
  <c r="O43" i="11"/>
  <c r="N43" i="11"/>
  <c r="M43" i="11"/>
  <c r="L43" i="11"/>
  <c r="K43" i="11"/>
  <c r="J43" i="11"/>
  <c r="I43" i="11"/>
  <c r="H43" i="11"/>
  <c r="G43" i="11"/>
  <c r="F43" i="11"/>
  <c r="E43" i="11"/>
  <c r="D43" i="11"/>
  <c r="C43" i="11"/>
  <c r="B43" i="11"/>
  <c r="A43" i="11"/>
  <c r="AL42" i="11"/>
  <c r="AK42" i="11"/>
  <c r="AJ42" i="11"/>
  <c r="AI42" i="11"/>
  <c r="AH42" i="11"/>
  <c r="AG42" i="11"/>
  <c r="AF42" i="11"/>
  <c r="AE42" i="11"/>
  <c r="AD42" i="11"/>
  <c r="AC42" i="11"/>
  <c r="AB42" i="11"/>
  <c r="AA42" i="11"/>
  <c r="Z42" i="11"/>
  <c r="Y42" i="11"/>
  <c r="X42" i="11"/>
  <c r="W42" i="11"/>
  <c r="V42" i="11"/>
  <c r="U42" i="11"/>
  <c r="T42" i="11"/>
  <c r="S42" i="11"/>
  <c r="R42" i="11"/>
  <c r="Q42" i="11"/>
  <c r="P42" i="11"/>
  <c r="O42" i="11"/>
  <c r="N42" i="11"/>
  <c r="M42" i="11"/>
  <c r="L42" i="11"/>
  <c r="K42" i="11"/>
  <c r="J42" i="11"/>
  <c r="I42" i="11"/>
  <c r="H42" i="11"/>
  <c r="G42" i="11"/>
  <c r="F42" i="11"/>
  <c r="E42" i="11"/>
  <c r="D42" i="11"/>
  <c r="C42" i="11"/>
  <c r="B42" i="11"/>
  <c r="A42" i="11"/>
  <c r="AL41" i="11"/>
  <c r="AK41" i="11"/>
  <c r="AJ41" i="11"/>
  <c r="AI41" i="11"/>
  <c r="AH41" i="11"/>
  <c r="AG41" i="11"/>
  <c r="AF41" i="11"/>
  <c r="AE41" i="11"/>
  <c r="AD41" i="11"/>
  <c r="AC41" i="11"/>
  <c r="AB41" i="11"/>
  <c r="AA41" i="11"/>
  <c r="Z41" i="11"/>
  <c r="Y41" i="11"/>
  <c r="X41" i="11"/>
  <c r="W41" i="11"/>
  <c r="V41" i="11"/>
  <c r="U41" i="11"/>
  <c r="T41" i="11"/>
  <c r="S41" i="11"/>
  <c r="R41" i="11"/>
  <c r="Q41" i="11"/>
  <c r="P41" i="11"/>
  <c r="O41" i="11"/>
  <c r="N41" i="11"/>
  <c r="M41" i="11"/>
  <c r="L41" i="11"/>
  <c r="K41" i="11"/>
  <c r="J41" i="11"/>
  <c r="I41" i="11"/>
  <c r="H41" i="11"/>
  <c r="G41" i="11"/>
  <c r="F41" i="11"/>
  <c r="E41" i="11"/>
  <c r="D41" i="11"/>
  <c r="C41" i="11"/>
  <c r="B41" i="11"/>
  <c r="A41" i="11"/>
  <c r="AL40" i="11"/>
  <c r="AK40" i="11"/>
  <c r="AJ40" i="11"/>
  <c r="AI40" i="11"/>
  <c r="AH40" i="11"/>
  <c r="AG40" i="11"/>
  <c r="AF40" i="11"/>
  <c r="AE40" i="11"/>
  <c r="AD40" i="11"/>
  <c r="AC40" i="11"/>
  <c r="AB40" i="11"/>
  <c r="AA40" i="11"/>
  <c r="Z40" i="11"/>
  <c r="Y40" i="11"/>
  <c r="X40" i="11"/>
  <c r="W40" i="11"/>
  <c r="V40" i="11"/>
  <c r="U40" i="11"/>
  <c r="T40" i="11"/>
  <c r="S40" i="11"/>
  <c r="R40" i="11"/>
  <c r="Q40" i="11"/>
  <c r="P40" i="11"/>
  <c r="O40" i="11"/>
  <c r="N40" i="11"/>
  <c r="M40" i="11"/>
  <c r="L40" i="11"/>
  <c r="K40" i="11"/>
  <c r="J40" i="11"/>
  <c r="I40" i="11"/>
  <c r="H40" i="11"/>
  <c r="G40" i="11"/>
  <c r="F40" i="11"/>
  <c r="E40" i="11"/>
  <c r="D40" i="11"/>
  <c r="C40" i="11"/>
  <c r="B40" i="11"/>
  <c r="A40" i="11"/>
  <c r="AL39" i="11"/>
  <c r="AK39" i="11"/>
  <c r="AJ39" i="11"/>
  <c r="AI39" i="11"/>
  <c r="AH39" i="11"/>
  <c r="AG39" i="11"/>
  <c r="AF39" i="11"/>
  <c r="AE39" i="11"/>
  <c r="AD39" i="11"/>
  <c r="AC39" i="11"/>
  <c r="AB39" i="11"/>
  <c r="AA39" i="11"/>
  <c r="Z39" i="11"/>
  <c r="Y39" i="11"/>
  <c r="X39" i="11"/>
  <c r="W39" i="11"/>
  <c r="V39" i="11"/>
  <c r="U39" i="11"/>
  <c r="T39" i="11"/>
  <c r="S39" i="11"/>
  <c r="R39" i="11"/>
  <c r="Q39" i="11"/>
  <c r="P39" i="11"/>
  <c r="O39" i="11"/>
  <c r="N39" i="11"/>
  <c r="M39" i="11"/>
  <c r="L39" i="11"/>
  <c r="K39" i="11"/>
  <c r="J39" i="11"/>
  <c r="I39" i="11"/>
  <c r="H39" i="11"/>
  <c r="G39" i="11"/>
  <c r="F39" i="11"/>
  <c r="E39" i="11"/>
  <c r="D39" i="11"/>
  <c r="C39" i="11"/>
  <c r="B39" i="11"/>
  <c r="A39" i="11"/>
  <c r="AL38" i="11"/>
  <c r="AK38" i="11"/>
  <c r="AJ38" i="11"/>
  <c r="AI38" i="11"/>
  <c r="AH38" i="11"/>
  <c r="AG38" i="11"/>
  <c r="AF38" i="11"/>
  <c r="AE38" i="11"/>
  <c r="AD38" i="11"/>
  <c r="AC38" i="11"/>
  <c r="AB38" i="11"/>
  <c r="AA38" i="11"/>
  <c r="Z38" i="11"/>
  <c r="Y38" i="11"/>
  <c r="X38" i="11"/>
  <c r="W38" i="11"/>
  <c r="V38" i="11"/>
  <c r="U38" i="11"/>
  <c r="T38" i="11"/>
  <c r="S38" i="11"/>
  <c r="R38" i="11"/>
  <c r="Q38" i="11"/>
  <c r="P38" i="11"/>
  <c r="O38" i="11"/>
  <c r="N38" i="11"/>
  <c r="M38" i="11"/>
  <c r="L38" i="11"/>
  <c r="K38" i="11"/>
  <c r="J38" i="11"/>
  <c r="I38" i="11"/>
  <c r="H38" i="11"/>
  <c r="G38" i="11"/>
  <c r="F38" i="11"/>
  <c r="E38" i="11"/>
  <c r="D38" i="11"/>
  <c r="C38" i="11"/>
  <c r="B38" i="11"/>
  <c r="A38" i="11"/>
  <c r="AL37" i="11"/>
  <c r="AK37" i="11"/>
  <c r="AJ37" i="11"/>
  <c r="AI37" i="11"/>
  <c r="AH37" i="11"/>
  <c r="AG37" i="11"/>
  <c r="AF37" i="11"/>
  <c r="AE37" i="11"/>
  <c r="AD37" i="11"/>
  <c r="AC37" i="11"/>
  <c r="AB37" i="11"/>
  <c r="AA37" i="11"/>
  <c r="Z37" i="11"/>
  <c r="Y37" i="11"/>
  <c r="X37" i="11"/>
  <c r="W37" i="11"/>
  <c r="V37" i="11"/>
  <c r="U37" i="11"/>
  <c r="T37" i="11"/>
  <c r="S37" i="11"/>
  <c r="R37" i="11"/>
  <c r="Q37" i="11"/>
  <c r="P37" i="11"/>
  <c r="O37" i="11"/>
  <c r="N37" i="11"/>
  <c r="M37" i="11"/>
  <c r="L37" i="11"/>
  <c r="K37" i="11"/>
  <c r="J37" i="11"/>
  <c r="I37" i="11"/>
  <c r="H37" i="11"/>
  <c r="G37" i="11"/>
  <c r="F37" i="11"/>
  <c r="E37" i="11"/>
  <c r="D37" i="11"/>
  <c r="C37" i="11"/>
  <c r="B37" i="11"/>
  <c r="A37" i="11"/>
  <c r="AL36" i="11"/>
  <c r="AK36" i="11"/>
  <c r="AJ36" i="11"/>
  <c r="AI36" i="11"/>
  <c r="AH36" i="11"/>
  <c r="AG36" i="11"/>
  <c r="AF36" i="11"/>
  <c r="AE36" i="11"/>
  <c r="AD36" i="11"/>
  <c r="AC36" i="11"/>
  <c r="AB36" i="11"/>
  <c r="AA36" i="11"/>
  <c r="Z36" i="11"/>
  <c r="Y36" i="11"/>
  <c r="X36" i="11"/>
  <c r="W36" i="11"/>
  <c r="V36" i="11"/>
  <c r="U36" i="11"/>
  <c r="T36" i="11"/>
  <c r="S36" i="11"/>
  <c r="R36" i="11"/>
  <c r="Q36" i="11"/>
  <c r="P36" i="11"/>
  <c r="O36" i="11"/>
  <c r="N36" i="11"/>
  <c r="M36" i="11"/>
  <c r="L36" i="11"/>
  <c r="K36" i="11"/>
  <c r="J36" i="11"/>
  <c r="I36" i="11"/>
  <c r="H36" i="11"/>
  <c r="G36" i="11"/>
  <c r="F36" i="11"/>
  <c r="E36" i="11"/>
  <c r="D36" i="11"/>
  <c r="C36" i="11"/>
  <c r="B36" i="11"/>
  <c r="A36" i="11"/>
  <c r="AL35" i="11"/>
  <c r="AK35" i="11"/>
  <c r="AJ35" i="11"/>
  <c r="AI35" i="11"/>
  <c r="AH35" i="11"/>
  <c r="AG35" i="11"/>
  <c r="AF35" i="11"/>
  <c r="AE35" i="11"/>
  <c r="AD35" i="11"/>
  <c r="AC35" i="11"/>
  <c r="AB35" i="11"/>
  <c r="AA35" i="11"/>
  <c r="Z35" i="11"/>
  <c r="Y35" i="11"/>
  <c r="X35" i="11"/>
  <c r="W35" i="11"/>
  <c r="V35" i="11"/>
  <c r="U35" i="11"/>
  <c r="T35" i="11"/>
  <c r="S35" i="11"/>
  <c r="R35" i="11"/>
  <c r="Q35" i="11"/>
  <c r="P35" i="11"/>
  <c r="O35" i="11"/>
  <c r="N35" i="11"/>
  <c r="M35" i="11"/>
  <c r="L35" i="11"/>
  <c r="K35" i="11"/>
  <c r="J35" i="11"/>
  <c r="I35" i="11"/>
  <c r="H35" i="11"/>
  <c r="G35" i="11"/>
  <c r="F35" i="11"/>
  <c r="E35" i="11"/>
  <c r="D35" i="11"/>
  <c r="C35" i="11"/>
  <c r="B35" i="11"/>
  <c r="A35" i="11"/>
  <c r="AL34" i="11"/>
  <c r="AK34" i="11"/>
  <c r="AJ34" i="11"/>
  <c r="AI34" i="11"/>
  <c r="AH34" i="11"/>
  <c r="AG34" i="11"/>
  <c r="AF34" i="11"/>
  <c r="AE34" i="11"/>
  <c r="AD34" i="11"/>
  <c r="AC34" i="11"/>
  <c r="AB34" i="11"/>
  <c r="AA34" i="11"/>
  <c r="Z34" i="11"/>
  <c r="Y34" i="11"/>
  <c r="X34" i="11"/>
  <c r="W34" i="11"/>
  <c r="V34" i="11"/>
  <c r="U34" i="11"/>
  <c r="T34" i="11"/>
  <c r="S34" i="11"/>
  <c r="R34" i="11"/>
  <c r="Q34" i="11"/>
  <c r="P34" i="11"/>
  <c r="O34" i="11"/>
  <c r="N34" i="11"/>
  <c r="M34" i="11"/>
  <c r="L34" i="11"/>
  <c r="K34" i="11"/>
  <c r="J34" i="11"/>
  <c r="I34" i="11"/>
  <c r="H34" i="11"/>
  <c r="G34" i="11"/>
  <c r="F34" i="11"/>
  <c r="E34" i="11"/>
  <c r="D34" i="11"/>
  <c r="C34" i="11"/>
  <c r="B34" i="11"/>
  <c r="A34" i="11"/>
  <c r="AL33" i="11"/>
  <c r="AK33" i="11"/>
  <c r="AJ33" i="11"/>
  <c r="AI33" i="11"/>
  <c r="AH33" i="11"/>
  <c r="AG33" i="11"/>
  <c r="AF33" i="11"/>
  <c r="AE33" i="11"/>
  <c r="AD33" i="11"/>
  <c r="AC33" i="11"/>
  <c r="AB33" i="11"/>
  <c r="AA33" i="11"/>
  <c r="Z33" i="11"/>
  <c r="Y33" i="11"/>
  <c r="X33" i="11"/>
  <c r="W33" i="11"/>
  <c r="V33" i="11"/>
  <c r="U33" i="11"/>
  <c r="T33" i="11"/>
  <c r="S33" i="11"/>
  <c r="R33" i="11"/>
  <c r="Q33" i="11"/>
  <c r="P33" i="11"/>
  <c r="O33" i="11"/>
  <c r="N33" i="11"/>
  <c r="M33" i="11"/>
  <c r="L33" i="11"/>
  <c r="K33" i="11"/>
  <c r="J33" i="11"/>
  <c r="I33" i="11"/>
  <c r="H33" i="11"/>
  <c r="G33" i="11"/>
  <c r="F33" i="11"/>
  <c r="E33" i="11"/>
  <c r="D33" i="11"/>
  <c r="C33" i="11"/>
  <c r="B33" i="11"/>
  <c r="A33" i="11"/>
  <c r="AL32" i="11"/>
  <c r="AK32" i="11"/>
  <c r="AJ32" i="11"/>
  <c r="AI32" i="11"/>
  <c r="AH32" i="11"/>
  <c r="AG32" i="11"/>
  <c r="AF32" i="11"/>
  <c r="AE32" i="11"/>
  <c r="AD32" i="11"/>
  <c r="AC32" i="11"/>
  <c r="AB32" i="11"/>
  <c r="AA32" i="11"/>
  <c r="Z32" i="11"/>
  <c r="Y32" i="11"/>
  <c r="X32" i="11"/>
  <c r="W32" i="11"/>
  <c r="V32" i="11"/>
  <c r="U32" i="11"/>
  <c r="T32" i="11"/>
  <c r="S32" i="11"/>
  <c r="R32" i="11"/>
  <c r="Q32" i="11"/>
  <c r="P32" i="11"/>
  <c r="O32" i="11"/>
  <c r="N32" i="11"/>
  <c r="M32" i="11"/>
  <c r="L32" i="11"/>
  <c r="K32" i="11"/>
  <c r="J32" i="11"/>
  <c r="I32" i="11"/>
  <c r="H32" i="11"/>
  <c r="G32" i="11"/>
  <c r="F32" i="11"/>
  <c r="E32" i="11"/>
  <c r="D32" i="11"/>
  <c r="C32" i="11"/>
  <c r="B32" i="11"/>
  <c r="A32" i="11"/>
  <c r="AL31" i="11"/>
  <c r="AK31" i="11"/>
  <c r="AJ31" i="11"/>
  <c r="AI31" i="11"/>
  <c r="AH31" i="11"/>
  <c r="AG31" i="11"/>
  <c r="AF31" i="11"/>
  <c r="AE31" i="11"/>
  <c r="AD31" i="11"/>
  <c r="AC31" i="11"/>
  <c r="AB31" i="11"/>
  <c r="AA31" i="11"/>
  <c r="Z31" i="11"/>
  <c r="Y31" i="11"/>
  <c r="X31" i="11"/>
  <c r="W31" i="11"/>
  <c r="V31" i="11"/>
  <c r="U31" i="11"/>
  <c r="T31" i="11"/>
  <c r="S31" i="11"/>
  <c r="R31" i="11"/>
  <c r="Q31" i="11"/>
  <c r="P31" i="11"/>
  <c r="O31" i="11"/>
  <c r="N31" i="11"/>
  <c r="M31" i="11"/>
  <c r="L31" i="11"/>
  <c r="K31" i="11"/>
  <c r="J31" i="11"/>
  <c r="I31" i="11"/>
  <c r="H31" i="11"/>
  <c r="G31" i="11"/>
  <c r="F31" i="11"/>
  <c r="E31" i="11"/>
  <c r="D31" i="11"/>
  <c r="C31" i="11"/>
  <c r="B31" i="11"/>
  <c r="A31" i="11"/>
  <c r="AL30" i="11"/>
  <c r="AK30" i="11"/>
  <c r="AJ30" i="11"/>
  <c r="AI30" i="11"/>
  <c r="AH30" i="11"/>
  <c r="AG30" i="11"/>
  <c r="AF30" i="11"/>
  <c r="AE30" i="11"/>
  <c r="AD30" i="11"/>
  <c r="AC30" i="11"/>
  <c r="AB30" i="11"/>
  <c r="AA30" i="11"/>
  <c r="Z30" i="11"/>
  <c r="Y30" i="11"/>
  <c r="X30" i="11"/>
  <c r="W30" i="11"/>
  <c r="V30" i="11"/>
  <c r="U30" i="11"/>
  <c r="T30" i="11"/>
  <c r="S30" i="11"/>
  <c r="R30" i="11"/>
  <c r="Q30" i="11"/>
  <c r="P30" i="11"/>
  <c r="O30" i="11"/>
  <c r="N30" i="11"/>
  <c r="M30" i="11"/>
  <c r="L30" i="11"/>
  <c r="K30" i="11"/>
  <c r="J30" i="11"/>
  <c r="I30" i="11"/>
  <c r="H30" i="11"/>
  <c r="G30" i="11"/>
  <c r="F30" i="11"/>
  <c r="E30" i="11"/>
  <c r="D30" i="11"/>
  <c r="C30" i="11"/>
  <c r="B30" i="11"/>
  <c r="A30" i="11"/>
  <c r="AL29" i="11"/>
  <c r="AK29" i="11"/>
  <c r="AJ29" i="11"/>
  <c r="AI29" i="11"/>
  <c r="AH29" i="11"/>
  <c r="AG29" i="11"/>
  <c r="AF29" i="11"/>
  <c r="AE29" i="11"/>
  <c r="AD29" i="11"/>
  <c r="AC29" i="11"/>
  <c r="AB29" i="11"/>
  <c r="AA29" i="11"/>
  <c r="Z29" i="11"/>
  <c r="Y29" i="11"/>
  <c r="X29" i="11"/>
  <c r="W29" i="11"/>
  <c r="V29" i="11"/>
  <c r="U29" i="11"/>
  <c r="T29" i="11"/>
  <c r="S29" i="11"/>
  <c r="R29" i="11"/>
  <c r="Q29" i="11"/>
  <c r="P29" i="11"/>
  <c r="O29" i="11"/>
  <c r="N29" i="11"/>
  <c r="M29" i="11"/>
  <c r="L29" i="11"/>
  <c r="K29" i="11"/>
  <c r="J29" i="11"/>
  <c r="I29" i="11"/>
  <c r="H29" i="11"/>
  <c r="G29" i="11"/>
  <c r="F29" i="11"/>
  <c r="E29" i="11"/>
  <c r="D29" i="11"/>
  <c r="C29" i="11"/>
  <c r="B29" i="11"/>
  <c r="A29" i="11"/>
  <c r="AC28" i="11"/>
  <c r="X28" i="11"/>
  <c r="W28" i="11"/>
  <c r="V28" i="11"/>
  <c r="U28" i="11"/>
  <c r="T28" i="11"/>
  <c r="S28" i="11"/>
  <c r="R28" i="11"/>
  <c r="Q28" i="11"/>
  <c r="P28" i="11"/>
  <c r="O28" i="11"/>
  <c r="N28" i="11"/>
  <c r="M28" i="11"/>
  <c r="L28" i="11"/>
  <c r="K28" i="11"/>
  <c r="J28" i="11"/>
  <c r="I28" i="11"/>
  <c r="H28" i="11"/>
  <c r="G28" i="11"/>
  <c r="F28" i="11"/>
  <c r="E28" i="11"/>
  <c r="D28" i="11"/>
  <c r="C28" i="11"/>
  <c r="B28" i="11"/>
  <c r="A28" i="11"/>
  <c r="AC27" i="11"/>
  <c r="X27" i="11"/>
  <c r="W27" i="11"/>
  <c r="V27" i="11"/>
  <c r="U27" i="11"/>
  <c r="T27" i="11"/>
  <c r="S27" i="11"/>
  <c r="R27" i="11"/>
  <c r="Q27" i="11"/>
  <c r="P27" i="11"/>
  <c r="O27" i="11"/>
  <c r="N27" i="11"/>
  <c r="M27" i="11"/>
  <c r="L27" i="11"/>
  <c r="K27" i="11"/>
  <c r="J27" i="11"/>
  <c r="I27" i="11"/>
  <c r="H27" i="11"/>
  <c r="G27" i="11"/>
  <c r="F27" i="11"/>
  <c r="E27" i="11"/>
  <c r="D27" i="11"/>
  <c r="C27" i="11"/>
  <c r="B27" i="11"/>
  <c r="A27" i="11"/>
  <c r="AL26" i="11"/>
  <c r="AK26" i="11"/>
  <c r="AJ26" i="11"/>
  <c r="AI26" i="11"/>
  <c r="AH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I26" i="11"/>
  <c r="H26" i="11"/>
  <c r="G26" i="11"/>
  <c r="F26" i="11"/>
  <c r="E26" i="11"/>
  <c r="D26" i="11"/>
  <c r="C26" i="11"/>
  <c r="B26" i="11"/>
  <c r="A26" i="11"/>
  <c r="AL25" i="11"/>
  <c r="AK25" i="11"/>
  <c r="AJ25" i="11"/>
  <c r="AI25" i="11"/>
  <c r="AH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25" i="11"/>
  <c r="AC24" i="11"/>
  <c r="X24" i="11"/>
  <c r="W24" i="11"/>
  <c r="V24" i="11"/>
  <c r="U24" i="11"/>
  <c r="T24" i="11"/>
  <c r="S24" i="11"/>
  <c r="R24" i="11"/>
  <c r="Q24" i="11"/>
  <c r="P24" i="11"/>
  <c r="O24" i="11"/>
  <c r="N24" i="11"/>
  <c r="M24" i="11"/>
  <c r="L24" i="11"/>
  <c r="K24" i="11"/>
  <c r="J24" i="11"/>
  <c r="I24" i="11"/>
  <c r="H24" i="11"/>
  <c r="G24" i="11"/>
  <c r="F24" i="11"/>
  <c r="E24" i="11"/>
  <c r="D24" i="11"/>
  <c r="C24" i="11"/>
  <c r="B24" i="11"/>
  <c r="A24" i="11"/>
  <c r="AL23" i="11"/>
  <c r="AK23" i="11"/>
  <c r="AJ23" i="11"/>
  <c r="AI23" i="11"/>
  <c r="AH23" i="11"/>
  <c r="AG23" i="11"/>
  <c r="AF23" i="11"/>
  <c r="AE23" i="11"/>
  <c r="AD23" i="11"/>
  <c r="AC23" i="11"/>
  <c r="AB23" i="11"/>
  <c r="AA23" i="11"/>
  <c r="Z23" i="11"/>
  <c r="Y23" i="11"/>
  <c r="X23" i="11"/>
  <c r="W23" i="11"/>
  <c r="V23" i="11"/>
  <c r="U23" i="11"/>
  <c r="T23" i="11"/>
  <c r="S23" i="11"/>
  <c r="R23" i="11"/>
  <c r="Q23" i="11"/>
  <c r="P23" i="11"/>
  <c r="O23" i="11"/>
  <c r="N23" i="11"/>
  <c r="M23" i="11"/>
  <c r="L23" i="11"/>
  <c r="K23" i="11"/>
  <c r="J23" i="11"/>
  <c r="I23" i="11"/>
  <c r="H23" i="11"/>
  <c r="G23" i="11"/>
  <c r="F23" i="11"/>
  <c r="E23" i="11"/>
  <c r="D23" i="11"/>
  <c r="C23" i="11"/>
  <c r="B23" i="11"/>
  <c r="A23" i="11"/>
  <c r="AL22" i="11"/>
  <c r="AK22" i="11"/>
  <c r="AJ22" i="11"/>
  <c r="AI22" i="11"/>
  <c r="AH22" i="11"/>
  <c r="AG22" i="11"/>
  <c r="AF22" i="11"/>
  <c r="AE22" i="11"/>
  <c r="AD22" i="11"/>
  <c r="AC22" i="11"/>
  <c r="AB22" i="11"/>
  <c r="AA22" i="11"/>
  <c r="Z22" i="11"/>
  <c r="Y22" i="11"/>
  <c r="X22" i="11"/>
  <c r="W22" i="11"/>
  <c r="V22" i="11"/>
  <c r="U22" i="11"/>
  <c r="T22" i="11"/>
  <c r="S22" i="11"/>
  <c r="R22" i="11"/>
  <c r="Q22" i="11"/>
  <c r="P22" i="11"/>
  <c r="O22" i="11"/>
  <c r="N22" i="11"/>
  <c r="M22" i="11"/>
  <c r="L22" i="11"/>
  <c r="K22" i="11"/>
  <c r="J22" i="11"/>
  <c r="I22" i="11"/>
  <c r="H22" i="11"/>
  <c r="G22" i="11"/>
  <c r="F22" i="11"/>
  <c r="E22" i="11"/>
  <c r="D22" i="11"/>
  <c r="C22" i="11"/>
  <c r="B22" i="11"/>
  <c r="A22" i="11"/>
  <c r="AL21" i="11"/>
  <c r="AK21" i="11"/>
  <c r="AJ21" i="11"/>
  <c r="AI21" i="11"/>
  <c r="AH21" i="11"/>
  <c r="AG21" i="11"/>
  <c r="AF21" i="11"/>
  <c r="AE21" i="11"/>
  <c r="AD21" i="11"/>
  <c r="AC21" i="11"/>
  <c r="AB21" i="11"/>
  <c r="AA21" i="11"/>
  <c r="Z21" i="11"/>
  <c r="Y21" i="11"/>
  <c r="X21" i="11"/>
  <c r="W21" i="11"/>
  <c r="V21" i="11"/>
  <c r="U21" i="11"/>
  <c r="T21" i="11"/>
  <c r="S21" i="11"/>
  <c r="R21" i="11"/>
  <c r="Q21" i="11"/>
  <c r="P21" i="11"/>
  <c r="O21" i="11"/>
  <c r="N21" i="11"/>
  <c r="M21" i="11"/>
  <c r="L21" i="11"/>
  <c r="K21" i="11"/>
  <c r="J21" i="11"/>
  <c r="I21" i="11"/>
  <c r="H21" i="11"/>
  <c r="G21" i="11"/>
  <c r="F21" i="11"/>
  <c r="E21" i="11"/>
  <c r="D21" i="11"/>
  <c r="C21" i="11"/>
  <c r="B21" i="11"/>
  <c r="A21" i="11"/>
  <c r="AL20" i="11"/>
  <c r="AK20" i="11"/>
  <c r="AJ20" i="11"/>
  <c r="AI20" i="11"/>
  <c r="AH20" i="11"/>
  <c r="AG20" i="11"/>
  <c r="AF20" i="11"/>
  <c r="AE20" i="11"/>
  <c r="AD20" i="11"/>
  <c r="AC20" i="11"/>
  <c r="AB20" i="11"/>
  <c r="AA20" i="11"/>
  <c r="Z20" i="11"/>
  <c r="Y20" i="11"/>
  <c r="X20" i="11"/>
  <c r="W20" i="11"/>
  <c r="V20" i="11"/>
  <c r="U20" i="11"/>
  <c r="T20" i="11"/>
  <c r="S20" i="11"/>
  <c r="R20" i="11"/>
  <c r="Q20" i="11"/>
  <c r="P20" i="11"/>
  <c r="O20" i="11"/>
  <c r="N20" i="11"/>
  <c r="M20" i="11"/>
  <c r="L20" i="11"/>
  <c r="K20" i="11"/>
  <c r="J20" i="11"/>
  <c r="I20" i="11"/>
  <c r="H20" i="11"/>
  <c r="G20" i="11"/>
  <c r="F20" i="11"/>
  <c r="E20" i="11"/>
  <c r="D20" i="11"/>
  <c r="C20" i="11"/>
  <c r="B20" i="11"/>
  <c r="A20" i="11"/>
  <c r="AL19" i="11"/>
  <c r="AK19" i="11"/>
  <c r="AJ19" i="11"/>
  <c r="AI19" i="11"/>
  <c r="AH19" i="11"/>
  <c r="AG19" i="11"/>
  <c r="AF19" i="11"/>
  <c r="AE19" i="11"/>
  <c r="AD19" i="11"/>
  <c r="AC19" i="11"/>
  <c r="AB19" i="11"/>
  <c r="AA19" i="11"/>
  <c r="Z19" i="11"/>
  <c r="Y19" i="11"/>
  <c r="X19" i="11"/>
  <c r="W19" i="11"/>
  <c r="V19" i="11"/>
  <c r="U19" i="11"/>
  <c r="T19" i="11"/>
  <c r="S19" i="11"/>
  <c r="R19" i="11"/>
  <c r="Q19" i="11"/>
  <c r="P19" i="11"/>
  <c r="O19" i="11"/>
  <c r="N19" i="11"/>
  <c r="M19" i="11"/>
  <c r="L19" i="11"/>
  <c r="K19" i="11"/>
  <c r="J19" i="11"/>
  <c r="I19" i="11"/>
  <c r="H19" i="11"/>
  <c r="G19" i="11"/>
  <c r="F19" i="11"/>
  <c r="E19" i="11"/>
  <c r="D19" i="11"/>
  <c r="C19" i="11"/>
  <c r="B19" i="11"/>
  <c r="A19" i="11"/>
  <c r="AL18" i="11"/>
  <c r="AK18" i="11"/>
  <c r="AJ18" i="11"/>
  <c r="AI18" i="11"/>
  <c r="AH18" i="11"/>
  <c r="AG18" i="11"/>
  <c r="AF18" i="11"/>
  <c r="AE18" i="11"/>
  <c r="AD18" i="11"/>
  <c r="AC18" i="11"/>
  <c r="AB18" i="11"/>
  <c r="AA18" i="11"/>
  <c r="Z18" i="11"/>
  <c r="Y18" i="11"/>
  <c r="X18" i="11"/>
  <c r="W18" i="11"/>
  <c r="V18" i="11"/>
  <c r="U18" i="11"/>
  <c r="T18" i="11"/>
  <c r="S18" i="11"/>
  <c r="R18" i="11"/>
  <c r="Q18" i="11"/>
  <c r="P18" i="11"/>
  <c r="O18" i="11"/>
  <c r="N18" i="11"/>
  <c r="M18" i="11"/>
  <c r="L18" i="11"/>
  <c r="K18" i="11"/>
  <c r="J18" i="11"/>
  <c r="I18" i="11"/>
  <c r="H18" i="11"/>
  <c r="G18" i="11"/>
  <c r="F18" i="11"/>
  <c r="E18" i="11"/>
  <c r="D18" i="11"/>
  <c r="C18" i="11"/>
  <c r="B18" i="11"/>
  <c r="A18" i="11"/>
  <c r="AL17" i="11"/>
  <c r="AK17" i="11"/>
  <c r="AJ17" i="11"/>
  <c r="AI17" i="11"/>
  <c r="AH17" i="11"/>
  <c r="AG17" i="11"/>
  <c r="AF17" i="11"/>
  <c r="AE17" i="11"/>
  <c r="AD17" i="11"/>
  <c r="AC17" i="11"/>
  <c r="AB17" i="11"/>
  <c r="AA17" i="11"/>
  <c r="Z17" i="11"/>
  <c r="Y17" i="11"/>
  <c r="X17" i="11"/>
  <c r="W17" i="11"/>
  <c r="V17" i="11"/>
  <c r="U17" i="11"/>
  <c r="T17" i="11"/>
  <c r="S17" i="11"/>
  <c r="R17" i="11"/>
  <c r="Q17" i="11"/>
  <c r="P17" i="11"/>
  <c r="O17" i="11"/>
  <c r="N17" i="11"/>
  <c r="M17" i="11"/>
  <c r="L17" i="11"/>
  <c r="K17" i="11"/>
  <c r="J17" i="11"/>
  <c r="I17" i="11"/>
  <c r="H17" i="11"/>
  <c r="G17" i="11"/>
  <c r="F17" i="11"/>
  <c r="E17" i="11"/>
  <c r="D17" i="11"/>
  <c r="C17" i="11"/>
  <c r="B17" i="11"/>
  <c r="A17" i="11"/>
  <c r="AC16" i="11"/>
  <c r="X16" i="11"/>
  <c r="W16" i="11"/>
  <c r="V16" i="11"/>
  <c r="U16" i="11"/>
  <c r="T16" i="11"/>
  <c r="S16" i="11"/>
  <c r="R16" i="11"/>
  <c r="Q16" i="11"/>
  <c r="P16" i="11"/>
  <c r="O16" i="11"/>
  <c r="N16" i="11"/>
  <c r="M16" i="11"/>
  <c r="L16" i="11"/>
  <c r="K16" i="11"/>
  <c r="J16" i="11"/>
  <c r="I16" i="11"/>
  <c r="H16" i="11"/>
  <c r="G16" i="11"/>
  <c r="F16" i="11"/>
  <c r="E16" i="11"/>
  <c r="D16" i="11"/>
  <c r="C16" i="11"/>
  <c r="B16" i="11"/>
  <c r="A16" i="11"/>
  <c r="AL15" i="11"/>
  <c r="AK15" i="11"/>
  <c r="AJ15" i="11"/>
  <c r="AI15" i="11"/>
  <c r="AH15" i="11"/>
  <c r="AG15" i="11"/>
  <c r="AF15" i="11"/>
  <c r="AE15" i="11"/>
  <c r="AD15" i="11"/>
  <c r="AC15" i="11"/>
  <c r="AB15" i="11"/>
  <c r="AA15" i="11"/>
  <c r="Z15" i="11"/>
  <c r="Y15" i="11"/>
  <c r="X15" i="11"/>
  <c r="W15" i="11"/>
  <c r="V15" i="11"/>
  <c r="U15" i="11"/>
  <c r="T15" i="11"/>
  <c r="S15" i="11"/>
  <c r="R15" i="11"/>
  <c r="Q15" i="11"/>
  <c r="P15" i="11"/>
  <c r="O15" i="11"/>
  <c r="N15" i="11"/>
  <c r="M15" i="11"/>
  <c r="L15" i="11"/>
  <c r="K15" i="11"/>
  <c r="J15" i="11"/>
  <c r="I15" i="11"/>
  <c r="H15" i="11"/>
  <c r="G15" i="11"/>
  <c r="F15" i="11"/>
  <c r="E15" i="11"/>
  <c r="D15" i="11"/>
  <c r="C15" i="11"/>
  <c r="B15" i="11"/>
  <c r="A15" i="11"/>
  <c r="AL14" i="11"/>
  <c r="AK14" i="11"/>
  <c r="AJ14" i="11"/>
  <c r="AI14" i="11"/>
  <c r="AH14" i="11"/>
  <c r="AG14" i="11"/>
  <c r="AF14" i="11"/>
  <c r="AE14" i="11"/>
  <c r="AD14" i="11"/>
  <c r="AC14" i="11"/>
  <c r="AB14" i="11"/>
  <c r="AA14" i="11"/>
  <c r="Z14" i="11"/>
  <c r="Y14" i="11"/>
  <c r="X14" i="11"/>
  <c r="W14" i="11"/>
  <c r="V14" i="11"/>
  <c r="U14" i="11"/>
  <c r="T14" i="11"/>
  <c r="S14" i="11"/>
  <c r="R14" i="11"/>
  <c r="Q14" i="11"/>
  <c r="P14" i="11"/>
  <c r="O14" i="11"/>
  <c r="N14" i="11"/>
  <c r="M14" i="11"/>
  <c r="L14" i="11"/>
  <c r="K14" i="11"/>
  <c r="J14" i="11"/>
  <c r="I14" i="11"/>
  <c r="H14" i="11"/>
  <c r="G14" i="11"/>
  <c r="F14" i="11"/>
  <c r="E14" i="11"/>
  <c r="D14" i="11"/>
  <c r="C14" i="11"/>
  <c r="B14" i="11"/>
  <c r="A14" i="11"/>
  <c r="AC13" i="11"/>
  <c r="X13" i="11"/>
  <c r="W13" i="11"/>
  <c r="V13" i="11"/>
  <c r="U13" i="11"/>
  <c r="T13" i="11"/>
  <c r="S13" i="11"/>
  <c r="R13" i="11"/>
  <c r="Q13" i="11"/>
  <c r="P13" i="11"/>
  <c r="O13" i="11"/>
  <c r="N13" i="11"/>
  <c r="M13" i="11"/>
  <c r="L13" i="11"/>
  <c r="K13" i="11"/>
  <c r="J13" i="11"/>
  <c r="I13" i="11"/>
  <c r="H13" i="11"/>
  <c r="G13" i="11"/>
  <c r="F13" i="11"/>
  <c r="E13" i="11"/>
  <c r="D13" i="11"/>
  <c r="C13" i="11"/>
  <c r="B13" i="11"/>
  <c r="A13" i="11"/>
  <c r="AC12" i="11"/>
  <c r="X12" i="11"/>
  <c r="W12" i="11"/>
  <c r="V12" i="11"/>
  <c r="U12" i="11"/>
  <c r="T12" i="11"/>
  <c r="S12" i="11"/>
  <c r="R12" i="11"/>
  <c r="Q12" i="11"/>
  <c r="P12" i="11"/>
  <c r="O12" i="11"/>
  <c r="N12" i="11"/>
  <c r="M12" i="11"/>
  <c r="L12" i="11"/>
  <c r="K12" i="11"/>
  <c r="J12" i="11"/>
  <c r="I12" i="11"/>
  <c r="H12" i="11"/>
  <c r="G12" i="11"/>
  <c r="F12" i="11"/>
  <c r="E12" i="11"/>
  <c r="D12" i="11"/>
  <c r="C12" i="11"/>
  <c r="B12" i="11"/>
  <c r="A12" i="11"/>
  <c r="AC11" i="11"/>
  <c r="X11" i="11"/>
  <c r="W11" i="11"/>
  <c r="V11" i="11"/>
  <c r="U11" i="11"/>
  <c r="T11" i="11"/>
  <c r="S11" i="11"/>
  <c r="R11" i="11"/>
  <c r="Q11" i="11"/>
  <c r="P11" i="11"/>
  <c r="O11" i="11"/>
  <c r="N11" i="11"/>
  <c r="M11" i="11"/>
  <c r="L11" i="11"/>
  <c r="K11" i="11"/>
  <c r="J11" i="11"/>
  <c r="I11" i="11"/>
  <c r="H11" i="11"/>
  <c r="G11" i="11"/>
  <c r="F11" i="11"/>
  <c r="E11" i="11"/>
  <c r="D11" i="11"/>
  <c r="C11" i="11"/>
  <c r="B11" i="11"/>
  <c r="A11" i="11"/>
  <c r="AC10" i="11"/>
  <c r="X10" i="11"/>
  <c r="W10" i="11"/>
  <c r="V10" i="11"/>
  <c r="U10" i="11"/>
  <c r="T10" i="11"/>
  <c r="S10" i="11"/>
  <c r="R10" i="11"/>
  <c r="Q10" i="11"/>
  <c r="P10" i="11"/>
  <c r="O10" i="11"/>
  <c r="N10" i="11"/>
  <c r="M10" i="11"/>
  <c r="L10" i="11"/>
  <c r="K10" i="11"/>
  <c r="J10" i="11"/>
  <c r="I10" i="11"/>
  <c r="H10" i="11"/>
  <c r="G10" i="11"/>
  <c r="F10" i="11"/>
  <c r="E10" i="11"/>
  <c r="D10" i="11"/>
  <c r="C10" i="11"/>
  <c r="B10" i="11"/>
  <c r="A10" i="11"/>
  <c r="AC9" i="11"/>
  <c r="X9" i="11"/>
  <c r="W9" i="11"/>
  <c r="V9" i="11"/>
  <c r="U9" i="11"/>
  <c r="T9" i="11"/>
  <c r="S9" i="11"/>
  <c r="R9" i="11"/>
  <c r="Q9" i="11"/>
  <c r="P9" i="11"/>
  <c r="O9" i="11"/>
  <c r="N9" i="11"/>
  <c r="M9" i="11"/>
  <c r="L9" i="11"/>
  <c r="K9" i="11"/>
  <c r="J9" i="11"/>
  <c r="I9" i="11"/>
  <c r="H9" i="11"/>
  <c r="G9" i="11"/>
  <c r="F9" i="11"/>
  <c r="E9" i="11"/>
  <c r="D9" i="11"/>
  <c r="C9" i="11"/>
  <c r="B9" i="11"/>
  <c r="A9" i="11"/>
  <c r="AC8" i="11"/>
  <c r="X8" i="11"/>
  <c r="W8" i="11"/>
  <c r="V8" i="11"/>
  <c r="U8" i="11"/>
  <c r="T8" i="11"/>
  <c r="S8" i="11"/>
  <c r="R8" i="11"/>
  <c r="Q8" i="11"/>
  <c r="P8" i="11"/>
  <c r="O8" i="11"/>
  <c r="N8" i="11"/>
  <c r="M8" i="11"/>
  <c r="L8" i="11"/>
  <c r="K8" i="11"/>
  <c r="J8" i="11"/>
  <c r="I8" i="11"/>
  <c r="H8" i="11"/>
  <c r="G8" i="11"/>
  <c r="F8" i="11"/>
  <c r="E8" i="11"/>
  <c r="D8" i="11"/>
  <c r="C8" i="11"/>
  <c r="B8" i="11"/>
  <c r="A8" i="11"/>
  <c r="AC7" i="11"/>
  <c r="X7" i="11"/>
  <c r="W7" i="11"/>
  <c r="V7" i="11"/>
  <c r="U7" i="11"/>
  <c r="T7" i="11"/>
  <c r="S7" i="11"/>
  <c r="R7" i="11"/>
  <c r="Q7" i="11"/>
  <c r="P7" i="11"/>
  <c r="O7" i="11"/>
  <c r="N7" i="11"/>
  <c r="M7" i="11"/>
  <c r="L7" i="11"/>
  <c r="K7" i="11"/>
  <c r="J7" i="11"/>
  <c r="I7" i="11"/>
  <c r="H7" i="11"/>
  <c r="G7" i="11"/>
  <c r="F7" i="11"/>
  <c r="E7" i="11"/>
  <c r="D7" i="11"/>
  <c r="C7" i="11"/>
  <c r="B7" i="11"/>
  <c r="A7" i="11"/>
  <c r="AC6" i="11"/>
  <c r="X6" i="11"/>
  <c r="W6" i="11"/>
  <c r="V6" i="11"/>
  <c r="U6" i="11"/>
  <c r="T6" i="11"/>
  <c r="S6" i="11"/>
  <c r="R6" i="11"/>
  <c r="Q6" i="11"/>
  <c r="P6" i="11"/>
  <c r="O6" i="11"/>
  <c r="N6" i="11"/>
  <c r="M6" i="11"/>
  <c r="L6" i="11"/>
  <c r="K6" i="11"/>
  <c r="J6" i="11"/>
  <c r="I6" i="11"/>
  <c r="H6" i="11"/>
  <c r="G6" i="11"/>
  <c r="F6" i="11"/>
  <c r="E6" i="11"/>
  <c r="D6" i="11"/>
  <c r="C6" i="11"/>
  <c r="B6" i="11"/>
  <c r="A6" i="11"/>
  <c r="AL5" i="11"/>
  <c r="AK5" i="11"/>
  <c r="AJ5" i="11"/>
  <c r="AI5" i="11"/>
  <c r="AH5" i="11"/>
  <c r="AG5" i="11"/>
  <c r="AF5" i="11"/>
  <c r="AE5" i="11"/>
  <c r="AD5" i="11"/>
  <c r="AC5" i="11"/>
  <c r="AB5" i="11"/>
  <c r="AA5" i="11"/>
  <c r="Z5" i="11"/>
  <c r="Y5" i="11"/>
  <c r="X5" i="11"/>
  <c r="W5" i="11"/>
  <c r="V5" i="11"/>
  <c r="U5" i="11"/>
  <c r="T5" i="11"/>
  <c r="S5" i="11"/>
  <c r="R5" i="11"/>
  <c r="Q5" i="11"/>
  <c r="P5" i="11"/>
  <c r="O5" i="11"/>
  <c r="N5" i="11"/>
  <c r="M5" i="11"/>
  <c r="L5" i="11"/>
  <c r="K5" i="11"/>
  <c r="J5" i="11"/>
  <c r="I5" i="11"/>
  <c r="H5" i="11"/>
  <c r="G5" i="11"/>
  <c r="F5" i="11"/>
  <c r="E5" i="11"/>
  <c r="D5" i="11"/>
  <c r="C5" i="11"/>
  <c r="B5" i="11"/>
  <c r="A5" i="11"/>
  <c r="AL4" i="11"/>
  <c r="AK4" i="11"/>
  <c r="AJ4" i="11"/>
  <c r="AI4" i="11"/>
  <c r="AH4" i="11"/>
  <c r="AG4" i="11"/>
  <c r="AF4" i="11"/>
  <c r="AE4" i="11"/>
  <c r="AD4" i="11"/>
  <c r="AC4" i="11"/>
  <c r="AB4" i="11"/>
  <c r="AA4" i="11"/>
  <c r="Z4" i="11"/>
  <c r="Y4" i="11"/>
  <c r="X4" i="11"/>
  <c r="W4" i="11"/>
  <c r="V4" i="11"/>
  <c r="U4" i="11"/>
  <c r="T4" i="11"/>
  <c r="S4" i="11"/>
  <c r="R4" i="11"/>
  <c r="Q4" i="11"/>
  <c r="P4" i="11"/>
  <c r="O4" i="11"/>
  <c r="N4" i="11"/>
  <c r="M4" i="11"/>
  <c r="L4" i="11"/>
  <c r="K4" i="11"/>
  <c r="J4" i="11"/>
  <c r="I4" i="11"/>
  <c r="H4" i="11"/>
  <c r="G4" i="11"/>
  <c r="F4" i="11"/>
  <c r="E4" i="11"/>
  <c r="D4" i="11"/>
  <c r="C4" i="11"/>
  <c r="B4" i="11"/>
  <c r="A4" i="11"/>
  <c r="AL3" i="11"/>
  <c r="AK3" i="11"/>
  <c r="AJ3" i="11"/>
  <c r="AI3" i="11"/>
  <c r="AH3" i="11"/>
  <c r="AG3" i="11"/>
  <c r="AF3" i="11"/>
  <c r="AE3" i="11"/>
  <c r="AD3" i="11"/>
  <c r="AC3" i="11"/>
  <c r="AB3" i="11"/>
  <c r="AA3" i="11"/>
  <c r="Z3" i="11"/>
  <c r="Y3" i="11"/>
  <c r="X3" i="11"/>
  <c r="W3" i="11"/>
  <c r="V3" i="11"/>
  <c r="U3" i="11"/>
  <c r="T3" i="11"/>
  <c r="S3" i="11"/>
  <c r="R3" i="11"/>
  <c r="Q3" i="11"/>
  <c r="P3" i="11"/>
  <c r="O3" i="11"/>
  <c r="N3" i="11"/>
  <c r="M3" i="11"/>
  <c r="L3" i="11"/>
  <c r="K3" i="11"/>
  <c r="J3" i="11"/>
  <c r="I3" i="11"/>
  <c r="H3" i="11"/>
  <c r="G3" i="11"/>
  <c r="F3" i="11"/>
  <c r="E3" i="11"/>
  <c r="D3" i="11"/>
  <c r="C3" i="11"/>
  <c r="B3" i="11"/>
  <c r="A3" i="11"/>
  <c r="AL2" i="11"/>
  <c r="AK2" i="11"/>
  <c r="AJ2" i="11"/>
  <c r="AI2" i="11"/>
  <c r="AH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AL1" i="11"/>
  <c r="AK1" i="11"/>
  <c r="AJ1" i="11"/>
  <c r="AI1" i="11"/>
  <c r="AH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D1" i="11"/>
  <c r="C1" i="11"/>
  <c r="B1" i="11"/>
  <c r="A1" i="11"/>
  <c r="A1" i="10"/>
  <c r="K35" i="9"/>
  <c r="J35" i="9"/>
  <c r="I35" i="9"/>
  <c r="E35" i="9"/>
  <c r="C35" i="9"/>
  <c r="B35" i="9"/>
  <c r="A35" i="9"/>
  <c r="K34" i="9"/>
  <c r="J34" i="9"/>
  <c r="I34" i="9"/>
  <c r="F34" i="9"/>
  <c r="E34" i="9"/>
  <c r="D34" i="9"/>
  <c r="C34" i="9"/>
  <c r="B34" i="9"/>
  <c r="A34" i="9"/>
  <c r="F33" i="9"/>
  <c r="E33" i="9"/>
  <c r="D33" i="9"/>
  <c r="C33" i="9"/>
  <c r="B33" i="9"/>
  <c r="A33" i="9"/>
  <c r="F32" i="9"/>
  <c r="E32" i="9"/>
  <c r="D32" i="9"/>
  <c r="C32" i="9"/>
  <c r="B32" i="9"/>
  <c r="A32" i="9"/>
  <c r="F31" i="9"/>
  <c r="E31" i="9"/>
  <c r="D31" i="9"/>
  <c r="C31" i="9"/>
  <c r="B31" i="9"/>
  <c r="A31" i="9"/>
  <c r="F30" i="9"/>
  <c r="E30" i="9"/>
  <c r="D30" i="9"/>
  <c r="C30" i="9"/>
  <c r="B30" i="9"/>
  <c r="A30" i="9"/>
  <c r="K29" i="9"/>
  <c r="J29" i="9"/>
  <c r="I29" i="9"/>
  <c r="F29" i="9"/>
  <c r="E29" i="9"/>
  <c r="D29" i="9"/>
  <c r="C29" i="9"/>
  <c r="B29" i="9"/>
  <c r="A29" i="9"/>
  <c r="K28" i="9"/>
  <c r="J28" i="9"/>
  <c r="I28" i="9"/>
  <c r="F28" i="9"/>
  <c r="E28" i="9"/>
  <c r="D28" i="9"/>
  <c r="C28" i="9"/>
  <c r="B28" i="9"/>
  <c r="A28" i="9"/>
  <c r="K27" i="9"/>
  <c r="J27" i="9"/>
  <c r="I27" i="9"/>
  <c r="F27" i="9"/>
  <c r="E27" i="9"/>
  <c r="D27" i="9"/>
  <c r="C27" i="9"/>
  <c r="B27" i="9"/>
  <c r="A27" i="9"/>
  <c r="K26" i="9"/>
  <c r="J26" i="9"/>
  <c r="I26" i="9"/>
  <c r="F26" i="9"/>
  <c r="E26" i="9"/>
  <c r="D26" i="9"/>
  <c r="C26" i="9"/>
  <c r="B26" i="9"/>
  <c r="A26" i="9"/>
  <c r="K25" i="9"/>
  <c r="J25" i="9"/>
  <c r="I25" i="9"/>
  <c r="F25" i="9"/>
  <c r="E25" i="9"/>
  <c r="D25" i="9"/>
  <c r="C25" i="9"/>
  <c r="B25" i="9"/>
  <c r="A25" i="9"/>
  <c r="K24" i="9"/>
  <c r="J24" i="9"/>
  <c r="I24" i="9"/>
  <c r="F24" i="9"/>
  <c r="E24" i="9"/>
  <c r="D24" i="9"/>
  <c r="C24" i="9"/>
  <c r="B24" i="9"/>
  <c r="A24" i="9"/>
  <c r="F23" i="9"/>
  <c r="E23" i="9"/>
  <c r="D23" i="9"/>
  <c r="C23" i="9"/>
  <c r="B23" i="9"/>
  <c r="A23" i="9"/>
  <c r="K22" i="9"/>
  <c r="J22" i="9"/>
  <c r="I22" i="9"/>
  <c r="F22" i="9"/>
  <c r="E22" i="9"/>
  <c r="D22" i="9"/>
  <c r="C22" i="9"/>
  <c r="B22" i="9"/>
  <c r="A22" i="9"/>
  <c r="K21" i="9"/>
  <c r="J21" i="9"/>
  <c r="I21" i="9"/>
  <c r="H21" i="9"/>
  <c r="G21" i="9"/>
  <c r="F21" i="9"/>
  <c r="E21" i="9"/>
  <c r="D21" i="9"/>
  <c r="C21" i="9"/>
  <c r="B21" i="9"/>
  <c r="A21" i="9"/>
  <c r="K20" i="9"/>
  <c r="J20" i="9"/>
  <c r="I20" i="9"/>
  <c r="H20" i="9"/>
  <c r="G20" i="9"/>
  <c r="F20" i="9"/>
  <c r="E20" i="9"/>
  <c r="D20" i="9"/>
  <c r="C20" i="9"/>
  <c r="B20" i="9"/>
  <c r="A20" i="9"/>
  <c r="K19" i="9"/>
  <c r="J19" i="9"/>
  <c r="I19" i="9"/>
  <c r="H19" i="9"/>
  <c r="G19" i="9"/>
  <c r="F19" i="9"/>
  <c r="E19" i="9"/>
  <c r="D19" i="9"/>
  <c r="C19" i="9"/>
  <c r="B19" i="9"/>
  <c r="A19" i="9"/>
  <c r="K18" i="9"/>
  <c r="J18" i="9"/>
  <c r="I18" i="9"/>
  <c r="H18" i="9"/>
  <c r="G18" i="9"/>
  <c r="F18" i="9"/>
  <c r="E18" i="9"/>
  <c r="D18" i="9"/>
  <c r="C18" i="9"/>
  <c r="B18" i="9"/>
  <c r="A18" i="9"/>
  <c r="K17" i="9"/>
  <c r="J17" i="9"/>
  <c r="I17" i="9"/>
  <c r="H17" i="9"/>
  <c r="G17" i="9"/>
  <c r="F17" i="9"/>
  <c r="E17" i="9"/>
  <c r="D17" i="9"/>
  <c r="C17" i="9"/>
  <c r="B17" i="9"/>
  <c r="A17" i="9"/>
  <c r="K16" i="9"/>
  <c r="J16" i="9"/>
  <c r="I16" i="9"/>
  <c r="H16" i="9"/>
  <c r="G16" i="9"/>
  <c r="F16" i="9"/>
  <c r="E16" i="9"/>
  <c r="D16" i="9"/>
  <c r="C16" i="9"/>
  <c r="B16" i="9"/>
  <c r="A16" i="9"/>
  <c r="K15" i="9"/>
  <c r="J15" i="9"/>
  <c r="I15" i="9"/>
  <c r="H15" i="9"/>
  <c r="G15" i="9"/>
  <c r="F15" i="9"/>
  <c r="E15" i="9"/>
  <c r="D15" i="9"/>
  <c r="C15" i="9"/>
  <c r="B15" i="9"/>
  <c r="A15" i="9"/>
  <c r="K14" i="9"/>
  <c r="J14" i="9"/>
  <c r="I14" i="9"/>
  <c r="H14" i="9"/>
  <c r="G14" i="9"/>
  <c r="F14" i="9"/>
  <c r="E14" i="9"/>
  <c r="D14" i="9"/>
  <c r="C14" i="9"/>
  <c r="B14" i="9"/>
  <c r="A14" i="9"/>
  <c r="K13" i="9"/>
  <c r="J13" i="9"/>
  <c r="I13" i="9"/>
  <c r="H13" i="9"/>
  <c r="G13" i="9"/>
  <c r="F13" i="9"/>
  <c r="E13" i="9"/>
  <c r="D13" i="9"/>
  <c r="C13" i="9"/>
  <c r="B13" i="9"/>
  <c r="A13" i="9"/>
  <c r="K12" i="9"/>
  <c r="J12" i="9"/>
  <c r="I12" i="9"/>
  <c r="H12" i="9"/>
  <c r="G12" i="9"/>
  <c r="F12" i="9"/>
  <c r="E12" i="9"/>
  <c r="D12" i="9"/>
  <c r="C12" i="9"/>
  <c r="B12" i="9"/>
  <c r="A12" i="9"/>
  <c r="K11" i="9"/>
  <c r="J11" i="9"/>
  <c r="I11" i="9"/>
  <c r="H11" i="9"/>
  <c r="G11" i="9"/>
  <c r="F11" i="9"/>
  <c r="E11" i="9"/>
  <c r="D11" i="9"/>
  <c r="C11" i="9"/>
  <c r="B11" i="9"/>
  <c r="A11" i="9"/>
  <c r="K10" i="9"/>
  <c r="J10" i="9"/>
  <c r="I10" i="9"/>
  <c r="H10" i="9"/>
  <c r="G10" i="9"/>
  <c r="F10" i="9"/>
  <c r="E10" i="9"/>
  <c r="D10" i="9"/>
  <c r="C10" i="9"/>
  <c r="B10" i="9"/>
  <c r="A10" i="9"/>
  <c r="K9" i="9"/>
  <c r="J9" i="9"/>
  <c r="I9" i="9"/>
  <c r="H9" i="9"/>
  <c r="G9" i="9"/>
  <c r="F9" i="9"/>
  <c r="E9" i="9"/>
  <c r="D9" i="9"/>
  <c r="C9" i="9"/>
  <c r="B9" i="9"/>
  <c r="A9" i="9"/>
  <c r="K8" i="9"/>
  <c r="J8" i="9"/>
  <c r="I8" i="9"/>
  <c r="H8" i="9"/>
  <c r="G8" i="9"/>
  <c r="F8" i="9"/>
  <c r="E8" i="9"/>
  <c r="D8" i="9"/>
  <c r="C8" i="9"/>
  <c r="B8" i="9"/>
  <c r="A8" i="9"/>
  <c r="K7" i="9"/>
  <c r="J7" i="9"/>
  <c r="I7" i="9"/>
  <c r="H7" i="9"/>
  <c r="G7" i="9"/>
  <c r="F7" i="9"/>
  <c r="E7" i="9"/>
  <c r="D7" i="9"/>
  <c r="C7" i="9"/>
  <c r="B7" i="9"/>
  <c r="A7" i="9"/>
  <c r="K6" i="9"/>
  <c r="J6" i="9"/>
  <c r="I6" i="9"/>
  <c r="H6" i="9"/>
  <c r="G6" i="9"/>
  <c r="F6" i="9"/>
  <c r="E6" i="9"/>
  <c r="D6" i="9"/>
  <c r="C6" i="9"/>
  <c r="B6" i="9"/>
  <c r="A6" i="9"/>
  <c r="K5" i="9"/>
  <c r="J5" i="9"/>
  <c r="I5" i="9"/>
  <c r="H5" i="9"/>
  <c r="G5" i="9"/>
  <c r="F5" i="9"/>
  <c r="E5" i="9"/>
  <c r="D5" i="9"/>
  <c r="C5" i="9"/>
  <c r="B5" i="9"/>
  <c r="A5" i="9"/>
  <c r="K4" i="9"/>
  <c r="J4" i="9"/>
  <c r="I4" i="9"/>
  <c r="H4" i="9"/>
  <c r="G4" i="9"/>
  <c r="F4" i="9"/>
  <c r="E4" i="9"/>
  <c r="D4" i="9"/>
  <c r="C4" i="9"/>
  <c r="B4" i="9"/>
  <c r="A4" i="9"/>
  <c r="K3" i="9"/>
  <c r="J3" i="9"/>
  <c r="I3" i="9"/>
  <c r="H3" i="9"/>
  <c r="G3" i="9"/>
  <c r="F3" i="9"/>
  <c r="E3" i="9"/>
  <c r="D3" i="9"/>
  <c r="C3" i="9"/>
  <c r="B3" i="9"/>
  <c r="A3" i="9"/>
  <c r="K2" i="9"/>
  <c r="J2" i="9"/>
  <c r="I2" i="9"/>
  <c r="H2" i="9"/>
  <c r="G2" i="9"/>
  <c r="F2" i="9"/>
  <c r="E2" i="9"/>
  <c r="D2" i="9"/>
  <c r="C2" i="9"/>
  <c r="B2" i="9"/>
  <c r="A2" i="9"/>
  <c r="K1" i="9"/>
  <c r="J1" i="9"/>
  <c r="I1" i="9"/>
  <c r="H1" i="9"/>
  <c r="G1" i="9"/>
  <c r="F1" i="9"/>
  <c r="E1" i="9"/>
  <c r="D1" i="9"/>
  <c r="C1" i="9"/>
  <c r="B1" i="9"/>
  <c r="A1" i="9"/>
  <c r="AC811" i="8"/>
  <c r="AB811" i="8"/>
  <c r="AA811" i="8"/>
  <c r="Z811" i="8"/>
  <c r="Y811" i="8"/>
  <c r="X811" i="8"/>
  <c r="W811" i="8"/>
  <c r="V811" i="8"/>
  <c r="U811" i="8"/>
  <c r="T811" i="8"/>
  <c r="S811" i="8"/>
  <c r="R811" i="8"/>
  <c r="Q811" i="8"/>
  <c r="P811" i="8"/>
  <c r="O811" i="8"/>
  <c r="N811" i="8"/>
  <c r="M811" i="8"/>
  <c r="L811" i="8"/>
  <c r="K811" i="8"/>
  <c r="J811" i="8"/>
  <c r="I811" i="8"/>
  <c r="H811" i="8"/>
  <c r="G811" i="8"/>
  <c r="F811" i="8"/>
  <c r="E811" i="8"/>
  <c r="D811" i="8"/>
  <c r="C811" i="8"/>
  <c r="B811" i="8"/>
  <c r="A811" i="8"/>
  <c r="AC810" i="8"/>
  <c r="AB810" i="8"/>
  <c r="AA810" i="8"/>
  <c r="Z810" i="8"/>
  <c r="Y810" i="8"/>
  <c r="X810" i="8"/>
  <c r="W810" i="8"/>
  <c r="V810" i="8"/>
  <c r="U810" i="8"/>
  <c r="T810" i="8"/>
  <c r="S810" i="8"/>
  <c r="R810" i="8"/>
  <c r="Q810" i="8"/>
  <c r="P810" i="8"/>
  <c r="O810" i="8"/>
  <c r="N810" i="8"/>
  <c r="M810" i="8"/>
  <c r="L810" i="8"/>
  <c r="K810" i="8"/>
  <c r="J810" i="8"/>
  <c r="I810" i="8"/>
  <c r="H810" i="8"/>
  <c r="G810" i="8"/>
  <c r="F810" i="8"/>
  <c r="E810" i="8"/>
  <c r="D810" i="8"/>
  <c r="C810" i="8"/>
  <c r="B810" i="8"/>
  <c r="A810" i="8"/>
  <c r="AC809" i="8"/>
  <c r="AB809" i="8"/>
  <c r="AA809" i="8"/>
  <c r="Z809" i="8"/>
  <c r="Y809" i="8"/>
  <c r="X809" i="8"/>
  <c r="W809" i="8"/>
  <c r="V809" i="8"/>
  <c r="U809" i="8"/>
  <c r="T809" i="8"/>
  <c r="S809" i="8"/>
  <c r="R809" i="8"/>
  <c r="Q809" i="8"/>
  <c r="P809" i="8"/>
  <c r="O809" i="8"/>
  <c r="N809" i="8"/>
  <c r="M809" i="8"/>
  <c r="L809" i="8"/>
  <c r="K809" i="8"/>
  <c r="J809" i="8"/>
  <c r="I809" i="8"/>
  <c r="H809" i="8"/>
  <c r="G809" i="8"/>
  <c r="F809" i="8"/>
  <c r="E809" i="8"/>
  <c r="D809" i="8"/>
  <c r="C809" i="8"/>
  <c r="B809" i="8"/>
  <c r="A809" i="8"/>
  <c r="AC808" i="8"/>
  <c r="AB808" i="8"/>
  <c r="AA808" i="8"/>
  <c r="Z808" i="8"/>
  <c r="Y808" i="8"/>
  <c r="X808" i="8"/>
  <c r="W808" i="8"/>
  <c r="V808" i="8"/>
  <c r="U808" i="8"/>
  <c r="T808" i="8"/>
  <c r="S808" i="8"/>
  <c r="R808" i="8"/>
  <c r="Q808" i="8"/>
  <c r="P808" i="8"/>
  <c r="O808" i="8"/>
  <c r="N808" i="8"/>
  <c r="M808" i="8"/>
  <c r="L808" i="8"/>
  <c r="K808" i="8"/>
  <c r="J808" i="8"/>
  <c r="I808" i="8"/>
  <c r="H808" i="8"/>
  <c r="G808" i="8"/>
  <c r="F808" i="8"/>
  <c r="E808" i="8"/>
  <c r="D808" i="8"/>
  <c r="C808" i="8"/>
  <c r="B808" i="8"/>
  <c r="A808" i="8"/>
  <c r="AC807" i="8"/>
  <c r="AB807" i="8"/>
  <c r="AA807" i="8"/>
  <c r="Z807" i="8"/>
  <c r="Y807" i="8"/>
  <c r="X807" i="8"/>
  <c r="W807" i="8"/>
  <c r="V807" i="8"/>
  <c r="U807" i="8"/>
  <c r="T807" i="8"/>
  <c r="S807" i="8"/>
  <c r="R807" i="8"/>
  <c r="Q807" i="8"/>
  <c r="P807" i="8"/>
  <c r="O807" i="8"/>
  <c r="N807" i="8"/>
  <c r="M807" i="8"/>
  <c r="L807" i="8"/>
  <c r="K807" i="8"/>
  <c r="J807" i="8"/>
  <c r="I807" i="8"/>
  <c r="H807" i="8"/>
  <c r="G807" i="8"/>
  <c r="F807" i="8"/>
  <c r="E807" i="8"/>
  <c r="D807" i="8"/>
  <c r="C807" i="8"/>
  <c r="B807" i="8"/>
  <c r="A807" i="8"/>
  <c r="AC806" i="8"/>
  <c r="AB806" i="8"/>
  <c r="AA806" i="8"/>
  <c r="Z806" i="8"/>
  <c r="Y806" i="8"/>
  <c r="X806" i="8"/>
  <c r="W806" i="8"/>
  <c r="V806" i="8"/>
  <c r="U806" i="8"/>
  <c r="T806" i="8"/>
  <c r="S806" i="8"/>
  <c r="R806" i="8"/>
  <c r="Q806" i="8"/>
  <c r="P806" i="8"/>
  <c r="O806" i="8"/>
  <c r="N806" i="8"/>
  <c r="M806" i="8"/>
  <c r="L806" i="8"/>
  <c r="K806" i="8"/>
  <c r="J806" i="8"/>
  <c r="I806" i="8"/>
  <c r="H806" i="8"/>
  <c r="G806" i="8"/>
  <c r="F806" i="8"/>
  <c r="E806" i="8"/>
  <c r="D806" i="8"/>
  <c r="C806" i="8"/>
  <c r="B806" i="8"/>
  <c r="A806" i="8"/>
  <c r="AC805" i="8"/>
  <c r="AB805" i="8"/>
  <c r="AA805" i="8"/>
  <c r="Z805" i="8"/>
  <c r="Y805" i="8"/>
  <c r="X805" i="8"/>
  <c r="W805" i="8"/>
  <c r="V805" i="8"/>
  <c r="U805" i="8"/>
  <c r="T805" i="8"/>
  <c r="S805" i="8"/>
  <c r="R805" i="8"/>
  <c r="Q805" i="8"/>
  <c r="P805" i="8"/>
  <c r="O805" i="8"/>
  <c r="N805" i="8"/>
  <c r="M805" i="8"/>
  <c r="L805" i="8"/>
  <c r="K805" i="8"/>
  <c r="J805" i="8"/>
  <c r="I805" i="8"/>
  <c r="H805" i="8"/>
  <c r="G805" i="8"/>
  <c r="F805" i="8"/>
  <c r="E805" i="8"/>
  <c r="D805" i="8"/>
  <c r="C805" i="8"/>
  <c r="B805" i="8"/>
  <c r="A805" i="8"/>
  <c r="AC804" i="8"/>
  <c r="AB804" i="8"/>
  <c r="AA804" i="8"/>
  <c r="Z804" i="8"/>
  <c r="Y804" i="8"/>
  <c r="X804" i="8"/>
  <c r="W804" i="8"/>
  <c r="V804" i="8"/>
  <c r="U804" i="8"/>
  <c r="T804" i="8"/>
  <c r="S804" i="8"/>
  <c r="R804" i="8"/>
  <c r="Q804" i="8"/>
  <c r="P804" i="8"/>
  <c r="O804" i="8"/>
  <c r="N804" i="8"/>
  <c r="M804" i="8"/>
  <c r="L804" i="8"/>
  <c r="K804" i="8"/>
  <c r="J804" i="8"/>
  <c r="I804" i="8"/>
  <c r="H804" i="8"/>
  <c r="G804" i="8"/>
  <c r="F804" i="8"/>
  <c r="E804" i="8"/>
  <c r="D804" i="8"/>
  <c r="C804" i="8"/>
  <c r="B804" i="8"/>
  <c r="A804" i="8"/>
  <c r="B803" i="8"/>
  <c r="A803" i="8"/>
  <c r="AC802" i="8"/>
  <c r="AB802" i="8"/>
  <c r="AA802" i="8"/>
  <c r="Z802" i="8"/>
  <c r="Y802" i="8"/>
  <c r="X802" i="8"/>
  <c r="W802" i="8"/>
  <c r="V802" i="8"/>
  <c r="U802" i="8"/>
  <c r="T802" i="8"/>
  <c r="S802" i="8"/>
  <c r="R802" i="8"/>
  <c r="Q802" i="8"/>
  <c r="P802" i="8"/>
  <c r="O802" i="8"/>
  <c r="N802" i="8"/>
  <c r="M802" i="8"/>
  <c r="L802" i="8"/>
  <c r="K802" i="8"/>
  <c r="J802" i="8"/>
  <c r="I802" i="8"/>
  <c r="H802" i="8"/>
  <c r="G802" i="8"/>
  <c r="F802" i="8"/>
  <c r="E802" i="8"/>
  <c r="D802" i="8"/>
  <c r="C802" i="8"/>
  <c r="B802" i="8"/>
  <c r="A802" i="8"/>
  <c r="B801" i="8"/>
  <c r="A801" i="8"/>
  <c r="B800" i="8"/>
  <c r="A800" i="8"/>
  <c r="B799" i="8"/>
  <c r="A799" i="8"/>
  <c r="B798" i="8"/>
  <c r="A798" i="8"/>
  <c r="AC797" i="8"/>
  <c r="AB797" i="8"/>
  <c r="AA797" i="8"/>
  <c r="Z797" i="8"/>
  <c r="Y797" i="8"/>
  <c r="X797" i="8"/>
  <c r="W797" i="8"/>
  <c r="V797" i="8"/>
  <c r="U797" i="8"/>
  <c r="T797" i="8"/>
  <c r="S797" i="8"/>
  <c r="R797" i="8"/>
  <c r="Q797" i="8"/>
  <c r="P797" i="8"/>
  <c r="O797" i="8"/>
  <c r="N797" i="8"/>
  <c r="M797" i="8"/>
  <c r="L797" i="8"/>
  <c r="K797" i="8"/>
  <c r="J797" i="8"/>
  <c r="I797" i="8"/>
  <c r="H797" i="8"/>
  <c r="G797" i="8"/>
  <c r="F797" i="8"/>
  <c r="E797" i="8"/>
  <c r="D797" i="8"/>
  <c r="C797" i="8"/>
  <c r="B797" i="8"/>
  <c r="A797" i="8"/>
  <c r="AC796" i="8"/>
  <c r="AB796" i="8"/>
  <c r="AA796" i="8"/>
  <c r="Z796" i="8"/>
  <c r="Y796" i="8"/>
  <c r="X796" i="8"/>
  <c r="W796" i="8"/>
  <c r="V796" i="8"/>
  <c r="U796" i="8"/>
  <c r="T796" i="8"/>
  <c r="S796" i="8"/>
  <c r="R796" i="8"/>
  <c r="Q796" i="8"/>
  <c r="P796" i="8"/>
  <c r="O796" i="8"/>
  <c r="N796" i="8"/>
  <c r="M796" i="8"/>
  <c r="L796" i="8"/>
  <c r="K796" i="8"/>
  <c r="J796" i="8"/>
  <c r="I796" i="8"/>
  <c r="H796" i="8"/>
  <c r="G796" i="8"/>
  <c r="F796" i="8"/>
  <c r="E796" i="8"/>
  <c r="D796" i="8"/>
  <c r="C796" i="8"/>
  <c r="B796" i="8"/>
  <c r="A796" i="8"/>
  <c r="AC795" i="8"/>
  <c r="AB795" i="8"/>
  <c r="AA795" i="8"/>
  <c r="Z795" i="8"/>
  <c r="Y795" i="8"/>
  <c r="X795" i="8"/>
  <c r="W795" i="8"/>
  <c r="V795" i="8"/>
  <c r="U795" i="8"/>
  <c r="T795" i="8"/>
  <c r="S795" i="8"/>
  <c r="R795" i="8"/>
  <c r="Q795" i="8"/>
  <c r="P795" i="8"/>
  <c r="O795" i="8"/>
  <c r="N795" i="8"/>
  <c r="M795" i="8"/>
  <c r="L795" i="8"/>
  <c r="K795" i="8"/>
  <c r="J795" i="8"/>
  <c r="I795" i="8"/>
  <c r="H795" i="8"/>
  <c r="G795" i="8"/>
  <c r="F795" i="8"/>
  <c r="E795" i="8"/>
  <c r="D795" i="8"/>
  <c r="C795" i="8"/>
  <c r="B795" i="8"/>
  <c r="A795" i="8"/>
  <c r="AC794" i="8"/>
  <c r="AB794" i="8"/>
  <c r="AA794" i="8"/>
  <c r="Z794" i="8"/>
  <c r="Y794" i="8"/>
  <c r="X794" i="8"/>
  <c r="W794" i="8"/>
  <c r="V794" i="8"/>
  <c r="U794" i="8"/>
  <c r="T794" i="8"/>
  <c r="S794" i="8"/>
  <c r="R794" i="8"/>
  <c r="Q794" i="8"/>
  <c r="P794" i="8"/>
  <c r="O794" i="8"/>
  <c r="N794" i="8"/>
  <c r="M794" i="8"/>
  <c r="L794" i="8"/>
  <c r="K794" i="8"/>
  <c r="J794" i="8"/>
  <c r="I794" i="8"/>
  <c r="H794" i="8"/>
  <c r="G794" i="8"/>
  <c r="F794" i="8"/>
  <c r="E794" i="8"/>
  <c r="D794" i="8"/>
  <c r="C794" i="8"/>
  <c r="B794" i="8"/>
  <c r="A794" i="8"/>
  <c r="AB793" i="8"/>
  <c r="Q793" i="8"/>
  <c r="P793" i="8"/>
  <c r="O793" i="8"/>
  <c r="N793" i="8"/>
  <c r="M793" i="8"/>
  <c r="L793" i="8"/>
  <c r="K793" i="8"/>
  <c r="J793" i="8"/>
  <c r="I793" i="8"/>
  <c r="H793" i="8"/>
  <c r="G793" i="8"/>
  <c r="F793" i="8"/>
  <c r="E793" i="8"/>
  <c r="D793" i="8"/>
  <c r="C793" i="8"/>
  <c r="B793" i="8"/>
  <c r="A793" i="8"/>
  <c r="AB792" i="8"/>
  <c r="Q792" i="8"/>
  <c r="P792" i="8"/>
  <c r="O792" i="8"/>
  <c r="N792" i="8"/>
  <c r="M792" i="8"/>
  <c r="L792" i="8"/>
  <c r="K792" i="8"/>
  <c r="J792" i="8"/>
  <c r="I792" i="8"/>
  <c r="H792" i="8"/>
  <c r="G792" i="8"/>
  <c r="F792" i="8"/>
  <c r="E792" i="8"/>
  <c r="D792" i="8"/>
  <c r="C792" i="8"/>
  <c r="B792" i="8"/>
  <c r="A792" i="8"/>
  <c r="AC791" i="8"/>
  <c r="AB791" i="8"/>
  <c r="AA791" i="8"/>
  <c r="Z791" i="8"/>
  <c r="Y791" i="8"/>
  <c r="X791" i="8"/>
  <c r="W791" i="8"/>
  <c r="V791" i="8"/>
  <c r="U791" i="8"/>
  <c r="T791" i="8"/>
  <c r="S791" i="8"/>
  <c r="R791" i="8"/>
  <c r="Q791" i="8"/>
  <c r="P791" i="8"/>
  <c r="O791" i="8"/>
  <c r="N791" i="8"/>
  <c r="M791" i="8"/>
  <c r="L791" i="8"/>
  <c r="K791" i="8"/>
  <c r="J791" i="8"/>
  <c r="I791" i="8"/>
  <c r="H791" i="8"/>
  <c r="G791" i="8"/>
  <c r="F791" i="8"/>
  <c r="E791" i="8"/>
  <c r="D791" i="8"/>
  <c r="C791" i="8"/>
  <c r="B791" i="8"/>
  <c r="A791" i="8"/>
  <c r="B790" i="8"/>
  <c r="A790" i="8"/>
  <c r="B789" i="8"/>
  <c r="A789" i="8"/>
  <c r="B788" i="8"/>
  <c r="A788" i="8"/>
  <c r="B787" i="8"/>
  <c r="A787" i="8"/>
  <c r="B786" i="8"/>
  <c r="A786" i="8"/>
  <c r="B785" i="8"/>
  <c r="A785" i="8"/>
  <c r="B784" i="8"/>
  <c r="A784" i="8"/>
  <c r="B783" i="8"/>
  <c r="A783" i="8"/>
  <c r="B782" i="8"/>
  <c r="A782" i="8"/>
  <c r="B781" i="8"/>
  <c r="A781" i="8"/>
  <c r="B780" i="8"/>
  <c r="A780" i="8"/>
  <c r="B779" i="8"/>
  <c r="A779" i="8"/>
  <c r="B778" i="8"/>
  <c r="A778" i="8"/>
  <c r="B777" i="8"/>
  <c r="A777" i="8"/>
  <c r="B776" i="8"/>
  <c r="A776" i="8"/>
  <c r="B775" i="8"/>
  <c r="A775" i="8"/>
  <c r="B774" i="8"/>
  <c r="A774" i="8"/>
  <c r="AC773" i="8"/>
  <c r="AB773" i="8"/>
  <c r="AA773" i="8"/>
  <c r="Z773" i="8"/>
  <c r="Y773" i="8"/>
  <c r="X773" i="8"/>
  <c r="W773" i="8"/>
  <c r="V773" i="8"/>
  <c r="U773" i="8"/>
  <c r="T773" i="8"/>
  <c r="S773" i="8"/>
  <c r="R773" i="8"/>
  <c r="Q773" i="8"/>
  <c r="P773" i="8"/>
  <c r="O773" i="8"/>
  <c r="N773" i="8"/>
  <c r="M773" i="8"/>
  <c r="L773" i="8"/>
  <c r="K773" i="8"/>
  <c r="J773" i="8"/>
  <c r="I773" i="8"/>
  <c r="H773" i="8"/>
  <c r="G773" i="8"/>
  <c r="F773" i="8"/>
  <c r="E773" i="8"/>
  <c r="D773" i="8"/>
  <c r="C773" i="8"/>
  <c r="B773" i="8"/>
  <c r="A773" i="8"/>
  <c r="B772" i="8"/>
  <c r="A772" i="8"/>
  <c r="B771" i="8"/>
  <c r="A771" i="8"/>
  <c r="B770" i="8"/>
  <c r="A770" i="8"/>
  <c r="B769" i="8"/>
  <c r="A769" i="8"/>
  <c r="B768" i="8"/>
  <c r="A768" i="8"/>
  <c r="B767" i="8"/>
  <c r="A767" i="8"/>
  <c r="B766" i="8"/>
  <c r="A766" i="8"/>
  <c r="C765" i="8"/>
  <c r="B765" i="8"/>
  <c r="A765" i="8"/>
  <c r="C764" i="8"/>
  <c r="B764" i="8"/>
  <c r="A764" i="8"/>
  <c r="C763" i="8"/>
  <c r="B763" i="8"/>
  <c r="A763" i="8"/>
  <c r="C762" i="8"/>
  <c r="B762" i="8"/>
  <c r="A762" i="8"/>
  <c r="C761" i="8"/>
  <c r="B761" i="8"/>
  <c r="A761" i="8"/>
  <c r="AC760" i="8"/>
  <c r="AB760" i="8"/>
  <c r="AA760" i="8"/>
  <c r="Z760" i="8"/>
  <c r="Y760" i="8"/>
  <c r="X760" i="8"/>
  <c r="W760" i="8"/>
  <c r="V760" i="8"/>
  <c r="U760" i="8"/>
  <c r="T760" i="8"/>
  <c r="S760" i="8"/>
  <c r="R760" i="8"/>
  <c r="Q760" i="8"/>
  <c r="P760" i="8"/>
  <c r="O760" i="8"/>
  <c r="N760" i="8"/>
  <c r="M760" i="8"/>
  <c r="L760" i="8"/>
  <c r="K760" i="8"/>
  <c r="J760" i="8"/>
  <c r="I760" i="8"/>
  <c r="H760" i="8"/>
  <c r="G760" i="8"/>
  <c r="F760" i="8"/>
  <c r="E760" i="8"/>
  <c r="D760" i="8"/>
  <c r="C760" i="8"/>
  <c r="B760" i="8"/>
  <c r="A760" i="8"/>
  <c r="AC759" i="8"/>
  <c r="AB759" i="8"/>
  <c r="AA759" i="8"/>
  <c r="Z759" i="8"/>
  <c r="Y759" i="8"/>
  <c r="X759" i="8"/>
  <c r="W759" i="8"/>
  <c r="V759" i="8"/>
  <c r="U759" i="8"/>
  <c r="T759" i="8"/>
  <c r="S759" i="8"/>
  <c r="R759" i="8"/>
  <c r="Q759" i="8"/>
  <c r="P759" i="8"/>
  <c r="O759" i="8"/>
  <c r="N759" i="8"/>
  <c r="M759" i="8"/>
  <c r="L759" i="8"/>
  <c r="K759" i="8"/>
  <c r="J759" i="8"/>
  <c r="I759" i="8"/>
  <c r="H759" i="8"/>
  <c r="G759" i="8"/>
  <c r="F759" i="8"/>
  <c r="E759" i="8"/>
  <c r="D759" i="8"/>
  <c r="C759" i="8"/>
  <c r="B759" i="8"/>
  <c r="A759" i="8"/>
  <c r="AC758" i="8"/>
  <c r="AB758" i="8"/>
  <c r="AA758" i="8"/>
  <c r="Z758" i="8"/>
  <c r="Y758" i="8"/>
  <c r="X758" i="8"/>
  <c r="W758" i="8"/>
  <c r="V758" i="8"/>
  <c r="U758" i="8"/>
  <c r="T758" i="8"/>
  <c r="S758" i="8"/>
  <c r="R758" i="8"/>
  <c r="Q758" i="8"/>
  <c r="P758" i="8"/>
  <c r="O758" i="8"/>
  <c r="N758" i="8"/>
  <c r="M758" i="8"/>
  <c r="L758" i="8"/>
  <c r="K758" i="8"/>
  <c r="J758" i="8"/>
  <c r="I758" i="8"/>
  <c r="H758" i="8"/>
  <c r="G758" i="8"/>
  <c r="F758" i="8"/>
  <c r="E758" i="8"/>
  <c r="D758" i="8"/>
  <c r="C758" i="8"/>
  <c r="B758" i="8"/>
  <c r="A758" i="8"/>
  <c r="AC757" i="8"/>
  <c r="AB757" i="8"/>
  <c r="AA757" i="8"/>
  <c r="Z757" i="8"/>
  <c r="Y757" i="8"/>
  <c r="X757" i="8"/>
  <c r="W757" i="8"/>
  <c r="V757" i="8"/>
  <c r="U757" i="8"/>
  <c r="T757" i="8"/>
  <c r="S757" i="8"/>
  <c r="R757" i="8"/>
  <c r="Q757" i="8"/>
  <c r="P757" i="8"/>
  <c r="O757" i="8"/>
  <c r="N757" i="8"/>
  <c r="M757" i="8"/>
  <c r="L757" i="8"/>
  <c r="K757" i="8"/>
  <c r="J757" i="8"/>
  <c r="I757" i="8"/>
  <c r="H757" i="8"/>
  <c r="G757" i="8"/>
  <c r="F757" i="8"/>
  <c r="E757" i="8"/>
  <c r="D757" i="8"/>
  <c r="C757" i="8"/>
  <c r="B757" i="8"/>
  <c r="A757" i="8"/>
  <c r="AC756" i="8"/>
  <c r="AB756" i="8"/>
  <c r="AA756" i="8"/>
  <c r="Z756" i="8"/>
  <c r="Y756" i="8"/>
  <c r="X756" i="8"/>
  <c r="W756" i="8"/>
  <c r="V756" i="8"/>
  <c r="U756" i="8"/>
  <c r="T756" i="8"/>
  <c r="S756" i="8"/>
  <c r="R756" i="8"/>
  <c r="Q756" i="8"/>
  <c r="P756" i="8"/>
  <c r="O756" i="8"/>
  <c r="N756" i="8"/>
  <c r="M756" i="8"/>
  <c r="L756" i="8"/>
  <c r="K756" i="8"/>
  <c r="J756" i="8"/>
  <c r="I756" i="8"/>
  <c r="H756" i="8"/>
  <c r="G756" i="8"/>
  <c r="F756" i="8"/>
  <c r="E756" i="8"/>
  <c r="D756" i="8"/>
  <c r="C756" i="8"/>
  <c r="B756" i="8"/>
  <c r="A756" i="8"/>
  <c r="AC755" i="8"/>
  <c r="AB755" i="8"/>
  <c r="AA755" i="8"/>
  <c r="Z755" i="8"/>
  <c r="Y755" i="8"/>
  <c r="X755" i="8"/>
  <c r="W755" i="8"/>
  <c r="V755" i="8"/>
  <c r="U755" i="8"/>
  <c r="T755" i="8"/>
  <c r="S755" i="8"/>
  <c r="R755" i="8"/>
  <c r="Q755" i="8"/>
  <c r="P755" i="8"/>
  <c r="O755" i="8"/>
  <c r="N755" i="8"/>
  <c r="M755" i="8"/>
  <c r="L755" i="8"/>
  <c r="K755" i="8"/>
  <c r="J755" i="8"/>
  <c r="I755" i="8"/>
  <c r="H755" i="8"/>
  <c r="G755" i="8"/>
  <c r="F755" i="8"/>
  <c r="E755" i="8"/>
  <c r="D755" i="8"/>
  <c r="C755" i="8"/>
  <c r="B755" i="8"/>
  <c r="A755" i="8"/>
  <c r="AC754" i="8"/>
  <c r="AB754" i="8"/>
  <c r="AA754" i="8"/>
  <c r="Z754" i="8"/>
  <c r="Y754" i="8"/>
  <c r="X754" i="8"/>
  <c r="W754" i="8"/>
  <c r="V754" i="8"/>
  <c r="U754" i="8"/>
  <c r="T754" i="8"/>
  <c r="S754" i="8"/>
  <c r="R754" i="8"/>
  <c r="Q754" i="8"/>
  <c r="P754" i="8"/>
  <c r="O754" i="8"/>
  <c r="N754" i="8"/>
  <c r="M754" i="8"/>
  <c r="L754" i="8"/>
  <c r="K754" i="8"/>
  <c r="J754" i="8"/>
  <c r="I754" i="8"/>
  <c r="H754" i="8"/>
  <c r="G754" i="8"/>
  <c r="F754" i="8"/>
  <c r="E754" i="8"/>
  <c r="D754" i="8"/>
  <c r="C754" i="8"/>
  <c r="B754" i="8"/>
  <c r="A754" i="8"/>
  <c r="AC753" i="8"/>
  <c r="AB753" i="8"/>
  <c r="AA753" i="8"/>
  <c r="Z753" i="8"/>
  <c r="Y753" i="8"/>
  <c r="X753" i="8"/>
  <c r="W753" i="8"/>
  <c r="V753" i="8"/>
  <c r="U753" i="8"/>
  <c r="T753" i="8"/>
  <c r="S753" i="8"/>
  <c r="R753" i="8"/>
  <c r="Q753" i="8"/>
  <c r="P753" i="8"/>
  <c r="O753" i="8"/>
  <c r="N753" i="8"/>
  <c r="M753" i="8"/>
  <c r="L753" i="8"/>
  <c r="K753" i="8"/>
  <c r="J753" i="8"/>
  <c r="I753" i="8"/>
  <c r="H753" i="8"/>
  <c r="G753" i="8"/>
  <c r="F753" i="8"/>
  <c r="E753" i="8"/>
  <c r="D753" i="8"/>
  <c r="C753" i="8"/>
  <c r="B753" i="8"/>
  <c r="A753" i="8"/>
  <c r="AC752" i="8"/>
  <c r="AB752" i="8"/>
  <c r="AA752" i="8"/>
  <c r="Z752" i="8"/>
  <c r="Y752" i="8"/>
  <c r="X752" i="8"/>
  <c r="W752" i="8"/>
  <c r="V752" i="8"/>
  <c r="U752" i="8"/>
  <c r="T752" i="8"/>
  <c r="S752" i="8"/>
  <c r="R752" i="8"/>
  <c r="Q752" i="8"/>
  <c r="P752" i="8"/>
  <c r="O752" i="8"/>
  <c r="N752" i="8"/>
  <c r="M752" i="8"/>
  <c r="L752" i="8"/>
  <c r="K752" i="8"/>
  <c r="J752" i="8"/>
  <c r="I752" i="8"/>
  <c r="H752" i="8"/>
  <c r="G752" i="8"/>
  <c r="F752" i="8"/>
  <c r="E752" i="8"/>
  <c r="D752" i="8"/>
  <c r="C752" i="8"/>
  <c r="B752" i="8"/>
  <c r="A752" i="8"/>
  <c r="AC751" i="8"/>
  <c r="AB751" i="8"/>
  <c r="AA751" i="8"/>
  <c r="Z751" i="8"/>
  <c r="Y751" i="8"/>
  <c r="X751" i="8"/>
  <c r="W751" i="8"/>
  <c r="V751" i="8"/>
  <c r="U751" i="8"/>
  <c r="T751" i="8"/>
  <c r="S751" i="8"/>
  <c r="R751" i="8"/>
  <c r="Q751" i="8"/>
  <c r="P751" i="8"/>
  <c r="O751" i="8"/>
  <c r="N751" i="8"/>
  <c r="M751" i="8"/>
  <c r="L751" i="8"/>
  <c r="K751" i="8"/>
  <c r="J751" i="8"/>
  <c r="I751" i="8"/>
  <c r="H751" i="8"/>
  <c r="G751" i="8"/>
  <c r="F751" i="8"/>
  <c r="E751" i="8"/>
  <c r="D751" i="8"/>
  <c r="C751" i="8"/>
  <c r="B751" i="8"/>
  <c r="A751" i="8"/>
  <c r="AC750" i="8"/>
  <c r="AB750" i="8"/>
  <c r="AA750" i="8"/>
  <c r="Z750" i="8"/>
  <c r="Y750" i="8"/>
  <c r="X750" i="8"/>
  <c r="W750" i="8"/>
  <c r="V750" i="8"/>
  <c r="U750" i="8"/>
  <c r="T750" i="8"/>
  <c r="S750" i="8"/>
  <c r="R750" i="8"/>
  <c r="Q750" i="8"/>
  <c r="P750" i="8"/>
  <c r="O750" i="8"/>
  <c r="N750" i="8"/>
  <c r="M750" i="8"/>
  <c r="L750" i="8"/>
  <c r="K750" i="8"/>
  <c r="J750" i="8"/>
  <c r="I750" i="8"/>
  <c r="H750" i="8"/>
  <c r="G750" i="8"/>
  <c r="F750" i="8"/>
  <c r="E750" i="8"/>
  <c r="D750" i="8"/>
  <c r="C750" i="8"/>
  <c r="B750" i="8"/>
  <c r="A750" i="8"/>
  <c r="AC749" i="8"/>
  <c r="AB749" i="8"/>
  <c r="AA749" i="8"/>
  <c r="Z749" i="8"/>
  <c r="Y749" i="8"/>
  <c r="X749" i="8"/>
  <c r="W749" i="8"/>
  <c r="V749" i="8"/>
  <c r="U749" i="8"/>
  <c r="T749" i="8"/>
  <c r="S749" i="8"/>
  <c r="R749" i="8"/>
  <c r="Q749" i="8"/>
  <c r="P749" i="8"/>
  <c r="O749" i="8"/>
  <c r="N749" i="8"/>
  <c r="M749" i="8"/>
  <c r="L749" i="8"/>
  <c r="K749" i="8"/>
  <c r="J749" i="8"/>
  <c r="I749" i="8"/>
  <c r="H749" i="8"/>
  <c r="G749" i="8"/>
  <c r="F749" i="8"/>
  <c r="E749" i="8"/>
  <c r="D749" i="8"/>
  <c r="C749" i="8"/>
  <c r="B749" i="8"/>
  <c r="A749" i="8"/>
  <c r="AC748" i="8"/>
  <c r="AB748" i="8"/>
  <c r="AA748" i="8"/>
  <c r="Z748" i="8"/>
  <c r="Y748" i="8"/>
  <c r="X748" i="8"/>
  <c r="W748" i="8"/>
  <c r="V748" i="8"/>
  <c r="U748" i="8"/>
  <c r="T748" i="8"/>
  <c r="S748" i="8"/>
  <c r="R748" i="8"/>
  <c r="Q748" i="8"/>
  <c r="P748" i="8"/>
  <c r="O748" i="8"/>
  <c r="N748" i="8"/>
  <c r="M748" i="8"/>
  <c r="L748" i="8"/>
  <c r="K748" i="8"/>
  <c r="J748" i="8"/>
  <c r="I748" i="8"/>
  <c r="H748" i="8"/>
  <c r="G748" i="8"/>
  <c r="F748" i="8"/>
  <c r="E748" i="8"/>
  <c r="D748" i="8"/>
  <c r="C748" i="8"/>
  <c r="B748" i="8"/>
  <c r="A748" i="8"/>
  <c r="B747" i="8"/>
  <c r="A747" i="8"/>
  <c r="B746" i="8"/>
  <c r="A746" i="8"/>
  <c r="B745" i="8"/>
  <c r="A745" i="8"/>
  <c r="AC744" i="8"/>
  <c r="AB744" i="8"/>
  <c r="AA744" i="8"/>
  <c r="Z744" i="8"/>
  <c r="Y744" i="8"/>
  <c r="X744" i="8"/>
  <c r="W744" i="8"/>
  <c r="V744" i="8"/>
  <c r="U744" i="8"/>
  <c r="T744" i="8"/>
  <c r="S744" i="8"/>
  <c r="R744" i="8"/>
  <c r="Q744" i="8"/>
  <c r="P744" i="8"/>
  <c r="O744" i="8"/>
  <c r="N744" i="8"/>
  <c r="M744" i="8"/>
  <c r="L744" i="8"/>
  <c r="K744" i="8"/>
  <c r="J744" i="8"/>
  <c r="I744" i="8"/>
  <c r="H744" i="8"/>
  <c r="G744" i="8"/>
  <c r="F744" i="8"/>
  <c r="E744" i="8"/>
  <c r="D744" i="8"/>
  <c r="C744" i="8"/>
  <c r="B744" i="8"/>
  <c r="A744" i="8"/>
  <c r="B743" i="8"/>
  <c r="A743" i="8"/>
  <c r="B742" i="8"/>
  <c r="A742" i="8"/>
  <c r="B741" i="8"/>
  <c r="A741" i="8"/>
  <c r="B740" i="8"/>
  <c r="A740" i="8"/>
  <c r="B739" i="8"/>
  <c r="A739" i="8"/>
  <c r="B738" i="8"/>
  <c r="A738" i="8"/>
  <c r="B737" i="8"/>
  <c r="A737" i="8"/>
  <c r="B736" i="8"/>
  <c r="A736" i="8"/>
  <c r="B735" i="8"/>
  <c r="A735" i="8"/>
  <c r="B734" i="8"/>
  <c r="A734" i="8"/>
  <c r="AC733" i="8"/>
  <c r="AB733" i="8"/>
  <c r="AA733" i="8"/>
  <c r="Z733" i="8"/>
  <c r="Y733" i="8"/>
  <c r="X733" i="8"/>
  <c r="W733" i="8"/>
  <c r="V733" i="8"/>
  <c r="U733" i="8"/>
  <c r="T733" i="8"/>
  <c r="S733" i="8"/>
  <c r="R733" i="8"/>
  <c r="Q733" i="8"/>
  <c r="P733" i="8"/>
  <c r="O733" i="8"/>
  <c r="N733" i="8"/>
  <c r="M733" i="8"/>
  <c r="L733" i="8"/>
  <c r="K733" i="8"/>
  <c r="J733" i="8"/>
  <c r="I733" i="8"/>
  <c r="H733" i="8"/>
  <c r="G733" i="8"/>
  <c r="F733" i="8"/>
  <c r="E733" i="8"/>
  <c r="D733" i="8"/>
  <c r="C733" i="8"/>
  <c r="B733" i="8"/>
  <c r="A733" i="8"/>
  <c r="B732" i="8"/>
  <c r="A732" i="8"/>
  <c r="AC731" i="8"/>
  <c r="AB731" i="8"/>
  <c r="AA731" i="8"/>
  <c r="Z731" i="8"/>
  <c r="Y731" i="8"/>
  <c r="X731" i="8"/>
  <c r="W731" i="8"/>
  <c r="V731" i="8"/>
  <c r="U731" i="8"/>
  <c r="T731" i="8"/>
  <c r="S731" i="8"/>
  <c r="R731" i="8"/>
  <c r="Q731" i="8"/>
  <c r="P731" i="8"/>
  <c r="O731" i="8"/>
  <c r="N731" i="8"/>
  <c r="M731" i="8"/>
  <c r="L731" i="8"/>
  <c r="K731" i="8"/>
  <c r="J731" i="8"/>
  <c r="I731" i="8"/>
  <c r="H731" i="8"/>
  <c r="G731" i="8"/>
  <c r="F731" i="8"/>
  <c r="E731" i="8"/>
  <c r="D731" i="8"/>
  <c r="C731" i="8"/>
  <c r="B731" i="8"/>
  <c r="A731" i="8"/>
  <c r="AC730" i="8"/>
  <c r="AB730" i="8"/>
  <c r="AA730" i="8"/>
  <c r="Z730" i="8"/>
  <c r="Y730" i="8"/>
  <c r="X730" i="8"/>
  <c r="W730" i="8"/>
  <c r="V730" i="8"/>
  <c r="U730" i="8"/>
  <c r="T730" i="8"/>
  <c r="S730" i="8"/>
  <c r="R730" i="8"/>
  <c r="Q730" i="8"/>
  <c r="P730" i="8"/>
  <c r="O730" i="8"/>
  <c r="N730" i="8"/>
  <c r="M730" i="8"/>
  <c r="L730" i="8"/>
  <c r="K730" i="8"/>
  <c r="J730" i="8"/>
  <c r="I730" i="8"/>
  <c r="H730" i="8"/>
  <c r="G730" i="8"/>
  <c r="F730" i="8"/>
  <c r="E730" i="8"/>
  <c r="D730" i="8"/>
  <c r="C730" i="8"/>
  <c r="B730" i="8"/>
  <c r="A730" i="8"/>
  <c r="AC729" i="8"/>
  <c r="AB729" i="8"/>
  <c r="AA729" i="8"/>
  <c r="Z729" i="8"/>
  <c r="Y729" i="8"/>
  <c r="X729" i="8"/>
  <c r="W729" i="8"/>
  <c r="V729" i="8"/>
  <c r="U729" i="8"/>
  <c r="T729" i="8"/>
  <c r="S729" i="8"/>
  <c r="R729" i="8"/>
  <c r="Q729" i="8"/>
  <c r="P729" i="8"/>
  <c r="O729" i="8"/>
  <c r="N729" i="8"/>
  <c r="M729" i="8"/>
  <c r="L729" i="8"/>
  <c r="K729" i="8"/>
  <c r="J729" i="8"/>
  <c r="I729" i="8"/>
  <c r="H729" i="8"/>
  <c r="G729" i="8"/>
  <c r="F729" i="8"/>
  <c r="E729" i="8"/>
  <c r="D729" i="8"/>
  <c r="C729" i="8"/>
  <c r="B729" i="8"/>
  <c r="A729" i="8"/>
  <c r="AC728" i="8"/>
  <c r="AB728" i="8"/>
  <c r="AA728" i="8"/>
  <c r="Z728" i="8"/>
  <c r="Y728" i="8"/>
  <c r="X728" i="8"/>
  <c r="W728" i="8"/>
  <c r="V728" i="8"/>
  <c r="U728" i="8"/>
  <c r="T728" i="8"/>
  <c r="S728" i="8"/>
  <c r="R728" i="8"/>
  <c r="Q728" i="8"/>
  <c r="P728" i="8"/>
  <c r="O728" i="8"/>
  <c r="N728" i="8"/>
  <c r="M728" i="8"/>
  <c r="L728" i="8"/>
  <c r="K728" i="8"/>
  <c r="J728" i="8"/>
  <c r="I728" i="8"/>
  <c r="H728" i="8"/>
  <c r="G728" i="8"/>
  <c r="F728" i="8"/>
  <c r="E728" i="8"/>
  <c r="D728" i="8"/>
  <c r="C728" i="8"/>
  <c r="B728" i="8"/>
  <c r="A728" i="8"/>
  <c r="AC727" i="8"/>
  <c r="AB727" i="8"/>
  <c r="AA727" i="8"/>
  <c r="Z727" i="8"/>
  <c r="Y727" i="8"/>
  <c r="X727" i="8"/>
  <c r="W727" i="8"/>
  <c r="V727" i="8"/>
  <c r="U727" i="8"/>
  <c r="T727" i="8"/>
  <c r="S727" i="8"/>
  <c r="R727" i="8"/>
  <c r="Q727" i="8"/>
  <c r="P727" i="8"/>
  <c r="O727" i="8"/>
  <c r="N727" i="8"/>
  <c r="M727" i="8"/>
  <c r="L727" i="8"/>
  <c r="K727" i="8"/>
  <c r="J727" i="8"/>
  <c r="I727" i="8"/>
  <c r="H727" i="8"/>
  <c r="G727" i="8"/>
  <c r="F727" i="8"/>
  <c r="E727" i="8"/>
  <c r="D727" i="8"/>
  <c r="C727" i="8"/>
  <c r="B727" i="8"/>
  <c r="A727" i="8"/>
  <c r="B726" i="8"/>
  <c r="A726" i="8"/>
  <c r="B725" i="8"/>
  <c r="A725" i="8"/>
  <c r="AC724" i="8"/>
  <c r="AB724" i="8"/>
  <c r="AA724" i="8"/>
  <c r="Z724" i="8"/>
  <c r="Y724" i="8"/>
  <c r="X724" i="8"/>
  <c r="W724" i="8"/>
  <c r="V724" i="8"/>
  <c r="U724" i="8"/>
  <c r="T724" i="8"/>
  <c r="S724" i="8"/>
  <c r="R724" i="8"/>
  <c r="Q724" i="8"/>
  <c r="P724" i="8"/>
  <c r="O724" i="8"/>
  <c r="N724" i="8"/>
  <c r="M724" i="8"/>
  <c r="L724" i="8"/>
  <c r="K724" i="8"/>
  <c r="J724" i="8"/>
  <c r="I724" i="8"/>
  <c r="H724" i="8"/>
  <c r="G724" i="8"/>
  <c r="F724" i="8"/>
  <c r="E724" i="8"/>
  <c r="D724" i="8"/>
  <c r="C724" i="8"/>
  <c r="B724" i="8"/>
  <c r="A724" i="8"/>
  <c r="AC723" i="8"/>
  <c r="AB723" i="8"/>
  <c r="AA723" i="8"/>
  <c r="Z723" i="8"/>
  <c r="Y723" i="8"/>
  <c r="X723" i="8"/>
  <c r="W723" i="8"/>
  <c r="V723" i="8"/>
  <c r="U723" i="8"/>
  <c r="T723" i="8"/>
  <c r="S723" i="8"/>
  <c r="R723" i="8"/>
  <c r="Q723" i="8"/>
  <c r="P723" i="8"/>
  <c r="O723" i="8"/>
  <c r="N723" i="8"/>
  <c r="M723" i="8"/>
  <c r="L723" i="8"/>
  <c r="K723" i="8"/>
  <c r="J723" i="8"/>
  <c r="I723" i="8"/>
  <c r="H723" i="8"/>
  <c r="G723" i="8"/>
  <c r="F723" i="8"/>
  <c r="E723" i="8"/>
  <c r="D723" i="8"/>
  <c r="C723" i="8"/>
  <c r="B723" i="8"/>
  <c r="A723" i="8"/>
  <c r="AC722" i="8"/>
  <c r="AB722" i="8"/>
  <c r="AA722" i="8"/>
  <c r="Z722" i="8"/>
  <c r="Y722" i="8"/>
  <c r="X722" i="8"/>
  <c r="W722" i="8"/>
  <c r="V722" i="8"/>
  <c r="U722" i="8"/>
  <c r="T722" i="8"/>
  <c r="S722" i="8"/>
  <c r="R722" i="8"/>
  <c r="Q722" i="8"/>
  <c r="P722" i="8"/>
  <c r="O722" i="8"/>
  <c r="N722" i="8"/>
  <c r="M722" i="8"/>
  <c r="L722" i="8"/>
  <c r="K722" i="8"/>
  <c r="J722" i="8"/>
  <c r="I722" i="8"/>
  <c r="H722" i="8"/>
  <c r="G722" i="8"/>
  <c r="F722" i="8"/>
  <c r="E722" i="8"/>
  <c r="D722" i="8"/>
  <c r="C722" i="8"/>
  <c r="B722" i="8"/>
  <c r="A722" i="8"/>
  <c r="AC721" i="8"/>
  <c r="AB721" i="8"/>
  <c r="AA721" i="8"/>
  <c r="Z721" i="8"/>
  <c r="Y721" i="8"/>
  <c r="X721" i="8"/>
  <c r="W721" i="8"/>
  <c r="V721" i="8"/>
  <c r="U721" i="8"/>
  <c r="T721" i="8"/>
  <c r="S721" i="8"/>
  <c r="R721" i="8"/>
  <c r="Q721" i="8"/>
  <c r="P721" i="8"/>
  <c r="O721" i="8"/>
  <c r="N721" i="8"/>
  <c r="M721" i="8"/>
  <c r="L721" i="8"/>
  <c r="K721" i="8"/>
  <c r="J721" i="8"/>
  <c r="I721" i="8"/>
  <c r="H721" i="8"/>
  <c r="G721" i="8"/>
  <c r="F721" i="8"/>
  <c r="E721" i="8"/>
  <c r="D721" i="8"/>
  <c r="C721" i="8"/>
  <c r="B721" i="8"/>
  <c r="A721" i="8"/>
  <c r="AC720" i="8"/>
  <c r="AB720" i="8"/>
  <c r="AA720" i="8"/>
  <c r="Z720" i="8"/>
  <c r="Y720" i="8"/>
  <c r="X720" i="8"/>
  <c r="W720" i="8"/>
  <c r="V720" i="8"/>
  <c r="U720" i="8"/>
  <c r="T720" i="8"/>
  <c r="S720" i="8"/>
  <c r="R720" i="8"/>
  <c r="Q720" i="8"/>
  <c r="P720" i="8"/>
  <c r="O720" i="8"/>
  <c r="N720" i="8"/>
  <c r="M720" i="8"/>
  <c r="L720" i="8"/>
  <c r="K720" i="8"/>
  <c r="J720" i="8"/>
  <c r="I720" i="8"/>
  <c r="H720" i="8"/>
  <c r="G720" i="8"/>
  <c r="F720" i="8"/>
  <c r="E720" i="8"/>
  <c r="D720" i="8"/>
  <c r="C720" i="8"/>
  <c r="B720" i="8"/>
  <c r="A720" i="8"/>
  <c r="AC719" i="8"/>
  <c r="AB719" i="8"/>
  <c r="AA719" i="8"/>
  <c r="Z719" i="8"/>
  <c r="Y719" i="8"/>
  <c r="X719" i="8"/>
  <c r="W719" i="8"/>
  <c r="V719" i="8"/>
  <c r="U719" i="8"/>
  <c r="T719" i="8"/>
  <c r="S719" i="8"/>
  <c r="R719" i="8"/>
  <c r="Q719" i="8"/>
  <c r="P719" i="8"/>
  <c r="O719" i="8"/>
  <c r="N719" i="8"/>
  <c r="M719" i="8"/>
  <c r="L719" i="8"/>
  <c r="K719" i="8"/>
  <c r="J719" i="8"/>
  <c r="I719" i="8"/>
  <c r="H719" i="8"/>
  <c r="G719" i="8"/>
  <c r="F719" i="8"/>
  <c r="E719" i="8"/>
  <c r="D719" i="8"/>
  <c r="C719" i="8"/>
  <c r="B719" i="8"/>
  <c r="A719" i="8"/>
  <c r="AC718" i="8"/>
  <c r="AB718" i="8"/>
  <c r="AA718" i="8"/>
  <c r="Z718" i="8"/>
  <c r="Y718" i="8"/>
  <c r="X718" i="8"/>
  <c r="W718" i="8"/>
  <c r="V718" i="8"/>
  <c r="U718" i="8"/>
  <c r="T718" i="8"/>
  <c r="S718" i="8"/>
  <c r="R718" i="8"/>
  <c r="Q718" i="8"/>
  <c r="P718" i="8"/>
  <c r="O718" i="8"/>
  <c r="N718" i="8"/>
  <c r="M718" i="8"/>
  <c r="L718" i="8"/>
  <c r="K718" i="8"/>
  <c r="J718" i="8"/>
  <c r="I718" i="8"/>
  <c r="H718" i="8"/>
  <c r="G718" i="8"/>
  <c r="F718" i="8"/>
  <c r="E718" i="8"/>
  <c r="D718" i="8"/>
  <c r="C718" i="8"/>
  <c r="B718" i="8"/>
  <c r="A718" i="8"/>
  <c r="AC717" i="8"/>
  <c r="AB717" i="8"/>
  <c r="AA717" i="8"/>
  <c r="Z717" i="8"/>
  <c r="Y717" i="8"/>
  <c r="X717" i="8"/>
  <c r="W717" i="8"/>
  <c r="V717" i="8"/>
  <c r="U717" i="8"/>
  <c r="T717" i="8"/>
  <c r="S717" i="8"/>
  <c r="R717" i="8"/>
  <c r="Q717" i="8"/>
  <c r="P717" i="8"/>
  <c r="O717" i="8"/>
  <c r="N717" i="8"/>
  <c r="M717" i="8"/>
  <c r="L717" i="8"/>
  <c r="K717" i="8"/>
  <c r="J717" i="8"/>
  <c r="I717" i="8"/>
  <c r="H717" i="8"/>
  <c r="G717" i="8"/>
  <c r="F717" i="8"/>
  <c r="E717" i="8"/>
  <c r="D717" i="8"/>
  <c r="C717" i="8"/>
  <c r="B717" i="8"/>
  <c r="A717" i="8"/>
  <c r="AB716" i="8"/>
  <c r="AA716" i="8"/>
  <c r="Z716" i="8"/>
  <c r="Y716" i="8"/>
  <c r="X716" i="8"/>
  <c r="W716" i="8"/>
  <c r="V716" i="8"/>
  <c r="U716" i="8"/>
  <c r="T716" i="8"/>
  <c r="S716" i="8"/>
  <c r="R716" i="8"/>
  <c r="P716" i="8"/>
  <c r="O716" i="8"/>
  <c r="N716" i="8"/>
  <c r="M716" i="8"/>
  <c r="L716" i="8"/>
  <c r="K716" i="8"/>
  <c r="J716" i="8"/>
  <c r="I716" i="8"/>
  <c r="H716" i="8"/>
  <c r="G716" i="8"/>
  <c r="F716" i="8"/>
  <c r="E716" i="8"/>
  <c r="D716" i="8"/>
  <c r="C716" i="8"/>
  <c r="B716" i="8"/>
  <c r="A716" i="8"/>
  <c r="AC715" i="8"/>
  <c r="AB715" i="8"/>
  <c r="AA715" i="8"/>
  <c r="Z715" i="8"/>
  <c r="Y715" i="8"/>
  <c r="X715" i="8"/>
  <c r="W715" i="8"/>
  <c r="V715" i="8"/>
  <c r="U715" i="8"/>
  <c r="T715" i="8"/>
  <c r="S715" i="8"/>
  <c r="R715" i="8"/>
  <c r="Q715" i="8"/>
  <c r="P715" i="8"/>
  <c r="O715" i="8"/>
  <c r="N715" i="8"/>
  <c r="M715" i="8"/>
  <c r="L715" i="8"/>
  <c r="K715" i="8"/>
  <c r="J715" i="8"/>
  <c r="I715" i="8"/>
  <c r="H715" i="8"/>
  <c r="G715" i="8"/>
  <c r="F715" i="8"/>
  <c r="E715" i="8"/>
  <c r="D715" i="8"/>
  <c r="C715" i="8"/>
  <c r="B715" i="8"/>
  <c r="A715" i="8"/>
  <c r="AC714" i="8"/>
  <c r="AB714" i="8"/>
  <c r="AA714" i="8"/>
  <c r="Z714" i="8"/>
  <c r="Y714" i="8"/>
  <c r="X714" i="8"/>
  <c r="W714" i="8"/>
  <c r="V714" i="8"/>
  <c r="U714" i="8"/>
  <c r="T714" i="8"/>
  <c r="S714" i="8"/>
  <c r="R714" i="8"/>
  <c r="Q714" i="8"/>
  <c r="P714" i="8"/>
  <c r="O714" i="8"/>
  <c r="N714" i="8"/>
  <c r="M714" i="8"/>
  <c r="L714" i="8"/>
  <c r="K714" i="8"/>
  <c r="J714" i="8"/>
  <c r="I714" i="8"/>
  <c r="H714" i="8"/>
  <c r="G714" i="8"/>
  <c r="F714" i="8"/>
  <c r="E714" i="8"/>
  <c r="D714" i="8"/>
  <c r="C714" i="8"/>
  <c r="B714" i="8"/>
  <c r="A714" i="8"/>
  <c r="AC713" i="8"/>
  <c r="AB713" i="8"/>
  <c r="AA713" i="8"/>
  <c r="Z713" i="8"/>
  <c r="Y713" i="8"/>
  <c r="X713" i="8"/>
  <c r="W713" i="8"/>
  <c r="V713" i="8"/>
  <c r="U713" i="8"/>
  <c r="T713" i="8"/>
  <c r="S713" i="8"/>
  <c r="R713" i="8"/>
  <c r="Q713" i="8"/>
  <c r="P713" i="8"/>
  <c r="O713" i="8"/>
  <c r="N713" i="8"/>
  <c r="M713" i="8"/>
  <c r="L713" i="8"/>
  <c r="K713" i="8"/>
  <c r="J713" i="8"/>
  <c r="I713" i="8"/>
  <c r="H713" i="8"/>
  <c r="G713" i="8"/>
  <c r="F713" i="8"/>
  <c r="E713" i="8"/>
  <c r="D713" i="8"/>
  <c r="C713" i="8"/>
  <c r="B713" i="8"/>
  <c r="A713" i="8"/>
  <c r="AC712" i="8"/>
  <c r="AB712" i="8"/>
  <c r="AA712" i="8"/>
  <c r="Z712" i="8"/>
  <c r="Y712" i="8"/>
  <c r="X712" i="8"/>
  <c r="W712" i="8"/>
  <c r="V712" i="8"/>
  <c r="U712" i="8"/>
  <c r="T712" i="8"/>
  <c r="S712" i="8"/>
  <c r="R712" i="8"/>
  <c r="Q712" i="8"/>
  <c r="P712" i="8"/>
  <c r="O712" i="8"/>
  <c r="N712" i="8"/>
  <c r="M712" i="8"/>
  <c r="L712" i="8"/>
  <c r="K712" i="8"/>
  <c r="J712" i="8"/>
  <c r="I712" i="8"/>
  <c r="H712" i="8"/>
  <c r="G712" i="8"/>
  <c r="F712" i="8"/>
  <c r="E712" i="8"/>
  <c r="D712" i="8"/>
  <c r="C712" i="8"/>
  <c r="B712" i="8"/>
  <c r="A712" i="8"/>
  <c r="B711" i="8"/>
  <c r="A711" i="8"/>
  <c r="AB710" i="8"/>
  <c r="Q710" i="8"/>
  <c r="P710" i="8"/>
  <c r="O710" i="8"/>
  <c r="N710" i="8"/>
  <c r="M710" i="8"/>
  <c r="L710" i="8"/>
  <c r="K710" i="8"/>
  <c r="J710" i="8"/>
  <c r="I710" i="8"/>
  <c r="H710" i="8"/>
  <c r="G710" i="8"/>
  <c r="F710" i="8"/>
  <c r="E710" i="8"/>
  <c r="D710" i="8"/>
  <c r="C710" i="8"/>
  <c r="B710" i="8"/>
  <c r="A710" i="8"/>
  <c r="AB709" i="8"/>
  <c r="Q709" i="8"/>
  <c r="P709" i="8"/>
  <c r="O709" i="8"/>
  <c r="N709" i="8"/>
  <c r="M709" i="8"/>
  <c r="L709" i="8"/>
  <c r="K709" i="8"/>
  <c r="J709" i="8"/>
  <c r="I709" i="8"/>
  <c r="H709" i="8"/>
  <c r="G709" i="8"/>
  <c r="F709" i="8"/>
  <c r="E709" i="8"/>
  <c r="D709" i="8"/>
  <c r="C709" i="8"/>
  <c r="B709" i="8"/>
  <c r="A709" i="8"/>
  <c r="AB708" i="8"/>
  <c r="Q708" i="8"/>
  <c r="P708" i="8"/>
  <c r="O708" i="8"/>
  <c r="N708" i="8"/>
  <c r="M708" i="8"/>
  <c r="L708" i="8"/>
  <c r="K708" i="8"/>
  <c r="J708" i="8"/>
  <c r="I708" i="8"/>
  <c r="H708" i="8"/>
  <c r="G708" i="8"/>
  <c r="F708" i="8"/>
  <c r="E708" i="8"/>
  <c r="D708" i="8"/>
  <c r="C708" i="8"/>
  <c r="B708" i="8"/>
  <c r="A708" i="8"/>
  <c r="AB707" i="8"/>
  <c r="Q707" i="8"/>
  <c r="P707" i="8"/>
  <c r="O707" i="8"/>
  <c r="N707" i="8"/>
  <c r="M707" i="8"/>
  <c r="L707" i="8"/>
  <c r="K707" i="8"/>
  <c r="J707" i="8"/>
  <c r="I707" i="8"/>
  <c r="H707" i="8"/>
  <c r="G707" i="8"/>
  <c r="F707" i="8"/>
  <c r="E707" i="8"/>
  <c r="D707" i="8"/>
  <c r="C707" i="8"/>
  <c r="B707" i="8"/>
  <c r="A707" i="8"/>
  <c r="AB706" i="8"/>
  <c r="Q706" i="8"/>
  <c r="P706" i="8"/>
  <c r="O706" i="8"/>
  <c r="N706" i="8"/>
  <c r="M706" i="8"/>
  <c r="L706" i="8"/>
  <c r="K706" i="8"/>
  <c r="J706" i="8"/>
  <c r="I706" i="8"/>
  <c r="H706" i="8"/>
  <c r="G706" i="8"/>
  <c r="F706" i="8"/>
  <c r="E706" i="8"/>
  <c r="D706" i="8"/>
  <c r="C706" i="8"/>
  <c r="B706" i="8"/>
  <c r="A706" i="8"/>
  <c r="AB705" i="8"/>
  <c r="Q705" i="8"/>
  <c r="P705" i="8"/>
  <c r="O705" i="8"/>
  <c r="N705" i="8"/>
  <c r="M705" i="8"/>
  <c r="L705" i="8"/>
  <c r="K705" i="8"/>
  <c r="J705" i="8"/>
  <c r="I705" i="8"/>
  <c r="H705" i="8"/>
  <c r="G705" i="8"/>
  <c r="F705" i="8"/>
  <c r="E705" i="8"/>
  <c r="D705" i="8"/>
  <c r="C705" i="8"/>
  <c r="B705" i="8"/>
  <c r="A705" i="8"/>
  <c r="AC704" i="8"/>
  <c r="AB704" i="8"/>
  <c r="AA704" i="8"/>
  <c r="Z704" i="8"/>
  <c r="Y704" i="8"/>
  <c r="X704" i="8"/>
  <c r="W704" i="8"/>
  <c r="V704" i="8"/>
  <c r="U704" i="8"/>
  <c r="T704" i="8"/>
  <c r="S704" i="8"/>
  <c r="R704" i="8"/>
  <c r="Q704" i="8"/>
  <c r="P704" i="8"/>
  <c r="O704" i="8"/>
  <c r="N704" i="8"/>
  <c r="M704" i="8"/>
  <c r="L704" i="8"/>
  <c r="K704" i="8"/>
  <c r="J704" i="8"/>
  <c r="I704" i="8"/>
  <c r="H704" i="8"/>
  <c r="G704" i="8"/>
  <c r="F704" i="8"/>
  <c r="E704" i="8"/>
  <c r="D704" i="8"/>
  <c r="C704" i="8"/>
  <c r="B704" i="8"/>
  <c r="A704" i="8"/>
  <c r="AB703" i="8"/>
  <c r="S703" i="8"/>
  <c r="R703" i="8"/>
  <c r="Q703" i="8"/>
  <c r="P703" i="8"/>
  <c r="O703" i="8"/>
  <c r="N703" i="8"/>
  <c r="M703" i="8"/>
  <c r="L703" i="8"/>
  <c r="K703" i="8"/>
  <c r="J703" i="8"/>
  <c r="I703" i="8"/>
  <c r="H703" i="8"/>
  <c r="G703" i="8"/>
  <c r="F703" i="8"/>
  <c r="E703" i="8"/>
  <c r="D703" i="8"/>
  <c r="C703" i="8"/>
  <c r="B703" i="8"/>
  <c r="A703" i="8"/>
  <c r="AC702" i="8"/>
  <c r="AB702" i="8"/>
  <c r="AA702" i="8"/>
  <c r="Z702" i="8"/>
  <c r="Y702" i="8"/>
  <c r="X702" i="8"/>
  <c r="W702" i="8"/>
  <c r="V702" i="8"/>
  <c r="U702" i="8"/>
  <c r="T702" i="8"/>
  <c r="S702" i="8"/>
  <c r="R702" i="8"/>
  <c r="Q702" i="8"/>
  <c r="P702" i="8"/>
  <c r="O702" i="8"/>
  <c r="N702" i="8"/>
  <c r="M702" i="8"/>
  <c r="L702" i="8"/>
  <c r="K702" i="8"/>
  <c r="J702" i="8"/>
  <c r="I702" i="8"/>
  <c r="H702" i="8"/>
  <c r="G702" i="8"/>
  <c r="F702" i="8"/>
  <c r="E702" i="8"/>
  <c r="D702" i="8"/>
  <c r="C702" i="8"/>
  <c r="B702" i="8"/>
  <c r="A702" i="8"/>
  <c r="AC701" i="8"/>
  <c r="AB701" i="8"/>
  <c r="AA701" i="8"/>
  <c r="Z701" i="8"/>
  <c r="Y701" i="8"/>
  <c r="X701" i="8"/>
  <c r="W701" i="8"/>
  <c r="V701" i="8"/>
  <c r="U701" i="8"/>
  <c r="T701" i="8"/>
  <c r="S701" i="8"/>
  <c r="R701" i="8"/>
  <c r="Q701" i="8"/>
  <c r="P701" i="8"/>
  <c r="O701" i="8"/>
  <c r="N701" i="8"/>
  <c r="M701" i="8"/>
  <c r="L701" i="8"/>
  <c r="K701" i="8"/>
  <c r="J701" i="8"/>
  <c r="I701" i="8"/>
  <c r="H701" i="8"/>
  <c r="G701" i="8"/>
  <c r="F701" i="8"/>
  <c r="E701" i="8"/>
  <c r="D701" i="8"/>
  <c r="C701" i="8"/>
  <c r="B701" i="8"/>
  <c r="A701" i="8"/>
  <c r="AC700" i="8"/>
  <c r="AB700" i="8"/>
  <c r="AA700" i="8"/>
  <c r="Z700" i="8"/>
  <c r="Y700" i="8"/>
  <c r="X700" i="8"/>
  <c r="W700" i="8"/>
  <c r="V700" i="8"/>
  <c r="U700" i="8"/>
  <c r="T700" i="8"/>
  <c r="S700" i="8"/>
  <c r="R700" i="8"/>
  <c r="Q700" i="8"/>
  <c r="P700" i="8"/>
  <c r="O700" i="8"/>
  <c r="N700" i="8"/>
  <c r="M700" i="8"/>
  <c r="L700" i="8"/>
  <c r="K700" i="8"/>
  <c r="J700" i="8"/>
  <c r="I700" i="8"/>
  <c r="H700" i="8"/>
  <c r="G700" i="8"/>
  <c r="F700" i="8"/>
  <c r="E700" i="8"/>
  <c r="D700" i="8"/>
  <c r="C700" i="8"/>
  <c r="B700" i="8"/>
  <c r="A700" i="8"/>
  <c r="AC699" i="8"/>
  <c r="AB699" i="8"/>
  <c r="AA699" i="8"/>
  <c r="Z699" i="8"/>
  <c r="Y699" i="8"/>
  <c r="X699" i="8"/>
  <c r="W699" i="8"/>
  <c r="V699" i="8"/>
  <c r="U699" i="8"/>
  <c r="T699" i="8"/>
  <c r="S699" i="8"/>
  <c r="R699" i="8"/>
  <c r="Q699" i="8"/>
  <c r="P699" i="8"/>
  <c r="O699" i="8"/>
  <c r="N699" i="8"/>
  <c r="M699" i="8"/>
  <c r="L699" i="8"/>
  <c r="K699" i="8"/>
  <c r="J699" i="8"/>
  <c r="I699" i="8"/>
  <c r="H699" i="8"/>
  <c r="G699" i="8"/>
  <c r="F699" i="8"/>
  <c r="E699" i="8"/>
  <c r="D699" i="8"/>
  <c r="C699" i="8"/>
  <c r="B699" i="8"/>
  <c r="A699" i="8"/>
  <c r="AC698" i="8"/>
  <c r="AB698" i="8"/>
  <c r="AA698" i="8"/>
  <c r="Z698" i="8"/>
  <c r="Y698" i="8"/>
  <c r="X698" i="8"/>
  <c r="W698" i="8"/>
  <c r="V698" i="8"/>
  <c r="U698" i="8"/>
  <c r="T698" i="8"/>
  <c r="S698" i="8"/>
  <c r="R698" i="8"/>
  <c r="Q698" i="8"/>
  <c r="P698" i="8"/>
  <c r="O698" i="8"/>
  <c r="N698" i="8"/>
  <c r="M698" i="8"/>
  <c r="L698" i="8"/>
  <c r="K698" i="8"/>
  <c r="J698" i="8"/>
  <c r="I698" i="8"/>
  <c r="H698" i="8"/>
  <c r="G698" i="8"/>
  <c r="F698" i="8"/>
  <c r="E698" i="8"/>
  <c r="D698" i="8"/>
  <c r="C698" i="8"/>
  <c r="B698" i="8"/>
  <c r="A698" i="8"/>
  <c r="AC697" i="8"/>
  <c r="AB697" i="8"/>
  <c r="AA697" i="8"/>
  <c r="Z697" i="8"/>
  <c r="Y697" i="8"/>
  <c r="X697" i="8"/>
  <c r="W697" i="8"/>
  <c r="V697" i="8"/>
  <c r="U697" i="8"/>
  <c r="T697" i="8"/>
  <c r="S697" i="8"/>
  <c r="R697" i="8"/>
  <c r="Q697" i="8"/>
  <c r="P697" i="8"/>
  <c r="O697" i="8"/>
  <c r="N697" i="8"/>
  <c r="M697" i="8"/>
  <c r="L697" i="8"/>
  <c r="K697" i="8"/>
  <c r="J697" i="8"/>
  <c r="I697" i="8"/>
  <c r="H697" i="8"/>
  <c r="G697" i="8"/>
  <c r="F697" i="8"/>
  <c r="E697" i="8"/>
  <c r="D697" i="8"/>
  <c r="C697" i="8"/>
  <c r="B697" i="8"/>
  <c r="A697" i="8"/>
  <c r="AC696" i="8"/>
  <c r="AB696" i="8"/>
  <c r="AA696" i="8"/>
  <c r="Z696" i="8"/>
  <c r="Y696" i="8"/>
  <c r="X696" i="8"/>
  <c r="W696" i="8"/>
  <c r="V696" i="8"/>
  <c r="U696" i="8"/>
  <c r="T696" i="8"/>
  <c r="S696" i="8"/>
  <c r="R696" i="8"/>
  <c r="Q696" i="8"/>
  <c r="P696" i="8"/>
  <c r="O696" i="8"/>
  <c r="N696" i="8"/>
  <c r="M696" i="8"/>
  <c r="L696" i="8"/>
  <c r="K696" i="8"/>
  <c r="J696" i="8"/>
  <c r="I696" i="8"/>
  <c r="H696" i="8"/>
  <c r="G696" i="8"/>
  <c r="F696" i="8"/>
  <c r="E696" i="8"/>
  <c r="D696" i="8"/>
  <c r="C696" i="8"/>
  <c r="B696" i="8"/>
  <c r="A696" i="8"/>
  <c r="AC695" i="8"/>
  <c r="AB695" i="8"/>
  <c r="AA695" i="8"/>
  <c r="Z695" i="8"/>
  <c r="Y695" i="8"/>
  <c r="X695" i="8"/>
  <c r="W695" i="8"/>
  <c r="V695" i="8"/>
  <c r="U695" i="8"/>
  <c r="T695" i="8"/>
  <c r="S695" i="8"/>
  <c r="R695" i="8"/>
  <c r="Q695" i="8"/>
  <c r="P695" i="8"/>
  <c r="O695" i="8"/>
  <c r="N695" i="8"/>
  <c r="M695" i="8"/>
  <c r="L695" i="8"/>
  <c r="K695" i="8"/>
  <c r="J695" i="8"/>
  <c r="I695" i="8"/>
  <c r="H695" i="8"/>
  <c r="G695" i="8"/>
  <c r="F695" i="8"/>
  <c r="E695" i="8"/>
  <c r="D695" i="8"/>
  <c r="C695" i="8"/>
  <c r="B695" i="8"/>
  <c r="A695" i="8"/>
  <c r="AC694" i="8"/>
  <c r="AB694" i="8"/>
  <c r="AA694" i="8"/>
  <c r="Z694" i="8"/>
  <c r="Y694" i="8"/>
  <c r="X694" i="8"/>
  <c r="W694" i="8"/>
  <c r="V694" i="8"/>
  <c r="U694" i="8"/>
  <c r="T694" i="8"/>
  <c r="S694" i="8"/>
  <c r="R694" i="8"/>
  <c r="Q694" i="8"/>
  <c r="P694" i="8"/>
  <c r="O694" i="8"/>
  <c r="N694" i="8"/>
  <c r="M694" i="8"/>
  <c r="L694" i="8"/>
  <c r="K694" i="8"/>
  <c r="J694" i="8"/>
  <c r="I694" i="8"/>
  <c r="H694" i="8"/>
  <c r="G694" i="8"/>
  <c r="F694" i="8"/>
  <c r="E694" i="8"/>
  <c r="D694" i="8"/>
  <c r="C694" i="8"/>
  <c r="B694" i="8"/>
  <c r="A694" i="8"/>
  <c r="AC693" i="8"/>
  <c r="AB693" i="8"/>
  <c r="AA693" i="8"/>
  <c r="Z693" i="8"/>
  <c r="Y693" i="8"/>
  <c r="X693" i="8"/>
  <c r="W693" i="8"/>
  <c r="V693" i="8"/>
  <c r="U693" i="8"/>
  <c r="T693" i="8"/>
  <c r="S693" i="8"/>
  <c r="R693" i="8"/>
  <c r="Q693" i="8"/>
  <c r="P693" i="8"/>
  <c r="O693" i="8"/>
  <c r="N693" i="8"/>
  <c r="M693" i="8"/>
  <c r="L693" i="8"/>
  <c r="K693" i="8"/>
  <c r="J693" i="8"/>
  <c r="I693" i="8"/>
  <c r="H693" i="8"/>
  <c r="G693" i="8"/>
  <c r="F693" i="8"/>
  <c r="E693" i="8"/>
  <c r="D693" i="8"/>
  <c r="C693" i="8"/>
  <c r="B693" i="8"/>
  <c r="A693" i="8"/>
  <c r="AC692" i="8"/>
  <c r="AB692" i="8"/>
  <c r="AA692" i="8"/>
  <c r="Z692" i="8"/>
  <c r="Y692" i="8"/>
  <c r="X692" i="8"/>
  <c r="W692" i="8"/>
  <c r="V692" i="8"/>
  <c r="U692" i="8"/>
  <c r="T692" i="8"/>
  <c r="S692" i="8"/>
  <c r="R692" i="8"/>
  <c r="Q692" i="8"/>
  <c r="P692" i="8"/>
  <c r="O692" i="8"/>
  <c r="N692" i="8"/>
  <c r="M692" i="8"/>
  <c r="L692" i="8"/>
  <c r="K692" i="8"/>
  <c r="J692" i="8"/>
  <c r="I692" i="8"/>
  <c r="H692" i="8"/>
  <c r="G692" i="8"/>
  <c r="F692" i="8"/>
  <c r="E692" i="8"/>
  <c r="D692" i="8"/>
  <c r="C692" i="8"/>
  <c r="B692" i="8"/>
  <c r="A692" i="8"/>
  <c r="AC691" i="8"/>
  <c r="AB691" i="8"/>
  <c r="AA691" i="8"/>
  <c r="Z691" i="8"/>
  <c r="Y691" i="8"/>
  <c r="X691" i="8"/>
  <c r="W691" i="8"/>
  <c r="V691" i="8"/>
  <c r="U691" i="8"/>
  <c r="T691" i="8"/>
  <c r="S691" i="8"/>
  <c r="R691" i="8"/>
  <c r="Q691" i="8"/>
  <c r="P691" i="8"/>
  <c r="O691" i="8"/>
  <c r="N691" i="8"/>
  <c r="M691" i="8"/>
  <c r="L691" i="8"/>
  <c r="K691" i="8"/>
  <c r="J691" i="8"/>
  <c r="I691" i="8"/>
  <c r="H691" i="8"/>
  <c r="G691" i="8"/>
  <c r="F691" i="8"/>
  <c r="E691" i="8"/>
  <c r="D691" i="8"/>
  <c r="C691" i="8"/>
  <c r="B691" i="8"/>
  <c r="A691" i="8"/>
  <c r="AC690" i="8"/>
  <c r="AB690" i="8"/>
  <c r="AA690" i="8"/>
  <c r="Z690" i="8"/>
  <c r="Y690" i="8"/>
  <c r="X690" i="8"/>
  <c r="W690" i="8"/>
  <c r="V690" i="8"/>
  <c r="U690" i="8"/>
  <c r="T690" i="8"/>
  <c r="S690" i="8"/>
  <c r="R690" i="8"/>
  <c r="Q690" i="8"/>
  <c r="P690" i="8"/>
  <c r="O690" i="8"/>
  <c r="N690" i="8"/>
  <c r="M690" i="8"/>
  <c r="L690" i="8"/>
  <c r="K690" i="8"/>
  <c r="J690" i="8"/>
  <c r="I690" i="8"/>
  <c r="H690" i="8"/>
  <c r="G690" i="8"/>
  <c r="F690" i="8"/>
  <c r="E690" i="8"/>
  <c r="D690" i="8"/>
  <c r="C690" i="8"/>
  <c r="B690" i="8"/>
  <c r="A690" i="8"/>
  <c r="AC689" i="8"/>
  <c r="AB689" i="8"/>
  <c r="AA689" i="8"/>
  <c r="Z689" i="8"/>
  <c r="Y689" i="8"/>
  <c r="X689" i="8"/>
  <c r="W689" i="8"/>
  <c r="V689" i="8"/>
  <c r="U689" i="8"/>
  <c r="T689" i="8"/>
  <c r="S689" i="8"/>
  <c r="R689" i="8"/>
  <c r="Q689" i="8"/>
  <c r="P689" i="8"/>
  <c r="O689" i="8"/>
  <c r="N689" i="8"/>
  <c r="M689" i="8"/>
  <c r="L689" i="8"/>
  <c r="K689" i="8"/>
  <c r="J689" i="8"/>
  <c r="I689" i="8"/>
  <c r="H689" i="8"/>
  <c r="G689" i="8"/>
  <c r="F689" i="8"/>
  <c r="E689" i="8"/>
  <c r="D689" i="8"/>
  <c r="C689" i="8"/>
  <c r="B689" i="8"/>
  <c r="A689" i="8"/>
  <c r="C688" i="8"/>
  <c r="B688" i="8"/>
  <c r="A688" i="8"/>
  <c r="C687" i="8"/>
  <c r="B687" i="8"/>
  <c r="A687" i="8"/>
  <c r="C686" i="8"/>
  <c r="B686" i="8"/>
  <c r="A686" i="8"/>
  <c r="AC685" i="8"/>
  <c r="AB685" i="8"/>
  <c r="AA685" i="8"/>
  <c r="Z685" i="8"/>
  <c r="Y685" i="8"/>
  <c r="X685" i="8"/>
  <c r="W685" i="8"/>
  <c r="V685" i="8"/>
  <c r="U685" i="8"/>
  <c r="T685" i="8"/>
  <c r="S685" i="8"/>
  <c r="R685" i="8"/>
  <c r="Q685" i="8"/>
  <c r="P685" i="8"/>
  <c r="O685" i="8"/>
  <c r="N685" i="8"/>
  <c r="M685" i="8"/>
  <c r="L685" i="8"/>
  <c r="K685" i="8"/>
  <c r="J685" i="8"/>
  <c r="I685" i="8"/>
  <c r="H685" i="8"/>
  <c r="G685" i="8"/>
  <c r="F685" i="8"/>
  <c r="E685" i="8"/>
  <c r="D685" i="8"/>
  <c r="C685" i="8"/>
  <c r="B685" i="8"/>
  <c r="A685" i="8"/>
  <c r="C684" i="8"/>
  <c r="B684" i="8"/>
  <c r="A684" i="8"/>
  <c r="C683" i="8"/>
  <c r="B683" i="8"/>
  <c r="A683" i="8"/>
  <c r="C682" i="8"/>
  <c r="B682" i="8"/>
  <c r="A682" i="8"/>
  <c r="C681" i="8"/>
  <c r="B681" i="8"/>
  <c r="A681" i="8"/>
  <c r="C680" i="8"/>
  <c r="B680" i="8"/>
  <c r="A680" i="8"/>
  <c r="C679" i="8"/>
  <c r="B679" i="8"/>
  <c r="A679" i="8"/>
  <c r="C678" i="8"/>
  <c r="B678" i="8"/>
  <c r="A678" i="8"/>
  <c r="AC677" i="8"/>
  <c r="AB677" i="8"/>
  <c r="AA677" i="8"/>
  <c r="Z677" i="8"/>
  <c r="Y677" i="8"/>
  <c r="X677" i="8"/>
  <c r="W677" i="8"/>
  <c r="V677" i="8"/>
  <c r="U677" i="8"/>
  <c r="T677" i="8"/>
  <c r="S677" i="8"/>
  <c r="R677" i="8"/>
  <c r="Q677" i="8"/>
  <c r="P677" i="8"/>
  <c r="O677" i="8"/>
  <c r="N677" i="8"/>
  <c r="M677" i="8"/>
  <c r="L677" i="8"/>
  <c r="K677" i="8"/>
  <c r="J677" i="8"/>
  <c r="I677" i="8"/>
  <c r="H677" i="8"/>
  <c r="G677" i="8"/>
  <c r="F677" i="8"/>
  <c r="E677" i="8"/>
  <c r="D677" i="8"/>
  <c r="C677" i="8"/>
  <c r="B677" i="8"/>
  <c r="A677" i="8"/>
  <c r="AC676" i="8"/>
  <c r="AB676" i="8"/>
  <c r="AA676" i="8"/>
  <c r="Z676" i="8"/>
  <c r="Y676" i="8"/>
  <c r="X676" i="8"/>
  <c r="W676" i="8"/>
  <c r="V676" i="8"/>
  <c r="U676" i="8"/>
  <c r="T676" i="8"/>
  <c r="S676" i="8"/>
  <c r="R676" i="8"/>
  <c r="Q676" i="8"/>
  <c r="P676" i="8"/>
  <c r="O676" i="8"/>
  <c r="N676" i="8"/>
  <c r="M676" i="8"/>
  <c r="L676" i="8"/>
  <c r="K676" i="8"/>
  <c r="J676" i="8"/>
  <c r="I676" i="8"/>
  <c r="H676" i="8"/>
  <c r="G676" i="8"/>
  <c r="F676" i="8"/>
  <c r="E676" i="8"/>
  <c r="D676" i="8"/>
  <c r="C676" i="8"/>
  <c r="B676" i="8"/>
  <c r="A676" i="8"/>
  <c r="AC675" i="8"/>
  <c r="AB675" i="8"/>
  <c r="AA675" i="8"/>
  <c r="Z675" i="8"/>
  <c r="Y675" i="8"/>
  <c r="X675" i="8"/>
  <c r="W675" i="8"/>
  <c r="V675" i="8"/>
  <c r="U675" i="8"/>
  <c r="T675" i="8"/>
  <c r="S675" i="8"/>
  <c r="R675" i="8"/>
  <c r="Q675" i="8"/>
  <c r="P675" i="8"/>
  <c r="O675" i="8"/>
  <c r="N675" i="8"/>
  <c r="M675" i="8"/>
  <c r="L675" i="8"/>
  <c r="K675" i="8"/>
  <c r="J675" i="8"/>
  <c r="I675" i="8"/>
  <c r="H675" i="8"/>
  <c r="G675" i="8"/>
  <c r="F675" i="8"/>
  <c r="E675" i="8"/>
  <c r="D675" i="8"/>
  <c r="C675" i="8"/>
  <c r="B675" i="8"/>
  <c r="A675" i="8"/>
  <c r="AC674" i="8"/>
  <c r="AB674" i="8"/>
  <c r="AA674" i="8"/>
  <c r="Z674" i="8"/>
  <c r="Y674" i="8"/>
  <c r="X674" i="8"/>
  <c r="W674" i="8"/>
  <c r="V674" i="8"/>
  <c r="U674" i="8"/>
  <c r="T674" i="8"/>
  <c r="S674" i="8"/>
  <c r="R674" i="8"/>
  <c r="Q674" i="8"/>
  <c r="P674" i="8"/>
  <c r="O674" i="8"/>
  <c r="N674" i="8"/>
  <c r="M674" i="8"/>
  <c r="L674" i="8"/>
  <c r="K674" i="8"/>
  <c r="J674" i="8"/>
  <c r="I674" i="8"/>
  <c r="H674" i="8"/>
  <c r="G674" i="8"/>
  <c r="F674" i="8"/>
  <c r="E674" i="8"/>
  <c r="D674" i="8"/>
  <c r="C674" i="8"/>
  <c r="B674" i="8"/>
  <c r="A674" i="8"/>
  <c r="AC673" i="8"/>
  <c r="AB673" i="8"/>
  <c r="AA673" i="8"/>
  <c r="Z673" i="8"/>
  <c r="Y673" i="8"/>
  <c r="X673" i="8"/>
  <c r="W673" i="8"/>
  <c r="V673" i="8"/>
  <c r="U673" i="8"/>
  <c r="T673" i="8"/>
  <c r="S673" i="8"/>
  <c r="R673" i="8"/>
  <c r="Q673" i="8"/>
  <c r="P673" i="8"/>
  <c r="O673" i="8"/>
  <c r="N673" i="8"/>
  <c r="M673" i="8"/>
  <c r="L673" i="8"/>
  <c r="K673" i="8"/>
  <c r="J673" i="8"/>
  <c r="I673" i="8"/>
  <c r="H673" i="8"/>
  <c r="G673" i="8"/>
  <c r="F673" i="8"/>
  <c r="E673" i="8"/>
  <c r="D673" i="8"/>
  <c r="C673" i="8"/>
  <c r="B673" i="8"/>
  <c r="A673" i="8"/>
  <c r="AC672" i="8"/>
  <c r="AB672" i="8"/>
  <c r="AA672" i="8"/>
  <c r="Z672" i="8"/>
  <c r="Y672" i="8"/>
  <c r="X672" i="8"/>
  <c r="W672" i="8"/>
  <c r="V672" i="8"/>
  <c r="U672" i="8"/>
  <c r="T672" i="8"/>
  <c r="S672" i="8"/>
  <c r="R672" i="8"/>
  <c r="Q672" i="8"/>
  <c r="P672" i="8"/>
  <c r="O672" i="8"/>
  <c r="N672" i="8"/>
  <c r="M672" i="8"/>
  <c r="L672" i="8"/>
  <c r="K672" i="8"/>
  <c r="J672" i="8"/>
  <c r="I672" i="8"/>
  <c r="H672" i="8"/>
  <c r="G672" i="8"/>
  <c r="F672" i="8"/>
  <c r="E672" i="8"/>
  <c r="D672" i="8"/>
  <c r="C672" i="8"/>
  <c r="B672" i="8"/>
  <c r="A672" i="8"/>
  <c r="AC671" i="8"/>
  <c r="AB671" i="8"/>
  <c r="AA671" i="8"/>
  <c r="Z671" i="8"/>
  <c r="Y671" i="8"/>
  <c r="X671" i="8"/>
  <c r="W671" i="8"/>
  <c r="V671" i="8"/>
  <c r="U671" i="8"/>
  <c r="T671" i="8"/>
  <c r="S671" i="8"/>
  <c r="R671" i="8"/>
  <c r="Q671" i="8"/>
  <c r="P671" i="8"/>
  <c r="O671" i="8"/>
  <c r="N671" i="8"/>
  <c r="M671" i="8"/>
  <c r="L671" i="8"/>
  <c r="K671" i="8"/>
  <c r="J671" i="8"/>
  <c r="I671" i="8"/>
  <c r="H671" i="8"/>
  <c r="G671" i="8"/>
  <c r="F671" i="8"/>
  <c r="E671" i="8"/>
  <c r="D671" i="8"/>
  <c r="C671" i="8"/>
  <c r="B671" i="8"/>
  <c r="A671" i="8"/>
  <c r="AC670" i="8"/>
  <c r="AB670" i="8"/>
  <c r="AA670" i="8"/>
  <c r="Z670" i="8"/>
  <c r="Y670" i="8"/>
  <c r="X670" i="8"/>
  <c r="W670" i="8"/>
  <c r="V670" i="8"/>
  <c r="U670" i="8"/>
  <c r="T670" i="8"/>
  <c r="S670" i="8"/>
  <c r="R670" i="8"/>
  <c r="Q670" i="8"/>
  <c r="P670" i="8"/>
  <c r="O670" i="8"/>
  <c r="N670" i="8"/>
  <c r="M670" i="8"/>
  <c r="L670" i="8"/>
  <c r="K670" i="8"/>
  <c r="J670" i="8"/>
  <c r="I670" i="8"/>
  <c r="H670" i="8"/>
  <c r="G670" i="8"/>
  <c r="F670" i="8"/>
  <c r="E670" i="8"/>
  <c r="D670" i="8"/>
  <c r="C670" i="8"/>
  <c r="B670" i="8"/>
  <c r="A670" i="8"/>
  <c r="AC669" i="8"/>
  <c r="AB669" i="8"/>
  <c r="AA669" i="8"/>
  <c r="Z669" i="8"/>
  <c r="Y669" i="8"/>
  <c r="X669" i="8"/>
  <c r="W669" i="8"/>
  <c r="V669" i="8"/>
  <c r="U669" i="8"/>
  <c r="T669" i="8"/>
  <c r="S669" i="8"/>
  <c r="R669" i="8"/>
  <c r="Q669" i="8"/>
  <c r="P669" i="8"/>
  <c r="O669" i="8"/>
  <c r="N669" i="8"/>
  <c r="M669" i="8"/>
  <c r="L669" i="8"/>
  <c r="K669" i="8"/>
  <c r="J669" i="8"/>
  <c r="I669" i="8"/>
  <c r="H669" i="8"/>
  <c r="G669" i="8"/>
  <c r="F669" i="8"/>
  <c r="E669" i="8"/>
  <c r="D669" i="8"/>
  <c r="C669" i="8"/>
  <c r="B669" i="8"/>
  <c r="A669" i="8"/>
  <c r="AC668" i="8"/>
  <c r="AB668" i="8"/>
  <c r="AA668" i="8"/>
  <c r="Z668" i="8"/>
  <c r="Y668" i="8"/>
  <c r="X668" i="8"/>
  <c r="W668" i="8"/>
  <c r="V668" i="8"/>
  <c r="U668" i="8"/>
  <c r="T668" i="8"/>
  <c r="S668" i="8"/>
  <c r="R668" i="8"/>
  <c r="Q668" i="8"/>
  <c r="P668" i="8"/>
  <c r="O668" i="8"/>
  <c r="N668" i="8"/>
  <c r="M668" i="8"/>
  <c r="L668" i="8"/>
  <c r="K668" i="8"/>
  <c r="J668" i="8"/>
  <c r="I668" i="8"/>
  <c r="H668" i="8"/>
  <c r="G668" i="8"/>
  <c r="F668" i="8"/>
  <c r="E668" i="8"/>
  <c r="D668" i="8"/>
  <c r="C668" i="8"/>
  <c r="B668" i="8"/>
  <c r="A668" i="8"/>
  <c r="AC667" i="8"/>
  <c r="AB667" i="8"/>
  <c r="AA667" i="8"/>
  <c r="Z667" i="8"/>
  <c r="Y667" i="8"/>
  <c r="X667" i="8"/>
  <c r="W667" i="8"/>
  <c r="V667" i="8"/>
  <c r="U667" i="8"/>
  <c r="T667" i="8"/>
  <c r="S667" i="8"/>
  <c r="R667" i="8"/>
  <c r="Q667" i="8"/>
  <c r="P667" i="8"/>
  <c r="O667" i="8"/>
  <c r="N667" i="8"/>
  <c r="M667" i="8"/>
  <c r="L667" i="8"/>
  <c r="K667" i="8"/>
  <c r="J667" i="8"/>
  <c r="I667" i="8"/>
  <c r="H667" i="8"/>
  <c r="G667" i="8"/>
  <c r="F667" i="8"/>
  <c r="E667" i="8"/>
  <c r="D667" i="8"/>
  <c r="C667" i="8"/>
  <c r="B667" i="8"/>
  <c r="A667" i="8"/>
  <c r="AC666" i="8"/>
  <c r="AB666" i="8"/>
  <c r="AA666" i="8"/>
  <c r="Z666" i="8"/>
  <c r="Y666" i="8"/>
  <c r="X666" i="8"/>
  <c r="W666" i="8"/>
  <c r="V666" i="8"/>
  <c r="U666" i="8"/>
  <c r="T666" i="8"/>
  <c r="S666" i="8"/>
  <c r="R666" i="8"/>
  <c r="Q666" i="8"/>
  <c r="P666" i="8"/>
  <c r="O666" i="8"/>
  <c r="N666" i="8"/>
  <c r="M666" i="8"/>
  <c r="L666" i="8"/>
  <c r="K666" i="8"/>
  <c r="J666" i="8"/>
  <c r="I666" i="8"/>
  <c r="H666" i="8"/>
  <c r="G666" i="8"/>
  <c r="F666" i="8"/>
  <c r="E666" i="8"/>
  <c r="D666" i="8"/>
  <c r="C666" i="8"/>
  <c r="B666" i="8"/>
  <c r="A666" i="8"/>
  <c r="AC665" i="8"/>
  <c r="AB665" i="8"/>
  <c r="AA665" i="8"/>
  <c r="Z665" i="8"/>
  <c r="Y665" i="8"/>
  <c r="X665" i="8"/>
  <c r="W665" i="8"/>
  <c r="V665" i="8"/>
  <c r="U665" i="8"/>
  <c r="T665" i="8"/>
  <c r="S665" i="8"/>
  <c r="R665" i="8"/>
  <c r="Q665" i="8"/>
  <c r="P665" i="8"/>
  <c r="O665" i="8"/>
  <c r="N665" i="8"/>
  <c r="M665" i="8"/>
  <c r="L665" i="8"/>
  <c r="K665" i="8"/>
  <c r="J665" i="8"/>
  <c r="I665" i="8"/>
  <c r="H665" i="8"/>
  <c r="G665" i="8"/>
  <c r="F665" i="8"/>
  <c r="E665" i="8"/>
  <c r="D665" i="8"/>
  <c r="C665" i="8"/>
  <c r="B665" i="8"/>
  <c r="A665" i="8"/>
  <c r="AC664" i="8"/>
  <c r="AB664" i="8"/>
  <c r="AA664" i="8"/>
  <c r="Z664" i="8"/>
  <c r="Y664" i="8"/>
  <c r="X664" i="8"/>
  <c r="W664" i="8"/>
  <c r="V664" i="8"/>
  <c r="U664" i="8"/>
  <c r="T664" i="8"/>
  <c r="S664" i="8"/>
  <c r="R664" i="8"/>
  <c r="Q664" i="8"/>
  <c r="P664" i="8"/>
  <c r="O664" i="8"/>
  <c r="N664" i="8"/>
  <c r="M664" i="8"/>
  <c r="L664" i="8"/>
  <c r="K664" i="8"/>
  <c r="J664" i="8"/>
  <c r="I664" i="8"/>
  <c r="H664" i="8"/>
  <c r="G664" i="8"/>
  <c r="F664" i="8"/>
  <c r="E664" i="8"/>
  <c r="D664" i="8"/>
  <c r="C664" i="8"/>
  <c r="B664" i="8"/>
  <c r="A664" i="8"/>
  <c r="AC663" i="8"/>
  <c r="AB663" i="8"/>
  <c r="AA663" i="8"/>
  <c r="Z663" i="8"/>
  <c r="Y663" i="8"/>
  <c r="X663" i="8"/>
  <c r="W663" i="8"/>
  <c r="V663" i="8"/>
  <c r="U663" i="8"/>
  <c r="T663" i="8"/>
  <c r="S663" i="8"/>
  <c r="R663" i="8"/>
  <c r="Q663" i="8"/>
  <c r="P663" i="8"/>
  <c r="O663" i="8"/>
  <c r="N663" i="8"/>
  <c r="M663" i="8"/>
  <c r="L663" i="8"/>
  <c r="K663" i="8"/>
  <c r="J663" i="8"/>
  <c r="I663" i="8"/>
  <c r="H663" i="8"/>
  <c r="G663" i="8"/>
  <c r="F663" i="8"/>
  <c r="E663" i="8"/>
  <c r="D663" i="8"/>
  <c r="C663" i="8"/>
  <c r="B663" i="8"/>
  <c r="A663" i="8"/>
  <c r="AC662" i="8"/>
  <c r="AB662" i="8"/>
  <c r="AA662" i="8"/>
  <c r="Z662" i="8"/>
  <c r="Y662" i="8"/>
  <c r="X662" i="8"/>
  <c r="W662" i="8"/>
  <c r="V662" i="8"/>
  <c r="U662" i="8"/>
  <c r="T662" i="8"/>
  <c r="S662" i="8"/>
  <c r="R662" i="8"/>
  <c r="Q662" i="8"/>
  <c r="P662" i="8"/>
  <c r="O662" i="8"/>
  <c r="N662" i="8"/>
  <c r="M662" i="8"/>
  <c r="L662" i="8"/>
  <c r="K662" i="8"/>
  <c r="J662" i="8"/>
  <c r="I662" i="8"/>
  <c r="H662" i="8"/>
  <c r="G662" i="8"/>
  <c r="F662" i="8"/>
  <c r="E662" i="8"/>
  <c r="D662" i="8"/>
  <c r="C662" i="8"/>
  <c r="B662" i="8"/>
  <c r="A662" i="8"/>
  <c r="AC661" i="8"/>
  <c r="AB661" i="8"/>
  <c r="AA661" i="8"/>
  <c r="Z661" i="8"/>
  <c r="Y661" i="8"/>
  <c r="X661" i="8"/>
  <c r="W661" i="8"/>
  <c r="V661" i="8"/>
  <c r="U661" i="8"/>
  <c r="T661" i="8"/>
  <c r="S661" i="8"/>
  <c r="R661" i="8"/>
  <c r="Q661" i="8"/>
  <c r="P661" i="8"/>
  <c r="O661" i="8"/>
  <c r="N661" i="8"/>
  <c r="M661" i="8"/>
  <c r="L661" i="8"/>
  <c r="K661" i="8"/>
  <c r="J661" i="8"/>
  <c r="I661" i="8"/>
  <c r="H661" i="8"/>
  <c r="G661" i="8"/>
  <c r="F661" i="8"/>
  <c r="E661" i="8"/>
  <c r="D661" i="8"/>
  <c r="C661" i="8"/>
  <c r="B661" i="8"/>
  <c r="A661" i="8"/>
  <c r="AC660" i="8"/>
  <c r="AB660" i="8"/>
  <c r="X660" i="8"/>
  <c r="W660" i="8"/>
  <c r="V660" i="8"/>
  <c r="R660" i="8"/>
  <c r="Q660" i="8"/>
  <c r="P660" i="8"/>
  <c r="O660" i="8"/>
  <c r="N660" i="8"/>
  <c r="M660" i="8"/>
  <c r="L660" i="8"/>
  <c r="K660" i="8"/>
  <c r="J660" i="8"/>
  <c r="I660" i="8"/>
  <c r="H660" i="8"/>
  <c r="G660" i="8"/>
  <c r="F660" i="8"/>
  <c r="E660" i="8"/>
  <c r="D660" i="8"/>
  <c r="C660" i="8"/>
  <c r="B660" i="8"/>
  <c r="A660" i="8"/>
  <c r="AC659" i="8"/>
  <c r="AB659" i="8"/>
  <c r="AA659" i="8"/>
  <c r="Z659" i="8"/>
  <c r="Y659" i="8"/>
  <c r="X659" i="8"/>
  <c r="W659" i="8"/>
  <c r="V659" i="8"/>
  <c r="U659" i="8"/>
  <c r="T659" i="8"/>
  <c r="S659" i="8"/>
  <c r="R659" i="8"/>
  <c r="Q659" i="8"/>
  <c r="P659" i="8"/>
  <c r="O659" i="8"/>
  <c r="N659" i="8"/>
  <c r="M659" i="8"/>
  <c r="L659" i="8"/>
  <c r="K659" i="8"/>
  <c r="J659" i="8"/>
  <c r="I659" i="8"/>
  <c r="H659" i="8"/>
  <c r="G659" i="8"/>
  <c r="F659" i="8"/>
  <c r="E659" i="8"/>
  <c r="D659" i="8"/>
  <c r="C659" i="8"/>
  <c r="B659" i="8"/>
  <c r="A659" i="8"/>
  <c r="AB658" i="8"/>
  <c r="AA658" i="8"/>
  <c r="Z658" i="8"/>
  <c r="Y658" i="8"/>
  <c r="X658" i="8"/>
  <c r="W658" i="8"/>
  <c r="V658" i="8"/>
  <c r="U658" i="8"/>
  <c r="T658" i="8"/>
  <c r="S658" i="8"/>
  <c r="R658" i="8"/>
  <c r="Q658" i="8"/>
  <c r="P658" i="8"/>
  <c r="O658" i="8"/>
  <c r="N658" i="8"/>
  <c r="M658" i="8"/>
  <c r="L658" i="8"/>
  <c r="K658" i="8"/>
  <c r="J658" i="8"/>
  <c r="I658" i="8"/>
  <c r="H658" i="8"/>
  <c r="G658" i="8"/>
  <c r="F658" i="8"/>
  <c r="E658" i="8"/>
  <c r="D658" i="8"/>
  <c r="C658" i="8"/>
  <c r="B658" i="8"/>
  <c r="A658" i="8"/>
  <c r="AC657" i="8"/>
  <c r="AB657" i="8"/>
  <c r="AA657" i="8"/>
  <c r="Z657" i="8"/>
  <c r="Y657" i="8"/>
  <c r="X657" i="8"/>
  <c r="W657" i="8"/>
  <c r="V657" i="8"/>
  <c r="U657" i="8"/>
  <c r="T657" i="8"/>
  <c r="S657" i="8"/>
  <c r="R657" i="8"/>
  <c r="Q657" i="8"/>
  <c r="P657" i="8"/>
  <c r="O657" i="8"/>
  <c r="N657" i="8"/>
  <c r="M657" i="8"/>
  <c r="L657" i="8"/>
  <c r="K657" i="8"/>
  <c r="J657" i="8"/>
  <c r="I657" i="8"/>
  <c r="H657" i="8"/>
  <c r="G657" i="8"/>
  <c r="F657" i="8"/>
  <c r="E657" i="8"/>
  <c r="D657" i="8"/>
  <c r="C657" i="8"/>
  <c r="B657" i="8"/>
  <c r="A657" i="8"/>
  <c r="AC656" i="8"/>
  <c r="AB656" i="8"/>
  <c r="AA656" i="8"/>
  <c r="Z656" i="8"/>
  <c r="Y656" i="8"/>
  <c r="X656" i="8"/>
  <c r="W656" i="8"/>
  <c r="V656" i="8"/>
  <c r="U656" i="8"/>
  <c r="T656" i="8"/>
  <c r="S656" i="8"/>
  <c r="R656" i="8"/>
  <c r="Q656" i="8"/>
  <c r="P656" i="8"/>
  <c r="O656" i="8"/>
  <c r="N656" i="8"/>
  <c r="M656" i="8"/>
  <c r="L656" i="8"/>
  <c r="K656" i="8"/>
  <c r="J656" i="8"/>
  <c r="I656" i="8"/>
  <c r="H656" i="8"/>
  <c r="G656" i="8"/>
  <c r="F656" i="8"/>
  <c r="E656" i="8"/>
  <c r="D656" i="8"/>
  <c r="C656" i="8"/>
  <c r="B656" i="8"/>
  <c r="A656" i="8"/>
  <c r="AC655" i="8"/>
  <c r="AB655" i="8"/>
  <c r="AA655" i="8"/>
  <c r="Z655" i="8"/>
  <c r="Y655" i="8"/>
  <c r="X655" i="8"/>
  <c r="W655" i="8"/>
  <c r="V655" i="8"/>
  <c r="U655" i="8"/>
  <c r="T655" i="8"/>
  <c r="S655" i="8"/>
  <c r="R655" i="8"/>
  <c r="Q655" i="8"/>
  <c r="P655" i="8"/>
  <c r="O655" i="8"/>
  <c r="N655" i="8"/>
  <c r="M655" i="8"/>
  <c r="L655" i="8"/>
  <c r="K655" i="8"/>
  <c r="J655" i="8"/>
  <c r="I655" i="8"/>
  <c r="H655" i="8"/>
  <c r="G655" i="8"/>
  <c r="F655" i="8"/>
  <c r="E655" i="8"/>
  <c r="D655" i="8"/>
  <c r="C655" i="8"/>
  <c r="B655" i="8"/>
  <c r="A655" i="8"/>
  <c r="AC654" i="8"/>
  <c r="AB654" i="8"/>
  <c r="AA654" i="8"/>
  <c r="Z654" i="8"/>
  <c r="Y654" i="8"/>
  <c r="X654" i="8"/>
  <c r="W654" i="8"/>
  <c r="V654" i="8"/>
  <c r="U654" i="8"/>
  <c r="T654" i="8"/>
  <c r="S654" i="8"/>
  <c r="R654" i="8"/>
  <c r="Q654" i="8"/>
  <c r="P654" i="8"/>
  <c r="O654" i="8"/>
  <c r="N654" i="8"/>
  <c r="M654" i="8"/>
  <c r="L654" i="8"/>
  <c r="K654" i="8"/>
  <c r="J654" i="8"/>
  <c r="I654" i="8"/>
  <c r="H654" i="8"/>
  <c r="G654" i="8"/>
  <c r="F654" i="8"/>
  <c r="E654" i="8"/>
  <c r="D654" i="8"/>
  <c r="C654" i="8"/>
  <c r="B654" i="8"/>
  <c r="A654" i="8"/>
  <c r="AC653" i="8"/>
  <c r="AB653" i="8"/>
  <c r="AA653" i="8"/>
  <c r="Z653" i="8"/>
  <c r="Y653" i="8"/>
  <c r="X653" i="8"/>
  <c r="W653" i="8"/>
  <c r="V653" i="8"/>
  <c r="U653" i="8"/>
  <c r="T653" i="8"/>
  <c r="S653" i="8"/>
  <c r="R653" i="8"/>
  <c r="Q653" i="8"/>
  <c r="P653" i="8"/>
  <c r="O653" i="8"/>
  <c r="N653" i="8"/>
  <c r="M653" i="8"/>
  <c r="L653" i="8"/>
  <c r="K653" i="8"/>
  <c r="J653" i="8"/>
  <c r="I653" i="8"/>
  <c r="H653" i="8"/>
  <c r="G653" i="8"/>
  <c r="F653" i="8"/>
  <c r="E653" i="8"/>
  <c r="D653" i="8"/>
  <c r="C653" i="8"/>
  <c r="B653" i="8"/>
  <c r="A653" i="8"/>
  <c r="AC652" i="8"/>
  <c r="AB652" i="8"/>
  <c r="AA652" i="8"/>
  <c r="Z652" i="8"/>
  <c r="Y652" i="8"/>
  <c r="X652" i="8"/>
  <c r="W652" i="8"/>
  <c r="V652" i="8"/>
  <c r="U652" i="8"/>
  <c r="T652" i="8"/>
  <c r="S652" i="8"/>
  <c r="R652" i="8"/>
  <c r="Q652" i="8"/>
  <c r="P652" i="8"/>
  <c r="O652" i="8"/>
  <c r="N652" i="8"/>
  <c r="M652" i="8"/>
  <c r="L652" i="8"/>
  <c r="K652" i="8"/>
  <c r="J652" i="8"/>
  <c r="I652" i="8"/>
  <c r="H652" i="8"/>
  <c r="G652" i="8"/>
  <c r="F652" i="8"/>
  <c r="E652" i="8"/>
  <c r="D652" i="8"/>
  <c r="C652" i="8"/>
  <c r="B652" i="8"/>
  <c r="A652" i="8"/>
  <c r="AC651" i="8"/>
  <c r="AB651" i="8"/>
  <c r="AA651" i="8"/>
  <c r="Z651" i="8"/>
  <c r="Y651" i="8"/>
  <c r="X651" i="8"/>
  <c r="W651" i="8"/>
  <c r="V651" i="8"/>
  <c r="U651" i="8"/>
  <c r="T651" i="8"/>
  <c r="S651" i="8"/>
  <c r="R651" i="8"/>
  <c r="Q651" i="8"/>
  <c r="P651" i="8"/>
  <c r="O651" i="8"/>
  <c r="N651" i="8"/>
  <c r="M651" i="8"/>
  <c r="L651" i="8"/>
  <c r="K651" i="8"/>
  <c r="J651" i="8"/>
  <c r="I651" i="8"/>
  <c r="H651" i="8"/>
  <c r="G651" i="8"/>
  <c r="F651" i="8"/>
  <c r="E651" i="8"/>
  <c r="D651" i="8"/>
  <c r="C651" i="8"/>
  <c r="B651" i="8"/>
  <c r="A651" i="8"/>
  <c r="AC650" i="8"/>
  <c r="AB650" i="8"/>
  <c r="AA650" i="8"/>
  <c r="Z650" i="8"/>
  <c r="Y650" i="8"/>
  <c r="X650" i="8"/>
  <c r="W650" i="8"/>
  <c r="V650" i="8"/>
  <c r="U650" i="8"/>
  <c r="T650" i="8"/>
  <c r="S650" i="8"/>
  <c r="R650" i="8"/>
  <c r="Q650" i="8"/>
  <c r="P650" i="8"/>
  <c r="O650" i="8"/>
  <c r="N650" i="8"/>
  <c r="M650" i="8"/>
  <c r="L650" i="8"/>
  <c r="K650" i="8"/>
  <c r="J650" i="8"/>
  <c r="I650" i="8"/>
  <c r="H650" i="8"/>
  <c r="G650" i="8"/>
  <c r="F650" i="8"/>
  <c r="E650" i="8"/>
  <c r="D650" i="8"/>
  <c r="C650" i="8"/>
  <c r="B650" i="8"/>
  <c r="A650" i="8"/>
  <c r="AC649" i="8"/>
  <c r="AB649" i="8"/>
  <c r="AA649" i="8"/>
  <c r="Z649" i="8"/>
  <c r="Y649" i="8"/>
  <c r="X649" i="8"/>
  <c r="W649" i="8"/>
  <c r="V649" i="8"/>
  <c r="U649" i="8"/>
  <c r="T649" i="8"/>
  <c r="S649" i="8"/>
  <c r="R649" i="8"/>
  <c r="Q649" i="8"/>
  <c r="P649" i="8"/>
  <c r="O649" i="8"/>
  <c r="N649" i="8"/>
  <c r="M649" i="8"/>
  <c r="L649" i="8"/>
  <c r="K649" i="8"/>
  <c r="J649" i="8"/>
  <c r="I649" i="8"/>
  <c r="H649" i="8"/>
  <c r="G649" i="8"/>
  <c r="F649" i="8"/>
  <c r="E649" i="8"/>
  <c r="D649" i="8"/>
  <c r="C649" i="8"/>
  <c r="B649" i="8"/>
  <c r="A649" i="8"/>
  <c r="AC648" i="8"/>
  <c r="AB648" i="8"/>
  <c r="AA648" i="8"/>
  <c r="Z648" i="8"/>
  <c r="Y648" i="8"/>
  <c r="X648" i="8"/>
  <c r="W648" i="8"/>
  <c r="V648" i="8"/>
  <c r="U648" i="8"/>
  <c r="T648" i="8"/>
  <c r="S648" i="8"/>
  <c r="R648" i="8"/>
  <c r="Q648" i="8"/>
  <c r="P648" i="8"/>
  <c r="O648" i="8"/>
  <c r="N648" i="8"/>
  <c r="M648" i="8"/>
  <c r="L648" i="8"/>
  <c r="K648" i="8"/>
  <c r="J648" i="8"/>
  <c r="I648" i="8"/>
  <c r="H648" i="8"/>
  <c r="G648" i="8"/>
  <c r="F648" i="8"/>
  <c r="E648" i="8"/>
  <c r="D648" i="8"/>
  <c r="C648" i="8"/>
  <c r="B648" i="8"/>
  <c r="A648" i="8"/>
  <c r="C647" i="8"/>
  <c r="B647" i="8"/>
  <c r="A647" i="8"/>
  <c r="C646" i="8"/>
  <c r="B646" i="8"/>
  <c r="A646" i="8"/>
  <c r="C645" i="8"/>
  <c r="B645" i="8"/>
  <c r="A645" i="8"/>
  <c r="C644" i="8"/>
  <c r="B644" i="8"/>
  <c r="A644" i="8"/>
  <c r="AB643" i="8"/>
  <c r="X643" i="8"/>
  <c r="V643" i="8"/>
  <c r="U643" i="8"/>
  <c r="T643" i="8"/>
  <c r="S643" i="8"/>
  <c r="R643" i="8"/>
  <c r="Q643" i="8"/>
  <c r="P643" i="8"/>
  <c r="O643" i="8"/>
  <c r="N643" i="8"/>
  <c r="M643" i="8"/>
  <c r="L643" i="8"/>
  <c r="K643" i="8"/>
  <c r="J643" i="8"/>
  <c r="I643" i="8"/>
  <c r="H643" i="8"/>
  <c r="G643" i="8"/>
  <c r="F643" i="8"/>
  <c r="E643" i="8"/>
  <c r="D643" i="8"/>
  <c r="C643" i="8"/>
  <c r="B643" i="8"/>
  <c r="A643" i="8"/>
  <c r="B642" i="8"/>
  <c r="A642" i="8"/>
  <c r="AC641" i="8"/>
  <c r="AB641" i="8"/>
  <c r="AA641" i="8"/>
  <c r="Z641" i="8"/>
  <c r="Y641" i="8"/>
  <c r="X641" i="8"/>
  <c r="W641" i="8"/>
  <c r="V641" i="8"/>
  <c r="U641" i="8"/>
  <c r="T641" i="8"/>
  <c r="S641" i="8"/>
  <c r="R641" i="8"/>
  <c r="Q641" i="8"/>
  <c r="P641" i="8"/>
  <c r="O641" i="8"/>
  <c r="N641" i="8"/>
  <c r="M641" i="8"/>
  <c r="L641" i="8"/>
  <c r="K641" i="8"/>
  <c r="J641" i="8"/>
  <c r="H641" i="8"/>
  <c r="G641" i="8"/>
  <c r="F641" i="8"/>
  <c r="E641" i="8"/>
  <c r="D641" i="8"/>
  <c r="C641" i="8"/>
  <c r="B641" i="8"/>
  <c r="A641" i="8"/>
  <c r="AB640" i="8"/>
  <c r="Q640" i="8"/>
  <c r="P640" i="8"/>
  <c r="O640" i="8"/>
  <c r="N640" i="8"/>
  <c r="M640" i="8"/>
  <c r="L640" i="8"/>
  <c r="K640" i="8"/>
  <c r="J640" i="8"/>
  <c r="I640" i="8"/>
  <c r="H640" i="8"/>
  <c r="G640" i="8"/>
  <c r="F640" i="8"/>
  <c r="E640" i="8"/>
  <c r="D640" i="8"/>
  <c r="C640" i="8"/>
  <c r="B640" i="8"/>
  <c r="A640" i="8"/>
  <c r="AC639" i="8"/>
  <c r="AB639" i="8"/>
  <c r="AA639" i="8"/>
  <c r="Z639" i="8"/>
  <c r="Y639" i="8"/>
  <c r="X639" i="8"/>
  <c r="W639" i="8"/>
  <c r="V639" i="8"/>
  <c r="U639" i="8"/>
  <c r="T639" i="8"/>
  <c r="S639" i="8"/>
  <c r="R639" i="8"/>
  <c r="Q639" i="8"/>
  <c r="P639" i="8"/>
  <c r="O639" i="8"/>
  <c r="N639" i="8"/>
  <c r="M639" i="8"/>
  <c r="L639" i="8"/>
  <c r="K639" i="8"/>
  <c r="J639" i="8"/>
  <c r="I639" i="8"/>
  <c r="H639" i="8"/>
  <c r="G639" i="8"/>
  <c r="F639" i="8"/>
  <c r="E639" i="8"/>
  <c r="D639" i="8"/>
  <c r="C639" i="8"/>
  <c r="B639" i="8"/>
  <c r="A639" i="8"/>
  <c r="AC638" i="8"/>
  <c r="AB638" i="8"/>
  <c r="AA638" i="8"/>
  <c r="Z638" i="8"/>
  <c r="Y638" i="8"/>
  <c r="X638" i="8"/>
  <c r="W638" i="8"/>
  <c r="V638" i="8"/>
  <c r="U638" i="8"/>
  <c r="T638" i="8"/>
  <c r="S638" i="8"/>
  <c r="R638" i="8"/>
  <c r="Q638" i="8"/>
  <c r="P638" i="8"/>
  <c r="O638" i="8"/>
  <c r="N638" i="8"/>
  <c r="M638" i="8"/>
  <c r="L638" i="8"/>
  <c r="K638" i="8"/>
  <c r="J638" i="8"/>
  <c r="I638" i="8"/>
  <c r="H638" i="8"/>
  <c r="G638" i="8"/>
  <c r="F638" i="8"/>
  <c r="E638" i="8"/>
  <c r="D638" i="8"/>
  <c r="C638" i="8"/>
  <c r="B638" i="8"/>
  <c r="A638" i="8"/>
  <c r="AC637" i="8"/>
  <c r="AB637" i="8"/>
  <c r="AA637" i="8"/>
  <c r="Z637" i="8"/>
  <c r="Y637" i="8"/>
  <c r="X637" i="8"/>
  <c r="W637" i="8"/>
  <c r="V637" i="8"/>
  <c r="U637" i="8"/>
  <c r="T637" i="8"/>
  <c r="S637" i="8"/>
  <c r="R637" i="8"/>
  <c r="Q637" i="8"/>
  <c r="P637" i="8"/>
  <c r="O637" i="8"/>
  <c r="N637" i="8"/>
  <c r="M637" i="8"/>
  <c r="L637" i="8"/>
  <c r="K637" i="8"/>
  <c r="J637" i="8"/>
  <c r="I637" i="8"/>
  <c r="H637" i="8"/>
  <c r="G637" i="8"/>
  <c r="F637" i="8"/>
  <c r="E637" i="8"/>
  <c r="D637" i="8"/>
  <c r="C637" i="8"/>
  <c r="B637" i="8"/>
  <c r="A637" i="8"/>
  <c r="AC636" i="8"/>
  <c r="AB636" i="8"/>
  <c r="AA636" i="8"/>
  <c r="Z636" i="8"/>
  <c r="Y636" i="8"/>
  <c r="X636" i="8"/>
  <c r="W636" i="8"/>
  <c r="V636" i="8"/>
  <c r="U636" i="8"/>
  <c r="T636" i="8"/>
  <c r="S636" i="8"/>
  <c r="R636" i="8"/>
  <c r="Q636" i="8"/>
  <c r="P636" i="8"/>
  <c r="O636" i="8"/>
  <c r="N636" i="8"/>
  <c r="M636" i="8"/>
  <c r="L636" i="8"/>
  <c r="K636" i="8"/>
  <c r="J636" i="8"/>
  <c r="I636" i="8"/>
  <c r="H636" i="8"/>
  <c r="G636" i="8"/>
  <c r="F636" i="8"/>
  <c r="E636" i="8"/>
  <c r="D636" i="8"/>
  <c r="C636" i="8"/>
  <c r="B636" i="8"/>
  <c r="A636" i="8"/>
  <c r="AC635" i="8"/>
  <c r="AB635" i="8"/>
  <c r="AA635" i="8"/>
  <c r="Z635" i="8"/>
  <c r="Y635" i="8"/>
  <c r="X635" i="8"/>
  <c r="W635" i="8"/>
  <c r="V635" i="8"/>
  <c r="U635" i="8"/>
  <c r="T635" i="8"/>
  <c r="S635" i="8"/>
  <c r="R635" i="8"/>
  <c r="Q635" i="8"/>
  <c r="P635" i="8"/>
  <c r="O635" i="8"/>
  <c r="N635" i="8"/>
  <c r="M635" i="8"/>
  <c r="L635" i="8"/>
  <c r="K635" i="8"/>
  <c r="J635" i="8"/>
  <c r="I635" i="8"/>
  <c r="H635" i="8"/>
  <c r="G635" i="8"/>
  <c r="F635" i="8"/>
  <c r="E635" i="8"/>
  <c r="D635" i="8"/>
  <c r="C635" i="8"/>
  <c r="B635" i="8"/>
  <c r="A635" i="8"/>
  <c r="AC634" i="8"/>
  <c r="AB634" i="8"/>
  <c r="AA634" i="8"/>
  <c r="Z634" i="8"/>
  <c r="Y634" i="8"/>
  <c r="X634" i="8"/>
  <c r="W634" i="8"/>
  <c r="V634" i="8"/>
  <c r="U634" i="8"/>
  <c r="T634" i="8"/>
  <c r="S634" i="8"/>
  <c r="R634" i="8"/>
  <c r="Q634" i="8"/>
  <c r="P634" i="8"/>
  <c r="O634" i="8"/>
  <c r="N634" i="8"/>
  <c r="M634" i="8"/>
  <c r="L634" i="8"/>
  <c r="K634" i="8"/>
  <c r="J634" i="8"/>
  <c r="I634" i="8"/>
  <c r="H634" i="8"/>
  <c r="G634" i="8"/>
  <c r="F634" i="8"/>
  <c r="E634" i="8"/>
  <c r="D634" i="8"/>
  <c r="C634" i="8"/>
  <c r="B634" i="8"/>
  <c r="A634" i="8"/>
  <c r="AC633" i="8"/>
  <c r="AB633" i="8"/>
  <c r="AA633" i="8"/>
  <c r="Z633" i="8"/>
  <c r="Y633" i="8"/>
  <c r="X633" i="8"/>
  <c r="W633" i="8"/>
  <c r="V633" i="8"/>
  <c r="U633" i="8"/>
  <c r="T633" i="8"/>
  <c r="S633" i="8"/>
  <c r="R633" i="8"/>
  <c r="Q633" i="8"/>
  <c r="P633" i="8"/>
  <c r="O633" i="8"/>
  <c r="N633" i="8"/>
  <c r="M633" i="8"/>
  <c r="L633" i="8"/>
  <c r="K633" i="8"/>
  <c r="J633" i="8"/>
  <c r="I633" i="8"/>
  <c r="H633" i="8"/>
  <c r="G633" i="8"/>
  <c r="F633" i="8"/>
  <c r="E633" i="8"/>
  <c r="D633" i="8"/>
  <c r="C633" i="8"/>
  <c r="B633" i="8"/>
  <c r="A633" i="8"/>
  <c r="AC632" i="8"/>
  <c r="AB632" i="8"/>
  <c r="AA632" i="8"/>
  <c r="Z632" i="8"/>
  <c r="Y632" i="8"/>
  <c r="X632" i="8"/>
  <c r="W632" i="8"/>
  <c r="V632" i="8"/>
  <c r="U632" i="8"/>
  <c r="T632" i="8"/>
  <c r="S632" i="8"/>
  <c r="R632" i="8"/>
  <c r="Q632" i="8"/>
  <c r="P632" i="8"/>
  <c r="O632" i="8"/>
  <c r="N632" i="8"/>
  <c r="M632" i="8"/>
  <c r="L632" i="8"/>
  <c r="K632" i="8"/>
  <c r="J632" i="8"/>
  <c r="I632" i="8"/>
  <c r="H632" i="8"/>
  <c r="G632" i="8"/>
  <c r="F632" i="8"/>
  <c r="E632" i="8"/>
  <c r="D632" i="8"/>
  <c r="C632" i="8"/>
  <c r="B632" i="8"/>
  <c r="A632" i="8"/>
  <c r="AC631" i="8"/>
  <c r="AB631" i="8"/>
  <c r="AA631" i="8"/>
  <c r="Z631" i="8"/>
  <c r="Y631" i="8"/>
  <c r="X631" i="8"/>
  <c r="W631" i="8"/>
  <c r="V631" i="8"/>
  <c r="U631" i="8"/>
  <c r="T631" i="8"/>
  <c r="S631" i="8"/>
  <c r="R631" i="8"/>
  <c r="Q631" i="8"/>
  <c r="P631" i="8"/>
  <c r="O631" i="8"/>
  <c r="N631" i="8"/>
  <c r="M631" i="8"/>
  <c r="L631" i="8"/>
  <c r="K631" i="8"/>
  <c r="J631" i="8"/>
  <c r="I631" i="8"/>
  <c r="H631" i="8"/>
  <c r="G631" i="8"/>
  <c r="F631" i="8"/>
  <c r="E631" i="8"/>
  <c r="D631" i="8"/>
  <c r="C631" i="8"/>
  <c r="B631" i="8"/>
  <c r="A631" i="8"/>
  <c r="AC630" i="8"/>
  <c r="AB630" i="8"/>
  <c r="AA630" i="8"/>
  <c r="Z630" i="8"/>
  <c r="Y630" i="8"/>
  <c r="X630" i="8"/>
  <c r="W630" i="8"/>
  <c r="V630" i="8"/>
  <c r="U630" i="8"/>
  <c r="T630" i="8"/>
  <c r="S630" i="8"/>
  <c r="R630" i="8"/>
  <c r="Q630" i="8"/>
  <c r="P630" i="8"/>
  <c r="O630" i="8"/>
  <c r="N630" i="8"/>
  <c r="M630" i="8"/>
  <c r="L630" i="8"/>
  <c r="K630" i="8"/>
  <c r="J630" i="8"/>
  <c r="I630" i="8"/>
  <c r="H630" i="8"/>
  <c r="G630" i="8"/>
  <c r="F630" i="8"/>
  <c r="E630" i="8"/>
  <c r="D630" i="8"/>
  <c r="C630" i="8"/>
  <c r="B630" i="8"/>
  <c r="A630" i="8"/>
  <c r="AC629" i="8"/>
  <c r="AB629" i="8"/>
  <c r="AA629" i="8"/>
  <c r="Z629" i="8"/>
  <c r="Y629" i="8"/>
  <c r="X629" i="8"/>
  <c r="W629" i="8"/>
  <c r="V629" i="8"/>
  <c r="U629" i="8"/>
  <c r="T629" i="8"/>
  <c r="S629" i="8"/>
  <c r="R629" i="8"/>
  <c r="Q629" i="8"/>
  <c r="P629" i="8"/>
  <c r="O629" i="8"/>
  <c r="N629" i="8"/>
  <c r="M629" i="8"/>
  <c r="L629" i="8"/>
  <c r="K629" i="8"/>
  <c r="J629" i="8"/>
  <c r="I629" i="8"/>
  <c r="H629" i="8"/>
  <c r="G629" i="8"/>
  <c r="F629" i="8"/>
  <c r="E629" i="8"/>
  <c r="D629" i="8"/>
  <c r="C629" i="8"/>
  <c r="B629" i="8"/>
  <c r="A629" i="8"/>
  <c r="AC628" i="8"/>
  <c r="AB628" i="8"/>
  <c r="AA628" i="8"/>
  <c r="Z628" i="8"/>
  <c r="Y628" i="8"/>
  <c r="X628" i="8"/>
  <c r="W628" i="8"/>
  <c r="V628" i="8"/>
  <c r="U628" i="8"/>
  <c r="T628" i="8"/>
  <c r="S628" i="8"/>
  <c r="R628" i="8"/>
  <c r="Q628" i="8"/>
  <c r="P628" i="8"/>
  <c r="O628" i="8"/>
  <c r="N628" i="8"/>
  <c r="M628" i="8"/>
  <c r="L628" i="8"/>
  <c r="K628" i="8"/>
  <c r="J628" i="8"/>
  <c r="I628" i="8"/>
  <c r="H628" i="8"/>
  <c r="G628" i="8"/>
  <c r="F628" i="8"/>
  <c r="E628" i="8"/>
  <c r="D628" i="8"/>
  <c r="C628" i="8"/>
  <c r="B628" i="8"/>
  <c r="A628" i="8"/>
  <c r="AC627" i="8"/>
  <c r="AB627" i="8"/>
  <c r="AA627" i="8"/>
  <c r="Z627" i="8"/>
  <c r="Y627" i="8"/>
  <c r="X627" i="8"/>
  <c r="W627" i="8"/>
  <c r="V627" i="8"/>
  <c r="U627" i="8"/>
  <c r="T627" i="8"/>
  <c r="S627" i="8"/>
  <c r="R627" i="8"/>
  <c r="Q627" i="8"/>
  <c r="P627" i="8"/>
  <c r="O627" i="8"/>
  <c r="N627" i="8"/>
  <c r="M627" i="8"/>
  <c r="L627" i="8"/>
  <c r="K627" i="8"/>
  <c r="J627" i="8"/>
  <c r="I627" i="8"/>
  <c r="H627" i="8"/>
  <c r="G627" i="8"/>
  <c r="F627" i="8"/>
  <c r="E627" i="8"/>
  <c r="D627" i="8"/>
  <c r="C627" i="8"/>
  <c r="B627" i="8"/>
  <c r="A627" i="8"/>
  <c r="AC626" i="8"/>
  <c r="AB626" i="8"/>
  <c r="AA626" i="8"/>
  <c r="Z626" i="8"/>
  <c r="Y626" i="8"/>
  <c r="X626" i="8"/>
  <c r="W626" i="8"/>
  <c r="V626" i="8"/>
  <c r="U626" i="8"/>
  <c r="T626" i="8"/>
  <c r="S626" i="8"/>
  <c r="R626" i="8"/>
  <c r="Q626" i="8"/>
  <c r="P626" i="8"/>
  <c r="O626" i="8"/>
  <c r="N626" i="8"/>
  <c r="M626" i="8"/>
  <c r="L626" i="8"/>
  <c r="K626" i="8"/>
  <c r="J626" i="8"/>
  <c r="I626" i="8"/>
  <c r="H626" i="8"/>
  <c r="G626" i="8"/>
  <c r="F626" i="8"/>
  <c r="E626" i="8"/>
  <c r="D626" i="8"/>
  <c r="C626" i="8"/>
  <c r="B626" i="8"/>
  <c r="A626" i="8"/>
  <c r="AC625" i="8"/>
  <c r="AB625" i="8"/>
  <c r="AA625" i="8"/>
  <c r="Z625" i="8"/>
  <c r="Y625" i="8"/>
  <c r="X625" i="8"/>
  <c r="W625" i="8"/>
  <c r="V625" i="8"/>
  <c r="U625" i="8"/>
  <c r="T625" i="8"/>
  <c r="S625" i="8"/>
  <c r="R625" i="8"/>
  <c r="Q625" i="8"/>
  <c r="P625" i="8"/>
  <c r="O625" i="8"/>
  <c r="N625" i="8"/>
  <c r="M625" i="8"/>
  <c r="L625" i="8"/>
  <c r="K625" i="8"/>
  <c r="J625" i="8"/>
  <c r="I625" i="8"/>
  <c r="H625" i="8"/>
  <c r="G625" i="8"/>
  <c r="F625" i="8"/>
  <c r="E625" i="8"/>
  <c r="D625" i="8"/>
  <c r="C625" i="8"/>
  <c r="B625" i="8"/>
  <c r="A625" i="8"/>
  <c r="AC624" i="8"/>
  <c r="AB624" i="8"/>
  <c r="AA624" i="8"/>
  <c r="Z624" i="8"/>
  <c r="Y624" i="8"/>
  <c r="X624" i="8"/>
  <c r="W624" i="8"/>
  <c r="V624" i="8"/>
  <c r="U624" i="8"/>
  <c r="T624" i="8"/>
  <c r="S624" i="8"/>
  <c r="R624" i="8"/>
  <c r="Q624" i="8"/>
  <c r="P624" i="8"/>
  <c r="O624" i="8"/>
  <c r="N624" i="8"/>
  <c r="M624" i="8"/>
  <c r="L624" i="8"/>
  <c r="K624" i="8"/>
  <c r="J624" i="8"/>
  <c r="I624" i="8"/>
  <c r="H624" i="8"/>
  <c r="G624" i="8"/>
  <c r="F624" i="8"/>
  <c r="E624" i="8"/>
  <c r="D624" i="8"/>
  <c r="C624" i="8"/>
  <c r="B624" i="8"/>
  <c r="A624" i="8"/>
  <c r="AC623" i="8"/>
  <c r="AB623" i="8"/>
  <c r="AA623" i="8"/>
  <c r="Z623" i="8"/>
  <c r="Y623" i="8"/>
  <c r="X623" i="8"/>
  <c r="W623" i="8"/>
  <c r="V623" i="8"/>
  <c r="U623" i="8"/>
  <c r="T623" i="8"/>
  <c r="S623" i="8"/>
  <c r="R623" i="8"/>
  <c r="Q623" i="8"/>
  <c r="P623" i="8"/>
  <c r="O623" i="8"/>
  <c r="N623" i="8"/>
  <c r="M623" i="8"/>
  <c r="L623" i="8"/>
  <c r="K623" i="8"/>
  <c r="J623" i="8"/>
  <c r="I623" i="8"/>
  <c r="H623" i="8"/>
  <c r="G623" i="8"/>
  <c r="F623" i="8"/>
  <c r="E623" i="8"/>
  <c r="D623" i="8"/>
  <c r="C623" i="8"/>
  <c r="B623" i="8"/>
  <c r="A623" i="8"/>
  <c r="AC622" i="8"/>
  <c r="AB622" i="8"/>
  <c r="AA622" i="8"/>
  <c r="Z622" i="8"/>
  <c r="Y622" i="8"/>
  <c r="X622" i="8"/>
  <c r="W622" i="8"/>
  <c r="V622" i="8"/>
  <c r="U622" i="8"/>
  <c r="T622" i="8"/>
  <c r="S622" i="8"/>
  <c r="R622" i="8"/>
  <c r="Q622" i="8"/>
  <c r="P622" i="8"/>
  <c r="O622" i="8"/>
  <c r="N622" i="8"/>
  <c r="M622" i="8"/>
  <c r="L622" i="8"/>
  <c r="K622" i="8"/>
  <c r="J622" i="8"/>
  <c r="I622" i="8"/>
  <c r="H622" i="8"/>
  <c r="G622" i="8"/>
  <c r="F622" i="8"/>
  <c r="E622" i="8"/>
  <c r="D622" i="8"/>
  <c r="C622" i="8"/>
  <c r="B622" i="8"/>
  <c r="A622" i="8"/>
  <c r="AC621" i="8"/>
  <c r="AB621" i="8"/>
  <c r="AA621" i="8"/>
  <c r="Z621" i="8"/>
  <c r="Y621" i="8"/>
  <c r="X621" i="8"/>
  <c r="W621" i="8"/>
  <c r="V621" i="8"/>
  <c r="U621" i="8"/>
  <c r="T621" i="8"/>
  <c r="S621" i="8"/>
  <c r="R621" i="8"/>
  <c r="Q621" i="8"/>
  <c r="P621" i="8"/>
  <c r="O621" i="8"/>
  <c r="N621" i="8"/>
  <c r="M621" i="8"/>
  <c r="L621" i="8"/>
  <c r="K621" i="8"/>
  <c r="J621" i="8"/>
  <c r="I621" i="8"/>
  <c r="H621" i="8"/>
  <c r="G621" i="8"/>
  <c r="F621" i="8"/>
  <c r="E621" i="8"/>
  <c r="D621" i="8"/>
  <c r="C621" i="8"/>
  <c r="B621" i="8"/>
  <c r="A621" i="8"/>
  <c r="C620" i="8"/>
  <c r="B620" i="8"/>
  <c r="A620" i="8"/>
  <c r="AC619" i="8"/>
  <c r="AB619" i="8"/>
  <c r="AA619" i="8"/>
  <c r="Z619" i="8"/>
  <c r="Y619" i="8"/>
  <c r="X619" i="8"/>
  <c r="W619" i="8"/>
  <c r="V619" i="8"/>
  <c r="U619" i="8"/>
  <c r="T619" i="8"/>
  <c r="S619" i="8"/>
  <c r="R619" i="8"/>
  <c r="Q619" i="8"/>
  <c r="P619" i="8"/>
  <c r="O619" i="8"/>
  <c r="N619" i="8"/>
  <c r="M619" i="8"/>
  <c r="L619" i="8"/>
  <c r="K619" i="8"/>
  <c r="J619" i="8"/>
  <c r="I619" i="8"/>
  <c r="H619" i="8"/>
  <c r="G619" i="8"/>
  <c r="F619" i="8"/>
  <c r="E619" i="8"/>
  <c r="D619" i="8"/>
  <c r="C619" i="8"/>
  <c r="B619" i="8"/>
  <c r="A619" i="8"/>
  <c r="AC618" i="8"/>
  <c r="AB618" i="8"/>
  <c r="AA618" i="8"/>
  <c r="Z618" i="8"/>
  <c r="Y618" i="8"/>
  <c r="X618" i="8"/>
  <c r="W618" i="8"/>
  <c r="V618" i="8"/>
  <c r="U618" i="8"/>
  <c r="T618" i="8"/>
  <c r="S618" i="8"/>
  <c r="R618" i="8"/>
  <c r="Q618" i="8"/>
  <c r="P618" i="8"/>
  <c r="O618" i="8"/>
  <c r="N618" i="8"/>
  <c r="M618" i="8"/>
  <c r="L618" i="8"/>
  <c r="K618" i="8"/>
  <c r="J618" i="8"/>
  <c r="I618" i="8"/>
  <c r="H618" i="8"/>
  <c r="G618" i="8"/>
  <c r="F618" i="8"/>
  <c r="E618" i="8"/>
  <c r="D618" i="8"/>
  <c r="C618" i="8"/>
  <c r="B618" i="8"/>
  <c r="A618" i="8"/>
  <c r="AC617" i="8"/>
  <c r="AB617" i="8"/>
  <c r="AA617" i="8"/>
  <c r="Z617" i="8"/>
  <c r="Y617" i="8"/>
  <c r="X617" i="8"/>
  <c r="W617" i="8"/>
  <c r="V617" i="8"/>
  <c r="U617" i="8"/>
  <c r="T617" i="8"/>
  <c r="S617" i="8"/>
  <c r="R617" i="8"/>
  <c r="Q617" i="8"/>
  <c r="P617" i="8"/>
  <c r="O617" i="8"/>
  <c r="N617" i="8"/>
  <c r="M617" i="8"/>
  <c r="L617" i="8"/>
  <c r="K617" i="8"/>
  <c r="J617" i="8"/>
  <c r="I617" i="8"/>
  <c r="H617" i="8"/>
  <c r="G617" i="8"/>
  <c r="F617" i="8"/>
  <c r="E617" i="8"/>
  <c r="D617" i="8"/>
  <c r="C617" i="8"/>
  <c r="B617" i="8"/>
  <c r="A617" i="8"/>
  <c r="AC616" i="8"/>
  <c r="AB616" i="8"/>
  <c r="AA616" i="8"/>
  <c r="Z616" i="8"/>
  <c r="Y616" i="8"/>
  <c r="X616" i="8"/>
  <c r="W616" i="8"/>
  <c r="V616" i="8"/>
  <c r="U616" i="8"/>
  <c r="T616" i="8"/>
  <c r="S616" i="8"/>
  <c r="R616" i="8"/>
  <c r="Q616" i="8"/>
  <c r="P616" i="8"/>
  <c r="O616" i="8"/>
  <c r="N616" i="8"/>
  <c r="M616" i="8"/>
  <c r="L616" i="8"/>
  <c r="K616" i="8"/>
  <c r="J616" i="8"/>
  <c r="I616" i="8"/>
  <c r="H616" i="8"/>
  <c r="G616" i="8"/>
  <c r="F616" i="8"/>
  <c r="E616" i="8"/>
  <c r="D616" i="8"/>
  <c r="C616" i="8"/>
  <c r="B616" i="8"/>
  <c r="A616" i="8"/>
  <c r="AC615" i="8"/>
  <c r="AB615" i="8"/>
  <c r="AA615" i="8"/>
  <c r="Z615" i="8"/>
  <c r="Y615" i="8"/>
  <c r="X615" i="8"/>
  <c r="W615" i="8"/>
  <c r="V615" i="8"/>
  <c r="U615" i="8"/>
  <c r="T615" i="8"/>
  <c r="S615" i="8"/>
  <c r="R615" i="8"/>
  <c r="Q615" i="8"/>
  <c r="P615" i="8"/>
  <c r="O615" i="8"/>
  <c r="N615" i="8"/>
  <c r="M615" i="8"/>
  <c r="L615" i="8"/>
  <c r="K615" i="8"/>
  <c r="J615" i="8"/>
  <c r="I615" i="8"/>
  <c r="H615" i="8"/>
  <c r="G615" i="8"/>
  <c r="F615" i="8"/>
  <c r="E615" i="8"/>
  <c r="D615" i="8"/>
  <c r="C615" i="8"/>
  <c r="B615" i="8"/>
  <c r="A615" i="8"/>
  <c r="AC614" i="8"/>
  <c r="AB614" i="8"/>
  <c r="X614" i="8"/>
  <c r="Q614" i="8"/>
  <c r="O614" i="8"/>
  <c r="N614" i="8"/>
  <c r="M614" i="8"/>
  <c r="L614" i="8"/>
  <c r="K614" i="8"/>
  <c r="G614" i="8"/>
  <c r="E614" i="8"/>
  <c r="D614" i="8"/>
  <c r="C614" i="8"/>
  <c r="B614" i="8"/>
  <c r="A614" i="8"/>
  <c r="AC613" i="8"/>
  <c r="AB613" i="8"/>
  <c r="AA613" i="8"/>
  <c r="Z613" i="8"/>
  <c r="Y613" i="8"/>
  <c r="X613" i="8"/>
  <c r="W613" i="8"/>
  <c r="V613" i="8"/>
  <c r="U613" i="8"/>
  <c r="T613" i="8"/>
  <c r="S613" i="8"/>
  <c r="R613" i="8"/>
  <c r="Q613" i="8"/>
  <c r="P613" i="8"/>
  <c r="O613" i="8"/>
  <c r="N613" i="8"/>
  <c r="M613" i="8"/>
  <c r="L613" i="8"/>
  <c r="K613" i="8"/>
  <c r="J613" i="8"/>
  <c r="I613" i="8"/>
  <c r="H613" i="8"/>
  <c r="G613" i="8"/>
  <c r="F613" i="8"/>
  <c r="E613" i="8"/>
  <c r="D613" i="8"/>
  <c r="C613" i="8"/>
  <c r="B613" i="8"/>
  <c r="A613" i="8"/>
  <c r="AC612" i="8"/>
  <c r="AB612" i="8"/>
  <c r="AA612" i="8"/>
  <c r="Z612" i="8"/>
  <c r="Y612" i="8"/>
  <c r="X612" i="8"/>
  <c r="W612" i="8"/>
  <c r="V612" i="8"/>
  <c r="U612" i="8"/>
  <c r="T612" i="8"/>
  <c r="S612" i="8"/>
  <c r="R612" i="8"/>
  <c r="Q612" i="8"/>
  <c r="P612" i="8"/>
  <c r="O612" i="8"/>
  <c r="N612" i="8"/>
  <c r="M612" i="8"/>
  <c r="L612" i="8"/>
  <c r="K612" i="8"/>
  <c r="J612" i="8"/>
  <c r="I612" i="8"/>
  <c r="H612" i="8"/>
  <c r="G612" i="8"/>
  <c r="F612" i="8"/>
  <c r="E612" i="8"/>
  <c r="D612" i="8"/>
  <c r="C612" i="8"/>
  <c r="B612" i="8"/>
  <c r="A612" i="8"/>
  <c r="C611" i="8"/>
  <c r="B611" i="8"/>
  <c r="A611" i="8"/>
  <c r="C610" i="8"/>
  <c r="B610" i="8"/>
  <c r="A610" i="8"/>
  <c r="C609" i="8"/>
  <c r="B609" i="8"/>
  <c r="A609" i="8"/>
  <c r="AC608" i="8"/>
  <c r="AB608" i="8"/>
  <c r="AA608" i="8"/>
  <c r="Z608" i="8"/>
  <c r="Y608" i="8"/>
  <c r="X608" i="8"/>
  <c r="W608" i="8"/>
  <c r="V608" i="8"/>
  <c r="U608" i="8"/>
  <c r="T608" i="8"/>
  <c r="S608" i="8"/>
  <c r="R608" i="8"/>
  <c r="Q608" i="8"/>
  <c r="P608" i="8"/>
  <c r="O608" i="8"/>
  <c r="N608" i="8"/>
  <c r="M608" i="8"/>
  <c r="L608" i="8"/>
  <c r="K608" i="8"/>
  <c r="J608" i="8"/>
  <c r="I608" i="8"/>
  <c r="H608" i="8"/>
  <c r="G608" i="8"/>
  <c r="F608" i="8"/>
  <c r="E608" i="8"/>
  <c r="D608" i="8"/>
  <c r="C608" i="8"/>
  <c r="B608" i="8"/>
  <c r="A608" i="8"/>
  <c r="AC607" i="8"/>
  <c r="AB607" i="8"/>
  <c r="AA607" i="8"/>
  <c r="Z607" i="8"/>
  <c r="Y607" i="8"/>
  <c r="X607" i="8"/>
  <c r="W607" i="8"/>
  <c r="V607" i="8"/>
  <c r="U607" i="8"/>
  <c r="T607" i="8"/>
  <c r="S607" i="8"/>
  <c r="R607" i="8"/>
  <c r="Q607" i="8"/>
  <c r="P607" i="8"/>
  <c r="O607" i="8"/>
  <c r="N607" i="8"/>
  <c r="M607" i="8"/>
  <c r="L607" i="8"/>
  <c r="K607" i="8"/>
  <c r="J607" i="8"/>
  <c r="I607" i="8"/>
  <c r="H607" i="8"/>
  <c r="G607" i="8"/>
  <c r="F607" i="8"/>
  <c r="E607" i="8"/>
  <c r="D607" i="8"/>
  <c r="C607" i="8"/>
  <c r="B607" i="8"/>
  <c r="A607" i="8"/>
  <c r="AC606" i="8"/>
  <c r="AB606" i="8"/>
  <c r="AA606" i="8"/>
  <c r="Z606" i="8"/>
  <c r="Y606" i="8"/>
  <c r="X606" i="8"/>
  <c r="W606" i="8"/>
  <c r="V606" i="8"/>
  <c r="U606" i="8"/>
  <c r="T606" i="8"/>
  <c r="S606" i="8"/>
  <c r="R606" i="8"/>
  <c r="Q606" i="8"/>
  <c r="P606" i="8"/>
  <c r="O606" i="8"/>
  <c r="N606" i="8"/>
  <c r="M606" i="8"/>
  <c r="L606" i="8"/>
  <c r="K606" i="8"/>
  <c r="J606" i="8"/>
  <c r="I606" i="8"/>
  <c r="H606" i="8"/>
  <c r="G606" i="8"/>
  <c r="F606" i="8"/>
  <c r="E606" i="8"/>
  <c r="D606" i="8"/>
  <c r="C606" i="8"/>
  <c r="B606" i="8"/>
  <c r="A606" i="8"/>
  <c r="AC605" i="8"/>
  <c r="AB605" i="8"/>
  <c r="AA605" i="8"/>
  <c r="Z605" i="8"/>
  <c r="Y605" i="8"/>
  <c r="X605" i="8"/>
  <c r="W605" i="8"/>
  <c r="V605" i="8"/>
  <c r="U605" i="8"/>
  <c r="T605" i="8"/>
  <c r="S605" i="8"/>
  <c r="R605" i="8"/>
  <c r="Q605" i="8"/>
  <c r="P605" i="8"/>
  <c r="O605" i="8"/>
  <c r="N605" i="8"/>
  <c r="M605" i="8"/>
  <c r="L605" i="8"/>
  <c r="K605" i="8"/>
  <c r="J605" i="8"/>
  <c r="I605" i="8"/>
  <c r="H605" i="8"/>
  <c r="G605" i="8"/>
  <c r="F605" i="8"/>
  <c r="E605" i="8"/>
  <c r="D605" i="8"/>
  <c r="C605" i="8"/>
  <c r="B605" i="8"/>
  <c r="A605" i="8"/>
  <c r="B604" i="8"/>
  <c r="A604" i="8"/>
  <c r="B603" i="8"/>
  <c r="A603" i="8"/>
  <c r="AC602" i="8"/>
  <c r="AB602" i="8"/>
  <c r="AA602" i="8"/>
  <c r="Z602" i="8"/>
  <c r="Y602" i="8"/>
  <c r="X602" i="8"/>
  <c r="W602" i="8"/>
  <c r="V602" i="8"/>
  <c r="U602" i="8"/>
  <c r="T602" i="8"/>
  <c r="S602" i="8"/>
  <c r="R602" i="8"/>
  <c r="Q602" i="8"/>
  <c r="P602" i="8"/>
  <c r="O602" i="8"/>
  <c r="N602" i="8"/>
  <c r="M602" i="8"/>
  <c r="L602" i="8"/>
  <c r="K602" i="8"/>
  <c r="J602" i="8"/>
  <c r="I602" i="8"/>
  <c r="H602" i="8"/>
  <c r="G602" i="8"/>
  <c r="F602" i="8"/>
  <c r="E602" i="8"/>
  <c r="D602" i="8"/>
  <c r="C602" i="8"/>
  <c r="B602" i="8"/>
  <c r="A602" i="8"/>
  <c r="AC601" i="8"/>
  <c r="AB601" i="8"/>
  <c r="AA601" i="8"/>
  <c r="Z601" i="8"/>
  <c r="Y601" i="8"/>
  <c r="X601" i="8"/>
  <c r="W601" i="8"/>
  <c r="V601" i="8"/>
  <c r="U601" i="8"/>
  <c r="T601" i="8"/>
  <c r="S601" i="8"/>
  <c r="R601" i="8"/>
  <c r="Q601" i="8"/>
  <c r="P601" i="8"/>
  <c r="O601" i="8"/>
  <c r="N601" i="8"/>
  <c r="M601" i="8"/>
  <c r="L601" i="8"/>
  <c r="K601" i="8"/>
  <c r="J601" i="8"/>
  <c r="I601" i="8"/>
  <c r="H601" i="8"/>
  <c r="G601" i="8"/>
  <c r="F601" i="8"/>
  <c r="E601" i="8"/>
  <c r="D601" i="8"/>
  <c r="C601" i="8"/>
  <c r="B601" i="8"/>
  <c r="A601" i="8"/>
  <c r="B600" i="8"/>
  <c r="A600" i="8"/>
  <c r="AC599" i="8"/>
  <c r="AB599" i="8"/>
  <c r="AA599" i="8"/>
  <c r="Z599" i="8"/>
  <c r="Y599" i="8"/>
  <c r="X599" i="8"/>
  <c r="W599" i="8"/>
  <c r="V599" i="8"/>
  <c r="U599" i="8"/>
  <c r="T599" i="8"/>
  <c r="S599" i="8"/>
  <c r="R599" i="8"/>
  <c r="Q599" i="8"/>
  <c r="P599" i="8"/>
  <c r="O599" i="8"/>
  <c r="N599" i="8"/>
  <c r="M599" i="8"/>
  <c r="L599" i="8"/>
  <c r="K599" i="8"/>
  <c r="J599" i="8"/>
  <c r="I599" i="8"/>
  <c r="H599" i="8"/>
  <c r="G599" i="8"/>
  <c r="F599" i="8"/>
  <c r="E599" i="8"/>
  <c r="D599" i="8"/>
  <c r="C599" i="8"/>
  <c r="B599" i="8"/>
  <c r="A599" i="8"/>
  <c r="AC598" i="8"/>
  <c r="AB598" i="8"/>
  <c r="AA598" i="8"/>
  <c r="Z598" i="8"/>
  <c r="Y598" i="8"/>
  <c r="X598" i="8"/>
  <c r="W598" i="8"/>
  <c r="V598" i="8"/>
  <c r="U598" i="8"/>
  <c r="T598" i="8"/>
  <c r="S598" i="8"/>
  <c r="R598" i="8"/>
  <c r="Q598" i="8"/>
  <c r="P598" i="8"/>
  <c r="O598" i="8"/>
  <c r="N598" i="8"/>
  <c r="M598" i="8"/>
  <c r="L598" i="8"/>
  <c r="K598" i="8"/>
  <c r="J598" i="8"/>
  <c r="I598" i="8"/>
  <c r="H598" i="8"/>
  <c r="G598" i="8"/>
  <c r="F598" i="8"/>
  <c r="E598" i="8"/>
  <c r="D598" i="8"/>
  <c r="C598" i="8"/>
  <c r="B598" i="8"/>
  <c r="A598" i="8"/>
  <c r="B597" i="8"/>
  <c r="A597" i="8"/>
  <c r="AC596" i="8"/>
  <c r="AB596" i="8"/>
  <c r="AA596" i="8"/>
  <c r="Z596" i="8"/>
  <c r="Y596" i="8"/>
  <c r="X596" i="8"/>
  <c r="W596" i="8"/>
  <c r="V596" i="8"/>
  <c r="U596" i="8"/>
  <c r="T596" i="8"/>
  <c r="S596" i="8"/>
  <c r="R596" i="8"/>
  <c r="Q596" i="8"/>
  <c r="P596" i="8"/>
  <c r="O596" i="8"/>
  <c r="N596" i="8"/>
  <c r="M596" i="8"/>
  <c r="L596" i="8"/>
  <c r="K596" i="8"/>
  <c r="J596" i="8"/>
  <c r="I596" i="8"/>
  <c r="H596" i="8"/>
  <c r="G596" i="8"/>
  <c r="F596" i="8"/>
  <c r="E596" i="8"/>
  <c r="D596" i="8"/>
  <c r="C596" i="8"/>
  <c r="B596" i="8"/>
  <c r="A596" i="8"/>
  <c r="AC595" i="8"/>
  <c r="AB595" i="8"/>
  <c r="AA595" i="8"/>
  <c r="Z595" i="8"/>
  <c r="Y595" i="8"/>
  <c r="X595" i="8"/>
  <c r="W595" i="8"/>
  <c r="V595" i="8"/>
  <c r="U595" i="8"/>
  <c r="T595" i="8"/>
  <c r="S595" i="8"/>
  <c r="R595" i="8"/>
  <c r="Q595" i="8"/>
  <c r="P595" i="8"/>
  <c r="O595" i="8"/>
  <c r="N595" i="8"/>
  <c r="M595" i="8"/>
  <c r="L595" i="8"/>
  <c r="K595" i="8"/>
  <c r="J595" i="8"/>
  <c r="I595" i="8"/>
  <c r="H595" i="8"/>
  <c r="G595" i="8"/>
  <c r="F595" i="8"/>
  <c r="E595" i="8"/>
  <c r="D595" i="8"/>
  <c r="C595" i="8"/>
  <c r="B595" i="8"/>
  <c r="A595" i="8"/>
  <c r="W594" i="8"/>
  <c r="B594" i="8"/>
  <c r="A594" i="8"/>
  <c r="AC593" i="8"/>
  <c r="AB593" i="8"/>
  <c r="AA593" i="8"/>
  <c r="Z593" i="8"/>
  <c r="Y593" i="8"/>
  <c r="X593" i="8"/>
  <c r="W593" i="8"/>
  <c r="V593" i="8"/>
  <c r="U593" i="8"/>
  <c r="T593" i="8"/>
  <c r="S593" i="8"/>
  <c r="R593" i="8"/>
  <c r="Q593" i="8"/>
  <c r="P593" i="8"/>
  <c r="O593" i="8"/>
  <c r="N593" i="8"/>
  <c r="M593" i="8"/>
  <c r="L593" i="8"/>
  <c r="K593" i="8"/>
  <c r="J593" i="8"/>
  <c r="I593" i="8"/>
  <c r="H593" i="8"/>
  <c r="G593" i="8"/>
  <c r="F593" i="8"/>
  <c r="E593" i="8"/>
  <c r="D593" i="8"/>
  <c r="C593" i="8"/>
  <c r="B593" i="8"/>
  <c r="A593" i="8"/>
  <c r="AC592" i="8"/>
  <c r="AB592" i="8"/>
  <c r="X592" i="8"/>
  <c r="Q592" i="8"/>
  <c r="O592" i="8"/>
  <c r="N592" i="8"/>
  <c r="M592" i="8"/>
  <c r="L592" i="8"/>
  <c r="K592" i="8"/>
  <c r="E592" i="8"/>
  <c r="D592" i="8"/>
  <c r="C592" i="8"/>
  <c r="B592" i="8"/>
  <c r="A592" i="8"/>
  <c r="AC591" i="8"/>
  <c r="AB591" i="8"/>
  <c r="AA591" i="8"/>
  <c r="Z591" i="8"/>
  <c r="Y591" i="8"/>
  <c r="X591" i="8"/>
  <c r="W591" i="8"/>
  <c r="V591" i="8"/>
  <c r="U591" i="8"/>
  <c r="T591" i="8"/>
  <c r="S591" i="8"/>
  <c r="R591" i="8"/>
  <c r="Q591" i="8"/>
  <c r="P591" i="8"/>
  <c r="O591" i="8"/>
  <c r="N591" i="8"/>
  <c r="M591" i="8"/>
  <c r="L591" i="8"/>
  <c r="K591" i="8"/>
  <c r="J591" i="8"/>
  <c r="I591" i="8"/>
  <c r="H591" i="8"/>
  <c r="G591" i="8"/>
  <c r="F591" i="8"/>
  <c r="E591" i="8"/>
  <c r="D591" i="8"/>
  <c r="C591" i="8"/>
  <c r="B591" i="8"/>
  <c r="A591" i="8"/>
  <c r="AC590" i="8"/>
  <c r="AB590" i="8"/>
  <c r="AA590" i="8"/>
  <c r="Z590" i="8"/>
  <c r="Y590" i="8"/>
  <c r="X590" i="8"/>
  <c r="W590" i="8"/>
  <c r="V590" i="8"/>
  <c r="U590" i="8"/>
  <c r="T590" i="8"/>
  <c r="S590" i="8"/>
  <c r="R590" i="8"/>
  <c r="Q590" i="8"/>
  <c r="P590" i="8"/>
  <c r="O590" i="8"/>
  <c r="N590" i="8"/>
  <c r="M590" i="8"/>
  <c r="L590" i="8"/>
  <c r="K590" i="8"/>
  <c r="J590" i="8"/>
  <c r="I590" i="8"/>
  <c r="H590" i="8"/>
  <c r="G590" i="8"/>
  <c r="F590" i="8"/>
  <c r="E590" i="8"/>
  <c r="D590" i="8"/>
  <c r="C590" i="8"/>
  <c r="B590" i="8"/>
  <c r="A590" i="8"/>
  <c r="AC589" i="8"/>
  <c r="AB589" i="8"/>
  <c r="AA589" i="8"/>
  <c r="Z589" i="8"/>
  <c r="Y589" i="8"/>
  <c r="X589" i="8"/>
  <c r="W589" i="8"/>
  <c r="V589" i="8"/>
  <c r="U589" i="8"/>
  <c r="T589" i="8"/>
  <c r="S589" i="8"/>
  <c r="R589" i="8"/>
  <c r="Q589" i="8"/>
  <c r="P589" i="8"/>
  <c r="O589" i="8"/>
  <c r="N589" i="8"/>
  <c r="M589" i="8"/>
  <c r="L589" i="8"/>
  <c r="K589" i="8"/>
  <c r="J589" i="8"/>
  <c r="I589" i="8"/>
  <c r="H589" i="8"/>
  <c r="G589" i="8"/>
  <c r="F589" i="8"/>
  <c r="E589" i="8"/>
  <c r="D589" i="8"/>
  <c r="C589" i="8"/>
  <c r="B589" i="8"/>
  <c r="A589" i="8"/>
  <c r="AC588" i="8"/>
  <c r="AB588" i="8"/>
  <c r="AA588" i="8"/>
  <c r="Z588" i="8"/>
  <c r="Y588" i="8"/>
  <c r="X588" i="8"/>
  <c r="W588" i="8"/>
  <c r="V588" i="8"/>
  <c r="U588" i="8"/>
  <c r="T588" i="8"/>
  <c r="S588" i="8"/>
  <c r="R588" i="8"/>
  <c r="Q588" i="8"/>
  <c r="P588" i="8"/>
  <c r="O588" i="8"/>
  <c r="N588" i="8"/>
  <c r="M588" i="8"/>
  <c r="L588" i="8"/>
  <c r="K588" i="8"/>
  <c r="J588" i="8"/>
  <c r="I588" i="8"/>
  <c r="H588" i="8"/>
  <c r="G588" i="8"/>
  <c r="F588" i="8"/>
  <c r="E588" i="8"/>
  <c r="D588" i="8"/>
  <c r="C588" i="8"/>
  <c r="B588" i="8"/>
  <c r="A588" i="8"/>
  <c r="AC587" i="8"/>
  <c r="AB587" i="8"/>
  <c r="AA587" i="8"/>
  <c r="Z587" i="8"/>
  <c r="Y587" i="8"/>
  <c r="X587" i="8"/>
  <c r="W587" i="8"/>
  <c r="V587" i="8"/>
  <c r="U587" i="8"/>
  <c r="T587" i="8"/>
  <c r="S587" i="8"/>
  <c r="R587" i="8"/>
  <c r="Q587" i="8"/>
  <c r="P587" i="8"/>
  <c r="O587" i="8"/>
  <c r="N587" i="8"/>
  <c r="M587" i="8"/>
  <c r="L587" i="8"/>
  <c r="K587" i="8"/>
  <c r="J587" i="8"/>
  <c r="I587" i="8"/>
  <c r="H587" i="8"/>
  <c r="G587" i="8"/>
  <c r="F587" i="8"/>
  <c r="E587" i="8"/>
  <c r="D587" i="8"/>
  <c r="C587" i="8"/>
  <c r="B587" i="8"/>
  <c r="A587" i="8"/>
  <c r="AC586" i="8"/>
  <c r="AB586" i="8"/>
  <c r="AA586" i="8"/>
  <c r="Z586" i="8"/>
  <c r="Y586" i="8"/>
  <c r="X586" i="8"/>
  <c r="W586" i="8"/>
  <c r="V586" i="8"/>
  <c r="U586" i="8"/>
  <c r="T586" i="8"/>
  <c r="S586" i="8"/>
  <c r="R586" i="8"/>
  <c r="Q586" i="8"/>
  <c r="P586" i="8"/>
  <c r="O586" i="8"/>
  <c r="N586" i="8"/>
  <c r="M586" i="8"/>
  <c r="L586" i="8"/>
  <c r="K586" i="8"/>
  <c r="J586" i="8"/>
  <c r="I586" i="8"/>
  <c r="H586" i="8"/>
  <c r="G586" i="8"/>
  <c r="F586" i="8"/>
  <c r="E586" i="8"/>
  <c r="D586" i="8"/>
  <c r="C586" i="8"/>
  <c r="B586" i="8"/>
  <c r="A586" i="8"/>
  <c r="AC585" i="8"/>
  <c r="AB585" i="8"/>
  <c r="AA585" i="8"/>
  <c r="Z585" i="8"/>
  <c r="Y585" i="8"/>
  <c r="X585" i="8"/>
  <c r="W585" i="8"/>
  <c r="V585" i="8"/>
  <c r="U585" i="8"/>
  <c r="T585" i="8"/>
  <c r="S585" i="8"/>
  <c r="R585" i="8"/>
  <c r="Q585" i="8"/>
  <c r="P585" i="8"/>
  <c r="O585" i="8"/>
  <c r="N585" i="8"/>
  <c r="M585" i="8"/>
  <c r="L585" i="8"/>
  <c r="K585" i="8"/>
  <c r="J585" i="8"/>
  <c r="I585" i="8"/>
  <c r="H585" i="8"/>
  <c r="G585" i="8"/>
  <c r="F585" i="8"/>
  <c r="E585" i="8"/>
  <c r="D585" i="8"/>
  <c r="C585" i="8"/>
  <c r="B585" i="8"/>
  <c r="A585" i="8"/>
  <c r="AC584" i="8"/>
  <c r="AB584" i="8"/>
  <c r="AA584" i="8"/>
  <c r="Z584" i="8"/>
  <c r="Y584" i="8"/>
  <c r="X584" i="8"/>
  <c r="W584" i="8"/>
  <c r="V584" i="8"/>
  <c r="U584" i="8"/>
  <c r="T584" i="8"/>
  <c r="S584" i="8"/>
  <c r="R584" i="8"/>
  <c r="Q584" i="8"/>
  <c r="P584" i="8"/>
  <c r="O584" i="8"/>
  <c r="N584" i="8"/>
  <c r="M584" i="8"/>
  <c r="L584" i="8"/>
  <c r="K584" i="8"/>
  <c r="J584" i="8"/>
  <c r="I584" i="8"/>
  <c r="H584" i="8"/>
  <c r="G584" i="8"/>
  <c r="F584" i="8"/>
  <c r="E584" i="8"/>
  <c r="D584" i="8"/>
  <c r="C584" i="8"/>
  <c r="B584" i="8"/>
  <c r="A584" i="8"/>
  <c r="AC583" i="8"/>
  <c r="AB583" i="8"/>
  <c r="AA583" i="8"/>
  <c r="Z583" i="8"/>
  <c r="Y583" i="8"/>
  <c r="X583" i="8"/>
  <c r="W583" i="8"/>
  <c r="V583" i="8"/>
  <c r="U583" i="8"/>
  <c r="T583" i="8"/>
  <c r="S583" i="8"/>
  <c r="R583" i="8"/>
  <c r="Q583" i="8"/>
  <c r="P583" i="8"/>
  <c r="O583" i="8"/>
  <c r="N583" i="8"/>
  <c r="M583" i="8"/>
  <c r="L583" i="8"/>
  <c r="K583" i="8"/>
  <c r="J583" i="8"/>
  <c r="I583" i="8"/>
  <c r="H583" i="8"/>
  <c r="G583" i="8"/>
  <c r="F583" i="8"/>
  <c r="E583" i="8"/>
  <c r="D583" i="8"/>
  <c r="C583" i="8"/>
  <c r="B583" i="8"/>
  <c r="A583" i="8"/>
  <c r="B582" i="8"/>
  <c r="A582" i="8"/>
  <c r="AC581" i="8"/>
  <c r="AB581" i="8"/>
  <c r="AA581" i="8"/>
  <c r="Z581" i="8"/>
  <c r="Y581" i="8"/>
  <c r="X581" i="8"/>
  <c r="W581" i="8"/>
  <c r="V581" i="8"/>
  <c r="U581" i="8"/>
  <c r="T581" i="8"/>
  <c r="S581" i="8"/>
  <c r="R581" i="8"/>
  <c r="Q581" i="8"/>
  <c r="P581" i="8"/>
  <c r="O581" i="8"/>
  <c r="N581" i="8"/>
  <c r="M581" i="8"/>
  <c r="L581" i="8"/>
  <c r="K581" i="8"/>
  <c r="J581" i="8"/>
  <c r="I581" i="8"/>
  <c r="H581" i="8"/>
  <c r="G581" i="8"/>
  <c r="F581" i="8"/>
  <c r="E581" i="8"/>
  <c r="D581" i="8"/>
  <c r="C581" i="8"/>
  <c r="B581" i="8"/>
  <c r="A581" i="8"/>
  <c r="AC580" i="8"/>
  <c r="AB580" i="8"/>
  <c r="AA580" i="8"/>
  <c r="Z580" i="8"/>
  <c r="Y580" i="8"/>
  <c r="X580" i="8"/>
  <c r="W580" i="8"/>
  <c r="V580" i="8"/>
  <c r="U580" i="8"/>
  <c r="T580" i="8"/>
  <c r="S580" i="8"/>
  <c r="R580" i="8"/>
  <c r="Q580" i="8"/>
  <c r="P580" i="8"/>
  <c r="O580" i="8"/>
  <c r="N580" i="8"/>
  <c r="M580" i="8"/>
  <c r="L580" i="8"/>
  <c r="K580" i="8"/>
  <c r="J580" i="8"/>
  <c r="I580" i="8"/>
  <c r="H580" i="8"/>
  <c r="G580" i="8"/>
  <c r="F580" i="8"/>
  <c r="E580" i="8"/>
  <c r="D580" i="8"/>
  <c r="C580" i="8"/>
  <c r="B580" i="8"/>
  <c r="A580" i="8"/>
  <c r="B579" i="8"/>
  <c r="A579" i="8"/>
  <c r="B578" i="8"/>
  <c r="A578" i="8"/>
  <c r="AC577" i="8"/>
  <c r="AB577" i="8"/>
  <c r="AA577" i="8"/>
  <c r="Z577" i="8"/>
  <c r="Y577" i="8"/>
  <c r="X577" i="8"/>
  <c r="W577" i="8"/>
  <c r="V577" i="8"/>
  <c r="U577" i="8"/>
  <c r="T577" i="8"/>
  <c r="S577" i="8"/>
  <c r="R577" i="8"/>
  <c r="Q577" i="8"/>
  <c r="P577" i="8"/>
  <c r="O577" i="8"/>
  <c r="N577" i="8"/>
  <c r="M577" i="8"/>
  <c r="L577" i="8"/>
  <c r="K577" i="8"/>
  <c r="J577" i="8"/>
  <c r="I577" i="8"/>
  <c r="H577" i="8"/>
  <c r="G577" i="8"/>
  <c r="F577" i="8"/>
  <c r="E577" i="8"/>
  <c r="D577" i="8"/>
  <c r="C577" i="8"/>
  <c r="B577" i="8"/>
  <c r="A577" i="8"/>
  <c r="AC576" i="8"/>
  <c r="AB576" i="8"/>
  <c r="AA576" i="8"/>
  <c r="Z576" i="8"/>
  <c r="Y576" i="8"/>
  <c r="X576" i="8"/>
  <c r="W576" i="8"/>
  <c r="V576" i="8"/>
  <c r="U576" i="8"/>
  <c r="T576" i="8"/>
  <c r="S576" i="8"/>
  <c r="R576" i="8"/>
  <c r="Q576" i="8"/>
  <c r="P576" i="8"/>
  <c r="O576" i="8"/>
  <c r="N576" i="8"/>
  <c r="M576" i="8"/>
  <c r="L576" i="8"/>
  <c r="K576" i="8"/>
  <c r="J576" i="8"/>
  <c r="I576" i="8"/>
  <c r="H576" i="8"/>
  <c r="G576" i="8"/>
  <c r="F576" i="8"/>
  <c r="E576" i="8"/>
  <c r="D576" i="8"/>
  <c r="C576" i="8"/>
  <c r="B576" i="8"/>
  <c r="A576" i="8"/>
  <c r="AC575" i="8"/>
  <c r="AB575" i="8"/>
  <c r="AA575" i="8"/>
  <c r="Z575" i="8"/>
  <c r="Y575" i="8"/>
  <c r="X575" i="8"/>
  <c r="W575" i="8"/>
  <c r="V575" i="8"/>
  <c r="U575" i="8"/>
  <c r="T575" i="8"/>
  <c r="S575" i="8"/>
  <c r="R575" i="8"/>
  <c r="Q575" i="8"/>
  <c r="P575" i="8"/>
  <c r="O575" i="8"/>
  <c r="N575" i="8"/>
  <c r="M575" i="8"/>
  <c r="L575" i="8"/>
  <c r="K575" i="8"/>
  <c r="J575" i="8"/>
  <c r="I575" i="8"/>
  <c r="H575" i="8"/>
  <c r="G575" i="8"/>
  <c r="F575" i="8"/>
  <c r="E575" i="8"/>
  <c r="D575" i="8"/>
  <c r="C575" i="8"/>
  <c r="B575" i="8"/>
  <c r="A575" i="8"/>
  <c r="AC574" i="8"/>
  <c r="AB574" i="8"/>
  <c r="AA574" i="8"/>
  <c r="Z574" i="8"/>
  <c r="Y574" i="8"/>
  <c r="X574" i="8"/>
  <c r="W574" i="8"/>
  <c r="V574" i="8"/>
  <c r="U574" i="8"/>
  <c r="T574" i="8"/>
  <c r="S574" i="8"/>
  <c r="R574" i="8"/>
  <c r="Q574" i="8"/>
  <c r="P574" i="8"/>
  <c r="O574" i="8"/>
  <c r="N574" i="8"/>
  <c r="M574" i="8"/>
  <c r="L574" i="8"/>
  <c r="K574" i="8"/>
  <c r="J574" i="8"/>
  <c r="I574" i="8"/>
  <c r="H574" i="8"/>
  <c r="G574" i="8"/>
  <c r="F574" i="8"/>
  <c r="E574" i="8"/>
  <c r="D574" i="8"/>
  <c r="C574" i="8"/>
  <c r="B574" i="8"/>
  <c r="A574" i="8"/>
  <c r="B573" i="8"/>
  <c r="A573" i="8"/>
  <c r="AC572" i="8"/>
  <c r="AB572" i="8"/>
  <c r="AA572" i="8"/>
  <c r="Z572" i="8"/>
  <c r="Y572" i="8"/>
  <c r="X572" i="8"/>
  <c r="W572" i="8"/>
  <c r="V572" i="8"/>
  <c r="U572" i="8"/>
  <c r="T572" i="8"/>
  <c r="S572" i="8"/>
  <c r="R572" i="8"/>
  <c r="Q572" i="8"/>
  <c r="P572" i="8"/>
  <c r="O572" i="8"/>
  <c r="N572" i="8"/>
  <c r="M572" i="8"/>
  <c r="L572" i="8"/>
  <c r="K572" i="8"/>
  <c r="J572" i="8"/>
  <c r="I572" i="8"/>
  <c r="H572" i="8"/>
  <c r="G572" i="8"/>
  <c r="F572" i="8"/>
  <c r="E572" i="8"/>
  <c r="D572" i="8"/>
  <c r="C572" i="8"/>
  <c r="B572" i="8"/>
  <c r="A572" i="8"/>
  <c r="AC571" i="8"/>
  <c r="AB571" i="8"/>
  <c r="AA571" i="8"/>
  <c r="Z571" i="8"/>
  <c r="Y571" i="8"/>
  <c r="X571" i="8"/>
  <c r="W571" i="8"/>
  <c r="V571" i="8"/>
  <c r="U571" i="8"/>
  <c r="T571" i="8"/>
  <c r="S571" i="8"/>
  <c r="R571" i="8"/>
  <c r="Q571" i="8"/>
  <c r="P571" i="8"/>
  <c r="O571" i="8"/>
  <c r="N571" i="8"/>
  <c r="M571" i="8"/>
  <c r="L571" i="8"/>
  <c r="K571" i="8"/>
  <c r="J571" i="8"/>
  <c r="I571" i="8"/>
  <c r="H571" i="8"/>
  <c r="G571" i="8"/>
  <c r="F571" i="8"/>
  <c r="E571" i="8"/>
  <c r="D571" i="8"/>
  <c r="C571" i="8"/>
  <c r="B571" i="8"/>
  <c r="A571" i="8"/>
  <c r="AC570" i="8"/>
  <c r="AB570" i="8"/>
  <c r="AA570" i="8"/>
  <c r="Z570" i="8"/>
  <c r="Y570" i="8"/>
  <c r="X570" i="8"/>
  <c r="W570" i="8"/>
  <c r="V570" i="8"/>
  <c r="U570" i="8"/>
  <c r="T570" i="8"/>
  <c r="S570" i="8"/>
  <c r="R570" i="8"/>
  <c r="Q570" i="8"/>
  <c r="P570" i="8"/>
  <c r="O570" i="8"/>
  <c r="N570" i="8"/>
  <c r="M570" i="8"/>
  <c r="L570" i="8"/>
  <c r="K570" i="8"/>
  <c r="J570" i="8"/>
  <c r="I570" i="8"/>
  <c r="H570" i="8"/>
  <c r="G570" i="8"/>
  <c r="F570" i="8"/>
  <c r="E570" i="8"/>
  <c r="D570" i="8"/>
  <c r="C570" i="8"/>
  <c r="B570" i="8"/>
  <c r="A570" i="8"/>
  <c r="AC569" i="8"/>
  <c r="AB569" i="8"/>
  <c r="AA569" i="8"/>
  <c r="Z569" i="8"/>
  <c r="Y569" i="8"/>
  <c r="X569" i="8"/>
  <c r="W569" i="8"/>
  <c r="V569" i="8"/>
  <c r="U569" i="8"/>
  <c r="T569" i="8"/>
  <c r="S569" i="8"/>
  <c r="R569" i="8"/>
  <c r="Q569" i="8"/>
  <c r="P569" i="8"/>
  <c r="O569" i="8"/>
  <c r="N569" i="8"/>
  <c r="M569" i="8"/>
  <c r="L569" i="8"/>
  <c r="K569" i="8"/>
  <c r="J569" i="8"/>
  <c r="I569" i="8"/>
  <c r="H569" i="8"/>
  <c r="G569" i="8"/>
  <c r="F569" i="8"/>
  <c r="E569" i="8"/>
  <c r="D569" i="8"/>
  <c r="C569" i="8"/>
  <c r="B569" i="8"/>
  <c r="A569" i="8"/>
  <c r="AC568" i="8"/>
  <c r="AB568" i="8"/>
  <c r="X568" i="8"/>
  <c r="Q568" i="8"/>
  <c r="P568" i="8"/>
  <c r="O568" i="8"/>
  <c r="N568" i="8"/>
  <c r="M568" i="8"/>
  <c r="L568" i="8"/>
  <c r="K568" i="8"/>
  <c r="J568" i="8"/>
  <c r="I568" i="8"/>
  <c r="H568" i="8"/>
  <c r="G568" i="8"/>
  <c r="F568" i="8"/>
  <c r="E568" i="8"/>
  <c r="D568" i="8"/>
  <c r="C568" i="8"/>
  <c r="B568" i="8"/>
  <c r="A568" i="8"/>
  <c r="AC567" i="8"/>
  <c r="AB567" i="8"/>
  <c r="X567" i="8"/>
  <c r="Q567" i="8"/>
  <c r="P567" i="8"/>
  <c r="O567" i="8"/>
  <c r="N567" i="8"/>
  <c r="M567" i="8"/>
  <c r="L567" i="8"/>
  <c r="K567" i="8"/>
  <c r="J567" i="8"/>
  <c r="I567" i="8"/>
  <c r="H567" i="8"/>
  <c r="G567" i="8"/>
  <c r="F567" i="8"/>
  <c r="E567" i="8"/>
  <c r="D567" i="8"/>
  <c r="C567" i="8"/>
  <c r="B567" i="8"/>
  <c r="A567" i="8"/>
  <c r="AC566" i="8"/>
  <c r="AB566" i="8"/>
  <c r="X566" i="8"/>
  <c r="Q566" i="8"/>
  <c r="P566" i="8"/>
  <c r="O566" i="8"/>
  <c r="N566" i="8"/>
  <c r="M566" i="8"/>
  <c r="L566" i="8"/>
  <c r="K566" i="8"/>
  <c r="J566" i="8"/>
  <c r="I566" i="8"/>
  <c r="H566" i="8"/>
  <c r="G566" i="8"/>
  <c r="F566" i="8"/>
  <c r="E566" i="8"/>
  <c r="D566" i="8"/>
  <c r="C566" i="8"/>
  <c r="B566" i="8"/>
  <c r="A566" i="8"/>
  <c r="AC565" i="8"/>
  <c r="AB565" i="8"/>
  <c r="X565" i="8"/>
  <c r="Q565" i="8"/>
  <c r="O565" i="8"/>
  <c r="N565" i="8"/>
  <c r="M565" i="8"/>
  <c r="L565" i="8"/>
  <c r="K565" i="8"/>
  <c r="G565" i="8"/>
  <c r="E565" i="8"/>
  <c r="D565" i="8"/>
  <c r="C565" i="8"/>
  <c r="B565" i="8"/>
  <c r="A565" i="8"/>
  <c r="AC564" i="8"/>
  <c r="AB564" i="8"/>
  <c r="X564" i="8"/>
  <c r="Q564" i="8"/>
  <c r="O564" i="8"/>
  <c r="N564" i="8"/>
  <c r="M564" i="8"/>
  <c r="L564" i="8"/>
  <c r="K564" i="8"/>
  <c r="G564" i="8"/>
  <c r="E564" i="8"/>
  <c r="D564" i="8"/>
  <c r="C564" i="8"/>
  <c r="B564" i="8"/>
  <c r="A564" i="8"/>
  <c r="AC563" i="8"/>
  <c r="AB563" i="8"/>
  <c r="X563" i="8"/>
  <c r="Q563" i="8"/>
  <c r="O563" i="8"/>
  <c r="N563" i="8"/>
  <c r="M563" i="8"/>
  <c r="L563" i="8"/>
  <c r="K563" i="8"/>
  <c r="G563" i="8"/>
  <c r="E563" i="8"/>
  <c r="D563" i="8"/>
  <c r="C563" i="8"/>
  <c r="B563" i="8"/>
  <c r="A563" i="8"/>
  <c r="AC562" i="8"/>
  <c r="AB562" i="8"/>
  <c r="AA562" i="8"/>
  <c r="Z562" i="8"/>
  <c r="Y562" i="8"/>
  <c r="X562" i="8"/>
  <c r="W562" i="8"/>
  <c r="V562" i="8"/>
  <c r="U562" i="8"/>
  <c r="T562" i="8"/>
  <c r="S562" i="8"/>
  <c r="R562" i="8"/>
  <c r="Q562" i="8"/>
  <c r="P562" i="8"/>
  <c r="O562" i="8"/>
  <c r="N562" i="8"/>
  <c r="M562" i="8"/>
  <c r="L562" i="8"/>
  <c r="K562" i="8"/>
  <c r="J562" i="8"/>
  <c r="I562" i="8"/>
  <c r="H562" i="8"/>
  <c r="G562" i="8"/>
  <c r="F562" i="8"/>
  <c r="E562" i="8"/>
  <c r="D562" i="8"/>
  <c r="C562" i="8"/>
  <c r="B562" i="8"/>
  <c r="A562" i="8"/>
  <c r="AC561" i="8"/>
  <c r="AB561" i="8"/>
  <c r="X561" i="8"/>
  <c r="Q561" i="8"/>
  <c r="O561" i="8"/>
  <c r="N561" i="8"/>
  <c r="M561" i="8"/>
  <c r="L561" i="8"/>
  <c r="K561" i="8"/>
  <c r="E561" i="8"/>
  <c r="D561" i="8"/>
  <c r="C561" i="8"/>
  <c r="B561" i="8"/>
  <c r="A561" i="8"/>
  <c r="AC560" i="8"/>
  <c r="AB560" i="8"/>
  <c r="X560" i="8"/>
  <c r="Q560" i="8"/>
  <c r="O560" i="8"/>
  <c r="N560" i="8"/>
  <c r="M560" i="8"/>
  <c r="L560" i="8"/>
  <c r="K560" i="8"/>
  <c r="E560" i="8"/>
  <c r="D560" i="8"/>
  <c r="C560" i="8"/>
  <c r="B560" i="8"/>
  <c r="A560" i="8"/>
  <c r="C559" i="8"/>
  <c r="B559" i="8"/>
  <c r="A559" i="8"/>
  <c r="AC558" i="8"/>
  <c r="AB558" i="8"/>
  <c r="X558" i="8"/>
  <c r="Q558" i="8"/>
  <c r="O558" i="8"/>
  <c r="N558" i="8"/>
  <c r="M558" i="8"/>
  <c r="L558" i="8"/>
  <c r="K558" i="8"/>
  <c r="E558" i="8"/>
  <c r="D558" i="8"/>
  <c r="C558" i="8"/>
  <c r="B558" i="8"/>
  <c r="A558" i="8"/>
  <c r="W557" i="8"/>
  <c r="B557" i="8"/>
  <c r="A557" i="8"/>
  <c r="AB556" i="8"/>
  <c r="P556" i="8"/>
  <c r="O556" i="8"/>
  <c r="N556" i="8"/>
  <c r="M556" i="8"/>
  <c r="L556" i="8"/>
  <c r="K556" i="8"/>
  <c r="J556" i="8"/>
  <c r="I556" i="8"/>
  <c r="H556" i="8"/>
  <c r="G556" i="8"/>
  <c r="F556" i="8"/>
  <c r="D556" i="8"/>
  <c r="C556" i="8"/>
  <c r="B556" i="8"/>
  <c r="A556" i="8"/>
  <c r="C555" i="8"/>
  <c r="B555" i="8"/>
  <c r="A555" i="8"/>
  <c r="AC554" i="8"/>
  <c r="AB554" i="8"/>
  <c r="AA554" i="8"/>
  <c r="Z554" i="8"/>
  <c r="Y554" i="8"/>
  <c r="X554" i="8"/>
  <c r="W554" i="8"/>
  <c r="V554" i="8"/>
  <c r="U554" i="8"/>
  <c r="T554" i="8"/>
  <c r="S554" i="8"/>
  <c r="R554" i="8"/>
  <c r="Q554" i="8"/>
  <c r="P554" i="8"/>
  <c r="O554" i="8"/>
  <c r="N554" i="8"/>
  <c r="M554" i="8"/>
  <c r="L554" i="8"/>
  <c r="K554" i="8"/>
  <c r="J554" i="8"/>
  <c r="I554" i="8"/>
  <c r="H554" i="8"/>
  <c r="G554" i="8"/>
  <c r="F554" i="8"/>
  <c r="E554" i="8"/>
  <c r="D554" i="8"/>
  <c r="C554" i="8"/>
  <c r="B554" i="8"/>
  <c r="A554" i="8"/>
  <c r="AC553" i="8"/>
  <c r="AB553" i="8"/>
  <c r="AA553" i="8"/>
  <c r="Z553" i="8"/>
  <c r="Y553" i="8"/>
  <c r="X553" i="8"/>
  <c r="W553" i="8"/>
  <c r="V553" i="8"/>
  <c r="U553" i="8"/>
  <c r="T553" i="8"/>
  <c r="S553" i="8"/>
  <c r="R553" i="8"/>
  <c r="Q553" i="8"/>
  <c r="P553" i="8"/>
  <c r="O553" i="8"/>
  <c r="N553" i="8"/>
  <c r="M553" i="8"/>
  <c r="L553" i="8"/>
  <c r="K553" i="8"/>
  <c r="J553" i="8"/>
  <c r="I553" i="8"/>
  <c r="H553" i="8"/>
  <c r="G553" i="8"/>
  <c r="F553" i="8"/>
  <c r="E553" i="8"/>
  <c r="D553" i="8"/>
  <c r="C553" i="8"/>
  <c r="B553" i="8"/>
  <c r="A553" i="8"/>
  <c r="B552" i="8"/>
  <c r="A552" i="8"/>
  <c r="AB551" i="8"/>
  <c r="AA551" i="8"/>
  <c r="Z551" i="8"/>
  <c r="Y551" i="8"/>
  <c r="X551" i="8"/>
  <c r="W551" i="8"/>
  <c r="V551" i="8"/>
  <c r="U551" i="8"/>
  <c r="T551" i="8"/>
  <c r="S551" i="8"/>
  <c r="R551" i="8"/>
  <c r="Q551" i="8"/>
  <c r="P551" i="8"/>
  <c r="O551" i="8"/>
  <c r="N551" i="8"/>
  <c r="M551" i="8"/>
  <c r="L551" i="8"/>
  <c r="K551" i="8"/>
  <c r="J551" i="8"/>
  <c r="I551" i="8"/>
  <c r="H551" i="8"/>
  <c r="G551" i="8"/>
  <c r="F551" i="8"/>
  <c r="E551" i="8"/>
  <c r="D551" i="8"/>
  <c r="C551" i="8"/>
  <c r="B551" i="8"/>
  <c r="A551" i="8"/>
  <c r="AC550" i="8"/>
  <c r="AB550" i="8"/>
  <c r="AA550" i="8"/>
  <c r="Z550" i="8"/>
  <c r="Y550" i="8"/>
  <c r="X550" i="8"/>
  <c r="W550" i="8"/>
  <c r="V550" i="8"/>
  <c r="U550" i="8"/>
  <c r="T550" i="8"/>
  <c r="S550" i="8"/>
  <c r="R550" i="8"/>
  <c r="Q550" i="8"/>
  <c r="P550" i="8"/>
  <c r="O550" i="8"/>
  <c r="N550" i="8"/>
  <c r="M550" i="8"/>
  <c r="L550" i="8"/>
  <c r="K550" i="8"/>
  <c r="J550" i="8"/>
  <c r="I550" i="8"/>
  <c r="H550" i="8"/>
  <c r="G550" i="8"/>
  <c r="F550" i="8"/>
  <c r="E550" i="8"/>
  <c r="D550" i="8"/>
  <c r="C550" i="8"/>
  <c r="B550" i="8"/>
  <c r="A550" i="8"/>
  <c r="AC549" i="8"/>
  <c r="AB549" i="8"/>
  <c r="AA549" i="8"/>
  <c r="Z549" i="8"/>
  <c r="Y549" i="8"/>
  <c r="X549" i="8"/>
  <c r="W549" i="8"/>
  <c r="V549" i="8"/>
  <c r="U549" i="8"/>
  <c r="T549" i="8"/>
  <c r="S549" i="8"/>
  <c r="R549" i="8"/>
  <c r="Q549" i="8"/>
  <c r="P549" i="8"/>
  <c r="O549" i="8"/>
  <c r="N549" i="8"/>
  <c r="M549" i="8"/>
  <c r="L549" i="8"/>
  <c r="K549" i="8"/>
  <c r="J549" i="8"/>
  <c r="I549" i="8"/>
  <c r="H549" i="8"/>
  <c r="G549" i="8"/>
  <c r="F549" i="8"/>
  <c r="E549" i="8"/>
  <c r="D549" i="8"/>
  <c r="C549" i="8"/>
  <c r="B549" i="8"/>
  <c r="A549" i="8"/>
  <c r="AC548" i="8"/>
  <c r="AB548" i="8"/>
  <c r="AA548" i="8"/>
  <c r="Z548" i="8"/>
  <c r="Y548" i="8"/>
  <c r="X548" i="8"/>
  <c r="W548" i="8"/>
  <c r="V548" i="8"/>
  <c r="U548" i="8"/>
  <c r="T548" i="8"/>
  <c r="S548" i="8"/>
  <c r="R548" i="8"/>
  <c r="Q548" i="8"/>
  <c r="P548" i="8"/>
  <c r="O548" i="8"/>
  <c r="N548" i="8"/>
  <c r="M548" i="8"/>
  <c r="L548" i="8"/>
  <c r="K548" i="8"/>
  <c r="J548" i="8"/>
  <c r="I548" i="8"/>
  <c r="H548" i="8"/>
  <c r="G548" i="8"/>
  <c r="F548" i="8"/>
  <c r="E548" i="8"/>
  <c r="D548" i="8"/>
  <c r="C548" i="8"/>
  <c r="B548" i="8"/>
  <c r="A548" i="8"/>
  <c r="AC547" i="8"/>
  <c r="AB547" i="8"/>
  <c r="AA547" i="8"/>
  <c r="Z547" i="8"/>
  <c r="Y547" i="8"/>
  <c r="X547" i="8"/>
  <c r="W547" i="8"/>
  <c r="V547" i="8"/>
  <c r="U547" i="8"/>
  <c r="T547" i="8"/>
  <c r="S547" i="8"/>
  <c r="R547" i="8"/>
  <c r="Q547" i="8"/>
  <c r="P547" i="8"/>
  <c r="O547" i="8"/>
  <c r="N547" i="8"/>
  <c r="M547" i="8"/>
  <c r="L547" i="8"/>
  <c r="K547" i="8"/>
  <c r="J547" i="8"/>
  <c r="I547" i="8"/>
  <c r="H547" i="8"/>
  <c r="G547" i="8"/>
  <c r="F547" i="8"/>
  <c r="E547" i="8"/>
  <c r="D547" i="8"/>
  <c r="C547" i="8"/>
  <c r="B547" i="8"/>
  <c r="A547" i="8"/>
  <c r="AB546" i="8"/>
  <c r="Z546" i="8"/>
  <c r="W546" i="8"/>
  <c r="V546" i="8"/>
  <c r="U546" i="8"/>
  <c r="T546" i="8"/>
  <c r="S546" i="8"/>
  <c r="R546" i="8"/>
  <c r="Q546" i="8"/>
  <c r="P546" i="8"/>
  <c r="O546" i="8"/>
  <c r="N546" i="8"/>
  <c r="M546" i="8"/>
  <c r="L546" i="8"/>
  <c r="K546" i="8"/>
  <c r="J546" i="8"/>
  <c r="I546" i="8"/>
  <c r="H546" i="8"/>
  <c r="G546" i="8"/>
  <c r="F546" i="8"/>
  <c r="E546" i="8"/>
  <c r="D546" i="8"/>
  <c r="C546" i="8"/>
  <c r="B546" i="8"/>
  <c r="A546" i="8"/>
  <c r="AB545" i="8"/>
  <c r="Z545" i="8"/>
  <c r="U545" i="8"/>
  <c r="T545" i="8"/>
  <c r="S545" i="8"/>
  <c r="R545" i="8"/>
  <c r="Q545" i="8"/>
  <c r="P545" i="8"/>
  <c r="O545" i="8"/>
  <c r="N545" i="8"/>
  <c r="M545" i="8"/>
  <c r="L545" i="8"/>
  <c r="K545" i="8"/>
  <c r="J545" i="8"/>
  <c r="I545" i="8"/>
  <c r="H545" i="8"/>
  <c r="G545" i="8"/>
  <c r="F545" i="8"/>
  <c r="E545" i="8"/>
  <c r="D545" i="8"/>
  <c r="C545" i="8"/>
  <c r="B545" i="8"/>
  <c r="A545" i="8"/>
  <c r="AC544" i="8"/>
  <c r="AB544" i="8"/>
  <c r="AA544" i="8"/>
  <c r="Z544" i="8"/>
  <c r="Y544" i="8"/>
  <c r="X544" i="8"/>
  <c r="W544" i="8"/>
  <c r="V544" i="8"/>
  <c r="U544" i="8"/>
  <c r="T544" i="8"/>
  <c r="S544" i="8"/>
  <c r="R544" i="8"/>
  <c r="Q544" i="8"/>
  <c r="P544" i="8"/>
  <c r="O544" i="8"/>
  <c r="N544" i="8"/>
  <c r="M544" i="8"/>
  <c r="L544" i="8"/>
  <c r="K544" i="8"/>
  <c r="J544" i="8"/>
  <c r="I544" i="8"/>
  <c r="H544" i="8"/>
  <c r="G544" i="8"/>
  <c r="F544" i="8"/>
  <c r="E544" i="8"/>
  <c r="D544" i="8"/>
  <c r="C544" i="8"/>
  <c r="B544" i="8"/>
  <c r="A544" i="8"/>
  <c r="AC543" i="8"/>
  <c r="AB543" i="8"/>
  <c r="AA543" i="8"/>
  <c r="Z543" i="8"/>
  <c r="Y543" i="8"/>
  <c r="X543" i="8"/>
  <c r="W543" i="8"/>
  <c r="V543" i="8"/>
  <c r="U543" i="8"/>
  <c r="T543" i="8"/>
  <c r="S543" i="8"/>
  <c r="R543" i="8"/>
  <c r="Q543" i="8"/>
  <c r="P543" i="8"/>
  <c r="O543" i="8"/>
  <c r="N543" i="8"/>
  <c r="M543" i="8"/>
  <c r="L543" i="8"/>
  <c r="K543" i="8"/>
  <c r="J543" i="8"/>
  <c r="I543" i="8"/>
  <c r="H543" i="8"/>
  <c r="G543" i="8"/>
  <c r="F543" i="8"/>
  <c r="E543" i="8"/>
  <c r="D543" i="8"/>
  <c r="C543" i="8"/>
  <c r="B543" i="8"/>
  <c r="A543" i="8"/>
  <c r="AC542" i="8"/>
  <c r="AB542" i="8"/>
  <c r="AA542" i="8"/>
  <c r="Z542" i="8"/>
  <c r="Y542" i="8"/>
  <c r="X542" i="8"/>
  <c r="W542" i="8"/>
  <c r="V542" i="8"/>
  <c r="U542" i="8"/>
  <c r="T542" i="8"/>
  <c r="S542" i="8"/>
  <c r="R542" i="8"/>
  <c r="Q542" i="8"/>
  <c r="P542" i="8"/>
  <c r="O542" i="8"/>
  <c r="N542" i="8"/>
  <c r="M542" i="8"/>
  <c r="L542" i="8"/>
  <c r="K542" i="8"/>
  <c r="J542" i="8"/>
  <c r="I542" i="8"/>
  <c r="H542" i="8"/>
  <c r="G542" i="8"/>
  <c r="F542" i="8"/>
  <c r="E542" i="8"/>
  <c r="D542" i="8"/>
  <c r="C542" i="8"/>
  <c r="B542" i="8"/>
  <c r="A542" i="8"/>
  <c r="AC541" i="8"/>
  <c r="AB541" i="8"/>
  <c r="AA541" i="8"/>
  <c r="Z541" i="8"/>
  <c r="Y541" i="8"/>
  <c r="X541" i="8"/>
  <c r="W541" i="8"/>
  <c r="V541" i="8"/>
  <c r="U541" i="8"/>
  <c r="T541" i="8"/>
  <c r="S541" i="8"/>
  <c r="R541" i="8"/>
  <c r="Q541" i="8"/>
  <c r="P541" i="8"/>
  <c r="O541" i="8"/>
  <c r="N541" i="8"/>
  <c r="M541" i="8"/>
  <c r="L541" i="8"/>
  <c r="K541" i="8"/>
  <c r="J541" i="8"/>
  <c r="I541" i="8"/>
  <c r="H541" i="8"/>
  <c r="G541" i="8"/>
  <c r="F541" i="8"/>
  <c r="E541" i="8"/>
  <c r="D541" i="8"/>
  <c r="C541" i="8"/>
  <c r="B541" i="8"/>
  <c r="A541" i="8"/>
  <c r="AC540" i="8"/>
  <c r="AB540" i="8"/>
  <c r="AA540" i="8"/>
  <c r="Z540" i="8"/>
  <c r="Y540" i="8"/>
  <c r="X540" i="8"/>
  <c r="W540" i="8"/>
  <c r="V540" i="8"/>
  <c r="U540" i="8"/>
  <c r="T540" i="8"/>
  <c r="S540" i="8"/>
  <c r="R540" i="8"/>
  <c r="Q540" i="8"/>
  <c r="P540" i="8"/>
  <c r="O540" i="8"/>
  <c r="N540" i="8"/>
  <c r="M540" i="8"/>
  <c r="L540" i="8"/>
  <c r="K540" i="8"/>
  <c r="J540" i="8"/>
  <c r="I540" i="8"/>
  <c r="H540" i="8"/>
  <c r="G540" i="8"/>
  <c r="F540" i="8"/>
  <c r="E540" i="8"/>
  <c r="D540" i="8"/>
  <c r="C540" i="8"/>
  <c r="B540" i="8"/>
  <c r="A540" i="8"/>
  <c r="AC539" i="8"/>
  <c r="AB539" i="8"/>
  <c r="AA539" i="8"/>
  <c r="Z539" i="8"/>
  <c r="Y539" i="8"/>
  <c r="X539" i="8"/>
  <c r="W539" i="8"/>
  <c r="V539" i="8"/>
  <c r="U539" i="8"/>
  <c r="T539" i="8"/>
  <c r="S539" i="8"/>
  <c r="R539" i="8"/>
  <c r="Q539" i="8"/>
  <c r="P539" i="8"/>
  <c r="O539" i="8"/>
  <c r="N539" i="8"/>
  <c r="M539" i="8"/>
  <c r="L539" i="8"/>
  <c r="K539" i="8"/>
  <c r="J539" i="8"/>
  <c r="I539" i="8"/>
  <c r="H539" i="8"/>
  <c r="G539" i="8"/>
  <c r="F539" i="8"/>
  <c r="E539" i="8"/>
  <c r="D539" i="8"/>
  <c r="C539" i="8"/>
  <c r="B539" i="8"/>
  <c r="A539" i="8"/>
  <c r="AC538" i="8"/>
  <c r="AB538" i="8"/>
  <c r="AA538" i="8"/>
  <c r="Z538" i="8"/>
  <c r="Y538" i="8"/>
  <c r="X538" i="8"/>
  <c r="W538" i="8"/>
  <c r="V538" i="8"/>
  <c r="U538" i="8"/>
  <c r="T538" i="8"/>
  <c r="S538" i="8"/>
  <c r="R538" i="8"/>
  <c r="Q538" i="8"/>
  <c r="P538" i="8"/>
  <c r="O538" i="8"/>
  <c r="N538" i="8"/>
  <c r="M538" i="8"/>
  <c r="L538" i="8"/>
  <c r="K538" i="8"/>
  <c r="J538" i="8"/>
  <c r="I538" i="8"/>
  <c r="H538" i="8"/>
  <c r="G538" i="8"/>
  <c r="F538" i="8"/>
  <c r="E538" i="8"/>
  <c r="D538" i="8"/>
  <c r="C538" i="8"/>
  <c r="B538" i="8"/>
  <c r="A538" i="8"/>
  <c r="AC537" i="8"/>
  <c r="AB537" i="8"/>
  <c r="AA537" i="8"/>
  <c r="Z537" i="8"/>
  <c r="Y537" i="8"/>
  <c r="X537" i="8"/>
  <c r="W537" i="8"/>
  <c r="V537" i="8"/>
  <c r="U537" i="8"/>
  <c r="T537" i="8"/>
  <c r="S537" i="8"/>
  <c r="R537" i="8"/>
  <c r="Q537" i="8"/>
  <c r="P537" i="8"/>
  <c r="O537" i="8"/>
  <c r="N537" i="8"/>
  <c r="M537" i="8"/>
  <c r="L537" i="8"/>
  <c r="K537" i="8"/>
  <c r="J537" i="8"/>
  <c r="I537" i="8"/>
  <c r="H537" i="8"/>
  <c r="G537" i="8"/>
  <c r="F537" i="8"/>
  <c r="E537" i="8"/>
  <c r="D537" i="8"/>
  <c r="C537" i="8"/>
  <c r="B537" i="8"/>
  <c r="A537" i="8"/>
  <c r="AC536" i="8"/>
  <c r="AB536" i="8"/>
  <c r="AA536" i="8"/>
  <c r="Z536" i="8"/>
  <c r="Y536" i="8"/>
  <c r="X536" i="8"/>
  <c r="W536" i="8"/>
  <c r="V536" i="8"/>
  <c r="U536" i="8"/>
  <c r="T536" i="8"/>
  <c r="S536" i="8"/>
  <c r="R536" i="8"/>
  <c r="Q536" i="8"/>
  <c r="P536" i="8"/>
  <c r="O536" i="8"/>
  <c r="N536" i="8"/>
  <c r="M536" i="8"/>
  <c r="L536" i="8"/>
  <c r="K536" i="8"/>
  <c r="J536" i="8"/>
  <c r="I536" i="8"/>
  <c r="H536" i="8"/>
  <c r="G536" i="8"/>
  <c r="F536" i="8"/>
  <c r="E536" i="8"/>
  <c r="D536" i="8"/>
  <c r="C536" i="8"/>
  <c r="B536" i="8"/>
  <c r="A536" i="8"/>
  <c r="AC535" i="8"/>
  <c r="AB535" i="8"/>
  <c r="X535" i="8"/>
  <c r="Q535" i="8"/>
  <c r="O535" i="8"/>
  <c r="N535" i="8"/>
  <c r="M535" i="8"/>
  <c r="L535" i="8"/>
  <c r="K535" i="8"/>
  <c r="E535" i="8"/>
  <c r="D535" i="8"/>
  <c r="C535" i="8"/>
  <c r="B535" i="8"/>
  <c r="A535" i="8"/>
  <c r="AC534" i="8"/>
  <c r="AB534" i="8"/>
  <c r="Z534" i="8"/>
  <c r="X534" i="8"/>
  <c r="U534" i="8"/>
  <c r="T534" i="8"/>
  <c r="S534" i="8"/>
  <c r="R534" i="8"/>
  <c r="Q534" i="8"/>
  <c r="P534" i="8"/>
  <c r="O534" i="8"/>
  <c r="N534" i="8"/>
  <c r="M534" i="8"/>
  <c r="L534" i="8"/>
  <c r="K534" i="8"/>
  <c r="J534" i="8"/>
  <c r="I534" i="8"/>
  <c r="H534" i="8"/>
  <c r="G534" i="8"/>
  <c r="F534" i="8"/>
  <c r="E534" i="8"/>
  <c r="D534" i="8"/>
  <c r="C534" i="8"/>
  <c r="B534" i="8"/>
  <c r="A534" i="8"/>
  <c r="AC533" i="8"/>
  <c r="AB533" i="8"/>
  <c r="Z533" i="8"/>
  <c r="X533" i="8"/>
  <c r="U533" i="8"/>
  <c r="T533" i="8"/>
  <c r="S533" i="8"/>
  <c r="R533" i="8"/>
  <c r="Q533" i="8"/>
  <c r="P533" i="8"/>
  <c r="O533" i="8"/>
  <c r="N533" i="8"/>
  <c r="M533" i="8"/>
  <c r="L533" i="8"/>
  <c r="K533" i="8"/>
  <c r="J533" i="8"/>
  <c r="I533" i="8"/>
  <c r="H533" i="8"/>
  <c r="G533" i="8"/>
  <c r="F533" i="8"/>
  <c r="E533" i="8"/>
  <c r="D533" i="8"/>
  <c r="C533" i="8"/>
  <c r="B533" i="8"/>
  <c r="A533" i="8"/>
  <c r="AC532" i="8"/>
  <c r="AB532" i="8"/>
  <c r="AA532" i="8"/>
  <c r="Z532" i="8"/>
  <c r="Y532" i="8"/>
  <c r="X532" i="8"/>
  <c r="W532" i="8"/>
  <c r="V532" i="8"/>
  <c r="U532" i="8"/>
  <c r="T532" i="8"/>
  <c r="S532" i="8"/>
  <c r="R532" i="8"/>
  <c r="Q532" i="8"/>
  <c r="P532" i="8"/>
  <c r="O532" i="8"/>
  <c r="N532" i="8"/>
  <c r="M532" i="8"/>
  <c r="L532" i="8"/>
  <c r="K532" i="8"/>
  <c r="J532" i="8"/>
  <c r="I532" i="8"/>
  <c r="H532" i="8"/>
  <c r="G532" i="8"/>
  <c r="F532" i="8"/>
  <c r="E532" i="8"/>
  <c r="D532" i="8"/>
  <c r="C532" i="8"/>
  <c r="B532" i="8"/>
  <c r="A532" i="8"/>
  <c r="AC531" i="8"/>
  <c r="AB531" i="8"/>
  <c r="Z531" i="8"/>
  <c r="X531" i="8"/>
  <c r="U531" i="8"/>
  <c r="T531" i="8"/>
  <c r="S531" i="8"/>
  <c r="R531" i="8"/>
  <c r="Q531" i="8"/>
  <c r="P531" i="8"/>
  <c r="O531" i="8"/>
  <c r="N531" i="8"/>
  <c r="M531" i="8"/>
  <c r="L531" i="8"/>
  <c r="K531" i="8"/>
  <c r="J531" i="8"/>
  <c r="I531" i="8"/>
  <c r="H531" i="8"/>
  <c r="G531" i="8"/>
  <c r="F531" i="8"/>
  <c r="E531" i="8"/>
  <c r="D531" i="8"/>
  <c r="C531" i="8"/>
  <c r="B531" i="8"/>
  <c r="A531" i="8"/>
  <c r="AC530" i="8"/>
  <c r="AB530" i="8"/>
  <c r="Z530" i="8"/>
  <c r="X530" i="8"/>
  <c r="U530" i="8"/>
  <c r="T530" i="8"/>
  <c r="S530" i="8"/>
  <c r="R530" i="8"/>
  <c r="Q530" i="8"/>
  <c r="P530" i="8"/>
  <c r="O530" i="8"/>
  <c r="N530" i="8"/>
  <c r="M530" i="8"/>
  <c r="L530" i="8"/>
  <c r="K530" i="8"/>
  <c r="J530" i="8"/>
  <c r="I530" i="8"/>
  <c r="H530" i="8"/>
  <c r="G530" i="8"/>
  <c r="F530" i="8"/>
  <c r="E530" i="8"/>
  <c r="D530" i="8"/>
  <c r="C530" i="8"/>
  <c r="B530" i="8"/>
  <c r="A530" i="8"/>
  <c r="AC529" i="8"/>
  <c r="AB529" i="8"/>
  <c r="Z529" i="8"/>
  <c r="X529" i="8"/>
  <c r="U529" i="8"/>
  <c r="T529" i="8"/>
  <c r="S529" i="8"/>
  <c r="R529" i="8"/>
  <c r="Q529" i="8"/>
  <c r="P529" i="8"/>
  <c r="O529" i="8"/>
  <c r="N529" i="8"/>
  <c r="M529" i="8"/>
  <c r="L529" i="8"/>
  <c r="K529" i="8"/>
  <c r="J529" i="8"/>
  <c r="I529" i="8"/>
  <c r="H529" i="8"/>
  <c r="G529" i="8"/>
  <c r="F529" i="8"/>
  <c r="E529" i="8"/>
  <c r="D529" i="8"/>
  <c r="C529" i="8"/>
  <c r="B529" i="8"/>
  <c r="A529" i="8"/>
  <c r="AC528" i="8"/>
  <c r="AB528" i="8"/>
  <c r="Z528" i="8"/>
  <c r="X528" i="8"/>
  <c r="U528" i="8"/>
  <c r="T528" i="8"/>
  <c r="S528" i="8"/>
  <c r="R528" i="8"/>
  <c r="Q528" i="8"/>
  <c r="P528" i="8"/>
  <c r="O528" i="8"/>
  <c r="N528" i="8"/>
  <c r="M528" i="8"/>
  <c r="L528" i="8"/>
  <c r="K528" i="8"/>
  <c r="J528" i="8"/>
  <c r="I528" i="8"/>
  <c r="H528" i="8"/>
  <c r="G528" i="8"/>
  <c r="F528" i="8"/>
  <c r="E528" i="8"/>
  <c r="D528" i="8"/>
  <c r="C528" i="8"/>
  <c r="B528" i="8"/>
  <c r="A528" i="8"/>
  <c r="AC527" i="8"/>
  <c r="AB527" i="8"/>
  <c r="Z527" i="8"/>
  <c r="X527" i="8"/>
  <c r="U527" i="8"/>
  <c r="T527" i="8"/>
  <c r="S527" i="8"/>
  <c r="R527" i="8"/>
  <c r="Q527" i="8"/>
  <c r="P527" i="8"/>
  <c r="O527" i="8"/>
  <c r="N527" i="8"/>
  <c r="M527" i="8"/>
  <c r="L527" i="8"/>
  <c r="K527" i="8"/>
  <c r="J527" i="8"/>
  <c r="I527" i="8"/>
  <c r="H527" i="8"/>
  <c r="G527" i="8"/>
  <c r="F527" i="8"/>
  <c r="E527" i="8"/>
  <c r="D527" i="8"/>
  <c r="C527" i="8"/>
  <c r="B527" i="8"/>
  <c r="A527" i="8"/>
  <c r="Z526" i="8"/>
  <c r="U526" i="8"/>
  <c r="T526" i="8"/>
  <c r="S526" i="8"/>
  <c r="R526" i="8"/>
  <c r="Q526" i="8"/>
  <c r="P526" i="8"/>
  <c r="O526" i="8"/>
  <c r="N526" i="8"/>
  <c r="M526" i="8"/>
  <c r="L526" i="8"/>
  <c r="K526" i="8"/>
  <c r="J526" i="8"/>
  <c r="I526" i="8"/>
  <c r="H526" i="8"/>
  <c r="G526" i="8"/>
  <c r="F526" i="8"/>
  <c r="E526" i="8"/>
  <c r="D526" i="8"/>
  <c r="C526" i="8"/>
  <c r="B526" i="8"/>
  <c r="A526" i="8"/>
  <c r="Z525" i="8"/>
  <c r="U525" i="8"/>
  <c r="T525" i="8"/>
  <c r="S525" i="8"/>
  <c r="R525" i="8"/>
  <c r="Q525" i="8"/>
  <c r="P525" i="8"/>
  <c r="O525" i="8"/>
  <c r="N525" i="8"/>
  <c r="M525" i="8"/>
  <c r="L525" i="8"/>
  <c r="K525" i="8"/>
  <c r="J525" i="8"/>
  <c r="I525" i="8"/>
  <c r="H525" i="8"/>
  <c r="G525" i="8"/>
  <c r="F525" i="8"/>
  <c r="E525" i="8"/>
  <c r="D525" i="8"/>
  <c r="C525" i="8"/>
  <c r="B525" i="8"/>
  <c r="A525" i="8"/>
  <c r="Z524" i="8"/>
  <c r="U524" i="8"/>
  <c r="T524" i="8"/>
  <c r="S524" i="8"/>
  <c r="R524" i="8"/>
  <c r="Q524" i="8"/>
  <c r="P524" i="8"/>
  <c r="O524" i="8"/>
  <c r="N524" i="8"/>
  <c r="M524" i="8"/>
  <c r="L524" i="8"/>
  <c r="K524" i="8"/>
  <c r="J524" i="8"/>
  <c r="I524" i="8"/>
  <c r="H524" i="8"/>
  <c r="G524" i="8"/>
  <c r="F524" i="8"/>
  <c r="E524" i="8"/>
  <c r="D524" i="8"/>
  <c r="C524" i="8"/>
  <c r="B524" i="8"/>
  <c r="A524" i="8"/>
  <c r="AC523" i="8"/>
  <c r="AB523" i="8"/>
  <c r="AA523" i="8"/>
  <c r="Z523" i="8"/>
  <c r="Y523" i="8"/>
  <c r="X523" i="8"/>
  <c r="W523" i="8"/>
  <c r="V523" i="8"/>
  <c r="U523" i="8"/>
  <c r="T523" i="8"/>
  <c r="S523" i="8"/>
  <c r="R523" i="8"/>
  <c r="Q523" i="8"/>
  <c r="P523" i="8"/>
  <c r="O523" i="8"/>
  <c r="N523" i="8"/>
  <c r="M523" i="8"/>
  <c r="L523" i="8"/>
  <c r="K523" i="8"/>
  <c r="J523" i="8"/>
  <c r="I523" i="8"/>
  <c r="H523" i="8"/>
  <c r="G523" i="8"/>
  <c r="F523" i="8"/>
  <c r="E523" i="8"/>
  <c r="D523" i="8"/>
  <c r="C523" i="8"/>
  <c r="B523" i="8"/>
  <c r="A523" i="8"/>
  <c r="AC522" i="8"/>
  <c r="AB522" i="8"/>
  <c r="AA522" i="8"/>
  <c r="Z522" i="8"/>
  <c r="Y522" i="8"/>
  <c r="X522" i="8"/>
  <c r="W522" i="8"/>
  <c r="V522" i="8"/>
  <c r="U522" i="8"/>
  <c r="T522" i="8"/>
  <c r="S522" i="8"/>
  <c r="R522" i="8"/>
  <c r="Q522" i="8"/>
  <c r="P522" i="8"/>
  <c r="O522" i="8"/>
  <c r="N522" i="8"/>
  <c r="M522" i="8"/>
  <c r="L522" i="8"/>
  <c r="K522" i="8"/>
  <c r="J522" i="8"/>
  <c r="I522" i="8"/>
  <c r="H522" i="8"/>
  <c r="G522" i="8"/>
  <c r="F522" i="8"/>
  <c r="E522" i="8"/>
  <c r="D522" i="8"/>
  <c r="C522" i="8"/>
  <c r="B522" i="8"/>
  <c r="A522" i="8"/>
  <c r="AC521" i="8"/>
  <c r="AB521" i="8"/>
  <c r="AA521" i="8"/>
  <c r="Z521" i="8"/>
  <c r="Y521" i="8"/>
  <c r="X521" i="8"/>
  <c r="W521" i="8"/>
  <c r="V521" i="8"/>
  <c r="U521" i="8"/>
  <c r="T521" i="8"/>
  <c r="S521" i="8"/>
  <c r="R521" i="8"/>
  <c r="Q521" i="8"/>
  <c r="P521" i="8"/>
  <c r="O521" i="8"/>
  <c r="N521" i="8"/>
  <c r="M521" i="8"/>
  <c r="L521" i="8"/>
  <c r="K521" i="8"/>
  <c r="J521" i="8"/>
  <c r="I521" i="8"/>
  <c r="H521" i="8"/>
  <c r="G521" i="8"/>
  <c r="F521" i="8"/>
  <c r="E521" i="8"/>
  <c r="D521" i="8"/>
  <c r="C521" i="8"/>
  <c r="B521" i="8"/>
  <c r="A521" i="8"/>
  <c r="AC520" i="8"/>
  <c r="AB520" i="8"/>
  <c r="AA520" i="8"/>
  <c r="Z520" i="8"/>
  <c r="Y520" i="8"/>
  <c r="X520" i="8"/>
  <c r="W520" i="8"/>
  <c r="V520" i="8"/>
  <c r="U520" i="8"/>
  <c r="T520" i="8"/>
  <c r="S520" i="8"/>
  <c r="R520" i="8"/>
  <c r="Q520" i="8"/>
  <c r="P520" i="8"/>
  <c r="O520" i="8"/>
  <c r="N520" i="8"/>
  <c r="M520" i="8"/>
  <c r="L520" i="8"/>
  <c r="K520" i="8"/>
  <c r="J520" i="8"/>
  <c r="I520" i="8"/>
  <c r="H520" i="8"/>
  <c r="G520" i="8"/>
  <c r="F520" i="8"/>
  <c r="E520" i="8"/>
  <c r="D520" i="8"/>
  <c r="C520" i="8"/>
  <c r="B520" i="8"/>
  <c r="A520" i="8"/>
  <c r="AC519" i="8"/>
  <c r="AB519" i="8"/>
  <c r="AA519" i="8"/>
  <c r="Z519" i="8"/>
  <c r="Y519" i="8"/>
  <c r="X519" i="8"/>
  <c r="W519" i="8"/>
  <c r="V519" i="8"/>
  <c r="U519" i="8"/>
  <c r="T519" i="8"/>
  <c r="S519" i="8"/>
  <c r="R519" i="8"/>
  <c r="Q519" i="8"/>
  <c r="P519" i="8"/>
  <c r="O519" i="8"/>
  <c r="N519" i="8"/>
  <c r="M519" i="8"/>
  <c r="L519" i="8"/>
  <c r="K519" i="8"/>
  <c r="J519" i="8"/>
  <c r="I519" i="8"/>
  <c r="H519" i="8"/>
  <c r="G519" i="8"/>
  <c r="F519" i="8"/>
  <c r="E519" i="8"/>
  <c r="D519" i="8"/>
  <c r="C519" i="8"/>
  <c r="B519" i="8"/>
  <c r="A519" i="8"/>
  <c r="AC518" i="8"/>
  <c r="AB518" i="8"/>
  <c r="AA518" i="8"/>
  <c r="Z518" i="8"/>
  <c r="Y518" i="8"/>
  <c r="X518" i="8"/>
  <c r="W518" i="8"/>
  <c r="V518" i="8"/>
  <c r="U518" i="8"/>
  <c r="T518" i="8"/>
  <c r="S518" i="8"/>
  <c r="R518" i="8"/>
  <c r="Q518" i="8"/>
  <c r="P518" i="8"/>
  <c r="O518" i="8"/>
  <c r="N518" i="8"/>
  <c r="M518" i="8"/>
  <c r="L518" i="8"/>
  <c r="K518" i="8"/>
  <c r="J518" i="8"/>
  <c r="I518" i="8"/>
  <c r="H518" i="8"/>
  <c r="G518" i="8"/>
  <c r="F518" i="8"/>
  <c r="E518" i="8"/>
  <c r="D518" i="8"/>
  <c r="C518" i="8"/>
  <c r="B518" i="8"/>
  <c r="A518" i="8"/>
  <c r="AC517" i="8"/>
  <c r="AB517" i="8"/>
  <c r="AA517" i="8"/>
  <c r="Z517" i="8"/>
  <c r="Y517" i="8"/>
  <c r="X517" i="8"/>
  <c r="W517" i="8"/>
  <c r="V517" i="8"/>
  <c r="U517" i="8"/>
  <c r="T517" i="8"/>
  <c r="S517" i="8"/>
  <c r="R517" i="8"/>
  <c r="Q517" i="8"/>
  <c r="P517" i="8"/>
  <c r="O517" i="8"/>
  <c r="N517" i="8"/>
  <c r="M517" i="8"/>
  <c r="L517" i="8"/>
  <c r="K517" i="8"/>
  <c r="J517" i="8"/>
  <c r="I517" i="8"/>
  <c r="H517" i="8"/>
  <c r="G517" i="8"/>
  <c r="F517" i="8"/>
  <c r="E517" i="8"/>
  <c r="D517" i="8"/>
  <c r="C517" i="8"/>
  <c r="B517" i="8"/>
  <c r="A517" i="8"/>
  <c r="AC516" i="8"/>
  <c r="AB516" i="8"/>
  <c r="AA516" i="8"/>
  <c r="Z516" i="8"/>
  <c r="Y516" i="8"/>
  <c r="X516" i="8"/>
  <c r="W516" i="8"/>
  <c r="V516" i="8"/>
  <c r="U516" i="8"/>
  <c r="T516" i="8"/>
  <c r="S516" i="8"/>
  <c r="R516" i="8"/>
  <c r="Q516" i="8"/>
  <c r="P516" i="8"/>
  <c r="O516" i="8"/>
  <c r="N516" i="8"/>
  <c r="M516" i="8"/>
  <c r="L516" i="8"/>
  <c r="K516" i="8"/>
  <c r="J516" i="8"/>
  <c r="I516" i="8"/>
  <c r="H516" i="8"/>
  <c r="G516" i="8"/>
  <c r="F516" i="8"/>
  <c r="E516" i="8"/>
  <c r="D516" i="8"/>
  <c r="C516" i="8"/>
  <c r="B516" i="8"/>
  <c r="A516" i="8"/>
  <c r="Z515" i="8"/>
  <c r="U515" i="8"/>
  <c r="T515" i="8"/>
  <c r="S515" i="8"/>
  <c r="R515" i="8"/>
  <c r="Q515" i="8"/>
  <c r="P515" i="8"/>
  <c r="O515" i="8"/>
  <c r="N515" i="8"/>
  <c r="M515" i="8"/>
  <c r="L515" i="8"/>
  <c r="K515" i="8"/>
  <c r="J515" i="8"/>
  <c r="I515" i="8"/>
  <c r="H515" i="8"/>
  <c r="G515" i="8"/>
  <c r="F515" i="8"/>
  <c r="E515" i="8"/>
  <c r="D515" i="8"/>
  <c r="C515" i="8"/>
  <c r="B515" i="8"/>
  <c r="A515" i="8"/>
  <c r="Z514" i="8"/>
  <c r="U514" i="8"/>
  <c r="T514" i="8"/>
  <c r="S514" i="8"/>
  <c r="R514" i="8"/>
  <c r="Q514" i="8"/>
  <c r="P514" i="8"/>
  <c r="O514" i="8"/>
  <c r="N514" i="8"/>
  <c r="M514" i="8"/>
  <c r="L514" i="8"/>
  <c r="K514" i="8"/>
  <c r="J514" i="8"/>
  <c r="I514" i="8"/>
  <c r="H514" i="8"/>
  <c r="G514" i="8"/>
  <c r="F514" i="8"/>
  <c r="E514" i="8"/>
  <c r="D514" i="8"/>
  <c r="C514" i="8"/>
  <c r="B514" i="8"/>
  <c r="A514" i="8"/>
  <c r="Z513" i="8"/>
  <c r="U513" i="8"/>
  <c r="T513" i="8"/>
  <c r="S513" i="8"/>
  <c r="R513" i="8"/>
  <c r="Q513" i="8"/>
  <c r="P513" i="8"/>
  <c r="O513" i="8"/>
  <c r="N513" i="8"/>
  <c r="M513" i="8"/>
  <c r="L513" i="8"/>
  <c r="K513" i="8"/>
  <c r="J513" i="8"/>
  <c r="I513" i="8"/>
  <c r="H513" i="8"/>
  <c r="G513" i="8"/>
  <c r="F513" i="8"/>
  <c r="E513" i="8"/>
  <c r="D513" i="8"/>
  <c r="C513" i="8"/>
  <c r="B513" i="8"/>
  <c r="A513" i="8"/>
  <c r="Z512" i="8"/>
  <c r="U512" i="8"/>
  <c r="T512" i="8"/>
  <c r="S512" i="8"/>
  <c r="R512" i="8"/>
  <c r="Q512" i="8"/>
  <c r="P512" i="8"/>
  <c r="O512" i="8"/>
  <c r="N512" i="8"/>
  <c r="M512" i="8"/>
  <c r="L512" i="8"/>
  <c r="K512" i="8"/>
  <c r="J512" i="8"/>
  <c r="I512" i="8"/>
  <c r="H512" i="8"/>
  <c r="G512" i="8"/>
  <c r="F512" i="8"/>
  <c r="E512" i="8"/>
  <c r="D512" i="8"/>
  <c r="C512" i="8"/>
  <c r="B512" i="8"/>
  <c r="A512" i="8"/>
  <c r="Z511" i="8"/>
  <c r="U511" i="8"/>
  <c r="T511" i="8"/>
  <c r="S511" i="8"/>
  <c r="R511" i="8"/>
  <c r="Q511" i="8"/>
  <c r="P511" i="8"/>
  <c r="O511" i="8"/>
  <c r="N511" i="8"/>
  <c r="M511" i="8"/>
  <c r="L511" i="8"/>
  <c r="K511" i="8"/>
  <c r="J511" i="8"/>
  <c r="I511" i="8"/>
  <c r="H511" i="8"/>
  <c r="G511" i="8"/>
  <c r="F511" i="8"/>
  <c r="E511" i="8"/>
  <c r="D511" i="8"/>
  <c r="C511" i="8"/>
  <c r="B511" i="8"/>
  <c r="A511" i="8"/>
  <c r="AC510" i="8"/>
  <c r="AB510" i="8"/>
  <c r="AA510" i="8"/>
  <c r="Z510" i="8"/>
  <c r="Y510" i="8"/>
  <c r="X510" i="8"/>
  <c r="W510" i="8"/>
  <c r="V510" i="8"/>
  <c r="U510" i="8"/>
  <c r="T510" i="8"/>
  <c r="S510" i="8"/>
  <c r="R510" i="8"/>
  <c r="Q510" i="8"/>
  <c r="P510" i="8"/>
  <c r="O510" i="8"/>
  <c r="N510" i="8"/>
  <c r="M510" i="8"/>
  <c r="L510" i="8"/>
  <c r="K510" i="8"/>
  <c r="J510" i="8"/>
  <c r="I510" i="8"/>
  <c r="H510" i="8"/>
  <c r="G510" i="8"/>
  <c r="F510" i="8"/>
  <c r="E510" i="8"/>
  <c r="D510" i="8"/>
  <c r="C510" i="8"/>
  <c r="B510" i="8"/>
  <c r="A510" i="8"/>
  <c r="AC509" i="8"/>
  <c r="AB509" i="8"/>
  <c r="AA509" i="8"/>
  <c r="Z509" i="8"/>
  <c r="Y509" i="8"/>
  <c r="X509" i="8"/>
  <c r="W509" i="8"/>
  <c r="V509" i="8"/>
  <c r="U509" i="8"/>
  <c r="T509" i="8"/>
  <c r="S509" i="8"/>
  <c r="R509" i="8"/>
  <c r="Q509" i="8"/>
  <c r="P509" i="8"/>
  <c r="O509" i="8"/>
  <c r="N509" i="8"/>
  <c r="M509" i="8"/>
  <c r="L509" i="8"/>
  <c r="K509" i="8"/>
  <c r="J509" i="8"/>
  <c r="I509" i="8"/>
  <c r="H509" i="8"/>
  <c r="G509" i="8"/>
  <c r="F509" i="8"/>
  <c r="E509" i="8"/>
  <c r="D509" i="8"/>
  <c r="C509" i="8"/>
  <c r="B509" i="8"/>
  <c r="A509" i="8"/>
  <c r="AC508" i="8"/>
  <c r="AB508" i="8"/>
  <c r="AA508" i="8"/>
  <c r="Z508" i="8"/>
  <c r="Y508" i="8"/>
  <c r="X508" i="8"/>
  <c r="W508" i="8"/>
  <c r="V508" i="8"/>
  <c r="U508" i="8"/>
  <c r="T508" i="8"/>
  <c r="S508" i="8"/>
  <c r="R508" i="8"/>
  <c r="Q508" i="8"/>
  <c r="P508" i="8"/>
  <c r="O508" i="8"/>
  <c r="N508" i="8"/>
  <c r="M508" i="8"/>
  <c r="L508" i="8"/>
  <c r="K508" i="8"/>
  <c r="J508" i="8"/>
  <c r="I508" i="8"/>
  <c r="H508" i="8"/>
  <c r="G508" i="8"/>
  <c r="F508" i="8"/>
  <c r="E508" i="8"/>
  <c r="D508" i="8"/>
  <c r="C508" i="8"/>
  <c r="B508" i="8"/>
  <c r="A508" i="8"/>
  <c r="AC507" i="8"/>
  <c r="AB507" i="8"/>
  <c r="AA507" i="8"/>
  <c r="Z507" i="8"/>
  <c r="Y507" i="8"/>
  <c r="X507" i="8"/>
  <c r="W507" i="8"/>
  <c r="V507" i="8"/>
  <c r="U507" i="8"/>
  <c r="T507" i="8"/>
  <c r="S507" i="8"/>
  <c r="R507" i="8"/>
  <c r="Q507" i="8"/>
  <c r="P507" i="8"/>
  <c r="O507" i="8"/>
  <c r="N507" i="8"/>
  <c r="M507" i="8"/>
  <c r="L507" i="8"/>
  <c r="K507" i="8"/>
  <c r="J507" i="8"/>
  <c r="I507" i="8"/>
  <c r="H507" i="8"/>
  <c r="G507" i="8"/>
  <c r="F507" i="8"/>
  <c r="E507" i="8"/>
  <c r="D507" i="8"/>
  <c r="C507" i="8"/>
  <c r="B507" i="8"/>
  <c r="A507" i="8"/>
  <c r="AC506" i="8"/>
  <c r="AB506" i="8"/>
  <c r="AA506" i="8"/>
  <c r="Z506" i="8"/>
  <c r="Y506" i="8"/>
  <c r="X506" i="8"/>
  <c r="W506" i="8"/>
  <c r="V506" i="8"/>
  <c r="U506" i="8"/>
  <c r="T506" i="8"/>
  <c r="S506" i="8"/>
  <c r="R506" i="8"/>
  <c r="Q506" i="8"/>
  <c r="P506" i="8"/>
  <c r="O506" i="8"/>
  <c r="N506" i="8"/>
  <c r="M506" i="8"/>
  <c r="L506" i="8"/>
  <c r="K506" i="8"/>
  <c r="J506" i="8"/>
  <c r="I506" i="8"/>
  <c r="H506" i="8"/>
  <c r="G506" i="8"/>
  <c r="F506" i="8"/>
  <c r="E506" i="8"/>
  <c r="D506" i="8"/>
  <c r="C506" i="8"/>
  <c r="B506" i="8"/>
  <c r="A506" i="8"/>
  <c r="AC505" i="8"/>
  <c r="AB505" i="8"/>
  <c r="AA505" i="8"/>
  <c r="Z505" i="8"/>
  <c r="Y505" i="8"/>
  <c r="X505" i="8"/>
  <c r="W505" i="8"/>
  <c r="V505" i="8"/>
  <c r="U505" i="8"/>
  <c r="T505" i="8"/>
  <c r="S505" i="8"/>
  <c r="R505" i="8"/>
  <c r="Q505" i="8"/>
  <c r="P505" i="8"/>
  <c r="O505" i="8"/>
  <c r="N505" i="8"/>
  <c r="M505" i="8"/>
  <c r="L505" i="8"/>
  <c r="K505" i="8"/>
  <c r="J505" i="8"/>
  <c r="I505" i="8"/>
  <c r="H505" i="8"/>
  <c r="G505" i="8"/>
  <c r="F505" i="8"/>
  <c r="E505" i="8"/>
  <c r="D505" i="8"/>
  <c r="C505" i="8"/>
  <c r="B505" i="8"/>
  <c r="A505" i="8"/>
  <c r="AC504" i="8"/>
  <c r="AB504" i="8"/>
  <c r="AA504" i="8"/>
  <c r="Z504" i="8"/>
  <c r="Y504" i="8"/>
  <c r="X504" i="8"/>
  <c r="W504" i="8"/>
  <c r="V504" i="8"/>
  <c r="U504" i="8"/>
  <c r="T504" i="8"/>
  <c r="S504" i="8"/>
  <c r="R504" i="8"/>
  <c r="Q504" i="8"/>
  <c r="P504" i="8"/>
  <c r="O504" i="8"/>
  <c r="N504" i="8"/>
  <c r="M504" i="8"/>
  <c r="L504" i="8"/>
  <c r="K504" i="8"/>
  <c r="J504" i="8"/>
  <c r="I504" i="8"/>
  <c r="H504" i="8"/>
  <c r="G504" i="8"/>
  <c r="F504" i="8"/>
  <c r="E504" i="8"/>
  <c r="D504" i="8"/>
  <c r="C504" i="8"/>
  <c r="B504" i="8"/>
  <c r="A504" i="8"/>
  <c r="B503" i="8"/>
  <c r="A503" i="8"/>
  <c r="B502" i="8"/>
  <c r="A502" i="8"/>
  <c r="B501" i="8"/>
  <c r="A501" i="8"/>
  <c r="B500" i="8"/>
  <c r="A500" i="8"/>
  <c r="B499" i="8"/>
  <c r="A499" i="8"/>
  <c r="V498" i="8"/>
  <c r="U498" i="8"/>
  <c r="T498" i="8"/>
  <c r="S498" i="8"/>
  <c r="Q498" i="8"/>
  <c r="P498" i="8"/>
  <c r="O498" i="8"/>
  <c r="N498" i="8"/>
  <c r="M498" i="8"/>
  <c r="L498" i="8"/>
  <c r="K498" i="8"/>
  <c r="J498" i="8"/>
  <c r="I498" i="8"/>
  <c r="H498" i="8"/>
  <c r="G498" i="8"/>
  <c r="F498" i="8"/>
  <c r="E498" i="8"/>
  <c r="D498" i="8"/>
  <c r="C498" i="8"/>
  <c r="B498" i="8"/>
  <c r="A498" i="8"/>
  <c r="Z497" i="8"/>
  <c r="U497" i="8"/>
  <c r="T497" i="8"/>
  <c r="S497" i="8"/>
  <c r="R497" i="8"/>
  <c r="Q497" i="8"/>
  <c r="P497" i="8"/>
  <c r="O497" i="8"/>
  <c r="N497" i="8"/>
  <c r="M497" i="8"/>
  <c r="L497" i="8"/>
  <c r="K497" i="8"/>
  <c r="J497" i="8"/>
  <c r="I497" i="8"/>
  <c r="H497" i="8"/>
  <c r="G497" i="8"/>
  <c r="F497" i="8"/>
  <c r="E497" i="8"/>
  <c r="D497" i="8"/>
  <c r="C497" i="8"/>
  <c r="B497" i="8"/>
  <c r="A497" i="8"/>
  <c r="Z496" i="8"/>
  <c r="U496" i="8"/>
  <c r="T496" i="8"/>
  <c r="S496" i="8"/>
  <c r="R496" i="8"/>
  <c r="Q496" i="8"/>
  <c r="P496" i="8"/>
  <c r="O496" i="8"/>
  <c r="N496" i="8"/>
  <c r="M496" i="8"/>
  <c r="L496" i="8"/>
  <c r="K496" i="8"/>
  <c r="J496" i="8"/>
  <c r="I496" i="8"/>
  <c r="H496" i="8"/>
  <c r="G496" i="8"/>
  <c r="F496" i="8"/>
  <c r="E496" i="8"/>
  <c r="D496" i="8"/>
  <c r="C496" i="8"/>
  <c r="B496" i="8"/>
  <c r="A496" i="8"/>
  <c r="Z495" i="8"/>
  <c r="U495" i="8"/>
  <c r="T495" i="8"/>
  <c r="S495" i="8"/>
  <c r="R495" i="8"/>
  <c r="Q495" i="8"/>
  <c r="P495" i="8"/>
  <c r="O495" i="8"/>
  <c r="N495" i="8"/>
  <c r="M495" i="8"/>
  <c r="L495" i="8"/>
  <c r="K495" i="8"/>
  <c r="J495" i="8"/>
  <c r="I495" i="8"/>
  <c r="H495" i="8"/>
  <c r="G495" i="8"/>
  <c r="F495" i="8"/>
  <c r="E495" i="8"/>
  <c r="D495" i="8"/>
  <c r="C495" i="8"/>
  <c r="B495" i="8"/>
  <c r="A495" i="8"/>
  <c r="Z494" i="8"/>
  <c r="U494" i="8"/>
  <c r="T494" i="8"/>
  <c r="S494" i="8"/>
  <c r="R494" i="8"/>
  <c r="Q494" i="8"/>
  <c r="P494" i="8"/>
  <c r="O494" i="8"/>
  <c r="N494" i="8"/>
  <c r="M494" i="8"/>
  <c r="L494" i="8"/>
  <c r="K494" i="8"/>
  <c r="J494" i="8"/>
  <c r="I494" i="8"/>
  <c r="H494" i="8"/>
  <c r="G494" i="8"/>
  <c r="F494" i="8"/>
  <c r="E494" i="8"/>
  <c r="D494" i="8"/>
  <c r="C494" i="8"/>
  <c r="B494" i="8"/>
  <c r="A494" i="8"/>
  <c r="Z493" i="8"/>
  <c r="U493" i="8"/>
  <c r="T493" i="8"/>
  <c r="S493" i="8"/>
  <c r="R493" i="8"/>
  <c r="Q493" i="8"/>
  <c r="P493" i="8"/>
  <c r="O493" i="8"/>
  <c r="N493" i="8"/>
  <c r="M493" i="8"/>
  <c r="L493" i="8"/>
  <c r="K493" i="8"/>
  <c r="J493" i="8"/>
  <c r="I493" i="8"/>
  <c r="H493" i="8"/>
  <c r="G493" i="8"/>
  <c r="F493" i="8"/>
  <c r="E493" i="8"/>
  <c r="D493" i="8"/>
  <c r="C493" i="8"/>
  <c r="B493" i="8"/>
  <c r="A493" i="8"/>
  <c r="Z492" i="8"/>
  <c r="U492" i="8"/>
  <c r="T492" i="8"/>
  <c r="S492" i="8"/>
  <c r="R492" i="8"/>
  <c r="Q492" i="8"/>
  <c r="P492" i="8"/>
  <c r="O492" i="8"/>
  <c r="N492" i="8"/>
  <c r="M492" i="8"/>
  <c r="L492" i="8"/>
  <c r="K492" i="8"/>
  <c r="J492" i="8"/>
  <c r="I492" i="8"/>
  <c r="H492" i="8"/>
  <c r="G492" i="8"/>
  <c r="F492" i="8"/>
  <c r="E492" i="8"/>
  <c r="D492" i="8"/>
  <c r="C492" i="8"/>
  <c r="B492" i="8"/>
  <c r="A492" i="8"/>
  <c r="AC491" i="8"/>
  <c r="AB491" i="8"/>
  <c r="AA491" i="8"/>
  <c r="Z491" i="8"/>
  <c r="Y491" i="8"/>
  <c r="X491" i="8"/>
  <c r="W491" i="8"/>
  <c r="V491" i="8"/>
  <c r="U491" i="8"/>
  <c r="T491" i="8"/>
  <c r="S491" i="8"/>
  <c r="R491" i="8"/>
  <c r="Q491" i="8"/>
  <c r="P491" i="8"/>
  <c r="O491" i="8"/>
  <c r="N491" i="8"/>
  <c r="M491" i="8"/>
  <c r="L491" i="8"/>
  <c r="K491" i="8"/>
  <c r="J491" i="8"/>
  <c r="I491" i="8"/>
  <c r="H491" i="8"/>
  <c r="G491" i="8"/>
  <c r="F491" i="8"/>
  <c r="E491" i="8"/>
  <c r="D491" i="8"/>
  <c r="C491" i="8"/>
  <c r="B491" i="8"/>
  <c r="A491" i="8"/>
  <c r="AC490" i="8"/>
  <c r="AB490" i="8"/>
  <c r="AA490" i="8"/>
  <c r="Z490" i="8"/>
  <c r="Y490" i="8"/>
  <c r="X490" i="8"/>
  <c r="W490" i="8"/>
  <c r="V490" i="8"/>
  <c r="U490" i="8"/>
  <c r="T490" i="8"/>
  <c r="S490" i="8"/>
  <c r="R490" i="8"/>
  <c r="Q490" i="8"/>
  <c r="P490" i="8"/>
  <c r="O490" i="8"/>
  <c r="N490" i="8"/>
  <c r="M490" i="8"/>
  <c r="L490" i="8"/>
  <c r="K490" i="8"/>
  <c r="J490" i="8"/>
  <c r="I490" i="8"/>
  <c r="H490" i="8"/>
  <c r="G490" i="8"/>
  <c r="F490" i="8"/>
  <c r="E490" i="8"/>
  <c r="D490" i="8"/>
  <c r="C490" i="8"/>
  <c r="B490" i="8"/>
  <c r="A490" i="8"/>
  <c r="AC489" i="8"/>
  <c r="AB489" i="8"/>
  <c r="AA489" i="8"/>
  <c r="Z489" i="8"/>
  <c r="Y489" i="8"/>
  <c r="X489" i="8"/>
  <c r="W489" i="8"/>
  <c r="V489" i="8"/>
  <c r="U489" i="8"/>
  <c r="T489" i="8"/>
  <c r="S489" i="8"/>
  <c r="R489" i="8"/>
  <c r="Q489" i="8"/>
  <c r="P489" i="8"/>
  <c r="O489" i="8"/>
  <c r="N489" i="8"/>
  <c r="M489" i="8"/>
  <c r="L489" i="8"/>
  <c r="K489" i="8"/>
  <c r="J489" i="8"/>
  <c r="I489" i="8"/>
  <c r="H489" i="8"/>
  <c r="G489" i="8"/>
  <c r="F489" i="8"/>
  <c r="E489" i="8"/>
  <c r="D489" i="8"/>
  <c r="C489" i="8"/>
  <c r="B489" i="8"/>
  <c r="A489" i="8"/>
  <c r="AC488" i="8"/>
  <c r="AB488" i="8"/>
  <c r="AA488" i="8"/>
  <c r="Z488" i="8"/>
  <c r="Y488" i="8"/>
  <c r="X488" i="8"/>
  <c r="W488" i="8"/>
  <c r="V488" i="8"/>
  <c r="U488" i="8"/>
  <c r="T488" i="8"/>
  <c r="S488" i="8"/>
  <c r="R488" i="8"/>
  <c r="Q488" i="8"/>
  <c r="P488" i="8"/>
  <c r="O488" i="8"/>
  <c r="N488" i="8"/>
  <c r="M488" i="8"/>
  <c r="L488" i="8"/>
  <c r="K488" i="8"/>
  <c r="J488" i="8"/>
  <c r="I488" i="8"/>
  <c r="H488" i="8"/>
  <c r="G488" i="8"/>
  <c r="F488" i="8"/>
  <c r="E488" i="8"/>
  <c r="D488" i="8"/>
  <c r="C488" i="8"/>
  <c r="B488" i="8"/>
  <c r="A488" i="8"/>
  <c r="Z487" i="8"/>
  <c r="W487" i="8"/>
  <c r="U487" i="8"/>
  <c r="T487" i="8"/>
  <c r="S487" i="8"/>
  <c r="R487" i="8"/>
  <c r="Q487" i="8"/>
  <c r="P487" i="8"/>
  <c r="O487" i="8"/>
  <c r="N487" i="8"/>
  <c r="M487" i="8"/>
  <c r="L487" i="8"/>
  <c r="K487" i="8"/>
  <c r="J487" i="8"/>
  <c r="I487" i="8"/>
  <c r="H487" i="8"/>
  <c r="G487" i="8"/>
  <c r="F487" i="8"/>
  <c r="E487" i="8"/>
  <c r="D487" i="8"/>
  <c r="C487" i="8"/>
  <c r="B487" i="8"/>
  <c r="A487" i="8"/>
  <c r="Z486" i="8"/>
  <c r="U486" i="8"/>
  <c r="T486" i="8"/>
  <c r="S486" i="8"/>
  <c r="R486" i="8"/>
  <c r="Q486" i="8"/>
  <c r="P486" i="8"/>
  <c r="O486" i="8"/>
  <c r="N486" i="8"/>
  <c r="M486" i="8"/>
  <c r="L486" i="8"/>
  <c r="K486" i="8"/>
  <c r="J486" i="8"/>
  <c r="I486" i="8"/>
  <c r="H486" i="8"/>
  <c r="G486" i="8"/>
  <c r="F486" i="8"/>
  <c r="E486" i="8"/>
  <c r="D486" i="8"/>
  <c r="C486" i="8"/>
  <c r="B486" i="8"/>
  <c r="A486" i="8"/>
  <c r="AC485" i="8"/>
  <c r="AB485" i="8"/>
  <c r="AA485" i="8"/>
  <c r="Z485" i="8"/>
  <c r="Y485" i="8"/>
  <c r="X485" i="8"/>
  <c r="W485" i="8"/>
  <c r="V485" i="8"/>
  <c r="U485" i="8"/>
  <c r="T485" i="8"/>
  <c r="S485" i="8"/>
  <c r="R485" i="8"/>
  <c r="Q485" i="8"/>
  <c r="P485" i="8"/>
  <c r="O485" i="8"/>
  <c r="N485" i="8"/>
  <c r="M485" i="8"/>
  <c r="L485" i="8"/>
  <c r="K485" i="8"/>
  <c r="J485" i="8"/>
  <c r="I485" i="8"/>
  <c r="H485" i="8"/>
  <c r="G485" i="8"/>
  <c r="F485" i="8"/>
  <c r="E485" i="8"/>
  <c r="D485" i="8"/>
  <c r="C485" i="8"/>
  <c r="B485" i="8"/>
  <c r="A485" i="8"/>
  <c r="AC484" i="8"/>
  <c r="AB484" i="8"/>
  <c r="AA484" i="8"/>
  <c r="Z484" i="8"/>
  <c r="Y484" i="8"/>
  <c r="X484" i="8"/>
  <c r="W484" i="8"/>
  <c r="V484" i="8"/>
  <c r="U484" i="8"/>
  <c r="T484" i="8"/>
  <c r="S484" i="8"/>
  <c r="R484" i="8"/>
  <c r="Q484" i="8"/>
  <c r="P484" i="8"/>
  <c r="O484" i="8"/>
  <c r="N484" i="8"/>
  <c r="M484" i="8"/>
  <c r="L484" i="8"/>
  <c r="K484" i="8"/>
  <c r="J484" i="8"/>
  <c r="I484" i="8"/>
  <c r="H484" i="8"/>
  <c r="G484" i="8"/>
  <c r="F484" i="8"/>
  <c r="E484" i="8"/>
  <c r="D484" i="8"/>
  <c r="C484" i="8"/>
  <c r="B484" i="8"/>
  <c r="A484" i="8"/>
  <c r="AC483" i="8"/>
  <c r="AB483" i="8"/>
  <c r="Z483" i="8"/>
  <c r="U483" i="8"/>
  <c r="T483" i="8"/>
  <c r="S483" i="8"/>
  <c r="R483" i="8"/>
  <c r="Q483" i="8"/>
  <c r="P483" i="8"/>
  <c r="O483" i="8"/>
  <c r="N483" i="8"/>
  <c r="M483" i="8"/>
  <c r="L483" i="8"/>
  <c r="K483" i="8"/>
  <c r="J483" i="8"/>
  <c r="I483" i="8"/>
  <c r="H483" i="8"/>
  <c r="G483" i="8"/>
  <c r="F483" i="8"/>
  <c r="E483" i="8"/>
  <c r="D483" i="8"/>
  <c r="C483" i="8"/>
  <c r="B483" i="8"/>
  <c r="A483" i="8"/>
  <c r="AC482" i="8"/>
  <c r="AB482" i="8"/>
  <c r="Z482" i="8"/>
  <c r="U482" i="8"/>
  <c r="T482" i="8"/>
  <c r="S482" i="8"/>
  <c r="R482" i="8"/>
  <c r="Q482" i="8"/>
  <c r="P482" i="8"/>
  <c r="O482" i="8"/>
  <c r="N482" i="8"/>
  <c r="M482" i="8"/>
  <c r="L482" i="8"/>
  <c r="K482" i="8"/>
  <c r="J482" i="8"/>
  <c r="I482" i="8"/>
  <c r="H482" i="8"/>
  <c r="G482" i="8"/>
  <c r="F482" i="8"/>
  <c r="E482" i="8"/>
  <c r="D482" i="8"/>
  <c r="C482" i="8"/>
  <c r="B482" i="8"/>
  <c r="A482" i="8"/>
  <c r="AB481" i="8"/>
  <c r="AA481" i="8"/>
  <c r="Z481" i="8"/>
  <c r="Y481" i="8"/>
  <c r="X481" i="8"/>
  <c r="W481" i="8"/>
  <c r="U481" i="8"/>
  <c r="T481" i="8"/>
  <c r="S481" i="8"/>
  <c r="R481" i="8"/>
  <c r="Q481" i="8"/>
  <c r="P481" i="8"/>
  <c r="O481" i="8"/>
  <c r="N481" i="8"/>
  <c r="M481" i="8"/>
  <c r="L481" i="8"/>
  <c r="K481" i="8"/>
  <c r="J481" i="8"/>
  <c r="I481" i="8"/>
  <c r="H481" i="8"/>
  <c r="G481" i="8"/>
  <c r="F481" i="8"/>
  <c r="E481" i="8"/>
  <c r="D481" i="8"/>
  <c r="C481" i="8"/>
  <c r="B481" i="8"/>
  <c r="A481" i="8"/>
  <c r="AB480" i="8"/>
  <c r="AA480" i="8"/>
  <c r="Z480" i="8"/>
  <c r="Y480" i="8"/>
  <c r="X480" i="8"/>
  <c r="W480" i="8"/>
  <c r="U480" i="8"/>
  <c r="T480" i="8"/>
  <c r="S480" i="8"/>
  <c r="R480" i="8"/>
  <c r="Q480" i="8"/>
  <c r="P480" i="8"/>
  <c r="O480" i="8"/>
  <c r="N480" i="8"/>
  <c r="M480" i="8"/>
  <c r="L480" i="8"/>
  <c r="K480" i="8"/>
  <c r="J480" i="8"/>
  <c r="I480" i="8"/>
  <c r="H480" i="8"/>
  <c r="G480" i="8"/>
  <c r="F480" i="8"/>
  <c r="E480" i="8"/>
  <c r="D480" i="8"/>
  <c r="C480" i="8"/>
  <c r="B480" i="8"/>
  <c r="A480" i="8"/>
  <c r="AB479" i="8"/>
  <c r="Z479" i="8"/>
  <c r="U479" i="8"/>
  <c r="T479" i="8"/>
  <c r="S479" i="8"/>
  <c r="R479" i="8"/>
  <c r="Q479" i="8"/>
  <c r="P479" i="8"/>
  <c r="O479" i="8"/>
  <c r="N479" i="8"/>
  <c r="M479" i="8"/>
  <c r="L479" i="8"/>
  <c r="K479" i="8"/>
  <c r="J479" i="8"/>
  <c r="I479" i="8"/>
  <c r="H479" i="8"/>
  <c r="G479" i="8"/>
  <c r="F479" i="8"/>
  <c r="E479" i="8"/>
  <c r="D479" i="8"/>
  <c r="C479" i="8"/>
  <c r="B479" i="8"/>
  <c r="A479" i="8"/>
  <c r="AB478" i="8"/>
  <c r="Z478" i="8"/>
  <c r="U478" i="8"/>
  <c r="T478" i="8"/>
  <c r="S478" i="8"/>
  <c r="R478" i="8"/>
  <c r="Q478" i="8"/>
  <c r="P478" i="8"/>
  <c r="O478" i="8"/>
  <c r="N478" i="8"/>
  <c r="M478" i="8"/>
  <c r="L478" i="8"/>
  <c r="K478" i="8"/>
  <c r="J478" i="8"/>
  <c r="I478" i="8"/>
  <c r="H478" i="8"/>
  <c r="G478" i="8"/>
  <c r="F478" i="8"/>
  <c r="E478" i="8"/>
  <c r="D478" i="8"/>
  <c r="C478" i="8"/>
  <c r="B478" i="8"/>
  <c r="A478" i="8"/>
  <c r="AC477" i="8"/>
  <c r="AB477" i="8"/>
  <c r="AA477" i="8"/>
  <c r="Z477" i="8"/>
  <c r="Y477" i="8"/>
  <c r="X477" i="8"/>
  <c r="W477" i="8"/>
  <c r="V477" i="8"/>
  <c r="U477" i="8"/>
  <c r="T477" i="8"/>
  <c r="S477" i="8"/>
  <c r="R477" i="8"/>
  <c r="Q477" i="8"/>
  <c r="P477" i="8"/>
  <c r="O477" i="8"/>
  <c r="N477" i="8"/>
  <c r="M477" i="8"/>
  <c r="L477" i="8"/>
  <c r="K477" i="8"/>
  <c r="J477" i="8"/>
  <c r="I477" i="8"/>
  <c r="H477" i="8"/>
  <c r="G477" i="8"/>
  <c r="F477" i="8"/>
  <c r="E477" i="8"/>
  <c r="D477" i="8"/>
  <c r="C477" i="8"/>
  <c r="B477" i="8"/>
  <c r="A477" i="8"/>
  <c r="AC476" i="8"/>
  <c r="AB476" i="8"/>
  <c r="AA476" i="8"/>
  <c r="Z476" i="8"/>
  <c r="Y476" i="8"/>
  <c r="X476" i="8"/>
  <c r="W476" i="8"/>
  <c r="V476" i="8"/>
  <c r="U476" i="8"/>
  <c r="T476" i="8"/>
  <c r="S476" i="8"/>
  <c r="R476" i="8"/>
  <c r="Q476" i="8"/>
  <c r="P476" i="8"/>
  <c r="O476" i="8"/>
  <c r="N476" i="8"/>
  <c r="M476" i="8"/>
  <c r="L476" i="8"/>
  <c r="K476" i="8"/>
  <c r="J476" i="8"/>
  <c r="I476" i="8"/>
  <c r="H476" i="8"/>
  <c r="G476" i="8"/>
  <c r="F476" i="8"/>
  <c r="E476" i="8"/>
  <c r="D476" i="8"/>
  <c r="C476" i="8"/>
  <c r="B476" i="8"/>
  <c r="A476" i="8"/>
  <c r="Z475" i="8"/>
  <c r="W475" i="8"/>
  <c r="U475" i="8"/>
  <c r="T475" i="8"/>
  <c r="S475" i="8"/>
  <c r="R475" i="8"/>
  <c r="Q475" i="8"/>
  <c r="P475" i="8"/>
  <c r="O475" i="8"/>
  <c r="N475" i="8"/>
  <c r="M475" i="8"/>
  <c r="L475" i="8"/>
  <c r="K475" i="8"/>
  <c r="J475" i="8"/>
  <c r="I475" i="8"/>
  <c r="H475" i="8"/>
  <c r="G475" i="8"/>
  <c r="F475" i="8"/>
  <c r="E475" i="8"/>
  <c r="D475" i="8"/>
  <c r="C475" i="8"/>
  <c r="B475" i="8"/>
  <c r="A475" i="8"/>
  <c r="AC474" i="8"/>
  <c r="AB474" i="8"/>
  <c r="AA474" i="8"/>
  <c r="Z474" i="8"/>
  <c r="Y474" i="8"/>
  <c r="X474" i="8"/>
  <c r="W474" i="8"/>
  <c r="V474" i="8"/>
  <c r="U474" i="8"/>
  <c r="T474" i="8"/>
  <c r="S474" i="8"/>
  <c r="R474" i="8"/>
  <c r="Q474" i="8"/>
  <c r="P474" i="8"/>
  <c r="O474" i="8"/>
  <c r="N474" i="8"/>
  <c r="M474" i="8"/>
  <c r="L474" i="8"/>
  <c r="K474" i="8"/>
  <c r="J474" i="8"/>
  <c r="I474" i="8"/>
  <c r="H474" i="8"/>
  <c r="G474" i="8"/>
  <c r="F474" i="8"/>
  <c r="E474" i="8"/>
  <c r="D474" i="8"/>
  <c r="C474" i="8"/>
  <c r="B474" i="8"/>
  <c r="A474" i="8"/>
  <c r="AC473" i="8"/>
  <c r="AB473" i="8"/>
  <c r="AA473" i="8"/>
  <c r="Z473" i="8"/>
  <c r="Y473" i="8"/>
  <c r="X473" i="8"/>
  <c r="W473" i="8"/>
  <c r="V473" i="8"/>
  <c r="U473" i="8"/>
  <c r="T473" i="8"/>
  <c r="S473" i="8"/>
  <c r="R473" i="8"/>
  <c r="Q473" i="8"/>
  <c r="P473" i="8"/>
  <c r="O473" i="8"/>
  <c r="N473" i="8"/>
  <c r="M473" i="8"/>
  <c r="L473" i="8"/>
  <c r="K473" i="8"/>
  <c r="J473" i="8"/>
  <c r="I473" i="8"/>
  <c r="H473" i="8"/>
  <c r="G473" i="8"/>
  <c r="F473" i="8"/>
  <c r="E473" i="8"/>
  <c r="D473" i="8"/>
  <c r="C473" i="8"/>
  <c r="B473" i="8"/>
  <c r="A473" i="8"/>
  <c r="AC472" i="8"/>
  <c r="AB472" i="8"/>
  <c r="AA472" i="8"/>
  <c r="Z472" i="8"/>
  <c r="Y472" i="8"/>
  <c r="X472" i="8"/>
  <c r="W472" i="8"/>
  <c r="V472" i="8"/>
  <c r="U472" i="8"/>
  <c r="T472" i="8"/>
  <c r="S472" i="8"/>
  <c r="R472" i="8"/>
  <c r="Q472" i="8"/>
  <c r="P472" i="8"/>
  <c r="O472" i="8"/>
  <c r="N472" i="8"/>
  <c r="M472" i="8"/>
  <c r="L472" i="8"/>
  <c r="K472" i="8"/>
  <c r="J472" i="8"/>
  <c r="I472" i="8"/>
  <c r="H472" i="8"/>
  <c r="G472" i="8"/>
  <c r="F472" i="8"/>
  <c r="E472" i="8"/>
  <c r="D472" i="8"/>
  <c r="C472" i="8"/>
  <c r="B472" i="8"/>
  <c r="A472" i="8"/>
  <c r="Z471" i="8"/>
  <c r="U471" i="8"/>
  <c r="T471" i="8"/>
  <c r="S471" i="8"/>
  <c r="R471" i="8"/>
  <c r="Q471" i="8"/>
  <c r="P471" i="8"/>
  <c r="O471" i="8"/>
  <c r="N471" i="8"/>
  <c r="M471" i="8"/>
  <c r="L471" i="8"/>
  <c r="K471" i="8"/>
  <c r="J471" i="8"/>
  <c r="I471" i="8"/>
  <c r="H471" i="8"/>
  <c r="G471" i="8"/>
  <c r="F471" i="8"/>
  <c r="E471" i="8"/>
  <c r="D471" i="8"/>
  <c r="C471" i="8"/>
  <c r="B471" i="8"/>
  <c r="A471" i="8"/>
  <c r="Z470" i="8"/>
  <c r="U470" i="8"/>
  <c r="T470" i="8"/>
  <c r="S470" i="8"/>
  <c r="R470" i="8"/>
  <c r="Q470" i="8"/>
  <c r="P470" i="8"/>
  <c r="O470" i="8"/>
  <c r="N470" i="8"/>
  <c r="M470" i="8"/>
  <c r="L470" i="8"/>
  <c r="K470" i="8"/>
  <c r="J470" i="8"/>
  <c r="I470" i="8"/>
  <c r="H470" i="8"/>
  <c r="G470" i="8"/>
  <c r="F470" i="8"/>
  <c r="E470" i="8"/>
  <c r="D470" i="8"/>
  <c r="C470" i="8"/>
  <c r="B470" i="8"/>
  <c r="A470" i="8"/>
  <c r="Z469" i="8"/>
  <c r="U469" i="8"/>
  <c r="T469" i="8"/>
  <c r="S469" i="8"/>
  <c r="R469" i="8"/>
  <c r="Q469" i="8"/>
  <c r="P469" i="8"/>
  <c r="O469" i="8"/>
  <c r="N469" i="8"/>
  <c r="M469" i="8"/>
  <c r="L469" i="8"/>
  <c r="K469" i="8"/>
  <c r="J469" i="8"/>
  <c r="I469" i="8"/>
  <c r="H469" i="8"/>
  <c r="G469" i="8"/>
  <c r="F469" i="8"/>
  <c r="E469" i="8"/>
  <c r="D469" i="8"/>
  <c r="C469" i="8"/>
  <c r="B469" i="8"/>
  <c r="A469" i="8"/>
  <c r="AB468" i="8"/>
  <c r="Z468" i="8"/>
  <c r="U468" i="8"/>
  <c r="T468" i="8"/>
  <c r="S468" i="8"/>
  <c r="R468" i="8"/>
  <c r="Q468" i="8"/>
  <c r="P468" i="8"/>
  <c r="O468" i="8"/>
  <c r="N468" i="8"/>
  <c r="M468" i="8"/>
  <c r="L468" i="8"/>
  <c r="K468" i="8"/>
  <c r="J468" i="8"/>
  <c r="I468" i="8"/>
  <c r="H468" i="8"/>
  <c r="G468" i="8"/>
  <c r="F468" i="8"/>
  <c r="E468" i="8"/>
  <c r="D468" i="8"/>
  <c r="C468" i="8"/>
  <c r="B468" i="8"/>
  <c r="A468" i="8"/>
  <c r="AB467" i="8"/>
  <c r="Z467" i="8"/>
  <c r="U467" i="8"/>
  <c r="T467" i="8"/>
  <c r="S467" i="8"/>
  <c r="R467" i="8"/>
  <c r="Q467" i="8"/>
  <c r="P467" i="8"/>
  <c r="O467" i="8"/>
  <c r="N467" i="8"/>
  <c r="M467" i="8"/>
  <c r="L467" i="8"/>
  <c r="K467" i="8"/>
  <c r="J467" i="8"/>
  <c r="I467" i="8"/>
  <c r="H467" i="8"/>
  <c r="G467" i="8"/>
  <c r="F467" i="8"/>
  <c r="E467" i="8"/>
  <c r="D467" i="8"/>
  <c r="C467" i="8"/>
  <c r="B467" i="8"/>
  <c r="A467" i="8"/>
  <c r="AC466" i="8"/>
  <c r="AB466" i="8"/>
  <c r="AA466" i="8"/>
  <c r="Z466" i="8"/>
  <c r="Y466" i="8"/>
  <c r="X466" i="8"/>
  <c r="W466" i="8"/>
  <c r="V466" i="8"/>
  <c r="U466" i="8"/>
  <c r="T466" i="8"/>
  <c r="S466" i="8"/>
  <c r="R466" i="8"/>
  <c r="Q466" i="8"/>
  <c r="P466" i="8"/>
  <c r="O466" i="8"/>
  <c r="N466" i="8"/>
  <c r="M466" i="8"/>
  <c r="L466" i="8"/>
  <c r="K466" i="8"/>
  <c r="J466" i="8"/>
  <c r="I466" i="8"/>
  <c r="H466" i="8"/>
  <c r="G466" i="8"/>
  <c r="F466" i="8"/>
  <c r="E466" i="8"/>
  <c r="D466" i="8"/>
  <c r="C466" i="8"/>
  <c r="B466" i="8"/>
  <c r="A466" i="8"/>
  <c r="AB465" i="8"/>
  <c r="Z465" i="8"/>
  <c r="U465" i="8"/>
  <c r="T465" i="8"/>
  <c r="S465" i="8"/>
  <c r="R465" i="8"/>
  <c r="Q465" i="8"/>
  <c r="P465" i="8"/>
  <c r="O465" i="8"/>
  <c r="N465" i="8"/>
  <c r="M465" i="8"/>
  <c r="L465" i="8"/>
  <c r="K465" i="8"/>
  <c r="J465" i="8"/>
  <c r="I465" i="8"/>
  <c r="H465" i="8"/>
  <c r="G465" i="8"/>
  <c r="F465" i="8"/>
  <c r="E465" i="8"/>
  <c r="D465" i="8"/>
  <c r="C465" i="8"/>
  <c r="B465" i="8"/>
  <c r="A465" i="8"/>
  <c r="AB464" i="8"/>
  <c r="Z464" i="8"/>
  <c r="U464" i="8"/>
  <c r="T464" i="8"/>
  <c r="S464" i="8"/>
  <c r="R464" i="8"/>
  <c r="Q464" i="8"/>
  <c r="P464" i="8"/>
  <c r="O464" i="8"/>
  <c r="N464" i="8"/>
  <c r="M464" i="8"/>
  <c r="L464" i="8"/>
  <c r="K464" i="8"/>
  <c r="J464" i="8"/>
  <c r="I464" i="8"/>
  <c r="H464" i="8"/>
  <c r="G464" i="8"/>
  <c r="F464" i="8"/>
  <c r="E464" i="8"/>
  <c r="D464" i="8"/>
  <c r="C464" i="8"/>
  <c r="B464" i="8"/>
  <c r="A464" i="8"/>
  <c r="AC463" i="8"/>
  <c r="AB463" i="8"/>
  <c r="AA463" i="8"/>
  <c r="Z463" i="8"/>
  <c r="Y463" i="8"/>
  <c r="X463" i="8"/>
  <c r="W463" i="8"/>
  <c r="V463" i="8"/>
  <c r="U463" i="8"/>
  <c r="T463" i="8"/>
  <c r="S463" i="8"/>
  <c r="R463" i="8"/>
  <c r="Q463" i="8"/>
  <c r="P463" i="8"/>
  <c r="O463" i="8"/>
  <c r="N463" i="8"/>
  <c r="M463" i="8"/>
  <c r="L463" i="8"/>
  <c r="K463" i="8"/>
  <c r="J463" i="8"/>
  <c r="I463" i="8"/>
  <c r="H463" i="8"/>
  <c r="G463" i="8"/>
  <c r="F463" i="8"/>
  <c r="E463" i="8"/>
  <c r="D463" i="8"/>
  <c r="C463" i="8"/>
  <c r="B463" i="8"/>
  <c r="A463" i="8"/>
  <c r="Z462" i="8"/>
  <c r="U462" i="8"/>
  <c r="T462" i="8"/>
  <c r="S462" i="8"/>
  <c r="R462" i="8"/>
  <c r="Q462" i="8"/>
  <c r="P462" i="8"/>
  <c r="O462" i="8"/>
  <c r="N462" i="8"/>
  <c r="M462" i="8"/>
  <c r="L462" i="8"/>
  <c r="K462" i="8"/>
  <c r="J462" i="8"/>
  <c r="I462" i="8"/>
  <c r="H462" i="8"/>
  <c r="G462" i="8"/>
  <c r="F462" i="8"/>
  <c r="E462" i="8"/>
  <c r="D462" i="8"/>
  <c r="C462" i="8"/>
  <c r="B462" i="8"/>
  <c r="A462" i="8"/>
  <c r="Z461" i="8"/>
  <c r="U461" i="8"/>
  <c r="T461" i="8"/>
  <c r="S461" i="8"/>
  <c r="R461" i="8"/>
  <c r="Q461" i="8"/>
  <c r="P461" i="8"/>
  <c r="O461" i="8"/>
  <c r="N461" i="8"/>
  <c r="M461" i="8"/>
  <c r="L461" i="8"/>
  <c r="K461" i="8"/>
  <c r="J461" i="8"/>
  <c r="I461" i="8"/>
  <c r="H461" i="8"/>
  <c r="G461" i="8"/>
  <c r="F461" i="8"/>
  <c r="E461" i="8"/>
  <c r="D461" i="8"/>
  <c r="C461" i="8"/>
  <c r="B461" i="8"/>
  <c r="A461" i="8"/>
  <c r="Z460" i="8"/>
  <c r="U460" i="8"/>
  <c r="T460" i="8"/>
  <c r="S460" i="8"/>
  <c r="R460" i="8"/>
  <c r="Q460" i="8"/>
  <c r="P460" i="8"/>
  <c r="O460" i="8"/>
  <c r="N460" i="8"/>
  <c r="M460" i="8"/>
  <c r="L460" i="8"/>
  <c r="K460" i="8"/>
  <c r="J460" i="8"/>
  <c r="I460" i="8"/>
  <c r="H460" i="8"/>
  <c r="G460" i="8"/>
  <c r="F460" i="8"/>
  <c r="E460" i="8"/>
  <c r="D460" i="8"/>
  <c r="C460" i="8"/>
  <c r="B460" i="8"/>
  <c r="A460" i="8"/>
  <c r="AC459" i="8"/>
  <c r="AB459" i="8"/>
  <c r="AA459" i="8"/>
  <c r="Z459" i="8"/>
  <c r="Y459" i="8"/>
  <c r="X459" i="8"/>
  <c r="W459" i="8"/>
  <c r="V459" i="8"/>
  <c r="U459" i="8"/>
  <c r="T459" i="8"/>
  <c r="S459" i="8"/>
  <c r="R459" i="8"/>
  <c r="Q459" i="8"/>
  <c r="P459" i="8"/>
  <c r="O459" i="8"/>
  <c r="N459" i="8"/>
  <c r="M459" i="8"/>
  <c r="L459" i="8"/>
  <c r="K459" i="8"/>
  <c r="J459" i="8"/>
  <c r="I459" i="8"/>
  <c r="H459" i="8"/>
  <c r="G459" i="8"/>
  <c r="F459" i="8"/>
  <c r="E459" i="8"/>
  <c r="D459" i="8"/>
  <c r="C459" i="8"/>
  <c r="B459" i="8"/>
  <c r="A459" i="8"/>
  <c r="AC458" i="8"/>
  <c r="AB458" i="8"/>
  <c r="AA458" i="8"/>
  <c r="Z458" i="8"/>
  <c r="Y458" i="8"/>
  <c r="X458" i="8"/>
  <c r="W458" i="8"/>
  <c r="V458" i="8"/>
  <c r="U458" i="8"/>
  <c r="T458" i="8"/>
  <c r="S458" i="8"/>
  <c r="R458" i="8"/>
  <c r="Q458" i="8"/>
  <c r="P458" i="8"/>
  <c r="O458" i="8"/>
  <c r="N458" i="8"/>
  <c r="M458" i="8"/>
  <c r="L458" i="8"/>
  <c r="K458" i="8"/>
  <c r="J458" i="8"/>
  <c r="I458" i="8"/>
  <c r="H458" i="8"/>
  <c r="G458" i="8"/>
  <c r="F458" i="8"/>
  <c r="E458" i="8"/>
  <c r="D458" i="8"/>
  <c r="C458" i="8"/>
  <c r="B458" i="8"/>
  <c r="A458" i="8"/>
  <c r="AC457" i="8"/>
  <c r="AB457" i="8"/>
  <c r="AA457" i="8"/>
  <c r="Z457" i="8"/>
  <c r="Y457" i="8"/>
  <c r="X457" i="8"/>
  <c r="W457" i="8"/>
  <c r="V457" i="8"/>
  <c r="U457" i="8"/>
  <c r="T457" i="8"/>
  <c r="S457" i="8"/>
  <c r="R457" i="8"/>
  <c r="Q457" i="8"/>
  <c r="P457" i="8"/>
  <c r="O457" i="8"/>
  <c r="N457" i="8"/>
  <c r="M457" i="8"/>
  <c r="L457" i="8"/>
  <c r="K457" i="8"/>
  <c r="J457" i="8"/>
  <c r="I457" i="8"/>
  <c r="H457" i="8"/>
  <c r="G457" i="8"/>
  <c r="F457" i="8"/>
  <c r="E457" i="8"/>
  <c r="D457" i="8"/>
  <c r="C457" i="8"/>
  <c r="B457" i="8"/>
  <c r="A457" i="8"/>
  <c r="AB456" i="8"/>
  <c r="Z456" i="8"/>
  <c r="X456" i="8"/>
  <c r="W456" i="8"/>
  <c r="U456" i="8"/>
  <c r="T456" i="8"/>
  <c r="S456" i="8"/>
  <c r="R456" i="8"/>
  <c r="Q456" i="8"/>
  <c r="P456" i="8"/>
  <c r="O456" i="8"/>
  <c r="N456" i="8"/>
  <c r="M456" i="8"/>
  <c r="L456" i="8"/>
  <c r="K456" i="8"/>
  <c r="J456" i="8"/>
  <c r="I456" i="8"/>
  <c r="H456" i="8"/>
  <c r="G456" i="8"/>
  <c r="F456" i="8"/>
  <c r="E456" i="8"/>
  <c r="D456" i="8"/>
  <c r="C456" i="8"/>
  <c r="B456" i="8"/>
  <c r="A456" i="8"/>
  <c r="AC455" i="8"/>
  <c r="AB455" i="8"/>
  <c r="Z455" i="8"/>
  <c r="X455" i="8"/>
  <c r="U455" i="8"/>
  <c r="T455" i="8"/>
  <c r="S455" i="8"/>
  <c r="R455" i="8"/>
  <c r="Q455" i="8"/>
  <c r="P455" i="8"/>
  <c r="O455" i="8"/>
  <c r="N455" i="8"/>
  <c r="M455" i="8"/>
  <c r="L455" i="8"/>
  <c r="K455" i="8"/>
  <c r="J455" i="8"/>
  <c r="I455" i="8"/>
  <c r="H455" i="8"/>
  <c r="G455" i="8"/>
  <c r="F455" i="8"/>
  <c r="E455" i="8"/>
  <c r="D455" i="8"/>
  <c r="C455" i="8"/>
  <c r="B455" i="8"/>
  <c r="A455" i="8"/>
  <c r="AC454" i="8"/>
  <c r="AB454" i="8"/>
  <c r="AA454" i="8"/>
  <c r="Z454" i="8"/>
  <c r="Y454" i="8"/>
  <c r="X454" i="8"/>
  <c r="W454" i="8"/>
  <c r="V454" i="8"/>
  <c r="U454" i="8"/>
  <c r="T454" i="8"/>
  <c r="S454" i="8"/>
  <c r="R454" i="8"/>
  <c r="Q454" i="8"/>
  <c r="P454" i="8"/>
  <c r="O454" i="8"/>
  <c r="N454" i="8"/>
  <c r="M454" i="8"/>
  <c r="L454" i="8"/>
  <c r="K454" i="8"/>
  <c r="J454" i="8"/>
  <c r="I454" i="8"/>
  <c r="H454" i="8"/>
  <c r="G454" i="8"/>
  <c r="F454" i="8"/>
  <c r="E454" i="8"/>
  <c r="D454" i="8"/>
  <c r="C454" i="8"/>
  <c r="B454" i="8"/>
  <c r="A454" i="8"/>
  <c r="AC453" i="8"/>
  <c r="AB453" i="8"/>
  <c r="AA453" i="8"/>
  <c r="Z453" i="8"/>
  <c r="Y453" i="8"/>
  <c r="X453" i="8"/>
  <c r="W453" i="8"/>
  <c r="V453" i="8"/>
  <c r="U453" i="8"/>
  <c r="T453" i="8"/>
  <c r="S453" i="8"/>
  <c r="R453" i="8"/>
  <c r="Q453" i="8"/>
  <c r="P453" i="8"/>
  <c r="O453" i="8"/>
  <c r="N453" i="8"/>
  <c r="M453" i="8"/>
  <c r="L453" i="8"/>
  <c r="K453" i="8"/>
  <c r="J453" i="8"/>
  <c r="I453" i="8"/>
  <c r="H453" i="8"/>
  <c r="G453" i="8"/>
  <c r="F453" i="8"/>
  <c r="E453" i="8"/>
  <c r="D453" i="8"/>
  <c r="C453" i="8"/>
  <c r="B453" i="8"/>
  <c r="A453" i="8"/>
  <c r="AC452" i="8"/>
  <c r="AB452" i="8"/>
  <c r="Z452" i="8"/>
  <c r="X452" i="8"/>
  <c r="U452" i="8"/>
  <c r="T452" i="8"/>
  <c r="S452" i="8"/>
  <c r="R452" i="8"/>
  <c r="Q452" i="8"/>
  <c r="P452" i="8"/>
  <c r="O452" i="8"/>
  <c r="N452" i="8"/>
  <c r="M452" i="8"/>
  <c r="L452" i="8"/>
  <c r="K452" i="8"/>
  <c r="J452" i="8"/>
  <c r="I452" i="8"/>
  <c r="H452" i="8"/>
  <c r="G452" i="8"/>
  <c r="F452" i="8"/>
  <c r="E452" i="8"/>
  <c r="D452" i="8"/>
  <c r="C452" i="8"/>
  <c r="B452" i="8"/>
  <c r="A452" i="8"/>
  <c r="AC451" i="8"/>
  <c r="AB451" i="8"/>
  <c r="Z451" i="8"/>
  <c r="X451" i="8"/>
  <c r="U451" i="8"/>
  <c r="T451" i="8"/>
  <c r="S451" i="8"/>
  <c r="R451" i="8"/>
  <c r="Q451" i="8"/>
  <c r="P451" i="8"/>
  <c r="O451" i="8"/>
  <c r="N451" i="8"/>
  <c r="M451" i="8"/>
  <c r="L451" i="8"/>
  <c r="K451" i="8"/>
  <c r="J451" i="8"/>
  <c r="I451" i="8"/>
  <c r="H451" i="8"/>
  <c r="G451" i="8"/>
  <c r="F451" i="8"/>
  <c r="E451" i="8"/>
  <c r="D451" i="8"/>
  <c r="C451" i="8"/>
  <c r="B451" i="8"/>
  <c r="A451" i="8"/>
  <c r="AC450" i="8"/>
  <c r="AB450" i="8"/>
  <c r="Z450" i="8"/>
  <c r="X450" i="8"/>
  <c r="U450" i="8"/>
  <c r="T450" i="8"/>
  <c r="S450" i="8"/>
  <c r="R450" i="8"/>
  <c r="Q450" i="8"/>
  <c r="P450" i="8"/>
  <c r="O450" i="8"/>
  <c r="N450" i="8"/>
  <c r="M450" i="8"/>
  <c r="L450" i="8"/>
  <c r="K450" i="8"/>
  <c r="J450" i="8"/>
  <c r="I450" i="8"/>
  <c r="H450" i="8"/>
  <c r="G450" i="8"/>
  <c r="F450" i="8"/>
  <c r="E450" i="8"/>
  <c r="D450" i="8"/>
  <c r="C450" i="8"/>
  <c r="B450" i="8"/>
  <c r="A450" i="8"/>
  <c r="AC449" i="8"/>
  <c r="AB449" i="8"/>
  <c r="Z449" i="8"/>
  <c r="X449" i="8"/>
  <c r="U449" i="8"/>
  <c r="T449" i="8"/>
  <c r="S449" i="8"/>
  <c r="R449" i="8"/>
  <c r="Q449" i="8"/>
  <c r="P449" i="8"/>
  <c r="O449" i="8"/>
  <c r="N449" i="8"/>
  <c r="M449" i="8"/>
  <c r="L449" i="8"/>
  <c r="K449" i="8"/>
  <c r="J449" i="8"/>
  <c r="I449" i="8"/>
  <c r="H449" i="8"/>
  <c r="G449" i="8"/>
  <c r="F449" i="8"/>
  <c r="E449" i="8"/>
  <c r="D449" i="8"/>
  <c r="C449" i="8"/>
  <c r="B449" i="8"/>
  <c r="A449" i="8"/>
  <c r="AC448" i="8"/>
  <c r="AB448" i="8"/>
  <c r="Z448" i="8"/>
  <c r="X448" i="8"/>
  <c r="U448" i="8"/>
  <c r="T448" i="8"/>
  <c r="S448" i="8"/>
  <c r="R448" i="8"/>
  <c r="Q448" i="8"/>
  <c r="P448" i="8"/>
  <c r="O448" i="8"/>
  <c r="N448" i="8"/>
  <c r="M448" i="8"/>
  <c r="L448" i="8"/>
  <c r="K448" i="8"/>
  <c r="J448" i="8"/>
  <c r="I448" i="8"/>
  <c r="H448" i="8"/>
  <c r="G448" i="8"/>
  <c r="F448" i="8"/>
  <c r="E448" i="8"/>
  <c r="D448" i="8"/>
  <c r="C448" i="8"/>
  <c r="B448" i="8"/>
  <c r="A448" i="8"/>
  <c r="AC447" i="8"/>
  <c r="AB447" i="8"/>
  <c r="X447" i="8"/>
  <c r="Q447" i="8"/>
  <c r="O447" i="8"/>
  <c r="N447" i="8"/>
  <c r="M447" i="8"/>
  <c r="L447" i="8"/>
  <c r="K447" i="8"/>
  <c r="E447" i="8"/>
  <c r="D447" i="8"/>
  <c r="C447" i="8"/>
  <c r="B447" i="8"/>
  <c r="A447" i="8"/>
  <c r="AC446" i="8"/>
  <c r="AB446" i="8"/>
  <c r="X446" i="8"/>
  <c r="Q446" i="8"/>
  <c r="O446" i="8"/>
  <c r="N446" i="8"/>
  <c r="M446" i="8"/>
  <c r="L446" i="8"/>
  <c r="K446" i="8"/>
  <c r="E446" i="8"/>
  <c r="D446" i="8"/>
  <c r="C446" i="8"/>
  <c r="B446" i="8"/>
  <c r="A446" i="8"/>
  <c r="AC445" i="8"/>
  <c r="AB445" i="8"/>
  <c r="X445" i="8"/>
  <c r="Q445" i="8"/>
  <c r="O445" i="8"/>
  <c r="N445" i="8"/>
  <c r="M445" i="8"/>
  <c r="L445" i="8"/>
  <c r="K445" i="8"/>
  <c r="E445" i="8"/>
  <c r="D445" i="8"/>
  <c r="C445" i="8"/>
  <c r="B445" i="8"/>
  <c r="A445" i="8"/>
  <c r="AC444" i="8"/>
  <c r="AB444" i="8"/>
  <c r="X444" i="8"/>
  <c r="Q444" i="8"/>
  <c r="O444" i="8"/>
  <c r="N444" i="8"/>
  <c r="M444" i="8"/>
  <c r="L444" i="8"/>
  <c r="K444" i="8"/>
  <c r="E444" i="8"/>
  <c r="D444" i="8"/>
  <c r="C444" i="8"/>
  <c r="B444" i="8"/>
  <c r="A444" i="8"/>
  <c r="AC443" i="8"/>
  <c r="AB443" i="8"/>
  <c r="Z443" i="8"/>
  <c r="X443" i="8"/>
  <c r="U443" i="8"/>
  <c r="T443" i="8"/>
  <c r="S443" i="8"/>
  <c r="R443" i="8"/>
  <c r="Q443" i="8"/>
  <c r="P443" i="8"/>
  <c r="O443" i="8"/>
  <c r="N443" i="8"/>
  <c r="M443" i="8"/>
  <c r="L443" i="8"/>
  <c r="K443" i="8"/>
  <c r="J443" i="8"/>
  <c r="I443" i="8"/>
  <c r="H443" i="8"/>
  <c r="G443" i="8"/>
  <c r="F443" i="8"/>
  <c r="E443" i="8"/>
  <c r="D443" i="8"/>
  <c r="C443" i="8"/>
  <c r="B443" i="8"/>
  <c r="A443" i="8"/>
  <c r="C442" i="8"/>
  <c r="B442" i="8"/>
  <c r="A442" i="8"/>
  <c r="AC441" i="8"/>
  <c r="AB441" i="8"/>
  <c r="Z441" i="8"/>
  <c r="X441" i="8"/>
  <c r="U441" i="8"/>
  <c r="T441" i="8"/>
  <c r="S441" i="8"/>
  <c r="R441" i="8"/>
  <c r="Q441" i="8"/>
  <c r="P441" i="8"/>
  <c r="O441" i="8"/>
  <c r="N441" i="8"/>
  <c r="M441" i="8"/>
  <c r="L441" i="8"/>
  <c r="K441" i="8"/>
  <c r="J441" i="8"/>
  <c r="I441" i="8"/>
  <c r="H441" i="8"/>
  <c r="G441" i="8"/>
  <c r="F441" i="8"/>
  <c r="E441" i="8"/>
  <c r="D441" i="8"/>
  <c r="C441" i="8"/>
  <c r="B441" i="8"/>
  <c r="A441" i="8"/>
  <c r="Z440" i="8"/>
  <c r="U440" i="8"/>
  <c r="T440" i="8"/>
  <c r="S440" i="8"/>
  <c r="R440" i="8"/>
  <c r="Q440" i="8"/>
  <c r="P440" i="8"/>
  <c r="O440" i="8"/>
  <c r="N440" i="8"/>
  <c r="M440" i="8"/>
  <c r="L440" i="8"/>
  <c r="K440" i="8"/>
  <c r="J440" i="8"/>
  <c r="I440" i="8"/>
  <c r="H440" i="8"/>
  <c r="G440" i="8"/>
  <c r="F440" i="8"/>
  <c r="E440" i="8"/>
  <c r="D440" i="8"/>
  <c r="C440" i="8"/>
  <c r="B440" i="8"/>
  <c r="A440" i="8"/>
  <c r="AC439" i="8"/>
  <c r="AB439" i="8"/>
  <c r="Z439" i="8"/>
  <c r="X439" i="8"/>
  <c r="U439" i="8"/>
  <c r="T439" i="8"/>
  <c r="S439" i="8"/>
  <c r="R439" i="8"/>
  <c r="Q439" i="8"/>
  <c r="P439" i="8"/>
  <c r="O439" i="8"/>
  <c r="N439" i="8"/>
  <c r="M439" i="8"/>
  <c r="L439" i="8"/>
  <c r="K439" i="8"/>
  <c r="J439" i="8"/>
  <c r="I439" i="8"/>
  <c r="H439" i="8"/>
  <c r="G439" i="8"/>
  <c r="F439" i="8"/>
  <c r="E439" i="8"/>
  <c r="D439" i="8"/>
  <c r="C439" i="8"/>
  <c r="B439" i="8"/>
  <c r="A439" i="8"/>
  <c r="AC438" i="8"/>
  <c r="AB438" i="8"/>
  <c r="Z438" i="8"/>
  <c r="X438" i="8"/>
  <c r="U438" i="8"/>
  <c r="T438" i="8"/>
  <c r="S438" i="8"/>
  <c r="R438" i="8"/>
  <c r="Q438" i="8"/>
  <c r="P438" i="8"/>
  <c r="O438" i="8"/>
  <c r="N438" i="8"/>
  <c r="M438" i="8"/>
  <c r="L438" i="8"/>
  <c r="K438" i="8"/>
  <c r="J438" i="8"/>
  <c r="I438" i="8"/>
  <c r="H438" i="8"/>
  <c r="G438" i="8"/>
  <c r="F438" i="8"/>
  <c r="E438" i="8"/>
  <c r="D438" i="8"/>
  <c r="C438" i="8"/>
  <c r="B438" i="8"/>
  <c r="A438" i="8"/>
  <c r="Z437" i="8"/>
  <c r="U437" i="8"/>
  <c r="T437" i="8"/>
  <c r="S437" i="8"/>
  <c r="R437" i="8"/>
  <c r="Q437" i="8"/>
  <c r="P437" i="8"/>
  <c r="O437" i="8"/>
  <c r="N437" i="8"/>
  <c r="M437" i="8"/>
  <c r="L437" i="8"/>
  <c r="K437" i="8"/>
  <c r="J437" i="8"/>
  <c r="I437" i="8"/>
  <c r="H437" i="8"/>
  <c r="G437" i="8"/>
  <c r="F437" i="8"/>
  <c r="E437" i="8"/>
  <c r="D437" i="8"/>
  <c r="C437" i="8"/>
  <c r="B437" i="8"/>
  <c r="A437" i="8"/>
  <c r="Z436" i="8"/>
  <c r="U436" i="8"/>
  <c r="T436" i="8"/>
  <c r="S436" i="8"/>
  <c r="R436" i="8"/>
  <c r="Q436" i="8"/>
  <c r="P436" i="8"/>
  <c r="O436" i="8"/>
  <c r="N436" i="8"/>
  <c r="M436" i="8"/>
  <c r="L436" i="8"/>
  <c r="K436" i="8"/>
  <c r="J436" i="8"/>
  <c r="I436" i="8"/>
  <c r="H436" i="8"/>
  <c r="G436" i="8"/>
  <c r="F436" i="8"/>
  <c r="E436" i="8"/>
  <c r="D436" i="8"/>
  <c r="C436" i="8"/>
  <c r="B436" i="8"/>
  <c r="A436" i="8"/>
  <c r="Z435" i="8"/>
  <c r="U435" i="8"/>
  <c r="T435" i="8"/>
  <c r="S435" i="8"/>
  <c r="R435" i="8"/>
  <c r="Q435" i="8"/>
  <c r="P435" i="8"/>
  <c r="O435" i="8"/>
  <c r="N435" i="8"/>
  <c r="M435" i="8"/>
  <c r="L435" i="8"/>
  <c r="K435" i="8"/>
  <c r="J435" i="8"/>
  <c r="I435" i="8"/>
  <c r="H435" i="8"/>
  <c r="G435" i="8"/>
  <c r="F435" i="8"/>
  <c r="E435" i="8"/>
  <c r="D435" i="8"/>
  <c r="C435" i="8"/>
  <c r="B435" i="8"/>
  <c r="A435" i="8"/>
  <c r="AB434" i="8"/>
  <c r="Z434" i="8"/>
  <c r="W434" i="8"/>
  <c r="U434" i="8"/>
  <c r="T434" i="8"/>
  <c r="S434" i="8"/>
  <c r="R434" i="8"/>
  <c r="Q434" i="8"/>
  <c r="P434" i="8"/>
  <c r="O434" i="8"/>
  <c r="N434" i="8"/>
  <c r="M434" i="8"/>
  <c r="L434" i="8"/>
  <c r="K434" i="8"/>
  <c r="J434" i="8"/>
  <c r="I434" i="8"/>
  <c r="H434" i="8"/>
  <c r="G434" i="8"/>
  <c r="F434" i="8"/>
  <c r="E434" i="8"/>
  <c r="D434" i="8"/>
  <c r="C434" i="8"/>
  <c r="B434" i="8"/>
  <c r="A434" i="8"/>
  <c r="AB433" i="8"/>
  <c r="Z433" i="8"/>
  <c r="W433" i="8"/>
  <c r="U433" i="8"/>
  <c r="T433" i="8"/>
  <c r="S433" i="8"/>
  <c r="R433" i="8"/>
  <c r="Q433" i="8"/>
  <c r="P433" i="8"/>
  <c r="O433" i="8"/>
  <c r="N433" i="8"/>
  <c r="M433" i="8"/>
  <c r="L433" i="8"/>
  <c r="K433" i="8"/>
  <c r="J433" i="8"/>
  <c r="I433" i="8"/>
  <c r="H433" i="8"/>
  <c r="G433" i="8"/>
  <c r="F433" i="8"/>
  <c r="E433" i="8"/>
  <c r="D433" i="8"/>
  <c r="C433" i="8"/>
  <c r="B433" i="8"/>
  <c r="A433" i="8"/>
  <c r="AB432" i="8"/>
  <c r="Z432" i="8"/>
  <c r="X432" i="8"/>
  <c r="U432" i="8"/>
  <c r="T432" i="8"/>
  <c r="S432" i="8"/>
  <c r="R432" i="8"/>
  <c r="Q432" i="8"/>
  <c r="P432" i="8"/>
  <c r="O432" i="8"/>
  <c r="N432" i="8"/>
  <c r="M432" i="8"/>
  <c r="L432" i="8"/>
  <c r="K432" i="8"/>
  <c r="J432" i="8"/>
  <c r="I432" i="8"/>
  <c r="H432" i="8"/>
  <c r="G432" i="8"/>
  <c r="F432" i="8"/>
  <c r="E432" i="8"/>
  <c r="D432" i="8"/>
  <c r="C432" i="8"/>
  <c r="B432" i="8"/>
  <c r="A432"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B431" i="8"/>
  <c r="A431"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B430" i="8"/>
  <c r="A430" i="8"/>
  <c r="Z429" i="8"/>
  <c r="U429" i="8"/>
  <c r="T429" i="8"/>
  <c r="S429" i="8"/>
  <c r="R429" i="8"/>
  <c r="Q429" i="8"/>
  <c r="P429" i="8"/>
  <c r="O429" i="8"/>
  <c r="N429" i="8"/>
  <c r="M429" i="8"/>
  <c r="L429" i="8"/>
  <c r="K429" i="8"/>
  <c r="J429" i="8"/>
  <c r="I429" i="8"/>
  <c r="H429" i="8"/>
  <c r="G429" i="8"/>
  <c r="F429" i="8"/>
  <c r="E429" i="8"/>
  <c r="D429" i="8"/>
  <c r="C429" i="8"/>
  <c r="B429" i="8"/>
  <c r="A429"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B428" i="8"/>
  <c r="A428" i="8"/>
  <c r="AC427" i="8"/>
  <c r="AB427" i="8"/>
  <c r="Z427" i="8"/>
  <c r="X427" i="8"/>
  <c r="U427" i="8"/>
  <c r="T427" i="8"/>
  <c r="S427" i="8"/>
  <c r="R427" i="8"/>
  <c r="Q427" i="8"/>
  <c r="P427" i="8"/>
  <c r="O427" i="8"/>
  <c r="N427" i="8"/>
  <c r="M427" i="8"/>
  <c r="L427" i="8"/>
  <c r="K427" i="8"/>
  <c r="J427" i="8"/>
  <c r="I427" i="8"/>
  <c r="H427" i="8"/>
  <c r="G427" i="8"/>
  <c r="F427" i="8"/>
  <c r="E427" i="8"/>
  <c r="D427" i="8"/>
  <c r="C427" i="8"/>
  <c r="B427" i="8"/>
  <c r="A427" i="8"/>
  <c r="C426" i="8"/>
  <c r="B426" i="8"/>
  <c r="A426"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B425" i="8"/>
  <c r="A425"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B424" i="8"/>
  <c r="A424"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B423" i="8"/>
  <c r="A423" i="8"/>
  <c r="AC422" i="8"/>
  <c r="AB422" i="8"/>
  <c r="Z422" i="8"/>
  <c r="X422" i="8"/>
  <c r="U422" i="8"/>
  <c r="T422" i="8"/>
  <c r="S422" i="8"/>
  <c r="R422" i="8"/>
  <c r="Q422" i="8"/>
  <c r="P422" i="8"/>
  <c r="O422" i="8"/>
  <c r="N422" i="8"/>
  <c r="M422" i="8"/>
  <c r="L422" i="8"/>
  <c r="K422" i="8"/>
  <c r="J422" i="8"/>
  <c r="I422" i="8"/>
  <c r="H422" i="8"/>
  <c r="G422" i="8"/>
  <c r="F422" i="8"/>
  <c r="E422" i="8"/>
  <c r="D422" i="8"/>
  <c r="C422" i="8"/>
  <c r="B422" i="8"/>
  <c r="A422" i="8"/>
  <c r="Z421" i="8"/>
  <c r="U421" i="8"/>
  <c r="T421" i="8"/>
  <c r="S421" i="8"/>
  <c r="R421" i="8"/>
  <c r="Q421" i="8"/>
  <c r="P421" i="8"/>
  <c r="O421" i="8"/>
  <c r="N421" i="8"/>
  <c r="M421" i="8"/>
  <c r="L421" i="8"/>
  <c r="K421" i="8"/>
  <c r="J421" i="8"/>
  <c r="I421" i="8"/>
  <c r="H421" i="8"/>
  <c r="G421" i="8"/>
  <c r="F421" i="8"/>
  <c r="E421" i="8"/>
  <c r="D421" i="8"/>
  <c r="C421" i="8"/>
  <c r="B421" i="8"/>
  <c r="A421"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B420" i="8"/>
  <c r="A420" i="8"/>
  <c r="AC419" i="8"/>
  <c r="AB419" i="8"/>
  <c r="Z419" i="8"/>
  <c r="X419" i="8"/>
  <c r="U419" i="8"/>
  <c r="T419" i="8"/>
  <c r="S419" i="8"/>
  <c r="R419" i="8"/>
  <c r="Q419" i="8"/>
  <c r="P419" i="8"/>
  <c r="O419" i="8"/>
  <c r="N419" i="8"/>
  <c r="M419" i="8"/>
  <c r="L419" i="8"/>
  <c r="K419" i="8"/>
  <c r="J419" i="8"/>
  <c r="I419" i="8"/>
  <c r="H419" i="8"/>
  <c r="G419" i="8"/>
  <c r="F419" i="8"/>
  <c r="E419" i="8"/>
  <c r="D419" i="8"/>
  <c r="C419" i="8"/>
  <c r="B419" i="8"/>
  <c r="A419" i="8"/>
  <c r="AC418" i="8"/>
  <c r="AB418" i="8"/>
  <c r="Z418" i="8"/>
  <c r="X418" i="8"/>
  <c r="U418" i="8"/>
  <c r="T418" i="8"/>
  <c r="S418" i="8"/>
  <c r="R418" i="8"/>
  <c r="Q418" i="8"/>
  <c r="P418" i="8"/>
  <c r="O418" i="8"/>
  <c r="N418" i="8"/>
  <c r="M418" i="8"/>
  <c r="L418" i="8"/>
  <c r="K418" i="8"/>
  <c r="J418" i="8"/>
  <c r="I418" i="8"/>
  <c r="H418" i="8"/>
  <c r="G418" i="8"/>
  <c r="F418" i="8"/>
  <c r="E418" i="8"/>
  <c r="D418" i="8"/>
  <c r="C418" i="8"/>
  <c r="B418" i="8"/>
  <c r="A418" i="8"/>
  <c r="Z417" i="8"/>
  <c r="U417" i="8"/>
  <c r="T417" i="8"/>
  <c r="S417" i="8"/>
  <c r="R417" i="8"/>
  <c r="Q417" i="8"/>
  <c r="P417" i="8"/>
  <c r="O417" i="8"/>
  <c r="N417" i="8"/>
  <c r="M417" i="8"/>
  <c r="L417" i="8"/>
  <c r="K417" i="8"/>
  <c r="J417" i="8"/>
  <c r="I417" i="8"/>
  <c r="H417" i="8"/>
  <c r="G417" i="8"/>
  <c r="F417" i="8"/>
  <c r="E417" i="8"/>
  <c r="D417" i="8"/>
  <c r="C417" i="8"/>
  <c r="B417" i="8"/>
  <c r="A417"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B416" i="8"/>
  <c r="A416"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B415" i="8"/>
  <c r="A415" i="8"/>
  <c r="AC414" i="8"/>
  <c r="AB414" i="8"/>
  <c r="Z414" i="8"/>
  <c r="X414" i="8"/>
  <c r="U414" i="8"/>
  <c r="T414" i="8"/>
  <c r="S414" i="8"/>
  <c r="R414" i="8"/>
  <c r="Q414" i="8"/>
  <c r="P414" i="8"/>
  <c r="O414" i="8"/>
  <c r="N414" i="8"/>
  <c r="M414" i="8"/>
  <c r="L414" i="8"/>
  <c r="K414" i="8"/>
  <c r="J414" i="8"/>
  <c r="I414" i="8"/>
  <c r="H414" i="8"/>
  <c r="G414" i="8"/>
  <c r="F414" i="8"/>
  <c r="E414" i="8"/>
  <c r="D414" i="8"/>
  <c r="C414" i="8"/>
  <c r="B414" i="8"/>
  <c r="A414" i="8"/>
  <c r="Z413" i="8"/>
  <c r="U413" i="8"/>
  <c r="T413" i="8"/>
  <c r="S413" i="8"/>
  <c r="R413" i="8"/>
  <c r="Q413" i="8"/>
  <c r="P413" i="8"/>
  <c r="O413" i="8"/>
  <c r="N413" i="8"/>
  <c r="M413" i="8"/>
  <c r="L413" i="8"/>
  <c r="K413" i="8"/>
  <c r="J413" i="8"/>
  <c r="I413" i="8"/>
  <c r="H413" i="8"/>
  <c r="G413" i="8"/>
  <c r="F413" i="8"/>
  <c r="E413" i="8"/>
  <c r="D413" i="8"/>
  <c r="C413" i="8"/>
  <c r="B413" i="8"/>
  <c r="A413"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B412" i="8"/>
  <c r="A412"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B411" i="8"/>
  <c r="A411" i="8"/>
  <c r="AC410" i="8"/>
  <c r="AB410" i="8"/>
  <c r="Z410" i="8"/>
  <c r="X410" i="8"/>
  <c r="U410" i="8"/>
  <c r="T410" i="8"/>
  <c r="S410" i="8"/>
  <c r="R410" i="8"/>
  <c r="Q410" i="8"/>
  <c r="P410" i="8"/>
  <c r="O410" i="8"/>
  <c r="N410" i="8"/>
  <c r="M410" i="8"/>
  <c r="L410" i="8"/>
  <c r="K410" i="8"/>
  <c r="J410" i="8"/>
  <c r="I410" i="8"/>
  <c r="H410" i="8"/>
  <c r="G410" i="8"/>
  <c r="F410" i="8"/>
  <c r="E410" i="8"/>
  <c r="D410" i="8"/>
  <c r="C410" i="8"/>
  <c r="B410" i="8"/>
  <c r="A410" i="8"/>
  <c r="Z409" i="8"/>
  <c r="U409" i="8"/>
  <c r="T409" i="8"/>
  <c r="S409" i="8"/>
  <c r="R409" i="8"/>
  <c r="Q409" i="8"/>
  <c r="P409" i="8"/>
  <c r="O409" i="8"/>
  <c r="N409" i="8"/>
  <c r="M409" i="8"/>
  <c r="L409" i="8"/>
  <c r="K409" i="8"/>
  <c r="J409" i="8"/>
  <c r="I409" i="8"/>
  <c r="H409" i="8"/>
  <c r="G409" i="8"/>
  <c r="F409" i="8"/>
  <c r="E409" i="8"/>
  <c r="D409" i="8"/>
  <c r="C409" i="8"/>
  <c r="B409" i="8"/>
  <c r="A409"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B408" i="8"/>
  <c r="A408" i="8"/>
  <c r="AC407" i="8"/>
  <c r="AB407" i="8"/>
  <c r="Z407" i="8"/>
  <c r="X407" i="8"/>
  <c r="U407" i="8"/>
  <c r="T407" i="8"/>
  <c r="S407" i="8"/>
  <c r="R407" i="8"/>
  <c r="Q407" i="8"/>
  <c r="P407" i="8"/>
  <c r="O407" i="8"/>
  <c r="N407" i="8"/>
  <c r="M407" i="8"/>
  <c r="L407" i="8"/>
  <c r="K407" i="8"/>
  <c r="J407" i="8"/>
  <c r="I407" i="8"/>
  <c r="H407" i="8"/>
  <c r="G407" i="8"/>
  <c r="F407" i="8"/>
  <c r="E407" i="8"/>
  <c r="D407" i="8"/>
  <c r="C407" i="8"/>
  <c r="B407" i="8"/>
  <c r="A407" i="8"/>
  <c r="Z406" i="8"/>
  <c r="U406" i="8"/>
  <c r="T406" i="8"/>
  <c r="S406" i="8"/>
  <c r="R406" i="8"/>
  <c r="Q406" i="8"/>
  <c r="P406" i="8"/>
  <c r="O406" i="8"/>
  <c r="N406" i="8"/>
  <c r="M406" i="8"/>
  <c r="L406" i="8"/>
  <c r="K406" i="8"/>
  <c r="J406" i="8"/>
  <c r="I406" i="8"/>
  <c r="H406" i="8"/>
  <c r="G406" i="8"/>
  <c r="F406" i="8"/>
  <c r="E406" i="8"/>
  <c r="D406" i="8"/>
  <c r="C406" i="8"/>
  <c r="B406" i="8"/>
  <c r="A406"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B405" i="8"/>
  <c r="A405" i="8"/>
  <c r="Z404" i="8"/>
  <c r="U404" i="8"/>
  <c r="T404" i="8"/>
  <c r="S404" i="8"/>
  <c r="R404" i="8"/>
  <c r="Q404" i="8"/>
  <c r="P404" i="8"/>
  <c r="O404" i="8"/>
  <c r="N404" i="8"/>
  <c r="M404" i="8"/>
  <c r="L404" i="8"/>
  <c r="K404" i="8"/>
  <c r="J404" i="8"/>
  <c r="I404" i="8"/>
  <c r="H404" i="8"/>
  <c r="G404" i="8"/>
  <c r="F404" i="8"/>
  <c r="E404" i="8"/>
  <c r="D404" i="8"/>
  <c r="C404" i="8"/>
  <c r="B404" i="8"/>
  <c r="A404" i="8"/>
  <c r="AB403" i="8"/>
  <c r="Z403" i="8"/>
  <c r="U403" i="8"/>
  <c r="T403" i="8"/>
  <c r="S403" i="8"/>
  <c r="R403" i="8"/>
  <c r="Q403" i="8"/>
  <c r="P403" i="8"/>
  <c r="O403" i="8"/>
  <c r="N403" i="8"/>
  <c r="M403" i="8"/>
  <c r="L403" i="8"/>
  <c r="K403" i="8"/>
  <c r="J403" i="8"/>
  <c r="I403" i="8"/>
  <c r="H403" i="8"/>
  <c r="G403" i="8"/>
  <c r="F403" i="8"/>
  <c r="E403" i="8"/>
  <c r="D403" i="8"/>
  <c r="C403" i="8"/>
  <c r="B403" i="8"/>
  <c r="A403" i="8"/>
  <c r="AB402" i="8"/>
  <c r="Z402" i="8"/>
  <c r="Y402" i="8"/>
  <c r="W402" i="8"/>
  <c r="V402" i="8"/>
  <c r="U402" i="8"/>
  <c r="T402" i="8"/>
  <c r="S402" i="8"/>
  <c r="R402" i="8"/>
  <c r="Q402" i="8"/>
  <c r="P402" i="8"/>
  <c r="O402" i="8"/>
  <c r="N402" i="8"/>
  <c r="M402" i="8"/>
  <c r="L402" i="8"/>
  <c r="K402" i="8"/>
  <c r="J402" i="8"/>
  <c r="I402" i="8"/>
  <c r="H402" i="8"/>
  <c r="G402" i="8"/>
  <c r="F402" i="8"/>
  <c r="E402" i="8"/>
  <c r="D402" i="8"/>
  <c r="C402" i="8"/>
  <c r="B402" i="8"/>
  <c r="A402" i="8"/>
  <c r="AB401" i="8"/>
  <c r="Z401" i="8"/>
  <c r="U401" i="8"/>
  <c r="T401" i="8"/>
  <c r="S401" i="8"/>
  <c r="R401" i="8"/>
  <c r="Q401" i="8"/>
  <c r="P401" i="8"/>
  <c r="O401" i="8"/>
  <c r="N401" i="8"/>
  <c r="M401" i="8"/>
  <c r="L401" i="8"/>
  <c r="K401" i="8"/>
  <c r="J401" i="8"/>
  <c r="I401" i="8"/>
  <c r="H401" i="8"/>
  <c r="G401" i="8"/>
  <c r="F401" i="8"/>
  <c r="E401" i="8"/>
  <c r="D401" i="8"/>
  <c r="C401" i="8"/>
  <c r="B401" i="8"/>
  <c r="A401"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B400" i="8"/>
  <c r="A400"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B399" i="8"/>
  <c r="A399"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B398" i="8"/>
  <c r="A398"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B397" i="8"/>
  <c r="A397" i="8"/>
  <c r="Z396" i="8"/>
  <c r="U396" i="8"/>
  <c r="T396" i="8"/>
  <c r="S396" i="8"/>
  <c r="R396" i="8"/>
  <c r="Q396" i="8"/>
  <c r="P396" i="8"/>
  <c r="O396" i="8"/>
  <c r="N396" i="8"/>
  <c r="M396" i="8"/>
  <c r="L396" i="8"/>
  <c r="K396" i="8"/>
  <c r="J396" i="8"/>
  <c r="I396" i="8"/>
  <c r="H396" i="8"/>
  <c r="G396" i="8"/>
  <c r="F396" i="8"/>
  <c r="E396" i="8"/>
  <c r="D396" i="8"/>
  <c r="C396" i="8"/>
  <c r="B396" i="8"/>
  <c r="A396"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B395" i="8"/>
  <c r="A395" i="8"/>
  <c r="Z394" i="8"/>
  <c r="U394" i="8"/>
  <c r="T394" i="8"/>
  <c r="S394" i="8"/>
  <c r="R394" i="8"/>
  <c r="Q394" i="8"/>
  <c r="P394" i="8"/>
  <c r="O394" i="8"/>
  <c r="N394" i="8"/>
  <c r="M394" i="8"/>
  <c r="L394" i="8"/>
  <c r="K394" i="8"/>
  <c r="J394" i="8"/>
  <c r="I394" i="8"/>
  <c r="H394" i="8"/>
  <c r="G394" i="8"/>
  <c r="F394" i="8"/>
  <c r="E394" i="8"/>
  <c r="D394" i="8"/>
  <c r="C394" i="8"/>
  <c r="B394" i="8"/>
  <c r="A394" i="8"/>
  <c r="AC393" i="8"/>
  <c r="AB393" i="8"/>
  <c r="Z393" i="8"/>
  <c r="X393" i="8"/>
  <c r="U393" i="8"/>
  <c r="T393" i="8"/>
  <c r="S393" i="8"/>
  <c r="R393" i="8"/>
  <c r="Q393" i="8"/>
  <c r="P393" i="8"/>
  <c r="O393" i="8"/>
  <c r="N393" i="8"/>
  <c r="M393" i="8"/>
  <c r="L393" i="8"/>
  <c r="K393" i="8"/>
  <c r="J393" i="8"/>
  <c r="I393" i="8"/>
  <c r="H393" i="8"/>
  <c r="G393" i="8"/>
  <c r="F393" i="8"/>
  <c r="E393" i="8"/>
  <c r="D393" i="8"/>
  <c r="C393" i="8"/>
  <c r="B393" i="8"/>
  <c r="A393" i="8"/>
  <c r="AC392" i="8"/>
  <c r="AB392" i="8"/>
  <c r="Z392" i="8"/>
  <c r="X392" i="8"/>
  <c r="U392" i="8"/>
  <c r="T392" i="8"/>
  <c r="S392" i="8"/>
  <c r="R392" i="8"/>
  <c r="Q392" i="8"/>
  <c r="P392" i="8"/>
  <c r="O392" i="8"/>
  <c r="N392" i="8"/>
  <c r="M392" i="8"/>
  <c r="L392" i="8"/>
  <c r="K392" i="8"/>
  <c r="J392" i="8"/>
  <c r="I392" i="8"/>
  <c r="H392" i="8"/>
  <c r="G392" i="8"/>
  <c r="F392" i="8"/>
  <c r="E392" i="8"/>
  <c r="D392" i="8"/>
  <c r="C392" i="8"/>
  <c r="B392" i="8"/>
  <c r="A392"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B391" i="8"/>
  <c r="A391"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B390" i="8"/>
  <c r="A390" i="8"/>
  <c r="Z389" i="8"/>
  <c r="U389" i="8"/>
  <c r="T389" i="8"/>
  <c r="S389" i="8"/>
  <c r="R389" i="8"/>
  <c r="Q389" i="8"/>
  <c r="P389" i="8"/>
  <c r="O389" i="8"/>
  <c r="N389" i="8"/>
  <c r="M389" i="8"/>
  <c r="L389" i="8"/>
  <c r="K389" i="8"/>
  <c r="J389" i="8"/>
  <c r="I389" i="8"/>
  <c r="H389" i="8"/>
  <c r="G389" i="8"/>
  <c r="F389" i="8"/>
  <c r="E389" i="8"/>
  <c r="D389" i="8"/>
  <c r="C389" i="8"/>
  <c r="B389" i="8"/>
  <c r="A389"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B388" i="8"/>
  <c r="A388" i="8"/>
  <c r="AC387" i="8"/>
  <c r="AB387" i="8"/>
  <c r="Z387" i="8"/>
  <c r="X387" i="8"/>
  <c r="U387" i="8"/>
  <c r="T387" i="8"/>
  <c r="S387" i="8"/>
  <c r="R387" i="8"/>
  <c r="Q387" i="8"/>
  <c r="P387" i="8"/>
  <c r="O387" i="8"/>
  <c r="N387" i="8"/>
  <c r="M387" i="8"/>
  <c r="L387" i="8"/>
  <c r="K387" i="8"/>
  <c r="J387" i="8"/>
  <c r="I387" i="8"/>
  <c r="H387" i="8"/>
  <c r="G387" i="8"/>
  <c r="F387" i="8"/>
  <c r="E387" i="8"/>
  <c r="D387" i="8"/>
  <c r="C387" i="8"/>
  <c r="B387" i="8"/>
  <c r="A387" i="8"/>
  <c r="AB386" i="8"/>
  <c r="Z386" i="8"/>
  <c r="U386" i="8"/>
  <c r="T386" i="8"/>
  <c r="S386" i="8"/>
  <c r="R386" i="8"/>
  <c r="Q386" i="8"/>
  <c r="P386" i="8"/>
  <c r="O386" i="8"/>
  <c r="N386" i="8"/>
  <c r="M386" i="8"/>
  <c r="L386" i="8"/>
  <c r="K386" i="8"/>
  <c r="J386" i="8"/>
  <c r="I386" i="8"/>
  <c r="H386" i="8"/>
  <c r="G386" i="8"/>
  <c r="F386" i="8"/>
  <c r="E386" i="8"/>
  <c r="D386" i="8"/>
  <c r="C386" i="8"/>
  <c r="B386" i="8"/>
  <c r="A386" i="8"/>
  <c r="Z385" i="8"/>
  <c r="U385" i="8"/>
  <c r="T385" i="8"/>
  <c r="S385" i="8"/>
  <c r="R385" i="8"/>
  <c r="Q385" i="8"/>
  <c r="P385" i="8"/>
  <c r="O385" i="8"/>
  <c r="N385" i="8"/>
  <c r="M385" i="8"/>
  <c r="L385" i="8"/>
  <c r="K385" i="8"/>
  <c r="J385" i="8"/>
  <c r="I385" i="8"/>
  <c r="H385" i="8"/>
  <c r="G385" i="8"/>
  <c r="F385" i="8"/>
  <c r="E385" i="8"/>
  <c r="D385" i="8"/>
  <c r="C385" i="8"/>
  <c r="B385" i="8"/>
  <c r="A385"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B384" i="8"/>
  <c r="A384" i="8"/>
  <c r="Z383" i="8"/>
  <c r="U383" i="8"/>
  <c r="T383" i="8"/>
  <c r="S383" i="8"/>
  <c r="R383" i="8"/>
  <c r="Q383" i="8"/>
  <c r="P383" i="8"/>
  <c r="O383" i="8"/>
  <c r="N383" i="8"/>
  <c r="M383" i="8"/>
  <c r="L383" i="8"/>
  <c r="K383" i="8"/>
  <c r="J383" i="8"/>
  <c r="I383" i="8"/>
  <c r="H383" i="8"/>
  <c r="G383" i="8"/>
  <c r="F383" i="8"/>
  <c r="E383" i="8"/>
  <c r="D383" i="8"/>
  <c r="C383" i="8"/>
  <c r="B383" i="8"/>
  <c r="A383" i="8"/>
  <c r="Z382" i="8"/>
  <c r="X382" i="8"/>
  <c r="U382" i="8"/>
  <c r="T382" i="8"/>
  <c r="S382" i="8"/>
  <c r="R382" i="8"/>
  <c r="Q382" i="8"/>
  <c r="P382" i="8"/>
  <c r="O382" i="8"/>
  <c r="N382" i="8"/>
  <c r="M382" i="8"/>
  <c r="L382" i="8"/>
  <c r="K382" i="8"/>
  <c r="J382" i="8"/>
  <c r="I382" i="8"/>
  <c r="H382" i="8"/>
  <c r="G382" i="8"/>
  <c r="F382" i="8"/>
  <c r="E382" i="8"/>
  <c r="D382" i="8"/>
  <c r="C382" i="8"/>
  <c r="B382" i="8"/>
  <c r="A382" i="8"/>
  <c r="Z381" i="8"/>
  <c r="U381" i="8"/>
  <c r="T381" i="8"/>
  <c r="S381" i="8"/>
  <c r="R381" i="8"/>
  <c r="Q381" i="8"/>
  <c r="P381" i="8"/>
  <c r="O381" i="8"/>
  <c r="N381" i="8"/>
  <c r="M381" i="8"/>
  <c r="L381" i="8"/>
  <c r="K381" i="8"/>
  <c r="J381" i="8"/>
  <c r="I381" i="8"/>
  <c r="H381" i="8"/>
  <c r="G381" i="8"/>
  <c r="F381" i="8"/>
  <c r="E381" i="8"/>
  <c r="D381" i="8"/>
  <c r="C381" i="8"/>
  <c r="B381" i="8"/>
  <c r="A381" i="8"/>
  <c r="AB380" i="8"/>
  <c r="Z380" i="8"/>
  <c r="U380" i="8"/>
  <c r="T380" i="8"/>
  <c r="S380" i="8"/>
  <c r="R380" i="8"/>
  <c r="Q380" i="8"/>
  <c r="P380" i="8"/>
  <c r="O380" i="8"/>
  <c r="N380" i="8"/>
  <c r="M380" i="8"/>
  <c r="L380" i="8"/>
  <c r="K380" i="8"/>
  <c r="J380" i="8"/>
  <c r="I380" i="8"/>
  <c r="H380" i="8"/>
  <c r="G380" i="8"/>
  <c r="F380" i="8"/>
  <c r="E380" i="8"/>
  <c r="D380" i="8"/>
  <c r="C380" i="8"/>
  <c r="B380" i="8"/>
  <c r="A380"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B379" i="8"/>
  <c r="A379" i="8"/>
  <c r="Z378" i="8"/>
  <c r="U378" i="8"/>
  <c r="T378" i="8"/>
  <c r="S378" i="8"/>
  <c r="R378" i="8"/>
  <c r="Q378" i="8"/>
  <c r="P378" i="8"/>
  <c r="O378" i="8"/>
  <c r="N378" i="8"/>
  <c r="M378" i="8"/>
  <c r="L378" i="8"/>
  <c r="K378" i="8"/>
  <c r="J378" i="8"/>
  <c r="I378" i="8"/>
  <c r="H378" i="8"/>
  <c r="G378" i="8"/>
  <c r="F378" i="8"/>
  <c r="E378" i="8"/>
  <c r="D378" i="8"/>
  <c r="C378" i="8"/>
  <c r="B378" i="8"/>
  <c r="A378" i="8"/>
  <c r="Z377" i="8"/>
  <c r="U377" i="8"/>
  <c r="T377" i="8"/>
  <c r="S377" i="8"/>
  <c r="R377" i="8"/>
  <c r="Q377" i="8"/>
  <c r="P377" i="8"/>
  <c r="O377" i="8"/>
  <c r="N377" i="8"/>
  <c r="M377" i="8"/>
  <c r="L377" i="8"/>
  <c r="K377" i="8"/>
  <c r="J377" i="8"/>
  <c r="I377" i="8"/>
  <c r="H377" i="8"/>
  <c r="G377" i="8"/>
  <c r="F377" i="8"/>
  <c r="E377" i="8"/>
  <c r="D377" i="8"/>
  <c r="C377" i="8"/>
  <c r="B377" i="8"/>
  <c r="A377" i="8"/>
  <c r="Z376" i="8"/>
  <c r="U376" i="8"/>
  <c r="T376" i="8"/>
  <c r="S376" i="8"/>
  <c r="R376" i="8"/>
  <c r="Q376" i="8"/>
  <c r="P376" i="8"/>
  <c r="O376" i="8"/>
  <c r="N376" i="8"/>
  <c r="M376" i="8"/>
  <c r="L376" i="8"/>
  <c r="K376" i="8"/>
  <c r="J376" i="8"/>
  <c r="I376" i="8"/>
  <c r="H376" i="8"/>
  <c r="G376" i="8"/>
  <c r="F376" i="8"/>
  <c r="E376" i="8"/>
  <c r="D376" i="8"/>
  <c r="C376" i="8"/>
  <c r="B376" i="8"/>
  <c r="A376" i="8"/>
  <c r="AB375" i="8"/>
  <c r="Z375" i="8"/>
  <c r="U375" i="8"/>
  <c r="T375" i="8"/>
  <c r="S375" i="8"/>
  <c r="R375" i="8"/>
  <c r="Q375" i="8"/>
  <c r="P375" i="8"/>
  <c r="O375" i="8"/>
  <c r="N375" i="8"/>
  <c r="M375" i="8"/>
  <c r="L375" i="8"/>
  <c r="K375" i="8"/>
  <c r="J375" i="8"/>
  <c r="I375" i="8"/>
  <c r="H375" i="8"/>
  <c r="G375" i="8"/>
  <c r="F375" i="8"/>
  <c r="E375" i="8"/>
  <c r="D375" i="8"/>
  <c r="C375" i="8"/>
  <c r="B375" i="8"/>
  <c r="A375" i="8"/>
  <c r="Z374" i="8"/>
  <c r="U374" i="8"/>
  <c r="T374" i="8"/>
  <c r="S374" i="8"/>
  <c r="R374" i="8"/>
  <c r="Q374" i="8"/>
  <c r="P374" i="8"/>
  <c r="O374" i="8"/>
  <c r="N374" i="8"/>
  <c r="M374" i="8"/>
  <c r="L374" i="8"/>
  <c r="K374" i="8"/>
  <c r="J374" i="8"/>
  <c r="I374" i="8"/>
  <c r="H374" i="8"/>
  <c r="G374" i="8"/>
  <c r="F374" i="8"/>
  <c r="E374" i="8"/>
  <c r="D374" i="8"/>
  <c r="C374" i="8"/>
  <c r="B374" i="8"/>
  <c r="A374" i="8"/>
  <c r="Z373" i="8"/>
  <c r="U373" i="8"/>
  <c r="T373" i="8"/>
  <c r="S373" i="8"/>
  <c r="R373" i="8"/>
  <c r="Q373" i="8"/>
  <c r="P373" i="8"/>
  <c r="O373" i="8"/>
  <c r="N373" i="8"/>
  <c r="M373" i="8"/>
  <c r="L373" i="8"/>
  <c r="K373" i="8"/>
  <c r="J373" i="8"/>
  <c r="I373" i="8"/>
  <c r="H373" i="8"/>
  <c r="G373" i="8"/>
  <c r="F373" i="8"/>
  <c r="E373" i="8"/>
  <c r="D373" i="8"/>
  <c r="C373" i="8"/>
  <c r="B373" i="8"/>
  <c r="A373"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B372" i="8"/>
  <c r="A372"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B371" i="8"/>
  <c r="A371" i="8"/>
  <c r="Z370" i="8"/>
  <c r="U370" i="8"/>
  <c r="T370" i="8"/>
  <c r="S370" i="8"/>
  <c r="R370" i="8"/>
  <c r="Q370" i="8"/>
  <c r="P370" i="8"/>
  <c r="O370" i="8"/>
  <c r="N370" i="8"/>
  <c r="M370" i="8"/>
  <c r="L370" i="8"/>
  <c r="K370" i="8"/>
  <c r="J370" i="8"/>
  <c r="I370" i="8"/>
  <c r="H370" i="8"/>
  <c r="G370" i="8"/>
  <c r="F370" i="8"/>
  <c r="E370" i="8"/>
  <c r="D370" i="8"/>
  <c r="C370" i="8"/>
  <c r="B370" i="8"/>
  <c r="A370" i="8"/>
  <c r="AB369" i="8"/>
  <c r="Z369" i="8"/>
  <c r="U369" i="8"/>
  <c r="T369" i="8"/>
  <c r="S369" i="8"/>
  <c r="R369" i="8"/>
  <c r="Q369" i="8"/>
  <c r="P369" i="8"/>
  <c r="O369" i="8"/>
  <c r="N369" i="8"/>
  <c r="M369" i="8"/>
  <c r="L369" i="8"/>
  <c r="K369" i="8"/>
  <c r="J369" i="8"/>
  <c r="I369" i="8"/>
  <c r="H369" i="8"/>
  <c r="G369" i="8"/>
  <c r="F369" i="8"/>
  <c r="E369" i="8"/>
  <c r="D369" i="8"/>
  <c r="C369" i="8"/>
  <c r="B369" i="8"/>
  <c r="A369"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B368" i="8"/>
  <c r="A368" i="8"/>
  <c r="Z367" i="8"/>
  <c r="U367" i="8"/>
  <c r="T367" i="8"/>
  <c r="S367" i="8"/>
  <c r="R367" i="8"/>
  <c r="Q367" i="8"/>
  <c r="P367" i="8"/>
  <c r="O367" i="8"/>
  <c r="N367" i="8"/>
  <c r="M367" i="8"/>
  <c r="L367" i="8"/>
  <c r="K367" i="8"/>
  <c r="J367" i="8"/>
  <c r="I367" i="8"/>
  <c r="H367" i="8"/>
  <c r="G367" i="8"/>
  <c r="F367" i="8"/>
  <c r="E367" i="8"/>
  <c r="D367" i="8"/>
  <c r="C367" i="8"/>
  <c r="B367" i="8"/>
  <c r="A367" i="8"/>
  <c r="AB366" i="8"/>
  <c r="Z366" i="8"/>
  <c r="U366" i="8"/>
  <c r="T366" i="8"/>
  <c r="S366" i="8"/>
  <c r="R366" i="8"/>
  <c r="Q366" i="8"/>
  <c r="P366" i="8"/>
  <c r="O366" i="8"/>
  <c r="N366" i="8"/>
  <c r="M366" i="8"/>
  <c r="L366" i="8"/>
  <c r="K366" i="8"/>
  <c r="J366" i="8"/>
  <c r="I366" i="8"/>
  <c r="H366" i="8"/>
  <c r="G366" i="8"/>
  <c r="F366" i="8"/>
  <c r="E366" i="8"/>
  <c r="D366" i="8"/>
  <c r="C366" i="8"/>
  <c r="B366" i="8"/>
  <c r="A366"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B365" i="8"/>
  <c r="A365" i="8"/>
  <c r="Z364" i="8"/>
  <c r="U364" i="8"/>
  <c r="T364" i="8"/>
  <c r="S364" i="8"/>
  <c r="R364" i="8"/>
  <c r="Q364" i="8"/>
  <c r="P364" i="8"/>
  <c r="O364" i="8"/>
  <c r="N364" i="8"/>
  <c r="M364" i="8"/>
  <c r="L364" i="8"/>
  <c r="K364" i="8"/>
  <c r="J364" i="8"/>
  <c r="I364" i="8"/>
  <c r="H364" i="8"/>
  <c r="G364" i="8"/>
  <c r="F364" i="8"/>
  <c r="E364" i="8"/>
  <c r="D364" i="8"/>
  <c r="C364" i="8"/>
  <c r="B364" i="8"/>
  <c r="A364"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B363" i="8"/>
  <c r="A363" i="8"/>
  <c r="AB362" i="8"/>
  <c r="AA362" i="8"/>
  <c r="Z362" i="8"/>
  <c r="Y362" i="8"/>
  <c r="X362" i="8"/>
  <c r="W362" i="8"/>
  <c r="U362" i="8"/>
  <c r="T362" i="8"/>
  <c r="S362" i="8"/>
  <c r="R362" i="8"/>
  <c r="Q362" i="8"/>
  <c r="P362" i="8"/>
  <c r="O362" i="8"/>
  <c r="N362" i="8"/>
  <c r="M362" i="8"/>
  <c r="L362" i="8"/>
  <c r="K362" i="8"/>
  <c r="J362" i="8"/>
  <c r="I362" i="8"/>
  <c r="H362" i="8"/>
  <c r="G362" i="8"/>
  <c r="F362" i="8"/>
  <c r="E362" i="8"/>
  <c r="D362" i="8"/>
  <c r="C362" i="8"/>
  <c r="B362" i="8"/>
  <c r="A362" i="8"/>
  <c r="AB361" i="8"/>
  <c r="AA361" i="8"/>
  <c r="Z361" i="8"/>
  <c r="Y361" i="8"/>
  <c r="X361" i="8"/>
  <c r="W361" i="8"/>
  <c r="U361" i="8"/>
  <c r="T361" i="8"/>
  <c r="S361" i="8"/>
  <c r="R361" i="8"/>
  <c r="Q361" i="8"/>
  <c r="P361" i="8"/>
  <c r="O361" i="8"/>
  <c r="N361" i="8"/>
  <c r="M361" i="8"/>
  <c r="L361" i="8"/>
  <c r="K361" i="8"/>
  <c r="J361" i="8"/>
  <c r="I361" i="8"/>
  <c r="H361" i="8"/>
  <c r="G361" i="8"/>
  <c r="F361" i="8"/>
  <c r="E361" i="8"/>
  <c r="D361" i="8"/>
  <c r="C361" i="8"/>
  <c r="B361" i="8"/>
  <c r="A361"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B360" i="8"/>
  <c r="A360"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B359" i="8"/>
  <c r="A359"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B358" i="8"/>
  <c r="A358"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B357" i="8"/>
  <c r="A357"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B356" i="8"/>
  <c r="A356"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B355" i="8"/>
  <c r="A355"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B354" i="8"/>
  <c r="A354"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B353" i="8"/>
  <c r="A353"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B352" i="8"/>
  <c r="A352"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B351" i="8"/>
  <c r="A351"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B350" i="8"/>
  <c r="A350"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B349" i="8"/>
  <c r="A349"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B348" i="8"/>
  <c r="A348"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B347" i="8"/>
  <c r="A347"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B346" i="8"/>
  <c r="A346"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B345" i="8"/>
  <c r="A345"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B344" i="8"/>
  <c r="A344"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B343" i="8"/>
  <c r="A343"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B342" i="8"/>
  <c r="A342"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B341" i="8"/>
  <c r="A341"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B340" i="8"/>
  <c r="A340"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B339" i="8"/>
  <c r="A339"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B338" i="8"/>
  <c r="A338"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B337" i="8"/>
  <c r="A337"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B336" i="8"/>
  <c r="A336"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B335" i="8"/>
  <c r="A335" i="8"/>
  <c r="Z334" i="8"/>
  <c r="U334" i="8"/>
  <c r="T334" i="8"/>
  <c r="S334" i="8"/>
  <c r="R334" i="8"/>
  <c r="Q334" i="8"/>
  <c r="P334" i="8"/>
  <c r="O334" i="8"/>
  <c r="N334" i="8"/>
  <c r="M334" i="8"/>
  <c r="L334" i="8"/>
  <c r="K334" i="8"/>
  <c r="J334" i="8"/>
  <c r="I334" i="8"/>
  <c r="H334" i="8"/>
  <c r="G334" i="8"/>
  <c r="F334" i="8"/>
  <c r="E334" i="8"/>
  <c r="D334" i="8"/>
  <c r="C334" i="8"/>
  <c r="B334" i="8"/>
  <c r="A334" i="8"/>
  <c r="Z333" i="8"/>
  <c r="U333" i="8"/>
  <c r="T333" i="8"/>
  <c r="S333" i="8"/>
  <c r="R333" i="8"/>
  <c r="Q333" i="8"/>
  <c r="P333" i="8"/>
  <c r="O333" i="8"/>
  <c r="N333" i="8"/>
  <c r="M333" i="8"/>
  <c r="L333" i="8"/>
  <c r="K333" i="8"/>
  <c r="J333" i="8"/>
  <c r="I333" i="8"/>
  <c r="H333" i="8"/>
  <c r="G333" i="8"/>
  <c r="F333" i="8"/>
  <c r="E333" i="8"/>
  <c r="D333" i="8"/>
  <c r="C333" i="8"/>
  <c r="B333" i="8"/>
  <c r="A333" i="8"/>
  <c r="Z332" i="8"/>
  <c r="W332" i="8"/>
  <c r="U332" i="8"/>
  <c r="T332" i="8"/>
  <c r="S332" i="8"/>
  <c r="R332" i="8"/>
  <c r="Q332" i="8"/>
  <c r="P332" i="8"/>
  <c r="O332" i="8"/>
  <c r="N332" i="8"/>
  <c r="M332" i="8"/>
  <c r="L332" i="8"/>
  <c r="K332" i="8"/>
  <c r="J332" i="8"/>
  <c r="I332" i="8"/>
  <c r="H332" i="8"/>
  <c r="G332" i="8"/>
  <c r="F332" i="8"/>
  <c r="E332" i="8"/>
  <c r="D332" i="8"/>
  <c r="C332" i="8"/>
  <c r="B332" i="8"/>
  <c r="A332"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B331" i="8"/>
  <c r="A331"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B330" i="8"/>
  <c r="A330" i="8"/>
  <c r="Z329" i="8"/>
  <c r="U329" i="8"/>
  <c r="T329" i="8"/>
  <c r="S329" i="8"/>
  <c r="R329" i="8"/>
  <c r="Q329" i="8"/>
  <c r="P329" i="8"/>
  <c r="O329" i="8"/>
  <c r="N329" i="8"/>
  <c r="M329" i="8"/>
  <c r="L329" i="8"/>
  <c r="K329" i="8"/>
  <c r="J329" i="8"/>
  <c r="I329" i="8"/>
  <c r="H329" i="8"/>
  <c r="G329" i="8"/>
  <c r="F329" i="8"/>
  <c r="E329" i="8"/>
  <c r="D329" i="8"/>
  <c r="C329" i="8"/>
  <c r="B329" i="8"/>
  <c r="A329"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B328" i="8"/>
  <c r="A328"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B327" i="8"/>
  <c r="A327" i="8"/>
  <c r="Z326" i="8"/>
  <c r="U326" i="8"/>
  <c r="T326" i="8"/>
  <c r="S326" i="8"/>
  <c r="R326" i="8"/>
  <c r="Q326" i="8"/>
  <c r="P326" i="8"/>
  <c r="O326" i="8"/>
  <c r="N326" i="8"/>
  <c r="M326" i="8"/>
  <c r="L326" i="8"/>
  <c r="K326" i="8"/>
  <c r="J326" i="8"/>
  <c r="I326" i="8"/>
  <c r="H326" i="8"/>
  <c r="G326" i="8"/>
  <c r="F326" i="8"/>
  <c r="E326" i="8"/>
  <c r="D326" i="8"/>
  <c r="C326" i="8"/>
  <c r="B326" i="8"/>
  <c r="A326" i="8"/>
  <c r="Z325" i="8"/>
  <c r="U325" i="8"/>
  <c r="T325" i="8"/>
  <c r="S325" i="8"/>
  <c r="R325" i="8"/>
  <c r="Q325" i="8"/>
  <c r="P325" i="8"/>
  <c r="O325" i="8"/>
  <c r="N325" i="8"/>
  <c r="M325" i="8"/>
  <c r="L325" i="8"/>
  <c r="K325" i="8"/>
  <c r="J325" i="8"/>
  <c r="I325" i="8"/>
  <c r="H325" i="8"/>
  <c r="G325" i="8"/>
  <c r="F325" i="8"/>
  <c r="E325" i="8"/>
  <c r="D325" i="8"/>
  <c r="C325" i="8"/>
  <c r="B325" i="8"/>
  <c r="A325"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B324" i="8"/>
  <c r="A324" i="8"/>
  <c r="AB323" i="8"/>
  <c r="AA323" i="8"/>
  <c r="Z323" i="8"/>
  <c r="Y323" i="8"/>
  <c r="X323" i="8"/>
  <c r="W323" i="8"/>
  <c r="U323" i="8"/>
  <c r="T323" i="8"/>
  <c r="S323" i="8"/>
  <c r="R323" i="8"/>
  <c r="Q323" i="8"/>
  <c r="P323" i="8"/>
  <c r="O323" i="8"/>
  <c r="N323" i="8"/>
  <c r="M323" i="8"/>
  <c r="L323" i="8"/>
  <c r="K323" i="8"/>
  <c r="J323" i="8"/>
  <c r="I323" i="8"/>
  <c r="H323" i="8"/>
  <c r="G323" i="8"/>
  <c r="F323" i="8"/>
  <c r="E323" i="8"/>
  <c r="D323" i="8"/>
  <c r="C323" i="8"/>
  <c r="B323" i="8"/>
  <c r="A323"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B322" i="8"/>
  <c r="A322"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B321" i="8"/>
  <c r="A321"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B320" i="8"/>
  <c r="A320"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B319" i="8"/>
  <c r="A319"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B318" i="8"/>
  <c r="A318"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B317" i="8"/>
  <c r="A317"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B316" i="8"/>
  <c r="A316"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B315" i="8"/>
  <c r="A315"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B314" i="8"/>
  <c r="A314"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B313" i="8"/>
  <c r="A313" i="8"/>
  <c r="Z312" i="8"/>
  <c r="W312" i="8"/>
  <c r="U312" i="8"/>
  <c r="T312" i="8"/>
  <c r="S312" i="8"/>
  <c r="R312" i="8"/>
  <c r="Q312" i="8"/>
  <c r="P312" i="8"/>
  <c r="O312" i="8"/>
  <c r="N312" i="8"/>
  <c r="M312" i="8"/>
  <c r="L312" i="8"/>
  <c r="K312" i="8"/>
  <c r="J312" i="8"/>
  <c r="I312" i="8"/>
  <c r="H312" i="8"/>
  <c r="G312" i="8"/>
  <c r="F312" i="8"/>
  <c r="E312" i="8"/>
  <c r="D312" i="8"/>
  <c r="C312" i="8"/>
  <c r="B312" i="8"/>
  <c r="A312"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B311" i="8"/>
  <c r="A311"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B310" i="8"/>
  <c r="A310"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B309" i="8"/>
  <c r="A309" i="8"/>
  <c r="Z308" i="8"/>
  <c r="U308" i="8"/>
  <c r="T308" i="8"/>
  <c r="S308" i="8"/>
  <c r="R308" i="8"/>
  <c r="Q308" i="8"/>
  <c r="P308" i="8"/>
  <c r="O308" i="8"/>
  <c r="N308" i="8"/>
  <c r="M308" i="8"/>
  <c r="L308" i="8"/>
  <c r="K308" i="8"/>
  <c r="J308" i="8"/>
  <c r="I308" i="8"/>
  <c r="H308" i="8"/>
  <c r="G308" i="8"/>
  <c r="F308" i="8"/>
  <c r="E308" i="8"/>
  <c r="D308" i="8"/>
  <c r="C308" i="8"/>
  <c r="B308" i="8"/>
  <c r="A308"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B307" i="8"/>
  <c r="A307"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B306" i="8"/>
  <c r="A306"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B305" i="8"/>
  <c r="A305"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B304" i="8"/>
  <c r="A304"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B303" i="8"/>
  <c r="A303"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B302" i="8"/>
  <c r="A302" i="8"/>
  <c r="Z301" i="8"/>
  <c r="U301" i="8"/>
  <c r="T301" i="8"/>
  <c r="S301" i="8"/>
  <c r="R301" i="8"/>
  <c r="Q301" i="8"/>
  <c r="P301" i="8"/>
  <c r="O301" i="8"/>
  <c r="N301" i="8"/>
  <c r="M301" i="8"/>
  <c r="L301" i="8"/>
  <c r="K301" i="8"/>
  <c r="J301" i="8"/>
  <c r="I301" i="8"/>
  <c r="H301" i="8"/>
  <c r="G301" i="8"/>
  <c r="F301" i="8"/>
  <c r="E301" i="8"/>
  <c r="D301" i="8"/>
  <c r="C301" i="8"/>
  <c r="B301" i="8"/>
  <c r="A301" i="8"/>
  <c r="AB300" i="8"/>
  <c r="AA300" i="8"/>
  <c r="Z300" i="8"/>
  <c r="Y300" i="8"/>
  <c r="X300" i="8"/>
  <c r="W300" i="8"/>
  <c r="U300" i="8"/>
  <c r="T300" i="8"/>
  <c r="S300" i="8"/>
  <c r="R300" i="8"/>
  <c r="Q300" i="8"/>
  <c r="P300" i="8"/>
  <c r="O300" i="8"/>
  <c r="N300" i="8"/>
  <c r="M300" i="8"/>
  <c r="L300" i="8"/>
  <c r="K300" i="8"/>
  <c r="J300" i="8"/>
  <c r="I300" i="8"/>
  <c r="H300" i="8"/>
  <c r="G300" i="8"/>
  <c r="F300" i="8"/>
  <c r="E300" i="8"/>
  <c r="D300" i="8"/>
  <c r="C300" i="8"/>
  <c r="B300" i="8"/>
  <c r="A300"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B299" i="8"/>
  <c r="A299"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B298" i="8"/>
  <c r="A298"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B297" i="8"/>
  <c r="A297"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B296" i="8"/>
  <c r="A296" i="8"/>
  <c r="Z295" i="8"/>
  <c r="W295" i="8"/>
  <c r="U295" i="8"/>
  <c r="T295" i="8"/>
  <c r="S295" i="8"/>
  <c r="R295" i="8"/>
  <c r="Q295" i="8"/>
  <c r="P295" i="8"/>
  <c r="O295" i="8"/>
  <c r="N295" i="8"/>
  <c r="M295" i="8"/>
  <c r="L295" i="8"/>
  <c r="K295" i="8"/>
  <c r="J295" i="8"/>
  <c r="I295" i="8"/>
  <c r="H295" i="8"/>
  <c r="G295" i="8"/>
  <c r="F295" i="8"/>
  <c r="E295" i="8"/>
  <c r="D295" i="8"/>
  <c r="C295" i="8"/>
  <c r="B295" i="8"/>
  <c r="A295"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B294" i="8"/>
  <c r="A294"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B293" i="8"/>
  <c r="A293"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B292" i="8"/>
  <c r="A292"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B291" i="8"/>
  <c r="A291"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B290" i="8"/>
  <c r="A290"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B289" i="8"/>
  <c r="A289"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B288" i="8"/>
  <c r="A288"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B287" i="8"/>
  <c r="A287"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B286" i="8"/>
  <c r="A286" i="8"/>
  <c r="Z285" i="8"/>
  <c r="W285" i="8"/>
  <c r="U285" i="8"/>
  <c r="T285" i="8"/>
  <c r="S285" i="8"/>
  <c r="R285" i="8"/>
  <c r="Q285" i="8"/>
  <c r="P285" i="8"/>
  <c r="O285" i="8"/>
  <c r="N285" i="8"/>
  <c r="M285" i="8"/>
  <c r="L285" i="8"/>
  <c r="K285" i="8"/>
  <c r="J285" i="8"/>
  <c r="I285" i="8"/>
  <c r="H285" i="8"/>
  <c r="G285" i="8"/>
  <c r="F285" i="8"/>
  <c r="E285" i="8"/>
  <c r="D285" i="8"/>
  <c r="C285" i="8"/>
  <c r="B285" i="8"/>
  <c r="A285"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B284" i="8"/>
  <c r="A284"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B283" i="8"/>
  <c r="A283"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B282" i="8"/>
  <c r="A282" i="8"/>
  <c r="Z281" i="8"/>
  <c r="U281" i="8"/>
  <c r="T281" i="8"/>
  <c r="S281" i="8"/>
  <c r="R281" i="8"/>
  <c r="Q281" i="8"/>
  <c r="P281" i="8"/>
  <c r="O281" i="8"/>
  <c r="N281" i="8"/>
  <c r="M281" i="8"/>
  <c r="L281" i="8"/>
  <c r="K281" i="8"/>
  <c r="J281" i="8"/>
  <c r="I281" i="8"/>
  <c r="H281" i="8"/>
  <c r="G281" i="8"/>
  <c r="F281" i="8"/>
  <c r="E281" i="8"/>
  <c r="D281" i="8"/>
  <c r="C281" i="8"/>
  <c r="B281" i="8"/>
  <c r="A281" i="8"/>
  <c r="Z280" i="8"/>
  <c r="U280" i="8"/>
  <c r="T280" i="8"/>
  <c r="S280" i="8"/>
  <c r="R280" i="8"/>
  <c r="Q280" i="8"/>
  <c r="P280" i="8"/>
  <c r="O280" i="8"/>
  <c r="N280" i="8"/>
  <c r="M280" i="8"/>
  <c r="L280" i="8"/>
  <c r="K280" i="8"/>
  <c r="J280" i="8"/>
  <c r="I280" i="8"/>
  <c r="H280" i="8"/>
  <c r="G280" i="8"/>
  <c r="F280" i="8"/>
  <c r="E280" i="8"/>
  <c r="D280" i="8"/>
  <c r="C280" i="8"/>
  <c r="B280" i="8"/>
  <c r="A280" i="8"/>
  <c r="AB279" i="8"/>
  <c r="AA279" i="8"/>
  <c r="Z279" i="8"/>
  <c r="Y279" i="8"/>
  <c r="X279" i="8"/>
  <c r="W279" i="8"/>
  <c r="U279" i="8"/>
  <c r="T279" i="8"/>
  <c r="S279" i="8"/>
  <c r="R279" i="8"/>
  <c r="Q279" i="8"/>
  <c r="P279" i="8"/>
  <c r="O279" i="8"/>
  <c r="N279" i="8"/>
  <c r="M279" i="8"/>
  <c r="L279" i="8"/>
  <c r="K279" i="8"/>
  <c r="J279" i="8"/>
  <c r="I279" i="8"/>
  <c r="H279" i="8"/>
  <c r="G279" i="8"/>
  <c r="F279" i="8"/>
  <c r="E279" i="8"/>
  <c r="D279" i="8"/>
  <c r="C279" i="8"/>
  <c r="B279" i="8"/>
  <c r="A279"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B278" i="8"/>
  <c r="A278" i="8"/>
  <c r="AB277" i="8"/>
  <c r="AA277" i="8"/>
  <c r="Z277" i="8"/>
  <c r="Y277" i="8"/>
  <c r="X277" i="8"/>
  <c r="W277" i="8"/>
  <c r="U277" i="8"/>
  <c r="T277" i="8"/>
  <c r="S277" i="8"/>
  <c r="R277" i="8"/>
  <c r="Q277" i="8"/>
  <c r="P277" i="8"/>
  <c r="O277" i="8"/>
  <c r="N277" i="8"/>
  <c r="M277" i="8"/>
  <c r="L277" i="8"/>
  <c r="K277" i="8"/>
  <c r="J277" i="8"/>
  <c r="I277" i="8"/>
  <c r="H277" i="8"/>
  <c r="G277" i="8"/>
  <c r="F277" i="8"/>
  <c r="E277" i="8"/>
  <c r="D277" i="8"/>
  <c r="C277" i="8"/>
  <c r="B277" i="8"/>
  <c r="A277"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B276" i="8"/>
  <c r="A276" i="8"/>
  <c r="Z275" i="8"/>
  <c r="U275" i="8"/>
  <c r="T275" i="8"/>
  <c r="S275" i="8"/>
  <c r="R275" i="8"/>
  <c r="Q275" i="8"/>
  <c r="P275" i="8"/>
  <c r="O275" i="8"/>
  <c r="N275" i="8"/>
  <c r="M275" i="8"/>
  <c r="L275" i="8"/>
  <c r="K275" i="8"/>
  <c r="J275" i="8"/>
  <c r="I275" i="8"/>
  <c r="H275" i="8"/>
  <c r="G275" i="8"/>
  <c r="F275" i="8"/>
  <c r="E275" i="8"/>
  <c r="D275" i="8"/>
  <c r="C275" i="8"/>
  <c r="B275" i="8"/>
  <c r="A275" i="8"/>
  <c r="Z274" i="8"/>
  <c r="U274" i="8"/>
  <c r="T274" i="8"/>
  <c r="S274" i="8"/>
  <c r="R274" i="8"/>
  <c r="Q274" i="8"/>
  <c r="P274" i="8"/>
  <c r="O274" i="8"/>
  <c r="N274" i="8"/>
  <c r="M274" i="8"/>
  <c r="L274" i="8"/>
  <c r="K274" i="8"/>
  <c r="J274" i="8"/>
  <c r="I274" i="8"/>
  <c r="H274" i="8"/>
  <c r="G274" i="8"/>
  <c r="F274" i="8"/>
  <c r="E274" i="8"/>
  <c r="D274" i="8"/>
  <c r="C274" i="8"/>
  <c r="B274" i="8"/>
  <c r="A274"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B273" i="8"/>
  <c r="A273"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B272" i="8"/>
  <c r="A272"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B271" i="8"/>
  <c r="A271"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B270" i="8"/>
  <c r="A270" i="8"/>
  <c r="AB269" i="8"/>
  <c r="AA269" i="8"/>
  <c r="Z269" i="8"/>
  <c r="Y269" i="8"/>
  <c r="X269" i="8"/>
  <c r="W269" i="8"/>
  <c r="U269" i="8"/>
  <c r="T269" i="8"/>
  <c r="S269" i="8"/>
  <c r="R269" i="8"/>
  <c r="Q269" i="8"/>
  <c r="P269" i="8"/>
  <c r="O269" i="8"/>
  <c r="N269" i="8"/>
  <c r="M269" i="8"/>
  <c r="L269" i="8"/>
  <c r="K269" i="8"/>
  <c r="J269" i="8"/>
  <c r="I269" i="8"/>
  <c r="H269" i="8"/>
  <c r="G269" i="8"/>
  <c r="F269" i="8"/>
  <c r="E269" i="8"/>
  <c r="D269" i="8"/>
  <c r="C269" i="8"/>
  <c r="B269" i="8"/>
  <c r="A269"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B268" i="8"/>
  <c r="A268" i="8"/>
  <c r="Z267" i="8"/>
  <c r="W267" i="8"/>
  <c r="U267" i="8"/>
  <c r="T267" i="8"/>
  <c r="S267" i="8"/>
  <c r="R267" i="8"/>
  <c r="Q267" i="8"/>
  <c r="P267" i="8"/>
  <c r="O267" i="8"/>
  <c r="N267" i="8"/>
  <c r="M267" i="8"/>
  <c r="L267" i="8"/>
  <c r="K267" i="8"/>
  <c r="J267" i="8"/>
  <c r="I267" i="8"/>
  <c r="H267" i="8"/>
  <c r="G267" i="8"/>
  <c r="F267" i="8"/>
  <c r="E267" i="8"/>
  <c r="D267" i="8"/>
  <c r="C267" i="8"/>
  <c r="B267" i="8"/>
  <c r="A267"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B266" i="8"/>
  <c r="A266" i="8"/>
  <c r="Z265" i="8"/>
  <c r="W265" i="8"/>
  <c r="U265" i="8"/>
  <c r="T265" i="8"/>
  <c r="S265" i="8"/>
  <c r="R265" i="8"/>
  <c r="Q265" i="8"/>
  <c r="P265" i="8"/>
  <c r="O265" i="8"/>
  <c r="N265" i="8"/>
  <c r="M265" i="8"/>
  <c r="L265" i="8"/>
  <c r="K265" i="8"/>
  <c r="J265" i="8"/>
  <c r="I265" i="8"/>
  <c r="H265" i="8"/>
  <c r="G265" i="8"/>
  <c r="F265" i="8"/>
  <c r="E265" i="8"/>
  <c r="D265" i="8"/>
  <c r="C265" i="8"/>
  <c r="B265" i="8"/>
  <c r="A265"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B264" i="8"/>
  <c r="A264"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B263" i="8"/>
  <c r="A263"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B262" i="8"/>
  <c r="A262" i="8"/>
  <c r="AB261" i="8"/>
  <c r="AA261" i="8"/>
  <c r="Z261" i="8"/>
  <c r="Y261" i="8"/>
  <c r="X261" i="8"/>
  <c r="W261" i="8"/>
  <c r="U261" i="8"/>
  <c r="T261" i="8"/>
  <c r="S261" i="8"/>
  <c r="R261" i="8"/>
  <c r="Q261" i="8"/>
  <c r="P261" i="8"/>
  <c r="O261" i="8"/>
  <c r="N261" i="8"/>
  <c r="M261" i="8"/>
  <c r="L261" i="8"/>
  <c r="K261" i="8"/>
  <c r="J261" i="8"/>
  <c r="I261" i="8"/>
  <c r="H261" i="8"/>
  <c r="G261" i="8"/>
  <c r="F261" i="8"/>
  <c r="E261" i="8"/>
  <c r="D261" i="8"/>
  <c r="C261" i="8"/>
  <c r="B261" i="8"/>
  <c r="A261"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B260" i="8"/>
  <c r="A260" i="8"/>
  <c r="Z259" i="8"/>
  <c r="U259" i="8"/>
  <c r="T259" i="8"/>
  <c r="S259" i="8"/>
  <c r="R259" i="8"/>
  <c r="Q259" i="8"/>
  <c r="P259" i="8"/>
  <c r="O259" i="8"/>
  <c r="N259" i="8"/>
  <c r="M259" i="8"/>
  <c r="L259" i="8"/>
  <c r="K259" i="8"/>
  <c r="J259" i="8"/>
  <c r="I259" i="8"/>
  <c r="H259" i="8"/>
  <c r="G259" i="8"/>
  <c r="F259" i="8"/>
  <c r="E259" i="8"/>
  <c r="D259" i="8"/>
  <c r="C259" i="8"/>
  <c r="B259" i="8"/>
  <c r="A259" i="8"/>
  <c r="Z258" i="8"/>
  <c r="U258" i="8"/>
  <c r="T258" i="8"/>
  <c r="S258" i="8"/>
  <c r="R258" i="8"/>
  <c r="Q258" i="8"/>
  <c r="P258" i="8"/>
  <c r="O258" i="8"/>
  <c r="N258" i="8"/>
  <c r="M258" i="8"/>
  <c r="L258" i="8"/>
  <c r="K258" i="8"/>
  <c r="J258" i="8"/>
  <c r="I258" i="8"/>
  <c r="H258" i="8"/>
  <c r="G258" i="8"/>
  <c r="F258" i="8"/>
  <c r="E258" i="8"/>
  <c r="D258" i="8"/>
  <c r="C258" i="8"/>
  <c r="B258" i="8"/>
  <c r="A258" i="8"/>
  <c r="Z257" i="8"/>
  <c r="U257" i="8"/>
  <c r="T257" i="8"/>
  <c r="S257" i="8"/>
  <c r="R257" i="8"/>
  <c r="Q257" i="8"/>
  <c r="P257" i="8"/>
  <c r="O257" i="8"/>
  <c r="N257" i="8"/>
  <c r="M257" i="8"/>
  <c r="L257" i="8"/>
  <c r="K257" i="8"/>
  <c r="J257" i="8"/>
  <c r="I257" i="8"/>
  <c r="H257" i="8"/>
  <c r="G257" i="8"/>
  <c r="F257" i="8"/>
  <c r="E257" i="8"/>
  <c r="D257" i="8"/>
  <c r="C257" i="8"/>
  <c r="B257" i="8"/>
  <c r="A257" i="8"/>
  <c r="C256" i="8"/>
  <c r="B256" i="8"/>
  <c r="A256"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B255" i="8"/>
  <c r="A255"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B254" i="8"/>
  <c r="A254"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B253" i="8"/>
  <c r="A253"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B252" i="8"/>
  <c r="A252" i="8"/>
  <c r="Z251" i="8"/>
  <c r="V251" i="8"/>
  <c r="U251" i="8"/>
  <c r="T251" i="8"/>
  <c r="S251" i="8"/>
  <c r="R251" i="8"/>
  <c r="Q251" i="8"/>
  <c r="P251" i="8"/>
  <c r="O251" i="8"/>
  <c r="N251" i="8"/>
  <c r="M251" i="8"/>
  <c r="L251" i="8"/>
  <c r="K251" i="8"/>
  <c r="J251" i="8"/>
  <c r="I251" i="8"/>
  <c r="H251" i="8"/>
  <c r="G251" i="8"/>
  <c r="F251" i="8"/>
  <c r="E251" i="8"/>
  <c r="D251" i="8"/>
  <c r="C251" i="8"/>
  <c r="B251" i="8"/>
  <c r="A251" i="8"/>
  <c r="Z250" i="8"/>
  <c r="V250" i="8"/>
  <c r="U250" i="8"/>
  <c r="T250" i="8"/>
  <c r="S250" i="8"/>
  <c r="R250" i="8"/>
  <c r="Q250" i="8"/>
  <c r="P250" i="8"/>
  <c r="O250" i="8"/>
  <c r="N250" i="8"/>
  <c r="M250" i="8"/>
  <c r="L250" i="8"/>
  <c r="K250" i="8"/>
  <c r="J250" i="8"/>
  <c r="I250" i="8"/>
  <c r="H250" i="8"/>
  <c r="G250" i="8"/>
  <c r="F250" i="8"/>
  <c r="E250" i="8"/>
  <c r="D250" i="8"/>
  <c r="C250" i="8"/>
  <c r="B250" i="8"/>
  <c r="A250" i="8"/>
  <c r="Z249" i="8"/>
  <c r="V249" i="8"/>
  <c r="U249" i="8"/>
  <c r="T249" i="8"/>
  <c r="S249" i="8"/>
  <c r="R249" i="8"/>
  <c r="Q249" i="8"/>
  <c r="P249" i="8"/>
  <c r="O249" i="8"/>
  <c r="N249" i="8"/>
  <c r="M249" i="8"/>
  <c r="L249" i="8"/>
  <c r="K249" i="8"/>
  <c r="J249" i="8"/>
  <c r="I249" i="8"/>
  <c r="H249" i="8"/>
  <c r="G249" i="8"/>
  <c r="F249" i="8"/>
  <c r="E249" i="8"/>
  <c r="D249" i="8"/>
  <c r="C249" i="8"/>
  <c r="B249" i="8"/>
  <c r="A249" i="8"/>
  <c r="Z248" i="8"/>
  <c r="W248" i="8"/>
  <c r="V248" i="8"/>
  <c r="U248" i="8"/>
  <c r="T248" i="8"/>
  <c r="S248" i="8"/>
  <c r="R248" i="8"/>
  <c r="Q248" i="8"/>
  <c r="P248" i="8"/>
  <c r="O248" i="8"/>
  <c r="N248" i="8"/>
  <c r="M248" i="8"/>
  <c r="L248" i="8"/>
  <c r="K248" i="8"/>
  <c r="J248" i="8"/>
  <c r="I248" i="8"/>
  <c r="H248" i="8"/>
  <c r="G248" i="8"/>
  <c r="F248" i="8"/>
  <c r="E248" i="8"/>
  <c r="D248" i="8"/>
  <c r="C248" i="8"/>
  <c r="B248" i="8"/>
  <c r="A248"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B247" i="8"/>
  <c r="A247"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B246" i="8"/>
  <c r="A246"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B245" i="8"/>
  <c r="A245"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B244" i="8"/>
  <c r="A244"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B243" i="8"/>
  <c r="A243" i="8"/>
  <c r="Z242" i="8"/>
  <c r="W242" i="8"/>
  <c r="V242" i="8"/>
  <c r="U242" i="8"/>
  <c r="T242" i="8"/>
  <c r="S242" i="8"/>
  <c r="R242" i="8"/>
  <c r="Q242" i="8"/>
  <c r="P242" i="8"/>
  <c r="O242" i="8"/>
  <c r="N242" i="8"/>
  <c r="M242" i="8"/>
  <c r="L242" i="8"/>
  <c r="K242" i="8"/>
  <c r="J242" i="8"/>
  <c r="I242" i="8"/>
  <c r="H242" i="8"/>
  <c r="G242" i="8"/>
  <c r="F242" i="8"/>
  <c r="E242" i="8"/>
  <c r="D242" i="8"/>
  <c r="C242" i="8"/>
  <c r="B242" i="8"/>
  <c r="A242"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B241" i="8"/>
  <c r="A241" i="8"/>
  <c r="Z240" i="8"/>
  <c r="V240" i="8"/>
  <c r="U240" i="8"/>
  <c r="T240" i="8"/>
  <c r="S240" i="8"/>
  <c r="R240" i="8"/>
  <c r="Q240" i="8"/>
  <c r="P240" i="8"/>
  <c r="O240" i="8"/>
  <c r="N240" i="8"/>
  <c r="M240" i="8"/>
  <c r="L240" i="8"/>
  <c r="K240" i="8"/>
  <c r="J240" i="8"/>
  <c r="I240" i="8"/>
  <c r="H240" i="8"/>
  <c r="G240" i="8"/>
  <c r="F240" i="8"/>
  <c r="E240" i="8"/>
  <c r="D240" i="8"/>
  <c r="C240" i="8"/>
  <c r="B240" i="8"/>
  <c r="A240"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B239" i="8"/>
  <c r="A239"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B238" i="8"/>
  <c r="A238" i="8"/>
  <c r="Z237" i="8"/>
  <c r="V237" i="8"/>
  <c r="U237" i="8"/>
  <c r="T237" i="8"/>
  <c r="S237" i="8"/>
  <c r="R237" i="8"/>
  <c r="Q237" i="8"/>
  <c r="P237" i="8"/>
  <c r="O237" i="8"/>
  <c r="N237" i="8"/>
  <c r="M237" i="8"/>
  <c r="L237" i="8"/>
  <c r="K237" i="8"/>
  <c r="J237" i="8"/>
  <c r="I237" i="8"/>
  <c r="H237" i="8"/>
  <c r="G237" i="8"/>
  <c r="F237" i="8"/>
  <c r="E237" i="8"/>
  <c r="D237" i="8"/>
  <c r="C237" i="8"/>
  <c r="B237" i="8"/>
  <c r="A237" i="8"/>
  <c r="Z236" i="8"/>
  <c r="W236" i="8"/>
  <c r="V236" i="8"/>
  <c r="U236" i="8"/>
  <c r="T236" i="8"/>
  <c r="S236" i="8"/>
  <c r="R236" i="8"/>
  <c r="Q236" i="8"/>
  <c r="P236" i="8"/>
  <c r="O236" i="8"/>
  <c r="N236" i="8"/>
  <c r="M236" i="8"/>
  <c r="L236" i="8"/>
  <c r="K236" i="8"/>
  <c r="J236" i="8"/>
  <c r="I236" i="8"/>
  <c r="H236" i="8"/>
  <c r="G236" i="8"/>
  <c r="F236" i="8"/>
  <c r="E236" i="8"/>
  <c r="D236" i="8"/>
  <c r="C236" i="8"/>
  <c r="B236" i="8"/>
  <c r="A236"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B235" i="8"/>
  <c r="A235"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B234" i="8"/>
  <c r="A234"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B233" i="8"/>
  <c r="A233"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B232" i="8"/>
  <c r="A232"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B231" i="8"/>
  <c r="A231" i="8"/>
  <c r="Z230" i="8"/>
  <c r="V230" i="8"/>
  <c r="U230" i="8"/>
  <c r="T230" i="8"/>
  <c r="S230" i="8"/>
  <c r="R230" i="8"/>
  <c r="Q230" i="8"/>
  <c r="P230" i="8"/>
  <c r="O230" i="8"/>
  <c r="N230" i="8"/>
  <c r="M230" i="8"/>
  <c r="L230" i="8"/>
  <c r="K230" i="8"/>
  <c r="J230" i="8"/>
  <c r="I230" i="8"/>
  <c r="H230" i="8"/>
  <c r="G230" i="8"/>
  <c r="F230" i="8"/>
  <c r="E230" i="8"/>
  <c r="D230" i="8"/>
  <c r="C230" i="8"/>
  <c r="B230" i="8"/>
  <c r="A230" i="8"/>
  <c r="Z229" i="8"/>
  <c r="V229" i="8"/>
  <c r="U229" i="8"/>
  <c r="T229" i="8"/>
  <c r="S229" i="8"/>
  <c r="R229" i="8"/>
  <c r="Q229" i="8"/>
  <c r="P229" i="8"/>
  <c r="O229" i="8"/>
  <c r="N229" i="8"/>
  <c r="M229" i="8"/>
  <c r="L229" i="8"/>
  <c r="K229" i="8"/>
  <c r="J229" i="8"/>
  <c r="I229" i="8"/>
  <c r="H229" i="8"/>
  <c r="G229" i="8"/>
  <c r="F229" i="8"/>
  <c r="E229" i="8"/>
  <c r="D229" i="8"/>
  <c r="C229" i="8"/>
  <c r="B229" i="8"/>
  <c r="A229"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B228" i="8"/>
  <c r="A228"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B227" i="8"/>
  <c r="A227"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B226" i="8"/>
  <c r="A226"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B225" i="8"/>
  <c r="A225" i="8"/>
  <c r="Z224" i="8"/>
  <c r="V224" i="8"/>
  <c r="U224" i="8"/>
  <c r="T224" i="8"/>
  <c r="S224" i="8"/>
  <c r="R224" i="8"/>
  <c r="Q224" i="8"/>
  <c r="P224" i="8"/>
  <c r="O224" i="8"/>
  <c r="N224" i="8"/>
  <c r="M224" i="8"/>
  <c r="L224" i="8"/>
  <c r="K224" i="8"/>
  <c r="J224" i="8"/>
  <c r="I224" i="8"/>
  <c r="H224" i="8"/>
  <c r="G224" i="8"/>
  <c r="F224" i="8"/>
  <c r="E224" i="8"/>
  <c r="D224" i="8"/>
  <c r="C224" i="8"/>
  <c r="B224" i="8"/>
  <c r="A224" i="8"/>
  <c r="Z223" i="8"/>
  <c r="V223" i="8"/>
  <c r="U223" i="8"/>
  <c r="T223" i="8"/>
  <c r="S223" i="8"/>
  <c r="R223" i="8"/>
  <c r="Q223" i="8"/>
  <c r="P223" i="8"/>
  <c r="O223" i="8"/>
  <c r="N223" i="8"/>
  <c r="M223" i="8"/>
  <c r="L223" i="8"/>
  <c r="K223" i="8"/>
  <c r="J223" i="8"/>
  <c r="I223" i="8"/>
  <c r="H223" i="8"/>
  <c r="G223" i="8"/>
  <c r="F223" i="8"/>
  <c r="E223" i="8"/>
  <c r="D223" i="8"/>
  <c r="C223" i="8"/>
  <c r="B223" i="8"/>
  <c r="A223"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B222" i="8"/>
  <c r="A222"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B221" i="8"/>
  <c r="A221" i="8"/>
  <c r="Z220" i="8"/>
  <c r="V220" i="8"/>
  <c r="U220" i="8"/>
  <c r="T220" i="8"/>
  <c r="S220" i="8"/>
  <c r="R220" i="8"/>
  <c r="Q220" i="8"/>
  <c r="P220" i="8"/>
  <c r="O220" i="8"/>
  <c r="N220" i="8"/>
  <c r="M220" i="8"/>
  <c r="L220" i="8"/>
  <c r="K220" i="8"/>
  <c r="J220" i="8"/>
  <c r="I220" i="8"/>
  <c r="H220" i="8"/>
  <c r="G220" i="8"/>
  <c r="F220" i="8"/>
  <c r="E220" i="8"/>
  <c r="D220" i="8"/>
  <c r="C220" i="8"/>
  <c r="B220" i="8"/>
  <c r="A220"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B219" i="8"/>
  <c r="A219" i="8"/>
  <c r="Z218" i="8"/>
  <c r="V218" i="8"/>
  <c r="U218" i="8"/>
  <c r="T218" i="8"/>
  <c r="S218" i="8"/>
  <c r="R218" i="8"/>
  <c r="Q218" i="8"/>
  <c r="P218" i="8"/>
  <c r="O218" i="8"/>
  <c r="N218" i="8"/>
  <c r="M218" i="8"/>
  <c r="L218" i="8"/>
  <c r="K218" i="8"/>
  <c r="J218" i="8"/>
  <c r="I218" i="8"/>
  <c r="H218" i="8"/>
  <c r="G218" i="8"/>
  <c r="F218" i="8"/>
  <c r="E218" i="8"/>
  <c r="D218" i="8"/>
  <c r="C218" i="8"/>
  <c r="B218" i="8"/>
  <c r="A218"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B217" i="8"/>
  <c r="A217" i="8"/>
  <c r="Z216" i="8"/>
  <c r="V216" i="8"/>
  <c r="U216" i="8"/>
  <c r="T216" i="8"/>
  <c r="S216" i="8"/>
  <c r="R216" i="8"/>
  <c r="Q216" i="8"/>
  <c r="P216" i="8"/>
  <c r="O216" i="8"/>
  <c r="N216" i="8"/>
  <c r="M216" i="8"/>
  <c r="L216" i="8"/>
  <c r="K216" i="8"/>
  <c r="J216" i="8"/>
  <c r="I216" i="8"/>
  <c r="H216" i="8"/>
  <c r="G216" i="8"/>
  <c r="F216" i="8"/>
  <c r="E216" i="8"/>
  <c r="D216" i="8"/>
  <c r="C216" i="8"/>
  <c r="B216" i="8"/>
  <c r="A216"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B215" i="8"/>
  <c r="A215"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B214" i="8"/>
  <c r="A214"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B213" i="8"/>
  <c r="A213"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B212" i="8"/>
  <c r="A212"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B211" i="8"/>
  <c r="A211"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B210" i="8"/>
  <c r="A210"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B209" i="8"/>
  <c r="A209"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B208" i="8"/>
  <c r="A208"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B207" i="8"/>
  <c r="A207"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B206" i="8"/>
  <c r="A206"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B205" i="8"/>
  <c r="A205"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B204" i="8"/>
  <c r="A204" i="8"/>
  <c r="Z203" i="8"/>
  <c r="V203" i="8"/>
  <c r="U203" i="8"/>
  <c r="T203" i="8"/>
  <c r="S203" i="8"/>
  <c r="R203" i="8"/>
  <c r="Q203" i="8"/>
  <c r="P203" i="8"/>
  <c r="O203" i="8"/>
  <c r="N203" i="8"/>
  <c r="M203" i="8"/>
  <c r="L203" i="8"/>
  <c r="K203" i="8"/>
  <c r="J203" i="8"/>
  <c r="I203" i="8"/>
  <c r="H203" i="8"/>
  <c r="G203" i="8"/>
  <c r="F203" i="8"/>
  <c r="E203" i="8"/>
  <c r="D203" i="8"/>
  <c r="C203" i="8"/>
  <c r="B203" i="8"/>
  <c r="A203"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B202" i="8"/>
  <c r="A202"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B201" i="8"/>
  <c r="A201"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B200" i="8"/>
  <c r="A200"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B199" i="8"/>
  <c r="A199"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B198" i="8"/>
  <c r="A198"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B197" i="8"/>
  <c r="A197"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B196" i="8"/>
  <c r="A196"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B195" i="8"/>
  <c r="A195"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B194" i="8"/>
  <c r="A194"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B193" i="8"/>
  <c r="A193" i="8"/>
  <c r="Z192" i="8"/>
  <c r="V192" i="8"/>
  <c r="U192" i="8"/>
  <c r="T192" i="8"/>
  <c r="S192" i="8"/>
  <c r="R192" i="8"/>
  <c r="Q192" i="8"/>
  <c r="P192" i="8"/>
  <c r="O192" i="8"/>
  <c r="N192" i="8"/>
  <c r="M192" i="8"/>
  <c r="L192" i="8"/>
  <c r="K192" i="8"/>
  <c r="J192" i="8"/>
  <c r="I192" i="8"/>
  <c r="H192" i="8"/>
  <c r="G192" i="8"/>
  <c r="F192" i="8"/>
  <c r="E192" i="8"/>
  <c r="D192" i="8"/>
  <c r="C192" i="8"/>
  <c r="B192" i="8"/>
  <c r="A192" i="8"/>
  <c r="Z191" i="8"/>
  <c r="V191" i="8"/>
  <c r="U191" i="8"/>
  <c r="T191" i="8"/>
  <c r="S191" i="8"/>
  <c r="R191" i="8"/>
  <c r="Q191" i="8"/>
  <c r="P191" i="8"/>
  <c r="O191" i="8"/>
  <c r="N191" i="8"/>
  <c r="M191" i="8"/>
  <c r="L191" i="8"/>
  <c r="K191" i="8"/>
  <c r="J191" i="8"/>
  <c r="I191" i="8"/>
  <c r="H191" i="8"/>
  <c r="G191" i="8"/>
  <c r="F191" i="8"/>
  <c r="E191" i="8"/>
  <c r="D191" i="8"/>
  <c r="C191" i="8"/>
  <c r="B191" i="8"/>
  <c r="A191"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B190" i="8"/>
  <c r="A190"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B189" i="8"/>
  <c r="A189"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B188" i="8"/>
  <c r="A188"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B187" i="8"/>
  <c r="A187"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B186" i="8"/>
  <c r="A186"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B185" i="8"/>
  <c r="A185"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B184" i="8"/>
  <c r="A184"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B183" i="8"/>
  <c r="A183"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B182" i="8"/>
  <c r="A182"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B181" i="8"/>
  <c r="A181"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B180" i="8"/>
  <c r="A180" i="8"/>
  <c r="Z179" i="8"/>
  <c r="V179" i="8"/>
  <c r="U179" i="8"/>
  <c r="T179" i="8"/>
  <c r="S179" i="8"/>
  <c r="R179" i="8"/>
  <c r="Q179" i="8"/>
  <c r="P179" i="8"/>
  <c r="O179" i="8"/>
  <c r="N179" i="8"/>
  <c r="M179" i="8"/>
  <c r="L179" i="8"/>
  <c r="K179" i="8"/>
  <c r="J179" i="8"/>
  <c r="I179" i="8"/>
  <c r="H179" i="8"/>
  <c r="G179" i="8"/>
  <c r="F179" i="8"/>
  <c r="E179" i="8"/>
  <c r="D179" i="8"/>
  <c r="C179" i="8"/>
  <c r="B179" i="8"/>
  <c r="A179"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B178" i="8"/>
  <c r="A178"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B177" i="8"/>
  <c r="A177"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B176" i="8"/>
  <c r="A176"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B175" i="8"/>
  <c r="A175" i="8"/>
  <c r="Z174" i="8"/>
  <c r="V174" i="8"/>
  <c r="U174" i="8"/>
  <c r="T174" i="8"/>
  <c r="S174" i="8"/>
  <c r="R174" i="8"/>
  <c r="Q174" i="8"/>
  <c r="P174" i="8"/>
  <c r="O174" i="8"/>
  <c r="N174" i="8"/>
  <c r="M174" i="8"/>
  <c r="L174" i="8"/>
  <c r="K174" i="8"/>
  <c r="J174" i="8"/>
  <c r="I174" i="8"/>
  <c r="H174" i="8"/>
  <c r="G174" i="8"/>
  <c r="F174" i="8"/>
  <c r="E174" i="8"/>
  <c r="D174" i="8"/>
  <c r="C174" i="8"/>
  <c r="B174" i="8"/>
  <c r="A174"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B173" i="8"/>
  <c r="A173"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B172" i="8"/>
  <c r="A172"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B171" i="8"/>
  <c r="A171"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B170" i="8"/>
  <c r="A170"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B169" i="8"/>
  <c r="A169"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B168" i="8"/>
  <c r="A168"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B167" i="8"/>
  <c r="A167" i="8"/>
  <c r="Z166" i="8"/>
  <c r="V166" i="8"/>
  <c r="U166" i="8"/>
  <c r="T166" i="8"/>
  <c r="S166" i="8"/>
  <c r="R166" i="8"/>
  <c r="Q166" i="8"/>
  <c r="P166" i="8"/>
  <c r="O166" i="8"/>
  <c r="N166" i="8"/>
  <c r="M166" i="8"/>
  <c r="L166" i="8"/>
  <c r="K166" i="8"/>
  <c r="J166" i="8"/>
  <c r="I166" i="8"/>
  <c r="H166" i="8"/>
  <c r="G166" i="8"/>
  <c r="F166" i="8"/>
  <c r="E166" i="8"/>
  <c r="D166" i="8"/>
  <c r="C166" i="8"/>
  <c r="B166" i="8"/>
  <c r="A166" i="8"/>
  <c r="Z165" i="8"/>
  <c r="V165" i="8"/>
  <c r="U165" i="8"/>
  <c r="T165" i="8"/>
  <c r="S165" i="8"/>
  <c r="R165" i="8"/>
  <c r="Q165" i="8"/>
  <c r="P165" i="8"/>
  <c r="O165" i="8"/>
  <c r="N165" i="8"/>
  <c r="M165" i="8"/>
  <c r="L165" i="8"/>
  <c r="K165" i="8"/>
  <c r="J165" i="8"/>
  <c r="I165" i="8"/>
  <c r="H165" i="8"/>
  <c r="G165" i="8"/>
  <c r="F165" i="8"/>
  <c r="E165" i="8"/>
  <c r="D165" i="8"/>
  <c r="C165" i="8"/>
  <c r="B165" i="8"/>
  <c r="A165" i="8"/>
  <c r="Z164" i="8"/>
  <c r="V164" i="8"/>
  <c r="U164" i="8"/>
  <c r="T164" i="8"/>
  <c r="S164" i="8"/>
  <c r="R164" i="8"/>
  <c r="Q164" i="8"/>
  <c r="P164" i="8"/>
  <c r="O164" i="8"/>
  <c r="N164" i="8"/>
  <c r="M164" i="8"/>
  <c r="L164" i="8"/>
  <c r="K164" i="8"/>
  <c r="J164" i="8"/>
  <c r="I164" i="8"/>
  <c r="H164" i="8"/>
  <c r="G164" i="8"/>
  <c r="F164" i="8"/>
  <c r="E164" i="8"/>
  <c r="D164" i="8"/>
  <c r="C164" i="8"/>
  <c r="B164" i="8"/>
  <c r="A164"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B163" i="8"/>
  <c r="A163"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B162" i="8"/>
  <c r="A162"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B161" i="8"/>
  <c r="A161"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B160" i="8"/>
  <c r="A160"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B159" i="8"/>
  <c r="A159"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B158" i="8"/>
  <c r="A158"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B157" i="8"/>
  <c r="A157"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B156" i="8"/>
  <c r="A156"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B155" i="8"/>
  <c r="A155"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B154" i="8"/>
  <c r="A154" i="8"/>
  <c r="Z153" i="8"/>
  <c r="V153" i="8"/>
  <c r="U153" i="8"/>
  <c r="T153" i="8"/>
  <c r="S153" i="8"/>
  <c r="R153" i="8"/>
  <c r="Q153" i="8"/>
  <c r="P153" i="8"/>
  <c r="O153" i="8"/>
  <c r="N153" i="8"/>
  <c r="M153" i="8"/>
  <c r="L153" i="8"/>
  <c r="K153" i="8"/>
  <c r="J153" i="8"/>
  <c r="I153" i="8"/>
  <c r="H153" i="8"/>
  <c r="G153" i="8"/>
  <c r="F153" i="8"/>
  <c r="E153" i="8"/>
  <c r="D153" i="8"/>
  <c r="C153" i="8"/>
  <c r="B153" i="8"/>
  <c r="A153"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B152" i="8"/>
  <c r="A152" i="8"/>
  <c r="Z151" i="8"/>
  <c r="V151" i="8"/>
  <c r="U151" i="8"/>
  <c r="T151" i="8"/>
  <c r="S151" i="8"/>
  <c r="R151" i="8"/>
  <c r="Q151" i="8"/>
  <c r="P151" i="8"/>
  <c r="O151" i="8"/>
  <c r="N151" i="8"/>
  <c r="M151" i="8"/>
  <c r="L151" i="8"/>
  <c r="K151" i="8"/>
  <c r="J151" i="8"/>
  <c r="I151" i="8"/>
  <c r="H151" i="8"/>
  <c r="G151" i="8"/>
  <c r="F151" i="8"/>
  <c r="E151" i="8"/>
  <c r="D151" i="8"/>
  <c r="C151" i="8"/>
  <c r="B151" i="8"/>
  <c r="A151"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B150" i="8"/>
  <c r="A150" i="8"/>
  <c r="Z149" i="8"/>
  <c r="V149" i="8"/>
  <c r="U149" i="8"/>
  <c r="T149" i="8"/>
  <c r="S149" i="8"/>
  <c r="R149" i="8"/>
  <c r="Q149" i="8"/>
  <c r="P149" i="8"/>
  <c r="O149" i="8"/>
  <c r="N149" i="8"/>
  <c r="M149" i="8"/>
  <c r="L149" i="8"/>
  <c r="K149" i="8"/>
  <c r="J149" i="8"/>
  <c r="I149" i="8"/>
  <c r="H149" i="8"/>
  <c r="G149" i="8"/>
  <c r="F149" i="8"/>
  <c r="E149" i="8"/>
  <c r="D149" i="8"/>
  <c r="C149" i="8"/>
  <c r="B149" i="8"/>
  <c r="A149" i="8"/>
  <c r="Z148" i="8"/>
  <c r="V148" i="8"/>
  <c r="U148" i="8"/>
  <c r="T148" i="8"/>
  <c r="S148" i="8"/>
  <c r="R148" i="8"/>
  <c r="Q148" i="8"/>
  <c r="P148" i="8"/>
  <c r="O148" i="8"/>
  <c r="N148" i="8"/>
  <c r="M148" i="8"/>
  <c r="L148" i="8"/>
  <c r="K148" i="8"/>
  <c r="J148" i="8"/>
  <c r="I148" i="8"/>
  <c r="H148" i="8"/>
  <c r="G148" i="8"/>
  <c r="F148" i="8"/>
  <c r="E148" i="8"/>
  <c r="D148" i="8"/>
  <c r="C148" i="8"/>
  <c r="B148" i="8"/>
  <c r="A148"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B147" i="8"/>
  <c r="A147"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B146" i="8"/>
  <c r="A146"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B145" i="8"/>
  <c r="A145"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B144" i="8"/>
  <c r="A144"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B143" i="8"/>
  <c r="A143"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B142" i="8"/>
  <c r="A142"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B141" i="8"/>
  <c r="A141"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B140" i="8"/>
  <c r="A140"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B139" i="8"/>
  <c r="A139"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B138" i="8"/>
  <c r="A138"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B137" i="8"/>
  <c r="A137"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B136" i="8"/>
  <c r="A136"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B135" i="8"/>
  <c r="A135"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B134" i="8"/>
  <c r="A134"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B133" i="8"/>
  <c r="A133"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B132" i="8"/>
  <c r="A132"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B131" i="8"/>
  <c r="A131"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B130" i="8"/>
  <c r="A130"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B129" i="8"/>
  <c r="A129"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B128" i="8"/>
  <c r="A128"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B127" i="8"/>
  <c r="A127"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B126" i="8"/>
  <c r="A126"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B125" i="8"/>
  <c r="A125" i="8"/>
  <c r="Z124" i="8"/>
  <c r="V124" i="8"/>
  <c r="U124" i="8"/>
  <c r="T124" i="8"/>
  <c r="S124" i="8"/>
  <c r="R124" i="8"/>
  <c r="Q124" i="8"/>
  <c r="P124" i="8"/>
  <c r="O124" i="8"/>
  <c r="N124" i="8"/>
  <c r="M124" i="8"/>
  <c r="L124" i="8"/>
  <c r="K124" i="8"/>
  <c r="J124" i="8"/>
  <c r="I124" i="8"/>
  <c r="H124" i="8"/>
  <c r="G124" i="8"/>
  <c r="F124" i="8"/>
  <c r="E124" i="8"/>
  <c r="D124" i="8"/>
  <c r="C124" i="8"/>
  <c r="B124" i="8"/>
  <c r="A124" i="8"/>
  <c r="Z123" i="8"/>
  <c r="V123" i="8"/>
  <c r="U123" i="8"/>
  <c r="T123" i="8"/>
  <c r="S123" i="8"/>
  <c r="R123" i="8"/>
  <c r="Q123" i="8"/>
  <c r="P123" i="8"/>
  <c r="O123" i="8"/>
  <c r="N123" i="8"/>
  <c r="M123" i="8"/>
  <c r="L123" i="8"/>
  <c r="K123" i="8"/>
  <c r="J123" i="8"/>
  <c r="I123" i="8"/>
  <c r="H123" i="8"/>
  <c r="G123" i="8"/>
  <c r="F123" i="8"/>
  <c r="E123" i="8"/>
  <c r="D123" i="8"/>
  <c r="C123" i="8"/>
  <c r="B123" i="8"/>
  <c r="A123"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B122" i="8"/>
  <c r="A122"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B121" i="8"/>
  <c r="A121"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B120" i="8"/>
  <c r="A120" i="8"/>
  <c r="Z119" i="8"/>
  <c r="V119" i="8"/>
  <c r="U119" i="8"/>
  <c r="T119" i="8"/>
  <c r="S119" i="8"/>
  <c r="R119" i="8"/>
  <c r="Q119" i="8"/>
  <c r="P119" i="8"/>
  <c r="O119" i="8"/>
  <c r="N119" i="8"/>
  <c r="M119" i="8"/>
  <c r="L119" i="8"/>
  <c r="K119" i="8"/>
  <c r="J119" i="8"/>
  <c r="I119" i="8"/>
  <c r="H119" i="8"/>
  <c r="G119" i="8"/>
  <c r="F119" i="8"/>
  <c r="E119" i="8"/>
  <c r="D119" i="8"/>
  <c r="C119" i="8"/>
  <c r="B119" i="8"/>
  <c r="A119" i="8"/>
  <c r="Z118" i="8"/>
  <c r="V118" i="8"/>
  <c r="U118" i="8"/>
  <c r="T118" i="8"/>
  <c r="S118" i="8"/>
  <c r="R118" i="8"/>
  <c r="Q118" i="8"/>
  <c r="P118" i="8"/>
  <c r="O118" i="8"/>
  <c r="N118" i="8"/>
  <c r="M118" i="8"/>
  <c r="L118" i="8"/>
  <c r="K118" i="8"/>
  <c r="J118" i="8"/>
  <c r="I118" i="8"/>
  <c r="H118" i="8"/>
  <c r="G118" i="8"/>
  <c r="F118" i="8"/>
  <c r="E118" i="8"/>
  <c r="D118" i="8"/>
  <c r="C118" i="8"/>
  <c r="B118" i="8"/>
  <c r="A118"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B117" i="8"/>
  <c r="A117"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B116" i="8"/>
  <c r="A116"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B115" i="8"/>
  <c r="A115"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B114" i="8"/>
  <c r="A114"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B113" i="8"/>
  <c r="A113"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B112" i="8"/>
  <c r="A112"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B111" i="8"/>
  <c r="A111"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B110" i="8"/>
  <c r="A110"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B109" i="8"/>
  <c r="A109"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B108" i="8"/>
  <c r="A108"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B107" i="8"/>
  <c r="A107"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B106" i="8"/>
  <c r="A106"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B105" i="8"/>
  <c r="A105"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B104" i="8"/>
  <c r="A104"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B103" i="8"/>
  <c r="A103"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B102" i="8"/>
  <c r="A102"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B101" i="8"/>
  <c r="A101" i="8"/>
  <c r="Z100" i="8"/>
  <c r="V100" i="8"/>
  <c r="U100" i="8"/>
  <c r="T100" i="8"/>
  <c r="S100" i="8"/>
  <c r="R100" i="8"/>
  <c r="Q100" i="8"/>
  <c r="P100" i="8"/>
  <c r="O100" i="8"/>
  <c r="N100" i="8"/>
  <c r="M100" i="8"/>
  <c r="L100" i="8"/>
  <c r="K100" i="8"/>
  <c r="J100" i="8"/>
  <c r="I100" i="8"/>
  <c r="H100" i="8"/>
  <c r="G100" i="8"/>
  <c r="F100" i="8"/>
  <c r="E100" i="8"/>
  <c r="D100" i="8"/>
  <c r="C100" i="8"/>
  <c r="B100" i="8"/>
  <c r="A100" i="8"/>
  <c r="Z99" i="8"/>
  <c r="V99" i="8"/>
  <c r="U99" i="8"/>
  <c r="T99" i="8"/>
  <c r="S99" i="8"/>
  <c r="R99" i="8"/>
  <c r="Q99" i="8"/>
  <c r="P99" i="8"/>
  <c r="O99" i="8"/>
  <c r="N99" i="8"/>
  <c r="M99" i="8"/>
  <c r="L99" i="8"/>
  <c r="K99" i="8"/>
  <c r="J99" i="8"/>
  <c r="I99" i="8"/>
  <c r="H99" i="8"/>
  <c r="G99" i="8"/>
  <c r="F99" i="8"/>
  <c r="E99" i="8"/>
  <c r="D99" i="8"/>
  <c r="C99" i="8"/>
  <c r="B99" i="8"/>
  <c r="A99"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B98" i="8"/>
  <c r="A98" i="8"/>
  <c r="Z97" i="8"/>
  <c r="V97" i="8"/>
  <c r="U97" i="8"/>
  <c r="T97" i="8"/>
  <c r="S97" i="8"/>
  <c r="R97" i="8"/>
  <c r="Q97" i="8"/>
  <c r="P97" i="8"/>
  <c r="O97" i="8"/>
  <c r="N97" i="8"/>
  <c r="M97" i="8"/>
  <c r="L97" i="8"/>
  <c r="K97" i="8"/>
  <c r="J97" i="8"/>
  <c r="I97" i="8"/>
  <c r="H97" i="8"/>
  <c r="G97" i="8"/>
  <c r="F97" i="8"/>
  <c r="E97" i="8"/>
  <c r="D97" i="8"/>
  <c r="C97" i="8"/>
  <c r="B97" i="8"/>
  <c r="A97" i="8"/>
  <c r="Z96" i="8"/>
  <c r="V96" i="8"/>
  <c r="U96" i="8"/>
  <c r="T96" i="8"/>
  <c r="S96" i="8"/>
  <c r="R96" i="8"/>
  <c r="Q96" i="8"/>
  <c r="P96" i="8"/>
  <c r="O96" i="8"/>
  <c r="N96" i="8"/>
  <c r="M96" i="8"/>
  <c r="L96" i="8"/>
  <c r="K96" i="8"/>
  <c r="J96" i="8"/>
  <c r="I96" i="8"/>
  <c r="H96" i="8"/>
  <c r="G96" i="8"/>
  <c r="F96" i="8"/>
  <c r="E96" i="8"/>
  <c r="D96" i="8"/>
  <c r="C96" i="8"/>
  <c r="B96" i="8"/>
  <c r="A96"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B95" i="8"/>
  <c r="A95"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B94" i="8"/>
  <c r="A94" i="8"/>
  <c r="AB93" i="8"/>
  <c r="Z93" i="8"/>
  <c r="V93" i="8"/>
  <c r="U93" i="8"/>
  <c r="T93" i="8"/>
  <c r="S93" i="8"/>
  <c r="R93" i="8"/>
  <c r="Q93" i="8"/>
  <c r="P93" i="8"/>
  <c r="O93" i="8"/>
  <c r="N93" i="8"/>
  <c r="M93" i="8"/>
  <c r="L93" i="8"/>
  <c r="K93" i="8"/>
  <c r="J93" i="8"/>
  <c r="I93" i="8"/>
  <c r="H93" i="8"/>
  <c r="G93" i="8"/>
  <c r="F93" i="8"/>
  <c r="E93" i="8"/>
  <c r="D93" i="8"/>
  <c r="C93" i="8"/>
  <c r="B93" i="8"/>
  <c r="A93"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B92" i="8"/>
  <c r="A92" i="8"/>
  <c r="Z91" i="8"/>
  <c r="V91" i="8"/>
  <c r="U91" i="8"/>
  <c r="T91" i="8"/>
  <c r="S91" i="8"/>
  <c r="R91" i="8"/>
  <c r="Q91" i="8"/>
  <c r="P91" i="8"/>
  <c r="O91" i="8"/>
  <c r="N91" i="8"/>
  <c r="M91" i="8"/>
  <c r="L91" i="8"/>
  <c r="K91" i="8"/>
  <c r="J91" i="8"/>
  <c r="I91" i="8"/>
  <c r="H91" i="8"/>
  <c r="G91" i="8"/>
  <c r="F91" i="8"/>
  <c r="E91" i="8"/>
  <c r="D91" i="8"/>
  <c r="C91" i="8"/>
  <c r="B91" i="8"/>
  <c r="A91" i="8"/>
  <c r="Z90" i="8"/>
  <c r="V90" i="8"/>
  <c r="U90" i="8"/>
  <c r="T90" i="8"/>
  <c r="S90" i="8"/>
  <c r="R90" i="8"/>
  <c r="Q90" i="8"/>
  <c r="P90" i="8"/>
  <c r="O90" i="8"/>
  <c r="N90" i="8"/>
  <c r="M90" i="8"/>
  <c r="L90" i="8"/>
  <c r="K90" i="8"/>
  <c r="J90" i="8"/>
  <c r="I90" i="8"/>
  <c r="H90" i="8"/>
  <c r="G90" i="8"/>
  <c r="F90" i="8"/>
  <c r="E90" i="8"/>
  <c r="D90" i="8"/>
  <c r="C90" i="8"/>
  <c r="B90" i="8"/>
  <c r="A90" i="8"/>
  <c r="Z89" i="8"/>
  <c r="V89" i="8"/>
  <c r="U89" i="8"/>
  <c r="T89" i="8"/>
  <c r="S89" i="8"/>
  <c r="R89" i="8"/>
  <c r="Q89" i="8"/>
  <c r="P89" i="8"/>
  <c r="O89" i="8"/>
  <c r="N89" i="8"/>
  <c r="M89" i="8"/>
  <c r="L89" i="8"/>
  <c r="K89" i="8"/>
  <c r="J89" i="8"/>
  <c r="I89" i="8"/>
  <c r="H89" i="8"/>
  <c r="G89" i="8"/>
  <c r="F89" i="8"/>
  <c r="E89" i="8"/>
  <c r="D89" i="8"/>
  <c r="C89" i="8"/>
  <c r="B89" i="8"/>
  <c r="A89"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B88" i="8"/>
  <c r="A88" i="8"/>
  <c r="Z87" i="8"/>
  <c r="V87" i="8"/>
  <c r="U87" i="8"/>
  <c r="T87" i="8"/>
  <c r="S87" i="8"/>
  <c r="R87" i="8"/>
  <c r="Q87" i="8"/>
  <c r="P87" i="8"/>
  <c r="O87" i="8"/>
  <c r="N87" i="8"/>
  <c r="M87" i="8"/>
  <c r="L87" i="8"/>
  <c r="K87" i="8"/>
  <c r="J87" i="8"/>
  <c r="I87" i="8"/>
  <c r="H87" i="8"/>
  <c r="G87" i="8"/>
  <c r="F87" i="8"/>
  <c r="E87" i="8"/>
  <c r="D87" i="8"/>
  <c r="C87" i="8"/>
  <c r="B87" i="8"/>
  <c r="A87"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B86" i="8"/>
  <c r="A86"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B85" i="8"/>
  <c r="A85"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B84" i="8"/>
  <c r="A84"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B83" i="8"/>
  <c r="A83"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B82" i="8"/>
  <c r="A82"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B81" i="8"/>
  <c r="A81" i="8"/>
  <c r="Z80" i="8"/>
  <c r="V80" i="8"/>
  <c r="U80" i="8"/>
  <c r="T80" i="8"/>
  <c r="S80" i="8"/>
  <c r="R80" i="8"/>
  <c r="Q80" i="8"/>
  <c r="P80" i="8"/>
  <c r="O80" i="8"/>
  <c r="N80" i="8"/>
  <c r="M80" i="8"/>
  <c r="L80" i="8"/>
  <c r="K80" i="8"/>
  <c r="J80" i="8"/>
  <c r="I80" i="8"/>
  <c r="H80" i="8"/>
  <c r="G80" i="8"/>
  <c r="F80" i="8"/>
  <c r="E80" i="8"/>
  <c r="D80" i="8"/>
  <c r="C80" i="8"/>
  <c r="B80" i="8"/>
  <c r="A80"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B79" i="8"/>
  <c r="A79"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B78" i="8"/>
  <c r="A78"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B77" i="8"/>
  <c r="A77"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B76" i="8"/>
  <c r="A76"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B75" i="8"/>
  <c r="A75"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B74" i="8"/>
  <c r="A74" i="8"/>
  <c r="AC73" i="8"/>
  <c r="AB73" i="8"/>
  <c r="Z73" i="8"/>
  <c r="X73" i="8"/>
  <c r="V73" i="8"/>
  <c r="U73" i="8"/>
  <c r="T73" i="8"/>
  <c r="S73" i="8"/>
  <c r="R73" i="8"/>
  <c r="Q73" i="8"/>
  <c r="P73" i="8"/>
  <c r="O73" i="8"/>
  <c r="N73" i="8"/>
  <c r="M73" i="8"/>
  <c r="L73" i="8"/>
  <c r="K73" i="8"/>
  <c r="J73" i="8"/>
  <c r="I73" i="8"/>
  <c r="H73" i="8"/>
  <c r="G73" i="8"/>
  <c r="F73" i="8"/>
  <c r="E73" i="8"/>
  <c r="D73" i="8"/>
  <c r="C73" i="8"/>
  <c r="B73" i="8"/>
  <c r="A73"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B72" i="8"/>
  <c r="A72"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B71" i="8"/>
  <c r="A71" i="8"/>
  <c r="Z70" i="8"/>
  <c r="V70" i="8"/>
  <c r="U70" i="8"/>
  <c r="T70" i="8"/>
  <c r="S70" i="8"/>
  <c r="R70" i="8"/>
  <c r="Q70" i="8"/>
  <c r="P70" i="8"/>
  <c r="O70" i="8"/>
  <c r="N70" i="8"/>
  <c r="M70" i="8"/>
  <c r="L70" i="8"/>
  <c r="K70" i="8"/>
  <c r="J70" i="8"/>
  <c r="I70" i="8"/>
  <c r="H70" i="8"/>
  <c r="G70" i="8"/>
  <c r="F70" i="8"/>
  <c r="E70" i="8"/>
  <c r="D70" i="8"/>
  <c r="C70" i="8"/>
  <c r="B70" i="8"/>
  <c r="A70"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B69" i="8"/>
  <c r="A69"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B68" i="8"/>
  <c r="A68"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B67" i="8"/>
  <c r="A67"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B66" i="8"/>
  <c r="A66"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B65" i="8"/>
  <c r="A65"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B64" i="8"/>
  <c r="A64"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B63" i="8"/>
  <c r="A63"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B62" i="8"/>
  <c r="A62"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B61" i="8"/>
  <c r="A61"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B60" i="8"/>
  <c r="A60"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B59" i="8"/>
  <c r="A59"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B58" i="8"/>
  <c r="A58"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B57" i="8"/>
  <c r="A57"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B56" i="8"/>
  <c r="A56"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B55" i="8"/>
  <c r="A55"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B54" i="8"/>
  <c r="A54"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B53" i="8"/>
  <c r="A53" i="8"/>
  <c r="Z52" i="8"/>
  <c r="V52" i="8"/>
  <c r="U52" i="8"/>
  <c r="T52" i="8"/>
  <c r="S52" i="8"/>
  <c r="R52" i="8"/>
  <c r="Q52" i="8"/>
  <c r="P52" i="8"/>
  <c r="O52" i="8"/>
  <c r="N52" i="8"/>
  <c r="M52" i="8"/>
  <c r="L52" i="8"/>
  <c r="K52" i="8"/>
  <c r="J52" i="8"/>
  <c r="I52" i="8"/>
  <c r="H52" i="8"/>
  <c r="G52" i="8"/>
  <c r="F52" i="8"/>
  <c r="E52" i="8"/>
  <c r="D52" i="8"/>
  <c r="C52" i="8"/>
  <c r="B52" i="8"/>
  <c r="A52" i="8"/>
  <c r="Z51" i="8"/>
  <c r="V51" i="8"/>
  <c r="U51" i="8"/>
  <c r="T51" i="8"/>
  <c r="S51" i="8"/>
  <c r="R51" i="8"/>
  <c r="Q51" i="8"/>
  <c r="P51" i="8"/>
  <c r="O51" i="8"/>
  <c r="N51" i="8"/>
  <c r="M51" i="8"/>
  <c r="L51" i="8"/>
  <c r="K51" i="8"/>
  <c r="J51" i="8"/>
  <c r="I51" i="8"/>
  <c r="H51" i="8"/>
  <c r="G51" i="8"/>
  <c r="F51" i="8"/>
  <c r="E51" i="8"/>
  <c r="D51" i="8"/>
  <c r="C51" i="8"/>
  <c r="B51" i="8"/>
  <c r="A51"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B50" i="8"/>
  <c r="A50"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B49" i="8"/>
  <c r="A49"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B48" i="8"/>
  <c r="A48" i="8"/>
  <c r="Z47" i="8"/>
  <c r="V47" i="8"/>
  <c r="U47" i="8"/>
  <c r="T47" i="8"/>
  <c r="S47" i="8"/>
  <c r="R47" i="8"/>
  <c r="Q47" i="8"/>
  <c r="P47" i="8"/>
  <c r="O47" i="8"/>
  <c r="N47" i="8"/>
  <c r="M47" i="8"/>
  <c r="L47" i="8"/>
  <c r="K47" i="8"/>
  <c r="J47" i="8"/>
  <c r="I47" i="8"/>
  <c r="H47" i="8"/>
  <c r="G47" i="8"/>
  <c r="F47" i="8"/>
  <c r="E47" i="8"/>
  <c r="D47" i="8"/>
  <c r="C47" i="8"/>
  <c r="B47" i="8"/>
  <c r="A47"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B46" i="8"/>
  <c r="A46"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B45" i="8"/>
  <c r="A45"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B44" i="8"/>
  <c r="A44"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B43" i="8"/>
  <c r="A43"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B42" i="8"/>
  <c r="A42"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B41" i="8"/>
  <c r="A41"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B40" i="8"/>
  <c r="A40"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B39" i="8"/>
  <c r="A39"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B38" i="8"/>
  <c r="A38"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B37" i="8"/>
  <c r="A37"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B36" i="8"/>
  <c r="A36"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B35" i="8"/>
  <c r="A35"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B34" i="8"/>
  <c r="A34"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B33" i="8"/>
  <c r="A33"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B32" i="8"/>
  <c r="A32"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B30" i="8"/>
  <c r="A30"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B29" i="8"/>
  <c r="A29" i="8"/>
  <c r="Z28" i="8"/>
  <c r="V28" i="8"/>
  <c r="U28" i="8"/>
  <c r="T28" i="8"/>
  <c r="S28" i="8"/>
  <c r="R28" i="8"/>
  <c r="Q28" i="8"/>
  <c r="P28" i="8"/>
  <c r="O28" i="8"/>
  <c r="N28" i="8"/>
  <c r="M28" i="8"/>
  <c r="L28" i="8"/>
  <c r="K28" i="8"/>
  <c r="J28" i="8"/>
  <c r="I28" i="8"/>
  <c r="H28" i="8"/>
  <c r="G28" i="8"/>
  <c r="F28" i="8"/>
  <c r="E28" i="8"/>
  <c r="D28" i="8"/>
  <c r="C28" i="8"/>
  <c r="B28" i="8"/>
  <c r="A28" i="8"/>
  <c r="Z27" i="8"/>
  <c r="V27" i="8"/>
  <c r="U27" i="8"/>
  <c r="T27" i="8"/>
  <c r="S27" i="8"/>
  <c r="R27" i="8"/>
  <c r="Q27" i="8"/>
  <c r="P27" i="8"/>
  <c r="O27" i="8"/>
  <c r="N27" i="8"/>
  <c r="M27" i="8"/>
  <c r="L27" i="8"/>
  <c r="K27" i="8"/>
  <c r="J27" i="8"/>
  <c r="I27" i="8"/>
  <c r="H27" i="8"/>
  <c r="G27" i="8"/>
  <c r="F27" i="8"/>
  <c r="E27" i="8"/>
  <c r="D27" i="8"/>
  <c r="C27" i="8"/>
  <c r="B27" i="8"/>
  <c r="A27"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B26" i="8"/>
  <c r="A26"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B25" i="8"/>
  <c r="A25" i="8"/>
  <c r="Z24" i="8"/>
  <c r="V24" i="8"/>
  <c r="U24" i="8"/>
  <c r="T24" i="8"/>
  <c r="S24" i="8"/>
  <c r="R24" i="8"/>
  <c r="Q24" i="8"/>
  <c r="P24" i="8"/>
  <c r="O24" i="8"/>
  <c r="N24" i="8"/>
  <c r="M24" i="8"/>
  <c r="L24" i="8"/>
  <c r="K24" i="8"/>
  <c r="J24" i="8"/>
  <c r="I24" i="8"/>
  <c r="H24" i="8"/>
  <c r="G24" i="8"/>
  <c r="F24" i="8"/>
  <c r="E24" i="8"/>
  <c r="D24" i="8"/>
  <c r="C24" i="8"/>
  <c r="B24" i="8"/>
  <c r="A24"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B23" i="8"/>
  <c r="A23"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B22" i="8"/>
  <c r="A22"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B21" i="8"/>
  <c r="A21"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B20" i="8"/>
  <c r="A20"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B19" i="8"/>
  <c r="A19"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B18" i="8"/>
  <c r="A18"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B17" i="8"/>
  <c r="A17" i="8"/>
  <c r="Z16" i="8"/>
  <c r="V16" i="8"/>
  <c r="U16" i="8"/>
  <c r="T16" i="8"/>
  <c r="S16" i="8"/>
  <c r="R16" i="8"/>
  <c r="Q16" i="8"/>
  <c r="P16" i="8"/>
  <c r="O16" i="8"/>
  <c r="N16" i="8"/>
  <c r="M16" i="8"/>
  <c r="L16" i="8"/>
  <c r="K16" i="8"/>
  <c r="J16" i="8"/>
  <c r="I16" i="8"/>
  <c r="H16" i="8"/>
  <c r="G16" i="8"/>
  <c r="F16" i="8"/>
  <c r="E16" i="8"/>
  <c r="D16" i="8"/>
  <c r="C16" i="8"/>
  <c r="B16" i="8"/>
  <c r="A16"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B15" i="8"/>
  <c r="A15"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B14" i="8"/>
  <c r="A14" i="8"/>
  <c r="Z13" i="8"/>
  <c r="V13" i="8"/>
  <c r="U13" i="8"/>
  <c r="T13" i="8"/>
  <c r="S13" i="8"/>
  <c r="R13" i="8"/>
  <c r="Q13" i="8"/>
  <c r="P13" i="8"/>
  <c r="O13" i="8"/>
  <c r="N13" i="8"/>
  <c r="M13" i="8"/>
  <c r="L13" i="8"/>
  <c r="K13" i="8"/>
  <c r="J13" i="8"/>
  <c r="I13" i="8"/>
  <c r="H13" i="8"/>
  <c r="G13" i="8"/>
  <c r="F13" i="8"/>
  <c r="E13" i="8"/>
  <c r="D13" i="8"/>
  <c r="C13" i="8"/>
  <c r="B13" i="8"/>
  <c r="A13" i="8"/>
  <c r="Z12" i="8"/>
  <c r="V12" i="8"/>
  <c r="U12" i="8"/>
  <c r="T12" i="8"/>
  <c r="S12" i="8"/>
  <c r="R12" i="8"/>
  <c r="Q12" i="8"/>
  <c r="P12" i="8"/>
  <c r="O12" i="8"/>
  <c r="N12" i="8"/>
  <c r="M12" i="8"/>
  <c r="L12" i="8"/>
  <c r="K12" i="8"/>
  <c r="J12" i="8"/>
  <c r="I12" i="8"/>
  <c r="H12" i="8"/>
  <c r="G12" i="8"/>
  <c r="F12" i="8"/>
  <c r="E12" i="8"/>
  <c r="D12" i="8"/>
  <c r="C12" i="8"/>
  <c r="B12" i="8"/>
  <c r="A12" i="8"/>
  <c r="Z11" i="8"/>
  <c r="V11" i="8"/>
  <c r="U11" i="8"/>
  <c r="T11" i="8"/>
  <c r="S11" i="8"/>
  <c r="R11" i="8"/>
  <c r="Q11" i="8"/>
  <c r="P11" i="8"/>
  <c r="O11" i="8"/>
  <c r="N11" i="8"/>
  <c r="M11" i="8"/>
  <c r="L11" i="8"/>
  <c r="K11" i="8"/>
  <c r="J11" i="8"/>
  <c r="I11" i="8"/>
  <c r="H11" i="8"/>
  <c r="G11" i="8"/>
  <c r="F11" i="8"/>
  <c r="E11" i="8"/>
  <c r="D11" i="8"/>
  <c r="C11" i="8"/>
  <c r="B11" i="8"/>
  <c r="A11" i="8"/>
  <c r="Z10" i="8"/>
  <c r="V10" i="8"/>
  <c r="U10" i="8"/>
  <c r="T10" i="8"/>
  <c r="S10" i="8"/>
  <c r="R10" i="8"/>
  <c r="Q10" i="8"/>
  <c r="P10" i="8"/>
  <c r="O10" i="8"/>
  <c r="N10" i="8"/>
  <c r="M10" i="8"/>
  <c r="L10" i="8"/>
  <c r="K10" i="8"/>
  <c r="J10" i="8"/>
  <c r="I10" i="8"/>
  <c r="H10" i="8"/>
  <c r="G10" i="8"/>
  <c r="F10" i="8"/>
  <c r="E10" i="8"/>
  <c r="D10" i="8"/>
  <c r="C10" i="8"/>
  <c r="B10" i="8"/>
  <c r="A10" i="8"/>
  <c r="Z9" i="8"/>
  <c r="V9" i="8"/>
  <c r="U9" i="8"/>
  <c r="T9" i="8"/>
  <c r="S9" i="8"/>
  <c r="R9" i="8"/>
  <c r="Q9" i="8"/>
  <c r="P9" i="8"/>
  <c r="O9" i="8"/>
  <c r="N9" i="8"/>
  <c r="M9" i="8"/>
  <c r="L9" i="8"/>
  <c r="K9" i="8"/>
  <c r="J9" i="8"/>
  <c r="I9" i="8"/>
  <c r="H9" i="8"/>
  <c r="G9" i="8"/>
  <c r="F9" i="8"/>
  <c r="E9" i="8"/>
  <c r="D9" i="8"/>
  <c r="C9" i="8"/>
  <c r="B9" i="8"/>
  <c r="A9" i="8"/>
  <c r="Z8" i="8"/>
  <c r="V8" i="8"/>
  <c r="U8" i="8"/>
  <c r="T8" i="8"/>
  <c r="S8" i="8"/>
  <c r="R8" i="8"/>
  <c r="Q8" i="8"/>
  <c r="P8" i="8"/>
  <c r="O8" i="8"/>
  <c r="N8" i="8"/>
  <c r="M8" i="8"/>
  <c r="L8" i="8"/>
  <c r="K8" i="8"/>
  <c r="J8" i="8"/>
  <c r="I8" i="8"/>
  <c r="H8" i="8"/>
  <c r="G8" i="8"/>
  <c r="F8" i="8"/>
  <c r="E8" i="8"/>
  <c r="D8" i="8"/>
  <c r="C8" i="8"/>
  <c r="B8" i="8"/>
  <c r="A8" i="8"/>
  <c r="Z7" i="8"/>
  <c r="V7" i="8"/>
  <c r="U7" i="8"/>
  <c r="T7" i="8"/>
  <c r="S7" i="8"/>
  <c r="R7" i="8"/>
  <c r="Q7" i="8"/>
  <c r="P7" i="8"/>
  <c r="O7" i="8"/>
  <c r="N7" i="8"/>
  <c r="M7" i="8"/>
  <c r="L7" i="8"/>
  <c r="K7" i="8"/>
  <c r="J7" i="8"/>
  <c r="I7" i="8"/>
  <c r="H7" i="8"/>
  <c r="G7" i="8"/>
  <c r="F7" i="8"/>
  <c r="E7" i="8"/>
  <c r="D7" i="8"/>
  <c r="C7" i="8"/>
  <c r="B7" i="8"/>
  <c r="A7" i="8"/>
  <c r="Z6" i="8"/>
  <c r="V6" i="8"/>
  <c r="U6" i="8"/>
  <c r="T6" i="8"/>
  <c r="S6" i="8"/>
  <c r="R6" i="8"/>
  <c r="Q6" i="8"/>
  <c r="P6" i="8"/>
  <c r="O6" i="8"/>
  <c r="N6" i="8"/>
  <c r="M6" i="8"/>
  <c r="L6" i="8"/>
  <c r="K6" i="8"/>
  <c r="J6" i="8"/>
  <c r="I6" i="8"/>
  <c r="H6" i="8"/>
  <c r="G6" i="8"/>
  <c r="F6" i="8"/>
  <c r="E6" i="8"/>
  <c r="D6" i="8"/>
  <c r="C6" i="8"/>
  <c r="B6" i="8"/>
  <c r="A6" i="8"/>
  <c r="AC5" i="8"/>
  <c r="AB5" i="8"/>
  <c r="AA5" i="8"/>
  <c r="Z5" i="8"/>
  <c r="Y5" i="8"/>
  <c r="X5" i="8"/>
  <c r="W5" i="8"/>
  <c r="V5" i="8"/>
  <c r="U5" i="8"/>
  <c r="T5" i="8"/>
  <c r="S5" i="8"/>
  <c r="R5" i="8"/>
  <c r="Q5" i="8"/>
  <c r="P5" i="8"/>
  <c r="O5" i="8"/>
  <c r="N5" i="8"/>
  <c r="M5" i="8"/>
  <c r="L5" i="8"/>
  <c r="K5" i="8"/>
  <c r="J5" i="8"/>
  <c r="I5" i="8"/>
  <c r="H5" i="8"/>
  <c r="G5" i="8"/>
  <c r="F5" i="8"/>
  <c r="E5" i="8"/>
  <c r="D5" i="8"/>
  <c r="C5" i="8"/>
  <c r="B5" i="8"/>
  <c r="A5" i="8"/>
  <c r="AC4" i="8"/>
  <c r="AB4" i="8"/>
  <c r="AA4" i="8"/>
  <c r="Z4" i="8"/>
  <c r="Y4" i="8"/>
  <c r="X4" i="8"/>
  <c r="W4" i="8"/>
  <c r="V4" i="8"/>
  <c r="U4" i="8"/>
  <c r="T4" i="8"/>
  <c r="S4" i="8"/>
  <c r="R4" i="8"/>
  <c r="Q4" i="8"/>
  <c r="P4" i="8"/>
  <c r="O4" i="8"/>
  <c r="N4" i="8"/>
  <c r="M4" i="8"/>
  <c r="L4" i="8"/>
  <c r="K4" i="8"/>
  <c r="J4" i="8"/>
  <c r="I4" i="8"/>
  <c r="H4" i="8"/>
  <c r="G4" i="8"/>
  <c r="F4" i="8"/>
  <c r="E4" i="8"/>
  <c r="D4" i="8"/>
  <c r="C4" i="8"/>
  <c r="B4" i="8"/>
  <c r="A4" i="8"/>
  <c r="AC3" i="8"/>
  <c r="AB3" i="8"/>
  <c r="AA3" i="8"/>
  <c r="Z3" i="8"/>
  <c r="Y3" i="8"/>
  <c r="X3" i="8"/>
  <c r="W3" i="8"/>
  <c r="V3" i="8"/>
  <c r="U3" i="8"/>
  <c r="T3" i="8"/>
  <c r="S3" i="8"/>
  <c r="R3" i="8"/>
  <c r="Q3" i="8"/>
  <c r="P3" i="8"/>
  <c r="O3" i="8"/>
  <c r="N3" i="8"/>
  <c r="M3" i="8"/>
  <c r="L3" i="8"/>
  <c r="K3" i="8"/>
  <c r="J3" i="8"/>
  <c r="I3" i="8"/>
  <c r="H3" i="8"/>
  <c r="G3" i="8"/>
  <c r="F3" i="8"/>
  <c r="E3" i="8"/>
  <c r="D3" i="8"/>
  <c r="C3" i="8"/>
  <c r="B3" i="8"/>
  <c r="A3" i="8"/>
  <c r="AC2" i="8"/>
  <c r="AB2" i="8"/>
  <c r="AA2" i="8"/>
  <c r="Z2" i="8"/>
  <c r="Y2" i="8"/>
  <c r="X2" i="8"/>
  <c r="W2" i="8"/>
  <c r="V2" i="8"/>
  <c r="U2" i="8"/>
  <c r="T2" i="8"/>
  <c r="S2" i="8"/>
  <c r="R2" i="8"/>
  <c r="Q2" i="8"/>
  <c r="P2" i="8"/>
  <c r="O2" i="8"/>
  <c r="N2" i="8"/>
  <c r="M2" i="8"/>
  <c r="L2" i="8"/>
  <c r="K2" i="8"/>
  <c r="J2" i="8"/>
  <c r="I2" i="8"/>
  <c r="H2" i="8"/>
  <c r="G2" i="8"/>
  <c r="F2" i="8"/>
  <c r="E2" i="8"/>
  <c r="D2" i="8"/>
  <c r="C2" i="8"/>
  <c r="B2" i="8"/>
  <c r="A2" i="8"/>
  <c r="AC1" i="8"/>
  <c r="AB1" i="8"/>
  <c r="AA1" i="8"/>
  <c r="Z1" i="8"/>
  <c r="Y1" i="8"/>
  <c r="X1" i="8"/>
  <c r="W1" i="8"/>
  <c r="V1" i="8"/>
  <c r="U1" i="8"/>
  <c r="T1" i="8"/>
  <c r="S1" i="8"/>
  <c r="R1" i="8"/>
  <c r="Q1" i="8"/>
  <c r="P1" i="8"/>
  <c r="O1" i="8"/>
  <c r="N1" i="8"/>
  <c r="M1" i="8"/>
  <c r="L1" i="8"/>
  <c r="K1" i="8"/>
  <c r="J1" i="8"/>
  <c r="I1" i="8"/>
  <c r="H1" i="8"/>
  <c r="G1" i="8"/>
  <c r="F1" i="8"/>
  <c r="E1" i="8"/>
  <c r="D1" i="8"/>
  <c r="C1" i="8"/>
  <c r="B1" i="8"/>
  <c r="A1" i="8"/>
  <c r="E2" i="7"/>
  <c r="D2" i="7"/>
  <c r="C2" i="7"/>
  <c r="B2" i="7"/>
  <c r="A2" i="7"/>
  <c r="E1" i="7"/>
  <c r="D1" i="7"/>
  <c r="C1" i="7"/>
  <c r="B1" i="7"/>
  <c r="A1" i="7"/>
  <c r="S7" i="6"/>
  <c r="R7" i="6"/>
  <c r="Q7" i="6"/>
  <c r="P7" i="6"/>
  <c r="O7" i="6"/>
  <c r="N7" i="6"/>
  <c r="M7" i="6"/>
  <c r="L7" i="6"/>
  <c r="K7" i="6"/>
  <c r="J7" i="6"/>
  <c r="I7" i="6"/>
  <c r="H7" i="6"/>
  <c r="G7" i="6"/>
  <c r="F7" i="6"/>
  <c r="E7" i="6"/>
  <c r="D7" i="6"/>
  <c r="C7" i="6"/>
  <c r="B7" i="6"/>
  <c r="A7" i="6"/>
  <c r="S6" i="6"/>
  <c r="R6" i="6"/>
  <c r="Q6" i="6"/>
  <c r="P6" i="6"/>
  <c r="O6" i="6"/>
  <c r="N6" i="6"/>
  <c r="M6" i="6"/>
  <c r="L6" i="6"/>
  <c r="K6" i="6"/>
  <c r="J6" i="6"/>
  <c r="I6" i="6"/>
  <c r="H6" i="6"/>
  <c r="G6" i="6"/>
  <c r="F6" i="6"/>
  <c r="E6" i="6"/>
  <c r="D6" i="6"/>
  <c r="C6" i="6"/>
  <c r="B6" i="6"/>
  <c r="A6" i="6"/>
  <c r="AT5" i="6"/>
  <c r="AS5" i="6"/>
  <c r="AR5" i="6"/>
  <c r="AQ5" i="6"/>
  <c r="AP5" i="6"/>
  <c r="AO5" i="6"/>
  <c r="AN5" i="6"/>
  <c r="AM5" i="6"/>
  <c r="AL5" i="6"/>
  <c r="AK5" i="6"/>
  <c r="AJ5" i="6"/>
  <c r="AI5" i="6"/>
  <c r="AH5" i="6"/>
  <c r="AG5" i="6"/>
  <c r="AF5" i="6"/>
  <c r="AE5" i="6"/>
  <c r="AD5" i="6"/>
  <c r="AC5" i="6"/>
  <c r="AB5" i="6"/>
  <c r="AA5" i="6"/>
  <c r="Z5" i="6"/>
  <c r="Y5" i="6"/>
  <c r="X5" i="6"/>
  <c r="W5" i="6"/>
  <c r="V5" i="6"/>
  <c r="U5" i="6"/>
  <c r="T5" i="6"/>
  <c r="S5" i="6"/>
  <c r="R5" i="6"/>
  <c r="Q5" i="6"/>
  <c r="P5" i="6"/>
  <c r="O5" i="6"/>
  <c r="N5" i="6"/>
  <c r="M5" i="6"/>
  <c r="L5" i="6"/>
  <c r="K5" i="6"/>
  <c r="J5" i="6"/>
  <c r="I5" i="6"/>
  <c r="H5" i="6"/>
  <c r="G5" i="6"/>
  <c r="F5" i="6"/>
  <c r="E5" i="6"/>
  <c r="D5" i="6"/>
  <c r="C5" i="6"/>
  <c r="B5" i="6"/>
  <c r="A5" i="6"/>
  <c r="AT4" i="6"/>
  <c r="AS4" i="6"/>
  <c r="AR4" i="6"/>
  <c r="AQ4" i="6"/>
  <c r="AP4" i="6"/>
  <c r="AO4" i="6"/>
  <c r="AN4" i="6"/>
  <c r="AM4" i="6"/>
  <c r="AL4" i="6"/>
  <c r="AK4" i="6"/>
  <c r="AJ4" i="6"/>
  <c r="AI4" i="6"/>
  <c r="AH4" i="6"/>
  <c r="AG4" i="6"/>
  <c r="AF4" i="6"/>
  <c r="AE4" i="6"/>
  <c r="AD4" i="6"/>
  <c r="AC4" i="6"/>
  <c r="AB4" i="6"/>
  <c r="AA4" i="6"/>
  <c r="Z4" i="6"/>
  <c r="Y4" i="6"/>
  <c r="X4" i="6"/>
  <c r="W4" i="6"/>
  <c r="V4" i="6"/>
  <c r="U4" i="6"/>
  <c r="T4" i="6"/>
  <c r="S4" i="6"/>
  <c r="R4" i="6"/>
  <c r="Q4" i="6"/>
  <c r="P4" i="6"/>
  <c r="O4" i="6"/>
  <c r="N4" i="6"/>
  <c r="M4" i="6"/>
  <c r="L4" i="6"/>
  <c r="K4" i="6"/>
  <c r="J4" i="6"/>
  <c r="I4" i="6"/>
  <c r="H4" i="6"/>
  <c r="G4" i="6"/>
  <c r="F4" i="6"/>
  <c r="E4" i="6"/>
  <c r="D4" i="6"/>
  <c r="C4" i="6"/>
  <c r="B4" i="6"/>
  <c r="A4" i="6"/>
  <c r="AT3" i="6"/>
  <c r="AS3" i="6"/>
  <c r="AR3" i="6"/>
  <c r="AQ3" i="6"/>
  <c r="AP3" i="6"/>
  <c r="AO3" i="6"/>
  <c r="AN3" i="6"/>
  <c r="AM3" i="6"/>
  <c r="AL3" i="6"/>
  <c r="AK3" i="6"/>
  <c r="AJ3" i="6"/>
  <c r="AI3" i="6"/>
  <c r="AH3" i="6"/>
  <c r="AG3" i="6"/>
  <c r="AF3" i="6"/>
  <c r="AE3" i="6"/>
  <c r="AD3" i="6"/>
  <c r="AC3" i="6"/>
  <c r="AB3" i="6"/>
  <c r="AA3" i="6"/>
  <c r="Z3" i="6"/>
  <c r="Y3" i="6"/>
  <c r="X3" i="6"/>
  <c r="W3" i="6"/>
  <c r="V3" i="6"/>
  <c r="U3" i="6"/>
  <c r="T3" i="6"/>
  <c r="S3" i="6"/>
  <c r="R3" i="6"/>
  <c r="Q3" i="6"/>
  <c r="P3" i="6"/>
  <c r="O3" i="6"/>
  <c r="N3" i="6"/>
  <c r="M3" i="6"/>
  <c r="L3" i="6"/>
  <c r="K3" i="6"/>
  <c r="J3" i="6"/>
  <c r="I3" i="6"/>
  <c r="H3" i="6"/>
  <c r="G3" i="6"/>
  <c r="F3" i="6"/>
  <c r="E3" i="6"/>
  <c r="D3" i="6"/>
  <c r="C3" i="6"/>
  <c r="B3" i="6"/>
  <c r="A3" i="6"/>
  <c r="AT2" i="6"/>
  <c r="AS2" i="6"/>
  <c r="AR2" i="6"/>
  <c r="AQ2" i="6"/>
  <c r="AP2" i="6"/>
  <c r="AO2" i="6"/>
  <c r="AN2" i="6"/>
  <c r="AM2" i="6"/>
  <c r="AL2" i="6"/>
  <c r="AK2" i="6"/>
  <c r="AJ2" i="6"/>
  <c r="AI2" i="6"/>
  <c r="AH2" i="6"/>
  <c r="AG2" i="6"/>
  <c r="AF2" i="6"/>
  <c r="AE2" i="6"/>
  <c r="AD2" i="6"/>
  <c r="AC2" i="6"/>
  <c r="AB2" i="6"/>
  <c r="AA2" i="6"/>
  <c r="Z2" i="6"/>
  <c r="Y2" i="6"/>
  <c r="X2" i="6"/>
  <c r="W2" i="6"/>
  <c r="V2" i="6"/>
  <c r="U2" i="6"/>
  <c r="T2" i="6"/>
  <c r="S2" i="6"/>
  <c r="R2" i="6"/>
  <c r="Q2" i="6"/>
  <c r="P2" i="6"/>
  <c r="O2" i="6"/>
  <c r="N2" i="6"/>
  <c r="M2" i="6"/>
  <c r="L2" i="6"/>
  <c r="K2" i="6"/>
  <c r="J2" i="6"/>
  <c r="I2" i="6"/>
  <c r="H2" i="6"/>
  <c r="G2" i="6"/>
  <c r="F2" i="6"/>
  <c r="E2" i="6"/>
  <c r="D2" i="6"/>
  <c r="C2" i="6"/>
  <c r="B2" i="6"/>
  <c r="A2" i="6"/>
  <c r="T141" i="5"/>
  <c r="S141" i="5"/>
  <c r="R141" i="5"/>
  <c r="Q141" i="5"/>
  <c r="O141" i="5"/>
  <c r="N141" i="5"/>
  <c r="M141" i="5"/>
  <c r="L141" i="5"/>
  <c r="K141" i="5"/>
  <c r="J141" i="5"/>
  <c r="I141" i="5"/>
  <c r="H141" i="5"/>
  <c r="G141" i="5"/>
  <c r="F141" i="5"/>
  <c r="E141" i="5"/>
  <c r="D141" i="5"/>
  <c r="C141" i="5"/>
  <c r="B141" i="5"/>
  <c r="A141" i="5"/>
  <c r="T140" i="5"/>
  <c r="S140" i="5"/>
  <c r="R140" i="5"/>
  <c r="Q140" i="5"/>
  <c r="O140" i="5"/>
  <c r="N140" i="5"/>
  <c r="M140" i="5"/>
  <c r="L140" i="5"/>
  <c r="K140" i="5"/>
  <c r="J140" i="5"/>
  <c r="I140" i="5"/>
  <c r="H140" i="5"/>
  <c r="G140" i="5"/>
  <c r="F140" i="5"/>
  <c r="E140" i="5"/>
  <c r="D140" i="5"/>
  <c r="C140" i="5"/>
  <c r="B140" i="5"/>
  <c r="A140" i="5"/>
  <c r="T139" i="5"/>
  <c r="S139" i="5"/>
  <c r="R139" i="5"/>
  <c r="Q139" i="5"/>
  <c r="O139" i="5"/>
  <c r="N139" i="5"/>
  <c r="M139" i="5"/>
  <c r="L139" i="5"/>
  <c r="K139" i="5"/>
  <c r="J139" i="5"/>
  <c r="I139" i="5"/>
  <c r="H139" i="5"/>
  <c r="G139" i="5"/>
  <c r="F139" i="5"/>
  <c r="E139" i="5"/>
  <c r="D139" i="5"/>
  <c r="C139" i="5"/>
  <c r="B139" i="5"/>
  <c r="A139" i="5"/>
  <c r="T138" i="5"/>
  <c r="S138" i="5"/>
  <c r="R138" i="5"/>
  <c r="Q138" i="5"/>
  <c r="O138" i="5"/>
  <c r="N138" i="5"/>
  <c r="M138" i="5"/>
  <c r="L138" i="5"/>
  <c r="K138" i="5"/>
  <c r="J138" i="5"/>
  <c r="I138" i="5"/>
  <c r="H138" i="5"/>
  <c r="G138" i="5"/>
  <c r="F138" i="5"/>
  <c r="E138" i="5"/>
  <c r="D138" i="5"/>
  <c r="C138" i="5"/>
  <c r="B138" i="5"/>
  <c r="A138" i="5"/>
  <c r="T137" i="5"/>
  <c r="S137" i="5"/>
  <c r="R137" i="5"/>
  <c r="Q137" i="5"/>
  <c r="O137" i="5"/>
  <c r="N137" i="5"/>
  <c r="M137" i="5"/>
  <c r="L137" i="5"/>
  <c r="K137" i="5"/>
  <c r="J137" i="5"/>
  <c r="I137" i="5"/>
  <c r="H137" i="5"/>
  <c r="G137" i="5"/>
  <c r="F137" i="5"/>
  <c r="E137" i="5"/>
  <c r="D137" i="5"/>
  <c r="C137" i="5"/>
  <c r="B137" i="5"/>
  <c r="A137" i="5"/>
  <c r="AT136" i="5"/>
  <c r="AS136" i="5"/>
  <c r="AR136" i="5"/>
  <c r="AQ136" i="5"/>
  <c r="AP136" i="5"/>
  <c r="AO136" i="5"/>
  <c r="AN136" i="5"/>
  <c r="AM136" i="5"/>
  <c r="AL136" i="5"/>
  <c r="AK136" i="5"/>
  <c r="AJ136" i="5"/>
  <c r="AI136" i="5"/>
  <c r="AH136" i="5"/>
  <c r="AG136" i="5"/>
  <c r="AF136" i="5"/>
  <c r="AE136" i="5"/>
  <c r="AD136" i="5"/>
  <c r="AC136" i="5"/>
  <c r="AB136" i="5"/>
  <c r="AA136" i="5"/>
  <c r="Z136" i="5"/>
  <c r="Y136" i="5"/>
  <c r="X136" i="5"/>
  <c r="W136" i="5"/>
  <c r="V136" i="5"/>
  <c r="U136" i="5"/>
  <c r="T136" i="5"/>
  <c r="S136" i="5"/>
  <c r="R136" i="5"/>
  <c r="Q136" i="5"/>
  <c r="O136" i="5"/>
  <c r="N136" i="5"/>
  <c r="M136" i="5"/>
  <c r="L136" i="5"/>
  <c r="K136" i="5"/>
  <c r="J136" i="5"/>
  <c r="I136" i="5"/>
  <c r="H136" i="5"/>
  <c r="G136" i="5"/>
  <c r="F136" i="5"/>
  <c r="E136" i="5"/>
  <c r="D136" i="5"/>
  <c r="C136" i="5"/>
  <c r="B136" i="5"/>
  <c r="A136" i="5"/>
  <c r="AT135" i="5"/>
  <c r="AS135" i="5"/>
  <c r="AR135" i="5"/>
  <c r="AQ135" i="5"/>
  <c r="AP135" i="5"/>
  <c r="AO135" i="5"/>
  <c r="AN135" i="5"/>
  <c r="AM135" i="5"/>
  <c r="AL135" i="5"/>
  <c r="AK135" i="5"/>
  <c r="AJ135" i="5"/>
  <c r="AI135" i="5"/>
  <c r="AH135" i="5"/>
  <c r="AG135" i="5"/>
  <c r="AF135" i="5"/>
  <c r="AE135" i="5"/>
  <c r="AD135" i="5"/>
  <c r="AC135" i="5"/>
  <c r="AB135" i="5"/>
  <c r="AA135" i="5"/>
  <c r="Z135" i="5"/>
  <c r="Y135" i="5"/>
  <c r="X135" i="5"/>
  <c r="W135" i="5"/>
  <c r="V135" i="5"/>
  <c r="U135" i="5"/>
  <c r="T135" i="5"/>
  <c r="S135" i="5"/>
  <c r="R135" i="5"/>
  <c r="Q135" i="5"/>
  <c r="O135" i="5"/>
  <c r="N135" i="5"/>
  <c r="M135" i="5"/>
  <c r="L135" i="5"/>
  <c r="K135" i="5"/>
  <c r="J135" i="5"/>
  <c r="I135" i="5"/>
  <c r="H135" i="5"/>
  <c r="G135" i="5"/>
  <c r="F135" i="5"/>
  <c r="E135" i="5"/>
  <c r="D135" i="5"/>
  <c r="C135" i="5"/>
  <c r="B135" i="5"/>
  <c r="A135" i="5"/>
  <c r="T134" i="5"/>
  <c r="S134" i="5"/>
  <c r="R134" i="5"/>
  <c r="Q134" i="5"/>
  <c r="O134" i="5"/>
  <c r="N134" i="5"/>
  <c r="M134" i="5"/>
  <c r="L134" i="5"/>
  <c r="K134" i="5"/>
  <c r="J134" i="5"/>
  <c r="I134" i="5"/>
  <c r="H134" i="5"/>
  <c r="G134" i="5"/>
  <c r="F134" i="5"/>
  <c r="E134" i="5"/>
  <c r="D134" i="5"/>
  <c r="C134" i="5"/>
  <c r="B134" i="5"/>
  <c r="A134" i="5"/>
  <c r="T133" i="5"/>
  <c r="S133" i="5"/>
  <c r="R133" i="5"/>
  <c r="Q133" i="5"/>
  <c r="O133" i="5"/>
  <c r="N133" i="5"/>
  <c r="M133" i="5"/>
  <c r="L133" i="5"/>
  <c r="K133" i="5"/>
  <c r="J133" i="5"/>
  <c r="I133" i="5"/>
  <c r="H133" i="5"/>
  <c r="G133" i="5"/>
  <c r="F133" i="5"/>
  <c r="E133" i="5"/>
  <c r="D133" i="5"/>
  <c r="C133" i="5"/>
  <c r="B133" i="5"/>
  <c r="A133" i="5"/>
  <c r="T132" i="5"/>
  <c r="S132" i="5"/>
  <c r="R132" i="5"/>
  <c r="Q132" i="5"/>
  <c r="O132" i="5"/>
  <c r="N132" i="5"/>
  <c r="M132" i="5"/>
  <c r="L132" i="5"/>
  <c r="K132" i="5"/>
  <c r="J132" i="5"/>
  <c r="I132" i="5"/>
  <c r="H132" i="5"/>
  <c r="G132" i="5"/>
  <c r="F132" i="5"/>
  <c r="E132" i="5"/>
  <c r="D132" i="5"/>
  <c r="C132" i="5"/>
  <c r="B132" i="5"/>
  <c r="A132" i="5"/>
  <c r="AT131" i="5"/>
  <c r="AS131" i="5"/>
  <c r="AR131" i="5"/>
  <c r="AQ131" i="5"/>
  <c r="AP131" i="5"/>
  <c r="AO131" i="5"/>
  <c r="AN131" i="5"/>
  <c r="AM131" i="5"/>
  <c r="AL131" i="5"/>
  <c r="AK131" i="5"/>
  <c r="AJ131" i="5"/>
  <c r="AI131" i="5"/>
  <c r="AH131" i="5"/>
  <c r="AG131" i="5"/>
  <c r="AF131" i="5"/>
  <c r="AE131" i="5"/>
  <c r="AD131" i="5"/>
  <c r="AC131" i="5"/>
  <c r="AB131" i="5"/>
  <c r="AA131" i="5"/>
  <c r="Z131" i="5"/>
  <c r="Y131" i="5"/>
  <c r="X131" i="5"/>
  <c r="W131" i="5"/>
  <c r="V131" i="5"/>
  <c r="U131" i="5"/>
  <c r="T131" i="5"/>
  <c r="S131" i="5"/>
  <c r="R131" i="5"/>
  <c r="Q131" i="5"/>
  <c r="O131" i="5"/>
  <c r="N131" i="5"/>
  <c r="M131" i="5"/>
  <c r="L131" i="5"/>
  <c r="K131" i="5"/>
  <c r="J131" i="5"/>
  <c r="I131" i="5"/>
  <c r="H131" i="5"/>
  <c r="G131" i="5"/>
  <c r="F131" i="5"/>
  <c r="E131" i="5"/>
  <c r="D131" i="5"/>
  <c r="C131" i="5"/>
  <c r="B131" i="5"/>
  <c r="A131" i="5"/>
  <c r="T130" i="5"/>
  <c r="S130" i="5"/>
  <c r="R130" i="5"/>
  <c r="Q130" i="5"/>
  <c r="O130" i="5"/>
  <c r="N130" i="5"/>
  <c r="M130" i="5"/>
  <c r="L130" i="5"/>
  <c r="K130" i="5"/>
  <c r="J130" i="5"/>
  <c r="I130" i="5"/>
  <c r="H130" i="5"/>
  <c r="G130" i="5"/>
  <c r="F130" i="5"/>
  <c r="E130" i="5"/>
  <c r="D130" i="5"/>
  <c r="C130" i="5"/>
  <c r="B130" i="5"/>
  <c r="A130" i="5"/>
  <c r="T129" i="5"/>
  <c r="S129" i="5"/>
  <c r="R129" i="5"/>
  <c r="Q129" i="5"/>
  <c r="O129" i="5"/>
  <c r="N129" i="5"/>
  <c r="M129" i="5"/>
  <c r="L129" i="5"/>
  <c r="K129" i="5"/>
  <c r="J129" i="5"/>
  <c r="I129" i="5"/>
  <c r="H129" i="5"/>
  <c r="G129" i="5"/>
  <c r="F129" i="5"/>
  <c r="E129" i="5"/>
  <c r="D129" i="5"/>
  <c r="C129" i="5"/>
  <c r="B129" i="5"/>
  <c r="A129" i="5"/>
  <c r="T128" i="5"/>
  <c r="S128" i="5"/>
  <c r="R128" i="5"/>
  <c r="Q128" i="5"/>
  <c r="O128" i="5"/>
  <c r="N128" i="5"/>
  <c r="M128" i="5"/>
  <c r="L128" i="5"/>
  <c r="K128" i="5"/>
  <c r="J128" i="5"/>
  <c r="I128" i="5"/>
  <c r="H128" i="5"/>
  <c r="G128" i="5"/>
  <c r="F128" i="5"/>
  <c r="E128" i="5"/>
  <c r="D128" i="5"/>
  <c r="C128" i="5"/>
  <c r="B128" i="5"/>
  <c r="A128" i="5"/>
  <c r="T127" i="5"/>
  <c r="S127" i="5"/>
  <c r="R127" i="5"/>
  <c r="Q127" i="5"/>
  <c r="O127" i="5"/>
  <c r="N127" i="5"/>
  <c r="M127" i="5"/>
  <c r="L127" i="5"/>
  <c r="K127" i="5"/>
  <c r="J127" i="5"/>
  <c r="I127" i="5"/>
  <c r="H127" i="5"/>
  <c r="G127" i="5"/>
  <c r="F127" i="5"/>
  <c r="E127" i="5"/>
  <c r="D127" i="5"/>
  <c r="C127" i="5"/>
  <c r="B127" i="5"/>
  <c r="A127" i="5"/>
  <c r="T126" i="5"/>
  <c r="S126" i="5"/>
  <c r="R126" i="5"/>
  <c r="Q126" i="5"/>
  <c r="O126" i="5"/>
  <c r="N126" i="5"/>
  <c r="M126" i="5"/>
  <c r="L126" i="5"/>
  <c r="K126" i="5"/>
  <c r="J126" i="5"/>
  <c r="I126" i="5"/>
  <c r="H126" i="5"/>
  <c r="G126" i="5"/>
  <c r="F126" i="5"/>
  <c r="E126" i="5"/>
  <c r="D126" i="5"/>
  <c r="C126" i="5"/>
  <c r="B126" i="5"/>
  <c r="A126" i="5"/>
  <c r="T125" i="5"/>
  <c r="S125" i="5"/>
  <c r="R125" i="5"/>
  <c r="Q125" i="5"/>
  <c r="O125" i="5"/>
  <c r="N125" i="5"/>
  <c r="M125" i="5"/>
  <c r="L125" i="5"/>
  <c r="K125" i="5"/>
  <c r="J125" i="5"/>
  <c r="I125" i="5"/>
  <c r="H125" i="5"/>
  <c r="G125" i="5"/>
  <c r="F125" i="5"/>
  <c r="E125" i="5"/>
  <c r="D125" i="5"/>
  <c r="C125" i="5"/>
  <c r="B125" i="5"/>
  <c r="A125" i="5"/>
  <c r="T124" i="5"/>
  <c r="S124" i="5"/>
  <c r="R124" i="5"/>
  <c r="Q124" i="5"/>
  <c r="O124" i="5"/>
  <c r="N124" i="5"/>
  <c r="M124" i="5"/>
  <c r="L124" i="5"/>
  <c r="K124" i="5"/>
  <c r="J124" i="5"/>
  <c r="I124" i="5"/>
  <c r="H124" i="5"/>
  <c r="G124" i="5"/>
  <c r="F124" i="5"/>
  <c r="E124" i="5"/>
  <c r="D124" i="5"/>
  <c r="C124" i="5"/>
  <c r="B124" i="5"/>
  <c r="A124" i="5"/>
  <c r="AT123" i="5"/>
  <c r="AS123" i="5"/>
  <c r="AO123" i="5"/>
  <c r="AN123" i="5"/>
  <c r="AM123" i="5"/>
  <c r="AI123" i="5"/>
  <c r="AH123" i="5"/>
  <c r="AG123" i="5"/>
  <c r="AF123" i="5"/>
  <c r="AE123" i="5"/>
  <c r="AD123" i="5"/>
  <c r="AC123" i="5"/>
  <c r="AB123" i="5"/>
  <c r="AA123" i="5"/>
  <c r="Z123" i="5"/>
  <c r="Y123" i="5"/>
  <c r="X123" i="5"/>
  <c r="W123" i="5"/>
  <c r="V123" i="5"/>
  <c r="U123" i="5"/>
  <c r="T123" i="5"/>
  <c r="S123" i="5"/>
  <c r="R123" i="5"/>
  <c r="Q123" i="5"/>
  <c r="O123" i="5"/>
  <c r="N123" i="5"/>
  <c r="M123" i="5"/>
  <c r="L123" i="5"/>
  <c r="K123" i="5"/>
  <c r="J123" i="5"/>
  <c r="I123" i="5"/>
  <c r="H123" i="5"/>
  <c r="G123" i="5"/>
  <c r="F123" i="5"/>
  <c r="E123" i="5"/>
  <c r="D123" i="5"/>
  <c r="C123" i="5"/>
  <c r="B123" i="5"/>
  <c r="A123" i="5"/>
  <c r="T122" i="5"/>
  <c r="S122" i="5"/>
  <c r="R122" i="5"/>
  <c r="Q122" i="5"/>
  <c r="O122" i="5"/>
  <c r="N122" i="5"/>
  <c r="M122" i="5"/>
  <c r="L122" i="5"/>
  <c r="K122" i="5"/>
  <c r="J122" i="5"/>
  <c r="I122" i="5"/>
  <c r="H122" i="5"/>
  <c r="G122" i="5"/>
  <c r="F122" i="5"/>
  <c r="E122" i="5"/>
  <c r="D122" i="5"/>
  <c r="C122" i="5"/>
  <c r="B122" i="5"/>
  <c r="A122" i="5"/>
  <c r="T121" i="5"/>
  <c r="S121" i="5"/>
  <c r="R121" i="5"/>
  <c r="Q121" i="5"/>
  <c r="O121" i="5"/>
  <c r="N121" i="5"/>
  <c r="M121" i="5"/>
  <c r="L121" i="5"/>
  <c r="K121" i="5"/>
  <c r="J121" i="5"/>
  <c r="I121" i="5"/>
  <c r="H121" i="5"/>
  <c r="G121" i="5"/>
  <c r="F121" i="5"/>
  <c r="E121" i="5"/>
  <c r="D121" i="5"/>
  <c r="C121" i="5"/>
  <c r="B121" i="5"/>
  <c r="A121" i="5"/>
  <c r="T120" i="5"/>
  <c r="S120" i="5"/>
  <c r="R120" i="5"/>
  <c r="Q120" i="5"/>
  <c r="O120" i="5"/>
  <c r="N120" i="5"/>
  <c r="M120" i="5"/>
  <c r="L120" i="5"/>
  <c r="K120" i="5"/>
  <c r="J120" i="5"/>
  <c r="I120" i="5"/>
  <c r="H120" i="5"/>
  <c r="G120" i="5"/>
  <c r="F120" i="5"/>
  <c r="E120" i="5"/>
  <c r="D120" i="5"/>
  <c r="C120" i="5"/>
  <c r="B120" i="5"/>
  <c r="A120" i="5"/>
  <c r="T119" i="5"/>
  <c r="S119" i="5"/>
  <c r="R119" i="5"/>
  <c r="Q119" i="5"/>
  <c r="O119" i="5"/>
  <c r="N119" i="5"/>
  <c r="M119" i="5"/>
  <c r="L119" i="5"/>
  <c r="K119" i="5"/>
  <c r="J119" i="5"/>
  <c r="I119" i="5"/>
  <c r="H119" i="5"/>
  <c r="G119" i="5"/>
  <c r="F119" i="5"/>
  <c r="E119" i="5"/>
  <c r="D119" i="5"/>
  <c r="C119" i="5"/>
  <c r="B119" i="5"/>
  <c r="A119" i="5"/>
  <c r="AS118" i="5"/>
  <c r="AO118" i="5"/>
  <c r="AM118" i="5"/>
  <c r="AL118" i="5"/>
  <c r="AK118" i="5"/>
  <c r="AJ118" i="5"/>
  <c r="AI118" i="5"/>
  <c r="AH118" i="5"/>
  <c r="AG118" i="5"/>
  <c r="AF118" i="5"/>
  <c r="AE118" i="5"/>
  <c r="AD118" i="5"/>
  <c r="AC118" i="5"/>
  <c r="AB118" i="5"/>
  <c r="AA118" i="5"/>
  <c r="Z118" i="5"/>
  <c r="Y118" i="5"/>
  <c r="X118" i="5"/>
  <c r="W118" i="5"/>
  <c r="V118" i="5"/>
  <c r="U118" i="5"/>
  <c r="T118" i="5"/>
  <c r="S118" i="5"/>
  <c r="R118" i="5"/>
  <c r="Q118" i="5"/>
  <c r="O118" i="5"/>
  <c r="N118" i="5"/>
  <c r="M118" i="5"/>
  <c r="L118" i="5"/>
  <c r="K118" i="5"/>
  <c r="J118" i="5"/>
  <c r="I118" i="5"/>
  <c r="H118" i="5"/>
  <c r="G118" i="5"/>
  <c r="F118" i="5"/>
  <c r="E118" i="5"/>
  <c r="D118" i="5"/>
  <c r="C118" i="5"/>
  <c r="B118" i="5"/>
  <c r="A118" i="5"/>
  <c r="S117" i="5"/>
  <c r="R117" i="5"/>
  <c r="Q117" i="5"/>
  <c r="O117" i="5"/>
  <c r="N117" i="5"/>
  <c r="M117" i="5"/>
  <c r="L117" i="5"/>
  <c r="K117" i="5"/>
  <c r="J117" i="5"/>
  <c r="I117" i="5"/>
  <c r="H117" i="5"/>
  <c r="G117" i="5"/>
  <c r="F117" i="5"/>
  <c r="E117" i="5"/>
  <c r="D117" i="5"/>
  <c r="C117" i="5"/>
  <c r="B117" i="5"/>
  <c r="A117" i="5"/>
  <c r="AT116" i="5"/>
  <c r="AS116" i="5"/>
  <c r="AR116" i="5"/>
  <c r="AQ116" i="5"/>
  <c r="AP116" i="5"/>
  <c r="AO116" i="5"/>
  <c r="AN116" i="5"/>
  <c r="AM116" i="5"/>
  <c r="AL116" i="5"/>
  <c r="AK116" i="5"/>
  <c r="AJ116" i="5"/>
  <c r="AI116" i="5"/>
  <c r="AH116" i="5"/>
  <c r="AG116" i="5"/>
  <c r="AF116" i="5"/>
  <c r="AE116" i="5"/>
  <c r="AD116" i="5"/>
  <c r="AC116" i="5"/>
  <c r="AB116" i="5"/>
  <c r="AA116" i="5"/>
  <c r="Y116" i="5"/>
  <c r="X116" i="5"/>
  <c r="W116" i="5"/>
  <c r="V116" i="5"/>
  <c r="U116" i="5"/>
  <c r="T116" i="5"/>
  <c r="S116" i="5"/>
  <c r="R116" i="5"/>
  <c r="Q116" i="5"/>
  <c r="O116" i="5"/>
  <c r="N116" i="5"/>
  <c r="M116" i="5"/>
  <c r="L116" i="5"/>
  <c r="K116" i="5"/>
  <c r="J116" i="5"/>
  <c r="I116" i="5"/>
  <c r="H116" i="5"/>
  <c r="G116" i="5"/>
  <c r="F116" i="5"/>
  <c r="E116" i="5"/>
  <c r="D116" i="5"/>
  <c r="C116" i="5"/>
  <c r="B116" i="5"/>
  <c r="A116" i="5"/>
  <c r="T115" i="5"/>
  <c r="S115" i="5"/>
  <c r="R115" i="5"/>
  <c r="Q115" i="5"/>
  <c r="O115" i="5"/>
  <c r="N115" i="5"/>
  <c r="M115" i="5"/>
  <c r="L115" i="5"/>
  <c r="K115" i="5"/>
  <c r="J115" i="5"/>
  <c r="I115" i="5"/>
  <c r="H115" i="5"/>
  <c r="G115" i="5"/>
  <c r="F115" i="5"/>
  <c r="E115" i="5"/>
  <c r="D115" i="5"/>
  <c r="C115" i="5"/>
  <c r="B115" i="5"/>
  <c r="A115" i="5"/>
  <c r="T114" i="5"/>
  <c r="S114" i="5"/>
  <c r="R114" i="5"/>
  <c r="Q114" i="5"/>
  <c r="O114" i="5"/>
  <c r="N114" i="5"/>
  <c r="M114" i="5"/>
  <c r="L114" i="5"/>
  <c r="K114" i="5"/>
  <c r="J114" i="5"/>
  <c r="I114" i="5"/>
  <c r="H114" i="5"/>
  <c r="G114" i="5"/>
  <c r="F114" i="5"/>
  <c r="E114" i="5"/>
  <c r="D114" i="5"/>
  <c r="C114" i="5"/>
  <c r="B114" i="5"/>
  <c r="A114" i="5"/>
  <c r="T113" i="5"/>
  <c r="S113" i="5"/>
  <c r="R113" i="5"/>
  <c r="Q113" i="5"/>
  <c r="O113" i="5"/>
  <c r="N113" i="5"/>
  <c r="M113" i="5"/>
  <c r="L113" i="5"/>
  <c r="K113" i="5"/>
  <c r="J113" i="5"/>
  <c r="I113" i="5"/>
  <c r="H113" i="5"/>
  <c r="G113" i="5"/>
  <c r="F113" i="5"/>
  <c r="E113" i="5"/>
  <c r="D113" i="5"/>
  <c r="C113" i="5"/>
  <c r="B113" i="5"/>
  <c r="A113" i="5"/>
  <c r="T112" i="5"/>
  <c r="S112" i="5"/>
  <c r="R112" i="5"/>
  <c r="Q112" i="5"/>
  <c r="O112" i="5"/>
  <c r="N112" i="5"/>
  <c r="M112" i="5"/>
  <c r="L112" i="5"/>
  <c r="K112" i="5"/>
  <c r="J112" i="5"/>
  <c r="I112" i="5"/>
  <c r="H112" i="5"/>
  <c r="G112" i="5"/>
  <c r="F112" i="5"/>
  <c r="E112" i="5"/>
  <c r="D112" i="5"/>
  <c r="C112" i="5"/>
  <c r="B112" i="5"/>
  <c r="A112" i="5"/>
  <c r="AT111" i="5"/>
  <c r="AS111" i="5"/>
  <c r="AO111" i="5"/>
  <c r="AH111" i="5"/>
  <c r="AF111" i="5"/>
  <c r="AE111" i="5"/>
  <c r="AD111" i="5"/>
  <c r="AC111" i="5"/>
  <c r="AB111" i="5"/>
  <c r="X111" i="5"/>
  <c r="V111" i="5"/>
  <c r="U111" i="5"/>
  <c r="T111" i="5"/>
  <c r="S111" i="5"/>
  <c r="R111" i="5"/>
  <c r="Q111" i="5"/>
  <c r="O111" i="5"/>
  <c r="N111" i="5"/>
  <c r="M111" i="5"/>
  <c r="L111" i="5"/>
  <c r="K111" i="5"/>
  <c r="J111" i="5"/>
  <c r="I111" i="5"/>
  <c r="H111" i="5"/>
  <c r="G111" i="5"/>
  <c r="F111" i="5"/>
  <c r="E111" i="5"/>
  <c r="D111" i="5"/>
  <c r="C111" i="5"/>
  <c r="B111" i="5"/>
  <c r="A111" i="5"/>
  <c r="AT110" i="5"/>
  <c r="AS110" i="5"/>
  <c r="AO110" i="5"/>
  <c r="AH110" i="5"/>
  <c r="AF110" i="5"/>
  <c r="AE110" i="5"/>
  <c r="AD110" i="5"/>
  <c r="AC110" i="5"/>
  <c r="AB110" i="5"/>
  <c r="X110" i="5"/>
  <c r="V110" i="5"/>
  <c r="U110" i="5"/>
  <c r="T110" i="5"/>
  <c r="S110" i="5"/>
  <c r="R110" i="5"/>
  <c r="Q110" i="5"/>
  <c r="O110" i="5"/>
  <c r="N110" i="5"/>
  <c r="M110" i="5"/>
  <c r="L110" i="5"/>
  <c r="K110" i="5"/>
  <c r="J110" i="5"/>
  <c r="I110" i="5"/>
  <c r="H110" i="5"/>
  <c r="G110" i="5"/>
  <c r="F110" i="5"/>
  <c r="E110" i="5"/>
  <c r="D110" i="5"/>
  <c r="C110" i="5"/>
  <c r="B110" i="5"/>
  <c r="A110" i="5"/>
  <c r="AT109" i="5"/>
  <c r="AS109" i="5"/>
  <c r="AO109" i="5"/>
  <c r="AH109" i="5"/>
  <c r="AF109" i="5"/>
  <c r="AE109" i="5"/>
  <c r="AD109" i="5"/>
  <c r="AC109" i="5"/>
  <c r="AB109" i="5"/>
  <c r="X109" i="5"/>
  <c r="V109" i="5"/>
  <c r="U109" i="5"/>
  <c r="T109" i="5"/>
  <c r="S109" i="5"/>
  <c r="R109" i="5"/>
  <c r="Q109" i="5"/>
  <c r="O109" i="5"/>
  <c r="N109" i="5"/>
  <c r="M109" i="5"/>
  <c r="L109" i="5"/>
  <c r="K109" i="5"/>
  <c r="J109" i="5"/>
  <c r="I109" i="5"/>
  <c r="H109" i="5"/>
  <c r="G109" i="5"/>
  <c r="F109" i="5"/>
  <c r="E109" i="5"/>
  <c r="D109" i="5"/>
  <c r="C109" i="5"/>
  <c r="B109" i="5"/>
  <c r="A109" i="5"/>
  <c r="AT108" i="5"/>
  <c r="AS108" i="5"/>
  <c r="AR108" i="5"/>
  <c r="AQ108" i="5"/>
  <c r="AP108" i="5"/>
  <c r="AO108" i="5"/>
  <c r="AN108" i="5"/>
  <c r="AM108" i="5"/>
  <c r="AL108" i="5"/>
  <c r="AK108" i="5"/>
  <c r="AJ108" i="5"/>
  <c r="AI108" i="5"/>
  <c r="AH108" i="5"/>
  <c r="AG108" i="5"/>
  <c r="AF108" i="5"/>
  <c r="AE108" i="5"/>
  <c r="AD108" i="5"/>
  <c r="AC108" i="5"/>
  <c r="AB108" i="5"/>
  <c r="AA108" i="5"/>
  <c r="Z108" i="5"/>
  <c r="Y108" i="5"/>
  <c r="X108" i="5"/>
  <c r="W108" i="5"/>
  <c r="V108" i="5"/>
  <c r="U108" i="5"/>
  <c r="T108" i="5"/>
  <c r="S108" i="5"/>
  <c r="R108" i="5"/>
  <c r="Q108" i="5"/>
  <c r="O108" i="5"/>
  <c r="N108" i="5"/>
  <c r="M108" i="5"/>
  <c r="L108" i="5"/>
  <c r="K108" i="5"/>
  <c r="J108" i="5"/>
  <c r="I108" i="5"/>
  <c r="H108" i="5"/>
  <c r="G108" i="5"/>
  <c r="F108" i="5"/>
  <c r="E108" i="5"/>
  <c r="D108" i="5"/>
  <c r="C108" i="5"/>
  <c r="B108" i="5"/>
  <c r="A108" i="5"/>
  <c r="AT107" i="5"/>
  <c r="AS107" i="5"/>
  <c r="AO107" i="5"/>
  <c r="AH107" i="5"/>
  <c r="AF107" i="5"/>
  <c r="AE107" i="5"/>
  <c r="AD107" i="5"/>
  <c r="AC107" i="5"/>
  <c r="AB107" i="5"/>
  <c r="V107" i="5"/>
  <c r="U107" i="5"/>
  <c r="T107" i="5"/>
  <c r="S107" i="5"/>
  <c r="R107" i="5"/>
  <c r="Q107" i="5"/>
  <c r="O107" i="5"/>
  <c r="N107" i="5"/>
  <c r="M107" i="5"/>
  <c r="L107" i="5"/>
  <c r="K107" i="5"/>
  <c r="J107" i="5"/>
  <c r="I107" i="5"/>
  <c r="H107" i="5"/>
  <c r="G107" i="5"/>
  <c r="F107" i="5"/>
  <c r="E107" i="5"/>
  <c r="D107" i="5"/>
  <c r="C107" i="5"/>
  <c r="B107" i="5"/>
  <c r="A107" i="5"/>
  <c r="AT106" i="5"/>
  <c r="AS106" i="5"/>
  <c r="AO106" i="5"/>
  <c r="AH106" i="5"/>
  <c r="AF106" i="5"/>
  <c r="AE106" i="5"/>
  <c r="AD106" i="5"/>
  <c r="AC106" i="5"/>
  <c r="AB106" i="5"/>
  <c r="V106" i="5"/>
  <c r="U106" i="5"/>
  <c r="T106" i="5"/>
  <c r="S106" i="5"/>
  <c r="R106" i="5"/>
  <c r="Q106" i="5"/>
  <c r="O106" i="5"/>
  <c r="N106" i="5"/>
  <c r="M106" i="5"/>
  <c r="L106" i="5"/>
  <c r="K106" i="5"/>
  <c r="J106" i="5"/>
  <c r="I106" i="5"/>
  <c r="H106" i="5"/>
  <c r="G106" i="5"/>
  <c r="F106" i="5"/>
  <c r="E106" i="5"/>
  <c r="D106" i="5"/>
  <c r="C106" i="5"/>
  <c r="B106" i="5"/>
  <c r="A106" i="5"/>
  <c r="T105" i="5"/>
  <c r="S105" i="5"/>
  <c r="R105" i="5"/>
  <c r="Q105" i="5"/>
  <c r="O105" i="5"/>
  <c r="N105" i="5"/>
  <c r="M105" i="5"/>
  <c r="L105" i="5"/>
  <c r="K105" i="5"/>
  <c r="J105" i="5"/>
  <c r="I105" i="5"/>
  <c r="H105" i="5"/>
  <c r="G105" i="5"/>
  <c r="F105" i="5"/>
  <c r="E105" i="5"/>
  <c r="D105" i="5"/>
  <c r="C105" i="5"/>
  <c r="B105" i="5"/>
  <c r="A105" i="5"/>
  <c r="AT104" i="5"/>
  <c r="AS104" i="5"/>
  <c r="AO104" i="5"/>
  <c r="AH104" i="5"/>
  <c r="AF104" i="5"/>
  <c r="AE104" i="5"/>
  <c r="AD104" i="5"/>
  <c r="AC104" i="5"/>
  <c r="AB104" i="5"/>
  <c r="V104" i="5"/>
  <c r="U104" i="5"/>
  <c r="T104" i="5"/>
  <c r="S104" i="5"/>
  <c r="R104" i="5"/>
  <c r="Q104" i="5"/>
  <c r="O104" i="5"/>
  <c r="N104" i="5"/>
  <c r="M104" i="5"/>
  <c r="L104" i="5"/>
  <c r="K104" i="5"/>
  <c r="J104" i="5"/>
  <c r="I104" i="5"/>
  <c r="H104" i="5"/>
  <c r="G104" i="5"/>
  <c r="F104" i="5"/>
  <c r="E104" i="5"/>
  <c r="D104" i="5"/>
  <c r="C104" i="5"/>
  <c r="B104" i="5"/>
  <c r="A104" i="5"/>
  <c r="AN103" i="5"/>
  <c r="S103" i="5"/>
  <c r="R103" i="5"/>
  <c r="Q103" i="5"/>
  <c r="O103" i="5"/>
  <c r="N103" i="5"/>
  <c r="M103" i="5"/>
  <c r="L103" i="5"/>
  <c r="K103" i="5"/>
  <c r="J103" i="5"/>
  <c r="I103" i="5"/>
  <c r="H103" i="5"/>
  <c r="G103" i="5"/>
  <c r="F103" i="5"/>
  <c r="E103" i="5"/>
  <c r="D103" i="5"/>
  <c r="C103" i="5"/>
  <c r="B103" i="5"/>
  <c r="A103" i="5"/>
  <c r="T102" i="5"/>
  <c r="S102" i="5"/>
  <c r="R102" i="5"/>
  <c r="Q102" i="5"/>
  <c r="O102" i="5"/>
  <c r="N102" i="5"/>
  <c r="M102" i="5"/>
  <c r="L102" i="5"/>
  <c r="K102" i="5"/>
  <c r="J102" i="5"/>
  <c r="I102" i="5"/>
  <c r="H102" i="5"/>
  <c r="G102" i="5"/>
  <c r="F102" i="5"/>
  <c r="E102" i="5"/>
  <c r="D102" i="5"/>
  <c r="C102" i="5"/>
  <c r="B102" i="5"/>
  <c r="A102" i="5"/>
  <c r="AT101" i="5"/>
  <c r="AS101" i="5"/>
  <c r="AO101" i="5"/>
  <c r="AH101" i="5"/>
  <c r="AF101" i="5"/>
  <c r="AE101" i="5"/>
  <c r="AD101" i="5"/>
  <c r="AC101" i="5"/>
  <c r="AB101" i="5"/>
  <c r="V101" i="5"/>
  <c r="U101" i="5"/>
  <c r="T101" i="5"/>
  <c r="S101" i="5"/>
  <c r="R101" i="5"/>
  <c r="Q101" i="5"/>
  <c r="O101" i="5"/>
  <c r="N101" i="5"/>
  <c r="M101" i="5"/>
  <c r="L101" i="5"/>
  <c r="K101" i="5"/>
  <c r="J101" i="5"/>
  <c r="I101" i="5"/>
  <c r="H101" i="5"/>
  <c r="G101" i="5"/>
  <c r="F101" i="5"/>
  <c r="E101" i="5"/>
  <c r="D101" i="5"/>
  <c r="C101" i="5"/>
  <c r="B101" i="5"/>
  <c r="A101" i="5"/>
  <c r="AT100" i="5"/>
  <c r="AS100" i="5"/>
  <c r="AQ100" i="5"/>
  <c r="AO100" i="5"/>
  <c r="AL100" i="5"/>
  <c r="AK100" i="5"/>
  <c r="AJ100" i="5"/>
  <c r="AI100" i="5"/>
  <c r="AH100" i="5"/>
  <c r="AG100" i="5"/>
  <c r="AF100" i="5"/>
  <c r="AE100" i="5"/>
  <c r="AD100" i="5"/>
  <c r="AC100" i="5"/>
  <c r="AB100" i="5"/>
  <c r="AA100" i="5"/>
  <c r="Z100" i="5"/>
  <c r="Y100" i="5"/>
  <c r="X100" i="5"/>
  <c r="W100" i="5"/>
  <c r="V100" i="5"/>
  <c r="U100" i="5"/>
  <c r="T100" i="5"/>
  <c r="S100" i="5"/>
  <c r="R100" i="5"/>
  <c r="Q100" i="5"/>
  <c r="O100" i="5"/>
  <c r="N100" i="5"/>
  <c r="M100" i="5"/>
  <c r="L100" i="5"/>
  <c r="K100" i="5"/>
  <c r="J100" i="5"/>
  <c r="I100" i="5"/>
  <c r="H100" i="5"/>
  <c r="G100" i="5"/>
  <c r="F100" i="5"/>
  <c r="E100" i="5"/>
  <c r="D100" i="5"/>
  <c r="C100" i="5"/>
  <c r="B100" i="5"/>
  <c r="A100" i="5"/>
  <c r="AT99" i="5"/>
  <c r="AS99" i="5"/>
  <c r="AQ99" i="5"/>
  <c r="AO99" i="5"/>
  <c r="AL99" i="5"/>
  <c r="AK99" i="5"/>
  <c r="AJ99" i="5"/>
  <c r="AI99" i="5"/>
  <c r="AH99" i="5"/>
  <c r="AG99" i="5"/>
  <c r="AF99" i="5"/>
  <c r="AE99" i="5"/>
  <c r="AD99" i="5"/>
  <c r="AC99" i="5"/>
  <c r="AB99" i="5"/>
  <c r="AA99" i="5"/>
  <c r="Z99" i="5"/>
  <c r="Y99" i="5"/>
  <c r="X99" i="5"/>
  <c r="W99" i="5"/>
  <c r="V99" i="5"/>
  <c r="U99" i="5"/>
  <c r="T99" i="5"/>
  <c r="S99" i="5"/>
  <c r="R99" i="5"/>
  <c r="Q99" i="5"/>
  <c r="O99" i="5"/>
  <c r="N99" i="5"/>
  <c r="M99" i="5"/>
  <c r="L99" i="5"/>
  <c r="K99" i="5"/>
  <c r="J99" i="5"/>
  <c r="I99" i="5"/>
  <c r="H99" i="5"/>
  <c r="G99" i="5"/>
  <c r="F99" i="5"/>
  <c r="E99" i="5"/>
  <c r="D99" i="5"/>
  <c r="C99" i="5"/>
  <c r="B99" i="5"/>
  <c r="A99" i="5"/>
  <c r="AT98" i="5"/>
  <c r="AS98" i="5"/>
  <c r="AR98" i="5"/>
  <c r="AQ98" i="5"/>
  <c r="AP98" i="5"/>
  <c r="AO98" i="5"/>
  <c r="AN98" i="5"/>
  <c r="AM98" i="5"/>
  <c r="AL98" i="5"/>
  <c r="AK98" i="5"/>
  <c r="AJ98" i="5"/>
  <c r="AI98" i="5"/>
  <c r="AH98" i="5"/>
  <c r="AG98" i="5"/>
  <c r="AF98" i="5"/>
  <c r="AE98" i="5"/>
  <c r="AD98" i="5"/>
  <c r="AC98" i="5"/>
  <c r="AB98" i="5"/>
  <c r="AA98" i="5"/>
  <c r="Z98" i="5"/>
  <c r="Y98" i="5"/>
  <c r="X98" i="5"/>
  <c r="W98" i="5"/>
  <c r="V98" i="5"/>
  <c r="U98" i="5"/>
  <c r="T98" i="5"/>
  <c r="S98" i="5"/>
  <c r="R98" i="5"/>
  <c r="Q98" i="5"/>
  <c r="O98" i="5"/>
  <c r="N98" i="5"/>
  <c r="M98" i="5"/>
  <c r="L98" i="5"/>
  <c r="K98" i="5"/>
  <c r="J98" i="5"/>
  <c r="I98" i="5"/>
  <c r="H98" i="5"/>
  <c r="G98" i="5"/>
  <c r="F98" i="5"/>
  <c r="E98" i="5"/>
  <c r="D98" i="5"/>
  <c r="C98" i="5"/>
  <c r="B98" i="5"/>
  <c r="A98" i="5"/>
  <c r="AT97" i="5"/>
  <c r="AS97" i="5"/>
  <c r="AQ97" i="5"/>
  <c r="AO97" i="5"/>
  <c r="AL97" i="5"/>
  <c r="AK97" i="5"/>
  <c r="AJ97" i="5"/>
  <c r="AI97" i="5"/>
  <c r="AH97" i="5"/>
  <c r="AG97" i="5"/>
  <c r="AF97" i="5"/>
  <c r="AE97" i="5"/>
  <c r="AD97" i="5"/>
  <c r="AC97" i="5"/>
  <c r="AB97" i="5"/>
  <c r="AA97" i="5"/>
  <c r="Z97" i="5"/>
  <c r="Y97" i="5"/>
  <c r="X97" i="5"/>
  <c r="W97" i="5"/>
  <c r="V97" i="5"/>
  <c r="U97" i="5"/>
  <c r="T97" i="5"/>
  <c r="S97" i="5"/>
  <c r="R97" i="5"/>
  <c r="Q97" i="5"/>
  <c r="O97" i="5"/>
  <c r="N97" i="5"/>
  <c r="M97" i="5"/>
  <c r="L97" i="5"/>
  <c r="K97" i="5"/>
  <c r="J97" i="5"/>
  <c r="I97" i="5"/>
  <c r="H97" i="5"/>
  <c r="G97" i="5"/>
  <c r="F97" i="5"/>
  <c r="E97" i="5"/>
  <c r="D97" i="5"/>
  <c r="C97" i="5"/>
  <c r="B97" i="5"/>
  <c r="A97" i="5"/>
  <c r="AT96" i="5"/>
  <c r="AS96" i="5"/>
  <c r="AQ96" i="5"/>
  <c r="AO96" i="5"/>
  <c r="AL96" i="5"/>
  <c r="AK96" i="5"/>
  <c r="AJ96" i="5"/>
  <c r="AI96" i="5"/>
  <c r="AH96" i="5"/>
  <c r="AG96" i="5"/>
  <c r="AF96" i="5"/>
  <c r="AE96" i="5"/>
  <c r="AD96" i="5"/>
  <c r="AC96" i="5"/>
  <c r="AB96" i="5"/>
  <c r="AA96" i="5"/>
  <c r="Z96" i="5"/>
  <c r="Y96" i="5"/>
  <c r="X96" i="5"/>
  <c r="W96" i="5"/>
  <c r="V96" i="5"/>
  <c r="U96" i="5"/>
  <c r="T96" i="5"/>
  <c r="S96" i="5"/>
  <c r="R96" i="5"/>
  <c r="Q96" i="5"/>
  <c r="O96" i="5"/>
  <c r="N96" i="5"/>
  <c r="M96" i="5"/>
  <c r="L96" i="5"/>
  <c r="K96" i="5"/>
  <c r="J96" i="5"/>
  <c r="I96" i="5"/>
  <c r="H96" i="5"/>
  <c r="G96" i="5"/>
  <c r="F96" i="5"/>
  <c r="E96" i="5"/>
  <c r="D96" i="5"/>
  <c r="C96" i="5"/>
  <c r="B96" i="5"/>
  <c r="A96" i="5"/>
  <c r="AT95" i="5"/>
  <c r="AS95" i="5"/>
  <c r="AQ95" i="5"/>
  <c r="AO95" i="5"/>
  <c r="AL95" i="5"/>
  <c r="AK95" i="5"/>
  <c r="AJ95" i="5"/>
  <c r="AI95" i="5"/>
  <c r="AH95" i="5"/>
  <c r="AG95" i="5"/>
  <c r="AF95" i="5"/>
  <c r="AE95" i="5"/>
  <c r="AD95" i="5"/>
  <c r="AC95" i="5"/>
  <c r="AB95" i="5"/>
  <c r="AA95" i="5"/>
  <c r="Z95" i="5"/>
  <c r="Y95" i="5"/>
  <c r="X95" i="5"/>
  <c r="W95" i="5"/>
  <c r="V95" i="5"/>
  <c r="U95" i="5"/>
  <c r="T95" i="5"/>
  <c r="S95" i="5"/>
  <c r="R95" i="5"/>
  <c r="Q95" i="5"/>
  <c r="O95" i="5"/>
  <c r="N95" i="5"/>
  <c r="M95" i="5"/>
  <c r="L95" i="5"/>
  <c r="K95" i="5"/>
  <c r="J95" i="5"/>
  <c r="I95" i="5"/>
  <c r="H95" i="5"/>
  <c r="G95" i="5"/>
  <c r="F95" i="5"/>
  <c r="E95" i="5"/>
  <c r="D95" i="5"/>
  <c r="C95" i="5"/>
  <c r="B95" i="5"/>
  <c r="A95" i="5"/>
  <c r="AT94" i="5"/>
  <c r="AS94" i="5"/>
  <c r="AQ94" i="5"/>
  <c r="AO94" i="5"/>
  <c r="AL94" i="5"/>
  <c r="AK94" i="5"/>
  <c r="AJ94" i="5"/>
  <c r="AI94" i="5"/>
  <c r="AH94" i="5"/>
  <c r="AG94" i="5"/>
  <c r="AF94" i="5"/>
  <c r="AE94" i="5"/>
  <c r="AD94" i="5"/>
  <c r="AC94" i="5"/>
  <c r="AB94" i="5"/>
  <c r="AA94" i="5"/>
  <c r="Z94" i="5"/>
  <c r="Y94" i="5"/>
  <c r="X94" i="5"/>
  <c r="W94" i="5"/>
  <c r="V94" i="5"/>
  <c r="U94" i="5"/>
  <c r="T94" i="5"/>
  <c r="S94" i="5"/>
  <c r="R94" i="5"/>
  <c r="Q94" i="5"/>
  <c r="O94" i="5"/>
  <c r="N94" i="5"/>
  <c r="M94" i="5"/>
  <c r="L94" i="5"/>
  <c r="K94" i="5"/>
  <c r="J94" i="5"/>
  <c r="I94" i="5"/>
  <c r="H94" i="5"/>
  <c r="G94" i="5"/>
  <c r="F94" i="5"/>
  <c r="E94" i="5"/>
  <c r="D94" i="5"/>
  <c r="C94" i="5"/>
  <c r="B94" i="5"/>
  <c r="A94" i="5"/>
  <c r="AT93" i="5"/>
  <c r="AS93" i="5"/>
  <c r="AQ93" i="5"/>
  <c r="AO93" i="5"/>
  <c r="AL93" i="5"/>
  <c r="AK93" i="5"/>
  <c r="AJ93" i="5"/>
  <c r="AI93" i="5"/>
  <c r="AH93" i="5"/>
  <c r="AG93" i="5"/>
  <c r="AF93" i="5"/>
  <c r="AE93" i="5"/>
  <c r="AD93" i="5"/>
  <c r="AC93" i="5"/>
  <c r="AB93" i="5"/>
  <c r="AA93" i="5"/>
  <c r="Z93" i="5"/>
  <c r="Y93" i="5"/>
  <c r="X93" i="5"/>
  <c r="W93" i="5"/>
  <c r="V93" i="5"/>
  <c r="U93" i="5"/>
  <c r="T93" i="5"/>
  <c r="S93" i="5"/>
  <c r="R93" i="5"/>
  <c r="Q93" i="5"/>
  <c r="O93" i="5"/>
  <c r="N93" i="5"/>
  <c r="M93" i="5"/>
  <c r="L93" i="5"/>
  <c r="K93" i="5"/>
  <c r="J93" i="5"/>
  <c r="I93" i="5"/>
  <c r="H93" i="5"/>
  <c r="G93" i="5"/>
  <c r="F93" i="5"/>
  <c r="E93" i="5"/>
  <c r="D93" i="5"/>
  <c r="C93" i="5"/>
  <c r="B93" i="5"/>
  <c r="A93" i="5"/>
  <c r="AQ92" i="5"/>
  <c r="AL92" i="5"/>
  <c r="AK92" i="5"/>
  <c r="AJ92" i="5"/>
  <c r="AI92" i="5"/>
  <c r="AH92" i="5"/>
  <c r="AG92" i="5"/>
  <c r="AF92" i="5"/>
  <c r="AE92" i="5"/>
  <c r="AD92" i="5"/>
  <c r="AC92" i="5"/>
  <c r="AB92" i="5"/>
  <c r="AA92" i="5"/>
  <c r="Z92" i="5"/>
  <c r="Y92" i="5"/>
  <c r="X92" i="5"/>
  <c r="W92" i="5"/>
  <c r="V92" i="5"/>
  <c r="U92" i="5"/>
  <c r="T92" i="5"/>
  <c r="S92" i="5"/>
  <c r="R92" i="5"/>
  <c r="Q92" i="5"/>
  <c r="O92" i="5"/>
  <c r="N92" i="5"/>
  <c r="M92" i="5"/>
  <c r="L92" i="5"/>
  <c r="K92" i="5"/>
  <c r="J92" i="5"/>
  <c r="I92" i="5"/>
  <c r="H92" i="5"/>
  <c r="G92" i="5"/>
  <c r="F92" i="5"/>
  <c r="E92" i="5"/>
  <c r="D92" i="5"/>
  <c r="C92" i="5"/>
  <c r="B92" i="5"/>
  <c r="A92" i="5"/>
  <c r="AQ91" i="5"/>
  <c r="AL91" i="5"/>
  <c r="AK91" i="5"/>
  <c r="AJ91" i="5"/>
  <c r="AI91" i="5"/>
  <c r="AH91" i="5"/>
  <c r="AG91" i="5"/>
  <c r="AF91" i="5"/>
  <c r="AE91" i="5"/>
  <c r="AD91" i="5"/>
  <c r="AC91" i="5"/>
  <c r="AB91" i="5"/>
  <c r="AA91" i="5"/>
  <c r="Z91" i="5"/>
  <c r="Y91" i="5"/>
  <c r="X91" i="5"/>
  <c r="W91" i="5"/>
  <c r="V91" i="5"/>
  <c r="U91" i="5"/>
  <c r="T91" i="5"/>
  <c r="S91" i="5"/>
  <c r="R91" i="5"/>
  <c r="Q91" i="5"/>
  <c r="O91" i="5"/>
  <c r="N91" i="5"/>
  <c r="M91" i="5"/>
  <c r="L91" i="5"/>
  <c r="K91" i="5"/>
  <c r="J91" i="5"/>
  <c r="I91" i="5"/>
  <c r="H91" i="5"/>
  <c r="G91" i="5"/>
  <c r="F91" i="5"/>
  <c r="E91" i="5"/>
  <c r="D91" i="5"/>
  <c r="C91" i="5"/>
  <c r="B91" i="5"/>
  <c r="A91" i="5"/>
  <c r="AQ90" i="5"/>
  <c r="AL90" i="5"/>
  <c r="AK90" i="5"/>
  <c r="AJ90" i="5"/>
  <c r="AI90" i="5"/>
  <c r="AH90" i="5"/>
  <c r="AG90" i="5"/>
  <c r="AF90" i="5"/>
  <c r="AE90" i="5"/>
  <c r="AD90" i="5"/>
  <c r="AC90" i="5"/>
  <c r="AB90" i="5"/>
  <c r="AA90" i="5"/>
  <c r="Z90" i="5"/>
  <c r="Y90" i="5"/>
  <c r="X90" i="5"/>
  <c r="W90" i="5"/>
  <c r="V90" i="5"/>
  <c r="U90" i="5"/>
  <c r="T90" i="5"/>
  <c r="S90" i="5"/>
  <c r="R90" i="5"/>
  <c r="Q90" i="5"/>
  <c r="O90" i="5"/>
  <c r="N90" i="5"/>
  <c r="M90" i="5"/>
  <c r="L90" i="5"/>
  <c r="K90" i="5"/>
  <c r="J90" i="5"/>
  <c r="I90" i="5"/>
  <c r="H90" i="5"/>
  <c r="G90" i="5"/>
  <c r="F90" i="5"/>
  <c r="E90" i="5"/>
  <c r="D90" i="5"/>
  <c r="C90" i="5"/>
  <c r="B90" i="5"/>
  <c r="A90" i="5"/>
  <c r="AT89" i="5"/>
  <c r="AS89" i="5"/>
  <c r="AQ89" i="5"/>
  <c r="AO89" i="5"/>
  <c r="AL89" i="5"/>
  <c r="AK89" i="5"/>
  <c r="AJ89" i="5"/>
  <c r="AI89" i="5"/>
  <c r="AH89" i="5"/>
  <c r="AG89" i="5"/>
  <c r="AF89" i="5"/>
  <c r="AE89" i="5"/>
  <c r="AD89" i="5"/>
  <c r="AC89" i="5"/>
  <c r="AB89" i="5"/>
  <c r="AA89" i="5"/>
  <c r="Z89" i="5"/>
  <c r="Y89" i="5"/>
  <c r="X89" i="5"/>
  <c r="W89" i="5"/>
  <c r="V89" i="5"/>
  <c r="U89" i="5"/>
  <c r="T89" i="5"/>
  <c r="S89" i="5"/>
  <c r="R89" i="5"/>
  <c r="Q89" i="5"/>
  <c r="O89" i="5"/>
  <c r="N89" i="5"/>
  <c r="M89" i="5"/>
  <c r="L89" i="5"/>
  <c r="K89" i="5"/>
  <c r="J89" i="5"/>
  <c r="I89" i="5"/>
  <c r="H89" i="5"/>
  <c r="G89" i="5"/>
  <c r="F89" i="5"/>
  <c r="E89" i="5"/>
  <c r="D89" i="5"/>
  <c r="C89" i="5"/>
  <c r="B89" i="5"/>
  <c r="A89" i="5"/>
  <c r="AT88" i="5"/>
  <c r="AS88" i="5"/>
  <c r="AQ88" i="5"/>
  <c r="AO88" i="5"/>
  <c r="AL88" i="5"/>
  <c r="AK88" i="5"/>
  <c r="AJ88" i="5"/>
  <c r="AI88" i="5"/>
  <c r="AH88" i="5"/>
  <c r="AG88" i="5"/>
  <c r="AF88" i="5"/>
  <c r="AE88" i="5"/>
  <c r="AD88" i="5"/>
  <c r="AC88" i="5"/>
  <c r="AB88" i="5"/>
  <c r="AA88" i="5"/>
  <c r="Z88" i="5"/>
  <c r="Y88" i="5"/>
  <c r="X88" i="5"/>
  <c r="W88" i="5"/>
  <c r="V88" i="5"/>
  <c r="U88" i="5"/>
  <c r="T88" i="5"/>
  <c r="S88" i="5"/>
  <c r="R88" i="5"/>
  <c r="Q88" i="5"/>
  <c r="O88" i="5"/>
  <c r="N88" i="5"/>
  <c r="M88" i="5"/>
  <c r="L88" i="5"/>
  <c r="K88" i="5"/>
  <c r="J88" i="5"/>
  <c r="I88" i="5"/>
  <c r="H88" i="5"/>
  <c r="G88" i="5"/>
  <c r="F88" i="5"/>
  <c r="E88" i="5"/>
  <c r="D88" i="5"/>
  <c r="C88" i="5"/>
  <c r="B88" i="5"/>
  <c r="A88" i="5"/>
  <c r="AT87" i="5"/>
  <c r="AS87" i="5"/>
  <c r="AQ87" i="5"/>
  <c r="AO87" i="5"/>
  <c r="AL87" i="5"/>
  <c r="AK87" i="5"/>
  <c r="AJ87" i="5"/>
  <c r="AI87" i="5"/>
  <c r="AH87" i="5"/>
  <c r="AG87" i="5"/>
  <c r="AF87" i="5"/>
  <c r="AE87" i="5"/>
  <c r="AD87" i="5"/>
  <c r="AC87" i="5"/>
  <c r="AB87" i="5"/>
  <c r="AA87" i="5"/>
  <c r="Z87" i="5"/>
  <c r="Y87" i="5"/>
  <c r="X87" i="5"/>
  <c r="W87" i="5"/>
  <c r="V87" i="5"/>
  <c r="U87" i="5"/>
  <c r="T87" i="5"/>
  <c r="S87" i="5"/>
  <c r="R87" i="5"/>
  <c r="Q87" i="5"/>
  <c r="O87" i="5"/>
  <c r="N87" i="5"/>
  <c r="M87" i="5"/>
  <c r="L87" i="5"/>
  <c r="K87" i="5"/>
  <c r="J87" i="5"/>
  <c r="I87" i="5"/>
  <c r="H87" i="5"/>
  <c r="G87" i="5"/>
  <c r="F87" i="5"/>
  <c r="E87" i="5"/>
  <c r="D87" i="5"/>
  <c r="C87" i="5"/>
  <c r="B87" i="5"/>
  <c r="A87" i="5"/>
  <c r="AT86" i="5"/>
  <c r="AS86" i="5"/>
  <c r="AQ86" i="5"/>
  <c r="AO86" i="5"/>
  <c r="AL86" i="5"/>
  <c r="AK86" i="5"/>
  <c r="AJ86" i="5"/>
  <c r="AI86" i="5"/>
  <c r="AH86" i="5"/>
  <c r="AG86" i="5"/>
  <c r="AF86" i="5"/>
  <c r="AE86" i="5"/>
  <c r="AD86" i="5"/>
  <c r="AC86" i="5"/>
  <c r="AB86" i="5"/>
  <c r="AA86" i="5"/>
  <c r="Z86" i="5"/>
  <c r="Y86" i="5"/>
  <c r="X86" i="5"/>
  <c r="W86" i="5"/>
  <c r="V86" i="5"/>
  <c r="U86" i="5"/>
  <c r="T86" i="5"/>
  <c r="S86" i="5"/>
  <c r="R86" i="5"/>
  <c r="Q86" i="5"/>
  <c r="O86" i="5"/>
  <c r="N86" i="5"/>
  <c r="M86" i="5"/>
  <c r="L86" i="5"/>
  <c r="K86" i="5"/>
  <c r="J86" i="5"/>
  <c r="I86" i="5"/>
  <c r="H86" i="5"/>
  <c r="G86" i="5"/>
  <c r="F86" i="5"/>
  <c r="E86" i="5"/>
  <c r="D86" i="5"/>
  <c r="C86" i="5"/>
  <c r="B86" i="5"/>
  <c r="A86" i="5"/>
  <c r="AT85" i="5"/>
  <c r="AS85" i="5"/>
  <c r="AQ85" i="5"/>
  <c r="AO85" i="5"/>
  <c r="AL85" i="5"/>
  <c r="AK85" i="5"/>
  <c r="AJ85" i="5"/>
  <c r="AI85" i="5"/>
  <c r="AH85" i="5"/>
  <c r="AG85" i="5"/>
  <c r="AF85" i="5"/>
  <c r="AE85" i="5"/>
  <c r="AD85" i="5"/>
  <c r="AC85" i="5"/>
  <c r="AB85" i="5"/>
  <c r="AA85" i="5"/>
  <c r="Z85" i="5"/>
  <c r="Y85" i="5"/>
  <c r="X85" i="5"/>
  <c r="W85" i="5"/>
  <c r="V85" i="5"/>
  <c r="U85" i="5"/>
  <c r="T85" i="5"/>
  <c r="S85" i="5"/>
  <c r="R85" i="5"/>
  <c r="Q85" i="5"/>
  <c r="O85" i="5"/>
  <c r="N85" i="5"/>
  <c r="M85" i="5"/>
  <c r="L85" i="5"/>
  <c r="K85" i="5"/>
  <c r="J85" i="5"/>
  <c r="I85" i="5"/>
  <c r="H85" i="5"/>
  <c r="G85" i="5"/>
  <c r="F85" i="5"/>
  <c r="E85" i="5"/>
  <c r="D85" i="5"/>
  <c r="C85" i="5"/>
  <c r="B85" i="5"/>
  <c r="A85" i="5"/>
  <c r="AT84" i="5"/>
  <c r="AS84" i="5"/>
  <c r="AO84" i="5"/>
  <c r="AH84" i="5"/>
  <c r="AF84" i="5"/>
  <c r="AE84" i="5"/>
  <c r="AD84" i="5"/>
  <c r="AC84" i="5"/>
  <c r="AB84" i="5"/>
  <c r="V84" i="5"/>
  <c r="U84" i="5"/>
  <c r="T84" i="5"/>
  <c r="S84" i="5"/>
  <c r="R84" i="5"/>
  <c r="Q84" i="5"/>
  <c r="O84" i="5"/>
  <c r="N84" i="5"/>
  <c r="M84" i="5"/>
  <c r="L84" i="5"/>
  <c r="K84" i="5"/>
  <c r="J84" i="5"/>
  <c r="I84" i="5"/>
  <c r="H84" i="5"/>
  <c r="G84" i="5"/>
  <c r="F84" i="5"/>
  <c r="E84" i="5"/>
  <c r="D84" i="5"/>
  <c r="C84" i="5"/>
  <c r="B84" i="5"/>
  <c r="A84" i="5"/>
  <c r="AT83" i="5"/>
  <c r="AS83" i="5"/>
  <c r="AO83" i="5"/>
  <c r="AH83" i="5"/>
  <c r="AF83" i="5"/>
  <c r="AE83" i="5"/>
  <c r="AD83" i="5"/>
  <c r="AC83" i="5"/>
  <c r="AB83" i="5"/>
  <c r="V83" i="5"/>
  <c r="U83" i="5"/>
  <c r="T83" i="5"/>
  <c r="S83" i="5"/>
  <c r="R83" i="5"/>
  <c r="Q83" i="5"/>
  <c r="O83" i="5"/>
  <c r="N83" i="5"/>
  <c r="M83" i="5"/>
  <c r="L83" i="5"/>
  <c r="K83" i="5"/>
  <c r="J83" i="5"/>
  <c r="I83" i="5"/>
  <c r="H83" i="5"/>
  <c r="G83" i="5"/>
  <c r="F83" i="5"/>
  <c r="E83" i="5"/>
  <c r="D83" i="5"/>
  <c r="C83" i="5"/>
  <c r="B83" i="5"/>
  <c r="A83" i="5"/>
  <c r="AT82" i="5"/>
  <c r="AS82" i="5"/>
  <c r="AO82" i="5"/>
  <c r="AH82" i="5"/>
  <c r="AF82" i="5"/>
  <c r="AE82" i="5"/>
  <c r="AD82" i="5"/>
  <c r="AC82" i="5"/>
  <c r="AB82" i="5"/>
  <c r="V82" i="5"/>
  <c r="U82" i="5"/>
  <c r="T82" i="5"/>
  <c r="S82" i="5"/>
  <c r="R82" i="5"/>
  <c r="Q82" i="5"/>
  <c r="O82" i="5"/>
  <c r="N82" i="5"/>
  <c r="M82" i="5"/>
  <c r="L82" i="5"/>
  <c r="K82" i="5"/>
  <c r="J82" i="5"/>
  <c r="I82" i="5"/>
  <c r="H82" i="5"/>
  <c r="G82" i="5"/>
  <c r="F82" i="5"/>
  <c r="E82" i="5"/>
  <c r="D82" i="5"/>
  <c r="C82" i="5"/>
  <c r="B82" i="5"/>
  <c r="A82" i="5"/>
  <c r="AT81" i="5"/>
  <c r="AS81" i="5"/>
  <c r="AO81" i="5"/>
  <c r="AH81" i="5"/>
  <c r="AF81" i="5"/>
  <c r="AE81" i="5"/>
  <c r="AD81" i="5"/>
  <c r="AC81" i="5"/>
  <c r="AB81" i="5"/>
  <c r="V81" i="5"/>
  <c r="U81" i="5"/>
  <c r="T81" i="5"/>
  <c r="S81" i="5"/>
  <c r="R81" i="5"/>
  <c r="Q81" i="5"/>
  <c r="O81" i="5"/>
  <c r="N81" i="5"/>
  <c r="M81" i="5"/>
  <c r="L81" i="5"/>
  <c r="K81" i="5"/>
  <c r="J81" i="5"/>
  <c r="I81" i="5"/>
  <c r="H81" i="5"/>
  <c r="G81" i="5"/>
  <c r="F81" i="5"/>
  <c r="E81" i="5"/>
  <c r="D81" i="5"/>
  <c r="C81" i="5"/>
  <c r="B81" i="5"/>
  <c r="A81" i="5"/>
  <c r="AT80" i="5"/>
  <c r="AS80" i="5"/>
  <c r="AQ80" i="5"/>
  <c r="AO80" i="5"/>
  <c r="AL80" i="5"/>
  <c r="AK80" i="5"/>
  <c r="AJ80" i="5"/>
  <c r="AI80" i="5"/>
  <c r="AH80" i="5"/>
  <c r="AG80" i="5"/>
  <c r="AF80" i="5"/>
  <c r="AE80" i="5"/>
  <c r="AD80" i="5"/>
  <c r="AC80" i="5"/>
  <c r="AB80" i="5"/>
  <c r="AA80" i="5"/>
  <c r="Z80" i="5"/>
  <c r="Y80" i="5"/>
  <c r="X80" i="5"/>
  <c r="W80" i="5"/>
  <c r="V80" i="5"/>
  <c r="U80" i="5"/>
  <c r="T80" i="5"/>
  <c r="S80" i="5"/>
  <c r="R80" i="5"/>
  <c r="Q80" i="5"/>
  <c r="O80" i="5"/>
  <c r="N80" i="5"/>
  <c r="M80" i="5"/>
  <c r="L80" i="5"/>
  <c r="K80" i="5"/>
  <c r="J80" i="5"/>
  <c r="I80" i="5"/>
  <c r="H80" i="5"/>
  <c r="G80" i="5"/>
  <c r="F80" i="5"/>
  <c r="E80" i="5"/>
  <c r="D80" i="5"/>
  <c r="C80" i="5"/>
  <c r="B80" i="5"/>
  <c r="A80" i="5"/>
  <c r="T79" i="5"/>
  <c r="S79" i="5"/>
  <c r="R79" i="5"/>
  <c r="Q79" i="5"/>
  <c r="O79" i="5"/>
  <c r="N79" i="5"/>
  <c r="M79" i="5"/>
  <c r="L79" i="5"/>
  <c r="K79" i="5"/>
  <c r="J79" i="5"/>
  <c r="I79" i="5"/>
  <c r="H79" i="5"/>
  <c r="G79" i="5"/>
  <c r="F79" i="5"/>
  <c r="E79" i="5"/>
  <c r="D79" i="5"/>
  <c r="C79" i="5"/>
  <c r="B79" i="5"/>
  <c r="A79" i="5"/>
  <c r="AT78" i="5"/>
  <c r="AS78" i="5"/>
  <c r="AQ78" i="5"/>
  <c r="AO78" i="5"/>
  <c r="AL78" i="5"/>
  <c r="AK78" i="5"/>
  <c r="AJ78" i="5"/>
  <c r="AI78" i="5"/>
  <c r="AH78" i="5"/>
  <c r="AG78" i="5"/>
  <c r="AF78" i="5"/>
  <c r="AE78" i="5"/>
  <c r="AD78" i="5"/>
  <c r="AC78" i="5"/>
  <c r="AB78" i="5"/>
  <c r="AA78" i="5"/>
  <c r="Z78" i="5"/>
  <c r="Y78" i="5"/>
  <c r="X78" i="5"/>
  <c r="W78" i="5"/>
  <c r="V78" i="5"/>
  <c r="U78" i="5"/>
  <c r="T78" i="5"/>
  <c r="S78" i="5"/>
  <c r="R78" i="5"/>
  <c r="Q78" i="5"/>
  <c r="O78" i="5"/>
  <c r="N78" i="5"/>
  <c r="M78" i="5"/>
  <c r="L78" i="5"/>
  <c r="K78" i="5"/>
  <c r="J78" i="5"/>
  <c r="I78" i="5"/>
  <c r="H78" i="5"/>
  <c r="G78" i="5"/>
  <c r="F78" i="5"/>
  <c r="E78" i="5"/>
  <c r="D78" i="5"/>
  <c r="C78" i="5"/>
  <c r="B78" i="5"/>
  <c r="A78" i="5"/>
  <c r="AQ77" i="5"/>
  <c r="AL77" i="5"/>
  <c r="AK77" i="5"/>
  <c r="AJ77" i="5"/>
  <c r="AI77" i="5"/>
  <c r="AH77" i="5"/>
  <c r="AG77" i="5"/>
  <c r="AF77" i="5"/>
  <c r="AE77" i="5"/>
  <c r="AD77" i="5"/>
  <c r="AC77" i="5"/>
  <c r="AB77" i="5"/>
  <c r="AA77" i="5"/>
  <c r="Z77" i="5"/>
  <c r="Y77" i="5"/>
  <c r="X77" i="5"/>
  <c r="W77" i="5"/>
  <c r="V77" i="5"/>
  <c r="U77" i="5"/>
  <c r="T77" i="5"/>
  <c r="S77" i="5"/>
  <c r="R77" i="5"/>
  <c r="Q77" i="5"/>
  <c r="O77" i="5"/>
  <c r="N77" i="5"/>
  <c r="M77" i="5"/>
  <c r="L77" i="5"/>
  <c r="K77" i="5"/>
  <c r="J77" i="5"/>
  <c r="I77" i="5"/>
  <c r="H77" i="5"/>
  <c r="G77" i="5"/>
  <c r="F77" i="5"/>
  <c r="E77" i="5"/>
  <c r="D77" i="5"/>
  <c r="C77" i="5"/>
  <c r="B77" i="5"/>
  <c r="A77" i="5"/>
  <c r="AQ76" i="5"/>
  <c r="AL76" i="5"/>
  <c r="AK76" i="5"/>
  <c r="AJ76" i="5"/>
  <c r="AI76" i="5"/>
  <c r="AH76" i="5"/>
  <c r="AG76" i="5"/>
  <c r="AF76" i="5"/>
  <c r="AE76" i="5"/>
  <c r="AD76" i="5"/>
  <c r="AC76" i="5"/>
  <c r="AB76" i="5"/>
  <c r="AA76" i="5"/>
  <c r="Z76" i="5"/>
  <c r="Y76" i="5"/>
  <c r="X76" i="5"/>
  <c r="W76" i="5"/>
  <c r="V76" i="5"/>
  <c r="U76" i="5"/>
  <c r="T76" i="5"/>
  <c r="S76" i="5"/>
  <c r="R76" i="5"/>
  <c r="Q76" i="5"/>
  <c r="O76" i="5"/>
  <c r="N76" i="5"/>
  <c r="M76" i="5"/>
  <c r="L76" i="5"/>
  <c r="K76" i="5"/>
  <c r="J76" i="5"/>
  <c r="I76" i="5"/>
  <c r="H76" i="5"/>
  <c r="G76" i="5"/>
  <c r="F76" i="5"/>
  <c r="E76" i="5"/>
  <c r="D76" i="5"/>
  <c r="C76" i="5"/>
  <c r="B76" i="5"/>
  <c r="A76" i="5"/>
  <c r="T75" i="5"/>
  <c r="S75" i="5"/>
  <c r="R75" i="5"/>
  <c r="Q75" i="5"/>
  <c r="O75" i="5"/>
  <c r="N75" i="5"/>
  <c r="M75" i="5"/>
  <c r="L75" i="5"/>
  <c r="K75" i="5"/>
  <c r="J75" i="5"/>
  <c r="I75" i="5"/>
  <c r="H75" i="5"/>
  <c r="G75" i="5"/>
  <c r="F75" i="5"/>
  <c r="E75" i="5"/>
  <c r="D75" i="5"/>
  <c r="C75" i="5"/>
  <c r="B75" i="5"/>
  <c r="A75" i="5"/>
  <c r="AQ74" i="5"/>
  <c r="AL74" i="5"/>
  <c r="AK74" i="5"/>
  <c r="AJ74" i="5"/>
  <c r="AI74" i="5"/>
  <c r="AH74" i="5"/>
  <c r="AG74" i="5"/>
  <c r="AF74" i="5"/>
  <c r="AE74" i="5"/>
  <c r="AD74" i="5"/>
  <c r="AC74" i="5"/>
  <c r="AB74" i="5"/>
  <c r="AA74" i="5"/>
  <c r="Z74" i="5"/>
  <c r="Y74" i="5"/>
  <c r="X74" i="5"/>
  <c r="W74" i="5"/>
  <c r="V74" i="5"/>
  <c r="U74" i="5"/>
  <c r="T74" i="5"/>
  <c r="S74" i="5"/>
  <c r="R74" i="5"/>
  <c r="Q74" i="5"/>
  <c r="O74" i="5"/>
  <c r="N74" i="5"/>
  <c r="M74" i="5"/>
  <c r="L74" i="5"/>
  <c r="K74" i="5"/>
  <c r="J74" i="5"/>
  <c r="I74" i="5"/>
  <c r="H74" i="5"/>
  <c r="G74" i="5"/>
  <c r="F74" i="5"/>
  <c r="E74" i="5"/>
  <c r="D74" i="5"/>
  <c r="C74" i="5"/>
  <c r="B74" i="5"/>
  <c r="A74" i="5"/>
  <c r="AQ73" i="5"/>
  <c r="AL73" i="5"/>
  <c r="AK73" i="5"/>
  <c r="AJ73" i="5"/>
  <c r="AI73" i="5"/>
  <c r="AH73" i="5"/>
  <c r="AG73" i="5"/>
  <c r="AF73" i="5"/>
  <c r="AE73" i="5"/>
  <c r="AD73" i="5"/>
  <c r="AC73" i="5"/>
  <c r="AB73" i="5"/>
  <c r="AA73" i="5"/>
  <c r="Z73" i="5"/>
  <c r="Y73" i="5"/>
  <c r="X73" i="5"/>
  <c r="W73" i="5"/>
  <c r="V73" i="5"/>
  <c r="U73" i="5"/>
  <c r="T73" i="5"/>
  <c r="S73" i="5"/>
  <c r="R73" i="5"/>
  <c r="Q73" i="5"/>
  <c r="O73" i="5"/>
  <c r="N73" i="5"/>
  <c r="M73" i="5"/>
  <c r="L73" i="5"/>
  <c r="K73" i="5"/>
  <c r="J73" i="5"/>
  <c r="I73" i="5"/>
  <c r="H73" i="5"/>
  <c r="G73" i="5"/>
  <c r="F73" i="5"/>
  <c r="E73" i="5"/>
  <c r="D73" i="5"/>
  <c r="C73" i="5"/>
  <c r="B73" i="5"/>
  <c r="A73" i="5"/>
  <c r="AT72" i="5"/>
  <c r="AS72" i="5"/>
  <c r="AR72" i="5"/>
  <c r="AQ72" i="5"/>
  <c r="AP72" i="5"/>
  <c r="AO72" i="5"/>
  <c r="AN72" i="5"/>
  <c r="AM72" i="5"/>
  <c r="AL72" i="5"/>
  <c r="AK72" i="5"/>
  <c r="AJ72" i="5"/>
  <c r="AI72" i="5"/>
  <c r="AH72" i="5"/>
  <c r="AG72" i="5"/>
  <c r="AF72" i="5"/>
  <c r="AE72" i="5"/>
  <c r="AD72" i="5"/>
  <c r="AC72" i="5"/>
  <c r="AB72" i="5"/>
  <c r="AA72" i="5"/>
  <c r="Z72" i="5"/>
  <c r="Y72" i="5"/>
  <c r="X72" i="5"/>
  <c r="W72" i="5"/>
  <c r="V72" i="5"/>
  <c r="U72" i="5"/>
  <c r="T72" i="5"/>
  <c r="S72" i="5"/>
  <c r="R72" i="5"/>
  <c r="Q72" i="5"/>
  <c r="O72" i="5"/>
  <c r="N72" i="5"/>
  <c r="M72" i="5"/>
  <c r="L72" i="5"/>
  <c r="K72" i="5"/>
  <c r="J72" i="5"/>
  <c r="I72" i="5"/>
  <c r="H72" i="5"/>
  <c r="G72" i="5"/>
  <c r="F72" i="5"/>
  <c r="E72" i="5"/>
  <c r="D72" i="5"/>
  <c r="C72" i="5"/>
  <c r="B72" i="5"/>
  <c r="A72" i="5"/>
  <c r="AQ71" i="5"/>
  <c r="AL71" i="5"/>
  <c r="AK71" i="5"/>
  <c r="AJ71" i="5"/>
  <c r="AI71" i="5"/>
  <c r="AH71" i="5"/>
  <c r="AG71" i="5"/>
  <c r="AF71" i="5"/>
  <c r="AE71" i="5"/>
  <c r="AD71" i="5"/>
  <c r="AC71" i="5"/>
  <c r="AB71" i="5"/>
  <c r="AA71" i="5"/>
  <c r="Z71" i="5"/>
  <c r="Y71" i="5"/>
  <c r="X71" i="5"/>
  <c r="W71" i="5"/>
  <c r="V71" i="5"/>
  <c r="U71" i="5"/>
  <c r="T71" i="5"/>
  <c r="S71" i="5"/>
  <c r="R71" i="5"/>
  <c r="Q71" i="5"/>
  <c r="O71" i="5"/>
  <c r="N71" i="5"/>
  <c r="M71" i="5"/>
  <c r="L71" i="5"/>
  <c r="K71" i="5"/>
  <c r="J71" i="5"/>
  <c r="I71" i="5"/>
  <c r="H71" i="5"/>
  <c r="G71" i="5"/>
  <c r="F71" i="5"/>
  <c r="E71" i="5"/>
  <c r="D71" i="5"/>
  <c r="C71" i="5"/>
  <c r="B71" i="5"/>
  <c r="A71" i="5"/>
  <c r="AT70" i="5"/>
  <c r="AS70" i="5"/>
  <c r="AR70" i="5"/>
  <c r="AQ70" i="5"/>
  <c r="AP70" i="5"/>
  <c r="AO70" i="5"/>
  <c r="AN70" i="5"/>
  <c r="AM70" i="5"/>
  <c r="AL70" i="5"/>
  <c r="AK70" i="5"/>
  <c r="AJ70" i="5"/>
  <c r="AI70" i="5"/>
  <c r="AH70" i="5"/>
  <c r="AG70" i="5"/>
  <c r="AF70" i="5"/>
  <c r="AE70" i="5"/>
  <c r="AD70" i="5"/>
  <c r="AC70" i="5"/>
  <c r="AB70" i="5"/>
  <c r="AA70" i="5"/>
  <c r="Z70" i="5"/>
  <c r="Y70" i="5"/>
  <c r="X70" i="5"/>
  <c r="W70" i="5"/>
  <c r="V70" i="5"/>
  <c r="U70" i="5"/>
  <c r="T70" i="5"/>
  <c r="S70" i="5"/>
  <c r="R70" i="5"/>
  <c r="Q70" i="5"/>
  <c r="O70" i="5"/>
  <c r="N70" i="5"/>
  <c r="M70" i="5"/>
  <c r="L70" i="5"/>
  <c r="K70" i="5"/>
  <c r="J70" i="5"/>
  <c r="I70" i="5"/>
  <c r="H70" i="5"/>
  <c r="G70" i="5"/>
  <c r="F70" i="5"/>
  <c r="E70" i="5"/>
  <c r="D70" i="5"/>
  <c r="C70" i="5"/>
  <c r="B70" i="5"/>
  <c r="A70" i="5"/>
  <c r="AQ69" i="5"/>
  <c r="AL69" i="5"/>
  <c r="AK69" i="5"/>
  <c r="AJ69" i="5"/>
  <c r="AI69" i="5"/>
  <c r="AH69" i="5"/>
  <c r="AG69" i="5"/>
  <c r="AF69" i="5"/>
  <c r="AE69" i="5"/>
  <c r="AD69" i="5"/>
  <c r="AC69" i="5"/>
  <c r="AB69" i="5"/>
  <c r="AA69" i="5"/>
  <c r="Z69" i="5"/>
  <c r="Y69" i="5"/>
  <c r="X69" i="5"/>
  <c r="W69" i="5"/>
  <c r="V69" i="5"/>
  <c r="U69" i="5"/>
  <c r="T69" i="5"/>
  <c r="S69" i="5"/>
  <c r="R69" i="5"/>
  <c r="Q69" i="5"/>
  <c r="O69" i="5"/>
  <c r="N69" i="5"/>
  <c r="M69" i="5"/>
  <c r="L69" i="5"/>
  <c r="K69" i="5"/>
  <c r="J69" i="5"/>
  <c r="I69" i="5"/>
  <c r="H69" i="5"/>
  <c r="G69" i="5"/>
  <c r="F69" i="5"/>
  <c r="E69" i="5"/>
  <c r="D69" i="5"/>
  <c r="C69" i="5"/>
  <c r="B69" i="5"/>
  <c r="A69" i="5"/>
  <c r="AT68" i="5"/>
  <c r="AS68" i="5"/>
  <c r="AR68" i="5"/>
  <c r="AQ68" i="5"/>
  <c r="AP68" i="5"/>
  <c r="AO68" i="5"/>
  <c r="AN68" i="5"/>
  <c r="AM68" i="5"/>
  <c r="AL68" i="5"/>
  <c r="AK68" i="5"/>
  <c r="AJ68" i="5"/>
  <c r="AI68" i="5"/>
  <c r="AH68" i="5"/>
  <c r="AG68" i="5"/>
  <c r="AF68" i="5"/>
  <c r="AE68" i="5"/>
  <c r="AD68" i="5"/>
  <c r="AC68" i="5"/>
  <c r="AB68" i="5"/>
  <c r="AA68" i="5"/>
  <c r="Z68" i="5"/>
  <c r="Y68" i="5"/>
  <c r="X68" i="5"/>
  <c r="W68" i="5"/>
  <c r="V68" i="5"/>
  <c r="U68" i="5"/>
  <c r="T68" i="5"/>
  <c r="S68" i="5"/>
  <c r="R68" i="5"/>
  <c r="Q68" i="5"/>
  <c r="O68" i="5"/>
  <c r="N68" i="5"/>
  <c r="M68" i="5"/>
  <c r="L68" i="5"/>
  <c r="K68" i="5"/>
  <c r="J68" i="5"/>
  <c r="I68" i="5"/>
  <c r="H68" i="5"/>
  <c r="G68" i="5"/>
  <c r="F68" i="5"/>
  <c r="E68" i="5"/>
  <c r="D68" i="5"/>
  <c r="C68" i="5"/>
  <c r="B68" i="5"/>
  <c r="A68" i="5"/>
  <c r="AQ67" i="5"/>
  <c r="AL67" i="5"/>
  <c r="AK67" i="5"/>
  <c r="AJ67" i="5"/>
  <c r="AI67" i="5"/>
  <c r="AH67" i="5"/>
  <c r="AG67" i="5"/>
  <c r="AF67" i="5"/>
  <c r="AE67" i="5"/>
  <c r="AD67" i="5"/>
  <c r="AC67" i="5"/>
  <c r="AB67" i="5"/>
  <c r="AA67" i="5"/>
  <c r="Z67" i="5"/>
  <c r="Y67" i="5"/>
  <c r="X67" i="5"/>
  <c r="W67" i="5"/>
  <c r="V67" i="5"/>
  <c r="U67" i="5"/>
  <c r="T67" i="5"/>
  <c r="S67" i="5"/>
  <c r="R67" i="5"/>
  <c r="Q67" i="5"/>
  <c r="O67" i="5"/>
  <c r="N67" i="5"/>
  <c r="M67" i="5"/>
  <c r="L67" i="5"/>
  <c r="K67" i="5"/>
  <c r="J67" i="5"/>
  <c r="I67" i="5"/>
  <c r="H67" i="5"/>
  <c r="G67" i="5"/>
  <c r="F67" i="5"/>
  <c r="E67" i="5"/>
  <c r="D67" i="5"/>
  <c r="C67" i="5"/>
  <c r="B67" i="5"/>
  <c r="A67" i="5"/>
  <c r="AT66" i="5"/>
  <c r="AS66" i="5"/>
  <c r="AR66" i="5"/>
  <c r="AQ66" i="5"/>
  <c r="AP66" i="5"/>
  <c r="AO66" i="5"/>
  <c r="AN66" i="5"/>
  <c r="AM66" i="5"/>
  <c r="AL66" i="5"/>
  <c r="AK66" i="5"/>
  <c r="AJ66" i="5"/>
  <c r="AI66" i="5"/>
  <c r="AH66" i="5"/>
  <c r="AG66" i="5"/>
  <c r="AF66" i="5"/>
  <c r="AE66" i="5"/>
  <c r="AD66" i="5"/>
  <c r="AC66" i="5"/>
  <c r="AB66" i="5"/>
  <c r="AA66" i="5"/>
  <c r="Z66" i="5"/>
  <c r="Y66" i="5"/>
  <c r="X66" i="5"/>
  <c r="W66" i="5"/>
  <c r="V66" i="5"/>
  <c r="U66" i="5"/>
  <c r="T66" i="5"/>
  <c r="S66" i="5"/>
  <c r="R66" i="5"/>
  <c r="Q66" i="5"/>
  <c r="O66" i="5"/>
  <c r="N66" i="5"/>
  <c r="M66" i="5"/>
  <c r="L66" i="5"/>
  <c r="K66" i="5"/>
  <c r="J66" i="5"/>
  <c r="I66" i="5"/>
  <c r="H66" i="5"/>
  <c r="G66" i="5"/>
  <c r="F66" i="5"/>
  <c r="E66" i="5"/>
  <c r="D66" i="5"/>
  <c r="C66" i="5"/>
  <c r="B66" i="5"/>
  <c r="A66" i="5"/>
  <c r="AT65" i="5"/>
  <c r="AS65" i="5"/>
  <c r="AR65" i="5"/>
  <c r="AQ65" i="5"/>
  <c r="AP65" i="5"/>
  <c r="AO65" i="5"/>
  <c r="AN65" i="5"/>
  <c r="AM65" i="5"/>
  <c r="AL65" i="5"/>
  <c r="AK65" i="5"/>
  <c r="AJ65" i="5"/>
  <c r="AI65" i="5"/>
  <c r="AH65" i="5"/>
  <c r="AG65" i="5"/>
  <c r="AF65" i="5"/>
  <c r="AE65" i="5"/>
  <c r="AD65" i="5"/>
  <c r="AC65" i="5"/>
  <c r="AB65" i="5"/>
  <c r="AA65" i="5"/>
  <c r="Z65" i="5"/>
  <c r="Y65" i="5"/>
  <c r="X65" i="5"/>
  <c r="W65" i="5"/>
  <c r="V65" i="5"/>
  <c r="U65" i="5"/>
  <c r="T65" i="5"/>
  <c r="S65" i="5"/>
  <c r="R65" i="5"/>
  <c r="Q65" i="5"/>
  <c r="O65" i="5"/>
  <c r="N65" i="5"/>
  <c r="M65" i="5"/>
  <c r="L65" i="5"/>
  <c r="K65" i="5"/>
  <c r="J65" i="5"/>
  <c r="I65" i="5"/>
  <c r="H65" i="5"/>
  <c r="G65" i="5"/>
  <c r="F65" i="5"/>
  <c r="E65" i="5"/>
  <c r="D65" i="5"/>
  <c r="C65" i="5"/>
  <c r="B65" i="5"/>
  <c r="A65" i="5"/>
  <c r="AQ64" i="5"/>
  <c r="AL64" i="5"/>
  <c r="AK64" i="5"/>
  <c r="AJ64" i="5"/>
  <c r="AI64" i="5"/>
  <c r="AH64" i="5"/>
  <c r="AG64" i="5"/>
  <c r="AF64" i="5"/>
  <c r="AE64" i="5"/>
  <c r="AD64" i="5"/>
  <c r="AC64" i="5"/>
  <c r="AB64" i="5"/>
  <c r="AA64" i="5"/>
  <c r="Z64" i="5"/>
  <c r="Y64" i="5"/>
  <c r="X64" i="5"/>
  <c r="W64" i="5"/>
  <c r="V64" i="5"/>
  <c r="U64" i="5"/>
  <c r="T64" i="5"/>
  <c r="S64" i="5"/>
  <c r="R64" i="5"/>
  <c r="Q64" i="5"/>
  <c r="O64" i="5"/>
  <c r="N64" i="5"/>
  <c r="M64" i="5"/>
  <c r="L64" i="5"/>
  <c r="K64" i="5"/>
  <c r="J64" i="5"/>
  <c r="I64" i="5"/>
  <c r="H64" i="5"/>
  <c r="G64" i="5"/>
  <c r="F64" i="5"/>
  <c r="E64" i="5"/>
  <c r="D64" i="5"/>
  <c r="C64" i="5"/>
  <c r="B64" i="5"/>
  <c r="A64" i="5"/>
  <c r="AQ63" i="5"/>
  <c r="AO63" i="5"/>
  <c r="AL63" i="5"/>
  <c r="AK63" i="5"/>
  <c r="AJ63" i="5"/>
  <c r="AI63" i="5"/>
  <c r="AH63" i="5"/>
  <c r="AG63" i="5"/>
  <c r="AF63" i="5"/>
  <c r="AE63" i="5"/>
  <c r="AD63" i="5"/>
  <c r="AC63" i="5"/>
  <c r="AB63" i="5"/>
  <c r="AA63" i="5"/>
  <c r="Z63" i="5"/>
  <c r="Y63" i="5"/>
  <c r="X63" i="5"/>
  <c r="W63" i="5"/>
  <c r="V63" i="5"/>
  <c r="U63" i="5"/>
  <c r="T63" i="5"/>
  <c r="S63" i="5"/>
  <c r="R63" i="5"/>
  <c r="Q63" i="5"/>
  <c r="O63" i="5"/>
  <c r="N63" i="5"/>
  <c r="M63" i="5"/>
  <c r="L63" i="5"/>
  <c r="K63" i="5"/>
  <c r="J63" i="5"/>
  <c r="I63" i="5"/>
  <c r="H63" i="5"/>
  <c r="G63" i="5"/>
  <c r="F63" i="5"/>
  <c r="E63" i="5"/>
  <c r="D63" i="5"/>
  <c r="C63" i="5"/>
  <c r="B63" i="5"/>
  <c r="A63" i="5"/>
  <c r="AT62" i="5"/>
  <c r="AS62" i="5"/>
  <c r="AR62" i="5"/>
  <c r="AQ62" i="5"/>
  <c r="AP62" i="5"/>
  <c r="AO62" i="5"/>
  <c r="AN62" i="5"/>
  <c r="AM62" i="5"/>
  <c r="AL62" i="5"/>
  <c r="AK62" i="5"/>
  <c r="AJ62" i="5"/>
  <c r="AI62" i="5"/>
  <c r="AH62" i="5"/>
  <c r="AG62" i="5"/>
  <c r="AF62" i="5"/>
  <c r="AE62" i="5"/>
  <c r="AD62" i="5"/>
  <c r="AC62" i="5"/>
  <c r="AB62" i="5"/>
  <c r="AA62" i="5"/>
  <c r="Z62" i="5"/>
  <c r="Y62" i="5"/>
  <c r="X62" i="5"/>
  <c r="W62" i="5"/>
  <c r="V62" i="5"/>
  <c r="U62" i="5"/>
  <c r="T62" i="5"/>
  <c r="S62" i="5"/>
  <c r="R62" i="5"/>
  <c r="Q62" i="5"/>
  <c r="O62" i="5"/>
  <c r="N62" i="5"/>
  <c r="M62" i="5"/>
  <c r="L62" i="5"/>
  <c r="K62" i="5"/>
  <c r="J62" i="5"/>
  <c r="I62" i="5"/>
  <c r="H62" i="5"/>
  <c r="G62" i="5"/>
  <c r="F62" i="5"/>
  <c r="E62" i="5"/>
  <c r="D62" i="5"/>
  <c r="C62" i="5"/>
  <c r="B62" i="5"/>
  <c r="A62" i="5"/>
  <c r="AQ61" i="5"/>
  <c r="AL61" i="5"/>
  <c r="AK61" i="5"/>
  <c r="AJ61" i="5"/>
  <c r="AI61" i="5"/>
  <c r="AH61" i="5"/>
  <c r="AG61" i="5"/>
  <c r="AF61" i="5"/>
  <c r="AE61" i="5"/>
  <c r="AD61" i="5"/>
  <c r="AC61" i="5"/>
  <c r="AB61" i="5"/>
  <c r="AA61" i="5"/>
  <c r="Z61" i="5"/>
  <c r="Y61" i="5"/>
  <c r="X61" i="5"/>
  <c r="W61" i="5"/>
  <c r="V61" i="5"/>
  <c r="U61" i="5"/>
  <c r="T61" i="5"/>
  <c r="S61" i="5"/>
  <c r="R61" i="5"/>
  <c r="Q61" i="5"/>
  <c r="O61" i="5"/>
  <c r="N61" i="5"/>
  <c r="M61" i="5"/>
  <c r="L61" i="5"/>
  <c r="K61" i="5"/>
  <c r="J61" i="5"/>
  <c r="I61" i="5"/>
  <c r="H61" i="5"/>
  <c r="G61" i="5"/>
  <c r="F61" i="5"/>
  <c r="E61" i="5"/>
  <c r="D61" i="5"/>
  <c r="C61" i="5"/>
  <c r="B61" i="5"/>
  <c r="A61" i="5"/>
  <c r="AQ60" i="5"/>
  <c r="AL60" i="5"/>
  <c r="AK60" i="5"/>
  <c r="AJ60" i="5"/>
  <c r="AI60" i="5"/>
  <c r="AH60" i="5"/>
  <c r="AG60" i="5"/>
  <c r="AF60" i="5"/>
  <c r="AE60" i="5"/>
  <c r="AD60" i="5"/>
  <c r="AC60" i="5"/>
  <c r="AB60" i="5"/>
  <c r="AA60" i="5"/>
  <c r="Z60" i="5"/>
  <c r="Y60" i="5"/>
  <c r="X60" i="5"/>
  <c r="W60" i="5"/>
  <c r="V60" i="5"/>
  <c r="U60" i="5"/>
  <c r="T60" i="5"/>
  <c r="S60" i="5"/>
  <c r="R60" i="5"/>
  <c r="Q60" i="5"/>
  <c r="O60" i="5"/>
  <c r="N60" i="5"/>
  <c r="M60" i="5"/>
  <c r="L60" i="5"/>
  <c r="K60" i="5"/>
  <c r="J60" i="5"/>
  <c r="I60" i="5"/>
  <c r="H60" i="5"/>
  <c r="G60" i="5"/>
  <c r="F60" i="5"/>
  <c r="E60" i="5"/>
  <c r="D60" i="5"/>
  <c r="C60" i="5"/>
  <c r="B60" i="5"/>
  <c r="A60" i="5"/>
  <c r="AQ59" i="5"/>
  <c r="AL59" i="5"/>
  <c r="AK59" i="5"/>
  <c r="AJ59" i="5"/>
  <c r="AI59" i="5"/>
  <c r="AH59" i="5"/>
  <c r="AG59" i="5"/>
  <c r="AF59" i="5"/>
  <c r="AE59" i="5"/>
  <c r="AD59" i="5"/>
  <c r="AC59" i="5"/>
  <c r="AB59" i="5"/>
  <c r="AA59" i="5"/>
  <c r="Z59" i="5"/>
  <c r="Y59" i="5"/>
  <c r="X59" i="5"/>
  <c r="W59" i="5"/>
  <c r="V59" i="5"/>
  <c r="U59" i="5"/>
  <c r="T59" i="5"/>
  <c r="S59" i="5"/>
  <c r="R59" i="5"/>
  <c r="Q59" i="5"/>
  <c r="O59" i="5"/>
  <c r="N59" i="5"/>
  <c r="M59" i="5"/>
  <c r="L59" i="5"/>
  <c r="K59" i="5"/>
  <c r="J59" i="5"/>
  <c r="I59" i="5"/>
  <c r="H59" i="5"/>
  <c r="G59" i="5"/>
  <c r="F59" i="5"/>
  <c r="E59" i="5"/>
  <c r="D59" i="5"/>
  <c r="C59" i="5"/>
  <c r="B59" i="5"/>
  <c r="A59" i="5"/>
  <c r="AT58" i="5"/>
  <c r="AS58" i="5"/>
  <c r="AR58" i="5"/>
  <c r="AQ58" i="5"/>
  <c r="AP58" i="5"/>
  <c r="AO58" i="5"/>
  <c r="AN58" i="5"/>
  <c r="AM58" i="5"/>
  <c r="AL58" i="5"/>
  <c r="AK58" i="5"/>
  <c r="AJ58" i="5"/>
  <c r="AI58" i="5"/>
  <c r="AH58" i="5"/>
  <c r="AG58" i="5"/>
  <c r="AF58" i="5"/>
  <c r="AE58" i="5"/>
  <c r="AD58" i="5"/>
  <c r="AC58" i="5"/>
  <c r="AB58" i="5"/>
  <c r="AA58" i="5"/>
  <c r="Z58" i="5"/>
  <c r="Y58" i="5"/>
  <c r="X58" i="5"/>
  <c r="W58" i="5"/>
  <c r="V58" i="5"/>
  <c r="U58" i="5"/>
  <c r="T58" i="5"/>
  <c r="S58" i="5"/>
  <c r="R58" i="5"/>
  <c r="Q58" i="5"/>
  <c r="O58" i="5"/>
  <c r="N58" i="5"/>
  <c r="M58" i="5"/>
  <c r="L58" i="5"/>
  <c r="K58" i="5"/>
  <c r="J58" i="5"/>
  <c r="I58" i="5"/>
  <c r="H58" i="5"/>
  <c r="G58" i="5"/>
  <c r="F58" i="5"/>
  <c r="E58" i="5"/>
  <c r="D58" i="5"/>
  <c r="C58" i="5"/>
  <c r="B58" i="5"/>
  <c r="A58" i="5"/>
  <c r="AT57" i="5"/>
  <c r="AS57" i="5"/>
  <c r="AR57" i="5"/>
  <c r="AQ57" i="5"/>
  <c r="AP57" i="5"/>
  <c r="AO57" i="5"/>
  <c r="AN57" i="5"/>
  <c r="AM57" i="5"/>
  <c r="AL57" i="5"/>
  <c r="AK57" i="5"/>
  <c r="AJ57" i="5"/>
  <c r="AI57" i="5"/>
  <c r="AH57" i="5"/>
  <c r="AG57" i="5"/>
  <c r="AF57" i="5"/>
  <c r="AE57" i="5"/>
  <c r="AD57" i="5"/>
  <c r="AC57" i="5"/>
  <c r="AB57" i="5"/>
  <c r="AA57" i="5"/>
  <c r="Z57" i="5"/>
  <c r="Y57" i="5"/>
  <c r="X57" i="5"/>
  <c r="W57" i="5"/>
  <c r="V57" i="5"/>
  <c r="U57" i="5"/>
  <c r="T57" i="5"/>
  <c r="S57" i="5"/>
  <c r="R57" i="5"/>
  <c r="Q57" i="5"/>
  <c r="O57" i="5"/>
  <c r="N57" i="5"/>
  <c r="M57" i="5"/>
  <c r="L57" i="5"/>
  <c r="K57" i="5"/>
  <c r="J57" i="5"/>
  <c r="I57" i="5"/>
  <c r="H57" i="5"/>
  <c r="G57" i="5"/>
  <c r="F57" i="5"/>
  <c r="E57" i="5"/>
  <c r="D57" i="5"/>
  <c r="C57" i="5"/>
  <c r="B57" i="5"/>
  <c r="A57" i="5"/>
  <c r="AS56" i="5"/>
  <c r="AR56" i="5"/>
  <c r="AQ56" i="5"/>
  <c r="AP56" i="5"/>
  <c r="AO56" i="5"/>
  <c r="AN56" i="5"/>
  <c r="AL56" i="5"/>
  <c r="AK56" i="5"/>
  <c r="AJ56" i="5"/>
  <c r="AI56" i="5"/>
  <c r="AH56" i="5"/>
  <c r="AG56" i="5"/>
  <c r="AF56" i="5"/>
  <c r="AE56" i="5"/>
  <c r="AD56" i="5"/>
  <c r="AC56" i="5"/>
  <c r="AB56" i="5"/>
  <c r="AA56" i="5"/>
  <c r="Z56" i="5"/>
  <c r="Y56" i="5"/>
  <c r="X56" i="5"/>
  <c r="W56" i="5"/>
  <c r="V56" i="5"/>
  <c r="U56" i="5"/>
  <c r="T56" i="5"/>
  <c r="S56" i="5"/>
  <c r="R56" i="5"/>
  <c r="Q56" i="5"/>
  <c r="O56" i="5"/>
  <c r="N56" i="5"/>
  <c r="M56" i="5"/>
  <c r="L56" i="5"/>
  <c r="K56" i="5"/>
  <c r="J56" i="5"/>
  <c r="I56" i="5"/>
  <c r="H56" i="5"/>
  <c r="G56" i="5"/>
  <c r="F56" i="5"/>
  <c r="E56" i="5"/>
  <c r="D56" i="5"/>
  <c r="C56" i="5"/>
  <c r="B56" i="5"/>
  <c r="A56" i="5"/>
  <c r="AT55" i="5"/>
  <c r="AS55" i="5"/>
  <c r="AR55" i="5"/>
  <c r="AQ55" i="5"/>
  <c r="AP55" i="5"/>
  <c r="AO55" i="5"/>
  <c r="AN55" i="5"/>
  <c r="AM55" i="5"/>
  <c r="AL55" i="5"/>
  <c r="AK55" i="5"/>
  <c r="AJ55" i="5"/>
  <c r="AI55" i="5"/>
  <c r="AH55" i="5"/>
  <c r="AG55" i="5"/>
  <c r="AF55" i="5"/>
  <c r="AE55" i="5"/>
  <c r="AD55" i="5"/>
  <c r="AC55" i="5"/>
  <c r="AB55" i="5"/>
  <c r="AA55" i="5"/>
  <c r="Z55" i="5"/>
  <c r="Y55" i="5"/>
  <c r="X55" i="5"/>
  <c r="W55" i="5"/>
  <c r="V55" i="5"/>
  <c r="U55" i="5"/>
  <c r="T55" i="5"/>
  <c r="S55" i="5"/>
  <c r="R55" i="5"/>
  <c r="Q55" i="5"/>
  <c r="O55" i="5"/>
  <c r="N55" i="5"/>
  <c r="M55" i="5"/>
  <c r="L55" i="5"/>
  <c r="K55" i="5"/>
  <c r="J55" i="5"/>
  <c r="I55" i="5"/>
  <c r="H55" i="5"/>
  <c r="G55" i="5"/>
  <c r="F55" i="5"/>
  <c r="E55" i="5"/>
  <c r="D55" i="5"/>
  <c r="C55" i="5"/>
  <c r="B55" i="5"/>
  <c r="A55" i="5"/>
  <c r="AQ54" i="5"/>
  <c r="AL54" i="5"/>
  <c r="AK54" i="5"/>
  <c r="AJ54" i="5"/>
  <c r="AI54" i="5"/>
  <c r="AH54" i="5"/>
  <c r="AG54" i="5"/>
  <c r="AF54" i="5"/>
  <c r="AE54" i="5"/>
  <c r="AD54" i="5"/>
  <c r="AC54" i="5"/>
  <c r="AB54" i="5"/>
  <c r="AA54" i="5"/>
  <c r="Z54" i="5"/>
  <c r="Y54" i="5"/>
  <c r="X54" i="5"/>
  <c r="W54" i="5"/>
  <c r="V54" i="5"/>
  <c r="U54" i="5"/>
  <c r="T54" i="5"/>
  <c r="S54" i="5"/>
  <c r="R54" i="5"/>
  <c r="Q54" i="5"/>
  <c r="O54" i="5"/>
  <c r="N54" i="5"/>
  <c r="M54" i="5"/>
  <c r="L54" i="5"/>
  <c r="K54" i="5"/>
  <c r="J54" i="5"/>
  <c r="I54" i="5"/>
  <c r="H54" i="5"/>
  <c r="G54" i="5"/>
  <c r="F54" i="5"/>
  <c r="E54" i="5"/>
  <c r="D54" i="5"/>
  <c r="C54" i="5"/>
  <c r="B54" i="5"/>
  <c r="A54" i="5"/>
  <c r="AQ53" i="5"/>
  <c r="AN53" i="5"/>
  <c r="AL53" i="5"/>
  <c r="AK53" i="5"/>
  <c r="AJ53" i="5"/>
  <c r="AI53" i="5"/>
  <c r="AH53" i="5"/>
  <c r="AG53" i="5"/>
  <c r="AF53" i="5"/>
  <c r="AE53" i="5"/>
  <c r="AD53" i="5"/>
  <c r="AC53" i="5"/>
  <c r="AB53" i="5"/>
  <c r="AA53" i="5"/>
  <c r="Z53" i="5"/>
  <c r="Y53" i="5"/>
  <c r="X53" i="5"/>
  <c r="W53" i="5"/>
  <c r="V53" i="5"/>
  <c r="U53" i="5"/>
  <c r="T53" i="5"/>
  <c r="S53" i="5"/>
  <c r="R53" i="5"/>
  <c r="Q53" i="5"/>
  <c r="O53" i="5"/>
  <c r="N53" i="5"/>
  <c r="M53" i="5"/>
  <c r="L53" i="5"/>
  <c r="K53" i="5"/>
  <c r="J53" i="5"/>
  <c r="I53" i="5"/>
  <c r="H53" i="5"/>
  <c r="G53" i="5"/>
  <c r="F53" i="5"/>
  <c r="E53" i="5"/>
  <c r="D53" i="5"/>
  <c r="C53" i="5"/>
  <c r="B53" i="5"/>
  <c r="A53" i="5"/>
  <c r="AQ52" i="5"/>
  <c r="AL52" i="5"/>
  <c r="AK52" i="5"/>
  <c r="AJ52" i="5"/>
  <c r="AI52" i="5"/>
  <c r="AH52" i="5"/>
  <c r="AG52" i="5"/>
  <c r="AF52" i="5"/>
  <c r="AE52" i="5"/>
  <c r="AD52" i="5"/>
  <c r="AC52" i="5"/>
  <c r="AB52" i="5"/>
  <c r="AA52" i="5"/>
  <c r="Z52" i="5"/>
  <c r="Y52" i="5"/>
  <c r="X52" i="5"/>
  <c r="W52" i="5"/>
  <c r="V52" i="5"/>
  <c r="U52" i="5"/>
  <c r="T52" i="5"/>
  <c r="S52" i="5"/>
  <c r="R52" i="5"/>
  <c r="Q52" i="5"/>
  <c r="O52" i="5"/>
  <c r="N52" i="5"/>
  <c r="M52" i="5"/>
  <c r="L52" i="5"/>
  <c r="K52" i="5"/>
  <c r="J52" i="5"/>
  <c r="I52" i="5"/>
  <c r="H52" i="5"/>
  <c r="G52" i="5"/>
  <c r="F52" i="5"/>
  <c r="E52" i="5"/>
  <c r="D52" i="5"/>
  <c r="C52" i="5"/>
  <c r="B52" i="5"/>
  <c r="A52" i="5"/>
  <c r="AT51" i="5"/>
  <c r="AS51" i="5"/>
  <c r="AR51" i="5"/>
  <c r="AQ51" i="5"/>
  <c r="AP51" i="5"/>
  <c r="AO51" i="5"/>
  <c r="AN51" i="5"/>
  <c r="AM51" i="5"/>
  <c r="AL51" i="5"/>
  <c r="AK51" i="5"/>
  <c r="AJ51" i="5"/>
  <c r="AI51" i="5"/>
  <c r="AH51" i="5"/>
  <c r="AG51" i="5"/>
  <c r="AF51" i="5"/>
  <c r="AE51" i="5"/>
  <c r="AD51" i="5"/>
  <c r="AC51" i="5"/>
  <c r="AB51" i="5"/>
  <c r="AA51" i="5"/>
  <c r="Z51" i="5"/>
  <c r="Y51" i="5"/>
  <c r="X51" i="5"/>
  <c r="W51" i="5"/>
  <c r="V51" i="5"/>
  <c r="U51" i="5"/>
  <c r="T51" i="5"/>
  <c r="S51" i="5"/>
  <c r="R51" i="5"/>
  <c r="Q51" i="5"/>
  <c r="O51" i="5"/>
  <c r="N51" i="5"/>
  <c r="M51" i="5"/>
  <c r="L51" i="5"/>
  <c r="K51" i="5"/>
  <c r="J51" i="5"/>
  <c r="I51" i="5"/>
  <c r="H51" i="5"/>
  <c r="G51" i="5"/>
  <c r="F51" i="5"/>
  <c r="E51" i="5"/>
  <c r="D51" i="5"/>
  <c r="C51" i="5"/>
  <c r="B51" i="5"/>
  <c r="A51" i="5"/>
  <c r="AQ50" i="5"/>
  <c r="AL50" i="5"/>
  <c r="AK50" i="5"/>
  <c r="AJ50" i="5"/>
  <c r="AI50" i="5"/>
  <c r="AH50" i="5"/>
  <c r="AG50" i="5"/>
  <c r="AF50" i="5"/>
  <c r="AE50" i="5"/>
  <c r="AD50" i="5"/>
  <c r="AC50" i="5"/>
  <c r="AB50" i="5"/>
  <c r="AA50" i="5"/>
  <c r="Z50" i="5"/>
  <c r="Y50" i="5"/>
  <c r="X50" i="5"/>
  <c r="W50" i="5"/>
  <c r="V50" i="5"/>
  <c r="U50" i="5"/>
  <c r="T50" i="5"/>
  <c r="S50" i="5"/>
  <c r="R50" i="5"/>
  <c r="Q50" i="5"/>
  <c r="P50" i="5"/>
  <c r="O50" i="5"/>
  <c r="N50" i="5"/>
  <c r="M50" i="5"/>
  <c r="L50" i="5"/>
  <c r="K50" i="5"/>
  <c r="J50" i="5"/>
  <c r="I50" i="5"/>
  <c r="H50" i="5"/>
  <c r="G50" i="5"/>
  <c r="F50" i="5"/>
  <c r="E50" i="5"/>
  <c r="D50" i="5"/>
  <c r="C50" i="5"/>
  <c r="B50" i="5"/>
  <c r="A50" i="5"/>
  <c r="AT49" i="5"/>
  <c r="AS49" i="5"/>
  <c r="AR49" i="5"/>
  <c r="AQ49" i="5"/>
  <c r="AP49" i="5"/>
  <c r="AO49" i="5"/>
  <c r="AN49" i="5"/>
  <c r="AM49" i="5"/>
  <c r="AL49" i="5"/>
  <c r="AK49" i="5"/>
  <c r="AJ49" i="5"/>
  <c r="AI49" i="5"/>
  <c r="AH49" i="5"/>
  <c r="AG49" i="5"/>
  <c r="AF49" i="5"/>
  <c r="AE49" i="5"/>
  <c r="AD49" i="5"/>
  <c r="AC49" i="5"/>
  <c r="AB49" i="5"/>
  <c r="AA49" i="5"/>
  <c r="Z49" i="5"/>
  <c r="Y49" i="5"/>
  <c r="X49" i="5"/>
  <c r="W49" i="5"/>
  <c r="V49" i="5"/>
  <c r="U49" i="5"/>
  <c r="T49" i="5"/>
  <c r="S49" i="5"/>
  <c r="R49" i="5"/>
  <c r="Q49" i="5"/>
  <c r="P49" i="5"/>
  <c r="O49" i="5"/>
  <c r="N49" i="5"/>
  <c r="M49" i="5"/>
  <c r="L49" i="5"/>
  <c r="K49" i="5"/>
  <c r="J49" i="5"/>
  <c r="I49" i="5"/>
  <c r="H49" i="5"/>
  <c r="G49" i="5"/>
  <c r="F49" i="5"/>
  <c r="E49" i="5"/>
  <c r="D49" i="5"/>
  <c r="C49" i="5"/>
  <c r="B49" i="5"/>
  <c r="A49" i="5"/>
  <c r="AQ48" i="5"/>
  <c r="AL48" i="5"/>
  <c r="AK48" i="5"/>
  <c r="AJ48" i="5"/>
  <c r="AI48" i="5"/>
  <c r="AH48" i="5"/>
  <c r="AG48" i="5"/>
  <c r="AF48" i="5"/>
  <c r="AE48" i="5"/>
  <c r="AD48" i="5"/>
  <c r="AC48" i="5"/>
  <c r="AB48" i="5"/>
  <c r="AA48" i="5"/>
  <c r="Z48" i="5"/>
  <c r="Y48" i="5"/>
  <c r="X48" i="5"/>
  <c r="W48" i="5"/>
  <c r="V48" i="5"/>
  <c r="U48" i="5"/>
  <c r="T48" i="5"/>
  <c r="S48" i="5"/>
  <c r="R48" i="5"/>
  <c r="Q48" i="5"/>
  <c r="O48" i="5"/>
  <c r="N48" i="5"/>
  <c r="M48" i="5"/>
  <c r="L48" i="5"/>
  <c r="K48" i="5"/>
  <c r="J48" i="5"/>
  <c r="I48" i="5"/>
  <c r="H48" i="5"/>
  <c r="G48" i="5"/>
  <c r="F48" i="5"/>
  <c r="E48" i="5"/>
  <c r="D48" i="5"/>
  <c r="C48" i="5"/>
  <c r="B48" i="5"/>
  <c r="A48" i="5"/>
  <c r="AS47" i="5"/>
  <c r="AR47" i="5"/>
  <c r="AQ47" i="5"/>
  <c r="AP47" i="5"/>
  <c r="AO47" i="5"/>
  <c r="AN47" i="5"/>
  <c r="AL47" i="5"/>
  <c r="AK47" i="5"/>
  <c r="AJ47" i="5"/>
  <c r="AI47" i="5"/>
  <c r="AH47" i="5"/>
  <c r="AG47" i="5"/>
  <c r="AF47" i="5"/>
  <c r="AE47" i="5"/>
  <c r="AD47" i="5"/>
  <c r="AC47" i="5"/>
  <c r="AB47" i="5"/>
  <c r="AA47" i="5"/>
  <c r="Z47" i="5"/>
  <c r="Y47" i="5"/>
  <c r="X47" i="5"/>
  <c r="W47" i="5"/>
  <c r="V47" i="5"/>
  <c r="U47" i="5"/>
  <c r="T47" i="5"/>
  <c r="S47" i="5"/>
  <c r="R47" i="5"/>
  <c r="Q47" i="5"/>
  <c r="O47" i="5"/>
  <c r="N47" i="5"/>
  <c r="M47" i="5"/>
  <c r="L47" i="5"/>
  <c r="K47" i="5"/>
  <c r="J47" i="5"/>
  <c r="I47" i="5"/>
  <c r="H47" i="5"/>
  <c r="G47" i="5"/>
  <c r="F47" i="5"/>
  <c r="E47" i="5"/>
  <c r="D47" i="5"/>
  <c r="C47" i="5"/>
  <c r="B47" i="5"/>
  <c r="A47" i="5"/>
  <c r="AQ46" i="5"/>
  <c r="AL46" i="5"/>
  <c r="AK46" i="5"/>
  <c r="AJ46" i="5"/>
  <c r="AI46" i="5"/>
  <c r="AH46" i="5"/>
  <c r="AG46" i="5"/>
  <c r="AF46" i="5"/>
  <c r="AE46" i="5"/>
  <c r="AD46" i="5"/>
  <c r="AC46" i="5"/>
  <c r="AB46" i="5"/>
  <c r="AA46" i="5"/>
  <c r="Z46" i="5"/>
  <c r="Y46" i="5"/>
  <c r="X46" i="5"/>
  <c r="W46" i="5"/>
  <c r="V46" i="5"/>
  <c r="U46" i="5"/>
  <c r="T46" i="5"/>
  <c r="S46" i="5"/>
  <c r="R46" i="5"/>
  <c r="Q46" i="5"/>
  <c r="P46" i="5"/>
  <c r="O46" i="5"/>
  <c r="N46" i="5"/>
  <c r="M46" i="5"/>
  <c r="L46" i="5"/>
  <c r="K46" i="5"/>
  <c r="J46" i="5"/>
  <c r="I46" i="5"/>
  <c r="H46" i="5"/>
  <c r="G46" i="5"/>
  <c r="F46" i="5"/>
  <c r="E46" i="5"/>
  <c r="D46" i="5"/>
  <c r="C46" i="5"/>
  <c r="B46" i="5"/>
  <c r="A46" i="5"/>
  <c r="AQ45" i="5"/>
  <c r="AL45" i="5"/>
  <c r="AK45" i="5"/>
  <c r="AJ45" i="5"/>
  <c r="AI45" i="5"/>
  <c r="AH45" i="5"/>
  <c r="AG45" i="5"/>
  <c r="AF45" i="5"/>
  <c r="AE45" i="5"/>
  <c r="AD45" i="5"/>
  <c r="AC45" i="5"/>
  <c r="AB45" i="5"/>
  <c r="AA45" i="5"/>
  <c r="Z45" i="5"/>
  <c r="Y45" i="5"/>
  <c r="X45" i="5"/>
  <c r="W45" i="5"/>
  <c r="V45" i="5"/>
  <c r="U45" i="5"/>
  <c r="T45" i="5"/>
  <c r="S45" i="5"/>
  <c r="R45" i="5"/>
  <c r="Q45" i="5"/>
  <c r="O45" i="5"/>
  <c r="N45" i="5"/>
  <c r="M45" i="5"/>
  <c r="L45" i="5"/>
  <c r="K45" i="5"/>
  <c r="J45" i="5"/>
  <c r="I45" i="5"/>
  <c r="H45" i="5"/>
  <c r="G45" i="5"/>
  <c r="F45" i="5"/>
  <c r="E45" i="5"/>
  <c r="D45" i="5"/>
  <c r="C45" i="5"/>
  <c r="B45" i="5"/>
  <c r="A45" i="5"/>
  <c r="AS44" i="5"/>
  <c r="AR44" i="5"/>
  <c r="AQ44" i="5"/>
  <c r="AP44" i="5"/>
  <c r="AO44" i="5"/>
  <c r="AN44" i="5"/>
  <c r="AL44" i="5"/>
  <c r="AK44" i="5"/>
  <c r="AJ44" i="5"/>
  <c r="AI44" i="5"/>
  <c r="AH44" i="5"/>
  <c r="AG44" i="5"/>
  <c r="AF44" i="5"/>
  <c r="AE44" i="5"/>
  <c r="AD44" i="5"/>
  <c r="AC44" i="5"/>
  <c r="AB44" i="5"/>
  <c r="AA44" i="5"/>
  <c r="Z44" i="5"/>
  <c r="Y44" i="5"/>
  <c r="X44" i="5"/>
  <c r="W44" i="5"/>
  <c r="V44" i="5"/>
  <c r="U44" i="5"/>
  <c r="T44" i="5"/>
  <c r="S44" i="5"/>
  <c r="R44" i="5"/>
  <c r="Q44" i="5"/>
  <c r="P44" i="5"/>
  <c r="O44" i="5"/>
  <c r="N44" i="5"/>
  <c r="M44" i="5"/>
  <c r="L44" i="5"/>
  <c r="K44" i="5"/>
  <c r="J44" i="5"/>
  <c r="I44" i="5"/>
  <c r="H44" i="5"/>
  <c r="G44" i="5"/>
  <c r="F44" i="5"/>
  <c r="E44" i="5"/>
  <c r="D44" i="5"/>
  <c r="C44" i="5"/>
  <c r="B44" i="5"/>
  <c r="A44" i="5"/>
  <c r="AQ43" i="5"/>
  <c r="AN43" i="5"/>
  <c r="AL43" i="5"/>
  <c r="AK43" i="5"/>
  <c r="AJ43" i="5"/>
  <c r="AI43" i="5"/>
  <c r="AH43" i="5"/>
  <c r="AG43" i="5"/>
  <c r="AF43" i="5"/>
  <c r="AE43" i="5"/>
  <c r="AD43" i="5"/>
  <c r="AC43" i="5"/>
  <c r="AB43" i="5"/>
  <c r="AA43" i="5"/>
  <c r="Z43" i="5"/>
  <c r="Y43" i="5"/>
  <c r="X43" i="5"/>
  <c r="W43" i="5"/>
  <c r="V43" i="5"/>
  <c r="U43" i="5"/>
  <c r="T43" i="5"/>
  <c r="S43" i="5"/>
  <c r="R43" i="5"/>
  <c r="Q43" i="5"/>
  <c r="P43" i="5"/>
  <c r="O43" i="5"/>
  <c r="N43" i="5"/>
  <c r="M43" i="5"/>
  <c r="L43" i="5"/>
  <c r="K43" i="5"/>
  <c r="J43" i="5"/>
  <c r="I43" i="5"/>
  <c r="H43" i="5"/>
  <c r="G43" i="5"/>
  <c r="F43" i="5"/>
  <c r="E43" i="5"/>
  <c r="D43" i="5"/>
  <c r="C43" i="5"/>
  <c r="B43" i="5"/>
  <c r="A43" i="5"/>
  <c r="AS42" i="5"/>
  <c r="AR42" i="5"/>
  <c r="AQ42" i="5"/>
  <c r="AP42" i="5"/>
  <c r="AO42" i="5"/>
  <c r="AN42" i="5"/>
  <c r="AL42" i="5"/>
  <c r="AK42" i="5"/>
  <c r="AJ42" i="5"/>
  <c r="AI42" i="5"/>
  <c r="AH42" i="5"/>
  <c r="AG42" i="5"/>
  <c r="AF42" i="5"/>
  <c r="AE42" i="5"/>
  <c r="AD42" i="5"/>
  <c r="AC42" i="5"/>
  <c r="AB42" i="5"/>
  <c r="AA42" i="5"/>
  <c r="Z42" i="5"/>
  <c r="Y42" i="5"/>
  <c r="X42" i="5"/>
  <c r="W42" i="5"/>
  <c r="V42" i="5"/>
  <c r="U42" i="5"/>
  <c r="T42" i="5"/>
  <c r="S42" i="5"/>
  <c r="R42" i="5"/>
  <c r="Q42" i="5"/>
  <c r="P42" i="5"/>
  <c r="O42" i="5"/>
  <c r="N42" i="5"/>
  <c r="M42" i="5"/>
  <c r="L42" i="5"/>
  <c r="K42" i="5"/>
  <c r="J42" i="5"/>
  <c r="I42" i="5"/>
  <c r="H42" i="5"/>
  <c r="G42" i="5"/>
  <c r="F42" i="5"/>
  <c r="E42" i="5"/>
  <c r="D42" i="5"/>
  <c r="C42" i="5"/>
  <c r="B42" i="5"/>
  <c r="A42" i="5"/>
  <c r="AQ41" i="5"/>
  <c r="AL41" i="5"/>
  <c r="AK41" i="5"/>
  <c r="AJ41" i="5"/>
  <c r="AI41" i="5"/>
  <c r="AH41" i="5"/>
  <c r="AG41" i="5"/>
  <c r="AF41" i="5"/>
  <c r="AE41" i="5"/>
  <c r="AD41" i="5"/>
  <c r="AC41" i="5"/>
  <c r="AB41" i="5"/>
  <c r="AA41" i="5"/>
  <c r="Z41" i="5"/>
  <c r="Y41" i="5"/>
  <c r="X41" i="5"/>
  <c r="W41" i="5"/>
  <c r="V41" i="5"/>
  <c r="U41" i="5"/>
  <c r="T41" i="5"/>
  <c r="S41" i="5"/>
  <c r="R41" i="5"/>
  <c r="Q41" i="5"/>
  <c r="P41" i="5"/>
  <c r="O41" i="5"/>
  <c r="N41" i="5"/>
  <c r="M41" i="5"/>
  <c r="L41" i="5"/>
  <c r="K41" i="5"/>
  <c r="J41" i="5"/>
  <c r="I41" i="5"/>
  <c r="H41" i="5"/>
  <c r="G41" i="5"/>
  <c r="F41" i="5"/>
  <c r="E41" i="5"/>
  <c r="D41" i="5"/>
  <c r="C41" i="5"/>
  <c r="B41" i="5"/>
  <c r="A41" i="5"/>
  <c r="AQ40" i="5"/>
  <c r="AL40" i="5"/>
  <c r="AK40" i="5"/>
  <c r="AJ40" i="5"/>
  <c r="AI40" i="5"/>
  <c r="AH40" i="5"/>
  <c r="AG40" i="5"/>
  <c r="AF40" i="5"/>
  <c r="AE40" i="5"/>
  <c r="AD40" i="5"/>
  <c r="AC40" i="5"/>
  <c r="AB40" i="5"/>
  <c r="AA40" i="5"/>
  <c r="Z40" i="5"/>
  <c r="Y40" i="5"/>
  <c r="X40" i="5"/>
  <c r="W40" i="5"/>
  <c r="V40" i="5"/>
  <c r="U40" i="5"/>
  <c r="T40" i="5"/>
  <c r="S40" i="5"/>
  <c r="R40" i="5"/>
  <c r="Q40" i="5"/>
  <c r="P40" i="5"/>
  <c r="O40" i="5"/>
  <c r="N40" i="5"/>
  <c r="M40" i="5"/>
  <c r="L40" i="5"/>
  <c r="K40" i="5"/>
  <c r="J40" i="5"/>
  <c r="I40" i="5"/>
  <c r="H40" i="5"/>
  <c r="G40" i="5"/>
  <c r="F40" i="5"/>
  <c r="E40" i="5"/>
  <c r="D40" i="5"/>
  <c r="C40" i="5"/>
  <c r="B40" i="5"/>
  <c r="A40" i="5"/>
  <c r="T39" i="5"/>
  <c r="S39" i="5"/>
  <c r="R39" i="5"/>
  <c r="Q39" i="5"/>
  <c r="P39" i="5"/>
  <c r="O39" i="5"/>
  <c r="N39" i="5"/>
  <c r="M39" i="5"/>
  <c r="L39" i="5"/>
  <c r="K39" i="5"/>
  <c r="J39" i="5"/>
  <c r="I39" i="5"/>
  <c r="H39" i="5"/>
  <c r="G39" i="5"/>
  <c r="F39" i="5"/>
  <c r="E39" i="5"/>
  <c r="D39" i="5"/>
  <c r="C39" i="5"/>
  <c r="B39" i="5"/>
  <c r="A39" i="5"/>
  <c r="AQ38" i="5"/>
  <c r="AM38" i="5"/>
  <c r="AL38" i="5"/>
  <c r="AK38" i="5"/>
  <c r="AJ38" i="5"/>
  <c r="AI38" i="5"/>
  <c r="AH38" i="5"/>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B38" i="5"/>
  <c r="A38" i="5"/>
  <c r="AQ37" i="5"/>
  <c r="AM37" i="5"/>
  <c r="AL37" i="5"/>
  <c r="AK37" i="5"/>
  <c r="AJ37" i="5"/>
  <c r="AI37" i="5"/>
  <c r="AH37"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C37" i="5"/>
  <c r="B37" i="5"/>
  <c r="A37" i="5"/>
  <c r="AS36" i="5"/>
  <c r="AR36" i="5"/>
  <c r="AQ36" i="5"/>
  <c r="AP36" i="5"/>
  <c r="AO36" i="5"/>
  <c r="AN36" i="5"/>
  <c r="AM36" i="5"/>
  <c r="AL36" i="5"/>
  <c r="AK36" i="5"/>
  <c r="AJ36" i="5"/>
  <c r="AI36" i="5"/>
  <c r="AH36" i="5"/>
  <c r="AG36" i="5"/>
  <c r="AF36" i="5"/>
  <c r="AE36" i="5"/>
  <c r="AD36" i="5"/>
  <c r="AC36" i="5"/>
  <c r="AB36" i="5"/>
  <c r="AA36" i="5"/>
  <c r="Z36" i="5"/>
  <c r="Y36" i="5"/>
  <c r="X36" i="5"/>
  <c r="W36" i="5"/>
  <c r="V36" i="5"/>
  <c r="U36" i="5"/>
  <c r="T36" i="5"/>
  <c r="S36" i="5"/>
  <c r="R36" i="5"/>
  <c r="Q36" i="5"/>
  <c r="O36" i="5"/>
  <c r="N36" i="5"/>
  <c r="M36" i="5"/>
  <c r="L36" i="5"/>
  <c r="K36" i="5"/>
  <c r="J36" i="5"/>
  <c r="I36" i="5"/>
  <c r="H36" i="5"/>
  <c r="G36" i="5"/>
  <c r="F36" i="5"/>
  <c r="E36" i="5"/>
  <c r="D36" i="5"/>
  <c r="C36" i="5"/>
  <c r="B36" i="5"/>
  <c r="A36" i="5"/>
  <c r="AQ35" i="5"/>
  <c r="AM35" i="5"/>
  <c r="AL35" i="5"/>
  <c r="AK35" i="5"/>
  <c r="AJ35" i="5"/>
  <c r="AI35" i="5"/>
  <c r="AH35"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B35" i="5"/>
  <c r="A35" i="5"/>
  <c r="AS34" i="5"/>
  <c r="AR34" i="5"/>
  <c r="AQ34" i="5"/>
  <c r="AP34" i="5"/>
  <c r="AO34" i="5"/>
  <c r="AN34" i="5"/>
  <c r="AM34" i="5"/>
  <c r="AL34" i="5"/>
  <c r="AK34" i="5"/>
  <c r="AJ34" i="5"/>
  <c r="AI34" i="5"/>
  <c r="AH34" i="5"/>
  <c r="AG34" i="5"/>
  <c r="AF34" i="5"/>
  <c r="AE34" i="5"/>
  <c r="AD34" i="5"/>
  <c r="AC34" i="5"/>
  <c r="AB34" i="5"/>
  <c r="AA34" i="5"/>
  <c r="Z34" i="5"/>
  <c r="Y34" i="5"/>
  <c r="X34" i="5"/>
  <c r="W34" i="5"/>
  <c r="V34" i="5"/>
  <c r="U34" i="5"/>
  <c r="T34" i="5"/>
  <c r="S34" i="5"/>
  <c r="R34" i="5"/>
  <c r="Q34" i="5"/>
  <c r="O34" i="5"/>
  <c r="N34" i="5"/>
  <c r="M34" i="5"/>
  <c r="L34" i="5"/>
  <c r="K34" i="5"/>
  <c r="J34" i="5"/>
  <c r="I34" i="5"/>
  <c r="H34" i="5"/>
  <c r="G34" i="5"/>
  <c r="F34" i="5"/>
  <c r="E34" i="5"/>
  <c r="D34" i="5"/>
  <c r="C34" i="5"/>
  <c r="B34" i="5"/>
  <c r="A34" i="5"/>
  <c r="AQ33" i="5"/>
  <c r="AN33" i="5"/>
  <c r="AM33" i="5"/>
  <c r="AL33" i="5"/>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B33" i="5"/>
  <c r="A33" i="5"/>
  <c r="AS32" i="5"/>
  <c r="AR32" i="5"/>
  <c r="AQ32" i="5"/>
  <c r="AP32" i="5"/>
  <c r="AO32" i="5"/>
  <c r="AN32" i="5"/>
  <c r="AM32" i="5"/>
  <c r="AL32" i="5"/>
  <c r="AK32" i="5"/>
  <c r="AJ32" i="5"/>
  <c r="AI32" i="5"/>
  <c r="AH32" i="5"/>
  <c r="AG32" i="5"/>
  <c r="AF32" i="5"/>
  <c r="AE32" i="5"/>
  <c r="AD32" i="5"/>
  <c r="AC32" i="5"/>
  <c r="AB32" i="5"/>
  <c r="AA32" i="5"/>
  <c r="Z32" i="5"/>
  <c r="Y32" i="5"/>
  <c r="X32" i="5"/>
  <c r="W32" i="5"/>
  <c r="V32" i="5"/>
  <c r="U32" i="5"/>
  <c r="T32" i="5"/>
  <c r="S32" i="5"/>
  <c r="R32" i="5"/>
  <c r="Q32" i="5"/>
  <c r="O32" i="5"/>
  <c r="N32" i="5"/>
  <c r="M32" i="5"/>
  <c r="L32" i="5"/>
  <c r="K32" i="5"/>
  <c r="J32" i="5"/>
  <c r="I32" i="5"/>
  <c r="H32" i="5"/>
  <c r="G32" i="5"/>
  <c r="F32" i="5"/>
  <c r="E32" i="5"/>
  <c r="D32" i="5"/>
  <c r="C32" i="5"/>
  <c r="B32" i="5"/>
  <c r="A32" i="5"/>
  <c r="AT31" i="5"/>
  <c r="AS31" i="5"/>
  <c r="AR31" i="5"/>
  <c r="AQ31" i="5"/>
  <c r="AP31" i="5"/>
  <c r="AO31" i="5"/>
  <c r="AN31" i="5"/>
  <c r="AM31" i="5"/>
  <c r="AL31" i="5"/>
  <c r="AK31" i="5"/>
  <c r="AJ31" i="5"/>
  <c r="AI31" i="5"/>
  <c r="AH31" i="5"/>
  <c r="AG31" i="5"/>
  <c r="AF31" i="5"/>
  <c r="AE31" i="5"/>
  <c r="AD31" i="5"/>
  <c r="AC31" i="5"/>
  <c r="AB31" i="5"/>
  <c r="AA31" i="5"/>
  <c r="Z31" i="5"/>
  <c r="Y31" i="5"/>
  <c r="X31" i="5"/>
  <c r="W31" i="5"/>
  <c r="V31" i="5"/>
  <c r="U31" i="5"/>
  <c r="T31" i="5"/>
  <c r="S31" i="5"/>
  <c r="R31" i="5"/>
  <c r="Q31" i="5"/>
  <c r="O31" i="5"/>
  <c r="N31" i="5"/>
  <c r="M31" i="5"/>
  <c r="L31" i="5"/>
  <c r="K31" i="5"/>
  <c r="J31" i="5"/>
  <c r="I31" i="5"/>
  <c r="H31" i="5"/>
  <c r="G31" i="5"/>
  <c r="F31" i="5"/>
  <c r="E31" i="5"/>
  <c r="D31" i="5"/>
  <c r="C31" i="5"/>
  <c r="B31" i="5"/>
  <c r="A31" i="5"/>
  <c r="AQ30" i="5"/>
  <c r="AM30" i="5"/>
  <c r="AL30" i="5"/>
  <c r="AK30" i="5"/>
  <c r="AJ30" i="5"/>
  <c r="AI30" i="5"/>
  <c r="AH30"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B30" i="5"/>
  <c r="A30" i="5"/>
  <c r="AS29" i="5"/>
  <c r="AR29" i="5"/>
  <c r="AQ29" i="5"/>
  <c r="AP29" i="5"/>
  <c r="AO29" i="5"/>
  <c r="AN29" i="5"/>
  <c r="AM29" i="5"/>
  <c r="AL29" i="5"/>
  <c r="AK29" i="5"/>
  <c r="AJ29" i="5"/>
  <c r="AI29" i="5"/>
  <c r="AH29"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B29" i="5"/>
  <c r="A29" i="5"/>
  <c r="AQ28" i="5"/>
  <c r="AM28" i="5"/>
  <c r="AL28" i="5"/>
  <c r="AK28" i="5"/>
  <c r="AJ28" i="5"/>
  <c r="AI28" i="5"/>
  <c r="AH28"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28" i="5"/>
  <c r="A28" i="5"/>
  <c r="AS27" i="5"/>
  <c r="AR27" i="5"/>
  <c r="AQ27" i="5"/>
  <c r="AP27" i="5"/>
  <c r="AO27" i="5"/>
  <c r="AN27" i="5"/>
  <c r="AM27" i="5"/>
  <c r="AL27" i="5"/>
  <c r="AK27" i="5"/>
  <c r="AJ27" i="5"/>
  <c r="AI27" i="5"/>
  <c r="AH27" i="5"/>
  <c r="AG27" i="5"/>
  <c r="AF27" i="5"/>
  <c r="AE27" i="5"/>
  <c r="AD27" i="5"/>
  <c r="AC27" i="5"/>
  <c r="AB27" i="5"/>
  <c r="AA27" i="5"/>
  <c r="Z27" i="5"/>
  <c r="Y27" i="5"/>
  <c r="X27" i="5"/>
  <c r="W27" i="5"/>
  <c r="V27" i="5"/>
  <c r="U27" i="5"/>
  <c r="T27" i="5"/>
  <c r="S27" i="5"/>
  <c r="R27" i="5"/>
  <c r="Q27" i="5"/>
  <c r="P27" i="5"/>
  <c r="O27" i="5"/>
  <c r="N27" i="5"/>
  <c r="M27" i="5"/>
  <c r="L27" i="5"/>
  <c r="K27" i="5"/>
  <c r="J27" i="5"/>
  <c r="I27" i="5"/>
  <c r="H27" i="5"/>
  <c r="G27" i="5"/>
  <c r="F27" i="5"/>
  <c r="E27" i="5"/>
  <c r="D27" i="5"/>
  <c r="C27" i="5"/>
  <c r="B27" i="5"/>
  <c r="A27" i="5"/>
  <c r="AQ26" i="5"/>
  <c r="AM26" i="5"/>
  <c r="AL26" i="5"/>
  <c r="AK26" i="5"/>
  <c r="AJ26" i="5"/>
  <c r="AI26" i="5"/>
  <c r="AH26" i="5"/>
  <c r="AG26" i="5"/>
  <c r="AF26" i="5"/>
  <c r="AE26" i="5"/>
  <c r="AD26" i="5"/>
  <c r="AC26" i="5"/>
  <c r="AB26" i="5"/>
  <c r="AA26" i="5"/>
  <c r="Z26" i="5"/>
  <c r="Y26" i="5"/>
  <c r="X26" i="5"/>
  <c r="W26" i="5"/>
  <c r="V26" i="5"/>
  <c r="U26" i="5"/>
  <c r="T26" i="5"/>
  <c r="S26" i="5"/>
  <c r="R26" i="5"/>
  <c r="Q26" i="5"/>
  <c r="P26" i="5"/>
  <c r="O26" i="5"/>
  <c r="N26" i="5"/>
  <c r="M26" i="5"/>
  <c r="L26" i="5"/>
  <c r="K26" i="5"/>
  <c r="J26" i="5"/>
  <c r="I26" i="5"/>
  <c r="H26" i="5"/>
  <c r="G26" i="5"/>
  <c r="F26" i="5"/>
  <c r="E26" i="5"/>
  <c r="D26" i="5"/>
  <c r="C26" i="5"/>
  <c r="B26" i="5"/>
  <c r="A26" i="5"/>
  <c r="AT25" i="5"/>
  <c r="AS25" i="5"/>
  <c r="AR25" i="5"/>
  <c r="AQ25" i="5"/>
  <c r="AP25" i="5"/>
  <c r="AO25" i="5"/>
  <c r="AN25" i="5"/>
  <c r="AM25" i="5"/>
  <c r="AL25" i="5"/>
  <c r="AK25" i="5"/>
  <c r="AJ25" i="5"/>
  <c r="AI25" i="5"/>
  <c r="AH25" i="5"/>
  <c r="AG25" i="5"/>
  <c r="AF25" i="5"/>
  <c r="AE25" i="5"/>
  <c r="AD25" i="5"/>
  <c r="AC25" i="5"/>
  <c r="AB25" i="5"/>
  <c r="AA25" i="5"/>
  <c r="Z25" i="5"/>
  <c r="Y25" i="5"/>
  <c r="X25" i="5"/>
  <c r="W25" i="5"/>
  <c r="V25" i="5"/>
  <c r="U25" i="5"/>
  <c r="T25" i="5"/>
  <c r="S25" i="5"/>
  <c r="R25" i="5"/>
  <c r="Q25" i="5"/>
  <c r="O25" i="5"/>
  <c r="N25" i="5"/>
  <c r="M25" i="5"/>
  <c r="L25" i="5"/>
  <c r="K25" i="5"/>
  <c r="J25" i="5"/>
  <c r="I25" i="5"/>
  <c r="H25" i="5"/>
  <c r="G25" i="5"/>
  <c r="F25" i="5"/>
  <c r="E25" i="5"/>
  <c r="D25" i="5"/>
  <c r="C25" i="5"/>
  <c r="B25" i="5"/>
  <c r="A25" i="5"/>
  <c r="AQ24" i="5"/>
  <c r="AM24" i="5"/>
  <c r="AL24" i="5"/>
  <c r="AK24" i="5"/>
  <c r="AJ24" i="5"/>
  <c r="AI24" i="5"/>
  <c r="AH24" i="5"/>
  <c r="AG24" i="5"/>
  <c r="AF24" i="5"/>
  <c r="AE24" i="5"/>
  <c r="AD24" i="5"/>
  <c r="AC24" i="5"/>
  <c r="AB24" i="5"/>
  <c r="AA24" i="5"/>
  <c r="Z24" i="5"/>
  <c r="Y24" i="5"/>
  <c r="X24" i="5"/>
  <c r="W24" i="5"/>
  <c r="V24" i="5"/>
  <c r="U24" i="5"/>
  <c r="T24" i="5"/>
  <c r="S24" i="5"/>
  <c r="R24" i="5"/>
  <c r="Q24" i="5"/>
  <c r="P24" i="5"/>
  <c r="O24" i="5"/>
  <c r="N24" i="5"/>
  <c r="M24" i="5"/>
  <c r="L24" i="5"/>
  <c r="K24" i="5"/>
  <c r="J24" i="5"/>
  <c r="I24" i="5"/>
  <c r="H24" i="5"/>
  <c r="G24" i="5"/>
  <c r="F24" i="5"/>
  <c r="E24" i="5"/>
  <c r="D24" i="5"/>
  <c r="C24" i="5"/>
  <c r="B24" i="5"/>
  <c r="A24" i="5"/>
  <c r="AS23" i="5"/>
  <c r="AR23" i="5"/>
  <c r="AQ23" i="5"/>
  <c r="AP23" i="5"/>
  <c r="AO23" i="5"/>
  <c r="AN23" i="5"/>
  <c r="AM23" i="5"/>
  <c r="AL23" i="5"/>
  <c r="AK23" i="5"/>
  <c r="AJ23" i="5"/>
  <c r="AI23" i="5"/>
  <c r="AH23" i="5"/>
  <c r="AG23" i="5"/>
  <c r="AF23" i="5"/>
  <c r="AE23" i="5"/>
  <c r="AD23" i="5"/>
  <c r="AC23" i="5"/>
  <c r="AB23" i="5"/>
  <c r="AA23" i="5"/>
  <c r="Z23" i="5"/>
  <c r="Y23" i="5"/>
  <c r="X23" i="5"/>
  <c r="W23" i="5"/>
  <c r="V23" i="5"/>
  <c r="U23" i="5"/>
  <c r="T23" i="5"/>
  <c r="S23" i="5"/>
  <c r="R23" i="5"/>
  <c r="Q23" i="5"/>
  <c r="O23" i="5"/>
  <c r="N23" i="5"/>
  <c r="M23" i="5"/>
  <c r="L23" i="5"/>
  <c r="K23" i="5"/>
  <c r="J23" i="5"/>
  <c r="I23" i="5"/>
  <c r="H23" i="5"/>
  <c r="G23" i="5"/>
  <c r="F23" i="5"/>
  <c r="E23" i="5"/>
  <c r="D23" i="5"/>
  <c r="C23" i="5"/>
  <c r="B23" i="5"/>
  <c r="A23" i="5"/>
  <c r="AQ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I22" i="5"/>
  <c r="H22" i="5"/>
  <c r="G22" i="5"/>
  <c r="F22" i="5"/>
  <c r="E22" i="5"/>
  <c r="D22" i="5"/>
  <c r="C22" i="5"/>
  <c r="B22" i="5"/>
  <c r="A22" i="5"/>
  <c r="AS21" i="5"/>
  <c r="AR21" i="5"/>
  <c r="AQ21" i="5"/>
  <c r="AP21" i="5"/>
  <c r="AO21" i="5"/>
  <c r="AN21" i="5"/>
  <c r="AM21" i="5"/>
  <c r="AL21" i="5"/>
  <c r="AK21" i="5"/>
  <c r="AJ21" i="5"/>
  <c r="AI21" i="5"/>
  <c r="AH21" i="5"/>
  <c r="AG21" i="5"/>
  <c r="AF21" i="5"/>
  <c r="AE21" i="5"/>
  <c r="AD21" i="5"/>
  <c r="AC21" i="5"/>
  <c r="AB21" i="5"/>
  <c r="AA21" i="5"/>
  <c r="Z21" i="5"/>
  <c r="Y21" i="5"/>
  <c r="X21" i="5"/>
  <c r="W21" i="5"/>
  <c r="V21" i="5"/>
  <c r="U21" i="5"/>
  <c r="T21" i="5"/>
  <c r="S21" i="5"/>
  <c r="R21" i="5"/>
  <c r="Q21" i="5"/>
  <c r="P21" i="5"/>
  <c r="O21" i="5"/>
  <c r="N21" i="5"/>
  <c r="M21" i="5"/>
  <c r="L21" i="5"/>
  <c r="K21" i="5"/>
  <c r="J21" i="5"/>
  <c r="I21" i="5"/>
  <c r="H21" i="5"/>
  <c r="G21" i="5"/>
  <c r="F21" i="5"/>
  <c r="E21" i="5"/>
  <c r="D21" i="5"/>
  <c r="C21" i="5"/>
  <c r="B21" i="5"/>
  <c r="A21" i="5"/>
  <c r="AS20" i="5"/>
  <c r="AR20" i="5"/>
  <c r="AQ20" i="5"/>
  <c r="AP20" i="5"/>
  <c r="AO20" i="5"/>
  <c r="AN20" i="5"/>
  <c r="AM20" i="5"/>
  <c r="AL20" i="5"/>
  <c r="AK20" i="5"/>
  <c r="AJ20" i="5"/>
  <c r="AI20" i="5"/>
  <c r="AH20" i="5"/>
  <c r="AG20" i="5"/>
  <c r="AF20" i="5"/>
  <c r="AE20" i="5"/>
  <c r="AD20" i="5"/>
  <c r="AC20" i="5"/>
  <c r="AB20" i="5"/>
  <c r="AA20" i="5"/>
  <c r="Z20" i="5"/>
  <c r="Y20" i="5"/>
  <c r="X20" i="5"/>
  <c r="W20" i="5"/>
  <c r="V20" i="5"/>
  <c r="U20" i="5"/>
  <c r="T20" i="5"/>
  <c r="S20" i="5"/>
  <c r="R20" i="5"/>
  <c r="Q20" i="5"/>
  <c r="O20" i="5"/>
  <c r="N20" i="5"/>
  <c r="M20" i="5"/>
  <c r="L20" i="5"/>
  <c r="K20" i="5"/>
  <c r="J20" i="5"/>
  <c r="I20" i="5"/>
  <c r="H20" i="5"/>
  <c r="G20" i="5"/>
  <c r="F20" i="5"/>
  <c r="E20" i="5"/>
  <c r="D20" i="5"/>
  <c r="C20" i="5"/>
  <c r="B20" i="5"/>
  <c r="A20" i="5"/>
  <c r="AT19" i="5"/>
  <c r="AS19" i="5"/>
  <c r="AR19" i="5"/>
  <c r="AQ19" i="5"/>
  <c r="AP19" i="5"/>
  <c r="AO19" i="5"/>
  <c r="AN19" i="5"/>
  <c r="AM19" i="5"/>
  <c r="AL19" i="5"/>
  <c r="AK19" i="5"/>
  <c r="AJ19" i="5"/>
  <c r="AI19" i="5"/>
  <c r="AH19" i="5"/>
  <c r="AG19" i="5"/>
  <c r="AF19" i="5"/>
  <c r="AE19" i="5"/>
  <c r="AD19" i="5"/>
  <c r="AC19" i="5"/>
  <c r="AB19" i="5"/>
  <c r="AA19" i="5"/>
  <c r="Z19" i="5"/>
  <c r="Y19" i="5"/>
  <c r="X19" i="5"/>
  <c r="W19" i="5"/>
  <c r="V19" i="5"/>
  <c r="U19" i="5"/>
  <c r="T19" i="5"/>
  <c r="S19" i="5"/>
  <c r="R19" i="5"/>
  <c r="Q19" i="5"/>
  <c r="P19" i="5"/>
  <c r="O19" i="5"/>
  <c r="N19" i="5"/>
  <c r="M19" i="5"/>
  <c r="L19" i="5"/>
  <c r="K19" i="5"/>
  <c r="J19" i="5"/>
  <c r="I19" i="5"/>
  <c r="H19" i="5"/>
  <c r="G19" i="5"/>
  <c r="F19" i="5"/>
  <c r="E19" i="5"/>
  <c r="D19" i="5"/>
  <c r="C19" i="5"/>
  <c r="B19" i="5"/>
  <c r="A19" i="5"/>
  <c r="AQ18" i="5"/>
  <c r="AM18" i="5"/>
  <c r="AL18" i="5"/>
  <c r="AK18" i="5"/>
  <c r="AJ18" i="5"/>
  <c r="AI18" i="5"/>
  <c r="AH18" i="5"/>
  <c r="AG18" i="5"/>
  <c r="AF18" i="5"/>
  <c r="AE18" i="5"/>
  <c r="AD18" i="5"/>
  <c r="AC18" i="5"/>
  <c r="AB18" i="5"/>
  <c r="AA18" i="5"/>
  <c r="Z18" i="5"/>
  <c r="Y18" i="5"/>
  <c r="X18" i="5"/>
  <c r="W18" i="5"/>
  <c r="V18" i="5"/>
  <c r="U18" i="5"/>
  <c r="T18" i="5"/>
  <c r="S18" i="5"/>
  <c r="R18" i="5"/>
  <c r="Q18" i="5"/>
  <c r="O18" i="5"/>
  <c r="N18" i="5"/>
  <c r="M18" i="5"/>
  <c r="L18" i="5"/>
  <c r="K18" i="5"/>
  <c r="J18" i="5"/>
  <c r="I18" i="5"/>
  <c r="H18" i="5"/>
  <c r="G18" i="5"/>
  <c r="F18" i="5"/>
  <c r="E18" i="5"/>
  <c r="D18" i="5"/>
  <c r="C18" i="5"/>
  <c r="B18" i="5"/>
  <c r="A18" i="5"/>
  <c r="AQ17" i="5"/>
  <c r="AM17" i="5"/>
  <c r="AL17" i="5"/>
  <c r="AK17" i="5"/>
  <c r="AJ17" i="5"/>
  <c r="AI17" i="5"/>
  <c r="AH17" i="5"/>
  <c r="AG17" i="5"/>
  <c r="AF17" i="5"/>
  <c r="AE17" i="5"/>
  <c r="AD17" i="5"/>
  <c r="AC17" i="5"/>
  <c r="AB17" i="5"/>
  <c r="AA17" i="5"/>
  <c r="Z17" i="5"/>
  <c r="Y17" i="5"/>
  <c r="X17" i="5"/>
  <c r="W17" i="5"/>
  <c r="V17" i="5"/>
  <c r="U17" i="5"/>
  <c r="T17" i="5"/>
  <c r="S17" i="5"/>
  <c r="R17" i="5"/>
  <c r="Q17" i="5"/>
  <c r="P17" i="5"/>
  <c r="O17" i="5"/>
  <c r="N17" i="5"/>
  <c r="M17" i="5"/>
  <c r="L17" i="5"/>
  <c r="K17" i="5"/>
  <c r="J17" i="5"/>
  <c r="I17" i="5"/>
  <c r="H17" i="5"/>
  <c r="G17" i="5"/>
  <c r="F17" i="5"/>
  <c r="E17" i="5"/>
  <c r="D17" i="5"/>
  <c r="C17" i="5"/>
  <c r="B17" i="5"/>
  <c r="A17" i="5"/>
  <c r="AS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O16" i="5"/>
  <c r="N16" i="5"/>
  <c r="M16" i="5"/>
  <c r="L16" i="5"/>
  <c r="K16" i="5"/>
  <c r="J16" i="5"/>
  <c r="I16" i="5"/>
  <c r="H16" i="5"/>
  <c r="G16" i="5"/>
  <c r="F16" i="5"/>
  <c r="E16" i="5"/>
  <c r="D16" i="5"/>
  <c r="C16" i="5"/>
  <c r="B16" i="5"/>
  <c r="A16" i="5"/>
  <c r="AQ15" i="5"/>
  <c r="AM15" i="5"/>
  <c r="AL15" i="5"/>
  <c r="AK15" i="5"/>
  <c r="AJ15" i="5"/>
  <c r="AI15" i="5"/>
  <c r="AH15" i="5"/>
  <c r="AG15" i="5"/>
  <c r="AF15" i="5"/>
  <c r="AE15" i="5"/>
  <c r="AD15" i="5"/>
  <c r="AC15" i="5"/>
  <c r="AB15" i="5"/>
  <c r="AA15" i="5"/>
  <c r="Z15" i="5"/>
  <c r="Y15" i="5"/>
  <c r="X15" i="5"/>
  <c r="W15" i="5"/>
  <c r="V15" i="5"/>
  <c r="U15" i="5"/>
  <c r="T15" i="5"/>
  <c r="S15" i="5"/>
  <c r="R15" i="5"/>
  <c r="Q15" i="5"/>
  <c r="O15" i="5"/>
  <c r="N15" i="5"/>
  <c r="M15" i="5"/>
  <c r="L15" i="5"/>
  <c r="K15" i="5"/>
  <c r="J15" i="5"/>
  <c r="I15" i="5"/>
  <c r="H15" i="5"/>
  <c r="G15" i="5"/>
  <c r="F15" i="5"/>
  <c r="E15" i="5"/>
  <c r="D15" i="5"/>
  <c r="C15" i="5"/>
  <c r="B15" i="5"/>
  <c r="A15" i="5"/>
  <c r="AS14" i="5"/>
  <c r="AR14" i="5"/>
  <c r="AQ14" i="5"/>
  <c r="AP14" i="5"/>
  <c r="AO14" i="5"/>
  <c r="AN14" i="5"/>
  <c r="AM14" i="5"/>
  <c r="AL14" i="5"/>
  <c r="AK14" i="5"/>
  <c r="AJ14" i="5"/>
  <c r="AI14" i="5"/>
  <c r="AH14" i="5"/>
  <c r="AG14" i="5"/>
  <c r="AF14" i="5"/>
  <c r="AE14" i="5"/>
  <c r="AD14" i="5"/>
  <c r="AC14" i="5"/>
  <c r="AB14" i="5"/>
  <c r="AA14" i="5"/>
  <c r="Z14" i="5"/>
  <c r="Y14" i="5"/>
  <c r="X14" i="5"/>
  <c r="W14" i="5"/>
  <c r="V14" i="5"/>
  <c r="U14" i="5"/>
  <c r="T14" i="5"/>
  <c r="S14" i="5"/>
  <c r="R14" i="5"/>
  <c r="Q14" i="5"/>
  <c r="P14" i="5"/>
  <c r="O14" i="5"/>
  <c r="N14" i="5"/>
  <c r="M14" i="5"/>
  <c r="L14" i="5"/>
  <c r="K14" i="5"/>
  <c r="J14" i="5"/>
  <c r="I14" i="5"/>
  <c r="H14" i="5"/>
  <c r="G14" i="5"/>
  <c r="F14" i="5"/>
  <c r="E14" i="5"/>
  <c r="D14" i="5"/>
  <c r="C14" i="5"/>
  <c r="B14" i="5"/>
  <c r="A14" i="5"/>
  <c r="AQ13" i="5"/>
  <c r="AM13" i="5"/>
  <c r="AL13" i="5"/>
  <c r="AK13" i="5"/>
  <c r="AJ13" i="5"/>
  <c r="AI13" i="5"/>
  <c r="AH13" i="5"/>
  <c r="AG13" i="5"/>
  <c r="AF13" i="5"/>
  <c r="AE13" i="5"/>
  <c r="AD13" i="5"/>
  <c r="AC13" i="5"/>
  <c r="AB13" i="5"/>
  <c r="AA13" i="5"/>
  <c r="Z13" i="5"/>
  <c r="Y13" i="5"/>
  <c r="X13" i="5"/>
  <c r="W13" i="5"/>
  <c r="V13" i="5"/>
  <c r="U13" i="5"/>
  <c r="T13" i="5"/>
  <c r="S13" i="5"/>
  <c r="R13" i="5"/>
  <c r="Q13" i="5"/>
  <c r="P13" i="5"/>
  <c r="O13" i="5"/>
  <c r="N13" i="5"/>
  <c r="M13" i="5"/>
  <c r="L13" i="5"/>
  <c r="K13" i="5"/>
  <c r="J13" i="5"/>
  <c r="I13" i="5"/>
  <c r="H13" i="5"/>
  <c r="G13" i="5"/>
  <c r="F13" i="5"/>
  <c r="E13" i="5"/>
  <c r="D13" i="5"/>
  <c r="C13" i="5"/>
  <c r="B13" i="5"/>
  <c r="A13" i="5"/>
  <c r="AQ12" i="5"/>
  <c r="AM12" i="5"/>
  <c r="AL12" i="5"/>
  <c r="AK12" i="5"/>
  <c r="AJ12" i="5"/>
  <c r="AI12" i="5"/>
  <c r="AH12" i="5"/>
  <c r="AG12" i="5"/>
  <c r="AF12" i="5"/>
  <c r="AE12" i="5"/>
  <c r="AD12" i="5"/>
  <c r="AC12" i="5"/>
  <c r="AB12" i="5"/>
  <c r="AA12" i="5"/>
  <c r="Z12" i="5"/>
  <c r="Y12" i="5"/>
  <c r="X12" i="5"/>
  <c r="W12" i="5"/>
  <c r="V12" i="5"/>
  <c r="U12" i="5"/>
  <c r="T12" i="5"/>
  <c r="S12" i="5"/>
  <c r="R12" i="5"/>
  <c r="Q12" i="5"/>
  <c r="O12" i="5"/>
  <c r="N12" i="5"/>
  <c r="M12" i="5"/>
  <c r="L12" i="5"/>
  <c r="K12" i="5"/>
  <c r="J12" i="5"/>
  <c r="I12" i="5"/>
  <c r="H12" i="5"/>
  <c r="G12" i="5"/>
  <c r="F12" i="5"/>
  <c r="E12" i="5"/>
  <c r="D12" i="5"/>
  <c r="C12" i="5"/>
  <c r="B12" i="5"/>
  <c r="A12" i="5"/>
  <c r="AQ11" i="5"/>
  <c r="AM11" i="5"/>
  <c r="AL11" i="5"/>
  <c r="AK11" i="5"/>
  <c r="AJ11" i="5"/>
  <c r="AI11" i="5"/>
  <c r="AH11" i="5"/>
  <c r="AG11" i="5"/>
  <c r="AF11" i="5"/>
  <c r="AE11" i="5"/>
  <c r="AD11" i="5"/>
  <c r="AC11" i="5"/>
  <c r="AB11" i="5"/>
  <c r="AA11" i="5"/>
  <c r="Z11" i="5"/>
  <c r="Y11" i="5"/>
  <c r="X11" i="5"/>
  <c r="W11" i="5"/>
  <c r="V11" i="5"/>
  <c r="U11" i="5"/>
  <c r="T11" i="5"/>
  <c r="S11" i="5"/>
  <c r="R11" i="5"/>
  <c r="Q11" i="5"/>
  <c r="O11" i="5"/>
  <c r="N11" i="5"/>
  <c r="M11" i="5"/>
  <c r="L11" i="5"/>
  <c r="K11" i="5"/>
  <c r="J11" i="5"/>
  <c r="I11" i="5"/>
  <c r="H11" i="5"/>
  <c r="G11" i="5"/>
  <c r="F11" i="5"/>
  <c r="E11" i="5"/>
  <c r="D11" i="5"/>
  <c r="C11" i="5"/>
  <c r="B11" i="5"/>
  <c r="A11" i="5"/>
  <c r="AQ10" i="5"/>
  <c r="AM10" i="5"/>
  <c r="AL10" i="5"/>
  <c r="AK10" i="5"/>
  <c r="AJ10" i="5"/>
  <c r="AI10" i="5"/>
  <c r="AH10" i="5"/>
  <c r="AG10" i="5"/>
  <c r="AF10" i="5"/>
  <c r="AE10" i="5"/>
  <c r="AD10" i="5"/>
  <c r="AC10" i="5"/>
  <c r="AB10" i="5"/>
  <c r="AA10" i="5"/>
  <c r="Z10" i="5"/>
  <c r="Y10" i="5"/>
  <c r="X10" i="5"/>
  <c r="W10" i="5"/>
  <c r="V10" i="5"/>
  <c r="U10" i="5"/>
  <c r="T10" i="5"/>
  <c r="S10" i="5"/>
  <c r="R10" i="5"/>
  <c r="Q10" i="5"/>
  <c r="P10" i="5"/>
  <c r="O10" i="5"/>
  <c r="N10" i="5"/>
  <c r="M10" i="5"/>
  <c r="L10" i="5"/>
  <c r="K10" i="5"/>
  <c r="J10" i="5"/>
  <c r="I10" i="5"/>
  <c r="H10" i="5"/>
  <c r="G10" i="5"/>
  <c r="F10" i="5"/>
  <c r="E10" i="5"/>
  <c r="D10" i="5"/>
  <c r="C10" i="5"/>
  <c r="B10" i="5"/>
  <c r="A10" i="5"/>
  <c r="AQ9" i="5"/>
  <c r="AM9" i="5"/>
  <c r="AL9" i="5"/>
  <c r="AK9" i="5"/>
  <c r="AJ9" i="5"/>
  <c r="AI9" i="5"/>
  <c r="AH9" i="5"/>
  <c r="AG9" i="5"/>
  <c r="AF9" i="5"/>
  <c r="AE9" i="5"/>
  <c r="AD9" i="5"/>
  <c r="AC9" i="5"/>
  <c r="AB9" i="5"/>
  <c r="AA9" i="5"/>
  <c r="Z9" i="5"/>
  <c r="Y9" i="5"/>
  <c r="X9" i="5"/>
  <c r="W9" i="5"/>
  <c r="V9" i="5"/>
  <c r="U9" i="5"/>
  <c r="T9" i="5"/>
  <c r="S9" i="5"/>
  <c r="R9" i="5"/>
  <c r="Q9" i="5"/>
  <c r="P9" i="5"/>
  <c r="O9" i="5"/>
  <c r="N9" i="5"/>
  <c r="M9" i="5"/>
  <c r="L9" i="5"/>
  <c r="K9" i="5"/>
  <c r="J9" i="5"/>
  <c r="I9" i="5"/>
  <c r="H9" i="5"/>
  <c r="G9" i="5"/>
  <c r="F9" i="5"/>
  <c r="E9" i="5"/>
  <c r="D9" i="5"/>
  <c r="C9" i="5"/>
  <c r="B9" i="5"/>
  <c r="A9" i="5"/>
  <c r="AQ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G8" i="5"/>
  <c r="F8" i="5"/>
  <c r="E8" i="5"/>
  <c r="D8" i="5"/>
  <c r="C8" i="5"/>
  <c r="B8" i="5"/>
  <c r="A8" i="5"/>
  <c r="AQ7" i="5"/>
  <c r="AM7" i="5"/>
  <c r="AL7" i="5"/>
  <c r="AK7" i="5"/>
  <c r="AJ7" i="5"/>
  <c r="AI7" i="5"/>
  <c r="AH7" i="5"/>
  <c r="AG7" i="5"/>
  <c r="AF7" i="5"/>
  <c r="AE7" i="5"/>
  <c r="AD7" i="5"/>
  <c r="AC7" i="5"/>
  <c r="AB7" i="5"/>
  <c r="AA7" i="5"/>
  <c r="Z7" i="5"/>
  <c r="Y7" i="5"/>
  <c r="X7" i="5"/>
  <c r="W7" i="5"/>
  <c r="V7" i="5"/>
  <c r="U7" i="5"/>
  <c r="T7" i="5"/>
  <c r="S7" i="5"/>
  <c r="R7" i="5"/>
  <c r="Q7" i="5"/>
  <c r="O7" i="5"/>
  <c r="N7" i="5"/>
  <c r="M7" i="5"/>
  <c r="L7" i="5"/>
  <c r="K7" i="5"/>
  <c r="J7" i="5"/>
  <c r="I7" i="5"/>
  <c r="H7" i="5"/>
  <c r="G7" i="5"/>
  <c r="F7" i="5"/>
  <c r="E7" i="5"/>
  <c r="D7" i="5"/>
  <c r="C7" i="5"/>
  <c r="B7" i="5"/>
  <c r="A7" i="5"/>
  <c r="AQ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A6" i="5"/>
  <c r="AQ5" i="5"/>
  <c r="AM5" i="5"/>
  <c r="AL5" i="5"/>
  <c r="AK5" i="5"/>
  <c r="AJ5" i="5"/>
  <c r="AI5" i="5"/>
  <c r="AH5" i="5"/>
  <c r="AG5" i="5"/>
  <c r="AF5" i="5"/>
  <c r="AE5" i="5"/>
  <c r="AD5" i="5"/>
  <c r="AC5" i="5"/>
  <c r="AB5" i="5"/>
  <c r="AA5" i="5"/>
  <c r="Z5" i="5"/>
  <c r="Y5" i="5"/>
  <c r="X5" i="5"/>
  <c r="W5" i="5"/>
  <c r="V5" i="5"/>
  <c r="U5" i="5"/>
  <c r="T5" i="5"/>
  <c r="S5" i="5"/>
  <c r="R5" i="5"/>
  <c r="Q5" i="5"/>
  <c r="O5" i="5"/>
  <c r="N5" i="5"/>
  <c r="M5" i="5"/>
  <c r="L5" i="5"/>
  <c r="K5" i="5"/>
  <c r="J5" i="5"/>
  <c r="I5" i="5"/>
  <c r="H5" i="5"/>
  <c r="G5" i="5"/>
  <c r="F5" i="5"/>
  <c r="E5" i="5"/>
  <c r="D5" i="5"/>
  <c r="C5" i="5"/>
  <c r="B5" i="5"/>
  <c r="A5"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O4" i="5"/>
  <c r="N4" i="5"/>
  <c r="M4" i="5"/>
  <c r="L4" i="5"/>
  <c r="K4" i="5"/>
  <c r="J4" i="5"/>
  <c r="I4" i="5"/>
  <c r="H4" i="5"/>
  <c r="G4" i="5"/>
  <c r="F4" i="5"/>
  <c r="E4" i="5"/>
  <c r="D4" i="5"/>
  <c r="C4" i="5"/>
  <c r="B4" i="5"/>
  <c r="A4" i="5"/>
  <c r="AT3" i="5"/>
  <c r="AS3" i="5"/>
  <c r="AQ3" i="5"/>
  <c r="AO3" i="5"/>
  <c r="AM3" i="5"/>
  <c r="AL3" i="5"/>
  <c r="AK3" i="5"/>
  <c r="AJ3" i="5"/>
  <c r="AI3" i="5"/>
  <c r="AH3" i="5"/>
  <c r="AG3" i="5"/>
  <c r="AF3" i="5"/>
  <c r="AE3" i="5"/>
  <c r="AD3" i="5"/>
  <c r="AC3" i="5"/>
  <c r="AB3" i="5"/>
  <c r="AA3" i="5"/>
  <c r="Z3" i="5"/>
  <c r="Y3" i="5"/>
  <c r="X3" i="5"/>
  <c r="W3" i="5"/>
  <c r="V3" i="5"/>
  <c r="U3" i="5"/>
  <c r="T3" i="5"/>
  <c r="S3" i="5"/>
  <c r="R3" i="5"/>
  <c r="Q3" i="5"/>
  <c r="O3" i="5"/>
  <c r="N3" i="5"/>
  <c r="M3" i="5"/>
  <c r="L3" i="5"/>
  <c r="K3" i="5"/>
  <c r="J3" i="5"/>
  <c r="I3" i="5"/>
  <c r="H3" i="5"/>
  <c r="G3" i="5"/>
  <c r="F3" i="5"/>
  <c r="E3" i="5"/>
  <c r="D3" i="5"/>
  <c r="C3" i="5"/>
  <c r="B3" i="5"/>
  <c r="A3"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2" i="5"/>
  <c r="AT60" i="4"/>
  <c r="AS60" i="4"/>
  <c r="AR60" i="4"/>
  <c r="AQ60" i="4"/>
  <c r="AP60" i="4"/>
  <c r="AO60" i="4"/>
  <c r="AN60" i="4"/>
  <c r="AM60" i="4"/>
  <c r="AL60" i="4"/>
  <c r="AK60" i="4"/>
  <c r="AJ60" i="4"/>
  <c r="AI60" i="4"/>
  <c r="AH60" i="4"/>
  <c r="AG60" i="4"/>
  <c r="AF60" i="4"/>
  <c r="AE60" i="4"/>
  <c r="AD60" i="4"/>
  <c r="AC60" i="4"/>
  <c r="AB60" i="4"/>
  <c r="AA60" i="4"/>
  <c r="Z60" i="4"/>
  <c r="Y60" i="4"/>
  <c r="X60" i="4"/>
  <c r="W60" i="4"/>
  <c r="V60" i="4"/>
  <c r="U60" i="4"/>
  <c r="T60" i="4"/>
  <c r="S60" i="4"/>
  <c r="R60" i="4"/>
  <c r="Q60" i="4"/>
  <c r="P60" i="4"/>
  <c r="O60" i="4"/>
  <c r="N60" i="4"/>
  <c r="M60" i="4"/>
  <c r="L60" i="4"/>
  <c r="K60" i="4"/>
  <c r="J60" i="4"/>
  <c r="I60" i="4"/>
  <c r="H60" i="4"/>
  <c r="G60" i="4"/>
  <c r="F60" i="4"/>
  <c r="E60" i="4"/>
  <c r="D60" i="4"/>
  <c r="C60" i="4"/>
  <c r="B60" i="4"/>
  <c r="A60" i="4"/>
  <c r="AT59" i="4"/>
  <c r="AS59" i="4"/>
  <c r="AR59" i="4"/>
  <c r="AQ59" i="4"/>
  <c r="AP59" i="4"/>
  <c r="AO59" i="4"/>
  <c r="AN59" i="4"/>
  <c r="AM59" i="4"/>
  <c r="AL59" i="4"/>
  <c r="AK59" i="4"/>
  <c r="AJ59" i="4"/>
  <c r="AI59" i="4"/>
  <c r="AH59" i="4"/>
  <c r="AG59" i="4"/>
  <c r="AF59" i="4"/>
  <c r="AE59" i="4"/>
  <c r="AD59" i="4"/>
  <c r="AC59" i="4"/>
  <c r="AB59" i="4"/>
  <c r="AA59" i="4"/>
  <c r="Z59" i="4"/>
  <c r="Y59" i="4"/>
  <c r="X59" i="4"/>
  <c r="W59" i="4"/>
  <c r="V59" i="4"/>
  <c r="U59" i="4"/>
  <c r="T59" i="4"/>
  <c r="S59" i="4"/>
  <c r="R59" i="4"/>
  <c r="Q59" i="4"/>
  <c r="P59" i="4"/>
  <c r="O59" i="4"/>
  <c r="N59" i="4"/>
  <c r="M59" i="4"/>
  <c r="L59" i="4"/>
  <c r="K59" i="4"/>
  <c r="J59" i="4"/>
  <c r="I59" i="4"/>
  <c r="H59" i="4"/>
  <c r="G59" i="4"/>
  <c r="F59" i="4"/>
  <c r="E59" i="4"/>
  <c r="D59" i="4"/>
  <c r="C59" i="4"/>
  <c r="B59" i="4"/>
  <c r="A59" i="4"/>
  <c r="AT58" i="4"/>
  <c r="AS58" i="4"/>
  <c r="AR58" i="4"/>
  <c r="AQ58" i="4"/>
  <c r="AP58" i="4"/>
  <c r="AO58" i="4"/>
  <c r="AN58" i="4"/>
  <c r="AM58" i="4"/>
  <c r="AL58" i="4"/>
  <c r="AK58" i="4"/>
  <c r="AJ58" i="4"/>
  <c r="AI58" i="4"/>
  <c r="AH58" i="4"/>
  <c r="AG58" i="4"/>
  <c r="AF58" i="4"/>
  <c r="AE58" i="4"/>
  <c r="AD58" i="4"/>
  <c r="AC58" i="4"/>
  <c r="AB58" i="4"/>
  <c r="AA58" i="4"/>
  <c r="Z58" i="4"/>
  <c r="Y58" i="4"/>
  <c r="X58" i="4"/>
  <c r="W58" i="4"/>
  <c r="V58" i="4"/>
  <c r="U58" i="4"/>
  <c r="T58" i="4"/>
  <c r="S58" i="4"/>
  <c r="R58" i="4"/>
  <c r="Q58" i="4"/>
  <c r="P58" i="4"/>
  <c r="O58" i="4"/>
  <c r="N58" i="4"/>
  <c r="M58" i="4"/>
  <c r="L58" i="4"/>
  <c r="K58" i="4"/>
  <c r="J58" i="4"/>
  <c r="I58" i="4"/>
  <c r="H58" i="4"/>
  <c r="G58" i="4"/>
  <c r="F58" i="4"/>
  <c r="E58" i="4"/>
  <c r="D58" i="4"/>
  <c r="C58" i="4"/>
  <c r="B58" i="4"/>
  <c r="A58" i="4"/>
  <c r="AT57" i="4"/>
  <c r="AS57" i="4"/>
  <c r="AR57" i="4"/>
  <c r="AQ57" i="4"/>
  <c r="AP57" i="4"/>
  <c r="AO57" i="4"/>
  <c r="AN57" i="4"/>
  <c r="AM57" i="4"/>
  <c r="AL57" i="4"/>
  <c r="AK57" i="4"/>
  <c r="AJ57" i="4"/>
  <c r="AI57" i="4"/>
  <c r="AH57" i="4"/>
  <c r="AG57" i="4"/>
  <c r="AF57" i="4"/>
  <c r="AE57" i="4"/>
  <c r="AD57" i="4"/>
  <c r="AC57" i="4"/>
  <c r="AB57" i="4"/>
  <c r="AA57" i="4"/>
  <c r="Z57" i="4"/>
  <c r="Y57" i="4"/>
  <c r="X57" i="4"/>
  <c r="W57" i="4"/>
  <c r="V57" i="4"/>
  <c r="U57" i="4"/>
  <c r="T57" i="4"/>
  <c r="S57" i="4"/>
  <c r="R57" i="4"/>
  <c r="Q57" i="4"/>
  <c r="P57" i="4"/>
  <c r="O57" i="4"/>
  <c r="N57" i="4"/>
  <c r="M57" i="4"/>
  <c r="L57" i="4"/>
  <c r="K57" i="4"/>
  <c r="J57" i="4"/>
  <c r="I57" i="4"/>
  <c r="H57" i="4"/>
  <c r="G57" i="4"/>
  <c r="F57" i="4"/>
  <c r="E57" i="4"/>
  <c r="D57" i="4"/>
  <c r="C57" i="4"/>
  <c r="B57" i="4"/>
  <c r="A57" i="4"/>
  <c r="AS56" i="4"/>
  <c r="AH56" i="4"/>
  <c r="AG56" i="4"/>
  <c r="AF56" i="4"/>
  <c r="AE56" i="4"/>
  <c r="AD56" i="4"/>
  <c r="AC56" i="4"/>
  <c r="AB56" i="4"/>
  <c r="AA56" i="4"/>
  <c r="Z56" i="4"/>
  <c r="Y56" i="4"/>
  <c r="X56" i="4"/>
  <c r="W56" i="4"/>
  <c r="V56" i="4"/>
  <c r="U56" i="4"/>
  <c r="T56" i="4"/>
  <c r="S56" i="4"/>
  <c r="R56" i="4"/>
  <c r="Q56" i="4"/>
  <c r="P56" i="4"/>
  <c r="O56" i="4"/>
  <c r="N56" i="4"/>
  <c r="M56" i="4"/>
  <c r="L56" i="4"/>
  <c r="K56" i="4"/>
  <c r="J56" i="4"/>
  <c r="I56" i="4"/>
  <c r="H56" i="4"/>
  <c r="G56" i="4"/>
  <c r="F56" i="4"/>
  <c r="E56" i="4"/>
  <c r="D56" i="4"/>
  <c r="C56" i="4"/>
  <c r="B56" i="4"/>
  <c r="A56" i="4"/>
  <c r="AS55" i="4"/>
  <c r="AH55" i="4"/>
  <c r="AG55" i="4"/>
  <c r="AF55" i="4"/>
  <c r="AE55" i="4"/>
  <c r="AD55" i="4"/>
  <c r="AC55" i="4"/>
  <c r="AB55" i="4"/>
  <c r="AA55" i="4"/>
  <c r="Z55" i="4"/>
  <c r="Y55" i="4"/>
  <c r="X55" i="4"/>
  <c r="W55" i="4"/>
  <c r="V55" i="4"/>
  <c r="U55" i="4"/>
  <c r="T55" i="4"/>
  <c r="S55" i="4"/>
  <c r="R55" i="4"/>
  <c r="Q55" i="4"/>
  <c r="P55" i="4"/>
  <c r="O55" i="4"/>
  <c r="N55" i="4"/>
  <c r="M55" i="4"/>
  <c r="L55" i="4"/>
  <c r="K55" i="4"/>
  <c r="J55" i="4"/>
  <c r="I55" i="4"/>
  <c r="H55" i="4"/>
  <c r="G55" i="4"/>
  <c r="F55" i="4"/>
  <c r="E55" i="4"/>
  <c r="D55" i="4"/>
  <c r="C55" i="4"/>
  <c r="B55" i="4"/>
  <c r="A55" i="4"/>
  <c r="AT54" i="4"/>
  <c r="AS54" i="4"/>
  <c r="AR54" i="4"/>
  <c r="AQ54" i="4"/>
  <c r="AP54" i="4"/>
  <c r="AO54" i="4"/>
  <c r="AN54"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I54" i="4"/>
  <c r="H54" i="4"/>
  <c r="G54" i="4"/>
  <c r="F54" i="4"/>
  <c r="E54" i="4"/>
  <c r="D54" i="4"/>
  <c r="C54" i="4"/>
  <c r="B54" i="4"/>
  <c r="A54" i="4"/>
  <c r="AS53" i="4"/>
  <c r="AH53" i="4"/>
  <c r="AG53" i="4"/>
  <c r="AF53" i="4"/>
  <c r="AE53" i="4"/>
  <c r="AD53" i="4"/>
  <c r="AC53" i="4"/>
  <c r="AB53" i="4"/>
  <c r="AA53" i="4"/>
  <c r="Z53" i="4"/>
  <c r="Y53" i="4"/>
  <c r="X53" i="4"/>
  <c r="W53" i="4"/>
  <c r="V53" i="4"/>
  <c r="U53" i="4"/>
  <c r="T53" i="4"/>
  <c r="S53" i="4"/>
  <c r="R53" i="4"/>
  <c r="Q53" i="4"/>
  <c r="P53" i="4"/>
  <c r="O53" i="4"/>
  <c r="N53" i="4"/>
  <c r="M53" i="4"/>
  <c r="L53" i="4"/>
  <c r="K53" i="4"/>
  <c r="J53" i="4"/>
  <c r="I53" i="4"/>
  <c r="H53" i="4"/>
  <c r="G53" i="4"/>
  <c r="F53" i="4"/>
  <c r="E53" i="4"/>
  <c r="D53" i="4"/>
  <c r="C53" i="4"/>
  <c r="B53" i="4"/>
  <c r="A53" i="4"/>
  <c r="AS52" i="4"/>
  <c r="AH52" i="4"/>
  <c r="AG52" i="4"/>
  <c r="AF52" i="4"/>
  <c r="AE52" i="4"/>
  <c r="AD52" i="4"/>
  <c r="AC52" i="4"/>
  <c r="AB52" i="4"/>
  <c r="AA52" i="4"/>
  <c r="Z52" i="4"/>
  <c r="Y52" i="4"/>
  <c r="X52" i="4"/>
  <c r="W52" i="4"/>
  <c r="V52" i="4"/>
  <c r="U52" i="4"/>
  <c r="T52" i="4"/>
  <c r="S52" i="4"/>
  <c r="R52" i="4"/>
  <c r="Q52" i="4"/>
  <c r="P52" i="4"/>
  <c r="O52" i="4"/>
  <c r="N52" i="4"/>
  <c r="M52" i="4"/>
  <c r="L52" i="4"/>
  <c r="K52" i="4"/>
  <c r="J52" i="4"/>
  <c r="I52" i="4"/>
  <c r="H52" i="4"/>
  <c r="G52" i="4"/>
  <c r="F52" i="4"/>
  <c r="E52" i="4"/>
  <c r="D52" i="4"/>
  <c r="C52" i="4"/>
  <c r="B52" i="4"/>
  <c r="A52" i="4"/>
  <c r="AS51" i="4"/>
  <c r="AH51" i="4"/>
  <c r="AG51" i="4"/>
  <c r="AF51" i="4"/>
  <c r="AE51" i="4"/>
  <c r="AD51" i="4"/>
  <c r="AC51" i="4"/>
  <c r="AB51" i="4"/>
  <c r="AA51" i="4"/>
  <c r="Z51" i="4"/>
  <c r="Y51" i="4"/>
  <c r="X51" i="4"/>
  <c r="W51" i="4"/>
  <c r="V51" i="4"/>
  <c r="U51" i="4"/>
  <c r="T51" i="4"/>
  <c r="S51" i="4"/>
  <c r="R51" i="4"/>
  <c r="Q51" i="4"/>
  <c r="P51" i="4"/>
  <c r="O51" i="4"/>
  <c r="N51" i="4"/>
  <c r="M51" i="4"/>
  <c r="L51" i="4"/>
  <c r="K51" i="4"/>
  <c r="J51" i="4"/>
  <c r="I51" i="4"/>
  <c r="H51" i="4"/>
  <c r="G51" i="4"/>
  <c r="F51" i="4"/>
  <c r="E51" i="4"/>
  <c r="D51" i="4"/>
  <c r="C51" i="4"/>
  <c r="B51" i="4"/>
  <c r="A51" i="4"/>
  <c r="AS50" i="4"/>
  <c r="AH50" i="4"/>
  <c r="AG50" i="4"/>
  <c r="AF50" i="4"/>
  <c r="AE50" i="4"/>
  <c r="AD50" i="4"/>
  <c r="AC50" i="4"/>
  <c r="AB50" i="4"/>
  <c r="AA50" i="4"/>
  <c r="Z50" i="4"/>
  <c r="Y50" i="4"/>
  <c r="X50" i="4"/>
  <c r="W50" i="4"/>
  <c r="V50" i="4"/>
  <c r="U50" i="4"/>
  <c r="T50" i="4"/>
  <c r="S50" i="4"/>
  <c r="R50" i="4"/>
  <c r="Q50" i="4"/>
  <c r="P50" i="4"/>
  <c r="O50" i="4"/>
  <c r="N50" i="4"/>
  <c r="M50" i="4"/>
  <c r="L50" i="4"/>
  <c r="K50" i="4"/>
  <c r="J50" i="4"/>
  <c r="I50" i="4"/>
  <c r="H50" i="4"/>
  <c r="G50" i="4"/>
  <c r="F50" i="4"/>
  <c r="E50" i="4"/>
  <c r="D50" i="4"/>
  <c r="C50" i="4"/>
  <c r="B50" i="4"/>
  <c r="A50" i="4"/>
  <c r="AS49" i="4"/>
  <c r="AH49" i="4"/>
  <c r="AG49" i="4"/>
  <c r="AF49" i="4"/>
  <c r="AE49" i="4"/>
  <c r="AD49" i="4"/>
  <c r="AC49" i="4"/>
  <c r="AB49" i="4"/>
  <c r="AA49" i="4"/>
  <c r="Z49" i="4"/>
  <c r="Y49" i="4"/>
  <c r="X49" i="4"/>
  <c r="W49" i="4"/>
  <c r="V49" i="4"/>
  <c r="U49" i="4"/>
  <c r="T49" i="4"/>
  <c r="S49" i="4"/>
  <c r="R49" i="4"/>
  <c r="Q49" i="4"/>
  <c r="P49" i="4"/>
  <c r="O49" i="4"/>
  <c r="N49" i="4"/>
  <c r="M49" i="4"/>
  <c r="L49" i="4"/>
  <c r="K49" i="4"/>
  <c r="J49" i="4"/>
  <c r="I49" i="4"/>
  <c r="H49" i="4"/>
  <c r="G49" i="4"/>
  <c r="F49" i="4"/>
  <c r="E49" i="4"/>
  <c r="D49" i="4"/>
  <c r="C49" i="4"/>
  <c r="B49" i="4"/>
  <c r="A49" i="4"/>
  <c r="AS48" i="4"/>
  <c r="AH48" i="4"/>
  <c r="AG48" i="4"/>
  <c r="AF48" i="4"/>
  <c r="AE48" i="4"/>
  <c r="AD48" i="4"/>
  <c r="AC48" i="4"/>
  <c r="AB48" i="4"/>
  <c r="AA48" i="4"/>
  <c r="Z48" i="4"/>
  <c r="Y48" i="4"/>
  <c r="X48" i="4"/>
  <c r="W48" i="4"/>
  <c r="V48" i="4"/>
  <c r="U48" i="4"/>
  <c r="T48" i="4"/>
  <c r="S48" i="4"/>
  <c r="R48" i="4"/>
  <c r="Q48" i="4"/>
  <c r="P48" i="4"/>
  <c r="O48" i="4"/>
  <c r="N48" i="4"/>
  <c r="M48" i="4"/>
  <c r="L48" i="4"/>
  <c r="K48" i="4"/>
  <c r="J48" i="4"/>
  <c r="I48" i="4"/>
  <c r="H48" i="4"/>
  <c r="G48" i="4"/>
  <c r="F48" i="4"/>
  <c r="E48" i="4"/>
  <c r="D48" i="4"/>
  <c r="C48" i="4"/>
  <c r="B48" i="4"/>
  <c r="A48" i="4"/>
  <c r="AT47" i="4"/>
  <c r="AS47" i="4"/>
  <c r="AR47" i="4"/>
  <c r="AQ47" i="4"/>
  <c r="AP47" i="4"/>
  <c r="AO47" i="4"/>
  <c r="AN47" i="4"/>
  <c r="AM47" i="4"/>
  <c r="AL47" i="4"/>
  <c r="AK47" i="4"/>
  <c r="AJ47" i="4"/>
  <c r="AI47" i="4"/>
  <c r="AH47" i="4"/>
  <c r="AG47" i="4"/>
  <c r="AF47" i="4"/>
  <c r="AE47" i="4"/>
  <c r="AD47" i="4"/>
  <c r="AC47" i="4"/>
  <c r="AB47" i="4"/>
  <c r="AA47" i="4"/>
  <c r="Z47" i="4"/>
  <c r="Y47" i="4"/>
  <c r="X47" i="4"/>
  <c r="W47" i="4"/>
  <c r="V47" i="4"/>
  <c r="U47" i="4"/>
  <c r="T47" i="4"/>
  <c r="S47" i="4"/>
  <c r="R47" i="4"/>
  <c r="Q47" i="4"/>
  <c r="P47" i="4"/>
  <c r="O47" i="4"/>
  <c r="N47" i="4"/>
  <c r="M47" i="4"/>
  <c r="L47" i="4"/>
  <c r="K47" i="4"/>
  <c r="J47" i="4"/>
  <c r="I47" i="4"/>
  <c r="H47" i="4"/>
  <c r="G47" i="4"/>
  <c r="F47" i="4"/>
  <c r="E47" i="4"/>
  <c r="D47" i="4"/>
  <c r="C47" i="4"/>
  <c r="B47" i="4"/>
  <c r="A47" i="4"/>
  <c r="AS46" i="4"/>
  <c r="AJ46" i="4"/>
  <c r="AI46" i="4"/>
  <c r="AH46" i="4"/>
  <c r="AG46" i="4"/>
  <c r="AF46" i="4"/>
  <c r="AE46" i="4"/>
  <c r="AD46" i="4"/>
  <c r="AC46" i="4"/>
  <c r="AB46" i="4"/>
  <c r="AA46" i="4"/>
  <c r="Z46" i="4"/>
  <c r="Y46" i="4"/>
  <c r="X46" i="4"/>
  <c r="W46" i="4"/>
  <c r="V46" i="4"/>
  <c r="U46" i="4"/>
  <c r="T46" i="4"/>
  <c r="S46" i="4"/>
  <c r="R46" i="4"/>
  <c r="Q46" i="4"/>
  <c r="P46" i="4"/>
  <c r="O46" i="4"/>
  <c r="N46" i="4"/>
  <c r="M46" i="4"/>
  <c r="L46" i="4"/>
  <c r="K46" i="4"/>
  <c r="J46" i="4"/>
  <c r="I46" i="4"/>
  <c r="H46" i="4"/>
  <c r="G46" i="4"/>
  <c r="F46" i="4"/>
  <c r="E46" i="4"/>
  <c r="D46" i="4"/>
  <c r="C46" i="4"/>
  <c r="B46" i="4"/>
  <c r="A46" i="4"/>
  <c r="AT45" i="4"/>
  <c r="AS45" i="4"/>
  <c r="AR45" i="4"/>
  <c r="AQ45" i="4"/>
  <c r="AP45" i="4"/>
  <c r="AO45" i="4"/>
  <c r="AN45"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I45" i="4"/>
  <c r="H45" i="4"/>
  <c r="G45" i="4"/>
  <c r="F45" i="4"/>
  <c r="E45" i="4"/>
  <c r="D45" i="4"/>
  <c r="C45" i="4"/>
  <c r="B45" i="4"/>
  <c r="A45" i="4"/>
  <c r="AS44" i="4"/>
  <c r="AH44" i="4"/>
  <c r="AG44" i="4"/>
  <c r="AF44" i="4"/>
  <c r="AE44" i="4"/>
  <c r="AD44" i="4"/>
  <c r="AC44" i="4"/>
  <c r="AB44" i="4"/>
  <c r="AA44" i="4"/>
  <c r="Z44" i="4"/>
  <c r="Y44" i="4"/>
  <c r="X44" i="4"/>
  <c r="W44" i="4"/>
  <c r="V44" i="4"/>
  <c r="U44" i="4"/>
  <c r="T44" i="4"/>
  <c r="S44" i="4"/>
  <c r="R44" i="4"/>
  <c r="Q44" i="4"/>
  <c r="P44" i="4"/>
  <c r="O44" i="4"/>
  <c r="N44" i="4"/>
  <c r="M44" i="4"/>
  <c r="L44" i="4"/>
  <c r="K44" i="4"/>
  <c r="J44" i="4"/>
  <c r="I44" i="4"/>
  <c r="H44" i="4"/>
  <c r="G44" i="4"/>
  <c r="F44" i="4"/>
  <c r="E44" i="4"/>
  <c r="D44" i="4"/>
  <c r="C44" i="4"/>
  <c r="B44" i="4"/>
  <c r="A44" i="4"/>
  <c r="AT43" i="4"/>
  <c r="AS43" i="4"/>
  <c r="AR43" i="4"/>
  <c r="AQ43" i="4"/>
  <c r="AP43" i="4"/>
  <c r="AO43" i="4"/>
  <c r="AN43"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I43" i="4"/>
  <c r="H43" i="4"/>
  <c r="G43" i="4"/>
  <c r="F43" i="4"/>
  <c r="E43" i="4"/>
  <c r="D43" i="4"/>
  <c r="C43" i="4"/>
  <c r="B43" i="4"/>
  <c r="A43" i="4"/>
  <c r="AT42" i="4"/>
  <c r="AS42" i="4"/>
  <c r="AR42" i="4"/>
  <c r="AQ42" i="4"/>
  <c r="AP42" i="4"/>
  <c r="AO42" i="4"/>
  <c r="AN42"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I42" i="4"/>
  <c r="H42" i="4"/>
  <c r="G42" i="4"/>
  <c r="F42" i="4"/>
  <c r="E42" i="4"/>
  <c r="D42" i="4"/>
  <c r="C42" i="4"/>
  <c r="B42" i="4"/>
  <c r="A42" i="4"/>
  <c r="AT41" i="4"/>
  <c r="AS41" i="4"/>
  <c r="AR41" i="4"/>
  <c r="AQ41" i="4"/>
  <c r="AP41" i="4"/>
  <c r="AO41" i="4"/>
  <c r="AN41"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I41" i="4"/>
  <c r="H41" i="4"/>
  <c r="G41" i="4"/>
  <c r="F41" i="4"/>
  <c r="E41" i="4"/>
  <c r="D41" i="4"/>
  <c r="C41" i="4"/>
  <c r="B41" i="4"/>
  <c r="A41"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I40" i="4"/>
  <c r="H40" i="4"/>
  <c r="G40" i="4"/>
  <c r="F40" i="4"/>
  <c r="E40" i="4"/>
  <c r="D40" i="4"/>
  <c r="C40" i="4"/>
  <c r="B40" i="4"/>
  <c r="A40" i="4"/>
  <c r="AT39" i="4"/>
  <c r="AS39" i="4"/>
  <c r="AR39" i="4"/>
  <c r="AQ39" i="4"/>
  <c r="AP39" i="4"/>
  <c r="AO39" i="4"/>
  <c r="AN39"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I39" i="4"/>
  <c r="H39" i="4"/>
  <c r="G39" i="4"/>
  <c r="F39" i="4"/>
  <c r="E39" i="4"/>
  <c r="D39" i="4"/>
  <c r="C39" i="4"/>
  <c r="B39" i="4"/>
  <c r="A39" i="4"/>
  <c r="AT38" i="4"/>
  <c r="AS38" i="4"/>
  <c r="AR38" i="4"/>
  <c r="AQ38" i="4"/>
  <c r="AP38" i="4"/>
  <c r="AO38" i="4"/>
  <c r="AN38"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I38" i="4"/>
  <c r="H38" i="4"/>
  <c r="G38" i="4"/>
  <c r="F38" i="4"/>
  <c r="E38" i="4"/>
  <c r="D38" i="4"/>
  <c r="C38" i="4"/>
  <c r="B38" i="4"/>
  <c r="A38" i="4"/>
  <c r="AT37" i="4"/>
  <c r="AS37" i="4"/>
  <c r="AO37" i="4"/>
  <c r="AH37" i="4"/>
  <c r="AG37" i="4"/>
  <c r="AF37" i="4"/>
  <c r="AE37" i="4"/>
  <c r="AD37" i="4"/>
  <c r="AC37" i="4"/>
  <c r="AB37" i="4"/>
  <c r="AA37" i="4"/>
  <c r="Z37" i="4"/>
  <c r="Y37" i="4"/>
  <c r="X37" i="4"/>
  <c r="W37" i="4"/>
  <c r="V37" i="4"/>
  <c r="U37" i="4"/>
  <c r="T37" i="4"/>
  <c r="S37" i="4"/>
  <c r="R37" i="4"/>
  <c r="Q37" i="4"/>
  <c r="P37" i="4"/>
  <c r="O37" i="4"/>
  <c r="N37" i="4"/>
  <c r="M37" i="4"/>
  <c r="L37" i="4"/>
  <c r="K37" i="4"/>
  <c r="J37" i="4"/>
  <c r="I37" i="4"/>
  <c r="H37" i="4"/>
  <c r="G37" i="4"/>
  <c r="F37" i="4"/>
  <c r="E37" i="4"/>
  <c r="D37" i="4"/>
  <c r="C37" i="4"/>
  <c r="B37" i="4"/>
  <c r="A37" i="4"/>
  <c r="AT36" i="4"/>
  <c r="AS36" i="4"/>
  <c r="AO36" i="4"/>
  <c r="AH36" i="4"/>
  <c r="AG36" i="4"/>
  <c r="AF36" i="4"/>
  <c r="AE36" i="4"/>
  <c r="AD36" i="4"/>
  <c r="AC36" i="4"/>
  <c r="AB36" i="4"/>
  <c r="AA36" i="4"/>
  <c r="Z36" i="4"/>
  <c r="Y36" i="4"/>
  <c r="X36" i="4"/>
  <c r="W36" i="4"/>
  <c r="V36" i="4"/>
  <c r="U36" i="4"/>
  <c r="T36" i="4"/>
  <c r="S36" i="4"/>
  <c r="R36" i="4"/>
  <c r="Q36" i="4"/>
  <c r="P36" i="4"/>
  <c r="O36" i="4"/>
  <c r="N36" i="4"/>
  <c r="M36" i="4"/>
  <c r="L36" i="4"/>
  <c r="K36" i="4"/>
  <c r="J36" i="4"/>
  <c r="I36" i="4"/>
  <c r="H36" i="4"/>
  <c r="G36" i="4"/>
  <c r="F36" i="4"/>
  <c r="E36" i="4"/>
  <c r="D36" i="4"/>
  <c r="C36" i="4"/>
  <c r="B36" i="4"/>
  <c r="A36" i="4"/>
  <c r="AT35" i="4"/>
  <c r="AS35" i="4"/>
  <c r="AO35" i="4"/>
  <c r="AH35" i="4"/>
  <c r="AG35" i="4"/>
  <c r="AF35" i="4"/>
  <c r="AE35" i="4"/>
  <c r="AD35" i="4"/>
  <c r="AC35" i="4"/>
  <c r="AB35" i="4"/>
  <c r="AA35" i="4"/>
  <c r="Z35" i="4"/>
  <c r="Y35" i="4"/>
  <c r="X35" i="4"/>
  <c r="W35" i="4"/>
  <c r="V35" i="4"/>
  <c r="U35" i="4"/>
  <c r="T35" i="4"/>
  <c r="S35" i="4"/>
  <c r="R35" i="4"/>
  <c r="Q35" i="4"/>
  <c r="P35" i="4"/>
  <c r="O35" i="4"/>
  <c r="N35" i="4"/>
  <c r="M35" i="4"/>
  <c r="L35" i="4"/>
  <c r="K35" i="4"/>
  <c r="J35" i="4"/>
  <c r="I35" i="4"/>
  <c r="H35" i="4"/>
  <c r="G35" i="4"/>
  <c r="F35" i="4"/>
  <c r="E35" i="4"/>
  <c r="D35" i="4"/>
  <c r="C35" i="4"/>
  <c r="B35" i="4"/>
  <c r="A35" i="4"/>
  <c r="AS34" i="4"/>
  <c r="AG34" i="4"/>
  <c r="AF34" i="4"/>
  <c r="AE34" i="4"/>
  <c r="AD34" i="4"/>
  <c r="AC34" i="4"/>
  <c r="AB34" i="4"/>
  <c r="AA34" i="4"/>
  <c r="Z34" i="4"/>
  <c r="Y34" i="4"/>
  <c r="X34" i="4"/>
  <c r="W34" i="4"/>
  <c r="U34" i="4"/>
  <c r="T34" i="4"/>
  <c r="S34" i="4"/>
  <c r="R34" i="4"/>
  <c r="Q34" i="4"/>
  <c r="P34" i="4"/>
  <c r="O34" i="4"/>
  <c r="N34" i="4"/>
  <c r="M34" i="4"/>
  <c r="L34" i="4"/>
  <c r="K34" i="4"/>
  <c r="J34" i="4"/>
  <c r="I34" i="4"/>
  <c r="H34" i="4"/>
  <c r="G34" i="4"/>
  <c r="F34" i="4"/>
  <c r="E34" i="4"/>
  <c r="D34" i="4"/>
  <c r="C34" i="4"/>
  <c r="B34" i="4"/>
  <c r="A34" i="4"/>
  <c r="AT33" i="4"/>
  <c r="AS33" i="4"/>
  <c r="AR33" i="4"/>
  <c r="AQ33" i="4"/>
  <c r="AP33" i="4"/>
  <c r="AO33" i="4"/>
  <c r="AN33"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G33" i="4"/>
  <c r="F33" i="4"/>
  <c r="E33" i="4"/>
  <c r="D33" i="4"/>
  <c r="C33" i="4"/>
  <c r="B33" i="4"/>
  <c r="A33" i="4"/>
  <c r="AT32" i="4"/>
  <c r="AS32" i="4"/>
  <c r="AQ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I32" i="4"/>
  <c r="H32" i="4"/>
  <c r="G32" i="4"/>
  <c r="F32" i="4"/>
  <c r="E32" i="4"/>
  <c r="D32" i="4"/>
  <c r="C32" i="4"/>
  <c r="B32" i="4"/>
  <c r="A32" i="4"/>
  <c r="AT31" i="4"/>
  <c r="AS31" i="4"/>
  <c r="AQ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I31" i="4"/>
  <c r="H31" i="4"/>
  <c r="G31" i="4"/>
  <c r="F31" i="4"/>
  <c r="E31" i="4"/>
  <c r="D31" i="4"/>
  <c r="C31" i="4"/>
  <c r="B31" i="4"/>
  <c r="A31" i="4"/>
  <c r="AS30" i="4"/>
  <c r="AR30" i="4"/>
  <c r="AQ30" i="4"/>
  <c r="AP30" i="4"/>
  <c r="AO30" i="4"/>
  <c r="AN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I30" i="4"/>
  <c r="H30" i="4"/>
  <c r="G30" i="4"/>
  <c r="F30" i="4"/>
  <c r="E30" i="4"/>
  <c r="D30" i="4"/>
  <c r="C30" i="4"/>
  <c r="B30" i="4"/>
  <c r="A30" i="4"/>
  <c r="AS29" i="4"/>
  <c r="AR29" i="4"/>
  <c r="AQ29" i="4"/>
  <c r="AP29" i="4"/>
  <c r="AO29" i="4"/>
  <c r="AN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I29" i="4"/>
  <c r="H29" i="4"/>
  <c r="G29" i="4"/>
  <c r="F29" i="4"/>
  <c r="E29" i="4"/>
  <c r="D29" i="4"/>
  <c r="C29" i="4"/>
  <c r="B29" i="4"/>
  <c r="A29" i="4"/>
  <c r="AS28" i="4"/>
  <c r="AQ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I28" i="4"/>
  <c r="H28" i="4"/>
  <c r="G28" i="4"/>
  <c r="F28" i="4"/>
  <c r="E28" i="4"/>
  <c r="D28" i="4"/>
  <c r="C28" i="4"/>
  <c r="B28" i="4"/>
  <c r="A28" i="4"/>
  <c r="AS27" i="4"/>
  <c r="AQ27" i="4"/>
  <c r="AL27" i="4"/>
  <c r="AK27" i="4"/>
  <c r="AJ27" i="4"/>
  <c r="AI27" i="4"/>
  <c r="AH27" i="4"/>
  <c r="AG27" i="4"/>
  <c r="AF27" i="4"/>
  <c r="AE27" i="4"/>
  <c r="AD27" i="4"/>
  <c r="AC27" i="4"/>
  <c r="AB27" i="4"/>
  <c r="AA27" i="4"/>
  <c r="Z27" i="4"/>
  <c r="Y27" i="4"/>
  <c r="X27" i="4"/>
  <c r="W27" i="4"/>
  <c r="V27" i="4"/>
  <c r="U27" i="4"/>
  <c r="T27" i="4"/>
  <c r="S27" i="4"/>
  <c r="R27" i="4"/>
  <c r="Q27" i="4"/>
  <c r="P27" i="4"/>
  <c r="O27" i="4"/>
  <c r="N27" i="4"/>
  <c r="M27" i="4"/>
  <c r="L27" i="4"/>
  <c r="K27" i="4"/>
  <c r="J27" i="4"/>
  <c r="I27" i="4"/>
  <c r="H27" i="4"/>
  <c r="G27" i="4"/>
  <c r="F27" i="4"/>
  <c r="E27" i="4"/>
  <c r="D27" i="4"/>
  <c r="C27" i="4"/>
  <c r="B27" i="4"/>
  <c r="A27" i="4"/>
  <c r="AS26" i="4"/>
  <c r="AQ26" i="4"/>
  <c r="AL26" i="4"/>
  <c r="AK26" i="4"/>
  <c r="AJ26" i="4"/>
  <c r="AI26" i="4"/>
  <c r="AH26" i="4"/>
  <c r="AG26" i="4"/>
  <c r="AF26" i="4"/>
  <c r="AE26" i="4"/>
  <c r="AD26" i="4"/>
  <c r="AC26" i="4"/>
  <c r="AB26" i="4"/>
  <c r="AA26" i="4"/>
  <c r="Z26" i="4"/>
  <c r="Y26" i="4"/>
  <c r="X26" i="4"/>
  <c r="W26" i="4"/>
  <c r="V26" i="4"/>
  <c r="U26" i="4"/>
  <c r="T26" i="4"/>
  <c r="S26" i="4"/>
  <c r="R26" i="4"/>
  <c r="Q26" i="4"/>
  <c r="P26" i="4"/>
  <c r="O26" i="4"/>
  <c r="N26" i="4"/>
  <c r="M26" i="4"/>
  <c r="L26" i="4"/>
  <c r="K26" i="4"/>
  <c r="J26" i="4"/>
  <c r="I26" i="4"/>
  <c r="H26" i="4"/>
  <c r="G26" i="4"/>
  <c r="F26" i="4"/>
  <c r="E26" i="4"/>
  <c r="D26" i="4"/>
  <c r="C26" i="4"/>
  <c r="B26" i="4"/>
  <c r="A26" i="4"/>
  <c r="AT25" i="4"/>
  <c r="AS25" i="4"/>
  <c r="AR25" i="4"/>
  <c r="AQ25" i="4"/>
  <c r="AP25" i="4"/>
  <c r="AO25" i="4"/>
  <c r="AN25"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I25" i="4"/>
  <c r="H25" i="4"/>
  <c r="G25" i="4"/>
  <c r="F25" i="4"/>
  <c r="E25" i="4"/>
  <c r="D25" i="4"/>
  <c r="C25" i="4"/>
  <c r="B25" i="4"/>
  <c r="A25" i="4"/>
  <c r="AS24" i="4"/>
  <c r="AQ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24" i="4"/>
  <c r="C24" i="4"/>
  <c r="B24" i="4"/>
  <c r="A24" i="4"/>
  <c r="AS23" i="4"/>
  <c r="AQ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I23" i="4"/>
  <c r="H23" i="4"/>
  <c r="G23" i="4"/>
  <c r="F23" i="4"/>
  <c r="E23" i="4"/>
  <c r="D23" i="4"/>
  <c r="C23" i="4"/>
  <c r="B23" i="4"/>
  <c r="A23"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F22" i="4"/>
  <c r="E22" i="4"/>
  <c r="D22" i="4"/>
  <c r="C22" i="4"/>
  <c r="B22" i="4"/>
  <c r="A22" i="4"/>
  <c r="AS21" i="4"/>
  <c r="AQ21" i="4"/>
  <c r="AN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G21" i="4"/>
  <c r="F21" i="4"/>
  <c r="E21" i="4"/>
  <c r="D21" i="4"/>
  <c r="C21" i="4"/>
  <c r="B21" i="4"/>
  <c r="A21" i="4"/>
  <c r="AS20" i="4"/>
  <c r="AQ20" i="4"/>
  <c r="AN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I20" i="4"/>
  <c r="H20" i="4"/>
  <c r="G20" i="4"/>
  <c r="F20" i="4"/>
  <c r="E20" i="4"/>
  <c r="D20" i="4"/>
  <c r="C20" i="4"/>
  <c r="B20" i="4"/>
  <c r="A20" i="4"/>
  <c r="AS19" i="4"/>
  <c r="AQ19" i="4"/>
  <c r="AO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I19" i="4"/>
  <c r="H19" i="4"/>
  <c r="G19" i="4"/>
  <c r="F19" i="4"/>
  <c r="E19" i="4"/>
  <c r="D19" i="4"/>
  <c r="C19" i="4"/>
  <c r="B19" i="4"/>
  <c r="A19" i="4"/>
  <c r="AS18" i="4"/>
  <c r="AQ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E18" i="4"/>
  <c r="D18" i="4"/>
  <c r="C18" i="4"/>
  <c r="B18" i="4"/>
  <c r="A18" i="4"/>
  <c r="AS17" i="4"/>
  <c r="AQ17" i="4"/>
  <c r="AP17" i="4"/>
  <c r="AN17"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E17" i="4"/>
  <c r="D17" i="4"/>
  <c r="C17" i="4"/>
  <c r="B17" i="4"/>
  <c r="A17" i="4"/>
  <c r="AS16" i="4"/>
  <c r="AQ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B16" i="4"/>
  <c r="A16" i="4"/>
  <c r="AT15" i="4"/>
  <c r="AS15" i="4"/>
  <c r="AQ15" i="4"/>
  <c r="AO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I15" i="4"/>
  <c r="H15" i="4"/>
  <c r="G15" i="4"/>
  <c r="F15" i="4"/>
  <c r="E15" i="4"/>
  <c r="D15" i="4"/>
  <c r="C15" i="4"/>
  <c r="B15" i="4"/>
  <c r="A15" i="4"/>
  <c r="AT14" i="4"/>
  <c r="AS14" i="4"/>
  <c r="AQ14" i="4"/>
  <c r="AO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I14" i="4"/>
  <c r="H14" i="4"/>
  <c r="G14" i="4"/>
  <c r="F14" i="4"/>
  <c r="E14" i="4"/>
  <c r="D14" i="4"/>
  <c r="C14" i="4"/>
  <c r="B14" i="4"/>
  <c r="A14" i="4"/>
  <c r="AT13" i="4"/>
  <c r="AS13" i="4"/>
  <c r="AR13" i="4"/>
  <c r="AQ13" i="4"/>
  <c r="AP13"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I13" i="4"/>
  <c r="H13" i="4"/>
  <c r="G13" i="4"/>
  <c r="F13" i="4"/>
  <c r="E13" i="4"/>
  <c r="D13" i="4"/>
  <c r="C13" i="4"/>
  <c r="B13" i="4"/>
  <c r="A13" i="4"/>
  <c r="AS12" i="4"/>
  <c r="AQ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B12" i="4"/>
  <c r="A12"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B11" i="4"/>
  <c r="A11" i="4"/>
  <c r="AQ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G10" i="4"/>
  <c r="F10" i="4"/>
  <c r="E10" i="4"/>
  <c r="D10" i="4"/>
  <c r="C10" i="4"/>
  <c r="B10" i="4"/>
  <c r="A10" i="4"/>
  <c r="AS9" i="4"/>
  <c r="AQ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I9" i="4"/>
  <c r="H9" i="4"/>
  <c r="G9" i="4"/>
  <c r="F9" i="4"/>
  <c r="E9" i="4"/>
  <c r="D9" i="4"/>
  <c r="C9" i="4"/>
  <c r="B9" i="4"/>
  <c r="A9" i="4"/>
  <c r="AQ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G8" i="4"/>
  <c r="F8" i="4"/>
  <c r="E8" i="4"/>
  <c r="D8" i="4"/>
  <c r="C8" i="4"/>
  <c r="B8" i="4"/>
  <c r="A8" i="4"/>
  <c r="AS7" i="4"/>
  <c r="AQ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I7" i="4"/>
  <c r="H7" i="4"/>
  <c r="G7" i="4"/>
  <c r="F7" i="4"/>
  <c r="E7" i="4"/>
  <c r="D7" i="4"/>
  <c r="C7" i="4"/>
  <c r="B7" i="4"/>
  <c r="A7" i="4"/>
  <c r="AS6" i="4"/>
  <c r="AQ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I6" i="4"/>
  <c r="H6" i="4"/>
  <c r="G6" i="4"/>
  <c r="F6" i="4"/>
  <c r="E6" i="4"/>
  <c r="D6" i="4"/>
  <c r="C6" i="4"/>
  <c r="B6" i="4"/>
  <c r="A6" i="4"/>
  <c r="AT5" i="4"/>
  <c r="AS5" i="4"/>
  <c r="AR5" i="4"/>
  <c r="AQ5" i="4"/>
  <c r="AP5" i="4"/>
  <c r="AO5" i="4"/>
  <c r="AN5" i="4"/>
  <c r="AM5" i="4"/>
  <c r="AL5" i="4"/>
  <c r="AK5" i="4"/>
  <c r="AJ5" i="4"/>
  <c r="AI5" i="4"/>
  <c r="AH5" i="4"/>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C5" i="4"/>
  <c r="B5" i="4"/>
  <c r="A5" i="4"/>
  <c r="AS4" i="4"/>
  <c r="AQ4" i="4"/>
  <c r="AL4" i="4"/>
  <c r="AK4" i="4"/>
  <c r="AJ4" i="4"/>
  <c r="AI4" i="4"/>
  <c r="AH4" i="4"/>
  <c r="AG4" i="4"/>
  <c r="AF4" i="4"/>
  <c r="AE4" i="4"/>
  <c r="AD4" i="4"/>
  <c r="AC4" i="4"/>
  <c r="AB4" i="4"/>
  <c r="AA4" i="4"/>
  <c r="Z4" i="4"/>
  <c r="Y4" i="4"/>
  <c r="X4" i="4"/>
  <c r="W4" i="4"/>
  <c r="V4" i="4"/>
  <c r="U4" i="4"/>
  <c r="T4" i="4"/>
  <c r="S4" i="4"/>
  <c r="R4" i="4"/>
  <c r="Q4" i="4"/>
  <c r="P4" i="4"/>
  <c r="O4" i="4"/>
  <c r="N4" i="4"/>
  <c r="M4" i="4"/>
  <c r="L4" i="4"/>
  <c r="K4" i="4"/>
  <c r="J4" i="4"/>
  <c r="I4" i="4"/>
  <c r="H4" i="4"/>
  <c r="G4" i="4"/>
  <c r="F4" i="4"/>
  <c r="E4" i="4"/>
  <c r="D4" i="4"/>
  <c r="C4" i="4"/>
  <c r="B4" i="4"/>
  <c r="A4" i="4"/>
  <c r="AT3" i="4"/>
  <c r="AS3" i="4"/>
  <c r="AR3" i="4"/>
  <c r="AQ3" i="4"/>
  <c r="AP3" i="4"/>
  <c r="AO3" i="4"/>
  <c r="AN3" i="4"/>
  <c r="AM3" i="4"/>
  <c r="AL3" i="4"/>
  <c r="AK3" i="4"/>
  <c r="AJ3" i="4"/>
  <c r="AI3" i="4"/>
  <c r="AH3" i="4"/>
  <c r="AG3" i="4"/>
  <c r="AF3" i="4"/>
  <c r="AE3" i="4"/>
  <c r="AD3" i="4"/>
  <c r="AC3" i="4"/>
  <c r="AB3" i="4"/>
  <c r="AA3" i="4"/>
  <c r="Z3" i="4"/>
  <c r="Y3" i="4"/>
  <c r="X3" i="4"/>
  <c r="W3" i="4"/>
  <c r="V3" i="4"/>
  <c r="U3" i="4"/>
  <c r="T3" i="4"/>
  <c r="S3" i="4"/>
  <c r="R3" i="4"/>
  <c r="Q3" i="4"/>
  <c r="P3" i="4"/>
  <c r="O3" i="4"/>
  <c r="N3" i="4"/>
  <c r="M3" i="4"/>
  <c r="L3" i="4"/>
  <c r="K3" i="4"/>
  <c r="J3" i="4"/>
  <c r="I3" i="4"/>
  <c r="H3" i="4"/>
  <c r="G3" i="4"/>
  <c r="F3" i="4"/>
  <c r="E3" i="4"/>
  <c r="D3" i="4"/>
  <c r="C3" i="4"/>
  <c r="B3" i="4"/>
  <c r="A3" i="4"/>
  <c r="AT2" i="4"/>
  <c r="AS2" i="4"/>
  <c r="AR2" i="4"/>
  <c r="AQ2" i="4"/>
  <c r="AP2" i="4"/>
  <c r="AO2" i="4"/>
  <c r="AN2" i="4"/>
  <c r="AM2" i="4"/>
  <c r="AL2" i="4"/>
  <c r="AK2" i="4"/>
  <c r="AJ2" i="4"/>
  <c r="AI2" i="4"/>
  <c r="AH2" i="4"/>
  <c r="AG2" i="4"/>
  <c r="AF2" i="4"/>
  <c r="AE2" i="4"/>
  <c r="AD2" i="4"/>
  <c r="AC2" i="4"/>
  <c r="AB2" i="4"/>
  <c r="AA2" i="4"/>
  <c r="Z2" i="4"/>
  <c r="Y2" i="4"/>
  <c r="X2" i="4"/>
  <c r="W2" i="4"/>
  <c r="V2" i="4"/>
  <c r="U2" i="4"/>
  <c r="T2" i="4"/>
  <c r="S2" i="4"/>
  <c r="R2" i="4"/>
  <c r="Q2" i="4"/>
  <c r="P2" i="4"/>
  <c r="O2" i="4"/>
  <c r="N2" i="4"/>
  <c r="M2" i="4"/>
  <c r="L2" i="4"/>
  <c r="K2" i="4"/>
  <c r="J2" i="4"/>
  <c r="I2" i="4"/>
  <c r="H2" i="4"/>
  <c r="G2" i="4"/>
  <c r="F2" i="4"/>
  <c r="E2" i="4"/>
  <c r="D2" i="4"/>
  <c r="C2" i="4"/>
  <c r="B2" i="4"/>
  <c r="A2" i="4"/>
  <c r="AT142" i="3"/>
  <c r="AS142" i="3"/>
  <c r="AR142" i="3"/>
  <c r="AQ142" i="3"/>
  <c r="AP142" i="3"/>
  <c r="AO142" i="3"/>
  <c r="AN142" i="3"/>
  <c r="AM142" i="3"/>
  <c r="AL142" i="3"/>
  <c r="AK142" i="3"/>
  <c r="AJ142" i="3"/>
  <c r="AI142" i="3"/>
  <c r="AH142" i="3"/>
  <c r="AG142" i="3"/>
  <c r="AF142" i="3"/>
  <c r="AE142" i="3"/>
  <c r="AD142" i="3"/>
  <c r="AC142" i="3"/>
  <c r="AB142" i="3"/>
  <c r="AA142" i="3"/>
  <c r="Z142" i="3"/>
  <c r="Y142" i="3"/>
  <c r="X142" i="3"/>
  <c r="W142" i="3"/>
  <c r="V142" i="3"/>
  <c r="U142" i="3"/>
  <c r="T142" i="3"/>
  <c r="S142" i="3"/>
  <c r="R142" i="3"/>
  <c r="Q142" i="3"/>
  <c r="P142" i="3"/>
  <c r="O142" i="3"/>
  <c r="N142" i="3"/>
  <c r="M142" i="3"/>
  <c r="L142" i="3"/>
  <c r="K142" i="3"/>
  <c r="J142" i="3"/>
  <c r="I142" i="3"/>
  <c r="H142" i="3"/>
  <c r="G142" i="3"/>
  <c r="F142" i="3"/>
  <c r="E142" i="3"/>
  <c r="D142" i="3"/>
  <c r="C142" i="3"/>
  <c r="B142" i="3"/>
  <c r="A142" i="3"/>
  <c r="AT141" i="3"/>
  <c r="AS141" i="3"/>
  <c r="AR141" i="3"/>
  <c r="AQ141" i="3"/>
  <c r="AP141" i="3"/>
  <c r="AO141" i="3"/>
  <c r="AN141" i="3"/>
  <c r="AM141" i="3"/>
  <c r="AL141" i="3"/>
  <c r="AK141" i="3"/>
  <c r="AJ141" i="3"/>
  <c r="AI141" i="3"/>
  <c r="AH141" i="3"/>
  <c r="AG141" i="3"/>
  <c r="AF141" i="3"/>
  <c r="AE141" i="3"/>
  <c r="AD141" i="3"/>
  <c r="AC141" i="3"/>
  <c r="AB141" i="3"/>
  <c r="AA141" i="3"/>
  <c r="Z141" i="3"/>
  <c r="Y141" i="3"/>
  <c r="X141" i="3"/>
  <c r="W141" i="3"/>
  <c r="V141" i="3"/>
  <c r="U141" i="3"/>
  <c r="T141" i="3"/>
  <c r="S141" i="3"/>
  <c r="R141" i="3"/>
  <c r="Q141" i="3"/>
  <c r="P141" i="3"/>
  <c r="O141" i="3"/>
  <c r="N141" i="3"/>
  <c r="M141" i="3"/>
  <c r="L141" i="3"/>
  <c r="K141" i="3"/>
  <c r="J141" i="3"/>
  <c r="I141" i="3"/>
  <c r="H141" i="3"/>
  <c r="G141" i="3"/>
  <c r="F141" i="3"/>
  <c r="E141" i="3"/>
  <c r="D141" i="3"/>
  <c r="C141" i="3"/>
  <c r="B141" i="3"/>
  <c r="A141" i="3"/>
  <c r="AT140" i="3"/>
  <c r="AS140" i="3"/>
  <c r="AR140" i="3"/>
  <c r="AQ140" i="3"/>
  <c r="AP140" i="3"/>
  <c r="AO140" i="3"/>
  <c r="AN140" i="3"/>
  <c r="AM140" i="3"/>
  <c r="AL140" i="3"/>
  <c r="AK140" i="3"/>
  <c r="AJ140" i="3"/>
  <c r="AI140" i="3"/>
  <c r="AH140" i="3"/>
  <c r="AG140" i="3"/>
  <c r="AF140" i="3"/>
  <c r="AE140" i="3"/>
  <c r="AD140" i="3"/>
  <c r="AC140" i="3"/>
  <c r="AB140" i="3"/>
  <c r="AA140" i="3"/>
  <c r="Z140" i="3"/>
  <c r="Y140" i="3"/>
  <c r="X140" i="3"/>
  <c r="W140" i="3"/>
  <c r="V140" i="3"/>
  <c r="U140" i="3"/>
  <c r="T140" i="3"/>
  <c r="S140" i="3"/>
  <c r="R140" i="3"/>
  <c r="Q140" i="3"/>
  <c r="P140" i="3"/>
  <c r="O140" i="3"/>
  <c r="N140" i="3"/>
  <c r="M140" i="3"/>
  <c r="L140" i="3"/>
  <c r="K140" i="3"/>
  <c r="J140" i="3"/>
  <c r="I140" i="3"/>
  <c r="H140" i="3"/>
  <c r="G140" i="3"/>
  <c r="F140" i="3"/>
  <c r="E140" i="3"/>
  <c r="D140" i="3"/>
  <c r="C140" i="3"/>
  <c r="B140" i="3"/>
  <c r="A140" i="3"/>
  <c r="S139" i="3"/>
  <c r="R139" i="3"/>
  <c r="Q139" i="3"/>
  <c r="P139" i="3"/>
  <c r="O139" i="3"/>
  <c r="N139" i="3"/>
  <c r="M139" i="3"/>
  <c r="L139" i="3"/>
  <c r="K139" i="3"/>
  <c r="J139" i="3"/>
  <c r="I139" i="3"/>
  <c r="H139" i="3"/>
  <c r="G139" i="3"/>
  <c r="F139" i="3"/>
  <c r="E139" i="3"/>
  <c r="D139" i="3"/>
  <c r="C139" i="3"/>
  <c r="B139" i="3"/>
  <c r="A139" i="3"/>
  <c r="AT138" i="3"/>
  <c r="AS138" i="3"/>
  <c r="AR138" i="3"/>
  <c r="AQ138" i="3"/>
  <c r="AP138" i="3"/>
  <c r="AO138" i="3"/>
  <c r="AN138" i="3"/>
  <c r="AM138" i="3"/>
  <c r="AL138" i="3"/>
  <c r="AK138" i="3"/>
  <c r="AJ138" i="3"/>
  <c r="AI138" i="3"/>
  <c r="AH138" i="3"/>
  <c r="AG138" i="3"/>
  <c r="AF138" i="3"/>
  <c r="AE138" i="3"/>
  <c r="AD138" i="3"/>
  <c r="AC138" i="3"/>
  <c r="AB138" i="3"/>
  <c r="AA138" i="3"/>
  <c r="Z138" i="3"/>
  <c r="Y138" i="3"/>
  <c r="X138" i="3"/>
  <c r="W138" i="3"/>
  <c r="V138" i="3"/>
  <c r="U138" i="3"/>
  <c r="T138" i="3"/>
  <c r="S138" i="3"/>
  <c r="R138" i="3"/>
  <c r="Q138" i="3"/>
  <c r="P138" i="3"/>
  <c r="O138" i="3"/>
  <c r="N138" i="3"/>
  <c r="M138" i="3"/>
  <c r="L138" i="3"/>
  <c r="K138" i="3"/>
  <c r="J138" i="3"/>
  <c r="I138" i="3"/>
  <c r="H138" i="3"/>
  <c r="G138" i="3"/>
  <c r="F138" i="3"/>
  <c r="E138" i="3"/>
  <c r="D138" i="3"/>
  <c r="C138" i="3"/>
  <c r="B138" i="3"/>
  <c r="A138"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R137" i="3"/>
  <c r="Q137" i="3"/>
  <c r="P137" i="3"/>
  <c r="O137" i="3"/>
  <c r="N137" i="3"/>
  <c r="M137" i="3"/>
  <c r="L137" i="3"/>
  <c r="K137" i="3"/>
  <c r="J137" i="3"/>
  <c r="I137" i="3"/>
  <c r="H137" i="3"/>
  <c r="G137" i="3"/>
  <c r="F137" i="3"/>
  <c r="E137" i="3"/>
  <c r="D137" i="3"/>
  <c r="C137" i="3"/>
  <c r="B137" i="3"/>
  <c r="A137" i="3"/>
  <c r="AT136" i="3"/>
  <c r="AS136" i="3"/>
  <c r="AR136" i="3"/>
  <c r="AQ136" i="3"/>
  <c r="AP136" i="3"/>
  <c r="AO136" i="3"/>
  <c r="AN136" i="3"/>
  <c r="AM136" i="3"/>
  <c r="AL136" i="3"/>
  <c r="AK136" i="3"/>
  <c r="AJ136" i="3"/>
  <c r="AI136" i="3"/>
  <c r="AH136" i="3"/>
  <c r="AG136" i="3"/>
  <c r="AF136" i="3"/>
  <c r="AE136" i="3"/>
  <c r="AD136" i="3"/>
  <c r="AC136" i="3"/>
  <c r="AB136" i="3"/>
  <c r="AA136" i="3"/>
  <c r="Z136" i="3"/>
  <c r="Y136" i="3"/>
  <c r="X136" i="3"/>
  <c r="W136" i="3"/>
  <c r="V136" i="3"/>
  <c r="U136" i="3"/>
  <c r="T136" i="3"/>
  <c r="S136" i="3"/>
  <c r="R136" i="3"/>
  <c r="Q136" i="3"/>
  <c r="P136" i="3"/>
  <c r="O136" i="3"/>
  <c r="N136" i="3"/>
  <c r="M136" i="3"/>
  <c r="L136" i="3"/>
  <c r="K136" i="3"/>
  <c r="J136" i="3"/>
  <c r="I136" i="3"/>
  <c r="H136" i="3"/>
  <c r="G136" i="3"/>
  <c r="F136" i="3"/>
  <c r="E136" i="3"/>
  <c r="D136" i="3"/>
  <c r="C136" i="3"/>
  <c r="B136" i="3"/>
  <c r="A136" i="3"/>
  <c r="AT135" i="3"/>
  <c r="AS135" i="3"/>
  <c r="AR135" i="3"/>
  <c r="AQ135" i="3"/>
  <c r="AP135" i="3"/>
  <c r="AO135" i="3"/>
  <c r="AN135" i="3"/>
  <c r="AM135" i="3"/>
  <c r="AL135" i="3"/>
  <c r="AK135" i="3"/>
  <c r="AJ135" i="3"/>
  <c r="AI135" i="3"/>
  <c r="AH135" i="3"/>
  <c r="AG135" i="3"/>
  <c r="AF135" i="3"/>
  <c r="AE135" i="3"/>
  <c r="AD135" i="3"/>
  <c r="AC135" i="3"/>
  <c r="AB135" i="3"/>
  <c r="AA135" i="3"/>
  <c r="Z135" i="3"/>
  <c r="Y135" i="3"/>
  <c r="X135" i="3"/>
  <c r="W135" i="3"/>
  <c r="V135" i="3"/>
  <c r="U135" i="3"/>
  <c r="T135" i="3"/>
  <c r="S135" i="3"/>
  <c r="R135" i="3"/>
  <c r="Q135" i="3"/>
  <c r="P135" i="3"/>
  <c r="O135" i="3"/>
  <c r="N135" i="3"/>
  <c r="M135" i="3"/>
  <c r="L135" i="3"/>
  <c r="K135" i="3"/>
  <c r="J135" i="3"/>
  <c r="I135" i="3"/>
  <c r="H135" i="3"/>
  <c r="G135" i="3"/>
  <c r="F135" i="3"/>
  <c r="E135" i="3"/>
  <c r="D135" i="3"/>
  <c r="C135" i="3"/>
  <c r="B135" i="3"/>
  <c r="A135" i="3"/>
  <c r="AT134" i="3"/>
  <c r="AS134" i="3"/>
  <c r="AR134" i="3"/>
  <c r="AQ134" i="3"/>
  <c r="AP134" i="3"/>
  <c r="AO134" i="3"/>
  <c r="AN134" i="3"/>
  <c r="AM134" i="3"/>
  <c r="AL134" i="3"/>
  <c r="AK134" i="3"/>
  <c r="AJ134" i="3"/>
  <c r="AI134" i="3"/>
  <c r="AH134" i="3"/>
  <c r="AG134" i="3"/>
  <c r="AF134" i="3"/>
  <c r="AE134" i="3"/>
  <c r="AD134" i="3"/>
  <c r="AC134" i="3"/>
  <c r="AB134" i="3"/>
  <c r="AA134" i="3"/>
  <c r="Z134" i="3"/>
  <c r="Y134" i="3"/>
  <c r="X134" i="3"/>
  <c r="W134" i="3"/>
  <c r="V134" i="3"/>
  <c r="U134" i="3"/>
  <c r="T134" i="3"/>
  <c r="S134" i="3"/>
  <c r="R134" i="3"/>
  <c r="Q134" i="3"/>
  <c r="P134" i="3"/>
  <c r="O134" i="3"/>
  <c r="N134" i="3"/>
  <c r="M134" i="3"/>
  <c r="L134" i="3"/>
  <c r="K134" i="3"/>
  <c r="J134" i="3"/>
  <c r="I134" i="3"/>
  <c r="H134" i="3"/>
  <c r="G134" i="3"/>
  <c r="F134" i="3"/>
  <c r="E134" i="3"/>
  <c r="D134" i="3"/>
  <c r="C134" i="3"/>
  <c r="B134" i="3"/>
  <c r="A134" i="3"/>
  <c r="AT133" i="3"/>
  <c r="AS133" i="3"/>
  <c r="AR133" i="3"/>
  <c r="AQ133" i="3"/>
  <c r="AP133" i="3"/>
  <c r="AO133" i="3"/>
  <c r="AN133" i="3"/>
  <c r="AM133" i="3"/>
  <c r="AL133" i="3"/>
  <c r="AK133" i="3"/>
  <c r="AJ133" i="3"/>
  <c r="AI133" i="3"/>
  <c r="AH133" i="3"/>
  <c r="AG133" i="3"/>
  <c r="AF133" i="3"/>
  <c r="AE133" i="3"/>
  <c r="AD133" i="3"/>
  <c r="AC133" i="3"/>
  <c r="AB133" i="3"/>
  <c r="AA133" i="3"/>
  <c r="Z133" i="3"/>
  <c r="Y133" i="3"/>
  <c r="X133" i="3"/>
  <c r="W133" i="3"/>
  <c r="V133" i="3"/>
  <c r="U133" i="3"/>
  <c r="T133" i="3"/>
  <c r="S133" i="3"/>
  <c r="R133" i="3"/>
  <c r="Q133" i="3"/>
  <c r="P133" i="3"/>
  <c r="O133" i="3"/>
  <c r="N133" i="3"/>
  <c r="M133" i="3"/>
  <c r="L133" i="3"/>
  <c r="K133" i="3"/>
  <c r="J133" i="3"/>
  <c r="I133" i="3"/>
  <c r="H133" i="3"/>
  <c r="G133" i="3"/>
  <c r="F133" i="3"/>
  <c r="E133" i="3"/>
  <c r="D133" i="3"/>
  <c r="C133" i="3"/>
  <c r="B133" i="3"/>
  <c r="A133" i="3"/>
  <c r="AT132" i="3"/>
  <c r="AS132" i="3"/>
  <c r="AR132" i="3"/>
  <c r="AQ132" i="3"/>
  <c r="AP132" i="3"/>
  <c r="AO132" i="3"/>
  <c r="AN132" i="3"/>
  <c r="AM132" i="3"/>
  <c r="AL132" i="3"/>
  <c r="AK132" i="3"/>
  <c r="AJ132" i="3"/>
  <c r="AI132" i="3"/>
  <c r="AH132" i="3"/>
  <c r="AG132" i="3"/>
  <c r="AF132" i="3"/>
  <c r="AE132" i="3"/>
  <c r="AD132" i="3"/>
  <c r="AC132" i="3"/>
  <c r="AB132" i="3"/>
  <c r="AA132" i="3"/>
  <c r="Z132" i="3"/>
  <c r="Y132" i="3"/>
  <c r="X132" i="3"/>
  <c r="W132" i="3"/>
  <c r="V132" i="3"/>
  <c r="U132" i="3"/>
  <c r="T132" i="3"/>
  <c r="S132" i="3"/>
  <c r="R132" i="3"/>
  <c r="Q132" i="3"/>
  <c r="P132" i="3"/>
  <c r="O132" i="3"/>
  <c r="N132" i="3"/>
  <c r="M132" i="3"/>
  <c r="L132" i="3"/>
  <c r="K132" i="3"/>
  <c r="J132" i="3"/>
  <c r="I132" i="3"/>
  <c r="H132" i="3"/>
  <c r="G132" i="3"/>
  <c r="F132" i="3"/>
  <c r="E132" i="3"/>
  <c r="D132" i="3"/>
  <c r="C132" i="3"/>
  <c r="B132" i="3"/>
  <c r="A132" i="3"/>
  <c r="AT131" i="3"/>
  <c r="AS131" i="3"/>
  <c r="AR131" i="3"/>
  <c r="AQ131" i="3"/>
  <c r="AP131" i="3"/>
  <c r="AO131" i="3"/>
  <c r="AN131" i="3"/>
  <c r="AM131" i="3"/>
  <c r="AL131" i="3"/>
  <c r="AK131" i="3"/>
  <c r="AJ131" i="3"/>
  <c r="AI131" i="3"/>
  <c r="AH131" i="3"/>
  <c r="AG131" i="3"/>
  <c r="AF131" i="3"/>
  <c r="AE131" i="3"/>
  <c r="AD131" i="3"/>
  <c r="AC131" i="3"/>
  <c r="AB131" i="3"/>
  <c r="AA131" i="3"/>
  <c r="Z131" i="3"/>
  <c r="Y131" i="3"/>
  <c r="X131" i="3"/>
  <c r="W131" i="3"/>
  <c r="V131" i="3"/>
  <c r="U131" i="3"/>
  <c r="T131" i="3"/>
  <c r="S131" i="3"/>
  <c r="R131" i="3"/>
  <c r="Q131" i="3"/>
  <c r="P131" i="3"/>
  <c r="O131" i="3"/>
  <c r="N131" i="3"/>
  <c r="M131" i="3"/>
  <c r="L131" i="3"/>
  <c r="K131" i="3"/>
  <c r="J131" i="3"/>
  <c r="I131" i="3"/>
  <c r="H131" i="3"/>
  <c r="G131" i="3"/>
  <c r="F131" i="3"/>
  <c r="E131" i="3"/>
  <c r="D131" i="3"/>
  <c r="C131" i="3"/>
  <c r="B131" i="3"/>
  <c r="A131" i="3"/>
  <c r="AT130" i="3"/>
  <c r="AS130" i="3"/>
  <c r="AR130" i="3"/>
  <c r="AQ130" i="3"/>
  <c r="AP130" i="3"/>
  <c r="AO130" i="3"/>
  <c r="AN130" i="3"/>
  <c r="AM130" i="3"/>
  <c r="AL130" i="3"/>
  <c r="AK130" i="3"/>
  <c r="AJ130" i="3"/>
  <c r="AI130" i="3"/>
  <c r="AH130" i="3"/>
  <c r="AG130" i="3"/>
  <c r="AF130" i="3"/>
  <c r="AE130" i="3"/>
  <c r="AD130" i="3"/>
  <c r="AC130" i="3"/>
  <c r="AB130" i="3"/>
  <c r="AA130" i="3"/>
  <c r="Z130" i="3"/>
  <c r="Y130" i="3"/>
  <c r="X130" i="3"/>
  <c r="W130" i="3"/>
  <c r="V130" i="3"/>
  <c r="U130" i="3"/>
  <c r="T130" i="3"/>
  <c r="S130" i="3"/>
  <c r="R130" i="3"/>
  <c r="Q130" i="3"/>
  <c r="O130" i="3"/>
  <c r="N130" i="3"/>
  <c r="M130" i="3"/>
  <c r="L130" i="3"/>
  <c r="K130" i="3"/>
  <c r="J130" i="3"/>
  <c r="I130" i="3"/>
  <c r="H130" i="3"/>
  <c r="G130" i="3"/>
  <c r="F130" i="3"/>
  <c r="E130" i="3"/>
  <c r="D130" i="3"/>
  <c r="C130" i="3"/>
  <c r="B130" i="3"/>
  <c r="A130" i="3"/>
  <c r="AT129" i="3"/>
  <c r="AS129" i="3"/>
  <c r="AR129" i="3"/>
  <c r="AQ129" i="3"/>
  <c r="AP129" i="3"/>
  <c r="AO129" i="3"/>
  <c r="AN129" i="3"/>
  <c r="AM129" i="3"/>
  <c r="AL129" i="3"/>
  <c r="AK129" i="3"/>
  <c r="AJ129" i="3"/>
  <c r="AI129" i="3"/>
  <c r="AH129" i="3"/>
  <c r="AG129" i="3"/>
  <c r="AF129" i="3"/>
  <c r="AE129" i="3"/>
  <c r="AD129" i="3"/>
  <c r="AC129" i="3"/>
  <c r="AB129" i="3"/>
  <c r="AA129" i="3"/>
  <c r="Z129" i="3"/>
  <c r="Y129" i="3"/>
  <c r="X129" i="3"/>
  <c r="W129" i="3"/>
  <c r="V129" i="3"/>
  <c r="U129" i="3"/>
  <c r="T129" i="3"/>
  <c r="S129" i="3"/>
  <c r="R129" i="3"/>
  <c r="Q129" i="3"/>
  <c r="P129" i="3"/>
  <c r="O129" i="3"/>
  <c r="N129" i="3"/>
  <c r="M129" i="3"/>
  <c r="L129" i="3"/>
  <c r="K129" i="3"/>
  <c r="J129" i="3"/>
  <c r="I129" i="3"/>
  <c r="H129" i="3"/>
  <c r="G129" i="3"/>
  <c r="F129" i="3"/>
  <c r="E129" i="3"/>
  <c r="D129" i="3"/>
  <c r="C129" i="3"/>
  <c r="B129" i="3"/>
  <c r="A129" i="3"/>
  <c r="AT128" i="3"/>
  <c r="AS128" i="3"/>
  <c r="AR128" i="3"/>
  <c r="AQ128" i="3"/>
  <c r="AP128" i="3"/>
  <c r="AO128" i="3"/>
  <c r="AN128" i="3"/>
  <c r="AM128" i="3"/>
  <c r="AL128" i="3"/>
  <c r="AK128" i="3"/>
  <c r="AJ128" i="3"/>
  <c r="AI128" i="3"/>
  <c r="AH128" i="3"/>
  <c r="AG128" i="3"/>
  <c r="AF128" i="3"/>
  <c r="AE128" i="3"/>
  <c r="AD128" i="3"/>
  <c r="AC128" i="3"/>
  <c r="AB128" i="3"/>
  <c r="AA128" i="3"/>
  <c r="Z128" i="3"/>
  <c r="Y128" i="3"/>
  <c r="X128" i="3"/>
  <c r="W128" i="3"/>
  <c r="V128" i="3"/>
  <c r="U128" i="3"/>
  <c r="T128" i="3"/>
  <c r="S128" i="3"/>
  <c r="R128" i="3"/>
  <c r="Q128" i="3"/>
  <c r="P128" i="3"/>
  <c r="O128" i="3"/>
  <c r="N128" i="3"/>
  <c r="M128" i="3"/>
  <c r="L128" i="3"/>
  <c r="K128" i="3"/>
  <c r="J128" i="3"/>
  <c r="I128" i="3"/>
  <c r="H128" i="3"/>
  <c r="G128" i="3"/>
  <c r="F128" i="3"/>
  <c r="E128" i="3"/>
  <c r="D128" i="3"/>
  <c r="C128" i="3"/>
  <c r="B128" i="3"/>
  <c r="A128" i="3"/>
  <c r="AT127" i="3"/>
  <c r="AS127" i="3"/>
  <c r="AR127" i="3"/>
  <c r="AQ127" i="3"/>
  <c r="AP127" i="3"/>
  <c r="AO127" i="3"/>
  <c r="AN127" i="3"/>
  <c r="AM127" i="3"/>
  <c r="AL127" i="3"/>
  <c r="AK127" i="3"/>
  <c r="AJ127" i="3"/>
  <c r="AI127" i="3"/>
  <c r="AH127" i="3"/>
  <c r="AG127" i="3"/>
  <c r="AF127" i="3"/>
  <c r="AE127" i="3"/>
  <c r="AD127" i="3"/>
  <c r="AC127" i="3"/>
  <c r="AB127" i="3"/>
  <c r="AA127" i="3"/>
  <c r="Z127" i="3"/>
  <c r="Y127" i="3"/>
  <c r="X127" i="3"/>
  <c r="W127" i="3"/>
  <c r="V127" i="3"/>
  <c r="U127" i="3"/>
  <c r="T127" i="3"/>
  <c r="S127" i="3"/>
  <c r="R127" i="3"/>
  <c r="Q127" i="3"/>
  <c r="P127" i="3"/>
  <c r="O127" i="3"/>
  <c r="N127" i="3"/>
  <c r="M127" i="3"/>
  <c r="L127" i="3"/>
  <c r="K127" i="3"/>
  <c r="J127" i="3"/>
  <c r="I127" i="3"/>
  <c r="H127" i="3"/>
  <c r="G127" i="3"/>
  <c r="F127" i="3"/>
  <c r="E127" i="3"/>
  <c r="D127" i="3"/>
  <c r="C127" i="3"/>
  <c r="B127" i="3"/>
  <c r="A127"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R126" i="3"/>
  <c r="Q126" i="3"/>
  <c r="O126" i="3"/>
  <c r="N126" i="3"/>
  <c r="M126" i="3"/>
  <c r="L126" i="3"/>
  <c r="K126" i="3"/>
  <c r="J126" i="3"/>
  <c r="I126" i="3"/>
  <c r="H126" i="3"/>
  <c r="G126" i="3"/>
  <c r="F126" i="3"/>
  <c r="E126" i="3"/>
  <c r="D126" i="3"/>
  <c r="C126" i="3"/>
  <c r="B126" i="3"/>
  <c r="A126" i="3"/>
  <c r="AT125" i="3"/>
  <c r="AS125" i="3"/>
  <c r="AR125" i="3"/>
  <c r="AQ125" i="3"/>
  <c r="AP125" i="3"/>
  <c r="AO125" i="3"/>
  <c r="AN125" i="3"/>
  <c r="AM125" i="3"/>
  <c r="AL125" i="3"/>
  <c r="AK125" i="3"/>
  <c r="AJ125" i="3"/>
  <c r="AI125" i="3"/>
  <c r="AH125" i="3"/>
  <c r="AG125" i="3"/>
  <c r="AF125" i="3"/>
  <c r="AE125" i="3"/>
  <c r="AD125" i="3"/>
  <c r="AC125" i="3"/>
  <c r="AB125" i="3"/>
  <c r="AA125" i="3"/>
  <c r="Z125" i="3"/>
  <c r="Y125" i="3"/>
  <c r="X125" i="3"/>
  <c r="W125" i="3"/>
  <c r="V125" i="3"/>
  <c r="U125" i="3"/>
  <c r="T125" i="3"/>
  <c r="S125" i="3"/>
  <c r="R125" i="3"/>
  <c r="Q125" i="3"/>
  <c r="P125" i="3"/>
  <c r="O125" i="3"/>
  <c r="N125" i="3"/>
  <c r="M125" i="3"/>
  <c r="L125" i="3"/>
  <c r="K125" i="3"/>
  <c r="J125" i="3"/>
  <c r="I125" i="3"/>
  <c r="H125" i="3"/>
  <c r="G125" i="3"/>
  <c r="F125" i="3"/>
  <c r="E125" i="3"/>
  <c r="D125" i="3"/>
  <c r="C125" i="3"/>
  <c r="B125" i="3"/>
  <c r="A125" i="3"/>
  <c r="AT124" i="3"/>
  <c r="AS124" i="3"/>
  <c r="AR124" i="3"/>
  <c r="AQ124" i="3"/>
  <c r="AP124" i="3"/>
  <c r="AO124" i="3"/>
  <c r="AN124" i="3"/>
  <c r="AM124" i="3"/>
  <c r="AL124" i="3"/>
  <c r="AK124" i="3"/>
  <c r="AJ124" i="3"/>
  <c r="AI124" i="3"/>
  <c r="AH124" i="3"/>
  <c r="AG124" i="3"/>
  <c r="AF124" i="3"/>
  <c r="AE124" i="3"/>
  <c r="AD124" i="3"/>
  <c r="AC124" i="3"/>
  <c r="AB124" i="3"/>
  <c r="AA124" i="3"/>
  <c r="Z124" i="3"/>
  <c r="Y124" i="3"/>
  <c r="X124" i="3"/>
  <c r="W124" i="3"/>
  <c r="V124" i="3"/>
  <c r="U124" i="3"/>
  <c r="T124" i="3"/>
  <c r="S124" i="3"/>
  <c r="R124" i="3"/>
  <c r="Q124" i="3"/>
  <c r="P124" i="3"/>
  <c r="O124" i="3"/>
  <c r="N124" i="3"/>
  <c r="M124" i="3"/>
  <c r="L124" i="3"/>
  <c r="K124" i="3"/>
  <c r="J124" i="3"/>
  <c r="I124" i="3"/>
  <c r="H124" i="3"/>
  <c r="G124" i="3"/>
  <c r="F124" i="3"/>
  <c r="E124" i="3"/>
  <c r="D124" i="3"/>
  <c r="C124" i="3"/>
  <c r="B124" i="3"/>
  <c r="A124" i="3"/>
  <c r="AT123" i="3"/>
  <c r="AS123" i="3"/>
  <c r="AR123" i="3"/>
  <c r="AQ123" i="3"/>
  <c r="AP123" i="3"/>
  <c r="AO123" i="3"/>
  <c r="AN123" i="3"/>
  <c r="AM123" i="3"/>
  <c r="AL123" i="3"/>
  <c r="AK123" i="3"/>
  <c r="AJ123" i="3"/>
  <c r="AI123" i="3"/>
  <c r="AH123" i="3"/>
  <c r="AG123" i="3"/>
  <c r="AF123" i="3"/>
  <c r="AE123" i="3"/>
  <c r="AD123" i="3"/>
  <c r="AC123" i="3"/>
  <c r="AB123" i="3"/>
  <c r="AA123" i="3"/>
  <c r="Z123" i="3"/>
  <c r="Y123" i="3"/>
  <c r="X123" i="3"/>
  <c r="W123" i="3"/>
  <c r="V123" i="3"/>
  <c r="U123" i="3"/>
  <c r="T123" i="3"/>
  <c r="S123" i="3"/>
  <c r="R123" i="3"/>
  <c r="Q123" i="3"/>
  <c r="P123" i="3"/>
  <c r="O123" i="3"/>
  <c r="N123" i="3"/>
  <c r="M123" i="3"/>
  <c r="L123" i="3"/>
  <c r="K123" i="3"/>
  <c r="J123" i="3"/>
  <c r="I123" i="3"/>
  <c r="H123" i="3"/>
  <c r="G123" i="3"/>
  <c r="F123" i="3"/>
  <c r="E123" i="3"/>
  <c r="D123" i="3"/>
  <c r="C123" i="3"/>
  <c r="B123" i="3"/>
  <c r="A123" i="3"/>
  <c r="AT122" i="3"/>
  <c r="AS122" i="3"/>
  <c r="AR122" i="3"/>
  <c r="AQ122" i="3"/>
  <c r="AP122" i="3"/>
  <c r="AO122" i="3"/>
  <c r="AN122" i="3"/>
  <c r="AM122" i="3"/>
  <c r="AL122" i="3"/>
  <c r="AK122" i="3"/>
  <c r="AJ122" i="3"/>
  <c r="AI122" i="3"/>
  <c r="AH122" i="3"/>
  <c r="AG122" i="3"/>
  <c r="AF122" i="3"/>
  <c r="AE122" i="3"/>
  <c r="AD122" i="3"/>
  <c r="AC122" i="3"/>
  <c r="AB122" i="3"/>
  <c r="AA122" i="3"/>
  <c r="Z122" i="3"/>
  <c r="Y122" i="3"/>
  <c r="X122" i="3"/>
  <c r="W122" i="3"/>
  <c r="V122" i="3"/>
  <c r="U122" i="3"/>
  <c r="T122" i="3"/>
  <c r="S122" i="3"/>
  <c r="R122" i="3"/>
  <c r="Q122" i="3"/>
  <c r="O122" i="3"/>
  <c r="N122" i="3"/>
  <c r="M122" i="3"/>
  <c r="L122" i="3"/>
  <c r="K122" i="3"/>
  <c r="J122" i="3"/>
  <c r="I122" i="3"/>
  <c r="H122" i="3"/>
  <c r="G122" i="3"/>
  <c r="F122" i="3"/>
  <c r="E122" i="3"/>
  <c r="D122" i="3"/>
  <c r="C122" i="3"/>
  <c r="B122" i="3"/>
  <c r="A122" i="3"/>
  <c r="AT121" i="3"/>
  <c r="AS121" i="3"/>
  <c r="AR121" i="3"/>
  <c r="AQ121" i="3"/>
  <c r="AP121" i="3"/>
  <c r="AO121" i="3"/>
  <c r="AN121" i="3"/>
  <c r="AM121" i="3"/>
  <c r="AL121" i="3"/>
  <c r="AK121" i="3"/>
  <c r="AJ121" i="3"/>
  <c r="AI121" i="3"/>
  <c r="AH121" i="3"/>
  <c r="AG121" i="3"/>
  <c r="AF121" i="3"/>
  <c r="AE121" i="3"/>
  <c r="AD121" i="3"/>
  <c r="AC121" i="3"/>
  <c r="AB121" i="3"/>
  <c r="AA121" i="3"/>
  <c r="Z121" i="3"/>
  <c r="Y121" i="3"/>
  <c r="X121" i="3"/>
  <c r="W121" i="3"/>
  <c r="V121" i="3"/>
  <c r="U121" i="3"/>
  <c r="T121" i="3"/>
  <c r="S121" i="3"/>
  <c r="R121" i="3"/>
  <c r="Q121" i="3"/>
  <c r="P121" i="3"/>
  <c r="O121" i="3"/>
  <c r="N121" i="3"/>
  <c r="M121" i="3"/>
  <c r="L121" i="3"/>
  <c r="K121" i="3"/>
  <c r="J121" i="3"/>
  <c r="I121" i="3"/>
  <c r="H121" i="3"/>
  <c r="G121" i="3"/>
  <c r="F121" i="3"/>
  <c r="E121" i="3"/>
  <c r="D121" i="3"/>
  <c r="C121" i="3"/>
  <c r="B121" i="3"/>
  <c r="A121" i="3"/>
  <c r="AT120" i="3"/>
  <c r="AS120" i="3"/>
  <c r="AR120" i="3"/>
  <c r="AQ120" i="3"/>
  <c r="AP120" i="3"/>
  <c r="AO120" i="3"/>
  <c r="AN120" i="3"/>
  <c r="AM120" i="3"/>
  <c r="AL120" i="3"/>
  <c r="AK120" i="3"/>
  <c r="AJ120" i="3"/>
  <c r="AI120" i="3"/>
  <c r="AH120" i="3"/>
  <c r="AG120" i="3"/>
  <c r="AF120" i="3"/>
  <c r="AE120" i="3"/>
  <c r="AD120" i="3"/>
  <c r="AC120" i="3"/>
  <c r="AB120" i="3"/>
  <c r="AA120" i="3"/>
  <c r="Z120" i="3"/>
  <c r="Y120" i="3"/>
  <c r="X120" i="3"/>
  <c r="W120" i="3"/>
  <c r="V120" i="3"/>
  <c r="U120" i="3"/>
  <c r="T120" i="3"/>
  <c r="S120" i="3"/>
  <c r="R120" i="3"/>
  <c r="Q120" i="3"/>
  <c r="P120" i="3"/>
  <c r="O120" i="3"/>
  <c r="N120" i="3"/>
  <c r="M120" i="3"/>
  <c r="L120" i="3"/>
  <c r="K120" i="3"/>
  <c r="J120" i="3"/>
  <c r="I120" i="3"/>
  <c r="H120" i="3"/>
  <c r="G120" i="3"/>
  <c r="F120" i="3"/>
  <c r="E120" i="3"/>
  <c r="D120" i="3"/>
  <c r="C120" i="3"/>
  <c r="B120" i="3"/>
  <c r="A120" i="3"/>
  <c r="AT119" i="3"/>
  <c r="AS119" i="3"/>
  <c r="AR119" i="3"/>
  <c r="AQ119" i="3"/>
  <c r="AP119" i="3"/>
  <c r="AO119" i="3"/>
  <c r="AN119" i="3"/>
  <c r="AM119" i="3"/>
  <c r="AL119" i="3"/>
  <c r="AK119" i="3"/>
  <c r="AJ119" i="3"/>
  <c r="AI119" i="3"/>
  <c r="AH119" i="3"/>
  <c r="AG119" i="3"/>
  <c r="AF119" i="3"/>
  <c r="AE119" i="3"/>
  <c r="AD119" i="3"/>
  <c r="AC119" i="3"/>
  <c r="AB119" i="3"/>
  <c r="AA119" i="3"/>
  <c r="Z119" i="3"/>
  <c r="Y119" i="3"/>
  <c r="X119" i="3"/>
  <c r="W119" i="3"/>
  <c r="V119" i="3"/>
  <c r="U119" i="3"/>
  <c r="T119" i="3"/>
  <c r="S119" i="3"/>
  <c r="R119" i="3"/>
  <c r="Q119" i="3"/>
  <c r="P119" i="3"/>
  <c r="O119" i="3"/>
  <c r="N119" i="3"/>
  <c r="M119" i="3"/>
  <c r="L119" i="3"/>
  <c r="K119" i="3"/>
  <c r="J119" i="3"/>
  <c r="I119" i="3"/>
  <c r="H119" i="3"/>
  <c r="G119" i="3"/>
  <c r="F119" i="3"/>
  <c r="E119" i="3"/>
  <c r="D119" i="3"/>
  <c r="C119" i="3"/>
  <c r="B119" i="3"/>
  <c r="A119" i="3"/>
  <c r="AT118" i="3"/>
  <c r="AS118" i="3"/>
  <c r="AR118" i="3"/>
  <c r="AQ118" i="3"/>
  <c r="AP118" i="3"/>
  <c r="AO118" i="3"/>
  <c r="AN118" i="3"/>
  <c r="AM118" i="3"/>
  <c r="AL118" i="3"/>
  <c r="AK118" i="3"/>
  <c r="AJ118" i="3"/>
  <c r="AI118" i="3"/>
  <c r="AH118" i="3"/>
  <c r="AG118" i="3"/>
  <c r="AF118" i="3"/>
  <c r="AE118" i="3"/>
  <c r="AD118" i="3"/>
  <c r="AC118" i="3"/>
  <c r="AB118" i="3"/>
  <c r="AA118" i="3"/>
  <c r="Z118" i="3"/>
  <c r="Y118" i="3"/>
  <c r="X118" i="3"/>
  <c r="W118" i="3"/>
  <c r="V118" i="3"/>
  <c r="U118" i="3"/>
  <c r="T118" i="3"/>
  <c r="S118" i="3"/>
  <c r="R118" i="3"/>
  <c r="Q118" i="3"/>
  <c r="P118" i="3"/>
  <c r="O118" i="3"/>
  <c r="N118" i="3"/>
  <c r="M118" i="3"/>
  <c r="L118" i="3"/>
  <c r="K118" i="3"/>
  <c r="J118" i="3"/>
  <c r="I118" i="3"/>
  <c r="H118" i="3"/>
  <c r="G118" i="3"/>
  <c r="F118" i="3"/>
  <c r="E118" i="3"/>
  <c r="D118" i="3"/>
  <c r="C118" i="3"/>
  <c r="B118" i="3"/>
  <c r="A118" i="3"/>
  <c r="AT117" i="3"/>
  <c r="AS117" i="3"/>
  <c r="AR117" i="3"/>
  <c r="AQ117" i="3"/>
  <c r="AP117" i="3"/>
  <c r="AO117" i="3"/>
  <c r="AN117" i="3"/>
  <c r="AM117" i="3"/>
  <c r="AL117" i="3"/>
  <c r="AK117" i="3"/>
  <c r="AJ117" i="3"/>
  <c r="AI117" i="3"/>
  <c r="AH117" i="3"/>
  <c r="AG117" i="3"/>
  <c r="AF117" i="3"/>
  <c r="AE117" i="3"/>
  <c r="AD117" i="3"/>
  <c r="AC117" i="3"/>
  <c r="AB117" i="3"/>
  <c r="AA117" i="3"/>
  <c r="Z117" i="3"/>
  <c r="Y117" i="3"/>
  <c r="X117" i="3"/>
  <c r="W117" i="3"/>
  <c r="V117" i="3"/>
  <c r="U117" i="3"/>
  <c r="T117" i="3"/>
  <c r="S117" i="3"/>
  <c r="R117" i="3"/>
  <c r="Q117" i="3"/>
  <c r="P117" i="3"/>
  <c r="O117" i="3"/>
  <c r="N117" i="3"/>
  <c r="M117" i="3"/>
  <c r="L117" i="3"/>
  <c r="K117" i="3"/>
  <c r="J117" i="3"/>
  <c r="I117" i="3"/>
  <c r="H117" i="3"/>
  <c r="G117" i="3"/>
  <c r="F117" i="3"/>
  <c r="E117" i="3"/>
  <c r="D117" i="3"/>
  <c r="C117" i="3"/>
  <c r="B117" i="3"/>
  <c r="A117" i="3"/>
  <c r="AT116" i="3"/>
  <c r="AS116" i="3"/>
  <c r="AR116" i="3"/>
  <c r="AQ116" i="3"/>
  <c r="AP116" i="3"/>
  <c r="AO116" i="3"/>
  <c r="AN116" i="3"/>
  <c r="AM116" i="3"/>
  <c r="AL116" i="3"/>
  <c r="AK116" i="3"/>
  <c r="AJ116" i="3"/>
  <c r="AI116" i="3"/>
  <c r="AH116" i="3"/>
  <c r="AG116" i="3"/>
  <c r="AF116" i="3"/>
  <c r="AE116" i="3"/>
  <c r="AD116" i="3"/>
  <c r="AC116" i="3"/>
  <c r="AB116" i="3"/>
  <c r="AA116" i="3"/>
  <c r="Z116" i="3"/>
  <c r="Y116" i="3"/>
  <c r="X116" i="3"/>
  <c r="W116" i="3"/>
  <c r="V116" i="3"/>
  <c r="U116" i="3"/>
  <c r="T116" i="3"/>
  <c r="S116" i="3"/>
  <c r="R116" i="3"/>
  <c r="Q116" i="3"/>
  <c r="P116" i="3"/>
  <c r="O116" i="3"/>
  <c r="N116" i="3"/>
  <c r="M116" i="3"/>
  <c r="L116" i="3"/>
  <c r="K116" i="3"/>
  <c r="J116" i="3"/>
  <c r="I116" i="3"/>
  <c r="H116" i="3"/>
  <c r="G116" i="3"/>
  <c r="F116" i="3"/>
  <c r="E116" i="3"/>
  <c r="D116" i="3"/>
  <c r="C116" i="3"/>
  <c r="B116" i="3"/>
  <c r="A116" i="3"/>
  <c r="AT115" i="3"/>
  <c r="AS115" i="3"/>
  <c r="AR115" i="3"/>
  <c r="AQ115" i="3"/>
  <c r="AP115" i="3"/>
  <c r="AO115" i="3"/>
  <c r="AN115" i="3"/>
  <c r="AM115" i="3"/>
  <c r="AL115" i="3"/>
  <c r="AK115" i="3"/>
  <c r="AJ115" i="3"/>
  <c r="AI115" i="3"/>
  <c r="AH115" i="3"/>
  <c r="AG115" i="3"/>
  <c r="AF115" i="3"/>
  <c r="AE115" i="3"/>
  <c r="AD115" i="3"/>
  <c r="AC115" i="3"/>
  <c r="AB115" i="3"/>
  <c r="AA115" i="3"/>
  <c r="Z115" i="3"/>
  <c r="Y115" i="3"/>
  <c r="X115" i="3"/>
  <c r="W115" i="3"/>
  <c r="V115" i="3"/>
  <c r="U115" i="3"/>
  <c r="T115" i="3"/>
  <c r="S115" i="3"/>
  <c r="R115" i="3"/>
  <c r="Q115" i="3"/>
  <c r="P115" i="3"/>
  <c r="O115" i="3"/>
  <c r="N115" i="3"/>
  <c r="M115" i="3"/>
  <c r="L115" i="3"/>
  <c r="K115" i="3"/>
  <c r="J115" i="3"/>
  <c r="I115" i="3"/>
  <c r="H115" i="3"/>
  <c r="G115" i="3"/>
  <c r="F115" i="3"/>
  <c r="E115" i="3"/>
  <c r="D115" i="3"/>
  <c r="C115" i="3"/>
  <c r="B115" i="3"/>
  <c r="A115" i="3"/>
  <c r="AT114" i="3"/>
  <c r="AS114" i="3"/>
  <c r="AR114" i="3"/>
  <c r="AQ114" i="3"/>
  <c r="AP114" i="3"/>
  <c r="AO114" i="3"/>
  <c r="AN114" i="3"/>
  <c r="AM114" i="3"/>
  <c r="AL114" i="3"/>
  <c r="AK114" i="3"/>
  <c r="AJ114" i="3"/>
  <c r="AI114" i="3"/>
  <c r="AH114" i="3"/>
  <c r="AG114" i="3"/>
  <c r="AF114" i="3"/>
  <c r="AE114" i="3"/>
  <c r="AD114" i="3"/>
  <c r="AC114" i="3"/>
  <c r="AB114" i="3"/>
  <c r="AA114" i="3"/>
  <c r="Z114" i="3"/>
  <c r="Y114" i="3"/>
  <c r="X114" i="3"/>
  <c r="W114" i="3"/>
  <c r="V114" i="3"/>
  <c r="U114" i="3"/>
  <c r="T114" i="3"/>
  <c r="S114" i="3"/>
  <c r="R114" i="3"/>
  <c r="Q114" i="3"/>
  <c r="P114" i="3"/>
  <c r="O114" i="3"/>
  <c r="N114" i="3"/>
  <c r="M114" i="3"/>
  <c r="L114" i="3"/>
  <c r="K114" i="3"/>
  <c r="J114" i="3"/>
  <c r="I114" i="3"/>
  <c r="H114" i="3"/>
  <c r="G114" i="3"/>
  <c r="F114" i="3"/>
  <c r="E114" i="3"/>
  <c r="D114" i="3"/>
  <c r="C114" i="3"/>
  <c r="B114" i="3"/>
  <c r="A114" i="3"/>
  <c r="AT113" i="3"/>
  <c r="AS113" i="3"/>
  <c r="AR113" i="3"/>
  <c r="AQ113" i="3"/>
  <c r="AP113" i="3"/>
  <c r="AO113" i="3"/>
  <c r="AN113" i="3"/>
  <c r="AM113" i="3"/>
  <c r="AL113" i="3"/>
  <c r="AK113" i="3"/>
  <c r="AJ113" i="3"/>
  <c r="AI113" i="3"/>
  <c r="AH113" i="3"/>
  <c r="AG113" i="3"/>
  <c r="AF113" i="3"/>
  <c r="AE113" i="3"/>
  <c r="AD113" i="3"/>
  <c r="AC113" i="3"/>
  <c r="AB113" i="3"/>
  <c r="AA113" i="3"/>
  <c r="Z113" i="3"/>
  <c r="Y113" i="3"/>
  <c r="X113" i="3"/>
  <c r="W113" i="3"/>
  <c r="V113" i="3"/>
  <c r="U113" i="3"/>
  <c r="T113" i="3"/>
  <c r="S113" i="3"/>
  <c r="R113" i="3"/>
  <c r="Q113" i="3"/>
  <c r="P113" i="3"/>
  <c r="O113" i="3"/>
  <c r="N113" i="3"/>
  <c r="M113" i="3"/>
  <c r="L113" i="3"/>
  <c r="K113" i="3"/>
  <c r="J113" i="3"/>
  <c r="I113" i="3"/>
  <c r="H113" i="3"/>
  <c r="G113" i="3"/>
  <c r="F113" i="3"/>
  <c r="E113" i="3"/>
  <c r="D113" i="3"/>
  <c r="C113" i="3"/>
  <c r="B113" i="3"/>
  <c r="A113" i="3"/>
  <c r="AT112" i="3"/>
  <c r="AS112" i="3"/>
  <c r="AO112" i="3"/>
  <c r="AH112" i="3"/>
  <c r="AF112" i="3"/>
  <c r="AE112" i="3"/>
  <c r="AD112" i="3"/>
  <c r="AC112" i="3"/>
  <c r="AB112" i="3"/>
  <c r="X112" i="3"/>
  <c r="V112" i="3"/>
  <c r="U112" i="3"/>
  <c r="T112" i="3"/>
  <c r="S112" i="3"/>
  <c r="R112" i="3"/>
  <c r="Q112" i="3"/>
  <c r="P112" i="3"/>
  <c r="O112" i="3"/>
  <c r="N112" i="3"/>
  <c r="M112" i="3"/>
  <c r="L112" i="3"/>
  <c r="K112" i="3"/>
  <c r="J112" i="3"/>
  <c r="I112" i="3"/>
  <c r="H112" i="3"/>
  <c r="G112" i="3"/>
  <c r="F112" i="3"/>
  <c r="E112" i="3"/>
  <c r="D112" i="3"/>
  <c r="C112" i="3"/>
  <c r="B112" i="3"/>
  <c r="A112" i="3"/>
  <c r="AT111" i="3"/>
  <c r="AS111" i="3"/>
  <c r="AR111" i="3"/>
  <c r="AQ111" i="3"/>
  <c r="AP111" i="3"/>
  <c r="AO111" i="3"/>
  <c r="AN111" i="3"/>
  <c r="AM111" i="3"/>
  <c r="AL111" i="3"/>
  <c r="AK111" i="3"/>
  <c r="AJ111" i="3"/>
  <c r="AI111" i="3"/>
  <c r="AH111" i="3"/>
  <c r="AG111" i="3"/>
  <c r="AF111" i="3"/>
  <c r="AE111" i="3"/>
  <c r="AD111" i="3"/>
  <c r="AC111" i="3"/>
  <c r="AB111" i="3"/>
  <c r="AA111" i="3"/>
  <c r="Z111" i="3"/>
  <c r="Y111" i="3"/>
  <c r="X111" i="3"/>
  <c r="W111" i="3"/>
  <c r="V111" i="3"/>
  <c r="U111" i="3"/>
  <c r="T111" i="3"/>
  <c r="S111" i="3"/>
  <c r="R111" i="3"/>
  <c r="Q111" i="3"/>
  <c r="P111" i="3"/>
  <c r="O111" i="3"/>
  <c r="N111" i="3"/>
  <c r="M111" i="3"/>
  <c r="L111" i="3"/>
  <c r="K111" i="3"/>
  <c r="J111" i="3"/>
  <c r="I111" i="3"/>
  <c r="H111" i="3"/>
  <c r="G111" i="3"/>
  <c r="F111" i="3"/>
  <c r="E111" i="3"/>
  <c r="D111" i="3"/>
  <c r="C111" i="3"/>
  <c r="B111" i="3"/>
  <c r="A111" i="3"/>
  <c r="AT110" i="3"/>
  <c r="AS110" i="3"/>
  <c r="AR110" i="3"/>
  <c r="AQ110" i="3"/>
  <c r="AP110" i="3"/>
  <c r="AO110" i="3"/>
  <c r="AN110" i="3"/>
  <c r="AM110" i="3"/>
  <c r="AL110" i="3"/>
  <c r="AK110" i="3"/>
  <c r="AJ110" i="3"/>
  <c r="AI110" i="3"/>
  <c r="AH110" i="3"/>
  <c r="AG110" i="3"/>
  <c r="AF110" i="3"/>
  <c r="AE110" i="3"/>
  <c r="AD110" i="3"/>
  <c r="AC110" i="3"/>
  <c r="AB110" i="3"/>
  <c r="AA110" i="3"/>
  <c r="Z110" i="3"/>
  <c r="Y110" i="3"/>
  <c r="X110" i="3"/>
  <c r="W110" i="3"/>
  <c r="V110" i="3"/>
  <c r="U110" i="3"/>
  <c r="T110" i="3"/>
  <c r="S110" i="3"/>
  <c r="R110" i="3"/>
  <c r="Q110" i="3"/>
  <c r="P110" i="3"/>
  <c r="O110" i="3"/>
  <c r="N110" i="3"/>
  <c r="M110" i="3"/>
  <c r="L110" i="3"/>
  <c r="K110" i="3"/>
  <c r="J110" i="3"/>
  <c r="I110" i="3"/>
  <c r="H110" i="3"/>
  <c r="G110" i="3"/>
  <c r="F110" i="3"/>
  <c r="E110" i="3"/>
  <c r="D110" i="3"/>
  <c r="C110" i="3"/>
  <c r="B110" i="3"/>
  <c r="A110" i="3"/>
  <c r="AT109" i="3"/>
  <c r="AS109" i="3"/>
  <c r="AR109" i="3"/>
  <c r="AQ109" i="3"/>
  <c r="AP109" i="3"/>
  <c r="AO109" i="3"/>
  <c r="AN109" i="3"/>
  <c r="AM109" i="3"/>
  <c r="AL109" i="3"/>
  <c r="AK109" i="3"/>
  <c r="AJ109" i="3"/>
  <c r="AI109" i="3"/>
  <c r="AH109" i="3"/>
  <c r="AG109" i="3"/>
  <c r="AF109" i="3"/>
  <c r="AE109" i="3"/>
  <c r="AD109" i="3"/>
  <c r="AC109" i="3"/>
  <c r="AB109" i="3"/>
  <c r="AA109" i="3"/>
  <c r="Z109" i="3"/>
  <c r="Y109" i="3"/>
  <c r="X109" i="3"/>
  <c r="W109" i="3"/>
  <c r="V109" i="3"/>
  <c r="U109" i="3"/>
  <c r="T109" i="3"/>
  <c r="S109" i="3"/>
  <c r="R109" i="3"/>
  <c r="Q109" i="3"/>
  <c r="P109" i="3"/>
  <c r="O109" i="3"/>
  <c r="N109" i="3"/>
  <c r="M109" i="3"/>
  <c r="L109" i="3"/>
  <c r="K109" i="3"/>
  <c r="J109" i="3"/>
  <c r="I109" i="3"/>
  <c r="H109" i="3"/>
  <c r="G109" i="3"/>
  <c r="F109" i="3"/>
  <c r="E109" i="3"/>
  <c r="D109" i="3"/>
  <c r="C109" i="3"/>
  <c r="B109" i="3"/>
  <c r="A109"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R108" i="3"/>
  <c r="Q108" i="3"/>
  <c r="P108" i="3"/>
  <c r="O108" i="3"/>
  <c r="N108" i="3"/>
  <c r="M108" i="3"/>
  <c r="L108" i="3"/>
  <c r="K108" i="3"/>
  <c r="J108" i="3"/>
  <c r="I108" i="3"/>
  <c r="H108" i="3"/>
  <c r="G108" i="3"/>
  <c r="F108" i="3"/>
  <c r="E108" i="3"/>
  <c r="D108" i="3"/>
  <c r="C108" i="3"/>
  <c r="B108" i="3"/>
  <c r="A108" i="3"/>
  <c r="AT107" i="3"/>
  <c r="AS107" i="3"/>
  <c r="AR107" i="3"/>
  <c r="AQ107" i="3"/>
  <c r="AP107" i="3"/>
  <c r="AO107" i="3"/>
  <c r="AN107" i="3"/>
  <c r="AM107" i="3"/>
  <c r="AL107" i="3"/>
  <c r="AK107" i="3"/>
  <c r="AJ107" i="3"/>
  <c r="AI107" i="3"/>
  <c r="AH107" i="3"/>
  <c r="AG107" i="3"/>
  <c r="AF107" i="3"/>
  <c r="AE107" i="3"/>
  <c r="AD107" i="3"/>
  <c r="AC107" i="3"/>
  <c r="AB107" i="3"/>
  <c r="AA107" i="3"/>
  <c r="Z107" i="3"/>
  <c r="Y107" i="3"/>
  <c r="X107" i="3"/>
  <c r="W107" i="3"/>
  <c r="V107" i="3"/>
  <c r="U107" i="3"/>
  <c r="T107" i="3"/>
  <c r="S107" i="3"/>
  <c r="R107" i="3"/>
  <c r="Q107" i="3"/>
  <c r="P107" i="3"/>
  <c r="O107" i="3"/>
  <c r="N107" i="3"/>
  <c r="M107" i="3"/>
  <c r="L107" i="3"/>
  <c r="K107" i="3"/>
  <c r="J107" i="3"/>
  <c r="I107" i="3"/>
  <c r="H107" i="3"/>
  <c r="G107" i="3"/>
  <c r="F107" i="3"/>
  <c r="E107" i="3"/>
  <c r="D107" i="3"/>
  <c r="C107" i="3"/>
  <c r="B107" i="3"/>
  <c r="A107" i="3"/>
  <c r="AT106" i="3"/>
  <c r="AS106" i="3"/>
  <c r="AR106" i="3"/>
  <c r="AQ106" i="3"/>
  <c r="AP106" i="3"/>
  <c r="AO106" i="3"/>
  <c r="AN106" i="3"/>
  <c r="AM106" i="3"/>
  <c r="AL106" i="3"/>
  <c r="AK106" i="3"/>
  <c r="AJ106" i="3"/>
  <c r="AI106" i="3"/>
  <c r="AH106" i="3"/>
  <c r="AG106" i="3"/>
  <c r="AF106" i="3"/>
  <c r="AE106" i="3"/>
  <c r="AD106" i="3"/>
  <c r="AC106" i="3"/>
  <c r="AB106" i="3"/>
  <c r="AA106" i="3"/>
  <c r="Z106" i="3"/>
  <c r="Y106" i="3"/>
  <c r="X106" i="3"/>
  <c r="W106" i="3"/>
  <c r="V106" i="3"/>
  <c r="U106" i="3"/>
  <c r="T106" i="3"/>
  <c r="S106" i="3"/>
  <c r="R106" i="3"/>
  <c r="Q106" i="3"/>
  <c r="P106" i="3"/>
  <c r="O106" i="3"/>
  <c r="N106" i="3"/>
  <c r="M106" i="3"/>
  <c r="L106" i="3"/>
  <c r="K106" i="3"/>
  <c r="J106" i="3"/>
  <c r="I106" i="3"/>
  <c r="H106" i="3"/>
  <c r="G106" i="3"/>
  <c r="F106" i="3"/>
  <c r="E106" i="3"/>
  <c r="D106" i="3"/>
  <c r="C106" i="3"/>
  <c r="B106" i="3"/>
  <c r="A106" i="3"/>
  <c r="AT105" i="3"/>
  <c r="AS105" i="3"/>
  <c r="AR105" i="3"/>
  <c r="AQ105" i="3"/>
  <c r="AP105" i="3"/>
  <c r="AO105" i="3"/>
  <c r="AN105" i="3"/>
  <c r="AM105" i="3"/>
  <c r="AL105" i="3"/>
  <c r="AK105" i="3"/>
  <c r="AJ105" i="3"/>
  <c r="AI105" i="3"/>
  <c r="AH105" i="3"/>
  <c r="AG105" i="3"/>
  <c r="AF105" i="3"/>
  <c r="AE105" i="3"/>
  <c r="AD105" i="3"/>
  <c r="AC105" i="3"/>
  <c r="AB105" i="3"/>
  <c r="AA105" i="3"/>
  <c r="Z105" i="3"/>
  <c r="Y105" i="3"/>
  <c r="X105" i="3"/>
  <c r="W105" i="3"/>
  <c r="V105" i="3"/>
  <c r="U105" i="3"/>
  <c r="T105" i="3"/>
  <c r="S105" i="3"/>
  <c r="R105" i="3"/>
  <c r="Q105" i="3"/>
  <c r="P105" i="3"/>
  <c r="O105" i="3"/>
  <c r="N105" i="3"/>
  <c r="M105" i="3"/>
  <c r="L105" i="3"/>
  <c r="K105" i="3"/>
  <c r="J105" i="3"/>
  <c r="H105" i="3"/>
  <c r="G105" i="3"/>
  <c r="F105" i="3"/>
  <c r="E105" i="3"/>
  <c r="D105" i="3"/>
  <c r="C105" i="3"/>
  <c r="B105" i="3"/>
  <c r="A105" i="3"/>
  <c r="AT104" i="3"/>
  <c r="AS104" i="3"/>
  <c r="AR104" i="3"/>
  <c r="AQ104" i="3"/>
  <c r="AP104" i="3"/>
  <c r="AO104" i="3"/>
  <c r="AN104" i="3"/>
  <c r="AM104" i="3"/>
  <c r="AL104" i="3"/>
  <c r="AK104" i="3"/>
  <c r="AJ104" i="3"/>
  <c r="AI104" i="3"/>
  <c r="AH104" i="3"/>
  <c r="AG104" i="3"/>
  <c r="AF104" i="3"/>
  <c r="AE104" i="3"/>
  <c r="AD104" i="3"/>
  <c r="AC104" i="3"/>
  <c r="AB104" i="3"/>
  <c r="AA104" i="3"/>
  <c r="Z104" i="3"/>
  <c r="Y104" i="3"/>
  <c r="X104" i="3"/>
  <c r="W104" i="3"/>
  <c r="V104" i="3"/>
  <c r="U104" i="3"/>
  <c r="T104" i="3"/>
  <c r="S104" i="3"/>
  <c r="R104" i="3"/>
  <c r="Q104" i="3"/>
  <c r="P104" i="3"/>
  <c r="O104" i="3"/>
  <c r="N104" i="3"/>
  <c r="M104" i="3"/>
  <c r="L104" i="3"/>
  <c r="K104" i="3"/>
  <c r="J104" i="3"/>
  <c r="I104" i="3"/>
  <c r="H104" i="3"/>
  <c r="G104" i="3"/>
  <c r="F104" i="3"/>
  <c r="E104" i="3"/>
  <c r="D104" i="3"/>
  <c r="C104" i="3"/>
  <c r="B104" i="3"/>
  <c r="A104" i="3"/>
  <c r="AT103" i="3"/>
  <c r="AS103" i="3"/>
  <c r="AR103" i="3"/>
  <c r="AQ103" i="3"/>
  <c r="AP103" i="3"/>
  <c r="AO103" i="3"/>
  <c r="AN103" i="3"/>
  <c r="AM103" i="3"/>
  <c r="AL103" i="3"/>
  <c r="AK103" i="3"/>
  <c r="AJ103" i="3"/>
  <c r="AI103" i="3"/>
  <c r="AH103" i="3"/>
  <c r="AG103" i="3"/>
  <c r="AF103" i="3"/>
  <c r="AE103" i="3"/>
  <c r="AD103" i="3"/>
  <c r="AC103" i="3"/>
  <c r="AB103" i="3"/>
  <c r="AA103" i="3"/>
  <c r="Z103" i="3"/>
  <c r="Y103" i="3"/>
  <c r="X103" i="3"/>
  <c r="W103" i="3"/>
  <c r="V103" i="3"/>
  <c r="U103" i="3"/>
  <c r="T103" i="3"/>
  <c r="S103" i="3"/>
  <c r="R103" i="3"/>
  <c r="Q103" i="3"/>
  <c r="P103" i="3"/>
  <c r="O103" i="3"/>
  <c r="N103" i="3"/>
  <c r="M103" i="3"/>
  <c r="L103" i="3"/>
  <c r="K103" i="3"/>
  <c r="J103" i="3"/>
  <c r="I103" i="3"/>
  <c r="H103" i="3"/>
  <c r="G103" i="3"/>
  <c r="F103" i="3"/>
  <c r="E103" i="3"/>
  <c r="D103" i="3"/>
  <c r="C103" i="3"/>
  <c r="B103" i="3"/>
  <c r="A103" i="3"/>
  <c r="AT102" i="3"/>
  <c r="AS102" i="3"/>
  <c r="AR102" i="3"/>
  <c r="AQ102" i="3"/>
  <c r="AP102" i="3"/>
  <c r="AO102" i="3"/>
  <c r="AN102" i="3"/>
  <c r="AM102" i="3"/>
  <c r="AL102" i="3"/>
  <c r="AK102" i="3"/>
  <c r="AJ102" i="3"/>
  <c r="AI102" i="3"/>
  <c r="AH102" i="3"/>
  <c r="AG102" i="3"/>
  <c r="AF102" i="3"/>
  <c r="AE102" i="3"/>
  <c r="AD102" i="3"/>
  <c r="AC102" i="3"/>
  <c r="AB102" i="3"/>
  <c r="AA102" i="3"/>
  <c r="Z102" i="3"/>
  <c r="Y102" i="3"/>
  <c r="X102" i="3"/>
  <c r="W102" i="3"/>
  <c r="V102" i="3"/>
  <c r="U102" i="3"/>
  <c r="T102" i="3"/>
  <c r="S102" i="3"/>
  <c r="R102" i="3"/>
  <c r="Q102" i="3"/>
  <c r="P102" i="3"/>
  <c r="O102" i="3"/>
  <c r="N102" i="3"/>
  <c r="M102" i="3"/>
  <c r="L102" i="3"/>
  <c r="K102" i="3"/>
  <c r="J102" i="3"/>
  <c r="I102" i="3"/>
  <c r="H102" i="3"/>
  <c r="G102" i="3"/>
  <c r="F102" i="3"/>
  <c r="E102" i="3"/>
  <c r="D102" i="3"/>
  <c r="C102" i="3"/>
  <c r="B102" i="3"/>
  <c r="A102" i="3"/>
  <c r="AS101" i="3"/>
  <c r="AQ101" i="3"/>
  <c r="AN101" i="3"/>
  <c r="AM101" i="3"/>
  <c r="AL101" i="3"/>
  <c r="AK101" i="3"/>
  <c r="AJ101" i="3"/>
  <c r="AI101" i="3"/>
  <c r="AH101" i="3"/>
  <c r="AG101" i="3"/>
  <c r="AF101" i="3"/>
  <c r="AE101" i="3"/>
  <c r="AD101" i="3"/>
  <c r="AC101" i="3"/>
  <c r="AB101" i="3"/>
  <c r="AA101" i="3"/>
  <c r="Z101" i="3"/>
  <c r="Y101" i="3"/>
  <c r="X101" i="3"/>
  <c r="W101" i="3"/>
  <c r="V101" i="3"/>
  <c r="U101" i="3"/>
  <c r="T101" i="3"/>
  <c r="S101" i="3"/>
  <c r="R101" i="3"/>
  <c r="Q101" i="3"/>
  <c r="P101" i="3"/>
  <c r="O101" i="3"/>
  <c r="N101" i="3"/>
  <c r="M101" i="3"/>
  <c r="L101" i="3"/>
  <c r="K101" i="3"/>
  <c r="J101" i="3"/>
  <c r="I101" i="3"/>
  <c r="H101" i="3"/>
  <c r="G101" i="3"/>
  <c r="F101" i="3"/>
  <c r="E101" i="3"/>
  <c r="D101" i="3"/>
  <c r="C101" i="3"/>
  <c r="B101" i="3"/>
  <c r="A101" i="3"/>
  <c r="AS100" i="3"/>
  <c r="AQ100" i="3"/>
  <c r="AL100" i="3"/>
  <c r="AK100" i="3"/>
  <c r="AJ100" i="3"/>
  <c r="AI100" i="3"/>
  <c r="AH100" i="3"/>
  <c r="AG100" i="3"/>
  <c r="AF100" i="3"/>
  <c r="AE100" i="3"/>
  <c r="AD100" i="3"/>
  <c r="AC100" i="3"/>
  <c r="AB100" i="3"/>
  <c r="AA100" i="3"/>
  <c r="Z100" i="3"/>
  <c r="Y100" i="3"/>
  <c r="X100" i="3"/>
  <c r="W100" i="3"/>
  <c r="V100" i="3"/>
  <c r="U100" i="3"/>
  <c r="T100" i="3"/>
  <c r="S100" i="3"/>
  <c r="R100" i="3"/>
  <c r="Q100" i="3"/>
  <c r="P100" i="3"/>
  <c r="O100" i="3"/>
  <c r="N100" i="3"/>
  <c r="M100" i="3"/>
  <c r="L100" i="3"/>
  <c r="K100" i="3"/>
  <c r="J100" i="3"/>
  <c r="I100" i="3"/>
  <c r="H100" i="3"/>
  <c r="G100" i="3"/>
  <c r="F100" i="3"/>
  <c r="E100" i="3"/>
  <c r="D100" i="3"/>
  <c r="C100" i="3"/>
  <c r="B100" i="3"/>
  <c r="A100" i="3"/>
  <c r="AQ99" i="3"/>
  <c r="AL99" i="3"/>
  <c r="AK99" i="3"/>
  <c r="AJ99" i="3"/>
  <c r="AI99" i="3"/>
  <c r="AH99" i="3"/>
  <c r="AG99" i="3"/>
  <c r="AF99" i="3"/>
  <c r="AE99" i="3"/>
  <c r="AD99" i="3"/>
  <c r="AC99" i="3"/>
  <c r="AB99" i="3"/>
  <c r="AA99" i="3"/>
  <c r="Z99" i="3"/>
  <c r="Y99" i="3"/>
  <c r="X99" i="3"/>
  <c r="W99" i="3"/>
  <c r="V99" i="3"/>
  <c r="U99" i="3"/>
  <c r="T99" i="3"/>
  <c r="S99" i="3"/>
  <c r="R99" i="3"/>
  <c r="Q99" i="3"/>
  <c r="P99" i="3"/>
  <c r="O99" i="3"/>
  <c r="N99" i="3"/>
  <c r="M99" i="3"/>
  <c r="L99" i="3"/>
  <c r="K99" i="3"/>
  <c r="J99" i="3"/>
  <c r="I99" i="3"/>
  <c r="H99" i="3"/>
  <c r="G99" i="3"/>
  <c r="F99" i="3"/>
  <c r="E99" i="3"/>
  <c r="D99" i="3"/>
  <c r="C99" i="3"/>
  <c r="B99" i="3"/>
  <c r="A99" i="3"/>
  <c r="AQ98" i="3"/>
  <c r="AL98" i="3"/>
  <c r="AK98" i="3"/>
  <c r="AJ98" i="3"/>
  <c r="AI98" i="3"/>
  <c r="AH98" i="3"/>
  <c r="AG98" i="3"/>
  <c r="AF98" i="3"/>
  <c r="AE98" i="3"/>
  <c r="AD98" i="3"/>
  <c r="AC98" i="3"/>
  <c r="AB98" i="3"/>
  <c r="AA98" i="3"/>
  <c r="Z98" i="3"/>
  <c r="Y98" i="3"/>
  <c r="X98" i="3"/>
  <c r="W98" i="3"/>
  <c r="V98" i="3"/>
  <c r="U98" i="3"/>
  <c r="T98" i="3"/>
  <c r="S98" i="3"/>
  <c r="R98" i="3"/>
  <c r="Q98" i="3"/>
  <c r="P98" i="3"/>
  <c r="O98" i="3"/>
  <c r="N98" i="3"/>
  <c r="M98" i="3"/>
  <c r="L98" i="3"/>
  <c r="K98" i="3"/>
  <c r="J98" i="3"/>
  <c r="I98" i="3"/>
  <c r="H98" i="3"/>
  <c r="G98" i="3"/>
  <c r="F98" i="3"/>
  <c r="E98" i="3"/>
  <c r="D98" i="3"/>
  <c r="C98" i="3"/>
  <c r="B98" i="3"/>
  <c r="A98" i="3"/>
  <c r="AQ97" i="3"/>
  <c r="AL97" i="3"/>
  <c r="AK97" i="3"/>
  <c r="AJ97" i="3"/>
  <c r="AI97" i="3"/>
  <c r="AH97" i="3"/>
  <c r="AG97" i="3"/>
  <c r="AF97" i="3"/>
  <c r="AE97" i="3"/>
  <c r="AD97" i="3"/>
  <c r="AC97" i="3"/>
  <c r="AB97" i="3"/>
  <c r="AA97" i="3"/>
  <c r="Z97" i="3"/>
  <c r="Y97" i="3"/>
  <c r="X97" i="3"/>
  <c r="W97" i="3"/>
  <c r="V97" i="3"/>
  <c r="U97" i="3"/>
  <c r="T97" i="3"/>
  <c r="S97" i="3"/>
  <c r="R97" i="3"/>
  <c r="Q97" i="3"/>
  <c r="P97" i="3"/>
  <c r="O97" i="3"/>
  <c r="N97" i="3"/>
  <c r="M97" i="3"/>
  <c r="L97" i="3"/>
  <c r="K97" i="3"/>
  <c r="J97" i="3"/>
  <c r="I97" i="3"/>
  <c r="H97" i="3"/>
  <c r="F97" i="3"/>
  <c r="E97" i="3"/>
  <c r="D97" i="3"/>
  <c r="C97" i="3"/>
  <c r="B97" i="3"/>
  <c r="A97" i="3"/>
  <c r="AT96" i="3"/>
  <c r="AS96" i="3"/>
  <c r="AR96" i="3"/>
  <c r="AQ96" i="3"/>
  <c r="AP96" i="3"/>
  <c r="AO96" i="3"/>
  <c r="AN96" i="3"/>
  <c r="AM96" i="3"/>
  <c r="AL96" i="3"/>
  <c r="AK96" i="3"/>
  <c r="AJ96" i="3"/>
  <c r="AI96" i="3"/>
  <c r="AH96" i="3"/>
  <c r="AG96" i="3"/>
  <c r="AF96" i="3"/>
  <c r="AE96" i="3"/>
  <c r="AD96" i="3"/>
  <c r="AC96" i="3"/>
  <c r="AB96" i="3"/>
  <c r="AA96" i="3"/>
  <c r="Z96" i="3"/>
  <c r="Y96" i="3"/>
  <c r="X96" i="3"/>
  <c r="W96" i="3"/>
  <c r="V96" i="3"/>
  <c r="U96" i="3"/>
  <c r="T96" i="3"/>
  <c r="S96" i="3"/>
  <c r="R96" i="3"/>
  <c r="Q96" i="3"/>
  <c r="P96" i="3"/>
  <c r="O96" i="3"/>
  <c r="N96" i="3"/>
  <c r="M96" i="3"/>
  <c r="L96" i="3"/>
  <c r="K96" i="3"/>
  <c r="J96" i="3"/>
  <c r="I96" i="3"/>
  <c r="H96" i="3"/>
  <c r="G96" i="3"/>
  <c r="F96" i="3"/>
  <c r="E96" i="3"/>
  <c r="D96" i="3"/>
  <c r="C96" i="3"/>
  <c r="B96" i="3"/>
  <c r="A96" i="3"/>
  <c r="AT95" i="3"/>
  <c r="AS95" i="3"/>
  <c r="AR95" i="3"/>
  <c r="AQ95" i="3"/>
  <c r="AP95" i="3"/>
  <c r="AO95" i="3"/>
  <c r="AN95" i="3"/>
  <c r="AM95" i="3"/>
  <c r="AL95" i="3"/>
  <c r="AK95" i="3"/>
  <c r="AJ95" i="3"/>
  <c r="AI95" i="3"/>
  <c r="AH95" i="3"/>
  <c r="AG95" i="3"/>
  <c r="AF95" i="3"/>
  <c r="AE95" i="3"/>
  <c r="AD95" i="3"/>
  <c r="AC95" i="3"/>
  <c r="AB95" i="3"/>
  <c r="AA95" i="3"/>
  <c r="Z95" i="3"/>
  <c r="Y95" i="3"/>
  <c r="X95" i="3"/>
  <c r="W95" i="3"/>
  <c r="V95" i="3"/>
  <c r="U95" i="3"/>
  <c r="T95" i="3"/>
  <c r="S95" i="3"/>
  <c r="R95" i="3"/>
  <c r="Q95" i="3"/>
  <c r="P95" i="3"/>
  <c r="O95" i="3"/>
  <c r="N95" i="3"/>
  <c r="M95" i="3"/>
  <c r="L95" i="3"/>
  <c r="K95" i="3"/>
  <c r="J95" i="3"/>
  <c r="I95" i="3"/>
  <c r="H95" i="3"/>
  <c r="G95" i="3"/>
  <c r="F95" i="3"/>
  <c r="E95" i="3"/>
  <c r="D95" i="3"/>
  <c r="C95" i="3"/>
  <c r="B95" i="3"/>
  <c r="A95" i="3"/>
  <c r="AT94" i="3"/>
  <c r="AS94" i="3"/>
  <c r="AR94" i="3"/>
  <c r="AQ94" i="3"/>
  <c r="AP94" i="3"/>
  <c r="AO94" i="3"/>
  <c r="AN94" i="3"/>
  <c r="AM94" i="3"/>
  <c r="AL94" i="3"/>
  <c r="AK94" i="3"/>
  <c r="AJ94" i="3"/>
  <c r="AI94" i="3"/>
  <c r="AH94" i="3"/>
  <c r="AG94" i="3"/>
  <c r="AF94" i="3"/>
  <c r="AE94" i="3"/>
  <c r="AD94" i="3"/>
  <c r="AC94" i="3"/>
  <c r="AB94" i="3"/>
  <c r="AA94" i="3"/>
  <c r="Z94" i="3"/>
  <c r="Y94" i="3"/>
  <c r="X94" i="3"/>
  <c r="W94" i="3"/>
  <c r="V94" i="3"/>
  <c r="U94" i="3"/>
  <c r="T94" i="3"/>
  <c r="S94" i="3"/>
  <c r="R94" i="3"/>
  <c r="Q94" i="3"/>
  <c r="P94" i="3"/>
  <c r="O94" i="3"/>
  <c r="N94" i="3"/>
  <c r="M94" i="3"/>
  <c r="L94" i="3"/>
  <c r="K94" i="3"/>
  <c r="J94" i="3"/>
  <c r="I94" i="3"/>
  <c r="H94" i="3"/>
  <c r="G94" i="3"/>
  <c r="F94" i="3"/>
  <c r="E94" i="3"/>
  <c r="D94" i="3"/>
  <c r="C94" i="3"/>
  <c r="B94" i="3"/>
  <c r="A94" i="3"/>
  <c r="AT93" i="3"/>
  <c r="AS93" i="3"/>
  <c r="AR93" i="3"/>
  <c r="AQ93" i="3"/>
  <c r="AP93" i="3"/>
  <c r="AO93" i="3"/>
  <c r="AN93" i="3"/>
  <c r="AM93" i="3"/>
  <c r="AL93" i="3"/>
  <c r="AK93" i="3"/>
  <c r="AJ93" i="3"/>
  <c r="AI93" i="3"/>
  <c r="AH93" i="3"/>
  <c r="AG93" i="3"/>
  <c r="AF93" i="3"/>
  <c r="AE93" i="3"/>
  <c r="AD93" i="3"/>
  <c r="AC93" i="3"/>
  <c r="AB93" i="3"/>
  <c r="AA93" i="3"/>
  <c r="Z93" i="3"/>
  <c r="Y93" i="3"/>
  <c r="X93" i="3"/>
  <c r="W93" i="3"/>
  <c r="V93" i="3"/>
  <c r="U93" i="3"/>
  <c r="T93" i="3"/>
  <c r="S93" i="3"/>
  <c r="R93" i="3"/>
  <c r="Q93" i="3"/>
  <c r="P93" i="3"/>
  <c r="O93" i="3"/>
  <c r="N93" i="3"/>
  <c r="M93" i="3"/>
  <c r="L93" i="3"/>
  <c r="K93" i="3"/>
  <c r="J93" i="3"/>
  <c r="I93" i="3"/>
  <c r="H93" i="3"/>
  <c r="G93" i="3"/>
  <c r="F93" i="3"/>
  <c r="E93" i="3"/>
  <c r="D93" i="3"/>
  <c r="C93" i="3"/>
  <c r="B93" i="3"/>
  <c r="A93" i="3"/>
  <c r="AT92" i="3"/>
  <c r="AS92" i="3"/>
  <c r="AR92" i="3"/>
  <c r="AQ92" i="3"/>
  <c r="AP92" i="3"/>
  <c r="AO92" i="3"/>
  <c r="AN92" i="3"/>
  <c r="AM92" i="3"/>
  <c r="AL92" i="3"/>
  <c r="AK92" i="3"/>
  <c r="AJ92" i="3"/>
  <c r="AI92" i="3"/>
  <c r="AH92" i="3"/>
  <c r="AG92" i="3"/>
  <c r="AF92" i="3"/>
  <c r="AE92" i="3"/>
  <c r="AD92" i="3"/>
  <c r="AC92" i="3"/>
  <c r="AB92" i="3"/>
  <c r="AA92" i="3"/>
  <c r="Z92" i="3"/>
  <c r="Y92" i="3"/>
  <c r="X92" i="3"/>
  <c r="W92" i="3"/>
  <c r="V92" i="3"/>
  <c r="U92" i="3"/>
  <c r="T92" i="3"/>
  <c r="S92" i="3"/>
  <c r="R92" i="3"/>
  <c r="Q92" i="3"/>
  <c r="P92" i="3"/>
  <c r="O92" i="3"/>
  <c r="N92" i="3"/>
  <c r="M92" i="3"/>
  <c r="L92" i="3"/>
  <c r="K92" i="3"/>
  <c r="J92" i="3"/>
  <c r="I92" i="3"/>
  <c r="H92" i="3"/>
  <c r="G92" i="3"/>
  <c r="F92" i="3"/>
  <c r="E92" i="3"/>
  <c r="D92" i="3"/>
  <c r="C92" i="3"/>
  <c r="B92" i="3"/>
  <c r="A92" i="3"/>
  <c r="AT91" i="3"/>
  <c r="AS91" i="3"/>
  <c r="AR91" i="3"/>
  <c r="AQ91" i="3"/>
  <c r="AP91" i="3"/>
  <c r="AO91" i="3"/>
  <c r="AN91" i="3"/>
  <c r="AM91" i="3"/>
  <c r="AL91" i="3"/>
  <c r="AK91" i="3"/>
  <c r="AJ91" i="3"/>
  <c r="AI91" i="3"/>
  <c r="AH91" i="3"/>
  <c r="AG91" i="3"/>
  <c r="AF91" i="3"/>
  <c r="AE91" i="3"/>
  <c r="AD91" i="3"/>
  <c r="AC91" i="3"/>
  <c r="AB91" i="3"/>
  <c r="AA91" i="3"/>
  <c r="Z91" i="3"/>
  <c r="Y91" i="3"/>
  <c r="X91" i="3"/>
  <c r="W91" i="3"/>
  <c r="V91" i="3"/>
  <c r="U91" i="3"/>
  <c r="T91" i="3"/>
  <c r="S91" i="3"/>
  <c r="R91" i="3"/>
  <c r="Q91" i="3"/>
  <c r="P91" i="3"/>
  <c r="O91" i="3"/>
  <c r="N91" i="3"/>
  <c r="M91" i="3"/>
  <c r="L91" i="3"/>
  <c r="K91" i="3"/>
  <c r="J91" i="3"/>
  <c r="I91" i="3"/>
  <c r="H91" i="3"/>
  <c r="G91" i="3"/>
  <c r="F91" i="3"/>
  <c r="E91" i="3"/>
  <c r="D91" i="3"/>
  <c r="C91" i="3"/>
  <c r="B91" i="3"/>
  <c r="A91" i="3"/>
  <c r="AT90" i="3"/>
  <c r="AS90" i="3"/>
  <c r="AR90" i="3"/>
  <c r="AQ90" i="3"/>
  <c r="AP90" i="3"/>
  <c r="AO90" i="3"/>
  <c r="AN90" i="3"/>
  <c r="AM90" i="3"/>
  <c r="AL90" i="3"/>
  <c r="AK90" i="3"/>
  <c r="AJ90" i="3"/>
  <c r="AI90" i="3"/>
  <c r="AH90" i="3"/>
  <c r="AG90" i="3"/>
  <c r="AF90" i="3"/>
  <c r="AE90" i="3"/>
  <c r="AD90" i="3"/>
  <c r="AC90" i="3"/>
  <c r="AB90" i="3"/>
  <c r="AA90" i="3"/>
  <c r="Z90" i="3"/>
  <c r="Y90" i="3"/>
  <c r="X90" i="3"/>
  <c r="W90" i="3"/>
  <c r="V90" i="3"/>
  <c r="U90" i="3"/>
  <c r="T90" i="3"/>
  <c r="S90" i="3"/>
  <c r="R90" i="3"/>
  <c r="Q90" i="3"/>
  <c r="P90" i="3"/>
  <c r="O90" i="3"/>
  <c r="N90" i="3"/>
  <c r="M90" i="3"/>
  <c r="L90" i="3"/>
  <c r="K90" i="3"/>
  <c r="J90" i="3"/>
  <c r="I90" i="3"/>
  <c r="H90" i="3"/>
  <c r="G90" i="3"/>
  <c r="F90" i="3"/>
  <c r="E90" i="3"/>
  <c r="D90" i="3"/>
  <c r="C90" i="3"/>
  <c r="B90" i="3"/>
  <c r="A90" i="3"/>
  <c r="AT89" i="3"/>
  <c r="AS89" i="3"/>
  <c r="AR89" i="3"/>
  <c r="AQ89" i="3"/>
  <c r="AP89" i="3"/>
  <c r="AO89" i="3"/>
  <c r="AN89" i="3"/>
  <c r="AM89" i="3"/>
  <c r="AL89" i="3"/>
  <c r="AK89" i="3"/>
  <c r="AJ89" i="3"/>
  <c r="AI89" i="3"/>
  <c r="AH89" i="3"/>
  <c r="AG89" i="3"/>
  <c r="AF89" i="3"/>
  <c r="AE89" i="3"/>
  <c r="AD89" i="3"/>
  <c r="AC89" i="3"/>
  <c r="AB89" i="3"/>
  <c r="AA89" i="3"/>
  <c r="Z89" i="3"/>
  <c r="Y89" i="3"/>
  <c r="X89" i="3"/>
  <c r="W89" i="3"/>
  <c r="V89" i="3"/>
  <c r="U89" i="3"/>
  <c r="T89" i="3"/>
  <c r="S89" i="3"/>
  <c r="R89" i="3"/>
  <c r="Q89" i="3"/>
  <c r="P89" i="3"/>
  <c r="O89" i="3"/>
  <c r="N89" i="3"/>
  <c r="M89" i="3"/>
  <c r="L89" i="3"/>
  <c r="K89" i="3"/>
  <c r="J89" i="3"/>
  <c r="I89" i="3"/>
  <c r="H89" i="3"/>
  <c r="G89" i="3"/>
  <c r="F89" i="3"/>
  <c r="E89" i="3"/>
  <c r="D89" i="3"/>
  <c r="C89" i="3"/>
  <c r="B89" i="3"/>
  <c r="A89" i="3"/>
  <c r="AT88" i="3"/>
  <c r="AS88" i="3"/>
  <c r="AR88" i="3"/>
  <c r="AQ88" i="3"/>
  <c r="AP88" i="3"/>
  <c r="AO88" i="3"/>
  <c r="AN88" i="3"/>
  <c r="AM88" i="3"/>
  <c r="AL88" i="3"/>
  <c r="AK88" i="3"/>
  <c r="AJ88" i="3"/>
  <c r="AI88" i="3"/>
  <c r="AH88" i="3"/>
  <c r="AG88" i="3"/>
  <c r="AF88" i="3"/>
  <c r="AE88" i="3"/>
  <c r="AD88" i="3"/>
  <c r="AC88" i="3"/>
  <c r="AB88" i="3"/>
  <c r="AA88" i="3"/>
  <c r="Z88" i="3"/>
  <c r="Y88" i="3"/>
  <c r="X88" i="3"/>
  <c r="W88" i="3"/>
  <c r="V88" i="3"/>
  <c r="U88" i="3"/>
  <c r="T88" i="3"/>
  <c r="S88" i="3"/>
  <c r="R88" i="3"/>
  <c r="Q88" i="3"/>
  <c r="P88" i="3"/>
  <c r="O88" i="3"/>
  <c r="N88" i="3"/>
  <c r="M88" i="3"/>
  <c r="L88" i="3"/>
  <c r="K88" i="3"/>
  <c r="J88" i="3"/>
  <c r="I88" i="3"/>
  <c r="H88" i="3"/>
  <c r="G88" i="3"/>
  <c r="F88" i="3"/>
  <c r="E88" i="3"/>
  <c r="D88" i="3"/>
  <c r="C88" i="3"/>
  <c r="B88" i="3"/>
  <c r="A88" i="3"/>
  <c r="AT87" i="3"/>
  <c r="AS87" i="3"/>
  <c r="AR87" i="3"/>
  <c r="AQ87" i="3"/>
  <c r="AP87" i="3"/>
  <c r="AO87" i="3"/>
  <c r="AN87" i="3"/>
  <c r="AM87" i="3"/>
  <c r="AL87" i="3"/>
  <c r="AK87" i="3"/>
  <c r="AJ87" i="3"/>
  <c r="AI87" i="3"/>
  <c r="AH87" i="3"/>
  <c r="AG87" i="3"/>
  <c r="AF87" i="3"/>
  <c r="AE87" i="3"/>
  <c r="AD87" i="3"/>
  <c r="AC87" i="3"/>
  <c r="AB87" i="3"/>
  <c r="AA87" i="3"/>
  <c r="Z87" i="3"/>
  <c r="Y87" i="3"/>
  <c r="X87" i="3"/>
  <c r="W87" i="3"/>
  <c r="V87" i="3"/>
  <c r="U87" i="3"/>
  <c r="T87" i="3"/>
  <c r="S87" i="3"/>
  <c r="R87" i="3"/>
  <c r="Q87" i="3"/>
  <c r="P87" i="3"/>
  <c r="O87" i="3"/>
  <c r="N87" i="3"/>
  <c r="M87" i="3"/>
  <c r="L87" i="3"/>
  <c r="K87" i="3"/>
  <c r="J87" i="3"/>
  <c r="I87" i="3"/>
  <c r="H87" i="3"/>
  <c r="G87" i="3"/>
  <c r="F87" i="3"/>
  <c r="E87" i="3"/>
  <c r="D87" i="3"/>
  <c r="C87" i="3"/>
  <c r="B87" i="3"/>
  <c r="A87" i="3"/>
  <c r="AQ86" i="3"/>
  <c r="AN86" i="3"/>
  <c r="AL86" i="3"/>
  <c r="AK86" i="3"/>
  <c r="AJ86" i="3"/>
  <c r="AI86" i="3"/>
  <c r="AH86" i="3"/>
  <c r="AG86" i="3"/>
  <c r="AF86" i="3"/>
  <c r="AE86" i="3"/>
  <c r="AD86" i="3"/>
  <c r="AC86" i="3"/>
  <c r="AB86" i="3"/>
  <c r="AA86" i="3"/>
  <c r="Z86" i="3"/>
  <c r="Y86" i="3"/>
  <c r="X86" i="3"/>
  <c r="W86" i="3"/>
  <c r="V86" i="3"/>
  <c r="U86" i="3"/>
  <c r="T86" i="3"/>
  <c r="S86" i="3"/>
  <c r="R86" i="3"/>
  <c r="Q86" i="3"/>
  <c r="P86" i="3"/>
  <c r="O86" i="3"/>
  <c r="N86" i="3"/>
  <c r="M86" i="3"/>
  <c r="L86" i="3"/>
  <c r="K86" i="3"/>
  <c r="J86" i="3"/>
  <c r="I86" i="3"/>
  <c r="H86" i="3"/>
  <c r="G86" i="3"/>
  <c r="F86" i="3"/>
  <c r="E86" i="3"/>
  <c r="D86" i="3"/>
  <c r="C86" i="3"/>
  <c r="B86" i="3"/>
  <c r="A86" i="3"/>
  <c r="AQ85" i="3"/>
  <c r="AL85" i="3"/>
  <c r="AK85" i="3"/>
  <c r="AJ85" i="3"/>
  <c r="AI85" i="3"/>
  <c r="AH85" i="3"/>
  <c r="AG85" i="3"/>
  <c r="AF85" i="3"/>
  <c r="AE85" i="3"/>
  <c r="AD85" i="3"/>
  <c r="AC85" i="3"/>
  <c r="AB85" i="3"/>
  <c r="AA85" i="3"/>
  <c r="Z85" i="3"/>
  <c r="Y85" i="3"/>
  <c r="X85" i="3"/>
  <c r="W85" i="3"/>
  <c r="V85" i="3"/>
  <c r="U85" i="3"/>
  <c r="T85" i="3"/>
  <c r="S85" i="3"/>
  <c r="R85" i="3"/>
  <c r="Q85" i="3"/>
  <c r="P85" i="3"/>
  <c r="O85" i="3"/>
  <c r="N85" i="3"/>
  <c r="M85" i="3"/>
  <c r="L85" i="3"/>
  <c r="K85" i="3"/>
  <c r="J85" i="3"/>
  <c r="I85" i="3"/>
  <c r="H85" i="3"/>
  <c r="G85" i="3"/>
  <c r="F85" i="3"/>
  <c r="E85" i="3"/>
  <c r="D85" i="3"/>
  <c r="C85" i="3"/>
  <c r="B85" i="3"/>
  <c r="A85" i="3"/>
  <c r="AT84" i="3"/>
  <c r="AS84" i="3"/>
  <c r="AR84" i="3"/>
  <c r="AQ84" i="3"/>
  <c r="AP84" i="3"/>
  <c r="AO84" i="3"/>
  <c r="AN84" i="3"/>
  <c r="AM84" i="3"/>
  <c r="AL84" i="3"/>
  <c r="AK84" i="3"/>
  <c r="AJ84" i="3"/>
  <c r="AI84" i="3"/>
  <c r="AH84" i="3"/>
  <c r="AG84" i="3"/>
  <c r="AF84" i="3"/>
  <c r="AE84" i="3"/>
  <c r="AD84" i="3"/>
  <c r="AC84" i="3"/>
  <c r="AB84" i="3"/>
  <c r="AA84" i="3"/>
  <c r="Z84" i="3"/>
  <c r="Y84" i="3"/>
  <c r="X84" i="3"/>
  <c r="W84" i="3"/>
  <c r="V84" i="3"/>
  <c r="U84" i="3"/>
  <c r="T84" i="3"/>
  <c r="S84" i="3"/>
  <c r="R84" i="3"/>
  <c r="Q84" i="3"/>
  <c r="P84" i="3"/>
  <c r="O84" i="3"/>
  <c r="N84" i="3"/>
  <c r="M84" i="3"/>
  <c r="L84" i="3"/>
  <c r="K84" i="3"/>
  <c r="J84" i="3"/>
  <c r="I84" i="3"/>
  <c r="H84" i="3"/>
  <c r="G84" i="3"/>
  <c r="F84" i="3"/>
  <c r="E84" i="3"/>
  <c r="D84" i="3"/>
  <c r="C84" i="3"/>
  <c r="B84" i="3"/>
  <c r="A84" i="3"/>
  <c r="AT83" i="3"/>
  <c r="AS83" i="3"/>
  <c r="AR83" i="3"/>
  <c r="AQ83" i="3"/>
  <c r="AP83" i="3"/>
  <c r="AO83" i="3"/>
  <c r="AN83" i="3"/>
  <c r="AM83" i="3"/>
  <c r="AL83" i="3"/>
  <c r="AK83" i="3"/>
  <c r="AJ83" i="3"/>
  <c r="AI83" i="3"/>
  <c r="AH83" i="3"/>
  <c r="AG83" i="3"/>
  <c r="AF83" i="3"/>
  <c r="AE83" i="3"/>
  <c r="AD83" i="3"/>
  <c r="AC83" i="3"/>
  <c r="AB83" i="3"/>
  <c r="AA83" i="3"/>
  <c r="Z83" i="3"/>
  <c r="Y83" i="3"/>
  <c r="X83" i="3"/>
  <c r="W83" i="3"/>
  <c r="V83" i="3"/>
  <c r="U83" i="3"/>
  <c r="T83" i="3"/>
  <c r="S83" i="3"/>
  <c r="R83" i="3"/>
  <c r="Q83" i="3"/>
  <c r="P83" i="3"/>
  <c r="O83" i="3"/>
  <c r="N83" i="3"/>
  <c r="M83" i="3"/>
  <c r="L83" i="3"/>
  <c r="K83" i="3"/>
  <c r="J83" i="3"/>
  <c r="I83" i="3"/>
  <c r="H83" i="3"/>
  <c r="G83" i="3"/>
  <c r="F83" i="3"/>
  <c r="E83" i="3"/>
  <c r="D83" i="3"/>
  <c r="C83" i="3"/>
  <c r="B83" i="3"/>
  <c r="A83" i="3"/>
  <c r="AS82" i="3"/>
  <c r="AQ82" i="3"/>
  <c r="AO82" i="3"/>
  <c r="AN82" i="3"/>
  <c r="AL82" i="3"/>
  <c r="AK82" i="3"/>
  <c r="AJ82" i="3"/>
  <c r="AI82" i="3"/>
  <c r="AH82" i="3"/>
  <c r="AG82" i="3"/>
  <c r="AF82" i="3"/>
  <c r="AE82" i="3"/>
  <c r="AD82" i="3"/>
  <c r="AC82" i="3"/>
  <c r="AB82" i="3"/>
  <c r="AA82" i="3"/>
  <c r="Z82" i="3"/>
  <c r="Y82" i="3"/>
  <c r="X82" i="3"/>
  <c r="W82" i="3"/>
  <c r="V82" i="3"/>
  <c r="U82" i="3"/>
  <c r="T82" i="3"/>
  <c r="S82" i="3"/>
  <c r="R82" i="3"/>
  <c r="Q82" i="3"/>
  <c r="P82" i="3"/>
  <c r="O82" i="3"/>
  <c r="N82" i="3"/>
  <c r="M82" i="3"/>
  <c r="L82" i="3"/>
  <c r="K82" i="3"/>
  <c r="J82" i="3"/>
  <c r="I82" i="3"/>
  <c r="H82" i="3"/>
  <c r="G82" i="3"/>
  <c r="F82" i="3"/>
  <c r="E82" i="3"/>
  <c r="D82" i="3"/>
  <c r="C82" i="3"/>
  <c r="B82" i="3"/>
  <c r="A82" i="3"/>
  <c r="AT81" i="3"/>
  <c r="AS81" i="3"/>
  <c r="AQ81" i="3"/>
  <c r="AO81" i="3"/>
  <c r="AL81" i="3"/>
  <c r="AK81" i="3"/>
  <c r="AJ81" i="3"/>
  <c r="AI81" i="3"/>
  <c r="AH81" i="3"/>
  <c r="AG81" i="3"/>
  <c r="AF81" i="3"/>
  <c r="AE81" i="3"/>
  <c r="AD81" i="3"/>
  <c r="AC81" i="3"/>
  <c r="AB81" i="3"/>
  <c r="AA81" i="3"/>
  <c r="Z81" i="3"/>
  <c r="Y81" i="3"/>
  <c r="X81" i="3"/>
  <c r="W81" i="3"/>
  <c r="V81" i="3"/>
  <c r="U81" i="3"/>
  <c r="T81" i="3"/>
  <c r="S81" i="3"/>
  <c r="R81" i="3"/>
  <c r="Q81" i="3"/>
  <c r="P81" i="3"/>
  <c r="O81" i="3"/>
  <c r="N81" i="3"/>
  <c r="M81" i="3"/>
  <c r="L81" i="3"/>
  <c r="K81" i="3"/>
  <c r="J81" i="3"/>
  <c r="I81" i="3"/>
  <c r="H81" i="3"/>
  <c r="G81" i="3"/>
  <c r="F81" i="3"/>
  <c r="E81" i="3"/>
  <c r="D81" i="3"/>
  <c r="C81" i="3"/>
  <c r="B81" i="3"/>
  <c r="A81" i="3"/>
  <c r="AT80" i="3"/>
  <c r="AS80" i="3"/>
  <c r="AQ80" i="3"/>
  <c r="AO80" i="3"/>
  <c r="AL80" i="3"/>
  <c r="AK80" i="3"/>
  <c r="AJ80" i="3"/>
  <c r="AI80" i="3"/>
  <c r="AH80" i="3"/>
  <c r="AG80" i="3"/>
  <c r="AF80" i="3"/>
  <c r="AE80" i="3"/>
  <c r="AD80" i="3"/>
  <c r="AC80" i="3"/>
  <c r="AB80" i="3"/>
  <c r="AA80" i="3"/>
  <c r="Z80" i="3"/>
  <c r="Y80" i="3"/>
  <c r="X80" i="3"/>
  <c r="W80" i="3"/>
  <c r="V80" i="3"/>
  <c r="U80" i="3"/>
  <c r="T80" i="3"/>
  <c r="S80" i="3"/>
  <c r="R80" i="3"/>
  <c r="Q80" i="3"/>
  <c r="O80" i="3"/>
  <c r="N80" i="3"/>
  <c r="M80" i="3"/>
  <c r="L80" i="3"/>
  <c r="K80" i="3"/>
  <c r="J80" i="3"/>
  <c r="I80" i="3"/>
  <c r="H80" i="3"/>
  <c r="G80" i="3"/>
  <c r="F80" i="3"/>
  <c r="E80" i="3"/>
  <c r="D80" i="3"/>
  <c r="C80" i="3"/>
  <c r="B80" i="3"/>
  <c r="A80" i="3"/>
  <c r="AT79" i="3"/>
  <c r="AS79" i="3"/>
  <c r="AR79" i="3"/>
  <c r="AQ79" i="3"/>
  <c r="AP79" i="3"/>
  <c r="AO79" i="3"/>
  <c r="AN79" i="3"/>
  <c r="AM79" i="3"/>
  <c r="AL79" i="3"/>
  <c r="AK79" i="3"/>
  <c r="AJ79" i="3"/>
  <c r="AI79" i="3"/>
  <c r="AH79" i="3"/>
  <c r="AG79" i="3"/>
  <c r="AF79" i="3"/>
  <c r="AE79" i="3"/>
  <c r="AD79" i="3"/>
  <c r="AC79" i="3"/>
  <c r="AB79" i="3"/>
  <c r="AA79" i="3"/>
  <c r="Z79" i="3"/>
  <c r="Y79" i="3"/>
  <c r="X79" i="3"/>
  <c r="W79" i="3"/>
  <c r="V79" i="3"/>
  <c r="U79" i="3"/>
  <c r="T79" i="3"/>
  <c r="S79" i="3"/>
  <c r="R79" i="3"/>
  <c r="Q79" i="3"/>
  <c r="P79" i="3"/>
  <c r="O79" i="3"/>
  <c r="N79" i="3"/>
  <c r="M79" i="3"/>
  <c r="L79" i="3"/>
  <c r="K79" i="3"/>
  <c r="J79" i="3"/>
  <c r="I79" i="3"/>
  <c r="H79" i="3"/>
  <c r="G79" i="3"/>
  <c r="F79" i="3"/>
  <c r="E79" i="3"/>
  <c r="D79" i="3"/>
  <c r="C79" i="3"/>
  <c r="B79" i="3"/>
  <c r="A79" i="3"/>
  <c r="AT78" i="3"/>
  <c r="AS78" i="3"/>
  <c r="AQ78" i="3"/>
  <c r="AO78" i="3"/>
  <c r="AL78" i="3"/>
  <c r="AK78" i="3"/>
  <c r="AJ78" i="3"/>
  <c r="AI78" i="3"/>
  <c r="AH78" i="3"/>
  <c r="AG78" i="3"/>
  <c r="AF78" i="3"/>
  <c r="AE78" i="3"/>
  <c r="AD78" i="3"/>
  <c r="AC78" i="3"/>
  <c r="AB78" i="3"/>
  <c r="AA78" i="3"/>
  <c r="Z78" i="3"/>
  <c r="Y78" i="3"/>
  <c r="X78" i="3"/>
  <c r="W78" i="3"/>
  <c r="V78" i="3"/>
  <c r="U78" i="3"/>
  <c r="T78" i="3"/>
  <c r="S78" i="3"/>
  <c r="R78" i="3"/>
  <c r="Q78" i="3"/>
  <c r="P78" i="3"/>
  <c r="O78" i="3"/>
  <c r="N78" i="3"/>
  <c r="M78" i="3"/>
  <c r="L78" i="3"/>
  <c r="K78" i="3"/>
  <c r="J78" i="3"/>
  <c r="I78" i="3"/>
  <c r="H78" i="3"/>
  <c r="G78" i="3"/>
  <c r="F78" i="3"/>
  <c r="E78" i="3"/>
  <c r="D78" i="3"/>
  <c r="C78" i="3"/>
  <c r="B78" i="3"/>
  <c r="A78" i="3"/>
  <c r="AT77" i="3"/>
  <c r="AS77" i="3"/>
  <c r="AQ77" i="3"/>
  <c r="AO77" i="3"/>
  <c r="AL77" i="3"/>
  <c r="AK77" i="3"/>
  <c r="AJ77" i="3"/>
  <c r="AI77" i="3"/>
  <c r="AH77" i="3"/>
  <c r="AG77" i="3"/>
  <c r="AF77" i="3"/>
  <c r="AE77" i="3"/>
  <c r="AD77" i="3"/>
  <c r="AC77" i="3"/>
  <c r="AB77" i="3"/>
  <c r="AA77" i="3"/>
  <c r="Z77" i="3"/>
  <c r="Y77" i="3"/>
  <c r="X77" i="3"/>
  <c r="W77" i="3"/>
  <c r="V77" i="3"/>
  <c r="U77" i="3"/>
  <c r="T77" i="3"/>
  <c r="S77" i="3"/>
  <c r="R77" i="3"/>
  <c r="Q77" i="3"/>
  <c r="P77" i="3"/>
  <c r="O77" i="3"/>
  <c r="N77" i="3"/>
  <c r="M77" i="3"/>
  <c r="L77" i="3"/>
  <c r="K77" i="3"/>
  <c r="J77" i="3"/>
  <c r="I77" i="3"/>
  <c r="H77" i="3"/>
  <c r="G77" i="3"/>
  <c r="F77" i="3"/>
  <c r="E77" i="3"/>
  <c r="D77" i="3"/>
  <c r="C77" i="3"/>
  <c r="B77" i="3"/>
  <c r="A77" i="3"/>
  <c r="AT76" i="3"/>
  <c r="AS76" i="3"/>
  <c r="AQ76" i="3"/>
  <c r="AO76" i="3"/>
  <c r="AL76" i="3"/>
  <c r="AK76" i="3"/>
  <c r="AJ76" i="3"/>
  <c r="AI76" i="3"/>
  <c r="AH76" i="3"/>
  <c r="AG76" i="3"/>
  <c r="AF76" i="3"/>
  <c r="AE76" i="3"/>
  <c r="AD76" i="3"/>
  <c r="AC76" i="3"/>
  <c r="AB76" i="3"/>
  <c r="AA76" i="3"/>
  <c r="Z76" i="3"/>
  <c r="Y76" i="3"/>
  <c r="X76" i="3"/>
  <c r="W76" i="3"/>
  <c r="V76" i="3"/>
  <c r="U76" i="3"/>
  <c r="T76" i="3"/>
  <c r="S76" i="3"/>
  <c r="R76" i="3"/>
  <c r="Q76" i="3"/>
  <c r="P76" i="3"/>
  <c r="O76" i="3"/>
  <c r="N76" i="3"/>
  <c r="M76" i="3"/>
  <c r="L76" i="3"/>
  <c r="K76" i="3"/>
  <c r="J76" i="3"/>
  <c r="I76" i="3"/>
  <c r="H76" i="3"/>
  <c r="G76" i="3"/>
  <c r="F76" i="3"/>
  <c r="E76" i="3"/>
  <c r="D76" i="3"/>
  <c r="C76" i="3"/>
  <c r="B76" i="3"/>
  <c r="A76" i="3"/>
  <c r="AT75" i="3"/>
  <c r="AS75" i="3"/>
  <c r="AR75" i="3"/>
  <c r="AQ75" i="3"/>
  <c r="AP75" i="3"/>
  <c r="AO75" i="3"/>
  <c r="AN75" i="3"/>
  <c r="AM75" i="3"/>
  <c r="AL75" i="3"/>
  <c r="AK75" i="3"/>
  <c r="AJ75" i="3"/>
  <c r="AI75" i="3"/>
  <c r="AH75" i="3"/>
  <c r="AG75" i="3"/>
  <c r="AF75" i="3"/>
  <c r="AE75" i="3"/>
  <c r="AD75" i="3"/>
  <c r="AC75" i="3"/>
  <c r="AB75" i="3"/>
  <c r="AA75" i="3"/>
  <c r="Z75" i="3"/>
  <c r="Y75" i="3"/>
  <c r="X75" i="3"/>
  <c r="W75" i="3"/>
  <c r="V75" i="3"/>
  <c r="U75" i="3"/>
  <c r="T75" i="3"/>
  <c r="S75" i="3"/>
  <c r="R75" i="3"/>
  <c r="Q75" i="3"/>
  <c r="P75" i="3"/>
  <c r="O75" i="3"/>
  <c r="N75" i="3"/>
  <c r="M75" i="3"/>
  <c r="L75" i="3"/>
  <c r="K75" i="3"/>
  <c r="J75" i="3"/>
  <c r="I75" i="3"/>
  <c r="H75" i="3"/>
  <c r="G75" i="3"/>
  <c r="F75" i="3"/>
  <c r="E75" i="3"/>
  <c r="D75" i="3"/>
  <c r="C75" i="3"/>
  <c r="B75" i="3"/>
  <c r="A75" i="3"/>
  <c r="AT74" i="3"/>
  <c r="AS74" i="3"/>
  <c r="AQ74" i="3"/>
  <c r="AO74" i="3"/>
  <c r="AL74" i="3"/>
  <c r="AK74" i="3"/>
  <c r="AJ74" i="3"/>
  <c r="AI74" i="3"/>
  <c r="AH74" i="3"/>
  <c r="AG74" i="3"/>
  <c r="AF74" i="3"/>
  <c r="AE74" i="3"/>
  <c r="AD74" i="3"/>
  <c r="AC74" i="3"/>
  <c r="AB74" i="3"/>
  <c r="AA74" i="3"/>
  <c r="Z74" i="3"/>
  <c r="Y74" i="3"/>
  <c r="X74" i="3"/>
  <c r="W74" i="3"/>
  <c r="V74" i="3"/>
  <c r="U74" i="3"/>
  <c r="T74" i="3"/>
  <c r="S74" i="3"/>
  <c r="R74" i="3"/>
  <c r="Q74" i="3"/>
  <c r="P74" i="3"/>
  <c r="O74" i="3"/>
  <c r="N74" i="3"/>
  <c r="M74" i="3"/>
  <c r="L74" i="3"/>
  <c r="K74" i="3"/>
  <c r="J74" i="3"/>
  <c r="I74" i="3"/>
  <c r="H74" i="3"/>
  <c r="G74" i="3"/>
  <c r="F74" i="3"/>
  <c r="E74" i="3"/>
  <c r="D74" i="3"/>
  <c r="C74" i="3"/>
  <c r="B74" i="3"/>
  <c r="A74" i="3"/>
  <c r="AT73" i="3"/>
  <c r="AS73" i="3"/>
  <c r="AR73" i="3"/>
  <c r="AQ73" i="3"/>
  <c r="AP73" i="3"/>
  <c r="AO73" i="3"/>
  <c r="AN73" i="3"/>
  <c r="AM73" i="3"/>
  <c r="AL73" i="3"/>
  <c r="AK73" i="3"/>
  <c r="AJ73" i="3"/>
  <c r="AI73" i="3"/>
  <c r="AH73" i="3"/>
  <c r="AG73" i="3"/>
  <c r="AF73" i="3"/>
  <c r="AE73" i="3"/>
  <c r="AD73" i="3"/>
  <c r="AC73" i="3"/>
  <c r="AB73" i="3"/>
  <c r="AA73" i="3"/>
  <c r="Z73" i="3"/>
  <c r="Y73" i="3"/>
  <c r="X73" i="3"/>
  <c r="W73" i="3"/>
  <c r="V73" i="3"/>
  <c r="U73" i="3"/>
  <c r="T73" i="3"/>
  <c r="S73" i="3"/>
  <c r="R73" i="3"/>
  <c r="Q73" i="3"/>
  <c r="P73" i="3"/>
  <c r="O73" i="3"/>
  <c r="N73" i="3"/>
  <c r="M73" i="3"/>
  <c r="L73" i="3"/>
  <c r="K73" i="3"/>
  <c r="J73" i="3"/>
  <c r="I73" i="3"/>
  <c r="H73" i="3"/>
  <c r="G73" i="3"/>
  <c r="F73" i="3"/>
  <c r="E73" i="3"/>
  <c r="D73" i="3"/>
  <c r="C73" i="3"/>
  <c r="B73" i="3"/>
  <c r="A73" i="3"/>
  <c r="AT72" i="3"/>
  <c r="AS72" i="3"/>
  <c r="AQ72" i="3"/>
  <c r="AO72" i="3"/>
  <c r="AL72" i="3"/>
  <c r="AK72" i="3"/>
  <c r="AJ72" i="3"/>
  <c r="AI72" i="3"/>
  <c r="AH72" i="3"/>
  <c r="AG72" i="3"/>
  <c r="AF72" i="3"/>
  <c r="AE72" i="3"/>
  <c r="AD72" i="3"/>
  <c r="AC72" i="3"/>
  <c r="AB72" i="3"/>
  <c r="AA72" i="3"/>
  <c r="Z72" i="3"/>
  <c r="Y72" i="3"/>
  <c r="X72" i="3"/>
  <c r="W72" i="3"/>
  <c r="V72" i="3"/>
  <c r="U72" i="3"/>
  <c r="T72" i="3"/>
  <c r="S72" i="3"/>
  <c r="R72" i="3"/>
  <c r="Q72" i="3"/>
  <c r="P72" i="3"/>
  <c r="O72" i="3"/>
  <c r="N72" i="3"/>
  <c r="M72" i="3"/>
  <c r="L72" i="3"/>
  <c r="K72" i="3"/>
  <c r="J72" i="3"/>
  <c r="I72" i="3"/>
  <c r="H72" i="3"/>
  <c r="G72" i="3"/>
  <c r="F72" i="3"/>
  <c r="E72" i="3"/>
  <c r="D72" i="3"/>
  <c r="C72" i="3"/>
  <c r="B72" i="3"/>
  <c r="A72" i="3"/>
  <c r="AT71" i="3"/>
  <c r="AS71" i="3"/>
  <c r="AQ71" i="3"/>
  <c r="AO71" i="3"/>
  <c r="AL71" i="3"/>
  <c r="AK71" i="3"/>
  <c r="AJ71" i="3"/>
  <c r="AI71" i="3"/>
  <c r="AH71" i="3"/>
  <c r="AG71" i="3"/>
  <c r="AF71" i="3"/>
  <c r="AE71" i="3"/>
  <c r="AD71" i="3"/>
  <c r="AC71" i="3"/>
  <c r="AB71" i="3"/>
  <c r="AA71" i="3"/>
  <c r="Z71" i="3"/>
  <c r="Y71" i="3"/>
  <c r="X71" i="3"/>
  <c r="W71" i="3"/>
  <c r="V71" i="3"/>
  <c r="U71" i="3"/>
  <c r="T71" i="3"/>
  <c r="S71" i="3"/>
  <c r="R71" i="3"/>
  <c r="Q71" i="3"/>
  <c r="P71" i="3"/>
  <c r="O71" i="3"/>
  <c r="N71" i="3"/>
  <c r="M71" i="3"/>
  <c r="L71" i="3"/>
  <c r="K71" i="3"/>
  <c r="J71" i="3"/>
  <c r="I71" i="3"/>
  <c r="H71" i="3"/>
  <c r="G71" i="3"/>
  <c r="F71" i="3"/>
  <c r="E71" i="3"/>
  <c r="D71" i="3"/>
  <c r="C71" i="3"/>
  <c r="B71" i="3"/>
  <c r="A71" i="3"/>
  <c r="AQ70" i="3"/>
  <c r="AL70" i="3"/>
  <c r="AK70" i="3"/>
  <c r="AJ70" i="3"/>
  <c r="AI70" i="3"/>
  <c r="AH70" i="3"/>
  <c r="AG70" i="3"/>
  <c r="AF70" i="3"/>
  <c r="AE70" i="3"/>
  <c r="AD70" i="3"/>
  <c r="AC70" i="3"/>
  <c r="AB70" i="3"/>
  <c r="AA70" i="3"/>
  <c r="Z70" i="3"/>
  <c r="Y70" i="3"/>
  <c r="X70" i="3"/>
  <c r="W70" i="3"/>
  <c r="V70" i="3"/>
  <c r="U70" i="3"/>
  <c r="T70" i="3"/>
  <c r="S70" i="3"/>
  <c r="R70" i="3"/>
  <c r="Q70" i="3"/>
  <c r="P70" i="3"/>
  <c r="O70" i="3"/>
  <c r="N70" i="3"/>
  <c r="M70" i="3"/>
  <c r="L70" i="3"/>
  <c r="K70" i="3"/>
  <c r="J70" i="3"/>
  <c r="I70" i="3"/>
  <c r="H70" i="3"/>
  <c r="G70" i="3"/>
  <c r="F70" i="3"/>
  <c r="E70" i="3"/>
  <c r="D70" i="3"/>
  <c r="C70" i="3"/>
  <c r="B70" i="3"/>
  <c r="A70" i="3"/>
  <c r="AT69" i="3"/>
  <c r="AS69" i="3"/>
  <c r="AR69" i="3"/>
  <c r="AQ69" i="3"/>
  <c r="AP69" i="3"/>
  <c r="AO69" i="3"/>
  <c r="AN69" i="3"/>
  <c r="AM69" i="3"/>
  <c r="AL69" i="3"/>
  <c r="AK69" i="3"/>
  <c r="AJ69" i="3"/>
  <c r="AI69" i="3"/>
  <c r="AH69" i="3"/>
  <c r="AG69" i="3"/>
  <c r="AF69" i="3"/>
  <c r="AE69" i="3"/>
  <c r="AD69" i="3"/>
  <c r="AC69" i="3"/>
  <c r="AB69" i="3"/>
  <c r="AA69" i="3"/>
  <c r="Z69" i="3"/>
  <c r="Y69" i="3"/>
  <c r="X69" i="3"/>
  <c r="W69" i="3"/>
  <c r="V69" i="3"/>
  <c r="U69" i="3"/>
  <c r="T69" i="3"/>
  <c r="S69" i="3"/>
  <c r="R69" i="3"/>
  <c r="Q69" i="3"/>
  <c r="P69" i="3"/>
  <c r="O69" i="3"/>
  <c r="N69" i="3"/>
  <c r="M69" i="3"/>
  <c r="L69" i="3"/>
  <c r="K69" i="3"/>
  <c r="J69" i="3"/>
  <c r="I69" i="3"/>
  <c r="H69" i="3"/>
  <c r="G69" i="3"/>
  <c r="F69" i="3"/>
  <c r="E69" i="3"/>
  <c r="D69" i="3"/>
  <c r="C69" i="3"/>
  <c r="B69" i="3"/>
  <c r="A69" i="3"/>
  <c r="AT68" i="3"/>
  <c r="AS68" i="3"/>
  <c r="AR68" i="3"/>
  <c r="AQ68" i="3"/>
  <c r="AP68" i="3"/>
  <c r="AO68" i="3"/>
  <c r="AN68" i="3"/>
  <c r="AM68" i="3"/>
  <c r="AL68" i="3"/>
  <c r="AK68" i="3"/>
  <c r="AJ68" i="3"/>
  <c r="AI68" i="3"/>
  <c r="AH68" i="3"/>
  <c r="AG68" i="3"/>
  <c r="AF68" i="3"/>
  <c r="AE68" i="3"/>
  <c r="AD68" i="3"/>
  <c r="AC68" i="3"/>
  <c r="AB68" i="3"/>
  <c r="AA68" i="3"/>
  <c r="Z68" i="3"/>
  <c r="Y68" i="3"/>
  <c r="X68" i="3"/>
  <c r="W68" i="3"/>
  <c r="V68" i="3"/>
  <c r="U68" i="3"/>
  <c r="T68" i="3"/>
  <c r="S68" i="3"/>
  <c r="R68" i="3"/>
  <c r="Q68" i="3"/>
  <c r="P68" i="3"/>
  <c r="O68" i="3"/>
  <c r="N68" i="3"/>
  <c r="M68" i="3"/>
  <c r="L68" i="3"/>
  <c r="K68" i="3"/>
  <c r="J68" i="3"/>
  <c r="I68" i="3"/>
  <c r="H68" i="3"/>
  <c r="G68" i="3"/>
  <c r="F68" i="3"/>
  <c r="E68" i="3"/>
  <c r="D68" i="3"/>
  <c r="C68" i="3"/>
  <c r="B68" i="3"/>
  <c r="A68" i="3"/>
  <c r="AT67" i="3"/>
  <c r="AS67" i="3"/>
  <c r="AR67" i="3"/>
  <c r="AQ67" i="3"/>
  <c r="AP67" i="3"/>
  <c r="AO67" i="3"/>
  <c r="AN67" i="3"/>
  <c r="AM67" i="3"/>
  <c r="AL67" i="3"/>
  <c r="AK67" i="3"/>
  <c r="AJ67" i="3"/>
  <c r="AI67" i="3"/>
  <c r="AH67" i="3"/>
  <c r="AG67" i="3"/>
  <c r="AF67" i="3"/>
  <c r="AE67" i="3"/>
  <c r="AD67" i="3"/>
  <c r="AC67" i="3"/>
  <c r="AB67" i="3"/>
  <c r="AA67" i="3"/>
  <c r="Z67" i="3"/>
  <c r="Y67" i="3"/>
  <c r="X67" i="3"/>
  <c r="W67" i="3"/>
  <c r="V67" i="3"/>
  <c r="U67" i="3"/>
  <c r="T67" i="3"/>
  <c r="S67" i="3"/>
  <c r="R67" i="3"/>
  <c r="Q67" i="3"/>
  <c r="P67" i="3"/>
  <c r="O67" i="3"/>
  <c r="N67" i="3"/>
  <c r="M67" i="3"/>
  <c r="L67" i="3"/>
  <c r="K67" i="3"/>
  <c r="J67" i="3"/>
  <c r="I67" i="3"/>
  <c r="H67" i="3"/>
  <c r="G67" i="3"/>
  <c r="F67" i="3"/>
  <c r="E67" i="3"/>
  <c r="D67" i="3"/>
  <c r="C67" i="3"/>
  <c r="B67" i="3"/>
  <c r="A67" i="3"/>
  <c r="AQ66" i="3"/>
  <c r="AL66" i="3"/>
  <c r="AK66" i="3"/>
  <c r="AJ66" i="3"/>
  <c r="AI66" i="3"/>
  <c r="AH66" i="3"/>
  <c r="AG66" i="3"/>
  <c r="AF66" i="3"/>
  <c r="AE66" i="3"/>
  <c r="AD66" i="3"/>
  <c r="AC66" i="3"/>
  <c r="AB66" i="3"/>
  <c r="AA66" i="3"/>
  <c r="Z66" i="3"/>
  <c r="Y66" i="3"/>
  <c r="X66" i="3"/>
  <c r="W66" i="3"/>
  <c r="V66" i="3"/>
  <c r="U66" i="3"/>
  <c r="T66" i="3"/>
  <c r="S66" i="3"/>
  <c r="R66" i="3"/>
  <c r="Q66" i="3"/>
  <c r="P66" i="3"/>
  <c r="O66" i="3"/>
  <c r="N66" i="3"/>
  <c r="M66" i="3"/>
  <c r="L66" i="3"/>
  <c r="K66" i="3"/>
  <c r="J66" i="3"/>
  <c r="I66" i="3"/>
  <c r="H66" i="3"/>
  <c r="G66" i="3"/>
  <c r="F66" i="3"/>
  <c r="E66" i="3"/>
  <c r="D66" i="3"/>
  <c r="C66" i="3"/>
  <c r="B66" i="3"/>
  <c r="A66" i="3"/>
  <c r="AT65" i="3"/>
  <c r="AS65" i="3"/>
  <c r="AR65" i="3"/>
  <c r="AQ65" i="3"/>
  <c r="AP65" i="3"/>
  <c r="AO65" i="3"/>
  <c r="AN65" i="3"/>
  <c r="AM65" i="3"/>
  <c r="AL65" i="3"/>
  <c r="AK65" i="3"/>
  <c r="AJ65" i="3"/>
  <c r="AI65" i="3"/>
  <c r="AH65" i="3"/>
  <c r="AG65" i="3"/>
  <c r="AF65" i="3"/>
  <c r="AE65" i="3"/>
  <c r="AD65" i="3"/>
  <c r="AC65" i="3"/>
  <c r="AB65" i="3"/>
  <c r="AA65" i="3"/>
  <c r="Z65" i="3"/>
  <c r="Y65" i="3"/>
  <c r="X65" i="3"/>
  <c r="W65" i="3"/>
  <c r="V65" i="3"/>
  <c r="U65" i="3"/>
  <c r="T65" i="3"/>
  <c r="S65" i="3"/>
  <c r="R65" i="3"/>
  <c r="Q65" i="3"/>
  <c r="P65" i="3"/>
  <c r="O65" i="3"/>
  <c r="N65" i="3"/>
  <c r="M65" i="3"/>
  <c r="L65" i="3"/>
  <c r="K65" i="3"/>
  <c r="J65" i="3"/>
  <c r="I65" i="3"/>
  <c r="H65" i="3"/>
  <c r="G65" i="3"/>
  <c r="F65" i="3"/>
  <c r="E65" i="3"/>
  <c r="D65" i="3"/>
  <c r="C65" i="3"/>
  <c r="B65" i="3"/>
  <c r="A65" i="3"/>
  <c r="AQ64" i="3"/>
  <c r="AL64" i="3"/>
  <c r="AK64" i="3"/>
  <c r="AJ64" i="3"/>
  <c r="AI64" i="3"/>
  <c r="AH64" i="3"/>
  <c r="AG64" i="3"/>
  <c r="AF64" i="3"/>
  <c r="AE64" i="3"/>
  <c r="AD64" i="3"/>
  <c r="AC64" i="3"/>
  <c r="AB64" i="3"/>
  <c r="AA64" i="3"/>
  <c r="Z64" i="3"/>
  <c r="Y64" i="3"/>
  <c r="X64" i="3"/>
  <c r="W64" i="3"/>
  <c r="V64" i="3"/>
  <c r="U64" i="3"/>
  <c r="T64" i="3"/>
  <c r="S64" i="3"/>
  <c r="R64" i="3"/>
  <c r="Q64" i="3"/>
  <c r="P64" i="3"/>
  <c r="O64" i="3"/>
  <c r="N64" i="3"/>
  <c r="M64" i="3"/>
  <c r="L64" i="3"/>
  <c r="K64" i="3"/>
  <c r="J64" i="3"/>
  <c r="I64" i="3"/>
  <c r="H64" i="3"/>
  <c r="G64" i="3"/>
  <c r="F64" i="3"/>
  <c r="E64" i="3"/>
  <c r="D64" i="3"/>
  <c r="C64" i="3"/>
  <c r="B64" i="3"/>
  <c r="A64" i="3"/>
  <c r="AT63" i="3"/>
  <c r="AS63" i="3"/>
  <c r="AR63" i="3"/>
  <c r="AQ63" i="3"/>
  <c r="AP63" i="3"/>
  <c r="AO63" i="3"/>
  <c r="AN63" i="3"/>
  <c r="AM63" i="3"/>
  <c r="AL63" i="3"/>
  <c r="AK63" i="3"/>
  <c r="AJ63" i="3"/>
  <c r="AI63" i="3"/>
  <c r="AH63" i="3"/>
  <c r="AG63" i="3"/>
  <c r="AF63" i="3"/>
  <c r="AE63" i="3"/>
  <c r="AD63" i="3"/>
  <c r="AC63" i="3"/>
  <c r="AB63" i="3"/>
  <c r="AA63" i="3"/>
  <c r="Z63" i="3"/>
  <c r="Y63" i="3"/>
  <c r="X63" i="3"/>
  <c r="W63" i="3"/>
  <c r="V63" i="3"/>
  <c r="U63" i="3"/>
  <c r="T63" i="3"/>
  <c r="S63" i="3"/>
  <c r="R63" i="3"/>
  <c r="Q63" i="3"/>
  <c r="P63" i="3"/>
  <c r="O63" i="3"/>
  <c r="N63" i="3"/>
  <c r="M63" i="3"/>
  <c r="L63" i="3"/>
  <c r="K63" i="3"/>
  <c r="J63" i="3"/>
  <c r="I63" i="3"/>
  <c r="H63" i="3"/>
  <c r="G63" i="3"/>
  <c r="F63" i="3"/>
  <c r="E63" i="3"/>
  <c r="D63" i="3"/>
  <c r="C63" i="3"/>
  <c r="B63" i="3"/>
  <c r="A63" i="3"/>
  <c r="AQ62" i="3"/>
  <c r="AL62" i="3"/>
  <c r="AK62" i="3"/>
  <c r="AJ62" i="3"/>
  <c r="AI62" i="3"/>
  <c r="AH62" i="3"/>
  <c r="AG62" i="3"/>
  <c r="AF62" i="3"/>
  <c r="AE62" i="3"/>
  <c r="AD62" i="3"/>
  <c r="AC62" i="3"/>
  <c r="AB62" i="3"/>
  <c r="AA62" i="3"/>
  <c r="Z62" i="3"/>
  <c r="Y62" i="3"/>
  <c r="X62" i="3"/>
  <c r="W62" i="3"/>
  <c r="V62" i="3"/>
  <c r="U62" i="3"/>
  <c r="T62" i="3"/>
  <c r="S62" i="3"/>
  <c r="R62" i="3"/>
  <c r="Q62" i="3"/>
  <c r="P62" i="3"/>
  <c r="O62" i="3"/>
  <c r="N62" i="3"/>
  <c r="M62" i="3"/>
  <c r="L62" i="3"/>
  <c r="K62" i="3"/>
  <c r="J62" i="3"/>
  <c r="I62" i="3"/>
  <c r="H62" i="3"/>
  <c r="G62" i="3"/>
  <c r="F62" i="3"/>
  <c r="E62" i="3"/>
  <c r="D62" i="3"/>
  <c r="C62" i="3"/>
  <c r="B62" i="3"/>
  <c r="A62" i="3"/>
  <c r="AT61" i="3"/>
  <c r="AS61" i="3"/>
  <c r="AQ61" i="3"/>
  <c r="AO61" i="3"/>
  <c r="AL61" i="3"/>
  <c r="AK61" i="3"/>
  <c r="AJ61" i="3"/>
  <c r="AI61" i="3"/>
  <c r="AH61" i="3"/>
  <c r="AG61" i="3"/>
  <c r="AF61" i="3"/>
  <c r="AE61" i="3"/>
  <c r="AD61" i="3"/>
  <c r="AC61" i="3"/>
  <c r="AB61" i="3"/>
  <c r="AA61" i="3"/>
  <c r="Z61" i="3"/>
  <c r="Y61" i="3"/>
  <c r="X61" i="3"/>
  <c r="W61" i="3"/>
  <c r="V61" i="3"/>
  <c r="U61" i="3"/>
  <c r="T61" i="3"/>
  <c r="S61" i="3"/>
  <c r="R61" i="3"/>
  <c r="Q61" i="3"/>
  <c r="P61" i="3"/>
  <c r="O61" i="3"/>
  <c r="N61" i="3"/>
  <c r="M61" i="3"/>
  <c r="L61" i="3"/>
  <c r="K61" i="3"/>
  <c r="J61" i="3"/>
  <c r="I61" i="3"/>
  <c r="H61" i="3"/>
  <c r="G61" i="3"/>
  <c r="F61" i="3"/>
  <c r="E61" i="3"/>
  <c r="D61" i="3"/>
  <c r="C61" i="3"/>
  <c r="B61" i="3"/>
  <c r="A61" i="3"/>
  <c r="AQ60" i="3"/>
  <c r="AL60" i="3"/>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G60" i="3"/>
  <c r="F60" i="3"/>
  <c r="E60" i="3"/>
  <c r="D60" i="3"/>
  <c r="C60" i="3"/>
  <c r="B60" i="3"/>
  <c r="A60" i="3"/>
  <c r="AQ59" i="3"/>
  <c r="AL59" i="3"/>
  <c r="AK59" i="3"/>
  <c r="AJ59" i="3"/>
  <c r="AI59" i="3"/>
  <c r="AH59" i="3"/>
  <c r="AG59" i="3"/>
  <c r="AF59" i="3"/>
  <c r="AE59" i="3"/>
  <c r="AD59" i="3"/>
  <c r="AC59" i="3"/>
  <c r="AB59" i="3"/>
  <c r="AA59" i="3"/>
  <c r="Z59" i="3"/>
  <c r="Y59" i="3"/>
  <c r="X59" i="3"/>
  <c r="W59" i="3"/>
  <c r="V59" i="3"/>
  <c r="U59" i="3"/>
  <c r="T59" i="3"/>
  <c r="S59" i="3"/>
  <c r="R59" i="3"/>
  <c r="Q59" i="3"/>
  <c r="P59" i="3"/>
  <c r="O59" i="3"/>
  <c r="N59" i="3"/>
  <c r="M59" i="3"/>
  <c r="L59" i="3"/>
  <c r="K59" i="3"/>
  <c r="J59" i="3"/>
  <c r="I59" i="3"/>
  <c r="H59" i="3"/>
  <c r="G59" i="3"/>
  <c r="F59" i="3"/>
  <c r="E59" i="3"/>
  <c r="D59" i="3"/>
  <c r="C59" i="3"/>
  <c r="B59" i="3"/>
  <c r="A59" i="3"/>
  <c r="AT58" i="3"/>
  <c r="AS58" i="3"/>
  <c r="AR58" i="3"/>
  <c r="AQ58" i="3"/>
  <c r="AP58" i="3"/>
  <c r="AO58" i="3"/>
  <c r="AN58" i="3"/>
  <c r="AM58" i="3"/>
  <c r="AL58" i="3"/>
  <c r="AK58" i="3"/>
  <c r="AJ58" i="3"/>
  <c r="AI58" i="3"/>
  <c r="AH58" i="3"/>
  <c r="AG58" i="3"/>
  <c r="AF58" i="3"/>
  <c r="AE58" i="3"/>
  <c r="AD58" i="3"/>
  <c r="AC58" i="3"/>
  <c r="AB58" i="3"/>
  <c r="AA58" i="3"/>
  <c r="Z58" i="3"/>
  <c r="Y58" i="3"/>
  <c r="X58" i="3"/>
  <c r="W58" i="3"/>
  <c r="V58" i="3"/>
  <c r="U58" i="3"/>
  <c r="T58" i="3"/>
  <c r="S58" i="3"/>
  <c r="R58" i="3"/>
  <c r="Q58" i="3"/>
  <c r="P58" i="3"/>
  <c r="O58" i="3"/>
  <c r="N58" i="3"/>
  <c r="M58" i="3"/>
  <c r="L58" i="3"/>
  <c r="K58" i="3"/>
  <c r="J58" i="3"/>
  <c r="I58" i="3"/>
  <c r="H58" i="3"/>
  <c r="G58" i="3"/>
  <c r="F58" i="3"/>
  <c r="E58" i="3"/>
  <c r="D58" i="3"/>
  <c r="C58" i="3"/>
  <c r="B58" i="3"/>
  <c r="A58" i="3"/>
  <c r="AQ57" i="3"/>
  <c r="AL57" i="3"/>
  <c r="AK57" i="3"/>
  <c r="AJ57" i="3"/>
  <c r="AI57" i="3"/>
  <c r="AH57" i="3"/>
  <c r="AG57" i="3"/>
  <c r="AF57" i="3"/>
  <c r="AE57" i="3"/>
  <c r="AD57" i="3"/>
  <c r="AC57" i="3"/>
  <c r="AB57" i="3"/>
  <c r="AA57" i="3"/>
  <c r="Z57" i="3"/>
  <c r="Y57" i="3"/>
  <c r="X57" i="3"/>
  <c r="W57" i="3"/>
  <c r="V57" i="3"/>
  <c r="U57" i="3"/>
  <c r="T57" i="3"/>
  <c r="S57" i="3"/>
  <c r="R57" i="3"/>
  <c r="Q57" i="3"/>
  <c r="P57" i="3"/>
  <c r="O57" i="3"/>
  <c r="N57" i="3"/>
  <c r="M57" i="3"/>
  <c r="L57" i="3"/>
  <c r="K57" i="3"/>
  <c r="J57" i="3"/>
  <c r="I57" i="3"/>
  <c r="H57" i="3"/>
  <c r="G57" i="3"/>
  <c r="F57" i="3"/>
  <c r="E57" i="3"/>
  <c r="D57" i="3"/>
  <c r="C57" i="3"/>
  <c r="B57" i="3"/>
  <c r="A57" i="3"/>
  <c r="AQ56" i="3"/>
  <c r="AL56" i="3"/>
  <c r="AK56" i="3"/>
  <c r="AJ56" i="3"/>
  <c r="AI56" i="3"/>
  <c r="AH56" i="3"/>
  <c r="AG56" i="3"/>
  <c r="AF56" i="3"/>
  <c r="AE56" i="3"/>
  <c r="AD56" i="3"/>
  <c r="AC56" i="3"/>
  <c r="AB56" i="3"/>
  <c r="AA56" i="3"/>
  <c r="Z56" i="3"/>
  <c r="Y56" i="3"/>
  <c r="X56" i="3"/>
  <c r="W56" i="3"/>
  <c r="V56" i="3"/>
  <c r="U56" i="3"/>
  <c r="T56" i="3"/>
  <c r="S56" i="3"/>
  <c r="R56" i="3"/>
  <c r="Q56" i="3"/>
  <c r="P56" i="3"/>
  <c r="O56" i="3"/>
  <c r="N56" i="3"/>
  <c r="M56" i="3"/>
  <c r="L56" i="3"/>
  <c r="K56" i="3"/>
  <c r="J56" i="3"/>
  <c r="I56" i="3"/>
  <c r="H56" i="3"/>
  <c r="G56" i="3"/>
  <c r="F56" i="3"/>
  <c r="E56" i="3"/>
  <c r="D56" i="3"/>
  <c r="C56" i="3"/>
  <c r="B56" i="3"/>
  <c r="A56" i="3"/>
  <c r="AQ55" i="3"/>
  <c r="AL55" i="3"/>
  <c r="AK55" i="3"/>
  <c r="AJ55" i="3"/>
  <c r="AI55" i="3"/>
  <c r="AH55" i="3"/>
  <c r="AG55" i="3"/>
  <c r="AF55" i="3"/>
  <c r="AE55" i="3"/>
  <c r="AD55" i="3"/>
  <c r="AC55" i="3"/>
  <c r="AB55" i="3"/>
  <c r="AA55" i="3"/>
  <c r="Z55" i="3"/>
  <c r="Y55" i="3"/>
  <c r="X55" i="3"/>
  <c r="W55" i="3"/>
  <c r="V55" i="3"/>
  <c r="U55" i="3"/>
  <c r="T55" i="3"/>
  <c r="S55" i="3"/>
  <c r="R55" i="3"/>
  <c r="Q55" i="3"/>
  <c r="P55" i="3"/>
  <c r="O55" i="3"/>
  <c r="N55" i="3"/>
  <c r="M55" i="3"/>
  <c r="L55" i="3"/>
  <c r="K55" i="3"/>
  <c r="J55" i="3"/>
  <c r="I55" i="3"/>
  <c r="H55" i="3"/>
  <c r="G55" i="3"/>
  <c r="F55" i="3"/>
  <c r="E55" i="3"/>
  <c r="D55" i="3"/>
  <c r="C55" i="3"/>
  <c r="B55" i="3"/>
  <c r="A55" i="3"/>
  <c r="AS54" i="3"/>
  <c r="AR54" i="3"/>
  <c r="AQ54" i="3"/>
  <c r="AP54" i="3"/>
  <c r="AO54" i="3"/>
  <c r="AN54" i="3"/>
  <c r="AL54" i="3"/>
  <c r="AK54" i="3"/>
  <c r="AJ54" i="3"/>
  <c r="AI54" i="3"/>
  <c r="AH54" i="3"/>
  <c r="AG54" i="3"/>
  <c r="AF54" i="3"/>
  <c r="AE54" i="3"/>
  <c r="AD54" i="3"/>
  <c r="AC54" i="3"/>
  <c r="AB54" i="3"/>
  <c r="AA54" i="3"/>
  <c r="Z54" i="3"/>
  <c r="Y54" i="3"/>
  <c r="X54" i="3"/>
  <c r="W54" i="3"/>
  <c r="V54" i="3"/>
  <c r="U54" i="3"/>
  <c r="T54" i="3"/>
  <c r="S54" i="3"/>
  <c r="R54" i="3"/>
  <c r="Q54" i="3"/>
  <c r="P54" i="3"/>
  <c r="O54" i="3"/>
  <c r="N54" i="3"/>
  <c r="M54" i="3"/>
  <c r="L54" i="3"/>
  <c r="K54" i="3"/>
  <c r="J54" i="3"/>
  <c r="I54" i="3"/>
  <c r="H54" i="3"/>
  <c r="G54" i="3"/>
  <c r="F54" i="3"/>
  <c r="E54" i="3"/>
  <c r="D54" i="3"/>
  <c r="C54" i="3"/>
  <c r="B54" i="3"/>
  <c r="A54" i="3"/>
  <c r="AQ53" i="3"/>
  <c r="AL53" i="3"/>
  <c r="AK53" i="3"/>
  <c r="AJ53" i="3"/>
  <c r="AI53" i="3"/>
  <c r="AH53" i="3"/>
  <c r="AG53" i="3"/>
  <c r="AF53" i="3"/>
  <c r="AE53" i="3"/>
  <c r="AD53" i="3"/>
  <c r="AC53" i="3"/>
  <c r="AB53" i="3"/>
  <c r="AA53" i="3"/>
  <c r="Z53" i="3"/>
  <c r="Y53" i="3"/>
  <c r="X53" i="3"/>
  <c r="W53" i="3"/>
  <c r="V53" i="3"/>
  <c r="U53" i="3"/>
  <c r="T53" i="3"/>
  <c r="S53" i="3"/>
  <c r="R53" i="3"/>
  <c r="Q53" i="3"/>
  <c r="P53" i="3"/>
  <c r="O53" i="3"/>
  <c r="N53" i="3"/>
  <c r="M53" i="3"/>
  <c r="L53" i="3"/>
  <c r="K53" i="3"/>
  <c r="J53" i="3"/>
  <c r="I53" i="3"/>
  <c r="H53" i="3"/>
  <c r="G53" i="3"/>
  <c r="F53" i="3"/>
  <c r="E53" i="3"/>
  <c r="D53" i="3"/>
  <c r="C53" i="3"/>
  <c r="B53" i="3"/>
  <c r="A53" i="3"/>
  <c r="AT52" i="3"/>
  <c r="AS52" i="3"/>
  <c r="AR52" i="3"/>
  <c r="AQ52" i="3"/>
  <c r="AP52" i="3"/>
  <c r="AO52" i="3"/>
  <c r="AN52"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I52" i="3"/>
  <c r="H52" i="3"/>
  <c r="G52" i="3"/>
  <c r="F52" i="3"/>
  <c r="E52" i="3"/>
  <c r="D52" i="3"/>
  <c r="C52" i="3"/>
  <c r="B52" i="3"/>
  <c r="A52" i="3"/>
  <c r="AQ51" i="3"/>
  <c r="AL51" i="3"/>
  <c r="AK51" i="3"/>
  <c r="AJ51" i="3"/>
  <c r="AI51" i="3"/>
  <c r="AH51" i="3"/>
  <c r="AG51" i="3"/>
  <c r="AF51" i="3"/>
  <c r="AE51" i="3"/>
  <c r="AD51" i="3"/>
  <c r="AC51" i="3"/>
  <c r="AB51" i="3"/>
  <c r="AA51" i="3"/>
  <c r="Z51" i="3"/>
  <c r="Y51" i="3"/>
  <c r="X51" i="3"/>
  <c r="W51" i="3"/>
  <c r="V51" i="3"/>
  <c r="U51" i="3"/>
  <c r="T51" i="3"/>
  <c r="S51" i="3"/>
  <c r="R51" i="3"/>
  <c r="Q51" i="3"/>
  <c r="P51" i="3"/>
  <c r="O51" i="3"/>
  <c r="N51" i="3"/>
  <c r="M51" i="3"/>
  <c r="L51" i="3"/>
  <c r="K51" i="3"/>
  <c r="J51" i="3"/>
  <c r="I51" i="3"/>
  <c r="H51" i="3"/>
  <c r="G51" i="3"/>
  <c r="F51" i="3"/>
  <c r="E51" i="3"/>
  <c r="D51" i="3"/>
  <c r="C51" i="3"/>
  <c r="B51" i="3"/>
  <c r="A51" i="3"/>
  <c r="AS50" i="3"/>
  <c r="AR50" i="3"/>
  <c r="AQ50" i="3"/>
  <c r="AP50" i="3"/>
  <c r="AO50" i="3"/>
  <c r="AN50" i="3"/>
  <c r="AL50" i="3"/>
  <c r="AK50" i="3"/>
  <c r="AJ50" i="3"/>
  <c r="AI50" i="3"/>
  <c r="AH50" i="3"/>
  <c r="AG50" i="3"/>
  <c r="AF50" i="3"/>
  <c r="AE50" i="3"/>
  <c r="AD50" i="3"/>
  <c r="AC50" i="3"/>
  <c r="AB50" i="3"/>
  <c r="AA50" i="3"/>
  <c r="Z50" i="3"/>
  <c r="Y50" i="3"/>
  <c r="X50" i="3"/>
  <c r="W50" i="3"/>
  <c r="V50" i="3"/>
  <c r="U50" i="3"/>
  <c r="T50" i="3"/>
  <c r="S50" i="3"/>
  <c r="R50" i="3"/>
  <c r="Q50" i="3"/>
  <c r="P50" i="3"/>
  <c r="O50" i="3"/>
  <c r="N50" i="3"/>
  <c r="M50" i="3"/>
  <c r="L50" i="3"/>
  <c r="K50" i="3"/>
  <c r="J50" i="3"/>
  <c r="I50" i="3"/>
  <c r="H50" i="3"/>
  <c r="G50" i="3"/>
  <c r="F50" i="3"/>
  <c r="E50" i="3"/>
  <c r="D50" i="3"/>
  <c r="C50" i="3"/>
  <c r="B50" i="3"/>
  <c r="A50" i="3"/>
  <c r="AT49" i="3"/>
  <c r="AS49" i="3"/>
  <c r="AR49" i="3"/>
  <c r="AQ49" i="3"/>
  <c r="AP49" i="3"/>
  <c r="AO49" i="3"/>
  <c r="AN49" i="3"/>
  <c r="AM49" i="3"/>
  <c r="AL49"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B49" i="3"/>
  <c r="A49" i="3"/>
  <c r="AQ48" i="3"/>
  <c r="AN48" i="3"/>
  <c r="AL48"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G48" i="3"/>
  <c r="F48" i="3"/>
  <c r="E48" i="3"/>
  <c r="D48" i="3"/>
  <c r="C48" i="3"/>
  <c r="B48" i="3"/>
  <c r="A48" i="3"/>
  <c r="AT47" i="3"/>
  <c r="AS47" i="3"/>
  <c r="AR47" i="3"/>
  <c r="AQ47" i="3"/>
  <c r="AP47" i="3"/>
  <c r="AO47" i="3"/>
  <c r="AN47" i="3"/>
  <c r="AM47" i="3"/>
  <c r="AL47" i="3"/>
  <c r="AK47" i="3"/>
  <c r="AJ47" i="3"/>
  <c r="AI47" i="3"/>
  <c r="AH47" i="3"/>
  <c r="AG47" i="3"/>
  <c r="AF47" i="3"/>
  <c r="AE47" i="3"/>
  <c r="AD47" i="3"/>
  <c r="AC47" i="3"/>
  <c r="AB47" i="3"/>
  <c r="AA47" i="3"/>
  <c r="Z47" i="3"/>
  <c r="Y47" i="3"/>
  <c r="X47" i="3"/>
  <c r="W47" i="3"/>
  <c r="V47" i="3"/>
  <c r="U47" i="3"/>
  <c r="T47" i="3"/>
  <c r="S47" i="3"/>
  <c r="R47" i="3"/>
  <c r="Q47" i="3"/>
  <c r="P47" i="3"/>
  <c r="O47" i="3"/>
  <c r="N47" i="3"/>
  <c r="M47" i="3"/>
  <c r="L47" i="3"/>
  <c r="K47" i="3"/>
  <c r="J47" i="3"/>
  <c r="I47" i="3"/>
  <c r="H47" i="3"/>
  <c r="G47" i="3"/>
  <c r="F47" i="3"/>
  <c r="E47" i="3"/>
  <c r="D47" i="3"/>
  <c r="C47" i="3"/>
  <c r="B47" i="3"/>
  <c r="A47" i="3"/>
  <c r="AQ46" i="3"/>
  <c r="AL46" i="3"/>
  <c r="AK46" i="3"/>
  <c r="AJ46" i="3"/>
  <c r="AI46" i="3"/>
  <c r="AH46" i="3"/>
  <c r="AG46" i="3"/>
  <c r="AF46" i="3"/>
  <c r="AE46" i="3"/>
  <c r="AD46" i="3"/>
  <c r="AC46" i="3"/>
  <c r="AB46" i="3"/>
  <c r="AA46" i="3"/>
  <c r="Z46" i="3"/>
  <c r="Y46" i="3"/>
  <c r="X46" i="3"/>
  <c r="W46" i="3"/>
  <c r="V46" i="3"/>
  <c r="U46" i="3"/>
  <c r="T46" i="3"/>
  <c r="S46" i="3"/>
  <c r="R46" i="3"/>
  <c r="Q46" i="3"/>
  <c r="P46" i="3"/>
  <c r="O46" i="3"/>
  <c r="N46" i="3"/>
  <c r="M46" i="3"/>
  <c r="L46" i="3"/>
  <c r="K46" i="3"/>
  <c r="J46" i="3"/>
  <c r="I46" i="3"/>
  <c r="H46" i="3"/>
  <c r="G46" i="3"/>
  <c r="F46" i="3"/>
  <c r="E46" i="3"/>
  <c r="D46" i="3"/>
  <c r="C46" i="3"/>
  <c r="B46" i="3"/>
  <c r="A46" i="3"/>
  <c r="AQ45" i="3"/>
  <c r="AL45" i="3"/>
  <c r="AK45" i="3"/>
  <c r="AJ45" i="3"/>
  <c r="AI45" i="3"/>
  <c r="AH45" i="3"/>
  <c r="AG45" i="3"/>
  <c r="AF45" i="3"/>
  <c r="AE45" i="3"/>
  <c r="AD45" i="3"/>
  <c r="AC45" i="3"/>
  <c r="AB45" i="3"/>
  <c r="AA45" i="3"/>
  <c r="Z45" i="3"/>
  <c r="Y45" i="3"/>
  <c r="X45" i="3"/>
  <c r="W45" i="3"/>
  <c r="V45" i="3"/>
  <c r="U45" i="3"/>
  <c r="T45" i="3"/>
  <c r="S45" i="3"/>
  <c r="R45" i="3"/>
  <c r="Q45" i="3"/>
  <c r="P45" i="3"/>
  <c r="O45" i="3"/>
  <c r="N45" i="3"/>
  <c r="M45" i="3"/>
  <c r="L45" i="3"/>
  <c r="K45" i="3"/>
  <c r="J45" i="3"/>
  <c r="I45" i="3"/>
  <c r="H45" i="3"/>
  <c r="G45" i="3"/>
  <c r="F45" i="3"/>
  <c r="E45" i="3"/>
  <c r="D45" i="3"/>
  <c r="C45" i="3"/>
  <c r="B45" i="3"/>
  <c r="A45" i="3"/>
  <c r="AS44" i="3"/>
  <c r="AR44" i="3"/>
  <c r="AQ44" i="3"/>
  <c r="AP44" i="3"/>
  <c r="AO44" i="3"/>
  <c r="AN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I44" i="3"/>
  <c r="H44" i="3"/>
  <c r="G44" i="3"/>
  <c r="F44" i="3"/>
  <c r="E44" i="3"/>
  <c r="D44" i="3"/>
  <c r="C44" i="3"/>
  <c r="B44" i="3"/>
  <c r="A44" i="3"/>
  <c r="AQ43" i="3"/>
  <c r="AN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I43" i="3"/>
  <c r="H43" i="3"/>
  <c r="G43" i="3"/>
  <c r="F43" i="3"/>
  <c r="E43" i="3"/>
  <c r="D43" i="3"/>
  <c r="C43" i="3"/>
  <c r="B43" i="3"/>
  <c r="A43" i="3"/>
  <c r="AT42" i="3"/>
  <c r="AS42" i="3"/>
  <c r="AR42"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G42" i="3"/>
  <c r="F42" i="3"/>
  <c r="E42" i="3"/>
  <c r="D42" i="3"/>
  <c r="C42" i="3"/>
  <c r="B42" i="3"/>
  <c r="A42" i="3"/>
  <c r="AT41" i="3"/>
  <c r="AS41" i="3"/>
  <c r="AR41"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G41" i="3"/>
  <c r="F41" i="3"/>
  <c r="E41" i="3"/>
  <c r="D41" i="3"/>
  <c r="C41" i="3"/>
  <c r="B41" i="3"/>
  <c r="A41" i="3"/>
  <c r="AT40" i="3"/>
  <c r="AS40" i="3"/>
  <c r="AR40" i="3"/>
  <c r="AQ40" i="3"/>
  <c r="AP40" i="3"/>
  <c r="AO40" i="3"/>
  <c r="AN40"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I40" i="3"/>
  <c r="H40" i="3"/>
  <c r="G40" i="3"/>
  <c r="F40" i="3"/>
  <c r="E40" i="3"/>
  <c r="D40" i="3"/>
  <c r="C40" i="3"/>
  <c r="B40" i="3"/>
  <c r="A40" i="3"/>
  <c r="AT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M39" i="3"/>
  <c r="L39" i="3"/>
  <c r="K39" i="3"/>
  <c r="J39" i="3"/>
  <c r="I39" i="3"/>
  <c r="H39" i="3"/>
  <c r="G39" i="3"/>
  <c r="F39" i="3"/>
  <c r="E39" i="3"/>
  <c r="D39" i="3"/>
  <c r="C39" i="3"/>
  <c r="B39" i="3"/>
  <c r="A39" i="3"/>
  <c r="AT38" i="3"/>
  <c r="AS38" i="3"/>
  <c r="AR38"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B38" i="3"/>
  <c r="A38" i="3"/>
  <c r="AT37" i="3"/>
  <c r="AS37" i="3"/>
  <c r="AR37" i="3"/>
  <c r="AQ37" i="3"/>
  <c r="AP37" i="3"/>
  <c r="AO37" i="3"/>
  <c r="AN37" i="3"/>
  <c r="AM37" i="3"/>
  <c r="AL37" i="3"/>
  <c r="AK37" i="3"/>
  <c r="AJ37" i="3"/>
  <c r="AI37" i="3"/>
  <c r="AH37" i="3"/>
  <c r="AG37" i="3"/>
  <c r="AF37" i="3"/>
  <c r="AE37" i="3"/>
  <c r="AD37" i="3"/>
  <c r="AC37" i="3"/>
  <c r="AB37" i="3"/>
  <c r="AA37" i="3"/>
  <c r="Z37" i="3"/>
  <c r="Y37" i="3"/>
  <c r="X37" i="3"/>
  <c r="W37" i="3"/>
  <c r="V37" i="3"/>
  <c r="U37" i="3"/>
  <c r="T37" i="3"/>
  <c r="S37" i="3"/>
  <c r="R37" i="3"/>
  <c r="Q37" i="3"/>
  <c r="P37" i="3"/>
  <c r="O37" i="3"/>
  <c r="N37" i="3"/>
  <c r="M37" i="3"/>
  <c r="L37" i="3"/>
  <c r="K37" i="3"/>
  <c r="J37" i="3"/>
  <c r="I37" i="3"/>
  <c r="H37" i="3"/>
  <c r="G37" i="3"/>
  <c r="F37" i="3"/>
  <c r="E37" i="3"/>
  <c r="D37" i="3"/>
  <c r="C37" i="3"/>
  <c r="B37" i="3"/>
  <c r="A37" i="3"/>
  <c r="AT36" i="3"/>
  <c r="AS36" i="3"/>
  <c r="AR36" i="3"/>
  <c r="AQ36" i="3"/>
  <c r="AP36" i="3"/>
  <c r="AO36" i="3"/>
  <c r="AN36" i="3"/>
  <c r="AM36" i="3"/>
  <c r="AL36" i="3"/>
  <c r="AK36" i="3"/>
  <c r="AJ36" i="3"/>
  <c r="AI36" i="3"/>
  <c r="AH36" i="3"/>
  <c r="AG36" i="3"/>
  <c r="AF36" i="3"/>
  <c r="AE36" i="3"/>
  <c r="AD36" i="3"/>
  <c r="AC36" i="3"/>
  <c r="AB36" i="3"/>
  <c r="AA36" i="3"/>
  <c r="Z36" i="3"/>
  <c r="Y36" i="3"/>
  <c r="X36" i="3"/>
  <c r="W36" i="3"/>
  <c r="V36" i="3"/>
  <c r="U36" i="3"/>
  <c r="T36" i="3"/>
  <c r="S36" i="3"/>
  <c r="R36" i="3"/>
  <c r="Q36" i="3"/>
  <c r="P36" i="3"/>
  <c r="O36" i="3"/>
  <c r="N36" i="3"/>
  <c r="M36" i="3"/>
  <c r="L36" i="3"/>
  <c r="K36" i="3"/>
  <c r="J36" i="3"/>
  <c r="I36" i="3"/>
  <c r="H36" i="3"/>
  <c r="G36" i="3"/>
  <c r="F36" i="3"/>
  <c r="E36" i="3"/>
  <c r="D36" i="3"/>
  <c r="C36" i="3"/>
  <c r="B36" i="3"/>
  <c r="A36" i="3"/>
  <c r="AT35" i="3"/>
  <c r="AS35" i="3"/>
  <c r="AR35"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G35" i="3"/>
  <c r="F35" i="3"/>
  <c r="E35" i="3"/>
  <c r="D35" i="3"/>
  <c r="C35" i="3"/>
  <c r="B35" i="3"/>
  <c r="A35" i="3"/>
  <c r="AQ34" i="3"/>
  <c r="AN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G34" i="3"/>
  <c r="F34" i="3"/>
  <c r="E34" i="3"/>
  <c r="D34" i="3"/>
  <c r="C34" i="3"/>
  <c r="B34" i="3"/>
  <c r="A34" i="3"/>
  <c r="AS33" i="3"/>
  <c r="AR33" i="3"/>
  <c r="AQ33" i="3"/>
  <c r="AP33" i="3"/>
  <c r="AO33" i="3"/>
  <c r="AN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D33" i="3"/>
  <c r="C33" i="3"/>
  <c r="B33" i="3"/>
  <c r="A33" i="3"/>
  <c r="AQ32" i="3"/>
  <c r="AN32" i="3"/>
  <c r="AL32" i="3"/>
  <c r="AK32" i="3"/>
  <c r="AJ32" i="3"/>
  <c r="AI32" i="3"/>
  <c r="AH32" i="3"/>
  <c r="AG32" i="3"/>
  <c r="AF32" i="3"/>
  <c r="AE32" i="3"/>
  <c r="AD32" i="3"/>
  <c r="AC32" i="3"/>
  <c r="AB32" i="3"/>
  <c r="AA32" i="3"/>
  <c r="Z32" i="3"/>
  <c r="Y32" i="3"/>
  <c r="X32" i="3"/>
  <c r="W32" i="3"/>
  <c r="V32" i="3"/>
  <c r="U32" i="3"/>
  <c r="T32" i="3"/>
  <c r="S32" i="3"/>
  <c r="R32" i="3"/>
  <c r="Q32" i="3"/>
  <c r="P32" i="3"/>
  <c r="O32" i="3"/>
  <c r="N32" i="3"/>
  <c r="M32" i="3"/>
  <c r="L32" i="3"/>
  <c r="K32" i="3"/>
  <c r="J32" i="3"/>
  <c r="I32" i="3"/>
  <c r="H32" i="3"/>
  <c r="G32" i="3"/>
  <c r="F32" i="3"/>
  <c r="E32" i="3"/>
  <c r="D32" i="3"/>
  <c r="C32" i="3"/>
  <c r="B32" i="3"/>
  <c r="A32" i="3"/>
  <c r="AQ31" i="3"/>
  <c r="AL31" i="3"/>
  <c r="AK31" i="3"/>
  <c r="AJ31" i="3"/>
  <c r="AI31" i="3"/>
  <c r="AH31" i="3"/>
  <c r="AG31" i="3"/>
  <c r="AF31" i="3"/>
  <c r="AE31" i="3"/>
  <c r="AD31" i="3"/>
  <c r="AC31" i="3"/>
  <c r="AB31" i="3"/>
  <c r="AA31" i="3"/>
  <c r="Z31" i="3"/>
  <c r="Y31" i="3"/>
  <c r="X31" i="3"/>
  <c r="W31" i="3"/>
  <c r="V31" i="3"/>
  <c r="U31" i="3"/>
  <c r="T31" i="3"/>
  <c r="S31" i="3"/>
  <c r="Q31" i="3"/>
  <c r="P31" i="3"/>
  <c r="O31" i="3"/>
  <c r="N31" i="3"/>
  <c r="M31" i="3"/>
  <c r="L31" i="3"/>
  <c r="K31" i="3"/>
  <c r="J31" i="3"/>
  <c r="I31" i="3"/>
  <c r="H31" i="3"/>
  <c r="G31" i="3"/>
  <c r="F31" i="3"/>
  <c r="E31" i="3"/>
  <c r="D31" i="3"/>
  <c r="C31" i="3"/>
  <c r="B31" i="3"/>
  <c r="A31" i="3"/>
  <c r="AS30" i="3"/>
  <c r="AR30"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G30" i="3"/>
  <c r="F30" i="3"/>
  <c r="E30" i="3"/>
  <c r="D30" i="3"/>
  <c r="C30" i="3"/>
  <c r="B30" i="3"/>
  <c r="A30" i="3"/>
  <c r="AQ29" i="3"/>
  <c r="AN29" i="3"/>
  <c r="AM29" i="3"/>
  <c r="AL29"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B29" i="3"/>
  <c r="A29" i="3"/>
  <c r="AQ28" i="3"/>
  <c r="AN28" i="3"/>
  <c r="AM28" i="3"/>
  <c r="AL28" i="3"/>
  <c r="AK28" i="3"/>
  <c r="AJ28" i="3"/>
  <c r="AI28" i="3"/>
  <c r="AH28" i="3"/>
  <c r="AG28" i="3"/>
  <c r="AF28" i="3"/>
  <c r="AE28" i="3"/>
  <c r="AD28" i="3"/>
  <c r="AC28" i="3"/>
  <c r="AB28" i="3"/>
  <c r="AA28" i="3"/>
  <c r="Z28" i="3"/>
  <c r="Y28" i="3"/>
  <c r="X28" i="3"/>
  <c r="W28" i="3"/>
  <c r="V28" i="3"/>
  <c r="U28" i="3"/>
  <c r="T28" i="3"/>
  <c r="S28" i="3"/>
  <c r="R28" i="3"/>
  <c r="Q28" i="3"/>
  <c r="P28" i="3"/>
  <c r="O28" i="3"/>
  <c r="N28" i="3"/>
  <c r="M28" i="3"/>
  <c r="L28" i="3"/>
  <c r="K28" i="3"/>
  <c r="J28" i="3"/>
  <c r="I28" i="3"/>
  <c r="H28" i="3"/>
  <c r="G28" i="3"/>
  <c r="F28" i="3"/>
  <c r="E28" i="3"/>
  <c r="D28" i="3"/>
  <c r="C28" i="3"/>
  <c r="B28" i="3"/>
  <c r="A28" i="3"/>
  <c r="AQ27" i="3"/>
  <c r="AM27" i="3"/>
  <c r="AL27" i="3"/>
  <c r="AK27" i="3"/>
  <c r="AJ27" i="3"/>
  <c r="AI27" i="3"/>
  <c r="AH27" i="3"/>
  <c r="AG27" i="3"/>
  <c r="AF27" i="3"/>
  <c r="AE27" i="3"/>
  <c r="AD27" i="3"/>
  <c r="AC27" i="3"/>
  <c r="AB27" i="3"/>
  <c r="AA27" i="3"/>
  <c r="Z27" i="3"/>
  <c r="Y27" i="3"/>
  <c r="X27" i="3"/>
  <c r="W27" i="3"/>
  <c r="V27" i="3"/>
  <c r="U27" i="3"/>
  <c r="T27" i="3"/>
  <c r="S27" i="3"/>
  <c r="R27" i="3"/>
  <c r="Q27" i="3"/>
  <c r="P27" i="3"/>
  <c r="O27" i="3"/>
  <c r="N27" i="3"/>
  <c r="M27" i="3"/>
  <c r="L27" i="3"/>
  <c r="K27" i="3"/>
  <c r="J27" i="3"/>
  <c r="I27" i="3"/>
  <c r="H27" i="3"/>
  <c r="G27" i="3"/>
  <c r="F27" i="3"/>
  <c r="E27" i="3"/>
  <c r="D27" i="3"/>
  <c r="C27" i="3"/>
  <c r="B27" i="3"/>
  <c r="A27" i="3"/>
  <c r="AQ26" i="3"/>
  <c r="AM26" i="3"/>
  <c r="AL26" i="3"/>
  <c r="AK26" i="3"/>
  <c r="AJ26" i="3"/>
  <c r="AI26" i="3"/>
  <c r="AH26" i="3"/>
  <c r="AG26" i="3"/>
  <c r="AF26" i="3"/>
  <c r="AE26" i="3"/>
  <c r="AD26" i="3"/>
  <c r="AC26" i="3"/>
  <c r="AB26" i="3"/>
  <c r="AA26" i="3"/>
  <c r="Z26" i="3"/>
  <c r="Y26" i="3"/>
  <c r="X26" i="3"/>
  <c r="W26" i="3"/>
  <c r="V26" i="3"/>
  <c r="U26" i="3"/>
  <c r="T26" i="3"/>
  <c r="S26" i="3"/>
  <c r="R26" i="3"/>
  <c r="Q26" i="3"/>
  <c r="P26" i="3"/>
  <c r="O26" i="3"/>
  <c r="N26" i="3"/>
  <c r="M26" i="3"/>
  <c r="L26" i="3"/>
  <c r="K26" i="3"/>
  <c r="J26" i="3"/>
  <c r="I26" i="3"/>
  <c r="H26" i="3"/>
  <c r="G26" i="3"/>
  <c r="F26" i="3"/>
  <c r="E26" i="3"/>
  <c r="D26" i="3"/>
  <c r="C26" i="3"/>
  <c r="B26" i="3"/>
  <c r="A26" i="3"/>
  <c r="AQ25" i="3"/>
  <c r="AM25" i="3"/>
  <c r="AL25" i="3"/>
  <c r="AK25" i="3"/>
  <c r="AJ25" i="3"/>
  <c r="AI25" i="3"/>
  <c r="AH25" i="3"/>
  <c r="AG25" i="3"/>
  <c r="AF25" i="3"/>
  <c r="AE25" i="3"/>
  <c r="AD25" i="3"/>
  <c r="AC25" i="3"/>
  <c r="AB25" i="3"/>
  <c r="AA25" i="3"/>
  <c r="Z25" i="3"/>
  <c r="Y25" i="3"/>
  <c r="X25" i="3"/>
  <c r="W25" i="3"/>
  <c r="V25" i="3"/>
  <c r="U25" i="3"/>
  <c r="T25" i="3"/>
  <c r="S25" i="3"/>
  <c r="R25" i="3"/>
  <c r="Q25" i="3"/>
  <c r="P25" i="3"/>
  <c r="O25" i="3"/>
  <c r="N25" i="3"/>
  <c r="M25" i="3"/>
  <c r="L25" i="3"/>
  <c r="K25" i="3"/>
  <c r="J25" i="3"/>
  <c r="I25" i="3"/>
  <c r="H25" i="3"/>
  <c r="G25" i="3"/>
  <c r="F25" i="3"/>
  <c r="E25" i="3"/>
  <c r="D25" i="3"/>
  <c r="C25" i="3"/>
  <c r="B25" i="3"/>
  <c r="A25" i="3"/>
  <c r="AQ24"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I24" i="3"/>
  <c r="H24" i="3"/>
  <c r="G24" i="3"/>
  <c r="F24" i="3"/>
  <c r="E24" i="3"/>
  <c r="D24" i="3"/>
  <c r="C24" i="3"/>
  <c r="B24" i="3"/>
  <c r="A24" i="3"/>
  <c r="AT23" i="3"/>
  <c r="AS23" i="3"/>
  <c r="AR23" i="3"/>
  <c r="AQ23" i="3"/>
  <c r="AP23" i="3"/>
  <c r="AO23" i="3"/>
  <c r="AN23"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B23" i="3"/>
  <c r="A23" i="3"/>
  <c r="AS22" i="3"/>
  <c r="AR22" i="3"/>
  <c r="AQ22" i="3"/>
  <c r="AP22" i="3"/>
  <c r="AO22" i="3"/>
  <c r="AN22" i="3"/>
  <c r="AM22" i="3"/>
  <c r="AL22"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B22" i="3"/>
  <c r="A22" i="3"/>
  <c r="AQ21" i="3"/>
  <c r="AM21" i="3"/>
  <c r="AL21" i="3"/>
  <c r="AK21" i="3"/>
  <c r="AJ21" i="3"/>
  <c r="AI21" i="3"/>
  <c r="AH21" i="3"/>
  <c r="AG21" i="3"/>
  <c r="AF21" i="3"/>
  <c r="AE21" i="3"/>
  <c r="AD21" i="3"/>
  <c r="AC21" i="3"/>
  <c r="AB21" i="3"/>
  <c r="AA21" i="3"/>
  <c r="Z21" i="3"/>
  <c r="Y21" i="3"/>
  <c r="X21" i="3"/>
  <c r="W21" i="3"/>
  <c r="V21" i="3"/>
  <c r="U21" i="3"/>
  <c r="T21" i="3"/>
  <c r="S21" i="3"/>
  <c r="R21" i="3"/>
  <c r="Q21" i="3"/>
  <c r="O21" i="3"/>
  <c r="N21" i="3"/>
  <c r="M21" i="3"/>
  <c r="L21" i="3"/>
  <c r="K21" i="3"/>
  <c r="J21" i="3"/>
  <c r="I21" i="3"/>
  <c r="H21" i="3"/>
  <c r="G21" i="3"/>
  <c r="F21" i="3"/>
  <c r="E21" i="3"/>
  <c r="D21" i="3"/>
  <c r="C21" i="3"/>
  <c r="B21" i="3"/>
  <c r="A21" i="3"/>
  <c r="AT20" i="3"/>
  <c r="AS20" i="3"/>
  <c r="AR20" i="3"/>
  <c r="AQ20" i="3"/>
  <c r="AP20" i="3"/>
  <c r="AO20" i="3"/>
  <c r="AN20"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D20" i="3"/>
  <c r="C20" i="3"/>
  <c r="B20" i="3"/>
  <c r="A20" i="3"/>
  <c r="AQ19"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I19" i="3"/>
  <c r="H19" i="3"/>
  <c r="G19" i="3"/>
  <c r="F19" i="3"/>
  <c r="E19" i="3"/>
  <c r="D19" i="3"/>
  <c r="C19" i="3"/>
  <c r="B19" i="3"/>
  <c r="A19" i="3"/>
  <c r="AS18" i="3"/>
  <c r="AR18" i="3"/>
  <c r="AQ18" i="3"/>
  <c r="AP18" i="3"/>
  <c r="AO18" i="3"/>
  <c r="AN18"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I18" i="3"/>
  <c r="H18" i="3"/>
  <c r="G18" i="3"/>
  <c r="F18" i="3"/>
  <c r="E18" i="3"/>
  <c r="D18" i="3"/>
  <c r="C18" i="3"/>
  <c r="B18" i="3"/>
  <c r="A18" i="3"/>
  <c r="AS17" i="3"/>
  <c r="AR17" i="3"/>
  <c r="AQ17" i="3"/>
  <c r="AP17" i="3"/>
  <c r="AO17" i="3"/>
  <c r="AN17" i="3"/>
  <c r="AM17" i="3"/>
  <c r="AL17" i="3"/>
  <c r="AK17" i="3"/>
  <c r="AJ17" i="3"/>
  <c r="AI17" i="3"/>
  <c r="AH17" i="3"/>
  <c r="AG17" i="3"/>
  <c r="AF17" i="3"/>
  <c r="AE17" i="3"/>
  <c r="AD17" i="3"/>
  <c r="AC17" i="3"/>
  <c r="AB17" i="3"/>
  <c r="AA17" i="3"/>
  <c r="Z17" i="3"/>
  <c r="Y17" i="3"/>
  <c r="X17" i="3"/>
  <c r="W17" i="3"/>
  <c r="V17" i="3"/>
  <c r="U17" i="3"/>
  <c r="T17" i="3"/>
  <c r="S17" i="3"/>
  <c r="R17" i="3"/>
  <c r="Q17" i="3"/>
  <c r="P17" i="3"/>
  <c r="O17" i="3"/>
  <c r="N17" i="3"/>
  <c r="M17" i="3"/>
  <c r="L17" i="3"/>
  <c r="K17" i="3"/>
  <c r="J17" i="3"/>
  <c r="I17" i="3"/>
  <c r="H17" i="3"/>
  <c r="G17" i="3"/>
  <c r="F17" i="3"/>
  <c r="E17" i="3"/>
  <c r="D17" i="3"/>
  <c r="C17" i="3"/>
  <c r="B17" i="3"/>
  <c r="A17" i="3"/>
  <c r="AQ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16" i="3"/>
  <c r="AQ15"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B15" i="3"/>
  <c r="A15" i="3"/>
  <c r="AS14" i="3"/>
  <c r="AR14" i="3"/>
  <c r="AQ14" i="3"/>
  <c r="AP14" i="3"/>
  <c r="AO14" i="3"/>
  <c r="AN14" i="3"/>
  <c r="AM14" i="3"/>
  <c r="AL14" i="3"/>
  <c r="AK14" i="3"/>
  <c r="AJ14" i="3"/>
  <c r="AI14" i="3"/>
  <c r="AH14" i="3"/>
  <c r="AG14" i="3"/>
  <c r="AF14" i="3"/>
  <c r="AE14" i="3"/>
  <c r="AD14" i="3"/>
  <c r="AC14" i="3"/>
  <c r="AB14" i="3"/>
  <c r="AA14" i="3"/>
  <c r="Z14" i="3"/>
  <c r="Y14" i="3"/>
  <c r="X14" i="3"/>
  <c r="W14" i="3"/>
  <c r="V14" i="3"/>
  <c r="U14" i="3"/>
  <c r="T14" i="3"/>
  <c r="S14" i="3"/>
  <c r="R14" i="3"/>
  <c r="Q14" i="3"/>
  <c r="P14" i="3"/>
  <c r="O14" i="3"/>
  <c r="N14" i="3"/>
  <c r="M14" i="3"/>
  <c r="L14" i="3"/>
  <c r="K14" i="3"/>
  <c r="J14" i="3"/>
  <c r="I14" i="3"/>
  <c r="H14" i="3"/>
  <c r="G14" i="3"/>
  <c r="F14" i="3"/>
  <c r="E14" i="3"/>
  <c r="D14" i="3"/>
  <c r="C14" i="3"/>
  <c r="B14" i="3"/>
  <c r="A14" i="3"/>
  <c r="AS13" i="3"/>
  <c r="AR13" i="3"/>
  <c r="AQ13" i="3"/>
  <c r="AP13" i="3"/>
  <c r="AO13" i="3"/>
  <c r="AN13"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F13" i="3"/>
  <c r="E13" i="3"/>
  <c r="D13" i="3"/>
  <c r="C13" i="3"/>
  <c r="B13" i="3"/>
  <c r="A13" i="3"/>
  <c r="AQ12"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D12" i="3"/>
  <c r="C12" i="3"/>
  <c r="B12" i="3"/>
  <c r="A12" i="3"/>
  <c r="AT11" i="3"/>
  <c r="AS11" i="3"/>
  <c r="AR11" i="3"/>
  <c r="AQ11" i="3"/>
  <c r="AP11" i="3"/>
  <c r="AO11" i="3"/>
  <c r="AN11"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c r="L11" i="3"/>
  <c r="K11" i="3"/>
  <c r="J11" i="3"/>
  <c r="I11" i="3"/>
  <c r="H11" i="3"/>
  <c r="G11" i="3"/>
  <c r="F11" i="3"/>
  <c r="E11" i="3"/>
  <c r="D11" i="3"/>
  <c r="C11" i="3"/>
  <c r="B11" i="3"/>
  <c r="A11"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F10" i="3"/>
  <c r="E10" i="3"/>
  <c r="D10" i="3"/>
  <c r="C10" i="3"/>
  <c r="B10" i="3"/>
  <c r="A10" i="3"/>
  <c r="AT9" i="3"/>
  <c r="AS9" i="3"/>
  <c r="AR9" i="3"/>
  <c r="AQ9" i="3"/>
  <c r="AP9" i="3"/>
  <c r="AO9" i="3"/>
  <c r="AN9" i="3"/>
  <c r="AM9" i="3"/>
  <c r="AL9" i="3"/>
  <c r="AK9" i="3"/>
  <c r="AJ9" i="3"/>
  <c r="AI9" i="3"/>
  <c r="AH9"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B9" i="3"/>
  <c r="A9" i="3"/>
  <c r="AT8" i="3"/>
  <c r="AS8" i="3"/>
  <c r="AR8" i="3"/>
  <c r="AQ8" i="3"/>
  <c r="AP8" i="3"/>
  <c r="AO8" i="3"/>
  <c r="AN8" i="3"/>
  <c r="AM8" i="3"/>
  <c r="AL8" i="3"/>
  <c r="AK8" i="3"/>
  <c r="AJ8" i="3"/>
  <c r="AI8" i="3"/>
  <c r="AH8" i="3"/>
  <c r="AG8" i="3"/>
  <c r="AF8" i="3"/>
  <c r="AE8" i="3"/>
  <c r="AD8" i="3"/>
  <c r="AC8" i="3"/>
  <c r="AB8" i="3"/>
  <c r="AA8" i="3"/>
  <c r="Z8" i="3"/>
  <c r="Y8" i="3"/>
  <c r="X8" i="3"/>
  <c r="W8" i="3"/>
  <c r="V8" i="3"/>
  <c r="U8" i="3"/>
  <c r="T8" i="3"/>
  <c r="S8" i="3"/>
  <c r="R8" i="3"/>
  <c r="Q8" i="3"/>
  <c r="P8" i="3"/>
  <c r="O8" i="3"/>
  <c r="N8" i="3"/>
  <c r="M8" i="3"/>
  <c r="L8" i="3"/>
  <c r="K8" i="3"/>
  <c r="J8" i="3"/>
  <c r="I8" i="3"/>
  <c r="H8" i="3"/>
  <c r="G8" i="3"/>
  <c r="F8" i="3"/>
  <c r="E8" i="3"/>
  <c r="D8" i="3"/>
  <c r="C8" i="3"/>
  <c r="B8" i="3"/>
  <c r="A8" i="3"/>
  <c r="AT7" i="3"/>
  <c r="AS7" i="3"/>
  <c r="AR7" i="3"/>
  <c r="AQ7" i="3"/>
  <c r="AP7" i="3"/>
  <c r="AO7" i="3"/>
  <c r="AN7" i="3"/>
  <c r="AM7" i="3"/>
  <c r="AL7" i="3"/>
  <c r="AK7" i="3"/>
  <c r="AJ7" i="3"/>
  <c r="AI7" i="3"/>
  <c r="AH7" i="3"/>
  <c r="AG7" i="3"/>
  <c r="AF7" i="3"/>
  <c r="AE7" i="3"/>
  <c r="AD7" i="3"/>
  <c r="AC7" i="3"/>
  <c r="AB7" i="3"/>
  <c r="AA7" i="3"/>
  <c r="Z7" i="3"/>
  <c r="Y7" i="3"/>
  <c r="X7" i="3"/>
  <c r="W7" i="3"/>
  <c r="V7" i="3"/>
  <c r="U7" i="3"/>
  <c r="T7" i="3"/>
  <c r="S7" i="3"/>
  <c r="R7" i="3"/>
  <c r="Q7" i="3"/>
  <c r="P7" i="3"/>
  <c r="O7" i="3"/>
  <c r="N7" i="3"/>
  <c r="M7" i="3"/>
  <c r="L7" i="3"/>
  <c r="K7" i="3"/>
  <c r="J7" i="3"/>
  <c r="I7" i="3"/>
  <c r="H7" i="3"/>
  <c r="G7" i="3"/>
  <c r="F7" i="3"/>
  <c r="E7" i="3"/>
  <c r="D7" i="3"/>
  <c r="C7" i="3"/>
  <c r="B7" i="3"/>
  <c r="A7" i="3"/>
  <c r="AT6" i="3"/>
  <c r="AS6" i="3"/>
  <c r="AR6" i="3"/>
  <c r="AQ6" i="3"/>
  <c r="AP6" i="3"/>
  <c r="AO6" i="3"/>
  <c r="AN6" i="3"/>
  <c r="AM6" i="3"/>
  <c r="AL6" i="3"/>
  <c r="AK6" i="3"/>
  <c r="AJ6" i="3"/>
  <c r="AI6" i="3"/>
  <c r="AH6" i="3"/>
  <c r="AG6" i="3"/>
  <c r="AF6" i="3"/>
  <c r="AE6" i="3"/>
  <c r="AD6" i="3"/>
  <c r="AC6" i="3"/>
  <c r="AB6" i="3"/>
  <c r="AA6" i="3"/>
  <c r="Z6" i="3"/>
  <c r="Y6" i="3"/>
  <c r="X6" i="3"/>
  <c r="W6" i="3"/>
  <c r="V6" i="3"/>
  <c r="U6" i="3"/>
  <c r="T6" i="3"/>
  <c r="S6" i="3"/>
  <c r="R6" i="3"/>
  <c r="Q6" i="3"/>
  <c r="P6" i="3"/>
  <c r="O6" i="3"/>
  <c r="N6" i="3"/>
  <c r="M6" i="3"/>
  <c r="L6" i="3"/>
  <c r="K6" i="3"/>
  <c r="J6" i="3"/>
  <c r="I6" i="3"/>
  <c r="H6" i="3"/>
  <c r="G6" i="3"/>
  <c r="F6" i="3"/>
  <c r="E6" i="3"/>
  <c r="D6" i="3"/>
  <c r="C6" i="3"/>
  <c r="B6" i="3"/>
  <c r="A6" i="3"/>
  <c r="AS5" i="3"/>
  <c r="AQ5" i="3"/>
  <c r="AM5" i="3"/>
  <c r="AL5" i="3"/>
  <c r="AK5" i="3"/>
  <c r="AJ5" i="3"/>
  <c r="AI5" i="3"/>
  <c r="AH5" i="3"/>
  <c r="AG5" i="3"/>
  <c r="AF5" i="3"/>
  <c r="AE5" i="3"/>
  <c r="AD5" i="3"/>
  <c r="AC5" i="3"/>
  <c r="AB5" i="3"/>
  <c r="AA5" i="3"/>
  <c r="Z5" i="3"/>
  <c r="Y5" i="3"/>
  <c r="X5" i="3"/>
  <c r="W5" i="3"/>
  <c r="V5" i="3"/>
  <c r="U5" i="3"/>
  <c r="T5" i="3"/>
  <c r="S5" i="3"/>
  <c r="R5" i="3"/>
  <c r="Q5" i="3"/>
  <c r="P5" i="3"/>
  <c r="O5" i="3"/>
  <c r="N5" i="3"/>
  <c r="M5" i="3"/>
  <c r="L5" i="3"/>
  <c r="K5" i="3"/>
  <c r="J5" i="3"/>
  <c r="I5" i="3"/>
  <c r="H5" i="3"/>
  <c r="G5" i="3"/>
  <c r="F5" i="3"/>
  <c r="E5" i="3"/>
  <c r="D5" i="3"/>
  <c r="C5" i="3"/>
  <c r="B5" i="3"/>
  <c r="A5" i="3"/>
  <c r="AT4" i="3"/>
  <c r="AS4" i="3"/>
  <c r="AR4" i="3"/>
  <c r="AQ4" i="3"/>
  <c r="AP4" i="3"/>
  <c r="AO4"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A4" i="3"/>
  <c r="AT3" i="3"/>
  <c r="AS3" i="3"/>
  <c r="AR3" i="3"/>
  <c r="AQ3" i="3"/>
  <c r="AP3" i="3"/>
  <c r="AO3" i="3"/>
  <c r="AN3" i="3"/>
  <c r="AM3" i="3"/>
  <c r="AL3" i="3"/>
  <c r="AK3" i="3"/>
  <c r="AJ3" i="3"/>
  <c r="AI3" i="3"/>
  <c r="AH3" i="3"/>
  <c r="AG3" i="3"/>
  <c r="AF3" i="3"/>
  <c r="AE3" i="3"/>
  <c r="AD3" i="3"/>
  <c r="AC3" i="3"/>
  <c r="AB3" i="3"/>
  <c r="AA3" i="3"/>
  <c r="Z3" i="3"/>
  <c r="Y3" i="3"/>
  <c r="X3" i="3"/>
  <c r="W3" i="3"/>
  <c r="V3" i="3"/>
  <c r="U3" i="3"/>
  <c r="T3" i="3"/>
  <c r="S3" i="3"/>
  <c r="R3" i="3"/>
  <c r="Q3" i="3"/>
  <c r="P3" i="3"/>
  <c r="O3" i="3"/>
  <c r="N3" i="3"/>
  <c r="M3" i="3"/>
  <c r="L3" i="3"/>
  <c r="K3" i="3"/>
  <c r="J3" i="3"/>
  <c r="I3" i="3"/>
  <c r="H3" i="3"/>
  <c r="G3" i="3"/>
  <c r="F3" i="3"/>
  <c r="E3" i="3"/>
  <c r="D3" i="3"/>
  <c r="C3" i="3"/>
  <c r="B3" i="3"/>
  <c r="A3" i="3"/>
  <c r="AT2" i="3"/>
  <c r="AS2" i="3"/>
  <c r="AR2" i="3"/>
  <c r="AQ2" i="3"/>
  <c r="AP2" i="3"/>
  <c r="AO2" i="3"/>
  <c r="AN2" i="3"/>
  <c r="AM2" i="3"/>
  <c r="AL2" i="3"/>
  <c r="AK2" i="3"/>
  <c r="AJ2" i="3"/>
  <c r="AI2" i="3"/>
  <c r="AH2" i="3"/>
  <c r="AG2" i="3"/>
  <c r="AF2" i="3"/>
  <c r="AE2" i="3"/>
  <c r="AD2" i="3"/>
  <c r="AC2" i="3"/>
  <c r="AB2" i="3"/>
  <c r="AA2" i="3"/>
  <c r="Z2" i="3"/>
  <c r="Y2" i="3"/>
  <c r="X2" i="3"/>
  <c r="W2" i="3"/>
  <c r="V2" i="3"/>
  <c r="U2" i="3"/>
  <c r="T2" i="3"/>
  <c r="S2" i="3"/>
  <c r="R2" i="3"/>
  <c r="Q2" i="3"/>
  <c r="P2" i="3"/>
  <c r="O2" i="3"/>
  <c r="N2" i="3"/>
  <c r="M2" i="3"/>
  <c r="L2" i="3"/>
  <c r="K2" i="3"/>
  <c r="J2" i="3"/>
  <c r="I2" i="3"/>
  <c r="H2" i="3"/>
  <c r="G2" i="3"/>
  <c r="F2" i="3"/>
  <c r="E2" i="3"/>
  <c r="D2" i="3"/>
  <c r="C2" i="3"/>
  <c r="B2" i="3"/>
  <c r="A2" i="3"/>
  <c r="AT212" i="2"/>
  <c r="AS212" i="2"/>
  <c r="AR212" i="2"/>
  <c r="AQ212" i="2"/>
  <c r="AP212" i="2"/>
  <c r="AO212" i="2"/>
  <c r="AN212" i="2"/>
  <c r="AM212" i="2"/>
  <c r="AL212" i="2"/>
  <c r="AK212" i="2"/>
  <c r="AJ212" i="2"/>
  <c r="AI212" i="2"/>
  <c r="AH212" i="2"/>
  <c r="AG212" i="2"/>
  <c r="AF212" i="2"/>
  <c r="AE212" i="2"/>
  <c r="AD212" i="2"/>
  <c r="AC212" i="2"/>
  <c r="AB212" i="2"/>
  <c r="AA212" i="2"/>
  <c r="Z212" i="2"/>
  <c r="Y212" i="2"/>
  <c r="X212" i="2"/>
  <c r="W212" i="2"/>
  <c r="V212" i="2"/>
  <c r="U212" i="2"/>
  <c r="T212" i="2"/>
  <c r="S212" i="2"/>
  <c r="R212" i="2"/>
  <c r="Q212" i="2"/>
  <c r="P212" i="2"/>
  <c r="O212" i="2"/>
  <c r="N212" i="2"/>
  <c r="M212" i="2"/>
  <c r="L212" i="2"/>
  <c r="K212" i="2"/>
  <c r="J212" i="2"/>
  <c r="I212" i="2"/>
  <c r="H212" i="2"/>
  <c r="G212" i="2"/>
  <c r="F212" i="2"/>
  <c r="E212" i="2"/>
  <c r="D212" i="2"/>
  <c r="C212" i="2"/>
  <c r="B212" i="2"/>
  <c r="A212" i="2"/>
  <c r="AT211" i="2"/>
  <c r="AS211" i="2"/>
  <c r="AR211" i="2"/>
  <c r="AQ211" i="2"/>
  <c r="AP211" i="2"/>
  <c r="AO211" i="2"/>
  <c r="AN211" i="2"/>
  <c r="AM211" i="2"/>
  <c r="AL211" i="2"/>
  <c r="AK211" i="2"/>
  <c r="AJ211" i="2"/>
  <c r="AI211" i="2"/>
  <c r="AH211" i="2"/>
  <c r="AG211" i="2"/>
  <c r="AF211" i="2"/>
  <c r="AE211" i="2"/>
  <c r="AD211" i="2"/>
  <c r="AC211" i="2"/>
  <c r="AB211" i="2"/>
  <c r="AA211" i="2"/>
  <c r="Z211" i="2"/>
  <c r="Y211" i="2"/>
  <c r="X211" i="2"/>
  <c r="W211" i="2"/>
  <c r="V211" i="2"/>
  <c r="U211" i="2"/>
  <c r="T211" i="2"/>
  <c r="S211" i="2"/>
  <c r="R211" i="2"/>
  <c r="Q211" i="2"/>
  <c r="P211" i="2"/>
  <c r="O211" i="2"/>
  <c r="N211" i="2"/>
  <c r="M211" i="2"/>
  <c r="L211" i="2"/>
  <c r="K211" i="2"/>
  <c r="J211" i="2"/>
  <c r="I211" i="2"/>
  <c r="H211" i="2"/>
  <c r="G211" i="2"/>
  <c r="F211" i="2"/>
  <c r="E211" i="2"/>
  <c r="D211" i="2"/>
  <c r="C211" i="2"/>
  <c r="B211" i="2"/>
  <c r="A211" i="2"/>
  <c r="AT210" i="2"/>
  <c r="AS210" i="2"/>
  <c r="AR210" i="2"/>
  <c r="AQ210" i="2"/>
  <c r="AP210" i="2"/>
  <c r="AO210" i="2"/>
  <c r="AN210" i="2"/>
  <c r="AM210" i="2"/>
  <c r="AL210" i="2"/>
  <c r="AK210" i="2"/>
  <c r="AJ210" i="2"/>
  <c r="AI210" i="2"/>
  <c r="AH210" i="2"/>
  <c r="AG210" i="2"/>
  <c r="AF210" i="2"/>
  <c r="AE210" i="2"/>
  <c r="AD210" i="2"/>
  <c r="AC210" i="2"/>
  <c r="AB210" i="2"/>
  <c r="AA210" i="2"/>
  <c r="Z210" i="2"/>
  <c r="Y210" i="2"/>
  <c r="X210" i="2"/>
  <c r="W210" i="2"/>
  <c r="V210" i="2"/>
  <c r="U210" i="2"/>
  <c r="T210" i="2"/>
  <c r="S210" i="2"/>
  <c r="R210" i="2"/>
  <c r="Q210" i="2"/>
  <c r="P210" i="2"/>
  <c r="O210" i="2"/>
  <c r="N210" i="2"/>
  <c r="M210" i="2"/>
  <c r="L210" i="2"/>
  <c r="K210" i="2"/>
  <c r="J210" i="2"/>
  <c r="I210" i="2"/>
  <c r="H210" i="2"/>
  <c r="G210" i="2"/>
  <c r="F210" i="2"/>
  <c r="E210" i="2"/>
  <c r="D210" i="2"/>
  <c r="C210" i="2"/>
  <c r="B210" i="2"/>
  <c r="A210" i="2"/>
  <c r="AT209" i="2"/>
  <c r="AS209" i="2"/>
  <c r="AR209" i="2"/>
  <c r="AQ209" i="2"/>
  <c r="AP209" i="2"/>
  <c r="AO209" i="2"/>
  <c r="AN209" i="2"/>
  <c r="AM209" i="2"/>
  <c r="AL209" i="2"/>
  <c r="AK209" i="2"/>
  <c r="AJ209" i="2"/>
  <c r="AI209" i="2"/>
  <c r="AH209" i="2"/>
  <c r="AG209" i="2"/>
  <c r="AF209" i="2"/>
  <c r="AE209" i="2"/>
  <c r="AD209" i="2"/>
  <c r="AC209" i="2"/>
  <c r="AB209" i="2"/>
  <c r="AA209" i="2"/>
  <c r="Z209" i="2"/>
  <c r="Y209" i="2"/>
  <c r="X209" i="2"/>
  <c r="W209" i="2"/>
  <c r="V209" i="2"/>
  <c r="U209" i="2"/>
  <c r="T209" i="2"/>
  <c r="S209" i="2"/>
  <c r="R209" i="2"/>
  <c r="Q209" i="2"/>
  <c r="P209" i="2"/>
  <c r="O209" i="2"/>
  <c r="N209" i="2"/>
  <c r="M209" i="2"/>
  <c r="L209" i="2"/>
  <c r="K209" i="2"/>
  <c r="J209" i="2"/>
  <c r="I209" i="2"/>
  <c r="H209" i="2"/>
  <c r="G209" i="2"/>
  <c r="F209" i="2"/>
  <c r="E209" i="2"/>
  <c r="D209" i="2"/>
  <c r="C209" i="2"/>
  <c r="B209" i="2"/>
  <c r="A209" i="2"/>
  <c r="AT208" i="2"/>
  <c r="AS208" i="2"/>
  <c r="AR208" i="2"/>
  <c r="AQ208" i="2"/>
  <c r="AP208" i="2"/>
  <c r="AO208" i="2"/>
  <c r="AN208" i="2"/>
  <c r="AM208" i="2"/>
  <c r="AL208" i="2"/>
  <c r="AK208" i="2"/>
  <c r="AJ208" i="2"/>
  <c r="AI208" i="2"/>
  <c r="AH208" i="2"/>
  <c r="AG208" i="2"/>
  <c r="AF208" i="2"/>
  <c r="AE208" i="2"/>
  <c r="AD208" i="2"/>
  <c r="AC208" i="2"/>
  <c r="AB208" i="2"/>
  <c r="AA208" i="2"/>
  <c r="Z208" i="2"/>
  <c r="Y208" i="2"/>
  <c r="X208" i="2"/>
  <c r="W208" i="2"/>
  <c r="V208" i="2"/>
  <c r="U208" i="2"/>
  <c r="T208" i="2"/>
  <c r="S208" i="2"/>
  <c r="R208" i="2"/>
  <c r="Q208" i="2"/>
  <c r="P208" i="2"/>
  <c r="O208" i="2"/>
  <c r="N208" i="2"/>
  <c r="M208" i="2"/>
  <c r="L208" i="2"/>
  <c r="K208" i="2"/>
  <c r="J208" i="2"/>
  <c r="I208" i="2"/>
  <c r="H208" i="2"/>
  <c r="G208" i="2"/>
  <c r="F208" i="2"/>
  <c r="E208" i="2"/>
  <c r="D208" i="2"/>
  <c r="C208" i="2"/>
  <c r="B208" i="2"/>
  <c r="A208" i="2"/>
  <c r="AT207" i="2"/>
  <c r="AS207" i="2"/>
  <c r="AR207" i="2"/>
  <c r="AQ207" i="2"/>
  <c r="AP207" i="2"/>
  <c r="AO207" i="2"/>
  <c r="AN207" i="2"/>
  <c r="AM207" i="2"/>
  <c r="AL207" i="2"/>
  <c r="AK207" i="2"/>
  <c r="AJ207" i="2"/>
  <c r="AI207" i="2"/>
  <c r="AH207" i="2"/>
  <c r="AG207" i="2"/>
  <c r="AF207" i="2"/>
  <c r="AE207" i="2"/>
  <c r="AD207" i="2"/>
  <c r="AC207" i="2"/>
  <c r="AB207" i="2"/>
  <c r="AA207" i="2"/>
  <c r="Z207" i="2"/>
  <c r="Y207" i="2"/>
  <c r="X207" i="2"/>
  <c r="W207" i="2"/>
  <c r="V207" i="2"/>
  <c r="U207" i="2"/>
  <c r="T207" i="2"/>
  <c r="S207" i="2"/>
  <c r="R207" i="2"/>
  <c r="Q207" i="2"/>
  <c r="P207" i="2"/>
  <c r="O207" i="2"/>
  <c r="N207" i="2"/>
  <c r="M207" i="2"/>
  <c r="L207" i="2"/>
  <c r="K207" i="2"/>
  <c r="J207" i="2"/>
  <c r="I207" i="2"/>
  <c r="H207" i="2"/>
  <c r="G207" i="2"/>
  <c r="F207" i="2"/>
  <c r="E207" i="2"/>
  <c r="D207" i="2"/>
  <c r="C207" i="2"/>
  <c r="B207" i="2"/>
  <c r="A207" i="2"/>
  <c r="AT206" i="2"/>
  <c r="AS206" i="2"/>
  <c r="AR206" i="2"/>
  <c r="AQ206" i="2"/>
  <c r="AP206" i="2"/>
  <c r="AO206" i="2"/>
  <c r="AN206" i="2"/>
  <c r="AM206" i="2"/>
  <c r="AL206" i="2"/>
  <c r="AK206" i="2"/>
  <c r="AJ206" i="2"/>
  <c r="AI206" i="2"/>
  <c r="AH206" i="2"/>
  <c r="AG206" i="2"/>
  <c r="AF206" i="2"/>
  <c r="AE206" i="2"/>
  <c r="AD206" i="2"/>
  <c r="AC206" i="2"/>
  <c r="AB206" i="2"/>
  <c r="AA206" i="2"/>
  <c r="Z206" i="2"/>
  <c r="Y206" i="2"/>
  <c r="X206" i="2"/>
  <c r="W206" i="2"/>
  <c r="V206" i="2"/>
  <c r="U206" i="2"/>
  <c r="T206" i="2"/>
  <c r="S206" i="2"/>
  <c r="R206" i="2"/>
  <c r="Q206" i="2"/>
  <c r="P206" i="2"/>
  <c r="O206" i="2"/>
  <c r="N206" i="2"/>
  <c r="M206" i="2"/>
  <c r="L206" i="2"/>
  <c r="K206" i="2"/>
  <c r="J206" i="2"/>
  <c r="I206" i="2"/>
  <c r="H206" i="2"/>
  <c r="G206" i="2"/>
  <c r="F206" i="2"/>
  <c r="E206" i="2"/>
  <c r="D206" i="2"/>
  <c r="C206" i="2"/>
  <c r="B206" i="2"/>
  <c r="A206" i="2"/>
  <c r="AT205" i="2"/>
  <c r="AS205" i="2"/>
  <c r="AR205" i="2"/>
  <c r="AQ205" i="2"/>
  <c r="AP205" i="2"/>
  <c r="AO205" i="2"/>
  <c r="AN205" i="2"/>
  <c r="AM205" i="2"/>
  <c r="AL205" i="2"/>
  <c r="AK205" i="2"/>
  <c r="AJ205" i="2"/>
  <c r="AI205" i="2"/>
  <c r="AH205" i="2"/>
  <c r="AG205" i="2"/>
  <c r="AF205" i="2"/>
  <c r="AE205" i="2"/>
  <c r="AD205" i="2"/>
  <c r="AC205" i="2"/>
  <c r="AB205" i="2"/>
  <c r="AA205" i="2"/>
  <c r="Z205" i="2"/>
  <c r="Y205" i="2"/>
  <c r="X205" i="2"/>
  <c r="W205" i="2"/>
  <c r="V205" i="2"/>
  <c r="U205" i="2"/>
  <c r="T205" i="2"/>
  <c r="S205" i="2"/>
  <c r="R205" i="2"/>
  <c r="Q205" i="2"/>
  <c r="P205" i="2"/>
  <c r="O205" i="2"/>
  <c r="N205" i="2"/>
  <c r="M205" i="2"/>
  <c r="L205" i="2"/>
  <c r="K205" i="2"/>
  <c r="J205" i="2"/>
  <c r="I205" i="2"/>
  <c r="H205" i="2"/>
  <c r="G205" i="2"/>
  <c r="F205" i="2"/>
  <c r="E205" i="2"/>
  <c r="D205" i="2"/>
  <c r="C205" i="2"/>
  <c r="B205" i="2"/>
  <c r="A205" i="2"/>
  <c r="AT204" i="2"/>
  <c r="AS204" i="2"/>
  <c r="AR204" i="2"/>
  <c r="AQ204" i="2"/>
  <c r="AP204" i="2"/>
  <c r="AO204" i="2"/>
  <c r="AN204" i="2"/>
  <c r="AM204" i="2"/>
  <c r="AL204" i="2"/>
  <c r="AK204" i="2"/>
  <c r="AJ204" i="2"/>
  <c r="AI204" i="2"/>
  <c r="AH204" i="2"/>
  <c r="AG204" i="2"/>
  <c r="AF204" i="2"/>
  <c r="AE204" i="2"/>
  <c r="AD204" i="2"/>
  <c r="AC204" i="2"/>
  <c r="AB204" i="2"/>
  <c r="AA204" i="2"/>
  <c r="Z204" i="2"/>
  <c r="Y204" i="2"/>
  <c r="X204" i="2"/>
  <c r="W204" i="2"/>
  <c r="V204" i="2"/>
  <c r="U204" i="2"/>
  <c r="T204" i="2"/>
  <c r="S204" i="2"/>
  <c r="R204" i="2"/>
  <c r="Q204" i="2"/>
  <c r="P204" i="2"/>
  <c r="O204" i="2"/>
  <c r="N204" i="2"/>
  <c r="M204" i="2"/>
  <c r="L204" i="2"/>
  <c r="K204" i="2"/>
  <c r="J204" i="2"/>
  <c r="I204" i="2"/>
  <c r="H204" i="2"/>
  <c r="G204" i="2"/>
  <c r="F204" i="2"/>
  <c r="E204" i="2"/>
  <c r="D204" i="2"/>
  <c r="C204" i="2"/>
  <c r="B204" i="2"/>
  <c r="A204" i="2"/>
  <c r="AT203" i="2"/>
  <c r="AS203" i="2"/>
  <c r="AR203" i="2"/>
  <c r="AQ203" i="2"/>
  <c r="AP203" i="2"/>
  <c r="AO203" i="2"/>
  <c r="AN203" i="2"/>
  <c r="AM203" i="2"/>
  <c r="AL203" i="2"/>
  <c r="AK203" i="2"/>
  <c r="AJ203" i="2"/>
  <c r="AI203" i="2"/>
  <c r="AH203" i="2"/>
  <c r="AG203" i="2"/>
  <c r="AF203" i="2"/>
  <c r="AE203" i="2"/>
  <c r="AD203" i="2"/>
  <c r="AC203" i="2"/>
  <c r="AB203" i="2"/>
  <c r="AA203" i="2"/>
  <c r="Z203" i="2"/>
  <c r="Y203" i="2"/>
  <c r="X203" i="2"/>
  <c r="W203" i="2"/>
  <c r="V203" i="2"/>
  <c r="U203" i="2"/>
  <c r="T203" i="2"/>
  <c r="S203" i="2"/>
  <c r="R203" i="2"/>
  <c r="Q203" i="2"/>
  <c r="P203" i="2"/>
  <c r="O203" i="2"/>
  <c r="N203" i="2"/>
  <c r="M203" i="2"/>
  <c r="L203" i="2"/>
  <c r="K203" i="2"/>
  <c r="J203" i="2"/>
  <c r="I203" i="2"/>
  <c r="H203" i="2"/>
  <c r="G203" i="2"/>
  <c r="F203" i="2"/>
  <c r="E203" i="2"/>
  <c r="D203" i="2"/>
  <c r="C203" i="2"/>
  <c r="B203" i="2"/>
  <c r="A203" i="2"/>
  <c r="AT202" i="2"/>
  <c r="AS202" i="2"/>
  <c r="AR202" i="2"/>
  <c r="AQ202" i="2"/>
  <c r="AP202" i="2"/>
  <c r="AO202" i="2"/>
  <c r="AN202" i="2"/>
  <c r="AM202" i="2"/>
  <c r="AL202" i="2"/>
  <c r="AK202" i="2"/>
  <c r="AJ202" i="2"/>
  <c r="AI202" i="2"/>
  <c r="AH202" i="2"/>
  <c r="AG202" i="2"/>
  <c r="AF202" i="2"/>
  <c r="AE202" i="2"/>
  <c r="AD202" i="2"/>
  <c r="AC202" i="2"/>
  <c r="AB202" i="2"/>
  <c r="AA202" i="2"/>
  <c r="Z202" i="2"/>
  <c r="Y202" i="2"/>
  <c r="X202" i="2"/>
  <c r="W202" i="2"/>
  <c r="V202" i="2"/>
  <c r="U202" i="2"/>
  <c r="T202" i="2"/>
  <c r="S202" i="2"/>
  <c r="R202" i="2"/>
  <c r="Q202" i="2"/>
  <c r="P202" i="2"/>
  <c r="O202" i="2"/>
  <c r="N202" i="2"/>
  <c r="M202" i="2"/>
  <c r="L202" i="2"/>
  <c r="K202" i="2"/>
  <c r="J202" i="2"/>
  <c r="I202" i="2"/>
  <c r="H202" i="2"/>
  <c r="G202" i="2"/>
  <c r="F202" i="2"/>
  <c r="E202" i="2"/>
  <c r="D202" i="2"/>
  <c r="C202" i="2"/>
  <c r="B202" i="2"/>
  <c r="A202" i="2"/>
  <c r="AT201" i="2"/>
  <c r="AS201" i="2"/>
  <c r="AR201" i="2"/>
  <c r="AQ201" i="2"/>
  <c r="AP201" i="2"/>
  <c r="AO201" i="2"/>
  <c r="AN201" i="2"/>
  <c r="AM201" i="2"/>
  <c r="AL201" i="2"/>
  <c r="AK201" i="2"/>
  <c r="AJ201" i="2"/>
  <c r="AI201" i="2"/>
  <c r="AH201" i="2"/>
  <c r="AG201" i="2"/>
  <c r="AF201" i="2"/>
  <c r="AE201" i="2"/>
  <c r="AD201" i="2"/>
  <c r="AC201" i="2"/>
  <c r="AB201" i="2"/>
  <c r="AA201" i="2"/>
  <c r="Z201" i="2"/>
  <c r="Y201" i="2"/>
  <c r="X201" i="2"/>
  <c r="W201" i="2"/>
  <c r="V201" i="2"/>
  <c r="U201" i="2"/>
  <c r="T201" i="2"/>
  <c r="S201" i="2"/>
  <c r="R201" i="2"/>
  <c r="Q201" i="2"/>
  <c r="P201" i="2"/>
  <c r="O201" i="2"/>
  <c r="N201" i="2"/>
  <c r="M201" i="2"/>
  <c r="L201" i="2"/>
  <c r="K201" i="2"/>
  <c r="J201" i="2"/>
  <c r="I201" i="2"/>
  <c r="H201" i="2"/>
  <c r="G201" i="2"/>
  <c r="F201" i="2"/>
  <c r="E201" i="2"/>
  <c r="D201" i="2"/>
  <c r="C201" i="2"/>
  <c r="B201" i="2"/>
  <c r="A201" i="2"/>
  <c r="AT200" i="2"/>
  <c r="AS200" i="2"/>
  <c r="AR200" i="2"/>
  <c r="AQ200" i="2"/>
  <c r="AP200" i="2"/>
  <c r="AO200" i="2"/>
  <c r="AN200" i="2"/>
  <c r="AM200" i="2"/>
  <c r="AL200" i="2"/>
  <c r="AK200" i="2"/>
  <c r="AJ200" i="2"/>
  <c r="AI200" i="2"/>
  <c r="AH200" i="2"/>
  <c r="AG200" i="2"/>
  <c r="AF200" i="2"/>
  <c r="AE200" i="2"/>
  <c r="AD200" i="2"/>
  <c r="AC200" i="2"/>
  <c r="AB200" i="2"/>
  <c r="AA200" i="2"/>
  <c r="Z200" i="2"/>
  <c r="Y200" i="2"/>
  <c r="X200" i="2"/>
  <c r="W200" i="2"/>
  <c r="V200" i="2"/>
  <c r="U200" i="2"/>
  <c r="T200" i="2"/>
  <c r="S200" i="2"/>
  <c r="R200" i="2"/>
  <c r="Q200" i="2"/>
  <c r="P200" i="2"/>
  <c r="O200" i="2"/>
  <c r="N200" i="2"/>
  <c r="M200" i="2"/>
  <c r="L200" i="2"/>
  <c r="K200" i="2"/>
  <c r="J200" i="2"/>
  <c r="I200" i="2"/>
  <c r="H200" i="2"/>
  <c r="G200" i="2"/>
  <c r="F200" i="2"/>
  <c r="E200" i="2"/>
  <c r="D200" i="2"/>
  <c r="C200" i="2"/>
  <c r="B200" i="2"/>
  <c r="A200" i="2"/>
  <c r="AT199" i="2"/>
  <c r="AS199" i="2"/>
  <c r="AR199" i="2"/>
  <c r="AQ199" i="2"/>
  <c r="AP199" i="2"/>
  <c r="AO199" i="2"/>
  <c r="AN199" i="2"/>
  <c r="AM199" i="2"/>
  <c r="AL199" i="2"/>
  <c r="AK199" i="2"/>
  <c r="AJ199" i="2"/>
  <c r="AI199" i="2"/>
  <c r="AH199" i="2"/>
  <c r="AG199" i="2"/>
  <c r="AF199" i="2"/>
  <c r="AE199" i="2"/>
  <c r="AD199" i="2"/>
  <c r="AC199" i="2"/>
  <c r="AB199" i="2"/>
  <c r="AA199" i="2"/>
  <c r="Z199" i="2"/>
  <c r="Y199" i="2"/>
  <c r="X199" i="2"/>
  <c r="W199" i="2"/>
  <c r="V199" i="2"/>
  <c r="U199" i="2"/>
  <c r="T199" i="2"/>
  <c r="S199" i="2"/>
  <c r="R199" i="2"/>
  <c r="Q199" i="2"/>
  <c r="P199" i="2"/>
  <c r="O199" i="2"/>
  <c r="N199" i="2"/>
  <c r="M199" i="2"/>
  <c r="L199" i="2"/>
  <c r="K199" i="2"/>
  <c r="J199" i="2"/>
  <c r="I199" i="2"/>
  <c r="H199" i="2"/>
  <c r="G199" i="2"/>
  <c r="F199" i="2"/>
  <c r="E199" i="2"/>
  <c r="D199" i="2"/>
  <c r="C199" i="2"/>
  <c r="B199" i="2"/>
  <c r="A199" i="2"/>
  <c r="AT198" i="2"/>
  <c r="AS198" i="2"/>
  <c r="AR198" i="2"/>
  <c r="AQ198" i="2"/>
  <c r="AP198" i="2"/>
  <c r="AO198" i="2"/>
  <c r="AN198" i="2"/>
  <c r="AM198" i="2"/>
  <c r="AL198" i="2"/>
  <c r="AK198" i="2"/>
  <c r="AJ198" i="2"/>
  <c r="AI198" i="2"/>
  <c r="AH198" i="2"/>
  <c r="AG198" i="2"/>
  <c r="AF198" i="2"/>
  <c r="AE198" i="2"/>
  <c r="AD198" i="2"/>
  <c r="AC198" i="2"/>
  <c r="AB198" i="2"/>
  <c r="AA198" i="2"/>
  <c r="Z198" i="2"/>
  <c r="Y198" i="2"/>
  <c r="X198" i="2"/>
  <c r="W198" i="2"/>
  <c r="V198" i="2"/>
  <c r="U198" i="2"/>
  <c r="T198" i="2"/>
  <c r="S198" i="2"/>
  <c r="R198" i="2"/>
  <c r="Q198" i="2"/>
  <c r="P198" i="2"/>
  <c r="O198" i="2"/>
  <c r="N198" i="2"/>
  <c r="M198" i="2"/>
  <c r="L198" i="2"/>
  <c r="K198" i="2"/>
  <c r="J198" i="2"/>
  <c r="I198" i="2"/>
  <c r="H198" i="2"/>
  <c r="G198" i="2"/>
  <c r="F198" i="2"/>
  <c r="E198" i="2"/>
  <c r="D198" i="2"/>
  <c r="C198" i="2"/>
  <c r="B198" i="2"/>
  <c r="A198" i="2"/>
  <c r="AT197" i="2"/>
  <c r="AS197" i="2"/>
  <c r="AR197" i="2"/>
  <c r="AQ197" i="2"/>
  <c r="AP197" i="2"/>
  <c r="AO197" i="2"/>
  <c r="AN197" i="2"/>
  <c r="AM197" i="2"/>
  <c r="AL197" i="2"/>
  <c r="AK197" i="2"/>
  <c r="AJ197" i="2"/>
  <c r="AI197" i="2"/>
  <c r="AH197" i="2"/>
  <c r="AG197" i="2"/>
  <c r="AF197" i="2"/>
  <c r="AE197" i="2"/>
  <c r="AD197" i="2"/>
  <c r="AC197" i="2"/>
  <c r="AB197" i="2"/>
  <c r="AA197" i="2"/>
  <c r="Z197" i="2"/>
  <c r="Y197" i="2"/>
  <c r="X197" i="2"/>
  <c r="W197" i="2"/>
  <c r="V197" i="2"/>
  <c r="U197" i="2"/>
  <c r="T197" i="2"/>
  <c r="S197" i="2"/>
  <c r="R197" i="2"/>
  <c r="Q197" i="2"/>
  <c r="P197" i="2"/>
  <c r="O197" i="2"/>
  <c r="N197" i="2"/>
  <c r="M197" i="2"/>
  <c r="L197" i="2"/>
  <c r="K197" i="2"/>
  <c r="J197" i="2"/>
  <c r="I197" i="2"/>
  <c r="H197" i="2"/>
  <c r="G197" i="2"/>
  <c r="F197" i="2"/>
  <c r="E197" i="2"/>
  <c r="D197" i="2"/>
  <c r="C197" i="2"/>
  <c r="B197" i="2"/>
  <c r="A197" i="2"/>
  <c r="AT196" i="2"/>
  <c r="AS196" i="2"/>
  <c r="AR196" i="2"/>
  <c r="AQ196" i="2"/>
  <c r="AP196" i="2"/>
  <c r="AO196" i="2"/>
  <c r="AN196" i="2"/>
  <c r="AM196" i="2"/>
  <c r="AL196" i="2"/>
  <c r="AK196" i="2"/>
  <c r="AJ196" i="2"/>
  <c r="AI196" i="2"/>
  <c r="AH196" i="2"/>
  <c r="AG196" i="2"/>
  <c r="AF196" i="2"/>
  <c r="AE196" i="2"/>
  <c r="AD196" i="2"/>
  <c r="AC196" i="2"/>
  <c r="AB196" i="2"/>
  <c r="AA196" i="2"/>
  <c r="Z196" i="2"/>
  <c r="Y196" i="2"/>
  <c r="X196" i="2"/>
  <c r="W196" i="2"/>
  <c r="V196" i="2"/>
  <c r="U196" i="2"/>
  <c r="T196" i="2"/>
  <c r="S196" i="2"/>
  <c r="R196" i="2"/>
  <c r="Q196" i="2"/>
  <c r="P196" i="2"/>
  <c r="O196" i="2"/>
  <c r="N196" i="2"/>
  <c r="M196" i="2"/>
  <c r="L196" i="2"/>
  <c r="K196" i="2"/>
  <c r="J196" i="2"/>
  <c r="I196" i="2"/>
  <c r="H196" i="2"/>
  <c r="G196" i="2"/>
  <c r="F196" i="2"/>
  <c r="E196" i="2"/>
  <c r="D196" i="2"/>
  <c r="C196" i="2"/>
  <c r="B196" i="2"/>
  <c r="A196" i="2"/>
  <c r="AT195" i="2"/>
  <c r="AS195" i="2"/>
  <c r="AR195" i="2"/>
  <c r="AQ195" i="2"/>
  <c r="AP195" i="2"/>
  <c r="AO195" i="2"/>
  <c r="AN195" i="2"/>
  <c r="AM195" i="2"/>
  <c r="AL195" i="2"/>
  <c r="AK195" i="2"/>
  <c r="AJ195" i="2"/>
  <c r="AI195" i="2"/>
  <c r="AH195" i="2"/>
  <c r="AG195" i="2"/>
  <c r="AF195" i="2"/>
  <c r="AE195" i="2"/>
  <c r="AD195" i="2"/>
  <c r="AC195" i="2"/>
  <c r="AB195" i="2"/>
  <c r="AA195" i="2"/>
  <c r="Z195" i="2"/>
  <c r="Y195" i="2"/>
  <c r="X195" i="2"/>
  <c r="W195" i="2"/>
  <c r="V195" i="2"/>
  <c r="U195" i="2"/>
  <c r="T195" i="2"/>
  <c r="S195" i="2"/>
  <c r="R195" i="2"/>
  <c r="Q195" i="2"/>
  <c r="P195" i="2"/>
  <c r="O195" i="2"/>
  <c r="N195" i="2"/>
  <c r="M195" i="2"/>
  <c r="L195" i="2"/>
  <c r="K195" i="2"/>
  <c r="J195" i="2"/>
  <c r="I195" i="2"/>
  <c r="H195" i="2"/>
  <c r="G195" i="2"/>
  <c r="F195" i="2"/>
  <c r="E195" i="2"/>
  <c r="D195" i="2"/>
  <c r="C195" i="2"/>
  <c r="B195" i="2"/>
  <c r="A195" i="2"/>
  <c r="AT194" i="2"/>
  <c r="AS194" i="2"/>
  <c r="AR194" i="2"/>
  <c r="AQ194" i="2"/>
  <c r="AP194" i="2"/>
  <c r="AO194" i="2"/>
  <c r="AN194" i="2"/>
  <c r="AM194" i="2"/>
  <c r="AL194" i="2"/>
  <c r="AK194" i="2"/>
  <c r="AJ194" i="2"/>
  <c r="AI194" i="2"/>
  <c r="AH194" i="2"/>
  <c r="AG194" i="2"/>
  <c r="AF194" i="2"/>
  <c r="AE194" i="2"/>
  <c r="AD194" i="2"/>
  <c r="AC194" i="2"/>
  <c r="AB194" i="2"/>
  <c r="AA194" i="2"/>
  <c r="Z194" i="2"/>
  <c r="Y194" i="2"/>
  <c r="X194" i="2"/>
  <c r="W194" i="2"/>
  <c r="V194" i="2"/>
  <c r="U194" i="2"/>
  <c r="T194" i="2"/>
  <c r="S194" i="2"/>
  <c r="R194" i="2"/>
  <c r="Q194" i="2"/>
  <c r="P194" i="2"/>
  <c r="O194" i="2"/>
  <c r="N194" i="2"/>
  <c r="M194" i="2"/>
  <c r="L194" i="2"/>
  <c r="K194" i="2"/>
  <c r="J194" i="2"/>
  <c r="I194" i="2"/>
  <c r="H194" i="2"/>
  <c r="G194" i="2"/>
  <c r="F194" i="2"/>
  <c r="E194" i="2"/>
  <c r="D194" i="2"/>
  <c r="C194" i="2"/>
  <c r="B194" i="2"/>
  <c r="A194" i="2"/>
  <c r="AT193" i="2"/>
  <c r="AS193" i="2"/>
  <c r="AR193" i="2"/>
  <c r="AQ193" i="2"/>
  <c r="AP193" i="2"/>
  <c r="AO193" i="2"/>
  <c r="AN193" i="2"/>
  <c r="AM193" i="2"/>
  <c r="AL193" i="2"/>
  <c r="AK193" i="2"/>
  <c r="AJ193" i="2"/>
  <c r="AI193" i="2"/>
  <c r="AH193" i="2"/>
  <c r="AG193" i="2"/>
  <c r="AF193" i="2"/>
  <c r="AE193" i="2"/>
  <c r="AD193" i="2"/>
  <c r="AC193" i="2"/>
  <c r="AB193" i="2"/>
  <c r="AA193" i="2"/>
  <c r="Z193" i="2"/>
  <c r="Y193" i="2"/>
  <c r="X193" i="2"/>
  <c r="W193" i="2"/>
  <c r="V193" i="2"/>
  <c r="U193" i="2"/>
  <c r="T193" i="2"/>
  <c r="S193" i="2"/>
  <c r="R193" i="2"/>
  <c r="Q193" i="2"/>
  <c r="P193" i="2"/>
  <c r="O193" i="2"/>
  <c r="N193" i="2"/>
  <c r="M193" i="2"/>
  <c r="L193" i="2"/>
  <c r="K193" i="2"/>
  <c r="J193" i="2"/>
  <c r="I193" i="2"/>
  <c r="H193" i="2"/>
  <c r="G193" i="2"/>
  <c r="F193" i="2"/>
  <c r="E193" i="2"/>
  <c r="D193" i="2"/>
  <c r="C193" i="2"/>
  <c r="B193" i="2"/>
  <c r="A193" i="2"/>
  <c r="AT192" i="2"/>
  <c r="AS192" i="2"/>
  <c r="AR192" i="2"/>
  <c r="AQ192" i="2"/>
  <c r="AP192" i="2"/>
  <c r="AO192" i="2"/>
  <c r="AN192" i="2"/>
  <c r="AM192" i="2"/>
  <c r="AL192" i="2"/>
  <c r="AK192" i="2"/>
  <c r="AJ192" i="2"/>
  <c r="AI192" i="2"/>
  <c r="AH192" i="2"/>
  <c r="AG192" i="2"/>
  <c r="AF192" i="2"/>
  <c r="AE192" i="2"/>
  <c r="AD192" i="2"/>
  <c r="AC192" i="2"/>
  <c r="AB192" i="2"/>
  <c r="AA192" i="2"/>
  <c r="Z192" i="2"/>
  <c r="Y192" i="2"/>
  <c r="X192" i="2"/>
  <c r="W192" i="2"/>
  <c r="V192" i="2"/>
  <c r="U192" i="2"/>
  <c r="T192" i="2"/>
  <c r="S192" i="2"/>
  <c r="R192" i="2"/>
  <c r="Q192" i="2"/>
  <c r="P192" i="2"/>
  <c r="O192" i="2"/>
  <c r="N192" i="2"/>
  <c r="M192" i="2"/>
  <c r="L192" i="2"/>
  <c r="K192" i="2"/>
  <c r="J192" i="2"/>
  <c r="I192" i="2"/>
  <c r="H192" i="2"/>
  <c r="G192" i="2"/>
  <c r="F192" i="2"/>
  <c r="E192" i="2"/>
  <c r="D192" i="2"/>
  <c r="C192" i="2"/>
  <c r="B192" i="2"/>
  <c r="A192" i="2"/>
  <c r="AT191" i="2"/>
  <c r="AS191" i="2"/>
  <c r="AR191" i="2"/>
  <c r="AQ191" i="2"/>
  <c r="AP191" i="2"/>
  <c r="AO191" i="2"/>
  <c r="AN191" i="2"/>
  <c r="AM191" i="2"/>
  <c r="AL191" i="2"/>
  <c r="AK191" i="2"/>
  <c r="AJ191" i="2"/>
  <c r="AI191" i="2"/>
  <c r="AH191" i="2"/>
  <c r="AG191" i="2"/>
  <c r="AF191" i="2"/>
  <c r="AE191" i="2"/>
  <c r="AD191" i="2"/>
  <c r="AC191" i="2"/>
  <c r="AB191" i="2"/>
  <c r="AA191" i="2"/>
  <c r="Z191" i="2"/>
  <c r="Y191" i="2"/>
  <c r="X191" i="2"/>
  <c r="W191" i="2"/>
  <c r="V191" i="2"/>
  <c r="U191" i="2"/>
  <c r="T191" i="2"/>
  <c r="S191" i="2"/>
  <c r="R191" i="2"/>
  <c r="Q191" i="2"/>
  <c r="P191" i="2"/>
  <c r="O191" i="2"/>
  <c r="N191" i="2"/>
  <c r="M191" i="2"/>
  <c r="L191" i="2"/>
  <c r="K191" i="2"/>
  <c r="J191" i="2"/>
  <c r="I191" i="2"/>
  <c r="H191" i="2"/>
  <c r="G191" i="2"/>
  <c r="F191" i="2"/>
  <c r="E191" i="2"/>
  <c r="D191" i="2"/>
  <c r="C191" i="2"/>
  <c r="B191" i="2"/>
  <c r="A191" i="2"/>
  <c r="AT190" i="2"/>
  <c r="AS190" i="2"/>
  <c r="AR190" i="2"/>
  <c r="AQ190" i="2"/>
  <c r="AP190" i="2"/>
  <c r="AO190" i="2"/>
  <c r="AN190" i="2"/>
  <c r="AM190" i="2"/>
  <c r="AL190" i="2"/>
  <c r="AK190" i="2"/>
  <c r="AJ190" i="2"/>
  <c r="AI190" i="2"/>
  <c r="AH190" i="2"/>
  <c r="AG190" i="2"/>
  <c r="AF190" i="2"/>
  <c r="AE190" i="2"/>
  <c r="AD190" i="2"/>
  <c r="AC190" i="2"/>
  <c r="AB190" i="2"/>
  <c r="AA190" i="2"/>
  <c r="Z190" i="2"/>
  <c r="Y190" i="2"/>
  <c r="X190" i="2"/>
  <c r="W190" i="2"/>
  <c r="V190" i="2"/>
  <c r="U190" i="2"/>
  <c r="T190" i="2"/>
  <c r="S190" i="2"/>
  <c r="R190" i="2"/>
  <c r="Q190" i="2"/>
  <c r="P190" i="2"/>
  <c r="O190" i="2"/>
  <c r="N190" i="2"/>
  <c r="M190" i="2"/>
  <c r="L190" i="2"/>
  <c r="K190" i="2"/>
  <c r="J190" i="2"/>
  <c r="I190" i="2"/>
  <c r="H190" i="2"/>
  <c r="G190" i="2"/>
  <c r="F190" i="2"/>
  <c r="E190" i="2"/>
  <c r="D190" i="2"/>
  <c r="C190" i="2"/>
  <c r="B190" i="2"/>
  <c r="A190" i="2"/>
  <c r="AT189" i="2"/>
  <c r="AS189" i="2"/>
  <c r="AR189" i="2"/>
  <c r="AQ189" i="2"/>
  <c r="AP189" i="2"/>
  <c r="AO189" i="2"/>
  <c r="AN189" i="2"/>
  <c r="AM189" i="2"/>
  <c r="AL189" i="2"/>
  <c r="AK189" i="2"/>
  <c r="AJ189" i="2"/>
  <c r="AI189" i="2"/>
  <c r="AH189" i="2"/>
  <c r="AG189" i="2"/>
  <c r="AF189" i="2"/>
  <c r="AE189" i="2"/>
  <c r="AD189" i="2"/>
  <c r="AC189" i="2"/>
  <c r="AB189" i="2"/>
  <c r="AA189" i="2"/>
  <c r="Z189" i="2"/>
  <c r="Y189" i="2"/>
  <c r="X189" i="2"/>
  <c r="W189" i="2"/>
  <c r="V189" i="2"/>
  <c r="U189" i="2"/>
  <c r="T189" i="2"/>
  <c r="S189" i="2"/>
  <c r="Q189" i="2"/>
  <c r="P189" i="2"/>
  <c r="O189" i="2"/>
  <c r="N189" i="2"/>
  <c r="M189" i="2"/>
  <c r="L189" i="2"/>
  <c r="K189" i="2"/>
  <c r="J189" i="2"/>
  <c r="I189" i="2"/>
  <c r="H189" i="2"/>
  <c r="G189" i="2"/>
  <c r="F189" i="2"/>
  <c r="E189" i="2"/>
  <c r="D189" i="2"/>
  <c r="C189" i="2"/>
  <c r="B189" i="2"/>
  <c r="A189" i="2"/>
  <c r="AT188" i="2"/>
  <c r="AS188" i="2"/>
  <c r="AR188" i="2"/>
  <c r="AQ188" i="2"/>
  <c r="AP188" i="2"/>
  <c r="AO188" i="2"/>
  <c r="AN188" i="2"/>
  <c r="AM188" i="2"/>
  <c r="AL188" i="2"/>
  <c r="AK188" i="2"/>
  <c r="AJ188" i="2"/>
  <c r="AI188" i="2"/>
  <c r="AH188" i="2"/>
  <c r="AG188" i="2"/>
  <c r="AF188" i="2"/>
  <c r="AE188" i="2"/>
  <c r="AD188" i="2"/>
  <c r="AC188" i="2"/>
  <c r="AB188" i="2"/>
  <c r="AA188" i="2"/>
  <c r="Z188" i="2"/>
  <c r="Y188" i="2"/>
  <c r="X188" i="2"/>
  <c r="W188" i="2"/>
  <c r="V188" i="2"/>
  <c r="U188" i="2"/>
  <c r="T188" i="2"/>
  <c r="S188" i="2"/>
  <c r="R188" i="2"/>
  <c r="Q188" i="2"/>
  <c r="P188" i="2"/>
  <c r="O188" i="2"/>
  <c r="N188" i="2"/>
  <c r="M188" i="2"/>
  <c r="L188" i="2"/>
  <c r="K188" i="2"/>
  <c r="J188" i="2"/>
  <c r="I188" i="2"/>
  <c r="H188" i="2"/>
  <c r="G188" i="2"/>
  <c r="F188" i="2"/>
  <c r="E188" i="2"/>
  <c r="D188" i="2"/>
  <c r="C188" i="2"/>
  <c r="B188" i="2"/>
  <c r="A188" i="2"/>
  <c r="AT187" i="2"/>
  <c r="AS187" i="2"/>
  <c r="AR187" i="2"/>
  <c r="AQ187" i="2"/>
  <c r="AP187" i="2"/>
  <c r="AO187" i="2"/>
  <c r="AN187" i="2"/>
  <c r="AM187" i="2"/>
  <c r="AL187" i="2"/>
  <c r="AK187" i="2"/>
  <c r="AJ187" i="2"/>
  <c r="AI187" i="2"/>
  <c r="AH187" i="2"/>
  <c r="AG187" i="2"/>
  <c r="AF187" i="2"/>
  <c r="AE187" i="2"/>
  <c r="AD187" i="2"/>
  <c r="AC187" i="2"/>
  <c r="AB187" i="2"/>
  <c r="AA187" i="2"/>
  <c r="Z187" i="2"/>
  <c r="Y187" i="2"/>
  <c r="X187" i="2"/>
  <c r="W187" i="2"/>
  <c r="V187" i="2"/>
  <c r="U187" i="2"/>
  <c r="T187" i="2"/>
  <c r="S187" i="2"/>
  <c r="R187" i="2"/>
  <c r="Q187" i="2"/>
  <c r="P187" i="2"/>
  <c r="O187" i="2"/>
  <c r="N187" i="2"/>
  <c r="M187" i="2"/>
  <c r="L187" i="2"/>
  <c r="K187" i="2"/>
  <c r="J187" i="2"/>
  <c r="I187" i="2"/>
  <c r="H187" i="2"/>
  <c r="G187" i="2"/>
  <c r="F187" i="2"/>
  <c r="E187" i="2"/>
  <c r="D187" i="2"/>
  <c r="C187" i="2"/>
  <c r="B187" i="2"/>
  <c r="A187" i="2"/>
  <c r="AT186" i="2"/>
  <c r="AS186" i="2"/>
  <c r="AR186" i="2"/>
  <c r="AQ186" i="2"/>
  <c r="AP186" i="2"/>
  <c r="AO186" i="2"/>
  <c r="AN186" i="2"/>
  <c r="AM186" i="2"/>
  <c r="AL186" i="2"/>
  <c r="AK186" i="2"/>
  <c r="AJ186" i="2"/>
  <c r="AI186" i="2"/>
  <c r="AH186" i="2"/>
  <c r="AG186" i="2"/>
  <c r="AF186" i="2"/>
  <c r="AE186" i="2"/>
  <c r="AD186" i="2"/>
  <c r="AC186" i="2"/>
  <c r="AB186" i="2"/>
  <c r="AA186" i="2"/>
  <c r="Z186" i="2"/>
  <c r="Y186" i="2"/>
  <c r="X186" i="2"/>
  <c r="W186" i="2"/>
  <c r="V186" i="2"/>
  <c r="U186" i="2"/>
  <c r="T186" i="2"/>
  <c r="S186" i="2"/>
  <c r="R186" i="2"/>
  <c r="Q186" i="2"/>
  <c r="P186" i="2"/>
  <c r="O186" i="2"/>
  <c r="N186" i="2"/>
  <c r="M186" i="2"/>
  <c r="L186" i="2"/>
  <c r="K186" i="2"/>
  <c r="J186" i="2"/>
  <c r="I186" i="2"/>
  <c r="H186" i="2"/>
  <c r="G186" i="2"/>
  <c r="E186" i="2"/>
  <c r="D186" i="2"/>
  <c r="C186" i="2"/>
  <c r="B186" i="2"/>
  <c r="A186" i="2"/>
  <c r="AT185" i="2"/>
  <c r="AS185" i="2"/>
  <c r="AR185" i="2"/>
  <c r="AQ185" i="2"/>
  <c r="AP185" i="2"/>
  <c r="AO185" i="2"/>
  <c r="AN185" i="2"/>
  <c r="AM185" i="2"/>
  <c r="AL185" i="2"/>
  <c r="AK185" i="2"/>
  <c r="AJ185" i="2"/>
  <c r="AI185" i="2"/>
  <c r="AH185" i="2"/>
  <c r="AG185" i="2"/>
  <c r="AF185" i="2"/>
  <c r="AE185" i="2"/>
  <c r="AD185" i="2"/>
  <c r="AC185" i="2"/>
  <c r="AB185" i="2"/>
  <c r="AA185" i="2"/>
  <c r="Z185" i="2"/>
  <c r="Y185" i="2"/>
  <c r="X185" i="2"/>
  <c r="W185" i="2"/>
  <c r="V185" i="2"/>
  <c r="U185" i="2"/>
  <c r="T185" i="2"/>
  <c r="S185" i="2"/>
  <c r="R185" i="2"/>
  <c r="Q185" i="2"/>
  <c r="P185" i="2"/>
  <c r="O185" i="2"/>
  <c r="N185" i="2"/>
  <c r="M185" i="2"/>
  <c r="L185" i="2"/>
  <c r="K185" i="2"/>
  <c r="J185" i="2"/>
  <c r="I185" i="2"/>
  <c r="H185" i="2"/>
  <c r="G185" i="2"/>
  <c r="F185" i="2"/>
  <c r="E185" i="2"/>
  <c r="D185" i="2"/>
  <c r="C185" i="2"/>
  <c r="B185" i="2"/>
  <c r="A185" i="2"/>
  <c r="AT184" i="2"/>
  <c r="AS184" i="2"/>
  <c r="AR184" i="2"/>
  <c r="AQ184" i="2"/>
  <c r="AP184" i="2"/>
  <c r="AO184" i="2"/>
  <c r="AN184" i="2"/>
  <c r="AM184" i="2"/>
  <c r="AL184" i="2"/>
  <c r="AK184" i="2"/>
  <c r="AJ184" i="2"/>
  <c r="AI184" i="2"/>
  <c r="AH184" i="2"/>
  <c r="AG184" i="2"/>
  <c r="AF184" i="2"/>
  <c r="AE184" i="2"/>
  <c r="AD184" i="2"/>
  <c r="AC184" i="2"/>
  <c r="AB184" i="2"/>
  <c r="AA184" i="2"/>
  <c r="Z184" i="2"/>
  <c r="Y184" i="2"/>
  <c r="X184" i="2"/>
  <c r="W184" i="2"/>
  <c r="V184" i="2"/>
  <c r="U184" i="2"/>
  <c r="T184" i="2"/>
  <c r="S184" i="2"/>
  <c r="R184" i="2"/>
  <c r="Q184" i="2"/>
  <c r="P184" i="2"/>
  <c r="O184" i="2"/>
  <c r="N184" i="2"/>
  <c r="M184" i="2"/>
  <c r="L184" i="2"/>
  <c r="K184" i="2"/>
  <c r="J184" i="2"/>
  <c r="I184" i="2"/>
  <c r="H184" i="2"/>
  <c r="G184" i="2"/>
  <c r="F184" i="2"/>
  <c r="E184" i="2"/>
  <c r="D184" i="2"/>
  <c r="C184" i="2"/>
  <c r="B184" i="2"/>
  <c r="A184" i="2"/>
  <c r="AT183" i="2"/>
  <c r="AS183" i="2"/>
  <c r="AR183" i="2"/>
  <c r="AQ183" i="2"/>
  <c r="AP183" i="2"/>
  <c r="AO183" i="2"/>
  <c r="AN183" i="2"/>
  <c r="AM183" i="2"/>
  <c r="AL183" i="2"/>
  <c r="AK183" i="2"/>
  <c r="AJ183" i="2"/>
  <c r="AI183" i="2"/>
  <c r="AH183" i="2"/>
  <c r="AG183" i="2"/>
  <c r="AF183" i="2"/>
  <c r="AE183" i="2"/>
  <c r="AD183" i="2"/>
  <c r="AC183" i="2"/>
  <c r="AB183" i="2"/>
  <c r="AA183" i="2"/>
  <c r="Z183" i="2"/>
  <c r="Y183" i="2"/>
  <c r="X183" i="2"/>
  <c r="W183" i="2"/>
  <c r="V183" i="2"/>
  <c r="U183" i="2"/>
  <c r="T183" i="2"/>
  <c r="S183" i="2"/>
  <c r="R183" i="2"/>
  <c r="Q183" i="2"/>
  <c r="P183" i="2"/>
  <c r="O183" i="2"/>
  <c r="N183" i="2"/>
  <c r="M183" i="2"/>
  <c r="L183" i="2"/>
  <c r="K183" i="2"/>
  <c r="J183" i="2"/>
  <c r="I183" i="2"/>
  <c r="H183" i="2"/>
  <c r="G183" i="2"/>
  <c r="F183" i="2"/>
  <c r="E183" i="2"/>
  <c r="D183" i="2"/>
  <c r="C183" i="2"/>
  <c r="B183" i="2"/>
  <c r="A183" i="2"/>
  <c r="AT182" i="2"/>
  <c r="AS182" i="2"/>
  <c r="AR182" i="2"/>
  <c r="AQ182" i="2"/>
  <c r="AP182" i="2"/>
  <c r="AO182" i="2"/>
  <c r="AN182" i="2"/>
  <c r="AM182" i="2"/>
  <c r="AL182" i="2"/>
  <c r="AK182" i="2"/>
  <c r="AJ182" i="2"/>
  <c r="AI182" i="2"/>
  <c r="AH182" i="2"/>
  <c r="AG182" i="2"/>
  <c r="AF182" i="2"/>
  <c r="AE182" i="2"/>
  <c r="AD182" i="2"/>
  <c r="AC182" i="2"/>
  <c r="AB182" i="2"/>
  <c r="AA182" i="2"/>
  <c r="Z182" i="2"/>
  <c r="Y182" i="2"/>
  <c r="X182" i="2"/>
  <c r="W182" i="2"/>
  <c r="V182" i="2"/>
  <c r="U182" i="2"/>
  <c r="T182" i="2"/>
  <c r="S182" i="2"/>
  <c r="R182" i="2"/>
  <c r="Q182" i="2"/>
  <c r="P182" i="2"/>
  <c r="O182" i="2"/>
  <c r="N182" i="2"/>
  <c r="M182" i="2"/>
  <c r="L182" i="2"/>
  <c r="K182" i="2"/>
  <c r="J182" i="2"/>
  <c r="I182" i="2"/>
  <c r="H182" i="2"/>
  <c r="G182" i="2"/>
  <c r="F182" i="2"/>
  <c r="E182" i="2"/>
  <c r="D182" i="2"/>
  <c r="C182" i="2"/>
  <c r="B182" i="2"/>
  <c r="A182" i="2"/>
  <c r="AT181" i="2"/>
  <c r="AS181" i="2"/>
  <c r="AR181" i="2"/>
  <c r="AQ181" i="2"/>
  <c r="AP181" i="2"/>
  <c r="AO181" i="2"/>
  <c r="AN181" i="2"/>
  <c r="AM181" i="2"/>
  <c r="AL181" i="2"/>
  <c r="AK181" i="2"/>
  <c r="AJ181" i="2"/>
  <c r="AI181" i="2"/>
  <c r="AH181" i="2"/>
  <c r="AG181" i="2"/>
  <c r="AF181" i="2"/>
  <c r="AE181" i="2"/>
  <c r="AD181" i="2"/>
  <c r="AC181" i="2"/>
  <c r="AB181" i="2"/>
  <c r="AA181" i="2"/>
  <c r="Z181" i="2"/>
  <c r="Y181" i="2"/>
  <c r="X181" i="2"/>
  <c r="W181" i="2"/>
  <c r="V181" i="2"/>
  <c r="U181" i="2"/>
  <c r="T181" i="2"/>
  <c r="S181" i="2"/>
  <c r="R181" i="2"/>
  <c r="Q181" i="2"/>
  <c r="P181" i="2"/>
  <c r="N181" i="2"/>
  <c r="M181" i="2"/>
  <c r="L181" i="2"/>
  <c r="K181" i="2"/>
  <c r="J181" i="2"/>
  <c r="I181" i="2"/>
  <c r="H181" i="2"/>
  <c r="G181" i="2"/>
  <c r="F181" i="2"/>
  <c r="E181" i="2"/>
  <c r="D181" i="2"/>
  <c r="C181" i="2"/>
  <c r="B181" i="2"/>
  <c r="A181" i="2"/>
  <c r="AT180" i="2"/>
  <c r="AS180" i="2"/>
  <c r="AR180" i="2"/>
  <c r="AQ180" i="2"/>
  <c r="AP180" i="2"/>
  <c r="AO180" i="2"/>
  <c r="AN180" i="2"/>
  <c r="AM180" i="2"/>
  <c r="AL180" i="2"/>
  <c r="AK180" i="2"/>
  <c r="AJ180" i="2"/>
  <c r="AI180" i="2"/>
  <c r="AH180" i="2"/>
  <c r="AG180" i="2"/>
  <c r="AF180" i="2"/>
  <c r="AE180" i="2"/>
  <c r="AD180" i="2"/>
  <c r="AC180" i="2"/>
  <c r="AB180" i="2"/>
  <c r="AA180" i="2"/>
  <c r="Z180" i="2"/>
  <c r="Y180" i="2"/>
  <c r="X180" i="2"/>
  <c r="W180" i="2"/>
  <c r="V180" i="2"/>
  <c r="U180" i="2"/>
  <c r="T180" i="2"/>
  <c r="S180" i="2"/>
  <c r="R180" i="2"/>
  <c r="Q180" i="2"/>
  <c r="P180" i="2"/>
  <c r="O180" i="2"/>
  <c r="N180" i="2"/>
  <c r="M180" i="2"/>
  <c r="L180" i="2"/>
  <c r="K180" i="2"/>
  <c r="J180" i="2"/>
  <c r="I180" i="2"/>
  <c r="H180" i="2"/>
  <c r="G180" i="2"/>
  <c r="F180" i="2"/>
  <c r="E180" i="2"/>
  <c r="D180" i="2"/>
  <c r="C180" i="2"/>
  <c r="B180" i="2"/>
  <c r="A180" i="2"/>
  <c r="AT179" i="2"/>
  <c r="AS179" i="2"/>
  <c r="AR179" i="2"/>
  <c r="AQ179" i="2"/>
  <c r="AP179" i="2"/>
  <c r="AO179" i="2"/>
  <c r="AN179" i="2"/>
  <c r="AM179" i="2"/>
  <c r="AL179" i="2"/>
  <c r="AK179" i="2"/>
  <c r="AJ179" i="2"/>
  <c r="AI179" i="2"/>
  <c r="AH179" i="2"/>
  <c r="AG179" i="2"/>
  <c r="AF179" i="2"/>
  <c r="AE179" i="2"/>
  <c r="AD179" i="2"/>
  <c r="AC179" i="2"/>
  <c r="AB179" i="2"/>
  <c r="AA179" i="2"/>
  <c r="Z179" i="2"/>
  <c r="Y179" i="2"/>
  <c r="X179" i="2"/>
  <c r="W179" i="2"/>
  <c r="V179" i="2"/>
  <c r="U179" i="2"/>
  <c r="T179" i="2"/>
  <c r="S179" i="2"/>
  <c r="R179" i="2"/>
  <c r="Q179" i="2"/>
  <c r="P179" i="2"/>
  <c r="O179" i="2"/>
  <c r="N179" i="2"/>
  <c r="M179" i="2"/>
  <c r="L179" i="2"/>
  <c r="K179" i="2"/>
  <c r="J179" i="2"/>
  <c r="I179" i="2"/>
  <c r="H179" i="2"/>
  <c r="G179" i="2"/>
  <c r="F179" i="2"/>
  <c r="E179" i="2"/>
  <c r="D179" i="2"/>
  <c r="C179" i="2"/>
  <c r="B179" i="2"/>
  <c r="A179" i="2"/>
  <c r="AT178" i="2"/>
  <c r="AS178" i="2"/>
  <c r="AR178" i="2"/>
  <c r="AQ178" i="2"/>
  <c r="AP178" i="2"/>
  <c r="AO178" i="2"/>
  <c r="AN178" i="2"/>
  <c r="AM178" i="2"/>
  <c r="AL178" i="2"/>
  <c r="AK178" i="2"/>
  <c r="AJ178" i="2"/>
  <c r="AI178" i="2"/>
  <c r="AH178" i="2"/>
  <c r="AG178" i="2"/>
  <c r="AF178" i="2"/>
  <c r="AE178" i="2"/>
  <c r="AD178" i="2"/>
  <c r="AC178" i="2"/>
  <c r="AB178" i="2"/>
  <c r="AA178" i="2"/>
  <c r="Z178" i="2"/>
  <c r="Y178" i="2"/>
  <c r="X178" i="2"/>
  <c r="W178" i="2"/>
  <c r="V178" i="2"/>
  <c r="U178" i="2"/>
  <c r="T178" i="2"/>
  <c r="S178" i="2"/>
  <c r="R178" i="2"/>
  <c r="Q178" i="2"/>
  <c r="P178" i="2"/>
  <c r="O178" i="2"/>
  <c r="N178" i="2"/>
  <c r="M178" i="2"/>
  <c r="L178" i="2"/>
  <c r="K178" i="2"/>
  <c r="J178" i="2"/>
  <c r="I178" i="2"/>
  <c r="H178" i="2"/>
  <c r="G178" i="2"/>
  <c r="F178" i="2"/>
  <c r="E178" i="2"/>
  <c r="D178" i="2"/>
  <c r="C178" i="2"/>
  <c r="B178" i="2"/>
  <c r="A178" i="2"/>
  <c r="AT177" i="2"/>
  <c r="AS177" i="2"/>
  <c r="AR177" i="2"/>
  <c r="AQ177" i="2"/>
  <c r="AP177" i="2"/>
  <c r="AO177" i="2"/>
  <c r="AN177" i="2"/>
  <c r="AM177" i="2"/>
  <c r="AL177" i="2"/>
  <c r="AK177" i="2"/>
  <c r="AJ177" i="2"/>
  <c r="AI177" i="2"/>
  <c r="AH177" i="2"/>
  <c r="AG177" i="2"/>
  <c r="AF177" i="2"/>
  <c r="AE177" i="2"/>
  <c r="AD177" i="2"/>
  <c r="AC177" i="2"/>
  <c r="AB177" i="2"/>
  <c r="AA177" i="2"/>
  <c r="Z177" i="2"/>
  <c r="Y177" i="2"/>
  <c r="X177" i="2"/>
  <c r="W177" i="2"/>
  <c r="V177" i="2"/>
  <c r="U177" i="2"/>
  <c r="T177" i="2"/>
  <c r="S177" i="2"/>
  <c r="R177" i="2"/>
  <c r="Q177" i="2"/>
  <c r="P177" i="2"/>
  <c r="O177" i="2"/>
  <c r="N177" i="2"/>
  <c r="M177" i="2"/>
  <c r="L177" i="2"/>
  <c r="K177" i="2"/>
  <c r="J177" i="2"/>
  <c r="I177" i="2"/>
  <c r="H177" i="2"/>
  <c r="G177" i="2"/>
  <c r="F177" i="2"/>
  <c r="E177" i="2"/>
  <c r="D177" i="2"/>
  <c r="C177" i="2"/>
  <c r="B177" i="2"/>
  <c r="A177" i="2"/>
  <c r="AT176" i="2"/>
  <c r="AS176" i="2"/>
  <c r="AR176" i="2"/>
  <c r="AQ176" i="2"/>
  <c r="AP176" i="2"/>
  <c r="AO176" i="2"/>
  <c r="AN176" i="2"/>
  <c r="AM176" i="2"/>
  <c r="AL176" i="2"/>
  <c r="AK176" i="2"/>
  <c r="AJ176" i="2"/>
  <c r="AI176" i="2"/>
  <c r="AH176" i="2"/>
  <c r="AG176" i="2"/>
  <c r="AF176" i="2"/>
  <c r="AE176" i="2"/>
  <c r="AD176" i="2"/>
  <c r="AC176" i="2"/>
  <c r="AB176" i="2"/>
  <c r="AA176" i="2"/>
  <c r="Z176" i="2"/>
  <c r="Y176" i="2"/>
  <c r="X176" i="2"/>
  <c r="W176" i="2"/>
  <c r="V176" i="2"/>
  <c r="U176" i="2"/>
  <c r="T176" i="2"/>
  <c r="S176" i="2"/>
  <c r="Q176" i="2"/>
  <c r="P176" i="2"/>
  <c r="O176" i="2"/>
  <c r="N176" i="2"/>
  <c r="M176" i="2"/>
  <c r="L176" i="2"/>
  <c r="K176" i="2"/>
  <c r="J176" i="2"/>
  <c r="I176" i="2"/>
  <c r="H176" i="2"/>
  <c r="G176" i="2"/>
  <c r="F176" i="2"/>
  <c r="E176" i="2"/>
  <c r="D176" i="2"/>
  <c r="C176" i="2"/>
  <c r="B176" i="2"/>
  <c r="A176" i="2"/>
  <c r="AT175" i="2"/>
  <c r="AS175" i="2"/>
  <c r="AR175" i="2"/>
  <c r="AQ175" i="2"/>
  <c r="AP175" i="2"/>
  <c r="AO175" i="2"/>
  <c r="AN175" i="2"/>
  <c r="AM175" i="2"/>
  <c r="AL175" i="2"/>
  <c r="AK175" i="2"/>
  <c r="AJ175" i="2"/>
  <c r="AI175" i="2"/>
  <c r="AH175" i="2"/>
  <c r="AG175" i="2"/>
  <c r="AF175" i="2"/>
  <c r="AE175" i="2"/>
  <c r="AD175" i="2"/>
  <c r="AC175" i="2"/>
  <c r="AB175" i="2"/>
  <c r="AA175" i="2"/>
  <c r="Z175" i="2"/>
  <c r="Y175" i="2"/>
  <c r="X175" i="2"/>
  <c r="W175" i="2"/>
  <c r="V175" i="2"/>
  <c r="U175" i="2"/>
  <c r="T175" i="2"/>
  <c r="S175" i="2"/>
  <c r="R175" i="2"/>
  <c r="Q175" i="2"/>
  <c r="O175" i="2"/>
  <c r="N175" i="2"/>
  <c r="M175" i="2"/>
  <c r="L175" i="2"/>
  <c r="K175" i="2"/>
  <c r="J175" i="2"/>
  <c r="I175" i="2"/>
  <c r="H175" i="2"/>
  <c r="G175" i="2"/>
  <c r="F175" i="2"/>
  <c r="E175" i="2"/>
  <c r="D175" i="2"/>
  <c r="C175" i="2"/>
  <c r="B175" i="2"/>
  <c r="A175" i="2"/>
  <c r="AT174" i="2"/>
  <c r="AS174" i="2"/>
  <c r="AR174" i="2"/>
  <c r="AQ174" i="2"/>
  <c r="AP174" i="2"/>
  <c r="AO174" i="2"/>
  <c r="AN174" i="2"/>
  <c r="AM174" i="2"/>
  <c r="AL174" i="2"/>
  <c r="AK174" i="2"/>
  <c r="AJ174" i="2"/>
  <c r="AI174" i="2"/>
  <c r="AH174" i="2"/>
  <c r="AG174" i="2"/>
  <c r="AF174" i="2"/>
  <c r="AE174" i="2"/>
  <c r="AD174" i="2"/>
  <c r="AC174" i="2"/>
  <c r="AB174" i="2"/>
  <c r="AA174" i="2"/>
  <c r="Z174" i="2"/>
  <c r="Y174" i="2"/>
  <c r="X174" i="2"/>
  <c r="W174" i="2"/>
  <c r="V174" i="2"/>
  <c r="U174" i="2"/>
  <c r="T174" i="2"/>
  <c r="S174" i="2"/>
  <c r="R174" i="2"/>
  <c r="Q174" i="2"/>
  <c r="P174" i="2"/>
  <c r="O174" i="2"/>
  <c r="N174" i="2"/>
  <c r="M174" i="2"/>
  <c r="L174" i="2"/>
  <c r="K174" i="2"/>
  <c r="J174" i="2"/>
  <c r="I174" i="2"/>
  <c r="H174" i="2"/>
  <c r="G174" i="2"/>
  <c r="F174" i="2"/>
  <c r="E174" i="2"/>
  <c r="D174" i="2"/>
  <c r="C174" i="2"/>
  <c r="B174" i="2"/>
  <c r="A174" i="2"/>
  <c r="AT173" i="2"/>
  <c r="AS173" i="2"/>
  <c r="AR173" i="2"/>
  <c r="AQ173" i="2"/>
  <c r="AP173" i="2"/>
  <c r="AO173" i="2"/>
  <c r="AN173" i="2"/>
  <c r="AM173" i="2"/>
  <c r="AL173" i="2"/>
  <c r="AK173" i="2"/>
  <c r="AJ173" i="2"/>
  <c r="AI173" i="2"/>
  <c r="AH173" i="2"/>
  <c r="AG173" i="2"/>
  <c r="AF173" i="2"/>
  <c r="AE173" i="2"/>
  <c r="AD173" i="2"/>
  <c r="AC173" i="2"/>
  <c r="AB173" i="2"/>
  <c r="AA173" i="2"/>
  <c r="Z173" i="2"/>
  <c r="Y173" i="2"/>
  <c r="X173" i="2"/>
  <c r="W173" i="2"/>
  <c r="V173" i="2"/>
  <c r="U173" i="2"/>
  <c r="T173" i="2"/>
  <c r="S173" i="2"/>
  <c r="Q173" i="2"/>
  <c r="O173" i="2"/>
  <c r="N173" i="2"/>
  <c r="M173" i="2"/>
  <c r="L173" i="2"/>
  <c r="K173" i="2"/>
  <c r="J173" i="2"/>
  <c r="I173" i="2"/>
  <c r="H173" i="2"/>
  <c r="G173" i="2"/>
  <c r="F173" i="2"/>
  <c r="E173" i="2"/>
  <c r="D173" i="2"/>
  <c r="C173" i="2"/>
  <c r="B173" i="2"/>
  <c r="A173" i="2"/>
  <c r="AT172" i="2"/>
  <c r="AS172" i="2"/>
  <c r="AR172" i="2"/>
  <c r="AQ172" i="2"/>
  <c r="AP172" i="2"/>
  <c r="AO172" i="2"/>
  <c r="AN172" i="2"/>
  <c r="AM172" i="2"/>
  <c r="AL172" i="2"/>
  <c r="AK172" i="2"/>
  <c r="AJ172" i="2"/>
  <c r="AI172" i="2"/>
  <c r="AH172" i="2"/>
  <c r="AG172" i="2"/>
  <c r="AF172" i="2"/>
  <c r="AE172" i="2"/>
  <c r="AD172" i="2"/>
  <c r="AC172" i="2"/>
  <c r="AB172" i="2"/>
  <c r="AA172" i="2"/>
  <c r="Z172" i="2"/>
  <c r="Y172" i="2"/>
  <c r="X172" i="2"/>
  <c r="W172" i="2"/>
  <c r="V172" i="2"/>
  <c r="U172" i="2"/>
  <c r="T172" i="2"/>
  <c r="S172" i="2"/>
  <c r="R172" i="2"/>
  <c r="Q172" i="2"/>
  <c r="O172" i="2"/>
  <c r="N172" i="2"/>
  <c r="M172" i="2"/>
  <c r="L172" i="2"/>
  <c r="K172" i="2"/>
  <c r="J172" i="2"/>
  <c r="I172" i="2"/>
  <c r="H172" i="2"/>
  <c r="G172" i="2"/>
  <c r="F172" i="2"/>
  <c r="E172" i="2"/>
  <c r="D172" i="2"/>
  <c r="C172" i="2"/>
  <c r="B172" i="2"/>
  <c r="A172" i="2"/>
  <c r="AT171" i="2"/>
  <c r="AS171" i="2"/>
  <c r="AR171" i="2"/>
  <c r="AQ171" i="2"/>
  <c r="AP171" i="2"/>
  <c r="AO171" i="2"/>
  <c r="AN171" i="2"/>
  <c r="AM171" i="2"/>
  <c r="AL171" i="2"/>
  <c r="AK171" i="2"/>
  <c r="AJ171" i="2"/>
  <c r="AI171" i="2"/>
  <c r="AH171" i="2"/>
  <c r="AG171" i="2"/>
  <c r="AF171" i="2"/>
  <c r="AE171" i="2"/>
  <c r="AD171" i="2"/>
  <c r="AC171" i="2"/>
  <c r="AB171" i="2"/>
  <c r="AA171" i="2"/>
  <c r="Z171" i="2"/>
  <c r="Y171" i="2"/>
  <c r="X171" i="2"/>
  <c r="W171" i="2"/>
  <c r="V171" i="2"/>
  <c r="U171" i="2"/>
  <c r="T171" i="2"/>
  <c r="S171" i="2"/>
  <c r="R171" i="2"/>
  <c r="Q171" i="2"/>
  <c r="P171" i="2"/>
  <c r="O171" i="2"/>
  <c r="N171" i="2"/>
  <c r="M171" i="2"/>
  <c r="L171" i="2"/>
  <c r="K171" i="2"/>
  <c r="J171" i="2"/>
  <c r="I171" i="2"/>
  <c r="H171" i="2"/>
  <c r="G171" i="2"/>
  <c r="F171" i="2"/>
  <c r="E171" i="2"/>
  <c r="D171" i="2"/>
  <c r="C171" i="2"/>
  <c r="B171" i="2"/>
  <c r="A171" i="2"/>
  <c r="AT170" i="2"/>
  <c r="AS170" i="2"/>
  <c r="AR170" i="2"/>
  <c r="AQ170" i="2"/>
  <c r="AP170" i="2"/>
  <c r="AO170" i="2"/>
  <c r="AN170" i="2"/>
  <c r="AM170" i="2"/>
  <c r="AL170" i="2"/>
  <c r="AK170" i="2"/>
  <c r="AJ170" i="2"/>
  <c r="AI170" i="2"/>
  <c r="AH170" i="2"/>
  <c r="AG170" i="2"/>
  <c r="AF170" i="2"/>
  <c r="AE170" i="2"/>
  <c r="AD170" i="2"/>
  <c r="AC170" i="2"/>
  <c r="AB170" i="2"/>
  <c r="AA170" i="2"/>
  <c r="Z170" i="2"/>
  <c r="Y170" i="2"/>
  <c r="X170" i="2"/>
  <c r="W170" i="2"/>
  <c r="V170" i="2"/>
  <c r="U170" i="2"/>
  <c r="T170" i="2"/>
  <c r="S170" i="2"/>
  <c r="R170" i="2"/>
  <c r="Q170" i="2"/>
  <c r="P170" i="2"/>
  <c r="O170" i="2"/>
  <c r="N170" i="2"/>
  <c r="M170" i="2"/>
  <c r="L170" i="2"/>
  <c r="K170" i="2"/>
  <c r="J170" i="2"/>
  <c r="I170" i="2"/>
  <c r="H170" i="2"/>
  <c r="G170" i="2"/>
  <c r="F170" i="2"/>
  <c r="E170" i="2"/>
  <c r="D170" i="2"/>
  <c r="C170" i="2"/>
  <c r="B170" i="2"/>
  <c r="A170" i="2"/>
  <c r="AT169" i="2"/>
  <c r="AS169" i="2"/>
  <c r="AR169" i="2"/>
  <c r="AQ169" i="2"/>
  <c r="AP169" i="2"/>
  <c r="AO169" i="2"/>
  <c r="AN169" i="2"/>
  <c r="AM169" i="2"/>
  <c r="AL169" i="2"/>
  <c r="AK169" i="2"/>
  <c r="AJ169" i="2"/>
  <c r="AI169" i="2"/>
  <c r="AH169" i="2"/>
  <c r="AG169" i="2"/>
  <c r="AF169" i="2"/>
  <c r="AE169" i="2"/>
  <c r="AD169" i="2"/>
  <c r="AC169" i="2"/>
  <c r="AB169" i="2"/>
  <c r="AA169" i="2"/>
  <c r="Z169" i="2"/>
  <c r="Y169" i="2"/>
  <c r="X169" i="2"/>
  <c r="W169" i="2"/>
  <c r="V169" i="2"/>
  <c r="U169" i="2"/>
  <c r="T169" i="2"/>
  <c r="S169" i="2"/>
  <c r="R169" i="2"/>
  <c r="Q169" i="2"/>
  <c r="P169" i="2"/>
  <c r="O169" i="2"/>
  <c r="N169" i="2"/>
  <c r="M169" i="2"/>
  <c r="L169" i="2"/>
  <c r="K169" i="2"/>
  <c r="J169" i="2"/>
  <c r="I169" i="2"/>
  <c r="H169" i="2"/>
  <c r="G169" i="2"/>
  <c r="F169" i="2"/>
  <c r="E169" i="2"/>
  <c r="D169" i="2"/>
  <c r="C169" i="2"/>
  <c r="B169" i="2"/>
  <c r="A169" i="2"/>
  <c r="AT168" i="2"/>
  <c r="AS168" i="2"/>
  <c r="AR168" i="2"/>
  <c r="AQ168" i="2"/>
  <c r="AP168" i="2"/>
  <c r="AO168" i="2"/>
  <c r="AN168" i="2"/>
  <c r="AM168" i="2"/>
  <c r="AL168" i="2"/>
  <c r="AK168" i="2"/>
  <c r="AJ168" i="2"/>
  <c r="AI168" i="2"/>
  <c r="AH168" i="2"/>
  <c r="AG168" i="2"/>
  <c r="AF168" i="2"/>
  <c r="AE168" i="2"/>
  <c r="AD168" i="2"/>
  <c r="AC168" i="2"/>
  <c r="AB168" i="2"/>
  <c r="AA168" i="2"/>
  <c r="Z168" i="2"/>
  <c r="Y168" i="2"/>
  <c r="X168" i="2"/>
  <c r="W168" i="2"/>
  <c r="V168" i="2"/>
  <c r="U168" i="2"/>
  <c r="T168" i="2"/>
  <c r="S168" i="2"/>
  <c r="R168" i="2"/>
  <c r="Q168" i="2"/>
  <c r="P168" i="2"/>
  <c r="O168" i="2"/>
  <c r="N168" i="2"/>
  <c r="M168" i="2"/>
  <c r="L168" i="2"/>
  <c r="K168" i="2"/>
  <c r="J168" i="2"/>
  <c r="I168" i="2"/>
  <c r="H168" i="2"/>
  <c r="G168" i="2"/>
  <c r="F168" i="2"/>
  <c r="E168" i="2"/>
  <c r="D168" i="2"/>
  <c r="C168" i="2"/>
  <c r="B168" i="2"/>
  <c r="A168" i="2"/>
  <c r="AT167" i="2"/>
  <c r="AS167" i="2"/>
  <c r="AR167" i="2"/>
  <c r="AQ167" i="2"/>
  <c r="AP167" i="2"/>
  <c r="AO167" i="2"/>
  <c r="AN167" i="2"/>
  <c r="AM167" i="2"/>
  <c r="AL167" i="2"/>
  <c r="AK167" i="2"/>
  <c r="AJ167" i="2"/>
  <c r="AI167" i="2"/>
  <c r="AH167" i="2"/>
  <c r="AG167" i="2"/>
  <c r="AF167" i="2"/>
  <c r="AE167" i="2"/>
  <c r="AD167" i="2"/>
  <c r="AC167" i="2"/>
  <c r="AB167" i="2"/>
  <c r="AA167" i="2"/>
  <c r="Z167" i="2"/>
  <c r="Y167" i="2"/>
  <c r="X167" i="2"/>
  <c r="W167" i="2"/>
  <c r="V167" i="2"/>
  <c r="U167" i="2"/>
  <c r="T167" i="2"/>
  <c r="S167" i="2"/>
  <c r="R167" i="2"/>
  <c r="Q167" i="2"/>
  <c r="P167" i="2"/>
  <c r="O167" i="2"/>
  <c r="N167" i="2"/>
  <c r="M167" i="2"/>
  <c r="L167" i="2"/>
  <c r="K167" i="2"/>
  <c r="J167" i="2"/>
  <c r="I167" i="2"/>
  <c r="H167" i="2"/>
  <c r="G167" i="2"/>
  <c r="F167" i="2"/>
  <c r="E167" i="2"/>
  <c r="D167" i="2"/>
  <c r="C167" i="2"/>
  <c r="B167" i="2"/>
  <c r="A167" i="2"/>
  <c r="AT166" i="2"/>
  <c r="AS166" i="2"/>
  <c r="AR166" i="2"/>
  <c r="AQ166" i="2"/>
  <c r="AP166" i="2"/>
  <c r="AO166" i="2"/>
  <c r="AN166" i="2"/>
  <c r="AM166" i="2"/>
  <c r="AL166" i="2"/>
  <c r="AK166" i="2"/>
  <c r="AJ166" i="2"/>
  <c r="AI166" i="2"/>
  <c r="AH166" i="2"/>
  <c r="AG166" i="2"/>
  <c r="AF166" i="2"/>
  <c r="AE166" i="2"/>
  <c r="AD166" i="2"/>
  <c r="AC166" i="2"/>
  <c r="AB166" i="2"/>
  <c r="AA166" i="2"/>
  <c r="Z166" i="2"/>
  <c r="Y166" i="2"/>
  <c r="X166" i="2"/>
  <c r="W166" i="2"/>
  <c r="V166" i="2"/>
  <c r="U166" i="2"/>
  <c r="T166" i="2"/>
  <c r="S166" i="2"/>
  <c r="R166" i="2"/>
  <c r="Q166" i="2"/>
  <c r="P166" i="2"/>
  <c r="O166" i="2"/>
  <c r="N166" i="2"/>
  <c r="M166" i="2"/>
  <c r="L166" i="2"/>
  <c r="K166" i="2"/>
  <c r="J166" i="2"/>
  <c r="I166" i="2"/>
  <c r="H166" i="2"/>
  <c r="G166" i="2"/>
  <c r="F166" i="2"/>
  <c r="E166" i="2"/>
  <c r="D166" i="2"/>
  <c r="C166" i="2"/>
  <c r="B166" i="2"/>
  <c r="A166" i="2"/>
  <c r="AT165" i="2"/>
  <c r="AS165" i="2"/>
  <c r="AR165" i="2"/>
  <c r="AQ165" i="2"/>
  <c r="AP165" i="2"/>
  <c r="AO165" i="2"/>
  <c r="AN165" i="2"/>
  <c r="AM165" i="2"/>
  <c r="AL165" i="2"/>
  <c r="AK165" i="2"/>
  <c r="AJ165" i="2"/>
  <c r="AI165" i="2"/>
  <c r="AH165" i="2"/>
  <c r="AG165" i="2"/>
  <c r="AF165" i="2"/>
  <c r="AE165" i="2"/>
  <c r="AD165" i="2"/>
  <c r="AC165" i="2"/>
  <c r="AB165" i="2"/>
  <c r="AA165" i="2"/>
  <c r="Z165" i="2"/>
  <c r="Y165" i="2"/>
  <c r="X165" i="2"/>
  <c r="W165" i="2"/>
  <c r="V165" i="2"/>
  <c r="U165" i="2"/>
  <c r="T165" i="2"/>
  <c r="S165" i="2"/>
  <c r="R165" i="2"/>
  <c r="Q165" i="2"/>
  <c r="P165" i="2"/>
  <c r="O165" i="2"/>
  <c r="N165" i="2"/>
  <c r="M165" i="2"/>
  <c r="L165" i="2"/>
  <c r="K165" i="2"/>
  <c r="J165" i="2"/>
  <c r="I165" i="2"/>
  <c r="H165" i="2"/>
  <c r="G165" i="2"/>
  <c r="F165" i="2"/>
  <c r="E165" i="2"/>
  <c r="D165" i="2"/>
  <c r="C165" i="2"/>
  <c r="B165" i="2"/>
  <c r="A165" i="2"/>
  <c r="AQ164" i="2"/>
  <c r="AN164" i="2"/>
  <c r="AL164" i="2"/>
  <c r="AK164" i="2"/>
  <c r="AJ164" i="2"/>
  <c r="AI164" i="2"/>
  <c r="AH164" i="2"/>
  <c r="AG164" i="2"/>
  <c r="AF164" i="2"/>
  <c r="AE164" i="2"/>
  <c r="AD164" i="2"/>
  <c r="AC164" i="2"/>
  <c r="AB164" i="2"/>
  <c r="AA164" i="2"/>
  <c r="Z164" i="2"/>
  <c r="Y164" i="2"/>
  <c r="X164" i="2"/>
  <c r="W164" i="2"/>
  <c r="V164" i="2"/>
  <c r="U164" i="2"/>
  <c r="T164" i="2"/>
  <c r="S164" i="2"/>
  <c r="R164" i="2"/>
  <c r="Q164" i="2"/>
  <c r="P164" i="2"/>
  <c r="O164" i="2"/>
  <c r="N164" i="2"/>
  <c r="M164" i="2"/>
  <c r="L164" i="2"/>
  <c r="K164" i="2"/>
  <c r="J164" i="2"/>
  <c r="I164" i="2"/>
  <c r="H164" i="2"/>
  <c r="G164" i="2"/>
  <c r="F164" i="2"/>
  <c r="E164" i="2"/>
  <c r="D164" i="2"/>
  <c r="C164" i="2"/>
  <c r="B164" i="2"/>
  <c r="A164" i="2"/>
  <c r="AQ163" i="2"/>
  <c r="AL163" i="2"/>
  <c r="AK163" i="2"/>
  <c r="AJ163" i="2"/>
  <c r="AI163" i="2"/>
  <c r="AH163" i="2"/>
  <c r="AG163" i="2"/>
  <c r="AF163" i="2"/>
  <c r="AE163" i="2"/>
  <c r="AD163" i="2"/>
  <c r="AC163" i="2"/>
  <c r="AB163" i="2"/>
  <c r="AA163" i="2"/>
  <c r="Z163" i="2"/>
  <c r="Y163" i="2"/>
  <c r="X163" i="2"/>
  <c r="W163" i="2"/>
  <c r="V163" i="2"/>
  <c r="U163" i="2"/>
  <c r="T163" i="2"/>
  <c r="S163" i="2"/>
  <c r="R163" i="2"/>
  <c r="Q163" i="2"/>
  <c r="P163" i="2"/>
  <c r="O163" i="2"/>
  <c r="N163" i="2"/>
  <c r="M163" i="2"/>
  <c r="L163" i="2"/>
  <c r="K163" i="2"/>
  <c r="J163" i="2"/>
  <c r="I163" i="2"/>
  <c r="H163" i="2"/>
  <c r="G163" i="2"/>
  <c r="F163" i="2"/>
  <c r="E163" i="2"/>
  <c r="D163" i="2"/>
  <c r="C163" i="2"/>
  <c r="B163" i="2"/>
  <c r="A163" i="2"/>
  <c r="AT162" i="2"/>
  <c r="AS162" i="2"/>
  <c r="AR162" i="2"/>
  <c r="AQ162" i="2"/>
  <c r="AP162" i="2"/>
  <c r="AO162" i="2"/>
  <c r="AN162" i="2"/>
  <c r="AM162" i="2"/>
  <c r="AL162" i="2"/>
  <c r="AK162" i="2"/>
  <c r="AJ162" i="2"/>
  <c r="AI162" i="2"/>
  <c r="AH162" i="2"/>
  <c r="AG162" i="2"/>
  <c r="AF162" i="2"/>
  <c r="AE162" i="2"/>
  <c r="AD162" i="2"/>
  <c r="AC162" i="2"/>
  <c r="AB162" i="2"/>
  <c r="AA162" i="2"/>
  <c r="Z162" i="2"/>
  <c r="Y162" i="2"/>
  <c r="X162" i="2"/>
  <c r="W162" i="2"/>
  <c r="V162" i="2"/>
  <c r="U162" i="2"/>
  <c r="T162" i="2"/>
  <c r="S162" i="2"/>
  <c r="R162" i="2"/>
  <c r="Q162" i="2"/>
  <c r="P162" i="2"/>
  <c r="O162" i="2"/>
  <c r="N162" i="2"/>
  <c r="M162" i="2"/>
  <c r="L162" i="2"/>
  <c r="K162" i="2"/>
  <c r="J162" i="2"/>
  <c r="H162" i="2"/>
  <c r="G162" i="2"/>
  <c r="F162" i="2"/>
  <c r="E162" i="2"/>
  <c r="D162" i="2"/>
  <c r="C162" i="2"/>
  <c r="B162" i="2"/>
  <c r="A162" i="2"/>
  <c r="AT161" i="2"/>
  <c r="AS161" i="2"/>
  <c r="AR161" i="2"/>
  <c r="AQ161" i="2"/>
  <c r="AP161" i="2"/>
  <c r="AO161" i="2"/>
  <c r="AN161" i="2"/>
  <c r="AM161" i="2"/>
  <c r="AL161" i="2"/>
  <c r="AK161" i="2"/>
  <c r="AJ161" i="2"/>
  <c r="AI161" i="2"/>
  <c r="AH161" i="2"/>
  <c r="AG161" i="2"/>
  <c r="AF161" i="2"/>
  <c r="AE161" i="2"/>
  <c r="AD161" i="2"/>
  <c r="AC161" i="2"/>
  <c r="AB161" i="2"/>
  <c r="AA161" i="2"/>
  <c r="Z161" i="2"/>
  <c r="Y161" i="2"/>
  <c r="X161" i="2"/>
  <c r="W161" i="2"/>
  <c r="V161" i="2"/>
  <c r="U161" i="2"/>
  <c r="T161" i="2"/>
  <c r="S161" i="2"/>
  <c r="R161" i="2"/>
  <c r="Q161" i="2"/>
  <c r="P161" i="2"/>
  <c r="O161" i="2"/>
  <c r="N161" i="2"/>
  <c r="M161" i="2"/>
  <c r="L161" i="2"/>
  <c r="K161" i="2"/>
  <c r="J161" i="2"/>
  <c r="I161" i="2"/>
  <c r="H161" i="2"/>
  <c r="G161" i="2"/>
  <c r="F161" i="2"/>
  <c r="E161" i="2"/>
  <c r="D161" i="2"/>
  <c r="C161" i="2"/>
  <c r="B161" i="2"/>
  <c r="A161" i="2"/>
  <c r="AT160" i="2"/>
  <c r="AS160" i="2"/>
  <c r="AR160" i="2"/>
  <c r="AQ160" i="2"/>
  <c r="AP160" i="2"/>
  <c r="AO160" i="2"/>
  <c r="AN160" i="2"/>
  <c r="AM160" i="2"/>
  <c r="AL160" i="2"/>
  <c r="AK160" i="2"/>
  <c r="AJ160" i="2"/>
  <c r="AI160" i="2"/>
  <c r="AH160" i="2"/>
  <c r="AG160" i="2"/>
  <c r="AF160" i="2"/>
  <c r="AE160" i="2"/>
  <c r="AD160" i="2"/>
  <c r="AC160" i="2"/>
  <c r="AB160" i="2"/>
  <c r="AA160" i="2"/>
  <c r="Z160" i="2"/>
  <c r="Y160" i="2"/>
  <c r="X160" i="2"/>
  <c r="W160" i="2"/>
  <c r="V160" i="2"/>
  <c r="U160" i="2"/>
  <c r="T160" i="2"/>
  <c r="S160" i="2"/>
  <c r="R160" i="2"/>
  <c r="Q160" i="2"/>
  <c r="P160" i="2"/>
  <c r="O160" i="2"/>
  <c r="N160" i="2"/>
  <c r="M160" i="2"/>
  <c r="L160" i="2"/>
  <c r="K160" i="2"/>
  <c r="J160" i="2"/>
  <c r="I160" i="2"/>
  <c r="H160" i="2"/>
  <c r="G160" i="2"/>
  <c r="F160" i="2"/>
  <c r="E160" i="2"/>
  <c r="D160" i="2"/>
  <c r="C160" i="2"/>
  <c r="B160" i="2"/>
  <c r="A160" i="2"/>
  <c r="AT159" i="2"/>
  <c r="AS159" i="2"/>
  <c r="AR159" i="2"/>
  <c r="AQ159" i="2"/>
  <c r="AP159" i="2"/>
  <c r="AO159" i="2"/>
  <c r="AN159" i="2"/>
  <c r="AM159" i="2"/>
  <c r="AL159" i="2"/>
  <c r="AK159" i="2"/>
  <c r="AJ159" i="2"/>
  <c r="AI159" i="2"/>
  <c r="AH159" i="2"/>
  <c r="AG159" i="2"/>
  <c r="AF159" i="2"/>
  <c r="AE159" i="2"/>
  <c r="AD159" i="2"/>
  <c r="AC159" i="2"/>
  <c r="AB159" i="2"/>
  <c r="AA159" i="2"/>
  <c r="Z159" i="2"/>
  <c r="Y159" i="2"/>
  <c r="X159" i="2"/>
  <c r="W159" i="2"/>
  <c r="V159" i="2"/>
  <c r="U159" i="2"/>
  <c r="T159" i="2"/>
  <c r="S159" i="2"/>
  <c r="R159" i="2"/>
  <c r="Q159" i="2"/>
  <c r="P159" i="2"/>
  <c r="O159" i="2"/>
  <c r="N159" i="2"/>
  <c r="M159" i="2"/>
  <c r="L159" i="2"/>
  <c r="K159" i="2"/>
  <c r="J159" i="2"/>
  <c r="I159" i="2"/>
  <c r="H159" i="2"/>
  <c r="G159" i="2"/>
  <c r="F159" i="2"/>
  <c r="E159" i="2"/>
  <c r="D159" i="2"/>
  <c r="C159" i="2"/>
  <c r="B159" i="2"/>
  <c r="A159" i="2"/>
  <c r="AT158" i="2"/>
  <c r="AS158" i="2"/>
  <c r="AR158" i="2"/>
  <c r="AQ158" i="2"/>
  <c r="AP158" i="2"/>
  <c r="AO158" i="2"/>
  <c r="AN158" i="2"/>
  <c r="AM158" i="2"/>
  <c r="AL158" i="2"/>
  <c r="AK158" i="2"/>
  <c r="AJ158" i="2"/>
  <c r="AI158" i="2"/>
  <c r="AH158" i="2"/>
  <c r="AG158" i="2"/>
  <c r="AF158" i="2"/>
  <c r="AE158" i="2"/>
  <c r="AD158" i="2"/>
  <c r="AC158" i="2"/>
  <c r="AB158" i="2"/>
  <c r="AA158" i="2"/>
  <c r="Z158" i="2"/>
  <c r="Y158" i="2"/>
  <c r="X158" i="2"/>
  <c r="W158" i="2"/>
  <c r="V158" i="2"/>
  <c r="U158" i="2"/>
  <c r="T158" i="2"/>
  <c r="S158" i="2"/>
  <c r="R158" i="2"/>
  <c r="Q158" i="2"/>
  <c r="P158" i="2"/>
  <c r="O158" i="2"/>
  <c r="N158" i="2"/>
  <c r="M158" i="2"/>
  <c r="L158" i="2"/>
  <c r="K158" i="2"/>
  <c r="J158" i="2"/>
  <c r="I158" i="2"/>
  <c r="H158" i="2"/>
  <c r="G158" i="2"/>
  <c r="F158" i="2"/>
  <c r="E158" i="2"/>
  <c r="D158" i="2"/>
  <c r="C158" i="2"/>
  <c r="B158" i="2"/>
  <c r="A158" i="2"/>
  <c r="AT157" i="2"/>
  <c r="AS157" i="2"/>
  <c r="AR157" i="2"/>
  <c r="AQ157" i="2"/>
  <c r="AP157" i="2"/>
  <c r="AO157" i="2"/>
  <c r="AN157" i="2"/>
  <c r="AM157" i="2"/>
  <c r="AL157" i="2"/>
  <c r="AK157" i="2"/>
  <c r="AJ157" i="2"/>
  <c r="AI157" i="2"/>
  <c r="AH157" i="2"/>
  <c r="AG157" i="2"/>
  <c r="AF157" i="2"/>
  <c r="AE157" i="2"/>
  <c r="AD157" i="2"/>
  <c r="AC157" i="2"/>
  <c r="AB157" i="2"/>
  <c r="AA157" i="2"/>
  <c r="Z157" i="2"/>
  <c r="Y157" i="2"/>
  <c r="X157" i="2"/>
  <c r="W157" i="2"/>
  <c r="V157" i="2"/>
  <c r="U157" i="2"/>
  <c r="T157" i="2"/>
  <c r="S157" i="2"/>
  <c r="R157" i="2"/>
  <c r="Q157" i="2"/>
  <c r="P157" i="2"/>
  <c r="O157" i="2"/>
  <c r="N157" i="2"/>
  <c r="M157" i="2"/>
  <c r="L157" i="2"/>
  <c r="K157" i="2"/>
  <c r="J157" i="2"/>
  <c r="I157" i="2"/>
  <c r="H157" i="2"/>
  <c r="G157" i="2"/>
  <c r="F157" i="2"/>
  <c r="E157" i="2"/>
  <c r="D157" i="2"/>
  <c r="C157" i="2"/>
  <c r="B157" i="2"/>
  <c r="A157" i="2"/>
  <c r="AT156" i="2"/>
  <c r="AS156" i="2"/>
  <c r="AR156" i="2"/>
  <c r="AQ156" i="2"/>
  <c r="AP156" i="2"/>
  <c r="AO156" i="2"/>
  <c r="AN156" i="2"/>
  <c r="AM156" i="2"/>
  <c r="AL156" i="2"/>
  <c r="AK156" i="2"/>
  <c r="AJ156" i="2"/>
  <c r="AI156" i="2"/>
  <c r="AH156" i="2"/>
  <c r="AG156" i="2"/>
  <c r="AF156" i="2"/>
  <c r="AE156" i="2"/>
  <c r="AD156" i="2"/>
  <c r="AC156" i="2"/>
  <c r="AB156" i="2"/>
  <c r="AA156" i="2"/>
  <c r="Z156" i="2"/>
  <c r="Y156" i="2"/>
  <c r="X156" i="2"/>
  <c r="W156" i="2"/>
  <c r="V156" i="2"/>
  <c r="U156" i="2"/>
  <c r="T156" i="2"/>
  <c r="S156" i="2"/>
  <c r="R156" i="2"/>
  <c r="Q156" i="2"/>
  <c r="P156" i="2"/>
  <c r="O156" i="2"/>
  <c r="N156" i="2"/>
  <c r="M156" i="2"/>
  <c r="L156" i="2"/>
  <c r="K156" i="2"/>
  <c r="J156" i="2"/>
  <c r="I156" i="2"/>
  <c r="H156" i="2"/>
  <c r="G156" i="2"/>
  <c r="F156" i="2"/>
  <c r="E156" i="2"/>
  <c r="D156" i="2"/>
  <c r="C156" i="2"/>
  <c r="B156" i="2"/>
  <c r="A156" i="2"/>
  <c r="AT155" i="2"/>
  <c r="AS155" i="2"/>
  <c r="AR155" i="2"/>
  <c r="AQ155" i="2"/>
  <c r="AP155" i="2"/>
  <c r="AO155" i="2"/>
  <c r="AN155" i="2"/>
  <c r="AM155" i="2"/>
  <c r="AL155" i="2"/>
  <c r="AK155" i="2"/>
  <c r="AJ155" i="2"/>
  <c r="AI155" i="2"/>
  <c r="AH155" i="2"/>
  <c r="AG155" i="2"/>
  <c r="AF155" i="2"/>
  <c r="AE155" i="2"/>
  <c r="AD155" i="2"/>
  <c r="AC155" i="2"/>
  <c r="AB155" i="2"/>
  <c r="AA155" i="2"/>
  <c r="Z155" i="2"/>
  <c r="Y155" i="2"/>
  <c r="X155" i="2"/>
  <c r="W155" i="2"/>
  <c r="V155" i="2"/>
  <c r="U155" i="2"/>
  <c r="T155" i="2"/>
  <c r="S155" i="2"/>
  <c r="R155" i="2"/>
  <c r="Q155" i="2"/>
  <c r="P155" i="2"/>
  <c r="O155" i="2"/>
  <c r="N155" i="2"/>
  <c r="M155" i="2"/>
  <c r="L155" i="2"/>
  <c r="K155" i="2"/>
  <c r="J155" i="2"/>
  <c r="I155" i="2"/>
  <c r="H155" i="2"/>
  <c r="G155" i="2"/>
  <c r="F155" i="2"/>
  <c r="E155" i="2"/>
  <c r="D155" i="2"/>
  <c r="C155" i="2"/>
  <c r="B155" i="2"/>
  <c r="A155" i="2"/>
  <c r="AT154" i="2"/>
  <c r="AS154" i="2"/>
  <c r="AR154" i="2"/>
  <c r="AQ154" i="2"/>
  <c r="AP154" i="2"/>
  <c r="AO154" i="2"/>
  <c r="AN154" i="2"/>
  <c r="AM154" i="2"/>
  <c r="AL154" i="2"/>
  <c r="AK154" i="2"/>
  <c r="AJ154" i="2"/>
  <c r="AI154" i="2"/>
  <c r="AH154" i="2"/>
  <c r="AG154" i="2"/>
  <c r="AF154" i="2"/>
  <c r="AE154" i="2"/>
  <c r="AD154" i="2"/>
  <c r="AC154" i="2"/>
  <c r="AB154" i="2"/>
  <c r="AA154" i="2"/>
  <c r="Z154" i="2"/>
  <c r="Y154" i="2"/>
  <c r="X154" i="2"/>
  <c r="W154" i="2"/>
  <c r="V154" i="2"/>
  <c r="U154" i="2"/>
  <c r="T154" i="2"/>
  <c r="S154" i="2"/>
  <c r="R154" i="2"/>
  <c r="Q154" i="2"/>
  <c r="P154" i="2"/>
  <c r="O154" i="2"/>
  <c r="N154" i="2"/>
  <c r="M154" i="2"/>
  <c r="L154" i="2"/>
  <c r="K154" i="2"/>
  <c r="J154" i="2"/>
  <c r="I154" i="2"/>
  <c r="H154" i="2"/>
  <c r="G154" i="2"/>
  <c r="F154" i="2"/>
  <c r="E154" i="2"/>
  <c r="D154" i="2"/>
  <c r="C154" i="2"/>
  <c r="B154" i="2"/>
  <c r="A154" i="2"/>
  <c r="AT153" i="2"/>
  <c r="AS153" i="2"/>
  <c r="AR153" i="2"/>
  <c r="AQ153" i="2"/>
  <c r="AP153" i="2"/>
  <c r="AO153" i="2"/>
  <c r="AN153" i="2"/>
  <c r="AM153" i="2"/>
  <c r="AL153" i="2"/>
  <c r="AK153" i="2"/>
  <c r="AJ153" i="2"/>
  <c r="AI153" i="2"/>
  <c r="AH153" i="2"/>
  <c r="AG153" i="2"/>
  <c r="AF153" i="2"/>
  <c r="AE153" i="2"/>
  <c r="AD153" i="2"/>
  <c r="AC153" i="2"/>
  <c r="AB153" i="2"/>
  <c r="AA153" i="2"/>
  <c r="Z153" i="2"/>
  <c r="Y153" i="2"/>
  <c r="X153" i="2"/>
  <c r="W153" i="2"/>
  <c r="V153" i="2"/>
  <c r="U153" i="2"/>
  <c r="T153" i="2"/>
  <c r="S153" i="2"/>
  <c r="R153" i="2"/>
  <c r="Q153" i="2"/>
  <c r="P153" i="2"/>
  <c r="O153" i="2"/>
  <c r="N153" i="2"/>
  <c r="M153" i="2"/>
  <c r="L153" i="2"/>
  <c r="K153" i="2"/>
  <c r="J153" i="2"/>
  <c r="I153" i="2"/>
  <c r="H153" i="2"/>
  <c r="G153" i="2"/>
  <c r="F153" i="2"/>
  <c r="E153" i="2"/>
  <c r="D153" i="2"/>
  <c r="C153" i="2"/>
  <c r="B153" i="2"/>
  <c r="A153" i="2"/>
  <c r="AT152" i="2"/>
  <c r="AS152" i="2"/>
  <c r="AR152" i="2"/>
  <c r="AQ152" i="2"/>
  <c r="AP152" i="2"/>
  <c r="AO152" i="2"/>
  <c r="AN152" i="2"/>
  <c r="AM152" i="2"/>
  <c r="AL152" i="2"/>
  <c r="AK152" i="2"/>
  <c r="AJ152" i="2"/>
  <c r="AI152" i="2"/>
  <c r="AH152" i="2"/>
  <c r="AG152" i="2"/>
  <c r="AF152" i="2"/>
  <c r="AE152" i="2"/>
  <c r="AD152" i="2"/>
  <c r="AC152" i="2"/>
  <c r="AB152" i="2"/>
  <c r="AA152" i="2"/>
  <c r="Z152" i="2"/>
  <c r="Y152" i="2"/>
  <c r="X152" i="2"/>
  <c r="W152" i="2"/>
  <c r="V152" i="2"/>
  <c r="U152" i="2"/>
  <c r="T152" i="2"/>
  <c r="S152" i="2"/>
  <c r="R152" i="2"/>
  <c r="Q152" i="2"/>
  <c r="O152" i="2"/>
  <c r="M152" i="2"/>
  <c r="L152" i="2"/>
  <c r="K152" i="2"/>
  <c r="J152" i="2"/>
  <c r="I152" i="2"/>
  <c r="H152" i="2"/>
  <c r="G152" i="2"/>
  <c r="F152" i="2"/>
  <c r="E152" i="2"/>
  <c r="D152" i="2"/>
  <c r="C152" i="2"/>
  <c r="B152" i="2"/>
  <c r="A152" i="2"/>
  <c r="AT151" i="2"/>
  <c r="AS151" i="2"/>
  <c r="AR151" i="2"/>
  <c r="AQ151" i="2"/>
  <c r="AP151" i="2"/>
  <c r="AO151" i="2"/>
  <c r="AN151" i="2"/>
  <c r="AM151" i="2"/>
  <c r="AL151" i="2"/>
  <c r="AK151" i="2"/>
  <c r="AJ151" i="2"/>
  <c r="AI151" i="2"/>
  <c r="AH151" i="2"/>
  <c r="AG151" i="2"/>
  <c r="AF151" i="2"/>
  <c r="AE151" i="2"/>
  <c r="AD151" i="2"/>
  <c r="AC151" i="2"/>
  <c r="AB151" i="2"/>
  <c r="AA151" i="2"/>
  <c r="Z151" i="2"/>
  <c r="Y151" i="2"/>
  <c r="X151" i="2"/>
  <c r="W151" i="2"/>
  <c r="V151" i="2"/>
  <c r="U151" i="2"/>
  <c r="T151" i="2"/>
  <c r="S151" i="2"/>
  <c r="Q151" i="2"/>
  <c r="P151" i="2"/>
  <c r="O151" i="2"/>
  <c r="N151" i="2"/>
  <c r="M151" i="2"/>
  <c r="L151" i="2"/>
  <c r="K151" i="2"/>
  <c r="J151" i="2"/>
  <c r="H151" i="2"/>
  <c r="F151" i="2"/>
  <c r="E151" i="2"/>
  <c r="D151" i="2"/>
  <c r="C151" i="2"/>
  <c r="B151" i="2"/>
  <c r="A151" i="2"/>
  <c r="AT150" i="2"/>
  <c r="AS150" i="2"/>
  <c r="AR150" i="2"/>
  <c r="AQ150" i="2"/>
  <c r="AP150" i="2"/>
  <c r="AO150" i="2"/>
  <c r="AN150" i="2"/>
  <c r="AM150" i="2"/>
  <c r="AL150" i="2"/>
  <c r="AK150" i="2"/>
  <c r="AJ150" i="2"/>
  <c r="AI150" i="2"/>
  <c r="AH150" i="2"/>
  <c r="AG150" i="2"/>
  <c r="AF150" i="2"/>
  <c r="AE150" i="2"/>
  <c r="AD150" i="2"/>
  <c r="AC150" i="2"/>
  <c r="AB150" i="2"/>
  <c r="AA150" i="2"/>
  <c r="Z150" i="2"/>
  <c r="Y150" i="2"/>
  <c r="X150" i="2"/>
  <c r="W150" i="2"/>
  <c r="V150" i="2"/>
  <c r="U150" i="2"/>
  <c r="T150" i="2"/>
  <c r="S150" i="2"/>
  <c r="R150" i="2"/>
  <c r="Q150" i="2"/>
  <c r="P150" i="2"/>
  <c r="O150" i="2"/>
  <c r="N150" i="2"/>
  <c r="M150" i="2"/>
  <c r="L150" i="2"/>
  <c r="K150" i="2"/>
  <c r="J150" i="2"/>
  <c r="I150" i="2"/>
  <c r="H150" i="2"/>
  <c r="G150" i="2"/>
  <c r="F150" i="2"/>
  <c r="E150" i="2"/>
  <c r="D150" i="2"/>
  <c r="C150" i="2"/>
  <c r="B150" i="2"/>
  <c r="A150" i="2"/>
  <c r="AT149" i="2"/>
  <c r="AS149" i="2"/>
  <c r="AR149" i="2"/>
  <c r="AQ149" i="2"/>
  <c r="AP149" i="2"/>
  <c r="AO149" i="2"/>
  <c r="AN149" i="2"/>
  <c r="AM149" i="2"/>
  <c r="AL149" i="2"/>
  <c r="AK149" i="2"/>
  <c r="AJ149" i="2"/>
  <c r="AI149" i="2"/>
  <c r="AH149" i="2"/>
  <c r="AG149" i="2"/>
  <c r="AF149" i="2"/>
  <c r="AE149" i="2"/>
  <c r="AD149" i="2"/>
  <c r="AC149" i="2"/>
  <c r="AB149" i="2"/>
  <c r="AA149" i="2"/>
  <c r="Z149" i="2"/>
  <c r="Y149" i="2"/>
  <c r="X149" i="2"/>
  <c r="W149" i="2"/>
  <c r="V149" i="2"/>
  <c r="U149" i="2"/>
  <c r="T149" i="2"/>
  <c r="S149" i="2"/>
  <c r="R149" i="2"/>
  <c r="Q149" i="2"/>
  <c r="P149" i="2"/>
  <c r="O149" i="2"/>
  <c r="N149" i="2"/>
  <c r="M149" i="2"/>
  <c r="L149" i="2"/>
  <c r="K149" i="2"/>
  <c r="J149" i="2"/>
  <c r="I149" i="2"/>
  <c r="H149" i="2"/>
  <c r="G149" i="2"/>
  <c r="F149" i="2"/>
  <c r="E149" i="2"/>
  <c r="D149" i="2"/>
  <c r="C149" i="2"/>
  <c r="B149" i="2"/>
  <c r="A149" i="2"/>
  <c r="AT148" i="2"/>
  <c r="AS148" i="2"/>
  <c r="AR148" i="2"/>
  <c r="AQ148" i="2"/>
  <c r="AP148" i="2"/>
  <c r="AO148" i="2"/>
  <c r="AN148" i="2"/>
  <c r="AM148" i="2"/>
  <c r="AL148" i="2"/>
  <c r="AK148" i="2"/>
  <c r="AJ148" i="2"/>
  <c r="AI148" i="2"/>
  <c r="AH148" i="2"/>
  <c r="AG148" i="2"/>
  <c r="AF148" i="2"/>
  <c r="AE148" i="2"/>
  <c r="AD148" i="2"/>
  <c r="AC148" i="2"/>
  <c r="AB148" i="2"/>
  <c r="AA148" i="2"/>
  <c r="Z148" i="2"/>
  <c r="Y148" i="2"/>
  <c r="X148" i="2"/>
  <c r="W148" i="2"/>
  <c r="V148" i="2"/>
  <c r="U148" i="2"/>
  <c r="T148" i="2"/>
  <c r="S148" i="2"/>
  <c r="R148" i="2"/>
  <c r="Q148" i="2"/>
  <c r="P148" i="2"/>
  <c r="O148" i="2"/>
  <c r="N148" i="2"/>
  <c r="M148" i="2"/>
  <c r="L148" i="2"/>
  <c r="K148" i="2"/>
  <c r="J148" i="2"/>
  <c r="I148" i="2"/>
  <c r="H148" i="2"/>
  <c r="G148" i="2"/>
  <c r="F148" i="2"/>
  <c r="E148" i="2"/>
  <c r="D148" i="2"/>
  <c r="C148" i="2"/>
  <c r="B148" i="2"/>
  <c r="A148" i="2"/>
  <c r="AT147" i="2"/>
  <c r="AS147" i="2"/>
  <c r="AR147" i="2"/>
  <c r="AQ147" i="2"/>
  <c r="AP147" i="2"/>
  <c r="AO147" i="2"/>
  <c r="AN147" i="2"/>
  <c r="AM147" i="2"/>
  <c r="AL147" i="2"/>
  <c r="AK147" i="2"/>
  <c r="AJ147" i="2"/>
  <c r="AI147" i="2"/>
  <c r="AH147" i="2"/>
  <c r="AG147" i="2"/>
  <c r="AF147" i="2"/>
  <c r="AE147" i="2"/>
  <c r="AD147" i="2"/>
  <c r="AC147" i="2"/>
  <c r="AB147" i="2"/>
  <c r="AA147" i="2"/>
  <c r="Z147" i="2"/>
  <c r="Y147" i="2"/>
  <c r="X147" i="2"/>
  <c r="W147" i="2"/>
  <c r="V147" i="2"/>
  <c r="U147" i="2"/>
  <c r="T147" i="2"/>
  <c r="S147" i="2"/>
  <c r="R147" i="2"/>
  <c r="Q147" i="2"/>
  <c r="O147" i="2"/>
  <c r="N147" i="2"/>
  <c r="M147" i="2"/>
  <c r="L147" i="2"/>
  <c r="K147" i="2"/>
  <c r="J147" i="2"/>
  <c r="I147" i="2"/>
  <c r="H147" i="2"/>
  <c r="G147" i="2"/>
  <c r="F147" i="2"/>
  <c r="E147" i="2"/>
  <c r="D147" i="2"/>
  <c r="C147" i="2"/>
  <c r="B147" i="2"/>
  <c r="A147" i="2"/>
  <c r="AT146" i="2"/>
  <c r="AS146" i="2"/>
  <c r="AR146" i="2"/>
  <c r="AQ146" i="2"/>
  <c r="AP146" i="2"/>
  <c r="AO146" i="2"/>
  <c r="AN146" i="2"/>
  <c r="AM146" i="2"/>
  <c r="AL146" i="2"/>
  <c r="AK146" i="2"/>
  <c r="AJ146" i="2"/>
  <c r="AI146" i="2"/>
  <c r="AH146" i="2"/>
  <c r="AG146" i="2"/>
  <c r="AF146" i="2"/>
  <c r="AE146" i="2"/>
  <c r="AD146" i="2"/>
  <c r="AC146" i="2"/>
  <c r="AB146" i="2"/>
  <c r="AA146" i="2"/>
  <c r="Z146" i="2"/>
  <c r="Y146" i="2"/>
  <c r="X146" i="2"/>
  <c r="W146" i="2"/>
  <c r="V146" i="2"/>
  <c r="U146" i="2"/>
  <c r="T146" i="2"/>
  <c r="S146" i="2"/>
  <c r="R146" i="2"/>
  <c r="Q146" i="2"/>
  <c r="P146" i="2"/>
  <c r="O146" i="2"/>
  <c r="N146" i="2"/>
  <c r="M146" i="2"/>
  <c r="L146" i="2"/>
  <c r="K146" i="2"/>
  <c r="J146" i="2"/>
  <c r="I146" i="2"/>
  <c r="H146" i="2"/>
  <c r="G146" i="2"/>
  <c r="F146" i="2"/>
  <c r="E146" i="2"/>
  <c r="D146" i="2"/>
  <c r="C146" i="2"/>
  <c r="B146" i="2"/>
  <c r="A146" i="2"/>
  <c r="AT145" i="2"/>
  <c r="AS145" i="2"/>
  <c r="AR145" i="2"/>
  <c r="AQ145" i="2"/>
  <c r="AP145" i="2"/>
  <c r="AO145" i="2"/>
  <c r="AN145" i="2"/>
  <c r="AM145" i="2"/>
  <c r="AL145" i="2"/>
  <c r="AK145" i="2"/>
  <c r="AJ145" i="2"/>
  <c r="AI145" i="2"/>
  <c r="AH145" i="2"/>
  <c r="AG145" i="2"/>
  <c r="AF145" i="2"/>
  <c r="AE145" i="2"/>
  <c r="AD145" i="2"/>
  <c r="AC145" i="2"/>
  <c r="AB145" i="2"/>
  <c r="AA145" i="2"/>
  <c r="Z145" i="2"/>
  <c r="Y145" i="2"/>
  <c r="X145" i="2"/>
  <c r="W145" i="2"/>
  <c r="V145" i="2"/>
  <c r="U145" i="2"/>
  <c r="T145" i="2"/>
  <c r="S145" i="2"/>
  <c r="R145" i="2"/>
  <c r="Q145" i="2"/>
  <c r="P145" i="2"/>
  <c r="O145" i="2"/>
  <c r="N145" i="2"/>
  <c r="M145" i="2"/>
  <c r="L145" i="2"/>
  <c r="K145" i="2"/>
  <c r="J145" i="2"/>
  <c r="I145" i="2"/>
  <c r="H145" i="2"/>
  <c r="G145" i="2"/>
  <c r="F145" i="2"/>
  <c r="E145" i="2"/>
  <c r="D145" i="2"/>
  <c r="C145" i="2"/>
  <c r="B145" i="2"/>
  <c r="A145" i="2"/>
  <c r="AT144" i="2"/>
  <c r="AS144" i="2"/>
  <c r="AR144" i="2"/>
  <c r="AQ144" i="2"/>
  <c r="AP144" i="2"/>
  <c r="AO144" i="2"/>
  <c r="AN144" i="2"/>
  <c r="AM144" i="2"/>
  <c r="AL144" i="2"/>
  <c r="AK144" i="2"/>
  <c r="AJ144" i="2"/>
  <c r="AI144" i="2"/>
  <c r="AH144" i="2"/>
  <c r="AG144" i="2"/>
  <c r="AF144" i="2"/>
  <c r="AE144" i="2"/>
  <c r="AD144" i="2"/>
  <c r="AC144" i="2"/>
  <c r="AB144" i="2"/>
  <c r="AA144" i="2"/>
  <c r="Z144" i="2"/>
  <c r="Y144" i="2"/>
  <c r="X144" i="2"/>
  <c r="W144" i="2"/>
  <c r="V144" i="2"/>
  <c r="U144" i="2"/>
  <c r="T144" i="2"/>
  <c r="S144" i="2"/>
  <c r="R144" i="2"/>
  <c r="Q144" i="2"/>
  <c r="P144" i="2"/>
  <c r="O144" i="2"/>
  <c r="N144" i="2"/>
  <c r="M144" i="2"/>
  <c r="L144" i="2"/>
  <c r="K144" i="2"/>
  <c r="J144" i="2"/>
  <c r="I144" i="2"/>
  <c r="H144" i="2"/>
  <c r="G144" i="2"/>
  <c r="F144" i="2"/>
  <c r="E144" i="2"/>
  <c r="D144" i="2"/>
  <c r="C144" i="2"/>
  <c r="B144" i="2"/>
  <c r="A144" i="2"/>
  <c r="AT143" i="2"/>
  <c r="AS143" i="2"/>
  <c r="AR143" i="2"/>
  <c r="AQ143" i="2"/>
  <c r="AP143" i="2"/>
  <c r="AO143" i="2"/>
  <c r="AN143" i="2"/>
  <c r="AM143" i="2"/>
  <c r="AL143" i="2"/>
  <c r="AK143" i="2"/>
  <c r="AJ143" i="2"/>
  <c r="AI143" i="2"/>
  <c r="AH143" i="2"/>
  <c r="AG143" i="2"/>
  <c r="AF143" i="2"/>
  <c r="AE143" i="2"/>
  <c r="AD143" i="2"/>
  <c r="AC143" i="2"/>
  <c r="AB143" i="2"/>
  <c r="AA143" i="2"/>
  <c r="Z143" i="2"/>
  <c r="Y143" i="2"/>
  <c r="X143" i="2"/>
  <c r="W143" i="2"/>
  <c r="V143" i="2"/>
  <c r="U143" i="2"/>
  <c r="T143" i="2"/>
  <c r="S143" i="2"/>
  <c r="R143" i="2"/>
  <c r="Q143" i="2"/>
  <c r="P143" i="2"/>
  <c r="O143" i="2"/>
  <c r="N143" i="2"/>
  <c r="M143" i="2"/>
  <c r="L143" i="2"/>
  <c r="K143" i="2"/>
  <c r="J143" i="2"/>
  <c r="I143" i="2"/>
  <c r="H143" i="2"/>
  <c r="G143" i="2"/>
  <c r="F143" i="2"/>
  <c r="E143" i="2"/>
  <c r="D143" i="2"/>
  <c r="C143" i="2"/>
  <c r="B143" i="2"/>
  <c r="A143" i="2"/>
  <c r="AT142" i="2"/>
  <c r="AS142" i="2"/>
  <c r="AR142" i="2"/>
  <c r="AQ142" i="2"/>
  <c r="AP142" i="2"/>
  <c r="AO142" i="2"/>
  <c r="AN142" i="2"/>
  <c r="AM142" i="2"/>
  <c r="AL142" i="2"/>
  <c r="AK142" i="2"/>
  <c r="AJ142" i="2"/>
  <c r="AI142" i="2"/>
  <c r="AH142" i="2"/>
  <c r="AG142" i="2"/>
  <c r="AF142" i="2"/>
  <c r="AE142" i="2"/>
  <c r="AD142" i="2"/>
  <c r="AC142" i="2"/>
  <c r="AB142" i="2"/>
  <c r="AA142" i="2"/>
  <c r="Z142" i="2"/>
  <c r="Y142" i="2"/>
  <c r="X142" i="2"/>
  <c r="W142" i="2"/>
  <c r="V142" i="2"/>
  <c r="U142" i="2"/>
  <c r="T142" i="2"/>
  <c r="S142" i="2"/>
  <c r="R142" i="2"/>
  <c r="Q142" i="2"/>
  <c r="P142" i="2"/>
  <c r="O142" i="2"/>
  <c r="N142" i="2"/>
  <c r="M142" i="2"/>
  <c r="L142" i="2"/>
  <c r="K142" i="2"/>
  <c r="J142" i="2"/>
  <c r="I142" i="2"/>
  <c r="H142" i="2"/>
  <c r="G142" i="2"/>
  <c r="F142" i="2"/>
  <c r="E142" i="2"/>
  <c r="D142" i="2"/>
  <c r="C142" i="2"/>
  <c r="B142" i="2"/>
  <c r="A142" i="2"/>
  <c r="AT141" i="2"/>
  <c r="AS141" i="2"/>
  <c r="AR141" i="2"/>
  <c r="AQ141" i="2"/>
  <c r="AP141" i="2"/>
  <c r="AO141" i="2"/>
  <c r="AN141" i="2"/>
  <c r="AM141" i="2"/>
  <c r="AL141" i="2"/>
  <c r="AK141" i="2"/>
  <c r="AJ141" i="2"/>
  <c r="AI141" i="2"/>
  <c r="AH141" i="2"/>
  <c r="AG141" i="2"/>
  <c r="AF141" i="2"/>
  <c r="AE141" i="2"/>
  <c r="AD141" i="2"/>
  <c r="AC141" i="2"/>
  <c r="AB141" i="2"/>
  <c r="AA141" i="2"/>
  <c r="Z141" i="2"/>
  <c r="Y141" i="2"/>
  <c r="X141" i="2"/>
  <c r="W141" i="2"/>
  <c r="V141" i="2"/>
  <c r="U141" i="2"/>
  <c r="T141" i="2"/>
  <c r="S141" i="2"/>
  <c r="R141" i="2"/>
  <c r="Q141" i="2"/>
  <c r="P141" i="2"/>
  <c r="O141" i="2"/>
  <c r="N141" i="2"/>
  <c r="M141" i="2"/>
  <c r="L141" i="2"/>
  <c r="K141" i="2"/>
  <c r="J141" i="2"/>
  <c r="I141" i="2"/>
  <c r="H141" i="2"/>
  <c r="G141" i="2"/>
  <c r="F141" i="2"/>
  <c r="E141" i="2"/>
  <c r="D141" i="2"/>
  <c r="C141" i="2"/>
  <c r="B141" i="2"/>
  <c r="A141" i="2"/>
  <c r="AT140" i="2"/>
  <c r="AS140" i="2"/>
  <c r="AR140" i="2"/>
  <c r="AQ140" i="2"/>
  <c r="AP140" i="2"/>
  <c r="AO140" i="2"/>
  <c r="AN140" i="2"/>
  <c r="AM140" i="2"/>
  <c r="AL140" i="2"/>
  <c r="AK140" i="2"/>
  <c r="AJ140" i="2"/>
  <c r="AI140" i="2"/>
  <c r="AH140" i="2"/>
  <c r="AG140" i="2"/>
  <c r="AF140" i="2"/>
  <c r="AE140" i="2"/>
  <c r="AD140" i="2"/>
  <c r="AC140" i="2"/>
  <c r="AB140" i="2"/>
  <c r="AA140" i="2"/>
  <c r="Z140" i="2"/>
  <c r="Y140" i="2"/>
  <c r="X140" i="2"/>
  <c r="W140" i="2"/>
  <c r="V140" i="2"/>
  <c r="U140" i="2"/>
  <c r="T140" i="2"/>
  <c r="S140" i="2"/>
  <c r="R140" i="2"/>
  <c r="Q140" i="2"/>
  <c r="P140" i="2"/>
  <c r="O140" i="2"/>
  <c r="N140" i="2"/>
  <c r="M140" i="2"/>
  <c r="L140" i="2"/>
  <c r="K140" i="2"/>
  <c r="J140" i="2"/>
  <c r="I140" i="2"/>
  <c r="H140" i="2"/>
  <c r="G140" i="2"/>
  <c r="F140" i="2"/>
  <c r="E140" i="2"/>
  <c r="D140" i="2"/>
  <c r="C140" i="2"/>
  <c r="B140" i="2"/>
  <c r="A140" i="2"/>
  <c r="AT139" i="2"/>
  <c r="AS139" i="2"/>
  <c r="AR139" i="2"/>
  <c r="AQ139" i="2"/>
  <c r="AP139" i="2"/>
  <c r="AO139" i="2"/>
  <c r="AN139" i="2"/>
  <c r="AM139" i="2"/>
  <c r="AL139" i="2"/>
  <c r="AK139" i="2"/>
  <c r="AJ139" i="2"/>
  <c r="AI139" i="2"/>
  <c r="AH139" i="2"/>
  <c r="AG139" i="2"/>
  <c r="AF139" i="2"/>
  <c r="AE139" i="2"/>
  <c r="AD139" i="2"/>
  <c r="AC139" i="2"/>
  <c r="AB139" i="2"/>
  <c r="AA139" i="2"/>
  <c r="Z139" i="2"/>
  <c r="Y139" i="2"/>
  <c r="X139" i="2"/>
  <c r="W139" i="2"/>
  <c r="V139" i="2"/>
  <c r="U139" i="2"/>
  <c r="T139" i="2"/>
  <c r="S139" i="2"/>
  <c r="R139" i="2"/>
  <c r="Q139" i="2"/>
  <c r="P139" i="2"/>
  <c r="O139" i="2"/>
  <c r="N139" i="2"/>
  <c r="M139" i="2"/>
  <c r="L139" i="2"/>
  <c r="K139" i="2"/>
  <c r="J139" i="2"/>
  <c r="I139" i="2"/>
  <c r="H139" i="2"/>
  <c r="G139" i="2"/>
  <c r="F139" i="2"/>
  <c r="E139" i="2"/>
  <c r="D139" i="2"/>
  <c r="C139" i="2"/>
  <c r="B139" i="2"/>
  <c r="A139" i="2"/>
  <c r="AT138" i="2"/>
  <c r="AS138" i="2"/>
  <c r="AR138" i="2"/>
  <c r="AQ138" i="2"/>
  <c r="AP138" i="2"/>
  <c r="AO138" i="2"/>
  <c r="AN138" i="2"/>
  <c r="AM138" i="2"/>
  <c r="AL138" i="2"/>
  <c r="AK138" i="2"/>
  <c r="AJ138" i="2"/>
  <c r="AI138" i="2"/>
  <c r="AH138" i="2"/>
  <c r="AG138" i="2"/>
  <c r="AF138" i="2"/>
  <c r="AE138" i="2"/>
  <c r="AD138" i="2"/>
  <c r="AC138" i="2"/>
  <c r="AB138" i="2"/>
  <c r="AA138" i="2"/>
  <c r="Z138" i="2"/>
  <c r="Y138" i="2"/>
  <c r="X138" i="2"/>
  <c r="W138" i="2"/>
  <c r="V138" i="2"/>
  <c r="U138" i="2"/>
  <c r="T138" i="2"/>
  <c r="S138" i="2"/>
  <c r="R138" i="2"/>
  <c r="Q138" i="2"/>
  <c r="P138" i="2"/>
  <c r="O138" i="2"/>
  <c r="N138" i="2"/>
  <c r="M138" i="2"/>
  <c r="L138" i="2"/>
  <c r="K138" i="2"/>
  <c r="J138" i="2"/>
  <c r="I138" i="2"/>
  <c r="H138" i="2"/>
  <c r="G138" i="2"/>
  <c r="F138" i="2"/>
  <c r="E138" i="2"/>
  <c r="D138" i="2"/>
  <c r="C138" i="2"/>
  <c r="B138" i="2"/>
  <c r="A138" i="2"/>
  <c r="AT137" i="2"/>
  <c r="AS137" i="2"/>
  <c r="AR137" i="2"/>
  <c r="AQ137" i="2"/>
  <c r="AP137" i="2"/>
  <c r="AO137" i="2"/>
  <c r="AN137" i="2"/>
  <c r="AM137" i="2"/>
  <c r="AL137" i="2"/>
  <c r="AK137" i="2"/>
  <c r="AJ137" i="2"/>
  <c r="AI137" i="2"/>
  <c r="AH137" i="2"/>
  <c r="AG137" i="2"/>
  <c r="AF137" i="2"/>
  <c r="AE137" i="2"/>
  <c r="AD137" i="2"/>
  <c r="AC137" i="2"/>
  <c r="AB137" i="2"/>
  <c r="AA137" i="2"/>
  <c r="Z137" i="2"/>
  <c r="Y137" i="2"/>
  <c r="X137" i="2"/>
  <c r="W137" i="2"/>
  <c r="V137" i="2"/>
  <c r="U137" i="2"/>
  <c r="T137" i="2"/>
  <c r="S137" i="2"/>
  <c r="R137" i="2"/>
  <c r="Q137" i="2"/>
  <c r="P137" i="2"/>
  <c r="O137" i="2"/>
  <c r="N137" i="2"/>
  <c r="M137" i="2"/>
  <c r="L137" i="2"/>
  <c r="K137" i="2"/>
  <c r="J137" i="2"/>
  <c r="I137" i="2"/>
  <c r="H137" i="2"/>
  <c r="G137" i="2"/>
  <c r="F137" i="2"/>
  <c r="E137" i="2"/>
  <c r="D137" i="2"/>
  <c r="C137" i="2"/>
  <c r="B137" i="2"/>
  <c r="A137" i="2"/>
  <c r="AT136" i="2"/>
  <c r="AS136" i="2"/>
  <c r="AR136" i="2"/>
  <c r="AQ136" i="2"/>
  <c r="AP136" i="2"/>
  <c r="AO136" i="2"/>
  <c r="AN136" i="2"/>
  <c r="AM136" i="2"/>
  <c r="AL136" i="2"/>
  <c r="AK136" i="2"/>
  <c r="AJ136" i="2"/>
  <c r="AI136" i="2"/>
  <c r="AH136" i="2"/>
  <c r="AG136" i="2"/>
  <c r="AF136" i="2"/>
  <c r="AE136" i="2"/>
  <c r="AD136" i="2"/>
  <c r="AC136" i="2"/>
  <c r="AB136" i="2"/>
  <c r="AA136" i="2"/>
  <c r="Z136" i="2"/>
  <c r="Y136" i="2"/>
  <c r="X136" i="2"/>
  <c r="W136" i="2"/>
  <c r="V136" i="2"/>
  <c r="U136" i="2"/>
  <c r="T136" i="2"/>
  <c r="S136" i="2"/>
  <c r="R136" i="2"/>
  <c r="Q136" i="2"/>
  <c r="P136" i="2"/>
  <c r="O136" i="2"/>
  <c r="N136" i="2"/>
  <c r="M136" i="2"/>
  <c r="L136" i="2"/>
  <c r="K136" i="2"/>
  <c r="J136" i="2"/>
  <c r="I136" i="2"/>
  <c r="H136" i="2"/>
  <c r="G136" i="2"/>
  <c r="F136" i="2"/>
  <c r="E136" i="2"/>
  <c r="D136" i="2"/>
  <c r="C136" i="2"/>
  <c r="B136" i="2"/>
  <c r="A136" i="2"/>
  <c r="AT135" i="2"/>
  <c r="AS135" i="2"/>
  <c r="AR135" i="2"/>
  <c r="AQ135" i="2"/>
  <c r="AP135" i="2"/>
  <c r="AO135" i="2"/>
  <c r="AN135" i="2"/>
  <c r="AM135" i="2"/>
  <c r="AL135" i="2"/>
  <c r="AK135" i="2"/>
  <c r="AJ135" i="2"/>
  <c r="AI135" i="2"/>
  <c r="AH135" i="2"/>
  <c r="AG135" i="2"/>
  <c r="AF135" i="2"/>
  <c r="AE135" i="2"/>
  <c r="AD135" i="2"/>
  <c r="AC135" i="2"/>
  <c r="AB135" i="2"/>
  <c r="AA135" i="2"/>
  <c r="Z135" i="2"/>
  <c r="Y135" i="2"/>
  <c r="X135" i="2"/>
  <c r="W135" i="2"/>
  <c r="V135" i="2"/>
  <c r="U135" i="2"/>
  <c r="T135" i="2"/>
  <c r="S135" i="2"/>
  <c r="R135" i="2"/>
  <c r="Q135" i="2"/>
  <c r="P135" i="2"/>
  <c r="O135" i="2"/>
  <c r="N135" i="2"/>
  <c r="M135" i="2"/>
  <c r="L135" i="2"/>
  <c r="K135" i="2"/>
  <c r="J135" i="2"/>
  <c r="I135" i="2"/>
  <c r="H135" i="2"/>
  <c r="G135" i="2"/>
  <c r="F135" i="2"/>
  <c r="E135" i="2"/>
  <c r="D135" i="2"/>
  <c r="C135" i="2"/>
  <c r="B135" i="2"/>
  <c r="A135" i="2"/>
  <c r="AT134" i="2"/>
  <c r="AS134" i="2"/>
  <c r="AR134" i="2"/>
  <c r="AQ134" i="2"/>
  <c r="AP134" i="2"/>
  <c r="AO134" i="2"/>
  <c r="AN134" i="2"/>
  <c r="AM134" i="2"/>
  <c r="AL134" i="2"/>
  <c r="AK134" i="2"/>
  <c r="AJ134" i="2"/>
  <c r="AI134" i="2"/>
  <c r="AH134" i="2"/>
  <c r="AG134" i="2"/>
  <c r="AF134" i="2"/>
  <c r="AE134" i="2"/>
  <c r="AD134" i="2"/>
  <c r="AC134" i="2"/>
  <c r="AB134" i="2"/>
  <c r="AA134" i="2"/>
  <c r="Z134" i="2"/>
  <c r="Y134" i="2"/>
  <c r="X134" i="2"/>
  <c r="W134" i="2"/>
  <c r="V134" i="2"/>
  <c r="U134" i="2"/>
  <c r="T134" i="2"/>
  <c r="S134" i="2"/>
  <c r="R134" i="2"/>
  <c r="Q134" i="2"/>
  <c r="P134" i="2"/>
  <c r="O134" i="2"/>
  <c r="N134" i="2"/>
  <c r="M134" i="2"/>
  <c r="L134" i="2"/>
  <c r="K134" i="2"/>
  <c r="J134" i="2"/>
  <c r="I134" i="2"/>
  <c r="H134" i="2"/>
  <c r="G134" i="2"/>
  <c r="F134" i="2"/>
  <c r="E134" i="2"/>
  <c r="D134" i="2"/>
  <c r="C134" i="2"/>
  <c r="B134" i="2"/>
  <c r="A134" i="2"/>
  <c r="AT133" i="2"/>
  <c r="AS133" i="2"/>
  <c r="AR133" i="2"/>
  <c r="AQ133" i="2"/>
  <c r="AP133" i="2"/>
  <c r="AO133" i="2"/>
  <c r="AN133" i="2"/>
  <c r="AM133" i="2"/>
  <c r="AL133" i="2"/>
  <c r="AK133" i="2"/>
  <c r="AJ133" i="2"/>
  <c r="AI133" i="2"/>
  <c r="AH133" i="2"/>
  <c r="AG133" i="2"/>
  <c r="AF133" i="2"/>
  <c r="AE133" i="2"/>
  <c r="AD133" i="2"/>
  <c r="AC133" i="2"/>
  <c r="AB133" i="2"/>
  <c r="AA133" i="2"/>
  <c r="Z133" i="2"/>
  <c r="Y133" i="2"/>
  <c r="X133" i="2"/>
  <c r="W133" i="2"/>
  <c r="V133" i="2"/>
  <c r="U133" i="2"/>
  <c r="T133" i="2"/>
  <c r="S133" i="2"/>
  <c r="R133" i="2"/>
  <c r="Q133" i="2"/>
  <c r="P133" i="2"/>
  <c r="O133" i="2"/>
  <c r="N133" i="2"/>
  <c r="M133" i="2"/>
  <c r="L133" i="2"/>
  <c r="K133" i="2"/>
  <c r="J133" i="2"/>
  <c r="I133" i="2"/>
  <c r="H133" i="2"/>
  <c r="G133" i="2"/>
  <c r="F133" i="2"/>
  <c r="E133" i="2"/>
  <c r="D133" i="2"/>
  <c r="C133" i="2"/>
  <c r="B133" i="2"/>
  <c r="A133" i="2"/>
  <c r="AT132" i="2"/>
  <c r="AS132" i="2"/>
  <c r="AR132" i="2"/>
  <c r="AQ132" i="2"/>
  <c r="AP132" i="2"/>
  <c r="AO132" i="2"/>
  <c r="AN132" i="2"/>
  <c r="AM132" i="2"/>
  <c r="AL132" i="2"/>
  <c r="AK132" i="2"/>
  <c r="AJ132" i="2"/>
  <c r="AI132" i="2"/>
  <c r="AH132" i="2"/>
  <c r="AG132" i="2"/>
  <c r="AF132" i="2"/>
  <c r="AE132" i="2"/>
  <c r="AD132" i="2"/>
  <c r="AC132" i="2"/>
  <c r="AB132" i="2"/>
  <c r="AA132" i="2"/>
  <c r="Z132" i="2"/>
  <c r="Y132" i="2"/>
  <c r="X132" i="2"/>
  <c r="W132" i="2"/>
  <c r="V132" i="2"/>
  <c r="U132" i="2"/>
  <c r="T132" i="2"/>
  <c r="S132" i="2"/>
  <c r="R132" i="2"/>
  <c r="Q132" i="2"/>
  <c r="P132" i="2"/>
  <c r="O132" i="2"/>
  <c r="N132" i="2"/>
  <c r="M132" i="2"/>
  <c r="L132" i="2"/>
  <c r="K132" i="2"/>
  <c r="J132" i="2"/>
  <c r="I132" i="2"/>
  <c r="H132" i="2"/>
  <c r="G132" i="2"/>
  <c r="F132" i="2"/>
  <c r="E132" i="2"/>
  <c r="D132" i="2"/>
  <c r="C132" i="2"/>
  <c r="B132" i="2"/>
  <c r="A132" i="2"/>
  <c r="AT131" i="2"/>
  <c r="AS131" i="2"/>
  <c r="AR131" i="2"/>
  <c r="AQ131" i="2"/>
  <c r="AP131" i="2"/>
  <c r="AO131" i="2"/>
  <c r="AN131" i="2"/>
  <c r="AM131" i="2"/>
  <c r="AL131" i="2"/>
  <c r="AK131" i="2"/>
  <c r="AJ131" i="2"/>
  <c r="AI131" i="2"/>
  <c r="AH131" i="2"/>
  <c r="AG131" i="2"/>
  <c r="AF131" i="2"/>
  <c r="AE131" i="2"/>
  <c r="AD131" i="2"/>
  <c r="AC131" i="2"/>
  <c r="AB131" i="2"/>
  <c r="AA131" i="2"/>
  <c r="Z131" i="2"/>
  <c r="Y131" i="2"/>
  <c r="X131" i="2"/>
  <c r="W131" i="2"/>
  <c r="V131" i="2"/>
  <c r="U131" i="2"/>
  <c r="T131" i="2"/>
  <c r="S131" i="2"/>
  <c r="R131" i="2"/>
  <c r="Q131" i="2"/>
  <c r="P131" i="2"/>
  <c r="O131" i="2"/>
  <c r="N131" i="2"/>
  <c r="M131" i="2"/>
  <c r="L131" i="2"/>
  <c r="K131" i="2"/>
  <c r="J131" i="2"/>
  <c r="I131" i="2"/>
  <c r="H131" i="2"/>
  <c r="G131" i="2"/>
  <c r="F131" i="2"/>
  <c r="E131" i="2"/>
  <c r="D131" i="2"/>
  <c r="C131" i="2"/>
  <c r="B131" i="2"/>
  <c r="A131" i="2"/>
  <c r="AT130" i="2"/>
  <c r="AS130" i="2"/>
  <c r="AR130" i="2"/>
  <c r="AQ130" i="2"/>
  <c r="AP130" i="2"/>
  <c r="AO130" i="2"/>
  <c r="AN130" i="2"/>
  <c r="AM130" i="2"/>
  <c r="AL130" i="2"/>
  <c r="AK130" i="2"/>
  <c r="AJ130" i="2"/>
  <c r="AI130" i="2"/>
  <c r="AH130" i="2"/>
  <c r="AG130" i="2"/>
  <c r="AF130" i="2"/>
  <c r="AE130" i="2"/>
  <c r="AD130" i="2"/>
  <c r="AC130" i="2"/>
  <c r="AB130" i="2"/>
  <c r="AA130" i="2"/>
  <c r="Z130" i="2"/>
  <c r="Y130" i="2"/>
  <c r="X130" i="2"/>
  <c r="W130" i="2"/>
  <c r="V130" i="2"/>
  <c r="U130" i="2"/>
  <c r="T130" i="2"/>
  <c r="S130" i="2"/>
  <c r="R130" i="2"/>
  <c r="Q130" i="2"/>
  <c r="P130" i="2"/>
  <c r="O130" i="2"/>
  <c r="N130" i="2"/>
  <c r="M130" i="2"/>
  <c r="L130" i="2"/>
  <c r="K130" i="2"/>
  <c r="J130" i="2"/>
  <c r="I130" i="2"/>
  <c r="H130" i="2"/>
  <c r="G130" i="2"/>
  <c r="F130" i="2"/>
  <c r="E130" i="2"/>
  <c r="D130" i="2"/>
  <c r="C130" i="2"/>
  <c r="B130" i="2"/>
  <c r="A130" i="2"/>
  <c r="AT129" i="2"/>
  <c r="AS129" i="2"/>
  <c r="AR129" i="2"/>
  <c r="AQ129" i="2"/>
  <c r="AP129" i="2"/>
  <c r="AO129" i="2"/>
  <c r="AN129" i="2"/>
  <c r="AM129" i="2"/>
  <c r="AL129" i="2"/>
  <c r="AK129" i="2"/>
  <c r="AJ129" i="2"/>
  <c r="AI129" i="2"/>
  <c r="AH129" i="2"/>
  <c r="AG129" i="2"/>
  <c r="AF129" i="2"/>
  <c r="AE129" i="2"/>
  <c r="AD129" i="2"/>
  <c r="AC129" i="2"/>
  <c r="AB129" i="2"/>
  <c r="AA129" i="2"/>
  <c r="Z129" i="2"/>
  <c r="Y129" i="2"/>
  <c r="X129" i="2"/>
  <c r="W129" i="2"/>
  <c r="V129" i="2"/>
  <c r="U129" i="2"/>
  <c r="T129" i="2"/>
  <c r="S129" i="2"/>
  <c r="R129" i="2"/>
  <c r="Q129" i="2"/>
  <c r="P129" i="2"/>
  <c r="O129" i="2"/>
  <c r="N129" i="2"/>
  <c r="M129" i="2"/>
  <c r="L129" i="2"/>
  <c r="K129" i="2"/>
  <c r="J129" i="2"/>
  <c r="I129" i="2"/>
  <c r="H129" i="2"/>
  <c r="G129" i="2"/>
  <c r="F129" i="2"/>
  <c r="E129" i="2"/>
  <c r="D129" i="2"/>
  <c r="C129" i="2"/>
  <c r="B129" i="2"/>
  <c r="A129" i="2"/>
  <c r="AT128" i="2"/>
  <c r="AS128" i="2"/>
  <c r="AR128" i="2"/>
  <c r="AQ128" i="2"/>
  <c r="AP128" i="2"/>
  <c r="AO128" i="2"/>
  <c r="AN128" i="2"/>
  <c r="AM128" i="2"/>
  <c r="AL128" i="2"/>
  <c r="AK128" i="2"/>
  <c r="AJ128" i="2"/>
  <c r="AI128" i="2"/>
  <c r="AH128" i="2"/>
  <c r="AG128" i="2"/>
  <c r="AF128" i="2"/>
  <c r="AE128" i="2"/>
  <c r="AD128" i="2"/>
  <c r="AC128" i="2"/>
  <c r="AB128" i="2"/>
  <c r="AA128" i="2"/>
  <c r="Z128" i="2"/>
  <c r="Y128" i="2"/>
  <c r="X128" i="2"/>
  <c r="W128" i="2"/>
  <c r="V128" i="2"/>
  <c r="U128" i="2"/>
  <c r="T128" i="2"/>
  <c r="S128" i="2"/>
  <c r="R128" i="2"/>
  <c r="Q128" i="2"/>
  <c r="P128" i="2"/>
  <c r="O128" i="2"/>
  <c r="N128" i="2"/>
  <c r="M128" i="2"/>
  <c r="L128" i="2"/>
  <c r="K128" i="2"/>
  <c r="J128" i="2"/>
  <c r="I128" i="2"/>
  <c r="H128" i="2"/>
  <c r="G128" i="2"/>
  <c r="F128" i="2"/>
  <c r="E128" i="2"/>
  <c r="D128" i="2"/>
  <c r="C128" i="2"/>
  <c r="B128" i="2"/>
  <c r="A128" i="2"/>
  <c r="AT127" i="2"/>
  <c r="AS127" i="2"/>
  <c r="AR127" i="2"/>
  <c r="AQ127" i="2"/>
  <c r="AP127" i="2"/>
  <c r="AO127" i="2"/>
  <c r="AN127" i="2"/>
  <c r="AM127" i="2"/>
  <c r="AL127" i="2"/>
  <c r="AK127" i="2"/>
  <c r="AJ127" i="2"/>
  <c r="AI127" i="2"/>
  <c r="AH127" i="2"/>
  <c r="AG127" i="2"/>
  <c r="AF127" i="2"/>
  <c r="AE127" i="2"/>
  <c r="AD127" i="2"/>
  <c r="AC127" i="2"/>
  <c r="AB127" i="2"/>
  <c r="AA127" i="2"/>
  <c r="Z127" i="2"/>
  <c r="Y127" i="2"/>
  <c r="X127" i="2"/>
  <c r="W127" i="2"/>
  <c r="V127" i="2"/>
  <c r="U127" i="2"/>
  <c r="T127" i="2"/>
  <c r="S127" i="2"/>
  <c r="R127" i="2"/>
  <c r="Q127" i="2"/>
  <c r="P127" i="2"/>
  <c r="O127" i="2"/>
  <c r="N127" i="2"/>
  <c r="M127" i="2"/>
  <c r="L127" i="2"/>
  <c r="K127" i="2"/>
  <c r="J127" i="2"/>
  <c r="I127" i="2"/>
  <c r="H127" i="2"/>
  <c r="G127" i="2"/>
  <c r="F127" i="2"/>
  <c r="E127" i="2"/>
  <c r="D127" i="2"/>
  <c r="C127" i="2"/>
  <c r="B127" i="2"/>
  <c r="A127" i="2"/>
  <c r="AT126" i="2"/>
  <c r="AS126" i="2"/>
  <c r="AR126" i="2"/>
  <c r="AQ126" i="2"/>
  <c r="AP126" i="2"/>
  <c r="AO126" i="2"/>
  <c r="AN126" i="2"/>
  <c r="AM126" i="2"/>
  <c r="AL126" i="2"/>
  <c r="AK126" i="2"/>
  <c r="AJ126" i="2"/>
  <c r="AI126" i="2"/>
  <c r="AH126" i="2"/>
  <c r="AG126" i="2"/>
  <c r="AF126" i="2"/>
  <c r="AE126" i="2"/>
  <c r="AD126" i="2"/>
  <c r="AC126" i="2"/>
  <c r="AB126" i="2"/>
  <c r="AA126" i="2"/>
  <c r="Z126" i="2"/>
  <c r="Y126" i="2"/>
  <c r="X126" i="2"/>
  <c r="W126" i="2"/>
  <c r="V126" i="2"/>
  <c r="U126" i="2"/>
  <c r="T126" i="2"/>
  <c r="S126" i="2"/>
  <c r="R126" i="2"/>
  <c r="Q126" i="2"/>
  <c r="P126" i="2"/>
  <c r="O126" i="2"/>
  <c r="N126" i="2"/>
  <c r="M126" i="2"/>
  <c r="L126" i="2"/>
  <c r="K126" i="2"/>
  <c r="J126" i="2"/>
  <c r="I126" i="2"/>
  <c r="H126" i="2"/>
  <c r="G126" i="2"/>
  <c r="F126" i="2"/>
  <c r="E126" i="2"/>
  <c r="D126" i="2"/>
  <c r="C126" i="2"/>
  <c r="B126" i="2"/>
  <c r="A126" i="2"/>
  <c r="AT125" i="2"/>
  <c r="AS125" i="2"/>
  <c r="AR125" i="2"/>
  <c r="AQ125" i="2"/>
  <c r="AP125" i="2"/>
  <c r="AO125" i="2"/>
  <c r="AN125" i="2"/>
  <c r="AM125" i="2"/>
  <c r="AL125" i="2"/>
  <c r="AK125" i="2"/>
  <c r="AJ125" i="2"/>
  <c r="AI125" i="2"/>
  <c r="AH125" i="2"/>
  <c r="AG125" i="2"/>
  <c r="AF125" i="2"/>
  <c r="AE125" i="2"/>
  <c r="AD125" i="2"/>
  <c r="AC125" i="2"/>
  <c r="AB125" i="2"/>
  <c r="AA125" i="2"/>
  <c r="Z125" i="2"/>
  <c r="Y125" i="2"/>
  <c r="X125" i="2"/>
  <c r="W125" i="2"/>
  <c r="V125" i="2"/>
  <c r="U125" i="2"/>
  <c r="T125" i="2"/>
  <c r="S125" i="2"/>
  <c r="R125" i="2"/>
  <c r="Q125" i="2"/>
  <c r="P125" i="2"/>
  <c r="O125" i="2"/>
  <c r="N125" i="2"/>
  <c r="M125" i="2"/>
  <c r="L125" i="2"/>
  <c r="K125" i="2"/>
  <c r="J125" i="2"/>
  <c r="I125" i="2"/>
  <c r="H125" i="2"/>
  <c r="G125" i="2"/>
  <c r="F125" i="2"/>
  <c r="E125" i="2"/>
  <c r="D125" i="2"/>
  <c r="C125" i="2"/>
  <c r="B125" i="2"/>
  <c r="A125" i="2"/>
  <c r="AT124" i="2"/>
  <c r="AS124" i="2"/>
  <c r="AR124" i="2"/>
  <c r="AQ124" i="2"/>
  <c r="AP124" i="2"/>
  <c r="AO124" i="2"/>
  <c r="AN124" i="2"/>
  <c r="AM124" i="2"/>
  <c r="AL124" i="2"/>
  <c r="AK124" i="2"/>
  <c r="AJ124" i="2"/>
  <c r="AI124" i="2"/>
  <c r="AH124" i="2"/>
  <c r="AG124" i="2"/>
  <c r="AF124" i="2"/>
  <c r="AE124" i="2"/>
  <c r="AD124" i="2"/>
  <c r="AC124" i="2"/>
  <c r="AB124" i="2"/>
  <c r="AA124" i="2"/>
  <c r="Z124" i="2"/>
  <c r="Y124" i="2"/>
  <c r="X124" i="2"/>
  <c r="W124" i="2"/>
  <c r="V124" i="2"/>
  <c r="U124" i="2"/>
  <c r="T124" i="2"/>
  <c r="S124" i="2"/>
  <c r="R124" i="2"/>
  <c r="Q124" i="2"/>
  <c r="P124" i="2"/>
  <c r="O124" i="2"/>
  <c r="N124" i="2"/>
  <c r="M124" i="2"/>
  <c r="L124" i="2"/>
  <c r="K124" i="2"/>
  <c r="J124" i="2"/>
  <c r="I124" i="2"/>
  <c r="H124" i="2"/>
  <c r="G124" i="2"/>
  <c r="F124" i="2"/>
  <c r="E124" i="2"/>
  <c r="D124" i="2"/>
  <c r="C124" i="2"/>
  <c r="B124" i="2"/>
  <c r="A124" i="2"/>
  <c r="AT123" i="2"/>
  <c r="AS123" i="2"/>
  <c r="AR123" i="2"/>
  <c r="AQ123" i="2"/>
  <c r="AP123" i="2"/>
  <c r="AO123" i="2"/>
  <c r="AN123" i="2"/>
  <c r="AM123" i="2"/>
  <c r="AL123" i="2"/>
  <c r="AK123" i="2"/>
  <c r="AJ123" i="2"/>
  <c r="AI123" i="2"/>
  <c r="AH123" i="2"/>
  <c r="AG123" i="2"/>
  <c r="AF123" i="2"/>
  <c r="AE123" i="2"/>
  <c r="AD123" i="2"/>
  <c r="AC123" i="2"/>
  <c r="AB123" i="2"/>
  <c r="AA123" i="2"/>
  <c r="Z123" i="2"/>
  <c r="Y123" i="2"/>
  <c r="X123" i="2"/>
  <c r="W123" i="2"/>
  <c r="V123" i="2"/>
  <c r="U123" i="2"/>
  <c r="T123" i="2"/>
  <c r="S123" i="2"/>
  <c r="R123" i="2"/>
  <c r="Q123" i="2"/>
  <c r="P123" i="2"/>
  <c r="O123" i="2"/>
  <c r="N123" i="2"/>
  <c r="M123" i="2"/>
  <c r="L123" i="2"/>
  <c r="K123" i="2"/>
  <c r="J123" i="2"/>
  <c r="I123" i="2"/>
  <c r="H123" i="2"/>
  <c r="G123" i="2"/>
  <c r="F123" i="2"/>
  <c r="E123" i="2"/>
  <c r="D123" i="2"/>
  <c r="C123" i="2"/>
  <c r="B123" i="2"/>
  <c r="A123" i="2"/>
  <c r="AT122" i="2"/>
  <c r="AS122" i="2"/>
  <c r="AR122" i="2"/>
  <c r="AQ122" i="2"/>
  <c r="AP122" i="2"/>
  <c r="AO122" i="2"/>
  <c r="AN122" i="2"/>
  <c r="AM122" i="2"/>
  <c r="AL122" i="2"/>
  <c r="AK122" i="2"/>
  <c r="AJ122" i="2"/>
  <c r="AI122" i="2"/>
  <c r="AH122" i="2"/>
  <c r="AG122" i="2"/>
  <c r="AF122" i="2"/>
  <c r="AE122" i="2"/>
  <c r="AD122" i="2"/>
  <c r="AC122" i="2"/>
  <c r="AB122" i="2"/>
  <c r="AA122" i="2"/>
  <c r="Z122" i="2"/>
  <c r="Y122" i="2"/>
  <c r="X122" i="2"/>
  <c r="W122" i="2"/>
  <c r="V122" i="2"/>
  <c r="U122" i="2"/>
  <c r="T122" i="2"/>
  <c r="S122" i="2"/>
  <c r="R122" i="2"/>
  <c r="Q122" i="2"/>
  <c r="P122" i="2"/>
  <c r="O122" i="2"/>
  <c r="N122" i="2"/>
  <c r="M122" i="2"/>
  <c r="L122" i="2"/>
  <c r="K122" i="2"/>
  <c r="J122" i="2"/>
  <c r="I122" i="2"/>
  <c r="H122" i="2"/>
  <c r="G122" i="2"/>
  <c r="F122" i="2"/>
  <c r="E122" i="2"/>
  <c r="D122" i="2"/>
  <c r="C122" i="2"/>
  <c r="B122" i="2"/>
  <c r="A122" i="2"/>
  <c r="AT121" i="2"/>
  <c r="AS121" i="2"/>
  <c r="AR121" i="2"/>
  <c r="AQ121" i="2"/>
  <c r="AP121" i="2"/>
  <c r="AO121" i="2"/>
  <c r="AN121" i="2"/>
  <c r="AM121" i="2"/>
  <c r="AL121" i="2"/>
  <c r="AK121" i="2"/>
  <c r="AJ121" i="2"/>
  <c r="AI121" i="2"/>
  <c r="AH121" i="2"/>
  <c r="AG121" i="2"/>
  <c r="AF121" i="2"/>
  <c r="AE121" i="2"/>
  <c r="AD121" i="2"/>
  <c r="AC121" i="2"/>
  <c r="AB121" i="2"/>
  <c r="AA121" i="2"/>
  <c r="Z121" i="2"/>
  <c r="Y121" i="2"/>
  <c r="X121" i="2"/>
  <c r="W121" i="2"/>
  <c r="V121" i="2"/>
  <c r="U121" i="2"/>
  <c r="T121" i="2"/>
  <c r="S121" i="2"/>
  <c r="R121" i="2"/>
  <c r="Q121" i="2"/>
  <c r="P121" i="2"/>
  <c r="O121" i="2"/>
  <c r="N121" i="2"/>
  <c r="M121" i="2"/>
  <c r="L121" i="2"/>
  <c r="K121" i="2"/>
  <c r="J121" i="2"/>
  <c r="I121" i="2"/>
  <c r="H121" i="2"/>
  <c r="G121" i="2"/>
  <c r="F121" i="2"/>
  <c r="E121" i="2"/>
  <c r="D121" i="2"/>
  <c r="C121" i="2"/>
  <c r="B121" i="2"/>
  <c r="A121" i="2"/>
  <c r="AT120" i="2"/>
  <c r="AS120" i="2"/>
  <c r="AR120" i="2"/>
  <c r="AQ120" i="2"/>
  <c r="AP120" i="2"/>
  <c r="AO120" i="2"/>
  <c r="AN120" i="2"/>
  <c r="AM120" i="2"/>
  <c r="AL120" i="2"/>
  <c r="AK120" i="2"/>
  <c r="AJ120" i="2"/>
  <c r="AI120" i="2"/>
  <c r="AH120" i="2"/>
  <c r="AG120" i="2"/>
  <c r="AF120" i="2"/>
  <c r="AE120" i="2"/>
  <c r="AD120" i="2"/>
  <c r="AC120" i="2"/>
  <c r="AB120" i="2"/>
  <c r="AA120" i="2"/>
  <c r="Z120" i="2"/>
  <c r="Y120" i="2"/>
  <c r="X120" i="2"/>
  <c r="W120" i="2"/>
  <c r="V120" i="2"/>
  <c r="U120" i="2"/>
  <c r="T120" i="2"/>
  <c r="S120" i="2"/>
  <c r="R120" i="2"/>
  <c r="Q120" i="2"/>
  <c r="P120" i="2"/>
  <c r="O120" i="2"/>
  <c r="N120" i="2"/>
  <c r="M120" i="2"/>
  <c r="L120" i="2"/>
  <c r="K120" i="2"/>
  <c r="J120" i="2"/>
  <c r="I120" i="2"/>
  <c r="H120" i="2"/>
  <c r="G120" i="2"/>
  <c r="F120" i="2"/>
  <c r="E120" i="2"/>
  <c r="D120" i="2"/>
  <c r="C120" i="2"/>
  <c r="B120" i="2"/>
  <c r="A120" i="2"/>
  <c r="AT119" i="2"/>
  <c r="AS119" i="2"/>
  <c r="AR119" i="2"/>
  <c r="AQ119" i="2"/>
  <c r="AP119" i="2"/>
  <c r="AO119" i="2"/>
  <c r="AN119" i="2"/>
  <c r="AM119" i="2"/>
  <c r="AL119" i="2"/>
  <c r="AK119" i="2"/>
  <c r="AJ119" i="2"/>
  <c r="AI119" i="2"/>
  <c r="AH119" i="2"/>
  <c r="AG119" i="2"/>
  <c r="AF119" i="2"/>
  <c r="AE119" i="2"/>
  <c r="AD119" i="2"/>
  <c r="AC119" i="2"/>
  <c r="AB119" i="2"/>
  <c r="AA119" i="2"/>
  <c r="Z119" i="2"/>
  <c r="Y119" i="2"/>
  <c r="X119" i="2"/>
  <c r="W119" i="2"/>
  <c r="V119" i="2"/>
  <c r="U119" i="2"/>
  <c r="T119" i="2"/>
  <c r="S119" i="2"/>
  <c r="R119" i="2"/>
  <c r="Q119" i="2"/>
  <c r="P119" i="2"/>
  <c r="O119" i="2"/>
  <c r="N119" i="2"/>
  <c r="M119" i="2"/>
  <c r="L119" i="2"/>
  <c r="K119" i="2"/>
  <c r="J119" i="2"/>
  <c r="I119" i="2"/>
  <c r="H119" i="2"/>
  <c r="G119" i="2"/>
  <c r="F119" i="2"/>
  <c r="E119" i="2"/>
  <c r="D119" i="2"/>
  <c r="C119" i="2"/>
  <c r="B119" i="2"/>
  <c r="A119" i="2"/>
  <c r="AT118" i="2"/>
  <c r="AS118" i="2"/>
  <c r="AR118" i="2"/>
  <c r="AQ118" i="2"/>
  <c r="AP118" i="2"/>
  <c r="AO118" i="2"/>
  <c r="AN118" i="2"/>
  <c r="AM118" i="2"/>
  <c r="AL118" i="2"/>
  <c r="AK118" i="2"/>
  <c r="AJ118" i="2"/>
  <c r="AI118" i="2"/>
  <c r="AH118" i="2"/>
  <c r="AG118" i="2"/>
  <c r="AF118" i="2"/>
  <c r="AE118" i="2"/>
  <c r="AD118" i="2"/>
  <c r="AC118" i="2"/>
  <c r="AB118" i="2"/>
  <c r="AA118" i="2"/>
  <c r="Z118" i="2"/>
  <c r="Y118" i="2"/>
  <c r="X118" i="2"/>
  <c r="W118" i="2"/>
  <c r="V118" i="2"/>
  <c r="U118" i="2"/>
  <c r="T118" i="2"/>
  <c r="S118" i="2"/>
  <c r="R118" i="2"/>
  <c r="Q118" i="2"/>
  <c r="P118" i="2"/>
  <c r="O118" i="2"/>
  <c r="N118" i="2"/>
  <c r="M118" i="2"/>
  <c r="L118" i="2"/>
  <c r="K118" i="2"/>
  <c r="J118" i="2"/>
  <c r="I118" i="2"/>
  <c r="H118" i="2"/>
  <c r="G118" i="2"/>
  <c r="F118" i="2"/>
  <c r="E118" i="2"/>
  <c r="D118" i="2"/>
  <c r="C118" i="2"/>
  <c r="B118" i="2"/>
  <c r="A118" i="2"/>
  <c r="AT117" i="2"/>
  <c r="AS117" i="2"/>
  <c r="AR117" i="2"/>
  <c r="AQ117" i="2"/>
  <c r="AP117" i="2"/>
  <c r="AO117" i="2"/>
  <c r="AN117" i="2"/>
  <c r="AM117" i="2"/>
  <c r="AL117" i="2"/>
  <c r="AK117" i="2"/>
  <c r="AJ117" i="2"/>
  <c r="AI117" i="2"/>
  <c r="AH117" i="2"/>
  <c r="AG117" i="2"/>
  <c r="AF117" i="2"/>
  <c r="AE117" i="2"/>
  <c r="AD117" i="2"/>
  <c r="AC117" i="2"/>
  <c r="AB117" i="2"/>
  <c r="AA117" i="2"/>
  <c r="Z117" i="2"/>
  <c r="Y117" i="2"/>
  <c r="X117" i="2"/>
  <c r="W117" i="2"/>
  <c r="V117" i="2"/>
  <c r="U117" i="2"/>
  <c r="T117" i="2"/>
  <c r="S117" i="2"/>
  <c r="R117" i="2"/>
  <c r="Q117" i="2"/>
  <c r="P117" i="2"/>
  <c r="O117" i="2"/>
  <c r="N117" i="2"/>
  <c r="M117" i="2"/>
  <c r="L117" i="2"/>
  <c r="K117" i="2"/>
  <c r="J117" i="2"/>
  <c r="I117" i="2"/>
  <c r="H117" i="2"/>
  <c r="G117" i="2"/>
  <c r="F117" i="2"/>
  <c r="E117" i="2"/>
  <c r="D117" i="2"/>
  <c r="C117" i="2"/>
  <c r="B117" i="2"/>
  <c r="A117" i="2"/>
  <c r="AT116" i="2"/>
  <c r="AS116" i="2"/>
  <c r="AR116" i="2"/>
  <c r="AQ116" i="2"/>
  <c r="AP116" i="2"/>
  <c r="AO116" i="2"/>
  <c r="AN116" i="2"/>
  <c r="AM116" i="2"/>
  <c r="AL116" i="2"/>
  <c r="AK116" i="2"/>
  <c r="AJ116" i="2"/>
  <c r="AI116" i="2"/>
  <c r="AH116" i="2"/>
  <c r="AG116" i="2"/>
  <c r="AF116" i="2"/>
  <c r="AE116" i="2"/>
  <c r="AD116" i="2"/>
  <c r="AC116" i="2"/>
  <c r="AB116" i="2"/>
  <c r="AA116" i="2"/>
  <c r="Z116" i="2"/>
  <c r="Y116" i="2"/>
  <c r="X116" i="2"/>
  <c r="W116" i="2"/>
  <c r="V116" i="2"/>
  <c r="U116" i="2"/>
  <c r="T116" i="2"/>
  <c r="S116" i="2"/>
  <c r="R116" i="2"/>
  <c r="Q116" i="2"/>
  <c r="P116" i="2"/>
  <c r="O116" i="2"/>
  <c r="N116" i="2"/>
  <c r="M116" i="2"/>
  <c r="L116" i="2"/>
  <c r="K116" i="2"/>
  <c r="J116" i="2"/>
  <c r="I116" i="2"/>
  <c r="H116" i="2"/>
  <c r="G116" i="2"/>
  <c r="F116" i="2"/>
  <c r="E116" i="2"/>
  <c r="D116" i="2"/>
  <c r="C116" i="2"/>
  <c r="B116" i="2"/>
  <c r="A116" i="2"/>
  <c r="AT115" i="2"/>
  <c r="AS115" i="2"/>
  <c r="AR115" i="2"/>
  <c r="AQ115" i="2"/>
  <c r="AP115" i="2"/>
  <c r="AO115" i="2"/>
  <c r="AN115" i="2"/>
  <c r="AM115" i="2"/>
  <c r="AL115" i="2"/>
  <c r="AK115" i="2"/>
  <c r="AJ115" i="2"/>
  <c r="AI115" i="2"/>
  <c r="AH115" i="2"/>
  <c r="AG115" i="2"/>
  <c r="AF115" i="2"/>
  <c r="AE115" i="2"/>
  <c r="AD115" i="2"/>
  <c r="AC115" i="2"/>
  <c r="AB115" i="2"/>
  <c r="AA115" i="2"/>
  <c r="Z115" i="2"/>
  <c r="Y115" i="2"/>
  <c r="X115" i="2"/>
  <c r="W115" i="2"/>
  <c r="V115" i="2"/>
  <c r="U115" i="2"/>
  <c r="T115" i="2"/>
  <c r="S115" i="2"/>
  <c r="R115" i="2"/>
  <c r="Q115" i="2"/>
  <c r="P115" i="2"/>
  <c r="O115" i="2"/>
  <c r="N115" i="2"/>
  <c r="M115" i="2"/>
  <c r="L115" i="2"/>
  <c r="K115" i="2"/>
  <c r="J115" i="2"/>
  <c r="I115" i="2"/>
  <c r="H115" i="2"/>
  <c r="G115" i="2"/>
  <c r="F115" i="2"/>
  <c r="E115" i="2"/>
  <c r="D115" i="2"/>
  <c r="C115" i="2"/>
  <c r="B115" i="2"/>
  <c r="A115" i="2"/>
  <c r="AT114" i="2"/>
  <c r="AS114" i="2"/>
  <c r="AR114" i="2"/>
  <c r="AQ114" i="2"/>
  <c r="AP114" i="2"/>
  <c r="AO114" i="2"/>
  <c r="AN114" i="2"/>
  <c r="AM114" i="2"/>
  <c r="AL114" i="2"/>
  <c r="AK114" i="2"/>
  <c r="AJ114" i="2"/>
  <c r="AI114" i="2"/>
  <c r="AH114" i="2"/>
  <c r="AG114" i="2"/>
  <c r="AF114" i="2"/>
  <c r="AE114" i="2"/>
  <c r="AD114" i="2"/>
  <c r="AC114" i="2"/>
  <c r="AB114" i="2"/>
  <c r="AA114" i="2"/>
  <c r="Z114" i="2"/>
  <c r="Y114" i="2"/>
  <c r="X114" i="2"/>
  <c r="W114" i="2"/>
  <c r="V114" i="2"/>
  <c r="U114" i="2"/>
  <c r="T114" i="2"/>
  <c r="S114" i="2"/>
  <c r="R114" i="2"/>
  <c r="Q114" i="2"/>
  <c r="P114" i="2"/>
  <c r="O114" i="2"/>
  <c r="N114" i="2"/>
  <c r="M114" i="2"/>
  <c r="L114" i="2"/>
  <c r="K114" i="2"/>
  <c r="J114" i="2"/>
  <c r="I114" i="2"/>
  <c r="H114" i="2"/>
  <c r="G114" i="2"/>
  <c r="F114" i="2"/>
  <c r="E114" i="2"/>
  <c r="D114" i="2"/>
  <c r="C114" i="2"/>
  <c r="B114" i="2"/>
  <c r="A114" i="2"/>
  <c r="AT113" i="2"/>
  <c r="AS113" i="2"/>
  <c r="AR113" i="2"/>
  <c r="AQ113" i="2"/>
  <c r="AP113" i="2"/>
  <c r="AO113" i="2"/>
  <c r="AN113" i="2"/>
  <c r="AM113" i="2"/>
  <c r="AL113" i="2"/>
  <c r="AK113" i="2"/>
  <c r="AJ113" i="2"/>
  <c r="AI113" i="2"/>
  <c r="AH113" i="2"/>
  <c r="AG113" i="2"/>
  <c r="AF113" i="2"/>
  <c r="AE113" i="2"/>
  <c r="AD113" i="2"/>
  <c r="AC113" i="2"/>
  <c r="AB113" i="2"/>
  <c r="AA113" i="2"/>
  <c r="Z113" i="2"/>
  <c r="Y113" i="2"/>
  <c r="X113" i="2"/>
  <c r="W113" i="2"/>
  <c r="V113" i="2"/>
  <c r="U113" i="2"/>
  <c r="T113" i="2"/>
  <c r="S113" i="2"/>
  <c r="R113" i="2"/>
  <c r="Q113" i="2"/>
  <c r="P113" i="2"/>
  <c r="O113" i="2"/>
  <c r="N113" i="2"/>
  <c r="M113" i="2"/>
  <c r="L113" i="2"/>
  <c r="K113" i="2"/>
  <c r="J113" i="2"/>
  <c r="I113" i="2"/>
  <c r="H113" i="2"/>
  <c r="G113" i="2"/>
  <c r="F113" i="2"/>
  <c r="E113" i="2"/>
  <c r="D113" i="2"/>
  <c r="C113" i="2"/>
  <c r="B113" i="2"/>
  <c r="A113" i="2"/>
  <c r="AT112" i="2"/>
  <c r="AS112" i="2"/>
  <c r="AR112" i="2"/>
  <c r="AQ112" i="2"/>
  <c r="AP112" i="2"/>
  <c r="AO112" i="2"/>
  <c r="AN112" i="2"/>
  <c r="AM112" i="2"/>
  <c r="AL112" i="2"/>
  <c r="AK112" i="2"/>
  <c r="AJ112" i="2"/>
  <c r="AI112" i="2"/>
  <c r="AH112" i="2"/>
  <c r="AG112" i="2"/>
  <c r="AF112" i="2"/>
  <c r="AE112" i="2"/>
  <c r="AD112" i="2"/>
  <c r="AC112" i="2"/>
  <c r="AB112" i="2"/>
  <c r="AA112" i="2"/>
  <c r="Z112" i="2"/>
  <c r="Y112" i="2"/>
  <c r="X112" i="2"/>
  <c r="W112" i="2"/>
  <c r="V112" i="2"/>
  <c r="U112" i="2"/>
  <c r="T112" i="2"/>
  <c r="S112" i="2"/>
  <c r="R112" i="2"/>
  <c r="Q112" i="2"/>
  <c r="P112" i="2"/>
  <c r="O112" i="2"/>
  <c r="N112" i="2"/>
  <c r="M112" i="2"/>
  <c r="L112" i="2"/>
  <c r="K112" i="2"/>
  <c r="J112" i="2"/>
  <c r="I112" i="2"/>
  <c r="H112" i="2"/>
  <c r="G112" i="2"/>
  <c r="F112" i="2"/>
  <c r="E112" i="2"/>
  <c r="D112" i="2"/>
  <c r="C112" i="2"/>
  <c r="B112" i="2"/>
  <c r="A112" i="2"/>
  <c r="AT111" i="2"/>
  <c r="AS111" i="2"/>
  <c r="AR111" i="2"/>
  <c r="AQ111" i="2"/>
  <c r="AP111" i="2"/>
  <c r="AO111" i="2"/>
  <c r="AN111" i="2"/>
  <c r="AM111" i="2"/>
  <c r="AL111" i="2"/>
  <c r="AK111" i="2"/>
  <c r="AJ111" i="2"/>
  <c r="AI111" i="2"/>
  <c r="AH111" i="2"/>
  <c r="AG111" i="2"/>
  <c r="AF111" i="2"/>
  <c r="AE111" i="2"/>
  <c r="AD111" i="2"/>
  <c r="AC111" i="2"/>
  <c r="AB111" i="2"/>
  <c r="AA111" i="2"/>
  <c r="Z111" i="2"/>
  <c r="Y111" i="2"/>
  <c r="X111" i="2"/>
  <c r="W111" i="2"/>
  <c r="V111" i="2"/>
  <c r="U111" i="2"/>
  <c r="T111" i="2"/>
  <c r="S111" i="2"/>
  <c r="R111" i="2"/>
  <c r="Q111" i="2"/>
  <c r="P111" i="2"/>
  <c r="O111" i="2"/>
  <c r="N111" i="2"/>
  <c r="M111" i="2"/>
  <c r="L111" i="2"/>
  <c r="K111" i="2"/>
  <c r="J111" i="2"/>
  <c r="I111" i="2"/>
  <c r="H111" i="2"/>
  <c r="G111" i="2"/>
  <c r="F111" i="2"/>
  <c r="E111" i="2"/>
  <c r="D111" i="2"/>
  <c r="C111" i="2"/>
  <c r="B111" i="2"/>
  <c r="A111"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R110" i="2"/>
  <c r="Q110" i="2"/>
  <c r="P110" i="2"/>
  <c r="O110" i="2"/>
  <c r="N110" i="2"/>
  <c r="M110" i="2"/>
  <c r="L110" i="2"/>
  <c r="K110" i="2"/>
  <c r="J110" i="2"/>
  <c r="I110" i="2"/>
  <c r="H110" i="2"/>
  <c r="G110" i="2"/>
  <c r="F110" i="2"/>
  <c r="E110" i="2"/>
  <c r="D110" i="2"/>
  <c r="C110" i="2"/>
  <c r="B110" i="2"/>
  <c r="A110" i="2"/>
  <c r="AT109" i="2"/>
  <c r="AS109" i="2"/>
  <c r="AR109" i="2"/>
  <c r="AQ109" i="2"/>
  <c r="AP109" i="2"/>
  <c r="AO109" i="2"/>
  <c r="AN109" i="2"/>
  <c r="AM109" i="2"/>
  <c r="AL109" i="2"/>
  <c r="AK109" i="2"/>
  <c r="AJ109" i="2"/>
  <c r="AI109" i="2"/>
  <c r="AH109" i="2"/>
  <c r="AG109" i="2"/>
  <c r="AF109" i="2"/>
  <c r="AE109" i="2"/>
  <c r="AD109" i="2"/>
  <c r="AC109" i="2"/>
  <c r="AB109" i="2"/>
  <c r="AA109" i="2"/>
  <c r="Z109" i="2"/>
  <c r="Y109" i="2"/>
  <c r="X109" i="2"/>
  <c r="W109" i="2"/>
  <c r="V109" i="2"/>
  <c r="U109" i="2"/>
  <c r="T109" i="2"/>
  <c r="S109" i="2"/>
  <c r="R109" i="2"/>
  <c r="Q109" i="2"/>
  <c r="P109" i="2"/>
  <c r="O109" i="2"/>
  <c r="N109" i="2"/>
  <c r="M109" i="2"/>
  <c r="L109" i="2"/>
  <c r="K109" i="2"/>
  <c r="J109" i="2"/>
  <c r="I109" i="2"/>
  <c r="H109" i="2"/>
  <c r="G109" i="2"/>
  <c r="F109" i="2"/>
  <c r="E109" i="2"/>
  <c r="D109" i="2"/>
  <c r="C109" i="2"/>
  <c r="B109" i="2"/>
  <c r="A109"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R108" i="2"/>
  <c r="Q108" i="2"/>
  <c r="P108" i="2"/>
  <c r="O108" i="2"/>
  <c r="N108" i="2"/>
  <c r="M108" i="2"/>
  <c r="L108" i="2"/>
  <c r="K108" i="2"/>
  <c r="J108" i="2"/>
  <c r="I108" i="2"/>
  <c r="H108" i="2"/>
  <c r="G108" i="2"/>
  <c r="F108" i="2"/>
  <c r="E108" i="2"/>
  <c r="D108" i="2"/>
  <c r="C108" i="2"/>
  <c r="B108" i="2"/>
  <c r="A108"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R107" i="2"/>
  <c r="Q107" i="2"/>
  <c r="P107" i="2"/>
  <c r="O107" i="2"/>
  <c r="N107" i="2"/>
  <c r="M107" i="2"/>
  <c r="L107" i="2"/>
  <c r="K107" i="2"/>
  <c r="J107" i="2"/>
  <c r="I107" i="2"/>
  <c r="H107" i="2"/>
  <c r="G107" i="2"/>
  <c r="F107" i="2"/>
  <c r="E107" i="2"/>
  <c r="D107" i="2"/>
  <c r="C107" i="2"/>
  <c r="B107" i="2"/>
  <c r="A107" i="2"/>
  <c r="AT106" i="2"/>
  <c r="AS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P106" i="2"/>
  <c r="O106" i="2"/>
  <c r="N106" i="2"/>
  <c r="M106" i="2"/>
  <c r="L106" i="2"/>
  <c r="K106" i="2"/>
  <c r="J106" i="2"/>
  <c r="I106" i="2"/>
  <c r="H106" i="2"/>
  <c r="G106" i="2"/>
  <c r="F106" i="2"/>
  <c r="E106" i="2"/>
  <c r="D106" i="2"/>
  <c r="C106" i="2"/>
  <c r="B106" i="2"/>
  <c r="A106"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P105" i="2"/>
  <c r="O105" i="2"/>
  <c r="N105" i="2"/>
  <c r="M105" i="2"/>
  <c r="L105" i="2"/>
  <c r="K105" i="2"/>
  <c r="J105" i="2"/>
  <c r="I105" i="2"/>
  <c r="H105" i="2"/>
  <c r="G105" i="2"/>
  <c r="F105" i="2"/>
  <c r="E105" i="2"/>
  <c r="D105" i="2"/>
  <c r="C105" i="2"/>
  <c r="B105" i="2"/>
  <c r="A105"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R104" i="2"/>
  <c r="Q104" i="2"/>
  <c r="P104" i="2"/>
  <c r="O104" i="2"/>
  <c r="N104" i="2"/>
  <c r="M104" i="2"/>
  <c r="L104" i="2"/>
  <c r="K104" i="2"/>
  <c r="J104" i="2"/>
  <c r="I104" i="2"/>
  <c r="H104" i="2"/>
  <c r="G104" i="2"/>
  <c r="F104" i="2"/>
  <c r="E104" i="2"/>
  <c r="D104" i="2"/>
  <c r="C104" i="2"/>
  <c r="B104" i="2"/>
  <c r="A104" i="2"/>
  <c r="AT103" i="2"/>
  <c r="AS103" i="2"/>
  <c r="AR103" i="2"/>
  <c r="AQ103" i="2"/>
  <c r="AP103" i="2"/>
  <c r="AO103" i="2"/>
  <c r="AN103" i="2"/>
  <c r="AM103" i="2"/>
  <c r="AL103" i="2"/>
  <c r="AK103" i="2"/>
  <c r="AJ103" i="2"/>
  <c r="AI103" i="2"/>
  <c r="AH103" i="2"/>
  <c r="AG103" i="2"/>
  <c r="AF103" i="2"/>
  <c r="AE103" i="2"/>
  <c r="AD103" i="2"/>
  <c r="AC103" i="2"/>
  <c r="AB103" i="2"/>
  <c r="AA103" i="2"/>
  <c r="Z103" i="2"/>
  <c r="Y103" i="2"/>
  <c r="X103" i="2"/>
  <c r="W103" i="2"/>
  <c r="V103" i="2"/>
  <c r="U103" i="2"/>
  <c r="T103" i="2"/>
  <c r="S103" i="2"/>
  <c r="R103" i="2"/>
  <c r="Q103" i="2"/>
  <c r="P103" i="2"/>
  <c r="O103" i="2"/>
  <c r="N103" i="2"/>
  <c r="M103" i="2"/>
  <c r="L103" i="2"/>
  <c r="K103" i="2"/>
  <c r="J103" i="2"/>
  <c r="I103" i="2"/>
  <c r="H103" i="2"/>
  <c r="G103" i="2"/>
  <c r="F103" i="2"/>
  <c r="E103" i="2"/>
  <c r="D103" i="2"/>
  <c r="C103" i="2"/>
  <c r="B103" i="2"/>
  <c r="A103" i="2"/>
  <c r="AT102" i="2"/>
  <c r="AS102" i="2"/>
  <c r="AR102" i="2"/>
  <c r="AQ102" i="2"/>
  <c r="AP102" i="2"/>
  <c r="AO102" i="2"/>
  <c r="AN102" i="2"/>
  <c r="AM102" i="2"/>
  <c r="AL102" i="2"/>
  <c r="AK102" i="2"/>
  <c r="AJ102" i="2"/>
  <c r="AI102" i="2"/>
  <c r="AH102" i="2"/>
  <c r="AG102" i="2"/>
  <c r="AF102" i="2"/>
  <c r="AE102" i="2"/>
  <c r="AD102" i="2"/>
  <c r="AC102" i="2"/>
  <c r="AB102" i="2"/>
  <c r="AA102" i="2"/>
  <c r="Z102" i="2"/>
  <c r="Y102" i="2"/>
  <c r="X102" i="2"/>
  <c r="W102" i="2"/>
  <c r="V102" i="2"/>
  <c r="U102" i="2"/>
  <c r="T102" i="2"/>
  <c r="S102" i="2"/>
  <c r="R102" i="2"/>
  <c r="Q102" i="2"/>
  <c r="P102" i="2"/>
  <c r="O102" i="2"/>
  <c r="N102" i="2"/>
  <c r="M102" i="2"/>
  <c r="L102" i="2"/>
  <c r="K102" i="2"/>
  <c r="J102" i="2"/>
  <c r="I102" i="2"/>
  <c r="H102" i="2"/>
  <c r="G102" i="2"/>
  <c r="F102" i="2"/>
  <c r="E102" i="2"/>
  <c r="D102" i="2"/>
  <c r="C102" i="2"/>
  <c r="B102" i="2"/>
  <c r="A102" i="2"/>
  <c r="AT101" i="2"/>
  <c r="AS101" i="2"/>
  <c r="AR101" i="2"/>
  <c r="AQ101" i="2"/>
  <c r="AP101" i="2"/>
  <c r="AO101" i="2"/>
  <c r="AN101" i="2"/>
  <c r="AM101" i="2"/>
  <c r="AL101" i="2"/>
  <c r="AK101" i="2"/>
  <c r="AJ101" i="2"/>
  <c r="AI101" i="2"/>
  <c r="AH101" i="2"/>
  <c r="AG101" i="2"/>
  <c r="AF101" i="2"/>
  <c r="AE101" i="2"/>
  <c r="AD101" i="2"/>
  <c r="AC101" i="2"/>
  <c r="AB101" i="2"/>
  <c r="AA101" i="2"/>
  <c r="Z101" i="2"/>
  <c r="Y101" i="2"/>
  <c r="X101" i="2"/>
  <c r="W101" i="2"/>
  <c r="V101" i="2"/>
  <c r="U101" i="2"/>
  <c r="T101" i="2"/>
  <c r="S101" i="2"/>
  <c r="R101" i="2"/>
  <c r="Q101" i="2"/>
  <c r="P101" i="2"/>
  <c r="O101" i="2"/>
  <c r="N101" i="2"/>
  <c r="M101" i="2"/>
  <c r="L101" i="2"/>
  <c r="K101" i="2"/>
  <c r="J101" i="2"/>
  <c r="I101" i="2"/>
  <c r="H101" i="2"/>
  <c r="G101" i="2"/>
  <c r="F101" i="2"/>
  <c r="E101" i="2"/>
  <c r="D101" i="2"/>
  <c r="C101" i="2"/>
  <c r="B101" i="2"/>
  <c r="A101" i="2"/>
  <c r="AT100" i="2"/>
  <c r="AS100" i="2"/>
  <c r="AR100" i="2"/>
  <c r="AQ100" i="2"/>
  <c r="AP100" i="2"/>
  <c r="AO100" i="2"/>
  <c r="AN100" i="2"/>
  <c r="AM100" i="2"/>
  <c r="AL100" i="2"/>
  <c r="AK100" i="2"/>
  <c r="AJ100" i="2"/>
  <c r="AI100" i="2"/>
  <c r="AH100" i="2"/>
  <c r="AG100" i="2"/>
  <c r="AF100" i="2"/>
  <c r="AE100" i="2"/>
  <c r="AD100" i="2"/>
  <c r="AC100" i="2"/>
  <c r="AB100" i="2"/>
  <c r="AA100" i="2"/>
  <c r="Z100" i="2"/>
  <c r="Y100" i="2"/>
  <c r="X100" i="2"/>
  <c r="W100" i="2"/>
  <c r="V100" i="2"/>
  <c r="U100" i="2"/>
  <c r="T100" i="2"/>
  <c r="S100" i="2"/>
  <c r="R100" i="2"/>
  <c r="Q100" i="2"/>
  <c r="P100" i="2"/>
  <c r="O100" i="2"/>
  <c r="N100" i="2"/>
  <c r="M100" i="2"/>
  <c r="L100" i="2"/>
  <c r="K100" i="2"/>
  <c r="J100" i="2"/>
  <c r="I100" i="2"/>
  <c r="H100" i="2"/>
  <c r="G100" i="2"/>
  <c r="F100" i="2"/>
  <c r="E100" i="2"/>
  <c r="D100" i="2"/>
  <c r="C100" i="2"/>
  <c r="B100" i="2"/>
  <c r="A100" i="2"/>
  <c r="AT99" i="2"/>
  <c r="AS99" i="2"/>
  <c r="AR99" i="2"/>
  <c r="AQ99" i="2"/>
  <c r="AP99" i="2"/>
  <c r="AO99" i="2"/>
  <c r="AN99" i="2"/>
  <c r="AM99" i="2"/>
  <c r="AL99" i="2"/>
  <c r="AK99" i="2"/>
  <c r="AJ99" i="2"/>
  <c r="AI99" i="2"/>
  <c r="AH99" i="2"/>
  <c r="AG99" i="2"/>
  <c r="AF99" i="2"/>
  <c r="AE99" i="2"/>
  <c r="AD99" i="2"/>
  <c r="AC99" i="2"/>
  <c r="AB99" i="2"/>
  <c r="AA99" i="2"/>
  <c r="Z99" i="2"/>
  <c r="Y99" i="2"/>
  <c r="X99" i="2"/>
  <c r="W99" i="2"/>
  <c r="V99" i="2"/>
  <c r="U99" i="2"/>
  <c r="T99" i="2"/>
  <c r="S99" i="2"/>
  <c r="R99" i="2"/>
  <c r="Q99" i="2"/>
  <c r="P99" i="2"/>
  <c r="O99" i="2"/>
  <c r="N99" i="2"/>
  <c r="M99" i="2"/>
  <c r="L99" i="2"/>
  <c r="K99" i="2"/>
  <c r="J99" i="2"/>
  <c r="I99" i="2"/>
  <c r="H99" i="2"/>
  <c r="G99" i="2"/>
  <c r="F99" i="2"/>
  <c r="E99" i="2"/>
  <c r="D99" i="2"/>
  <c r="C99" i="2"/>
  <c r="B99" i="2"/>
  <c r="A99" i="2"/>
  <c r="AT98" i="2"/>
  <c r="AS98" i="2"/>
  <c r="AR98" i="2"/>
  <c r="AQ98" i="2"/>
  <c r="AP98" i="2"/>
  <c r="AO98" i="2"/>
  <c r="AN98" i="2"/>
  <c r="AM98" i="2"/>
  <c r="AL98" i="2"/>
  <c r="AK98" i="2"/>
  <c r="AJ98" i="2"/>
  <c r="AI98" i="2"/>
  <c r="AH98" i="2"/>
  <c r="AG98" i="2"/>
  <c r="AF98" i="2"/>
  <c r="AE98" i="2"/>
  <c r="AD98" i="2"/>
  <c r="AC98" i="2"/>
  <c r="AB98" i="2"/>
  <c r="AA98" i="2"/>
  <c r="Z98" i="2"/>
  <c r="Y98" i="2"/>
  <c r="X98" i="2"/>
  <c r="W98" i="2"/>
  <c r="V98" i="2"/>
  <c r="U98" i="2"/>
  <c r="T98" i="2"/>
  <c r="S98" i="2"/>
  <c r="R98" i="2"/>
  <c r="Q98" i="2"/>
  <c r="P98" i="2"/>
  <c r="O98" i="2"/>
  <c r="N98" i="2"/>
  <c r="M98" i="2"/>
  <c r="L98" i="2"/>
  <c r="K98" i="2"/>
  <c r="J98" i="2"/>
  <c r="I98" i="2"/>
  <c r="H98" i="2"/>
  <c r="G98" i="2"/>
  <c r="F98" i="2"/>
  <c r="E98" i="2"/>
  <c r="D98" i="2"/>
  <c r="C98" i="2"/>
  <c r="B98" i="2"/>
  <c r="A98" i="2"/>
  <c r="AT97" i="2"/>
  <c r="AS97" i="2"/>
  <c r="AR97" i="2"/>
  <c r="AQ97" i="2"/>
  <c r="AP97" i="2"/>
  <c r="AO97" i="2"/>
  <c r="AN97" i="2"/>
  <c r="AM97" i="2"/>
  <c r="AL97" i="2"/>
  <c r="AK97" i="2"/>
  <c r="AJ97" i="2"/>
  <c r="AI97" i="2"/>
  <c r="AH97" i="2"/>
  <c r="AG97" i="2"/>
  <c r="AF97" i="2"/>
  <c r="AE97" i="2"/>
  <c r="AD97" i="2"/>
  <c r="AC97" i="2"/>
  <c r="AB97" i="2"/>
  <c r="AA97" i="2"/>
  <c r="Z97" i="2"/>
  <c r="Y97" i="2"/>
  <c r="X97" i="2"/>
  <c r="W97" i="2"/>
  <c r="V97" i="2"/>
  <c r="U97" i="2"/>
  <c r="T97" i="2"/>
  <c r="S97" i="2"/>
  <c r="R97" i="2"/>
  <c r="Q97" i="2"/>
  <c r="P97" i="2"/>
  <c r="O97" i="2"/>
  <c r="N97" i="2"/>
  <c r="M97" i="2"/>
  <c r="L97" i="2"/>
  <c r="K97" i="2"/>
  <c r="J97" i="2"/>
  <c r="I97" i="2"/>
  <c r="H97" i="2"/>
  <c r="G97" i="2"/>
  <c r="F97" i="2"/>
  <c r="E97" i="2"/>
  <c r="D97" i="2"/>
  <c r="C97" i="2"/>
  <c r="B97" i="2"/>
  <c r="A97" i="2"/>
  <c r="AT96" i="2"/>
  <c r="AS96" i="2"/>
  <c r="AR96" i="2"/>
  <c r="AQ96" i="2"/>
  <c r="AP96" i="2"/>
  <c r="AO96" i="2"/>
  <c r="AN96" i="2"/>
  <c r="AM96" i="2"/>
  <c r="AL96" i="2"/>
  <c r="AK96" i="2"/>
  <c r="AJ96" i="2"/>
  <c r="AI96" i="2"/>
  <c r="AH96" i="2"/>
  <c r="AG96" i="2"/>
  <c r="AF96" i="2"/>
  <c r="AE96" i="2"/>
  <c r="AD96" i="2"/>
  <c r="AC96" i="2"/>
  <c r="AB96" i="2"/>
  <c r="AA96" i="2"/>
  <c r="Z96" i="2"/>
  <c r="Y96" i="2"/>
  <c r="X96" i="2"/>
  <c r="W96" i="2"/>
  <c r="V96" i="2"/>
  <c r="U96" i="2"/>
  <c r="T96" i="2"/>
  <c r="S96" i="2"/>
  <c r="R96" i="2"/>
  <c r="Q96" i="2"/>
  <c r="P96" i="2"/>
  <c r="O96" i="2"/>
  <c r="N96" i="2"/>
  <c r="M96" i="2"/>
  <c r="L96" i="2"/>
  <c r="K96" i="2"/>
  <c r="J96" i="2"/>
  <c r="I96" i="2"/>
  <c r="H96" i="2"/>
  <c r="G96" i="2"/>
  <c r="F96" i="2"/>
  <c r="E96" i="2"/>
  <c r="D96" i="2"/>
  <c r="C96" i="2"/>
  <c r="B96" i="2"/>
  <c r="A96" i="2"/>
  <c r="AT95" i="2"/>
  <c r="AS95" i="2"/>
  <c r="AR95" i="2"/>
  <c r="AQ95" i="2"/>
  <c r="AP95" i="2"/>
  <c r="AO95" i="2"/>
  <c r="AN95" i="2"/>
  <c r="AM95" i="2"/>
  <c r="AL95" i="2"/>
  <c r="AK95" i="2"/>
  <c r="AJ95" i="2"/>
  <c r="AI95" i="2"/>
  <c r="AH95" i="2"/>
  <c r="AG95" i="2"/>
  <c r="AF95" i="2"/>
  <c r="AE95" i="2"/>
  <c r="AD95" i="2"/>
  <c r="AC95" i="2"/>
  <c r="AB95" i="2"/>
  <c r="AA95" i="2"/>
  <c r="Z95" i="2"/>
  <c r="Y95" i="2"/>
  <c r="X95" i="2"/>
  <c r="W95" i="2"/>
  <c r="V95" i="2"/>
  <c r="U95" i="2"/>
  <c r="T95" i="2"/>
  <c r="S95" i="2"/>
  <c r="R95" i="2"/>
  <c r="Q95" i="2"/>
  <c r="P95" i="2"/>
  <c r="O95" i="2"/>
  <c r="N95" i="2"/>
  <c r="M95" i="2"/>
  <c r="L95" i="2"/>
  <c r="K95" i="2"/>
  <c r="J95" i="2"/>
  <c r="I95" i="2"/>
  <c r="H95" i="2"/>
  <c r="G95" i="2"/>
  <c r="F95" i="2"/>
  <c r="E95" i="2"/>
  <c r="D95" i="2"/>
  <c r="C95" i="2"/>
  <c r="B95" i="2"/>
  <c r="A95" i="2"/>
  <c r="AT94" i="2"/>
  <c r="AS94" i="2"/>
  <c r="AR94" i="2"/>
  <c r="AQ94" i="2"/>
  <c r="AP94" i="2"/>
  <c r="AO94" i="2"/>
  <c r="AN94" i="2"/>
  <c r="AM94" i="2"/>
  <c r="AL94" i="2"/>
  <c r="AK94" i="2"/>
  <c r="AJ94" i="2"/>
  <c r="AI94" i="2"/>
  <c r="AH94" i="2"/>
  <c r="AG94" i="2"/>
  <c r="AF94" i="2"/>
  <c r="AE94" i="2"/>
  <c r="AD94" i="2"/>
  <c r="AC94" i="2"/>
  <c r="AB94" i="2"/>
  <c r="AA94" i="2"/>
  <c r="Z94" i="2"/>
  <c r="Y94" i="2"/>
  <c r="X94" i="2"/>
  <c r="W94" i="2"/>
  <c r="V94" i="2"/>
  <c r="U94" i="2"/>
  <c r="T94" i="2"/>
  <c r="S94" i="2"/>
  <c r="R94" i="2"/>
  <c r="Q94" i="2"/>
  <c r="P94" i="2"/>
  <c r="O94" i="2"/>
  <c r="N94" i="2"/>
  <c r="M94" i="2"/>
  <c r="L94" i="2"/>
  <c r="K94" i="2"/>
  <c r="J94" i="2"/>
  <c r="I94" i="2"/>
  <c r="H94" i="2"/>
  <c r="G94" i="2"/>
  <c r="F94" i="2"/>
  <c r="E94" i="2"/>
  <c r="D94" i="2"/>
  <c r="C94" i="2"/>
  <c r="B94" i="2"/>
  <c r="A94" i="2"/>
  <c r="AT93" i="2"/>
  <c r="AS93" i="2"/>
  <c r="AR93" i="2"/>
  <c r="AQ93" i="2"/>
  <c r="AP93" i="2"/>
  <c r="AO93" i="2"/>
  <c r="AN93" i="2"/>
  <c r="AM93" i="2"/>
  <c r="AL93" i="2"/>
  <c r="AK93" i="2"/>
  <c r="AJ93" i="2"/>
  <c r="AI93" i="2"/>
  <c r="AH93" i="2"/>
  <c r="AG93" i="2"/>
  <c r="AF93" i="2"/>
  <c r="AE93" i="2"/>
  <c r="AD93" i="2"/>
  <c r="AC93" i="2"/>
  <c r="AB93" i="2"/>
  <c r="AA93" i="2"/>
  <c r="Z93" i="2"/>
  <c r="Y93" i="2"/>
  <c r="X93" i="2"/>
  <c r="W93" i="2"/>
  <c r="V93" i="2"/>
  <c r="U93" i="2"/>
  <c r="T93" i="2"/>
  <c r="S93" i="2"/>
  <c r="R93" i="2"/>
  <c r="Q93" i="2"/>
  <c r="P93" i="2"/>
  <c r="O93" i="2"/>
  <c r="N93" i="2"/>
  <c r="M93" i="2"/>
  <c r="L93" i="2"/>
  <c r="K93" i="2"/>
  <c r="J93" i="2"/>
  <c r="I93" i="2"/>
  <c r="H93" i="2"/>
  <c r="G93" i="2"/>
  <c r="F93" i="2"/>
  <c r="E93" i="2"/>
  <c r="D93" i="2"/>
  <c r="C93" i="2"/>
  <c r="B93" i="2"/>
  <c r="A93" i="2"/>
  <c r="AT92" i="2"/>
  <c r="AS92" i="2"/>
  <c r="AR92" i="2"/>
  <c r="AQ92" i="2"/>
  <c r="AP92" i="2"/>
  <c r="AO92" i="2"/>
  <c r="AN92" i="2"/>
  <c r="AM92" i="2"/>
  <c r="AL92" i="2"/>
  <c r="AK92" i="2"/>
  <c r="AJ92" i="2"/>
  <c r="AI92" i="2"/>
  <c r="AH92" i="2"/>
  <c r="AG92" i="2"/>
  <c r="AF92" i="2"/>
  <c r="AE92" i="2"/>
  <c r="AD92" i="2"/>
  <c r="AC92" i="2"/>
  <c r="AB92" i="2"/>
  <c r="AA92" i="2"/>
  <c r="Z92" i="2"/>
  <c r="Y92" i="2"/>
  <c r="X92" i="2"/>
  <c r="W92" i="2"/>
  <c r="V92" i="2"/>
  <c r="U92" i="2"/>
  <c r="T92" i="2"/>
  <c r="S92" i="2"/>
  <c r="R92" i="2"/>
  <c r="Q92" i="2"/>
  <c r="P92" i="2"/>
  <c r="O92" i="2"/>
  <c r="N92" i="2"/>
  <c r="M92" i="2"/>
  <c r="L92" i="2"/>
  <c r="K92" i="2"/>
  <c r="J92" i="2"/>
  <c r="I92" i="2"/>
  <c r="H92" i="2"/>
  <c r="G92" i="2"/>
  <c r="F92" i="2"/>
  <c r="E92" i="2"/>
  <c r="D92" i="2"/>
  <c r="C92" i="2"/>
  <c r="B92" i="2"/>
  <c r="A92" i="2"/>
  <c r="AT91" i="2"/>
  <c r="AS91" i="2"/>
  <c r="AR91" i="2"/>
  <c r="AQ91" i="2"/>
  <c r="AP91" i="2"/>
  <c r="AO91" i="2"/>
  <c r="AN91" i="2"/>
  <c r="AM91" i="2"/>
  <c r="AL91" i="2"/>
  <c r="AK91" i="2"/>
  <c r="AJ91" i="2"/>
  <c r="AI91" i="2"/>
  <c r="AH91" i="2"/>
  <c r="AG91" i="2"/>
  <c r="AF91" i="2"/>
  <c r="AE91" i="2"/>
  <c r="AD91" i="2"/>
  <c r="AC91" i="2"/>
  <c r="AB91" i="2"/>
  <c r="AA91" i="2"/>
  <c r="Z91" i="2"/>
  <c r="Y91" i="2"/>
  <c r="X91" i="2"/>
  <c r="W91" i="2"/>
  <c r="V91" i="2"/>
  <c r="U91" i="2"/>
  <c r="T91" i="2"/>
  <c r="S91" i="2"/>
  <c r="R91" i="2"/>
  <c r="Q91" i="2"/>
  <c r="P91" i="2"/>
  <c r="O91" i="2"/>
  <c r="N91" i="2"/>
  <c r="M91" i="2"/>
  <c r="L91" i="2"/>
  <c r="K91" i="2"/>
  <c r="J91" i="2"/>
  <c r="I91" i="2"/>
  <c r="H91" i="2"/>
  <c r="G91" i="2"/>
  <c r="F91" i="2"/>
  <c r="E91" i="2"/>
  <c r="D91" i="2"/>
  <c r="C91" i="2"/>
  <c r="B91" i="2"/>
  <c r="A91" i="2"/>
  <c r="AT90" i="2"/>
  <c r="AS90" i="2"/>
  <c r="AR90" i="2"/>
  <c r="AQ90" i="2"/>
  <c r="AP90" i="2"/>
  <c r="AO90" i="2"/>
  <c r="AN90" i="2"/>
  <c r="AM90" i="2"/>
  <c r="AL90" i="2"/>
  <c r="AK90" i="2"/>
  <c r="AJ90" i="2"/>
  <c r="AI90" i="2"/>
  <c r="AH90" i="2"/>
  <c r="AG90" i="2"/>
  <c r="AF90" i="2"/>
  <c r="AE90" i="2"/>
  <c r="AD90" i="2"/>
  <c r="AC90" i="2"/>
  <c r="AB90" i="2"/>
  <c r="AA90" i="2"/>
  <c r="Z90" i="2"/>
  <c r="Y90" i="2"/>
  <c r="X90" i="2"/>
  <c r="W90" i="2"/>
  <c r="V90" i="2"/>
  <c r="U90" i="2"/>
  <c r="T90" i="2"/>
  <c r="S90" i="2"/>
  <c r="R90" i="2"/>
  <c r="Q90" i="2"/>
  <c r="P90" i="2"/>
  <c r="O90" i="2"/>
  <c r="N90" i="2"/>
  <c r="M90" i="2"/>
  <c r="L90" i="2"/>
  <c r="K90" i="2"/>
  <c r="J90" i="2"/>
  <c r="I90" i="2"/>
  <c r="H90" i="2"/>
  <c r="G90" i="2"/>
  <c r="F90" i="2"/>
  <c r="E90" i="2"/>
  <c r="D90" i="2"/>
  <c r="C90" i="2"/>
  <c r="B90" i="2"/>
  <c r="A90" i="2"/>
  <c r="AT89" i="2"/>
  <c r="AS89" i="2"/>
  <c r="AR89" i="2"/>
  <c r="AQ89" i="2"/>
  <c r="AP89" i="2"/>
  <c r="AO89" i="2"/>
  <c r="AN89" i="2"/>
  <c r="AM89" i="2"/>
  <c r="AL89" i="2"/>
  <c r="AK89" i="2"/>
  <c r="AJ89" i="2"/>
  <c r="AI89" i="2"/>
  <c r="AH89" i="2"/>
  <c r="AG89" i="2"/>
  <c r="AF89" i="2"/>
  <c r="AE89" i="2"/>
  <c r="AD89" i="2"/>
  <c r="AC89" i="2"/>
  <c r="AB89" i="2"/>
  <c r="AA89" i="2"/>
  <c r="Z89" i="2"/>
  <c r="Y89" i="2"/>
  <c r="X89" i="2"/>
  <c r="W89" i="2"/>
  <c r="V89" i="2"/>
  <c r="U89" i="2"/>
  <c r="T89" i="2"/>
  <c r="S89" i="2"/>
  <c r="R89" i="2"/>
  <c r="Q89" i="2"/>
  <c r="P89" i="2"/>
  <c r="O89" i="2"/>
  <c r="N89" i="2"/>
  <c r="M89" i="2"/>
  <c r="L89" i="2"/>
  <c r="K89" i="2"/>
  <c r="J89" i="2"/>
  <c r="I89" i="2"/>
  <c r="H89" i="2"/>
  <c r="G89" i="2"/>
  <c r="F89" i="2"/>
  <c r="E89" i="2"/>
  <c r="D89" i="2"/>
  <c r="C89" i="2"/>
  <c r="B89" i="2"/>
  <c r="A89" i="2"/>
  <c r="AT88" i="2"/>
  <c r="AS88" i="2"/>
  <c r="AR88" i="2"/>
  <c r="AQ88" i="2"/>
  <c r="AP88" i="2"/>
  <c r="AO88" i="2"/>
  <c r="AN88" i="2"/>
  <c r="AM88" i="2"/>
  <c r="AL88" i="2"/>
  <c r="AK88" i="2"/>
  <c r="AJ88" i="2"/>
  <c r="AI88" i="2"/>
  <c r="AH88" i="2"/>
  <c r="AG88" i="2"/>
  <c r="AF88" i="2"/>
  <c r="AE88" i="2"/>
  <c r="AD88" i="2"/>
  <c r="AC88" i="2"/>
  <c r="AB88" i="2"/>
  <c r="AA88" i="2"/>
  <c r="Z88" i="2"/>
  <c r="Y88" i="2"/>
  <c r="X88" i="2"/>
  <c r="W88" i="2"/>
  <c r="V88" i="2"/>
  <c r="U88" i="2"/>
  <c r="T88" i="2"/>
  <c r="S88" i="2"/>
  <c r="R88" i="2"/>
  <c r="Q88" i="2"/>
  <c r="P88" i="2"/>
  <c r="O88" i="2"/>
  <c r="N88" i="2"/>
  <c r="M88" i="2"/>
  <c r="L88" i="2"/>
  <c r="K88" i="2"/>
  <c r="J88" i="2"/>
  <c r="I88" i="2"/>
  <c r="H88" i="2"/>
  <c r="G88" i="2"/>
  <c r="F88" i="2"/>
  <c r="E88" i="2"/>
  <c r="D88" i="2"/>
  <c r="C88" i="2"/>
  <c r="B88" i="2"/>
  <c r="A88" i="2"/>
  <c r="AT87" i="2"/>
  <c r="AS87" i="2"/>
  <c r="AR87" i="2"/>
  <c r="AQ87" i="2"/>
  <c r="AP87" i="2"/>
  <c r="AO87" i="2"/>
  <c r="AN87" i="2"/>
  <c r="AM87" i="2"/>
  <c r="AL87" i="2"/>
  <c r="AK87" i="2"/>
  <c r="AJ87" i="2"/>
  <c r="AI87" i="2"/>
  <c r="AH87" i="2"/>
  <c r="AG87" i="2"/>
  <c r="AF87" i="2"/>
  <c r="AE87" i="2"/>
  <c r="AD87" i="2"/>
  <c r="AC87" i="2"/>
  <c r="AB87" i="2"/>
  <c r="AA87" i="2"/>
  <c r="Z87" i="2"/>
  <c r="Y87" i="2"/>
  <c r="X87" i="2"/>
  <c r="W87" i="2"/>
  <c r="V87" i="2"/>
  <c r="U87" i="2"/>
  <c r="T87" i="2"/>
  <c r="S87" i="2"/>
  <c r="R87" i="2"/>
  <c r="Q87" i="2"/>
  <c r="P87" i="2"/>
  <c r="O87" i="2"/>
  <c r="N87" i="2"/>
  <c r="M87" i="2"/>
  <c r="L87" i="2"/>
  <c r="K87" i="2"/>
  <c r="J87" i="2"/>
  <c r="I87" i="2"/>
  <c r="H87" i="2"/>
  <c r="G87" i="2"/>
  <c r="F87" i="2"/>
  <c r="E87" i="2"/>
  <c r="D87" i="2"/>
  <c r="C87" i="2"/>
  <c r="B87" i="2"/>
  <c r="A87" i="2"/>
  <c r="AT86" i="2"/>
  <c r="AS86" i="2"/>
  <c r="AR86" i="2"/>
  <c r="AQ86" i="2"/>
  <c r="AP86" i="2"/>
  <c r="AO86" i="2"/>
  <c r="AN86" i="2"/>
  <c r="AM86" i="2"/>
  <c r="AL86" i="2"/>
  <c r="AK86" i="2"/>
  <c r="AJ86" i="2"/>
  <c r="AI86" i="2"/>
  <c r="AH86" i="2"/>
  <c r="AG86" i="2"/>
  <c r="AF86" i="2"/>
  <c r="AE86" i="2"/>
  <c r="AD86" i="2"/>
  <c r="AC86" i="2"/>
  <c r="AB86" i="2"/>
  <c r="AA86" i="2"/>
  <c r="Z86" i="2"/>
  <c r="Y86" i="2"/>
  <c r="X86" i="2"/>
  <c r="W86" i="2"/>
  <c r="V86" i="2"/>
  <c r="U86" i="2"/>
  <c r="T86" i="2"/>
  <c r="S86" i="2"/>
  <c r="R86" i="2"/>
  <c r="Q86" i="2"/>
  <c r="P86" i="2"/>
  <c r="O86" i="2"/>
  <c r="N86" i="2"/>
  <c r="M86" i="2"/>
  <c r="L86" i="2"/>
  <c r="K86" i="2"/>
  <c r="J86" i="2"/>
  <c r="I86" i="2"/>
  <c r="H86" i="2"/>
  <c r="G86" i="2"/>
  <c r="F86" i="2"/>
  <c r="E86" i="2"/>
  <c r="D86" i="2"/>
  <c r="C86" i="2"/>
  <c r="B86" i="2"/>
  <c r="A86" i="2"/>
  <c r="AT85" i="2"/>
  <c r="AS85" i="2"/>
  <c r="AR85" i="2"/>
  <c r="AQ85" i="2"/>
  <c r="AP85" i="2"/>
  <c r="AO85" i="2"/>
  <c r="AN85" i="2"/>
  <c r="AM85" i="2"/>
  <c r="AL85" i="2"/>
  <c r="AK85" i="2"/>
  <c r="AJ85" i="2"/>
  <c r="AI85" i="2"/>
  <c r="AH85" i="2"/>
  <c r="AG85" i="2"/>
  <c r="AF85" i="2"/>
  <c r="AE85" i="2"/>
  <c r="AD85" i="2"/>
  <c r="AC85" i="2"/>
  <c r="AB85" i="2"/>
  <c r="AA85" i="2"/>
  <c r="Z85" i="2"/>
  <c r="Y85" i="2"/>
  <c r="X85" i="2"/>
  <c r="W85" i="2"/>
  <c r="V85" i="2"/>
  <c r="U85" i="2"/>
  <c r="T85" i="2"/>
  <c r="S85" i="2"/>
  <c r="R85" i="2"/>
  <c r="Q85" i="2"/>
  <c r="P85" i="2"/>
  <c r="O85" i="2"/>
  <c r="N85" i="2"/>
  <c r="M85" i="2"/>
  <c r="L85" i="2"/>
  <c r="K85" i="2"/>
  <c r="J85" i="2"/>
  <c r="I85" i="2"/>
  <c r="H85" i="2"/>
  <c r="G85" i="2"/>
  <c r="F85" i="2"/>
  <c r="E85" i="2"/>
  <c r="D85" i="2"/>
  <c r="C85" i="2"/>
  <c r="B85" i="2"/>
  <c r="A85" i="2"/>
  <c r="AT84" i="2"/>
  <c r="AS84" i="2"/>
  <c r="AR84" i="2"/>
  <c r="AQ84" i="2"/>
  <c r="AP84" i="2"/>
  <c r="AO84" i="2"/>
  <c r="AN84" i="2"/>
  <c r="AM84" i="2"/>
  <c r="AL84" i="2"/>
  <c r="AK84" i="2"/>
  <c r="AJ84" i="2"/>
  <c r="AI84" i="2"/>
  <c r="AH84" i="2"/>
  <c r="AG84" i="2"/>
  <c r="AF84" i="2"/>
  <c r="AE84" i="2"/>
  <c r="AD84" i="2"/>
  <c r="AC84" i="2"/>
  <c r="AB84" i="2"/>
  <c r="AA84" i="2"/>
  <c r="Z84" i="2"/>
  <c r="Y84" i="2"/>
  <c r="X84" i="2"/>
  <c r="W84" i="2"/>
  <c r="V84" i="2"/>
  <c r="U84" i="2"/>
  <c r="T84" i="2"/>
  <c r="S84" i="2"/>
  <c r="R84" i="2"/>
  <c r="Q84" i="2"/>
  <c r="O84" i="2"/>
  <c r="N84" i="2"/>
  <c r="M84" i="2"/>
  <c r="L84" i="2"/>
  <c r="K84" i="2"/>
  <c r="J84" i="2"/>
  <c r="I84" i="2"/>
  <c r="H84" i="2"/>
  <c r="G84" i="2"/>
  <c r="F84" i="2"/>
  <c r="E84" i="2"/>
  <c r="D84" i="2"/>
  <c r="C84" i="2"/>
  <c r="B84" i="2"/>
  <c r="A84" i="2"/>
  <c r="AT83" i="2"/>
  <c r="AS83" i="2"/>
  <c r="AR83" i="2"/>
  <c r="AQ83" i="2"/>
  <c r="AP83" i="2"/>
  <c r="AO83" i="2"/>
  <c r="AN83" i="2"/>
  <c r="AM83" i="2"/>
  <c r="AL83" i="2"/>
  <c r="AK83" i="2"/>
  <c r="AJ83" i="2"/>
  <c r="AI83" i="2"/>
  <c r="AH83" i="2"/>
  <c r="AG83" i="2"/>
  <c r="AF83" i="2"/>
  <c r="AE83" i="2"/>
  <c r="AD83" i="2"/>
  <c r="AC83" i="2"/>
  <c r="AB83" i="2"/>
  <c r="AA83" i="2"/>
  <c r="Z83" i="2"/>
  <c r="Y83" i="2"/>
  <c r="X83" i="2"/>
  <c r="W83" i="2"/>
  <c r="V83" i="2"/>
  <c r="U83" i="2"/>
  <c r="T83" i="2"/>
  <c r="S83" i="2"/>
  <c r="R83" i="2"/>
  <c r="Q83" i="2"/>
  <c r="P83" i="2"/>
  <c r="O83" i="2"/>
  <c r="N83" i="2"/>
  <c r="M83" i="2"/>
  <c r="L83" i="2"/>
  <c r="K83" i="2"/>
  <c r="J83" i="2"/>
  <c r="I83" i="2"/>
  <c r="H83" i="2"/>
  <c r="G83" i="2"/>
  <c r="F83" i="2"/>
  <c r="E83" i="2"/>
  <c r="D83" i="2"/>
  <c r="C83" i="2"/>
  <c r="B83" i="2"/>
  <c r="A83" i="2"/>
  <c r="AT82" i="2"/>
  <c r="AS82" i="2"/>
  <c r="AR82" i="2"/>
  <c r="AQ82" i="2"/>
  <c r="AP82" i="2"/>
  <c r="AO82" i="2"/>
  <c r="AN82" i="2"/>
  <c r="AM82" i="2"/>
  <c r="AL82" i="2"/>
  <c r="AK82" i="2"/>
  <c r="AJ82" i="2"/>
  <c r="AI82" i="2"/>
  <c r="AH82" i="2"/>
  <c r="AG82" i="2"/>
  <c r="AF82" i="2"/>
  <c r="AE82" i="2"/>
  <c r="AD82" i="2"/>
  <c r="AC82" i="2"/>
  <c r="AB82" i="2"/>
  <c r="AA82" i="2"/>
  <c r="Z82" i="2"/>
  <c r="Y82" i="2"/>
  <c r="X82" i="2"/>
  <c r="W82" i="2"/>
  <c r="V82" i="2"/>
  <c r="U82" i="2"/>
  <c r="T82" i="2"/>
  <c r="S82" i="2"/>
  <c r="R82" i="2"/>
  <c r="Q82" i="2"/>
  <c r="O82" i="2"/>
  <c r="N82" i="2"/>
  <c r="M82" i="2"/>
  <c r="L82" i="2"/>
  <c r="K82" i="2"/>
  <c r="J82" i="2"/>
  <c r="I82" i="2"/>
  <c r="H82" i="2"/>
  <c r="G82" i="2"/>
  <c r="F82" i="2"/>
  <c r="E82" i="2"/>
  <c r="D82" i="2"/>
  <c r="C82" i="2"/>
  <c r="B82" i="2"/>
  <c r="A82" i="2"/>
  <c r="AT81" i="2"/>
  <c r="AS81" i="2"/>
  <c r="AR81" i="2"/>
  <c r="AQ81" i="2"/>
  <c r="AP81" i="2"/>
  <c r="AO81" i="2"/>
  <c r="AN81" i="2"/>
  <c r="AM81" i="2"/>
  <c r="AL81" i="2"/>
  <c r="AK81" i="2"/>
  <c r="AJ81" i="2"/>
  <c r="AI81" i="2"/>
  <c r="AH81" i="2"/>
  <c r="AG81" i="2"/>
  <c r="AF81" i="2"/>
  <c r="AE81" i="2"/>
  <c r="AD81" i="2"/>
  <c r="AC81" i="2"/>
  <c r="AB81" i="2"/>
  <c r="AA81" i="2"/>
  <c r="Z81" i="2"/>
  <c r="Y81" i="2"/>
  <c r="X81" i="2"/>
  <c r="W81" i="2"/>
  <c r="V81" i="2"/>
  <c r="U81" i="2"/>
  <c r="T81" i="2"/>
  <c r="S81" i="2"/>
  <c r="R81" i="2"/>
  <c r="Q81" i="2"/>
  <c r="O81" i="2"/>
  <c r="N81" i="2"/>
  <c r="M81" i="2"/>
  <c r="L81" i="2"/>
  <c r="K81" i="2"/>
  <c r="J81" i="2"/>
  <c r="I81" i="2"/>
  <c r="H81" i="2"/>
  <c r="G81" i="2"/>
  <c r="F81" i="2"/>
  <c r="E81" i="2"/>
  <c r="D81" i="2"/>
  <c r="C81" i="2"/>
  <c r="B81" i="2"/>
  <c r="A81" i="2"/>
  <c r="AT80" i="2"/>
  <c r="AS80" i="2"/>
  <c r="AR80" i="2"/>
  <c r="AQ80" i="2"/>
  <c r="AP80" i="2"/>
  <c r="AO80" i="2"/>
  <c r="AN80" i="2"/>
  <c r="AM80" i="2"/>
  <c r="AL80" i="2"/>
  <c r="AK80" i="2"/>
  <c r="AJ80" i="2"/>
  <c r="AI80" i="2"/>
  <c r="AH80" i="2"/>
  <c r="AG80" i="2"/>
  <c r="AF80" i="2"/>
  <c r="AE80" i="2"/>
  <c r="AD80" i="2"/>
  <c r="AC80" i="2"/>
  <c r="AB80" i="2"/>
  <c r="AA80" i="2"/>
  <c r="Z80" i="2"/>
  <c r="Y80" i="2"/>
  <c r="X80" i="2"/>
  <c r="W80" i="2"/>
  <c r="V80" i="2"/>
  <c r="U80" i="2"/>
  <c r="T80" i="2"/>
  <c r="S80" i="2"/>
  <c r="R80" i="2"/>
  <c r="Q80" i="2"/>
  <c r="P80" i="2"/>
  <c r="O80" i="2"/>
  <c r="N80" i="2"/>
  <c r="M80" i="2"/>
  <c r="L80" i="2"/>
  <c r="K80" i="2"/>
  <c r="J80" i="2"/>
  <c r="I80" i="2"/>
  <c r="H80" i="2"/>
  <c r="G80" i="2"/>
  <c r="F80" i="2"/>
  <c r="E80" i="2"/>
  <c r="D80" i="2"/>
  <c r="C80" i="2"/>
  <c r="B80" i="2"/>
  <c r="A80" i="2"/>
  <c r="AT79" i="2"/>
  <c r="AS79" i="2"/>
  <c r="AR79" i="2"/>
  <c r="AQ79" i="2"/>
  <c r="AP79" i="2"/>
  <c r="AO79" i="2"/>
  <c r="AN79" i="2"/>
  <c r="AM79" i="2"/>
  <c r="AL79" i="2"/>
  <c r="AK79" i="2"/>
  <c r="AJ79" i="2"/>
  <c r="AI79" i="2"/>
  <c r="AH79" i="2"/>
  <c r="AG79" i="2"/>
  <c r="AF79" i="2"/>
  <c r="AE79" i="2"/>
  <c r="AD79" i="2"/>
  <c r="AC79" i="2"/>
  <c r="AB79" i="2"/>
  <c r="AA79" i="2"/>
  <c r="Z79" i="2"/>
  <c r="Y79" i="2"/>
  <c r="X79" i="2"/>
  <c r="W79" i="2"/>
  <c r="V79" i="2"/>
  <c r="U79" i="2"/>
  <c r="T79" i="2"/>
  <c r="S79" i="2"/>
  <c r="R79" i="2"/>
  <c r="Q79" i="2"/>
  <c r="P79" i="2"/>
  <c r="O79" i="2"/>
  <c r="N79" i="2"/>
  <c r="M79" i="2"/>
  <c r="L79" i="2"/>
  <c r="K79" i="2"/>
  <c r="J79" i="2"/>
  <c r="I79" i="2"/>
  <c r="H79" i="2"/>
  <c r="G79" i="2"/>
  <c r="F79" i="2"/>
  <c r="E79" i="2"/>
  <c r="D79" i="2"/>
  <c r="C79" i="2"/>
  <c r="B79" i="2"/>
  <c r="A79" i="2"/>
  <c r="AT78" i="2"/>
  <c r="AS78" i="2"/>
  <c r="AR78" i="2"/>
  <c r="AQ78" i="2"/>
  <c r="AP78" i="2"/>
  <c r="AO78" i="2"/>
  <c r="AN78" i="2"/>
  <c r="AM78" i="2"/>
  <c r="AL78" i="2"/>
  <c r="AK78" i="2"/>
  <c r="AJ78" i="2"/>
  <c r="AI78" i="2"/>
  <c r="AH78" i="2"/>
  <c r="AG78" i="2"/>
  <c r="AF78" i="2"/>
  <c r="AE78" i="2"/>
  <c r="AD78" i="2"/>
  <c r="AC78" i="2"/>
  <c r="AB78" i="2"/>
  <c r="AA78" i="2"/>
  <c r="Z78" i="2"/>
  <c r="Y78" i="2"/>
  <c r="X78" i="2"/>
  <c r="W78" i="2"/>
  <c r="V78" i="2"/>
  <c r="U78" i="2"/>
  <c r="T78" i="2"/>
  <c r="S78" i="2"/>
  <c r="R78" i="2"/>
  <c r="Q78" i="2"/>
  <c r="P78" i="2"/>
  <c r="O78" i="2"/>
  <c r="N78" i="2"/>
  <c r="M78" i="2"/>
  <c r="L78" i="2"/>
  <c r="K78" i="2"/>
  <c r="J78" i="2"/>
  <c r="I78" i="2"/>
  <c r="H78" i="2"/>
  <c r="G78" i="2"/>
  <c r="F78" i="2"/>
  <c r="E78" i="2"/>
  <c r="D78" i="2"/>
  <c r="C78" i="2"/>
  <c r="B78" i="2"/>
  <c r="A78"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B77" i="2"/>
  <c r="A77" i="2"/>
  <c r="AT76" i="2"/>
  <c r="AS76" i="2"/>
  <c r="AR76" i="2"/>
  <c r="AQ76" i="2"/>
  <c r="AP76" i="2"/>
  <c r="AO76" i="2"/>
  <c r="AN76" i="2"/>
  <c r="AM76" i="2"/>
  <c r="AL76" i="2"/>
  <c r="AK76" i="2"/>
  <c r="AJ76" i="2"/>
  <c r="AI76" i="2"/>
  <c r="AH76" i="2"/>
  <c r="AG76" i="2"/>
  <c r="AF76" i="2"/>
  <c r="AE76" i="2"/>
  <c r="AD76" i="2"/>
  <c r="AC76" i="2"/>
  <c r="AB76" i="2"/>
  <c r="AA76" i="2"/>
  <c r="Z76" i="2"/>
  <c r="Y76" i="2"/>
  <c r="X76" i="2"/>
  <c r="W76" i="2"/>
  <c r="V76" i="2"/>
  <c r="U76" i="2"/>
  <c r="T76" i="2"/>
  <c r="S76" i="2"/>
  <c r="R76" i="2"/>
  <c r="Q76" i="2"/>
  <c r="P76" i="2"/>
  <c r="O76" i="2"/>
  <c r="N76" i="2"/>
  <c r="M76" i="2"/>
  <c r="L76" i="2"/>
  <c r="K76" i="2"/>
  <c r="J76" i="2"/>
  <c r="I76" i="2"/>
  <c r="H76" i="2"/>
  <c r="G76" i="2"/>
  <c r="F76" i="2"/>
  <c r="E76" i="2"/>
  <c r="D76" i="2"/>
  <c r="C76" i="2"/>
  <c r="B76" i="2"/>
  <c r="A76" i="2"/>
  <c r="AT75" i="2"/>
  <c r="AS75" i="2"/>
  <c r="AR75" i="2"/>
  <c r="AQ75" i="2"/>
  <c r="AP75" i="2"/>
  <c r="AO75" i="2"/>
  <c r="AN75" i="2"/>
  <c r="AM75" i="2"/>
  <c r="AL75" i="2"/>
  <c r="AK75" i="2"/>
  <c r="AJ75" i="2"/>
  <c r="AI75" i="2"/>
  <c r="AH75" i="2"/>
  <c r="AG75" i="2"/>
  <c r="AF75" i="2"/>
  <c r="AE75" i="2"/>
  <c r="AD75" i="2"/>
  <c r="AC75" i="2"/>
  <c r="AB75" i="2"/>
  <c r="AA75" i="2"/>
  <c r="Z75" i="2"/>
  <c r="Y75" i="2"/>
  <c r="X75" i="2"/>
  <c r="W75" i="2"/>
  <c r="V75" i="2"/>
  <c r="U75" i="2"/>
  <c r="T75" i="2"/>
  <c r="S75" i="2"/>
  <c r="R75" i="2"/>
  <c r="Q75" i="2"/>
  <c r="P75" i="2"/>
  <c r="O75" i="2"/>
  <c r="N75" i="2"/>
  <c r="M75" i="2"/>
  <c r="L75" i="2"/>
  <c r="K75" i="2"/>
  <c r="J75" i="2"/>
  <c r="I75" i="2"/>
  <c r="H75" i="2"/>
  <c r="G75" i="2"/>
  <c r="F75" i="2"/>
  <c r="E75" i="2"/>
  <c r="D75" i="2"/>
  <c r="C75" i="2"/>
  <c r="B75" i="2"/>
  <c r="A75" i="2"/>
  <c r="AT74" i="2"/>
  <c r="AS74" i="2"/>
  <c r="AR74" i="2"/>
  <c r="AQ74" i="2"/>
  <c r="AP74" i="2"/>
  <c r="AO74" i="2"/>
  <c r="AN74" i="2"/>
  <c r="AM74" i="2"/>
  <c r="AL74" i="2"/>
  <c r="AK74" i="2"/>
  <c r="AJ74" i="2"/>
  <c r="AI74" i="2"/>
  <c r="AH74" i="2"/>
  <c r="AG74" i="2"/>
  <c r="AF74" i="2"/>
  <c r="AE74" i="2"/>
  <c r="AD74" i="2"/>
  <c r="AC74" i="2"/>
  <c r="AB74" i="2"/>
  <c r="AA74" i="2"/>
  <c r="Z74" i="2"/>
  <c r="Y74" i="2"/>
  <c r="X74" i="2"/>
  <c r="W74" i="2"/>
  <c r="V74" i="2"/>
  <c r="U74" i="2"/>
  <c r="T74" i="2"/>
  <c r="S74" i="2"/>
  <c r="R74" i="2"/>
  <c r="Q74" i="2"/>
  <c r="P74" i="2"/>
  <c r="O74" i="2"/>
  <c r="N74" i="2"/>
  <c r="M74" i="2"/>
  <c r="L74" i="2"/>
  <c r="K74" i="2"/>
  <c r="J74" i="2"/>
  <c r="I74" i="2"/>
  <c r="H74" i="2"/>
  <c r="G74" i="2"/>
  <c r="F74" i="2"/>
  <c r="E74" i="2"/>
  <c r="D74" i="2"/>
  <c r="C74" i="2"/>
  <c r="B74" i="2"/>
  <c r="A74" i="2"/>
  <c r="AT73" i="2"/>
  <c r="AS73" i="2"/>
  <c r="AR73" i="2"/>
  <c r="AQ73" i="2"/>
  <c r="AP73" i="2"/>
  <c r="AO73" i="2"/>
  <c r="AN73" i="2"/>
  <c r="AM73" i="2"/>
  <c r="AL73" i="2"/>
  <c r="AK73" i="2"/>
  <c r="AJ73" i="2"/>
  <c r="AI73" i="2"/>
  <c r="AH73" i="2"/>
  <c r="AG73" i="2"/>
  <c r="AF73" i="2"/>
  <c r="AE73" i="2"/>
  <c r="AD73" i="2"/>
  <c r="AC73" i="2"/>
  <c r="AB73" i="2"/>
  <c r="AA73" i="2"/>
  <c r="Z73" i="2"/>
  <c r="Y73" i="2"/>
  <c r="X73" i="2"/>
  <c r="W73" i="2"/>
  <c r="V73" i="2"/>
  <c r="U73" i="2"/>
  <c r="T73" i="2"/>
  <c r="S73" i="2"/>
  <c r="R73" i="2"/>
  <c r="Q73" i="2"/>
  <c r="P73" i="2"/>
  <c r="O73" i="2"/>
  <c r="N73" i="2"/>
  <c r="M73" i="2"/>
  <c r="L73" i="2"/>
  <c r="K73" i="2"/>
  <c r="J73" i="2"/>
  <c r="I73" i="2"/>
  <c r="H73" i="2"/>
  <c r="G73" i="2"/>
  <c r="F73" i="2"/>
  <c r="E73" i="2"/>
  <c r="D73" i="2"/>
  <c r="C73" i="2"/>
  <c r="B73" i="2"/>
  <c r="A73" i="2"/>
  <c r="AT72" i="2"/>
  <c r="AS72" i="2"/>
  <c r="AR72" i="2"/>
  <c r="AQ72" i="2"/>
  <c r="AP72" i="2"/>
  <c r="AO72" i="2"/>
  <c r="AN72" i="2"/>
  <c r="AM72" i="2"/>
  <c r="AL72" i="2"/>
  <c r="AK72" i="2"/>
  <c r="AJ72" i="2"/>
  <c r="AI72" i="2"/>
  <c r="AH72" i="2"/>
  <c r="AG72" i="2"/>
  <c r="AF72" i="2"/>
  <c r="AE72" i="2"/>
  <c r="AD72" i="2"/>
  <c r="AC72" i="2"/>
  <c r="AB72" i="2"/>
  <c r="AA72" i="2"/>
  <c r="Z72" i="2"/>
  <c r="Y72" i="2"/>
  <c r="X72" i="2"/>
  <c r="W72" i="2"/>
  <c r="V72" i="2"/>
  <c r="U72" i="2"/>
  <c r="T72" i="2"/>
  <c r="S72" i="2"/>
  <c r="R72" i="2"/>
  <c r="Q72" i="2"/>
  <c r="P72" i="2"/>
  <c r="O72" i="2"/>
  <c r="N72" i="2"/>
  <c r="M72" i="2"/>
  <c r="L72" i="2"/>
  <c r="K72" i="2"/>
  <c r="J72" i="2"/>
  <c r="I72" i="2"/>
  <c r="H72" i="2"/>
  <c r="G72" i="2"/>
  <c r="F72" i="2"/>
  <c r="E72" i="2"/>
  <c r="D72" i="2"/>
  <c r="C72" i="2"/>
  <c r="B72" i="2"/>
  <c r="A72" i="2"/>
  <c r="AT71" i="2"/>
  <c r="AS71" i="2"/>
  <c r="AR71" i="2"/>
  <c r="AQ71" i="2"/>
  <c r="AP71" i="2"/>
  <c r="AO71" i="2"/>
  <c r="AN71" i="2"/>
  <c r="AM71" i="2"/>
  <c r="AL71" i="2"/>
  <c r="AK71" i="2"/>
  <c r="AJ71" i="2"/>
  <c r="AI71" i="2"/>
  <c r="AH71" i="2"/>
  <c r="AG71" i="2"/>
  <c r="AF71" i="2"/>
  <c r="AE71" i="2"/>
  <c r="AD71" i="2"/>
  <c r="AC71" i="2"/>
  <c r="AB71" i="2"/>
  <c r="AA71" i="2"/>
  <c r="Z71" i="2"/>
  <c r="Y71" i="2"/>
  <c r="X71" i="2"/>
  <c r="W71" i="2"/>
  <c r="V71" i="2"/>
  <c r="U71" i="2"/>
  <c r="T71" i="2"/>
  <c r="S71" i="2"/>
  <c r="R71" i="2"/>
  <c r="Q71" i="2"/>
  <c r="P71" i="2"/>
  <c r="O71" i="2"/>
  <c r="N71" i="2"/>
  <c r="M71" i="2"/>
  <c r="L71" i="2"/>
  <c r="K71" i="2"/>
  <c r="J71" i="2"/>
  <c r="I71" i="2"/>
  <c r="H71" i="2"/>
  <c r="G71" i="2"/>
  <c r="F71" i="2"/>
  <c r="E71" i="2"/>
  <c r="D71" i="2"/>
  <c r="C71" i="2"/>
  <c r="B71" i="2"/>
  <c r="A71" i="2"/>
  <c r="AT70" i="2"/>
  <c r="AS70" i="2"/>
  <c r="AR70" i="2"/>
  <c r="AQ70" i="2"/>
  <c r="AP70" i="2"/>
  <c r="AO70" i="2"/>
  <c r="AN70" i="2"/>
  <c r="AM70" i="2"/>
  <c r="AL70" i="2"/>
  <c r="AK70" i="2"/>
  <c r="AJ70" i="2"/>
  <c r="AI70" i="2"/>
  <c r="AH70" i="2"/>
  <c r="AG70" i="2"/>
  <c r="AF70" i="2"/>
  <c r="AE70" i="2"/>
  <c r="AD70" i="2"/>
  <c r="AC70" i="2"/>
  <c r="AB70" i="2"/>
  <c r="AA70" i="2"/>
  <c r="Z70" i="2"/>
  <c r="Y70" i="2"/>
  <c r="X70" i="2"/>
  <c r="W70" i="2"/>
  <c r="V70" i="2"/>
  <c r="U70" i="2"/>
  <c r="T70" i="2"/>
  <c r="S70" i="2"/>
  <c r="R70" i="2"/>
  <c r="Q70" i="2"/>
  <c r="P70" i="2"/>
  <c r="O70" i="2"/>
  <c r="N70" i="2"/>
  <c r="M70" i="2"/>
  <c r="L70" i="2"/>
  <c r="K70" i="2"/>
  <c r="J70" i="2"/>
  <c r="I70" i="2"/>
  <c r="H70" i="2"/>
  <c r="G70" i="2"/>
  <c r="F70" i="2"/>
  <c r="E70" i="2"/>
  <c r="D70" i="2"/>
  <c r="C70" i="2"/>
  <c r="B70" i="2"/>
  <c r="A70" i="2"/>
  <c r="AT69" i="2"/>
  <c r="AS69" i="2"/>
  <c r="AR69" i="2"/>
  <c r="AQ69" i="2"/>
  <c r="AP69" i="2"/>
  <c r="AO69" i="2"/>
  <c r="AN69" i="2"/>
  <c r="AM69" i="2"/>
  <c r="AL69" i="2"/>
  <c r="AK69" i="2"/>
  <c r="AJ69" i="2"/>
  <c r="AI69" i="2"/>
  <c r="AH69" i="2"/>
  <c r="AG69" i="2"/>
  <c r="AF69" i="2"/>
  <c r="AE69" i="2"/>
  <c r="AD69" i="2"/>
  <c r="AC69" i="2"/>
  <c r="AB69" i="2"/>
  <c r="AA69" i="2"/>
  <c r="Z69" i="2"/>
  <c r="Y69" i="2"/>
  <c r="X69" i="2"/>
  <c r="W69" i="2"/>
  <c r="V69" i="2"/>
  <c r="U69" i="2"/>
  <c r="T69" i="2"/>
  <c r="S69" i="2"/>
  <c r="R69" i="2"/>
  <c r="Q69" i="2"/>
  <c r="P69" i="2"/>
  <c r="O69" i="2"/>
  <c r="N69" i="2"/>
  <c r="M69" i="2"/>
  <c r="L69" i="2"/>
  <c r="K69" i="2"/>
  <c r="J69" i="2"/>
  <c r="I69" i="2"/>
  <c r="H69" i="2"/>
  <c r="G69" i="2"/>
  <c r="F69" i="2"/>
  <c r="E69" i="2"/>
  <c r="D69" i="2"/>
  <c r="C69" i="2"/>
  <c r="B69" i="2"/>
  <c r="A69" i="2"/>
  <c r="AT68" i="2"/>
  <c r="AS68" i="2"/>
  <c r="AR68" i="2"/>
  <c r="AQ68" i="2"/>
  <c r="AP68" i="2"/>
  <c r="AO68" i="2"/>
  <c r="AN68" i="2"/>
  <c r="AM68" i="2"/>
  <c r="AL68" i="2"/>
  <c r="AK68" i="2"/>
  <c r="AJ68" i="2"/>
  <c r="AI68" i="2"/>
  <c r="AH68" i="2"/>
  <c r="AG68" i="2"/>
  <c r="AF68" i="2"/>
  <c r="AE68" i="2"/>
  <c r="AD68" i="2"/>
  <c r="AC68" i="2"/>
  <c r="AB68" i="2"/>
  <c r="AA68" i="2"/>
  <c r="Z68" i="2"/>
  <c r="Y68" i="2"/>
  <c r="X68" i="2"/>
  <c r="W68" i="2"/>
  <c r="V68" i="2"/>
  <c r="U68" i="2"/>
  <c r="T68" i="2"/>
  <c r="S68" i="2"/>
  <c r="R68" i="2"/>
  <c r="Q68" i="2"/>
  <c r="P68" i="2"/>
  <c r="O68" i="2"/>
  <c r="N68" i="2"/>
  <c r="M68" i="2"/>
  <c r="L68" i="2"/>
  <c r="K68" i="2"/>
  <c r="J68" i="2"/>
  <c r="I68" i="2"/>
  <c r="H68" i="2"/>
  <c r="G68" i="2"/>
  <c r="F68" i="2"/>
  <c r="E68" i="2"/>
  <c r="D68" i="2"/>
  <c r="C68" i="2"/>
  <c r="B68" i="2"/>
  <c r="A68" i="2"/>
  <c r="AT67" i="2"/>
  <c r="AS67" i="2"/>
  <c r="AR67" i="2"/>
  <c r="AQ67" i="2"/>
  <c r="AP67" i="2"/>
  <c r="AO67" i="2"/>
  <c r="AN67" i="2"/>
  <c r="AM67" i="2"/>
  <c r="AL67" i="2"/>
  <c r="AK67" i="2"/>
  <c r="AJ67" i="2"/>
  <c r="AI67" i="2"/>
  <c r="AH67" i="2"/>
  <c r="AG67" i="2"/>
  <c r="AF67" i="2"/>
  <c r="AE67" i="2"/>
  <c r="AD67" i="2"/>
  <c r="AC67" i="2"/>
  <c r="AB67" i="2"/>
  <c r="AA67" i="2"/>
  <c r="Z67" i="2"/>
  <c r="Y67" i="2"/>
  <c r="X67" i="2"/>
  <c r="W67" i="2"/>
  <c r="V67" i="2"/>
  <c r="U67" i="2"/>
  <c r="T67" i="2"/>
  <c r="S67" i="2"/>
  <c r="R67" i="2"/>
  <c r="Q67" i="2"/>
  <c r="P67" i="2"/>
  <c r="O67" i="2"/>
  <c r="N67" i="2"/>
  <c r="M67" i="2"/>
  <c r="L67" i="2"/>
  <c r="K67" i="2"/>
  <c r="J67" i="2"/>
  <c r="I67" i="2"/>
  <c r="H67" i="2"/>
  <c r="G67" i="2"/>
  <c r="F67" i="2"/>
  <c r="E67" i="2"/>
  <c r="D67" i="2"/>
  <c r="C67" i="2"/>
  <c r="B67" i="2"/>
  <c r="A67" i="2"/>
  <c r="AT66" i="2"/>
  <c r="AS66" i="2"/>
  <c r="AR66" i="2"/>
  <c r="AQ66" i="2"/>
  <c r="AP66" i="2"/>
  <c r="AO66" i="2"/>
  <c r="AN66" i="2"/>
  <c r="AM66" i="2"/>
  <c r="AL66" i="2"/>
  <c r="AK66" i="2"/>
  <c r="AJ66" i="2"/>
  <c r="AI66" i="2"/>
  <c r="AH66" i="2"/>
  <c r="AG66" i="2"/>
  <c r="AF66" i="2"/>
  <c r="AE66" i="2"/>
  <c r="AD66" i="2"/>
  <c r="AC66" i="2"/>
  <c r="AB66" i="2"/>
  <c r="AA66" i="2"/>
  <c r="Z66" i="2"/>
  <c r="Y66" i="2"/>
  <c r="X66" i="2"/>
  <c r="W66" i="2"/>
  <c r="V66" i="2"/>
  <c r="U66" i="2"/>
  <c r="T66" i="2"/>
  <c r="S66" i="2"/>
  <c r="R66" i="2"/>
  <c r="Q66" i="2"/>
  <c r="P66" i="2"/>
  <c r="O66" i="2"/>
  <c r="N66" i="2"/>
  <c r="M66" i="2"/>
  <c r="L66" i="2"/>
  <c r="K66" i="2"/>
  <c r="J66" i="2"/>
  <c r="I66" i="2"/>
  <c r="H66" i="2"/>
  <c r="G66" i="2"/>
  <c r="F66" i="2"/>
  <c r="E66" i="2"/>
  <c r="D66" i="2"/>
  <c r="C66" i="2"/>
  <c r="B66" i="2"/>
  <c r="A66"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B65" i="2"/>
  <c r="A65" i="2"/>
  <c r="AT64" i="2"/>
  <c r="AS64" i="2"/>
  <c r="AR64" i="2"/>
  <c r="AQ64" i="2"/>
  <c r="AP64" i="2"/>
  <c r="AO64" i="2"/>
  <c r="AN64" i="2"/>
  <c r="AM64" i="2"/>
  <c r="AL64" i="2"/>
  <c r="AK64" i="2"/>
  <c r="AJ64" i="2"/>
  <c r="AI64" i="2"/>
  <c r="AH64" i="2"/>
  <c r="AG64" i="2"/>
  <c r="AF64" i="2"/>
  <c r="AE64" i="2"/>
  <c r="AD64" i="2"/>
  <c r="AC64" i="2"/>
  <c r="AB64" i="2"/>
  <c r="AA64" i="2"/>
  <c r="Z64" i="2"/>
  <c r="Y64" i="2"/>
  <c r="X64" i="2"/>
  <c r="W64" i="2"/>
  <c r="V64" i="2"/>
  <c r="U64" i="2"/>
  <c r="T64" i="2"/>
  <c r="S64" i="2"/>
  <c r="R64" i="2"/>
  <c r="Q64" i="2"/>
  <c r="P64" i="2"/>
  <c r="O64" i="2"/>
  <c r="N64" i="2"/>
  <c r="M64" i="2"/>
  <c r="L64" i="2"/>
  <c r="K64" i="2"/>
  <c r="J64" i="2"/>
  <c r="I64" i="2"/>
  <c r="H64" i="2"/>
  <c r="G64" i="2"/>
  <c r="F64" i="2"/>
  <c r="E64" i="2"/>
  <c r="D64" i="2"/>
  <c r="C64" i="2"/>
  <c r="B64" i="2"/>
  <c r="A64" i="2"/>
  <c r="AT63" i="2"/>
  <c r="AS63" i="2"/>
  <c r="AR63" i="2"/>
  <c r="AQ63" i="2"/>
  <c r="AP63" i="2"/>
  <c r="AO63" i="2"/>
  <c r="AN63" i="2"/>
  <c r="AM63" i="2"/>
  <c r="AL63" i="2"/>
  <c r="AK63" i="2"/>
  <c r="AJ63" i="2"/>
  <c r="AI63" i="2"/>
  <c r="AH63" i="2"/>
  <c r="AG63" i="2"/>
  <c r="AF63" i="2"/>
  <c r="AE63" i="2"/>
  <c r="AD63" i="2"/>
  <c r="AC63" i="2"/>
  <c r="AB63" i="2"/>
  <c r="AA63" i="2"/>
  <c r="Z63" i="2"/>
  <c r="Y63" i="2"/>
  <c r="X63" i="2"/>
  <c r="W63" i="2"/>
  <c r="V63" i="2"/>
  <c r="U63" i="2"/>
  <c r="T63" i="2"/>
  <c r="S63" i="2"/>
  <c r="R63" i="2"/>
  <c r="Q63" i="2"/>
  <c r="P63" i="2"/>
  <c r="O63" i="2"/>
  <c r="N63" i="2"/>
  <c r="M63" i="2"/>
  <c r="L63" i="2"/>
  <c r="K63" i="2"/>
  <c r="J63" i="2"/>
  <c r="I63" i="2"/>
  <c r="H63" i="2"/>
  <c r="G63" i="2"/>
  <c r="F63" i="2"/>
  <c r="E63" i="2"/>
  <c r="D63" i="2"/>
  <c r="C63" i="2"/>
  <c r="B63" i="2"/>
  <c r="A63" i="2"/>
  <c r="AT62" i="2"/>
  <c r="AS62" i="2"/>
  <c r="AR62" i="2"/>
  <c r="AQ62" i="2"/>
  <c r="AP62" i="2"/>
  <c r="AO62" i="2"/>
  <c r="AN62" i="2"/>
  <c r="AM62" i="2"/>
  <c r="AL62" i="2"/>
  <c r="AK62" i="2"/>
  <c r="AJ62" i="2"/>
  <c r="AI62" i="2"/>
  <c r="AH62" i="2"/>
  <c r="AG62" i="2"/>
  <c r="AF62" i="2"/>
  <c r="AE62" i="2"/>
  <c r="AD62" i="2"/>
  <c r="AC62" i="2"/>
  <c r="AB62" i="2"/>
  <c r="AA62" i="2"/>
  <c r="Z62" i="2"/>
  <c r="Y62" i="2"/>
  <c r="X62" i="2"/>
  <c r="W62" i="2"/>
  <c r="V62" i="2"/>
  <c r="U62" i="2"/>
  <c r="T62" i="2"/>
  <c r="S62" i="2"/>
  <c r="R62" i="2"/>
  <c r="Q62" i="2"/>
  <c r="P62" i="2"/>
  <c r="O62" i="2"/>
  <c r="N62" i="2"/>
  <c r="M62" i="2"/>
  <c r="L62" i="2"/>
  <c r="K62" i="2"/>
  <c r="J62" i="2"/>
  <c r="I62" i="2"/>
  <c r="H62" i="2"/>
  <c r="G62" i="2"/>
  <c r="F62" i="2"/>
  <c r="E62" i="2"/>
  <c r="D62" i="2"/>
  <c r="C62" i="2"/>
  <c r="B62" i="2"/>
  <c r="A62" i="2"/>
  <c r="AT61" i="2"/>
  <c r="AS61" i="2"/>
  <c r="AR61" i="2"/>
  <c r="AQ61" i="2"/>
  <c r="AP61" i="2"/>
  <c r="AO61" i="2"/>
  <c r="AN61" i="2"/>
  <c r="AM61" i="2"/>
  <c r="AL61" i="2"/>
  <c r="AK61" i="2"/>
  <c r="AJ61" i="2"/>
  <c r="AI61" i="2"/>
  <c r="AH61" i="2"/>
  <c r="AG61" i="2"/>
  <c r="AF61" i="2"/>
  <c r="AE61" i="2"/>
  <c r="AD61" i="2"/>
  <c r="AC61" i="2"/>
  <c r="AB61" i="2"/>
  <c r="AA61" i="2"/>
  <c r="Z61" i="2"/>
  <c r="Y61" i="2"/>
  <c r="X61" i="2"/>
  <c r="W61" i="2"/>
  <c r="V61" i="2"/>
  <c r="U61" i="2"/>
  <c r="T61" i="2"/>
  <c r="S61" i="2"/>
  <c r="R61" i="2"/>
  <c r="Q61" i="2"/>
  <c r="P61" i="2"/>
  <c r="O61" i="2"/>
  <c r="N61" i="2"/>
  <c r="M61" i="2"/>
  <c r="L61" i="2"/>
  <c r="K61" i="2"/>
  <c r="J61" i="2"/>
  <c r="I61" i="2"/>
  <c r="H61" i="2"/>
  <c r="G61" i="2"/>
  <c r="F61" i="2"/>
  <c r="E61" i="2"/>
  <c r="D61" i="2"/>
  <c r="C61" i="2"/>
  <c r="B61" i="2"/>
  <c r="A61" i="2"/>
  <c r="AT60" i="2"/>
  <c r="AS60" i="2"/>
  <c r="AR60" i="2"/>
  <c r="AQ60" i="2"/>
  <c r="AP60" i="2"/>
  <c r="AO60" i="2"/>
  <c r="AN60" i="2"/>
  <c r="AM60" i="2"/>
  <c r="AL60" i="2"/>
  <c r="AK60" i="2"/>
  <c r="AJ60" i="2"/>
  <c r="AI60" i="2"/>
  <c r="AH60" i="2"/>
  <c r="AG60" i="2"/>
  <c r="AF60" i="2"/>
  <c r="AE60" i="2"/>
  <c r="AD60" i="2"/>
  <c r="AC60" i="2"/>
  <c r="AB60" i="2"/>
  <c r="AA60" i="2"/>
  <c r="Z60" i="2"/>
  <c r="Y60" i="2"/>
  <c r="X60" i="2"/>
  <c r="W60" i="2"/>
  <c r="V60" i="2"/>
  <c r="U60" i="2"/>
  <c r="T60" i="2"/>
  <c r="S60" i="2"/>
  <c r="R60" i="2"/>
  <c r="Q60" i="2"/>
  <c r="P60" i="2"/>
  <c r="O60" i="2"/>
  <c r="N60" i="2"/>
  <c r="M60" i="2"/>
  <c r="L60" i="2"/>
  <c r="K60" i="2"/>
  <c r="J60" i="2"/>
  <c r="I60" i="2"/>
  <c r="H60" i="2"/>
  <c r="G60" i="2"/>
  <c r="F60" i="2"/>
  <c r="E60" i="2"/>
  <c r="D60" i="2"/>
  <c r="C60" i="2"/>
  <c r="B60" i="2"/>
  <c r="A60" i="2"/>
  <c r="AT59" i="2"/>
  <c r="AS59" i="2"/>
  <c r="AR59" i="2"/>
  <c r="AQ59" i="2"/>
  <c r="AP59" i="2"/>
  <c r="AO59" i="2"/>
  <c r="AN59" i="2"/>
  <c r="AM59" i="2"/>
  <c r="AL59" i="2"/>
  <c r="AK59" i="2"/>
  <c r="AJ59" i="2"/>
  <c r="AI59" i="2"/>
  <c r="AH59" i="2"/>
  <c r="AG59" i="2"/>
  <c r="AF59" i="2"/>
  <c r="AE59" i="2"/>
  <c r="AD59" i="2"/>
  <c r="AC59" i="2"/>
  <c r="AB59" i="2"/>
  <c r="AA59" i="2"/>
  <c r="Z59" i="2"/>
  <c r="Y59" i="2"/>
  <c r="X59" i="2"/>
  <c r="W59" i="2"/>
  <c r="V59" i="2"/>
  <c r="U59" i="2"/>
  <c r="T59" i="2"/>
  <c r="S59" i="2"/>
  <c r="R59" i="2"/>
  <c r="Q59" i="2"/>
  <c r="P59" i="2"/>
  <c r="O59" i="2"/>
  <c r="N59" i="2"/>
  <c r="M59" i="2"/>
  <c r="L59" i="2"/>
  <c r="K59" i="2"/>
  <c r="J59" i="2"/>
  <c r="I59" i="2"/>
  <c r="H59" i="2"/>
  <c r="G59" i="2"/>
  <c r="F59" i="2"/>
  <c r="E59" i="2"/>
  <c r="D59" i="2"/>
  <c r="C59" i="2"/>
  <c r="B59" i="2"/>
  <c r="A59" i="2"/>
  <c r="AT58" i="2"/>
  <c r="AS58" i="2"/>
  <c r="AR58" i="2"/>
  <c r="AQ58" i="2"/>
  <c r="AP58" i="2"/>
  <c r="AO58" i="2"/>
  <c r="AN58" i="2"/>
  <c r="AM58" i="2"/>
  <c r="AL58" i="2"/>
  <c r="AK58" i="2"/>
  <c r="AJ58" i="2"/>
  <c r="AI58" i="2"/>
  <c r="AH58" i="2"/>
  <c r="AG58" i="2"/>
  <c r="AF58" i="2"/>
  <c r="AE58" i="2"/>
  <c r="AD58" i="2"/>
  <c r="AC58" i="2"/>
  <c r="AB58" i="2"/>
  <c r="AA58" i="2"/>
  <c r="Z58" i="2"/>
  <c r="Y58" i="2"/>
  <c r="X58" i="2"/>
  <c r="W58" i="2"/>
  <c r="V58" i="2"/>
  <c r="U58" i="2"/>
  <c r="T58" i="2"/>
  <c r="S58" i="2"/>
  <c r="R58" i="2"/>
  <c r="Q58" i="2"/>
  <c r="P58" i="2"/>
  <c r="O58" i="2"/>
  <c r="N58" i="2"/>
  <c r="M58" i="2"/>
  <c r="L58" i="2"/>
  <c r="K58" i="2"/>
  <c r="J58" i="2"/>
  <c r="I58" i="2"/>
  <c r="H58" i="2"/>
  <c r="G58" i="2"/>
  <c r="F58" i="2"/>
  <c r="E58" i="2"/>
  <c r="D58" i="2"/>
  <c r="C58" i="2"/>
  <c r="B58" i="2"/>
  <c r="A58" i="2"/>
  <c r="AT57" i="2"/>
  <c r="AS57" i="2"/>
  <c r="AR57" i="2"/>
  <c r="AQ57" i="2"/>
  <c r="AP57" i="2"/>
  <c r="AO57" i="2"/>
  <c r="AN57" i="2"/>
  <c r="AM57" i="2"/>
  <c r="AL57" i="2"/>
  <c r="AK57" i="2"/>
  <c r="AJ57" i="2"/>
  <c r="AI57" i="2"/>
  <c r="AH57" i="2"/>
  <c r="AG57" i="2"/>
  <c r="AF57" i="2"/>
  <c r="AE57" i="2"/>
  <c r="AD57" i="2"/>
  <c r="AC57" i="2"/>
  <c r="AB57" i="2"/>
  <c r="AA57" i="2"/>
  <c r="Z57" i="2"/>
  <c r="Y57" i="2"/>
  <c r="X57" i="2"/>
  <c r="W57" i="2"/>
  <c r="V57" i="2"/>
  <c r="U57" i="2"/>
  <c r="T57" i="2"/>
  <c r="S57" i="2"/>
  <c r="R57" i="2"/>
  <c r="Q57" i="2"/>
  <c r="P57" i="2"/>
  <c r="O57" i="2"/>
  <c r="N57" i="2"/>
  <c r="M57" i="2"/>
  <c r="L57" i="2"/>
  <c r="K57" i="2"/>
  <c r="J57" i="2"/>
  <c r="I57" i="2"/>
  <c r="H57" i="2"/>
  <c r="G57" i="2"/>
  <c r="F57" i="2"/>
  <c r="E57" i="2"/>
  <c r="D57" i="2"/>
  <c r="C57" i="2"/>
  <c r="B57" i="2"/>
  <c r="A57" i="2"/>
  <c r="AT56" i="2"/>
  <c r="AS56" i="2"/>
  <c r="AR56" i="2"/>
  <c r="AQ56" i="2"/>
  <c r="AP56" i="2"/>
  <c r="AO56" i="2"/>
  <c r="AN56" i="2"/>
  <c r="AM56" i="2"/>
  <c r="AL56" i="2"/>
  <c r="AK56" i="2"/>
  <c r="AJ56" i="2"/>
  <c r="AI56" i="2"/>
  <c r="AH56" i="2"/>
  <c r="AG56" i="2"/>
  <c r="AF56" i="2"/>
  <c r="AE56" i="2"/>
  <c r="AD56" i="2"/>
  <c r="AC56" i="2"/>
  <c r="AB56" i="2"/>
  <c r="AA56" i="2"/>
  <c r="Z56" i="2"/>
  <c r="Y56" i="2"/>
  <c r="X56" i="2"/>
  <c r="W56" i="2"/>
  <c r="V56" i="2"/>
  <c r="U56" i="2"/>
  <c r="T56" i="2"/>
  <c r="S56" i="2"/>
  <c r="R56" i="2"/>
  <c r="Q56" i="2"/>
  <c r="P56" i="2"/>
  <c r="O56" i="2"/>
  <c r="N56" i="2"/>
  <c r="M56" i="2"/>
  <c r="L56" i="2"/>
  <c r="K56" i="2"/>
  <c r="J56" i="2"/>
  <c r="I56" i="2"/>
  <c r="H56" i="2"/>
  <c r="G56" i="2"/>
  <c r="F56" i="2"/>
  <c r="E56" i="2"/>
  <c r="D56" i="2"/>
  <c r="C56" i="2"/>
  <c r="B56" i="2"/>
  <c r="A56" i="2"/>
  <c r="AT55" i="2"/>
  <c r="AS55" i="2"/>
  <c r="AR55" i="2"/>
  <c r="AQ55" i="2"/>
  <c r="AP55" i="2"/>
  <c r="AO55" i="2"/>
  <c r="AN55" i="2"/>
  <c r="AM55" i="2"/>
  <c r="AL55" i="2"/>
  <c r="AK55" i="2"/>
  <c r="AJ55" i="2"/>
  <c r="AI55" i="2"/>
  <c r="AH55" i="2"/>
  <c r="AG55" i="2"/>
  <c r="AF55" i="2"/>
  <c r="AE55" i="2"/>
  <c r="AD55" i="2"/>
  <c r="AC55" i="2"/>
  <c r="AB55" i="2"/>
  <c r="AA55" i="2"/>
  <c r="Z55" i="2"/>
  <c r="Y55" i="2"/>
  <c r="X55" i="2"/>
  <c r="W55" i="2"/>
  <c r="V55" i="2"/>
  <c r="U55" i="2"/>
  <c r="T55" i="2"/>
  <c r="S55" i="2"/>
  <c r="R55" i="2"/>
  <c r="Q55" i="2"/>
  <c r="P55" i="2"/>
  <c r="O55" i="2"/>
  <c r="N55" i="2"/>
  <c r="M55" i="2"/>
  <c r="L55" i="2"/>
  <c r="K55" i="2"/>
  <c r="J55" i="2"/>
  <c r="I55" i="2"/>
  <c r="H55" i="2"/>
  <c r="G55" i="2"/>
  <c r="F55" i="2"/>
  <c r="E55" i="2"/>
  <c r="D55" i="2"/>
  <c r="C55" i="2"/>
  <c r="B55" i="2"/>
  <c r="A55" i="2"/>
  <c r="AT54" i="2"/>
  <c r="AS54" i="2"/>
  <c r="AR54" i="2"/>
  <c r="AQ54" i="2"/>
  <c r="AP54" i="2"/>
  <c r="AO54" i="2"/>
  <c r="AN54" i="2"/>
  <c r="AM54" i="2"/>
  <c r="AL54" i="2"/>
  <c r="AK54" i="2"/>
  <c r="AJ54" i="2"/>
  <c r="AI54" i="2"/>
  <c r="AH54" i="2"/>
  <c r="AG54" i="2"/>
  <c r="AF54" i="2"/>
  <c r="AE54" i="2"/>
  <c r="AD54" i="2"/>
  <c r="AC54" i="2"/>
  <c r="AB54" i="2"/>
  <c r="AA54" i="2"/>
  <c r="Z54" i="2"/>
  <c r="Y54" i="2"/>
  <c r="X54" i="2"/>
  <c r="W54" i="2"/>
  <c r="V54" i="2"/>
  <c r="U54" i="2"/>
  <c r="T54" i="2"/>
  <c r="S54" i="2"/>
  <c r="R54" i="2"/>
  <c r="Q54" i="2"/>
  <c r="P54" i="2"/>
  <c r="O54" i="2"/>
  <c r="N54" i="2"/>
  <c r="M54" i="2"/>
  <c r="L54" i="2"/>
  <c r="K54" i="2"/>
  <c r="J54" i="2"/>
  <c r="I54" i="2"/>
  <c r="H54" i="2"/>
  <c r="G54" i="2"/>
  <c r="F54" i="2"/>
  <c r="E54" i="2"/>
  <c r="D54" i="2"/>
  <c r="C54" i="2"/>
  <c r="B54" i="2"/>
  <c r="A54" i="2"/>
  <c r="AT53" i="2"/>
  <c r="AS53" i="2"/>
  <c r="AR53" i="2"/>
  <c r="AQ53" i="2"/>
  <c r="AP53" i="2"/>
  <c r="AO53" i="2"/>
  <c r="AN53"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I53" i="2"/>
  <c r="H53" i="2"/>
  <c r="G53" i="2"/>
  <c r="F53" i="2"/>
  <c r="E53" i="2"/>
  <c r="D53" i="2"/>
  <c r="C53" i="2"/>
  <c r="B53" i="2"/>
  <c r="A53" i="2"/>
  <c r="AT52" i="2"/>
  <c r="AS52" i="2"/>
  <c r="AR52" i="2"/>
  <c r="AQ52" i="2"/>
  <c r="AP52" i="2"/>
  <c r="AO52" i="2"/>
  <c r="AN52" i="2"/>
  <c r="AM52" i="2"/>
  <c r="AL52" i="2"/>
  <c r="AK52" i="2"/>
  <c r="AJ52" i="2"/>
  <c r="AI52" i="2"/>
  <c r="AH52" i="2"/>
  <c r="AG52" i="2"/>
  <c r="AF52" i="2"/>
  <c r="AE52" i="2"/>
  <c r="AD52" i="2"/>
  <c r="AC52" i="2"/>
  <c r="AB52" i="2"/>
  <c r="AA52" i="2"/>
  <c r="Z52" i="2"/>
  <c r="Y52" i="2"/>
  <c r="X52" i="2"/>
  <c r="W52" i="2"/>
  <c r="V52" i="2"/>
  <c r="U52" i="2"/>
  <c r="T52" i="2"/>
  <c r="S52" i="2"/>
  <c r="R52" i="2"/>
  <c r="Q52" i="2"/>
  <c r="P52" i="2"/>
  <c r="O52" i="2"/>
  <c r="N52" i="2"/>
  <c r="M52" i="2"/>
  <c r="L52" i="2"/>
  <c r="K52" i="2"/>
  <c r="J52" i="2"/>
  <c r="I52" i="2"/>
  <c r="H52" i="2"/>
  <c r="G52" i="2"/>
  <c r="F52" i="2"/>
  <c r="E52" i="2"/>
  <c r="D52" i="2"/>
  <c r="C52" i="2"/>
  <c r="B52" i="2"/>
  <c r="A52" i="2"/>
  <c r="AT51" i="2"/>
  <c r="AS51" i="2"/>
  <c r="AR51" i="2"/>
  <c r="AQ51" i="2"/>
  <c r="AP51" i="2"/>
  <c r="AO51" i="2"/>
  <c r="AN51" i="2"/>
  <c r="AM51" i="2"/>
  <c r="AL51" i="2"/>
  <c r="AK51" i="2"/>
  <c r="AJ51" i="2"/>
  <c r="AI51" i="2"/>
  <c r="AH51" i="2"/>
  <c r="AG51" i="2"/>
  <c r="AF51" i="2"/>
  <c r="AE51" i="2"/>
  <c r="AD51" i="2"/>
  <c r="AC51" i="2"/>
  <c r="AB51" i="2"/>
  <c r="AA51" i="2"/>
  <c r="Z51" i="2"/>
  <c r="Y51" i="2"/>
  <c r="X51" i="2"/>
  <c r="W51" i="2"/>
  <c r="V51" i="2"/>
  <c r="U51" i="2"/>
  <c r="T51" i="2"/>
  <c r="S51" i="2"/>
  <c r="R51" i="2"/>
  <c r="Q51" i="2"/>
  <c r="P51" i="2"/>
  <c r="O51" i="2"/>
  <c r="N51" i="2"/>
  <c r="M51" i="2"/>
  <c r="L51" i="2"/>
  <c r="K51" i="2"/>
  <c r="J51" i="2"/>
  <c r="I51" i="2"/>
  <c r="H51" i="2"/>
  <c r="G51" i="2"/>
  <c r="F51" i="2"/>
  <c r="E51" i="2"/>
  <c r="D51" i="2"/>
  <c r="C51" i="2"/>
  <c r="B51" i="2"/>
  <c r="A51" i="2"/>
  <c r="AT50" i="2"/>
  <c r="AS50" i="2"/>
  <c r="AR50" i="2"/>
  <c r="AQ50" i="2"/>
  <c r="AP50" i="2"/>
  <c r="AO50" i="2"/>
  <c r="AN50" i="2"/>
  <c r="AM50" i="2"/>
  <c r="AL50" i="2"/>
  <c r="AK50" i="2"/>
  <c r="AJ50" i="2"/>
  <c r="AI50" i="2"/>
  <c r="AH50" i="2"/>
  <c r="AG50" i="2"/>
  <c r="AF50" i="2"/>
  <c r="AE50" i="2"/>
  <c r="AD50" i="2"/>
  <c r="AC50" i="2"/>
  <c r="AB50" i="2"/>
  <c r="AA50" i="2"/>
  <c r="Z50" i="2"/>
  <c r="Y50" i="2"/>
  <c r="X50" i="2"/>
  <c r="W50" i="2"/>
  <c r="V50" i="2"/>
  <c r="U50" i="2"/>
  <c r="T50" i="2"/>
  <c r="S50" i="2"/>
  <c r="R50" i="2"/>
  <c r="Q50" i="2"/>
  <c r="P50" i="2"/>
  <c r="O50" i="2"/>
  <c r="N50" i="2"/>
  <c r="M50" i="2"/>
  <c r="L50" i="2"/>
  <c r="K50" i="2"/>
  <c r="J50" i="2"/>
  <c r="I50" i="2"/>
  <c r="H50" i="2"/>
  <c r="G50" i="2"/>
  <c r="F50" i="2"/>
  <c r="E50" i="2"/>
  <c r="D50" i="2"/>
  <c r="C50" i="2"/>
  <c r="B50" i="2"/>
  <c r="A50"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B49" i="2"/>
  <c r="A49" i="2"/>
  <c r="AT48" i="2"/>
  <c r="AS48" i="2"/>
  <c r="AR48" i="2"/>
  <c r="AQ48" i="2"/>
  <c r="AP48" i="2"/>
  <c r="AO48" i="2"/>
  <c r="AN48" i="2"/>
  <c r="AM48" i="2"/>
  <c r="AL48" i="2"/>
  <c r="AK48"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G48" i="2"/>
  <c r="F48" i="2"/>
  <c r="E48" i="2"/>
  <c r="D48" i="2"/>
  <c r="C48" i="2"/>
  <c r="B48" i="2"/>
  <c r="A48" i="2"/>
  <c r="AT47" i="2"/>
  <c r="AS47" i="2"/>
  <c r="AR47" i="2"/>
  <c r="AQ47" i="2"/>
  <c r="AP47" i="2"/>
  <c r="AO47" i="2"/>
  <c r="AN47" i="2"/>
  <c r="AM47" i="2"/>
  <c r="AL47" i="2"/>
  <c r="AK47" i="2"/>
  <c r="AJ47" i="2"/>
  <c r="AI47" i="2"/>
  <c r="AH47" i="2"/>
  <c r="AG47" i="2"/>
  <c r="AF47" i="2"/>
  <c r="AE47" i="2"/>
  <c r="AD47" i="2"/>
  <c r="AC47" i="2"/>
  <c r="AB47" i="2"/>
  <c r="AA47" i="2"/>
  <c r="Z47" i="2"/>
  <c r="Y47" i="2"/>
  <c r="X47" i="2"/>
  <c r="W47" i="2"/>
  <c r="V47" i="2"/>
  <c r="U47" i="2"/>
  <c r="T47" i="2"/>
  <c r="S47" i="2"/>
  <c r="R47" i="2"/>
  <c r="Q47" i="2"/>
  <c r="P47" i="2"/>
  <c r="O47" i="2"/>
  <c r="N47" i="2"/>
  <c r="M47" i="2"/>
  <c r="L47" i="2"/>
  <c r="K47" i="2"/>
  <c r="J47" i="2"/>
  <c r="I47" i="2"/>
  <c r="H47" i="2"/>
  <c r="G47" i="2"/>
  <c r="F47" i="2"/>
  <c r="E47" i="2"/>
  <c r="D47" i="2"/>
  <c r="C47" i="2"/>
  <c r="B47" i="2"/>
  <c r="A47" i="2"/>
  <c r="AT46" i="2"/>
  <c r="AS46" i="2"/>
  <c r="AR46" i="2"/>
  <c r="AQ46" i="2"/>
  <c r="AP46" i="2"/>
  <c r="AO46" i="2"/>
  <c r="AN46" i="2"/>
  <c r="AM46" i="2"/>
  <c r="AL46"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B46" i="2"/>
  <c r="A46" i="2"/>
  <c r="AT45" i="2"/>
  <c r="AS45" i="2"/>
  <c r="AR45" i="2"/>
  <c r="AQ45" i="2"/>
  <c r="AP45" i="2"/>
  <c r="AO45" i="2"/>
  <c r="AN45" i="2"/>
  <c r="AM45" i="2"/>
  <c r="AL45"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I45" i="2"/>
  <c r="H45" i="2"/>
  <c r="G45" i="2"/>
  <c r="F45" i="2"/>
  <c r="E45" i="2"/>
  <c r="D45" i="2"/>
  <c r="C45" i="2"/>
  <c r="B45" i="2"/>
  <c r="A45" i="2"/>
  <c r="AT44" i="2"/>
  <c r="AS44" i="2"/>
  <c r="AR44" i="2"/>
  <c r="AQ44" i="2"/>
  <c r="AP44" i="2"/>
  <c r="AO44" i="2"/>
  <c r="AN44" i="2"/>
  <c r="AM44" i="2"/>
  <c r="AL44"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I44" i="2"/>
  <c r="H44" i="2"/>
  <c r="G44" i="2"/>
  <c r="F44" i="2"/>
  <c r="E44" i="2"/>
  <c r="D44" i="2"/>
  <c r="C44" i="2"/>
  <c r="B44" i="2"/>
  <c r="A44" i="2"/>
  <c r="AT43" i="2"/>
  <c r="AS43" i="2"/>
  <c r="AR43" i="2"/>
  <c r="AQ43" i="2"/>
  <c r="AP43" i="2"/>
  <c r="AO43" i="2"/>
  <c r="AN43" i="2"/>
  <c r="AM43" i="2"/>
  <c r="AL43"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I43" i="2"/>
  <c r="H43" i="2"/>
  <c r="G43" i="2"/>
  <c r="F43" i="2"/>
  <c r="E43" i="2"/>
  <c r="D43" i="2"/>
  <c r="C43" i="2"/>
  <c r="B43" i="2"/>
  <c r="A43" i="2"/>
  <c r="AT42" i="2"/>
  <c r="AS42" i="2"/>
  <c r="AR42" i="2"/>
  <c r="AQ42" i="2"/>
  <c r="AP42" i="2"/>
  <c r="AO42" i="2"/>
  <c r="AN42" i="2"/>
  <c r="AM42" i="2"/>
  <c r="AL42"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I42" i="2"/>
  <c r="H42" i="2"/>
  <c r="G42" i="2"/>
  <c r="F42" i="2"/>
  <c r="E42" i="2"/>
  <c r="D42" i="2"/>
  <c r="C42" i="2"/>
  <c r="B42" i="2"/>
  <c r="A42" i="2"/>
  <c r="AT41" i="2"/>
  <c r="AS41" i="2"/>
  <c r="AR41" i="2"/>
  <c r="AQ41" i="2"/>
  <c r="AP41" i="2"/>
  <c r="AO41" i="2"/>
  <c r="AN41" i="2"/>
  <c r="AM41" i="2"/>
  <c r="AL41" i="2"/>
  <c r="AK41" i="2"/>
  <c r="AJ41" i="2"/>
  <c r="AI41" i="2"/>
  <c r="AH41" i="2"/>
  <c r="AG41" i="2"/>
  <c r="AF41" i="2"/>
  <c r="AE41" i="2"/>
  <c r="AD41" i="2"/>
  <c r="AC41" i="2"/>
  <c r="AB41" i="2"/>
  <c r="AA41" i="2"/>
  <c r="Z41" i="2"/>
  <c r="Y41" i="2"/>
  <c r="X41" i="2"/>
  <c r="W41" i="2"/>
  <c r="V41" i="2"/>
  <c r="U41" i="2"/>
  <c r="T41" i="2"/>
  <c r="S41" i="2"/>
  <c r="R41" i="2"/>
  <c r="Q41" i="2"/>
  <c r="P41" i="2"/>
  <c r="O41" i="2"/>
  <c r="N41" i="2"/>
  <c r="M41" i="2"/>
  <c r="L41" i="2"/>
  <c r="K41" i="2"/>
  <c r="J41" i="2"/>
  <c r="I41" i="2"/>
  <c r="H41" i="2"/>
  <c r="G41" i="2"/>
  <c r="F41" i="2"/>
  <c r="E41" i="2"/>
  <c r="D41" i="2"/>
  <c r="C41" i="2"/>
  <c r="B41" i="2"/>
  <c r="A41" i="2"/>
  <c r="AT40" i="2"/>
  <c r="AS40" i="2"/>
  <c r="AR40" i="2"/>
  <c r="AQ40" i="2"/>
  <c r="AP40" i="2"/>
  <c r="AO40" i="2"/>
  <c r="AN40" i="2"/>
  <c r="AM40" i="2"/>
  <c r="AL40" i="2"/>
  <c r="AK40" i="2"/>
  <c r="AJ40" i="2"/>
  <c r="AI40" i="2"/>
  <c r="AH40" i="2"/>
  <c r="AG40" i="2"/>
  <c r="AF40" i="2"/>
  <c r="AE40" i="2"/>
  <c r="AD40" i="2"/>
  <c r="AC40" i="2"/>
  <c r="AB40" i="2"/>
  <c r="AA40" i="2"/>
  <c r="Z40" i="2"/>
  <c r="Y40" i="2"/>
  <c r="X40" i="2"/>
  <c r="W40" i="2"/>
  <c r="V40" i="2"/>
  <c r="U40" i="2"/>
  <c r="T40" i="2"/>
  <c r="S40" i="2"/>
  <c r="R40" i="2"/>
  <c r="Q40" i="2"/>
  <c r="P40" i="2"/>
  <c r="O40" i="2"/>
  <c r="N40" i="2"/>
  <c r="M40" i="2"/>
  <c r="L40" i="2"/>
  <c r="K40" i="2"/>
  <c r="J40" i="2"/>
  <c r="I40" i="2"/>
  <c r="H40" i="2"/>
  <c r="G40" i="2"/>
  <c r="F40" i="2"/>
  <c r="E40" i="2"/>
  <c r="D40" i="2"/>
  <c r="C40" i="2"/>
  <c r="B40" i="2"/>
  <c r="A40" i="2"/>
  <c r="AT39" i="2"/>
  <c r="AS39" i="2"/>
  <c r="AR39" i="2"/>
  <c r="AQ39" i="2"/>
  <c r="AP39" i="2"/>
  <c r="AO39" i="2"/>
  <c r="AN39" i="2"/>
  <c r="AM39" i="2"/>
  <c r="AL39" i="2"/>
  <c r="AK39" i="2"/>
  <c r="AJ39" i="2"/>
  <c r="AI39" i="2"/>
  <c r="AH39" i="2"/>
  <c r="AG39" i="2"/>
  <c r="AF39" i="2"/>
  <c r="AE39" i="2"/>
  <c r="AD39" i="2"/>
  <c r="AC39" i="2"/>
  <c r="AB39" i="2"/>
  <c r="AA39" i="2"/>
  <c r="Z39" i="2"/>
  <c r="Y39" i="2"/>
  <c r="X39" i="2"/>
  <c r="W39" i="2"/>
  <c r="V39" i="2"/>
  <c r="U39" i="2"/>
  <c r="T39" i="2"/>
  <c r="S39" i="2"/>
  <c r="R39" i="2"/>
  <c r="Q39" i="2"/>
  <c r="P39" i="2"/>
  <c r="O39" i="2"/>
  <c r="N39" i="2"/>
  <c r="M39" i="2"/>
  <c r="L39" i="2"/>
  <c r="K39" i="2"/>
  <c r="J39" i="2"/>
  <c r="I39" i="2"/>
  <c r="H39" i="2"/>
  <c r="G39" i="2"/>
  <c r="F39" i="2"/>
  <c r="E39" i="2"/>
  <c r="D39" i="2"/>
  <c r="C39" i="2"/>
  <c r="B39" i="2"/>
  <c r="A39" i="2"/>
  <c r="AT38" i="2"/>
  <c r="AS38" i="2"/>
  <c r="AR38" i="2"/>
  <c r="AQ38" i="2"/>
  <c r="AP38" i="2"/>
  <c r="AO38" i="2"/>
  <c r="AN38" i="2"/>
  <c r="AM38" i="2"/>
  <c r="AL38" i="2"/>
  <c r="AK38" i="2"/>
  <c r="AJ38" i="2"/>
  <c r="AI38" i="2"/>
  <c r="AH38" i="2"/>
  <c r="AG38" i="2"/>
  <c r="AF38" i="2"/>
  <c r="AE38" i="2"/>
  <c r="AD38" i="2"/>
  <c r="AC38" i="2"/>
  <c r="AB38" i="2"/>
  <c r="AA38" i="2"/>
  <c r="Z38" i="2"/>
  <c r="Y38" i="2"/>
  <c r="X38" i="2"/>
  <c r="W38" i="2"/>
  <c r="V38" i="2"/>
  <c r="U38" i="2"/>
  <c r="T38" i="2"/>
  <c r="S38" i="2"/>
  <c r="R38" i="2"/>
  <c r="Q38" i="2"/>
  <c r="P38" i="2"/>
  <c r="O38" i="2"/>
  <c r="N38" i="2"/>
  <c r="M38" i="2"/>
  <c r="L38" i="2"/>
  <c r="K38" i="2"/>
  <c r="J38" i="2"/>
  <c r="I38" i="2"/>
  <c r="H38" i="2"/>
  <c r="G38" i="2"/>
  <c r="F38" i="2"/>
  <c r="E38" i="2"/>
  <c r="D38" i="2"/>
  <c r="C38" i="2"/>
  <c r="B38" i="2"/>
  <c r="A38" i="2"/>
  <c r="AT37" i="2"/>
  <c r="AS37" i="2"/>
  <c r="AR37" i="2"/>
  <c r="AQ37" i="2"/>
  <c r="AP37" i="2"/>
  <c r="AO37" i="2"/>
  <c r="AN37" i="2"/>
  <c r="AM37" i="2"/>
  <c r="AL37" i="2"/>
  <c r="AK37" i="2"/>
  <c r="AJ37" i="2"/>
  <c r="AI37" i="2"/>
  <c r="AH37" i="2"/>
  <c r="AG37" i="2"/>
  <c r="AF37" i="2"/>
  <c r="AE37" i="2"/>
  <c r="AD37" i="2"/>
  <c r="AC37" i="2"/>
  <c r="AB37" i="2"/>
  <c r="AA37" i="2"/>
  <c r="Z37" i="2"/>
  <c r="Y37" i="2"/>
  <c r="X37" i="2"/>
  <c r="W37" i="2"/>
  <c r="V37" i="2"/>
  <c r="U37" i="2"/>
  <c r="T37" i="2"/>
  <c r="S37" i="2"/>
  <c r="R37" i="2"/>
  <c r="Q37" i="2"/>
  <c r="P37" i="2"/>
  <c r="O37" i="2"/>
  <c r="N37" i="2"/>
  <c r="M37" i="2"/>
  <c r="L37" i="2"/>
  <c r="K37" i="2"/>
  <c r="J37" i="2"/>
  <c r="I37" i="2"/>
  <c r="H37" i="2"/>
  <c r="G37" i="2"/>
  <c r="F37" i="2"/>
  <c r="E37" i="2"/>
  <c r="D37" i="2"/>
  <c r="C37" i="2"/>
  <c r="B37" i="2"/>
  <c r="A37" i="2"/>
  <c r="AT36" i="2"/>
  <c r="AS36" i="2"/>
  <c r="AR36" i="2"/>
  <c r="AQ36" i="2"/>
  <c r="AP36" i="2"/>
  <c r="AO36" i="2"/>
  <c r="AN36" i="2"/>
  <c r="AM36" i="2"/>
  <c r="AL36" i="2"/>
  <c r="AK36" i="2"/>
  <c r="AJ36" i="2"/>
  <c r="AI36" i="2"/>
  <c r="AH36" i="2"/>
  <c r="AG36" i="2"/>
  <c r="AF36" i="2"/>
  <c r="AE36" i="2"/>
  <c r="AD36" i="2"/>
  <c r="AC36" i="2"/>
  <c r="AB36" i="2"/>
  <c r="AA36" i="2"/>
  <c r="Z36" i="2"/>
  <c r="Y36" i="2"/>
  <c r="X36" i="2"/>
  <c r="W36" i="2"/>
  <c r="V36" i="2"/>
  <c r="U36" i="2"/>
  <c r="T36" i="2"/>
  <c r="S36" i="2"/>
  <c r="R36" i="2"/>
  <c r="Q36" i="2"/>
  <c r="P36" i="2"/>
  <c r="O36" i="2"/>
  <c r="N36" i="2"/>
  <c r="M36" i="2"/>
  <c r="L36" i="2"/>
  <c r="K36" i="2"/>
  <c r="J36" i="2"/>
  <c r="I36" i="2"/>
  <c r="H36" i="2"/>
  <c r="G36" i="2"/>
  <c r="F36" i="2"/>
  <c r="E36" i="2"/>
  <c r="D36" i="2"/>
  <c r="C36" i="2"/>
  <c r="B36" i="2"/>
  <c r="A36" i="2"/>
  <c r="AT35" i="2"/>
  <c r="AS35" i="2"/>
  <c r="AR35" i="2"/>
  <c r="AQ35" i="2"/>
  <c r="AP35" i="2"/>
  <c r="AO35" i="2"/>
  <c r="AN35"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E35" i="2"/>
  <c r="D35" i="2"/>
  <c r="C35" i="2"/>
  <c r="B35" i="2"/>
  <c r="A35"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B34" i="2"/>
  <c r="A34" i="2"/>
  <c r="AT33" i="2"/>
  <c r="AS33" i="2"/>
  <c r="AR33" i="2"/>
  <c r="AQ33" i="2"/>
  <c r="AP33" i="2"/>
  <c r="AO33" i="2"/>
  <c r="AN33" i="2"/>
  <c r="AM33" i="2"/>
  <c r="AL33" i="2"/>
  <c r="AK33" i="2"/>
  <c r="AJ33" i="2"/>
  <c r="AI33" i="2"/>
  <c r="AH33" i="2"/>
  <c r="AG33" i="2"/>
  <c r="AF33" i="2"/>
  <c r="AE33" i="2"/>
  <c r="AD33" i="2"/>
  <c r="AC33" i="2"/>
  <c r="AB33" i="2"/>
  <c r="AA33" i="2"/>
  <c r="Z33" i="2"/>
  <c r="Y33" i="2"/>
  <c r="X33" i="2"/>
  <c r="W33" i="2"/>
  <c r="V33" i="2"/>
  <c r="U33" i="2"/>
  <c r="T33" i="2"/>
  <c r="S33" i="2"/>
  <c r="R33" i="2"/>
  <c r="Q33" i="2"/>
  <c r="P33" i="2"/>
  <c r="O33" i="2"/>
  <c r="N33" i="2"/>
  <c r="M33" i="2"/>
  <c r="L33" i="2"/>
  <c r="K33" i="2"/>
  <c r="J33" i="2"/>
  <c r="I33" i="2"/>
  <c r="H33" i="2"/>
  <c r="G33" i="2"/>
  <c r="F33" i="2"/>
  <c r="E33" i="2"/>
  <c r="D33" i="2"/>
  <c r="C33" i="2"/>
  <c r="B33" i="2"/>
  <c r="A33" i="2"/>
  <c r="AT32" i="2"/>
  <c r="AS32" i="2"/>
  <c r="AR32" i="2"/>
  <c r="AQ32" i="2"/>
  <c r="AP32" i="2"/>
  <c r="AO32" i="2"/>
  <c r="AN32" i="2"/>
  <c r="AM32" i="2"/>
  <c r="AL32" i="2"/>
  <c r="AK32" i="2"/>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I32" i="2"/>
  <c r="H32" i="2"/>
  <c r="G32" i="2"/>
  <c r="F32" i="2"/>
  <c r="E32" i="2"/>
  <c r="D32" i="2"/>
  <c r="C32" i="2"/>
  <c r="B32" i="2"/>
  <c r="A32" i="2"/>
  <c r="AT31" i="2"/>
  <c r="AS31" i="2"/>
  <c r="AR31" i="2"/>
  <c r="AQ31" i="2"/>
  <c r="AP31" i="2"/>
  <c r="AO31" i="2"/>
  <c r="AN31" i="2"/>
  <c r="AM31" i="2"/>
  <c r="AL31" i="2"/>
  <c r="AK31" i="2"/>
  <c r="AJ31" i="2"/>
  <c r="AI31" i="2"/>
  <c r="AH31" i="2"/>
  <c r="AG31" i="2"/>
  <c r="AF31" i="2"/>
  <c r="AE31" i="2"/>
  <c r="AD31" i="2"/>
  <c r="AC31" i="2"/>
  <c r="AB31" i="2"/>
  <c r="AA31" i="2"/>
  <c r="Z31" i="2"/>
  <c r="Y31" i="2"/>
  <c r="X31" i="2"/>
  <c r="W31" i="2"/>
  <c r="V31" i="2"/>
  <c r="U31" i="2"/>
  <c r="T31" i="2"/>
  <c r="S31" i="2"/>
  <c r="R31" i="2"/>
  <c r="Q31" i="2"/>
  <c r="P31" i="2"/>
  <c r="O31" i="2"/>
  <c r="N31" i="2"/>
  <c r="M31" i="2"/>
  <c r="L31" i="2"/>
  <c r="K31" i="2"/>
  <c r="J31" i="2"/>
  <c r="I31" i="2"/>
  <c r="H31" i="2"/>
  <c r="G31" i="2"/>
  <c r="F31" i="2"/>
  <c r="E31" i="2"/>
  <c r="D31" i="2"/>
  <c r="C31" i="2"/>
  <c r="B31" i="2"/>
  <c r="A31" i="2"/>
  <c r="AT30" i="2"/>
  <c r="AS30" i="2"/>
  <c r="AR30" i="2"/>
  <c r="AQ30" i="2"/>
  <c r="AP30" i="2"/>
  <c r="AO30" i="2"/>
  <c r="AN30" i="2"/>
  <c r="AM30" i="2"/>
  <c r="AL30" i="2"/>
  <c r="AK30" i="2"/>
  <c r="AJ30" i="2"/>
  <c r="AI30" i="2"/>
  <c r="AH30" i="2"/>
  <c r="AG30" i="2"/>
  <c r="AF30" i="2"/>
  <c r="AE30" i="2"/>
  <c r="AD30" i="2"/>
  <c r="AC30" i="2"/>
  <c r="AB30" i="2"/>
  <c r="AA30" i="2"/>
  <c r="Z30" i="2"/>
  <c r="Y30" i="2"/>
  <c r="X30" i="2"/>
  <c r="W30" i="2"/>
  <c r="V30" i="2"/>
  <c r="U30" i="2"/>
  <c r="T30" i="2"/>
  <c r="S30" i="2"/>
  <c r="R30" i="2"/>
  <c r="Q30" i="2"/>
  <c r="O30" i="2"/>
  <c r="N30" i="2"/>
  <c r="M30" i="2"/>
  <c r="L30" i="2"/>
  <c r="K30" i="2"/>
  <c r="J30" i="2"/>
  <c r="I30" i="2"/>
  <c r="H30" i="2"/>
  <c r="G30" i="2"/>
  <c r="F30" i="2"/>
  <c r="E30" i="2"/>
  <c r="D30" i="2"/>
  <c r="C30" i="2"/>
  <c r="B30" i="2"/>
  <c r="A30" i="2"/>
  <c r="AT29" i="2"/>
  <c r="AS29" i="2"/>
  <c r="AR29" i="2"/>
  <c r="AQ29" i="2"/>
  <c r="AP29" i="2"/>
  <c r="AO29" i="2"/>
  <c r="AN29" i="2"/>
  <c r="AM29" i="2"/>
  <c r="AL29" i="2"/>
  <c r="AK29" i="2"/>
  <c r="AJ29" i="2"/>
  <c r="AI29" i="2"/>
  <c r="AH29" i="2"/>
  <c r="AG29" i="2"/>
  <c r="AF29" i="2"/>
  <c r="AE29" i="2"/>
  <c r="AD29" i="2"/>
  <c r="AC29" i="2"/>
  <c r="AB29" i="2"/>
  <c r="AA29" i="2"/>
  <c r="Z29" i="2"/>
  <c r="Y29" i="2"/>
  <c r="X29" i="2"/>
  <c r="W29" i="2"/>
  <c r="V29" i="2"/>
  <c r="U29" i="2"/>
  <c r="T29" i="2"/>
  <c r="S29" i="2"/>
  <c r="R29" i="2"/>
  <c r="Q29" i="2"/>
  <c r="P29" i="2"/>
  <c r="O29" i="2"/>
  <c r="N29" i="2"/>
  <c r="M29" i="2"/>
  <c r="L29" i="2"/>
  <c r="K29" i="2"/>
  <c r="J29" i="2"/>
  <c r="I29" i="2"/>
  <c r="H29" i="2"/>
  <c r="G29" i="2"/>
  <c r="F29" i="2"/>
  <c r="E29" i="2"/>
  <c r="D29" i="2"/>
  <c r="C29" i="2"/>
  <c r="B29" i="2"/>
  <c r="A29" i="2"/>
  <c r="AT28" i="2"/>
  <c r="AS28" i="2"/>
  <c r="AR28" i="2"/>
  <c r="AQ28" i="2"/>
  <c r="AP28" i="2"/>
  <c r="AO28" i="2"/>
  <c r="AN28" i="2"/>
  <c r="AM28" i="2"/>
  <c r="AL28" i="2"/>
  <c r="AK28" i="2"/>
  <c r="AJ28" i="2"/>
  <c r="AI28" i="2"/>
  <c r="AH28" i="2"/>
  <c r="AG28" i="2"/>
  <c r="AF28" i="2"/>
  <c r="AE28" i="2"/>
  <c r="AD28" i="2"/>
  <c r="AC28" i="2"/>
  <c r="AB28" i="2"/>
  <c r="AA28" i="2"/>
  <c r="Z28" i="2"/>
  <c r="Y28" i="2"/>
  <c r="X28" i="2"/>
  <c r="W28" i="2"/>
  <c r="V28" i="2"/>
  <c r="U28" i="2"/>
  <c r="T28" i="2"/>
  <c r="S28" i="2"/>
  <c r="R28" i="2"/>
  <c r="Q28" i="2"/>
  <c r="O28" i="2"/>
  <c r="N28" i="2"/>
  <c r="M28" i="2"/>
  <c r="L28" i="2"/>
  <c r="K28" i="2"/>
  <c r="J28" i="2"/>
  <c r="I28" i="2"/>
  <c r="H28" i="2"/>
  <c r="G28" i="2"/>
  <c r="F28" i="2"/>
  <c r="E28" i="2"/>
  <c r="D28" i="2"/>
  <c r="C28" i="2"/>
  <c r="B28" i="2"/>
  <c r="A28" i="2"/>
  <c r="AT27" i="2"/>
  <c r="AS27" i="2"/>
  <c r="AR27" i="2"/>
  <c r="AQ27" i="2"/>
  <c r="AP27" i="2"/>
  <c r="AO27" i="2"/>
  <c r="AN27" i="2"/>
  <c r="AM27" i="2"/>
  <c r="AL27" i="2"/>
  <c r="AK27" i="2"/>
  <c r="AJ27" i="2"/>
  <c r="AI27" i="2"/>
  <c r="AH27" i="2"/>
  <c r="AG27" i="2"/>
  <c r="AF27" i="2"/>
  <c r="AE27" i="2"/>
  <c r="AD27" i="2"/>
  <c r="AC27" i="2"/>
  <c r="AB27" i="2"/>
  <c r="AA27" i="2"/>
  <c r="Z27" i="2"/>
  <c r="Y27" i="2"/>
  <c r="X27" i="2"/>
  <c r="W27" i="2"/>
  <c r="V27" i="2"/>
  <c r="U27" i="2"/>
  <c r="T27" i="2"/>
  <c r="S27" i="2"/>
  <c r="R27" i="2"/>
  <c r="Q27" i="2"/>
  <c r="P27" i="2"/>
  <c r="O27" i="2"/>
  <c r="N27" i="2"/>
  <c r="M27" i="2"/>
  <c r="L27" i="2"/>
  <c r="K27" i="2"/>
  <c r="J27" i="2"/>
  <c r="I27" i="2"/>
  <c r="H27" i="2"/>
  <c r="G27" i="2"/>
  <c r="F27" i="2"/>
  <c r="E27" i="2"/>
  <c r="D27" i="2"/>
  <c r="C27" i="2"/>
  <c r="B27" i="2"/>
  <c r="A27" i="2"/>
  <c r="AT26" i="2"/>
  <c r="AS26" i="2"/>
  <c r="AR26" i="2"/>
  <c r="AQ26" i="2"/>
  <c r="AP26" i="2"/>
  <c r="AO26" i="2"/>
  <c r="AN26" i="2"/>
  <c r="AM26" i="2"/>
  <c r="AL26" i="2"/>
  <c r="AK26" i="2"/>
  <c r="AJ26" i="2"/>
  <c r="AI26" i="2"/>
  <c r="AH26" i="2"/>
  <c r="AG26" i="2"/>
  <c r="AF26" i="2"/>
  <c r="AE26" i="2"/>
  <c r="AD26" i="2"/>
  <c r="AC26" i="2"/>
  <c r="AB26" i="2"/>
  <c r="AA26" i="2"/>
  <c r="Z26" i="2"/>
  <c r="Y26" i="2"/>
  <c r="X26" i="2"/>
  <c r="W26" i="2"/>
  <c r="V26" i="2"/>
  <c r="U26" i="2"/>
  <c r="T26" i="2"/>
  <c r="S26" i="2"/>
  <c r="R26" i="2"/>
  <c r="Q26" i="2"/>
  <c r="P26" i="2"/>
  <c r="O26" i="2"/>
  <c r="N26" i="2"/>
  <c r="M26" i="2"/>
  <c r="L26" i="2"/>
  <c r="K26" i="2"/>
  <c r="J26" i="2"/>
  <c r="I26" i="2"/>
  <c r="H26" i="2"/>
  <c r="G26" i="2"/>
  <c r="F26" i="2"/>
  <c r="E26" i="2"/>
  <c r="D26" i="2"/>
  <c r="C26" i="2"/>
  <c r="B26" i="2"/>
  <c r="A26" i="2"/>
  <c r="AT25" i="2"/>
  <c r="AS25" i="2"/>
  <c r="AR25" i="2"/>
  <c r="AQ25" i="2"/>
  <c r="AP25" i="2"/>
  <c r="AO25" i="2"/>
  <c r="AN25" i="2"/>
  <c r="AM25" i="2"/>
  <c r="AL25" i="2"/>
  <c r="AK25" i="2"/>
  <c r="AJ25" i="2"/>
  <c r="AI25" i="2"/>
  <c r="AH25" i="2"/>
  <c r="AG25" i="2"/>
  <c r="AF25" i="2"/>
  <c r="AE25" i="2"/>
  <c r="AD25" i="2"/>
  <c r="AC25" i="2"/>
  <c r="AB25" i="2"/>
  <c r="AA25" i="2"/>
  <c r="Z25" i="2"/>
  <c r="Y25" i="2"/>
  <c r="X25" i="2"/>
  <c r="W25" i="2"/>
  <c r="V25" i="2"/>
  <c r="U25" i="2"/>
  <c r="T25" i="2"/>
  <c r="S25" i="2"/>
  <c r="R25" i="2"/>
  <c r="Q25" i="2"/>
  <c r="O25" i="2"/>
  <c r="N25" i="2"/>
  <c r="M25" i="2"/>
  <c r="L25" i="2"/>
  <c r="K25" i="2"/>
  <c r="J25" i="2"/>
  <c r="I25" i="2"/>
  <c r="H25" i="2"/>
  <c r="G25" i="2"/>
  <c r="F25" i="2"/>
  <c r="E25" i="2"/>
  <c r="D25" i="2"/>
  <c r="C25" i="2"/>
  <c r="B25" i="2"/>
  <c r="A25" i="2"/>
  <c r="AT24" i="2"/>
  <c r="AS24" i="2"/>
  <c r="AR24" i="2"/>
  <c r="AQ24" i="2"/>
  <c r="AP24" i="2"/>
  <c r="AO24" i="2"/>
  <c r="AN24" i="2"/>
  <c r="AM24" i="2"/>
  <c r="AL24"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D24" i="2"/>
  <c r="C24" i="2"/>
  <c r="B24" i="2"/>
  <c r="A24"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D23" i="2"/>
  <c r="C23" i="2"/>
  <c r="B23" i="2"/>
  <c r="A23" i="2"/>
  <c r="AT22" i="2"/>
  <c r="AS22" i="2"/>
  <c r="AR22" i="2"/>
  <c r="AQ22" i="2"/>
  <c r="AP22" i="2"/>
  <c r="AO22" i="2"/>
  <c r="AN22" i="2"/>
  <c r="AM22" i="2"/>
  <c r="AL22"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D22" i="2"/>
  <c r="C22" i="2"/>
  <c r="B22" i="2"/>
  <c r="A22" i="2"/>
  <c r="AT21" i="2"/>
  <c r="AS21" i="2"/>
  <c r="AR21" i="2"/>
  <c r="AQ21" i="2"/>
  <c r="AP21" i="2"/>
  <c r="AO21" i="2"/>
  <c r="AN21" i="2"/>
  <c r="AM21" i="2"/>
  <c r="AL21"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B21" i="2"/>
  <c r="A21" i="2"/>
  <c r="AT20" i="2"/>
  <c r="AS20" i="2"/>
  <c r="AR20" i="2"/>
  <c r="AQ20" i="2"/>
  <c r="AP20" i="2"/>
  <c r="AO20" i="2"/>
  <c r="AN20" i="2"/>
  <c r="AM20" i="2"/>
  <c r="AL20" i="2"/>
  <c r="AK20" i="2"/>
  <c r="AJ20" i="2"/>
  <c r="AI20" i="2"/>
  <c r="AH20"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D20" i="2"/>
  <c r="C20" i="2"/>
  <c r="B20" i="2"/>
  <c r="A20"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B19" i="2"/>
  <c r="A19" i="2"/>
  <c r="AT18" i="2"/>
  <c r="AS18" i="2"/>
  <c r="AR18" i="2"/>
  <c r="AQ18" i="2"/>
  <c r="AP18" i="2"/>
  <c r="AO18" i="2"/>
  <c r="AN18"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D18" i="2"/>
  <c r="C18" i="2"/>
  <c r="B18" i="2"/>
  <c r="A18" i="2"/>
  <c r="AT17" i="2"/>
  <c r="AS17" i="2"/>
  <c r="AR17" i="2"/>
  <c r="AQ17" i="2"/>
  <c r="AP17" i="2"/>
  <c r="AO17" i="2"/>
  <c r="AN17" i="2"/>
  <c r="AM17" i="2"/>
  <c r="AL17" i="2"/>
  <c r="AK17" i="2"/>
  <c r="AJ17" i="2"/>
  <c r="AI17" i="2"/>
  <c r="AH17" i="2"/>
  <c r="AG17" i="2"/>
  <c r="AF17"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D17" i="2"/>
  <c r="C17" i="2"/>
  <c r="B17" i="2"/>
  <c r="A17"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T15" i="2"/>
  <c r="AS15" i="2"/>
  <c r="AR15" i="2"/>
  <c r="AQ15" i="2"/>
  <c r="AP15" i="2"/>
  <c r="AO15" i="2"/>
  <c r="AN15" i="2"/>
  <c r="AM15" i="2"/>
  <c r="AL15"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T14" i="2"/>
  <c r="AS14" i="2"/>
  <c r="AR14" i="2"/>
  <c r="AQ14" i="2"/>
  <c r="AP14" i="2"/>
  <c r="AO14" i="2"/>
  <c r="AN14" i="2"/>
  <c r="AM14" i="2"/>
  <c r="AL14" i="2"/>
  <c r="AK14" i="2"/>
  <c r="AJ14" i="2"/>
  <c r="AI14"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T13" i="2"/>
  <c r="AS13" i="2"/>
  <c r="AR13" i="2"/>
  <c r="AQ13" i="2"/>
  <c r="AP13" i="2"/>
  <c r="AO13" i="2"/>
  <c r="AN13" i="2"/>
  <c r="AM13" i="2"/>
  <c r="AL13" i="2"/>
  <c r="AK13" i="2"/>
  <c r="AJ13" i="2"/>
  <c r="AI13"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T12" i="2"/>
  <c r="AS12" i="2"/>
  <c r="AR12" i="2"/>
  <c r="AQ12" i="2"/>
  <c r="AP12" i="2"/>
  <c r="AO12" i="2"/>
  <c r="AN12" i="2"/>
  <c r="AM12" i="2"/>
  <c r="AL12" i="2"/>
  <c r="AK12" i="2"/>
  <c r="AJ12" i="2"/>
  <c r="AI12"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T11" i="2"/>
  <c r="AS11" i="2"/>
  <c r="AR11" i="2"/>
  <c r="AQ11" i="2"/>
  <c r="AP11" i="2"/>
  <c r="AO11" i="2"/>
  <c r="AN11" i="2"/>
  <c r="AM11" i="2"/>
  <c r="AL11" i="2"/>
  <c r="AK11" i="2"/>
  <c r="AJ11" i="2"/>
  <c r="AI11"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T10" i="2"/>
  <c r="AS10" i="2"/>
  <c r="AR10" i="2"/>
  <c r="AQ10" i="2"/>
  <c r="AP10" i="2"/>
  <c r="AO10" i="2"/>
  <c r="AN10" i="2"/>
  <c r="AM10" i="2"/>
  <c r="AL10" i="2"/>
  <c r="AK10" i="2"/>
  <c r="AJ10" i="2"/>
  <c r="AI10"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T9" i="2"/>
  <c r="AS9" i="2"/>
  <c r="AR9" i="2"/>
  <c r="AQ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K9" i="2"/>
  <c r="J9" i="2"/>
  <c r="H9" i="2"/>
  <c r="G9" i="2"/>
  <c r="F9" i="2"/>
  <c r="E9" i="2"/>
  <c r="D9" i="2"/>
  <c r="C9" i="2"/>
  <c r="B9" i="2"/>
  <c r="A9" i="2"/>
  <c r="AT8" i="2"/>
  <c r="AS8" i="2"/>
  <c r="AR8" i="2"/>
  <c r="AQ8" i="2"/>
  <c r="AP8" i="2"/>
  <c r="AO8" i="2"/>
  <c r="AN8" i="2"/>
  <c r="AM8" i="2"/>
  <c r="AL8" i="2"/>
  <c r="AK8" i="2"/>
  <c r="AJ8" i="2"/>
  <c r="AI8"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T7" i="2"/>
  <c r="AS7" i="2"/>
  <c r="AR7" i="2"/>
  <c r="AQ7" i="2"/>
  <c r="AP7" i="2"/>
  <c r="AO7" i="2"/>
  <c r="AN7" i="2"/>
  <c r="AM7" i="2"/>
  <c r="AL7" i="2"/>
  <c r="AK7" i="2"/>
  <c r="AJ7" i="2"/>
  <c r="AI7"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T6" i="2"/>
  <c r="AS6" i="2"/>
  <c r="AR6" i="2"/>
  <c r="AQ6" i="2"/>
  <c r="AP6" i="2"/>
  <c r="AO6" i="2"/>
  <c r="AN6" i="2"/>
  <c r="AM6" i="2"/>
  <c r="AL6" i="2"/>
  <c r="AK6" i="2"/>
  <c r="AJ6" i="2"/>
  <c r="AI6"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T5" i="2"/>
  <c r="AS5" i="2"/>
  <c r="AR5" i="2"/>
  <c r="AQ5" i="2"/>
  <c r="AP5" i="2"/>
  <c r="AO5" i="2"/>
  <c r="AN5" i="2"/>
  <c r="AM5" i="2"/>
  <c r="AL5" i="2"/>
  <c r="AK5" i="2"/>
  <c r="AJ5" i="2"/>
  <c r="AI5"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T4" i="2"/>
  <c r="AS4" i="2"/>
  <c r="AR4" i="2"/>
  <c r="AQ4" i="2"/>
  <c r="AP4" i="2"/>
  <c r="AO4" i="2"/>
  <c r="AN4" i="2"/>
  <c r="AM4" i="2"/>
  <c r="AL4" i="2"/>
  <c r="AK4" i="2"/>
  <c r="AJ4" i="2"/>
  <c r="AI4"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T3" i="2"/>
  <c r="AS3" i="2"/>
  <c r="AR3" i="2"/>
  <c r="AQ3" i="2"/>
  <c r="AP3" i="2"/>
  <c r="AO3" i="2"/>
  <c r="AN3" i="2"/>
  <c r="AM3" i="2"/>
  <c r="AL3" i="2"/>
  <c r="AK3" i="2"/>
  <c r="AJ3" i="2"/>
  <c r="AI3"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T2" i="2"/>
  <c r="AS2" i="2"/>
  <c r="AR2" i="2"/>
  <c r="AQ2" i="2"/>
  <c r="AP2" i="2"/>
  <c r="AO2" i="2"/>
  <c r="AN2" i="2"/>
  <c r="AM2" i="2"/>
  <c r="AL2" i="2"/>
  <c r="AK2" i="2"/>
  <c r="AJ2" i="2"/>
  <c r="AI2"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quot;.&quot;mm&quot;.&quot;yyyy&quot;.&quot;"/>
    <numFmt numFmtId="165" formatCode="m/d/yyyy\,\ h:mm:ss\ AM/PM"/>
    <numFmt numFmtId="166" formatCode="yyyy\-mm\-dd\ h:mm:ss"/>
    <numFmt numFmtId="167" formatCode="#,##0.000"/>
    <numFmt numFmtId="168" formatCode="yyyy\-mm\-dd"/>
    <numFmt numFmtId="169" formatCode="d/m/yyyy\,\ hh:mm:ss"/>
    <numFmt numFmtId="170" formatCode="dd\.mm\.yyyy\."/>
  </numFmts>
  <fonts count="4" x14ac:knownFonts="1">
    <font>
      <sz val="10"/>
      <color rgb="FF000000"/>
      <name val="Arial"/>
      <scheme val="minor"/>
    </font>
    <font>
      <sz val="10"/>
      <color theme="1"/>
      <name val="Arial"/>
      <scheme val="minor"/>
    </font>
    <font>
      <b/>
      <sz val="10"/>
      <color theme="1"/>
      <name val="Arial"/>
      <scheme val="minor"/>
    </font>
    <font>
      <u/>
      <sz val="10"/>
      <color rgb="FF0000FF"/>
      <name val="Arial"/>
    </font>
  </fonts>
  <fills count="4">
    <fill>
      <patternFill patternType="none"/>
    </fill>
    <fill>
      <patternFill patternType="gray125"/>
    </fill>
    <fill>
      <patternFill patternType="solid">
        <fgColor rgb="FF4A86E8"/>
        <bgColor rgb="FF4A86E8"/>
      </patternFill>
    </fill>
    <fill>
      <patternFill patternType="solid">
        <fgColor rgb="FFB7B7B7"/>
        <bgColor rgb="FFB7B7B7"/>
      </patternFill>
    </fill>
  </fills>
  <borders count="1">
    <border>
      <left/>
      <right/>
      <top/>
      <bottom/>
      <diagonal/>
    </border>
  </borders>
  <cellStyleXfs count="1">
    <xf numFmtId="0" fontId="0" fillId="0" borderId="0"/>
  </cellStyleXfs>
  <cellXfs count="19">
    <xf numFmtId="0" fontId="0" fillId="0" borderId="0" xfId="0"/>
    <xf numFmtId="0" fontId="1" fillId="2" borderId="0" xfId="0" applyFont="1" applyFill="1"/>
    <xf numFmtId="164" fontId="1" fillId="2" borderId="0" xfId="0" applyNumberFormat="1" applyFont="1" applyFill="1"/>
    <xf numFmtId="0" fontId="2" fillId="2" borderId="0" xfId="0" applyFont="1" applyFill="1"/>
    <xf numFmtId="164" fontId="2" fillId="2" borderId="0" xfId="0" applyNumberFormat="1" applyFont="1" applyFill="1"/>
    <xf numFmtId="0" fontId="1" fillId="0" borderId="0" xfId="0" applyFont="1"/>
    <xf numFmtId="164" fontId="1" fillId="0" borderId="0" xfId="0" applyNumberFormat="1" applyFont="1"/>
    <xf numFmtId="0" fontId="3" fillId="0" borderId="0" xfId="0" applyFont="1"/>
    <xf numFmtId="0" fontId="1" fillId="3" borderId="0" xfId="0" applyFont="1" applyFill="1"/>
    <xf numFmtId="164" fontId="1" fillId="3" borderId="0" xfId="0" applyNumberFormat="1" applyFont="1" applyFill="1"/>
    <xf numFmtId="165" fontId="1" fillId="0" borderId="0" xfId="0" applyNumberFormat="1" applyFont="1"/>
    <xf numFmtId="166" fontId="1" fillId="0" borderId="0" xfId="0" applyNumberFormat="1" applyFont="1"/>
    <xf numFmtId="49" fontId="1" fillId="0" borderId="0" xfId="0" applyNumberFormat="1" applyFont="1"/>
    <xf numFmtId="167" fontId="1" fillId="0" borderId="0" xfId="0" applyNumberFormat="1" applyFont="1"/>
    <xf numFmtId="4" fontId="1" fillId="0" borderId="0" xfId="0" applyNumberFormat="1" applyFont="1"/>
    <xf numFmtId="168" fontId="1" fillId="0" borderId="0" xfId="0" applyNumberFormat="1" applyFont="1"/>
    <xf numFmtId="169" fontId="1" fillId="0" borderId="0" xfId="0" applyNumberFormat="1" applyFont="1"/>
    <xf numFmtId="170" fontId="1" fillId="0" borderId="0" xfId="0" applyNumberFormat="1" applyFont="1"/>
    <xf numFmtId="3"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gameserver-store-client-area.orbionlimited.com/Home/IntegrationGameLaunch/client-area?moneyType=0&amp;gameName=BonusEpicCrown&amp;platform=desktop&amp;languageCode=eng&amp;currency=EUR" TargetMode="External"/><Relationship Id="rId21" Type="http://schemas.openxmlformats.org/officeDocument/2006/relationships/hyperlink" Target="https://gameserver-store-client-area.orbionlimited.com/Home/IntegrationGameLaunch/client-area?moneyType=0&amp;gameName=SpaceGuardians&amp;platform=desktop&amp;languageCode=eng&amp;currency=EUR" TargetMode="External"/><Relationship Id="rId42" Type="http://schemas.openxmlformats.org/officeDocument/2006/relationships/hyperlink" Target="https://gameserver-store-client-area.orbionlimited.com/Home/IntegrationGameLaunch/client-area?moneyType=0&amp;gameName=GoldenCrown&amp;platform=desktop&amp;languageCode=eng&amp;currency=EUR" TargetMode="External"/><Relationship Id="rId63" Type="http://schemas.openxmlformats.org/officeDocument/2006/relationships/hyperlink" Target="https://gameserver-store-client-area.orbionlimited.com/Home/IntegrationGameLaunch/client-area?moneyType=0&amp;gameName=WinningStars&amp;platform=desktop&amp;languageCode=eng&amp;currency=EUR" TargetMode="External"/><Relationship Id="rId84" Type="http://schemas.openxmlformats.org/officeDocument/2006/relationships/hyperlink" Target="https://gameserver-store-client-area.orbionlimited.com/Home/IntegrationGameLaunch/client-area?moneyType=0&amp;gameName=VeryHot40Dice&amp;platform=desktop&amp;languageCode=eng&amp;currency=EUR" TargetMode="External"/><Relationship Id="rId138" Type="http://schemas.openxmlformats.org/officeDocument/2006/relationships/hyperlink" Target="https://gameserver-store-client-area.orbionlimited.com/Home/IntegrationGameLaunch/client-area?moneyType=0&amp;gameName=VeryHot40Extreme&amp;platform=desktop&amp;languageCode=eng&amp;currency=EUR" TargetMode="External"/><Relationship Id="rId159" Type="http://schemas.openxmlformats.org/officeDocument/2006/relationships/hyperlink" Target="https://gameserver-store-client-area.orbionlimited.com/Home/IntegrationGameLaunch/client-area?moneyType=0&amp;gameName=XSpins&amp;platform=desktop&amp;languageCode=eng&amp;currency=EUR" TargetMode="External"/><Relationship Id="rId170" Type="http://schemas.openxmlformats.org/officeDocument/2006/relationships/hyperlink" Target="https://gameserver-store-client-area.orbionlimited.com/Home/IntegrationGameLaunch/client-area?moneyType=0&amp;gameName=FruitLock7&amp;platform=desktop&amp;languageCode=eng&amp;currency=EUR" TargetMode="External"/><Relationship Id="rId191" Type="http://schemas.openxmlformats.org/officeDocument/2006/relationships/hyperlink" Target="https://gameserver-store-client-area.orbionlimited.com/Home/IntegrationGameLaunch/client-area?moneyType=0&amp;gameName=GoldenDiamonds5Extreme&amp;platform=desktop&amp;languageCode=eng&amp;currency=EUR" TargetMode="External"/><Relationship Id="rId205" Type="http://schemas.openxmlformats.org/officeDocument/2006/relationships/hyperlink" Target="https://gameserver-store-client-area.orbionlimited.com/Home/IntegrationGameLaunch/client-area?moneyType=0&amp;gameName=CloversAndDiamonds10&amp;platform=desktop&amp;languageCode=eng&amp;currency=EUR" TargetMode="External"/><Relationship Id="rId107" Type="http://schemas.openxmlformats.org/officeDocument/2006/relationships/hyperlink" Target="https://gameserver-store-client-area.orbionlimited.com/Home/IntegrationGameLaunch/client-area?moneyType=0&amp;gameName=TurboFire&amp;platform=desktop&amp;languageCode=eng&amp;currency=EUR" TargetMode="External"/><Relationship Id="rId11" Type="http://schemas.openxmlformats.org/officeDocument/2006/relationships/hyperlink" Target="https://gameserver-store-client-area.orbionlimited.com/Home/IntegrationGameLaunch/client-area?moneyType=0&amp;gameName=MegaHot&amp;platform=desktop&amp;languageCode=eng&amp;currency=EUR" TargetMode="External"/><Relationship Id="rId32" Type="http://schemas.openxmlformats.org/officeDocument/2006/relationships/hyperlink" Target="https://gameserver-store-client-area.orbionlimited.com/Home/IntegrationGameLaunch/client-area?moneyType=0&amp;gameName=TwinklingHot5&amp;platform=desktop&amp;languageCode=eng&amp;currency=EUR" TargetMode="External"/><Relationship Id="rId53" Type="http://schemas.openxmlformats.org/officeDocument/2006/relationships/hyperlink" Target="https://gameserver-store-client-area.orbionlimited.com/Home/IntegrationGameLaunch/client-area?moneyType=0&amp;gameName=HeatingIce&amp;platform=desktop&amp;languageCode=eng&amp;currency=EUR" TargetMode="External"/><Relationship Id="rId74" Type="http://schemas.openxmlformats.org/officeDocument/2006/relationships/hyperlink" Target="https://gameserver-store-client-area.orbionlimited.com/Home/IntegrationGameLaunch/client-area?moneyType=0&amp;gameName=BookOfSpells2&amp;platform=desktop&amp;languageCode=eng&amp;currency=EUR" TargetMode="External"/><Relationship Id="rId128" Type="http://schemas.openxmlformats.org/officeDocument/2006/relationships/hyperlink" Target="https://gameserver-store-client-area.orbionlimited.com/Home/IntegrationGameLaunch/client-area?moneyType=0&amp;gameName=WildSunburst&amp;platform=desktop&amp;languageCode=eng&amp;currency=EUR" TargetMode="External"/><Relationship Id="rId149" Type="http://schemas.openxmlformats.org/officeDocument/2006/relationships/hyperlink" Target="https://gameserver-store-client-area.orbionlimited.com/Home/IntegrationGameLaunch/client-area?moneyType=0&amp;gameName=TopHot5&amp;platform=desktop&amp;languageCode=eng&amp;currency=EUR" TargetMode="External"/><Relationship Id="rId5" Type="http://schemas.openxmlformats.org/officeDocument/2006/relationships/hyperlink" Target="https://gameserver-store-client-area.orbionlimited.com/Home/IntegrationGameLaunch/client-area?moneyType=0&amp;gameName=WildWest&amp;platform=desktop&amp;languageCode=eng&amp;currency=EUR" TargetMode="External"/><Relationship Id="rId95" Type="http://schemas.openxmlformats.org/officeDocument/2006/relationships/hyperlink" Target="https://gameserver-store-client-area.orbionlimited.com/Home/IntegrationGameLaunch/client-area?moneyType=0&amp;gameName=Wild27&amp;platform=desktop&amp;languageCode=eng&amp;currency=EUR" TargetMode="External"/><Relationship Id="rId160" Type="http://schemas.openxmlformats.org/officeDocument/2006/relationships/hyperlink" Target="https://gameserver-store-client-area.orbionlimited.com/Home/IntegrationGameLaunch/client-area?moneyType=0&amp;gameName=EpicCrown5Booster&amp;platform=desktop&amp;languageCode=eng&amp;currency=EUR" TargetMode="External"/><Relationship Id="rId181" Type="http://schemas.openxmlformats.org/officeDocument/2006/relationships/hyperlink" Target="https://gameserver-store-client-area.orbionlimited.com/Home/IntegrationGameLaunch/client-area?moneyType=0&amp;gameName=TaxiRush&amp;platform=desktop&amp;languageCode=eng&amp;currency=EUR" TargetMode="External"/><Relationship Id="rId22" Type="http://schemas.openxmlformats.org/officeDocument/2006/relationships/hyperlink" Target="https://gameserver-store-client-area.orbionlimited.com/Home/IntegrationGameLaunch/client-area?moneyType=0&amp;gameName=Starlight&amp;platform=desktop&amp;languageCode=eng&amp;currency=EUR" TargetMode="External"/><Relationship Id="rId43" Type="http://schemas.openxmlformats.org/officeDocument/2006/relationships/hyperlink" Target="https://gameserver-store-client-area.orbionlimited.com/Home/IntegrationGameLaunch/client-area?moneyType=0&amp;gameName=MysteryJokerHot&amp;platform=desktop&amp;languageCode=eng&amp;currency=EUR" TargetMode="External"/><Relationship Id="rId64" Type="http://schemas.openxmlformats.org/officeDocument/2006/relationships/hyperlink" Target="https://gameserver-store-client-area.orbionlimited.com/Home/IntegrationGameLaunch/client-area?moneyType=0&amp;gameName=CrystalHot100&amp;platform=desktop&amp;languageCode=eng&amp;currency=EUR" TargetMode="External"/><Relationship Id="rId118" Type="http://schemas.openxmlformats.org/officeDocument/2006/relationships/hyperlink" Target="https://gameserver-store-client-area.orbionlimited.com/Home/IntegrationGameLaunch/client-area?moneyType=0&amp;gameName=EpicClover100&amp;platform=desktop&amp;languageCode=eng&amp;currency=EUR" TargetMode="External"/><Relationship Id="rId139" Type="http://schemas.openxmlformats.org/officeDocument/2006/relationships/hyperlink" Target="https://gameserver-store-client-area.orbionlimited.com/Home/IntegrationGameLaunch/client-area?moneyType=0&amp;gameName=SpecialFruits&amp;platform=desktop&amp;languageCode=eng&amp;currency=EUR" TargetMode="External"/><Relationship Id="rId85" Type="http://schemas.openxmlformats.org/officeDocument/2006/relationships/hyperlink" Target="https://gameserver-store-client-area.orbionlimited.com/Home/IntegrationGameLaunch/client-area?moneyType=0&amp;gameName=WildLuckyClover&amp;platform=desktop&amp;languageCode=eng&amp;currency=EUR" TargetMode="External"/><Relationship Id="rId150" Type="http://schemas.openxmlformats.org/officeDocument/2006/relationships/hyperlink" Target="https://gameserver-store-client-area.orbionlimited.com/Home/IntegrationGameLaunch/client-area?moneyType=0&amp;gameName=Wild5&amp;platform=desktop&amp;languageCode=eng&amp;currency=EUR" TargetMode="External"/><Relationship Id="rId171" Type="http://schemas.openxmlformats.org/officeDocument/2006/relationships/hyperlink" Target="https://gameserver-store-client-area.orbionlimited.com/Home/IntegrationGameLaunch/client-area?moneyType=0&amp;gameName=GoldenCrownHalloween&amp;platform=desktop&amp;languageCode=eng&amp;currency=EUR" TargetMode="External"/><Relationship Id="rId192" Type="http://schemas.openxmlformats.org/officeDocument/2006/relationships/hyperlink" Target="https://gameserver-store-client-area.orbionlimited.com/Home/IntegrationGameLaunch/client-area?moneyType=0&amp;gameName=GoldenDiamonds10Extreme&amp;platform=desktop&amp;languageCode=eng&amp;currency=EUR" TargetMode="External"/><Relationship Id="rId206" Type="http://schemas.openxmlformats.org/officeDocument/2006/relationships/hyperlink" Target="https://gameserver-store-client-area.orbionlimited.com/Home/IntegrationGameLaunch/client-area?moneyType=0&amp;gameName=CloversAndDiamonds20&amp;platform=desktop&amp;languageCode=eng&amp;currency=EUR" TargetMode="External"/><Relationship Id="rId12" Type="http://schemas.openxmlformats.org/officeDocument/2006/relationships/hyperlink" Target="https://gameserver-store-client-area.orbionlimited.com/Home/IntegrationGameLaunch/client-area?moneyType=0&amp;gameName=TurboHot40&amp;platform=desktop&amp;languageCode=eng&amp;currency=EUR" TargetMode="External"/><Relationship Id="rId33" Type="http://schemas.openxmlformats.org/officeDocument/2006/relationships/hyperlink" Target="https://gameserver-store-client-area.orbionlimited.com/Home/IntegrationGameLaunch/client-area?moneyType=0&amp;gameName=DiceOfSpells&amp;platform=desktop&amp;languageCode=eng&amp;currency=EUR" TargetMode="External"/><Relationship Id="rId108" Type="http://schemas.openxmlformats.org/officeDocument/2006/relationships/hyperlink" Target="https://gameserver-store-client-area.orbionlimited.com/Home/IntegrationGameLaunch/client-area?moneyType=0&amp;gameName=WinningClover5Extreme&amp;platform=desktop&amp;languageCode=eng&amp;currency=EUR" TargetMode="External"/><Relationship Id="rId129" Type="http://schemas.openxmlformats.org/officeDocument/2006/relationships/hyperlink" Target="https://gameserver-store-client-area.orbionlimited.com/Home/IntegrationGameLaunch/client-area?moneyType=0&amp;gameName=ToxicHaze&amp;platform=desktop&amp;languageCode=eng&amp;currency=EUR" TargetMode="External"/><Relationship Id="rId54" Type="http://schemas.openxmlformats.org/officeDocument/2006/relationships/hyperlink" Target="https://gameserver-store-client-area.orbionlimited.com/Home/IntegrationGameLaunch/client-area?moneyType=0&amp;gameName=HeatingIceDeluxe&amp;platform=desktop&amp;languageCode=eng&amp;currency=EUR" TargetMode="External"/><Relationship Id="rId75" Type="http://schemas.openxmlformats.org/officeDocument/2006/relationships/hyperlink" Target="https://gameserver-store-client-area.orbionlimited.com/Home/IntegrationGameLaunch/client-area?moneyType=0&amp;gameName=CrystalHot40Max&amp;platform=desktop&amp;languageCode=eng&amp;currency=EUR" TargetMode="External"/><Relationship Id="rId96" Type="http://schemas.openxmlformats.org/officeDocument/2006/relationships/hyperlink" Target="https://gameserver-store-client-area.orbionlimited.com/Home/IntegrationGameLaunch/client-area?moneyType=0&amp;gameName=WildHot40FreeSpins&amp;platform=desktop&amp;languageCode=eng&amp;currency=EUR" TargetMode="External"/><Relationship Id="rId140" Type="http://schemas.openxmlformats.org/officeDocument/2006/relationships/hyperlink" Target="https://gameserver-store-client-area.orbionlimited.com/Home/IntegrationGameLaunch/client-area?moneyType=0&amp;gameName=TurboStars10&amp;platform=desktop&amp;languageCode=eng&amp;currency=EUR" TargetMode="External"/><Relationship Id="rId161" Type="http://schemas.openxmlformats.org/officeDocument/2006/relationships/hyperlink" Target="https://gameserver-store-client-area.orbionlimited.com/Home/IntegrationGameLaunch/client-area?moneyType=0&amp;gameName=EpicCrown10Booster&amp;platform=desktop&amp;languageCode=eng&amp;currency=EUR" TargetMode="External"/><Relationship Id="rId182" Type="http://schemas.openxmlformats.org/officeDocument/2006/relationships/hyperlink" Target="https://gameserver-store-client-area.orbionlimited.com/Home/IntegrationGameLaunch/client-area?moneyType=0&amp;gameName=WildHot40HoldAndWin&amp;platform=desktop&amp;languageCode=eng&amp;currency=EUR" TargetMode="External"/><Relationship Id="rId6" Type="http://schemas.openxmlformats.org/officeDocument/2006/relationships/hyperlink" Target="https://gameserver-store-client-area.orbionlimited.com/Home/IntegrationGameLaunch/client-area?moneyType=0&amp;gameName=Pyramid&amp;platform=desktop&amp;languageCode=eng&amp;currency=EUR" TargetMode="External"/><Relationship Id="rId23" Type="http://schemas.openxmlformats.org/officeDocument/2006/relationships/hyperlink" Target="https://gameserver-store-client-area.orbionlimited.com/Home/IntegrationGameLaunch/client-area?moneyType=0&amp;gameName=TripleHot&amp;platform=desktop&amp;languageCode=eng&amp;currency=EUR" TargetMode="External"/><Relationship Id="rId119" Type="http://schemas.openxmlformats.org/officeDocument/2006/relationships/hyperlink" Target="https://gameserver-store-client-area.orbionlimited.com/Home/IntegrationGameLaunch/client-area?moneyType=0&amp;gameName=AmazingJoker&amp;platform=desktop&amp;languageCode=eng&amp;currency=EUR" TargetMode="External"/><Relationship Id="rId44" Type="http://schemas.openxmlformats.org/officeDocument/2006/relationships/hyperlink" Target="https://gameserver-store-client-area.orbionlimited.com/Home/IntegrationGameLaunch/client-area?moneyType=0&amp;gameName=CrystalJokerHot&amp;platform=desktop&amp;languageCode=eng&amp;currency=EUR" TargetMode="External"/><Relationship Id="rId65" Type="http://schemas.openxmlformats.org/officeDocument/2006/relationships/hyperlink" Target="https://gameserver-store-client-area.orbionlimited.com/Home/IntegrationGameLaunch/client-area?moneyType=0&amp;gameName=TurboHot80&amp;platform=desktop&amp;languageCode=eng&amp;currency=EUR" TargetMode="External"/><Relationship Id="rId86" Type="http://schemas.openxmlformats.org/officeDocument/2006/relationships/hyperlink" Target="https://gameserver-store-client-area.orbionlimited.com/Home/IntegrationGameLaunch/client-area?moneyType=0&amp;gameName=FruitsAndStars20Deluxe&amp;platform=desktop&amp;languageCode=eng&amp;currency=EUR" TargetMode="External"/><Relationship Id="rId130" Type="http://schemas.openxmlformats.org/officeDocument/2006/relationships/hyperlink" Target="https://gameserver-store-client-area.orbionlimited.com/Home/IntegrationGameLaunch/client-area?moneyType=0&amp;gameName=MegaHot10&amp;platform=desktop&amp;languageCode=eng&amp;currency=EUR" TargetMode="External"/><Relationship Id="rId151" Type="http://schemas.openxmlformats.org/officeDocument/2006/relationships/hyperlink" Target="https://gameserver-store-client-area.orbionlimited.com/Home/IntegrationGameLaunch/client-area?moneyType=0&amp;gameName=BrilliantHeart&amp;platform=desktop&amp;languageCode=eng&amp;currency=EUR" TargetMode="External"/><Relationship Id="rId172" Type="http://schemas.openxmlformats.org/officeDocument/2006/relationships/hyperlink" Target="https://gameserver-store-client-area.orbionlimited.com/Home/IntegrationGameLaunch/client-area?moneyType=0&amp;gameName=Wild27Halloween&amp;platform=desktop&amp;languageCode=eng&amp;currency=EUR" TargetMode="External"/><Relationship Id="rId193" Type="http://schemas.openxmlformats.org/officeDocument/2006/relationships/hyperlink" Target="https://gameserver-store-client-area.orbionlimited.com/Home/IntegrationGameLaunch/client-area?moneyType=0&amp;gameName=GoldenDiamonds20Extreme&amp;platform=desktop&amp;languageCode=eng&amp;currency=EUR" TargetMode="External"/><Relationship Id="rId207" Type="http://schemas.openxmlformats.org/officeDocument/2006/relationships/hyperlink" Target="https://gameserver-store-client-area.orbionlimited.com/Home/IntegrationGameLaunch/client-area?moneyType=0&amp;gameName=RoyalgardenQueen&amp;platform=desktop&amp;languageCode=eng&amp;currency=EUR" TargetMode="External"/><Relationship Id="rId13" Type="http://schemas.openxmlformats.org/officeDocument/2006/relationships/hyperlink" Target="https://gameserver-store-client-area.orbionlimited.com/Home/IntegrationGameLaunch/client-area?moneyType=0&amp;gameName=CrystalsOfMagic&amp;platform=desktop&amp;languageCode=eng&amp;currency=EUR" TargetMode="External"/><Relationship Id="rId109" Type="http://schemas.openxmlformats.org/officeDocument/2006/relationships/hyperlink" Target="https://gameserver-store-client-area.orbionlimited.com/Home/IntegrationGameLaunch/client-area?moneyType=0&amp;gameName=WildHot40Dice&amp;platform=desktop&amp;languageCode=eng&amp;currency=EUR" TargetMode="External"/><Relationship Id="rId34" Type="http://schemas.openxmlformats.org/officeDocument/2006/relationships/hyperlink" Target="https://gameserver-store-client-area.orbionlimited.com/Home/IntegrationGameLaunch/client-area?moneyType=0&amp;gameName=CubesAndStars&amp;platform=desktop&amp;languageCode=eng&amp;currency=EUR" TargetMode="External"/><Relationship Id="rId55" Type="http://schemas.openxmlformats.org/officeDocument/2006/relationships/hyperlink" Target="https://gameserver-store-client-area.orbionlimited.com/Home/IntegrationGameLaunch/client-area?moneyType=0&amp;gameName=FluoDice5&amp;platform=desktop&amp;languageCode=eng&amp;currency=EUR" TargetMode="External"/><Relationship Id="rId76" Type="http://schemas.openxmlformats.org/officeDocument/2006/relationships/hyperlink" Target="https://gameserver-store-client-area.orbionlimited.com/Home/IntegrationGameLaunch/client-area?moneyType=0&amp;gameName=FruityWin20&amp;platform=desktop&amp;languageCode=eng&amp;currency=EUR" TargetMode="External"/><Relationship Id="rId97" Type="http://schemas.openxmlformats.org/officeDocument/2006/relationships/hyperlink" Target="https://gameserver-store-client-area.orbionlimited.com/Home/IntegrationGameLaunch/client-area?moneyType=0&amp;gameName=EpicClover40&amp;platform=desktop&amp;languageCode=eng&amp;currency=EUR" TargetMode="External"/><Relationship Id="rId120" Type="http://schemas.openxmlformats.org/officeDocument/2006/relationships/hyperlink" Target="https://gameserver-store-client-area.orbionlimited.com/Home/IntegrationGameLaunch/client-area?moneyType=0&amp;gameName=TripleFieldsOfLuck&amp;platform=desktop&amp;languageCode=eng&amp;currency=EUR" TargetMode="External"/><Relationship Id="rId141" Type="http://schemas.openxmlformats.org/officeDocument/2006/relationships/hyperlink" Target="https://gameserver-store-client-area.orbionlimited.com/Home/IntegrationGameLaunch/client-area?moneyType=0&amp;gameName=TurboStars40&amp;platform=desktop&amp;languageCode=eng&amp;currency=EUR" TargetMode="External"/><Relationship Id="rId7" Type="http://schemas.openxmlformats.org/officeDocument/2006/relationships/hyperlink" Target="https://gameserver-store-client-area.orbionlimited.com/Home/IntegrationGameLaunch/client-area?moneyType=0&amp;gameName=JollyPoker&amp;platform=desktop&amp;languageCode=eng&amp;currency=EUR" TargetMode="External"/><Relationship Id="rId162" Type="http://schemas.openxmlformats.org/officeDocument/2006/relationships/hyperlink" Target="https://gameserver-store-client-area.orbionlimited.com/Home/IntegrationGameLaunch/client-area?moneyType=0&amp;gameName=WildSunflower&amp;platform=desktop&amp;languageCode=eng&amp;currency=EUR" TargetMode="External"/><Relationship Id="rId183" Type="http://schemas.openxmlformats.org/officeDocument/2006/relationships/hyperlink" Target="https://gameserver-store-client-area.orbionlimited.com/Home/IntegrationGameLaunch/client-area?moneyType=0&amp;gameName=WildHot40BlowBooster&amp;platform=desktop&amp;languageCode=eng&amp;currency=EUR" TargetMode="External"/><Relationship Id="rId24" Type="http://schemas.openxmlformats.org/officeDocument/2006/relationships/hyperlink" Target="https://gameserver-store-client-area.orbionlimited.com/Home/IntegrationGameLaunch/client-area?moneyType=0&amp;gameName=CrystalHot40&amp;platform=desktop&amp;languageCode=eng&amp;currency=EUR" TargetMode="External"/><Relationship Id="rId45" Type="http://schemas.openxmlformats.org/officeDocument/2006/relationships/hyperlink" Target="https://gameserver-store-client-area.orbionlimited.com/Home/IntegrationGameLaunch/client-area?moneyType=0&amp;gameName=FruityJokerHot&amp;platform=desktop&amp;languageCode=eng&amp;currency=EUR" TargetMode="External"/><Relationship Id="rId66" Type="http://schemas.openxmlformats.org/officeDocument/2006/relationships/hyperlink" Target="https://gameserver-store-client-area.orbionlimited.com/Home/IntegrationGameLaunch/client-area?moneyType=0&amp;gameName=SevenClassicHot&amp;platform=desktop&amp;languageCode=eng&amp;currency=EUR" TargetMode="External"/><Relationship Id="rId87" Type="http://schemas.openxmlformats.org/officeDocument/2006/relationships/hyperlink" Target="https://gameserver-store-client-area.orbionlimited.com/Home/IntegrationGameLaunch/client-area?moneyType=0&amp;gameName=VeryHot40Respin&amp;platform=desktop&amp;languageCode=eng&amp;currency=EUR" TargetMode="External"/><Relationship Id="rId110" Type="http://schemas.openxmlformats.org/officeDocument/2006/relationships/hyperlink" Target="https://gameserver-store-client-area.orbionlimited.com/Home/IntegrationGameLaunch/client-area?moneyType=0&amp;gameName=WildHot40BlowDice&amp;platform=desktop&amp;languageCode=eng&amp;currency=EUR" TargetMode="External"/><Relationship Id="rId131" Type="http://schemas.openxmlformats.org/officeDocument/2006/relationships/hyperlink" Target="https://gameserver-store-client-area.orbionlimited.com/Home/IntegrationGameLaunch/client-area?moneyType=0&amp;gameName=WildHeat40&amp;platform=desktop&amp;languageCode=eng&amp;currency=EUR" TargetMode="External"/><Relationship Id="rId61" Type="http://schemas.openxmlformats.org/officeDocument/2006/relationships/hyperlink" Target="https://gameserver-store-client-area.orbionlimited.com/Home/IntegrationGameLaunch/client-area?moneyType=0&amp;gameName=CrystalHot40Free&amp;platform=desktop&amp;languageCode=eng&amp;currency=EUR" TargetMode="External"/><Relationship Id="rId82" Type="http://schemas.openxmlformats.org/officeDocument/2006/relationships/hyperlink" Target="https://gameserver-store-client-area.orbionlimited.com/Home/IntegrationGameLaunch/client-area?moneyType=0&amp;gameName=HeatingFruits&amp;platform=desktop&amp;languageCode=eng&amp;currency=EUR" TargetMode="External"/><Relationship Id="rId152" Type="http://schemas.openxmlformats.org/officeDocument/2006/relationships/hyperlink" Target="https://gameserver-store-client-area.orbionlimited.com/Home/IntegrationGameLaunch/client-area?moneyType=0&amp;gameName=LuckySheriff&amp;platform=desktop&amp;languageCode=eng&amp;currency=EUR" TargetMode="External"/><Relationship Id="rId173" Type="http://schemas.openxmlformats.org/officeDocument/2006/relationships/hyperlink" Target="https://gameserver-store-client-area.orbionlimited.com/Home/IntegrationGameLaunch/client-area?moneyType=0&amp;gameName=WildJokerHotBooster&amp;platform=desktop&amp;languageCode=eng&amp;currency=EUR" TargetMode="External"/><Relationship Id="rId194" Type="http://schemas.openxmlformats.org/officeDocument/2006/relationships/hyperlink" Target="https://gameserver-store-client-area.orbionlimited.com/Home/IntegrationGameLaunch/client-area?moneyType=0&amp;gameName=GoldenDiamonds40Extreme&amp;platform=desktop&amp;languageCode=eng&amp;currency=EUR" TargetMode="External"/><Relationship Id="rId199" Type="http://schemas.openxmlformats.org/officeDocument/2006/relationships/hyperlink" Target="https://gameserver-store-client-area.orbionlimited.com/Home/IntegrationGameLaunch/client-area?moneyType=0&amp;gameName=LockedHearts40&amp;platform=desktop&amp;languageCode=eng&amp;currency=EUR" TargetMode="External"/><Relationship Id="rId203" Type="http://schemas.openxmlformats.org/officeDocument/2006/relationships/hyperlink" Target="https://gameserver-store-client-area.orbionlimited.com/Home/IntegrationGameLaunch/client-area?moneyType=0&amp;gameName=VeryHot40ExtremeBooster&amp;platform=desktop&amp;languageCode=eng&amp;currency=EUR" TargetMode="External"/><Relationship Id="rId208" Type="http://schemas.openxmlformats.org/officeDocument/2006/relationships/hyperlink" Target="https://gameserver-store-client-area.orbionlimited.com/Home/IntegrationGameLaunch/client-area?moneyType=0&amp;gameName=MultihotPot&amp;platform=desktop&amp;languageCode=eng&amp;currency=EUR" TargetMode="External"/><Relationship Id="rId19" Type="http://schemas.openxmlformats.org/officeDocument/2006/relationships/hyperlink" Target="https://gameserver-store-client-area.orbionlimited.com/Home/IntegrationGameLaunch/client-area?moneyType=0&amp;gameName=StarGems&amp;platform=desktop&amp;languageCode=eng&amp;currency=EUR" TargetMode="External"/><Relationship Id="rId14" Type="http://schemas.openxmlformats.org/officeDocument/2006/relationships/hyperlink" Target="https://gameserver-store-client-area.orbionlimited.com/Home/IntegrationGameLaunch/client-area?moneyType=0&amp;gameName=BookOfBruno&amp;platform=desktop&amp;languageCode=eng&amp;currency=EUR" TargetMode="External"/><Relationship Id="rId30" Type="http://schemas.openxmlformats.org/officeDocument/2006/relationships/hyperlink" Target="https://gameserver-store-client-area.orbionlimited.com/Home/IntegrationGameLaunch/client-area?moneyType=0&amp;gameName=AlohaCharm&amp;platform=desktop&amp;languageCode=eng&amp;currency=EUR" TargetMode="External"/><Relationship Id="rId35" Type="http://schemas.openxmlformats.org/officeDocument/2006/relationships/hyperlink" Target="https://gameserver-store-client-area.orbionlimited.com/Home/IntegrationGameLaunch/client-area?moneyType=0&amp;gameName=TwinklingHot40&amp;platform=desktop&amp;languageCode=eng&amp;currency=EUR" TargetMode="External"/><Relationship Id="rId56" Type="http://schemas.openxmlformats.org/officeDocument/2006/relationships/hyperlink" Target="https://gameserver-store-client-area.orbionlimited.com/Home/IntegrationGameLaunch/client-area?moneyType=0&amp;gameName=FluoHot5&amp;platform=desktop&amp;languageCode=eng&amp;currency=EUR" TargetMode="External"/><Relationship Id="rId77" Type="http://schemas.openxmlformats.org/officeDocument/2006/relationships/hyperlink" Target="https://gameserver-store-client-area.orbionlimited.com/Home/IntegrationGameLaunch/client-area?moneyType=0&amp;gameName=FruityHot5&amp;platform=desktop&amp;languageCode=eng&amp;currency=EUR" TargetMode="External"/><Relationship Id="rId100" Type="http://schemas.openxmlformats.org/officeDocument/2006/relationships/hyperlink" Target="https://gameserver-store-client-area.orbionlimited.com/Home/IntegrationGameLaunch/client-area?moneyType=0&amp;gameName=JokerTripleDouble&amp;platform=desktop&amp;languageCode=eng&amp;currency=EUR" TargetMode="External"/><Relationship Id="rId105" Type="http://schemas.openxmlformats.org/officeDocument/2006/relationships/hyperlink" Target="https://gameserver-store-client-area.orbionlimited.com/Home/IntegrationGameLaunch/client-area?moneyType=0&amp;gameName=DeadNight&amp;platform=desktop&amp;languageCode=eng&amp;currency=EUR" TargetMode="External"/><Relationship Id="rId126" Type="http://schemas.openxmlformats.org/officeDocument/2006/relationships/hyperlink" Target="https://gameserver-store-client-area.orbionlimited.com/Home/IntegrationGameLaunch/client-area?moneyType=0&amp;gameName=SummerRush&amp;platform=desktop&amp;languageCode=eng&amp;currency=EUR" TargetMode="External"/><Relationship Id="rId147" Type="http://schemas.openxmlformats.org/officeDocument/2006/relationships/hyperlink" Target="https://gameserver-store-client-area.orbionlimited.com/Home/IntegrationGameLaunch/client-area?moneyType=0&amp;gameName=GoldenCrownMax&amp;platform=desktop&amp;languageCode=eng&amp;currency=EUR" TargetMode="External"/><Relationship Id="rId168" Type="http://schemas.openxmlformats.org/officeDocument/2006/relationships/hyperlink" Target="https://gameserver-store-client-area.orbionlimited.com/Home/IntegrationGameLaunch/client-area?moneyType=0&amp;gameName=CoinSplashExtreme&amp;platform=desktop&amp;languageCode=eng&amp;currency=EUR" TargetMode="External"/><Relationship Id="rId8" Type="http://schemas.openxmlformats.org/officeDocument/2006/relationships/hyperlink" Target="https://gameserver-store-client-area.orbionlimited.com/Home/IntegrationGameLaunch/client-area?moneyType=0&amp;gameName=JuicyHot&amp;platform=desktop&amp;languageCode=eng&amp;currency=EUR" TargetMode="External"/><Relationship Id="rId51" Type="http://schemas.openxmlformats.org/officeDocument/2006/relationships/hyperlink" Target="https://gameserver-store-client-area.orbionlimited.com/Home/IntegrationGameLaunch/client-area?moneyType=0&amp;gameName=VeryHot40&amp;platform=desktop&amp;languageCode=eng&amp;currency=EUR" TargetMode="External"/><Relationship Id="rId72" Type="http://schemas.openxmlformats.org/officeDocument/2006/relationships/hyperlink" Target="https://gameserver-store-client-area.orbionlimited.com/Home/IntegrationGameLaunch/client-area?moneyType=0&amp;gameName=VeryHot20&amp;platform=desktop&amp;languageCode=eng&amp;currency=EUR" TargetMode="External"/><Relationship Id="rId93" Type="http://schemas.openxmlformats.org/officeDocument/2006/relationships/hyperlink" Target="https://gameserver-store-client-area.orbionlimited.com/Home/IntegrationGameLaunch/client-area?moneyType=0&amp;gameName=EpicFire40&amp;platform=desktop&amp;languageCode=eng&amp;currency=EUR" TargetMode="External"/><Relationship Id="rId98" Type="http://schemas.openxmlformats.org/officeDocument/2006/relationships/hyperlink" Target="https://gameserver-store-client-area.orbionlimited.com/Home/IntegrationGameLaunch/client-area?moneyType=0&amp;gameName=WildLuckyClover2&amp;platform=desktop&amp;languageCode=eng&amp;currency=EUR" TargetMode="External"/><Relationship Id="rId121" Type="http://schemas.openxmlformats.org/officeDocument/2006/relationships/hyperlink" Target="https://gameserver-store-client-area.orbionlimited.com/Home/IntegrationGameLaunch/client-area?moneyType=0&amp;gameName=Wild81&amp;platform=desktop&amp;languageCode=eng&amp;currency=EUR" TargetMode="External"/><Relationship Id="rId142" Type="http://schemas.openxmlformats.org/officeDocument/2006/relationships/hyperlink" Target="https://gameserver-store-client-area.orbionlimited.com/Home/IntegrationGameLaunch/client-area?moneyType=0&amp;gameName=TurboStars20&amp;platform=desktop&amp;languageCode=eng&amp;currency=EUR" TargetMode="External"/><Relationship Id="rId163" Type="http://schemas.openxmlformats.org/officeDocument/2006/relationships/hyperlink" Target="https://gameserver-store-client-area.orbionlimited.com/Home/IntegrationGameLaunch/client-area?moneyType=0&amp;gameName=GoldenCrownMaxBooster&amp;platform=desktop&amp;languageCode=eng&amp;currency=EUR" TargetMode="External"/><Relationship Id="rId184" Type="http://schemas.openxmlformats.org/officeDocument/2006/relationships/hyperlink" Target="https://gameserver-store-client-area.orbionlimited.com/Home/IntegrationGameLaunch/client-area?moneyType=0&amp;gameName=StarHeat40&amp;platform=desktop&amp;languageCode=eng&amp;currency=EUR" TargetMode="External"/><Relationship Id="rId189" Type="http://schemas.openxmlformats.org/officeDocument/2006/relationships/hyperlink" Target="https://gameserver-store-client-area.orbionlimited.com/Home/IntegrationGameLaunch/client-area?moneyType=0&amp;gameName=BonusEpicCrownDice&amp;platform=desktop&amp;languageCode=eng&amp;currency=EUR" TargetMode="External"/><Relationship Id="rId3" Type="http://schemas.openxmlformats.org/officeDocument/2006/relationships/hyperlink" Target="https://gameserver-store-client-area.orbionlimited.com/Home/IntegrationGameLaunch/client-area?moneyType=0&amp;gameName=Wizard&amp;platform=desktop&amp;languageCode=eng&amp;currency=EUR" TargetMode="External"/><Relationship Id="rId25" Type="http://schemas.openxmlformats.org/officeDocument/2006/relationships/hyperlink" Target="https://gameserver-store-client-area.orbionlimited.com/Home/IntegrationGameLaunch/client-area?moneyType=0&amp;gameName=TurboDice40&amp;platform=desktop&amp;languageCode=eng&amp;currency=EUR" TargetMode="External"/><Relationship Id="rId46" Type="http://schemas.openxmlformats.org/officeDocument/2006/relationships/hyperlink" Target="https://gameserver-store-client-area.orbionlimited.com/Home/IntegrationGameLaunch/client-area?moneyType=0&amp;gameName=WildKingdom&amp;platform=desktop&amp;languageCode=eng&amp;currency=EUR" TargetMode="External"/><Relationship Id="rId67" Type="http://schemas.openxmlformats.org/officeDocument/2006/relationships/hyperlink" Target="https://gameserver-store-client-area.orbionlimited.com/Home/IntegrationGameLaunch/client-area?moneyType=0&amp;gameName=TurboHot100&amp;platform=desktop&amp;languageCode=eng&amp;currency=EUR" TargetMode="External"/><Relationship Id="rId116" Type="http://schemas.openxmlformats.org/officeDocument/2006/relationships/hyperlink" Target="https://gameserver-store-client-area.orbionlimited.com/Home/IntegrationGameLaunch/client-area?moneyType=0&amp;gameName=ChilliRespin&amp;platform=desktop&amp;languageCode=eng&amp;currency=EUR" TargetMode="External"/><Relationship Id="rId137" Type="http://schemas.openxmlformats.org/officeDocument/2006/relationships/hyperlink" Target="https://gameserver-store-client-area.orbionlimited.com/Home/IntegrationGameLaunch/client-area?moneyType=0&amp;gameName=CrownOfSecret&amp;platform=desktop&amp;languageCode=eng&amp;currency=EUR" TargetMode="External"/><Relationship Id="rId158" Type="http://schemas.openxmlformats.org/officeDocument/2006/relationships/hyperlink" Target="https://gameserver-store-client-area.orbionlimited.com/Home/IntegrationGameLaunch/client-area?moneyType=0&amp;gameName=WildStickyClover&amp;platform=desktop&amp;languageCode=eng&amp;currency=EUR" TargetMode="External"/><Relationship Id="rId20" Type="http://schemas.openxmlformats.org/officeDocument/2006/relationships/hyperlink" Target="https://gameserver-store-client-area.orbionlimited.com/Home/IntegrationGameLaunch/client-area?moneyType=0&amp;gameName=TemplarsQuest&amp;platform=desktop&amp;languageCode=eng&amp;currency=EUR" TargetMode="External"/><Relationship Id="rId41" Type="http://schemas.openxmlformats.org/officeDocument/2006/relationships/hyperlink" Target="https://gameserver-store-client-area.orbionlimited.com/Home/IntegrationGameLaunch/client-area?moneyType=0&amp;gameName=DolphinsShine&amp;platform=desktop&amp;languageCode=eng&amp;currency=EUR" TargetMode="External"/><Relationship Id="rId62" Type="http://schemas.openxmlformats.org/officeDocument/2006/relationships/hyperlink" Target="https://gameserver-store-client-area.orbionlimited.com/Home/IntegrationGameLaunch/client-area?moneyType=0&amp;gameName=ElGrandeToro&amp;platform=desktop&amp;languageCode=eng&amp;currency=EUR" TargetMode="External"/><Relationship Id="rId83" Type="http://schemas.openxmlformats.org/officeDocument/2006/relationships/hyperlink" Target="https://gameserver-store-client-area.orbionlimited.com/Home/IntegrationGameLaunch/client-area?moneyType=0&amp;gameName=PowerOfTheGreat&amp;platform=desktop&amp;languageCode=eng&amp;currency=EUR" TargetMode="External"/><Relationship Id="rId88" Type="http://schemas.openxmlformats.org/officeDocument/2006/relationships/hyperlink" Target="https://gameserver-store-client-area.orbionlimited.com/Home/IntegrationGameLaunch/client-area?moneyType=0&amp;gameName=AfricanTreasure&amp;platform=desktop&amp;languageCode=eng&amp;currency=EUR" TargetMode="External"/><Relationship Id="rId111" Type="http://schemas.openxmlformats.org/officeDocument/2006/relationships/hyperlink" Target="https://gameserver-store-client-area.orbionlimited.com/Home/IntegrationGameLaunch/client-area?moneyType=0&amp;gameName=FashionNight&amp;platform=desktop&amp;languageCode=eng&amp;currency=EUR" TargetMode="External"/><Relationship Id="rId132" Type="http://schemas.openxmlformats.org/officeDocument/2006/relationships/hyperlink" Target="https://gameserver-store-client-area.orbionlimited.com/Home/IntegrationGameLaunch/client-area?moneyType=0&amp;gameName=BlowFruits40&amp;platform=desktop&amp;languageCode=eng&amp;currency=EUR" TargetMode="External"/><Relationship Id="rId153" Type="http://schemas.openxmlformats.org/officeDocument/2006/relationships/hyperlink" Target="https://gameserver-store-client-area.orbionlimited.com/Home/IntegrationGameLaunch/client-area?moneyType=0&amp;gameName=CoinSplash&amp;platform=desktop&amp;languageCode=eng&amp;currency=EUR" TargetMode="External"/><Relationship Id="rId174" Type="http://schemas.openxmlformats.org/officeDocument/2006/relationships/hyperlink" Target="https://gameserver-store-client-area.orbionlimited.com/Home/IntegrationGameLaunch/client-area?moneyType=0&amp;gameName=Money5Booster&amp;platform=desktop&amp;languageCode=eng&amp;currency=EUR" TargetMode="External"/><Relationship Id="rId179" Type="http://schemas.openxmlformats.org/officeDocument/2006/relationships/hyperlink" Target="https://gameserver-store-client-area.orbionlimited.com/Home/IntegrationGameLaunch/client-area?moneyType=0&amp;gameName=GigaHot40FreeSpins&amp;platform=desktop&amp;languageCode=eng&amp;currency=EUR" TargetMode="External"/><Relationship Id="rId195" Type="http://schemas.openxmlformats.org/officeDocument/2006/relationships/hyperlink" Target="https://gameserver-store-client-area.orbionlimited.com/Home/IntegrationGameLaunch/client-area?moneyType=0&amp;gameName=VeryHot5ExtremeBooster&amp;platform=desktop&amp;languageCode=eng&amp;currency=EUR" TargetMode="External"/><Relationship Id="rId209" Type="http://schemas.openxmlformats.org/officeDocument/2006/relationships/hyperlink" Target="https://gameserver-store-client-area.orbionlimited.com/Home/IntegrationGameLaunch/client-area?moneyType=0&amp;gameName=BonusEpicWildExtralines&amp;platform=desktop&amp;languageCode=eng&amp;currency=EUR" TargetMode="External"/><Relationship Id="rId190" Type="http://schemas.openxmlformats.org/officeDocument/2006/relationships/hyperlink" Target="https://gameserver-store-client-area.orbionlimited.com/Home/IntegrationGameLaunch/client-area?moneyType=0&amp;gameName=GoldenCrownHoldAndWin&amp;platform=desktop&amp;languageCode=eng&amp;currency=EUR" TargetMode="External"/><Relationship Id="rId204" Type="http://schemas.openxmlformats.org/officeDocument/2006/relationships/hyperlink" Target="https://gameserver-store-client-area.orbionlimited.com/Home/IntegrationGameLaunch/client-area?moneyType=0&amp;gameName=FortuneOfWuKong&amp;platform=desktop&amp;languageCode=eng&amp;currency=EUR" TargetMode="External"/><Relationship Id="rId15" Type="http://schemas.openxmlformats.org/officeDocument/2006/relationships/hyperlink" Target="https://gameserver-store-client-area.orbionlimited.com/Home/IntegrationGameLaunch/client-area?moneyType=0&amp;gameName=TropicalHot&amp;platform=desktop&amp;languageCode=eng&amp;currency=EUR" TargetMode="External"/><Relationship Id="rId36" Type="http://schemas.openxmlformats.org/officeDocument/2006/relationships/hyperlink" Target="https://gameserver-store-client-area.orbionlimited.com/Home/IntegrationGameLaunch/client-area?moneyType=0&amp;gameName=BookOfSpellsDeluxe&amp;platform=desktop&amp;languageCode=eng&amp;currency=EUR" TargetMode="External"/><Relationship Id="rId57" Type="http://schemas.openxmlformats.org/officeDocument/2006/relationships/hyperlink" Target="https://gameserver-store-client-area.orbionlimited.com/Home/IntegrationGameLaunch/client-area?moneyType=0&amp;gameName=HeatingDice&amp;platform=desktop&amp;languageCode=eng&amp;currency=EUR" TargetMode="External"/><Relationship Id="rId106" Type="http://schemas.openxmlformats.org/officeDocument/2006/relationships/hyperlink" Target="https://gameserver-store-client-area.orbionlimited.com/Home/IntegrationGameLaunch/client-area?moneyType=0&amp;gameName=WinningClover5&amp;platform=desktop&amp;languageCode=eng&amp;currency=EUR" TargetMode="External"/><Relationship Id="rId127" Type="http://schemas.openxmlformats.org/officeDocument/2006/relationships/hyperlink" Target="https://gameserver-store-client-area.orbionlimited.com/Home/IntegrationGameLaunch/client-area?moneyType=0&amp;gameName=FootballVictory&amp;platform=desktop&amp;languageCode=eng&amp;currency=EUR" TargetMode="External"/><Relationship Id="rId10" Type="http://schemas.openxmlformats.org/officeDocument/2006/relationships/hyperlink" Target="https://gameserver-store-client-area.orbionlimited.com/Home/IntegrationGameLaunch/client-area?moneyType=0&amp;gameName=BookOfSpells&amp;platform=desktop&amp;languageCode=eng&amp;currency=EUR" TargetMode="External"/><Relationship Id="rId31" Type="http://schemas.openxmlformats.org/officeDocument/2006/relationships/hyperlink" Target="https://gameserver-store-client-area.orbionlimited.com/Home/IntegrationGameLaunch/client-area?moneyType=0&amp;gameName=FruitsAndStars40&amp;platform=desktop&amp;languageCode=eng&amp;currency=EUR" TargetMode="External"/><Relationship Id="rId52" Type="http://schemas.openxmlformats.org/officeDocument/2006/relationships/hyperlink" Target="https://gameserver-store-client-area.orbionlimited.com/Home/IntegrationGameLaunch/client-area?moneyType=0&amp;gameName=JewelsBeat&amp;platform=desktop&amp;languageCode=eng&amp;currency=EUR" TargetMode="External"/><Relationship Id="rId73" Type="http://schemas.openxmlformats.org/officeDocument/2006/relationships/hyperlink" Target="https://gameserver-store-client-area.orbionlimited.com/Home/IntegrationGameLaunch/client-area?moneyType=0&amp;gameName=KingOfThunder&amp;platform=desktop&amp;languageCode=eng&amp;currency=EUR" TargetMode="External"/><Relationship Id="rId78" Type="http://schemas.openxmlformats.org/officeDocument/2006/relationships/hyperlink" Target="https://gameserver-store-client-area.orbionlimited.com/Home/IntegrationGameLaunch/client-area?moneyType=0&amp;gameName=GigaHot40&amp;platform=desktop&amp;languageCode=eng&amp;currency=EUR" TargetMode="External"/><Relationship Id="rId94" Type="http://schemas.openxmlformats.org/officeDocument/2006/relationships/hyperlink" Target="https://gameserver-store-client-area.orbionlimited.com/Home/IntegrationGameLaunch/client-area?moneyType=0&amp;gameName=GoldenCrown40&amp;platform=desktop&amp;languageCode=eng&amp;currency=EUR" TargetMode="External"/><Relationship Id="rId99" Type="http://schemas.openxmlformats.org/officeDocument/2006/relationships/hyperlink" Target="https://gameserver-store-client-area.orbionlimited.com/Home/IntegrationGameLaunch/client-area?moneyType=0&amp;gameName=EpicCrown10&amp;platform=desktop&amp;languageCode=eng&amp;currency=EUR" TargetMode="External"/><Relationship Id="rId101" Type="http://schemas.openxmlformats.org/officeDocument/2006/relationships/hyperlink" Target="https://gameserver-store-client-area.orbionlimited.com/Home/IntegrationGameLaunch/client-area?moneyType=0&amp;gameName=KettysFashionWorld&amp;platform=desktop&amp;languageCode=eng&amp;currency=EUR" TargetMode="External"/><Relationship Id="rId122" Type="http://schemas.openxmlformats.org/officeDocument/2006/relationships/hyperlink" Target="https://gameserver-store-client-area.orbionlimited.com/Home/IntegrationGameLaunch/client-area?moneyType=0&amp;gameName=MysticJungle&amp;platform=desktop&amp;languageCode=eng&amp;currency=EUR" TargetMode="External"/><Relationship Id="rId143" Type="http://schemas.openxmlformats.org/officeDocument/2006/relationships/hyperlink" Target="https://gameserver-store-client-area.orbionlimited.com/Home/IntegrationGameLaunch/client-area?moneyType=0&amp;gameName=EpicDice100&amp;platform=desktop&amp;languageCode=eng&amp;currency=EUR" TargetMode="External"/><Relationship Id="rId148" Type="http://schemas.openxmlformats.org/officeDocument/2006/relationships/hyperlink" Target="https://gameserver-store-client-area.orbionlimited.com/Home/IntegrationGameLaunch/client-area?moneyType=0&amp;gameName=CrownsAndStars&amp;platform=desktop&amp;languageCode=eng&amp;currency=EUR" TargetMode="External"/><Relationship Id="rId164" Type="http://schemas.openxmlformats.org/officeDocument/2006/relationships/hyperlink" Target="https://gameserver-store-client-area.orbionlimited.com/Home/IntegrationGameLaunch/client-area?moneyType=0&amp;gameName=VeryHot40Booster&amp;platform=desktop&amp;languageCode=eng&amp;currency=EUR" TargetMode="External"/><Relationship Id="rId169" Type="http://schemas.openxmlformats.org/officeDocument/2006/relationships/hyperlink" Target="https://gameserver-store-client-area.orbionlimited.com/Home/IntegrationGameLaunch/client-area?moneyType=0&amp;gameName=HotClock&amp;platform=desktop&amp;languageCode=eng&amp;currency=EUR" TargetMode="External"/><Relationship Id="rId185" Type="http://schemas.openxmlformats.org/officeDocument/2006/relationships/hyperlink" Target="https://gameserver-store-client-area.orbionlimited.com/Home/IntegrationGameLaunch/client-area?moneyType=0&amp;gameName=Retro27&amp;platform=desktop&amp;languageCode=eng&amp;currency=EUR" TargetMode="External"/><Relationship Id="rId4" Type="http://schemas.openxmlformats.org/officeDocument/2006/relationships/hyperlink" Target="https://gameserver-store-client-area.orbionlimited.com/Home/IntegrationGameLaunch/client-area?moneyType=0&amp;gameName=FruitsAndStars&amp;platform=desktop&amp;languageCode=eng&amp;currency=EUR" TargetMode="External"/><Relationship Id="rId9" Type="http://schemas.openxmlformats.org/officeDocument/2006/relationships/hyperlink" Target="https://gameserver-store-client-area.orbionlimited.com/Home/IntegrationGameLaunch/client-area?moneyType=0&amp;gameName=HotStars&amp;platform=desktop&amp;languageCode=eng&amp;currency=EUR" TargetMode="External"/><Relationship Id="rId180" Type="http://schemas.openxmlformats.org/officeDocument/2006/relationships/hyperlink" Target="https://gameserver-store-client-area.orbionlimited.com/Home/IntegrationGameLaunch/client-area?moneyType=0&amp;gameName=VeryHot5ChristmasBooster&amp;platform=desktop&amp;languageCode=eng&amp;currency=EUR" TargetMode="External"/><Relationship Id="rId26" Type="http://schemas.openxmlformats.org/officeDocument/2006/relationships/hyperlink" Target="https://gameserver-store-client-area.orbionlimited.com/Home/IntegrationGameLaunch/client-area?moneyType=0&amp;gameName=TripleDice&amp;platform=desktop&amp;languageCode=eng&amp;currency=EUR" TargetMode="External"/><Relationship Id="rId47" Type="http://schemas.openxmlformats.org/officeDocument/2006/relationships/hyperlink" Target="https://gameserver-store-client-area.orbionlimited.com/Home/IntegrationGameLaunch/client-area?moneyType=0&amp;gameName=BookOfLuxorDouble&amp;platform=desktop&amp;languageCode=eng&amp;currency=EUR" TargetMode="External"/><Relationship Id="rId68" Type="http://schemas.openxmlformats.org/officeDocument/2006/relationships/hyperlink" Target="https://gameserver-store-client-area.orbionlimited.com/Home/IntegrationGameLaunch/client-area?moneyType=0&amp;gameName=BonusBells&amp;platform=desktop&amp;languageCode=eng&amp;currency=EUR" TargetMode="External"/><Relationship Id="rId89" Type="http://schemas.openxmlformats.org/officeDocument/2006/relationships/hyperlink" Target="https://gameserver-store-client-area.orbionlimited.com/Home/IntegrationGameLaunch/client-area?moneyType=0&amp;gameName=WildHot40Blow&amp;platform=desktop&amp;languageCode=eng&amp;currency=EUR" TargetMode="External"/><Relationship Id="rId112" Type="http://schemas.openxmlformats.org/officeDocument/2006/relationships/hyperlink" Target="https://gameserver-store-client-area.orbionlimited.com/Home/IntegrationGameLaunch/client-area?moneyType=0&amp;gameName=MayansBattle&amp;platform=desktop&amp;languageCode=eng&amp;currency=EUR" TargetMode="External"/><Relationship Id="rId133" Type="http://schemas.openxmlformats.org/officeDocument/2006/relationships/hyperlink" Target="https://gameserver-store-client-area.orbionlimited.com/Home/IntegrationGameLaunch/client-area?moneyType=0&amp;gameName=AgeOfRome&amp;platform=desktop&amp;languageCode=eng&amp;currency=EUR" TargetMode="External"/><Relationship Id="rId154" Type="http://schemas.openxmlformats.org/officeDocument/2006/relationships/hyperlink" Target="https://gameserver-store-client-area.orbionlimited.com/Home/IntegrationGameLaunch/client-area?moneyType=0&amp;gameName=GoldenCrownBooster&amp;platform=desktop&amp;languageCode=eng&amp;currency=EUR" TargetMode="External"/><Relationship Id="rId175" Type="http://schemas.openxmlformats.org/officeDocument/2006/relationships/hyperlink" Target="https://gameserver-store-client-area.orbionlimited.com/Home/IntegrationGameLaunch/client-area?moneyType=0&amp;gameName=GoldenCrownChristmasBooster&amp;platform=desktop&amp;languageCode=eng&amp;currency=EUR" TargetMode="External"/><Relationship Id="rId196" Type="http://schemas.openxmlformats.org/officeDocument/2006/relationships/hyperlink" Target="https://gameserver-store-client-area.orbionlimited.com/Home/IntegrationGameLaunch/client-area?moneyType=0&amp;gameName=LockedHearts10&amp;platform=desktop&amp;languageCode=eng&amp;currency=EUR" TargetMode="External"/><Relationship Id="rId200" Type="http://schemas.openxmlformats.org/officeDocument/2006/relationships/hyperlink" Target="https://gameserver-store-client-area.orbionlimited.com/Home/IntegrationGameLaunch/client-area?moneyType=0&amp;gameName=WinningClover5HoldAndWin&amp;platform=desktop&amp;languageCode=eng&amp;currency=EUR" TargetMode="External"/><Relationship Id="rId16" Type="http://schemas.openxmlformats.org/officeDocument/2006/relationships/hyperlink" Target="https://gameserver-store-client-area.orbionlimited.com/Home/IntegrationGameLaunch/client-area?moneyType=0&amp;gameName=Monsters&amp;platform=desktop&amp;languageCode=eng&amp;currency=EUR" TargetMode="External"/><Relationship Id="rId37" Type="http://schemas.openxmlformats.org/officeDocument/2006/relationships/hyperlink" Target="https://gameserver-store-client-area.orbionlimited.com/Home/IntegrationGameLaunch/client-area?moneyType=0&amp;gameName=JazzyFruits&amp;platform=desktop&amp;languageCode=eng&amp;currency=EUR" TargetMode="External"/><Relationship Id="rId58" Type="http://schemas.openxmlformats.org/officeDocument/2006/relationships/hyperlink" Target="https://gameserver-store-client-area.orbionlimited.com/Home/IntegrationGameLaunch/client-area?moneyType=0&amp;gameName=CrystalJewels&amp;platform=desktop&amp;languageCode=eng&amp;currency=EUR" TargetMode="External"/><Relationship Id="rId79" Type="http://schemas.openxmlformats.org/officeDocument/2006/relationships/hyperlink" Target="https://gameserver-store-client-area.orbionlimited.com/Home/IntegrationGameLaunch/client-area?moneyType=0&amp;gameName=FruityFace&amp;platform=desktop&amp;languageCode=eng&amp;currency=EUR" TargetMode="External"/><Relationship Id="rId102" Type="http://schemas.openxmlformats.org/officeDocument/2006/relationships/hyperlink" Target="https://gameserver-store-client-area.orbionlimited.com/Home/IntegrationGameLaunch/client-area?moneyType=0&amp;gameName=RetroFire&amp;platform=desktop&amp;languageCode=eng&amp;currency=EUR" TargetMode="External"/><Relationship Id="rId123" Type="http://schemas.openxmlformats.org/officeDocument/2006/relationships/hyperlink" Target="https://gameserver-store-client-area.orbionlimited.com/Home/IntegrationGameLaunch/client-area?moneyType=0&amp;gameName=WildLuckyDice&amp;platform=desktop&amp;languageCode=eng&amp;currency=EUR" TargetMode="External"/><Relationship Id="rId144" Type="http://schemas.openxmlformats.org/officeDocument/2006/relationships/hyperlink" Target="https://gameserver-store-client-area.orbionlimited.com/Home/IntegrationGameLaunch/client-area?moneyType=0&amp;gameName=MegaHot20&amp;platform=desktop&amp;languageCode=eng&amp;currency=EUR" TargetMode="External"/><Relationship Id="rId90" Type="http://schemas.openxmlformats.org/officeDocument/2006/relationships/hyperlink" Target="https://gameserver-store-client-area.orbionlimited.com/Home/IntegrationGameLaunch/client-area?moneyType=0&amp;gameName=GoldenExplosion&amp;platform=desktop&amp;languageCode=eng&amp;currency=EUR" TargetMode="External"/><Relationship Id="rId165" Type="http://schemas.openxmlformats.org/officeDocument/2006/relationships/hyperlink" Target="https://gameserver-store-client-area.orbionlimited.com/Home/IntegrationGameLaunch/client-area?moneyType=0&amp;gameName=GoldenCrown40Booster&amp;platform=desktop&amp;languageCode=eng&amp;currency=EUR" TargetMode="External"/><Relationship Id="rId186" Type="http://schemas.openxmlformats.org/officeDocument/2006/relationships/hyperlink" Target="https://gameserver-store-client-area.orbionlimited.com/Home/IntegrationGameLaunch/client-area?moneyType=0&amp;gameName=Wild27Dice&amp;platform=desktop&amp;languageCode=eng&amp;currency=EUR" TargetMode="External"/><Relationship Id="rId27" Type="http://schemas.openxmlformats.org/officeDocument/2006/relationships/hyperlink" Target="https://gameserver-store-client-area.orbionlimited.com/Home/IntegrationGameLaunch/client-area?moneyType=0&amp;gameName=KatanasOfTime&amp;platform=desktop&amp;languageCode=eng&amp;currency=EUR" TargetMode="External"/><Relationship Id="rId48" Type="http://schemas.openxmlformats.org/officeDocument/2006/relationships/hyperlink" Target="https://gameserver-store-client-area.orbionlimited.com/Home/IntegrationGameLaunch/client-area?moneyType=0&amp;gameName=MegaCubesDeluxe&amp;platform=desktop&amp;languageCode=eng&amp;currency=EUR" TargetMode="External"/><Relationship Id="rId69" Type="http://schemas.openxmlformats.org/officeDocument/2006/relationships/hyperlink" Target="https://gameserver-store-client-area.orbionlimited.com/Home/IntegrationGameLaunch/client-area?moneyType=0&amp;gameName=FruityHot&amp;platform=desktop&amp;languageCode=eng&amp;currency=EUR" TargetMode="External"/><Relationship Id="rId113" Type="http://schemas.openxmlformats.org/officeDocument/2006/relationships/hyperlink" Target="https://gameserver-store-client-area.orbionlimited.com/Home/IntegrationGameLaunch/client-area?moneyType=0&amp;gameName=WildCraps&amp;platform=desktop&amp;languageCode=eng&amp;currency=EUR" TargetMode="External"/><Relationship Id="rId134" Type="http://schemas.openxmlformats.org/officeDocument/2006/relationships/hyperlink" Target="https://gameserver-store-client-area.orbionlimited.com/Home/IntegrationGameLaunch/client-area?moneyType=0&amp;gameName=FruityForce40&amp;platform=desktop&amp;languageCode=eng&amp;currency=EUR" TargetMode="External"/><Relationship Id="rId80" Type="http://schemas.openxmlformats.org/officeDocument/2006/relationships/hyperlink" Target="https://gameserver-store-client-area.orbionlimited.com/Home/IntegrationGameLaunch/client-area?moneyType=0&amp;gameName=ClassicLuckySpin&amp;platform=desktop&amp;languageCode=eng&amp;currency=EUR" TargetMode="External"/><Relationship Id="rId155" Type="http://schemas.openxmlformats.org/officeDocument/2006/relationships/hyperlink" Target="https://gameserver-store-client-area.orbionlimited.com/Home/IntegrationGameLaunch/client-area?moneyType=0&amp;gameName=VeryHot5Booster&amp;platform=desktop&amp;languageCode=eng&amp;currency=EUR" TargetMode="External"/><Relationship Id="rId176" Type="http://schemas.openxmlformats.org/officeDocument/2006/relationships/hyperlink" Target="https://gameserver-store-client-area.orbionlimited.com/Home/IntegrationGameLaunch/client-area?moneyType=0&amp;gameName=BellasWorld&amp;platform=desktop&amp;languageCode=eng&amp;currency=EUR" TargetMode="External"/><Relationship Id="rId197" Type="http://schemas.openxmlformats.org/officeDocument/2006/relationships/hyperlink" Target="https://gameserver-store-client-area.orbionlimited.com/Home/IntegrationGameLaunch/client-area?moneyType=0&amp;gameName=LockedHearts5&amp;platform=desktop&amp;languageCode=eng&amp;currency=EUR" TargetMode="External"/><Relationship Id="rId201" Type="http://schemas.openxmlformats.org/officeDocument/2006/relationships/hyperlink" Target="https://gameserver-store-client-area.orbionlimited.com/Home/IntegrationGameLaunch/client-area?moneyType=0&amp;gameName=CloversAndDiamonds5&amp;platform=desktop&amp;languageCode=eng&amp;currency=EUR" TargetMode="External"/><Relationship Id="rId17" Type="http://schemas.openxmlformats.org/officeDocument/2006/relationships/hyperlink" Target="https://gameserver-store-client-area.orbionlimited.com/Home/IntegrationGameLaunch/client-area?moneyType=0&amp;gameName=ForestFruits&amp;platform=desktop&amp;languageCode=eng&amp;currency=EUR" TargetMode="External"/><Relationship Id="rId38" Type="http://schemas.openxmlformats.org/officeDocument/2006/relationships/hyperlink" Target="https://gameserver-store-client-area.orbionlimited.com/Home/IntegrationGameLaunch/client-area?moneyType=0&amp;gameName=CrystalHot80&amp;platform=desktop&amp;languageCode=eng&amp;currency=EUR" TargetMode="External"/><Relationship Id="rId59" Type="http://schemas.openxmlformats.org/officeDocument/2006/relationships/hyperlink" Target="https://gameserver-store-client-area.orbionlimited.com/Home/IntegrationGameLaunch/client-area?moneyType=0&amp;gameName=TwinklingHot80&amp;platform=desktop&amp;languageCode=eng&amp;currency=EUR" TargetMode="External"/><Relationship Id="rId103" Type="http://schemas.openxmlformats.org/officeDocument/2006/relationships/hyperlink" Target="https://gameserver-store-client-area.orbionlimited.com/Home/IntegrationGameLaunch/client-area?moneyType=0&amp;gameName=Money5&amp;platform=desktop&amp;languageCode=eng&amp;currency=EUR" TargetMode="External"/><Relationship Id="rId124" Type="http://schemas.openxmlformats.org/officeDocument/2006/relationships/hyperlink" Target="https://gameserver-store-client-area.orbionlimited.com/Home/IntegrationGameLaunch/client-area?moneyType=0&amp;gameName=EggspandingRush&amp;platform=desktop&amp;languageCode=eng&amp;currency=EUR" TargetMode="External"/><Relationship Id="rId70" Type="http://schemas.openxmlformats.org/officeDocument/2006/relationships/hyperlink" Target="https://gameserver-store-client-area.orbionlimited.com/Home/IntegrationGameLaunch/client-area?moneyType=0&amp;gameName=EyeOfTut&amp;platform=desktop&amp;languageCode=eng&amp;currency=EUR" TargetMode="External"/><Relationship Id="rId91" Type="http://schemas.openxmlformats.org/officeDocument/2006/relationships/hyperlink" Target="https://gameserver-store-client-area.orbionlimited.com/Home/IntegrationGameLaunch/client-area?moneyType=0&amp;gameName=VeryHot5Extreme&amp;platform=desktop&amp;languageCode=eng&amp;currency=EUR" TargetMode="External"/><Relationship Id="rId145" Type="http://schemas.openxmlformats.org/officeDocument/2006/relationships/hyperlink" Target="https://gameserver-store-client-area.orbionlimited.com/Home/IntegrationGameLaunch/client-area?moneyType=0&amp;gameName=CloversAndStars&amp;platform=desktop&amp;languageCode=eng&amp;currency=EUR" TargetMode="External"/><Relationship Id="rId166" Type="http://schemas.openxmlformats.org/officeDocument/2006/relationships/hyperlink" Target="https://gameserver-store-client-area.orbionlimited.com/Home/IntegrationGameLaunch/client-area?moneyType=0&amp;gameName=BrilliantHeartBooster&amp;platform=desktop&amp;languageCode=eng&amp;currency=EUR" TargetMode="External"/><Relationship Id="rId187" Type="http://schemas.openxmlformats.org/officeDocument/2006/relationships/hyperlink" Target="https://gameserver-store-client-area.orbionlimited.com/Home/IntegrationGameLaunch/client-area?moneyType=0&amp;gameName=CoinSplashDice&amp;platform=desktop&amp;languageCode=eng&amp;currency=EUR" TargetMode="External"/><Relationship Id="rId1" Type="http://schemas.openxmlformats.org/officeDocument/2006/relationships/hyperlink" Target="https://gameserver-store-client-area.orbionlimited.com/Home/IntegrationGameLaunch/client-area?moneyType=0&amp;gameName=Postman&amp;platform=desktop&amp;languageCode=eng&amp;currency=EUR" TargetMode="External"/><Relationship Id="rId28" Type="http://schemas.openxmlformats.org/officeDocument/2006/relationships/hyperlink" Target="https://gameserver-store-client-area.orbionlimited.com/Home/IntegrationGameLaunch/client-area?moneyType=0&amp;gameName=Retro7Hot&amp;platform=desktop&amp;languageCode=eng&amp;currency=EUR" TargetMode="External"/><Relationship Id="rId49" Type="http://schemas.openxmlformats.org/officeDocument/2006/relationships/hyperlink" Target="https://gameserver-store-client-area.orbionlimited.com/Home/IntegrationGameLaunch/client-area?moneyType=0&amp;gameName=LollasWorld&amp;platform=desktop&amp;languageCode=eng&amp;currency=EUR" TargetMode="External"/><Relationship Id="rId114" Type="http://schemas.openxmlformats.org/officeDocument/2006/relationships/hyperlink" Target="https://gameserver-store-client-area.orbionlimited.com/Home/IntegrationGameLaunch/client-area?moneyType=0&amp;gameName=MrFirstCryptonium&amp;platform=desktop&amp;languageCode=eng&amp;currency=EUR" TargetMode="External"/><Relationship Id="rId60" Type="http://schemas.openxmlformats.org/officeDocument/2006/relationships/hyperlink" Target="https://gameserver-store-client-area.orbionlimited.com/Home/IntegrationGameLaunch/client-area?moneyType=0&amp;gameName=LuckyBrilliants&amp;platform=desktop&amp;languageCode=eng&amp;currency=EUR" TargetMode="External"/><Relationship Id="rId81" Type="http://schemas.openxmlformats.org/officeDocument/2006/relationships/hyperlink" Target="https://gameserver-store-client-area.orbionlimited.com/Home/IntegrationGameLaunch/client-area?moneyType=0&amp;gameName=WildJokerHot&amp;platform=desktop&amp;languageCode=eng&amp;currency=EUR" TargetMode="External"/><Relationship Id="rId135" Type="http://schemas.openxmlformats.org/officeDocument/2006/relationships/hyperlink" Target="https://gameserver-store-client-area.orbionlimited.com/Home/IntegrationGameLaunch/client-area?moneyType=0&amp;gameName=BonusCrown&amp;platform=desktop&amp;languageCode=eng&amp;currency=EUR" TargetMode="External"/><Relationship Id="rId156" Type="http://schemas.openxmlformats.org/officeDocument/2006/relationships/hyperlink" Target="https://gameserver-store-client-area.orbionlimited.com/Home/IntegrationGameLaunch/client-area?moneyType=0&amp;gameName=EpicClover40Booster&amp;platform=desktop&amp;languageCode=eng&amp;currency=EUR" TargetMode="External"/><Relationship Id="rId177" Type="http://schemas.openxmlformats.org/officeDocument/2006/relationships/hyperlink" Target="https://gameserver-store-client-area.orbionlimited.com/Home/IntegrationGameLaunch/client-area?moneyType=0&amp;gameName=Wild27Extreme&amp;platform=desktop&amp;languageCode=eng&amp;currency=EUR" TargetMode="External"/><Relationship Id="rId198" Type="http://schemas.openxmlformats.org/officeDocument/2006/relationships/hyperlink" Target="https://gameserver-store-client-area.orbionlimited.com/Home/IntegrationGameLaunch/client-area?moneyType=0&amp;gameName=LockedHearts20&amp;platform=desktop&amp;languageCode=eng&amp;currency=EUR" TargetMode="External"/><Relationship Id="rId202" Type="http://schemas.openxmlformats.org/officeDocument/2006/relationships/hyperlink" Target="https://gameserver-store-client-area.orbionlimited.com/Home/IntegrationGameLaunch/client-area?moneyType=0&amp;gameName=EpicDice100Booster&amp;platform=desktop&amp;languageCode=eng&amp;currency=EUR" TargetMode="External"/><Relationship Id="rId18" Type="http://schemas.openxmlformats.org/officeDocument/2006/relationships/hyperlink" Target="https://gameserver-store-client-area.orbionlimited.com/Home/IntegrationGameLaunch/client-area?moneyType=0&amp;gameName=VikingGold&amp;platform=desktop&amp;languageCode=eng&amp;currency=EUR" TargetMode="External"/><Relationship Id="rId39" Type="http://schemas.openxmlformats.org/officeDocument/2006/relationships/hyperlink" Target="https://gameserver-store-client-area.orbionlimited.com/Home/IntegrationGameLaunch/client-area?moneyType=0&amp;gameName=CrystalHot40Deluxe&amp;platform=desktop&amp;languageCode=eng&amp;currency=EUR" TargetMode="External"/><Relationship Id="rId50" Type="http://schemas.openxmlformats.org/officeDocument/2006/relationships/hyperlink" Target="https://gameserver-store-client-area.orbionlimited.com/Home/IntegrationGameLaunch/client-area?moneyType=0&amp;gameName=VeryHot5&amp;platform=desktop&amp;languageCode=eng&amp;currency=EUR" TargetMode="External"/><Relationship Id="rId104" Type="http://schemas.openxmlformats.org/officeDocument/2006/relationships/hyperlink" Target="https://gameserver-store-client-area.orbionlimited.com/Home/IntegrationGameLaunch/client-area?moneyType=0&amp;gameName=EpicCrown5&amp;platform=desktop&amp;languageCode=eng&amp;currency=EUR" TargetMode="External"/><Relationship Id="rId125" Type="http://schemas.openxmlformats.org/officeDocument/2006/relationships/hyperlink" Target="https://gameserver-store-client-area.orbionlimited.com/Home/IntegrationGameLaunch/client-area?moneyType=0&amp;gameName=VintageFruits40&amp;platform=desktop&amp;languageCode=eng&amp;currency=EUR" TargetMode="External"/><Relationship Id="rId146" Type="http://schemas.openxmlformats.org/officeDocument/2006/relationships/hyperlink" Target="https://gameserver-store-client-area.orbionlimited.com/Home/IntegrationGameLaunch/client-area?moneyType=0&amp;gameName=FortuneParrot&amp;platform=desktop&amp;languageCode=eng&amp;currency=EUR" TargetMode="External"/><Relationship Id="rId167" Type="http://schemas.openxmlformats.org/officeDocument/2006/relationships/hyperlink" Target="https://gameserver-store-client-area.orbionlimited.com/Home/IntegrationGameLaunch/client-area?moneyType=0&amp;gameName=EpicClover100Booster&amp;platform=desktop&amp;languageCode=eng&amp;currency=EUR" TargetMode="External"/><Relationship Id="rId188" Type="http://schemas.openxmlformats.org/officeDocument/2006/relationships/hyperlink" Target="https://gameserver-store-client-area.orbionlimited.com/Home/IntegrationGameLaunch/client-area?moneyType=0&amp;gameName=WildHot40Deluxe&amp;platform=desktop&amp;languageCode=eng&amp;currency=EUR" TargetMode="External"/><Relationship Id="rId71" Type="http://schemas.openxmlformats.org/officeDocument/2006/relationships/hyperlink" Target="https://gameserver-store-client-area.orbionlimited.com/Home/IntegrationGameLaunch/client-area?moneyType=0&amp;gameName=FruityWin40&amp;platform=desktop&amp;languageCode=eng&amp;currency=EUR" TargetMode="External"/><Relationship Id="rId92" Type="http://schemas.openxmlformats.org/officeDocument/2006/relationships/hyperlink" Target="https://gameserver-store-client-area.orbionlimited.com/Home/IntegrationGameLaunch/client-area?moneyType=0&amp;gameName=PixelHot40&amp;platform=desktop&amp;languageCode=eng&amp;currency=EUR" TargetMode="External"/><Relationship Id="rId2" Type="http://schemas.openxmlformats.org/officeDocument/2006/relationships/hyperlink" Target="https://gameserver-store-client-area.orbionlimited.com/Home/IntegrationGameLaunch/client-area?moneyType=0&amp;gameName=DeepJungle&amp;platform=desktop&amp;languageCode=eng&amp;currency=EUR" TargetMode="External"/><Relationship Id="rId29" Type="http://schemas.openxmlformats.org/officeDocument/2006/relationships/hyperlink" Target="https://gameserver-store-client-area.orbionlimited.com/Home/IntegrationGameLaunch/client-area?moneyType=0&amp;gameName=StarRunner&amp;platform=desktop&amp;languageCode=eng&amp;currency=EUR" TargetMode="External"/><Relationship Id="rId40" Type="http://schemas.openxmlformats.org/officeDocument/2006/relationships/hyperlink" Target="https://gameserver-store-client-area.orbionlimited.com/Home/IntegrationGameLaunch/client-area?moneyType=0&amp;gameName=WildHot40&amp;platform=desktop&amp;languageCode=eng&amp;currency=EUR" TargetMode="External"/><Relationship Id="rId115" Type="http://schemas.openxmlformats.org/officeDocument/2006/relationships/hyperlink" Target="https://gameserver-store-client-area.orbionlimited.com/Home/IntegrationGameLaunch/client-area?moneyType=0&amp;gameName=SantasPresents&amp;platform=desktop&amp;languageCode=eng&amp;currency=EUR" TargetMode="External"/><Relationship Id="rId136" Type="http://schemas.openxmlformats.org/officeDocument/2006/relationships/hyperlink" Target="https://gameserver-store-client-area.orbionlimited.com/Home/IntegrationGameLaunch/client-area?moneyType=0&amp;gameName=AquaFlame&amp;platform=desktop&amp;languageCode=eng&amp;currency=EUR" TargetMode="External"/><Relationship Id="rId157" Type="http://schemas.openxmlformats.org/officeDocument/2006/relationships/hyperlink" Target="https://gameserver-store-client-area.orbionlimited.com/Home/IntegrationGameLaunch/client-area?moneyType=0&amp;gameName=GoldenCrownExtreme&amp;platform=desktop&amp;languageCode=eng&amp;currency=EUR" TargetMode="External"/><Relationship Id="rId178" Type="http://schemas.openxmlformats.org/officeDocument/2006/relationships/hyperlink" Target="https://gameserver-store-client-area.orbionlimited.com/Home/IntegrationGameLaunch/client-area?moneyType=0&amp;gameName=MacacoDaFortuna&amp;platform=desktop&amp;languageCode=eng&amp;currency=EUR" TargetMode="External"/></Relationships>
</file>

<file path=xl/worksheets/_rels/sheet11.xml.rels><?xml version="1.0" encoding="UTF-8" standalone="yes"?>
<Relationships xmlns="http://schemas.openxmlformats.org/package/2006/relationships"><Relationship Id="rId1522" Type="http://schemas.openxmlformats.org/officeDocument/2006/relationships/hyperlink" Target="https://drive.google.com/drive/u/1/folders/1u9zSqrdT7upTpz3uiJRAuTNt3RZYGlWX" TargetMode="External"/><Relationship Id="rId21" Type="http://schemas.openxmlformats.org/officeDocument/2006/relationships/hyperlink" Target="https://onlinegamespromo.fazi.rs/Home/IntegrationGameLaunch?moneyType=0&amp;gameName=JOLLYPOKER&amp;platform=desktop&amp;languageCode=eng&amp;currency=EUR" TargetMode="External"/><Relationship Id="rId170" Type="http://schemas.openxmlformats.org/officeDocument/2006/relationships/hyperlink" Target="https://gameserver-store-client-area.orbionlimited.com/Home/IntegrationGameLaunch/client-area?moneyType=0&amp;gameName=JewelsBeat&amp;platform=desktop&amp;languageCode=eng&amp;currency=EUR" TargetMode="External"/><Relationship Id="rId268" Type="http://schemas.openxmlformats.org/officeDocument/2006/relationships/hyperlink" Target="https://docs.google.com/document/d/1yrDTw_s-LHjdBDnRcPJ85sWW6-bjGyoX/edit?usp=drive_link&amp;ouid=107596163405648766688&amp;rtpof=true&amp;sd=true" TargetMode="External"/><Relationship Id="rId475" Type="http://schemas.openxmlformats.org/officeDocument/2006/relationships/hyperlink" Target="https://docs.google.com/document/d/1V6_yXejXQjXpCvxO5wF7JvaRzpKuPNDZ/edit?usp=drive_link&amp;ouid=107596163405648766688&amp;rtpof=true&amp;sd=true" TargetMode="External"/><Relationship Id="rId682" Type="http://schemas.openxmlformats.org/officeDocument/2006/relationships/hyperlink" Target="https://gameserver-store-client-area.orbionlimited.com/Home/IntegrationGameLaunch/client-area?moneyType=0&amp;gameName=UnicornPumpkinHorror&amp;platform=desktop&amp;languageCode=eng&amp;currency=EUR" TargetMode="External"/><Relationship Id="rId128" Type="http://schemas.openxmlformats.org/officeDocument/2006/relationships/hyperlink" Target="https://static.redstone.rs/games/mayan-coins/" TargetMode="External"/><Relationship Id="rId335" Type="http://schemas.openxmlformats.org/officeDocument/2006/relationships/hyperlink" Target="https://onlinegamespromo.fazi.rs/Home/IntegrationGameLaunch?moneyType=0&amp;gameName=UnicornMoneyStandardWild&amp;platform=desktop&amp;languageCode=eng&amp;currency=EUR" TargetMode="External"/><Relationship Id="rId542" Type="http://schemas.openxmlformats.org/officeDocument/2006/relationships/hyperlink" Target="https://static.redstone.rs/games/slot-royale/" TargetMode="External"/><Relationship Id="rId987" Type="http://schemas.openxmlformats.org/officeDocument/2006/relationships/hyperlink" Target="https://drive.google.com/file/d/12E3WH7zMmakKE9xQtqyckajMvhnbC-Hr/view?usp=drive_link" TargetMode="External"/><Relationship Id="rId1172" Type="http://schemas.openxmlformats.org/officeDocument/2006/relationships/hyperlink" Target="https://docs.google.com/document/d/1wsxv80TasNJSVPDmBEYitjsMJWzttW8ePuy1g7fNqbs/edit?usp=sharing" TargetMode="External"/><Relationship Id="rId402" Type="http://schemas.openxmlformats.org/officeDocument/2006/relationships/hyperlink" Target="https://gameserver-store-client-area.orbionlimited.com/Home/IntegrationGameLaunch/client-area?moneyType=0&amp;gameName=UnicornBikiniFruits&amp;platform=desktop&amp;languageCode=eng&amp;currency=EUR" TargetMode="External"/><Relationship Id="rId847" Type="http://schemas.openxmlformats.org/officeDocument/2006/relationships/hyperlink" Target="https://onlinegamespromo.fazi.rs/Home/IntegrationGameLaunch?moneyType=0&amp;gameName=PlayNetCrownSpread40&amp;platform=desktop&amp;languageCode=eng&amp;currency=EUR" TargetMode="External"/><Relationship Id="rId1032" Type="http://schemas.openxmlformats.org/officeDocument/2006/relationships/hyperlink" Target="https://gameserver-store-client-area.orbionlimited.com/Home/IntegrationGameLaunch/client-area?moneyType=0&amp;gameName=UnicornLavaGems&amp;platform=desktop&amp;languageCode=eng&amp;currency=EUR" TargetMode="External"/><Relationship Id="rId1477" Type="http://schemas.openxmlformats.org/officeDocument/2006/relationships/hyperlink" Target="https://dicebyte.sharepoint.com/:w:/g/IQCdF4DCdHzrQIM4kGL3LM3tARwUDDmvdNwA98IbBO-rHXU?e=yR1hzV" TargetMode="External"/><Relationship Id="rId707" Type="http://schemas.openxmlformats.org/officeDocument/2006/relationships/hyperlink" Target="https://onlinegamespromo.fazi.rs/Home/IntegrationGameLaunch?moneyType=0&amp;gameName=UnicornHitLineDice&amp;platform=desktop&amp;languageCode=eng&amp;currency=EUR" TargetMode="External"/><Relationship Id="rId914" Type="http://schemas.openxmlformats.org/officeDocument/2006/relationships/hyperlink" Target="https://gameserver-store-client-area.orbionlimited.com/Home/IntegrationGameLaunch/client-area?moneyType=0&amp;gameName=PlayNetFortuneClover20&amp;platform=desktop&amp;languageCode=eng&amp;currency=EUR" TargetMode="External"/><Relationship Id="rId1337" Type="http://schemas.openxmlformats.org/officeDocument/2006/relationships/hyperlink" Target="https://onlinegamespromo.fazi.rs/Home/IntegrationGameLaunch?moneyType=0&amp;gameName=CloversAndDiamonds20&amp;platform=desktop&amp;languageCode=eng&amp;currency=EUR" TargetMode="External"/><Relationship Id="rId1544" Type="http://schemas.openxmlformats.org/officeDocument/2006/relationships/hyperlink" Target="https://onlinegamespromo.fazi.rs/Home/IntegrationGameLaunch?moneyType=0&amp;gameName=RedstoneWildCrown1000&amp;platform=desktop&amp;languageCode=eng&amp;currency=EUR" TargetMode="External"/><Relationship Id="rId43" Type="http://schemas.openxmlformats.org/officeDocument/2006/relationships/hyperlink" Target="https://onlinegamespromo.fazi.rs/Home/IntegrationGameLaunch?moneyType=0&amp;gameName=FORESTFRUITS&amp;platform=desktop&amp;languageCode=eng&amp;currency=EUR" TargetMode="External"/><Relationship Id="rId1404" Type="http://schemas.openxmlformats.org/officeDocument/2006/relationships/hyperlink" Target="https://drive.google.com/file/d/1S0-fHVRS6bsEy3Ks1h5GDkyMb0QVP33n/view?usp=drive_link" TargetMode="External"/><Relationship Id="rId192" Type="http://schemas.openxmlformats.org/officeDocument/2006/relationships/hyperlink" Target="https://docs.google.com/document/d/1hJ7uzVuMAnWzme7nHV7odsYNjxqkNDWu/edit?usp=drive_link&amp;ouid=107596163405648766688&amp;rtpof=true&amp;sd=true" TargetMode="External"/><Relationship Id="rId497" Type="http://schemas.openxmlformats.org/officeDocument/2006/relationships/hyperlink" Target="https://play.redstone.rs/games/wild-trail/index.html" TargetMode="External"/><Relationship Id="rId357" Type="http://schemas.openxmlformats.org/officeDocument/2006/relationships/hyperlink" Target="https://onlinegamespromo.fazi.rs/Home/IntegrationGameLaunch?moneyType=0&amp;gameName=UnicornCoyoteSevens&amp;platform=desktop&amp;languageCode=eng&amp;currency=EUR" TargetMode="External"/><Relationship Id="rId1194" Type="http://schemas.openxmlformats.org/officeDocument/2006/relationships/hyperlink" Target="https://docs.google.com/document/d/1iB-fYOYIBEHV0AW9G05ZA_tWHmZN4mxl/edit?usp=drive_link&amp;ouid=107596163405648766688&amp;rtpof=true&amp;sd=true" TargetMode="External"/><Relationship Id="rId217" Type="http://schemas.openxmlformats.org/officeDocument/2006/relationships/hyperlink" Target="https://onlinegamespromo.fazi.rs/Home/IntegrationGameLaunch?moneyType=0&amp;gameName=BonusBells&amp;platform=desktop&amp;languageCode=eng&amp;currency=EUR" TargetMode="External"/><Relationship Id="rId564" Type="http://schemas.openxmlformats.org/officeDocument/2006/relationships/hyperlink" Target="https://gameserver-store-client-area.orbionlimited.com/Home/IntegrationGameLaunch/client-area?moneyType=0&amp;gameName=Unicorn5HotStrikeDice&amp;platform=desktop&amp;languageCode=eng&amp;currency=EUR" TargetMode="External"/><Relationship Id="rId771" Type="http://schemas.openxmlformats.org/officeDocument/2006/relationships/hyperlink" Target="https://onlinegamespromo.fazi.rs/Home/IntegrationGameLaunch?moneyType=0&amp;gameName=UnicornDiceMachine&amp;platform=desktop&amp;languageCode=eng&amp;currency=EUR" TargetMode="External"/><Relationship Id="rId869" Type="http://schemas.openxmlformats.org/officeDocument/2006/relationships/hyperlink" Target="https://onlinegamespromo.fazi.rs/Home/IntegrationGameLaunch?moneyType=0&amp;gameName=UnicornSimplySevensGems&amp;platform=desktop&amp;languageCode=eng&amp;currency=EUR" TargetMode="External"/><Relationship Id="rId1499" Type="http://schemas.openxmlformats.org/officeDocument/2006/relationships/hyperlink" Target="https://rgs-double-hot-chili.soko.games/?demo=True&amp;locale=eng" TargetMode="External"/><Relationship Id="rId424" Type="http://schemas.openxmlformats.org/officeDocument/2006/relationships/hyperlink" Target="https://gameserver-store-client-area.orbionlimited.com/Home/IntegrationGameLaunch/client-area?moneyType=0&amp;gameName=EpicCrown5&amp;platform=desktop&amp;languageCode=eng&amp;currency=EUR" TargetMode="External"/><Relationship Id="rId631" Type="http://schemas.openxmlformats.org/officeDocument/2006/relationships/hyperlink" Target="https://onlinegamespromo.fazi.rs/Home/IntegrationGameLaunch?moneyType=0&amp;gameName=TurboStars20&amp;platform=desktop&amp;languageCode=eng&amp;currency=EUR" TargetMode="External"/><Relationship Id="rId729" Type="http://schemas.openxmlformats.org/officeDocument/2006/relationships/hyperlink" Target="https://onlinegamespromo.fazi.rs/Home/IntegrationGameLaunch?moneyType=0&amp;gameName=PlayNetWildFortiesXmas&amp;platform=desktop&amp;languageCode=eng&amp;currency=EUR" TargetMode="External"/><Relationship Id="rId1054" Type="http://schemas.openxmlformats.org/officeDocument/2006/relationships/hyperlink" Target="https://gameserver-store-client-area.orbionlimited.com/Home/IntegrationGameLaunch/client-area?moneyType=0&amp;gameName=HotClock&amp;platform=desktop&amp;languageCode=eng&amp;currency=EUR" TargetMode="External"/><Relationship Id="rId1261" Type="http://schemas.openxmlformats.org/officeDocument/2006/relationships/hyperlink" Target="https://static.redstone.rs/games/5-clover-fire-blast/" TargetMode="External"/><Relationship Id="rId1359" Type="http://schemas.openxmlformats.org/officeDocument/2006/relationships/hyperlink" Target="https://gameserver-store-client-area.orbionlimited.com/Home/IntegrationGameLaunch/client-area?moneyType=0&amp;gameName=UnicornShinyFireballs&amp;platform=desktop&amp;languageCode=eng&amp;currency=EUR" TargetMode="External"/><Relationship Id="rId936" Type="http://schemas.openxmlformats.org/officeDocument/2006/relationships/hyperlink" Target="https://gameserver-store-client-area.orbionlimited.com/Home/IntegrationGameLaunch/client-area?moneyType=0&amp;gameName=PlayNetMajesticCrown5&amp;platform=desktop&amp;languageCode=eng&amp;currency=EUR" TargetMode="External"/><Relationship Id="rId1121" Type="http://schemas.openxmlformats.org/officeDocument/2006/relationships/hyperlink" Target="https://docs.google.com/document/d/175yAHEGjGKnpzip5wEvUxeOsdQLpQ2kU/edit?usp=drive_link&amp;ouid=107596163405648766688&amp;rtpof=true&amp;sd=true" TargetMode="External"/><Relationship Id="rId1219" Type="http://schemas.openxmlformats.org/officeDocument/2006/relationships/hyperlink" Target="https://gameserver-store-client-area.orbionlimited.com/Home/IntegrationGameLaunch/client-area?moneyType=0&amp;gameName=StarHeat40&amp;platform=desktop&amp;languageCode=eng&amp;currency=EUR" TargetMode="External"/><Relationship Id="rId65" Type="http://schemas.openxmlformats.org/officeDocument/2006/relationships/hyperlink" Target="https://onlinegamespromo.fazi.rs/Home/IntegrationGameLaunch?moneyType=0&amp;gameName=RETRO7HOT&amp;platform=desktop&amp;languageCode=eng&amp;currency=EUR" TargetMode="External"/><Relationship Id="rId1426" Type="http://schemas.openxmlformats.org/officeDocument/2006/relationships/hyperlink" Target="https://onlinegamespromo.fazi.rs/Home/IntegrationGameLaunch?moneyType=0&amp;gameName=PlayNetShadowHunt10&amp;platform=desktop&amp;languageCode=eng&amp;currency=EUR" TargetMode="External"/><Relationship Id="rId281" Type="http://schemas.openxmlformats.org/officeDocument/2006/relationships/hyperlink" Target="https://onlinegamespromo.fazi.rs/Home/IntegrationGameLaunch?moneyType=0&amp;gameName=HeatingFruits&amp;platform=desktop&amp;languageCode=eng&amp;currency=EUR" TargetMode="External"/><Relationship Id="rId141" Type="http://schemas.openxmlformats.org/officeDocument/2006/relationships/hyperlink" Target="https://docs.google.com/document/d/1NYlpxxRJH491AIbshvguO-Dek5JfEaq3/edit?usp=drive_link&amp;ouid=107596163405648766688&amp;rtpof=true&amp;sd=true" TargetMode="External"/><Relationship Id="rId379" Type="http://schemas.openxmlformats.org/officeDocument/2006/relationships/hyperlink" Target="https://onlinegamespromo.fazi.rs/Home/IntegrationGameLaunch?moneyType=0&amp;gameName=PiratesFazi&amp;lobbyUrl=https://www.fazi-interactive.com/" TargetMode="External"/><Relationship Id="rId586" Type="http://schemas.openxmlformats.org/officeDocument/2006/relationships/hyperlink" Target="https://gameserver-store-client-area.orbionlimited.com/Home/IntegrationGameLaunch/client-area?moneyType=0&amp;gameName=UnicornDiceWildLines&amp;platform=desktop&amp;languageCode=eng&amp;currency=EUR" TargetMode="External"/><Relationship Id="rId793" Type="http://schemas.openxmlformats.org/officeDocument/2006/relationships/hyperlink" Target="https://drive.google.com/file/d/1y5Y6SBY1LdfTNoAKADaYoL-I5VyQPl2Y/view?usp=drive_link" TargetMode="External"/><Relationship Id="rId7" Type="http://schemas.openxmlformats.org/officeDocument/2006/relationships/hyperlink" Target="https://drive.google.com/drive/folders/1q7qLsDD3MeXJAtJq5qGDM--q3a9mnJVA" TargetMode="External"/><Relationship Id="rId239" Type="http://schemas.openxmlformats.org/officeDocument/2006/relationships/hyperlink" Target="https://onlinegamespromo.fazi.rs/Home/IntegrationGameLaunch?moneyType=0&amp;gameName=VeryHot20&amp;platform=desktop&amp;languageCode=eng&amp;currency=EUR" TargetMode="External"/><Relationship Id="rId446" Type="http://schemas.openxmlformats.org/officeDocument/2006/relationships/hyperlink" Target="https://gameserver-store-client-area.orbionlimited.com/Home/IntegrationGameLaunch/client-area?moneyType=0&amp;gameName=WildHot40BlowDice&amp;platform=desktop&amp;languageCode=eng&amp;currency=EUR" TargetMode="External"/><Relationship Id="rId653" Type="http://schemas.openxmlformats.org/officeDocument/2006/relationships/hyperlink" Target="https://docs.google.com/document/d/1U8Oko8zxhZUB-T_GMeF5oSqREzEyeBXj/edit?usp=drive_link&amp;ouid=107596163405648766688&amp;rtpof=true&amp;sd=true" TargetMode="External"/><Relationship Id="rId1076" Type="http://schemas.openxmlformats.org/officeDocument/2006/relationships/hyperlink" Target="https://gameserver-store-client-area.orbionlimited.com/Home/IntegrationGameLaunch/client-area?moneyType=0&amp;gameName=UnicornFruitIslandDice&amp;platform=desktop&amp;languageCode=eng&amp;currency=EUR" TargetMode="External"/><Relationship Id="rId1283" Type="http://schemas.openxmlformats.org/officeDocument/2006/relationships/hyperlink" Target="https://onlinegamespromo.fazi.rs/Home/IntegrationGameLaunch?moneyType=0&amp;gameName=GoldenDiamonds5Extreme&amp;platform=desktop&amp;languageCode=eng&amp;currency=EUR" TargetMode="External"/><Relationship Id="rId1490" Type="http://schemas.openxmlformats.org/officeDocument/2006/relationships/hyperlink" Target="https://gameserver-store-client-area.orbionlimited.com/Home/IntegrationGameLaunch/client-area?moneyType=0&amp;gameName=UnicornSunOfTheNile&amp;platform=desktop&amp;languageCode=eng&amp;currency=EUR" TargetMode="External"/><Relationship Id="rId306" Type="http://schemas.openxmlformats.org/officeDocument/2006/relationships/hyperlink" Target="https://gameserver-store-client-area.orbionlimited.com/Home/IntegrationGameLaunch/client-area?moneyType=0&amp;gameName=FruitsAndStars20Deluxe&amp;platform=desktop&amp;languageCode=eng&amp;currency=EUR" TargetMode="External"/><Relationship Id="rId860" Type="http://schemas.openxmlformats.org/officeDocument/2006/relationships/hyperlink" Target="https://gameserver-store-client-area.orbionlimited.com/Home/IntegrationGameLaunch/client-area?moneyType=0&amp;gameName=UnicornFastPay&amp;platform=desktop&amp;languageCode=eng&amp;currency=EUR" TargetMode="External"/><Relationship Id="rId958" Type="http://schemas.openxmlformats.org/officeDocument/2006/relationships/hyperlink" Target="https://drive.google.com/file/d/1TcFXfNxWA4OqQvlxID9tuaaRrNrBPlyn/view?usp=drive_link" TargetMode="External"/><Relationship Id="rId1143" Type="http://schemas.openxmlformats.org/officeDocument/2006/relationships/hyperlink" Target="https://gameserver-store-client-area.orbionlimited.com/Home/IntegrationGameLaunch/client-area?moneyType=0&amp;gameName=Money5Booster&amp;platform=desktop&amp;languageCode=eng&amp;currency=EUR" TargetMode="External"/><Relationship Id="rId87" Type="http://schemas.openxmlformats.org/officeDocument/2006/relationships/hyperlink" Target="https://onlinegamespromo.fazi.rs/Home/IntegrationGameLaunch?moneyType=0&amp;gameName=CrystalHot80&amp;platform=desktop&amp;languageCode=eng&amp;currency=EUR" TargetMode="External"/><Relationship Id="rId513" Type="http://schemas.openxmlformats.org/officeDocument/2006/relationships/hyperlink" Target="https://onlinegamespromo.fazi.rs/Home/IntegrationGameLaunch?moneyType=0&amp;gameName=EpicClover100&amp;platform=desktop&amp;languageCode=eng&amp;currency=EUR" TargetMode="External"/><Relationship Id="rId720" Type="http://schemas.openxmlformats.org/officeDocument/2006/relationships/hyperlink" Target="https://static.redstone.rs/games/only-anime/" TargetMode="External"/><Relationship Id="rId818" Type="http://schemas.openxmlformats.org/officeDocument/2006/relationships/hyperlink" Target="https://static.redstone.rs/games/sticky-tiki/" TargetMode="External"/><Relationship Id="rId1350" Type="http://schemas.openxmlformats.org/officeDocument/2006/relationships/hyperlink" Target="https://onlinegamespromo.fazi.rs/Home/IntegrationGameLaunch?moneyType=0&amp;gameName=UnicornThreeReelDice&amp;platform=desktop&amp;languageCode=eng&amp;currency=EUR" TargetMode="External"/><Relationship Id="rId1448" Type="http://schemas.openxmlformats.org/officeDocument/2006/relationships/hyperlink" Target="https://drive.google.com/file/d/1TW2wwLq99f2bqF9Zy4cnGc4aR9pY3kjS/view?usp=drive_link" TargetMode="External"/><Relationship Id="rId1003" Type="http://schemas.openxmlformats.org/officeDocument/2006/relationships/hyperlink" Target="https://drive.google.com/file/d/14aIlIqcZg1Skq3bwzv1xwbhfZKAM3Afg/view?usp=drive_link" TargetMode="External"/><Relationship Id="rId1210" Type="http://schemas.openxmlformats.org/officeDocument/2006/relationships/hyperlink" Target="https://onlinegamespromo.fazi.rs/Home/IntegrationGameLaunch?moneyType=0&amp;gameName=PlayNetDiamondHeart10&amp;platform=desktop&amp;languageCode=eng&amp;currency=EUR" TargetMode="External"/><Relationship Id="rId1308" Type="http://schemas.openxmlformats.org/officeDocument/2006/relationships/hyperlink" Target="https://gameserver-store-client-area.orbionlimited.com/Home/IntegrationGameLaunch/client-area?moneyType=0&amp;gameName=LockedHearts20&amp;platform=desktop&amp;languageCode=eng&amp;currency=EUR" TargetMode="External"/><Relationship Id="rId1515" Type="http://schemas.openxmlformats.org/officeDocument/2006/relationships/hyperlink" Target="https://gameserver-store-client-area.orbionlimited.com/Home/IntegrationGameLaunch/client-area?moneyType=0&amp;gameName=PlayNetRoxyUndercover&amp;platform=desktop&amp;languageCode=eng&amp;currency=EUR" TargetMode="External"/><Relationship Id="rId14" Type="http://schemas.openxmlformats.org/officeDocument/2006/relationships/hyperlink" Target="https://gameserver-store-client-area.orbionlimited.com/Home/IntegrationGameLaunch/client-area?moneyType=0&amp;gameName=Hot777&amp;platform=desktop&amp;languageCode=eng&amp;currency=EUR" TargetMode="External"/><Relationship Id="rId163" Type="http://schemas.openxmlformats.org/officeDocument/2006/relationships/hyperlink" Target="https://static.redstone.rs/games/40-clover-fire/" TargetMode="External"/><Relationship Id="rId370" Type="http://schemas.openxmlformats.org/officeDocument/2006/relationships/hyperlink" Target="https://docs.google.com/document/d/1EX4ZT-c4JC-13yZUX_DJVYP7rGc7gfJq/edit?usp=drive_link&amp;ouid=107596163405648766688&amp;rtpof=true&amp;sd=true" TargetMode="External"/><Relationship Id="rId230" Type="http://schemas.openxmlformats.org/officeDocument/2006/relationships/hyperlink" Target="https://docs.google.com/document/d/1WNid3PmWjnfKjctAJN3sdrKWqZpmswUe/edit?usp=drive_link&amp;ouid=107596163405648766688&amp;rtpof=true&amp;sd=true" TargetMode="External"/><Relationship Id="rId468" Type="http://schemas.openxmlformats.org/officeDocument/2006/relationships/hyperlink" Target="https://gameserver-store-client-area.orbionlimited.com/Home/IntegrationGameLaunch/client-area?moneyType=0&amp;gameName=SantasPresents&amp;platform=desktop&amp;languageCode=eng&amp;currency=EUR" TargetMode="External"/><Relationship Id="rId675" Type="http://schemas.openxmlformats.org/officeDocument/2006/relationships/hyperlink" Target="https://static.redstone.rs/games/volcano-crown/" TargetMode="External"/><Relationship Id="rId882" Type="http://schemas.openxmlformats.org/officeDocument/2006/relationships/hyperlink" Target="https://gameserver-store-client-area.orbionlimited.com/Home/IntegrationGameLaunch/client-area?moneyType=0&amp;gameName=CoinSplash&amp;platform=desktop&amp;languageCode=eng&amp;currency=EUR" TargetMode="External"/><Relationship Id="rId1098" Type="http://schemas.openxmlformats.org/officeDocument/2006/relationships/hyperlink" Target="https://docs.google.com/document/d/1JYKWuP-KVnSWFW5rQ1bh3IyFyT5Gyik5/edit?usp=drive_link&amp;ouid=107596163405648766688&amp;rtpof=true&amp;sd=true" TargetMode="External"/><Relationship Id="rId328" Type="http://schemas.openxmlformats.org/officeDocument/2006/relationships/hyperlink" Target="https://static.redstone.rs/games/5-crown-fire/" TargetMode="External"/><Relationship Id="rId535" Type="http://schemas.openxmlformats.org/officeDocument/2006/relationships/hyperlink" Target="https://onlinegamespromo.fazi.rs/Home/IntegrationGameLaunch?moneyType=0&amp;gameName=Wild81&amp;lobbyUrl=https://www.fazi-interactive.com/" TargetMode="External"/><Relationship Id="rId742" Type="http://schemas.openxmlformats.org/officeDocument/2006/relationships/hyperlink" Target="https://static.redstone.rs/games/funky-fruits/" TargetMode="External"/><Relationship Id="rId1165" Type="http://schemas.openxmlformats.org/officeDocument/2006/relationships/hyperlink" Target="https://drive.google.com/drive/folders/1aYvN7XLSW87H6DxUxwws3PZknweDxVY8?usp=drive_link" TargetMode="External"/><Relationship Id="rId1372" Type="http://schemas.openxmlformats.org/officeDocument/2006/relationships/hyperlink" Target="https://static.redstone.rs/games/fruit-fire/" TargetMode="External"/><Relationship Id="rId602" Type="http://schemas.openxmlformats.org/officeDocument/2006/relationships/hyperlink" Target="https://drive.google.com/file/d/1oV_sbQ1uPYps71br5FN121qUs1JHr-hc/view?usp=drive_link" TargetMode="External"/><Relationship Id="rId1025" Type="http://schemas.openxmlformats.org/officeDocument/2006/relationships/hyperlink" Target="https://onlinegamespromo.fazi.rs/Home/IntegrationGameLaunch?moneyType=0&amp;gameName=UnicornFruitIslandJackpot&amp;platform=desktop&amp;languageCode=eng&amp;currency=EUR" TargetMode="External"/><Relationship Id="rId1232" Type="http://schemas.openxmlformats.org/officeDocument/2006/relationships/hyperlink" Target="https://gameserver-store-client-area.orbionlimited.com/Home/IntegrationGameLaunch/client-area?moneyType=0&amp;gameName=BonusEpicCrownDice&amp;platform=desktop&amp;languageCode=eng&amp;currency=EUR" TargetMode="External"/><Relationship Id="rId907" Type="http://schemas.openxmlformats.org/officeDocument/2006/relationships/hyperlink" Target="https://onlinegamespromo.fazi.rs/Home/IntegrationGameLaunch?moneyType=0&amp;gameName=PlayNetBitSlot&amp;platform=desktop&amp;languageCode=eng&amp;currency=EUR" TargetMode="External"/><Relationship Id="rId1537" Type="http://schemas.openxmlformats.org/officeDocument/2006/relationships/hyperlink" Target="https://gameserver-store-client-area.orbionlimited.com/Home/IntegrationGameLaunch/client-area?moneyType=0&amp;gameName=RedstoneCloverFire1000&amp;platform=desktop&amp;languageCode=eng&amp;currency=EUR" TargetMode="External"/><Relationship Id="rId36" Type="http://schemas.openxmlformats.org/officeDocument/2006/relationships/hyperlink" Target="https://gameserver-store-client-area.orbionlimited.com/Home/IntegrationGameLaunch/client-area?moneyType=0&amp;gameName=Pirates&amp;platform=desktop&amp;languageCode=eng&amp;currency=EUR" TargetMode="External"/><Relationship Id="rId185" Type="http://schemas.openxmlformats.org/officeDocument/2006/relationships/hyperlink" Target="https://static.redstone.rs/games/50-wild-cash/" TargetMode="External"/><Relationship Id="rId392" Type="http://schemas.openxmlformats.org/officeDocument/2006/relationships/hyperlink" Target="https://gameserver-store-client-area.orbionlimited.com/Home/IntegrationGameLaunch/client-area?moneyType=0&amp;gameName=EpicCrown10&amp;platform=desktop&amp;languageCode=eng&amp;currency=EUR" TargetMode="External"/><Relationship Id="rId697" Type="http://schemas.openxmlformats.org/officeDocument/2006/relationships/hyperlink" Target="https://onlinegamespromo.fazi.rs/Home/IntegrationGameLaunch?moneyType=0&amp;gameName=PlayNetDashingHot5&amp;platform=desktop&amp;languageCode=eng&amp;currency=EUR" TargetMode="External"/><Relationship Id="rId252" Type="http://schemas.openxmlformats.org/officeDocument/2006/relationships/hyperlink" Target="https://gameserver-store-client-area.orbionlimited.com/Home/IntegrationGameLaunch/client-area?moneyType=0&amp;gameName=GigaHot40&amp;platform=desktop&amp;languageCode=eng&amp;currency=EUR" TargetMode="External"/><Relationship Id="rId1187" Type="http://schemas.openxmlformats.org/officeDocument/2006/relationships/hyperlink" Target="https://christmas-sugar-luck.soko.games/" TargetMode="External"/><Relationship Id="rId112" Type="http://schemas.openxmlformats.org/officeDocument/2006/relationships/hyperlink" Target="https://gameserver-store-client-area.orbionlimited.com/Home/IntegrationGameLaunch/client-area?moneyType=0&amp;gameName=MysteryJokerHot&amp;platform=desktop&amp;languageCode=eng&amp;currency=EUR" TargetMode="External"/><Relationship Id="rId557" Type="http://schemas.openxmlformats.org/officeDocument/2006/relationships/hyperlink" Target="https://docs.google.com/document/d/1jtuk8s7n3DxZm8QVJKAl2DJTlsG7cf8H/edit?usp=drive_link&amp;ouid=107596163405648766688&amp;rtpof=true&amp;sd=true" TargetMode="External"/><Relationship Id="rId764" Type="http://schemas.openxmlformats.org/officeDocument/2006/relationships/hyperlink" Target="https://gameserver-store-client-area.orbionlimited.com/Home/IntegrationGameLaunch/client-area?moneyType=0&amp;gameName=PlayNetFortuneClover100&amp;platform=desktop&amp;languageCode=eng&amp;currency=EUR" TargetMode="External"/><Relationship Id="rId971" Type="http://schemas.openxmlformats.org/officeDocument/2006/relationships/hyperlink" Target="https://drive.google.com/file/d/1ChDrkhCI27hZry0ILWOPTx_uPeueAvMZ/view?usp=drive_link" TargetMode="External"/><Relationship Id="rId1394" Type="http://schemas.openxmlformats.org/officeDocument/2006/relationships/hyperlink" Target="https://static.redstone.rs/games/x-wild-crown/" TargetMode="External"/><Relationship Id="rId417" Type="http://schemas.openxmlformats.org/officeDocument/2006/relationships/hyperlink" Target="https://onlinegamespromo.fazi.rs/Home/IntegrationGameLaunch?moneyType=0&amp;gameName=UnicornBikiniDice&amp;platform=desktop&amp;languageCode=eng&amp;currency=EUR" TargetMode="External"/><Relationship Id="rId624" Type="http://schemas.openxmlformats.org/officeDocument/2006/relationships/hyperlink" Target="https://drive.google.com/file/d/1DGkweW3DZ3diqU5wsDwo0vzr6CsSQCzO/view?usp=sharing" TargetMode="External"/><Relationship Id="rId831" Type="http://schemas.openxmlformats.org/officeDocument/2006/relationships/hyperlink" Target="https://docs.google.com/document/d/1MDzFpw1Ba1ZwjHnP3dPjDDT4cZqBv_J_/edit?usp=drive_link&amp;ouid=107596163405648766688&amp;rtpof=true&amp;sd=true" TargetMode="External"/><Relationship Id="rId1047" Type="http://schemas.openxmlformats.org/officeDocument/2006/relationships/hyperlink" Target="https://docs.google.com/document/d/1z_oBmRrusRG8QoBsKB7r1hO9I9nEW2i3/edit?usp=drive_link&amp;ouid=114298052477200652286&amp;rtpof=true&amp;sd=true" TargetMode="External"/><Relationship Id="rId1254" Type="http://schemas.openxmlformats.org/officeDocument/2006/relationships/hyperlink" Target="https://static.redstone.rs/games/5-bell-fire/" TargetMode="External"/><Relationship Id="rId1461" Type="http://schemas.openxmlformats.org/officeDocument/2006/relationships/hyperlink" Target="https://gameserver-store-client-area.orbionlimited.com/Home/IntegrationGameLaunch/client-area?moneyType=0&amp;gameName=Redstone10CrownDeluxe&amp;platform=desktop&amp;languageCode=eng&amp;currency=EUR" TargetMode="External"/><Relationship Id="rId929" Type="http://schemas.openxmlformats.org/officeDocument/2006/relationships/hyperlink" Target="https://static.redstone.rs/games/multi-crown-10/" TargetMode="External"/><Relationship Id="rId1114" Type="http://schemas.openxmlformats.org/officeDocument/2006/relationships/hyperlink" Target="https://drive.google.com/drive/u/1/folders/1xobLzwkTCpqNacZe9peJ5JCe2x1v25FW" TargetMode="External"/><Relationship Id="rId1321" Type="http://schemas.openxmlformats.org/officeDocument/2006/relationships/hyperlink" Target="https://gameserver-store-client-area.orbionlimited.com/Home/IntegrationGameLaunch/client-area?moneyType=0&amp;gameName=EpicDice100Booster&amp;platform=desktop&amp;languageCode=eng&amp;currency=EUR" TargetMode="External"/><Relationship Id="rId58" Type="http://schemas.openxmlformats.org/officeDocument/2006/relationships/hyperlink" Target="https://gameserver-store-client-area.orbionlimited.com/Home/IntegrationGameLaunch/client-area?moneyType=0&amp;gameName=CrystalHot40&amp;platform=desktop&amp;languageCode=eng&amp;currency=EUR" TargetMode="External"/><Relationship Id="rId1419" Type="http://schemas.openxmlformats.org/officeDocument/2006/relationships/hyperlink" Target="https://static.redstone.rs/games/crown-deluxe-2x/" TargetMode="External"/><Relationship Id="rId274" Type="http://schemas.openxmlformats.org/officeDocument/2006/relationships/hyperlink" Target="https://gameserver-store-client-area.orbionlimited.com/Home/IntegrationGameLaunch/client-area?moneyType=0&amp;gameName=Unicorn20DiceFlames&amp;platform=desktop&amp;languageCode=eng&amp;currency=EUR" TargetMode="External"/><Relationship Id="rId481" Type="http://schemas.openxmlformats.org/officeDocument/2006/relationships/hyperlink" Target="https://play.redstone.rs/games/jolly-presents/index.html" TargetMode="External"/><Relationship Id="rId134" Type="http://schemas.openxmlformats.org/officeDocument/2006/relationships/hyperlink" Target="https://docs.google.com/document/d/1uWE3sLTOc515kbSKJU7txNkRg8MstcLU/edit?usp=drive_link&amp;ouid=107596163405648766688&amp;rtpof=true&amp;sd=true" TargetMode="External"/><Relationship Id="rId579" Type="http://schemas.openxmlformats.org/officeDocument/2006/relationships/hyperlink" Target="https://onlinegamespromo.fazi.rs/Home/IntegrationGameLaunch?moneyType=0&amp;gameName=WildSunburst&amp;lobbyUrl=https://www.fazi-interactive.com/" TargetMode="External"/><Relationship Id="rId786" Type="http://schemas.openxmlformats.org/officeDocument/2006/relationships/hyperlink" Target="https://drive.google.com/file/d/1UwaXMw5PZnR5qVXiFJJw_mRVc3jTktte/view?usp=drive_link" TargetMode="External"/><Relationship Id="rId993" Type="http://schemas.openxmlformats.org/officeDocument/2006/relationships/hyperlink" Target="https://static.redstone.rs/games/5-clover-fire-6-reels/" TargetMode="External"/><Relationship Id="rId341" Type="http://schemas.openxmlformats.org/officeDocument/2006/relationships/hyperlink" Target="https://onlinegamespromo.fazi.rs/Home/IntegrationGameLaunch?moneyType=0&amp;gameName=Unicorn40HotStrike&amp;platform=desktop&amp;languageCode=eng&amp;currency=EUR" TargetMode="External"/><Relationship Id="rId439" Type="http://schemas.openxmlformats.org/officeDocument/2006/relationships/hyperlink" Target="https://play.redstone.rs/games/clover-blast-5/index.html" TargetMode="External"/><Relationship Id="rId646" Type="http://schemas.openxmlformats.org/officeDocument/2006/relationships/hyperlink" Target="https://gameserver-store-client-area.orbionlimited.com/Home/IntegrationGameLaunch/client-area?moneyType=0&amp;gameName=UnicornBuffaloDice&amp;platform=desktop&amp;languageCode=eng&amp;currency=EUR" TargetMode="External"/><Relationship Id="rId1069" Type="http://schemas.openxmlformats.org/officeDocument/2006/relationships/hyperlink" Target="https://onlinegamespromo.fazi.rs/Home/IntegrationGameLaunch?moneyType=0&amp;gameName=UnicornSuperHighRunner&amp;platform=desktop&amp;languageCode=eng&amp;currency=EUR" TargetMode="External"/><Relationship Id="rId1276" Type="http://schemas.openxmlformats.org/officeDocument/2006/relationships/hyperlink" Target="https://gameserver-store-client-area.orbionlimited.com/Home/IntegrationGameLaunch/client-area?moneyType=0&amp;gameName=UnicornDragonGems&amp;platform=desktop&amp;languageCode=eng&amp;currency=EUR" TargetMode="External"/><Relationship Id="rId1483" Type="http://schemas.openxmlformats.org/officeDocument/2006/relationships/hyperlink" Target="https://onlinegamespromo.fazi.rs/Home/IntegrationGameLaunch?moneyType=0&amp;gameName=UnicornFruitPlayDice&amp;platform=desktop&amp;languageCode=eng&amp;currency=EUR" TargetMode="External"/><Relationship Id="rId201" Type="http://schemas.openxmlformats.org/officeDocument/2006/relationships/hyperlink" Target="https://onlinegamespromo.fazi.rs/Home/IntegrationGameLaunch?moneyType=0&amp;gameName=CrystalHot40Free&amp;platform=desktop&amp;languageCode=eng&amp;currency=EUR" TargetMode="External"/><Relationship Id="rId506" Type="http://schemas.openxmlformats.org/officeDocument/2006/relationships/hyperlink" Target="https://static.redstone.rs/games/moon-dog/" TargetMode="External"/><Relationship Id="rId853" Type="http://schemas.openxmlformats.org/officeDocument/2006/relationships/hyperlink" Target="https://onlinegamespromo.fazi.rs/Home/IntegrationGameLaunch?moneyType=0&amp;gameName=UnicornSupremeSevens&amp;platform=desktop&amp;languageCode=eng&amp;currency=EUR" TargetMode="External"/><Relationship Id="rId1136" Type="http://schemas.openxmlformats.org/officeDocument/2006/relationships/hyperlink" Target="https://docs.google.com/document/d/16mVOqNDHj0YfOy86pbA6dbbJw00ix8XV/edit?usp=drive_link&amp;ouid=107596163405648766688&amp;rtpof=true&amp;sd=true" TargetMode="External"/><Relationship Id="rId713" Type="http://schemas.openxmlformats.org/officeDocument/2006/relationships/hyperlink" Target="https://static.redstone.rs/games/81-double-magic/" TargetMode="External"/><Relationship Id="rId920" Type="http://schemas.openxmlformats.org/officeDocument/2006/relationships/hyperlink" Target="https://drive.google.com/drive/folders/1v8TLyjtbLiw7CDi6_PxsR9MjBAwfoDTs" TargetMode="External"/><Relationship Id="rId1343" Type="http://schemas.openxmlformats.org/officeDocument/2006/relationships/hyperlink" Target="https://docs.google.com/document/d/1V2AsHCrmfW7_UwtgR_YnT2bqsuhjmNHC/edit" TargetMode="External"/><Relationship Id="rId1203" Type="http://schemas.openxmlformats.org/officeDocument/2006/relationships/hyperlink" Target="https://docs.google.com/document/d/1xf3OyPgMTEXRmzWDnN_TPxxIpINZ1-hf/edit?usp=drive_link&amp;ouid=107596163405648766688&amp;rtpof=true&amp;sd=true" TargetMode="External"/><Relationship Id="rId1410" Type="http://schemas.openxmlformats.org/officeDocument/2006/relationships/hyperlink" Target="https://static.redstone.rs/games/x-wild-heart/" TargetMode="External"/><Relationship Id="rId1508" Type="http://schemas.openxmlformats.org/officeDocument/2006/relationships/hyperlink" Target="https://drive.google.com/drive/u/1/folders/1ynyT9fcb2h_07JXG8_TQpj3twv80L7TQ" TargetMode="External"/><Relationship Id="rId296" Type="http://schemas.openxmlformats.org/officeDocument/2006/relationships/hyperlink" Target="https://gameserver-store-client-area.orbionlimited.com/Home/IntegrationGameLaunch/client-area?moneyType=0&amp;gameName=Unicorn40DiceFlames&amp;platform=desktop&amp;languageCode=eng&amp;currency=EUR" TargetMode="External"/><Relationship Id="rId156" Type="http://schemas.openxmlformats.org/officeDocument/2006/relationships/hyperlink" Target="https://gameserver-store-client-area.orbionlimited.com/Home/IntegrationGameLaunch/client-area?moneyType=0&amp;gameName=BookOfLuxorDouble&amp;platform=desktop&amp;languageCode=eng&amp;currency=EUR" TargetMode="External"/><Relationship Id="rId363" Type="http://schemas.openxmlformats.org/officeDocument/2006/relationships/hyperlink" Target="https://onlinegamespromo.fazi.rs/Home/IntegrationGameLaunch?moneyType=0&amp;gameName=UnicornCoyoteDice&amp;platform=desktop&amp;languageCode=eng&amp;currency=EUR" TargetMode="External"/><Relationship Id="rId570" Type="http://schemas.openxmlformats.org/officeDocument/2006/relationships/hyperlink" Target="https://docs.google.com/document/d/1MmyOm1Zuhp3punU29AoQc9ItHlFyFed_/edit?usp=drive_link&amp;ouid=107596163405648766688&amp;rtpof=true&amp;sd=true" TargetMode="External"/><Relationship Id="rId223" Type="http://schemas.openxmlformats.org/officeDocument/2006/relationships/hyperlink" Target="https://static.redstone.rs/games/action-hot-40/" TargetMode="External"/><Relationship Id="rId430" Type="http://schemas.openxmlformats.org/officeDocument/2006/relationships/hyperlink" Target="https://gameserver-store-client-area.orbionlimited.com/Home/IntegrationGameLaunch/client-area?moneyType=0&amp;gameName=WinningClover5&amp;platform=desktop&amp;languageCode=eng&amp;currency=EUR" TargetMode="External"/><Relationship Id="rId668" Type="http://schemas.openxmlformats.org/officeDocument/2006/relationships/hyperlink" Target="https://gameserver-store-client-area.orbionlimited.com/Home/IntegrationGameLaunch/client-area?moneyType=0&amp;gameName=PlayNetDiamondHeart5&amp;platform=desktop&amp;languageCode=eng&amp;currency=EUR" TargetMode="External"/><Relationship Id="rId875" Type="http://schemas.openxmlformats.org/officeDocument/2006/relationships/hyperlink" Target="https://onlinegamespromo.fazi.rs/Home/IntegrationGameLaunch?moneyType=0&amp;gameName=UnicornThreeReelSevens&amp;platform=desktop&amp;languageCode=eng&amp;currency=EUR" TargetMode="External"/><Relationship Id="rId1060" Type="http://schemas.openxmlformats.org/officeDocument/2006/relationships/hyperlink" Target="https://docs.google.com/document/d/1s_5ZB5oz6OlIkYiPyUg17u852A4cHd_l/edit?usp=drive_link&amp;ouid=107596163405648766688&amp;rtpof=true&amp;sd=true" TargetMode="External"/><Relationship Id="rId1298" Type="http://schemas.openxmlformats.org/officeDocument/2006/relationships/hyperlink" Target="https://drive.google.com/file/d/1KJayTqepJFhYyOf6YZSno32J8lstTtX1/view?usp=sharing" TargetMode="External"/><Relationship Id="rId528" Type="http://schemas.openxmlformats.org/officeDocument/2006/relationships/hyperlink" Target="https://docs.google.com/document/d/1vsKjcSFcAQ0muEWNhXX0HDyQi4ZCD2FP/edit?usp=drive_link&amp;ouid=107596163405648766688&amp;rtpof=true&amp;sd=true" TargetMode="External"/><Relationship Id="rId735" Type="http://schemas.openxmlformats.org/officeDocument/2006/relationships/hyperlink" Target="https://drive.google.com/file/d/1JLmg9yqgKR9pWUI2pPankCp5JO38HPMl/view?usp=drive_link" TargetMode="External"/><Relationship Id="rId942" Type="http://schemas.openxmlformats.org/officeDocument/2006/relationships/hyperlink" Target="https://gameserver-store-client-area.orbionlimited.com/Home/IntegrationGameLaunch/client-area?moneyType=0&amp;gameName=PlayNetGoldenGetsby&amp;platform=desktop&amp;languageCode=eng&amp;currency=EUR" TargetMode="External"/><Relationship Id="rId1158" Type="http://schemas.openxmlformats.org/officeDocument/2006/relationships/hyperlink" Target="https://gameserver-store-dev-01.fazi.rs/Home/IntegrationGameLaunch/fazi-stg16?moneyType=0&amp;gameName=VeryHot5ChristmasBooster&amp;platform=desktop&amp;languageCode=eng&amp;currency=EUR" TargetMode="External"/><Relationship Id="rId1365" Type="http://schemas.openxmlformats.org/officeDocument/2006/relationships/hyperlink" Target="https://gameserver-store-client-area.orbionlimited.com/Home/IntegrationGameLaunch/client-area?moneyType=0&amp;gameName=UnicornMysticTreasure&amp;platform=desktop&amp;languageCode=eng&amp;currency=EUR" TargetMode="External"/><Relationship Id="rId1018" Type="http://schemas.openxmlformats.org/officeDocument/2006/relationships/hyperlink" Target="https://gameserver-store-client-area.orbionlimited.com/Home/IntegrationGameLaunch/client-area?moneyType=0&amp;gameName=UnicornDynamiteEscape&amp;platform=desktop&amp;languageCode=eng&amp;currency=EUR" TargetMode="External"/><Relationship Id="rId1225" Type="http://schemas.openxmlformats.org/officeDocument/2006/relationships/hyperlink" Target="https://drive.google.com/drive/folders/1BSYsvknXDCekqp50LbxTSCM23ajx0cxl" TargetMode="External"/><Relationship Id="rId1432" Type="http://schemas.openxmlformats.org/officeDocument/2006/relationships/hyperlink" Target="https://onlinegamespromo.fazi.rs/Home/IntegrationGameLaunch?moneyType=0&amp;gameName=PlayNetDashingHot40&amp;platform=desktop&amp;languageCode=eng&amp;currency=EUR" TargetMode="External"/><Relationship Id="rId71" Type="http://schemas.openxmlformats.org/officeDocument/2006/relationships/hyperlink" Target="https://onlinegamespromo.fazi.rs/Home/IntegrationGameLaunch?moneyType=0&amp;gameName=AlohaCharm&amp;platform=desktop&amp;languageCode=eng&amp;currency=EUR" TargetMode="External"/><Relationship Id="rId802" Type="http://schemas.openxmlformats.org/officeDocument/2006/relationships/hyperlink" Target="https://gameserver-store-client-area.orbionlimited.com/Home/IntegrationGameLaunch/client-area?moneyType=0&amp;gameName=UnicornFruitIslandGems&amp;platform=desktop&amp;languageCode=eng&amp;currency=EUR" TargetMode="External"/><Relationship Id="rId29" Type="http://schemas.openxmlformats.org/officeDocument/2006/relationships/hyperlink" Target="https://onlinegamespromo.fazi.rs/Home/IntegrationGameLaunch?moneyType=0&amp;gameName=MEGAHOT&amp;platform=desktop&amp;languageCode=eng&amp;currency=EUR" TargetMode="External"/><Relationship Id="rId178" Type="http://schemas.openxmlformats.org/officeDocument/2006/relationships/hyperlink" Target="https://gameserver-store-client-area.orbionlimited.com/Home/IntegrationGameLaunch/client-area?moneyType=0&amp;gameName=FluoHot5&amp;platform=desktop&amp;languageCode=eng&amp;currency=EUR" TargetMode="External"/><Relationship Id="rId385" Type="http://schemas.openxmlformats.org/officeDocument/2006/relationships/hyperlink" Target="https://onlinegamespromo.fazi.rs/Home/IntegrationGameLaunch?moneyType=0&amp;gameName=EpicClover40&amp;platform=desktop&amp;languageCode=eng&amp;currency=EUR" TargetMode="External"/><Relationship Id="rId592" Type="http://schemas.openxmlformats.org/officeDocument/2006/relationships/hyperlink" Target="https://gameserver-store-client-area.orbionlimited.com/Home/IntegrationGameLaunch/client-area?moneyType=0&amp;gameName=UnicornStickyHot&amp;platform=desktop&amp;languageCode=eng&amp;currency=EUR" TargetMode="External"/><Relationship Id="rId245" Type="http://schemas.openxmlformats.org/officeDocument/2006/relationships/hyperlink" Target="https://onlinegamespromo.fazi.rs/Home/IntegrationGameLaunch?moneyType=0&amp;gameName=CrystalHot40Max&amp;platform=desktop&amp;languageCode=eng&amp;currency=EUR" TargetMode="External"/><Relationship Id="rId452" Type="http://schemas.openxmlformats.org/officeDocument/2006/relationships/hyperlink" Target="https://gameserver-store-client-area.orbionlimited.com/Home/IntegrationGameLaunch/client-area?moneyType=0&amp;gameName=UnicornFrootMachine&amp;platform=desktop&amp;languageCode=eng&amp;currency=EUR" TargetMode="External"/><Relationship Id="rId897" Type="http://schemas.openxmlformats.org/officeDocument/2006/relationships/hyperlink" Target="https://static.redstone.rs/games/5-star-fire/" TargetMode="External"/><Relationship Id="rId1082" Type="http://schemas.openxmlformats.org/officeDocument/2006/relationships/hyperlink" Target="https://gameserver-store-client-area.orbionlimited.com/Home/IntegrationGameLaunch/client-area?moneyType=0&amp;gameName=UnicornGoldLineGems&amp;platform=desktop&amp;languageCode=eng&amp;currency=EUR" TargetMode="External"/><Relationship Id="rId105" Type="http://schemas.openxmlformats.org/officeDocument/2006/relationships/hyperlink" Target="https://onlinegamespromo.fazi.rs/Home/IntegrationGameLaunch?moneyType=0&amp;gameName=GoldenCrown&amp;platform=desktop&amp;languageCode=eng&amp;currency=EUR" TargetMode="External"/><Relationship Id="rId312" Type="http://schemas.openxmlformats.org/officeDocument/2006/relationships/hyperlink" Target="https://static.redstone.rs/games/book-of-dread/" TargetMode="External"/><Relationship Id="rId757" Type="http://schemas.openxmlformats.org/officeDocument/2006/relationships/hyperlink" Target="https://onlinegamespromo.fazi.rs/Home/IntegrationGameLaunch?moneyType=0&amp;gameName=CrownAndStars&amp;platform=desktop&amp;languageCode=eng&amp;currency=EUR" TargetMode="External"/><Relationship Id="rId964" Type="http://schemas.openxmlformats.org/officeDocument/2006/relationships/hyperlink" Target="https://static.redstone.rs/games/double-wild-crown/" TargetMode="External"/><Relationship Id="rId1387" Type="http://schemas.openxmlformats.org/officeDocument/2006/relationships/hyperlink" Target="https://docs.google.com/document/d/1SxO--5av61GOCZydyJnliOy8uqCPfzd9/edit?usp=drive_link&amp;ouid=107596163405648766688&amp;rtpof=true&amp;sd=true" TargetMode="External"/><Relationship Id="rId93" Type="http://schemas.openxmlformats.org/officeDocument/2006/relationships/hyperlink" Target="https://onlinegamespromo.fazi.rs/Home/IntegrationGameLaunch?moneyType=0&amp;gameName=CrystalHot40Deluxe&amp;platform=desktop&amp;languageCode=eng&amp;currency=EUR" TargetMode="External"/><Relationship Id="rId617" Type="http://schemas.openxmlformats.org/officeDocument/2006/relationships/hyperlink" Target="https://drive.google.com/file/d/1OF2eJheSz_4wQpBcWHtnC8Mk-6SqQj9O/view?usp=drive_link" TargetMode="External"/><Relationship Id="rId824" Type="http://schemas.openxmlformats.org/officeDocument/2006/relationships/hyperlink" Target="https://drive.google.com/drive/folders/1rUqrqNmV28Bdn42G5Tw6B4dajdJakbwM" TargetMode="External"/><Relationship Id="rId1247" Type="http://schemas.openxmlformats.org/officeDocument/2006/relationships/hyperlink" Target="https://docs.google.com/document/d/1FMg9--0MWZeZFnRKqkBGifB1FHm8gU5l/edit?usp=drive_link&amp;ouid=107596163405648766688&amp;rtpof=true&amp;sd=true" TargetMode="External"/><Relationship Id="rId1454" Type="http://schemas.openxmlformats.org/officeDocument/2006/relationships/hyperlink" Target="https://drive.google.com/file/d/1ZFEOse_feOc6LN0IsqPUiwQ_4lTogSPc/view?usp=drive_link" TargetMode="External"/><Relationship Id="rId1107" Type="http://schemas.openxmlformats.org/officeDocument/2006/relationships/hyperlink" Target="https://static.redstone.rs/games/20-wild-heart/" TargetMode="External"/><Relationship Id="rId1314" Type="http://schemas.openxmlformats.org/officeDocument/2006/relationships/hyperlink" Target="https://drive.google.com/file/d/1Tri9k-wrdy2cNSdRo6z5eZtGUuS0qpyk/view?usp=sharing" TargetMode="External"/><Relationship Id="rId1521" Type="http://schemas.openxmlformats.org/officeDocument/2006/relationships/hyperlink" Target="https://gameserver-store-client-area.orbionlimited.com/Home/IntegrationGameLaunch/client-area?moneyType=0&amp;gameName=PlayNetCrownTreasure10&amp;platform=desktop&amp;languageCode=eng&amp;currency=EUR" TargetMode="External"/><Relationship Id="rId20" Type="http://schemas.openxmlformats.org/officeDocument/2006/relationships/hyperlink" Target="https://gameserver-store-client-area.orbionlimited.com/Home/IntegrationGameLaunch/client-area?moneyType=0&amp;gameName=Roulette&amp;platform=desktop&amp;languageCode=eng&amp;currency=EUR" TargetMode="External"/><Relationship Id="rId267" Type="http://schemas.openxmlformats.org/officeDocument/2006/relationships/hyperlink" Target="https://docs.google.com/document/d/1CFAxxeOYIm8nYNAV6SbqnXJxfqQo4KjA/edit?usp=drive_link&amp;ouid=107596163405648766688&amp;rtpof=true&amp;sd=true" TargetMode="External"/><Relationship Id="rId474" Type="http://schemas.openxmlformats.org/officeDocument/2006/relationships/hyperlink" Target="https://play.redstone.rs/games/chilli-hot-5/index.html" TargetMode="External"/><Relationship Id="rId127" Type="http://schemas.openxmlformats.org/officeDocument/2006/relationships/hyperlink" Target="https://static.redstone.rs/games/mayan-coins/" TargetMode="External"/><Relationship Id="rId681" Type="http://schemas.openxmlformats.org/officeDocument/2006/relationships/hyperlink" Target="https://onlinegamespromo.fazi.rs/Home/IntegrationGameLaunch?moneyType=0&amp;gameName=UnicornPumpkinHorror&amp;platform=desktop&amp;languageCode=eng&amp;currency=EUR" TargetMode="External"/><Relationship Id="rId779" Type="http://schemas.openxmlformats.org/officeDocument/2006/relationships/hyperlink" Target="https://onlinegamespromo.fazi.rs/Home/IntegrationGameLaunch?moneyType=0&amp;gameName=UnicornEpicMegaCash&amp;platform=desktop&amp;languageCode=eng&amp;currency=EUR" TargetMode="External"/><Relationship Id="rId986" Type="http://schemas.openxmlformats.org/officeDocument/2006/relationships/hyperlink" Target="https://static.redstone.rs/games/reel-x5-27-ways/" TargetMode="External"/><Relationship Id="rId334" Type="http://schemas.openxmlformats.org/officeDocument/2006/relationships/hyperlink" Target="https://gameserver-store-client-area.orbionlimited.com/Home/IntegrationGameLaunch/client-area?moneyType=0&amp;gameName=UnicornFastFruits&amp;platform=desktop&amp;languageCode=eng&amp;currency=EUR" TargetMode="External"/><Relationship Id="rId541" Type="http://schemas.openxmlformats.org/officeDocument/2006/relationships/hyperlink" Target="https://static.redstone.rs/games/slot-royale/" TargetMode="External"/><Relationship Id="rId639" Type="http://schemas.openxmlformats.org/officeDocument/2006/relationships/hyperlink" Target="https://onlinegamespromo.fazi.rs/Home/IntegrationGameLaunch?moneyType=0&amp;gameName=FortuneParrot&amp;platform=desktop&amp;languageCode=eng&amp;currency=EUR" TargetMode="External"/><Relationship Id="rId1171" Type="http://schemas.openxmlformats.org/officeDocument/2006/relationships/hyperlink" Target="https://bluff-and-bite.soko.games/" TargetMode="External"/><Relationship Id="rId1269" Type="http://schemas.openxmlformats.org/officeDocument/2006/relationships/hyperlink" Target="https://onlinegamespromo.fazi.rs/Home/IntegrationGameLaunch?moneyType=0&amp;gameName=UnicornLuckyGinger&amp;platform=desktop&amp;languageCode=eng&amp;currency=EUR" TargetMode="External"/><Relationship Id="rId1476" Type="http://schemas.openxmlformats.org/officeDocument/2006/relationships/hyperlink" Target="https://dicebyte.sharepoint.com/:w:/g/IQCmalLbiZrmQIgI2LtUxvBeAZOOO2FkUmehqQc_ao6RBk4?e=ldgg7g" TargetMode="External"/><Relationship Id="rId401" Type="http://schemas.openxmlformats.org/officeDocument/2006/relationships/hyperlink" Target="https://onlinegamespromo.fazi.rs/Home/IntegrationGameLaunch?moneyType=0&amp;gameName=UnicornBikiniFruits&amp;platform=desktop&amp;languageCode=eng&amp;currency=EUR" TargetMode="External"/><Relationship Id="rId846" Type="http://schemas.openxmlformats.org/officeDocument/2006/relationships/hyperlink" Target="https://gameserver-store-client-area.orbionlimited.com/Home/IntegrationGameLaunch/client-area?moneyType=0&amp;gameName=PlayNetWildSpread40&amp;platform=desktop&amp;languageCode=eng&amp;currency=EUR" TargetMode="External"/><Relationship Id="rId1031" Type="http://schemas.openxmlformats.org/officeDocument/2006/relationships/hyperlink" Target="https://onlinegamespromo.fazi.rs/Home/IntegrationGameLaunch?moneyType=0&amp;gameName=UnicornLavaGems&amp;platform=desktop&amp;languageCode=eng&amp;currency=EUR" TargetMode="External"/><Relationship Id="rId1129" Type="http://schemas.openxmlformats.org/officeDocument/2006/relationships/hyperlink" Target="https://docs.google.com/document/d/1P0OLybWJSmCwl1aJINFLKqWmFR4_1TKT/edit?usp=drive_link&amp;ouid=107596163405648766688&amp;rtpof=true&amp;sd=true" TargetMode="External"/><Relationship Id="rId706" Type="http://schemas.openxmlformats.org/officeDocument/2006/relationships/hyperlink" Target="https://gameserver-store-client-area.orbionlimited.com/Home/IntegrationGameLaunch/client-area?moneyType=0&amp;gameName=PlayNetWildForties&amp;platform=desktop&amp;languageCode=eng&amp;currency=EUR" TargetMode="External"/><Relationship Id="rId913" Type="http://schemas.openxmlformats.org/officeDocument/2006/relationships/hyperlink" Target="https://onlinegamespromo.fazi.rs/Home/IntegrationGameLaunch?moneyType=0&amp;gameName=PlayNetFortuneClover20&amp;platform=desktop&amp;languageCode=eng&amp;currency=EUR" TargetMode="External"/><Relationship Id="rId1336" Type="http://schemas.openxmlformats.org/officeDocument/2006/relationships/hyperlink" Target="https://gameserver-store-client-area.orbionlimited.com/Home/IntegrationGameLaunch/client-area?moneyType=0&amp;gameName=CloversAndDiamonds10&amp;platform=desktop&amp;languageCode=eng&amp;currency=EUR" TargetMode="External"/><Relationship Id="rId1543" Type="http://schemas.openxmlformats.org/officeDocument/2006/relationships/hyperlink" Target="https://drive.google.com/file/d/1Y8d2xqBTOeIyprsumhn8cASXF85S0wcQ/view?usp=drive_link" TargetMode="External"/><Relationship Id="rId42" Type="http://schemas.openxmlformats.org/officeDocument/2006/relationships/hyperlink" Target="https://gameserver-store-client-area.orbionlimited.com/Home/IntegrationGameLaunch/client-area?moneyType=0&amp;gameName=Monsters&amp;platform=desktop&amp;languageCode=eng&amp;currency=EUR" TargetMode="External"/><Relationship Id="rId1403" Type="http://schemas.openxmlformats.org/officeDocument/2006/relationships/hyperlink" Target="https://static.redstone.rs/games/heart-deluxe-2x/" TargetMode="External"/><Relationship Id="rId191" Type="http://schemas.openxmlformats.org/officeDocument/2006/relationships/hyperlink" Target="https://docs.google.com/document/d/1gUX7LG55yGx6j3tAxRhlcmJiDfTj2tUl/edit?usp=drive_link&amp;ouid=107596163405648766688&amp;rtpof=true&amp;sd=true" TargetMode="External"/><Relationship Id="rId289" Type="http://schemas.openxmlformats.org/officeDocument/2006/relationships/hyperlink" Target="https://static.redstone.rs/games/clover-coin/" TargetMode="External"/><Relationship Id="rId496" Type="http://schemas.openxmlformats.org/officeDocument/2006/relationships/hyperlink" Target="https://docs.google.com/document/d/1_YdJijpySmgTmfVs44Ae7uAJHDSTwF64/edit?usp=drive_link&amp;ouid=107596163405648766688&amp;rtpof=true&amp;sd=true" TargetMode="External"/><Relationship Id="rId149" Type="http://schemas.openxmlformats.org/officeDocument/2006/relationships/hyperlink" Target="https://docs.google.com/document/d/1xvhBFQylMfwPlUAxAQg05J1BzFnLy581/edit?usp=drive_link&amp;ouid=107596163405648766688&amp;rtpof=true&amp;sd=true" TargetMode="External"/><Relationship Id="rId356" Type="http://schemas.openxmlformats.org/officeDocument/2006/relationships/hyperlink" Target="https://static.redstone.rs/games/20-fire-cash/" TargetMode="External"/><Relationship Id="rId563" Type="http://schemas.openxmlformats.org/officeDocument/2006/relationships/hyperlink" Target="https://onlinegamespromo.fazi.rs/Home/IntegrationGameLaunch?moneyType=0&amp;gameName=Unicorn5HotStrikeDice&amp;platform=desktop&amp;languageCode=eng&amp;currency=EUR" TargetMode="External"/><Relationship Id="rId770" Type="http://schemas.openxmlformats.org/officeDocument/2006/relationships/hyperlink" Target="https://gameserver-store-client-area.orbionlimited.com/Home/IntegrationGameLaunch/client-area?moneyType=0&amp;gameName=Unicorn20HotStrikeDiceJackpot&amp;platform=desktop&amp;languageCode=eng&amp;currency=EUR" TargetMode="External"/><Relationship Id="rId1193" Type="http://schemas.openxmlformats.org/officeDocument/2006/relationships/hyperlink" Target="https://gameserver-store-client-area.orbionlimited.com/Home/IntegrationGameLaunch/client-area?moneyType=0&amp;gameName=UnicornTripleStackedDiamondJackpot&amp;platform=desktop&amp;languageCode=eng&amp;currency=EUR" TargetMode="External"/><Relationship Id="rId216" Type="http://schemas.openxmlformats.org/officeDocument/2006/relationships/hyperlink" Target="https://gameserver-store-client-area.orbionlimited.com/Home/IntegrationGameLaunch/client-area?moneyType=0&amp;gameName=TurboHot100&amp;platform=desktop&amp;languageCode=eng&amp;currency=EUR" TargetMode="External"/><Relationship Id="rId423" Type="http://schemas.openxmlformats.org/officeDocument/2006/relationships/hyperlink" Target="https://onlinegamespromo.fazi.rs/Home/IntegrationGameLaunch?moneyType=0&amp;gameName=EpicCrown5&amp;platform=desktop&amp;languageCode=eng&amp;currency=EUR" TargetMode="External"/><Relationship Id="rId868" Type="http://schemas.openxmlformats.org/officeDocument/2006/relationships/hyperlink" Target="https://gameserver-store-client-area.orbionlimited.com/Home/IntegrationGameLaunch/client-area?moneyType=0&amp;gameName=UnicornBigSpinDragons&amp;platform=desktop&amp;languageCode=eng&amp;currency=EUR" TargetMode="External"/><Relationship Id="rId1053" Type="http://schemas.openxmlformats.org/officeDocument/2006/relationships/hyperlink" Target="https://gameserver-store-dev-03.fazi.rs/Home/IntegrationGameLaunch/fazi-stg16-03?moneyType=0&amp;gameName=HotClock&amp;currency=eur&amp;languageCode=eng" TargetMode="External"/><Relationship Id="rId1260" Type="http://schemas.openxmlformats.org/officeDocument/2006/relationships/hyperlink" Target="https://docs.google.com/document/d/1Y3nrs5qSX7m9lwvMLRGFOXAuc7bRaS3m/edit?usp=drive_link&amp;ouid=107596163405648766688&amp;rtpof=true&amp;sd=true" TargetMode="External"/><Relationship Id="rId1498" Type="http://schemas.openxmlformats.org/officeDocument/2006/relationships/hyperlink" Target="https://rgs-double-hot-chili.soko.games/?demo=True&amp;locale=eng" TargetMode="External"/><Relationship Id="rId630" Type="http://schemas.openxmlformats.org/officeDocument/2006/relationships/hyperlink" Target="https://gameserver-store-client-area.orbionlimited.com/Home/IntegrationGameLaunch/client-area?moneyType=0&amp;gameName=TurboStars40&amp;platform=desktop&amp;languageCode=eng&amp;currency=EUR" TargetMode="External"/><Relationship Id="rId728" Type="http://schemas.openxmlformats.org/officeDocument/2006/relationships/hyperlink" Target="https://gameserver-store-client-area.orbionlimited.com/Home/IntegrationGameLaunch/client-area?moneyType=0&amp;gameName=PlayNetMajesticCrown20Xmas&amp;platform=desktop&amp;languageCode=eng&amp;currency=EUR" TargetMode="External"/><Relationship Id="rId935" Type="http://schemas.openxmlformats.org/officeDocument/2006/relationships/hyperlink" Target="https://onlinegamespromo.fazi.rs/Home/IntegrationGameLaunch?moneyType=0&amp;gameName=PlayNetMajesticCrown5&amp;platform=desktop&amp;languageCode=eng&amp;currency=EUR" TargetMode="External"/><Relationship Id="rId1358" Type="http://schemas.openxmlformats.org/officeDocument/2006/relationships/hyperlink" Target="https://onlinegamespromo.fazi.rs/Home/IntegrationGameLaunch?moneyType=0&amp;gameName=UnicornShinyFireballs&amp;platform=desktop&amp;languageCode=eng&amp;currency=EUR" TargetMode="External"/><Relationship Id="rId64" Type="http://schemas.openxmlformats.org/officeDocument/2006/relationships/hyperlink" Target="https://gameserver-store-client-area.orbionlimited.com/Home/IntegrationGameLaunch/client-area?moneyType=0&amp;gameName=KatanasOfTime&amp;platform=desktop&amp;languageCode=eng&amp;currency=EUR" TargetMode="External"/><Relationship Id="rId1120" Type="http://schemas.openxmlformats.org/officeDocument/2006/relationships/hyperlink" Target="https://docs.google.com/document/d/1qmAXqo_q_BkgcnoVk1ggWiCI9AKtUCcO/edit?usp=drive_link&amp;ouid=107596163405648766688&amp;rtpof=true&amp;sd=true" TargetMode="External"/><Relationship Id="rId1218" Type="http://schemas.openxmlformats.org/officeDocument/2006/relationships/hyperlink" Target="https://onlinegamespromo.fazi.rs/Home/IntegrationGameLaunch?moneyType=0&amp;gameName=StarHeat40&amp;platform=desktop&amp;languageCode=eng&amp;currency=EUR" TargetMode="External"/><Relationship Id="rId1425" Type="http://schemas.openxmlformats.org/officeDocument/2006/relationships/hyperlink" Target="https://gameserver-store-client-area.orbionlimited.com/Home/IntegrationGameLaunch/client-area?moneyType=0&amp;gameName=PlayNet27LuckyFruits&amp;platform=desktop&amp;languageCode=eng&amp;currency=EUR" TargetMode="External"/><Relationship Id="rId280" Type="http://schemas.openxmlformats.org/officeDocument/2006/relationships/hyperlink" Target="https://static.redstone.rs/games/10-wild-dice/" TargetMode="External"/><Relationship Id="rId140" Type="http://schemas.openxmlformats.org/officeDocument/2006/relationships/hyperlink" Target="https://gameserver-store-client-area.orbionlimited.com/Home/IntegrationGameLaunch/client-area?moneyType=0&amp;gameName=UnicornTheCrownFruit&amp;platform=desktop&amp;languageCode=eng&amp;currency=EUR" TargetMode="External"/><Relationship Id="rId378" Type="http://schemas.openxmlformats.org/officeDocument/2006/relationships/hyperlink" Target="https://gameserver-store-client-area.orbionlimited.com/Home/IntegrationGameLaunch/client-area?moneyType=0&amp;gameName=UnicornDoubleWildDice&amp;platform=desktop&amp;languageCode=eng&amp;currency=EUR" TargetMode="External"/><Relationship Id="rId585" Type="http://schemas.openxmlformats.org/officeDocument/2006/relationships/hyperlink" Target="https://onlinegamespromo.fazi.rs/Home/IntegrationGameLaunch?moneyType=0&amp;gameName=UnicornDiceWildLines&amp;platform=desktop&amp;languageCode=eng&amp;currency=EUR" TargetMode="External"/><Relationship Id="rId792" Type="http://schemas.openxmlformats.org/officeDocument/2006/relationships/hyperlink" Target="https://gameserver-store-client-area.orbionlimited.com/Home/IntegrationGameLaunch/client-area?moneyType=0&amp;gameName=UnicornSimplySevensDiceEaster&amp;platform=desktop&amp;languageCode=eng&amp;currency=EUR" TargetMode="External"/><Relationship Id="rId6" Type="http://schemas.openxmlformats.org/officeDocument/2006/relationships/hyperlink" Target="https://onlinegamespromo.fazi.rs/Home/IntegrationGameLaunch?moneyType=0&amp;gameName=WIZARD&amp;platform=desktop&amp;languageCode=eng&amp;currency=EUR" TargetMode="External"/><Relationship Id="rId238" Type="http://schemas.openxmlformats.org/officeDocument/2006/relationships/hyperlink" Target="https://gameserver-store-client-area.orbionlimited.com/Home/IntegrationGameLaunch/client-area?moneyType=0&amp;gameName=Unicorn20MegaFlames&amp;platform=desktop&amp;languageCode=eng&amp;currency=EUR" TargetMode="External"/><Relationship Id="rId445" Type="http://schemas.openxmlformats.org/officeDocument/2006/relationships/hyperlink" Target="https://onlinegamespromo.fazi.rs/Home/IntegrationGameLaunch?moneyType=0&amp;gameName=WildHot40BlowDice&amp;platform=desktop&amp;languageCode=eng&amp;currency=EUR" TargetMode="External"/><Relationship Id="rId652" Type="http://schemas.openxmlformats.org/officeDocument/2006/relationships/hyperlink" Target="https://gameserver-store-client-area.orbionlimited.com/Home/IntegrationGameLaunch/client-area?moneyType=0&amp;gameName=UnicornLavaDice&amp;platform=desktop&amp;languageCode=eng&amp;currency=EUR" TargetMode="External"/><Relationship Id="rId1075" Type="http://schemas.openxmlformats.org/officeDocument/2006/relationships/hyperlink" Target="https://onlinegamespromo.fazi.rs/Home/IntegrationGameLaunch?moneyType=0&amp;gameName=UnicornFruitIslandDice&amp;platform=desktop&amp;languageCode=eng&amp;currency=EUR" TargetMode="External"/><Relationship Id="rId1282" Type="http://schemas.openxmlformats.org/officeDocument/2006/relationships/hyperlink" Target="https://drive.google.com/file/d/1yREKQrMOjoXdfeIiLZapwVLAmDxEmnLN/view?usp=sharing" TargetMode="External"/><Relationship Id="rId305" Type="http://schemas.openxmlformats.org/officeDocument/2006/relationships/hyperlink" Target="https://onlinegamespromo.fazi.rs/Home/IntegrationGameLaunch?moneyType=0&amp;gameName=FruitsAndStars20Deluxe&amp;platform=desktop&amp;languageCode=eng&amp;currency=EUR" TargetMode="External"/><Relationship Id="rId512" Type="http://schemas.openxmlformats.org/officeDocument/2006/relationships/hyperlink" Target="https://play.redstone.rs/games/20-wild-crown/index.html" TargetMode="External"/><Relationship Id="rId957" Type="http://schemas.openxmlformats.org/officeDocument/2006/relationships/hyperlink" Target="https://drive.google.com/file/d/1f4lhNBlzwu96nXqSardoriE05sNVeNbC/view?usp=drive_link" TargetMode="External"/><Relationship Id="rId1142" Type="http://schemas.openxmlformats.org/officeDocument/2006/relationships/hyperlink" Target="https://gameserver-store-dev-01.fazi.rs/Home/IntegrationGameLaunch/fazi-stg16?moneyType=0&amp;ga%5B%E2%80%A6%5Dooster&amp;platform=desktop&amp;languageCode=eng&amp;currency=EUR" TargetMode="External"/><Relationship Id="rId86" Type="http://schemas.openxmlformats.org/officeDocument/2006/relationships/hyperlink" Target="https://gameserver-store-client-area.orbionlimited.com/Home/IntegrationGameLaunch/client-area?moneyType=0&amp;gameName=JazzyFruits&amp;platform=desktop&amp;languageCode=eng&amp;currency=EUR" TargetMode="External"/><Relationship Id="rId817" Type="http://schemas.openxmlformats.org/officeDocument/2006/relationships/hyperlink" Target="https://static.redstone.rs/games/sticky-tiki/" TargetMode="External"/><Relationship Id="rId1002" Type="http://schemas.openxmlformats.org/officeDocument/2006/relationships/hyperlink" Target="https://static.redstone.rs/games/sevens-heaven/" TargetMode="External"/><Relationship Id="rId1447" Type="http://schemas.openxmlformats.org/officeDocument/2006/relationships/hyperlink" Target="https://drive.google.com/file/d/17tr6SmcEn9_MyDE_b5WH0MDvojMLQHRS/view?usp=drive_link" TargetMode="External"/><Relationship Id="rId1307" Type="http://schemas.openxmlformats.org/officeDocument/2006/relationships/hyperlink" Target="https://onlinegamespromo.fazi.rs/Home/IntegrationGameLaunch?moneyType=0&amp;gameName=LockedHearts20&amp;platform=desktop&amp;languageCode=eng&amp;currency=EUR" TargetMode="External"/><Relationship Id="rId1514" Type="http://schemas.openxmlformats.org/officeDocument/2006/relationships/hyperlink" Target="https://onlinegamespromo.fazi.rs/Home/IntegrationGameLaunch?moneyType=0&amp;gameName=PlayNetRoxyUndercover&amp;platform=desktop&amp;languageCode=eng&amp;currency=EUR" TargetMode="External"/><Relationship Id="rId13" Type="http://schemas.openxmlformats.org/officeDocument/2006/relationships/hyperlink" Target="https://drive.google.com/drive/folders/1VWYsrqnjTUG7-oda2zHN8BriOazH8oro" TargetMode="External"/><Relationship Id="rId162" Type="http://schemas.openxmlformats.org/officeDocument/2006/relationships/hyperlink" Target="https://docs.google.com/document/d/1UeCqpU91M7Y1Yb7b65rSY0_PdJaQkUld/edit?usp=drive_link&amp;ouid=107596163405648766688&amp;rtpof=true&amp;sd=true" TargetMode="External"/><Relationship Id="rId467" Type="http://schemas.openxmlformats.org/officeDocument/2006/relationships/hyperlink" Target="https://onlinegamespromo.fazi.rs/Home/IntegrationGameLaunch?moneyType=0&amp;gameName=SantasPresents&amp;lobbyUrl=https://www.fazi-interactive.com/" TargetMode="External"/><Relationship Id="rId1097" Type="http://schemas.openxmlformats.org/officeDocument/2006/relationships/hyperlink" Target="https://docs.google.com/document/d/1sH6XUlpwEM0tyHiJJZHQSuyJNQCPan13/edit?usp=drive_link&amp;ouid=107596163405648766688&amp;rtpof=true&amp;sd=true" TargetMode="External"/><Relationship Id="rId674" Type="http://schemas.openxmlformats.org/officeDocument/2006/relationships/hyperlink" Target="https://docs.google.com/document/d/1qsiqXRneZgmrDYvIQRnYXZ8s2fzskp4C/edit?usp=drive_link&amp;ouid=107596163405648766688&amp;rtpof=true&amp;sd=true" TargetMode="External"/><Relationship Id="rId881" Type="http://schemas.openxmlformats.org/officeDocument/2006/relationships/hyperlink" Target="https://gameserver-store-msstg.fazi.rs/Home/IntegrationGameLaunch/fazi-stg16?moneyType=0&amp;currency=EUR&amp;gameName=CoinSplash" TargetMode="External"/><Relationship Id="rId979" Type="http://schemas.openxmlformats.org/officeDocument/2006/relationships/hyperlink" Target="https://drive.google.com/file/d/1oz6yW5qnOMRoaFkZSgqtFto3q_2PdbZ6/view?usp=drive_link" TargetMode="External"/><Relationship Id="rId327" Type="http://schemas.openxmlformats.org/officeDocument/2006/relationships/hyperlink" Target="https://static.redstone.rs/games/5-crown-fire/" TargetMode="External"/><Relationship Id="rId534" Type="http://schemas.openxmlformats.org/officeDocument/2006/relationships/hyperlink" Target="https://static.redstone.rs/games/hot-rush-stars-deluxe/" TargetMode="External"/><Relationship Id="rId741" Type="http://schemas.openxmlformats.org/officeDocument/2006/relationships/hyperlink" Target="https://static.redstone.rs/games/funky-fruits/" TargetMode="External"/><Relationship Id="rId839" Type="http://schemas.openxmlformats.org/officeDocument/2006/relationships/hyperlink" Target="https://drive.google.com/drive/folders/1kbglFJ5oU8iGhS6Kx0DglZ_vC6RUsXi9" TargetMode="External"/><Relationship Id="rId1164" Type="http://schemas.openxmlformats.org/officeDocument/2006/relationships/hyperlink" Target="https://drive.google.com/drive/folders/1aYvN7XLSW87H6DxUxwws3PZknweDxVY8?usp=drive_link" TargetMode="External"/><Relationship Id="rId1371" Type="http://schemas.openxmlformats.org/officeDocument/2006/relationships/hyperlink" Target="https://docs.google.com/document/d/1zdUMedTsqXfN0F48MzFbai0UoUjBCsgb/edit?usp=drive_link&amp;ouid=107596163405648766688&amp;rtpof=true&amp;sd=true" TargetMode="External"/><Relationship Id="rId1469" Type="http://schemas.openxmlformats.org/officeDocument/2006/relationships/hyperlink" Target="https://gameserver-store-client-area.orbionlimited.com/Home/IntegrationGameLaunch/client-area?moneyType=0&amp;gameName=RedstoneMultiHeart10&amp;platform=desktop&amp;languageCode=eng&amp;currency=EUR" TargetMode="External"/><Relationship Id="rId601" Type="http://schemas.openxmlformats.org/officeDocument/2006/relationships/hyperlink" Target="https://drive.google.com/file/d/14yOLKz6xQ-f2rXoAd31NAfoZfcclkWkd/view?usp=drive_link" TargetMode="External"/><Relationship Id="rId1024" Type="http://schemas.openxmlformats.org/officeDocument/2006/relationships/hyperlink" Target="https://gameserver-store-client-area.orbionlimited.com/Home/IntegrationGameLaunch/client-area?moneyType=0&amp;gameName=UnicornFruitPlay&amp;platform=desktop&amp;languageCode=eng&amp;currency=EUR" TargetMode="External"/><Relationship Id="rId1231" Type="http://schemas.openxmlformats.org/officeDocument/2006/relationships/hyperlink" Target="https://onlinegamespromo.fazi.rs/Home/IntegrationGameLaunch?moneyType=0&amp;gameName=BonusEpicCrownDice&amp;platform=desktop&amp;languageCode=eng&amp;currency=EUR" TargetMode="External"/><Relationship Id="rId906" Type="http://schemas.openxmlformats.org/officeDocument/2006/relationships/hyperlink" Target="https://gameserver-store-client-area.orbionlimited.com/Home/IntegrationGameLaunch/client-area?moneyType=0&amp;gameName=PlayNetMajesticCrownX2&amp;platform=desktop&amp;languageCode=eng&amp;currency=EUR" TargetMode="External"/><Relationship Id="rId1329" Type="http://schemas.openxmlformats.org/officeDocument/2006/relationships/hyperlink" Target="https://onlinegamespromo.fazi.rs/Home/IntegrationGameLaunch?moneyType=0&amp;gameName=VeryHot40ExtremeBooster&amp;platform=desktop&amp;languageCode=eng&amp;currency=EUR" TargetMode="External"/><Relationship Id="rId1536" Type="http://schemas.openxmlformats.org/officeDocument/2006/relationships/hyperlink" Target="https://onlinegamespromo.fazi.rs/Home/IntegrationGameLaunch?moneyType=0&amp;gameName=RedstoneCloverFire1000&amp;platform=desktop&amp;languageCode=eng&amp;currency=EUR" TargetMode="External"/><Relationship Id="rId35" Type="http://schemas.openxmlformats.org/officeDocument/2006/relationships/hyperlink" Target="https://onlinegamespromo.fazi.rs/Home/IntegrationGameLaunch?moneyType=0&amp;gameName=PiratesFazi&amp;lobbyUrl=https://www.fazi-interactive.com/" TargetMode="External"/><Relationship Id="rId184" Type="http://schemas.openxmlformats.org/officeDocument/2006/relationships/hyperlink" Target="https://docs.google.com/document/d/1ztiv_8kAahTieT52oxOwMehAb_szRHvc/edit?usp=drive_link&amp;ouid=107596163405648766688&amp;rtpof=true&amp;sd=true" TargetMode="External"/><Relationship Id="rId391" Type="http://schemas.openxmlformats.org/officeDocument/2006/relationships/hyperlink" Target="https://onlinegamespromo.fazi.rs/Home/IntegrationGameLaunch?moneyType=0&amp;gameName=EpicCrown10&amp;platform=desktop&amp;languageCode=eng&amp;currency=EUR" TargetMode="External"/><Relationship Id="rId251" Type="http://schemas.openxmlformats.org/officeDocument/2006/relationships/hyperlink" Target="https://onlinegamespromo.fazi.rs/Home/IntegrationGameLaunch?moneyType=0&amp;gameName=GigaHot40&amp;platform=desktop&amp;languageCode=eng&amp;currency=EUR" TargetMode="External"/><Relationship Id="rId489" Type="http://schemas.openxmlformats.org/officeDocument/2006/relationships/hyperlink" Target="https://play.redstone.rs/games/40-fruit-frenzy/index.html" TargetMode="External"/><Relationship Id="rId696" Type="http://schemas.openxmlformats.org/officeDocument/2006/relationships/hyperlink" Target="https://gameserver-store-client-area.orbionlimited.com/Home/IntegrationGameLaunch/client-area?moneyType=0&amp;gameName=PlayNet27WildStacks&amp;platform=desktop&amp;languageCode=eng&amp;currency=EUR" TargetMode="External"/><Relationship Id="rId349" Type="http://schemas.openxmlformats.org/officeDocument/2006/relationships/hyperlink" Target="https://onlinegamespromo.fazi.rs/Home/IntegrationGameLaunch?moneyType=0&amp;gameName=Unicorn40HotStrikeDice&amp;platform=desktop&amp;languageCode=eng&amp;currency=EUR" TargetMode="External"/><Relationship Id="rId556" Type="http://schemas.openxmlformats.org/officeDocument/2006/relationships/hyperlink" Target="https://gameserver-store-client-area.orbionlimited.com/Home/IntegrationGameLaunch/client-area?moneyType=0&amp;gameName=FootballVictory&amp;platform=desktop&amp;languageCode=eng&amp;currency=EUR" TargetMode="External"/><Relationship Id="rId763" Type="http://schemas.openxmlformats.org/officeDocument/2006/relationships/hyperlink" Target="https://onlinegamespromo.fazi.rs/Home/IntegrationGameLaunch?moneyType=0&amp;gameName=PlayNetFortuneClover100&amp;platform=desktop&amp;languageCode=eng&amp;currency=EUR" TargetMode="External"/><Relationship Id="rId1186" Type="http://schemas.openxmlformats.org/officeDocument/2006/relationships/hyperlink" Target="https://christmas-sugar-luck.soko.games/" TargetMode="External"/><Relationship Id="rId1393" Type="http://schemas.openxmlformats.org/officeDocument/2006/relationships/hyperlink" Target="https://docs.google.com/document/d/1HUV4QGpaaDjKmgNJLGFq3pRMRKgFUtm2/edit?usp=drive_link&amp;ouid=107596163405648766688&amp;rtpof=true&amp;sd=true" TargetMode="External"/><Relationship Id="rId111" Type="http://schemas.openxmlformats.org/officeDocument/2006/relationships/hyperlink" Target="https://onlinegamespromo.fazi.rs/Home/IntegrationGameLaunch?moneyType=0&amp;gameName=MysteryJokerHot&amp;platform=desktop&amp;languageCode=eng&amp;currency=EUR" TargetMode="External"/><Relationship Id="rId209" Type="http://schemas.openxmlformats.org/officeDocument/2006/relationships/hyperlink" Target="https://onlinegamespromo.fazi.rs/Home/IntegrationGameLaunch?moneyType=0&amp;gameName=CrystalHot100&amp;platform=desktop&amp;languageCode=eng&amp;currency=EUR" TargetMode="External"/><Relationship Id="rId416" Type="http://schemas.openxmlformats.org/officeDocument/2006/relationships/hyperlink" Target="https://gameserver-store-client-area.orbionlimited.com/Home/IntegrationGameLaunch/client-area?moneyType=0&amp;gameName=Unicorn20HotStrikeDice&amp;platform=desktop&amp;languageCode=eng&amp;currency=EUR" TargetMode="External"/><Relationship Id="rId970" Type="http://schemas.openxmlformats.org/officeDocument/2006/relationships/hyperlink" Target="https://gameserver-store-client-area.orbionlimited.com/Home/IntegrationGameLaunch/client-area?moneyType=0&amp;gameName=NovaPixelWheelOfJoker&amp;platform=desktop&amp;languageCode=eng&amp;currency=EUR" TargetMode="External"/><Relationship Id="rId1046" Type="http://schemas.openxmlformats.org/officeDocument/2006/relationships/hyperlink" Target="https://gameserver-store-client-area.orbionlimited.com/Home/IntegrationGameLaunch/client-area?moneyType=0&amp;gameName=EpicClover100Booster&amp;platform=desktop&amp;languageCode=eng&amp;currency=EUR" TargetMode="External"/><Relationship Id="rId1253" Type="http://schemas.openxmlformats.org/officeDocument/2006/relationships/hyperlink" Target="https://static.redstone.rs/games/5-bell-fire/" TargetMode="External"/><Relationship Id="rId623" Type="http://schemas.openxmlformats.org/officeDocument/2006/relationships/hyperlink" Target="https://drive.google.com/file/d/1ONtonMDeJcghue58HcLhnu0yFju2iU8F/view?usp=sharing" TargetMode="External"/><Relationship Id="rId830" Type="http://schemas.openxmlformats.org/officeDocument/2006/relationships/hyperlink" Target="https://gameserver-store-client-area.orbionlimited.com/Home/IntegrationGameLaunch/client-area?moneyType=0&amp;gameName=UnicornBigSpinSevens&amp;platform=desktop&amp;languageCode=eng&amp;currency=EUR" TargetMode="External"/><Relationship Id="rId928" Type="http://schemas.openxmlformats.org/officeDocument/2006/relationships/hyperlink" Target="https://drive.google.com/file/d/16Ns6l8sIiUoNONSVIlMt5kSv8VXKHB3b/view?usp=drive_link" TargetMode="External"/><Relationship Id="rId1460" Type="http://schemas.openxmlformats.org/officeDocument/2006/relationships/hyperlink" Target="https://static.redstone.rs/games/10-crown-deluxe/" TargetMode="External"/><Relationship Id="rId57" Type="http://schemas.openxmlformats.org/officeDocument/2006/relationships/hyperlink" Target="https://onlinegamespromo.fazi.rs/Home/IntegrationGameLaunch?moneyType=0&amp;gameName=CRYSTALHOT40&amp;platform=desktop&amp;languageCode=eng&amp;currency=EUR" TargetMode="External"/><Relationship Id="rId1113" Type="http://schemas.openxmlformats.org/officeDocument/2006/relationships/hyperlink" Target="https://static.redstone.rs/games/chilli-hot-40/" TargetMode="External"/><Relationship Id="rId1320" Type="http://schemas.openxmlformats.org/officeDocument/2006/relationships/hyperlink" Target="https://onlinegamespromo.fazi.rs/Home/IntegrationGameLaunch?moneyType=0&amp;gameName=EpicDice100Booster&amp;platform=desktop&amp;languageCode=eng&amp;currency=EUR" TargetMode="External"/><Relationship Id="rId1418" Type="http://schemas.openxmlformats.org/officeDocument/2006/relationships/hyperlink" Target="https://static.redstone.rs/games/crown-deluxe-2x/" TargetMode="External"/><Relationship Id="rId273" Type="http://schemas.openxmlformats.org/officeDocument/2006/relationships/hyperlink" Target="https://onlinegamespromo.fazi.rs/Home/IntegrationGameLaunch?moneyType=0&amp;gameName=Unicorn20DiceFlames&amp;platform=desktop&amp;languageCode=eng&amp;currency=EUR" TargetMode="External"/><Relationship Id="rId480" Type="http://schemas.openxmlformats.org/officeDocument/2006/relationships/hyperlink" Target="https://docs.google.com/document/d/1X5yxoV9aeO4hmnBorYm0rR4SJnZAjO1U/edit?usp=drive_link&amp;ouid=107596163405648766688&amp;rtpof=true&amp;sd=true" TargetMode="External"/><Relationship Id="rId133" Type="http://schemas.openxmlformats.org/officeDocument/2006/relationships/hyperlink" Target="https://docs.google.com/document/d/1Z50Fp4FF6DZh_40cGOxFXNzQViVYjCjD/edit?usp=drive_link&amp;ouid=107596163405648766688&amp;rtpof=true&amp;sd=true" TargetMode="External"/><Relationship Id="rId340" Type="http://schemas.openxmlformats.org/officeDocument/2006/relationships/hyperlink" Target="https://gameserver-store-client-area.orbionlimited.com/Home/IntegrationGameLaunch/client-area?moneyType=0&amp;gameName=UnicornDiceMegaCash&amp;platform=desktop&amp;languageCode=eng&amp;currency=EUR" TargetMode="External"/><Relationship Id="rId578" Type="http://schemas.openxmlformats.org/officeDocument/2006/relationships/hyperlink" Target="https://drive.google.com/file/d/1vSIAX07YqAaggMDQW2hqGetso4iIxqC2/view?usp=drive_link" TargetMode="External"/><Relationship Id="rId785" Type="http://schemas.openxmlformats.org/officeDocument/2006/relationships/hyperlink" Target="https://drive.google.com/file/d/1r-U96WcbZ3z5FYIESmrnhZU5w6rvEH0T/view?usp=drive_link" TargetMode="External"/><Relationship Id="rId992" Type="http://schemas.openxmlformats.org/officeDocument/2006/relationships/hyperlink" Target="https://drive.google.com/file/d/19ze_Zg77kWqTu22_FVM6AbHjo7vnCW-j/view?usp=drive_link" TargetMode="External"/><Relationship Id="rId200" Type="http://schemas.openxmlformats.org/officeDocument/2006/relationships/hyperlink" Target="https://gameserver-store-client-area.orbionlimited.com/Home/IntegrationGameLaunch/client-area?moneyType=0&amp;gameName=LuckyBrilliants&amp;platform=desktop&amp;languageCode=eng&amp;currency=EUR" TargetMode="External"/><Relationship Id="rId438" Type="http://schemas.openxmlformats.org/officeDocument/2006/relationships/hyperlink" Target="https://docs.google.com/document/d/1JRWwKCTfAAr13XFrmwOPqrlKDi2Z5V4W/edit?usp=drive_link&amp;ouid=107596163405648766688&amp;rtpof=true&amp;sd=true" TargetMode="External"/><Relationship Id="rId645" Type="http://schemas.openxmlformats.org/officeDocument/2006/relationships/hyperlink" Target="https://onlinegamespromo.fazi.rs/Home/IntegrationGameLaunch?moneyType=0&amp;gameName=UnicornBuffaloDice&amp;platform=desktop&amp;languageCode=eng&amp;currency=EUR" TargetMode="External"/><Relationship Id="rId852" Type="http://schemas.openxmlformats.org/officeDocument/2006/relationships/hyperlink" Target="https://gameserver-store-client-area.orbionlimited.com/Home/IntegrationGameLaunch/client-area?moneyType=0&amp;gameName=UnicornBigHitSevens&amp;platform=desktop&amp;languageCode=eng&amp;currency=EUR" TargetMode="External"/><Relationship Id="rId1068" Type="http://schemas.openxmlformats.org/officeDocument/2006/relationships/hyperlink" Target="https://gameserver-store-client-area.orbionlimited.com/Home/IntegrationGameLaunch/client-area?moneyType=0&amp;gameName=Wild27Halloween&amp;platform=desktop&amp;languageCode=eng&amp;currency=EUR" TargetMode="External"/><Relationship Id="rId1275" Type="http://schemas.openxmlformats.org/officeDocument/2006/relationships/hyperlink" Target="https://onlinegamespromo.fazi.rs/Home/IntegrationGameLaunch?moneyType=0&amp;gameName=UnicornDragonGems&amp;platform=desktop&amp;languageCode=eng&amp;currency=EUR" TargetMode="External"/><Relationship Id="rId1482" Type="http://schemas.openxmlformats.org/officeDocument/2006/relationships/hyperlink" Target="https://gameserver-store-client-area.orbionlimited.com/Home/IntegrationGameLaunch/client-area?moneyType=0&amp;gameName=UnicornFlamyFireballs&amp;platform=desktop&amp;languageCode=eng&amp;currency=EUR" TargetMode="External"/><Relationship Id="rId505" Type="http://schemas.openxmlformats.org/officeDocument/2006/relationships/hyperlink" Target="https://static.redstone.rs/games/moon-dog/" TargetMode="External"/><Relationship Id="rId712" Type="http://schemas.openxmlformats.org/officeDocument/2006/relationships/hyperlink" Target="https://docs.google.com/document/d/1nQVyH1x0d989Rumpnub0fo7iBBNmuumm/edit?usp=drive_link&amp;ouid=107596163405648766688&amp;rtpof=true&amp;sd=true" TargetMode="External"/><Relationship Id="rId1135" Type="http://schemas.openxmlformats.org/officeDocument/2006/relationships/hyperlink" Target="https://static.redstone.rs/games/respin-gems/" TargetMode="External"/><Relationship Id="rId1342" Type="http://schemas.openxmlformats.org/officeDocument/2006/relationships/hyperlink" Target="https://gameserver-store-client-area.orbionlimited.com/Home/IntegrationGameLaunch/client-area?moneyType=0&amp;gameName=RoyalgardenKing&amp;platform=desktop&amp;languageCode=eng&amp;currency=EUR" TargetMode="External"/><Relationship Id="rId79" Type="http://schemas.openxmlformats.org/officeDocument/2006/relationships/hyperlink" Target="https://onlinegamespromo.fazi.rs/Home/IntegrationGameLaunch?moneyType=0&amp;gameName=CubesAndStars&amp;platform=desktop&amp;languageCode=eng&amp;currency=EUR" TargetMode="External"/><Relationship Id="rId1202" Type="http://schemas.openxmlformats.org/officeDocument/2006/relationships/hyperlink" Target="https://docs.google.com/document/d/1V_pbVs9VNOGhh-Bmmu7VWHYfyDU_sZV-/edit?usp=drive_link&amp;ouid=107596163405648766688&amp;rtpof=true&amp;sd=true" TargetMode="External"/><Relationship Id="rId1507" Type="http://schemas.openxmlformats.org/officeDocument/2006/relationships/hyperlink" Target="https://rgs-royal-crown-delight.soko.games/?demo=True&amp;locale=eng" TargetMode="External"/><Relationship Id="rId295" Type="http://schemas.openxmlformats.org/officeDocument/2006/relationships/hyperlink" Target="https://onlinegamespromo.fazi.rs/Home/IntegrationGameLaunch?moneyType=0&amp;gameName=Unicorn40DiceFlames&amp;platform=desktop&amp;languageCode=eng&amp;currency=EUR" TargetMode="External"/><Relationship Id="rId155" Type="http://schemas.openxmlformats.org/officeDocument/2006/relationships/hyperlink" Target="https://onlinegamespromo.fazi.rs/Home/IntegrationGameLaunch?moneyType=0&amp;gameName=BookOfLuxorDouble&amp;platform=desktop&amp;languageCode=eng&amp;currency=EUR" TargetMode="External"/><Relationship Id="rId362" Type="http://schemas.openxmlformats.org/officeDocument/2006/relationships/hyperlink" Target="https://gameserver-store-client-area.orbionlimited.com/Home/IntegrationGameLaunch/client-area?moneyType=0&amp;gameName=GoldenCrown40&amp;platform=desktop&amp;languageCode=eng&amp;currency=EUR" TargetMode="External"/><Relationship Id="rId1297" Type="http://schemas.openxmlformats.org/officeDocument/2006/relationships/hyperlink" Target="https://drive.google.com/file/d/1uKxsK28uuel4f8owE_hN_qMDkruf2IIT/view?usp=sharing" TargetMode="External"/><Relationship Id="rId222" Type="http://schemas.openxmlformats.org/officeDocument/2006/relationships/hyperlink" Target="https://docs.google.com/document/d/18iFKQdk7iCjneYcv34WRQOkNafpeBq1O/edit?usp=drive_link&amp;ouid=107596163405648766688&amp;rtpof=true&amp;sd=true" TargetMode="External"/><Relationship Id="rId667" Type="http://schemas.openxmlformats.org/officeDocument/2006/relationships/hyperlink" Target="https://onlinegamespromo.fazi.rs/Home/IntegrationGameLaunch?moneyType=0&amp;gameName=PlayNetDiamondHeart5&amp;platform=desktop&amp;languageCode=eng&amp;currency=EUR" TargetMode="External"/><Relationship Id="rId874" Type="http://schemas.openxmlformats.org/officeDocument/2006/relationships/hyperlink" Target="https://gameserver-store-client-area.orbionlimited.com/Home/IntegrationGameLaunch/client-area?moneyType=0&amp;gameName=UnicornMisterDice&amp;platform=desktop&amp;languageCode=eng&amp;currency=EUR" TargetMode="External"/><Relationship Id="rId527" Type="http://schemas.openxmlformats.org/officeDocument/2006/relationships/hyperlink" Target="https://docs.google.com/document/d/1ndIePfFS0_TcjpuBGGaHFj_FhC-sPHsD/edit?usp=drive_link&amp;ouid=107596163405648766688&amp;rtpof=true&amp;sd=true" TargetMode="External"/><Relationship Id="rId734" Type="http://schemas.openxmlformats.org/officeDocument/2006/relationships/hyperlink" Target="https://static.redstone.rs/games/juicy-heat-20/" TargetMode="External"/><Relationship Id="rId941" Type="http://schemas.openxmlformats.org/officeDocument/2006/relationships/hyperlink" Target="https://onlinegamespromo.fazi.rs/Home/IntegrationGameLaunch?moneyType=0&amp;gameName=PlayNetGoldenGetsby&amp;platform=desktop&amp;languageCode=eng&amp;currency=EUR" TargetMode="External"/><Relationship Id="rId1157" Type="http://schemas.openxmlformats.org/officeDocument/2006/relationships/hyperlink" Target="https://gameserver-store-client-area.orbionlimited.com/Home/IntegrationGameLaunch/client-area?moneyType=0&amp;gameName=GigaHot40FreeSpins&amp;platform=desktop&amp;languageCode=eng&amp;currency=EUR" TargetMode="External"/><Relationship Id="rId1364" Type="http://schemas.openxmlformats.org/officeDocument/2006/relationships/hyperlink" Target="https://onlinegamespromo.fazi.rs/Home/IntegrationGameLaunch?moneyType=0&amp;gameName=UnicornMysticTreasure&amp;platform=desktop&amp;languageCode=eng&amp;currency=EUR" TargetMode="External"/><Relationship Id="rId70" Type="http://schemas.openxmlformats.org/officeDocument/2006/relationships/hyperlink" Target="https://gameserver-store-client-area.orbionlimited.com/Home/IntegrationGameLaunch/client-area?moneyType=0&amp;gameName=StarRunner&amp;platform=desktop&amp;languageCode=eng&amp;currency=EUR" TargetMode="External"/><Relationship Id="rId801" Type="http://schemas.openxmlformats.org/officeDocument/2006/relationships/hyperlink" Target="https://onlinegamespromo.fazi.rs/Home/IntegrationGameLaunch?moneyType=0&amp;gameName=UnicornFruitIslandGems&amp;platform=desktop&amp;languageCode=eng&amp;currency=EUR" TargetMode="External"/><Relationship Id="rId1017" Type="http://schemas.openxmlformats.org/officeDocument/2006/relationships/hyperlink" Target="https://onlinegamespromo.fazi.rs/Home/IntegrationGameLaunch?moneyType=0&amp;gameName=UnicornDynamiteEscape&amp;platform=desktop&amp;languageCode=eng&amp;currency=EUR" TargetMode="External"/><Relationship Id="rId1224" Type="http://schemas.openxmlformats.org/officeDocument/2006/relationships/hyperlink" Target="https://onlinegamespromo.fazi.rs/Home/IntegrationGameLaunch?moneyType=0&amp;gameName=Wild27Dice&amp;platform=desktop&amp;languageCode=eng&amp;currency=EUR" TargetMode="External"/><Relationship Id="rId1431" Type="http://schemas.openxmlformats.org/officeDocument/2006/relationships/hyperlink" Target="https://gameserver-store-client-area.orbionlimited.com/Home/IntegrationGameLaunch/client-area?moneyType=0&amp;gameName=PlayNetBitQueen&amp;platform=desktop&amp;languageCode=eng&amp;currency=EUR" TargetMode="External"/><Relationship Id="rId1529" Type="http://schemas.openxmlformats.org/officeDocument/2006/relationships/hyperlink" Target="https://gameserver-store-client-area.orbionlimited.com/Home/IntegrationGameLaunch/client-area?moneyType=0&amp;gameName=PlayNet27LuckyCrown&amp;platform=desktop&amp;languageCode=eng&amp;currency=EUR" TargetMode="External"/><Relationship Id="rId28" Type="http://schemas.openxmlformats.org/officeDocument/2006/relationships/hyperlink" Target="https://gameserver-store-client-area.orbionlimited.com/Home/IntegrationGameLaunch/client-area?moneyType=0&amp;gameName=BookOfSpells&amp;platform=desktop&amp;languageCode=eng&amp;currency=EUR" TargetMode="External"/><Relationship Id="rId177" Type="http://schemas.openxmlformats.org/officeDocument/2006/relationships/hyperlink" Target="https://onlinegamespromo.fazi.rs/Home/IntegrationGameLaunch?moneyType=0&amp;gameName=FluoHot5&amp;platform=desktop&amp;languageCode=eng&amp;currency=EUR" TargetMode="External"/><Relationship Id="rId384" Type="http://schemas.openxmlformats.org/officeDocument/2006/relationships/hyperlink" Target="https://static.redstone.rs/games/super-lucky/" TargetMode="External"/><Relationship Id="rId591" Type="http://schemas.openxmlformats.org/officeDocument/2006/relationships/hyperlink" Target="https://onlinegamespromo.fazi.rs/Home/IntegrationGameLaunch?moneyType=0&amp;gameName=UnicornStickyHot&amp;platform=desktop&amp;languageCode=eng&amp;currency=EUR" TargetMode="External"/><Relationship Id="rId244" Type="http://schemas.openxmlformats.org/officeDocument/2006/relationships/hyperlink" Target="https://gameserver-store-client-area.orbionlimited.com/Home/IntegrationGameLaunch/client-area?moneyType=0&amp;gameName=BookOfSpells2&amp;platform=desktop&amp;languageCode=eng&amp;currency=EUR" TargetMode="External"/><Relationship Id="rId689" Type="http://schemas.openxmlformats.org/officeDocument/2006/relationships/hyperlink" Target="https://drive.google.com/file/d/16Oz2qdJrgfgOytfKWbOZ9JQQQuXI4TGK/view?usp=drive_link" TargetMode="External"/><Relationship Id="rId896" Type="http://schemas.openxmlformats.org/officeDocument/2006/relationships/hyperlink" Target="https://drive.google.com/file/d/1aTMHsD7ChuP1pBEt37vm_24Ec2OmjgzM/view?usp=drive_link" TargetMode="External"/><Relationship Id="rId1081" Type="http://schemas.openxmlformats.org/officeDocument/2006/relationships/hyperlink" Target="https://onlinegamespromo.fazi.rs/Home/IntegrationGameLaunch?moneyType=0&amp;gameName=UnicornGoldLineGems&amp;platform=desktop&amp;languageCode=eng&amp;currency=EUR" TargetMode="External"/><Relationship Id="rId451" Type="http://schemas.openxmlformats.org/officeDocument/2006/relationships/hyperlink" Target="https://onlinegamespromo.fazi.rs/Home/IntegrationGameLaunch?moneyType=0&amp;gameName=UnicornFrootMachine&amp;platform=desktop&amp;languageCode=eng&amp;currency=EUR" TargetMode="External"/><Relationship Id="rId549" Type="http://schemas.openxmlformats.org/officeDocument/2006/relationships/hyperlink" Target="https://onlinegamespromo.fazi.rs/Home/IntegrationGameLaunch?moneyType=0&amp;gameName=EggspandingRush&amp;platform=desktop&amp;languageCode=eng&amp;currency=EUR" TargetMode="External"/><Relationship Id="rId756" Type="http://schemas.openxmlformats.org/officeDocument/2006/relationships/hyperlink" Target="https://drive.google.com/file/d/1s1mvKjVqp4KPPhHWwEIdwZY3oCvr48sm/view?usp=sharing" TargetMode="External"/><Relationship Id="rId1179" Type="http://schemas.openxmlformats.org/officeDocument/2006/relationships/hyperlink" Target="https://wild-tiki-mayhem.soko.games/" TargetMode="External"/><Relationship Id="rId1386" Type="http://schemas.openxmlformats.org/officeDocument/2006/relationships/hyperlink" Target="https://docs.google.com/document/d/1OM9irwnSHXhkrqcPxaDoezRuDMEm--4_/edit?usp=drive_link&amp;ouid=107596163405648766688&amp;rtpof=true&amp;sd=true" TargetMode="External"/><Relationship Id="rId104" Type="http://schemas.openxmlformats.org/officeDocument/2006/relationships/hyperlink" Target="https://gameserver-store-client-area.orbionlimited.com/Home/IntegrationGameLaunch/client-area?moneyType=0&amp;gameName=DolphinsShine&amp;platform=desktop&amp;languageCode=eng&amp;currency=EUR" TargetMode="External"/><Relationship Id="rId311" Type="http://schemas.openxmlformats.org/officeDocument/2006/relationships/hyperlink" Target="https://static.redstone.rs/games/book-of-dread/" TargetMode="External"/><Relationship Id="rId409" Type="http://schemas.openxmlformats.org/officeDocument/2006/relationships/hyperlink" Target="https://docs.google.com/document/d/1Lo21HE-04Rwp0EgxYQqy6Pl0lYtK_VWc/edit?usp=drive_link&amp;ouid=107596163405648766688&amp;rtpof=true&amp;sd=true" TargetMode="External"/><Relationship Id="rId963" Type="http://schemas.openxmlformats.org/officeDocument/2006/relationships/hyperlink" Target="https://static.redstone.rs/games/double-wild-crown/" TargetMode="External"/><Relationship Id="rId1039" Type="http://schemas.openxmlformats.org/officeDocument/2006/relationships/hyperlink" Target="https://onlinegamespromo.fazi.rs/Home/IntegrationGameLaunch?moneyType=0&amp;gameName=VeryHot40Booster&amp;platform=desktop&amp;languageCode=eng&amp;currency=EUR" TargetMode="External"/><Relationship Id="rId1246" Type="http://schemas.openxmlformats.org/officeDocument/2006/relationships/hyperlink" Target="https://static.redstone.rs/games/joker-x5/" TargetMode="External"/><Relationship Id="rId92" Type="http://schemas.openxmlformats.org/officeDocument/2006/relationships/hyperlink" Target="https://gameserver-store-client-area.orbionlimited.com/Home/IntegrationGameLaunch/client-area?moneyType=0&amp;gameName=LiveFaziRoulette&amp;platform=desktop&amp;languageCode=eng&amp;currency=EUR" TargetMode="External"/><Relationship Id="rId616" Type="http://schemas.openxmlformats.org/officeDocument/2006/relationships/hyperlink" Target="https://gameserver-store-client-area.orbionlimited.com/Home/IntegrationGameLaunch/client-area?moneyType=0&amp;gameName=AquaFlame&amp;platform=desktop&amp;languageCode=eng&amp;currency=EUR" TargetMode="External"/><Relationship Id="rId823" Type="http://schemas.openxmlformats.org/officeDocument/2006/relationships/hyperlink" Target="https://drive.google.com/drive/folders/1rUqrqNmV28Bdn42G5Tw6B4dajdJakbwM" TargetMode="External"/><Relationship Id="rId1453" Type="http://schemas.openxmlformats.org/officeDocument/2006/relationships/hyperlink" Target="https://gameserver-store-client-area.orbionlimited.com/Home/IntegrationGameLaunch/client-area?moneyType=0&amp;gameName=RedstoneXCrownFire&amp;platform=desktop&amp;languageCode=eng&amp;currency=EUR" TargetMode="External"/><Relationship Id="rId1106" Type="http://schemas.openxmlformats.org/officeDocument/2006/relationships/hyperlink" Target="https://static.redstone.rs/games/multi-heart-5/" TargetMode="External"/><Relationship Id="rId1313" Type="http://schemas.openxmlformats.org/officeDocument/2006/relationships/hyperlink" Target="https://drive.google.com/file/d/1Vn58CAYspcK7dlg8j5FsFnRlRnzB32Uo/view?usp=sharing" TargetMode="External"/><Relationship Id="rId1520" Type="http://schemas.openxmlformats.org/officeDocument/2006/relationships/hyperlink" Target="https://onlinegamespromo.fazi.rs/Home/IntegrationGameLaunch?moneyType=0&amp;gameName=PlayNetCrownTreasure10&amp;platform=desktop&amp;languageCode=eng&amp;currency=EUR" TargetMode="External"/><Relationship Id="rId199" Type="http://schemas.openxmlformats.org/officeDocument/2006/relationships/hyperlink" Target="https://onlinegamespromo.fazi.rs/Home/IntegrationGameLaunch?moneyType=0&amp;gameName=LuckyBrilliants&amp;platform=desktop&amp;languageCode=eng&amp;currency=EUR" TargetMode="External"/><Relationship Id="rId266" Type="http://schemas.openxmlformats.org/officeDocument/2006/relationships/hyperlink" Target="https://gameserver-store-client-area.orbionlimited.com/Home/IntegrationGameLaunch/client-area?moneyType=0&amp;gameName=FruityFace&amp;platform=desktop&amp;languageCode=eng&amp;currency=EUR" TargetMode="External"/><Relationship Id="rId473" Type="http://schemas.openxmlformats.org/officeDocument/2006/relationships/hyperlink" Target="https://play.redstone.rs/games/chilli-hot-5/index.html" TargetMode="External"/><Relationship Id="rId680" Type="http://schemas.openxmlformats.org/officeDocument/2006/relationships/hyperlink" Target="https://gameserver-store-client-area.orbionlimited.com/Home/IntegrationGameLaunch/client-area?moneyType=0&amp;gameName=UnicornLavaDiamondsChristmas&amp;platform=desktop&amp;languageCode=eng&amp;currency=EUR" TargetMode="External"/><Relationship Id="rId126" Type="http://schemas.openxmlformats.org/officeDocument/2006/relationships/hyperlink" Target="https://docs.google.com/document/d/1f4hwx73fZvTmit9C3Wj6HjLYQHHt_GGS/edit?usp=drive_link&amp;ouid=107596163405648766688&amp;rtpof=true&amp;sd=true" TargetMode="External"/><Relationship Id="rId333" Type="http://schemas.openxmlformats.org/officeDocument/2006/relationships/hyperlink" Target="https://onlinegamespromo.fazi.rs/Home/IntegrationGameLaunch?moneyType=0&amp;gameName=UnicornFastFruits&amp;platform=desktop&amp;languageCode=eng&amp;currency=EUR" TargetMode="External"/><Relationship Id="rId540" Type="http://schemas.openxmlformats.org/officeDocument/2006/relationships/hyperlink" Target="https://docs.google.com/document/d/1MIVYMaF7eJW5PpLAKh85bop6buH12dCh/edit?usp=drive_link&amp;ouid=107596163405648766688&amp;rtpof=true&amp;sd=true" TargetMode="External"/><Relationship Id="rId778" Type="http://schemas.openxmlformats.org/officeDocument/2006/relationships/hyperlink" Target="https://gameserver-store-client-area.orbionlimited.com/Home/IntegrationGameLaunch/client-area?moneyType=0&amp;gameName=UnicornThunderFruits&amp;platform=desktop&amp;languageCode=eng&amp;currency=EUR" TargetMode="External"/><Relationship Id="rId985" Type="http://schemas.openxmlformats.org/officeDocument/2006/relationships/hyperlink" Target="https://static.redstone.rs/games/reel-x5-27-ways/" TargetMode="External"/><Relationship Id="rId1170" Type="http://schemas.openxmlformats.org/officeDocument/2006/relationships/hyperlink" Target="https://bluff-and-bite.soko.games/" TargetMode="External"/><Relationship Id="rId638" Type="http://schemas.openxmlformats.org/officeDocument/2006/relationships/hyperlink" Target="https://gameserver-store-client-area.orbionlimited.com/Home/IntegrationGameLaunch/client-area?moneyType=0&amp;gameName=CloversAndStars&amp;platform=desktop&amp;languageCode=eng&amp;currency=EUR" TargetMode="External"/><Relationship Id="rId845" Type="http://schemas.openxmlformats.org/officeDocument/2006/relationships/hyperlink" Target="https://onlinegamespromo.fazi.rs/Home/IntegrationGameLaunch?moneyType=0&amp;gameName=PlayNetWildSpread40&amp;platform=desktop&amp;languageCode=eng&amp;currency=EUR" TargetMode="External"/><Relationship Id="rId1030" Type="http://schemas.openxmlformats.org/officeDocument/2006/relationships/hyperlink" Target="https://gameserver-store-client-area.orbionlimited.com/Home/IntegrationGameLaunch/client-area?moneyType=0&amp;gameName=UnicornCoyoteSevensHalloween&amp;platform=desktop&amp;languageCode=eng&amp;currency=EUR" TargetMode="External"/><Relationship Id="rId1268" Type="http://schemas.openxmlformats.org/officeDocument/2006/relationships/hyperlink" Target="https://gameserver-store-client-area.orbionlimited.com/Home/IntegrationGameLaunch/client-area?moneyType=0&amp;gameName=UnicornSuperDiceRunner&amp;platform=desktop&amp;languageCode=eng&amp;currency=EUR" TargetMode="External"/><Relationship Id="rId1475" Type="http://schemas.openxmlformats.org/officeDocument/2006/relationships/hyperlink" Target="https://gameserver-store-client-area.orbionlimited.com/Home/IntegrationGameLaunch/client-area?moneyType=0&amp;gameName=HotClockExtreme&amp;platform=desktop&amp;languageCode=eng&amp;currency=EUR" TargetMode="External"/><Relationship Id="rId400" Type="http://schemas.openxmlformats.org/officeDocument/2006/relationships/hyperlink" Target="https://gameserver-store-client-area.orbionlimited.com/Home/IntegrationGameLaunch/client-area?moneyType=0&amp;gameName=Unicorn5HotStrike&amp;platform=desktop&amp;languageCode=eng&amp;currency=EUR" TargetMode="External"/><Relationship Id="rId705" Type="http://schemas.openxmlformats.org/officeDocument/2006/relationships/hyperlink" Target="https://onlinegamespromo.fazi.rs/Home/IntegrationGameLaunch?moneyType=0&amp;gameName=PlayNetWildForties&amp;platform=desktop&amp;languageCode=eng&amp;currency=EUR" TargetMode="External"/><Relationship Id="rId1128" Type="http://schemas.openxmlformats.org/officeDocument/2006/relationships/hyperlink" Target="https://docs.google.com/document/d/1pGz8v4wEYOaOb3oRWonm64YBQQLWyukQ/edit?usp=drive_link&amp;ouid=107596163405648766688&amp;rtpof=true&amp;sd=true" TargetMode="External"/><Relationship Id="rId1335" Type="http://schemas.openxmlformats.org/officeDocument/2006/relationships/hyperlink" Target="https://onlinegamespromo.fazi.rs/Home/IntegrationGameLaunch?moneyType=0&amp;gameName=CloversAndDiamonds10&amp;platform=desktop&amp;languageCode=eng&amp;currency=EUR" TargetMode="External"/><Relationship Id="rId1542" Type="http://schemas.openxmlformats.org/officeDocument/2006/relationships/hyperlink" Target="https://drive.google.com/file/d/1OeRwzK0jpkY2oMN3vSTjTspcEjbdvF04/view?usp=drive_link" TargetMode="External"/><Relationship Id="rId912" Type="http://schemas.openxmlformats.org/officeDocument/2006/relationships/hyperlink" Target="https://gameserver-store-client-area.orbionlimited.com/Home/IntegrationGameLaunch/client-area?moneyType=0&amp;gameName=PlayNetMajesticCrown100&amp;platform=desktop&amp;languageCode=eng&amp;currency=EUR" TargetMode="External"/><Relationship Id="rId41" Type="http://schemas.openxmlformats.org/officeDocument/2006/relationships/hyperlink" Target="https://onlinegamespromo.fazi.rs/Home/IntegrationGameLaunch?moneyType=0&amp;gameName=MONSTERS&amp;platform=desktop&amp;languageCode=eng&amp;currency=EUR" TargetMode="External"/><Relationship Id="rId1402" Type="http://schemas.openxmlformats.org/officeDocument/2006/relationships/hyperlink" Target="https://static.redstone.rs/games/heart-deluxe-2x/" TargetMode="External"/><Relationship Id="rId190" Type="http://schemas.openxmlformats.org/officeDocument/2006/relationships/hyperlink" Target="https://gameserver-store-client-area.orbionlimited.com/Home/IntegrationGameLaunch/client-area?moneyType=0&amp;gameName=UnicornIslandRespins&amp;platform=desktop&amp;languageCode=eng&amp;currency=EUR" TargetMode="External"/><Relationship Id="rId288" Type="http://schemas.openxmlformats.org/officeDocument/2006/relationships/hyperlink" Target="https://docs.google.com/document/d/1P9j-AAe4GCAxkE2GQcnFdtiXIolt7YNE/edit?usp=drive_link&amp;ouid=107596163405648766688&amp;rtpof=true&amp;sd=true" TargetMode="External"/><Relationship Id="rId495" Type="http://schemas.openxmlformats.org/officeDocument/2006/relationships/hyperlink" Target="https://docs.google.com/document/d/1R9VdFan2BxscNoqqq7JAP2usk36VI-Fn/edit?usp=drive_link&amp;ouid=107596163405648766688&amp;rtpof=true&amp;sd=true" TargetMode="External"/><Relationship Id="rId148" Type="http://schemas.openxmlformats.org/officeDocument/2006/relationships/hyperlink" Target="https://gameserver-store-client-area.orbionlimited.com/Home/IntegrationGameLaunch/client-area?moneyType=0&amp;gameName=UnicornTwentyDice&amp;platform=desktop&amp;languageCode=eng&amp;currency=EUR" TargetMode="External"/><Relationship Id="rId355" Type="http://schemas.openxmlformats.org/officeDocument/2006/relationships/hyperlink" Target="https://static.redstone.rs/games/20-fire-cash/" TargetMode="External"/><Relationship Id="rId562" Type="http://schemas.openxmlformats.org/officeDocument/2006/relationships/hyperlink" Target="https://gameserver-store-client-area.orbionlimited.com/Home/IntegrationGameLaunch/client-area?moneyType=0&amp;gameName=UnicornLavaDiamonds&amp;platform=desktop&amp;languageCode=eng&amp;currency=EUR" TargetMode="External"/><Relationship Id="rId1192" Type="http://schemas.openxmlformats.org/officeDocument/2006/relationships/hyperlink" Target="https://onlinegamespromo.fazi.rs/Home/IntegrationGameLaunch?moneyType=0&amp;gameName=UnicornTripleStackedDiamondJackpot&amp;platform=desktop&amp;languageCode=eng&amp;currency=EUR" TargetMode="External"/><Relationship Id="rId215" Type="http://schemas.openxmlformats.org/officeDocument/2006/relationships/hyperlink" Target="https://onlinegamespromo.fazi.rs/Home/IntegrationGameLaunch?moneyType=0&amp;gameName=TurboHot100&amp;platform=desktop&amp;languageCode=eng&amp;currency=EUR" TargetMode="External"/><Relationship Id="rId422" Type="http://schemas.openxmlformats.org/officeDocument/2006/relationships/hyperlink" Target="https://static.redstone.rs/games/hot-hot/" TargetMode="External"/><Relationship Id="rId867" Type="http://schemas.openxmlformats.org/officeDocument/2006/relationships/hyperlink" Target="https://onlinegamespromo.fazi.rs/Home/IntegrationGameLaunch?moneyType=0&amp;gameName=UnicornBigSpinDragons&amp;platform=desktop&amp;languageCode=eng&amp;currency=EUR" TargetMode="External"/><Relationship Id="rId1052" Type="http://schemas.openxmlformats.org/officeDocument/2006/relationships/hyperlink" Target="https://drive.google.com/drive/folders/15If-w8kO7AuO2xHYBS8w2z47YmBhdYIa?usp=drive_link" TargetMode="External"/><Relationship Id="rId1497" Type="http://schemas.openxmlformats.org/officeDocument/2006/relationships/hyperlink" Target="https://dicebyte.sharepoint.com/:b:/g/IQBqtyhY_ZLRQ6faRGOE-Es_AfS0vDfGoIZBB1phUqxZx48?e=bKLICK" TargetMode="External"/><Relationship Id="rId727" Type="http://schemas.openxmlformats.org/officeDocument/2006/relationships/hyperlink" Target="https://onlinegamespromo.fazi.rs/Home/IntegrationGameLaunch?moneyType=0&amp;gameName=PlayNetMajesticCrown20Xmas&amp;platform=desktop&amp;languageCode=eng&amp;currency=EUR" TargetMode="External"/><Relationship Id="rId934" Type="http://schemas.openxmlformats.org/officeDocument/2006/relationships/hyperlink" Target="https://gameserver-store-client-area.orbionlimited.com/Home/IntegrationGameLaunch/client-area?moneyType=0&amp;gameName=GoldenCrownExtreme&amp;platform=desktop&amp;languageCode=eng&amp;currency=EUR" TargetMode="External"/><Relationship Id="rId1357" Type="http://schemas.openxmlformats.org/officeDocument/2006/relationships/hyperlink" Target="https://gameserver-store-client-area.orbionlimited.com/Home/IntegrationGameLaunch/client-area?moneyType=0&amp;gameName=UnicornMoneyStandardJackpot&amp;platform=desktop&amp;languageCode=eng&amp;currency=EUR" TargetMode="External"/><Relationship Id="rId63" Type="http://schemas.openxmlformats.org/officeDocument/2006/relationships/hyperlink" Target="https://onlinegamespromo.fazi.rs/Home/IntegrationGameLaunch?moneyType=0&amp;gameName=KATANASOFTIME&amp;platform=desktop&amp;languageCode=eng&amp;currency=EUR" TargetMode="External"/><Relationship Id="rId1217" Type="http://schemas.openxmlformats.org/officeDocument/2006/relationships/hyperlink" Target="https://gameserver-store-client-area.orbionlimited.com/Home/IntegrationGameLaunch/client-area?moneyType=0&amp;gameName=UnicornThreeReelFruitBoost&amp;platform=desktop&amp;languageCode=eng&amp;currency=EUR" TargetMode="External"/><Relationship Id="rId1424" Type="http://schemas.openxmlformats.org/officeDocument/2006/relationships/hyperlink" Target="https://onlinegamespromo.fazi.rs/Home/IntegrationGameLaunch?moneyType=0&amp;gameName=PlayNet27LuckyFruits&amp;platform=desktop&amp;languageCode=eng&amp;currency=EUR" TargetMode="External"/><Relationship Id="rId640" Type="http://schemas.openxmlformats.org/officeDocument/2006/relationships/hyperlink" Target="https://gameserver-store-client-area.orbionlimited.com/Home/IntegrationGameLaunch/client-area?moneyType=0&amp;gameName=FortuneParrot&amp;platform=desktop&amp;languageCode=eng&amp;currency=EUR" TargetMode="External"/><Relationship Id="rId738" Type="http://schemas.openxmlformats.org/officeDocument/2006/relationships/hyperlink" Target="https://static.redstone.rs/games/christmas-delight/" TargetMode="External"/><Relationship Id="rId945" Type="http://schemas.openxmlformats.org/officeDocument/2006/relationships/hyperlink" Target="https://onlinegamespromo.fazi.rs/Home/IntegrationGameLaunch?moneyType=0&amp;gameName=PlayNetDarkTemptress&amp;platform=desktop&amp;languageCode=eng&amp;currency=EUR" TargetMode="External"/><Relationship Id="rId1368" Type="http://schemas.openxmlformats.org/officeDocument/2006/relationships/hyperlink" Target="https://onlinegamespromo.fazi.rs/Home/IntegrationGameLaunch?moneyType=0&amp;gameName=UnicornBarrelsOfRiches&amp;platform=desktop&amp;languageCode=eng&amp;currency=EUR" TargetMode="External"/><Relationship Id="rId74" Type="http://schemas.openxmlformats.org/officeDocument/2006/relationships/hyperlink" Target="https://gameserver-store-client-area.orbionlimited.com/Home/IntegrationGameLaunch/client-area?moneyType=0&amp;gameName=FruitsAndStars40&amp;platform=desktop&amp;languageCode=eng&amp;currency=EUR" TargetMode="External"/><Relationship Id="rId377" Type="http://schemas.openxmlformats.org/officeDocument/2006/relationships/hyperlink" Target="https://onlinegamespromo.fazi.rs/Home/IntegrationGameLaunch?moneyType=0&amp;gameName=UnicornDoubleWildDice&amp;platform=desktop&amp;languageCode=eng&amp;currency=EUR" TargetMode="External"/><Relationship Id="rId500" Type="http://schemas.openxmlformats.org/officeDocument/2006/relationships/hyperlink" Target="https://docs.google.com/document/d/1IQGnVcn_YqWL36Yv2DxCR6fILZrQehOS/edit?usp=drive_link&amp;ouid=107596163405648766688&amp;rtpof=true&amp;sd=true" TargetMode="External"/><Relationship Id="rId584" Type="http://schemas.openxmlformats.org/officeDocument/2006/relationships/hyperlink" Target="https://gameserver-store-client-area.orbionlimited.com/Home/IntegrationGameLaunch/client-area?moneyType=0&amp;gameName=UnicornFrootClassic&amp;platform=desktop&amp;languageCode=eng&amp;currency=EUR" TargetMode="External"/><Relationship Id="rId805" Type="http://schemas.openxmlformats.org/officeDocument/2006/relationships/hyperlink" Target="https://docs.google.com/document/d/1DdYXTKFFkRj34SDHVCAwvpT3sxtvhBr0/edit?usp=drive_link&amp;ouid=107596163405648766688&amp;rtpof=true&amp;sd=true" TargetMode="External"/><Relationship Id="rId1130" Type="http://schemas.openxmlformats.org/officeDocument/2006/relationships/hyperlink" Target="https://static.redstone.rs/games/chilli-double-40/" TargetMode="External"/><Relationship Id="rId1228" Type="http://schemas.openxmlformats.org/officeDocument/2006/relationships/hyperlink" Target="https://gameserver-store-client-area.orbionlimited.com/Home/IntegrationGameLaunch/client-area?moneyType=0&amp;gameName=CoinSplashDice&amp;platform=desktop&amp;languageCode=eng&amp;currency=EUR" TargetMode="External"/><Relationship Id="rId1435" Type="http://schemas.openxmlformats.org/officeDocument/2006/relationships/hyperlink" Target="https://gameserver-store-client-area.orbionlimited.com/Home/IntegrationGameLaunch/client-area?moneyType=0&amp;gameName=PlayNetDarkTemptress100&amp;platform=desktop&amp;languageCode=eng&amp;currency=EUR" TargetMode="External"/><Relationship Id="rId5" Type="http://schemas.openxmlformats.org/officeDocument/2006/relationships/hyperlink" Target="https://gameserver-store-client-area.orbionlimited.com/Home/IntegrationGameLaunch/client-area?moneyType=0&amp;gameName=DeepJungle&amp;platform=desktop&amp;languageCode=eng&amp;currency=EUR" TargetMode="External"/><Relationship Id="rId237" Type="http://schemas.openxmlformats.org/officeDocument/2006/relationships/hyperlink" Target="https://onlinegamespromo.fazi.rs/Home/IntegrationGameLaunch?moneyType=0&amp;gameName=Unicorn20MegaFlames&amp;platform=desktop&amp;languageCode=eng&amp;currency=EUR" TargetMode="External"/><Relationship Id="rId791" Type="http://schemas.openxmlformats.org/officeDocument/2006/relationships/hyperlink" Target="https://onlinegamespromo.fazi.rs/Home/IntegrationGameLaunch?moneyType=0&amp;gameName=UnicornSimplySevensDiceEaster&amp;platform=desktop&amp;languageCode=eng&amp;currency=EUR" TargetMode="External"/><Relationship Id="rId889" Type="http://schemas.openxmlformats.org/officeDocument/2006/relationships/hyperlink" Target="https://static.redstone.rs/games/40-joker-fire/" TargetMode="External"/><Relationship Id="rId1074" Type="http://schemas.openxmlformats.org/officeDocument/2006/relationships/hyperlink" Target="https://gameserver-store-client-area.orbionlimited.com/Home/IntegrationGameLaunch/client-area?moneyType=0&amp;gameName=UnicornBigSpinDice&amp;platform=desktop&amp;languageCode=eng&amp;currency=EUR" TargetMode="External"/><Relationship Id="rId444" Type="http://schemas.openxmlformats.org/officeDocument/2006/relationships/hyperlink" Target="https://gameserver-store-client-area.orbionlimited.com/Home/IntegrationGameLaunch/client-area?moneyType=0&amp;gameName=UnicornGoldLine&amp;platform=desktop&amp;languageCode=eng&amp;currency=EUR" TargetMode="External"/><Relationship Id="rId651" Type="http://schemas.openxmlformats.org/officeDocument/2006/relationships/hyperlink" Target="https://onlinegamespromo.fazi.rs/Home/IntegrationGameLaunch?moneyType=0&amp;gameName=UnicornLavaDice&amp;platform=desktop&amp;languageCode=eng&amp;currency=EUR" TargetMode="External"/><Relationship Id="rId749" Type="http://schemas.openxmlformats.org/officeDocument/2006/relationships/hyperlink" Target="https://static.redstone.rs/games/volcano-hot/" TargetMode="External"/><Relationship Id="rId1281" Type="http://schemas.openxmlformats.org/officeDocument/2006/relationships/hyperlink" Target="https://drive.google.com/file/d/1x44az3aQtpIw5MUPC7Tlxd0m5EFMs2bt/view?usp=sharing" TargetMode="External"/><Relationship Id="rId1379" Type="http://schemas.openxmlformats.org/officeDocument/2006/relationships/hyperlink" Target="https://docs.google.com/document/d/12Am11-4mtpE7Vt3O5Za5EBDo3bJWky8h/edit?usp=drive_link&amp;ouid=107596163405648766688&amp;rtpof=true&amp;sd=true" TargetMode="External"/><Relationship Id="rId1502" Type="http://schemas.openxmlformats.org/officeDocument/2006/relationships/hyperlink" Target="https://rgs-royal-jewels-fortune-deluxe.soko.games/?demo=True&amp;locale=eng" TargetMode="External"/><Relationship Id="rId290" Type="http://schemas.openxmlformats.org/officeDocument/2006/relationships/hyperlink" Target="https://static.redstone.rs/games/clover-coin/" TargetMode="External"/><Relationship Id="rId304" Type="http://schemas.openxmlformats.org/officeDocument/2006/relationships/hyperlink" Target="https://gameserver-store-client-area.orbionlimited.com/Home/IntegrationGameLaunch/client-area?moneyType=0&amp;gameName=WildLuckyClover&amp;platform=desktop&amp;languageCode=eng&amp;currency=EUR" TargetMode="External"/><Relationship Id="rId388" Type="http://schemas.openxmlformats.org/officeDocument/2006/relationships/hyperlink" Target="https://gameserver-store-client-area.orbionlimited.com/Home/IntegrationGameLaunch/client-area?moneyType=0&amp;gameName=WildLuckyClover2&amp;platform=desktop&amp;languageCode=eng&amp;currency=EUR" TargetMode="External"/><Relationship Id="rId511" Type="http://schemas.openxmlformats.org/officeDocument/2006/relationships/hyperlink" Target="https://play.redstone.rs/games/20-wild-crown/index.html" TargetMode="External"/><Relationship Id="rId609" Type="http://schemas.openxmlformats.org/officeDocument/2006/relationships/hyperlink" Target="https://drive.google.com/file/d/1cxG6mU16qcu_ClB03Mcybh8Phw3vHxjf/view?usp=drive_link" TargetMode="External"/><Relationship Id="rId956" Type="http://schemas.openxmlformats.org/officeDocument/2006/relationships/hyperlink" Target="https://gameserver-store-client-area.orbionlimited.com/Home/IntegrationGameLaunch/client-area?moneyType=0&amp;gameName=EpicCrown10Booster&amp;platform=desktop&amp;languageCode=eng&amp;currency=EUR" TargetMode="External"/><Relationship Id="rId1141" Type="http://schemas.openxmlformats.org/officeDocument/2006/relationships/hyperlink" Target="https://gameserver-store-client-area.orbionlimited.com/Home/IntegrationGameLaunch/client-area?moneyType=0&amp;gameName=WildJokerHotBooster&amp;platform=desktop&amp;languageCode=eng&amp;currency=EUR" TargetMode="External"/><Relationship Id="rId1239" Type="http://schemas.openxmlformats.org/officeDocument/2006/relationships/hyperlink" Target="https://docs.google.com/document/d/1wzPBJWwXuvufljN6Kmgln2SP6MhSZMou/edit?usp=drive_link&amp;ouid=107596163405648766688&amp;rtpof=true&amp;sd=true" TargetMode="External"/><Relationship Id="rId85" Type="http://schemas.openxmlformats.org/officeDocument/2006/relationships/hyperlink" Target="https://onlinegamespromo.fazi.rs/Home/IntegrationGameLaunch?moneyType=0&amp;gameName=JazzyFruits&amp;platform=desktop&amp;languageCode=eng&amp;currency=EUR" TargetMode="External"/><Relationship Id="rId150" Type="http://schemas.openxmlformats.org/officeDocument/2006/relationships/hyperlink" Target="https://docs.google.com/document/d/1o5-igOWhrvuBtMNzHLshyzuuLZgY5hE3/edit?usp=drive_link&amp;ouid=107596163405648766688&amp;rtpof=true&amp;sd=true" TargetMode="External"/><Relationship Id="rId595" Type="http://schemas.openxmlformats.org/officeDocument/2006/relationships/hyperlink" Target="https://drive.google.com/file/d/1gp0lAf8_G5l6Gwzm1XC85yZzwG7h5yC4/view?usp=drive_link" TargetMode="External"/><Relationship Id="rId816" Type="http://schemas.openxmlformats.org/officeDocument/2006/relationships/hyperlink" Target="https://drive.google.com/file/d/1ei-DJnGnfC4ikq8YZZ6BD0vM0O5OSpUY/view?usp=drive_link" TargetMode="External"/><Relationship Id="rId1001" Type="http://schemas.openxmlformats.org/officeDocument/2006/relationships/hyperlink" Target="https://static.redstone.rs/games/sevens-heaven/" TargetMode="External"/><Relationship Id="rId1446" Type="http://schemas.openxmlformats.org/officeDocument/2006/relationships/hyperlink" Target="https://onlinegamespromo.fazi.rs/Home/IntegrationGameLaunch?moneyType=0&amp;gameName=Clover27&amp;platform=desktop&amp;languageCode=eng&amp;currency=EUR" TargetMode="External"/><Relationship Id="rId248" Type="http://schemas.openxmlformats.org/officeDocument/2006/relationships/hyperlink" Target="https://gameserver-store-client-area.orbionlimited.com/Home/IntegrationGameLaunch/client-area?moneyType=0&amp;gameName=FruityWin20&amp;platform=desktop&amp;languageCode=eng&amp;currency=EUR" TargetMode="External"/><Relationship Id="rId455" Type="http://schemas.openxmlformats.org/officeDocument/2006/relationships/hyperlink" Target="https://onlinegamespromo.fazi.rs/Home/IntegrationGameLaunch?moneyType=0&amp;gameName=WildCraps&amp;platform=desktop&amp;languageCode=eng&amp;currency=EUR" TargetMode="External"/><Relationship Id="rId662" Type="http://schemas.openxmlformats.org/officeDocument/2006/relationships/hyperlink" Target="https://docs.google.com/document/d/1mXBnKRVcNAjM-HC47zcxr6236JVcRFYE/edit?usp=drive_link&amp;ouid=107596163405648766688&amp;rtpof=true&amp;sd=true" TargetMode="External"/><Relationship Id="rId1085" Type="http://schemas.openxmlformats.org/officeDocument/2006/relationships/hyperlink" Target="https://onlinegamespromo.fazi.rs/Home/IntegrationGameLaunch?moneyType=0&amp;gameName=UnicornMoneyStandardPlatinum&amp;platform=desktop&amp;languageCode=eng&amp;currency=EUR" TargetMode="External"/><Relationship Id="rId1292" Type="http://schemas.openxmlformats.org/officeDocument/2006/relationships/hyperlink" Target="https://gameserver-store-client-area.orbionlimited.com/Home/IntegrationGameLaunch/client-area?moneyType=0&amp;gameName=GoldenDiamonds20Extreme&amp;platform=desktop&amp;languageCode=eng&amp;currency=EUR" TargetMode="External"/><Relationship Id="rId1306" Type="http://schemas.openxmlformats.org/officeDocument/2006/relationships/hyperlink" Target="https://gameserver-store-client-area.orbionlimited.com/Home/IntegrationGameLaunch/client-area?moneyType=0&amp;gameName=LockedHearts5&amp;platform=desktop&amp;languageCode=eng&amp;currency=EUR" TargetMode="External"/><Relationship Id="rId1513" Type="http://schemas.openxmlformats.org/officeDocument/2006/relationships/hyperlink" Target="https://drive.google.com/drive/u/1/folders/1VUsqF4POYyLYFTpmPADn7kSJ-Mhd9zC-" TargetMode="External"/><Relationship Id="rId12" Type="http://schemas.openxmlformats.org/officeDocument/2006/relationships/hyperlink" Target="https://onlinegamespromo.fazi.rs/Home/IntegrationGameLaunch?moneyType=0&amp;gameName=Hot777&amp;platform=desktop&amp;languageCode=eng&amp;currency=EUR" TargetMode="External"/><Relationship Id="rId108" Type="http://schemas.openxmlformats.org/officeDocument/2006/relationships/hyperlink" Target="https://docs.google.com/document/d/1h3ldOOr6x6wyMw4LsEKfr6TQVCocTUMs/edit?usp=drive_link&amp;ouid=107596163405648766688&amp;rtpof=true&amp;sd=true" TargetMode="External"/><Relationship Id="rId315" Type="http://schemas.openxmlformats.org/officeDocument/2006/relationships/hyperlink" Target="https://static.redstone.rs/games/10-wild-pumpkin/" TargetMode="External"/><Relationship Id="rId522" Type="http://schemas.openxmlformats.org/officeDocument/2006/relationships/hyperlink" Target="https://static.redstone.rs/games/chilli-double/" TargetMode="External"/><Relationship Id="rId967" Type="http://schemas.openxmlformats.org/officeDocument/2006/relationships/hyperlink" Target="https://static.redstone.rs/games/double-wild-crown/" TargetMode="External"/><Relationship Id="rId1152" Type="http://schemas.openxmlformats.org/officeDocument/2006/relationships/hyperlink" Target="https://onlinegamespromo.fazi.rs/Home/IntegrationGameLaunch?moneyType=0&amp;gameName=MacacoDaFortuna&amp;platform=desktop&amp;languageCode=eng&amp;currency=EUR" TargetMode="External"/><Relationship Id="rId96" Type="http://schemas.openxmlformats.org/officeDocument/2006/relationships/hyperlink" Target="https://gameserver-store-client-area.orbionlimited.com/Home/IntegrationGameLaunch/client-area?moneyType=0&amp;gameName=UnicornVegasDice&amp;platform=desktop&amp;languageCode=eng&amp;currency=EUR" TargetMode="External"/><Relationship Id="rId161" Type="http://schemas.openxmlformats.org/officeDocument/2006/relationships/hyperlink" Target="https://docs.google.com/document/d/134OvURJFj6vy5RZvoh-CfV3klcsPJgiz/edit?usp=drive_link&amp;ouid=107596163405648766688&amp;rtpof=true&amp;sd=true" TargetMode="External"/><Relationship Id="rId399" Type="http://schemas.openxmlformats.org/officeDocument/2006/relationships/hyperlink" Target="https://onlinegamespromo.fazi.rs/Home/IntegrationGameLaunch?moneyType=0&amp;gameName=Unicorn5HotStrike&amp;platform=desktop&amp;languageCode=eng&amp;currency=EUR" TargetMode="External"/><Relationship Id="rId827" Type="http://schemas.openxmlformats.org/officeDocument/2006/relationships/hyperlink" Target="https://onlinegamespromo.fazi.rs/Home/IntegrationGameLaunch?moneyType=0&amp;gameName=TopHot5&amp;platform=desktop&amp;languageCode=eng&amp;currency=EURR" TargetMode="External"/><Relationship Id="rId1012" Type="http://schemas.openxmlformats.org/officeDocument/2006/relationships/hyperlink" Target="https://gameserver-store-client-area.orbionlimited.com/Home/IntegrationGameLaunch/client-area?moneyType=0&amp;gameName=UnicornEnchantedGems&amp;platform=desktop&amp;languageCode=eng&amp;currency=EUR" TargetMode="External"/><Relationship Id="rId1457" Type="http://schemas.openxmlformats.org/officeDocument/2006/relationships/hyperlink" Target="https://gameserver-store-client-area.orbionlimited.com/Home/IntegrationGameLaunch/client-area?moneyType=0&amp;gameName=Redstone10CloverDeluxe&amp;platform=desktop&amp;languageCode=eng&amp;currency=EUR" TargetMode="External"/><Relationship Id="rId259" Type="http://schemas.openxmlformats.org/officeDocument/2006/relationships/hyperlink" Target="https://docs.google.com/document/d/1lhnxNwHSO0QNRkNdhECb9Bi16w892Bip/edit?usp=drive_link&amp;ouid=107596163405648766688&amp;rtpof=true&amp;sd=true" TargetMode="External"/><Relationship Id="rId466" Type="http://schemas.openxmlformats.org/officeDocument/2006/relationships/hyperlink" Target="https://gameserver-store-client-area.orbionlimited.com/Home/IntegrationGameLaunch/client-area?moneyType=0&amp;gameName=UnicornChristmasPresents&amp;platform=desktop&amp;languageCode=eng&amp;currency=EUR" TargetMode="External"/><Relationship Id="rId673" Type="http://schemas.openxmlformats.org/officeDocument/2006/relationships/hyperlink" Target="https://docs.google.com/document/d/1622RXsaCRk6kddwwmUtbQISmOIoVvd5e/edit?usp=drive_link&amp;ouid=107596163405648766688&amp;rtpof=true&amp;sd=true" TargetMode="External"/><Relationship Id="rId880" Type="http://schemas.openxmlformats.org/officeDocument/2006/relationships/hyperlink" Target="https://drive.google.com/file/d/1TMpX-3d-GMrkiWUaYstT8weMYDI2yoSD/view?usp=sharing" TargetMode="External"/><Relationship Id="rId1096" Type="http://schemas.openxmlformats.org/officeDocument/2006/relationships/hyperlink" Target="https://gameserver-store-client-area.orbionlimited.com/Home/IntegrationGameLaunch/client-area?moneyType=0&amp;gameName=PlayNet81MagicStars&amp;platform=desktop&amp;languageCode=eng&amp;currency=EUR" TargetMode="External"/><Relationship Id="rId1317" Type="http://schemas.openxmlformats.org/officeDocument/2006/relationships/hyperlink" Target="https://onlinegamespromo.fazi.rs/Home/IntegrationGameLaunch?moneyType=0&amp;gameName=CloversAndDiamonds5&amp;platform=desktop&amp;languageCode=eng&amp;currency=EUR" TargetMode="External"/><Relationship Id="rId1524" Type="http://schemas.openxmlformats.org/officeDocument/2006/relationships/hyperlink" Target="https://onlinegamespromo.fazi.rs/Home/IntegrationGameLaunch?moneyType=0&amp;gameName=PlayNetTropicTwistExtreme&amp;platform=desktop&amp;languageCode=eng&amp;currency=EUR" TargetMode="External"/><Relationship Id="rId23" Type="http://schemas.openxmlformats.org/officeDocument/2006/relationships/hyperlink" Target="https://onlinegamespromo.fazi.rs/Home/IntegrationGameLaunch?moneyType=0&amp;gameName=JUICYHOT&amp;platform=desktop&amp;languageCode=eng&amp;currency=EUR" TargetMode="External"/><Relationship Id="rId119" Type="http://schemas.openxmlformats.org/officeDocument/2006/relationships/hyperlink" Target="https://onlinegamespromo.fazi.rs/Home/IntegrationGameLaunch?moneyType=0&amp;gameName=UnicornWildParadise&amp;platform=desktop&amp;languageCode=eng&amp;currency=EUR" TargetMode="External"/><Relationship Id="rId326" Type="http://schemas.openxmlformats.org/officeDocument/2006/relationships/hyperlink" Target="https://docs.google.com/document/d/1SpmLw2SDEhPZa5TzK3I3v6VPCx7Ett_4/edit?usp=drive_link&amp;ouid=107596163405648766688&amp;rtpof=true&amp;sd=true" TargetMode="External"/><Relationship Id="rId533" Type="http://schemas.openxmlformats.org/officeDocument/2006/relationships/hyperlink" Target="https://static.redstone.rs/games/hot-rush-stars-deluxe/" TargetMode="External"/><Relationship Id="rId978" Type="http://schemas.openxmlformats.org/officeDocument/2006/relationships/hyperlink" Target="https://static.redstone.rs/games/double-crown-5/" TargetMode="External"/><Relationship Id="rId1163" Type="http://schemas.openxmlformats.org/officeDocument/2006/relationships/hyperlink" Target="https://gameserver-store-client-area.orbionlimited.com/Home/IntegrationGameLaunch/client-area?moneyType=0&amp;gameName=TaxiRush&amp;platform=desktop&amp;languageCode=eng&amp;currency=EUR" TargetMode="External"/><Relationship Id="rId1370" Type="http://schemas.openxmlformats.org/officeDocument/2006/relationships/hyperlink" Target="https://docs.google.com/document/d/1YSsz_jLJlreA3qN9Lt9RMXC863ydho0G/edit?usp=drive_link&amp;ouid=107596163405648766688&amp;rtpof=true&amp;sd=true" TargetMode="External"/><Relationship Id="rId740" Type="http://schemas.openxmlformats.org/officeDocument/2006/relationships/hyperlink" Target="https://drive.google.com/file/d/1yFW_DFZpZEz8k9eLcehKH_MYcKX2SXKy/view?usp=drive_link" TargetMode="External"/><Relationship Id="rId838" Type="http://schemas.openxmlformats.org/officeDocument/2006/relationships/hyperlink" Target="https://gameserver-store-client-area.orbionlimited.com/Home/IntegrationGameLaunch/client-area?moneyType=0&amp;gameName=Wild5&amp;platform=desktop&amp;languageCode=eng&amp;currency=EUR" TargetMode="External"/><Relationship Id="rId1023" Type="http://schemas.openxmlformats.org/officeDocument/2006/relationships/hyperlink" Target="https://onlinegamespromo.fazi.rs/Home/IntegrationGameLaunch?moneyType=0&amp;gameName=UnicornFruitPlay&amp;platform=desktop&amp;languageCode=eng&amp;currency=EUR" TargetMode="External"/><Relationship Id="rId1468" Type="http://schemas.openxmlformats.org/officeDocument/2006/relationships/hyperlink" Target="https://static.redstone.rs/games/multi-heart-10/" TargetMode="External"/><Relationship Id="rId172" Type="http://schemas.openxmlformats.org/officeDocument/2006/relationships/hyperlink" Target="https://gameserver-store-client-area.orbionlimited.com/Home/IntegrationGameLaunch/client-area?moneyType=0&amp;gameName=HeatingIce&amp;platform=desktop&amp;languageCode=eng&amp;currency=EUR" TargetMode="External"/><Relationship Id="rId477" Type="http://schemas.openxmlformats.org/officeDocument/2006/relationships/hyperlink" Target="https://play.redstone.rs/games/40-hot-joker/index.html" TargetMode="External"/><Relationship Id="rId600" Type="http://schemas.openxmlformats.org/officeDocument/2006/relationships/hyperlink" Target="https://gameserver-store-client-area.orbionlimited.com/Home/IntegrationGameLaunch/client-area?moneyType=0&amp;gameName=BlowFruits40&amp;platform=desktop&amp;languageCode=eng&amp;currency=EUR" TargetMode="External"/><Relationship Id="rId684" Type="http://schemas.openxmlformats.org/officeDocument/2006/relationships/hyperlink" Target="https://gameserver-store-client-area.orbionlimited.com/Home/IntegrationGameLaunch/client-area?moneyType=0&amp;gameName=PlayNetMajesticCrown20&amp;platform=desktop&amp;languageCode=eng&amp;currency=EUR" TargetMode="External"/><Relationship Id="rId1230" Type="http://schemas.openxmlformats.org/officeDocument/2006/relationships/hyperlink" Target="https://gameserver-store-client-area.orbionlimited.com/Home/IntegrationGameLaunch/client-area?moneyType=0&amp;gameName=WildHot40Deluxe&amp;platform=desktop&amp;languageCode=eng&amp;currency=EUR" TargetMode="External"/><Relationship Id="rId1328" Type="http://schemas.openxmlformats.org/officeDocument/2006/relationships/hyperlink" Target="https://gameserver-store-client-area.orbionlimited.com/Home/IntegrationGameLaunch/client-area?moneyType=0&amp;gameName=WinningClover5ExtremeBooster&amp;platform=desktop&amp;languageCode=eng&amp;currency=EUR" TargetMode="External"/><Relationship Id="rId1535" Type="http://schemas.openxmlformats.org/officeDocument/2006/relationships/hyperlink" Target="https://drive.google.com/file/d/10rV4fotC8qoSNCHiRcLITCnXVGI7dtFg/view?usp=drive_link" TargetMode="External"/><Relationship Id="rId337" Type="http://schemas.openxmlformats.org/officeDocument/2006/relationships/hyperlink" Target="https://onlinegamespromo.fazi.rs/Home/IntegrationGameLaunch?moneyType=0&amp;gameName=WildHot40Blow&amp;platform=desktop&amp;languageCode=eng&amp;currency=EUR" TargetMode="External"/><Relationship Id="rId891" Type="http://schemas.openxmlformats.org/officeDocument/2006/relationships/hyperlink" Target="https://drive.google.com/file/d/1TUmCnus95of-VOgrsOFgtYLc-yHhQAK4/view?usp=drive_link" TargetMode="External"/><Relationship Id="rId905" Type="http://schemas.openxmlformats.org/officeDocument/2006/relationships/hyperlink" Target="https://onlinegamespromo.fazi.rs/Home/IntegrationGameLaunch?moneyType=0&amp;gameName=PlayNetMajesticCrownX2&amp;platform=desktop&amp;languageCode=eng&amp;currency=EUR" TargetMode="External"/><Relationship Id="rId989" Type="http://schemas.openxmlformats.org/officeDocument/2006/relationships/hyperlink" Target="https://static.redstone.rs/games/crown-drop/" TargetMode="External"/><Relationship Id="rId34" Type="http://schemas.openxmlformats.org/officeDocument/2006/relationships/hyperlink" Target="https://gameserver-store-client-area.orbionlimited.com/Home/IntegrationGameLaunch/client-area?moneyType=0&amp;gameName=CrystalsOfMagic&amp;platform=desktop&amp;languageCode=eng&amp;currency=EUR" TargetMode="External"/><Relationship Id="rId544" Type="http://schemas.openxmlformats.org/officeDocument/2006/relationships/hyperlink" Target="https://docs.google.com/document/d/1q3SbJQgO6U4tBqX5B5iQU_icjsA4S6GH/edit?usp=drive_link&amp;ouid=107596163405648766688&amp;rtpof=true&amp;sd=true" TargetMode="External"/><Relationship Id="rId751" Type="http://schemas.openxmlformats.org/officeDocument/2006/relationships/hyperlink" Target="https://docs.google.com/document/d/1TZm4cFN3pLqqLsQDht7QeFxb_bqDb1Jo/edit?usp=drive_link&amp;ouid=107596163405648766688&amp;rtpof=true&amp;sd=true" TargetMode="External"/><Relationship Id="rId849" Type="http://schemas.openxmlformats.org/officeDocument/2006/relationships/hyperlink" Target="https://onlinegamespromo.fazi.rs/Home/IntegrationGameLaunch?moneyType=0&amp;gameName=UnicornDynamiteRunPlatinum&amp;platform=desktop&amp;languageCode=eng&amp;currency=EUR" TargetMode="External"/><Relationship Id="rId1174" Type="http://schemas.openxmlformats.org/officeDocument/2006/relationships/hyperlink" Target="https://royal-crown-delight.soko.games/" TargetMode="External"/><Relationship Id="rId1381" Type="http://schemas.openxmlformats.org/officeDocument/2006/relationships/hyperlink" Target="https://static.redstone.rs/games/5-heart-deluxe/" TargetMode="External"/><Relationship Id="rId1479" Type="http://schemas.openxmlformats.org/officeDocument/2006/relationships/hyperlink" Target="https://onlinegamespromo.fazi.rs/Home/IntegrationGameLaunch?moneyType=0&amp;gameName=ExtremeStickyClover&amp;platform=desktop&amp;languageCode=eng&amp;currency=EUR" TargetMode="External"/><Relationship Id="rId183" Type="http://schemas.openxmlformats.org/officeDocument/2006/relationships/hyperlink" Target="https://docs.google.com/document/d/1hethQ-7BhyW7C1czw_h-bGgzvJVp0qmK/edit?usp=drive_link&amp;ouid=107596163405648766688&amp;rtpof=true&amp;sd=true" TargetMode="External"/><Relationship Id="rId390" Type="http://schemas.openxmlformats.org/officeDocument/2006/relationships/hyperlink" Target="https://gameserver-store-client-area.orbionlimited.com/Home/IntegrationGameLaunch/client-area?moneyType=0&amp;gameName=Unicorn40FruitReels&amp;platform=desktop&amp;languageCode=eng&amp;currency=EUR" TargetMode="External"/><Relationship Id="rId404" Type="http://schemas.openxmlformats.org/officeDocument/2006/relationships/hyperlink" Target="https://gameserver-store-client-area.orbionlimited.com/Home/IntegrationGameLaunch/client-area?moneyType=0&amp;gameName=KettysFashionWorld&amp;platform=desktop&amp;languageCode=eng&amp;currency=EUR" TargetMode="External"/><Relationship Id="rId611" Type="http://schemas.openxmlformats.org/officeDocument/2006/relationships/hyperlink" Target="https://onlinegamespromo.fazi.rs/Home/IntegrationGameLaunch?moneyType=0&amp;gameName=BonusCrown&amp;lobbyUrl=https://www.fazi-interactive.com/" TargetMode="External"/><Relationship Id="rId1034" Type="http://schemas.openxmlformats.org/officeDocument/2006/relationships/hyperlink" Target="https://gameserver-store-client-area.orbionlimited.com/Home/IntegrationGameLaunch/client-area?moneyType=0&amp;gameName=UnicornTheKingsHalloween&amp;platform=desktop&amp;languageCode=eng&amp;currency=EUR" TargetMode="External"/><Relationship Id="rId1241" Type="http://schemas.openxmlformats.org/officeDocument/2006/relationships/hyperlink" Target="https://static.redstone.rs/games/multi-clover-5/" TargetMode="External"/><Relationship Id="rId1339" Type="http://schemas.openxmlformats.org/officeDocument/2006/relationships/hyperlink" Target="https://onlinegamespromo.fazi.rs/Home/IntegrationGameLaunch?moneyType=0&amp;gameName=CloversAndDiamonds40&amp;platform=desktop&amp;languageCode=eng&amp;currency=EUR" TargetMode="External"/><Relationship Id="rId250" Type="http://schemas.openxmlformats.org/officeDocument/2006/relationships/hyperlink" Target="https://gameserver-store-client-area.orbionlimited.com/Home/IntegrationGameLaunch/client-area?moneyType=0&amp;gameName=FruityHot5&amp;platform=desktop&amp;languageCode=eng&amp;currency=EUR" TargetMode="External"/><Relationship Id="rId488" Type="http://schemas.openxmlformats.org/officeDocument/2006/relationships/hyperlink" Target="https://docs.google.com/document/d/1DY8X7hAgBj5u5gZiTi5xhZwo2C6oO69V/edit?usp=drive_link&amp;ouid=107596163405648766688&amp;rtpof=true&amp;sd=true" TargetMode="External"/><Relationship Id="rId695" Type="http://schemas.openxmlformats.org/officeDocument/2006/relationships/hyperlink" Target="https://onlinegamespromo.fazi.rs/Home/IntegrationGameLaunch?moneyType=0&amp;gameName=PlayNet27WildStacks&amp;platform=desktop&amp;languageCode=eng&amp;currency=EUR" TargetMode="External"/><Relationship Id="rId709" Type="http://schemas.openxmlformats.org/officeDocument/2006/relationships/hyperlink" Target="https://onlinegamespromo.fazi.rs/Home/IntegrationGameLaunch?moneyType=0&amp;gameName=PlayNetBookOfAmun&amp;platform=desktop&amp;languageCode=eng&amp;currency=EUR" TargetMode="External"/><Relationship Id="rId916" Type="http://schemas.openxmlformats.org/officeDocument/2006/relationships/hyperlink" Target="https://drive.google.com/drive/folders/1E7Mxi22KXbprgaL9JSeePsLAKW7oSG31" TargetMode="External"/><Relationship Id="rId1101" Type="http://schemas.openxmlformats.org/officeDocument/2006/relationships/hyperlink" Target="https://onlinegamespromo.fazi.rs/Home/IntegrationGameLaunch?moneyType=0&amp;gameName=PlayNetElfAndRoll&amp;platform=desktop&amp;languageCode=eng&amp;currency=EUR" TargetMode="External"/><Relationship Id="rId1546" Type="http://schemas.openxmlformats.org/officeDocument/2006/relationships/hyperlink" Target="https://onlinegamespromo.fazi.rs/Home/IntegrationGameLaunch?moneyType=0&amp;gameName=TBD&amp;platform=desktop&amp;languageCode=eng&amp;currency=EUR" TargetMode="External"/><Relationship Id="rId45" Type="http://schemas.openxmlformats.org/officeDocument/2006/relationships/hyperlink" Target="https://onlinegamespromo.fazi.rs/Home/IntegrationGameLaunch?moneyType=0&amp;gameName=VIKINGGOLD&amp;platform=desktop&amp;languageCode=eng&amp;currency=EUR" TargetMode="External"/><Relationship Id="rId110" Type="http://schemas.openxmlformats.org/officeDocument/2006/relationships/hyperlink" Target="https://static.redstone.rs/games/40-wild-clover/" TargetMode="External"/><Relationship Id="rId348" Type="http://schemas.openxmlformats.org/officeDocument/2006/relationships/hyperlink" Target="https://gameserver-store-client-area.orbionlimited.com/Home/IntegrationGameLaunch/client-area?moneyType=0&amp;gameName=PixelHot40&amp;platform=desktop&amp;languageCode=eng&amp;currency=EUR" TargetMode="External"/><Relationship Id="rId555" Type="http://schemas.openxmlformats.org/officeDocument/2006/relationships/hyperlink" Target="https://onlinegamespromo.fazi.rs/Home/IntegrationGameLaunch?moneyType=0&amp;gameName=FootballVictory&amp;platform=desktop&amp;languageCode=eng&amp;currency=EUR" TargetMode="External"/><Relationship Id="rId762" Type="http://schemas.openxmlformats.org/officeDocument/2006/relationships/hyperlink" Target="https://gameserver-store-client-area.orbionlimited.com/Home/IntegrationGameLaunch/client-area?moneyType=0&amp;gameName=PlayNetDiamondHeartX2&amp;platform=desktop&amp;languageCode=eng&amp;currency=EUR" TargetMode="External"/><Relationship Id="rId1185" Type="http://schemas.openxmlformats.org/officeDocument/2006/relationships/hyperlink" Target="https://docs.google.com/document/d/1ups8VbsyAU1YSsAfJMMhW8VBCHE40rFtctJjZw8g4cE/edit?usp=sharing" TargetMode="External"/><Relationship Id="rId1392" Type="http://schemas.openxmlformats.org/officeDocument/2006/relationships/hyperlink" Target="https://docs.google.com/document/d/1WrluwbWAmyc0wWS3PAGQlrTo2xpZ5lYg/edit?usp=drive_link&amp;ouid=107596163405648766688&amp;rtpof=true&amp;sd=true" TargetMode="External"/><Relationship Id="rId1406" Type="http://schemas.openxmlformats.org/officeDocument/2006/relationships/hyperlink" Target="https://static.redstone.rs/games/cosmic-fruits/" TargetMode="External"/><Relationship Id="rId194" Type="http://schemas.openxmlformats.org/officeDocument/2006/relationships/hyperlink" Target="https://static.redstone.rs/games/lost-book/" TargetMode="External"/><Relationship Id="rId208" Type="http://schemas.openxmlformats.org/officeDocument/2006/relationships/hyperlink" Target="https://gameserver-store-client-area.orbionlimited.com/Home/IntegrationGameLaunch/client-area?moneyType=0&amp;gameName=WinningStars&amp;platform=desktop&amp;languageCode=eng&amp;currency=EUR" TargetMode="External"/><Relationship Id="rId415" Type="http://schemas.openxmlformats.org/officeDocument/2006/relationships/hyperlink" Target="https://onlinegamespromo.fazi.rs/Home/IntegrationGameLaunch?moneyType=0&amp;gameName=Unicorn20HotStrikeDice&amp;platform=desktop&amp;languageCode=eng&amp;currency=EUR" TargetMode="External"/><Relationship Id="rId622" Type="http://schemas.openxmlformats.org/officeDocument/2006/relationships/hyperlink" Target="https://gameserver-store-client-area.orbionlimited.com/Home/IntegrationGameLaunch/client-area?moneyType=0&amp;gameName=VeryHot40Extreme&amp;platform=desktop&amp;languageCode=eng&amp;currency=EUR" TargetMode="External"/><Relationship Id="rId1045" Type="http://schemas.openxmlformats.org/officeDocument/2006/relationships/hyperlink" Target="https://onlinegamespromo.fazi.rs/Home/IntegrationGameLaunch?moneyType=0&amp;gameName=EpicClover100Booster&amp;platform=desktop&amp;languageCode=eng&amp;currency=EUR" TargetMode="External"/><Relationship Id="rId1252" Type="http://schemas.openxmlformats.org/officeDocument/2006/relationships/hyperlink" Target="https://docs.google.com/document/d/1d0syaxpX5IuTfLZ9M4igW7N80Ay2svZd/edit?usp=drive_link&amp;ouid=107596163405648766688&amp;rtpof=true&amp;sd=true" TargetMode="External"/><Relationship Id="rId261" Type="http://schemas.openxmlformats.org/officeDocument/2006/relationships/hyperlink" Target="https://static.redstone.rs/games/10-wild-diamond/" TargetMode="External"/><Relationship Id="rId499" Type="http://schemas.openxmlformats.org/officeDocument/2006/relationships/hyperlink" Target="https://docs.google.com/document/d/15b1HM0l4KpfaiAAKNvC0nHSXb8d6Mk1v/edit?usp=drive_link&amp;ouid=107596163405648766688&amp;rtpof=true&amp;sd=true" TargetMode="External"/><Relationship Id="rId927" Type="http://schemas.openxmlformats.org/officeDocument/2006/relationships/hyperlink" Target="https://drive.google.com/file/d/1FxFMrh81jeZhmR9kjvgWSmBDo91kdkwg/view?usp=drive_link" TargetMode="External"/><Relationship Id="rId1112" Type="http://schemas.openxmlformats.org/officeDocument/2006/relationships/hyperlink" Target="https://static.redstone.rs/games/chilli-hot-40/" TargetMode="External"/><Relationship Id="rId56" Type="http://schemas.openxmlformats.org/officeDocument/2006/relationships/hyperlink" Target="https://gameserver-store-client-area.orbionlimited.com/Home/IntegrationGameLaunch/client-area?moneyType=0&amp;gameName=TripleHot&amp;platform=desktop&amp;languageCode=eng&amp;currency=EUR" TargetMode="External"/><Relationship Id="rId359" Type="http://schemas.openxmlformats.org/officeDocument/2006/relationships/hyperlink" Target="https://onlinegamespromo.fazi.rs/Home/IntegrationGameLaunch?moneyType=0&amp;gameName=EpicFire40&amp;platform=desktop&amp;languageCode=eng&amp;currency=EUR" TargetMode="External"/><Relationship Id="rId566" Type="http://schemas.openxmlformats.org/officeDocument/2006/relationships/hyperlink" Target="https://docs.google.com/document/d/1LP-773KOGjSB_rZ6WHFgqj6HeerAZfgT/edit?usp=drive_link&amp;ouid=107596163405648766688&amp;rtpof=true&amp;sd=true" TargetMode="External"/><Relationship Id="rId773" Type="http://schemas.openxmlformats.org/officeDocument/2006/relationships/hyperlink" Target="https://drive.google.com/file/d/1W_BPHrrUARyMXmK7K4qDLrMjxipREg4L/view?usp=drive_link" TargetMode="External"/><Relationship Id="rId1196" Type="http://schemas.openxmlformats.org/officeDocument/2006/relationships/hyperlink" Target="https://static.redstone.rs/games/inferno-hot-40/" TargetMode="External"/><Relationship Id="rId1417" Type="http://schemas.openxmlformats.org/officeDocument/2006/relationships/hyperlink" Target="https://docs.google.com/document/d/1Zv7vX6pvIoLzVRjNAVRElBLfN7d3625I/edit?usp=drive_link&amp;ouid=107596163405648766688&amp;rtpof=true&amp;sd=true" TargetMode="External"/><Relationship Id="rId121" Type="http://schemas.openxmlformats.org/officeDocument/2006/relationships/hyperlink" Target="https://onlinegamespromo.fazi.rs/Home/IntegrationGameLaunch?moneyType=0&amp;gameName=UnicornRainbowSevens&amp;platform=desktop&amp;languageCode=eng&amp;currency=EUR" TargetMode="External"/><Relationship Id="rId219" Type="http://schemas.openxmlformats.org/officeDocument/2006/relationships/hyperlink" Target="https://onlinegamespromo.fazi.rs/Home/IntegrationGameLaunch?moneyType=0&amp;gameName=FruityHot&amp;platform=desktop&amp;languageCode=eng&amp;currency=EUR" TargetMode="External"/><Relationship Id="rId426" Type="http://schemas.openxmlformats.org/officeDocument/2006/relationships/hyperlink" Target="https://gameserver-store-client-area.orbionlimited.com/Home/IntegrationGameLaunch/client-area?moneyType=0&amp;gameName=UnicornSimplySevens&amp;platform=desktop&amp;languageCode=eng&amp;currency=EUR" TargetMode="External"/><Relationship Id="rId633" Type="http://schemas.openxmlformats.org/officeDocument/2006/relationships/hyperlink" Target="https://onlinegamespromo.fazi.rs/Home/IntegrationGameLaunch?moneyType=0&amp;gameName=EpicDice100&amp;platform=desktop&amp;languageCode=eng&amp;currency=EUR" TargetMode="External"/><Relationship Id="rId980" Type="http://schemas.openxmlformats.org/officeDocument/2006/relationships/hyperlink" Target="https://drive.google.com/file/d/1LZlXE5diYEEbyW4iyCuBT6KsdLU41E_9/view?usp=drive_link" TargetMode="External"/><Relationship Id="rId1056" Type="http://schemas.openxmlformats.org/officeDocument/2006/relationships/hyperlink" Target="https://docs.google.com/document/d/1IwYx_XrjmbWMYmCnxTslCwFx2GC9xycX/edit?usp=drive_link&amp;ouid=107596163405648766688&amp;rtpof=true&amp;sd=true" TargetMode="External"/><Relationship Id="rId1263" Type="http://schemas.openxmlformats.org/officeDocument/2006/relationships/hyperlink" Target="https://onlinegamespromo.fazi.rs/Home/IntegrationGameLaunch?moneyType=0&amp;gameName=PlayNetMajesticCrownEaster&amp;platform=desktop&amp;languageCode=eng&amp;currency=EUR" TargetMode="External"/><Relationship Id="rId840" Type="http://schemas.openxmlformats.org/officeDocument/2006/relationships/hyperlink" Target="https://drive.google.com/drive/folders/1kbglFJ5oU8iGhS6Kx0DglZ_vC6RUsXi9" TargetMode="External"/><Relationship Id="rId938" Type="http://schemas.openxmlformats.org/officeDocument/2006/relationships/hyperlink" Target="https://gameserver-store-client-area.orbionlimited.com/Home/IntegrationGameLaunch/client-area?moneyType=0&amp;gameName=PlayNetRoyalFlame&amp;platform=desktop&amp;languageCode=eng&amp;currency=EUR" TargetMode="External"/><Relationship Id="rId1470" Type="http://schemas.openxmlformats.org/officeDocument/2006/relationships/hyperlink" Target="https://dicebyte.sharepoint.com/:w:/g/IQBMvZcM-ZEMSIz3gv35CviIAT5NyCws_wmwUJJ_l1POEws?e=rosiY8" TargetMode="External"/><Relationship Id="rId67" Type="http://schemas.openxmlformats.org/officeDocument/2006/relationships/hyperlink" Target="https://onlinegamespromo.fazi.rs/Home/IntegrationGameLaunch?moneyType=0&amp;gameName=VIPROULETTE&amp;platform=desktop&amp;languageCode=eng&amp;currency=EUR" TargetMode="External"/><Relationship Id="rId272" Type="http://schemas.openxmlformats.org/officeDocument/2006/relationships/hyperlink" Target="https://gameserver-store-client-area.orbionlimited.com/Home/IntegrationGameLaunch/client-area?moneyType=0&amp;gameName=ClassicLuckySpin&amp;platform=desktop&amp;languageCode=eng&amp;currency=EUR" TargetMode="External"/><Relationship Id="rId577" Type="http://schemas.openxmlformats.org/officeDocument/2006/relationships/hyperlink" Target="https://drive.google.com/file/d/16yachCE10tU0GkEF5-A7M4MsArXU5EsH/view?usp=drive_link" TargetMode="External"/><Relationship Id="rId700" Type="http://schemas.openxmlformats.org/officeDocument/2006/relationships/hyperlink" Target="https://gameserver-store-client-area.orbionlimited.com/Home/IntegrationGameLaunch/client-area?moneyType=0&amp;gameName=Unicorn20HotStrikeJackpot&amp;platform=desktop&amp;languageCode=eng&amp;currency=EUR" TargetMode="External"/><Relationship Id="rId1123" Type="http://schemas.openxmlformats.org/officeDocument/2006/relationships/hyperlink" Target="https://static.redstone.rs/games/crown-blast-40/" TargetMode="External"/><Relationship Id="rId1330" Type="http://schemas.openxmlformats.org/officeDocument/2006/relationships/hyperlink" Target="https://gameserver-store-client-area.orbionlimited.com/Home/IntegrationGameLaunch/client-area?moneyType=0&amp;gameName=VeryHot40ExtremeBooster&amp;platform=desktop&amp;languageCode=eng&amp;currency=EUR" TargetMode="External"/><Relationship Id="rId1428" Type="http://schemas.openxmlformats.org/officeDocument/2006/relationships/hyperlink" Target="https://onlinegamespromo.fazi.rs/Home/IntegrationGameLaunch?moneyType=0&amp;gameName=PlayNetDiamondHeart20&amp;platform=desktop&amp;languageCode=eng&amp;currency=EUR" TargetMode="External"/><Relationship Id="rId132" Type="http://schemas.openxmlformats.org/officeDocument/2006/relationships/hyperlink" Target="https://gameserver-store-client-area.orbionlimited.com/Home/IntegrationGameLaunch/client-area?moneyType=0&amp;gameName=FireClover5&amp;platform=desktop&amp;languageCode=eng&amp;currency=EUR" TargetMode="External"/><Relationship Id="rId784" Type="http://schemas.openxmlformats.org/officeDocument/2006/relationships/hyperlink" Target="https://static.redstone.rs/games/eternal-hearts-10/" TargetMode="External"/><Relationship Id="rId991" Type="http://schemas.openxmlformats.org/officeDocument/2006/relationships/hyperlink" Target="https://drive.google.com/file/d/12E3WH7zMmakKE9xQtqyckajMvhnbC-Hr/view?usp=drive_link" TargetMode="External"/><Relationship Id="rId1067" Type="http://schemas.openxmlformats.org/officeDocument/2006/relationships/hyperlink" Target="https://onlinegamespromo.fazi.rs/Home/IntegrationGameLaunch?moneyType=0&amp;gameName=Wild27Halloween&amp;lobbyUrl=https://www.fazi-interactive.com/" TargetMode="External"/><Relationship Id="rId437" Type="http://schemas.openxmlformats.org/officeDocument/2006/relationships/hyperlink" Target="https://docs.google.com/document/d/1-DcLI-tOHLxDhFJu89mRnLghXEFFzgNY/edit?usp=drive_link&amp;ouid=107596163405648766688&amp;rtpof=true&amp;sd=true" TargetMode="External"/><Relationship Id="rId644" Type="http://schemas.openxmlformats.org/officeDocument/2006/relationships/hyperlink" Target="https://gameserver-store-client-area.orbionlimited.com/Home/IntegrationGameLaunch/client-area?moneyType=0&amp;gameName=GoldenCrownMax&amp;platform=desktop&amp;languageCode=eng&amp;currency=EUR" TargetMode="External"/><Relationship Id="rId851" Type="http://schemas.openxmlformats.org/officeDocument/2006/relationships/hyperlink" Target="https://onlinegamespromo.fazi.rs/Home/IntegrationGameLaunch?moneyType=0&amp;gameName=UnicornBigHitSevens&amp;platform=desktop&amp;languageCode=eng&amp;currency=EUR" TargetMode="External"/><Relationship Id="rId1274" Type="http://schemas.openxmlformats.org/officeDocument/2006/relationships/hyperlink" Target="https://gameserver-store-client-area.orbionlimited.com/Home/IntegrationGameLaunch/client-area?moneyType=0&amp;gameName=UnicornCoyoteSevensJackpot&amp;platform=desktop&amp;languageCode=eng&amp;currency=EUR" TargetMode="External"/><Relationship Id="rId1481" Type="http://schemas.openxmlformats.org/officeDocument/2006/relationships/hyperlink" Target="https://onlinegamespromo.fazi.rs/Home/IntegrationGameLaunch?moneyType=0&amp;gameName=UnicornFlamyFireballs&amp;platform=desktop&amp;languageCode=eng&amp;currency=EUR" TargetMode="External"/><Relationship Id="rId283" Type="http://schemas.openxmlformats.org/officeDocument/2006/relationships/hyperlink" Target="https://docs.google.com/document/d/1MivnwLSbu2QueQOrF8UNz9NMC6gxsLlN/edit?usp=drive_link&amp;ouid=107596163405648766688&amp;rtpof=true&amp;sd=true" TargetMode="External"/><Relationship Id="rId490" Type="http://schemas.openxmlformats.org/officeDocument/2006/relationships/hyperlink" Target="https://play.redstone.rs/games/40-fruit-frenzy/index.html" TargetMode="External"/><Relationship Id="rId504" Type="http://schemas.openxmlformats.org/officeDocument/2006/relationships/hyperlink" Target="https://docs.google.com/document/d/1AAJQVtDH1FNoV_SlZ4_kQ1GUK5TFTf9J/edit?usp=drive_link&amp;ouid=107596163405648766688&amp;rtpof=true&amp;sd=true" TargetMode="External"/><Relationship Id="rId711" Type="http://schemas.openxmlformats.org/officeDocument/2006/relationships/hyperlink" Target="https://docs.google.com/document/d/1CSew7JVTaSjsayubl0fP_ZN45adE4_6i/edit?usp=drive_link&amp;ouid=107596163405648766688&amp;rtpof=true&amp;sd=true" TargetMode="External"/><Relationship Id="rId949" Type="http://schemas.openxmlformats.org/officeDocument/2006/relationships/hyperlink" Target="https://drive.google.com/drive/folders/1K0XeNmIwEJ7Qvyb5qEjhBQGruLxRdiMG?usp=drive_link" TargetMode="External"/><Relationship Id="rId1134" Type="http://schemas.openxmlformats.org/officeDocument/2006/relationships/hyperlink" Target="https://static.redstone.rs/games/respin-gems/" TargetMode="External"/><Relationship Id="rId1341" Type="http://schemas.openxmlformats.org/officeDocument/2006/relationships/hyperlink" Target="https://onlinegamespromo.fazi.rs/Home/IntegrationGameLaunch?moneyType=0&amp;gameName=RoyalGardenKing&amp;platform=desktop&amp;languageCode=eng&amp;currency=EUR" TargetMode="External"/><Relationship Id="rId78" Type="http://schemas.openxmlformats.org/officeDocument/2006/relationships/hyperlink" Target="https://gameserver-store-client-area.orbionlimited.com/Home/IntegrationGameLaunch/client-area?moneyType=0&amp;gameName=DiceOfSpells&amp;platform=desktop&amp;languageCode=eng&amp;currency=EUR" TargetMode="External"/><Relationship Id="rId143" Type="http://schemas.openxmlformats.org/officeDocument/2006/relationships/hyperlink" Target="https://static.redstone.rs/games/40-wild-dice/" TargetMode="External"/><Relationship Id="rId350" Type="http://schemas.openxmlformats.org/officeDocument/2006/relationships/hyperlink" Target="https://gameserver-store-client-area.orbionlimited.com/Home/IntegrationGameLaunch/client-area?moneyType=0&amp;gameName=Unicorn40HotStrikeDice&amp;platform=desktop&amp;languageCode=eng&amp;currency=EUR" TargetMode="External"/><Relationship Id="rId588" Type="http://schemas.openxmlformats.org/officeDocument/2006/relationships/hyperlink" Target="https://docs.google.com/document/d/1l_7cKdNbv28fsvSV1onRbMphPBpdLsOZ/edit?usp=drive_link&amp;ouid=107596163405648766688&amp;rtpof=true&amp;sd=true" TargetMode="External"/><Relationship Id="rId795" Type="http://schemas.openxmlformats.org/officeDocument/2006/relationships/hyperlink" Target="https://static.redstone.rs/games/multi-clover-10/" TargetMode="External"/><Relationship Id="rId809" Type="http://schemas.openxmlformats.org/officeDocument/2006/relationships/hyperlink" Target="https://drive.google.com/file/d/1NBpzN0MPuuw6DJLjEkH_qHfLuxDx6OcM/view?usp=drive_link" TargetMode="External"/><Relationship Id="rId1201" Type="http://schemas.openxmlformats.org/officeDocument/2006/relationships/hyperlink" Target="https://static.redstone.rs/games/rolling-hearts-10/" TargetMode="External"/><Relationship Id="rId1439" Type="http://schemas.openxmlformats.org/officeDocument/2006/relationships/hyperlink" Target="https://gameserver-store-client-area.orbionlimited.com/Home/IntegrationGameLaunch/client-area?moneyType=0&amp;gameName=PlayNetBarkinRiches&amp;platform=desktop&amp;languageCode=eng&amp;currency=EUR" TargetMode="External"/><Relationship Id="rId9" Type="http://schemas.openxmlformats.org/officeDocument/2006/relationships/hyperlink" Target="https://onlinegamespromo.fazi.rs/Home/IntegrationGameLaunch?moneyType=0&amp;gameName=FRUITSANDSTARS&amp;platform=desktop&amp;languageCode=eng&amp;currency=EUR" TargetMode="External"/><Relationship Id="rId210" Type="http://schemas.openxmlformats.org/officeDocument/2006/relationships/hyperlink" Target="https://gameserver-store-client-area.orbionlimited.com/Home/IntegrationGameLaunch/client-area?moneyType=0&amp;gameName=CrystalHot100&amp;platform=desktop&amp;languageCode=eng&amp;currency=EUR" TargetMode="External"/><Relationship Id="rId448" Type="http://schemas.openxmlformats.org/officeDocument/2006/relationships/hyperlink" Target="https://gameserver-store-client-area.orbionlimited.com/Home/IntegrationGameLaunch/client-area?moneyType=0&amp;gameName=FashionNight&amp;platform=desktop&amp;languageCode=eng&amp;currency=EUR" TargetMode="External"/><Relationship Id="rId655" Type="http://schemas.openxmlformats.org/officeDocument/2006/relationships/hyperlink" Target="https://static.redstone.rs/games/apollo-27-classic/" TargetMode="External"/><Relationship Id="rId862" Type="http://schemas.openxmlformats.org/officeDocument/2006/relationships/hyperlink" Target="https://gameserver-store-client-area.orbionlimited.com/Home/IntegrationGameLaunch/client-area?moneyType=0&amp;gameName=UnicornSuperFireJackpot&amp;platform=desktop&amp;languageCode=eng&amp;currency=EUR" TargetMode="External"/><Relationship Id="rId1078" Type="http://schemas.openxmlformats.org/officeDocument/2006/relationships/hyperlink" Target="https://gameserver-store-client-area.orbionlimited.com/Home/IntegrationGameLaunch/client-area?moneyType=0&amp;gameName=UnicornStormDice&amp;platform=desktop&amp;languageCode=eng&amp;currency=EUR" TargetMode="External"/><Relationship Id="rId1285" Type="http://schemas.openxmlformats.org/officeDocument/2006/relationships/hyperlink" Target="https://drive.google.com/file/d/1ARsFO2So3R8sFL4rirWY9LvE_bLaWXcO/view?usp=sharing" TargetMode="External"/><Relationship Id="rId1492" Type="http://schemas.openxmlformats.org/officeDocument/2006/relationships/hyperlink" Target="https://gameserver-store-client-area.orbionlimited.com/Home/IntegrationGameLaunch/client-area?moneyType=0&amp;gameName=UnicornDazzleFireballs&amp;platform=desktop&amp;languageCode=eng&amp;currency=EUR" TargetMode="External"/><Relationship Id="rId1506" Type="http://schemas.openxmlformats.org/officeDocument/2006/relationships/hyperlink" Target="https://rgs-royal-crown-delight.soko.games/?demo=True&amp;locale=eng" TargetMode="External"/><Relationship Id="rId294" Type="http://schemas.openxmlformats.org/officeDocument/2006/relationships/hyperlink" Target="https://gameserver-store-client-area.orbionlimited.com/Home/IntegrationGameLaunch/client-area?moneyType=0&amp;gameName=Unicorn40MegaFlames&amp;platform=desktop&amp;languageCode=eng&amp;currency=EUR" TargetMode="External"/><Relationship Id="rId308" Type="http://schemas.openxmlformats.org/officeDocument/2006/relationships/hyperlink" Target="https://gameserver-store-client-area.orbionlimited.com/Home/IntegrationGameLaunch/client-area?moneyType=0&amp;gameName=VeryHot40Respin&amp;platform=desktop&amp;languageCode=eng&amp;currency=EUR" TargetMode="External"/><Relationship Id="rId515" Type="http://schemas.openxmlformats.org/officeDocument/2006/relationships/hyperlink" Target="https://onlinegamespromo.fazi.rs/Home/IntegrationGameLaunch?moneyType=0&amp;gameName=amazingjoker&amp;platform=desktop&amp;languageCode=eng&amp;currency=EUR" TargetMode="External"/><Relationship Id="rId722" Type="http://schemas.openxmlformats.org/officeDocument/2006/relationships/hyperlink" Target="https://drive.google.com/file/d/1rEbycdA6TxvvOeCgks6cSjRZsmDRxjog/view?usp=drive_link" TargetMode="External"/><Relationship Id="rId1145" Type="http://schemas.openxmlformats.org/officeDocument/2006/relationships/hyperlink" Target="https://gameserver-store-client-area.orbionlimited.com/Home/IntegrationGameLaunch/client-area?moneyType=0&amp;gameName=GoldenCrownChristmasBooster&amp;platform=desktop&amp;languageCode=eng&amp;currency=EUR" TargetMode="External"/><Relationship Id="rId1352" Type="http://schemas.openxmlformats.org/officeDocument/2006/relationships/hyperlink" Target="https://onlinegamespromo.fazi.rs/Home/IntegrationGameLaunch?moneyType=0&amp;gameName=UnicornTropicalTreasure&amp;platform=desktop&amp;languageCode=eng&amp;currency=EUR" TargetMode="External"/><Relationship Id="rId89" Type="http://schemas.openxmlformats.org/officeDocument/2006/relationships/hyperlink" Target="https://onlinegamespromo.fazi.rs/Home/IntegrationGameLaunch?moneyType=0&amp;gameName=CrystalHot40Deluxe&amp;platform=desktop&amp;languageCode=eng&amp;currency=EUR" TargetMode="External"/><Relationship Id="rId154" Type="http://schemas.openxmlformats.org/officeDocument/2006/relationships/hyperlink" Target="https://gameserver-store-client-area.orbionlimited.com/Home/IntegrationGameLaunch/client-area?moneyType=0&amp;gameName=WildKingdom&amp;platform=desktop&amp;languageCode=eng&amp;currency=EUR" TargetMode="External"/><Relationship Id="rId361" Type="http://schemas.openxmlformats.org/officeDocument/2006/relationships/hyperlink" Target="https://onlinegamespromo.fazi.rs/Home/IntegrationGameLaunch?moneyType=0&amp;gameName=GoldenCrown40&amp;platform=desktop&amp;languageCode=eng&amp;currency=EUR" TargetMode="External"/><Relationship Id="rId599" Type="http://schemas.openxmlformats.org/officeDocument/2006/relationships/hyperlink" Target="https://onlinegamespromo.fazi.rs/Home/IntegrationGameLaunch?moneyType=0&amp;gameName=BlowFruits40&amp;platform=desktop&amp;languageCode=eng&amp;currency=EUR" TargetMode="External"/><Relationship Id="rId1005" Type="http://schemas.openxmlformats.org/officeDocument/2006/relationships/hyperlink" Target="https://static.redstone.rs/games/777-extra-chance/" TargetMode="External"/><Relationship Id="rId1212" Type="http://schemas.openxmlformats.org/officeDocument/2006/relationships/hyperlink" Target="https://onlinegamespromo.fazi.rs/Home/IntegrationGameLaunch?moneyType=0&amp;gameName=PlayNetLeprechaunsFortuneClover&amp;platform=desktop&amp;languageCode=eng&amp;currency=EUR" TargetMode="External"/><Relationship Id="rId459" Type="http://schemas.openxmlformats.org/officeDocument/2006/relationships/hyperlink" Target="https://play.redstone.rs/games/fear-of-dark/index.html" TargetMode="External"/><Relationship Id="rId666" Type="http://schemas.openxmlformats.org/officeDocument/2006/relationships/hyperlink" Target="https://gameserver-store-client-area.orbionlimited.com/Home/IntegrationGameLaunch/client-area?moneyType=0&amp;gameName=PlayNetFortuneClover40&amp;platform=desktop&amp;languageCode=eng&amp;currency=EUR" TargetMode="External"/><Relationship Id="rId873" Type="http://schemas.openxmlformats.org/officeDocument/2006/relationships/hyperlink" Target="https://onlinegamespromo.fazi.rs/Home/IntegrationGameLaunch?moneyType=0&amp;gameName=UnicornMisterDice&amp;platform=desktop&amp;languageCode=eng&amp;currency=EUR" TargetMode="External"/><Relationship Id="rId1089" Type="http://schemas.openxmlformats.org/officeDocument/2006/relationships/hyperlink" Target="https://onlinegamespromo.fazi.rs/Home/IntegrationGameLaunch?moneyType=0&amp;gameName=UnicornSevensPay&amp;platform=desktop&amp;languageCode=eng&amp;currency=EUR" TargetMode="External"/><Relationship Id="rId1296" Type="http://schemas.openxmlformats.org/officeDocument/2006/relationships/hyperlink" Target="https://gameserver-store-client-area.orbionlimited.com/Home/IntegrationGameLaunch/client-area?moneyType=0&amp;gameName=GoldenDiamonds40Extreme&amp;platform=desktop&amp;languageCode=eng&amp;currency=EUR" TargetMode="External"/><Relationship Id="rId1517" Type="http://schemas.openxmlformats.org/officeDocument/2006/relationships/hyperlink" Target="https://gameserver-store-client-area.orbionlimited.com/Home/IntegrationGameLaunch/client-area?moneyType=0&amp;gameName=PlayNetHeartGem100&amp;platform=desktop&amp;languageCode=eng&amp;currency=EUR" TargetMode="External"/><Relationship Id="rId16" Type="http://schemas.openxmlformats.org/officeDocument/2006/relationships/hyperlink" Target="https://gameserver-store-client-area.orbionlimited.com/Home/IntegrationGameLaunch/client-area?moneyType=0&amp;gameName=WildWest&amp;platform=desktop&amp;languageCode=eng&amp;currency=EUR" TargetMode="External"/><Relationship Id="rId221" Type="http://schemas.openxmlformats.org/officeDocument/2006/relationships/hyperlink" Target="https://docs.google.com/document/d/1nwnNzfl7oxEDxlJw4311vi-yBfC_ahNs/edit?usp=drive_link&amp;ouid=107596163405648766688&amp;rtpof=true&amp;sd=true" TargetMode="External"/><Relationship Id="rId319" Type="http://schemas.openxmlformats.org/officeDocument/2006/relationships/hyperlink" Target="https://onlinegamespromo.fazi.rs/Home/IntegrationGameLaunch?moneyType=0&amp;gameName=UnicornDaVincisDice&amp;platform=desktop&amp;languageCode=eng&amp;currency=EUR" TargetMode="External"/><Relationship Id="rId526" Type="http://schemas.openxmlformats.org/officeDocument/2006/relationships/hyperlink" Target="https://static.redstone.rs/games/hot-rush-crown-burst/" TargetMode="External"/><Relationship Id="rId1156" Type="http://schemas.openxmlformats.org/officeDocument/2006/relationships/hyperlink" Target="https://onlinegamespromo.fazi.rs/Home/IntegrationGameLaunch?moneyType=0&amp;gameName=GigaHot40FreeSpins&amp;platform=desktop&amp;languageCode=eng&amp;currency=EUR" TargetMode="External"/><Relationship Id="rId1363" Type="http://schemas.openxmlformats.org/officeDocument/2006/relationships/hyperlink" Target="https://gameserver-store-client-area.orbionlimited.com/Home/IntegrationGameLaunch/client-area?moneyType=0&amp;gameName=UnicornHotFiredice&amp;platform=desktop&amp;languageCode=eng&amp;currency=EUR" TargetMode="External"/><Relationship Id="rId733" Type="http://schemas.openxmlformats.org/officeDocument/2006/relationships/hyperlink" Target="https://static.redstone.rs/games/juicy-heat-20/" TargetMode="External"/><Relationship Id="rId940" Type="http://schemas.openxmlformats.org/officeDocument/2006/relationships/hyperlink" Target="https://gameserver-store-client-area.orbionlimited.com/Home/IntegrationGameLaunch/client-area?moneyType=0&amp;gameName=PlayNetDiamondHeart100&amp;platform=desktop&amp;languageCode=eng&amp;currency=EUR" TargetMode="External"/><Relationship Id="rId1016" Type="http://schemas.openxmlformats.org/officeDocument/2006/relationships/hyperlink" Target="https://gameserver-store-client-area.orbionlimited.com/Home/IntegrationGameLaunch/client-area?moneyType=0&amp;gameName=UnicornReelyWildReels&amp;platform=desktop&amp;languageCode=eng&amp;currency=EUR" TargetMode="External"/><Relationship Id="rId165" Type="http://schemas.openxmlformats.org/officeDocument/2006/relationships/hyperlink" Target="https://onlinegamespromo.fazi.rs/Home/IntegrationGameLaunch?moneyType=0&amp;gameName=VeryHot5&amp;platform=desktop&amp;languageCode=eng&amp;currency=EUR" TargetMode="External"/><Relationship Id="rId372" Type="http://schemas.openxmlformats.org/officeDocument/2006/relationships/hyperlink" Target="https://static.redstone.rs/games/40-fire-cash/" TargetMode="External"/><Relationship Id="rId677" Type="http://schemas.openxmlformats.org/officeDocument/2006/relationships/hyperlink" Target="https://onlinegamespromo.fazi.rs/Home/IntegrationGameLaunch?moneyType=0&amp;gameName=UnicornGoldLineDice&amp;platform=desktop&amp;languageCode=eng&amp;currency=EUR" TargetMode="External"/><Relationship Id="rId800" Type="http://schemas.openxmlformats.org/officeDocument/2006/relationships/hyperlink" Target="https://static.redstone.rs/games/reel-x5/" TargetMode="External"/><Relationship Id="rId1223" Type="http://schemas.openxmlformats.org/officeDocument/2006/relationships/hyperlink" Target="https://gameserver-store-client-area.orbionlimited.com/Home/IntegrationGameLaunch/client-area?moneyType=0&amp;gameName=Retro27&amp;platform=desktop&amp;languageCode=eng&amp;currency=EUR" TargetMode="External"/><Relationship Id="rId1430" Type="http://schemas.openxmlformats.org/officeDocument/2006/relationships/hyperlink" Target="https://onlinegamespromo.fazi.rs/Home/IntegrationGameLaunch?moneyType=0&amp;gameName=PlayNetBitQueen&amp;platform=desktop&amp;languageCode=eng&amp;currency=EUR" TargetMode="External"/><Relationship Id="rId1528" Type="http://schemas.openxmlformats.org/officeDocument/2006/relationships/hyperlink" Target="https://onlinegamespromo.fazi.rs/Home/IntegrationGameLaunch?moneyType=0&amp;gameName=PlayNet27LuckyCrown&amp;platform=desktop&amp;languageCode=eng&amp;currency=EUR" TargetMode="External"/><Relationship Id="rId232" Type="http://schemas.openxmlformats.org/officeDocument/2006/relationships/hyperlink" Target="https://static.redstone.rs/games/action-hot-20/" TargetMode="External"/><Relationship Id="rId884" Type="http://schemas.openxmlformats.org/officeDocument/2006/relationships/hyperlink" Target="https://drive.google.com/file/d/1-3HYx5EH8g8nTtAydEBMqfN6nNh_Jre2/view?usp=drive_link" TargetMode="External"/><Relationship Id="rId27" Type="http://schemas.openxmlformats.org/officeDocument/2006/relationships/hyperlink" Target="https://onlinegamespromo.fazi.rs/Home/IntegrationGameLaunch?moneyType=0&amp;gameName=BOOKOFSPELLS&amp;platform=desktop&amp;languageCode=eng&amp;currency=EUR" TargetMode="External"/><Relationship Id="rId537" Type="http://schemas.openxmlformats.org/officeDocument/2006/relationships/hyperlink" Target="https://onlinegamespromo.fazi.rs/Home/IntegrationGameLaunch?moneyType=0&amp;gameName=MysticJungle&amp;lobbyUrl=https://www.fazi-interactive.com/" TargetMode="External"/><Relationship Id="rId744" Type="http://schemas.openxmlformats.org/officeDocument/2006/relationships/hyperlink" Target="https://docs.google.com/document/d/16mtDOc_tx8TXaxsQ0hi3FNv8JZf8Z6hC/edit?usp=drive_link&amp;ouid=107596163405648766688&amp;rtpof=true&amp;sd=true" TargetMode="External"/><Relationship Id="rId951" Type="http://schemas.openxmlformats.org/officeDocument/2006/relationships/hyperlink" Target="https://drive.google.com/drive/folders/19YB-AjLXFU0pCCykpndBLg1UN-7aTI1K" TargetMode="External"/><Relationship Id="rId1167" Type="http://schemas.openxmlformats.org/officeDocument/2006/relationships/hyperlink" Target="https://gameserver-store-client-area.orbionlimited.com/Home/IntegrationGameLaunch/client-area?moneyType=0&amp;gameName=WildHot40HoldAndWin&amp;platform=desktop&amp;languageCode=eng&amp;currency=EUR" TargetMode="External"/><Relationship Id="rId1374" Type="http://schemas.openxmlformats.org/officeDocument/2006/relationships/hyperlink" Target="https://docs.google.com/document/d/1wjAA9dVrysXRFWD6hDLMhXgTp1vFJXxU/edit" TargetMode="External"/><Relationship Id="rId80" Type="http://schemas.openxmlformats.org/officeDocument/2006/relationships/hyperlink" Target="https://gameserver-store-client-area.orbionlimited.com/Home/IntegrationGameLaunch/client-area?moneyType=0&amp;gameName=CubesAndStars&amp;platform=desktop&amp;languageCode=eng&amp;currency=EUR" TargetMode="External"/><Relationship Id="rId176" Type="http://schemas.openxmlformats.org/officeDocument/2006/relationships/hyperlink" Target="https://gameserver-store-client-area.orbionlimited.com/Home/IntegrationGameLaunch/client-area?moneyType=0&amp;gameName=FluoDice5&amp;platform=desktop&amp;languageCode=eng&amp;currency=EUR" TargetMode="External"/><Relationship Id="rId383" Type="http://schemas.openxmlformats.org/officeDocument/2006/relationships/hyperlink" Target="https://static.redstone.rs/games/super-lucky/" TargetMode="External"/><Relationship Id="rId590" Type="http://schemas.openxmlformats.org/officeDocument/2006/relationships/hyperlink" Target="https://static.redstone.rs/games/spin-up/" TargetMode="External"/><Relationship Id="rId604" Type="http://schemas.openxmlformats.org/officeDocument/2006/relationships/hyperlink" Target="https://gameserver-store-client-area.orbionlimited.com/Home/IntegrationGameLaunch/client-area?moneyType=0&amp;gameName=AgeOfRome&amp;platform=desktop&amp;languageCode=eng&amp;currency=EUR" TargetMode="External"/><Relationship Id="rId811" Type="http://schemas.openxmlformats.org/officeDocument/2006/relationships/hyperlink" Target="https://static.redstone.rs/games/sweet-respins/" TargetMode="External"/><Relationship Id="rId1027" Type="http://schemas.openxmlformats.org/officeDocument/2006/relationships/hyperlink" Target="https://onlinegamespromo.fazi.rs/Home/IntegrationGameLaunch?moneyType=0&amp;gameName=UnicornCollectCall&amp;platform=desktop&amp;languageCode=eng&amp;currency=EUR" TargetMode="External"/><Relationship Id="rId1234" Type="http://schemas.openxmlformats.org/officeDocument/2006/relationships/hyperlink" Target="https://gameserver-store-client-area.orbionlimited.com/Home/IntegrationGameLaunch/client-area?moneyType=0&amp;gameName=GoldenCrownHoldAndWin&amp;platform=desktop&amp;languageCode=eng&amp;currency=EUR" TargetMode="External"/><Relationship Id="rId1441" Type="http://schemas.openxmlformats.org/officeDocument/2006/relationships/hyperlink" Target="https://gameserver-store-client-area.orbionlimited.com/Home/IntegrationGameLaunch/client-area?moneyType=0&amp;gameName=MultihotPot&amp;platform=desktop&amp;languageCode=eng&amp;currency=EUR" TargetMode="External"/><Relationship Id="rId243" Type="http://schemas.openxmlformats.org/officeDocument/2006/relationships/hyperlink" Target="https://onlinegamespromo.fazi.rs/Home/IntegrationGameLaunch?moneyType=0&amp;gameName=BookOfSpells2&amp;platform=desktop&amp;languageCode=eng&amp;currency=EUR" TargetMode="External"/><Relationship Id="rId450" Type="http://schemas.openxmlformats.org/officeDocument/2006/relationships/hyperlink" Target="https://gameserver-store-client-area.orbionlimited.com/Home/IntegrationGameLaunch/client-area?moneyType=0&amp;gameName=MayansBattle&amp;platform=desktop&amp;languageCode=eng&amp;currency=EUR" TargetMode="External"/><Relationship Id="rId688" Type="http://schemas.openxmlformats.org/officeDocument/2006/relationships/hyperlink" Target="https://gameserver-store-client-area.orbionlimited.com/Home/IntegrationGameLaunch/client-area?moneyType=0&amp;gameName=UnicornHitLine&amp;platform=desktop&amp;languageCode=eng&amp;currency=EUR" TargetMode="External"/><Relationship Id="rId895" Type="http://schemas.openxmlformats.org/officeDocument/2006/relationships/hyperlink" Target="https://drive.google.com/file/d/1h60qO101Dh-UU8dwVTfqnDytuQbjlzZh/view?usp=drive_link" TargetMode="External"/><Relationship Id="rId909" Type="http://schemas.openxmlformats.org/officeDocument/2006/relationships/hyperlink" Target="https://onlinegamespromo.fazi.rs/Home/IntegrationGameLaunch?moneyType=0&amp;gameName=PlayNetFortuneClover10&amp;platform=desktop&amp;languageCode=eng&amp;currency=EUR" TargetMode="External"/><Relationship Id="rId1080" Type="http://schemas.openxmlformats.org/officeDocument/2006/relationships/hyperlink" Target="https://gameserver-store-client-area.orbionlimited.com/Home/IntegrationGameLaunch/client-area?moneyType=0&amp;gameName=UnicornSantasRudolf&amp;platform=desktop&amp;languageCode=eng&amp;currency=EUR" TargetMode="External"/><Relationship Id="rId1301" Type="http://schemas.openxmlformats.org/officeDocument/2006/relationships/hyperlink" Target="https://onlinegamespromo.fazi.rs/Home/IntegrationGameLaunch?moneyType=0&amp;gameName=LockedHearts10&amp;platform=desktop&amp;languageCode=eng&amp;currency=EUR" TargetMode="External"/><Relationship Id="rId1539" Type="http://schemas.openxmlformats.org/officeDocument/2006/relationships/hyperlink" Target="https://drive.google.com/file/d/17XbSts2nKODexFcKfBq2IOAyMVhi7UqQ/view?usp=drive_link" TargetMode="External"/><Relationship Id="rId38" Type="http://schemas.openxmlformats.org/officeDocument/2006/relationships/hyperlink" Target="https://gameserver-store-client-area.orbionlimited.com/Home/IntegrationGameLaunch/client-area?moneyType=0&amp;gameName=BookOfBruno&amp;platform=desktop&amp;languageCode=eng&amp;currency=EUR" TargetMode="External"/><Relationship Id="rId103" Type="http://schemas.openxmlformats.org/officeDocument/2006/relationships/hyperlink" Target="https://onlinegamespromo.fazi.rs/Home/IntegrationGameLaunch?moneyType=0&amp;gameName=DolphinsShine&amp;platform=desktop&amp;languageCode=eng&amp;currency=EUR" TargetMode="External"/><Relationship Id="rId310" Type="http://schemas.openxmlformats.org/officeDocument/2006/relationships/hyperlink" Target="https://docs.google.com/document/d/1xxoKQXYlaMHZTqDBiQqslbsvJiiOhLpz/edit?usp=drive_link&amp;ouid=107596163405648766688&amp;rtpof=true&amp;sd=true" TargetMode="External"/><Relationship Id="rId548" Type="http://schemas.openxmlformats.org/officeDocument/2006/relationships/hyperlink" Target="https://gameserver-store-client-area.orbionlimited.com/Home/IntegrationGameLaunch/client-area?moneyType=0&amp;gameName=WildLuckyDice&amp;platform=desktop&amp;languageCode=eng&amp;currency=EUR" TargetMode="External"/><Relationship Id="rId755" Type="http://schemas.openxmlformats.org/officeDocument/2006/relationships/hyperlink" Target="https://drive.google.com/file/d/1MagzLGH8WOcAl7avhVNFyMA7HKX2TYKo/view?usp=sharing" TargetMode="External"/><Relationship Id="rId962" Type="http://schemas.openxmlformats.org/officeDocument/2006/relationships/hyperlink" Target="https://drive.google.com/file/d/1zIRHFJQ_rufNyGH5m48RMyBrcv6KJEfn/view?usp=drive_link" TargetMode="External"/><Relationship Id="rId1178" Type="http://schemas.openxmlformats.org/officeDocument/2006/relationships/hyperlink" Target="https://docs.google.com/document/d/1kZ4kAh-gpuF_5xP4c2lczTY31oFixz7T/edit?usp=sharing&amp;ouid=111339991327238394179&amp;rtpof=true&amp;sd=true" TargetMode="External"/><Relationship Id="rId1385" Type="http://schemas.openxmlformats.org/officeDocument/2006/relationships/hyperlink" Target="https://static.redstone.rs/games/heart-deluxe-2x/" TargetMode="External"/><Relationship Id="rId91" Type="http://schemas.openxmlformats.org/officeDocument/2006/relationships/hyperlink" Target="https://onlinegamespromo.fazi.rs/Home/IntegrationGameLaunch?moneyType=0&amp;gameName=CrystalHot40Deluxe&amp;platform=desktop&amp;languageCode=eng&amp;currency=EUR" TargetMode="External"/><Relationship Id="rId187" Type="http://schemas.openxmlformats.org/officeDocument/2006/relationships/hyperlink" Target="https://onlinegamespromo.fazi.rs/Home/IntegrationGameLaunch?moneyType=0&amp;gameName=TwinklingHot80&amp;platform=desktop&amp;languageCode=eng&amp;currency=EUR" TargetMode="External"/><Relationship Id="rId394" Type="http://schemas.openxmlformats.org/officeDocument/2006/relationships/hyperlink" Target="https://gameserver-store-client-area.orbionlimited.com/Home/IntegrationGameLaunch/client-area?moneyType=0&amp;gameName=JokerTripleDouble&amp;platform=desktop&amp;languageCode=eng&amp;currency=EUR" TargetMode="External"/><Relationship Id="rId408" Type="http://schemas.openxmlformats.org/officeDocument/2006/relationships/hyperlink" Target="https://gameserver-store-client-area.orbionlimited.com/Home/IntegrationGameLaunch/client-area?moneyType=0&amp;gameName=Money5&amp;platform=desktop&amp;languageCode=eng&amp;currency=EUR" TargetMode="External"/><Relationship Id="rId615" Type="http://schemas.openxmlformats.org/officeDocument/2006/relationships/hyperlink" Target="https://onlinegamespromo.fazi.rs/Home/IntegrationGameLaunch?moneyType=0&amp;gameName=AquaFlame&amp;platform=desktop&amp;languageCode=eng&amp;currency=EUR" TargetMode="External"/><Relationship Id="rId822" Type="http://schemas.openxmlformats.org/officeDocument/2006/relationships/hyperlink" Target="https://static.redstone.rs/games/hot-rush-triple-star/" TargetMode="External"/><Relationship Id="rId1038" Type="http://schemas.openxmlformats.org/officeDocument/2006/relationships/hyperlink" Target="https://gameserver-store-client-area.orbionlimited.com/Home/IntegrationGameLaunch/client-area?moneyType=0&amp;gameName=GoldenCrownMaxBooster&amp;platform=desktop&amp;languageCode=eng&amp;currency=EUR" TargetMode="External"/><Relationship Id="rId1245" Type="http://schemas.openxmlformats.org/officeDocument/2006/relationships/hyperlink" Target="https://static.redstone.rs/games/joker-x5/" TargetMode="External"/><Relationship Id="rId1452" Type="http://schemas.openxmlformats.org/officeDocument/2006/relationships/hyperlink" Target="https://static.redstone.rs/games/x-crown-fire/" TargetMode="External"/><Relationship Id="rId254" Type="http://schemas.openxmlformats.org/officeDocument/2006/relationships/hyperlink" Target="https://gameserver-store-client-area.orbionlimited.com/Home/IntegrationGameLaunch/client-area?moneyType=0&amp;gameName=UnicornDaVincisFruits&amp;platform=desktop&amp;languageCode=eng&amp;currency=EUR" TargetMode="External"/><Relationship Id="rId699" Type="http://schemas.openxmlformats.org/officeDocument/2006/relationships/hyperlink" Target="https://onlinegamespromo.fazi.rs/Home/IntegrationGameLaunch?moneyType=0&amp;gameName=Unicorn20HotStrikeJackpot&amp;platform=desktop&amp;languageCode=eng&amp;currency=EUR" TargetMode="External"/><Relationship Id="rId1091" Type="http://schemas.openxmlformats.org/officeDocument/2006/relationships/hyperlink" Target="https://onlinegamespromo.fazi.rs/Home/IntegrationGameLaunch?moneyType=0&amp;gameName=PlayNetMajesticCrown40&amp;platform=desktop&amp;languageCode=eng&amp;currency=EUR" TargetMode="External"/><Relationship Id="rId1105" Type="http://schemas.openxmlformats.org/officeDocument/2006/relationships/hyperlink" Target="https://static.redstone.rs/games/multi-heart-5/" TargetMode="External"/><Relationship Id="rId1312" Type="http://schemas.openxmlformats.org/officeDocument/2006/relationships/hyperlink" Target="https://gameserver-store-client-area.orbionlimited.com/Home/IntegrationGameLaunch/client-area?moneyType=0&amp;gameName=LockedHearts40&amp;platform=desktop&amp;languageCode=eng&amp;currency=EUR" TargetMode="External"/><Relationship Id="rId49" Type="http://schemas.openxmlformats.org/officeDocument/2006/relationships/hyperlink" Target="https://onlinegamespromo.fazi.rs/Home/IntegrationGameLaunch?moneyType=0&amp;gameName=TEMPLARSQUEST&amp;platform=desktop&amp;languageCode=eng&amp;currency=EUR" TargetMode="External"/><Relationship Id="rId114" Type="http://schemas.openxmlformats.org/officeDocument/2006/relationships/hyperlink" Target="https://gameserver-store-client-area.orbionlimited.com/Home/IntegrationGameLaunch/client-area?moneyType=0&amp;gameName=CrystalJokerHot&amp;platform=desktop&amp;languageCode=eng&amp;currency=EUR" TargetMode="External"/><Relationship Id="rId461" Type="http://schemas.openxmlformats.org/officeDocument/2006/relationships/hyperlink" Target="https://onlinegamespromo.fazi.rs/Home/IntegrationGameLaunch?moneyType=0&amp;gameName=MrFirstCryptonium&amp;platform=desktop&amp;languageCode=eng&amp;currency=EUR" TargetMode="External"/><Relationship Id="rId559" Type="http://schemas.openxmlformats.org/officeDocument/2006/relationships/hyperlink" Target="https://static.redstone.rs/games/caps-and-crowns/" TargetMode="External"/><Relationship Id="rId766" Type="http://schemas.openxmlformats.org/officeDocument/2006/relationships/hyperlink" Target="https://drive.google.com/file/d/16oPbWrM8ByDIEHp6tJjyzjJKpxREI28r/view?usp=drive_link" TargetMode="External"/><Relationship Id="rId1189" Type="http://schemas.openxmlformats.org/officeDocument/2006/relationships/hyperlink" Target="https://gameserver-store-client-area.orbionlimited.com/Home/IntegrationGameLaunch/client-area?moneyType=0&amp;gameName=UnicornDynamiteBoomDice&amp;platform=desktop&amp;languageCode=eng&amp;currency=EUR" TargetMode="External"/><Relationship Id="rId1396" Type="http://schemas.openxmlformats.org/officeDocument/2006/relationships/hyperlink" Target="https://docs.google.com/document/d/12UFllm5BMu7NxIzOKCh4kg98vFkZkLkR/edit?usp=drive_link&amp;ouid=107596163405648766688&amp;rtpof=true&amp;sd=true" TargetMode="External"/><Relationship Id="rId198" Type="http://schemas.openxmlformats.org/officeDocument/2006/relationships/hyperlink" Target="https://static.redstone.rs/games/40-dice-fire/" TargetMode="External"/><Relationship Id="rId321" Type="http://schemas.openxmlformats.org/officeDocument/2006/relationships/hyperlink" Target="https://onlinegamespromo.fazi.rs/Home/IntegrationGameLaunch?moneyType=0&amp;gameName=UnicornWinterFruits&amp;platform=desktop&amp;languageCode=eng&amp;currency=EUR" TargetMode="External"/><Relationship Id="rId419" Type="http://schemas.openxmlformats.org/officeDocument/2006/relationships/hyperlink" Target="https://docs.google.com/document/d/1BZ7cF2yWPuXXcXJuGQ0_VsCbLBKuTKnU/edit?usp=drive_link&amp;ouid=107596163405648766688&amp;rtpof=true&amp;sd=true" TargetMode="External"/><Relationship Id="rId626" Type="http://schemas.openxmlformats.org/officeDocument/2006/relationships/hyperlink" Target="https://gameserver-store-client-area.orbionlimited.com/Home/IntegrationGameLaunch/client-area?moneyType=0&amp;gameName=SpecialFruits&amp;platform=desktop&amp;languageCode=eng&amp;currency=EUR" TargetMode="External"/><Relationship Id="rId973" Type="http://schemas.openxmlformats.org/officeDocument/2006/relationships/hyperlink" Target="https://static.redstone.rs/games/40-wild-crown/" TargetMode="External"/><Relationship Id="rId104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1256" Type="http://schemas.openxmlformats.org/officeDocument/2006/relationships/hyperlink" Target="https://docs.google.com/document/d/1KAGZ2Kte4juDs-45JJ1fMdGUWL0vXPpc/edit" TargetMode="External"/><Relationship Id="rId833" Type="http://schemas.openxmlformats.org/officeDocument/2006/relationships/hyperlink" Target="https://static.redstone.rs/games/hot-rush-fruit-lines/" TargetMode="External"/><Relationship Id="rId1116" Type="http://schemas.openxmlformats.org/officeDocument/2006/relationships/hyperlink" Target="https://docs.google.com/document/d/1eB8Zj8GpDRP7UX4wYyRxIQ6j_NzzOI15/edit?usp=drive_link&amp;ouid=107596163405648766688&amp;rtpof=true&amp;sd=true" TargetMode="External"/><Relationship Id="rId1463" Type="http://schemas.openxmlformats.org/officeDocument/2006/relationships/hyperlink" Target="https://drive.google.com/file/d/1fG4olvFV2Azv3PAxhyn-hOZT8IQD-3sZ/view?usp=drive_link" TargetMode="External"/><Relationship Id="rId265" Type="http://schemas.openxmlformats.org/officeDocument/2006/relationships/hyperlink" Target="https://onlinegamespromo.fazi.rs/Home/IntegrationGameLaunch?moneyType=0&amp;gameName=FruityFace&amp;platform=desktop&amp;languageCode=eng&amp;currency=EUR" TargetMode="External"/><Relationship Id="rId472" Type="http://schemas.openxmlformats.org/officeDocument/2006/relationships/hyperlink" Target="https://docs.google.com/document/d/1EomMxtAJIKfvOoAN8Z_-9xNBF48P1jBO/edit?usp=drive_link&amp;ouid=107596163405648766688&amp;rtpof=true&amp;sd=true" TargetMode="External"/><Relationship Id="rId900" Type="http://schemas.openxmlformats.org/officeDocument/2006/relationships/hyperlink" Target="https://drive.google.com/file/d/1kYwrHltkbiRkd1GIHWbjvR1fTvCX6lKX/view?usp=drive_link" TargetMode="External"/><Relationship Id="rId1323" Type="http://schemas.openxmlformats.org/officeDocument/2006/relationships/hyperlink" Target="https://gameserver-store-client-area.orbionlimited.com/Home/IntegrationGameLaunch/client-area?moneyType=0&amp;gameName=VeryHot40DiceBooster&amp;platform=desktop&amp;languageCode=eng&amp;currency=EUR" TargetMode="External"/><Relationship Id="rId1530" Type="http://schemas.openxmlformats.org/officeDocument/2006/relationships/hyperlink" Target="https://drive.google.com/file/d/1OcQy9RzN8DA0FHZWrpaWZWvZVvkB8v4f/view?usp=drive_link" TargetMode="External"/><Relationship Id="rId125" Type="http://schemas.openxmlformats.org/officeDocument/2006/relationships/hyperlink" Target="https://docs.google.com/document/d/1mq8xqqryq1MA1Lb8eRerXA0Qu4oy9dK8/edit?usp=drive_link&amp;ouid=107596163405648766688&amp;rtpof=true&amp;sd=true" TargetMode="External"/><Relationship Id="rId332" Type="http://schemas.openxmlformats.org/officeDocument/2006/relationships/hyperlink" Target="https://static.redstone.rs/games/10-wild-santa/" TargetMode="External"/><Relationship Id="rId777" Type="http://schemas.openxmlformats.org/officeDocument/2006/relationships/hyperlink" Target="https://onlinegamespromo.fazi.rs/Home/IntegrationGameLaunch?moneyType=0&amp;gameName=UnicornThunderFruits&amp;platform=desktop&amp;languageCode=eng&amp;currency=EUR" TargetMode="External"/><Relationship Id="rId984" Type="http://schemas.openxmlformats.org/officeDocument/2006/relationships/hyperlink" Target="https://drive.google.com/file/d/1ezyMekXOVMpheGJbphiWWp4EOr-96GWP/view?usp=drive_link" TargetMode="External"/><Relationship Id="rId637" Type="http://schemas.openxmlformats.org/officeDocument/2006/relationships/hyperlink" Target="https://onlinegamespromo.fazi.rs/Home/IntegrationGameLaunch?moneyType=0&amp;gameName=CloversAndStars&amp;platform=desktop&amp;languageCode=eng&amp;currency=EUR" TargetMode="External"/><Relationship Id="rId844" Type="http://schemas.openxmlformats.org/officeDocument/2006/relationships/hyperlink" Target="https://gameserver-store-client-area.orbionlimited.com/Home/IntegrationGameLaunch/client-area?moneyType=0&amp;gameName=PlayNetCrownStacks40&amp;platform=desktop&amp;languageCode=eng&amp;currency=EUR" TargetMode="External"/><Relationship Id="rId1267" Type="http://schemas.openxmlformats.org/officeDocument/2006/relationships/hyperlink" Target="https://onlinegamespromo.fazi.rs/Home/IntegrationGameLaunch?moneyType=0&amp;gameName=UnicornSuperDiceRunner&amp;platform=desktop&amp;languageCode=eng&amp;currency=EUR" TargetMode="External"/><Relationship Id="rId1474" Type="http://schemas.openxmlformats.org/officeDocument/2006/relationships/hyperlink" Target="https://onlinegamespromo.fazi.rs/Home/IntegrationGameLaunch?moneyType=0&amp;gameName=HotClockExtreme&amp;platform=desktop&amp;languageCode=eng&amp;currency=EUR" TargetMode="External"/><Relationship Id="rId276" Type="http://schemas.openxmlformats.org/officeDocument/2006/relationships/hyperlink" Target="https://gameserver-store-client-area.orbionlimited.com/Home/IntegrationGameLaunch/client-area?moneyType=0&amp;gameName=WildJokerHot&amp;platform=desktop&amp;languageCode=eng&amp;currency=EUR" TargetMode="External"/><Relationship Id="rId483" Type="http://schemas.openxmlformats.org/officeDocument/2006/relationships/hyperlink" Target="https://docs.google.com/document/d/1lKG2J44Z3XobSwTrd9QvOmLKxuDAT9gT/edit?usp=drive_link&amp;ouid=107596163405648766688&amp;rtpof=true&amp;sd=true" TargetMode="External"/><Relationship Id="rId690" Type="http://schemas.openxmlformats.org/officeDocument/2006/relationships/hyperlink" Target="https://drive.google.com/file/d/12CNoGZjqaGvqwtItrZMz6E9UyZ8XsoJZ/view?usp=drive_link" TargetMode="External"/><Relationship Id="rId704" Type="http://schemas.openxmlformats.org/officeDocument/2006/relationships/hyperlink" Target="https://static.redstone.rs/games/5-wild-fire/" TargetMode="External"/><Relationship Id="rId911" Type="http://schemas.openxmlformats.org/officeDocument/2006/relationships/hyperlink" Target="https://onlinegamespromo.fazi.rs/Home/IntegrationGameLaunch?moneyType=0&amp;gameName=PlayNetMajesticCrown100&amp;platform=desktop&amp;languageCode=eng&amp;currency=EUR" TargetMode="External"/><Relationship Id="rId1127" Type="http://schemas.openxmlformats.org/officeDocument/2006/relationships/hyperlink" Target="https://static.redstone.rs/games/double-clover-fire-christmas/" TargetMode="External"/><Relationship Id="rId1334" Type="http://schemas.openxmlformats.org/officeDocument/2006/relationships/hyperlink" Target="https://gameserver-store-client-area.orbionlimited.com/Home/IntegrationGameLaunch/client-area?moneyType=0&amp;gameName=FortuneOfWuKong&amp;platform=desktop&amp;languageCode=eng&amp;currency=EUR" TargetMode="External"/><Relationship Id="rId1541" Type="http://schemas.openxmlformats.org/officeDocument/2006/relationships/hyperlink" Target="https://gameserver-store-client-area.orbionlimited.com/Home/IntegrationGameLaunch/client-area?moneyType=0&amp;gameName=RedstoneWildHeart1000&amp;platform=desktop&amp;languageCode=eng&amp;currency=EUR" TargetMode="External"/><Relationship Id="rId40" Type="http://schemas.openxmlformats.org/officeDocument/2006/relationships/hyperlink" Target="https://gameserver-store-client-area.orbionlimited.com/Home/IntegrationGameLaunch/client-area?moneyType=0&amp;gameName=TropicalHot&amp;platform=desktop&amp;languageCode=eng&amp;currency=EUR" TargetMode="External"/><Relationship Id="rId136" Type="http://schemas.openxmlformats.org/officeDocument/2006/relationships/hyperlink" Target="https://static.redstone.rs/games/10-wild-crown/" TargetMode="External"/><Relationship Id="rId343" Type="http://schemas.openxmlformats.org/officeDocument/2006/relationships/hyperlink" Target="https://onlinegamespromo.fazi.rs/Home/IntegrationGameLaunch?moneyType=0&amp;gameName=GoldenExplosion&amp;platform=desktop&amp;languageCode=eng&amp;currency=EUR" TargetMode="External"/><Relationship Id="rId550" Type="http://schemas.openxmlformats.org/officeDocument/2006/relationships/hyperlink" Target="https://gameserver-store-client-area.orbionlimited.com/Home/IntegrationGameLaunch/client-area?moneyType=0&amp;gameName=EggspandingRush&amp;platform=desktop&amp;languageCode=eng&amp;currency=EUR" TargetMode="External"/><Relationship Id="rId788" Type="http://schemas.openxmlformats.org/officeDocument/2006/relationships/hyperlink" Target="https://static.redstone.rs/games/star-chaser/" TargetMode="External"/><Relationship Id="rId995" Type="http://schemas.openxmlformats.org/officeDocument/2006/relationships/hyperlink" Target="https://drive.google.com/file/d/1VacTNVGL_aAgcRqDK1PiGT2sJWAclThw/view?usp=drive_link" TargetMode="External"/><Relationship Id="rId1180" Type="http://schemas.openxmlformats.org/officeDocument/2006/relationships/hyperlink" Target="https://wild-tiki-mayhem.soko.games/" TargetMode="External"/><Relationship Id="rId1401" Type="http://schemas.openxmlformats.org/officeDocument/2006/relationships/hyperlink" Target="https://docs.google.com/document/d/13hptVNdjfkN_JG3U1UHmaHQEMcK2oWHD/edit?usp=drive_link&amp;ouid=107596163405648766688&amp;rtpof=true&amp;sd=true" TargetMode="External"/><Relationship Id="rId203" Type="http://schemas.openxmlformats.org/officeDocument/2006/relationships/hyperlink" Target="https://onlinegamespromo.fazi.rs/Home/IntegrationGameLaunch?moneyType=0&amp;gameName=ElGrandeToro&amp;platform=desktop&amp;languageCode=eng&amp;currency=EUR" TargetMode="External"/><Relationship Id="rId648" Type="http://schemas.openxmlformats.org/officeDocument/2006/relationships/hyperlink" Target="https://docs.google.com/document/d/1nQVyH1x0d989Rumpnub0fo7iBBNmuumm/edit?usp=drive_link&amp;ouid=107596163405648766688&amp;rtpof=true&amp;sd=true" TargetMode="External"/><Relationship Id="rId855" Type="http://schemas.openxmlformats.org/officeDocument/2006/relationships/hyperlink" Target="https://onlinegamespromo.fazi.rs/Home/IntegrationGameLaunch?moneyType=0&amp;gameName=UnicornTripleStackedDiamonds&amp;platform=desktop&amp;languageCode=eng&amp;currency=EUR" TargetMode="External"/><Relationship Id="rId1040" Type="http://schemas.openxmlformats.org/officeDocument/2006/relationships/hyperlink" Target="https://gameserver-store-client-area.orbionlimited.com/Home/IntegrationGameLaunch/client-area?moneyType=0&amp;gameName=VeryHot40Booster&amp;platform=desktop&amp;languageCode=eng&amp;currency=EUR" TargetMode="External"/><Relationship Id="rId1278" Type="http://schemas.openxmlformats.org/officeDocument/2006/relationships/hyperlink" Target="https://gameserver-store-client-area.orbionlimited.com/Home/IntegrationGameLaunch/client-area?moneyType=0&amp;gameName=UnicornByeBouse&amp;platform=desktop&amp;languageCode=eng&amp;currency=EUR" TargetMode="External"/><Relationship Id="rId1485" Type="http://schemas.openxmlformats.org/officeDocument/2006/relationships/hyperlink" Target="https://onlinegamespromo.fazi.rs/Home/IntegrationGameLaunch?moneyType=0&amp;gameName=UnicornSpinTheSevens&amp;platform=desktop&amp;languageCode=eng&amp;currency=EUR" TargetMode="External"/><Relationship Id="rId287" Type="http://schemas.openxmlformats.org/officeDocument/2006/relationships/hyperlink" Target="https://docs.google.com/document/d/14aPa2HfOnXmUmLJGS13FiqvIHOpYGrPI/edit?usp=drive_link&amp;ouid=107596163405648766688&amp;rtpof=true&amp;sd=true" TargetMode="External"/><Relationship Id="rId410" Type="http://schemas.openxmlformats.org/officeDocument/2006/relationships/hyperlink" Target="https://docs.google.com/document/d/14McTj69knWbyzMrjp4z8p18Njc6HjKFL/edit?usp=drive_link&amp;ouid=107596163405648766688&amp;rtpof=true&amp;sd=true" TargetMode="External"/><Relationship Id="rId494" Type="http://schemas.openxmlformats.org/officeDocument/2006/relationships/hyperlink" Target="https://play.redstone.rs/games/wild-heart-beat/index.html" TargetMode="External"/><Relationship Id="rId508" Type="http://schemas.openxmlformats.org/officeDocument/2006/relationships/hyperlink" Target="https://gameserver-store-client-area.orbionlimited.com/Home/IntegrationGameLaunch/client-area?moneyType=0&amp;gameName=BonusEpicCrown&amp;platform=desktop&amp;languageCode=eng&amp;currency=EUR" TargetMode="External"/><Relationship Id="rId715" Type="http://schemas.openxmlformats.org/officeDocument/2006/relationships/hyperlink" Target="https://onlinegamespromo.fazi.rs/Home/IntegrationGameLaunch?moneyType=0&amp;gameName=UnicornDynamiteRun&amp;platform=desktop&amp;languageCode=eng&amp;currency=EUR" TargetMode="External"/><Relationship Id="rId922" Type="http://schemas.openxmlformats.org/officeDocument/2006/relationships/hyperlink" Target="https://gameserver-store-client-area.orbionlimited.com/Home/IntegrationGameLaunch/client-area?moneyType=0&amp;gameName=VeryHot5Booster&amp;platform=desktop&amp;languageCode=eng&amp;currency=EUR" TargetMode="External"/><Relationship Id="rId1138" Type="http://schemas.openxmlformats.org/officeDocument/2006/relationships/hyperlink" Target="https://static.redstone.rs/games/9-of-a-kind/" TargetMode="External"/><Relationship Id="rId1345" Type="http://schemas.openxmlformats.org/officeDocument/2006/relationships/hyperlink" Target="https://onlinegamespromo.fazi.rs/Home/IntegrationGameLaunch?moneyType=0&amp;gameName=RoyalgardenQueen&amp;platform=desktop&amp;languageCode=eng&amp;currency=EUR" TargetMode="External"/><Relationship Id="rId147" Type="http://schemas.openxmlformats.org/officeDocument/2006/relationships/hyperlink" Target="https://onlinegamespromo.fazi.rs/Home/IntegrationGameLaunch?moneyType=0&amp;gameName=UnicornTwentyDice&amp;platform=desktop&amp;languageCode=eng&amp;currency=EUR" TargetMode="External"/><Relationship Id="rId354" Type="http://schemas.openxmlformats.org/officeDocument/2006/relationships/hyperlink" Target="https://docs.google.com/document/d/1UeKapwW5j_iL8jkPhskA_IB-etulcFA5/edit?usp=drive_link&amp;ouid=107596163405648766688&amp;rtpof=true&amp;sd=true" TargetMode="External"/><Relationship Id="rId799" Type="http://schemas.openxmlformats.org/officeDocument/2006/relationships/hyperlink" Target="https://static.redstone.rs/games/reel-x5/" TargetMode="External"/><Relationship Id="rId1191" Type="http://schemas.openxmlformats.org/officeDocument/2006/relationships/hyperlink" Target="https://gameserver-store-client-area.orbionlimited.com/Home/IntegrationGameLaunch/client-area?moneyType=0&amp;gameName=UnicornBuffaloDiceJackpot&amp;platform=desktop&amp;languageCode=eng&amp;currency=EUR" TargetMode="External"/><Relationship Id="rId1205" Type="http://schemas.openxmlformats.org/officeDocument/2006/relationships/hyperlink" Target="https://static.redstone.rs/games/cupids-wild-hearts/" TargetMode="External"/><Relationship Id="rId51" Type="http://schemas.openxmlformats.org/officeDocument/2006/relationships/hyperlink" Target="https://onlinegamespromo.fazi.rs/Home/IntegrationGameLaunch?moneyType=0&amp;gameName=SpaceGuardians&amp;platform=desktop&amp;languageCode=eng&amp;currency=EUR" TargetMode="External"/><Relationship Id="rId561" Type="http://schemas.openxmlformats.org/officeDocument/2006/relationships/hyperlink" Target="https://onlinegamespromo.fazi.rs/Home/IntegrationGameLaunch?moneyType=0&amp;gameName=UnicornLavaDiamonds&amp;platform=desktop&amp;languageCode=eng&amp;currency=EUR" TargetMode="External"/><Relationship Id="rId659" Type="http://schemas.openxmlformats.org/officeDocument/2006/relationships/hyperlink" Target="https://onlinegamespromo.fazi.rs/Home/IntegrationGameLaunch?moneyType=0&amp;gameName=MajesticCrown10&amp;platform=desktop&amp;languageCode=eng&amp;currency=EUR" TargetMode="External"/><Relationship Id="rId866" Type="http://schemas.openxmlformats.org/officeDocument/2006/relationships/hyperlink" Target="https://gameserver-store-client-area.orbionlimited.com/Home/IntegrationGameLaunch/client-area?moneyType=0&amp;gameName=UnicornDynamiteRunDice&amp;platform=desktop&amp;languageCode=eng&amp;currency=EUR" TargetMode="External"/><Relationship Id="rId1289" Type="http://schemas.openxmlformats.org/officeDocument/2006/relationships/hyperlink" Target="https://drive.google.com/drive/folders/1HnVHEi4PxXKbJ6EWbWx4tNUyr2IpnDyp" TargetMode="External"/><Relationship Id="rId1412" Type="http://schemas.openxmlformats.org/officeDocument/2006/relationships/hyperlink" Target="https://docs.google.com/document/d/1OjZOchQ0XNxKdCKZBU_goFxCAC9yjUgM/edit?usp=drive_link&amp;ouid=107596163405648766688&amp;rtpof=true&amp;sd=true" TargetMode="External"/><Relationship Id="rId1496" Type="http://schemas.openxmlformats.org/officeDocument/2006/relationships/hyperlink" Target="https://dicebyte.sharepoint.com/:b:/g/IQDyDKwN3M1gR4amzH0TthN7AcNPbN6DwC2M6XiCCfylpy4?e=esZJ4K" TargetMode="External"/><Relationship Id="rId214" Type="http://schemas.openxmlformats.org/officeDocument/2006/relationships/hyperlink" Target="https://gameserver-store-client-area.orbionlimited.com/Home/IntegrationGameLaunch/client-area?moneyType=0&amp;gameName=SevenClassicHot&amp;platform=desktop&amp;languageCode=eng&amp;currency=EUR" TargetMode="External"/><Relationship Id="rId298" Type="http://schemas.openxmlformats.org/officeDocument/2006/relationships/hyperlink" Target="https://docs.google.com/document/d/1NMkfRF8FQvCOJiqleoPSFcu-P1GHuxJx/edit?usp=drive_link&amp;ouid=107596163405648766688&amp;rtpof=true&amp;sd=true" TargetMode="External"/><Relationship Id="rId421" Type="http://schemas.openxmlformats.org/officeDocument/2006/relationships/hyperlink" Target="https://static.redstone.rs/games/hot-hot/" TargetMode="External"/><Relationship Id="rId519" Type="http://schemas.openxmlformats.org/officeDocument/2006/relationships/hyperlink" Target="https://docs.google.com/document/d/1PYxXsTRixVUGoPQjGyncmfz5LXWWNYRg/edit?usp=drive_link&amp;ouid=107596163405648766688&amp;rtpof=true&amp;sd=true" TargetMode="External"/><Relationship Id="rId1051" Type="http://schemas.openxmlformats.org/officeDocument/2006/relationships/hyperlink" Target="https://drive.google.com/drive/folders/15If-w8kO7AuO2xHYBS8w2z47YmBhdYIa?usp=drive_link" TargetMode="External"/><Relationship Id="rId1149" Type="http://schemas.openxmlformats.org/officeDocument/2006/relationships/hyperlink" Target="https://gameserver-store-client-area.orbionlimited.com/Home/IntegrationGameLaunch/client-area?moneyType=0&amp;gameName=BellasWorld&amp;platform=desktop&amp;languageCode=eng&amp;currency=EUR" TargetMode="External"/><Relationship Id="rId1356" Type="http://schemas.openxmlformats.org/officeDocument/2006/relationships/hyperlink" Target="https://onlinegamespromo.fazi.rs/Home/IntegrationGameLaunch?moneyType=0&amp;gameName=UnicornMoneyStandardJackpot&amp;platform=desktop&amp;languageCode=eng&amp;currency=EUR" TargetMode="External"/><Relationship Id="rId158" Type="http://schemas.openxmlformats.org/officeDocument/2006/relationships/hyperlink" Target="https://gameserver-store-client-area.orbionlimited.com/Home/IntegrationGameLaunch/client-area?moneyType=0&amp;gameName=MegaCubesDeluxe&amp;platform=desktop&amp;languageCode=eng&amp;currency=EUR" TargetMode="External"/><Relationship Id="rId726" Type="http://schemas.openxmlformats.org/officeDocument/2006/relationships/hyperlink" Target="https://gameserver-store-client-area.orbionlimited.com/Home/IntegrationGameLaunch/client-area?moneyType=0&amp;gameName=PlayNet27WildStacksXmas&amp;platform=desktop&amp;languageCode=eng&amp;currency=EUR" TargetMode="External"/><Relationship Id="rId933"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009" Type="http://schemas.openxmlformats.org/officeDocument/2006/relationships/hyperlink" Target="https://static.redstone.rs/games/divine-strike/" TargetMode="External"/><Relationship Id="rId62" Type="http://schemas.openxmlformats.org/officeDocument/2006/relationships/hyperlink" Target="https://gameserver-store-client-area.orbionlimited.com/Home/IntegrationGameLaunch/client-area?moneyType=0&amp;gameName=TripleDice&amp;platform=desktop&amp;languageCode=eng&amp;currency=EUR" TargetMode="External"/><Relationship Id="rId365" Type="http://schemas.openxmlformats.org/officeDocument/2006/relationships/hyperlink" Target="https://onlinegamespromo.fazi.rs/Home/IntegrationGameLaunch?moneyType=0&amp;gameName=Wild27&amp;lobbyUrl=https://www.fazi-interactive.com/" TargetMode="External"/><Relationship Id="rId572" Type="http://schemas.openxmlformats.org/officeDocument/2006/relationships/hyperlink" Target="https://static.redstone.rs/games/book-of-scorpio/" TargetMode="External"/><Relationship Id="rId1216" Type="http://schemas.openxmlformats.org/officeDocument/2006/relationships/hyperlink" Target="https://onlinegamespromo.fazi.rs/Home/IntegrationGameLaunch?moneyType=0&amp;gameName=UnicornThreeReelFruitBoost&amp;platform=desktop&amp;languageCode=eng&amp;currency=EUR" TargetMode="External"/><Relationship Id="rId1423" Type="http://schemas.openxmlformats.org/officeDocument/2006/relationships/hyperlink" Target="https://gameserver-store-client-area.orbionlimited.com/Home/IntegrationGameLaunch/client-area?moneyType=0&amp;gameName=PlayNetFruitJackPotx10000&amp;platform=desktop&amp;languageCode=eng&amp;currency=EUR" TargetMode="External"/><Relationship Id="rId225" Type="http://schemas.openxmlformats.org/officeDocument/2006/relationships/hyperlink" Target="https://onlinegamespromo.fazi.rs/Home/IntegrationGameLaunch?moneyType=0&amp;gameName=EyeOfTut&amp;platform=desktop&amp;languageCode=eng&amp;currency=EUR" TargetMode="External"/><Relationship Id="rId432" Type="http://schemas.openxmlformats.org/officeDocument/2006/relationships/hyperlink" Target="https://gameserver-store-client-area.orbionlimited.com/Home/IntegrationGameLaunch/client-area?moneyType=0&amp;gameName=TurboFire&amp;platform=desktop&amp;languageCode=eng&amp;currency=EUR" TargetMode="External"/><Relationship Id="rId877" Type="http://schemas.openxmlformats.org/officeDocument/2006/relationships/hyperlink" Target="https://onlinegamespromo.fazi.rs/Home/IntegrationGameLaunch?moneyType=0&amp;gameName=LuckySheriff&amp;lobbyUrl=https://www.fazi-interactive.com/" TargetMode="External"/><Relationship Id="rId1062" Type="http://schemas.openxmlformats.org/officeDocument/2006/relationships/hyperlink" Target="https://static.redstone.rs/games/5-clover-fire-halloween/" TargetMode="External"/><Relationship Id="rId737" Type="http://schemas.openxmlformats.org/officeDocument/2006/relationships/hyperlink" Target="https://static.redstone.rs/games/christmas-delight/" TargetMode="External"/><Relationship Id="rId944" Type="http://schemas.openxmlformats.org/officeDocument/2006/relationships/hyperlink" Target="https://gameserver-store-client-area.orbionlimited.com/Home/IntegrationGameLaunch/client-area?moneyType=0&amp;gameName=PlayNetDashingHot20&amp;platform=desktop&amp;languageCode=eng&amp;currency=EUR" TargetMode="External"/><Relationship Id="rId1367" Type="http://schemas.openxmlformats.org/officeDocument/2006/relationships/hyperlink" Target="https://gameserver-store-client-area.orbionlimited.com/Home/IntegrationGameLaunch/client-area?moneyType=0&amp;gameName=UnicornGoldenGateDice&amp;platform=desktop&amp;languageCode=eng&amp;currency=EUR" TargetMode="External"/><Relationship Id="rId73" Type="http://schemas.openxmlformats.org/officeDocument/2006/relationships/hyperlink" Target="https://onlinegamespromo.fazi.rs/Home/IntegrationGameLaunch?moneyType=0&amp;gameName=FruitsAndStars40&amp;platform=desktop&amp;languageCode=eng&amp;currency=EUR" TargetMode="External"/><Relationship Id="rId169" Type="http://schemas.openxmlformats.org/officeDocument/2006/relationships/hyperlink" Target="https://onlinegamespromo.fazi.rs/Home/IntegrationGameLaunch?moneyType=0&amp;gameName=JewelsBeat&amp;platform=desktop&amp;languageCode=eng&amp;currency=EUR" TargetMode="External"/><Relationship Id="rId376" Type="http://schemas.openxmlformats.org/officeDocument/2006/relationships/hyperlink" Target="https://gameserver-store-client-area.orbionlimited.com/Home/IntegrationGameLaunch/client-area?moneyType=0&amp;gameName=UnicornMoneyStandardDice&amp;platform=desktop&amp;languageCode=eng&amp;currency=EUR" TargetMode="External"/><Relationship Id="rId583" Type="http://schemas.openxmlformats.org/officeDocument/2006/relationships/hyperlink" Target="https://onlinegamespromo.fazi.rs/Home/IntegrationGameLaunch?moneyType=0&amp;gameName=UnicornFrootClassic&amp;platform=desktop&amp;languageCode=eng&amp;currency=EUR" TargetMode="External"/><Relationship Id="rId790" Type="http://schemas.openxmlformats.org/officeDocument/2006/relationships/hyperlink" Target="https://gameserver-store-client-area.orbionlimited.com/Home/IntegrationGameLaunch/client-area?moneyType=0&amp;gameName=UnicornWildHoppers&amp;platform=desktop&amp;languageCode=eng&amp;currency=EUR" TargetMode="External"/><Relationship Id="rId804" Type="http://schemas.openxmlformats.org/officeDocument/2006/relationships/hyperlink" Target="https://gameserver-store-client-area.orbionlimited.com/Home/IntegrationGameLaunch/client-area?moneyType=0&amp;gameName=UnicornBunnyDice&amp;platform=desktop&amp;languageCode=eng&amp;currency=EUR" TargetMode="External"/><Relationship Id="rId1227" Type="http://schemas.openxmlformats.org/officeDocument/2006/relationships/hyperlink" Target="https://gameserver-store.fazi.rs/Home/IntegrationGameLaunch/admiralmne?moneyType=0&amp;currency=EUR&amp;gameName=CoinSplashDice" TargetMode="External"/><Relationship Id="rId1434" Type="http://schemas.openxmlformats.org/officeDocument/2006/relationships/hyperlink" Target="https://onlinegamespromo.fazi.rs/Home/IntegrationGameLaunch?moneyType=0&amp;gameName=PlayNetDarkTemptress100&amp;platform=desktop&amp;languageCode=eng&amp;currency=EUR" TargetMode="External"/><Relationship Id="rId4" Type="http://schemas.openxmlformats.org/officeDocument/2006/relationships/hyperlink" Target="https://drive.google.com/drive/folders/1eAhqfN9MTsssPa1gNwX2PQPL_WHWv2MA" TargetMode="External"/><Relationship Id="rId236" Type="http://schemas.openxmlformats.org/officeDocument/2006/relationships/hyperlink" Target="https://static.redstone.rs/games/40-cash-bells/" TargetMode="External"/><Relationship Id="rId443" Type="http://schemas.openxmlformats.org/officeDocument/2006/relationships/hyperlink" Target="https://onlinegamespromo.fazi.rs/Home/IntegrationGameLaunch?moneyType=0&amp;gameName=UnicornGoldLine&amp;platform=desktop&amp;languageCode=eng&amp;currency=EUR" TargetMode="External"/><Relationship Id="rId650" Type="http://schemas.openxmlformats.org/officeDocument/2006/relationships/hyperlink" Target="https://static.redstone.rs/games/81-vegas-crown/" TargetMode="External"/><Relationship Id="rId888" Type="http://schemas.openxmlformats.org/officeDocument/2006/relationships/hyperlink" Target="https://drive.google.com/file/d/1yckcih0apcYhGCwgqTCD9bPSWnkOLgox/view?usp=drive_link" TargetMode="External"/><Relationship Id="rId1073" Type="http://schemas.openxmlformats.org/officeDocument/2006/relationships/hyperlink" Target="https://onlinegamespromo.fazi.rs/Home/IntegrationGameLaunch?moneyType=0&amp;gameName=UnicornBigSpinDice&amp;platform=desktop&amp;languageCode=eng&amp;currency=EUR" TargetMode="External"/><Relationship Id="rId1280" Type="http://schemas.openxmlformats.org/officeDocument/2006/relationships/hyperlink" Target="https://gameserver-store-client-area.orbionlimited.com/Home/IntegrationGameLaunch/client-area?moneyType=0&amp;gameName=UnicornTripleRoyalWilds&amp;platform=desktop&amp;languageCode=eng&amp;currency=EUR" TargetMode="External"/><Relationship Id="rId1501" Type="http://schemas.openxmlformats.org/officeDocument/2006/relationships/hyperlink" Target="https://dicebyte.sharepoint.com/:b:/g/IQBk427fhJxFRqJu3RDzN5j7AWRQQ5sgDQ-UUgTcLVfZu9I?e=kSsSNb" TargetMode="External"/><Relationship Id="rId303" Type="http://schemas.openxmlformats.org/officeDocument/2006/relationships/hyperlink" Target="https://onlinegamespromo.fazi.rs/Home/IntegrationGameLaunch?moneyType=0&amp;gameName=WildLuckyClover&amp;platform=desktop&amp;languageCode=eng&amp;currency=EUR" TargetMode="External"/><Relationship Id="rId748" Type="http://schemas.openxmlformats.org/officeDocument/2006/relationships/hyperlink" Target="https://drive.google.com/file/d/166wIewWhocd1jH7pxyQpKQESUAJhpHdt/view?usp=drive_link" TargetMode="External"/><Relationship Id="rId955"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140" Type="http://schemas.openxmlformats.org/officeDocument/2006/relationships/hyperlink" Target="https://gameserver-store-dev-01.fazi.rs/Home/IntegrationGameLaunch/fazi-stg16?moneyType=0&amp;gameName=WildJokerHotBooster&amp;platform=desktop&amp;languageCode=eng&amp;currency=EUR" TargetMode="External"/><Relationship Id="rId1378" Type="http://schemas.openxmlformats.org/officeDocument/2006/relationships/hyperlink" Target="https://docs.google.com/document/d/1FpkbA-AdLoL-JLYpZ6MRGHBx-ZEaymBO/edit?usp=drive_link&amp;ouid=107596163405648766688&amp;rtpof=true&amp;sd=true" TargetMode="External"/><Relationship Id="rId84" Type="http://schemas.openxmlformats.org/officeDocument/2006/relationships/hyperlink" Target="https://gameserver-store-client-area.orbionlimited.com/Home/IntegrationGameLaunch/client-area?moneyType=0&amp;gameName=BookOfSpellsDeluxe&amp;platform=desktop&amp;languageCode=eng&amp;currency=EUR" TargetMode="External"/><Relationship Id="rId387" Type="http://schemas.openxmlformats.org/officeDocument/2006/relationships/hyperlink" Target="https://onlinegamespromo.fazi.rs/Home/IntegrationGameLaunch?moneyType=0&amp;gameName=WildLuckyClover2&amp;platform=desktop&amp;languageCode=eng&amp;currency=EUR" TargetMode="External"/><Relationship Id="rId510" Type="http://schemas.openxmlformats.org/officeDocument/2006/relationships/hyperlink" Target="https://docs.google.com/document/d/17U5ep68w6t9myafb3f5gTSGNEdDaOxSk/edit?usp=drive_link&amp;ouid=107596163405648766688&amp;rtpof=true&amp;sd=true" TargetMode="External"/><Relationship Id="rId594" Type="http://schemas.openxmlformats.org/officeDocument/2006/relationships/hyperlink" Target="https://gameserver-store-client-area.orbionlimited.com/Home/IntegrationGameLaunch/client-area?moneyType=0&amp;gameName=MegaHot10&amp;platform=desktop&amp;languageCode=eng&amp;currency=EUR" TargetMode="External"/><Relationship Id="rId608" Type="http://schemas.openxmlformats.org/officeDocument/2006/relationships/hyperlink" Target="https://gameserver-store-client-area.orbionlimited.com/Home/IntegrationGameLaunch/client-area?moneyType=0&amp;gameName=FruityForce40&amp;platform=desktop&amp;languageCode=eng&amp;currency=EUR" TargetMode="External"/><Relationship Id="rId815" Type="http://schemas.openxmlformats.org/officeDocument/2006/relationships/hyperlink" Target="https://drive.google.com/file/d/12vGsFllmq9UMDItMEAf7XkGL9ui00F1k/view?usp=drive_link" TargetMode="External"/><Relationship Id="rId1238" Type="http://schemas.openxmlformats.org/officeDocument/2006/relationships/hyperlink" Target="https://static.redstone.rs/games/respin-fortune/" TargetMode="External"/><Relationship Id="rId1445" Type="http://schemas.openxmlformats.org/officeDocument/2006/relationships/hyperlink" Target="https://gameserver-store-client-area.orbionlimited.com/Home/IntegrationGameLaunch/client-area?moneyType=0&amp;gameName=BonusEpicWildExtralines&amp;platform=desktop&amp;languageCode=eng&amp;currency=EUR" TargetMode="External"/><Relationship Id="rId247" Type="http://schemas.openxmlformats.org/officeDocument/2006/relationships/hyperlink" Target="https://onlinegamespromo.fazi.rs/Home/IntegrationGameLaunch?moneyType=0&amp;gameName=FruityWin20&amp;platform=desktop&amp;languageCode=eng&amp;currency=EUR" TargetMode="External"/><Relationship Id="rId899" Type="http://schemas.openxmlformats.org/officeDocument/2006/relationships/hyperlink" Target="https://drive.google.com/file/d/1KpdYiCmVfigVnXOC9uMf7jQVuYIILwMl/view?usp=drive_link" TargetMode="External"/><Relationship Id="rId1000" Type="http://schemas.openxmlformats.org/officeDocument/2006/relationships/hyperlink" Target="https://drive.google.com/file/d/1PNTSXbNOv7IUVWEaPyuY1S9I2kNKYxok/view?usp=drive_link" TargetMode="External"/><Relationship Id="rId1084" Type="http://schemas.openxmlformats.org/officeDocument/2006/relationships/hyperlink" Target="https://gameserver-store-client-area.orbionlimited.com/Home/IntegrationGameLaunch/client-area?moneyType=0&amp;gameName=UnicornChristmasPresents2025&amp;platform=desktop&amp;languageCode=eng&amp;currency=EUR" TargetMode="External"/><Relationship Id="rId1305" Type="http://schemas.openxmlformats.org/officeDocument/2006/relationships/hyperlink" Target="https://onlinegamespromo.fazi.rs/Home/IntegrationGameLaunch?moneyType=0&amp;gameName=LockedHearts5&amp;platform=desktop&amp;languageCode=eng&amp;currency=EUR" TargetMode="External"/><Relationship Id="rId107" Type="http://schemas.openxmlformats.org/officeDocument/2006/relationships/hyperlink" Target="https://docs.google.com/document/d/1Uy4tt6hjEDARsEKbYmUXlmaGTBet09gC/edit?usp=drive_link&amp;ouid=107596163405648766688&amp;rtpof=true&amp;sd=true" TargetMode="External"/><Relationship Id="rId454" Type="http://schemas.openxmlformats.org/officeDocument/2006/relationships/hyperlink" Target="https://gameserver-store-client-area.orbionlimited.com/Home/IntegrationGameLaunch/client-area?moneyType=0&amp;gameName=UnicornSimplySevensDice&amp;platform=desktop&amp;languageCode=eng&amp;currency=EUR" TargetMode="External"/><Relationship Id="rId661" Type="http://schemas.openxmlformats.org/officeDocument/2006/relationships/hyperlink" Target="https://docs.google.com/document/d/1GjMjFhDDra5S98Eu8oW327f3zalMBGyI/edit?usp=drive_link&amp;ouid=107596163405648766688&amp;rtpof=true&amp;sd=true" TargetMode="External"/><Relationship Id="rId759" Type="http://schemas.openxmlformats.org/officeDocument/2006/relationships/hyperlink" Target="https://onlinegamespromo.fazi.rs/Home/IntegrationGameLaunch?moneyType=0&amp;gameName=PlayNetFortuneCloverX2&amp;platform=desktop&amp;languageCode=eng&amp;currency=EUR" TargetMode="External"/><Relationship Id="rId966" Type="http://schemas.openxmlformats.org/officeDocument/2006/relationships/hyperlink" Target="https://drive.google.com/file/d/1zIRHFJQ_rufNyGH5m48RMyBrcv6KJEfn/view?usp=drive_link" TargetMode="External"/><Relationship Id="rId1291" Type="http://schemas.openxmlformats.org/officeDocument/2006/relationships/hyperlink" Target="https://onlinegamespromo.fazi.rs/Home/IntegrationGameLaunch?moneyType=0&amp;gameName=GoldenDiamonds20Extreme&amp;platform=desktop&amp;languageCode=eng&amp;currency=EUR" TargetMode="External"/><Relationship Id="rId1389" Type="http://schemas.openxmlformats.org/officeDocument/2006/relationships/hyperlink" Target="https://static.redstone.rs/games/pure-hot-5/" TargetMode="External"/><Relationship Id="rId1512" Type="http://schemas.openxmlformats.org/officeDocument/2006/relationships/hyperlink" Target="https://drive.google.com/drive/u/1/folders/1VUsqF4POYyLYFTpmPADn7kSJ-Mhd9zC-" TargetMode="External"/><Relationship Id="rId11" Type="http://schemas.openxmlformats.org/officeDocument/2006/relationships/hyperlink" Target="https://gameserver-store-client-area.orbionlimited.com/Home/IntegrationGameLaunch/client-area?moneyType=0&amp;gameName=FruitsAndStars&amp;platform=desktop&amp;languageCode=eng&amp;currency=EUR" TargetMode="External"/><Relationship Id="rId314" Type="http://schemas.openxmlformats.org/officeDocument/2006/relationships/hyperlink" Target="https://docs.google.com/document/d/1bLFVaEPJXVXgIFdQ624LMlKjIAvfMl3r/edit?usp=drive_link&amp;ouid=107596163405648766688&amp;rtpof=true&amp;sd=true" TargetMode="External"/><Relationship Id="rId398" Type="http://schemas.openxmlformats.org/officeDocument/2006/relationships/hyperlink" Target="https://static.redstone.rs/games/heat-double/" TargetMode="External"/><Relationship Id="rId521" Type="http://schemas.openxmlformats.org/officeDocument/2006/relationships/hyperlink" Target="https://static.redstone.rs/games/chilli-double/" TargetMode="External"/><Relationship Id="rId619" Type="http://schemas.openxmlformats.org/officeDocument/2006/relationships/hyperlink" Target="https://onlinegamespromo.fazi.rs/Home/IntegrationGameLaunch?moneyType=0&amp;gameName=CrownOfSecret&amp;lobbyUrl=https://www.fazi-interactive.com/" TargetMode="External"/><Relationship Id="rId1151" Type="http://schemas.openxmlformats.org/officeDocument/2006/relationships/hyperlink" Target="https://gameserver-store-client-area.orbionlimited.com/Home/IntegrationGameLaunch/client-area?moneyType=0&amp;gameName=Wild27Extreme&amp;platform=desktop&amp;languageCode=eng&amp;currency=EUR" TargetMode="External"/><Relationship Id="rId1249" Type="http://schemas.openxmlformats.org/officeDocument/2006/relationships/hyperlink" Target="https://static.redstone.rs/games/clover-rush-5/" TargetMode="External"/><Relationship Id="rId95" Type="http://schemas.openxmlformats.org/officeDocument/2006/relationships/hyperlink" Target="https://onlinegamespromo.fazi.rs/Home/IntegrationGameLaunch?moneyType=0&amp;gameName=UnicornVegasDice&amp;platform=desktop&amp;languageCode=eng&amp;currency=EUR" TargetMode="External"/><Relationship Id="rId160" Type="http://schemas.openxmlformats.org/officeDocument/2006/relationships/hyperlink" Target="https://gameserver-store-client-area.orbionlimited.com/Home/IntegrationGameLaunch/client-area?moneyType=0&amp;gameName=LollasWorld&amp;platform=desktop&amp;languageCode=eng&amp;currency=EUR" TargetMode="External"/><Relationship Id="rId826" Type="http://schemas.openxmlformats.org/officeDocument/2006/relationships/hyperlink" Target="https://drive.google.com/drive/folders/16_OhPd98nkLRrPr2Hoep9zEW80bS1S9y" TargetMode="External"/><Relationship Id="rId1011" Type="http://schemas.openxmlformats.org/officeDocument/2006/relationships/hyperlink" Target="https://onlinegamespromo.fazi.rs/Home/IntegrationGameLaunch?moneyType=0&amp;gameName=UnicornEnchantedGems&amp;platform=desktop&amp;languageCode=eng&amp;currency=EUR" TargetMode="External"/><Relationship Id="rId1109" Type="http://schemas.openxmlformats.org/officeDocument/2006/relationships/hyperlink" Target="https://onlinegamespromo.fazi.rs/Home/IntegrationGameLaunch?moneyType=0&amp;gameName=PlayNetFortuneCloverX2Xmas&amp;platform=desktop&amp;languageCode=eng&amp;currency=EUR" TargetMode="External"/><Relationship Id="rId1456" Type="http://schemas.openxmlformats.org/officeDocument/2006/relationships/hyperlink" Target="https://static.redstone.rs/games/10-clover-deluxe/" TargetMode="External"/><Relationship Id="rId258" Type="http://schemas.openxmlformats.org/officeDocument/2006/relationships/hyperlink" Target="https://gameserver-store-client-area.orbionlimited.com/Home/IntegrationGameLaunch/client-area?moneyType=0&amp;gameName=UnicornMoneyStandard&amp;platform=desktop&amp;languageCode=eng&amp;currency=EUR" TargetMode="External"/><Relationship Id="rId465" Type="http://schemas.openxmlformats.org/officeDocument/2006/relationships/hyperlink" Target="https://onlinegamespromo.fazi.rs/Home/IntegrationGameLaunch?moneyType=0&amp;gameName=UnicornChristmasPresents&amp;platform=desktop&amp;languageCode=eng&amp;currency=EUR" TargetMode="External"/><Relationship Id="rId672" Type="http://schemas.openxmlformats.org/officeDocument/2006/relationships/hyperlink" Target="https://static.redstone.rs/games/100-clover-fire/" TargetMode="External"/><Relationship Id="rId1095" Type="http://schemas.openxmlformats.org/officeDocument/2006/relationships/hyperlink" Target="https://onlinegamespromo.fazi.rs/Home/IntegrationGameLaunch?moneyType=0&amp;gameName=PlayNet81MagicStars&amp;platform=desktop&amp;languageCode=eng&amp;currency=EUR" TargetMode="External"/><Relationship Id="rId1316" Type="http://schemas.openxmlformats.org/officeDocument/2006/relationships/hyperlink" Target="https://gameserver-store-client-area.orbionlimited.com/Home/IntegrationGameLaunch/client-area?moneyType=0&amp;gameName=WinningClover5HoldAndWin&amp;platform=desktop&amp;languageCode=eng&amp;currency=EUR" TargetMode="External"/><Relationship Id="rId1523" Type="http://schemas.openxmlformats.org/officeDocument/2006/relationships/hyperlink" Target="https://drive.google.com/drive/u/1/folders/1u9zSqrdT7upTpz3uiJRAuTNt3RZYGlWX" TargetMode="External"/><Relationship Id="rId22" Type="http://schemas.openxmlformats.org/officeDocument/2006/relationships/hyperlink" Target="https://gameserver-store-client-area.orbionlimited.com/Home/IntegrationGameLaunch/client-area?moneyType=0&amp;gameName=JollyPoker&amp;platform=desktop&amp;languageCode=eng&amp;currency=EUR" TargetMode="External"/><Relationship Id="rId118" Type="http://schemas.openxmlformats.org/officeDocument/2006/relationships/hyperlink" Target="https://gameserver-store-client-area.orbionlimited.com/Home/IntegrationGameLaunch/client-area?moneyType=0&amp;gameName=FruityJokerHot&amp;platform=desktop&amp;languageCode=eng&amp;currency=EUR" TargetMode="External"/><Relationship Id="rId325" Type="http://schemas.openxmlformats.org/officeDocument/2006/relationships/hyperlink" Target="https://docs.google.com/document/d/1fDWyZ7abUTboXh9dpo8Ipp9KfenSXeH9/edit?usp=drive_link&amp;ouid=107596163405648766688&amp;rtpof=true&amp;sd=true" TargetMode="External"/><Relationship Id="rId532" Type="http://schemas.openxmlformats.org/officeDocument/2006/relationships/hyperlink" Target="https://docs.google.com/document/d/18GNqOxG-IfrZF7FgIDbx__reQdjcDGUy/edit?usp=drive_link&amp;ouid=107596163405648766688&amp;rtpof=true&amp;sd=true" TargetMode="External"/><Relationship Id="rId977" Type="http://schemas.openxmlformats.org/officeDocument/2006/relationships/hyperlink" Target="https://static.redstone.rs/games/double-crown-5/" TargetMode="External"/><Relationship Id="rId116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171" Type="http://schemas.openxmlformats.org/officeDocument/2006/relationships/hyperlink" Target="https://onlinegamespromo.fazi.rs/Home/IntegrationGameLaunch?moneyType=0&amp;gameName=HeatingIce&amp;platform=desktop&amp;languageCode=eng&amp;currency=EUR" TargetMode="External"/><Relationship Id="rId837" Type="http://schemas.openxmlformats.org/officeDocument/2006/relationships/hyperlink" Target="https://onlinegamespromo.fazi.rs/Home/IntegrationGameLaunch?moneyType=0&amp;gameName=Wild5&amp;lobbyUrl=https://www.fazi-interactive.com/" TargetMode="External"/><Relationship Id="rId1022" Type="http://schemas.openxmlformats.org/officeDocument/2006/relationships/hyperlink" Target="https://gameserver-store-client-area.orbionlimited.com/Home/IntegrationGameLaunch/client-area?moneyType=0&amp;gameName=UnicornScatterKaChing&amp;platform=desktop&amp;languageCode=eng&amp;currency=EUR" TargetMode="External"/><Relationship Id="rId1467" Type="http://schemas.openxmlformats.org/officeDocument/2006/relationships/hyperlink" Target="https://drive.google.com/file/d/1CClaLQ3IDpQCDIhVduwyLDasvl7TxyYD/view?usp=drive_link" TargetMode="External"/><Relationship Id="rId269" Type="http://schemas.openxmlformats.org/officeDocument/2006/relationships/hyperlink" Target="https://static.redstone.rs/games/5-wild-heart/" TargetMode="External"/><Relationship Id="rId476" Type="http://schemas.openxmlformats.org/officeDocument/2006/relationships/hyperlink" Target="https://docs.google.com/document/d/1tVV48E1kzpopmbpJDlGt5Lp7cqHzzqTq/edit?usp=drive_link&amp;ouid=107596163405648766688&amp;rtpof=true&amp;sd=true" TargetMode="External"/><Relationship Id="rId683" Type="http://schemas.openxmlformats.org/officeDocument/2006/relationships/hyperlink" Target="https://onlinegamespromo.fazi.rs/Home/IntegrationGameLaunch?moneyType=0&amp;gameName=PlayNetMajesticCrown20&amp;platform=desktop&amp;languageCode=eng&amp;currency=EUR" TargetMode="External"/><Relationship Id="rId890" Type="http://schemas.openxmlformats.org/officeDocument/2006/relationships/hyperlink" Target="https://static.redstone.rs/games/40-joker-fire/" TargetMode="External"/><Relationship Id="rId904" Type="http://schemas.openxmlformats.org/officeDocument/2006/relationships/hyperlink" Target="https://gameserver-store-client-area.orbionlimited.com/Home/IntegrationGameLaunch/client-area?moneyType=0&amp;gameName=PlayNetCloverSpread40&amp;platform=desktop&amp;languageCode=eng&amp;currency=EUR" TargetMode="External"/><Relationship Id="rId1327" Type="http://schemas.openxmlformats.org/officeDocument/2006/relationships/hyperlink" Target="https://onlinegamespromo.fazi.rs/Home/IntegrationGameLaunch?moneyType=0&amp;gameName=WinningClover5ExtremeBooster&amp;platform=desktop&amp;languageCode=eng&amp;currency=EUR" TargetMode="External"/><Relationship Id="rId1534" Type="http://schemas.openxmlformats.org/officeDocument/2006/relationships/hyperlink" Target="https://drive.google.com/file/d/1s18KWxLBweWnNBhm5gcm9LIcbFlTRTX_/view?usp=drive_link" TargetMode="External"/><Relationship Id="rId33" Type="http://schemas.openxmlformats.org/officeDocument/2006/relationships/hyperlink" Target="https://onlinegamespromo.fazi.rs/Home/IntegrationGameLaunch?moneyType=0&amp;gameName=CRYSTALSOFMAGIC&amp;platform=desktop&amp;languageCode=eng&amp;currency=EUR" TargetMode="External"/><Relationship Id="rId129" Type="http://schemas.openxmlformats.org/officeDocument/2006/relationships/hyperlink" Target="https://docs.google.com/document/d/1W6yZna9lcBlDEKAPvgpVg91_F4apPdmQ/edit?usp=drive_link&amp;ouid=107596163405648766688&amp;rtpof=true&amp;sd=true" TargetMode="External"/><Relationship Id="rId336" Type="http://schemas.openxmlformats.org/officeDocument/2006/relationships/hyperlink" Target="https://gameserver-store-client-area.orbionlimited.com/Home/IntegrationGameLaunch/client-area?moneyType=0&amp;gameName=UnicornMoneyStandardWild&amp;platform=desktop&amp;languageCode=eng&amp;currency=EUR" TargetMode="External"/><Relationship Id="rId543" Type="http://schemas.openxmlformats.org/officeDocument/2006/relationships/hyperlink" Target="https://docs.google.com/document/d/1BOjvv_UWQz5V_QEQa2pNmq14p68Cjoxe/edit?usp=drive_link&amp;ouid=107596163405648766688&amp;rtpof=true&amp;sd=true" TargetMode="External"/><Relationship Id="rId988" Type="http://schemas.openxmlformats.org/officeDocument/2006/relationships/hyperlink" Target="https://drive.google.com/file/d/19ze_Zg77kWqTu22_FVM6AbHjo7vnCW-j/view?usp=drive_link" TargetMode="External"/><Relationship Id="rId1173" Type="http://schemas.openxmlformats.org/officeDocument/2006/relationships/hyperlink" Target="https://royal-crown-delight.soko.games/" TargetMode="External"/><Relationship Id="rId1380" Type="http://schemas.openxmlformats.org/officeDocument/2006/relationships/hyperlink" Target="https://static.redstone.rs/games/5-heart-deluxe/" TargetMode="External"/><Relationship Id="rId182" Type="http://schemas.openxmlformats.org/officeDocument/2006/relationships/hyperlink" Target="https://gameserver-store-client-area.orbionlimited.com/Home/IntegrationGameLaunch/client-area?moneyType=0&amp;gameName=CrystalJewels&amp;platform=desktop&amp;languageCode=eng&amp;currency=EUR" TargetMode="External"/><Relationship Id="rId403" Type="http://schemas.openxmlformats.org/officeDocument/2006/relationships/hyperlink" Target="https://onlinegamespromo.fazi.rs/Home/IntegrationGameLaunch?moneyType=0&amp;gameName=KettysFashionWorld&amp;platform=desktop&amp;languageCode=eng&amp;currency=EUR" TargetMode="External"/><Relationship Id="rId750" Type="http://schemas.openxmlformats.org/officeDocument/2006/relationships/hyperlink" Target="https://static.redstone.rs/games/volcano-hot/" TargetMode="External"/><Relationship Id="rId848" Type="http://schemas.openxmlformats.org/officeDocument/2006/relationships/hyperlink" Target="https://gameserver-store-client-area.orbionlimited.com/Home/IntegrationGameLaunch/client-area?moneyType=0&amp;gameName=PlayNetCrownSpread40&amp;platform=desktop&amp;languageCode=eng&amp;currency=EUR" TargetMode="External"/><Relationship Id="rId1033" Type="http://schemas.openxmlformats.org/officeDocument/2006/relationships/hyperlink" Target="https://onlinegamespromo.fazi.rs/Home/IntegrationGameLaunch?moneyType=0&amp;gameName=UnicornTheKingsHalloween&amp;platform=desktop&amp;languageCode=eng&amp;currency=EUR" TargetMode="External"/><Relationship Id="rId1478" Type="http://schemas.openxmlformats.org/officeDocument/2006/relationships/hyperlink" Target="https://rgs-hot-chili-fiesta.soko.games/?demo=True&amp;locale=eng" TargetMode="External"/><Relationship Id="rId487" Type="http://schemas.openxmlformats.org/officeDocument/2006/relationships/hyperlink" Target="https://docs.google.com/document/d/1mMkb52UZ9BZKxmFAxoGbc-e-tcJbsAq4/edit?usp=drive_link&amp;ouid=107596163405648766688&amp;rtpof=true&amp;sd=true" TargetMode="External"/><Relationship Id="rId610" Type="http://schemas.openxmlformats.org/officeDocument/2006/relationships/hyperlink" Target="https://drive.google.com/file/d/19S8lEmrFJHzmRlgOTArf8w7jWrtdVwFJ/view?usp=drive_link" TargetMode="External"/><Relationship Id="rId694" Type="http://schemas.openxmlformats.org/officeDocument/2006/relationships/hyperlink" Target="https://gameserver-store-client-area.orbionlimited.com/Home/IntegrationGameLaunch/client-area?moneyType=0&amp;gameName=Unicorn20SuperFlames&amp;platform=desktop&amp;languageCode=eng&amp;currency=EUR" TargetMode="External"/><Relationship Id="rId708" Type="http://schemas.openxmlformats.org/officeDocument/2006/relationships/hyperlink" Target="https://gameserver-store-client-area.orbionlimited.com/Home/IntegrationGameLaunch/client-area?moneyType=0&amp;gameName=UnicornHitLineDice&amp;platform=desktop&amp;languageCode=eng&amp;currency=EUR" TargetMode="External"/><Relationship Id="rId915" Type="http://schemas.openxmlformats.org/officeDocument/2006/relationships/hyperlink" Target="https://drive.google.com/drive/folders/1E7Mxi22KXbprgaL9JSeePsLAKW7oSG31" TargetMode="External"/><Relationship Id="rId1240" Type="http://schemas.openxmlformats.org/officeDocument/2006/relationships/hyperlink" Target="https://docs.google.com/document/d/1CA-DOGHXNfL6fj5zr4jY8e8HJzEtG5oz/edit?usp=drive_link&amp;ouid=107596163405648766688&amp;rtpof=true&amp;sd=true" TargetMode="External"/><Relationship Id="rId1338" Type="http://schemas.openxmlformats.org/officeDocument/2006/relationships/hyperlink" Target="https://gameserver-store-client-area.orbionlimited.com/Home/IntegrationGameLaunch/client-area?moneyType=0&amp;gameName=CloversAndDiamonds20&amp;platform=desktop&amp;languageCode=eng&amp;currency=EUR" TargetMode="External"/><Relationship Id="rId1545" Type="http://schemas.openxmlformats.org/officeDocument/2006/relationships/hyperlink" Target="https://gameserver-store-client-area.orbionlimited.com/Home/IntegrationGameLaunch/client-area?moneyType=0&amp;gameName=RedstoneWildCrown1000&amp;platform=desktop&amp;languageCode=eng&amp;currency=EUR" TargetMode="External"/><Relationship Id="rId347" Type="http://schemas.openxmlformats.org/officeDocument/2006/relationships/hyperlink" Target="https://onlinegamespromo.fazi.rs/Home/IntegrationGameLaunch?moneyType=0&amp;gameName=PixelHot40&amp;platform=desktop&amp;languageCode=eng&amp;currency=EUR" TargetMode="External"/><Relationship Id="rId999" Type="http://schemas.openxmlformats.org/officeDocument/2006/relationships/hyperlink" Target="https://drive.google.com/file/d/1Lm3CxFfwVfVgcvTRH5RvbJ6oclwLuqtI/view?usp=drive_link" TargetMode="External"/><Relationship Id="rId1100" Type="http://schemas.openxmlformats.org/officeDocument/2006/relationships/hyperlink" Target="https://static.redstone.rs/games/clover-field-40/" TargetMode="External"/><Relationship Id="rId1184" Type="http://schemas.openxmlformats.org/officeDocument/2006/relationships/hyperlink" Target="https://static.redstone.rs/games/5-wild-diamond/" TargetMode="External"/><Relationship Id="rId1405" Type="http://schemas.openxmlformats.org/officeDocument/2006/relationships/hyperlink" Target="https://drive.google.com/file/d/1WYJFt9Qh_YOO8s37ig8lDz5BW3MROTcj/view?usp=drive_link" TargetMode="External"/><Relationship Id="rId44" Type="http://schemas.openxmlformats.org/officeDocument/2006/relationships/hyperlink" Target="https://gameserver-store-client-area.orbionlimited.com/Home/IntegrationGameLaunch/client-area?moneyType=0&amp;gameName=ForestFruits&amp;platform=desktop&amp;languageCode=eng&amp;currency=EUR" TargetMode="External"/><Relationship Id="rId554" Type="http://schemas.openxmlformats.org/officeDocument/2006/relationships/hyperlink" Target="https://gameserver-store-client-area.orbionlimited.com/Home/IntegrationGameLaunch/client-area?moneyType=0&amp;gameName=SummerRush&amp;platform=desktop&amp;languageCode=eng&amp;currency=EUR" TargetMode="External"/><Relationship Id="rId761" Type="http://schemas.openxmlformats.org/officeDocument/2006/relationships/hyperlink" Target="https://onlinegamespromo.fazi.rs/Home/IntegrationGameLaunch?moneyType=0&amp;gameName=PlayNetDiamondHeartX2&amp;platform=desktop&amp;languageCode=eng&amp;currency=EUR" TargetMode="External"/><Relationship Id="rId859" Type="http://schemas.openxmlformats.org/officeDocument/2006/relationships/hyperlink" Target="https://onlinegamespromo.fazi.rs/Home/IntegrationGameLaunch?moneyType=0&amp;gameName=UnicornFastPay&amp;platform=desktop&amp;languageCode=eng&amp;currency=EUR" TargetMode="External"/><Relationship Id="rId1391" Type="http://schemas.openxmlformats.org/officeDocument/2006/relationships/hyperlink" Target="https://gameserver-store-client-area.orbionlimited.com/Home/IntegrationGameLaunch/client-area?moneyType=0&amp;gameName=GoldenCrownExtremeBooster&amp;platform=desktop&amp;languageCode=eng&amp;currency=EUR" TargetMode="External"/><Relationship Id="rId1489" Type="http://schemas.openxmlformats.org/officeDocument/2006/relationships/hyperlink" Target="https://onlinegamespromo.fazi.rs/Home/IntegrationGameLaunch?moneyType=0&amp;gameName=UnicornSunOfTheNile&amp;platform=desktop&amp;languageCode=eng&amp;currency=EUR" TargetMode="External"/><Relationship Id="rId193" Type="http://schemas.openxmlformats.org/officeDocument/2006/relationships/hyperlink" Target="https://static.redstone.rs/games/lost-book/" TargetMode="External"/><Relationship Id="rId207" Type="http://schemas.openxmlformats.org/officeDocument/2006/relationships/hyperlink" Target="https://onlinegamespromo.fazi.rs/Home/IntegrationGameLaunch?moneyType=0&amp;gameName=WinningStars&amp;platform=desktop&amp;languageCode=eng&amp;currency=EUR" TargetMode="External"/><Relationship Id="rId414" Type="http://schemas.openxmlformats.org/officeDocument/2006/relationships/hyperlink" Target="https://gameserver-store-client-area.orbionlimited.com/Home/IntegrationGameLaunch/client-area?moneyType=0&amp;gameName=UnicornFireStars&amp;platform=desktop&amp;languageCode=eng&amp;currency=EUR" TargetMode="External"/><Relationship Id="rId498" Type="http://schemas.openxmlformats.org/officeDocument/2006/relationships/hyperlink" Target="https://play.redstone.rs/games/wild-trail/index.html" TargetMode="External"/><Relationship Id="rId621" Type="http://schemas.openxmlformats.org/officeDocument/2006/relationships/hyperlink" Target="https://onlinegamespromo.fazi.rs/Home/IntegrationGameLaunch?moneyType=0&amp;gameName=VeryHot40Extreme&amp;platform=desktop&amp;languageCode=eng&amp;currency=EUR" TargetMode="External"/><Relationship Id="rId1044" Type="http://schemas.openxmlformats.org/officeDocument/2006/relationships/hyperlink" Target="https://gameserver-store-client-area.orbionlimited.com/Home/IntegrationGameLaunch/client-area?moneyType=0&amp;gameName=BrilliantHeartBooster&amp;platform=desktop&amp;languageCode=eng&amp;currency=EUR" TargetMode="External"/><Relationship Id="rId1251" Type="http://schemas.openxmlformats.org/officeDocument/2006/relationships/hyperlink" Target="https://docs.google.com/document/d/1o1jIoDbRbS_pavC8Wn4PLnvu4UPh4BR2/edit?usp=drive_link&amp;ouid=107596163405648766688&amp;rtpof=true&amp;sd=true" TargetMode="External"/><Relationship Id="rId1349" Type="http://schemas.openxmlformats.org/officeDocument/2006/relationships/hyperlink" Target="https://gameserver-store-client-area.orbionlimited.com/Home/IntegrationGameLaunch/client-area?moneyType=0&amp;gameName=UnicornHotFireballs&amp;platform=desktop&amp;languageCode=eng&amp;currency=EUR" TargetMode="External"/><Relationship Id="rId260" Type="http://schemas.openxmlformats.org/officeDocument/2006/relationships/hyperlink" Target="https://docs.google.com/document/d/1SwHALhIgoYMx1a02Y-AvihYWtrIoigje/edit?usp=drive_link&amp;ouid=107596163405648766688&amp;rtpof=true&amp;sd=true" TargetMode="External"/><Relationship Id="rId719" Type="http://schemas.openxmlformats.org/officeDocument/2006/relationships/hyperlink" Target="https://static.redstone.rs/games/only-anime/" TargetMode="External"/><Relationship Id="rId926" Type="http://schemas.openxmlformats.org/officeDocument/2006/relationships/hyperlink" Target="https://gameserver-store-client-area.orbionlimited.com/Home/IntegrationGameLaunch/client-area?moneyType=0&amp;gameName=EpicClover40Booster&amp;platform=desktop&amp;languageCode=eng&amp;currency=EUR" TargetMode="External"/><Relationship Id="rId1111" Type="http://schemas.openxmlformats.org/officeDocument/2006/relationships/hyperlink" Target="https://docs.google.com/document/d/1LSKczJRKVsnUMYp-FOykWGNmy_rW_iFt/edit?usp=drive_link&amp;ouid=107596163405648766688&amp;rtpof=true&amp;sd=true" TargetMode="External"/><Relationship Id="rId55" Type="http://schemas.openxmlformats.org/officeDocument/2006/relationships/hyperlink" Target="https://onlinegamespromo.fazi.rs/Home/IntegrationGameLaunch?moneyType=0&amp;gameName=TRIPLEHOT&amp;platform=desktop&amp;languageCode=eng&amp;currency=EUR" TargetMode="External"/><Relationship Id="rId120" Type="http://schemas.openxmlformats.org/officeDocument/2006/relationships/hyperlink" Target="https://gameserver-store-client-area.orbionlimited.com/Home/IntegrationGameLaunch/client-area?moneyType=0&amp;gameName=UnicornWildParadise&amp;platform=desktop&amp;languageCode=eng&amp;currency=EUR" TargetMode="External"/><Relationship Id="rId358" Type="http://schemas.openxmlformats.org/officeDocument/2006/relationships/hyperlink" Target="https://gameserver-store-client-area.orbionlimited.com/Home/IntegrationGameLaunch/client-area?moneyType=0&amp;gameName=UnicornCoyoteSevens&amp;platform=desktop&amp;languageCode=eng&amp;currency=EUR" TargetMode="External"/><Relationship Id="rId565" Type="http://schemas.openxmlformats.org/officeDocument/2006/relationships/hyperlink" Target="https://docs.google.com/document/d/1yDUchn8GrW3WRFURTjL1B4zxCM5AfF-t/edit?usp=drive_link&amp;ouid=107596163405648766688&amp;rtpof=true&amp;sd=true" TargetMode="External"/><Relationship Id="rId772" Type="http://schemas.openxmlformats.org/officeDocument/2006/relationships/hyperlink" Target="https://gameserver-store-client-area.orbionlimited.com/Home/IntegrationGameLaunch/client-area?moneyType=0&amp;gameName=UnicornDiceMachine&amp;platform=desktop&amp;languageCode=eng&amp;currency=EUR" TargetMode="External"/><Relationship Id="rId1195" Type="http://schemas.openxmlformats.org/officeDocument/2006/relationships/hyperlink" Target="https://docs.google.com/document/d/16R_As6-ZUQyJ_Hez5_opOQ2sGzAJZNjB/edit?usp=drive_link&amp;ouid=107596163405648766688&amp;rtpof=true&amp;sd=true" TargetMode="External"/><Relationship Id="rId1209" Type="http://schemas.openxmlformats.org/officeDocument/2006/relationships/hyperlink" Target="https://static.redstone.rs/games/double-wild-diamond/" TargetMode="External"/><Relationship Id="rId1416" Type="http://schemas.openxmlformats.org/officeDocument/2006/relationships/hyperlink" Target="https://docs.google.com/document/d/1NOemN7WwBlOyX71LJKPeTfmPYKuw9CGx/edit?usp=drive_link&amp;ouid=107596163405648766688&amp;rtpof=true&amp;sd=true" TargetMode="External"/><Relationship Id="rId218" Type="http://schemas.openxmlformats.org/officeDocument/2006/relationships/hyperlink" Target="https://gameserver-store-client-area.orbionlimited.com/Home/IntegrationGameLaunch/client-area?moneyType=0&amp;gameName=BonusBells&amp;platform=desktop&amp;languageCode=eng&amp;currency=EUR" TargetMode="External"/><Relationship Id="rId425" Type="http://schemas.openxmlformats.org/officeDocument/2006/relationships/hyperlink" Target="https://onlinegamespromo.fazi.rs/Home/IntegrationGameLaunch?moneyType=0&amp;gameName=UnicornSimplySevens&amp;platform=desktop&amp;languageCode=eng&amp;currency=EUR" TargetMode="External"/><Relationship Id="rId632" Type="http://schemas.openxmlformats.org/officeDocument/2006/relationships/hyperlink" Target="https://gameserver-store-client-area.orbionlimited.com/Home/IntegrationGameLaunch/client-area?moneyType=0&amp;gameName=TurboStars20&amp;platform=desktop&amp;languageCode=eng&amp;currency=EUR" TargetMode="External"/><Relationship Id="rId1055" Type="http://schemas.openxmlformats.org/officeDocument/2006/relationships/hyperlink" Target="https://docs.google.com/document/d/1wQKvroH717U3Tz5iLDLHctfsGMzwXNTX/edit?usp=drive_link&amp;ouid=107596163405648766688&amp;rtpof=true&amp;sd=true" TargetMode="External"/><Relationship Id="rId1262" Type="http://schemas.openxmlformats.org/officeDocument/2006/relationships/hyperlink" Target="https://static.redstone.rs/games/5-clover-fire-blast/" TargetMode="External"/><Relationship Id="rId271" Type="http://schemas.openxmlformats.org/officeDocument/2006/relationships/hyperlink" Target="https://onlinegamespromo.fazi.rs/Home/IntegrationGameLaunch?moneyType=0&amp;gameName=ClassicLuckySpin&amp;platform=desktop&amp;languageCode=eng&amp;currency=EUR" TargetMode="External"/><Relationship Id="rId937" Type="http://schemas.openxmlformats.org/officeDocument/2006/relationships/hyperlink" Target="https://onlinegamespromo.fazi.rs/Home/IntegrationGameLaunch?moneyType=0&amp;gameName=PlayNetRoyalFlame&amp;platform=desktop&amp;languageCode=eng&amp;currency=EUR" TargetMode="External"/><Relationship Id="rId1122" Type="http://schemas.openxmlformats.org/officeDocument/2006/relationships/hyperlink" Target="https://static.redstone.rs/games/crown-blast-40/" TargetMode="External"/><Relationship Id="rId66" Type="http://schemas.openxmlformats.org/officeDocument/2006/relationships/hyperlink" Target="https://gameserver-store-client-area.orbionlimited.com/Home/IntegrationGameLaunch/client-area?moneyType=0&amp;gameName=Retro7Hot&amp;platform=desktop&amp;languageCode=eng&amp;currency=EUR" TargetMode="External"/><Relationship Id="rId131" Type="http://schemas.openxmlformats.org/officeDocument/2006/relationships/hyperlink" Target="https://onlinegamespromo.fazi.rs/Home/IntegrationGameLaunch?moneyType=0&amp;gameName=FireClover5&amp;platform=desktop&amp;languageCode=eng&amp;currency=EUR" TargetMode="External"/><Relationship Id="rId369" Type="http://schemas.openxmlformats.org/officeDocument/2006/relationships/hyperlink" Target="https://docs.google.com/document/d/111SmKqSJn2i3j0x3Z04f2x68NQoWe0BE/edit?usp=drive_link&amp;ouid=107596163405648766688&amp;rtpof=true&amp;sd=true" TargetMode="External"/><Relationship Id="rId576" Type="http://schemas.openxmlformats.org/officeDocument/2006/relationships/hyperlink" Target="https://gameserver-store-client-area.orbionlimited.com/Home/IntegrationGameLaunch/client-area?moneyType=0&amp;gameName=UnicornMisterLuck&amp;platform=desktop&amp;languageCode=eng&amp;currency=EUR" TargetMode="External"/><Relationship Id="rId783" Type="http://schemas.openxmlformats.org/officeDocument/2006/relationships/hyperlink" Target="https://static.redstone.rs/games/eternal-hearts-10/" TargetMode="External"/><Relationship Id="rId990" Type="http://schemas.openxmlformats.org/officeDocument/2006/relationships/hyperlink" Target="https://static.redstone.rs/games/crown-drop/" TargetMode="External"/><Relationship Id="rId1427" Type="http://schemas.openxmlformats.org/officeDocument/2006/relationships/hyperlink" Target="https://gameserver-store-client-area.orbionlimited.com/Home/IntegrationGameLaunch/client-area?moneyType=0&amp;gameName=PlayNetShadowHunt10&amp;platform=desktop&amp;languageCode=eng&amp;currency=EUR" TargetMode="External"/><Relationship Id="rId229" Type="http://schemas.openxmlformats.org/officeDocument/2006/relationships/hyperlink" Target="https://docs.google.com/document/d/1I70szBKiznP9PJN0ObllSPE8NEvHilKj/edit?usp=drive_link&amp;ouid=107596163405648766688&amp;rtpof=true&amp;sd=true" TargetMode="External"/><Relationship Id="rId436" Type="http://schemas.openxmlformats.org/officeDocument/2006/relationships/hyperlink" Target="https://gameserver-store-client-area.orbionlimited.com/Home/IntegrationGameLaunch/client-area?moneyType=0&amp;gameName=WinningClover5Extreme&amp;platform=desktop&amp;languageCode=eng&amp;currency=EUR" TargetMode="External"/><Relationship Id="rId643" Type="http://schemas.openxmlformats.org/officeDocument/2006/relationships/hyperlink" Target="https://onlinegamespromo.fazi.rs/Home/IntegrationGameLaunch?moneyType=0&amp;gameName=GoldenCrownMax&amp;platform=desktop&amp;languageCode=eng&amp;currency=EUR" TargetMode="External"/><Relationship Id="rId1066" Type="http://schemas.openxmlformats.org/officeDocument/2006/relationships/hyperlink" Target="https://gameserver-store-client-area.orbionlimited.com/Home/IntegrationGameLaunch/client-area?moneyType=0&amp;gameName=GoldenCrownHalloween&amp;platform=desktop&amp;languageCode=eng&amp;currency=EUR" TargetMode="External"/><Relationship Id="rId1273" Type="http://schemas.openxmlformats.org/officeDocument/2006/relationships/hyperlink" Target="https://onlinegamespromo.fazi.rs/Home/IntegrationGameLaunch?moneyType=0&amp;gameName=UnicornCoyoteSevensJackpot&amp;platform=desktop&amp;languageCode=eng&amp;currency=EUR" TargetMode="External"/><Relationship Id="rId1480" Type="http://schemas.openxmlformats.org/officeDocument/2006/relationships/hyperlink" Target="https://onlinegamespromo.fazi.rs/Home/IntegrationGameLaunch?moneyType=0&amp;gameName=BonusWild81Extralines&amp;platform=desktop&amp;languageCode=eng&amp;currency=EUR" TargetMode="External"/><Relationship Id="rId850" Type="http://schemas.openxmlformats.org/officeDocument/2006/relationships/hyperlink" Target="https://gameserver-store-client-area.orbionlimited.com/Home/IntegrationGameLaunch/client-area?moneyType=0&amp;gameName=UnicornDynamiteRunPlatinum&amp;platform=desktop&amp;languageCode=eng&amp;currency=EUR" TargetMode="External"/><Relationship Id="rId948" Type="http://schemas.openxmlformats.org/officeDocument/2006/relationships/hyperlink" Target="https://drive.google.com/drive/folders/1K0XeNmIwEJ7Qvyb5qEjhBQGruLxRdiMG?usp=drive_link" TargetMode="External"/><Relationship Id="rId1133" Type="http://schemas.openxmlformats.org/officeDocument/2006/relationships/hyperlink" Target="https://docs.google.com/document/d/1GX-x1OumJ4cDvfNLgsM7VpoBD-1Sp7L6/edit?usp=drive_link&amp;ouid=107596163405648766688&amp;rtpof=true&amp;sd=true" TargetMode="External"/><Relationship Id="rId77" Type="http://schemas.openxmlformats.org/officeDocument/2006/relationships/hyperlink" Target="https://onlinegamespromo.fazi.rs/Home/IntegrationGameLaunch?moneyType=0&amp;gameName=DiceOfSpells&amp;platform=desktop&amp;languageCode=eng&amp;currency=EUR" TargetMode="External"/><Relationship Id="rId282" Type="http://schemas.openxmlformats.org/officeDocument/2006/relationships/hyperlink" Target="https://gameserver-store-client-area.orbionlimited.com/Home/IntegrationGameLaunch/client-area?moneyType=0&amp;gameName=HeatingFruits&amp;platform=desktop&amp;languageCode=eng&amp;currency=EUR" TargetMode="External"/><Relationship Id="rId503" Type="http://schemas.openxmlformats.org/officeDocument/2006/relationships/hyperlink" Target="https://docs.google.com/document/d/1NvnqrHz45jHN7kIAdXe5gJQaiubaEy9B/edit?usp=drive_link&amp;ouid=107596163405648766688&amp;rtpof=true&amp;sd=true" TargetMode="External"/><Relationship Id="rId587" Type="http://schemas.openxmlformats.org/officeDocument/2006/relationships/hyperlink" Target="https://docs.google.com/document/d/1zNXXdgwpk0wY_p-WflsEbpxMSjnrtoYH/edit?usp=drive_link&amp;ouid=107596163405648766688&amp;rtpof=true&amp;sd=true" TargetMode="External"/><Relationship Id="rId710" Type="http://schemas.openxmlformats.org/officeDocument/2006/relationships/hyperlink" Target="https://gameserver-store-client-area.orbionlimited.com/Home/IntegrationGameLaunch/client-area?moneyType=0&amp;gameName=PlayNetBookOfAmun&amp;platform=desktop&amp;languageCode=eng&amp;currency=EUR" TargetMode="External"/><Relationship Id="rId808" Type="http://schemas.openxmlformats.org/officeDocument/2006/relationships/hyperlink" Target="https://static.redstone.rs/games/farm-fiesta/" TargetMode="External"/><Relationship Id="rId1340" Type="http://schemas.openxmlformats.org/officeDocument/2006/relationships/hyperlink" Target="https://gameserver-store-client-area.orbionlimited.com/Home/IntegrationGameLaunch/client-area?moneyType=0&amp;gameName=CloversAndDiamonds40&amp;platform=desktop&amp;languageCode=eng&amp;currency=EUR" TargetMode="External"/><Relationship Id="rId1438" Type="http://schemas.openxmlformats.org/officeDocument/2006/relationships/hyperlink" Target="https://onlinegamespromo.fazi.rs/Home/IntegrationGameLaunch?moneyType=0&amp;gameName=PlayNetBarkinRiches&amp;platform=desktop&amp;languageCode=eng&amp;currency=EUR" TargetMode="External"/><Relationship Id="rId8" Type="http://schemas.openxmlformats.org/officeDocument/2006/relationships/hyperlink" Target="https://gameserver-store-client-area.orbionlimited.com/Home/IntegrationGameLaunch/client-area?moneyType=0&amp;gameName=Wizard&amp;platform=desktop&amp;languageCode=eng&amp;currency=EUR" TargetMode="External"/><Relationship Id="rId142" Type="http://schemas.openxmlformats.org/officeDocument/2006/relationships/hyperlink" Target="https://docs.google.com/document/d/1jTAe-G3pX4INF9Td2YQ1ubQZXahSBYKw/edit?usp=drive_link&amp;ouid=107596163405648766688&amp;rtpof=true&amp;sd=true" TargetMode="External"/><Relationship Id="rId447" Type="http://schemas.openxmlformats.org/officeDocument/2006/relationships/hyperlink" Target="https://onlinegamespromo.fazi.rs/Home/IntegrationGameLaunch?moneyType=0&amp;gameName=FashionNight&amp;platform=desktop&amp;languageCode=eng&amp;currency=EUR" TargetMode="External"/><Relationship Id="rId794" Type="http://schemas.openxmlformats.org/officeDocument/2006/relationships/hyperlink" Target="https://drive.google.com/file/d/1CXLi8GgMycV3GyC6LKQGBLvP-rq9jtHE/view?usp=drive_link" TargetMode="External"/><Relationship Id="rId1077" Type="http://schemas.openxmlformats.org/officeDocument/2006/relationships/hyperlink" Target="https://onlinegamespromo.fazi.rs/Home/IntegrationGameLaunch?moneyType=0&amp;gameName=UnicornStormDice&amp;platform=desktop&amp;languageCode=eng&amp;currency=EUR" TargetMode="External"/><Relationship Id="rId1200" Type="http://schemas.openxmlformats.org/officeDocument/2006/relationships/hyperlink" Target="https://static.redstone.rs/games/rolling-hearts-10/" TargetMode="External"/><Relationship Id="rId654" Type="http://schemas.openxmlformats.org/officeDocument/2006/relationships/hyperlink" Target="https://docs.google.com/document/d/1oou0d1yvLwRN0xVZsxval7CIO-R8ZPqx/edit?usp=drive_link&amp;ouid=107596163405648766688&amp;rtpof=true&amp;sd=true" TargetMode="External"/><Relationship Id="rId861" Type="http://schemas.openxmlformats.org/officeDocument/2006/relationships/hyperlink" Target="https://onlinegamespromo.fazi.rs/Home/IntegrationGameLaunch?moneyType=0&amp;gameName=UnicornSuperFireJackpot&amp;platform=desktop&amp;languageCode=eng&amp;currency=EUR" TargetMode="External"/><Relationship Id="rId959" Type="http://schemas.openxmlformats.org/officeDocument/2006/relationships/hyperlink" Target="https://static.redstone.rs/games/777-expand/" TargetMode="External"/><Relationship Id="rId1284" Type="http://schemas.openxmlformats.org/officeDocument/2006/relationships/hyperlink" Target="https://gameserver-store-client-area.orbionlimited.com/Home/IntegrationGameLaunch/client-area?moneyType=0&amp;gameName=GoldenDiamonds5Extreme&amp;platform=desktop&amp;languageCode=eng&amp;currency=EUR" TargetMode="External"/><Relationship Id="rId1491" Type="http://schemas.openxmlformats.org/officeDocument/2006/relationships/hyperlink" Target="https://onlinegamespromo.fazi.rs/Home/IntegrationGameLaunch?moneyType=0&amp;gameName=UnicornDazzleFireballs&amp;platform=desktop&amp;languageCode=eng&amp;currency=EUR" TargetMode="External"/><Relationship Id="rId1505" Type="http://schemas.openxmlformats.org/officeDocument/2006/relationships/hyperlink" Target="https://dicebyte.sharepoint.com/:b:/g/IQCiyboszEg3TZVpBPMB0OBtARHST5yo7KI-AmCa0pmyibc?e=GihBYO" TargetMode="External"/><Relationship Id="rId293" Type="http://schemas.openxmlformats.org/officeDocument/2006/relationships/hyperlink" Target="https://onlinegamespromo.fazi.rs/Home/IntegrationGameLaunch?moneyType=0&amp;gameName=Unicorn40MegaFlames&amp;platform=desktop&amp;languageCode=eng&amp;currency=EUR" TargetMode="External"/><Relationship Id="rId307" Type="http://schemas.openxmlformats.org/officeDocument/2006/relationships/hyperlink" Target="https://onlinegamespromo.fazi.rs/Home/IntegrationGameLaunch?moneyType=0&amp;gameName=VeryHot40Respin&amp;platform=desktop&amp;languageCode=eng&amp;currency=EUR" TargetMode="External"/><Relationship Id="rId514" Type="http://schemas.openxmlformats.org/officeDocument/2006/relationships/hyperlink" Target="https://gameserver-store-client-area.orbionlimited.com/Home/IntegrationGameLaunch/client-area?moneyType=0&amp;gameName=EpicClover100&amp;platform=desktop&amp;languageCode=eng&amp;currency=EUR" TargetMode="External"/><Relationship Id="rId721" Type="http://schemas.openxmlformats.org/officeDocument/2006/relationships/hyperlink" Target="https://drive.google.com/file/d/1WvgU430EFQf7ooLSL3f6fKZDBoTMbRkG/view?usp=drive_link" TargetMode="External"/><Relationship Id="rId1144" Type="http://schemas.openxmlformats.org/officeDocument/2006/relationships/hyperlink" Target="https://gameserver-store-dev-01.fazi.rs/Home/IntegrationGameLaunch/fazi-stg16?moneyType=0&amp;gameName=GoldenCrownChristmasBooster&amp;platform=desktop&amp;languageCode=eng&amp;currency=EUR" TargetMode="External"/><Relationship Id="rId1351" Type="http://schemas.openxmlformats.org/officeDocument/2006/relationships/hyperlink" Target="https://gameserver-store-client-area.orbionlimited.com/Home/IntegrationGameLaunch/client-area?moneyType=0&amp;gameName=UnicornThreeReelDice&amp;platform=desktop&amp;languageCode=eng&amp;currency=EUR" TargetMode="External"/><Relationship Id="rId1449" Type="http://schemas.openxmlformats.org/officeDocument/2006/relationships/hyperlink" Target="https://static.redstone.rs/games/x-chilli-hot/" TargetMode="External"/><Relationship Id="rId88" Type="http://schemas.openxmlformats.org/officeDocument/2006/relationships/hyperlink" Target="https://gameserver-store-client-area.orbionlimited.com/Home/IntegrationGameLaunch/client-area?moneyType=0&amp;gameName=CrystalHot80&amp;platform=desktop&amp;languageCode=eng&amp;currency=EUR" TargetMode="External"/><Relationship Id="rId153" Type="http://schemas.openxmlformats.org/officeDocument/2006/relationships/hyperlink" Target="https://onlinegamespromo.fazi.rs/Home/IntegrationGameLaunch?moneyType=0&amp;gameName=WildKingdom&amp;platform=desktop&amp;languageCode=eng&amp;currency=EUR" TargetMode="External"/><Relationship Id="rId360" Type="http://schemas.openxmlformats.org/officeDocument/2006/relationships/hyperlink" Target="https://gameserver-store-client-area.orbionlimited.com/Home/IntegrationGameLaunch/client-area?moneyType=0&amp;gameName=EpicFire40&amp;platform=desktop&amp;languageCode=eng&amp;currency=EUR" TargetMode="External"/><Relationship Id="rId598" Type="http://schemas.openxmlformats.org/officeDocument/2006/relationships/hyperlink" Target="https://gameserver-store-client-area.orbionlimited.com/Home/IntegrationGameLaunch/client-area?moneyType=0&amp;gameName=WildHeat40&amp;platform=desktop&amp;languageCode=eng&amp;currency=EUR" TargetMode="External"/><Relationship Id="rId819" Type="http://schemas.openxmlformats.org/officeDocument/2006/relationships/hyperlink" Target="https://docs.google.com/document/d/16vQ_zLf_GhGAUkK1ezFbrXJIhbbcuZQj/edit?usp=drive_link&amp;ouid=107596163405648766688&amp;rtpof=true&amp;sd=true" TargetMode="External"/><Relationship Id="rId1004" Type="http://schemas.openxmlformats.org/officeDocument/2006/relationships/hyperlink" Target="https://drive.google.com/file/d/1yBoSRTbPDKFVw5zsHcyLBdPtQIqkS0QY/view?usp=drive_link" TargetMode="External"/><Relationship Id="rId1211" Type="http://schemas.openxmlformats.org/officeDocument/2006/relationships/hyperlink" Target="https://gameserver-store-client-area.orbionlimited.com/Home/IntegrationGameLaunch/client-area?moneyType=0&amp;gameName=PlayNetDiamondHeart10&amp;platform=desktop&amp;languageCode=eng&amp;currency=EUR" TargetMode="External"/><Relationship Id="rId220" Type="http://schemas.openxmlformats.org/officeDocument/2006/relationships/hyperlink" Target="https://gameserver-store-client-area.orbionlimited.com/Home/IntegrationGameLaunch/client-area?moneyType=0&amp;gameName=FruityHot&amp;platform=desktop&amp;languageCode=eng&amp;currency=EUR" TargetMode="External"/><Relationship Id="rId458" Type="http://schemas.openxmlformats.org/officeDocument/2006/relationships/hyperlink" Target="https://docs.google.com/document/d/1G3Uy96MnESsRXYh1UJ3F4jpCVPLG-sSl/edit?usp=drive_link&amp;ouid=107596163405648766688&amp;rtpof=true&amp;sd=true" TargetMode="External"/><Relationship Id="rId665" Type="http://schemas.openxmlformats.org/officeDocument/2006/relationships/hyperlink" Target="https://onlinegamespromo.fazi.rs/Home/IntegrationGameLaunch?moneyType=0&amp;gameName=PlayNetFortuneClover40&amp;platform=desktop&amp;languageCode=eng&amp;currency=EUR" TargetMode="External"/><Relationship Id="rId872" Type="http://schemas.openxmlformats.org/officeDocument/2006/relationships/hyperlink" Target="https://gameserver-store-client-area.orbionlimited.com/Home/IntegrationGameLaunch/client-area?moneyType=0&amp;gameName=UnicornSuperFireDiceJackpot&amp;platform=desktop&amp;languageCode=eng&amp;currency=EUR" TargetMode="External"/><Relationship Id="rId1088" Type="http://schemas.openxmlformats.org/officeDocument/2006/relationships/hyperlink" Target="https://gameserver-store-client-area.orbionlimited.com/Home/IntegrationGameLaunch/client-area?moneyType=0&amp;gameName=UnicornFruitMultipliers&amp;platform=desktop&amp;languageCode=eng&amp;currency=EUR" TargetMode="External"/><Relationship Id="rId1295" Type="http://schemas.openxmlformats.org/officeDocument/2006/relationships/hyperlink" Target="https://onlinegamespromo.fazi.rs/Home/IntegrationGameLaunch?moneyType=0&amp;gameName=GoldenDiamonds40Extreme&amp;platform=desktop&amp;languageCode=eng&amp;currency=EUR" TargetMode="External"/><Relationship Id="rId1309" Type="http://schemas.openxmlformats.org/officeDocument/2006/relationships/hyperlink" Target="https://drive.google.com/drive/folders/15W_JO143whU1jyoTzq8StwjWT4vJ7trZ" TargetMode="External"/><Relationship Id="rId1516" Type="http://schemas.openxmlformats.org/officeDocument/2006/relationships/hyperlink" Target="https://onlinegamespromo.fazi.rs/Home/IntegrationGameLaunch?moneyType=0&amp;gameName=PlayNetHeartGem100&amp;platform=desktop&amp;languageCode=eng&amp;currency=EUR" TargetMode="External"/><Relationship Id="rId15" Type="http://schemas.openxmlformats.org/officeDocument/2006/relationships/hyperlink" Target="https://onlinegamespromo.fazi.rs/Home/IntegrationGameLaunch?moneyType=0&amp;gameName=WILDWEST&amp;platform=desktop&amp;languageCode=eng&amp;currency=EUR" TargetMode="External"/><Relationship Id="rId318" Type="http://schemas.openxmlformats.org/officeDocument/2006/relationships/hyperlink" Target="https://gameserver-store-client-area.orbionlimited.com/Home/IntegrationGameLaunch/client-area?moneyType=0&amp;gameName=AfricanTreasure&amp;platform=desktop&amp;languageCode=eng&amp;currency=EUR" TargetMode="External"/><Relationship Id="rId525" Type="http://schemas.openxmlformats.org/officeDocument/2006/relationships/hyperlink" Target="https://static.redstone.rs/games/hot-rush-crown-burst/" TargetMode="External"/><Relationship Id="rId732" Type="http://schemas.openxmlformats.org/officeDocument/2006/relationships/hyperlink" Target="https://docs.google.com/document/d/1213J-9PEpD_CkhkZdtihAaAaWjKDzVPT/edit?usp=drive_link&amp;ouid=107596163405648766688&amp;rtpof=true&amp;sd=true" TargetMode="External"/><Relationship Id="rId1155" Type="http://schemas.openxmlformats.org/officeDocument/2006/relationships/hyperlink" Target="https://drive.google.com/file/d/1rtmq9pPb1_XNqUr3ktqWB_elDLzzFtQy/view?usp=drive_link" TargetMode="External"/><Relationship Id="rId1362" Type="http://schemas.openxmlformats.org/officeDocument/2006/relationships/hyperlink" Target="https://onlinegamespromo.fazi.rs/Home/IntegrationGameLaunch?moneyType=0&amp;gameName=UnicornHotFiredice&amp;platform=desktop&amp;languageCode=eng&amp;currency=EUR" TargetMode="External"/><Relationship Id="rId99" Type="http://schemas.openxmlformats.org/officeDocument/2006/relationships/hyperlink" Target="https://onlinegamespromo.fazi.rs/Home/IntegrationGameLaunch?moneyType=0&amp;gameName=WildHot40&amp;platform=desktop&amp;languageCode=eng&amp;currency=EUR" TargetMode="External"/><Relationship Id="rId164" Type="http://schemas.openxmlformats.org/officeDocument/2006/relationships/hyperlink" Target="https://static.redstone.rs/games/40-clover-fire/" TargetMode="External"/><Relationship Id="rId371" Type="http://schemas.openxmlformats.org/officeDocument/2006/relationships/hyperlink" Target="https://static.redstone.rs/games/40-fire-cash/" TargetMode="External"/><Relationship Id="rId1015" Type="http://schemas.openxmlformats.org/officeDocument/2006/relationships/hyperlink" Target="https://onlinegamespromo.fazi.rs/Home/IntegrationGameLaunch?moneyType=0&amp;gameName=UnicornReelyWildReels&amp;platform=desktop&amp;languageCode=eng&amp;currency=EUR" TargetMode="External"/><Relationship Id="rId1222" Type="http://schemas.openxmlformats.org/officeDocument/2006/relationships/hyperlink" Target="https://onlinegamespromo.fazi.rs/Home/IntegrationGameLaunch?moneyType=0&amp;gameName=Retro27&amp;platform=desktop&amp;languageCode=eng&amp;currency=EUR" TargetMode="External"/><Relationship Id="rId469" Type="http://schemas.openxmlformats.org/officeDocument/2006/relationships/hyperlink" Target="https://onlinegamespromo.fazi.rs/Home/IntegrationGameLaunch?moneyType=0&amp;gameName=ChilliRespin&amp;lobbyUrl=https://www.fazi-interactive.com/" TargetMode="External"/><Relationship Id="rId676" Type="http://schemas.openxmlformats.org/officeDocument/2006/relationships/hyperlink" Target="https://static.redstone.rs/games/volcano-crown/" TargetMode="External"/><Relationship Id="rId883" Type="http://schemas.openxmlformats.org/officeDocument/2006/relationships/hyperlink" Target="https://drive.google.com/file/d/1ab3ESJmNaQTYQ2yRtk3CzvhG5e61AzoG/view?usp=drive_link" TargetMode="External"/><Relationship Id="rId1099" Type="http://schemas.openxmlformats.org/officeDocument/2006/relationships/hyperlink" Target="https://static.redstone.rs/games/clover-field-40/" TargetMode="External"/><Relationship Id="rId1527" Type="http://schemas.openxmlformats.org/officeDocument/2006/relationships/hyperlink" Target="https://gameserver-store-client-area.orbionlimited.com/Home/IntegrationGameLaunch/client-area?moneyType=0&amp;gameName=PlayNetCloverWealth5&amp;platform=desktop&amp;languageCode=eng&amp;currency=EUR" TargetMode="External"/><Relationship Id="rId26" Type="http://schemas.openxmlformats.org/officeDocument/2006/relationships/hyperlink" Target="https://gameserver-store-client-area.orbionlimited.com/Home/IntegrationGameLaunch/client-area?moneyType=0&amp;gameName=HotStars&amp;platform=desktop&amp;languageCode=eng&amp;currency=EUR" TargetMode="External"/><Relationship Id="rId231" Type="http://schemas.openxmlformats.org/officeDocument/2006/relationships/hyperlink" Target="https://static.redstone.rs/games/action-hot-20/" TargetMode="External"/><Relationship Id="rId329" Type="http://schemas.openxmlformats.org/officeDocument/2006/relationships/hyperlink" Target="https://docs.google.com/document/d/1ii0_QkxaCFxXavCrS8KNhdx3kzW9zbwY/edit?usp=drive_link&amp;ouid=107596163405648766688&amp;rtpof=true&amp;sd=true" TargetMode="External"/><Relationship Id="rId536" Type="http://schemas.openxmlformats.org/officeDocument/2006/relationships/hyperlink" Target="https://gameserver-store-client-area.orbionlimited.com/Home/IntegrationGameLaunch/client-area?moneyType=0&amp;gameName=Wild81&amp;platform=desktop&amp;languageCode=eng&amp;currency=EUR" TargetMode="External"/><Relationship Id="rId1166" Type="http://schemas.openxmlformats.org/officeDocument/2006/relationships/hyperlink" Target="https://onlinegamespromo.fazi.rs/Home/IntegrationGameLaunch?moneyType=0&amp;gameName=WildHot40HoldAndWin&amp;platform=desktop&amp;languageCode=eng&amp;currency=EUR" TargetMode="External"/><Relationship Id="rId1373" Type="http://schemas.openxmlformats.org/officeDocument/2006/relationships/hyperlink" Target="https://static.redstone.rs/games/fruit-fire/" TargetMode="External"/><Relationship Id="rId175" Type="http://schemas.openxmlformats.org/officeDocument/2006/relationships/hyperlink" Target="https://onlinegamespromo.fazi.rs/Home/IntegrationGameLaunch?moneyType=0&amp;gameName=FluoDice5&amp;platform=desktop&amp;languageCode=eng&amp;currency=EUR" TargetMode="External"/><Relationship Id="rId743" Type="http://schemas.openxmlformats.org/officeDocument/2006/relationships/hyperlink" Target="https://docs.google.com/document/d/1wxcgajZpfBwjzRG61wJUdl-Ya0-Xcpri/edit?usp=drive_link&amp;ouid=107596163405648766688&amp;rtpof=true&amp;sd=true" TargetMode="External"/><Relationship Id="rId950" Type="http://schemas.openxmlformats.org/officeDocument/2006/relationships/hyperlink" Target="https://onlinegamespromo.fazi.rs/Home/IntegrationGameLaunch?moneyType=0&amp;gameName=XSpins&amp;platform=desktop&amp;languageCode=eng&amp;currency=EUR" TargetMode="External"/><Relationship Id="rId1026" Type="http://schemas.openxmlformats.org/officeDocument/2006/relationships/hyperlink" Target="https://gameserver-store-client-area.orbionlimited.com/Home/IntegrationGameLaunch/client-area?moneyType=0&amp;gameName=UnicornFruitIslandJackpot&amp;platform=desktop&amp;languageCode=eng&amp;currency=EUR" TargetMode="External"/><Relationship Id="rId382" Type="http://schemas.openxmlformats.org/officeDocument/2006/relationships/hyperlink" Target="https://docs.google.com/document/d/1Y_P7lHz3H_xjUFJ7tySSjnjMgUHbSWMi/edit?usp=drive_link&amp;ouid=107596163405648766688&amp;rtpof=true&amp;sd=true" TargetMode="External"/><Relationship Id="rId603" Type="http://schemas.openxmlformats.org/officeDocument/2006/relationships/hyperlink" Target="https://onlinegamespromo.fazi.rs/Home/IntegrationGameLaunch?moneyType=0&amp;gameName=AgeOfRome&amp;platform=desktop&amp;languageCode=eng&amp;currency=EUR" TargetMode="External"/><Relationship Id="rId687" Type="http://schemas.openxmlformats.org/officeDocument/2006/relationships/hyperlink" Target="https://onlinegamespromo.fazi.rs/Home/IntegrationGameLaunch?moneyType=0&amp;gameName=UnicornHitLine&amp;platform=desktop&amp;languageCode=eng&amp;currency=EUR" TargetMode="External"/><Relationship Id="rId810" Type="http://schemas.openxmlformats.org/officeDocument/2006/relationships/hyperlink" Target="https://drive.google.com/file/d/1IS1lcx8cIUZ1FAcAGfjHbVWaBX3qs_tT/view?usp=drive_link" TargetMode="External"/><Relationship Id="rId908" Type="http://schemas.openxmlformats.org/officeDocument/2006/relationships/hyperlink" Target="https://gameserver-store-client-area.orbionlimited.com/Home/IntegrationGameLaunch/client-area?moneyType=0&amp;gameName=PlayNetBitSlot&amp;platform=desktop&amp;languageCode=eng&amp;currency=EUR" TargetMode="External"/><Relationship Id="rId1233" Type="http://schemas.openxmlformats.org/officeDocument/2006/relationships/hyperlink" Target="https://onlinegamespromo.fazi.rs/Home/IntegrationGameLaunch?moneyType=0&amp;gameName=GoldenCrownHoldAndWin&amp;platform=desktop&amp;languageCode=eng&amp;currency=EUR" TargetMode="External"/><Relationship Id="rId1440" Type="http://schemas.openxmlformats.org/officeDocument/2006/relationships/hyperlink" Target="https://onlinegamespromo.fazi.rs/Home/IntegrationGameLaunch?moneyType=0&amp;gameName=MultihotPot&amp;platform=desktop&amp;languageCode=eng&amp;currency=EUR" TargetMode="External"/><Relationship Id="rId1538" Type="http://schemas.openxmlformats.org/officeDocument/2006/relationships/hyperlink" Target="https://drive.google.com/file/d/1O52UGr6YBo2Bg0Dy0xPSY9xtFETqmMjW/view?usp=drive_link" TargetMode="External"/><Relationship Id="rId242" Type="http://schemas.openxmlformats.org/officeDocument/2006/relationships/hyperlink" Target="https://gameserver-store-client-area.orbionlimited.com/Home/IntegrationGameLaunch/client-area?moneyType=0&amp;gameName=KingOfThunder&amp;platform=desktop&amp;languageCode=eng&amp;currency=EUR" TargetMode="External"/><Relationship Id="rId894" Type="http://schemas.openxmlformats.org/officeDocument/2006/relationships/hyperlink" Target="https://static.redstone.rs/games/bonus-stars/" TargetMode="External"/><Relationship Id="rId1177" Type="http://schemas.openxmlformats.org/officeDocument/2006/relationships/hyperlink" Target="https://planet-dice-escape.soko.games/" TargetMode="External"/><Relationship Id="rId1300" Type="http://schemas.openxmlformats.org/officeDocument/2006/relationships/hyperlink" Target="https://gameserver-store-client-area.orbionlimited.com/Home/IntegrationGameLaunch/client-area?moneyType=0&amp;gameName=VeryHot5ExtremeBooster&amp;platform=desktop&amp;languageCode=eng&amp;currency=EUR" TargetMode="External"/><Relationship Id="rId37" Type="http://schemas.openxmlformats.org/officeDocument/2006/relationships/hyperlink" Target="https://onlinegamespromo.fazi.rs/Home/IntegrationGameLaunch?moneyType=0&amp;gameName=BOOKOFBRUNO&amp;platform=desktop&amp;languageCode=eng&amp;currency=EUR" TargetMode="External"/><Relationship Id="rId102" Type="http://schemas.openxmlformats.org/officeDocument/2006/relationships/hyperlink" Target="https://gameserver-store-client-area.orbionlimited.com/Home/IntegrationGameLaunch/client-area?moneyType=0&amp;gameName=UnicornReelDice&amp;platform=desktop&amp;languageCode=eng&amp;currency=EUR" TargetMode="External"/><Relationship Id="rId547" Type="http://schemas.openxmlformats.org/officeDocument/2006/relationships/hyperlink" Target="https://onlinegamespromo.fazi.rs/Home/IntegrationGameLaunch?moneyType=0&amp;gameName=WildLuckyDice&amp;platform=desktop&amp;languageCode=eng&amp;currency=EUR" TargetMode="External"/><Relationship Id="rId754" Type="http://schemas.openxmlformats.org/officeDocument/2006/relationships/hyperlink" Target="https://static.redstone.rs/games/10-clover-fire/" TargetMode="External"/><Relationship Id="rId961" Type="http://schemas.openxmlformats.org/officeDocument/2006/relationships/hyperlink" Target="https://drive.google.com/file/d/1aJouosXBdyj2Wk9aS-0qVDymlWZQ5Mb_/view?usp=drive_link" TargetMode="External"/><Relationship Id="rId1384" Type="http://schemas.openxmlformats.org/officeDocument/2006/relationships/hyperlink" Target="https://static.redstone.rs/games/heart-deluxe-2x/" TargetMode="External"/><Relationship Id="rId90" Type="http://schemas.openxmlformats.org/officeDocument/2006/relationships/hyperlink" Target="https://gameserver-store-client-area.orbionlimited.com/Home/IntegrationGameLaunch/client-area?moneyType=0&amp;gameName=CrystalHot40Deluxe&amp;platform=desktop&amp;languageCode=eng&amp;currency=EUR" TargetMode="External"/><Relationship Id="rId186" Type="http://schemas.openxmlformats.org/officeDocument/2006/relationships/hyperlink" Target="https://static.redstone.rs/games/50-wild-cash/" TargetMode="External"/><Relationship Id="rId393" Type="http://schemas.openxmlformats.org/officeDocument/2006/relationships/hyperlink" Target="https://onlinegamespromo.fazi.rs/Home/IntegrationGameLaunch?moneyType=0&amp;gameName=JokerTripleDouble&amp;lobbyUrl=https://www.fazi-interactive.com/" TargetMode="External"/><Relationship Id="rId407" Type="http://schemas.openxmlformats.org/officeDocument/2006/relationships/hyperlink" Target="https://onlinegamespromo.fazi.rs/Home/IntegrationGameLaunch?moneyType=0&amp;gameName=Money5&amp;platform=desktop&amp;languageCode=eng&amp;currency=EUR" TargetMode="External"/><Relationship Id="rId614" Type="http://schemas.openxmlformats.org/officeDocument/2006/relationships/hyperlink" Target="https://drive.google.com/file/d/1Esuvc7EPZgNNggegkws6JPLTIltpZczW/view?usp=drive_link" TargetMode="External"/><Relationship Id="rId821" Type="http://schemas.openxmlformats.org/officeDocument/2006/relationships/hyperlink" Target="https://static.redstone.rs/games/hot-rush-triple-star/" TargetMode="External"/><Relationship Id="rId1037" Type="http://schemas.openxmlformats.org/officeDocument/2006/relationships/hyperlink" Target="https://onlinegamespromo.fazi.rs/Home/IntegrationGameLaunch?moneyType=0&amp;gameName=GoldenCrownMaxBooster&amp;platform=desktop&amp;languageCode=eng&amp;currency=EUR" TargetMode="External"/><Relationship Id="rId1244" Type="http://schemas.openxmlformats.org/officeDocument/2006/relationships/hyperlink" Target="https://docs.google.com/document/d/1tgJ-m4QeO4h1NF64p-_ADVba9SjKryZ4/edit?usp=drive_link&amp;ouid=107596163405648766688&amp;rtpof=true&amp;sd=true" TargetMode="External"/><Relationship Id="rId1451" Type="http://schemas.openxmlformats.org/officeDocument/2006/relationships/hyperlink" Target="https://drive.google.com/file/d/13--XJoIX1ZInVjZapgdVvvDbmo2ewyUq/view?usp=drive_link" TargetMode="External"/><Relationship Id="rId253" Type="http://schemas.openxmlformats.org/officeDocument/2006/relationships/hyperlink" Target="https://onlinegamespromo.fazi.rs/Home/IntegrationGameLaunch?moneyType=0&amp;gameName=UnicornDaVincisFruits&amp;platform=desktop&amp;languageCode=eng&amp;currency=EUR" TargetMode="External"/><Relationship Id="rId460" Type="http://schemas.openxmlformats.org/officeDocument/2006/relationships/hyperlink" Target="https://play.redstone.rs/games/fear-of-dark/index.html" TargetMode="External"/><Relationship Id="rId698" Type="http://schemas.openxmlformats.org/officeDocument/2006/relationships/hyperlink" Target="https://gameserver-store-client-area.orbionlimited.com/Home/IntegrationGameLaunch/client-area?moneyType=0&amp;gameName=PlayNetDashingHot5&amp;platform=desktop&amp;languageCode=eng&amp;currency=EUR" TargetMode="External"/><Relationship Id="rId919" Type="http://schemas.openxmlformats.org/officeDocument/2006/relationships/hyperlink" Target="https://drive.google.com/drive/folders/1v8TLyjtbLiw7CDi6_PxsR9MjBAwfoDTs" TargetMode="External"/><Relationship Id="rId1090" Type="http://schemas.openxmlformats.org/officeDocument/2006/relationships/hyperlink" Target="https://gameserver-store-client-area.orbionlimited.com/Home/IntegrationGameLaunch/client-area?moneyType=0&amp;gameName=UnicornSevensPay&amp;platform=desktop&amp;languageCode=eng&amp;currency=EUR" TargetMode="External"/><Relationship Id="rId1104" Type="http://schemas.openxmlformats.org/officeDocument/2006/relationships/hyperlink" Target="https://docs.google.com/document/d/11FY-e__Z3N_KJDK2EjKnCASsruOiCOfn/edit?usp=drive_link&amp;ouid=107596163405648766688&amp;rtpof=true&amp;sd=true" TargetMode="External"/><Relationship Id="rId1311" Type="http://schemas.openxmlformats.org/officeDocument/2006/relationships/hyperlink" Target="https://onlinegamespromo.fazi.rs/Home/IntegrationGameLaunch?moneyType=0&amp;gameName=LockedHearts40&amp;platform=desktop&amp;languageCode=eng&amp;currency=EUR" TargetMode="External"/><Relationship Id="rId48" Type="http://schemas.openxmlformats.org/officeDocument/2006/relationships/hyperlink" Target="https://gameserver-store-client-area.orbionlimited.com/Home/IntegrationGameLaunch/client-area?moneyType=0&amp;gameName=StarGems&amp;platform=desktop&amp;languageCode=eng&amp;currency=EUR" TargetMode="External"/><Relationship Id="rId113" Type="http://schemas.openxmlformats.org/officeDocument/2006/relationships/hyperlink" Target="https://onlinegamespromo.fazi.rs/Home/IntegrationGameLaunch?moneyType=0&amp;gameName=CrystalJokerHot&amp;platform=desktop&amp;languageCode=eng&amp;currency=EUR" TargetMode="External"/><Relationship Id="rId320" Type="http://schemas.openxmlformats.org/officeDocument/2006/relationships/hyperlink" Target="https://gameserver-store-client-area.orbionlimited.com/Home/IntegrationGameLaunch/client-area?moneyType=0&amp;gameName=UnicornDaVincisDice&amp;platform=desktop&amp;languageCode=eng&amp;currency=EUR" TargetMode="External"/><Relationship Id="rId558" Type="http://schemas.openxmlformats.org/officeDocument/2006/relationships/hyperlink" Target="https://docs.google.com/document/d/133EFX9Kmc_ni_odAawnqEsToy2VaVDRX/edit?usp=drive_link&amp;ouid=107596163405648766688&amp;rtpof=true&amp;sd=true" TargetMode="External"/><Relationship Id="rId765" Type="http://schemas.openxmlformats.org/officeDocument/2006/relationships/hyperlink" Target="https://drive.google.com/file/d/1hY7sDKOVoR3lt4VsKh-H2CdHH5RM6AJ1/view?usp=drive_link" TargetMode="External"/><Relationship Id="rId972" Type="http://schemas.openxmlformats.org/officeDocument/2006/relationships/hyperlink" Target="https://drive.google.com/file/d/1ztU0U7_kgwbIaRZ_UCS6mO_iZYclWO1A/view?usp=drive_link" TargetMode="External"/><Relationship Id="rId1188" Type="http://schemas.openxmlformats.org/officeDocument/2006/relationships/hyperlink" Target="https://onlinegamespromo.fazi.rs/Home/IntegrationGameLaunch?moneyType=0&amp;gameName=UnicornDynamiteBoomDice&amp;platform=desktop&amp;languageCode=eng&amp;currency=EUR" TargetMode="External"/><Relationship Id="rId1395" Type="http://schemas.openxmlformats.org/officeDocument/2006/relationships/hyperlink" Target="https://static.redstone.rs/games/x-wild-crown/" TargetMode="External"/><Relationship Id="rId1409" Type="http://schemas.openxmlformats.org/officeDocument/2006/relationships/hyperlink" Target="https://docs.google.com/document/d/1tNB9UAntH_Ow2expZVnP_6rc5b7mJggd/edit?usp=drive_link&amp;ouid=107596163405648766688&amp;rtpof=true&amp;sd=true" TargetMode="External"/><Relationship Id="rId197" Type="http://schemas.openxmlformats.org/officeDocument/2006/relationships/hyperlink" Target="https://static.redstone.rs/games/40-dice-fire/" TargetMode="External"/><Relationship Id="rId418" Type="http://schemas.openxmlformats.org/officeDocument/2006/relationships/hyperlink" Target="https://gameserver-store-client-area.orbionlimited.com/Home/IntegrationGameLaunch/client-area?moneyType=0&amp;gameName=UnicornBikiniDice&amp;platform=desktop&amp;languageCode=eng&amp;currency=EUR" TargetMode="External"/><Relationship Id="rId625" Type="http://schemas.openxmlformats.org/officeDocument/2006/relationships/hyperlink" Target="https://onlinegamespromo.fazi.rs/Home/IntegrationGameLaunch?moneyType=0&amp;gameName=SpecialFruits&amp;platform=desktop&amp;languageCode=eng&amp;currency=EUR" TargetMode="External"/><Relationship Id="rId832" Type="http://schemas.openxmlformats.org/officeDocument/2006/relationships/hyperlink" Target="https://docs.google.com/document/d/1MShAbhMzYV_ictGwDjX6Sn27uuCG2Ms-/edit?usp=drive_link&amp;ouid=107596163405648766688&amp;rtpof=true&amp;sd=true" TargetMode="External"/><Relationship Id="rId1048" Type="http://schemas.openxmlformats.org/officeDocument/2006/relationships/hyperlink" Target="https://docs.google.com/document/d/1rFw9hKKp68GvTh-Nl3jKCE82IHC5AboA/edit?usp=drive_link&amp;ouid=114298052477200652286&amp;rtpof=true&amp;sd=true" TargetMode="External"/><Relationship Id="rId1255" Type="http://schemas.openxmlformats.org/officeDocument/2006/relationships/hyperlink" Target="https://docs.google.com/document/d/1Y7pRn33TMzJVBoyNmikLXLoa8IRcPXbB/edit" TargetMode="External"/><Relationship Id="rId1462" Type="http://schemas.openxmlformats.org/officeDocument/2006/relationships/hyperlink" Target="https://drive.google.com/file/d/1UXlO04i5CFextE2cQm_x6W4x1ksPCMwv/view?usp=drive_link" TargetMode="External"/><Relationship Id="rId264" Type="http://schemas.openxmlformats.org/officeDocument/2006/relationships/hyperlink" Target="https://gameserver-store-client-area.orbionlimited.com/Home/IntegrationGameLaunch/client-area?moneyType=0&amp;gameName=UnicornMiniMegaCash&amp;platform=desktop&amp;languageCode=eng&amp;currency=EUR" TargetMode="External"/><Relationship Id="rId471" Type="http://schemas.openxmlformats.org/officeDocument/2006/relationships/hyperlink" Target="https://docs.google.com/document/d/1QhQ9OIh7uTbWVJjt6gFntvyUFTO_g0du/edit?usp=drive_link&amp;ouid=107596163405648766688&amp;rtpof=true&amp;sd=true" TargetMode="External"/><Relationship Id="rId1115" Type="http://schemas.openxmlformats.org/officeDocument/2006/relationships/hyperlink" Target="https://drive.google.com/drive/u/1/folders/1xobLzwkTCpqNacZe9peJ5JCe2x1v25FW" TargetMode="External"/><Relationship Id="rId1322" Type="http://schemas.openxmlformats.org/officeDocument/2006/relationships/hyperlink" Target="https://onlinegamespromo.fazi.rs/Home/IntegrationGameLaunch?moneyType=0&amp;gameName=VeryHot40DiceBooster&amp;platform=desktop&amp;languageCode=eng&amp;currency=EUR" TargetMode="External"/><Relationship Id="rId59" Type="http://schemas.openxmlformats.org/officeDocument/2006/relationships/hyperlink" Target="https://onlinegamespromo.fazi.rs/Home/IntegrationGameLaunch?moneyType=0&amp;gameName=TurboDice40&amp;platform=desktop&amp;languageCode=eng&amp;currency=EUR" TargetMode="External"/><Relationship Id="rId124" Type="http://schemas.openxmlformats.org/officeDocument/2006/relationships/hyperlink" Target="https://gameserver-store-client-area.orbionlimited.com/Home/IntegrationGameLaunch/client-area?moneyType=0&amp;gameName=UnicornHavanaDice&amp;platform=desktop&amp;languageCode=eng&amp;currency=EUR" TargetMode="External"/><Relationship Id="rId569" Type="http://schemas.openxmlformats.org/officeDocument/2006/relationships/hyperlink" Target="https://docs.google.com/document/d/1V5vML2_cYkD_jgU9nNxokYIDq2owyKOV/edit?usp=drive_link&amp;ouid=107596163405648766688&amp;rtpof=true&amp;sd=true" TargetMode="External"/><Relationship Id="rId776" Type="http://schemas.openxmlformats.org/officeDocument/2006/relationships/hyperlink" Target="https://static.redstone.rs/games/clover-royale/" TargetMode="External"/><Relationship Id="rId983" Type="http://schemas.openxmlformats.org/officeDocument/2006/relationships/hyperlink" Target="https://drive.google.com/file/d/1aQMoqx1Q0PxgTRx-QfcLaCK7eHBA4cDj/view?usp=drive_link" TargetMode="External"/><Relationship Id="rId1199" Type="http://schemas.openxmlformats.org/officeDocument/2006/relationships/hyperlink" Target="https://docs.google.com/document/d/1BmVvjc8oNoRk258RUZV_8Ak95o41mJ9l/edit?usp=drive_link&amp;ouid=107596163405648766688&amp;rtpof=true&amp;sd=true" TargetMode="External"/><Relationship Id="rId331" Type="http://schemas.openxmlformats.org/officeDocument/2006/relationships/hyperlink" Target="https://static.redstone.rs/games/10-wild-santa/" TargetMode="External"/><Relationship Id="rId429" Type="http://schemas.openxmlformats.org/officeDocument/2006/relationships/hyperlink" Target="https://onlinegamespromo.fazi.rs/Home/IntegrationGameLaunch?moneyType=0&amp;gameName=WinningClover5&amp;lobbyUrl=https://www.fazi-interactive.com/" TargetMode="External"/><Relationship Id="rId636" Type="http://schemas.openxmlformats.org/officeDocument/2006/relationships/hyperlink" Target="https://gameserver-store-client-area.orbionlimited.com/Home/IntegrationGameLaunch/client-area?moneyType=0&amp;gameName=MegaHot20&amp;platform=desktop&amp;languageCode=eng&amp;currency=EUR" TargetMode="External"/><Relationship Id="rId1059" Type="http://schemas.openxmlformats.org/officeDocument/2006/relationships/hyperlink" Target="https://docs.google.com/document/d/1JUWW4nQltXBbyiLWnANAsePI56Gc7bx6/edit?usp=drive_link&amp;ouid=107596163405648766688&amp;rtpof=true&amp;sd=true" TargetMode="External"/><Relationship Id="rId1266" Type="http://schemas.openxmlformats.org/officeDocument/2006/relationships/hyperlink" Target="https://gameserver-store-client-area.orbionlimited.com/Home/IntegrationGameLaunch/client-area?moneyType=0&amp;gameName=PlayNetTropicTwist&amp;platform=desktop&amp;languageCode=eng&amp;currency=EUR" TargetMode="External"/><Relationship Id="rId1473" Type="http://schemas.openxmlformats.org/officeDocument/2006/relationships/hyperlink" Target="https://rgs-lucky-crown-10.soko.games/" TargetMode="External"/><Relationship Id="rId843" Type="http://schemas.openxmlformats.org/officeDocument/2006/relationships/hyperlink" Target="https://onlinegamespromo.fazi.rs/Home/IntegrationGameLaunch?moneyType=0&amp;gameName=PlayNetCrownStacks40&amp;platform=desktop&amp;languageCode=eng&amp;currency=EUR" TargetMode="External"/><Relationship Id="rId1126" Type="http://schemas.openxmlformats.org/officeDocument/2006/relationships/hyperlink" Target="https://static.redstone.rs/games/double-clover-fire-christmas/" TargetMode="External"/><Relationship Id="rId275" Type="http://schemas.openxmlformats.org/officeDocument/2006/relationships/hyperlink" Target="https://onlinegamespromo.fazi.rs/Home/IntegrationGameLaunch?moneyType=0&amp;gameName=WildJokerHot&amp;platform=desktop&amp;languageCode=eng&amp;currency=EUR" TargetMode="External"/><Relationship Id="rId482" Type="http://schemas.openxmlformats.org/officeDocument/2006/relationships/hyperlink" Target="https://play.redstone.rs/games/jolly-presents/index.html" TargetMode="External"/><Relationship Id="rId703" Type="http://schemas.openxmlformats.org/officeDocument/2006/relationships/hyperlink" Target="https://static.redstone.rs/games/5-wild-fire/" TargetMode="External"/><Relationship Id="rId910" Type="http://schemas.openxmlformats.org/officeDocument/2006/relationships/hyperlink" Target="https://gameserver-store-client-area.orbionlimited.com/Home/IntegrationGameLaunch/client-area?moneyType=0&amp;gameName=PlayNetFortuneClover10&amp;platform=desktop&amp;languageCode=eng&amp;currency=EUR" TargetMode="External"/><Relationship Id="rId1333" Type="http://schemas.openxmlformats.org/officeDocument/2006/relationships/hyperlink" Target="https://onlinegamespromo.fazi.rs/Home/IntegrationGameLaunch?moneyType=0&amp;gameName=FortuneOfWuKong&amp;platform=desktop&amp;languageCode=eng&amp;currency=EUR" TargetMode="External"/><Relationship Id="rId1540" Type="http://schemas.openxmlformats.org/officeDocument/2006/relationships/hyperlink" Target="https://onlinegamespromo.fazi.rs/Home/IntegrationGameLaunch?moneyType=0&amp;gameName=RedstoneWildHeart1000&amp;platform=desktop&amp;languageCode=eng&amp;currency=EUR" TargetMode="External"/><Relationship Id="rId135" Type="http://schemas.openxmlformats.org/officeDocument/2006/relationships/hyperlink" Target="https://static.redstone.rs/games/10-wild-crown/" TargetMode="External"/><Relationship Id="rId342" Type="http://schemas.openxmlformats.org/officeDocument/2006/relationships/hyperlink" Target="https://gameserver-store-client-area.orbionlimited.com/Home/IntegrationGameLaunch/client-area?moneyType=0&amp;gameName=Unicorn40HotStrike&amp;platform=desktop&amp;languageCode=eng&amp;currency=EUR" TargetMode="External"/><Relationship Id="rId787" Type="http://schemas.openxmlformats.org/officeDocument/2006/relationships/hyperlink" Target="https://static.redstone.rs/games/star-chaser/" TargetMode="External"/><Relationship Id="rId994" Type="http://schemas.openxmlformats.org/officeDocument/2006/relationships/hyperlink" Target="https://static.redstone.rs/games/5-clover-fire-6-reels/" TargetMode="External"/><Relationship Id="rId1400" Type="http://schemas.openxmlformats.org/officeDocument/2006/relationships/hyperlink" Target="https://docs.google.com/document/d/1fpidL62Ny3kJUn37vG10XhM9AHGg2FDt/edit?usp=drive_link&amp;ouid=107596163405648766688&amp;rtpof=true&amp;sd=true" TargetMode="External"/><Relationship Id="rId202" Type="http://schemas.openxmlformats.org/officeDocument/2006/relationships/hyperlink" Target="https://gameserver-store-client-area.orbionlimited.com/Home/IntegrationGameLaunch/client-area?moneyType=0&amp;gameName=CrystalHot40Free&amp;platform=desktop&amp;languageCode=eng&amp;currency=EUR" TargetMode="External"/><Relationship Id="rId647" Type="http://schemas.openxmlformats.org/officeDocument/2006/relationships/hyperlink" Target="https://docs.google.com/document/d/1CSew7JVTaSjsayubl0fP_ZN45adE4_6i/edit?usp=drive_link&amp;ouid=107596163405648766688&amp;rtpof=true&amp;sd=true" TargetMode="External"/><Relationship Id="rId854" Type="http://schemas.openxmlformats.org/officeDocument/2006/relationships/hyperlink" Target="https://gameserver-store-client-area.orbionlimited.com/Home/IntegrationGameLaunch/client-area?moneyType=0&amp;gameName=UnicornSupremeSevens&amp;platform=desktop&amp;languageCode=eng&amp;currency=EUR" TargetMode="External"/><Relationship Id="rId1277" Type="http://schemas.openxmlformats.org/officeDocument/2006/relationships/hyperlink" Target="https://onlinegamespromo.fazi.rs/Home/IntegrationGameLaunch?moneyType=0&amp;gameName=UnicornByeBouse&amp;platform=desktop&amp;languageCode=eng&amp;currency=EUR" TargetMode="External"/><Relationship Id="rId1484" Type="http://schemas.openxmlformats.org/officeDocument/2006/relationships/hyperlink" Target="https://gameserver-store-client-area.orbionlimited.com/Home/IntegrationGameLaunch/client-area?moneyType=0&amp;gameName=UnicornFruitPlayDice&amp;platform=desktop&amp;languageCode=eng&amp;currency=EUR" TargetMode="External"/><Relationship Id="rId286" Type="http://schemas.openxmlformats.org/officeDocument/2006/relationships/hyperlink" Target="https://static.redstone.rs/games/book-of-ibis/" TargetMode="External"/><Relationship Id="rId493" Type="http://schemas.openxmlformats.org/officeDocument/2006/relationships/hyperlink" Target="https://play.redstone.rs/games/wild-heart-beat/index.html" TargetMode="External"/><Relationship Id="rId507" Type="http://schemas.openxmlformats.org/officeDocument/2006/relationships/hyperlink" Target="https://onlinegamespromo.fazi.rs/Home/IntegrationGameLaunch?moneyType=0&amp;gameName=BonusEpicCrown&amp;lobbyUrl=https://www.fazi-interactive.com/" TargetMode="External"/><Relationship Id="rId714" Type="http://schemas.openxmlformats.org/officeDocument/2006/relationships/hyperlink" Target="https://static.redstone.rs/games/81-double-magic/" TargetMode="External"/><Relationship Id="rId921" Type="http://schemas.openxmlformats.org/officeDocument/2006/relationships/hyperlink" Target="https://onlinegamespromo.fazi.rs/Home/IntegrationGameLaunch?moneyType=0&amp;gameName=VeryHot5Booster&amp;platform=desktop&amp;languageCode=eng&amp;currency=EUR" TargetMode="External"/><Relationship Id="rId1137" Type="http://schemas.openxmlformats.org/officeDocument/2006/relationships/hyperlink" Target="https://docs.google.com/document/d/1n3iagnwoNQgP7OEszAJZ7lrySjhjx3fU/edit?usp=drive_link&amp;ouid=107596163405648766688&amp;rtpof=true&amp;sd=true" TargetMode="External"/><Relationship Id="rId1344" Type="http://schemas.openxmlformats.org/officeDocument/2006/relationships/hyperlink" Target="https://docs.google.com/document/d/1vyPdbTiGJiKkYnnELDaLeavVn6alUl8O/edit" TargetMode="External"/><Relationship Id="rId50" Type="http://schemas.openxmlformats.org/officeDocument/2006/relationships/hyperlink" Target="https://gameserver-store-client-area.orbionlimited.com/Home/IntegrationGameLaunch/client-area?moneyType=0&amp;gameName=TemplarsQuest&amp;platform=desktop&amp;languageCode=eng&amp;currency=EUR" TargetMode="External"/><Relationship Id="rId146" Type="http://schemas.openxmlformats.org/officeDocument/2006/relationships/hyperlink" Target="https://gameserver-store-client-area.orbionlimited.com/Home/IntegrationGameLaunch/client-area?moneyType=0&amp;gameName=UnicornTwentyFruits&amp;platform=desktop&amp;languageCode=eng&amp;currency=EUR" TargetMode="External"/><Relationship Id="rId353" Type="http://schemas.openxmlformats.org/officeDocument/2006/relationships/hyperlink" Target="https://docs.google.com/document/d/1dRme9Y9ZCWbSWakSwsLt31xwA12AH3_l/edit?usp=drive_link&amp;ouid=107596163405648766688&amp;rtpof=true&amp;sd=true" TargetMode="External"/><Relationship Id="rId560" Type="http://schemas.openxmlformats.org/officeDocument/2006/relationships/hyperlink" Target="https://static.redstone.rs/games/caps-and-crowns/" TargetMode="External"/><Relationship Id="rId798" Type="http://schemas.openxmlformats.org/officeDocument/2006/relationships/hyperlink" Target="https://drive.google.com/file/d/11ZuJz99MnzBEN9Wu2mO6F5qgjg1UQxMe/view?usp=drive_link" TargetMode="External"/><Relationship Id="rId1190" Type="http://schemas.openxmlformats.org/officeDocument/2006/relationships/hyperlink" Target="https://onlinegamespromo.fazi.rs/Home/IntegrationGameLaunch?moneyType=0&amp;gameName=UnicornBuffaloDiceJackpot&amp;platform=desktop&amp;languageCode=eng&amp;currency=EUR" TargetMode="External"/><Relationship Id="rId1204" Type="http://schemas.openxmlformats.org/officeDocument/2006/relationships/hyperlink" Target="https://static.redstone.rs/games/cupids-wild-hearts/" TargetMode="External"/><Relationship Id="rId1411" Type="http://schemas.openxmlformats.org/officeDocument/2006/relationships/hyperlink" Target="https://static.redstone.rs/games/x-wild-heart/" TargetMode="External"/><Relationship Id="rId213" Type="http://schemas.openxmlformats.org/officeDocument/2006/relationships/hyperlink" Target="https://onlinegamespromo.fazi.rs/Home/IntegrationGameLaunch?moneyType=0&amp;gameName=SevenClassicHot&amp;platform=desktop&amp;languageCode=eng&amp;currency=EUR" TargetMode="External"/><Relationship Id="rId420" Type="http://schemas.openxmlformats.org/officeDocument/2006/relationships/hyperlink" Target="https://docs.google.com/document/d/1ATbuBx6ppewruKxRt72H2RFPKHP6uH4g/edit?usp=drive_link&amp;ouid=107596163405648766688&amp;rtpof=true&amp;sd=true" TargetMode="External"/><Relationship Id="rId658" Type="http://schemas.openxmlformats.org/officeDocument/2006/relationships/hyperlink" Target="https://gameserver-store-client-area.orbionlimited.com/Home/IntegrationGameLaunch/client-area?moneyType=0&amp;gameName=FortuneClover5&amp;platform=desktop&amp;languageCode=eng&amp;currency=EUR" TargetMode="External"/><Relationship Id="rId865" Type="http://schemas.openxmlformats.org/officeDocument/2006/relationships/hyperlink" Target="https://onlinegamespromo.fazi.rs/Home/IntegrationGameLaunch?moneyType=0&amp;gameName=UnicornDynamiteRunDice&amp;platform=desktop&amp;languageCode=eng&amp;currency=EUR" TargetMode="External"/><Relationship Id="rId1050" Type="http://schemas.openxmlformats.org/officeDocument/2006/relationships/hyperlink" Target="https://gameserver-store-client-area.orbionlimited.com/Home/IntegrationGameLaunch/client-area?moneyType=0&amp;gameName=CoinSplashExtreme&amp;platform=desktop&amp;languageCode=eng&amp;currency=EUR" TargetMode="External"/><Relationship Id="rId1288" Type="http://schemas.openxmlformats.org/officeDocument/2006/relationships/hyperlink" Target="https://gameserver-store-client-area.orbionlimited.com/Home/IntegrationGameLaunch/client-area?moneyType=0&amp;gameName=GoldenDiamonds10Extreme&amp;platform=desktop&amp;languageCode=eng&amp;currency=EUR" TargetMode="External"/><Relationship Id="rId1495" Type="http://schemas.openxmlformats.org/officeDocument/2006/relationships/hyperlink" Target="https://onlinegamespromo.fazi.rs/Home/IntegrationGameLaunch?moneyType=0&amp;gameName=TBD&amp;platform=desktop&amp;languageCode=eng&amp;currency=EUR" TargetMode="External"/><Relationship Id="rId1509" Type="http://schemas.openxmlformats.org/officeDocument/2006/relationships/hyperlink" Target="https://drive.google.com/drive/u/1/folders/1ynyT9fcb2h_07JXG8_TQpj3twv80L7TQ" TargetMode="External"/><Relationship Id="rId297" Type="http://schemas.openxmlformats.org/officeDocument/2006/relationships/hyperlink" Target="https://docs.google.com/document/d/1cDh7kaMF1Gk9vxVOneSDdYzfVvqIeA4l/edit?usp=drive_link&amp;ouid=107596163405648766688&amp;rtpof=true&amp;sd=true" TargetMode="External"/><Relationship Id="rId518" Type="http://schemas.openxmlformats.org/officeDocument/2006/relationships/hyperlink" Target="https://gameserver-store-client-area.orbionlimited.com/Home/IntegrationGameLaunch/client-area?moneyType=0&amp;gameName=TripleFieldsOfLuck&amp;platform=desktop&amp;languageCode=eng&amp;currency=EUR" TargetMode="External"/><Relationship Id="rId725" Type="http://schemas.openxmlformats.org/officeDocument/2006/relationships/hyperlink" Target="https://onlinegamespromo.fazi.rs/Home/IntegrationGameLaunch?moneyType=0&amp;gameName=PlayNet27WildStacksXmas&amp;platform=desktop&amp;languageCode=eng&amp;currency=EUR" TargetMode="External"/><Relationship Id="rId932" Type="http://schemas.openxmlformats.org/officeDocument/2006/relationships/hyperlink" Target="https://drive.google.com/drive/folders/1rfagR-Gq8bh6HT3DqZCroCVSfPzgTrJO" TargetMode="External"/><Relationship Id="rId1148" Type="http://schemas.openxmlformats.org/officeDocument/2006/relationships/hyperlink" Target="https://gameserver-store-dev-01.fazi.rs/Home/IntegrationGameLaunch/fazi-stg16?moneyType=0&amp;gameName=BellasWorld&amp;platform=desktop&amp;languageCode=eng&amp;currency=EURR" TargetMode="External"/><Relationship Id="rId1355" Type="http://schemas.openxmlformats.org/officeDocument/2006/relationships/hyperlink" Target="https://gameserver-store-client-area.orbionlimited.com/Home/IntegrationGameLaunch/client-area?moneyType=0&amp;gameName=UnicornGoldenGateFruit&amp;platform=desktop&amp;languageCode=eng&amp;currency=EUR" TargetMode="External"/><Relationship Id="rId157" Type="http://schemas.openxmlformats.org/officeDocument/2006/relationships/hyperlink" Target="https://onlinegamespromo.fazi.rs/Home/IntegrationGameLaunch?moneyType=0&amp;gameName=MegaCubesDeluxe&amp;platform=desktop&amp;languageCode=eng&amp;currency=EUR" TargetMode="External"/><Relationship Id="rId364" Type="http://schemas.openxmlformats.org/officeDocument/2006/relationships/hyperlink" Target="https://gameserver-store-client-area.orbionlimited.com/Home/IntegrationGameLaunch/client-area?moneyType=0&amp;gameName=UnicornCoyoteDice&amp;platform=desktop&amp;languageCode=eng&amp;currency=EUR" TargetMode="External"/><Relationship Id="rId1008" Type="http://schemas.openxmlformats.org/officeDocument/2006/relationships/hyperlink" Target="https://drive.google.com/file/d/1wVT1F3jhJ2gCAvE-C8Xt1INuqdOIXZPh/view?usp=drive_link" TargetMode="External"/><Relationship Id="rId1215" Type="http://schemas.openxmlformats.org/officeDocument/2006/relationships/hyperlink" Target="https://gameserver-store-client-area.orbionlimited.com/Home/IntegrationGameLaunch/client-area?moneyType=0&amp;gameName=PlayNetEmpressOfFlame&amp;platform=desktop&amp;languageCode=eng&amp;currency=EUR" TargetMode="External"/><Relationship Id="rId1422" Type="http://schemas.openxmlformats.org/officeDocument/2006/relationships/hyperlink" Target="https://onlinegamespromo.fazi.rs/Home/IntegrationGameLaunch?moneyType=0&amp;gameName=PlayNetFruitJackPotx10000&amp;platform=desktop&amp;languageCode=eng&amp;currency=EUR" TargetMode="External"/><Relationship Id="rId61" Type="http://schemas.openxmlformats.org/officeDocument/2006/relationships/hyperlink" Target="https://onlinegamespromo.fazi.rs/Home/IntegrationGameLaunch?moneyType=0&amp;gameName=TripleDice&amp;platform=desktop&amp;languageCode=eng&amp;currency=EUR" TargetMode="External"/><Relationship Id="rId571" Type="http://schemas.openxmlformats.org/officeDocument/2006/relationships/hyperlink" Target="https://static.redstone.rs/games/book-of-scorpio/" TargetMode="External"/><Relationship Id="rId669" Type="http://schemas.openxmlformats.org/officeDocument/2006/relationships/hyperlink" Target="https://docs.google.com/document/d/1W3Ba_cSXNdHIMN1RMBvGdFZYpyMiDgSn/edit?usp=drive_link&amp;ouid=107596163405648766688&amp;rtpof=true&amp;sd=true" TargetMode="External"/><Relationship Id="rId876" Type="http://schemas.openxmlformats.org/officeDocument/2006/relationships/hyperlink" Target="https://gameserver-store-client-area.orbionlimited.com/Home/IntegrationGameLaunch/client-area?moneyType=0&amp;gameName=UnicornThreeReelSevens&amp;platform=desktop&amp;languageCode=eng&amp;currency=EUR" TargetMode="External"/><Relationship Id="rId1299" Type="http://schemas.openxmlformats.org/officeDocument/2006/relationships/hyperlink" Target="https://onlinegamespromo.fazi.rs/Home/IntegrationGameLaunch?moneyType=0&amp;gameName=VeryHot5ExtremeBooster&amp;platform=desktop&amp;languageCode=eng&amp;currency=EUR" TargetMode="External"/><Relationship Id="rId19" Type="http://schemas.openxmlformats.org/officeDocument/2006/relationships/hyperlink" Target="https://onlinegamespromo.fazi.rs/Home/IntegrationGameLaunch?moneyType=0&amp;gameName=ROULETTE&amp;platform=desktop&amp;languageCode=eng&amp;currency=EUR" TargetMode="External"/><Relationship Id="rId224" Type="http://schemas.openxmlformats.org/officeDocument/2006/relationships/hyperlink" Target="https://static.redstone.rs/games/action-hot-40/" TargetMode="External"/><Relationship Id="rId431" Type="http://schemas.openxmlformats.org/officeDocument/2006/relationships/hyperlink" Target="https://onlinegamespromo.fazi.rs/Home/IntegrationGameLaunch?moneyType=0&amp;gameName=TurboFire&amp;lobbyUrl=https://www.fazi-interactive.com/" TargetMode="External"/><Relationship Id="rId529" Type="http://schemas.openxmlformats.org/officeDocument/2006/relationships/hyperlink" Target="https://static.redstone.rs/games/lady-triple-fortune/" TargetMode="External"/><Relationship Id="rId736" Type="http://schemas.openxmlformats.org/officeDocument/2006/relationships/hyperlink" Target="https://drive.google.com/file/d/1kLHUR8NNfLffwEHlNKvQ6N7hvCPspAYY/view?usp=drive_link" TargetMode="External"/><Relationship Id="rId1061" Type="http://schemas.openxmlformats.org/officeDocument/2006/relationships/hyperlink" Target="https://static.redstone.rs/games/5-clover-fire-halloween/" TargetMode="External"/><Relationship Id="rId1159" Type="http://schemas.openxmlformats.org/officeDocument/2006/relationships/hyperlink" Target="https://gameserver-store-client-area.orbionlimited.com/Home/IntegrationGameLaunch/client-area?moneyType=0&amp;gameName=VeryHot5ChristmasBooster&amp;platform=desktop&amp;languageCode=eng&amp;currency=EUR" TargetMode="External"/><Relationship Id="rId1366" Type="http://schemas.openxmlformats.org/officeDocument/2006/relationships/hyperlink" Target="https://onlinegamespromo.fazi.rs/Home/IntegrationGameLaunch?moneyType=0&amp;gameName=UnicornGoldenGateDice&amp;platform=desktop&amp;languageCode=eng&amp;currency=EUR" TargetMode="External"/><Relationship Id="rId168" Type="http://schemas.openxmlformats.org/officeDocument/2006/relationships/hyperlink" Target="https://gameserver-store-client-area.orbionlimited.com/Home/IntegrationGameLaunch/client-area?moneyType=0&amp;gameName=VeryHot40&amp;platform=desktop&amp;languageCode=eng&amp;currency=EUR" TargetMode="External"/><Relationship Id="rId943" Type="http://schemas.openxmlformats.org/officeDocument/2006/relationships/hyperlink" Target="https://onlinegamespromo.fazi.rs/Home/IntegrationGameLaunch?moneyType=0&amp;gameName=PlayNetDashingHot20&amp;platform=desktop&amp;languageCode=eng&amp;currency=EUR" TargetMode="External"/><Relationship Id="rId1019" Type="http://schemas.openxmlformats.org/officeDocument/2006/relationships/hyperlink" Target="https://onlinegamespromo.fazi.rs/Home/IntegrationGameLaunch?moneyType=0&amp;gameName=UnicornBuffaloSevensJackpot&amp;platform=desktop&amp;languageCode=eng&amp;currency=EUR" TargetMode="External"/><Relationship Id="rId72" Type="http://schemas.openxmlformats.org/officeDocument/2006/relationships/hyperlink" Target="https://gameserver-store-client-area.orbionlimited.com/Home/IntegrationGameLaunch/client-area?moneyType=0&amp;gameName=AlohaCharm&amp;platform=desktop&amp;languageCode=eng&amp;currency=EUR" TargetMode="External"/><Relationship Id="rId375" Type="http://schemas.openxmlformats.org/officeDocument/2006/relationships/hyperlink" Target="https://onlinegamespromo.fazi.rs/Home/IntegrationGameLaunch?moneyType=0&amp;gameName=UnicornMoneyStandardDice&amp;platform=desktop&amp;languageCode=eng&amp;currency=EUR" TargetMode="External"/><Relationship Id="rId582" Type="http://schemas.openxmlformats.org/officeDocument/2006/relationships/hyperlink" Target="https://gameserver-store-client-area.orbionlimited.com/Home/IntegrationGameLaunch/client-area?moneyType=0&amp;gameName=ToxicHaze&amp;platform=desktop&amp;languageCode=eng&amp;currency=EUR" TargetMode="External"/><Relationship Id="rId803" Type="http://schemas.openxmlformats.org/officeDocument/2006/relationships/hyperlink" Target="https://onlinegamespromo.fazi.rs/Home/IntegrationGameLaunch?moneyType=0&amp;gameName=UnicornBunnyDice&amp;platform=desktop&amp;languageCode=eng&amp;currency=EUR" TargetMode="External"/><Relationship Id="rId1226" Type="http://schemas.openxmlformats.org/officeDocument/2006/relationships/hyperlink" Target="https://gameserver-store-client-area.orbionlimited.com/Home/IntegrationGameLaunch/client-area?moneyType=0&amp;gameName=Wild27Dice&amp;platform=desktop&amp;languageCode=eng&amp;currency=EUR" TargetMode="External"/><Relationship Id="rId1433" Type="http://schemas.openxmlformats.org/officeDocument/2006/relationships/hyperlink" Target="https://gameserver-store-client-area.orbionlimited.com/Home/IntegrationGameLaunch/client-area?moneyType=0&amp;gameName=PlayNetDashingHot40&amp;platform=desktop&amp;languageCode=eng&amp;currency=EUR" TargetMode="External"/><Relationship Id="rId3" Type="http://schemas.openxmlformats.org/officeDocument/2006/relationships/hyperlink" Target="https://onlinegamespromo.fazi.rs/Home/IntegrationGameLaunch?moneyType=0&amp;gameName=DEEPJUNGLE&amp;platform=desktop&amp;languageCode=eng&amp;currency=EUR" TargetMode="External"/><Relationship Id="rId235" Type="http://schemas.openxmlformats.org/officeDocument/2006/relationships/hyperlink" Target="https://static.redstone.rs/games/40-cash-bells/" TargetMode="External"/><Relationship Id="rId442" Type="http://schemas.openxmlformats.org/officeDocument/2006/relationships/hyperlink" Target="https://gameserver-store-client-area.orbionlimited.com/Home/IntegrationGameLaunch/client-area?moneyType=0&amp;gameName=WildHot40Dice&amp;platform=desktop&amp;languageCode=eng&amp;currency=EUR" TargetMode="External"/><Relationship Id="rId887" Type="http://schemas.openxmlformats.org/officeDocument/2006/relationships/hyperlink" Target="https://drive.google.com/file/d/1u1cVt2r3D74ZWE5qJ4FseBw5PY-Ib4yK/view?usp=drive_link" TargetMode="External"/><Relationship Id="rId1072" Type="http://schemas.openxmlformats.org/officeDocument/2006/relationships/hyperlink" Target="https://gameserver-store-client-area.orbionlimited.com/Home/IntegrationGameLaunch/client-area?moneyType=0&amp;gameName=PlayNetBrewmastersBank&amp;platform=desktop&amp;languageCode=eng&amp;currency=EUR" TargetMode="External"/><Relationship Id="rId1500" Type="http://schemas.openxmlformats.org/officeDocument/2006/relationships/hyperlink" Target="https://dicebyte.sharepoint.com/:b:/g/IQBvJ2CS3yR_QoURHTzPMA3aAQRvpUy2WDetN09DdU0VOac?e=doH5cg" TargetMode="External"/><Relationship Id="rId302" Type="http://schemas.openxmlformats.org/officeDocument/2006/relationships/hyperlink" Target="https://gameserver-store-client-area.orbionlimited.com/Home/IntegrationGameLaunch/client-area?moneyType=0&amp;gameName=VeryHot40Dice&amp;platform=desktop&amp;languageCode=eng&amp;currency=EUR" TargetMode="External"/><Relationship Id="rId747" Type="http://schemas.openxmlformats.org/officeDocument/2006/relationships/hyperlink" Target="https://drive.google.com/file/d/1TIDXrQqfVRm2CVG_wBa8hrOS0YKT3vAF/view?usp=drive_link" TargetMode="External"/><Relationship Id="rId954" Type="http://schemas.openxmlformats.org/officeDocument/2006/relationships/hyperlink" Target="https://gameserver-store-client-area.orbionlimited.com/Home/IntegrationGameLaunch/client-area?moneyType=0&amp;gameName=EpicCrown5Booster&amp;platform=desktop&amp;languageCode=eng&amp;currency=EUR" TargetMode="External"/><Relationship Id="rId1377" Type="http://schemas.openxmlformats.org/officeDocument/2006/relationships/hyperlink" Target="https://static.redstone.rs/games/x-clover-fire/" TargetMode="External"/><Relationship Id="rId83" Type="http://schemas.openxmlformats.org/officeDocument/2006/relationships/hyperlink" Target="https://onlinegamespromo.fazi.rs/Home/IntegrationGameLaunch?moneyType=0&amp;gameName=BookOfSpellsDeluxe&amp;platform=desktop&amp;languageCode=eng&amp;currency=EUR" TargetMode="External"/><Relationship Id="rId179" Type="http://schemas.openxmlformats.org/officeDocument/2006/relationships/hyperlink" Target="https://onlinegamespromo.fazi.rs/Home/IntegrationGameLaunch?moneyType=0&amp;gameName=HeatingDice&amp;platform=desktop&amp;languageCode=eng&amp;currency=EUR" TargetMode="External"/><Relationship Id="rId386" Type="http://schemas.openxmlformats.org/officeDocument/2006/relationships/hyperlink" Target="https://gameserver-store-client-area.orbionlimited.com/Home/IntegrationGameLaunch/client-area?moneyType=0&amp;gameName=EpicClover40&amp;platform=desktop&amp;languageCode=eng&amp;currency=EUR" TargetMode="External"/><Relationship Id="rId593" Type="http://schemas.openxmlformats.org/officeDocument/2006/relationships/hyperlink" Target="https://onlinegamespromo.fazi.rs/Home/IntegrationGameLaunch?moneyType=0&amp;gameName=MEGAHOT10&amp;platform=desktop&amp;languageCode=eng&amp;currency=EUR" TargetMode="External"/><Relationship Id="rId607" Type="http://schemas.openxmlformats.org/officeDocument/2006/relationships/hyperlink" Target="https://onlinegamespromo.fazi.rs/Home/IntegrationGameLaunch?moneyType=0&amp;gameName=FruityForce40&amp;platform=desktop&amp;languageCode=eng&amp;currency=EUR" TargetMode="External"/><Relationship Id="rId814" Type="http://schemas.openxmlformats.org/officeDocument/2006/relationships/hyperlink" Target="https://gameserver-store-client-area.orbionlimited.com/Home/IntegrationGameLaunch/client-area?moneyType=0&amp;gameName=UnicornSavanaFruits&amp;platform=desktop&amp;languageCode=eng&amp;currency=EUR" TargetMode="External"/><Relationship Id="rId1237" Type="http://schemas.openxmlformats.org/officeDocument/2006/relationships/hyperlink" Target="https://static.redstone.rs/games/respin-fortune/" TargetMode="External"/><Relationship Id="rId1444" Type="http://schemas.openxmlformats.org/officeDocument/2006/relationships/hyperlink" Target="https://gameserver-store-stg.fazi.rs/Home/IntegrationGameLaunch/fazi-stg16?moneyType=0&amp;gameName=BonusEpicWildExtralines&amp;platform=desktop&amp;languageCode=eng&amp;currency=EUR" TargetMode="External"/><Relationship Id="rId246" Type="http://schemas.openxmlformats.org/officeDocument/2006/relationships/hyperlink" Target="https://gameserver-store-client-area.orbionlimited.com/Home/IntegrationGameLaunch/client-area?moneyType=0&amp;gameName=CrystalHot40Max&amp;platform=desktop&amp;languageCode=eng&amp;currency=EUR" TargetMode="External"/><Relationship Id="rId453" Type="http://schemas.openxmlformats.org/officeDocument/2006/relationships/hyperlink" Target="https://onlinegamespromo.fazi.rs/Home/IntegrationGameLaunch?moneyType=0&amp;gameName=UnicornSimplySevensDice&amp;platform=desktop&amp;languageCode=eng&amp;currency=EUR" TargetMode="External"/><Relationship Id="rId660" Type="http://schemas.openxmlformats.org/officeDocument/2006/relationships/hyperlink" Target="https://gameserver-store-client-area.orbionlimited.com/Home/IntegrationGameLaunch/client-area?moneyType=0&amp;gameName=MajesticCrown10&amp;platform=desktop&amp;languageCode=eng&amp;currency=EUR" TargetMode="External"/><Relationship Id="rId898" Type="http://schemas.openxmlformats.org/officeDocument/2006/relationships/hyperlink" Target="https://static.redstone.rs/games/5-star-fire/" TargetMode="External"/><Relationship Id="rId1083" Type="http://schemas.openxmlformats.org/officeDocument/2006/relationships/hyperlink" Target="https://onlinegamespromo.fazi.rs/Home/IntegrationGameLaunch?moneyType=0&amp;gameName=UnicornChristmasPresents2025&amp;platform=desktop&amp;languageCode=eng&amp;currency=EUR" TargetMode="External"/><Relationship Id="rId1290" Type="http://schemas.openxmlformats.org/officeDocument/2006/relationships/hyperlink" Target="https://drive.google.com/drive/folders/1HnVHEi4PxXKbJ6EWbWx4tNUyr2IpnDyp" TargetMode="External"/><Relationship Id="rId1304" Type="http://schemas.openxmlformats.org/officeDocument/2006/relationships/hyperlink" Target="https://drive.google.com/drive/folders/1bXlt7cMiEKnlMZtBB43dP0-Em2ggzBUA" TargetMode="External"/><Relationship Id="rId1511" Type="http://schemas.openxmlformats.org/officeDocument/2006/relationships/hyperlink" Target="https://gameserver-store-client-area.orbionlimited.com/Home/IntegrationGameLaunch/client-area?moneyType=0&amp;gameName=PlayNetJokersCrownX2&amp;platform=desktop&amp;languageCode=eng&amp;currency=EUR" TargetMode="External"/><Relationship Id="rId106" Type="http://schemas.openxmlformats.org/officeDocument/2006/relationships/hyperlink" Target="https://gameserver-store-client-area.orbionlimited.com/Home/IntegrationGameLaunch/client-area?moneyType=0&amp;gameName=GoldenCrown&amp;platform=desktop&amp;languageCode=eng&amp;currency=EUR" TargetMode="External"/><Relationship Id="rId313" Type="http://schemas.openxmlformats.org/officeDocument/2006/relationships/hyperlink" Target="https://docs.google.com/document/d/1m3xk6ar59rXJEwU_BOJnc6s3k2cwRZ_o/edit?usp=drive_link&amp;ouid=107596163405648766688&amp;rtpof=true&amp;sd=true" TargetMode="External"/><Relationship Id="rId758" Type="http://schemas.openxmlformats.org/officeDocument/2006/relationships/hyperlink" Target="https://gameserver-store-client-area.orbionlimited.com/Home/IntegrationGameLaunch/client-area?moneyType=0&amp;gameName=CrownsAndStars&amp;platform=desktop&amp;languageCode=eng&amp;currency=EUR" TargetMode="External"/><Relationship Id="rId965" Type="http://schemas.openxmlformats.org/officeDocument/2006/relationships/hyperlink" Target="https://drive.google.com/file/d/1aJouosXBdyj2Wk9aS-0qVDymlWZQ5Mb_/view?usp=drive_link" TargetMode="External"/><Relationship Id="rId1150" Type="http://schemas.openxmlformats.org/officeDocument/2006/relationships/hyperlink" Target="https://onlinegamespromo.fazi.rs/Home/IntegrationGameLaunch?moneyType=0&amp;gameName=Wild27Extreme&amp;platform=desktop&amp;languageCode=eng&amp;currency=EUR" TargetMode="External"/><Relationship Id="rId1388" Type="http://schemas.openxmlformats.org/officeDocument/2006/relationships/hyperlink" Target="https://static.redstone.rs/games/pure-hot-5/" TargetMode="External"/><Relationship Id="rId10" Type="http://schemas.openxmlformats.org/officeDocument/2006/relationships/hyperlink" Target="https://drive.google.com/drive/folders/1F58FR3Kzj28XzgM5QV9dzINmVlxd4PoB" TargetMode="External"/><Relationship Id="rId94" Type="http://schemas.openxmlformats.org/officeDocument/2006/relationships/hyperlink" Target="https://gameserver-store-client-area.orbionlimited.com/Home/IntegrationGameLaunch/client-area?moneyType=0&amp;gameName=GoldenClover&amp;platform=desktop&amp;languageCode=eng&amp;currency=EUR" TargetMode="External"/><Relationship Id="rId397" Type="http://schemas.openxmlformats.org/officeDocument/2006/relationships/hyperlink" Target="https://static.redstone.rs/games/heat-double/" TargetMode="External"/><Relationship Id="rId520" Type="http://schemas.openxmlformats.org/officeDocument/2006/relationships/hyperlink" Target="https://docs.google.com/document/d/1wEnLmJFmrg49N5YjNDqPdbpoWHjyekQY/edit?usp=drive_link&amp;ouid=107596163405648766688&amp;rtpof=true&amp;sd=true" TargetMode="External"/><Relationship Id="rId618" Type="http://schemas.openxmlformats.org/officeDocument/2006/relationships/hyperlink" Target="https://drive.google.com/file/d/1dmckAxO5UBCW7cPMCN2QYkQYI3YuBe-A/view?usp=drive_link" TargetMode="External"/><Relationship Id="rId825" Type="http://schemas.openxmlformats.org/officeDocument/2006/relationships/hyperlink" Target="https://drive.google.com/drive/folders/16_OhPd98nkLRrPr2Hoep9zEW80bS1S9y" TargetMode="External"/><Relationship Id="rId1248" Type="http://schemas.openxmlformats.org/officeDocument/2006/relationships/hyperlink" Target="https://docs.google.com/document/d/10ybc6vdKmjHZzpC4LGSCTb-5Sb3kS4i1/edit?usp=drive_link&amp;ouid=107596163405648766688&amp;rtpof=true&amp;sd=true" TargetMode="External"/><Relationship Id="rId1455" Type="http://schemas.openxmlformats.org/officeDocument/2006/relationships/hyperlink" Target="https://drive.google.com/file/d/1CmGESi6rC-uXvuNncsMqXffnwfUVyPTW/view?usp=drive_link" TargetMode="External"/><Relationship Id="rId257" Type="http://schemas.openxmlformats.org/officeDocument/2006/relationships/hyperlink" Target="https://onlinegamespromo.fazi.rs/Home/IntegrationGameLaunch?moneyType=0&amp;gameName=UnicornMoneyStandard&amp;platform=desktop&amp;languageCode=eng&amp;currency=EUR" TargetMode="External"/><Relationship Id="rId464" Type="http://schemas.openxmlformats.org/officeDocument/2006/relationships/hyperlink" Target="https://gameserver-store-client-area.orbionlimited.com/Home/IntegrationGameLaunch/client-area?moneyType=0&amp;gameName=UnicornFruitIslandChristmas&amp;platform=desktop&amp;languageCode=eng&amp;currency=EUR" TargetMode="External"/><Relationship Id="rId1010" Type="http://schemas.openxmlformats.org/officeDocument/2006/relationships/hyperlink" Target="https://static.redstone.rs/games/divine-strike/" TargetMode="External"/><Relationship Id="rId1094" Type="http://schemas.openxmlformats.org/officeDocument/2006/relationships/hyperlink" Target="https://gameserver-store-client-area.orbionlimited.com/Home/IntegrationGameLaunch/client-area?moneyType=0&amp;gameName=PlayNetNeptunesJewels&amp;platform=desktop&amp;languageCode=eng&amp;currency=EUR" TargetMode="External"/><Relationship Id="rId1108" Type="http://schemas.openxmlformats.org/officeDocument/2006/relationships/hyperlink" Target="https://static.redstone.rs/games/20-wild-heart/" TargetMode="External"/><Relationship Id="rId1315" Type="http://schemas.openxmlformats.org/officeDocument/2006/relationships/hyperlink" Target="https://onlinegamespromo.fazi.rs/Home/IntegrationGameLaunch?moneyType=0&amp;gameName=WinningClover5HoldAndWin&amp;platform=desktop&amp;languageCode=eng&amp;currency=EUR" TargetMode="External"/><Relationship Id="rId117" Type="http://schemas.openxmlformats.org/officeDocument/2006/relationships/hyperlink" Target="https://onlinegamespromo.fazi.rs/Home/IntegrationGameLaunch?moneyType=0&amp;gameName=FruityJokerHot&amp;platform=desktop&amp;languageCode=eng&amp;currency=EUR" TargetMode="External"/><Relationship Id="rId671" Type="http://schemas.openxmlformats.org/officeDocument/2006/relationships/hyperlink" Target="https://static.redstone.rs/games/100-clover-fire/" TargetMode="External"/><Relationship Id="rId769" Type="http://schemas.openxmlformats.org/officeDocument/2006/relationships/hyperlink" Target="https://onlinegamespromo.fazi.rs/Home/IntegrationGameLaunch?moneyType=0&amp;gameName=Unicorn20HotStrikeDiceJackpot&amp;platform=desktop&amp;languageCode=eng&amp;currency=EUR" TargetMode="External"/><Relationship Id="rId976" Type="http://schemas.openxmlformats.org/officeDocument/2006/relationships/hyperlink" Target="https://drive.google.com/file/d/1YcfrIj3IZ2DKPIWzXEqRg38PA6964GYy/view?usp=drive_link" TargetMode="External"/><Relationship Id="rId1399" Type="http://schemas.openxmlformats.org/officeDocument/2006/relationships/hyperlink" Target="https://static.redstone.rs/games/5-clover-deluxe/" TargetMode="External"/><Relationship Id="rId324" Type="http://schemas.openxmlformats.org/officeDocument/2006/relationships/hyperlink" Target="https://gameserver-store-client-area.orbionlimited.com/Home/IntegrationGameLaunch/client-area?moneyType=0&amp;gameName=VeryHot5Christmas&amp;platform=desktop&amp;languageCode=eng&amp;currency=EUR" TargetMode="External"/><Relationship Id="rId531" Type="http://schemas.openxmlformats.org/officeDocument/2006/relationships/hyperlink" Target="https://docs.google.com/document/d/1qojyhg6StEvl3u5X0MaSIIahYXE51idz/edit?usp=drive_link&amp;ouid=107596163405648766688&amp;rtpof=true&amp;sd=true" TargetMode="External"/><Relationship Id="rId629" Type="http://schemas.openxmlformats.org/officeDocument/2006/relationships/hyperlink" Target="https://onlinegamespromo.fazi.rs/Home/IntegrationGameLaunch?moneyType=0&amp;gameName=TurboStars40&amp;platform=desktop&amp;languageCode=eng&amp;currency=EUR" TargetMode="External"/><Relationship Id="rId1161" Type="http://schemas.openxmlformats.org/officeDocument/2006/relationships/hyperlink" Target="https://drive.google.com/drive/folders/19wze01OCqWkObIFrTigTyuzJjYXUlgk9?usp=drive_link" TargetMode="External"/><Relationship Id="rId1259" Type="http://schemas.openxmlformats.org/officeDocument/2006/relationships/hyperlink" Target="https://docs.google.com/document/d/15MPHkUleag_t9MkVTHodrHsxXS-NPPKX/edit?usp=drive_link&amp;ouid=107596163405648766688&amp;rtpof=true&amp;sd=true" TargetMode="External"/><Relationship Id="rId1466" Type="http://schemas.openxmlformats.org/officeDocument/2006/relationships/hyperlink" Target="https://drive.google.com/file/d/16FDmdUMiyHsJPqF1umynLQitn8iTXGyF/view?usp=drive_link" TargetMode="External"/><Relationship Id="rId836" Type="http://schemas.openxmlformats.org/officeDocument/2006/relationships/hyperlink" Target="https://drive.google.com/file/d/10mce7DaE2ruwhtSFdWdSsoQV1nSqOwQY/view?usp=sharing" TargetMode="External"/><Relationship Id="rId1021" Type="http://schemas.openxmlformats.org/officeDocument/2006/relationships/hyperlink" Target="https://onlinegamespromo.fazi.rs/Home/IntegrationGameLaunch?moneyType=0&amp;gameName=UnicornScatterKaChing&amp;platform=desktop&amp;languageCode=eng&amp;currency=EUR" TargetMode="External"/><Relationship Id="rId1119" Type="http://schemas.openxmlformats.org/officeDocument/2006/relationships/hyperlink" Target="https://static.redstone.rs/games/inferno-hot-20/" TargetMode="External"/><Relationship Id="rId903" Type="http://schemas.openxmlformats.org/officeDocument/2006/relationships/hyperlink" Target="https://onlinegamespromo.fazi.rs/Home/IntegrationGameLaunch?moneyType=0&amp;gameName=PlayNetCloverSpread40&amp;platform=desktop&amp;languageCode=eng&amp;currency=EUR" TargetMode="External"/><Relationship Id="rId1326" Type="http://schemas.openxmlformats.org/officeDocument/2006/relationships/hyperlink" Target="https://gameserver-store-client-area.orbionlimited.com/Home/IntegrationGameLaunch/client-area?moneyType=0&amp;gameName=GoldenCrownExtremeDice&amp;platform=desktop&amp;languageCode=eng&amp;currency=EUR" TargetMode="External"/><Relationship Id="rId1533" Type="http://schemas.openxmlformats.org/officeDocument/2006/relationships/hyperlink" Target="https://gameserver-store-client-area.orbionlimited.com/Home/IntegrationGameLaunch/client-area?moneyType=0&amp;gameName=RedstoneLuckyLuckyBells&amp;platform=desktop&amp;languageCode=eng&amp;currency=EUR" TargetMode="External"/><Relationship Id="rId32" Type="http://schemas.openxmlformats.org/officeDocument/2006/relationships/hyperlink" Target="https://gameserver-store-client-area.orbionlimited.com/Home/IntegrationGameLaunch/client-area?moneyType=0&amp;gameName=TurboHot40&amp;platform=desktop&amp;languageCode=eng&amp;currency=EUR" TargetMode="External"/><Relationship Id="rId181" Type="http://schemas.openxmlformats.org/officeDocument/2006/relationships/hyperlink" Target="https://onlinegamespromo.fazi.rs/Home/IntegrationGameLaunch?moneyType=0&amp;gameName=CrystalJewels&amp;platform=desktop&amp;languageCode=eng&amp;currency=EUR" TargetMode="External"/><Relationship Id="rId279" Type="http://schemas.openxmlformats.org/officeDocument/2006/relationships/hyperlink" Target="https://static.redstone.rs/games/10-wild-dice/" TargetMode="External"/><Relationship Id="rId486" Type="http://schemas.openxmlformats.org/officeDocument/2006/relationships/hyperlink" Target="https://play.redstone.rs/games/20-fruit-frenzy/index.html" TargetMode="External"/><Relationship Id="rId693" Type="http://schemas.openxmlformats.org/officeDocument/2006/relationships/hyperlink" Target="https://onlinegamespromo.fazi.rs/Home/IntegrationGameLaunch?moneyType=0&amp;gameName=Unicorn20SuperFlames&amp;platform=desktop&amp;languageCode=eng&amp;currency=EUR" TargetMode="External"/><Relationship Id="rId139" Type="http://schemas.openxmlformats.org/officeDocument/2006/relationships/hyperlink" Target="https://onlinegamespromo.fazi.rs/Home/IntegrationGameLaunch?moneyType=0&amp;gameName=UnicornTheCrownFruit&amp;platform=desktop&amp;languageCode=eng&amp;currency=EUR" TargetMode="External"/><Relationship Id="rId346" Type="http://schemas.openxmlformats.org/officeDocument/2006/relationships/hyperlink" Target="https://gameserver-store-client-area.orbionlimited.com/Home/IntegrationGameLaunch/client-area?moneyType=0&amp;gameName=VeryHot5Extreme&amp;platform=desktop&amp;languageCode=eng&amp;currency=EUR" TargetMode="External"/><Relationship Id="rId553" Type="http://schemas.openxmlformats.org/officeDocument/2006/relationships/hyperlink" Target="https://onlinegamespromo.fazi.rs/Home/IntegrationGameLaunch?moneyType=0&amp;gameName=SummerRush&amp;platform=desktop&amp;languageCode=eng&amp;currency=EUR" TargetMode="External"/><Relationship Id="rId760" Type="http://schemas.openxmlformats.org/officeDocument/2006/relationships/hyperlink" Target="https://gameserver-store-client-area.orbionlimited.com/Home/IntegrationGameLaunch/client-area?moneyType=0&amp;gameName=PlayNetFortuneCloverX2&amp;platform=desktop&amp;languageCode=eng&amp;currency=EUR" TargetMode="External"/><Relationship Id="rId998" Type="http://schemas.openxmlformats.org/officeDocument/2006/relationships/hyperlink" Target="https://static.redstone.rs/games/10-extra-bank/" TargetMode="External"/><Relationship Id="rId1183" Type="http://schemas.openxmlformats.org/officeDocument/2006/relationships/hyperlink" Target="https://static.redstone.rs/games/5-wild-diamond/" TargetMode="External"/><Relationship Id="rId1390" Type="http://schemas.openxmlformats.org/officeDocument/2006/relationships/hyperlink" Target="https://onlinegamespromo.fazi.rs/Home/IntegrationGameLaunch?moneyType=0&amp;gameName=GoldenCrownExtremeBooster&amp;platform=desktop&amp;languageCode=eng&amp;currency=EUR" TargetMode="External"/><Relationship Id="rId206" Type="http://schemas.openxmlformats.org/officeDocument/2006/relationships/hyperlink" Target="https://gameserver-store-client-area.orbionlimited.com/Home/IntegrationGameLaunch/client-area?moneyType=0&amp;gameName=UnicornGreatWhale&amp;platform=desktop&amp;languageCode=eng&amp;currency=EUR" TargetMode="External"/><Relationship Id="rId413" Type="http://schemas.openxmlformats.org/officeDocument/2006/relationships/hyperlink" Target="https://onlinegamespromo.fazi.rs/Home/IntegrationGameLaunch?moneyType=0&amp;gameName=UnicornFireStars&amp;platform=desktop&amp;languageCode=eng&amp;currency=EUR" TargetMode="External"/><Relationship Id="rId858" Type="http://schemas.openxmlformats.org/officeDocument/2006/relationships/hyperlink" Target="https://gameserver-store-client-area.orbionlimited.com/Home/IntegrationGameLaunch/client-area?moneyType=0&amp;gameName=UnicornDynamiteBoom&amp;platform=desktop&amp;languageCode=eng&amp;currency=EUR" TargetMode="External"/><Relationship Id="rId1043" Type="http://schemas.openxmlformats.org/officeDocument/2006/relationships/hyperlink" Target="https://onlinegamespromo.fazi.rs/Home/IntegrationGameLaunch?moneyType=0&amp;gameName=BlowFruits40&amp;platform=desktop&amp;languageCode=eng&amp;currency=EUR" TargetMode="External"/><Relationship Id="rId1488" Type="http://schemas.openxmlformats.org/officeDocument/2006/relationships/hyperlink" Target="https://gameserver-store-client-area.orbionlimited.com/Home/IntegrationGameLaunch/client-area?moneyType=0&amp;gameName=UnicornCrazyWildSevens&amp;platform=desktop&amp;languageCode=eng&amp;currency=EUR" TargetMode="External"/><Relationship Id="rId620" Type="http://schemas.openxmlformats.org/officeDocument/2006/relationships/hyperlink" Target="https://gameserver-store-client-area.orbionlimited.com/Home/IntegrationGameLaunch/client-area?moneyType=0&amp;gameName=CrownOfSecret&amp;platform=desktop&amp;languageCode=eng&amp;currency=EUR" TargetMode="External"/><Relationship Id="rId718" Type="http://schemas.openxmlformats.org/officeDocument/2006/relationships/hyperlink" Target="https://drive.google.com/file/d/1-I-7paFu6ZRTeGNBBK3AzEis6T2kyLPY/view?usp=drive_link" TargetMode="External"/><Relationship Id="rId925"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250" Type="http://schemas.openxmlformats.org/officeDocument/2006/relationships/hyperlink" Target="https://static.redstone.rs/games/clover-rush-5/" TargetMode="External"/><Relationship Id="rId1348" Type="http://schemas.openxmlformats.org/officeDocument/2006/relationships/hyperlink" Target="https://onlinegamespromo.fazi.rs/Home/IntegrationGameLaunch?moneyType=0&amp;gameName=UnicornHotFireballs&amp;platform=desktop&amp;languageCode=eng&amp;currency=EUR" TargetMode="External"/><Relationship Id="rId1110" Type="http://schemas.openxmlformats.org/officeDocument/2006/relationships/hyperlink" Target="https://docs.google.com/document/d/1VivZXUXDZhRUzt9BX4F04ZPfuh1BOlLX/edit?usp=drive_link&amp;ouid=107596163405648766688&amp;rtpof=true&amp;sd=true" TargetMode="External"/><Relationship Id="rId1208" Type="http://schemas.openxmlformats.org/officeDocument/2006/relationships/hyperlink" Target="https://static.redstone.rs/games/double-wild-diamond/" TargetMode="External"/><Relationship Id="rId1415" Type="http://schemas.openxmlformats.org/officeDocument/2006/relationships/hyperlink" Target="https://static.redstone.rs/games/5-crown-deluxe/" TargetMode="External"/><Relationship Id="rId54" Type="http://schemas.openxmlformats.org/officeDocument/2006/relationships/hyperlink" Target="https://gameserver-store-client-area.orbionlimited.com/Home/IntegrationGameLaunch/client-area?moneyType=0&amp;gameName=Starlight&amp;platform=desktop&amp;languageCode=eng&amp;currency=EUR" TargetMode="External"/><Relationship Id="rId270" Type="http://schemas.openxmlformats.org/officeDocument/2006/relationships/hyperlink" Target="https://static.redstone.rs/games/5-wild-heart/" TargetMode="External"/><Relationship Id="rId130" Type="http://schemas.openxmlformats.org/officeDocument/2006/relationships/hyperlink" Target="https://docs.google.com/document/d/1a-k-sqrXxJhyaIYI-IrLVx4jyIToz-pP/edit" TargetMode="External"/><Relationship Id="rId368" Type="http://schemas.openxmlformats.org/officeDocument/2006/relationships/hyperlink" Target="https://gameserver-store-client-area.orbionlimited.com/Home/IntegrationGameLaunch/client-area?moneyType=0&amp;gameName=UnicornFruitWildLines&amp;platform=desktop&amp;languageCode=eng&amp;currency=EUR" TargetMode="External"/><Relationship Id="rId575" Type="http://schemas.openxmlformats.org/officeDocument/2006/relationships/hyperlink" Target="https://onlinegamespromo.fazi.rs/Home/IntegrationGameLaunch?moneyType=0&amp;gameName=UnicornMisterLuck&amp;platform=desktop&amp;languageCode=eng&amp;currency=EUR" TargetMode="External"/><Relationship Id="rId782" Type="http://schemas.openxmlformats.org/officeDocument/2006/relationships/hyperlink" Target="https://drive.google.com/file/d/1Br-aQhMsrkbl4TIl3PpwgNlJJm4d_Y4N/view?usp=drive_link" TargetMode="External"/><Relationship Id="rId228" Type="http://schemas.openxmlformats.org/officeDocument/2006/relationships/hyperlink" Target="https://gameserver-store-client-area.orbionlimited.com/Home/IntegrationGameLaunch/client-area?moneyType=0&amp;gameName=FruityWin40&amp;platform=desktop&amp;languageCode=eng&amp;currency=EUR" TargetMode="External"/><Relationship Id="rId435" Type="http://schemas.openxmlformats.org/officeDocument/2006/relationships/hyperlink" Target="https://onlinegamespromo.fazi.rs/Home/IntegrationGameLaunch?moneyType=0&amp;gameName=WinningClover5Extreme&amp;lobbyUrl=https://www.fazi-interactive.com/" TargetMode="External"/><Relationship Id="rId642" Type="http://schemas.openxmlformats.org/officeDocument/2006/relationships/hyperlink" Target="https://drive.google.com/file/d/1mpJlWtYm8PvapZgmNiyB45GyxGZIbeVT/view?usp=drive_link" TargetMode="External"/><Relationship Id="rId1065" Type="http://schemas.openxmlformats.org/officeDocument/2006/relationships/hyperlink" Target="https://onlinegamespromo.fazi.rs/Home/IntegrationGameLaunch?moneyType=0&amp;gameName=GoldenCrown&amp;platform=desktop&amp;languageCode=eng&amp;currency=EUR" TargetMode="External"/><Relationship Id="rId1272" Type="http://schemas.openxmlformats.org/officeDocument/2006/relationships/hyperlink" Target="https://gameserver-store-client-area.orbionlimited.com/Home/IntegrationGameLaunch/client-area?moneyType=0&amp;gameName=UnicornLionsSevensExtreme&amp;platform=desktop&amp;languageCode=eng&amp;currency=EUR" TargetMode="External"/><Relationship Id="rId502" Type="http://schemas.openxmlformats.org/officeDocument/2006/relationships/hyperlink" Target="https://play.redstone.rs/games/40-jokers-free-games/index.html" TargetMode="External"/><Relationship Id="rId947" Type="http://schemas.openxmlformats.org/officeDocument/2006/relationships/hyperlink" Target="https://gameserver-store-client-area.orbionlimited.com/Home/IntegrationGameLaunch/client-area?moneyType=0&amp;gameName=WildStickyClover&amp;platform=desktop&amp;languageCode=eng&amp;currency=EUR" TargetMode="External"/><Relationship Id="rId1132" Type="http://schemas.openxmlformats.org/officeDocument/2006/relationships/hyperlink" Target="https://docs.google.com/document/d/14qfdOa4DH6f1LMLro6CIQl5qhYhqBTv_/edit?usp=drive_link&amp;ouid=107596163405648766688&amp;rtpof=true&amp;sd=true" TargetMode="External"/><Relationship Id="rId76" Type="http://schemas.openxmlformats.org/officeDocument/2006/relationships/hyperlink" Target="https://gameserver-store-client-area.orbionlimited.com/Home/IntegrationGameLaunch/client-area?moneyType=0&amp;gameName=TwinklingHot5&amp;platform=desktop&amp;languageCode=eng&amp;currency=EUR" TargetMode="External"/><Relationship Id="rId807" Type="http://schemas.openxmlformats.org/officeDocument/2006/relationships/hyperlink" Target="https://static.redstone.rs/games/farm-fiesta/" TargetMode="External"/><Relationship Id="rId1437" Type="http://schemas.openxmlformats.org/officeDocument/2006/relationships/hyperlink" Target="https://drive.google.com/drive/u/1/folders/1zeR0z-jJdHjt59KLlD0fbWBs3G_ZmNJ5" TargetMode="External"/><Relationship Id="rId1504" Type="http://schemas.openxmlformats.org/officeDocument/2006/relationships/hyperlink" Target="https://dicebyte.sharepoint.com/:b:/g/IQCj9mj7Y3GfQ5tXjcWXnck3AYO2YmBM14UsIodZ8zaTNZc?e=LJRWkK" TargetMode="External"/><Relationship Id="rId292" Type="http://schemas.openxmlformats.org/officeDocument/2006/relationships/hyperlink" Target="https://gameserver-store-client-area.orbionlimited.com/Home/IntegrationGameLaunch/client-area?moneyType=0&amp;gameName=PowerOfTheGreat&amp;platform=desktop&amp;languageCode=eng&amp;currency=EUR" TargetMode="External"/><Relationship Id="rId597" Type="http://schemas.openxmlformats.org/officeDocument/2006/relationships/hyperlink" Target="https://onlinegamespromo.fazi.rs/Home/IntegrationGameLaunch?moneyType=0&amp;gameName=WildHeat40&amp;lobbyUrl=https://www.fazi-interactive.com/" TargetMode="External"/><Relationship Id="rId152" Type="http://schemas.openxmlformats.org/officeDocument/2006/relationships/hyperlink" Target="https://static.redstone.rs/games/5-dice-fire/" TargetMode="External"/><Relationship Id="rId457" Type="http://schemas.openxmlformats.org/officeDocument/2006/relationships/hyperlink" Target="https://docs.google.com/document/d/1QP-EtzlhgKGHFJ_tSJU92n3GAb-kqF2e/edit?usp=drive_link&amp;ouid=107596163405648766688&amp;rtpof=true&amp;sd=true" TargetMode="External"/><Relationship Id="rId1087" Type="http://schemas.openxmlformats.org/officeDocument/2006/relationships/hyperlink" Target="https://onlinegamespromo.fazi.rs/Home/IntegrationGameLaunch?moneyType=0&amp;gameName=UnicornFruitMultipliers&amp;platform=desktop&amp;languageCode=eng&amp;currency=EUR" TargetMode="External"/><Relationship Id="rId1294" Type="http://schemas.openxmlformats.org/officeDocument/2006/relationships/hyperlink" Target="https://drive.google.com/drive/folders/15W_JO143whU1jyoTzq8StwjWT4vJ7trZ" TargetMode="External"/><Relationship Id="rId664" Type="http://schemas.openxmlformats.org/officeDocument/2006/relationships/hyperlink" Target="https://static.redstone.rs/games/double-clover-fire/" TargetMode="External"/><Relationship Id="rId871" Type="http://schemas.openxmlformats.org/officeDocument/2006/relationships/hyperlink" Target="https://onlinegamespromo.fazi.rs/Home/IntegrationGameLaunch?moneyType=0&amp;gameName=UnicornSuperFireDiceJackpot&amp;platform=desktop&amp;languageCode=eng&amp;currency=EUR" TargetMode="External"/><Relationship Id="rId969" Type="http://schemas.openxmlformats.org/officeDocument/2006/relationships/hyperlink" Target="https://gameserver-store-msstg.fazi.rs/Home/IntegrationGameLaunch/fazi-stg16?moneyType=0&amp;gameName=NovaPixelWheelOfJoker&amp;platform=desktop&amp;languageCode=eng&amp;currency=EUR" TargetMode="External"/><Relationship Id="rId317" Type="http://schemas.openxmlformats.org/officeDocument/2006/relationships/hyperlink" Target="https://onlinegamespromo.fazi.rs/Home/IntegrationGameLaunch?moneyType=0&amp;gameName=AfricanTreasure&amp;platform=desktop&amp;languageCode=eng&amp;currency=EUR" TargetMode="External"/><Relationship Id="rId524" Type="http://schemas.openxmlformats.org/officeDocument/2006/relationships/hyperlink" Target="https://docs.google.com/document/d/1ps3hC3q69Tm1vXTvhMOtz6pha6fh6E9E/edit?usp=drive_link&amp;ouid=107596163405648766688&amp;rtpof=true&amp;sd=true" TargetMode="External"/><Relationship Id="rId731" Type="http://schemas.openxmlformats.org/officeDocument/2006/relationships/hyperlink" Target="https://docs.google.com/document/d/1Qo2KjaT3kEptoNDLQOy3QuX7PJwEt22J/edit?usp=drive_link&amp;ouid=107596163405648766688&amp;rtpof=true&amp;sd=true" TargetMode="External"/><Relationship Id="rId1154" Type="http://schemas.openxmlformats.org/officeDocument/2006/relationships/hyperlink" Target="https://drive.google.com/file/d/11nqspWdKwJLxCnv99VNV3vo-0_o1Wn4b/view?usp=drive_link" TargetMode="External"/><Relationship Id="rId1361" Type="http://schemas.openxmlformats.org/officeDocument/2006/relationships/hyperlink" Target="https://gameserver-store-client-area.orbionlimited.com/Home/IntegrationGameLaunch/client-area?moneyType=0&amp;gameName=UnicornHotEightyOne&amp;platform=desktop&amp;languageCode=eng&amp;currency=EUR" TargetMode="External"/><Relationship Id="rId1459" Type="http://schemas.openxmlformats.org/officeDocument/2006/relationships/hyperlink" Target="https://drive.google.com/file/d/19M1g4OSbBoQNUuEpDv6qHF5EGlD_YWfL/view?usp=drive_link" TargetMode="External"/><Relationship Id="rId98" Type="http://schemas.openxmlformats.org/officeDocument/2006/relationships/hyperlink" Target="https://gameserver-store-client-area.orbionlimited.com/Home/IntegrationGameLaunch/client-area?moneyType=0&amp;gameName=BookOfMayanGold&amp;platform=desktop&amp;languageCode=eng&amp;currency=EUR" TargetMode="External"/><Relationship Id="rId829" Type="http://schemas.openxmlformats.org/officeDocument/2006/relationships/hyperlink" Target="https://onlinegamespromo.fazi.rs/Home/IntegrationGameLaunch?moneyType=0&amp;gameName=UnicornBigSpinSevens&amp;platform=desktop&amp;languageCode=eng&amp;currency=EUR" TargetMode="External"/><Relationship Id="rId1014" Type="http://schemas.openxmlformats.org/officeDocument/2006/relationships/hyperlink" Target="https://gameserver-store-client-area.orbionlimited.com/Home/IntegrationGameLaunch/client-area?moneyType=0&amp;gameName=UnicornSupremeSevensDice&amp;platform=desktop&amp;languageCode=eng&amp;currency=EUR" TargetMode="External"/><Relationship Id="rId1221" Type="http://schemas.openxmlformats.org/officeDocument/2006/relationships/hyperlink" Target="https://drive.google.com/drive/folders/1tMhNZrKJW7jv95Njoh8q7n6Ykhm_Zs5h?usp=drive_link" TargetMode="External"/><Relationship Id="rId1319" Type="http://schemas.openxmlformats.org/officeDocument/2006/relationships/hyperlink" Target="https://onlinegamespromo.fazi.rs/Home/IntegrationGameLaunch?moneyType=0&amp;gameName=UnicornThreeReelTripleFruit&amp;platform=desktop&amp;languageCode=eng&amp;currency=EUR" TargetMode="External"/><Relationship Id="rId1526" Type="http://schemas.openxmlformats.org/officeDocument/2006/relationships/hyperlink" Target="https://onlinegamespromo.fazi.rs/Home/IntegrationGameLaunch?moneyType=0&amp;gameName=PlayNetCloverWealth5&amp;platform=desktop&amp;languageCode=eng&amp;currency=EUR" TargetMode="External"/><Relationship Id="rId25" Type="http://schemas.openxmlformats.org/officeDocument/2006/relationships/hyperlink" Target="https://onlinegamespromo.fazi.rs/Home/IntegrationGameLaunch?moneyType=0&amp;gameName=HOTSTARS&amp;platform=desktop&amp;languageCode=eng&amp;currency=EUR" TargetMode="External"/><Relationship Id="rId174" Type="http://schemas.openxmlformats.org/officeDocument/2006/relationships/hyperlink" Target="https://gameserver-store-client-area.orbionlimited.com/Home/IntegrationGameLaunch/client-area?moneyType=0&amp;gameName=HeatingIceDeluxe&amp;platform=desktop&amp;languageCode=eng&amp;currency=EUR" TargetMode="External"/><Relationship Id="rId381" Type="http://schemas.openxmlformats.org/officeDocument/2006/relationships/hyperlink" Target="https://docs.google.com/document/d/1unGyD9fIdvSZ12VhaMcxyRt9peTuo-fU/edit?usp=drive_link&amp;ouid=107596163405648766688&amp;rtpof=true&amp;sd=true" TargetMode="External"/><Relationship Id="rId241" Type="http://schemas.openxmlformats.org/officeDocument/2006/relationships/hyperlink" Target="https://onlinegamespromo.fazi.rs/Home/IntegrationGameLaunch?moneyType=0&amp;gameName=KingOfThunder&amp;platform=desktop&amp;languageCode=eng&amp;currency=EUR" TargetMode="External"/><Relationship Id="rId479" Type="http://schemas.openxmlformats.org/officeDocument/2006/relationships/hyperlink" Target="https://docs.google.com/document/d/1ZjS1T6mut0Ix_FZS9rgixFhkYfzymPvd/edit?usp=drive_link&amp;ouid=107596163405648766688&amp;rtpof=true&amp;sd=true" TargetMode="External"/><Relationship Id="rId686" Type="http://schemas.openxmlformats.org/officeDocument/2006/relationships/hyperlink" Target="https://gameserver-store-client-area.orbionlimited.com/Home/IntegrationGameLaunch/client-area?moneyType=0&amp;gameName=PlayNetDiamondHeart40&amp;platform=desktop&amp;languageCode=eng&amp;currency=EUR" TargetMode="External"/><Relationship Id="rId893" Type="http://schemas.openxmlformats.org/officeDocument/2006/relationships/hyperlink" Target="https://static.redstone.rs/games/bonus-stars/" TargetMode="External"/><Relationship Id="rId339" Type="http://schemas.openxmlformats.org/officeDocument/2006/relationships/hyperlink" Target="https://onlinegamespromo.fazi.rs/Home/IntegrationGameLaunch?moneyType=0&amp;gameName=UnicornDiceMegaCash&amp;platform=desktop&amp;languageCode=eng&amp;currency=EUR" TargetMode="External"/><Relationship Id="rId546" Type="http://schemas.openxmlformats.org/officeDocument/2006/relationships/hyperlink" Target="https://static.redstone.rs/games/5-clover-fire-lnc/" TargetMode="External"/><Relationship Id="rId753" Type="http://schemas.openxmlformats.org/officeDocument/2006/relationships/hyperlink" Target="https://static.redstone.rs/games/10-clover-fire/" TargetMode="External"/><Relationship Id="rId1176" Type="http://schemas.openxmlformats.org/officeDocument/2006/relationships/hyperlink" Target="https://planet-dice-escape.soko.games/" TargetMode="External"/><Relationship Id="rId1383" Type="http://schemas.openxmlformats.org/officeDocument/2006/relationships/hyperlink" Target="https://docs.google.com/document/d/1KHwmVd0v96F5rocHLZGBtfkluMqsRMvs/edit?usp=drive_link&amp;ouid=107596163405648766688&amp;rtpof=true&amp;sd=true" TargetMode="External"/><Relationship Id="rId101" Type="http://schemas.openxmlformats.org/officeDocument/2006/relationships/hyperlink" Target="https://onlinegamespromo.fazi.rs/Home/IntegrationGameLaunch?moneyType=0&amp;gameName=UnicornReelDice&amp;platform=desktop&amp;languageCode=eng&amp;currency=EUR" TargetMode="External"/><Relationship Id="rId406" Type="http://schemas.openxmlformats.org/officeDocument/2006/relationships/hyperlink" Target="https://gameserver-store-client-area.orbionlimited.com/Home/IntegrationGameLaunch/client-area?moneyType=0&amp;gameName=RetroFire&amp;platform=desktop&amp;languageCode=eng&amp;currency=EUR" TargetMode="External"/><Relationship Id="rId960" Type="http://schemas.openxmlformats.org/officeDocument/2006/relationships/hyperlink" Target="https://static.redstone.rs/games/777-expand/" TargetMode="External"/><Relationship Id="rId1036" Type="http://schemas.openxmlformats.org/officeDocument/2006/relationships/hyperlink" Target="https://gameserver-store-client-area.orbionlimited.com/Home/IntegrationGameLaunch/client-area?moneyType=0&amp;gameName=WildSunflower&amp;platform=desktop&amp;languageCode=eng&amp;currency=EUR" TargetMode="External"/><Relationship Id="rId1243" Type="http://schemas.openxmlformats.org/officeDocument/2006/relationships/hyperlink" Target="https://docs.google.com/document/d/13VQCcA2uI4ImiSslyB6pgz9y_3Z85CL_/edit?usp=drive_link&amp;ouid=107596163405648766688&amp;rtpof=true&amp;sd=true" TargetMode="External"/><Relationship Id="rId613" Type="http://schemas.openxmlformats.org/officeDocument/2006/relationships/hyperlink" Target="https://drive.google.com/file/d/1QczkBEtF6aigPVs3NS4sPtWhw_oLqrwO/view?usp=drive_link" TargetMode="External"/><Relationship Id="rId820" Type="http://schemas.openxmlformats.org/officeDocument/2006/relationships/hyperlink" Target="https://docs.google.com/document/d/1geperOvJzuAYghHRkA3ii6iO17WD-9W9/edit?usp=drive_link&amp;ouid=107596163405648766688&amp;rtpof=true&amp;sd=true" TargetMode="External"/><Relationship Id="rId918" Type="http://schemas.openxmlformats.org/officeDocument/2006/relationships/hyperlink" Target="https://gameserver-store-client-area.orbionlimited.com/Home/IntegrationGameLaunch/client-area?moneyType=0&amp;gameName=GoldenCrownBooster&amp;platform=desktop&amp;languageCode=eng&amp;currency=EUR" TargetMode="External"/><Relationship Id="rId1450" Type="http://schemas.openxmlformats.org/officeDocument/2006/relationships/hyperlink" Target="https://drive.google.com/file/d/145sR3350PwACoVVVWMY_-dBjMT607I5s/view?usp=drive_link" TargetMode="External"/><Relationship Id="rId1103" Type="http://schemas.openxmlformats.org/officeDocument/2006/relationships/hyperlink" Target="https://docs.google.com/document/d/1xtsilRluhzm1KI6FDEQ7opNOnITAA9Tw/edit?usp=drive_link&amp;ouid=107596163405648766688&amp;rtpof=true&amp;sd=true" TargetMode="External"/><Relationship Id="rId1310" Type="http://schemas.openxmlformats.org/officeDocument/2006/relationships/hyperlink" Target="https://drive.google.com/drive/folders/15W_JO143whU1jyoTzq8StwjWT4vJ7trZ" TargetMode="External"/><Relationship Id="rId1408" Type="http://schemas.openxmlformats.org/officeDocument/2006/relationships/hyperlink" Target="https://docs.google.com/document/d/1ixR3rP6c5RAoL7tETZ5aWdSCyz5h6p8X/edit?usp=drive_link&amp;ouid=107596163405648766688&amp;rtpof=true&amp;sd=true" TargetMode="External"/><Relationship Id="rId47" Type="http://schemas.openxmlformats.org/officeDocument/2006/relationships/hyperlink" Target="https://onlinegamespromo.fazi.rs/Home/IntegrationGameLaunch?moneyType=0&amp;gameName=STARGEMS&amp;platform=desktop&amp;languageCode=eng&amp;currency=EUR" TargetMode="External"/><Relationship Id="rId196" Type="http://schemas.openxmlformats.org/officeDocument/2006/relationships/hyperlink" Target="https://docs.google.com/document/d/1Bmk7HWKas2YhSSQsbvIW7F9KZLsVT-9m/edit?usp=drive_link&amp;ouid=107596163405648766688&amp;rtpof=true&amp;sd=true" TargetMode="External"/><Relationship Id="rId263" Type="http://schemas.openxmlformats.org/officeDocument/2006/relationships/hyperlink" Target="https://onlinegamespromo.fazi.rs/Home/IntegrationGameLaunch?moneyType=0&amp;gameName=UnicornMiniMegaCash&amp;platform=desktop&amp;languageCode=eng&amp;currency=EUR" TargetMode="External"/><Relationship Id="rId470" Type="http://schemas.openxmlformats.org/officeDocument/2006/relationships/hyperlink" Target="https://gameserver-store-client-area.orbionlimited.com/Home/IntegrationGameLaunch/client-area?moneyType=0&amp;gameName=ChilliRespin&amp;platform=desktop&amp;languageCode=eng&amp;currency=EUR" TargetMode="External"/><Relationship Id="rId123" Type="http://schemas.openxmlformats.org/officeDocument/2006/relationships/hyperlink" Target="https://onlinegamespromo.fazi.rs/Home/IntegrationGameLaunch?moneyType=0&amp;gameName=UnicornHavanaDice&amp;platform=desktop&amp;languageCode=eng&amp;currency=EUR" TargetMode="External"/><Relationship Id="rId330" Type="http://schemas.openxmlformats.org/officeDocument/2006/relationships/hyperlink" Target="https://docs.google.com/document/d/1txtwr-pAHX9QQRScOW9XMiBsl6PAZZkH/edit?usp=drive_link&amp;ouid=107596163405648766688&amp;rtpof=true&amp;sd=true" TargetMode="External"/><Relationship Id="rId568" Type="http://schemas.openxmlformats.org/officeDocument/2006/relationships/hyperlink" Target="https://static.redstone.rs/games/hot-rush-both-ways/" TargetMode="External"/><Relationship Id="rId775" Type="http://schemas.openxmlformats.org/officeDocument/2006/relationships/hyperlink" Target="https://static.redstone.rs/games/clover-royale/" TargetMode="External"/><Relationship Id="rId982" Type="http://schemas.openxmlformats.org/officeDocument/2006/relationships/hyperlink" Target="https://static.redstone.rs/games/heart-royale/" TargetMode="External"/><Relationship Id="rId1198" Type="http://schemas.openxmlformats.org/officeDocument/2006/relationships/hyperlink" Target="https://docs.google.com/document/d/1OKaK17fVSvw2seE-5WVKSmYfAzFV6uzr/edit?usp=drive_link&amp;ouid=107596163405648766688&amp;rtpof=true&amp;sd=true" TargetMode="External"/><Relationship Id="rId428" Type="http://schemas.openxmlformats.org/officeDocument/2006/relationships/hyperlink" Target="https://gameserver-store-client-area.orbionlimited.com/Home/IntegrationGameLaunch/client-area?moneyType=0&amp;gameName=DeadNight&amp;platform=desktop&amp;languageCode=eng&amp;currency=EUR" TargetMode="External"/><Relationship Id="rId635" Type="http://schemas.openxmlformats.org/officeDocument/2006/relationships/hyperlink" Target="https://onlinegamespromo.fazi.rs/Home/IntegrationGameLaunch?moneyType=0&amp;gameName=MegaHot20&amp;platform=desktop&amp;languageCode=eng&amp;currency=EUR" TargetMode="External"/><Relationship Id="rId842" Type="http://schemas.openxmlformats.org/officeDocument/2006/relationships/hyperlink" Target="https://gameserver-store-client-area.orbionlimited.com/Home/IntegrationGameLaunch/client-area?moneyType=0&amp;gameName=BrilliantHeart&amp;platform=desktop&amp;languageCode=eng&amp;currency=EUR" TargetMode="External"/><Relationship Id="rId1058" Type="http://schemas.openxmlformats.org/officeDocument/2006/relationships/hyperlink" Target="https://static.redstone.rs/games/10-wild-crown-halloween/" TargetMode="External"/><Relationship Id="rId1265" Type="http://schemas.openxmlformats.org/officeDocument/2006/relationships/hyperlink" Target="https://onlinegamespromo.fazi.rs/Home/IntegrationGameLaunch?moneyType=0&amp;gameName=PlayNetTropicTwist&amp;platform=desktop&amp;languageCode=eng&amp;currency=EUR" TargetMode="External"/><Relationship Id="rId1472" Type="http://schemas.openxmlformats.org/officeDocument/2006/relationships/hyperlink" Target="https://rgs-lucky-crown-10.soko.games/?demo=True&amp;locale=eng" TargetMode="External"/><Relationship Id="rId702" Type="http://schemas.openxmlformats.org/officeDocument/2006/relationships/hyperlink" Target="https://drive.google.com/file/d/10GFfdufP0A_6r3dlwLlKQ77wnmqVJaDU/view?usp=drive_link" TargetMode="External"/><Relationship Id="rId1125" Type="http://schemas.openxmlformats.org/officeDocument/2006/relationships/hyperlink" Target="https://static.redstone.rs/games/crown-royale/" TargetMode="External"/><Relationship Id="rId1332" Type="http://schemas.openxmlformats.org/officeDocument/2006/relationships/hyperlink" Target="https://drive.google.com/drive/folders/15rWQH-CBK5xGg6xMmpPR3P6hRE9IdqFf" TargetMode="External"/><Relationship Id="rId69" Type="http://schemas.openxmlformats.org/officeDocument/2006/relationships/hyperlink" Target="https://onlinegamespromo.fazi.rs/Home/IntegrationGameLaunch?moneyType=0&amp;gameName=StarRunner&amp;platform=desktop&amp;languageCode=eng&amp;currency=EUR" TargetMode="External"/><Relationship Id="rId285" Type="http://schemas.openxmlformats.org/officeDocument/2006/relationships/hyperlink" Target="https://static.redstone.rs/games/book-of-ibis/" TargetMode="External"/><Relationship Id="rId492" Type="http://schemas.openxmlformats.org/officeDocument/2006/relationships/hyperlink" Target="https://docs.google.com/document/d/1YbEQ9PohM2jYE-QEuHfCCQRDf1ijSLJY/edit?usp=drive_link&amp;ouid=107596163405648766688&amp;rtpof=true&amp;sd=true" TargetMode="External"/><Relationship Id="rId797" Type="http://schemas.openxmlformats.org/officeDocument/2006/relationships/hyperlink" Target="https://drive.google.com/file/d/1FxBFAxIrdGHCkC_EQhDHoc4aQjSLDKuk/view?usp=drive_link" TargetMode="External"/><Relationship Id="rId145" Type="http://schemas.openxmlformats.org/officeDocument/2006/relationships/hyperlink" Target="https://onlinegamespromo.fazi.rs/Home/IntegrationGameLaunch?moneyType=0&amp;gameName=UnicornTwentyFruits&amp;platform=desktop&amp;languageCode=eng&amp;currency=EUR" TargetMode="External"/><Relationship Id="rId352" Type="http://schemas.openxmlformats.org/officeDocument/2006/relationships/hyperlink" Target="https://gameserver-store-client-area.orbionlimited.com/Home/IntegrationGameLaunch/client-area?moneyType=0&amp;gameName=Unicorn20HotStrike&amp;platform=desktop&amp;languageCode=eng&amp;currency=EUR" TargetMode="External"/><Relationship Id="rId1287" Type="http://schemas.openxmlformats.org/officeDocument/2006/relationships/hyperlink" Target="https://onlinegamespromo.fazi.rs/Home/IntegrationGameLaunch?moneyType=0&amp;gameName=GoldenDiamonds10Extreme&amp;platform=desktop&amp;languageCode=eng&amp;currency=EUR" TargetMode="External"/><Relationship Id="rId212" Type="http://schemas.openxmlformats.org/officeDocument/2006/relationships/hyperlink" Target="https://gameserver-store-client-area.orbionlimited.com/Home/IntegrationGameLaunch/client-area?moneyType=0&amp;gameName=TurboHot80&amp;platform=desktop&amp;languageCode=eng&amp;currency=EUR" TargetMode="External"/><Relationship Id="rId657" Type="http://schemas.openxmlformats.org/officeDocument/2006/relationships/hyperlink" Target="https://onlinegamespromo.fazi.rs/Home/IntegrationGameLaunch?moneyType=0&amp;gameName=FortuneClover5&amp;platform=desktop&amp;languageCode=eng&amp;currency=EUR" TargetMode="External"/><Relationship Id="rId864" Type="http://schemas.openxmlformats.org/officeDocument/2006/relationships/hyperlink" Target="https://gameserver-store-client-area.orbionlimited.com/Home/IntegrationGameLaunch/client-area?moneyType=0&amp;gameName=UnicornCoyoteGems&amp;platform=desktop&amp;languageCode=eng&amp;currency=EUR" TargetMode="External"/><Relationship Id="rId1494" Type="http://schemas.openxmlformats.org/officeDocument/2006/relationships/hyperlink" Target="https://gameserver-store-client-area.orbionlimited.com/Home/IntegrationGameLaunch/client-area?moneyType=0&amp;gameName=UnicornSevensPayDice&amp;platform=desktop&amp;languageCode=eng&amp;currency=EUR" TargetMode="External"/><Relationship Id="rId517" Type="http://schemas.openxmlformats.org/officeDocument/2006/relationships/hyperlink" Target="https://onlinegamespromo.fazi.rs/Home/IntegrationGameLaunch?moneyType=0&amp;gameName=TripleFieldsOfLuck&amp;platform=desktop&amp;languageCode=eng&amp;currency=EUR" TargetMode="External"/><Relationship Id="rId724" Type="http://schemas.openxmlformats.org/officeDocument/2006/relationships/hyperlink" Target="https://static.redstone.rs/games/27-double-fruits/" TargetMode="External"/><Relationship Id="rId931" Type="http://schemas.openxmlformats.org/officeDocument/2006/relationships/hyperlink" Target="https://drive.google.com/drive/folders/1rfagR-Gq8bh6HT3DqZCroCVSfPzgTrJO" TargetMode="External"/><Relationship Id="rId1147" Type="http://schemas.openxmlformats.org/officeDocument/2006/relationships/hyperlink" Target="https://drive.google.com/drive/folders/1GZelJ4WbdaZbsXFcj-RTy7MWNcV0zsX4?usp=drive_link" TargetMode="External"/><Relationship Id="rId1354" Type="http://schemas.openxmlformats.org/officeDocument/2006/relationships/hyperlink" Target="https://onlinegamespromo.fazi.rs/Home/IntegrationGameLaunch?moneyType=0&amp;gameName=UnicornGoldenGateFruit&amp;platform=desktop&amp;languageCode=eng&amp;currency=EUR" TargetMode="External"/><Relationship Id="rId60" Type="http://schemas.openxmlformats.org/officeDocument/2006/relationships/hyperlink" Target="https://gameserver-store-client-area.orbionlimited.com/Home/IntegrationGameLaunch/client-area?moneyType=0&amp;gameName=TurboDice40&amp;platform=desktop&amp;languageCode=eng&amp;currency=EUR" TargetMode="External"/><Relationship Id="rId1007" Type="http://schemas.openxmlformats.org/officeDocument/2006/relationships/hyperlink" Target="https://drive.google.com/file/d/1sozgxAOMJhmouetXB1qT8TA_QKMRoOeC/view?usp=drive_link" TargetMode="External"/><Relationship Id="rId1214" Type="http://schemas.openxmlformats.org/officeDocument/2006/relationships/hyperlink" Target="https://onlinegamespromo.fazi.rs/Home/IntegrationGameLaunch?moneyType=0&amp;gameName=PlayNetEmpressOfFlame&amp;platform=desktop&amp;languageCode=eng&amp;currency=EUR" TargetMode="External"/><Relationship Id="rId1421" Type="http://schemas.openxmlformats.org/officeDocument/2006/relationships/hyperlink" Target="https://gameserver-store-client-area.orbionlimited.com/Home/IntegrationGameLaunch/client-area?moneyType=0&amp;gameName=PlayNetRoyalFlame40&amp;platform=desktop&amp;languageCode=eng&amp;currency=EUR" TargetMode="External"/><Relationship Id="rId1519" Type="http://schemas.openxmlformats.org/officeDocument/2006/relationships/hyperlink" Target="https://drive.google.com/drive/u/1/folders/1BLuE2WJvCB2-CMTqcQovdwwyoTEQF3gl" TargetMode="External"/><Relationship Id="rId18" Type="http://schemas.openxmlformats.org/officeDocument/2006/relationships/hyperlink" Target="https://gameserver-store-client-area.orbionlimited.com/Home/IntegrationGameLaunch/client-area?moneyType=0&amp;gameName=Pyramid&amp;platform=desktop&amp;languageCode=eng&amp;currency=EUR" TargetMode="External"/><Relationship Id="rId167" Type="http://schemas.openxmlformats.org/officeDocument/2006/relationships/hyperlink" Target="https://onlinegamespromo.fazi.rs/Home/IntegrationGameLaunch?moneyType=0&amp;gameName=VeryHot40&amp;platform=desktop&amp;languageCode=eng&amp;currency=EUR" TargetMode="External"/><Relationship Id="rId374" Type="http://schemas.openxmlformats.org/officeDocument/2006/relationships/hyperlink" Target="https://gameserver-store-client-area.orbionlimited.com/Home/IntegrationGameLaunch/client-area?moneyType=0&amp;gameName=WildHot40FreeSpins&amp;platform=desktop&amp;languageCode=eng&amp;currency=EUR" TargetMode="External"/><Relationship Id="rId581" Type="http://schemas.openxmlformats.org/officeDocument/2006/relationships/hyperlink" Target="https://onlinegamespromo.fazi.rs/Home/IntegrationGameLaunch?moneyType=0&amp;gameName=ToxicHaze&amp;platform=desktop&amp;languageCode=eng&amp;currency=EUR" TargetMode="External"/><Relationship Id="rId234" Type="http://schemas.openxmlformats.org/officeDocument/2006/relationships/hyperlink" Target="https://docs.google.com/document/d/1HKXxFgVjWiTtUnMBPA35r0ReKfgvUw3E/edit?usp=drive_link&amp;ouid=107596163405648766688&amp;rtpof=true&amp;sd=true" TargetMode="External"/><Relationship Id="rId679" Type="http://schemas.openxmlformats.org/officeDocument/2006/relationships/hyperlink" Target="https://onlinegamespromo.fazi.rs/Home/IntegrationGameLaunch?moneyType=0&amp;gameName=UnicornLavaDiamondsChristmas&amp;platform=desktop&amp;languageCode=eng&amp;currency=EUR" TargetMode="External"/><Relationship Id="rId886" Type="http://schemas.openxmlformats.org/officeDocument/2006/relationships/hyperlink" Target="https://static.redstone.rs/games/10-wild-heart/" TargetMode="External"/><Relationship Id="rId2" Type="http://schemas.openxmlformats.org/officeDocument/2006/relationships/hyperlink" Target="https://gameserver-store-client-area.orbionlimited.com/Home/IntegrationGameLaunch/client-area?moneyType=0&amp;gameName=Postman&amp;platform=desktop&amp;languageCode=eng&amp;currency=EUR" TargetMode="External"/><Relationship Id="rId441" Type="http://schemas.openxmlformats.org/officeDocument/2006/relationships/hyperlink" Target="https://onlinegamespromo.fazi.rs/Home/IntegrationGameLaunch?moneyType=0&amp;gameName=WildHot40Dice&amp;platform=desktop&amp;languageCode=eng&amp;currency=EUR" TargetMode="External"/><Relationship Id="rId539" Type="http://schemas.openxmlformats.org/officeDocument/2006/relationships/hyperlink" Target="https://docs.google.com/document/d/1U4DNn9-d1b6GRqHeFhj0MRXSPX_A91CH/edit?usp=drive_link&amp;ouid=107596163405648766688&amp;rtpof=true&amp;sd=true" TargetMode="External"/><Relationship Id="rId746" Type="http://schemas.openxmlformats.org/officeDocument/2006/relationships/hyperlink" Target="https://static.redstone.rs/games/dice-double/" TargetMode="External"/><Relationship Id="rId1071" Type="http://schemas.openxmlformats.org/officeDocument/2006/relationships/hyperlink" Target="https://onlinegamespromo.fazi.rs/Home/IntegrationGameLaunch?moneyType=0&amp;gameName=PlayNetBrewmastersBank&amp;platform=desktop&amp;languageCode=eng&amp;currency=EUR" TargetMode="External"/><Relationship Id="rId1169" Type="http://schemas.openxmlformats.org/officeDocument/2006/relationships/hyperlink" Target="https://docs.google.com/document/d/1nyoPmhgfwHrvoXXt_3Xv7d10pcKzixSK8GLZz0JaP90/edit?usp=sharing" TargetMode="External"/><Relationship Id="rId1376" Type="http://schemas.openxmlformats.org/officeDocument/2006/relationships/hyperlink" Target="https://static.redstone.rs/games/x-clover-fire/" TargetMode="External"/><Relationship Id="rId301" Type="http://schemas.openxmlformats.org/officeDocument/2006/relationships/hyperlink" Target="https://onlinegamespromo.fazi.rs/Home/IntegrationGameLaunch?moneyType=0&amp;gameName=VeryHot40Dice&amp;platform=desktop&amp;languageCode=eng&amp;currency=EUR" TargetMode="External"/><Relationship Id="rId953"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029" Type="http://schemas.openxmlformats.org/officeDocument/2006/relationships/hyperlink" Target="https://onlinegamespromo.fazi.rs/Home/IntegrationGameLaunch?moneyType=0&amp;gameName=UnicornCoyoteSevensHalloween&amp;platform=desktop&amp;languageCode=eng&amp;currency=EUR" TargetMode="External"/><Relationship Id="rId1236" Type="http://schemas.openxmlformats.org/officeDocument/2006/relationships/hyperlink" Target="https://docs.google.com/document/d/1vCl789hTRT35JFWgszyR3eEvAdvaWhBB/edit?usp=drive_link&amp;ouid=107596163405648766688&amp;rtpof=true&amp;sd=true" TargetMode="External"/><Relationship Id="rId82" Type="http://schemas.openxmlformats.org/officeDocument/2006/relationships/hyperlink" Target="https://gameserver-store-client-area.orbionlimited.com/Home/IntegrationGameLaunch/client-area?moneyType=0&amp;gameName=TwinklingHot40&amp;platform=desktop&amp;languageCode=eng&amp;currency=EUR" TargetMode="External"/><Relationship Id="rId606" Type="http://schemas.openxmlformats.org/officeDocument/2006/relationships/hyperlink" Target="https://drive.google.com/file/d/1m2cQxpCNQfIiTNBZum4iZQ4bQKcgPfnP/view?usp=drive_link" TargetMode="External"/><Relationship Id="rId813" Type="http://schemas.openxmlformats.org/officeDocument/2006/relationships/hyperlink" Target="https://onlinegamespromo.fazi.rs/Home/IntegrationGameLaunch?moneyType=0&amp;gameName=UnicornSavanaFruits&amp;platform=desktop&amp;languageCode=eng&amp;currency=EUR" TargetMode="External"/><Relationship Id="rId1443" Type="http://schemas.openxmlformats.org/officeDocument/2006/relationships/hyperlink" Target="https://gameserver-store-client-area.orbionlimited.com/Home/IntegrationGameLaunch/client-area?moneyType=0&amp;gameName=TripleWildCrown&amp;platform=desktop&amp;languageCode=eng&amp;currency=EUR" TargetMode="External"/><Relationship Id="rId1303" Type="http://schemas.openxmlformats.org/officeDocument/2006/relationships/hyperlink" Target="https://drive.google.com/drive/folders/1bXlt7cMiEKnlMZtBB43dP0-Em2ggzBUA" TargetMode="External"/><Relationship Id="rId1510" Type="http://schemas.openxmlformats.org/officeDocument/2006/relationships/hyperlink" Target="https://onlinegamespromo.fazi.rs/Home/IntegrationGameLaunch?moneyType=0&amp;gameName=PlayNetJokersCrownX2&amp;platform=desktop&amp;languageCode=eng&amp;currency=EUR" TargetMode="External"/><Relationship Id="rId189" Type="http://schemas.openxmlformats.org/officeDocument/2006/relationships/hyperlink" Target="https://onlinegamespromo.fazi.rs/Home/IntegrationGameLaunch?moneyType=0&amp;gameName=UnicornIslandRespins&amp;platform=desktop&amp;languageCode=eng&amp;currency=EUR" TargetMode="External"/><Relationship Id="rId396" Type="http://schemas.openxmlformats.org/officeDocument/2006/relationships/hyperlink" Target="https://docs.google.com/document/d/1W7xAXul48Vs8maiVUeKLt8R0JKrL7yRh/edit?usp=drive_link&amp;ouid=107596163405648766688&amp;rtpof=true&amp;sd=true" TargetMode="External"/><Relationship Id="rId256" Type="http://schemas.openxmlformats.org/officeDocument/2006/relationships/hyperlink" Target="https://gameserver-store-client-area.orbionlimited.com/Home/IntegrationGameLaunch/client-area?moneyType=0&amp;gameName=UnicornFruitMagic&amp;platform=desktop&amp;languageCode=eng&amp;currency=EUR" TargetMode="External"/><Relationship Id="rId463" Type="http://schemas.openxmlformats.org/officeDocument/2006/relationships/hyperlink" Target="https://onlinegamespromo.fazi.rs/Home/IntegrationGameLaunch?moneyType=0&amp;gameName=UnicornFruitIslandChristmas&amp;platform=desktop&amp;languageCode=eng&amp;currency=EUR" TargetMode="External"/><Relationship Id="rId670" Type="http://schemas.openxmlformats.org/officeDocument/2006/relationships/hyperlink" Target="https://docs.google.com/document/d/1BAKVXe_X6jiqGNaK1MEqCP2ls_MEsc5Y/edit?usp=drive_link&amp;ouid=107596163405648766688&amp;rtpof=true&amp;sd=true" TargetMode="External"/><Relationship Id="rId1093" Type="http://schemas.openxmlformats.org/officeDocument/2006/relationships/hyperlink" Target="https://onlinegamespromo.fazi.rs/Home/IntegrationGameLaunch?moneyType=0&amp;gameName=PlayNetNeptunesJewels&amp;platform=desktop&amp;languageCode=eng&amp;currency=EUR" TargetMode="External"/><Relationship Id="rId116" Type="http://schemas.openxmlformats.org/officeDocument/2006/relationships/hyperlink" Target="https://gameserver-store-client-area.orbionlimited.com/Home/IntegrationGameLaunch/client-area?moneyType=0&amp;gameName=UnicornFruitIsland&amp;platform=desktop&amp;languageCode=eng&amp;currency=EUR" TargetMode="External"/><Relationship Id="rId323" Type="http://schemas.openxmlformats.org/officeDocument/2006/relationships/hyperlink" Target="https://gameserver-store-client-area.orbionlimited.com/Home/IntegrationGameLaunch/client-area?moneyType=0&amp;gameName=GoldenCrownChristmas&amp;platform=desktop&amp;languageCode=eng&amp;currency=EUR" TargetMode="External"/><Relationship Id="rId530" Type="http://schemas.openxmlformats.org/officeDocument/2006/relationships/hyperlink" Target="https://static.redstone.rs/games/lady-triple-fortune/" TargetMode="External"/><Relationship Id="rId768" Type="http://schemas.openxmlformats.org/officeDocument/2006/relationships/hyperlink" Target="https://static.redstone.rs/games/cosmic-sevens/" TargetMode="External"/><Relationship Id="rId975" Type="http://schemas.openxmlformats.org/officeDocument/2006/relationships/hyperlink" Target="https://drive.google.com/file/d/1-amw2f6rGQxPdLmoRqPQ4B4OnBMCaUiT/view?usp=drive_link" TargetMode="External"/><Relationship Id="rId1160" Type="http://schemas.openxmlformats.org/officeDocument/2006/relationships/hyperlink" Target="https://drive.google.com/drive/folders/19wze01OCqWkObIFrTigTyuzJjYXUlgk9?usp=drive_link" TargetMode="External"/><Relationship Id="rId1398" Type="http://schemas.openxmlformats.org/officeDocument/2006/relationships/hyperlink" Target="https://static.redstone.rs/games/5-clover-deluxe/" TargetMode="External"/><Relationship Id="rId628" Type="http://schemas.openxmlformats.org/officeDocument/2006/relationships/hyperlink" Target="https://gameserver-store-client-area.orbionlimited.com/Home/IntegrationGameLaunch/client-area?moneyType=0&amp;gameName=TurboStars10&amp;platform=desktop&amp;languageCode=eng&amp;currency=EUR" TargetMode="External"/><Relationship Id="rId835" Type="http://schemas.openxmlformats.org/officeDocument/2006/relationships/hyperlink" Target="https://drive.google.com/file/d/1d-3kCKBdZXLlvGz9vxVk8oWs8zGTsxln/view?usp=sharing" TargetMode="External"/><Relationship Id="rId1258" Type="http://schemas.openxmlformats.org/officeDocument/2006/relationships/hyperlink" Target="https://static.redstone.rs/games/dice-drop-10/" TargetMode="External"/><Relationship Id="rId1465" Type="http://schemas.openxmlformats.org/officeDocument/2006/relationships/hyperlink" Target="https://gameserver-store-client-area.orbionlimited.com/Home/IntegrationGameLaunch/client-area?moneyType=0&amp;gameName=Redstone10HeartDeluxe&amp;platform=desktop&amp;languageCode=eng&amp;currency=EUR" TargetMode="External"/><Relationship Id="rId1020" Type="http://schemas.openxmlformats.org/officeDocument/2006/relationships/hyperlink" Target="https://gameserver-store-client-area.orbionlimited.com/Home/IntegrationGameLaunch/client-area?moneyType=0&amp;gameName=UnicornBuffaloSevensJackpot&amp;platform=desktop&amp;languageCode=eng&amp;currency=EUR" TargetMode="External"/><Relationship Id="rId1118" Type="http://schemas.openxmlformats.org/officeDocument/2006/relationships/hyperlink" Target="https://static.redstone.rs/games/inferno-hot-20/" TargetMode="External"/><Relationship Id="rId1325" Type="http://schemas.openxmlformats.org/officeDocument/2006/relationships/hyperlink" Target="https://onlinegamespromo.fazi.rs/Home/IntegrationGameLaunch?moneyType=0&amp;gameName=GoldenCrownExtremeDice&amp;platform=desktop&amp;languageCode=eng&amp;currency=EUR" TargetMode="External"/><Relationship Id="rId1532" Type="http://schemas.openxmlformats.org/officeDocument/2006/relationships/hyperlink" Target="https://static.redstone.rs/games/lucky-lucky-bells/" TargetMode="External"/><Relationship Id="rId902" Type="http://schemas.openxmlformats.org/officeDocument/2006/relationships/hyperlink" Target="https://static.redstone.rs/games/clover-drop/" TargetMode="External"/><Relationship Id="rId31" Type="http://schemas.openxmlformats.org/officeDocument/2006/relationships/hyperlink" Target="https://onlinegamespromo.fazi.rs/Home/IntegrationGameLaunch?moneyType=0&amp;gameName=TURBOHOT40&amp;platform=desktop&amp;languageCode=eng&amp;currency=EUR" TargetMode="External"/><Relationship Id="rId180" Type="http://schemas.openxmlformats.org/officeDocument/2006/relationships/hyperlink" Target="https://gameserver-store-client-area.orbionlimited.com/Home/IntegrationGameLaunch/client-area?moneyType=0&amp;gameName=HeatingDice&amp;platform=desktop&amp;languageCode=eng&amp;currency=EUR" TargetMode="External"/><Relationship Id="rId278" Type="http://schemas.openxmlformats.org/officeDocument/2006/relationships/hyperlink" Target="https://docs.google.com/document/d/1DFnKS4tOtiSdA6ISE_dYMHPCHPfa41sU/edit?usp=drive_link&amp;ouid=107596163405648766688&amp;rtpof=true&amp;sd=true" TargetMode="External"/><Relationship Id="rId485" Type="http://schemas.openxmlformats.org/officeDocument/2006/relationships/hyperlink" Target="https://play.redstone.rs/games/20-fruit-frenzy/index.html" TargetMode="External"/><Relationship Id="rId692" Type="http://schemas.openxmlformats.org/officeDocument/2006/relationships/hyperlink" Target="https://static.redstone.rs/games/spooky-spins/" TargetMode="External"/><Relationship Id="rId138" Type="http://schemas.openxmlformats.org/officeDocument/2006/relationships/hyperlink" Target="https://gameserver-store-client-area.orbionlimited.com/Home/IntegrationGameLaunch/client-area?moneyType=0&amp;gameName=UnicornCasinoFruits&amp;platform=desktop&amp;languageCode=eng&amp;currency=EUR" TargetMode="External"/><Relationship Id="rId345" Type="http://schemas.openxmlformats.org/officeDocument/2006/relationships/hyperlink" Target="https://onlinegamespromo.fazi.rs/Home/IntegrationGameLaunch?moneyType=0&amp;gameName=VeryHot5Extreme&amp;platform=desktop&amp;languageCode=eng&amp;currency=EUR" TargetMode="External"/><Relationship Id="rId552" Type="http://schemas.openxmlformats.org/officeDocument/2006/relationships/hyperlink" Target="https://gameserver-store-client-area.orbionlimited.com/Home/IntegrationGameLaunch/client-area?moneyType=0&amp;gameName=VintageFruits40&amp;platform=desktop&amp;languageCode=eng&amp;currency=EUR" TargetMode="External"/><Relationship Id="rId997" Type="http://schemas.openxmlformats.org/officeDocument/2006/relationships/hyperlink" Target="https://static.redstone.rs/games/10-extra-bank/" TargetMode="External"/><Relationship Id="rId1182" Type="http://schemas.openxmlformats.org/officeDocument/2006/relationships/hyperlink" Target="https://docs.google.com/document/d/1BMCkTR-TX6Vk19Z3mA0o0cp0QhfG4mI1/edit?usp=drive_link&amp;ouid=107596163405648766688&amp;rtpof=true&amp;sd=true" TargetMode="External"/><Relationship Id="rId205" Type="http://schemas.openxmlformats.org/officeDocument/2006/relationships/hyperlink" Target="https://onlinegamespromo.fazi.rs/Home/IntegrationGameLaunch?moneyType=0&amp;gameName=UnicornGreatWhale&amp;platform=desktop&amp;languageCode=eng&amp;currency=EUR" TargetMode="External"/><Relationship Id="rId412" Type="http://schemas.openxmlformats.org/officeDocument/2006/relationships/hyperlink" Target="https://static.redstone.rs/games/blazing-heat/" TargetMode="External"/><Relationship Id="rId857" Type="http://schemas.openxmlformats.org/officeDocument/2006/relationships/hyperlink" Target="https://onlinegamespromo.fazi.rs/Home/IntegrationGameLaunch?moneyType=0&amp;gameName=UnicornDynamiteBoom&amp;platform=desktop&amp;languageCode=eng&amp;currency=EUR" TargetMode="External"/><Relationship Id="rId1042" Type="http://schemas.openxmlformats.org/officeDocument/2006/relationships/hyperlink" Target="https://gameserver-store-client-area.orbionlimited.com/Home/IntegrationGameLaunch/client-area?moneyType=0&amp;gameName=GoldenCrown40Booster&amp;platform=desktop&amp;languageCode=eng&amp;currency=EUR" TargetMode="External"/><Relationship Id="rId1487" Type="http://schemas.openxmlformats.org/officeDocument/2006/relationships/hyperlink" Target="https://onlinegamespromo.fazi.rs/Home/IntegrationGameLaunch?moneyType=0&amp;gameName=UnicornCrazyWildSevens&amp;platform=desktop&amp;languageCode=eng&amp;currency=EUR" TargetMode="External"/><Relationship Id="rId717" Type="http://schemas.openxmlformats.org/officeDocument/2006/relationships/hyperlink" Target="https://drive.google.com/file/d/19k5oZnvVV_HIMJQy22Kac8uBOSmgadyn/view?usp=drive_link" TargetMode="External"/><Relationship Id="rId924" Type="http://schemas.openxmlformats.org/officeDocument/2006/relationships/hyperlink" Target="https://drive.google.com/drive/folders/1YXBfTlfZhbE8STuraiERB1FtF1PzqAXe" TargetMode="External"/><Relationship Id="rId1347" Type="http://schemas.openxmlformats.org/officeDocument/2006/relationships/hyperlink" Target="http://jacks.nl/" TargetMode="External"/><Relationship Id="rId53" Type="http://schemas.openxmlformats.org/officeDocument/2006/relationships/hyperlink" Target="https://onlinegamespromo.fazi.rs/Home/IntegrationGameLaunch?moneyType=0&amp;gameName=STARLIGHT&amp;platform=desktop&amp;languageCode=eng&amp;currency=EUR" TargetMode="External"/><Relationship Id="rId1207" Type="http://schemas.openxmlformats.org/officeDocument/2006/relationships/hyperlink" Target="https://docs.google.com/document/d/1VLSxKu5PELHE5vo69Dem-Dw5_wwquqfd/edit?usp=drive_link&amp;ouid=107596163405648766688&amp;rtpof=true&amp;sd=true" TargetMode="External"/><Relationship Id="rId1414" Type="http://schemas.openxmlformats.org/officeDocument/2006/relationships/hyperlink" Target="https://static.redstone.rs/games/5-crown-deluxe/" TargetMode="External"/><Relationship Id="rId367" Type="http://schemas.openxmlformats.org/officeDocument/2006/relationships/hyperlink" Target="https://onlinegamespromo.fazi.rs/Home/IntegrationGameLaunch?moneyType=0&amp;gameName=UnicornFruitWildLines&amp;platform=desktop&amp;languageCode=eng&amp;currency=EUR" TargetMode="External"/><Relationship Id="rId574" Type="http://schemas.openxmlformats.org/officeDocument/2006/relationships/hyperlink" Target="https://gameserver-store-client-area.orbionlimited.com/Home/IntegrationGameLaunch/client-area?moneyType=0&amp;gameName=UnicornBuffaloSevens&amp;platform=desktop&amp;languageCode=eng&amp;currency=EUR" TargetMode="External"/><Relationship Id="rId227" Type="http://schemas.openxmlformats.org/officeDocument/2006/relationships/hyperlink" Target="https://onlinegamespromo.fazi.rs/Home/IntegrationGameLaunch?moneyType=0&amp;gameName=FruityWin40&amp;platform=desktop&amp;languageCode=eng&amp;currency=EUR" TargetMode="External"/><Relationship Id="rId781" Type="http://schemas.openxmlformats.org/officeDocument/2006/relationships/hyperlink" Target="https://drive.google.com/file/d/1_XF5fB_2OqLxjOLOl7IyL6jS9pEUmJLh/view?usp=drive_link" TargetMode="External"/><Relationship Id="rId879" Type="http://schemas.openxmlformats.org/officeDocument/2006/relationships/hyperlink" Target="https://drive.google.com/file/d/1rrWTfY4LMCdgbEbfmhrvsVsKCd2w4bvO/view?usp=sharing" TargetMode="External"/><Relationship Id="rId434" Type="http://schemas.openxmlformats.org/officeDocument/2006/relationships/hyperlink" Target="https://gameserver-store-client-area.orbionlimited.com/Home/IntegrationGameLaunch/client-area?moneyType=0&amp;gameName=Unicorn10JingleFruits&amp;platform=desktop&amp;languageCode=eng&amp;currency=EUR" TargetMode="External"/><Relationship Id="rId641" Type="http://schemas.openxmlformats.org/officeDocument/2006/relationships/hyperlink" Target="https://drive.google.com/file/d/1ivbG8UXxIAnTfkAgUJByvwfzugx0b1Hb/view?usp=drive_link" TargetMode="External"/><Relationship Id="rId739" Type="http://schemas.openxmlformats.org/officeDocument/2006/relationships/hyperlink" Target="https://drive.google.com/file/d/1dfI9pBuaRN9WtXDJR91Zt7NejVPTF9pw/view?usp=drive_link" TargetMode="External"/><Relationship Id="rId1064" Type="http://schemas.openxmlformats.org/officeDocument/2006/relationships/hyperlink" Target="https://gameserver-store-client-area.orbionlimited.com/Home/IntegrationGameLaunch/client-area?moneyType=0&amp;gameName=FruitLock7&amp;platform=desktop&amp;languageCode=eng&amp;currency=EUR" TargetMode="External"/><Relationship Id="rId1271" Type="http://schemas.openxmlformats.org/officeDocument/2006/relationships/hyperlink" Target="https://onlinegamespromo.fazi.rs/Home/IntegrationGameLaunch?moneyType=0&amp;gameName=UnicornLionsSevensExtreme&amp;platform=desktop&amp;languageCode=eng&amp;currency=EUR" TargetMode="External"/><Relationship Id="rId1369" Type="http://schemas.openxmlformats.org/officeDocument/2006/relationships/hyperlink" Target="https://gameserver-store-client-area.orbionlimited.com/Home/IntegrationGameLaunch/client-area?moneyType=0&amp;gameName=UnicornBarrelsOfRiches&amp;platform=desktop&amp;languageCode=eng&amp;currency=EUR" TargetMode="External"/><Relationship Id="rId501" Type="http://schemas.openxmlformats.org/officeDocument/2006/relationships/hyperlink" Target="https://play.redstone.rs/games/40-jokers-free-games/index.html" TargetMode="External"/><Relationship Id="rId946" Type="http://schemas.openxmlformats.org/officeDocument/2006/relationships/hyperlink" Target="https://gameserver-store-client-area.orbionlimited.com/Home/IntegrationGameLaunch/client-area?moneyType=0&amp;gameName=PlayNetDarkTemptress&amp;platform=desktop&amp;languageCode=eng&amp;currency=EUR" TargetMode="External"/><Relationship Id="rId1131" Type="http://schemas.openxmlformats.org/officeDocument/2006/relationships/hyperlink" Target="https://static.redstone.rs/games/chilli-double-40/" TargetMode="External"/><Relationship Id="rId1229" Type="http://schemas.openxmlformats.org/officeDocument/2006/relationships/hyperlink" Target="https://onlinegamespromo.fazi.rs/Home/IntegrationGameLaunch?moneyType=0&amp;gameName=WildHot40Deluxe&amp;platform=desktop&amp;languageCode=eng&amp;currency=EUR" TargetMode="External"/><Relationship Id="rId75" Type="http://schemas.openxmlformats.org/officeDocument/2006/relationships/hyperlink" Target="https://onlinegamespromo.fazi.rs/Home/IntegrationGameLaunch?moneyType=0&amp;gameName=TwinklingHot5&amp;platform=desktop&amp;languageCode=eng&amp;currency=EUR" TargetMode="External"/><Relationship Id="rId806" Type="http://schemas.openxmlformats.org/officeDocument/2006/relationships/hyperlink" Target="https://docs.google.com/document/d/1iWTO0Oacvjv2ikz7_9v_gkTjRfs47CM6/edit?usp=drive_link&amp;ouid=107596163405648766688&amp;rtpof=true&amp;sd=true" TargetMode="External"/><Relationship Id="rId1436" Type="http://schemas.openxmlformats.org/officeDocument/2006/relationships/hyperlink" Target="https://drive.google.com/drive/u/1/folders/1zeR0z-jJdHjt59KLlD0fbWBs3G_ZmNJ5" TargetMode="External"/><Relationship Id="rId1503" Type="http://schemas.openxmlformats.org/officeDocument/2006/relationships/hyperlink" Target="https://rgs-royal-jewels-fortune-deluxe.soko.games/?demo=True&amp;locale=eng" TargetMode="External"/><Relationship Id="rId291" Type="http://schemas.openxmlformats.org/officeDocument/2006/relationships/hyperlink" Target="https://onlinegamespromo.fazi.rs/Home/IntegrationGameLaunch?moneyType=0&amp;gameName=PowerOfTheGreat&amp;platform=desktop&amp;languageCode=eng&amp;currency=EUR" TargetMode="External"/><Relationship Id="rId151" Type="http://schemas.openxmlformats.org/officeDocument/2006/relationships/hyperlink" Target="https://static.redstone.rs/games/5-dice-fire/" TargetMode="External"/><Relationship Id="rId389" Type="http://schemas.openxmlformats.org/officeDocument/2006/relationships/hyperlink" Target="https://onlinegamespromo.fazi.rs/Home/IntegrationGameLaunch?moneyType=0&amp;gameName=Unicorn40FruitReels&amp;platform=desktop&amp;languageCode=eng&amp;currency=EUR" TargetMode="External"/><Relationship Id="rId596" Type="http://schemas.openxmlformats.org/officeDocument/2006/relationships/hyperlink" Target="https://drive.google.com/file/d/1I1mdL7JQIpfe3awcmJxwX4wXF8Aj0Lgr/view?usp=drive_link" TargetMode="External"/><Relationship Id="rId249" Type="http://schemas.openxmlformats.org/officeDocument/2006/relationships/hyperlink" Target="https://onlinegamespromo.fazi.rs/Home/IntegrationGameLaunch?moneyType=0&amp;gameName=FruityHot5&amp;platform=desktop&amp;languageCode=eng&amp;currency=EUR" TargetMode="External"/><Relationship Id="rId456" Type="http://schemas.openxmlformats.org/officeDocument/2006/relationships/hyperlink" Target="https://gameserver-store-client-area.orbionlimited.com/Home/IntegrationGameLaunch/client-area?moneyType=0&amp;gameName=WildCraps&amp;platform=desktop&amp;languageCode=eng&amp;currency=EUR" TargetMode="External"/><Relationship Id="rId663" Type="http://schemas.openxmlformats.org/officeDocument/2006/relationships/hyperlink" Target="https://static.redstone.rs/games/double-clover-fire/" TargetMode="External"/><Relationship Id="rId870" Type="http://schemas.openxmlformats.org/officeDocument/2006/relationships/hyperlink" Target="https://gameserver-store-client-area.orbionlimited.com/Home/IntegrationGameLaunch/client-area?moneyType=0&amp;gameName=UnicornSimplySevensGems&amp;platform=desktop&amp;languageCode=eng&amp;currency=EUR" TargetMode="External"/><Relationship Id="rId1086" Type="http://schemas.openxmlformats.org/officeDocument/2006/relationships/hyperlink" Target="https://gameserver-store-client-area.orbionlimited.com/Home/IntegrationGameLaunch/client-area?moneyType=0&amp;gameName=UnicornMoneyStandardPlatinum&amp;platform=desktop&amp;languageCode=eng&amp;currency=EUR" TargetMode="External"/><Relationship Id="rId1293" Type="http://schemas.openxmlformats.org/officeDocument/2006/relationships/hyperlink" Target="https://drive.google.com/drive/folders/15W_JO143whU1jyoTzq8StwjWT4vJ7trZ" TargetMode="External"/><Relationship Id="rId109" Type="http://schemas.openxmlformats.org/officeDocument/2006/relationships/hyperlink" Target="https://static.redstone.rs/games/40-wild-clover/" TargetMode="External"/><Relationship Id="rId316" Type="http://schemas.openxmlformats.org/officeDocument/2006/relationships/hyperlink" Target="https://static.redstone.rs/games/10-wild-pumpkin/" TargetMode="External"/><Relationship Id="rId523" Type="http://schemas.openxmlformats.org/officeDocument/2006/relationships/hyperlink" Target="https://docs.google.com/document/d/1VsxFGG6KMJSMeHNfFC2m7P-sd-0f4mbD/edit?usp=drive_link&amp;ouid=107596163405648766688&amp;rtpof=true&amp;sd=true" TargetMode="External"/><Relationship Id="rId968" Type="http://schemas.openxmlformats.org/officeDocument/2006/relationships/hyperlink" Target="https://static.redstone.rs/games/double-wild-crown/" TargetMode="External"/><Relationship Id="rId1153" Type="http://schemas.openxmlformats.org/officeDocument/2006/relationships/hyperlink" Target="https://gameserver-store-client-area.orbionlimited.com/Home/IntegrationGameLaunch/client-area?moneyType=0&amp;gameName=MacacoDaFortuna&amp;platform=desktop&amp;languageCode=eng&amp;currency=EUR" TargetMode="External"/><Relationship Id="rId97" Type="http://schemas.openxmlformats.org/officeDocument/2006/relationships/hyperlink" Target="https://onlinegamespromo.fazi.rs/Home/IntegrationGameLaunch?moneyType=0&amp;gameName=UnicornVegasDice&amp;platform=desktop&amp;languageCode=eng&amp;currency=EUR" TargetMode="External"/><Relationship Id="rId730" Type="http://schemas.openxmlformats.org/officeDocument/2006/relationships/hyperlink" Target="https://gameserver-store-client-area.orbionlimited.com/Home/IntegrationGameLaunch/client-area?moneyType=0&amp;gameName=PlayNetWildFortiesXmas&amp;platform=desktop&amp;languageCode=eng&amp;currency=EUR" TargetMode="External"/><Relationship Id="rId828" Type="http://schemas.openxmlformats.org/officeDocument/2006/relationships/hyperlink" Target="https://gameserver-store-client-area.orbionlimited.com/Home/IntegrationGameLaunch/client-area?moneyType=0&amp;gameName=TopHot5&amp;platform=desktop&amp;languageCode=eng&amp;currency=EUR" TargetMode="External"/><Relationship Id="rId1013" Type="http://schemas.openxmlformats.org/officeDocument/2006/relationships/hyperlink" Target="https://onlinegamespromo.fazi.rs/Home/IntegrationGameLaunch?moneyType=0&amp;gameName=UnicornSupremeSevensDice&amp;platform=desktop&amp;languageCode=eng&amp;currency=EUR" TargetMode="External"/><Relationship Id="rId1360" Type="http://schemas.openxmlformats.org/officeDocument/2006/relationships/hyperlink" Target="https://onlinegamespromo.fazi.rs/Home/IntegrationGameLaunch?moneyType=0&amp;gameName=UnicornHotEightyOne&amp;platform=desktop&amp;languageCode=eng&amp;currency=EUR" TargetMode="External"/><Relationship Id="rId1458" Type="http://schemas.openxmlformats.org/officeDocument/2006/relationships/hyperlink" Target="https://drive.google.com/file/d/1Lr8L5PDJ4ArhtIrekH4b7W6OQ40pW5z3/view?usp=drive_link" TargetMode="External"/><Relationship Id="rId1220" Type="http://schemas.openxmlformats.org/officeDocument/2006/relationships/hyperlink" Target="https://drive.google.com/drive/folders/1tMhNZrKJW7jv95Njoh8q7n6Ykhm_Zs5h?usp=drive_link" TargetMode="External"/><Relationship Id="rId1318" Type="http://schemas.openxmlformats.org/officeDocument/2006/relationships/hyperlink" Target="https://gameserver-store-client-area.orbionlimited.com/Home/IntegrationGameLaunch/client-area?moneyType=0&amp;gameName=CloversAndDiamonds5&amp;platform=desktop&amp;languageCode=eng&amp;currency=EUR" TargetMode="External"/><Relationship Id="rId1525" Type="http://schemas.openxmlformats.org/officeDocument/2006/relationships/hyperlink" Target="https://gameserver-store-client-area.orbionlimited.com/Home/IntegrationGameLaunch/client-area?moneyType=0&amp;gameName=PlayNetTropicTwistExtreme&amp;platform=desktop&amp;languageCode=eng&amp;currency=EUR" TargetMode="External"/><Relationship Id="rId24" Type="http://schemas.openxmlformats.org/officeDocument/2006/relationships/hyperlink" Target="https://gameserver-store-client-area.orbionlimited.com/Home/IntegrationGameLaunch/client-area?moneyType=0&amp;gameName=JuicyHot&amp;platform=desktop&amp;languageCode=eng&amp;currency=EUR" TargetMode="External"/><Relationship Id="rId173" Type="http://schemas.openxmlformats.org/officeDocument/2006/relationships/hyperlink" Target="https://onlinegamespromo.fazi.rs/Home/IntegrationGameLaunch?moneyType=0&amp;gameName=HeatingIceDeluxe&amp;platform=desktop&amp;languageCode=eng&amp;currency=EUR" TargetMode="External"/><Relationship Id="rId380" Type="http://schemas.openxmlformats.org/officeDocument/2006/relationships/hyperlink" Target="https://gameserver-store-client-area.orbionlimited.com/Home/IntegrationGameLaunch/client-area?moneyType=0&amp;gameName=PiratesFazi&amp;platform=desktop&amp;languageCode=eng&amp;currency=EUR" TargetMode="External"/><Relationship Id="rId240" Type="http://schemas.openxmlformats.org/officeDocument/2006/relationships/hyperlink" Target="https://gameserver-store-client-area.orbionlimited.com/Home/IntegrationGameLaunch/client-area?moneyType=0&amp;gameName=VeryHot20&amp;platform=desktop&amp;languageCode=eng&amp;currency=EUR" TargetMode="External"/><Relationship Id="rId478" Type="http://schemas.openxmlformats.org/officeDocument/2006/relationships/hyperlink" Target="https://play.redstone.rs/games/40-hot-joker/index.html" TargetMode="External"/><Relationship Id="rId685" Type="http://schemas.openxmlformats.org/officeDocument/2006/relationships/hyperlink" Target="https://onlinegamespromo.fazi.rs/Home/IntegrationGameLaunch?moneyType=0&amp;gameName=PlayNetDiamondHeart40&amp;platform=desktop&amp;languageCode=eng&amp;currency=EUR" TargetMode="External"/><Relationship Id="rId892" Type="http://schemas.openxmlformats.org/officeDocument/2006/relationships/hyperlink" Target="https://drive.google.com/file/d/1B52c455_iGqdn6Gcz68rQ2OHYortgt9T/view?usp=drive_link" TargetMode="External"/><Relationship Id="rId100" Type="http://schemas.openxmlformats.org/officeDocument/2006/relationships/hyperlink" Target="https://gameserver-store-client-area.orbionlimited.com/Home/IntegrationGameLaunch/client-area?moneyType=0&amp;gameName=WildHot40&amp;platform=desktop&amp;languageCode=eng&amp;currency=EUR" TargetMode="External"/><Relationship Id="rId338" Type="http://schemas.openxmlformats.org/officeDocument/2006/relationships/hyperlink" Target="https://gameserver-store-client-area.orbionlimited.com/Home/IntegrationGameLaunch/client-area?moneyType=0&amp;gameName=WildHot40Blow&amp;platform=desktop&amp;languageCode=eng&amp;currency=EUR" TargetMode="External"/><Relationship Id="rId545" Type="http://schemas.openxmlformats.org/officeDocument/2006/relationships/hyperlink" Target="https://static.redstone.rs/games/5-clover-fire-lnc/" TargetMode="External"/><Relationship Id="rId752" Type="http://schemas.openxmlformats.org/officeDocument/2006/relationships/hyperlink" Target="https://docs.google.com/document/d/1GbD7Xr2mxOwa_hwLj37fj-PYGBhDbBCh/edit?usp=drive_link&amp;ouid=107596163405648766688&amp;rtpof=true&amp;sd=true" TargetMode="External"/><Relationship Id="rId1175" Type="http://schemas.openxmlformats.org/officeDocument/2006/relationships/hyperlink" Target="https://docs.google.com/document/d/1iu0RrgAD6QmQzXKSZ8XsXqF5xa9Try95/edit?usp=sharing&amp;ouid=111339991327238394179&amp;rtpof=true&amp;sd=true" TargetMode="External"/><Relationship Id="rId1382" Type="http://schemas.openxmlformats.org/officeDocument/2006/relationships/hyperlink" Target="https://docs.google.com/document/d/1-6PcnJ06SjYueBh39-ZuoVgt9p51TmOA/edit?usp=drive_link&amp;ouid=107596163405648766688&amp;rtpof=true&amp;sd=true" TargetMode="External"/><Relationship Id="rId405" Type="http://schemas.openxmlformats.org/officeDocument/2006/relationships/hyperlink" Target="https://onlinegamespromo.fazi.rs/Home/IntegrationGameLaunch?moneyType=0&amp;gameName=RetroFire&amp;platform=desktop&amp;languageCode=eng&amp;currency=EUR" TargetMode="External"/><Relationship Id="rId612" Type="http://schemas.openxmlformats.org/officeDocument/2006/relationships/hyperlink" Target="https://gameserver-store-client-area.orbionlimited.com/Home/IntegrationGameLaunch/client-area?moneyType=0&amp;gameName=BonusCrown&amp;platform=desktop&amp;languageCode=eng&amp;currency=EUR" TargetMode="External"/><Relationship Id="rId1035" Type="http://schemas.openxmlformats.org/officeDocument/2006/relationships/hyperlink" Target="https://onlinegamespromo.fazi.rs/Home/IntegrationGameLaunch?moneyType=0&amp;gameName=WildSunFlower&amp;lobbyUrl=https://www.fazi-interactive.com/" TargetMode="External"/><Relationship Id="rId1242" Type="http://schemas.openxmlformats.org/officeDocument/2006/relationships/hyperlink" Target="https://static.redstone.rs/games/multi-clover-5/" TargetMode="External"/><Relationship Id="rId917"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102" Type="http://schemas.openxmlformats.org/officeDocument/2006/relationships/hyperlink" Target="https://gameserver-store-client-area.orbionlimited.com/Home/IntegrationGameLaunch/client-area?moneyType=0&amp;gameName=PlayNetElfAndRoll&amp;platform=desktop&amp;languageCode=eng&amp;currency=EUR" TargetMode="External"/><Relationship Id="rId1547" Type="http://schemas.openxmlformats.org/officeDocument/2006/relationships/hyperlink" Target="https://onlinegamespromo.fazi.rs/Home/IntegrationGameLaunch?moneyType=0&amp;gameName=PowerLucky7&amp;platform=desktop&amp;languageCode=eng&amp;currency=EUR" TargetMode="External"/><Relationship Id="rId46" Type="http://schemas.openxmlformats.org/officeDocument/2006/relationships/hyperlink" Target="https://gameserver-store-client-area.orbionlimited.com/Home/IntegrationGameLaunch/client-area?moneyType=0&amp;gameName=VikingGold&amp;platform=desktop&amp;languageCode=eng&amp;currency=EUR" TargetMode="External"/><Relationship Id="rId1407" Type="http://schemas.openxmlformats.org/officeDocument/2006/relationships/hyperlink" Target="https://static.redstone.rs/games/cosmic-fruits/" TargetMode="External"/><Relationship Id="rId195" Type="http://schemas.openxmlformats.org/officeDocument/2006/relationships/hyperlink" Target="https://docs.google.com/document/d/1MJ3lFrASukAREOdpS2C0i7nDu4-kGpJk/edit?usp=drive_link&amp;ouid=107596163405648766688&amp;rtpof=true&amp;sd=true" TargetMode="External"/><Relationship Id="rId262" Type="http://schemas.openxmlformats.org/officeDocument/2006/relationships/hyperlink" Target="https://static.redstone.rs/games/10-wild-diamond/" TargetMode="External"/><Relationship Id="rId567" Type="http://schemas.openxmlformats.org/officeDocument/2006/relationships/hyperlink" Target="https://static.redstone.rs/games/hot-rush-both-ways/" TargetMode="External"/><Relationship Id="rId1197" Type="http://schemas.openxmlformats.org/officeDocument/2006/relationships/hyperlink" Target="https://static.redstone.rs/games/inferno-hot-40/" TargetMode="External"/><Relationship Id="rId122" Type="http://schemas.openxmlformats.org/officeDocument/2006/relationships/hyperlink" Target="https://gameserver-store-client-area.orbionlimited.com/Home/IntegrationGameLaunch/client-area?moneyType=0&amp;gameName=UnicornRainbowSevens&amp;platform=desktop&amp;languageCode=eng&amp;currency=EUR" TargetMode="External"/><Relationship Id="rId774" Type="http://schemas.openxmlformats.org/officeDocument/2006/relationships/hyperlink" Target="https://drive.google.com/file/d/1HdoaxLQhloVgaTyCDIWWJPfPgT3XsCsI/view?usp=drive_link" TargetMode="External"/><Relationship Id="rId981" Type="http://schemas.openxmlformats.org/officeDocument/2006/relationships/hyperlink" Target="https://static.redstone.rs/games/heart-royale/" TargetMode="External"/><Relationship Id="rId1057" Type="http://schemas.openxmlformats.org/officeDocument/2006/relationships/hyperlink" Target="https://static.redstone.rs/games/10-wild-crown-halloween/" TargetMode="External"/><Relationship Id="rId427" Type="http://schemas.openxmlformats.org/officeDocument/2006/relationships/hyperlink" Target="https://onlinegamespromo.fazi.rs/Home/IntegrationGameLaunch?moneyType=0&amp;gameName=DeadNight&amp;platform=desktop&amp;languageCode=eng&amp;currency=EUR" TargetMode="External"/><Relationship Id="rId634" Type="http://schemas.openxmlformats.org/officeDocument/2006/relationships/hyperlink" Target="https://gameserver-store-client-area.orbionlimited.com/Home/IntegrationGameLaunch/client-area?moneyType=0&amp;gameName=EpicDice100&amp;platform=desktop&amp;languageCode=eng&amp;currency=EUR" TargetMode="External"/><Relationship Id="rId841" Type="http://schemas.openxmlformats.org/officeDocument/2006/relationships/hyperlink" Target="https://onlinegamespromo.fazi.rs/Home/IntegrationGameLaunch?moneyType=0&amp;gameName=BrilliantHeart&amp;platform=desktop&amp;languageCode=eng&amp;currency=EUR" TargetMode="External"/><Relationship Id="rId1264" Type="http://schemas.openxmlformats.org/officeDocument/2006/relationships/hyperlink" Target="https://gameserver-store-client-area.orbionlimited.com/Home/IntegrationGameLaunch/client-area?moneyType=0&amp;gameName=PlayNetMajesticCrownEaster&amp;platform=desktop&amp;languageCode=eng&amp;currency=EUR" TargetMode="External"/><Relationship Id="rId1471" Type="http://schemas.openxmlformats.org/officeDocument/2006/relationships/hyperlink" Target="https://dicebyte.sharepoint.com/:w:/g/IQBkSwp3xWGoS6JWHr34lPnLAUTBake1SLvmEpk02u-x400?e=mDOD51" TargetMode="External"/><Relationship Id="rId701" Type="http://schemas.openxmlformats.org/officeDocument/2006/relationships/hyperlink" Target="https://drive.google.com/file/d/1CnPNsoW7A8gDqsGH0QmYIC5F1rDUvStJ/view?usp=drive_link" TargetMode="External"/><Relationship Id="rId939" Type="http://schemas.openxmlformats.org/officeDocument/2006/relationships/hyperlink" Target="https://onlinegamespromo.fazi.rs/Home/IntegrationGameLaunch?moneyType=0&amp;gameName=PlayNetDiamondHeart100&amp;platform=desktop&amp;languageCode=eng&amp;currency=EUR" TargetMode="External"/><Relationship Id="rId1124" Type="http://schemas.openxmlformats.org/officeDocument/2006/relationships/hyperlink" Target="https://static.redstone.rs/games/crown-royale/" TargetMode="External"/><Relationship Id="rId1331" Type="http://schemas.openxmlformats.org/officeDocument/2006/relationships/hyperlink" Target="https://drive.google.com/drive/folders/15rWQH-CBK5xGg6xMmpPR3P6hRE9IdqFf" TargetMode="External"/><Relationship Id="rId68" Type="http://schemas.openxmlformats.org/officeDocument/2006/relationships/hyperlink" Target="https://gameserver-store-client-area.orbionlimited.com/Home/IntegrationGameLaunch/client-area?moneyType=0&amp;gameName=VipRoulette&amp;platform=desktop&amp;languageCode=eng&amp;currency=EUR" TargetMode="External"/><Relationship Id="rId1429" Type="http://schemas.openxmlformats.org/officeDocument/2006/relationships/hyperlink" Target="https://gameserver-store-client-area.orbionlimited.com/Home/IntegrationGameLaunch/client-area?moneyType=0&amp;gameName=PlayNetDiamondHeart20&amp;platform=desktop&amp;languageCode=eng&amp;currency=EUR" TargetMode="External"/><Relationship Id="rId284" Type="http://schemas.openxmlformats.org/officeDocument/2006/relationships/hyperlink" Target="https://docs.google.com/document/d/1qt2u8fQ-xA0ELDkx6NartD2WsSj2h-it/edit?usp=drive_link&amp;ouid=107596163405648766688&amp;rtpof=true&amp;sd=true" TargetMode="External"/><Relationship Id="rId491" Type="http://schemas.openxmlformats.org/officeDocument/2006/relationships/hyperlink" Target="https://docs.google.com/document/d/1iXG_raCxlresDsCqMTqpIlfeAFtjbTIP/edit?usp=drive_link&amp;ouid=107596163405648766688&amp;rtpof=true&amp;sd=true" TargetMode="External"/><Relationship Id="rId144" Type="http://schemas.openxmlformats.org/officeDocument/2006/relationships/hyperlink" Target="https://static.redstone.rs/games/40-wild-dice/" TargetMode="External"/><Relationship Id="rId589" Type="http://schemas.openxmlformats.org/officeDocument/2006/relationships/hyperlink" Target="https://static.redstone.rs/games/spin-up/" TargetMode="External"/><Relationship Id="rId796" Type="http://schemas.openxmlformats.org/officeDocument/2006/relationships/hyperlink" Target="https://static.redstone.rs/games/multi-clover-10/" TargetMode="External"/><Relationship Id="rId351" Type="http://schemas.openxmlformats.org/officeDocument/2006/relationships/hyperlink" Target="https://onlinegamespromo.fazi.rs/Home/IntegrationGameLaunch?moneyType=0&amp;gameName=Unicorn20HotStrike&amp;platform=desktop&amp;languageCode=eng&amp;currency=EUR" TargetMode="External"/><Relationship Id="rId449" Type="http://schemas.openxmlformats.org/officeDocument/2006/relationships/hyperlink" Target="https://onlinegamespromo.fazi.rs/Home/IntegrationGameLaunch?moneyType=0&amp;gameName=MayansBattle&amp;platform=desktop&amp;languageCode=eng&amp;currency=EUR" TargetMode="External"/><Relationship Id="rId656" Type="http://schemas.openxmlformats.org/officeDocument/2006/relationships/hyperlink" Target="https://static.redstone.rs/games/apollo-27-classic/" TargetMode="External"/><Relationship Id="rId863" Type="http://schemas.openxmlformats.org/officeDocument/2006/relationships/hyperlink" Target="https://onlinegamespromo.fazi.rs/Home/IntegrationGameLaunch?moneyType=0&amp;gameName=UnicornCoyoteGems&amp;platform=desktop&amp;languageCode=eng&amp;currency=EUR" TargetMode="External"/><Relationship Id="rId1079" Type="http://schemas.openxmlformats.org/officeDocument/2006/relationships/hyperlink" Target="https://onlinegamespromo.fazi.rs/Home/IntegrationGameLaunch?moneyType=0&amp;gameName=UnicornSantasRudolf&amp;platform=desktop&amp;languageCode=eng&amp;currency=EUR" TargetMode="External"/><Relationship Id="rId1286" Type="http://schemas.openxmlformats.org/officeDocument/2006/relationships/hyperlink" Target="https://drive.google.com/file/d/1KOfqXXdYTAFXEN82MumL9YiluW04u2nw/view?usp=sharing" TargetMode="External"/><Relationship Id="rId1493" Type="http://schemas.openxmlformats.org/officeDocument/2006/relationships/hyperlink" Target="https://onlinegamespromo.fazi.rs/Home/IntegrationGameLaunch?moneyType=0&amp;gameName=UnicornSevensPayDice&amp;platform=desktop&amp;languageCode=eng&amp;currency=EUR" TargetMode="External"/><Relationship Id="rId211" Type="http://schemas.openxmlformats.org/officeDocument/2006/relationships/hyperlink" Target="https://onlinegamespromo.fazi.rs/Home/IntegrationGameLaunch?moneyType=0&amp;gameName=TurboHot80&amp;platform=desktop&amp;languageCode=eng&amp;currency=EUR" TargetMode="External"/><Relationship Id="rId309" Type="http://schemas.openxmlformats.org/officeDocument/2006/relationships/hyperlink" Target="https://docs.google.com/document/d/1VNqF32o_m9--56Cn7BCeuFYPW_6L_fHn/edit?usp=drive_link&amp;ouid=107596163405648766688&amp;rtpof=true&amp;sd=true" TargetMode="External"/><Relationship Id="rId516" Type="http://schemas.openxmlformats.org/officeDocument/2006/relationships/hyperlink" Target="https://gameserver-store-client-area.orbionlimited.com/Home/IntegrationGameLaunch/client-area?moneyType=0&amp;gameName=AmazingJoker&amp;platform=desktop&amp;languageCode=eng&amp;currency=EUR" TargetMode="External"/><Relationship Id="rId1146" Type="http://schemas.openxmlformats.org/officeDocument/2006/relationships/hyperlink" Target="https://drive.google.com/drive/folders/1GZelJ4WbdaZbsXFcj-RTy7MWNcV0zsX4?usp=drive_link" TargetMode="External"/><Relationship Id="rId723" Type="http://schemas.openxmlformats.org/officeDocument/2006/relationships/hyperlink" Target="https://static.redstone.rs/games/27-double-fruits/" TargetMode="External"/><Relationship Id="rId930" Type="http://schemas.openxmlformats.org/officeDocument/2006/relationships/hyperlink" Target="https://static.redstone.rs/games/multi-crown-10/" TargetMode="External"/><Relationship Id="rId1006" Type="http://schemas.openxmlformats.org/officeDocument/2006/relationships/hyperlink" Target="https://static.redstone.rs/games/777-extra-chance/" TargetMode="External"/><Relationship Id="rId1353" Type="http://schemas.openxmlformats.org/officeDocument/2006/relationships/hyperlink" Target="https://gameserver-store-client-area.orbionlimited.com/Home/IntegrationGameLaunch/client-area?moneyType=0&amp;gameName=UnicornTropicalTreasure&amp;platform=desktop&amp;languageCode=eng&amp;currency=EUR" TargetMode="External"/><Relationship Id="rId1213" Type="http://schemas.openxmlformats.org/officeDocument/2006/relationships/hyperlink" Target="https://gameserver-store-client-area.orbionlimited.com/Home/IntegrationGameLaunch/client-area?moneyType=0&amp;gameName=PlayNetLeprechaunsFortuneClover&amp;platform=desktop&amp;languageCode=eng&amp;currency=EUR" TargetMode="External"/><Relationship Id="rId1420" Type="http://schemas.openxmlformats.org/officeDocument/2006/relationships/hyperlink" Target="https://onlinegamespromo.fazi.rs/Home/IntegrationGameLaunch?moneyType=0&amp;gameName=PlayNetRoyalFlame40&amp;platform=desktop&amp;languageCode=eng&amp;currency=EUR" TargetMode="External"/><Relationship Id="rId1518" Type="http://schemas.openxmlformats.org/officeDocument/2006/relationships/hyperlink" Target="https://drive.google.com/drive/u/1/folders/1BLuE2WJvCB2-CMTqcQovdwwyoTEQF3gl" TargetMode="External"/><Relationship Id="rId17" Type="http://schemas.openxmlformats.org/officeDocument/2006/relationships/hyperlink" Target="https://onlinegamespromo.fazi.rs/Home/IntegrationGameLaunch?moneyType=0&amp;gameName=PYRAMID&amp;platform=desktop&amp;languageCode=eng&amp;currency=EUR" TargetMode="External"/><Relationship Id="rId166" Type="http://schemas.openxmlformats.org/officeDocument/2006/relationships/hyperlink" Target="https://gameserver-store-client-area.orbionlimited.com/Home/IntegrationGameLaunch/client-area?moneyType=0&amp;gameName=VeryHot5&amp;platform=desktop&amp;languageCode=eng&amp;currency=EUR" TargetMode="External"/><Relationship Id="rId373" Type="http://schemas.openxmlformats.org/officeDocument/2006/relationships/hyperlink" Target="https://onlinegamespromo.fazi.rs/Home/IntegrationGameLaunch?moneyType=0&amp;gameName=WildHot40FreeSpins&amp;platform=desktop&amp;languageCode=eng&amp;currency=EUR" TargetMode="External"/><Relationship Id="rId580" Type="http://schemas.openxmlformats.org/officeDocument/2006/relationships/hyperlink" Target="https://gameserver-store-client-area.orbionlimited.com/Home/IntegrationGameLaunch/client-area?moneyType=0&amp;gameName=WildSunburst&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33" Type="http://schemas.openxmlformats.org/officeDocument/2006/relationships/hyperlink" Target="https://docs.google.com/document/d/1CyErVCulJFeM4crdjcdYPGw9WRRQG_bT/edit?usp=drive_link&amp;ouid=107596163405648766688&amp;rtpof=true&amp;sd=true" TargetMode="External"/><Relationship Id="rId440" Type="http://schemas.openxmlformats.org/officeDocument/2006/relationships/hyperlink" Target="https://play.redstone.rs/games/clover-blast-5/index.html" TargetMode="External"/><Relationship Id="rId678" Type="http://schemas.openxmlformats.org/officeDocument/2006/relationships/hyperlink" Target="https://gameserver-store-client-area.orbionlimited.com/Home/IntegrationGameLaunch/client-area?moneyType=0&amp;gameName=UnicornGoldLineDice&amp;platform=desktop&amp;languageCode=eng&amp;currency=EUR" TargetMode="External"/><Relationship Id="rId885" Type="http://schemas.openxmlformats.org/officeDocument/2006/relationships/hyperlink" Target="https://static.redstone.rs/games/10-wild-heart/" TargetMode="External"/><Relationship Id="rId1070" Type="http://schemas.openxmlformats.org/officeDocument/2006/relationships/hyperlink" Target="https://gameserver-store-client-area.orbionlimited.com/Home/IntegrationGameLaunch/client-area?moneyType=0&amp;gameName=UnicornSuperHighRunner&amp;platform=desktop&amp;languageCode=eng&amp;currency=EUR" TargetMode="External"/><Relationship Id="rId300" Type="http://schemas.openxmlformats.org/officeDocument/2006/relationships/hyperlink" Target="https://static.redstone.rs/games/heat-classic-5/" TargetMode="External"/><Relationship Id="rId538" Type="http://schemas.openxmlformats.org/officeDocument/2006/relationships/hyperlink" Target="https://gameserver-store-client-area.orbionlimited.com/Home/IntegrationGameLaunch/client-area?moneyType=0&amp;gameName=MysticJungle&amp;platform=desktop&amp;languageCode=eng&amp;currency=EUR" TargetMode="External"/><Relationship Id="rId745" Type="http://schemas.openxmlformats.org/officeDocument/2006/relationships/hyperlink" Target="https://static.redstone.rs/games/dice-double/" TargetMode="External"/><Relationship Id="rId952" Type="http://schemas.openxmlformats.org/officeDocument/2006/relationships/hyperlink" Target="https://gameserver-store-client-area.orbionlimited.com/Home/IntegrationGameLaunch/client-area?moneyType=0&amp;gameName=XSpins&amp;platform=desktop&amp;languageCode=eng&amp;currency=EUR" TargetMode="External"/><Relationship Id="rId1168" Type="http://schemas.openxmlformats.org/officeDocument/2006/relationships/hyperlink" Target="https://gameserver-store-client-area.orbionlimited.com/Home/IntegrationGameLaunch/client-area?moneyType=0&amp;gameName=WildHot40BlowBooster&amp;platform=desktop&amp;languageCode=eng&amp;currency=EUR" TargetMode="External"/><Relationship Id="rId1375" Type="http://schemas.openxmlformats.org/officeDocument/2006/relationships/hyperlink" Target="https://docs.google.com/document/d/1wjAA9dVrysXRFWD6hDLMhXgTp1vFJXxU/edit" TargetMode="External"/><Relationship Id="rId81" Type="http://schemas.openxmlformats.org/officeDocument/2006/relationships/hyperlink" Target="https://onlinegamespromo.fazi.rs/Home/IntegrationGameLaunch?moneyType=0&amp;gameName=TwinklingHot40&amp;platform=desktop&amp;languageCode=eng&amp;currency=EUR" TargetMode="External"/><Relationship Id="rId605" Type="http://schemas.openxmlformats.org/officeDocument/2006/relationships/hyperlink" Target="https://drive.google.com/file/d/1Bzk5T4MRXZAiUngZZUNnNYIqLHVoexC2/view?usp=drive_link" TargetMode="External"/><Relationship Id="rId812" Type="http://schemas.openxmlformats.org/officeDocument/2006/relationships/hyperlink" Target="https://static.redstone.rs/games/sweet-respins/" TargetMode="External"/><Relationship Id="rId1028" Type="http://schemas.openxmlformats.org/officeDocument/2006/relationships/hyperlink" Target="https://gameserver-store-client-area.orbionlimited.com/Home/IntegrationGameLaunch/client-area?moneyType=0&amp;gameName=UnicornCollectCall&amp;platform=desktop&amp;languageCode=eng&amp;currency=EUR" TargetMode="External"/><Relationship Id="rId1235" Type="http://schemas.openxmlformats.org/officeDocument/2006/relationships/hyperlink" Target="https://docs.google.com/document/d/1dlazeHdTqsOJJ_1gZ2T5RwwEiDm_pWyU/edit?usp=drive_link&amp;ouid=107596163405648766688&amp;rtpof=true&amp;sd=true" TargetMode="External"/><Relationship Id="rId1442" Type="http://schemas.openxmlformats.org/officeDocument/2006/relationships/hyperlink" Target="https://onlinegamespromo.fazi.rs/Home/IntegrationGameLaunch?moneyType=0&amp;gameName=TripleWildCrown&amp;platform=desktop&amp;languageCode=eng&amp;currency=EUR" TargetMode="External"/><Relationship Id="rId1302" Type="http://schemas.openxmlformats.org/officeDocument/2006/relationships/hyperlink" Target="https://gameserver-store-client-area.orbionlimited.com/Home/IntegrationGameLaunch/client-area?moneyType=0&amp;gameName=LockedHearts10&amp;platform=desktop&amp;languageCode=eng&amp;currency=EUR" TargetMode="External"/><Relationship Id="rId39" Type="http://schemas.openxmlformats.org/officeDocument/2006/relationships/hyperlink" Target="https://onlinegamespromo.fazi.rs/Home/IntegrationGameLaunch?moneyType=0&amp;gameName=TROPICALHOT&amp;platform=desktop&amp;languageCode=eng&amp;currency=EUR" TargetMode="External"/><Relationship Id="rId188" Type="http://schemas.openxmlformats.org/officeDocument/2006/relationships/hyperlink" Target="https://gameserver-store-client-area.orbionlimited.com/Home/IntegrationGameLaunch/client-area?moneyType=0&amp;gameName=TwinklingHot80&amp;platform=desktop&amp;languageCode=eng&amp;currency=EUR" TargetMode="External"/><Relationship Id="rId395" Type="http://schemas.openxmlformats.org/officeDocument/2006/relationships/hyperlink" Target="https://docs.google.com/document/d/12wJkghBsZEm-qAvIyc60s4oCbhRi_Kwe/edit?usp=drive_link&amp;ouid=107596163405648766688&amp;rtpof=true&amp;sd=true" TargetMode="External"/><Relationship Id="rId255" Type="http://schemas.openxmlformats.org/officeDocument/2006/relationships/hyperlink" Target="https://onlinegamespromo.fazi.rs/Home/IntegrationGameLaunch?moneyType=0&amp;gameName=UnicornFruitMagic&amp;platform=desktop&amp;languageCode=eng&amp;currency=EUR" TargetMode="External"/><Relationship Id="rId462" Type="http://schemas.openxmlformats.org/officeDocument/2006/relationships/hyperlink" Target="https://gameserver-store-client-area.orbionlimited.com/Home/IntegrationGameLaunch/client-area?moneyType=0&amp;gameName=MrFirstCryptonium&amp;platform=desktop&amp;languageCode=eng&amp;currency=EUR" TargetMode="External"/><Relationship Id="rId1092" Type="http://schemas.openxmlformats.org/officeDocument/2006/relationships/hyperlink" Target="https://gameserver-store-client-area.orbionlimited.com/Home/IntegrationGameLaunch/client-area?moneyType=0&amp;gameName=PlayNetMajesticCrown40&amp;platform=desktop&amp;languageCode=eng&amp;currency=EUR" TargetMode="External"/><Relationship Id="rId1397" Type="http://schemas.openxmlformats.org/officeDocument/2006/relationships/hyperlink" Target="https://docs.google.com/document/d/1ZLIW__zySyCWziF_dXa9g43UImM4EpOH/edit?usp=drive_link&amp;ouid=107596163405648766688&amp;rtpof=true&amp;sd=true" TargetMode="External"/><Relationship Id="rId115" Type="http://schemas.openxmlformats.org/officeDocument/2006/relationships/hyperlink" Target="https://onlinegamespromo.fazi.rs/Home/IntegrationGameLaunch?moneyType=0&amp;gameName=UnicornFruitIsland&amp;platform=desktop&amp;languageCode=eng&amp;currency=EUR" TargetMode="External"/><Relationship Id="rId322" Type="http://schemas.openxmlformats.org/officeDocument/2006/relationships/hyperlink" Target="https://gameserver-store-client-area.orbionlimited.com/Home/IntegrationGameLaunch/client-area?moneyType=0&amp;gameName=UnicornWinterFruits&amp;platform=desktop&amp;languageCode=eng&amp;currency=EUR" TargetMode="External"/><Relationship Id="rId767" Type="http://schemas.openxmlformats.org/officeDocument/2006/relationships/hyperlink" Target="https://static.redstone.rs/games/cosmic-sevens/" TargetMode="External"/><Relationship Id="rId974" Type="http://schemas.openxmlformats.org/officeDocument/2006/relationships/hyperlink" Target="https://static.redstone.rs/games/40-wild-crown/" TargetMode="External"/><Relationship Id="rId627" Type="http://schemas.openxmlformats.org/officeDocument/2006/relationships/hyperlink" Target="https://onlinegamespromo.fazi.rs/Home/IntegrationGameLaunch?moneyType=0&amp;gameName=TurboStars10&amp;platform=desktop&amp;languageCode=eng&amp;currency=EUR" TargetMode="External"/><Relationship Id="rId834" Type="http://schemas.openxmlformats.org/officeDocument/2006/relationships/hyperlink" Target="https://static.redstone.rs/games/hot-rush-fruit-lines/" TargetMode="External"/><Relationship Id="rId1257" Type="http://schemas.openxmlformats.org/officeDocument/2006/relationships/hyperlink" Target="https://static.redstone.rs/games/dice-drop-10/" TargetMode="External"/><Relationship Id="rId1464" Type="http://schemas.openxmlformats.org/officeDocument/2006/relationships/hyperlink" Target="https://static.redstone.rs/games/10-heart-deluxe/" TargetMode="External"/><Relationship Id="rId901" Type="http://schemas.openxmlformats.org/officeDocument/2006/relationships/hyperlink" Target="https://static.redstone.rs/games/clover-drop/" TargetMode="External"/><Relationship Id="rId1117" Type="http://schemas.openxmlformats.org/officeDocument/2006/relationships/hyperlink" Target="https://docs.google.com/document/d/1lt4c7fu2mMR24TV6mjkpAD6uJd9uRARo/edit?usp=drive_link&amp;ouid=107596163405648766688&amp;rtpof=true&amp;sd=true" TargetMode="External"/><Relationship Id="rId1324" Type="http://schemas.openxmlformats.org/officeDocument/2006/relationships/hyperlink" Target="http://pasino.ch/" TargetMode="External"/><Relationship Id="rId1531" Type="http://schemas.openxmlformats.org/officeDocument/2006/relationships/hyperlink" Target="https://drive.google.com/file/d/1JHdeWf7t5_oOGjzMNPMThT3v8di0qzBX/view?usp=drive_link" TargetMode="External"/><Relationship Id="rId30" Type="http://schemas.openxmlformats.org/officeDocument/2006/relationships/hyperlink" Target="https://gameserver-store-client-area.orbionlimited.com/Home/IntegrationGameLaunch/client-area?moneyType=0&amp;gameName=MegaHot&amp;platform=desktop&amp;languageCode=eng&amp;currency=EUR" TargetMode="External"/><Relationship Id="rId277" Type="http://schemas.openxmlformats.org/officeDocument/2006/relationships/hyperlink" Target="https://docs.google.com/document/d/1GFgTEmo88EJNNTrmzAJSqmEZoh735-y2/edit?usp=drive_link&amp;ouid=107596163405648766688&amp;rtpof=true&amp;sd=true" TargetMode="External"/><Relationship Id="rId484" Type="http://schemas.openxmlformats.org/officeDocument/2006/relationships/hyperlink" Target="https://docs.google.com/document/d/1brLhaUzYeRZigMCFlrbWhCZ4Gmwkbd-L/edit?usp=drive_link&amp;ouid=107596163405648766688&amp;rtpof=true&amp;sd=true" TargetMode="External"/><Relationship Id="rId137" Type="http://schemas.openxmlformats.org/officeDocument/2006/relationships/hyperlink" Target="https://onlinegamespromo.fazi.rs/Home/IntegrationGameLaunch?moneyType=0&amp;gameName=UnicornCasinoFruits&amp;platform=desktop&amp;languageCode=eng&amp;currency=EUR" TargetMode="External"/><Relationship Id="rId344" Type="http://schemas.openxmlformats.org/officeDocument/2006/relationships/hyperlink" Target="https://gameserver-store-client-area.orbionlimited.com/Home/IntegrationGameLaunch/client-area?moneyType=0&amp;gameName=GoldenExplosion&amp;platform=desktop&amp;languageCode=eng&amp;currency=EUR" TargetMode="External"/><Relationship Id="rId691" Type="http://schemas.openxmlformats.org/officeDocument/2006/relationships/hyperlink" Target="https://static.redstone.rs/games/spooky-spins/" TargetMode="External"/><Relationship Id="rId789" Type="http://schemas.openxmlformats.org/officeDocument/2006/relationships/hyperlink" Target="https://onlinegamespromo.fazi.rs/Home/IntegrationGameLaunch?moneyType=0&amp;gameName=UnicornWildHoppers&amp;platform=desktop&amp;languageCode=eng&amp;currency=EUR" TargetMode="External"/><Relationship Id="rId996" Type="http://schemas.openxmlformats.org/officeDocument/2006/relationships/hyperlink" Target="https://drive.google.com/file/d/1o6AJewj4icCYI4peF3C-aGmSVPa12E4c/view?usp=drive_link" TargetMode="External"/><Relationship Id="rId551" Type="http://schemas.openxmlformats.org/officeDocument/2006/relationships/hyperlink" Target="https://onlinegamespromo.fazi.rs/Home/IntegrationGameLaunch?moneyType=0&amp;gameName=VintageFruits40&amp;platform=desktop&amp;languageCode=eng&amp;currency=EUR" TargetMode="External"/><Relationship Id="rId649" Type="http://schemas.openxmlformats.org/officeDocument/2006/relationships/hyperlink" Target="https://static.redstone.rs/games/81-vegas-crown/" TargetMode="External"/><Relationship Id="rId856" Type="http://schemas.openxmlformats.org/officeDocument/2006/relationships/hyperlink" Target="https://gameserver-store-client-area.orbionlimited.com/Home/IntegrationGameLaunch/client-area?moneyType=0&amp;gameName=UnicornTripleStackedDiamonds&amp;platform=desktop&amp;languageCode=eng&amp;currency=EUR" TargetMode="External"/><Relationship Id="rId1181" Type="http://schemas.openxmlformats.org/officeDocument/2006/relationships/hyperlink" Target="https://docs.google.com/document/d/1-wqW8xdzjNitvuyufm3GsLU75GnufP5F/edit?usp=drive_link&amp;ouid=107596163405648766688&amp;rtpof=true&amp;sd=true" TargetMode="External"/><Relationship Id="rId1279" Type="http://schemas.openxmlformats.org/officeDocument/2006/relationships/hyperlink" Target="https://onlinegamespromo.fazi.rs/Home/IntegrationGameLaunch?moneyType=0&amp;gameName=UnicornTripleRoyalWilds&amp;platform=desktop&amp;languageCode=eng&amp;currency=EUR" TargetMode="External"/><Relationship Id="rId1486" Type="http://schemas.openxmlformats.org/officeDocument/2006/relationships/hyperlink" Target="https://gameserver-store-client-area.orbionlimited.com/Home/IntegrationGameLaunch/client-area?moneyType=0&amp;gameName=UnicornSpinTheSevens&amp;platform=desktop&amp;languageCode=eng&amp;currency=EUR" TargetMode="External"/><Relationship Id="rId204" Type="http://schemas.openxmlformats.org/officeDocument/2006/relationships/hyperlink" Target="https://gameserver-store-client-area.orbionlimited.com/Home/IntegrationGameLaunch/client-area?moneyType=0&amp;gameName=ElGrandeToro&amp;platform=desktop&amp;languageCode=eng&amp;currency=EUR" TargetMode="External"/><Relationship Id="rId411" Type="http://schemas.openxmlformats.org/officeDocument/2006/relationships/hyperlink" Target="https://static.redstone.rs/games/blazing-heat/" TargetMode="External"/><Relationship Id="rId509" Type="http://schemas.openxmlformats.org/officeDocument/2006/relationships/hyperlink" Target="https://docs.google.com/document/d/1xZfjh3I85tXFS4VTeVhFyQUmcXUmdotx/edit?usp=drive_link&amp;ouid=107596163405648766688&amp;rtpof=true&amp;sd=true" TargetMode="External"/><Relationship Id="rId1041" Type="http://schemas.openxmlformats.org/officeDocument/2006/relationships/hyperlink" Target="https://onlinegamespromo.fazi.rs/Home/IntegrationGameLaunch?moneyType=0&amp;gameName=GoldenCrown40&amp;platform=desktop&amp;languageCode=eng&amp;currency=EUR" TargetMode="External"/><Relationship Id="rId1139" Type="http://schemas.openxmlformats.org/officeDocument/2006/relationships/hyperlink" Target="https://static.redstone.rs/games/9-of-a-kind/" TargetMode="External"/><Relationship Id="rId1346" Type="http://schemas.openxmlformats.org/officeDocument/2006/relationships/hyperlink" Target="https://gameserver-store-client-area.orbionlimited.com/Home/IntegrationGameLaunch/client-area?moneyType=0&amp;gameName=RoyalgardenQueen&amp;platform=desktop&amp;languageCode=eng&amp;currency=EUR" TargetMode="External"/><Relationship Id="rId716" Type="http://schemas.openxmlformats.org/officeDocument/2006/relationships/hyperlink" Target="https://gameserver-store-client-area.orbionlimited.com/Home/IntegrationGameLaunch/client-area?moneyType=0&amp;gameName=UnicornDynamiteRun&amp;platform=desktop&amp;languageCode=eng&amp;currency=EUR" TargetMode="External"/><Relationship Id="rId923" Type="http://schemas.openxmlformats.org/officeDocument/2006/relationships/hyperlink" Target="https://drive.google.com/drive/folders/1YXBfTlfZhbE8STuraiERB1FtF1PzqAXe" TargetMode="External"/><Relationship Id="rId52" Type="http://schemas.openxmlformats.org/officeDocument/2006/relationships/hyperlink" Target="https://gameserver-store-client-area.orbionlimited.com/Home/IntegrationGameLaunch/client-area?moneyType=0&amp;gameName=SpaceGuardians&amp;platform=desktop&amp;languageCode=eng&amp;currency=EUR" TargetMode="External"/><Relationship Id="rId1206" Type="http://schemas.openxmlformats.org/officeDocument/2006/relationships/hyperlink" Target="https://docs.google.com/document/d/1jC0UVytQOVQFSLVZ3aljFKvtQvdFaFOY/edit?usp=drive_link&amp;ouid=107596163405648766688&amp;rtpof=true&amp;sd=true" TargetMode="External"/><Relationship Id="rId1413" Type="http://schemas.openxmlformats.org/officeDocument/2006/relationships/hyperlink" Target="https://docs.google.com/document/d/1vRhIkDYysLL_zxj3-EOsRRAyKL69H-Ul/edit?usp=drive_link&amp;ouid=107596163405648766688&amp;rtpof=true&amp;sd=true" TargetMode="External"/><Relationship Id="rId299" Type="http://schemas.openxmlformats.org/officeDocument/2006/relationships/hyperlink" Target="https://static.redstone.rs/games/heat-classic-5/" TargetMode="External"/><Relationship Id="rId159" Type="http://schemas.openxmlformats.org/officeDocument/2006/relationships/hyperlink" Target="https://onlinegamespromo.fazi.rs/Home/IntegrationGameLaunch?moneyType=0&amp;gameName=LollasWorld&amp;platform=desktop&amp;languageCode=eng&amp;currency=EUR" TargetMode="External"/><Relationship Id="rId366" Type="http://schemas.openxmlformats.org/officeDocument/2006/relationships/hyperlink" Target="https://gameserver-store-client-area.orbionlimited.com/Home/IntegrationGameLaunch/client-area?moneyType=0&amp;gameName=Wild27&amp;platform=desktop&amp;languageCode=eng&amp;currency=EUR" TargetMode="External"/><Relationship Id="rId573" Type="http://schemas.openxmlformats.org/officeDocument/2006/relationships/hyperlink" Target="https://onlinegamespromo.fazi.rs/Home/IntegrationGameLaunch?moneyType=0&amp;gameName=UnicornBuffaloSevens&amp;platform=desktop&amp;languageCode=eng&amp;currency=EUR" TargetMode="External"/><Relationship Id="rId780" Type="http://schemas.openxmlformats.org/officeDocument/2006/relationships/hyperlink" Target="https://gameserver-store-client-area.orbionlimited.com/Home/IntegrationGameLaunch/client-area?moneyType=0&amp;gameName=UnicornEpicMegaCash&amp;platform=desktop&amp;languageCode=eng&amp;currency=EUR" TargetMode="External"/><Relationship Id="rId226" Type="http://schemas.openxmlformats.org/officeDocument/2006/relationships/hyperlink" Target="https://gameserver-store-client-area.orbionlimited.com/Home/IntegrationGameLaunch/client-area?moneyType=0&amp;gameName=EyeOfTut&amp;platform=desktop&amp;languageCode=eng&amp;currency=EUR" TargetMode="External"/><Relationship Id="rId433" Type="http://schemas.openxmlformats.org/officeDocument/2006/relationships/hyperlink" Target="https://onlinegamespromo.fazi.rs/Home/IntegrationGameLaunch?moneyType=0&amp;gameName=Unicorn10JingleFruits&amp;platform=desktop&amp;languageCode=eng&amp;currency=EUR" TargetMode="External"/><Relationship Id="rId878" Type="http://schemas.openxmlformats.org/officeDocument/2006/relationships/hyperlink" Target="https://gameserver-store-client-area.orbionlimited.com/Home/IntegrationGameLaunch/client-area?moneyType=0&amp;gameName=LuckySheriff&amp;platform=desktop&amp;languageCode=eng&amp;currency=EUR" TargetMode="External"/><Relationship Id="rId1063" Type="http://schemas.openxmlformats.org/officeDocument/2006/relationships/hyperlink" Target="https://onlinegamespromo.fazi.rs/Home/IntegrationGameLaunch?moneyType=0&amp;gameName=FruitLock7&amp;platform=desktop&amp;languageCode=eng&amp;currency=EUR" TargetMode="External"/><Relationship Id="rId1270" Type="http://schemas.openxmlformats.org/officeDocument/2006/relationships/hyperlink" Target="https://gameserver-store-client-area.orbionlimited.com/Home/IntegrationGameLaunch/client-area?moneyType=0&amp;gameName=UnicornLuckyGinger&amp;platform=desktop&amp;languageCode=eng&amp;currency=EU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static.redstone.rs/games/5-bell-fire/" TargetMode="External"/><Relationship Id="rId21" Type="http://schemas.openxmlformats.org/officeDocument/2006/relationships/hyperlink" Target="https://static.redstone.rs/games/10-wild-pumpkin/" TargetMode="External"/><Relationship Id="rId42" Type="http://schemas.openxmlformats.org/officeDocument/2006/relationships/hyperlink" Target="https://static.redstone.rs/games/chilli-double/" TargetMode="External"/><Relationship Id="rId63" Type="http://schemas.openxmlformats.org/officeDocument/2006/relationships/hyperlink" Target="https://static.redstone.rs/games/christmas-delight/" TargetMode="External"/><Relationship Id="rId84" Type="http://schemas.openxmlformats.org/officeDocument/2006/relationships/hyperlink" Target="https://static.redstone.rs/games/multi-crown-10/" TargetMode="External"/><Relationship Id="rId138" Type="http://schemas.openxmlformats.org/officeDocument/2006/relationships/hyperlink" Target="https://gameserver-store-client-area.orbionlimited.com/Home/IntegrationGameLaunch/client-area?moneyType=0&amp;gameName=RedstoneCloverFire1000&amp;platform=desktop&amp;languageCode=eng&amp;currency=EUR" TargetMode="External"/><Relationship Id="rId16" Type="http://schemas.openxmlformats.org/officeDocument/2006/relationships/hyperlink" Target="https://static.redstone.rs/games/10-wild-dice/" TargetMode="External"/><Relationship Id="rId107" Type="http://schemas.openxmlformats.org/officeDocument/2006/relationships/hyperlink" Target="https://static.redstone.rs/games/9-of-a-kind/" TargetMode="External"/><Relationship Id="rId11" Type="http://schemas.openxmlformats.org/officeDocument/2006/relationships/hyperlink" Target="https://static.redstone.rs/games/action-hot-40/" TargetMode="External"/><Relationship Id="rId32" Type="http://schemas.openxmlformats.org/officeDocument/2006/relationships/hyperlink" Target="https://play.redstone.rs/games/chilli-hot-5/index.html" TargetMode="External"/><Relationship Id="rId37" Type="http://schemas.openxmlformats.org/officeDocument/2006/relationships/hyperlink" Target="https://play.redstone.rs/games/wild-heart-beat/index.html" TargetMode="External"/><Relationship Id="rId53" Type="http://schemas.openxmlformats.org/officeDocument/2006/relationships/hyperlink" Target="https://static.redstone.rs/games/apollo-27-classic/" TargetMode="External"/><Relationship Id="rId58" Type="http://schemas.openxmlformats.org/officeDocument/2006/relationships/hyperlink" Target="https://static.redstone.rs/games/5-wild-fire/" TargetMode="External"/><Relationship Id="rId74" Type="http://schemas.openxmlformats.org/officeDocument/2006/relationships/hyperlink" Target="https://static.redstone.rs/games/farm-fiesta/" TargetMode="External"/><Relationship Id="rId79" Type="http://schemas.openxmlformats.org/officeDocument/2006/relationships/hyperlink" Target="https://static.redstone.rs/games/10-wild-heart/" TargetMode="External"/><Relationship Id="rId102" Type="http://schemas.openxmlformats.org/officeDocument/2006/relationships/hyperlink" Target="https://static.redstone.rs/games/chilli-hot-40/" TargetMode="External"/><Relationship Id="rId123" Type="http://schemas.openxmlformats.org/officeDocument/2006/relationships/hyperlink" Target="https://static.redstone.rs/games/heart-deluxe-2x/" TargetMode="External"/><Relationship Id="rId128" Type="http://schemas.openxmlformats.org/officeDocument/2006/relationships/hyperlink" Target="https://static.redstone.rs/games/cosmic-fruits/" TargetMode="External"/><Relationship Id="rId5" Type="http://schemas.openxmlformats.org/officeDocument/2006/relationships/hyperlink" Target="https://static.redstone.rs/games/40-wild-dice/" TargetMode="External"/><Relationship Id="rId90" Type="http://schemas.openxmlformats.org/officeDocument/2006/relationships/hyperlink" Target="https://static.redstone.rs/games/heart-royale/" TargetMode="External"/><Relationship Id="rId95" Type="http://schemas.openxmlformats.org/officeDocument/2006/relationships/hyperlink" Target="https://static.redstone.rs/games/sevens-heaven/" TargetMode="External"/><Relationship Id="rId22" Type="http://schemas.openxmlformats.org/officeDocument/2006/relationships/hyperlink" Target="https://static.redstone.rs/games/5-crown-fire/" TargetMode="External"/><Relationship Id="rId27" Type="http://schemas.openxmlformats.org/officeDocument/2006/relationships/hyperlink" Target="https://static.redstone.rs/games/heat-double/" TargetMode="External"/><Relationship Id="rId43" Type="http://schemas.openxmlformats.org/officeDocument/2006/relationships/hyperlink" Target="https://static.redstone.rs/games/hot-rush-crown-burst/" TargetMode="External"/><Relationship Id="rId48" Type="http://schemas.openxmlformats.org/officeDocument/2006/relationships/hyperlink" Target="https://static.redstone.rs/games/caps-and-crowns/" TargetMode="External"/><Relationship Id="rId64" Type="http://schemas.openxmlformats.org/officeDocument/2006/relationships/hyperlink" Target="https://static.redstone.rs/games/funky-fruits/" TargetMode="External"/><Relationship Id="rId69" Type="http://schemas.openxmlformats.org/officeDocument/2006/relationships/hyperlink" Target="https://static.redstone.rs/games/clover-royale/" TargetMode="External"/><Relationship Id="rId113" Type="http://schemas.openxmlformats.org/officeDocument/2006/relationships/hyperlink" Target="https://static.redstone.rs/games/respin-fortune/" TargetMode="External"/><Relationship Id="rId118" Type="http://schemas.openxmlformats.org/officeDocument/2006/relationships/hyperlink" Target="https://static.redstone.rs/games/dice-drop-10/" TargetMode="External"/><Relationship Id="rId134" Type="http://schemas.openxmlformats.org/officeDocument/2006/relationships/hyperlink" Target="https://gameserver-store-client-area.orbionlimited.com/Home/IntegrationGameLaunch/client-area?moneyType=0&amp;gameName=Redstone10CrownDeluxe&amp;platform=desktop&amp;languageCode=eng&amp;currency=EUR" TargetMode="External"/><Relationship Id="rId139" Type="http://schemas.openxmlformats.org/officeDocument/2006/relationships/hyperlink" Target="https://gameserver-store-client-area.orbionlimited.com/Home/IntegrationGameLaunch/client-area?moneyType=0&amp;gameName=RedstoneWildHeart1000&amp;platform=desktop&amp;languageCode=eng&amp;currency=EUR" TargetMode="External"/><Relationship Id="rId80" Type="http://schemas.openxmlformats.org/officeDocument/2006/relationships/hyperlink" Target="https://static.redstone.rs/games/40-joker-fire/" TargetMode="External"/><Relationship Id="rId85" Type="http://schemas.openxmlformats.org/officeDocument/2006/relationships/hyperlink" Target="https://static.redstone.rs/games/777-expand/" TargetMode="External"/><Relationship Id="rId12" Type="http://schemas.openxmlformats.org/officeDocument/2006/relationships/hyperlink" Target="https://static.redstone.rs/games/action-hot-20/" TargetMode="External"/><Relationship Id="rId17" Type="http://schemas.openxmlformats.org/officeDocument/2006/relationships/hyperlink" Target="https://static.redstone.rs/games/book-of-ibis/" TargetMode="External"/><Relationship Id="rId33" Type="http://schemas.openxmlformats.org/officeDocument/2006/relationships/hyperlink" Target="https://play.redstone.rs/games/40-hot-joker/index.html" TargetMode="External"/><Relationship Id="rId38" Type="http://schemas.openxmlformats.org/officeDocument/2006/relationships/hyperlink" Target="https://play.redstone.rs/games/wild-trail/index.html" TargetMode="External"/><Relationship Id="rId59" Type="http://schemas.openxmlformats.org/officeDocument/2006/relationships/hyperlink" Target="https://static.redstone.rs/games/81-double-magic/" TargetMode="External"/><Relationship Id="rId103" Type="http://schemas.openxmlformats.org/officeDocument/2006/relationships/hyperlink" Target="https://static.redstone.rs/games/inferno-hot-20/" TargetMode="External"/><Relationship Id="rId108" Type="http://schemas.openxmlformats.org/officeDocument/2006/relationships/hyperlink" Target="https://static.redstone.rs/games/5-wild-diamond/" TargetMode="External"/><Relationship Id="rId124" Type="http://schemas.openxmlformats.org/officeDocument/2006/relationships/hyperlink" Target="https://static.redstone.rs/games/pure-hot-5/" TargetMode="External"/><Relationship Id="rId129" Type="http://schemas.openxmlformats.org/officeDocument/2006/relationships/hyperlink" Target="https://static.redstone.rs/games/x-wild-heart/" TargetMode="External"/><Relationship Id="rId54" Type="http://schemas.openxmlformats.org/officeDocument/2006/relationships/hyperlink" Target="https://static.redstone.rs/games/double-clover-fire/" TargetMode="External"/><Relationship Id="rId70" Type="http://schemas.openxmlformats.org/officeDocument/2006/relationships/hyperlink" Target="https://static.redstone.rs/games/eternal-hearts-10/" TargetMode="External"/><Relationship Id="rId75" Type="http://schemas.openxmlformats.org/officeDocument/2006/relationships/hyperlink" Target="https://static.redstone.rs/games/sweet-respins/" TargetMode="External"/><Relationship Id="rId91" Type="http://schemas.openxmlformats.org/officeDocument/2006/relationships/hyperlink" Target="https://static.redstone.rs/games/reel-x5-27-ways/" TargetMode="External"/><Relationship Id="rId96" Type="http://schemas.openxmlformats.org/officeDocument/2006/relationships/hyperlink" Target="https://static.redstone.rs/games/777-extra-chance/" TargetMode="External"/><Relationship Id="rId140" Type="http://schemas.openxmlformats.org/officeDocument/2006/relationships/hyperlink" Target="https://gameserver-store-client-area.orbionlimited.com/Home/IntegrationGameLaunch/client-area?moneyType=0&amp;gameName=RedstoneWildCrown1000&amp;platform=desktop&amp;languageCode=eng&amp;currency=EUR" TargetMode="External"/><Relationship Id="rId1" Type="http://schemas.openxmlformats.org/officeDocument/2006/relationships/hyperlink" Target="https://static.redstone.rs/games/40-wild-clover/" TargetMode="External"/><Relationship Id="rId6" Type="http://schemas.openxmlformats.org/officeDocument/2006/relationships/hyperlink" Target="https://static.redstone.rs/games/5-dice-fire/" TargetMode="External"/><Relationship Id="rId23" Type="http://schemas.openxmlformats.org/officeDocument/2006/relationships/hyperlink" Target="https://static.redstone.rs/games/10-wild-santa/" TargetMode="External"/><Relationship Id="rId28" Type="http://schemas.openxmlformats.org/officeDocument/2006/relationships/hyperlink" Target="https://static.redstone.rs/games/blazing-heat/" TargetMode="External"/><Relationship Id="rId49" Type="http://schemas.openxmlformats.org/officeDocument/2006/relationships/hyperlink" Target="https://static.redstone.rs/games/hot-rush-both-ways/" TargetMode="External"/><Relationship Id="rId114" Type="http://schemas.openxmlformats.org/officeDocument/2006/relationships/hyperlink" Target="https://static.redstone.rs/games/multi-clover-5/" TargetMode="External"/><Relationship Id="rId119" Type="http://schemas.openxmlformats.org/officeDocument/2006/relationships/hyperlink" Target="https://static.redstone.rs/games/5-clover-fire-blast/" TargetMode="External"/><Relationship Id="rId44" Type="http://schemas.openxmlformats.org/officeDocument/2006/relationships/hyperlink" Target="https://static.redstone.rs/games/lady-triple-fortune/" TargetMode="External"/><Relationship Id="rId60" Type="http://schemas.openxmlformats.org/officeDocument/2006/relationships/hyperlink" Target="https://static.redstone.rs/games/only-anime/" TargetMode="External"/><Relationship Id="rId65" Type="http://schemas.openxmlformats.org/officeDocument/2006/relationships/hyperlink" Target="https://static.redstone.rs/games/dice-double/" TargetMode="External"/><Relationship Id="rId81" Type="http://schemas.openxmlformats.org/officeDocument/2006/relationships/hyperlink" Target="https://static.redstone.rs/games/bonus-stars/" TargetMode="External"/><Relationship Id="rId86" Type="http://schemas.openxmlformats.org/officeDocument/2006/relationships/hyperlink" Target="https://static.redstone.rs/games/double-wild-crown/" TargetMode="External"/><Relationship Id="rId130" Type="http://schemas.openxmlformats.org/officeDocument/2006/relationships/hyperlink" Target="https://static.redstone.rs/games/5-crown-deluxe/" TargetMode="External"/><Relationship Id="rId135" Type="http://schemas.openxmlformats.org/officeDocument/2006/relationships/hyperlink" Target="https://gameserver-store-client-area.orbionlimited.com/Home/IntegrationGameLaunch/client-area?moneyType=0&amp;gameName=Redstone10HeartDeluxe&amp;platform=desktop&amp;languageCode=eng&amp;currency=EUR" TargetMode="External"/><Relationship Id="rId13" Type="http://schemas.openxmlformats.org/officeDocument/2006/relationships/hyperlink" Target="https://static.redstone.rs/games/40-cash-bells/" TargetMode="External"/><Relationship Id="rId18" Type="http://schemas.openxmlformats.org/officeDocument/2006/relationships/hyperlink" Target="https://static.redstone.rs/games/clover-coin/" TargetMode="External"/><Relationship Id="rId39" Type="http://schemas.openxmlformats.org/officeDocument/2006/relationships/hyperlink" Target="https://play.redstone.rs/games/40-jokers-free-games/index.html" TargetMode="External"/><Relationship Id="rId109" Type="http://schemas.openxmlformats.org/officeDocument/2006/relationships/hyperlink" Target="https://static.redstone.rs/games/inferno-hot-40/" TargetMode="External"/><Relationship Id="rId34" Type="http://schemas.openxmlformats.org/officeDocument/2006/relationships/hyperlink" Target="https://play.redstone.rs/games/jolly-presents/index.html" TargetMode="External"/><Relationship Id="rId50" Type="http://schemas.openxmlformats.org/officeDocument/2006/relationships/hyperlink" Target="https://static.redstone.rs/games/book-of-scorpio/" TargetMode="External"/><Relationship Id="rId55" Type="http://schemas.openxmlformats.org/officeDocument/2006/relationships/hyperlink" Target="https://static.redstone.rs/games/100-clover-fire/" TargetMode="External"/><Relationship Id="rId76" Type="http://schemas.openxmlformats.org/officeDocument/2006/relationships/hyperlink" Target="https://static.redstone.rs/games/sticky-tiki/" TargetMode="External"/><Relationship Id="rId97" Type="http://schemas.openxmlformats.org/officeDocument/2006/relationships/hyperlink" Target="https://static.redstone.rs/games/divine-strike/" TargetMode="External"/><Relationship Id="rId104" Type="http://schemas.openxmlformats.org/officeDocument/2006/relationships/hyperlink" Target="https://static.redstone.rs/games/crown-blast-40/" TargetMode="External"/><Relationship Id="rId120" Type="http://schemas.openxmlformats.org/officeDocument/2006/relationships/hyperlink" Target="https://static.redstone.rs/games/fruit-fire/" TargetMode="External"/><Relationship Id="rId125" Type="http://schemas.openxmlformats.org/officeDocument/2006/relationships/hyperlink" Target="https://static.redstone.rs/games/x-wild-crown/" TargetMode="External"/><Relationship Id="rId7" Type="http://schemas.openxmlformats.org/officeDocument/2006/relationships/hyperlink" Target="https://static.redstone.rs/games/40-clover-fire/" TargetMode="External"/><Relationship Id="rId71" Type="http://schemas.openxmlformats.org/officeDocument/2006/relationships/hyperlink" Target="https://static.redstone.rs/games/star-chaser/" TargetMode="External"/><Relationship Id="rId92" Type="http://schemas.openxmlformats.org/officeDocument/2006/relationships/hyperlink" Target="https://static.redstone.rs/games/crown-drop/" TargetMode="External"/><Relationship Id="rId2" Type="http://schemas.openxmlformats.org/officeDocument/2006/relationships/hyperlink" Target="https://static.redstone.rs/games/mayan-coins/" TargetMode="External"/><Relationship Id="rId29" Type="http://schemas.openxmlformats.org/officeDocument/2006/relationships/hyperlink" Target="https://static.redstone.rs/games/hot-hot/" TargetMode="External"/><Relationship Id="rId24" Type="http://schemas.openxmlformats.org/officeDocument/2006/relationships/hyperlink" Target="https://static.redstone.rs/games/20-fire-cash/" TargetMode="External"/><Relationship Id="rId40" Type="http://schemas.openxmlformats.org/officeDocument/2006/relationships/hyperlink" Target="https://static.redstone.rs/games/moon-dog/" TargetMode="External"/><Relationship Id="rId45" Type="http://schemas.openxmlformats.org/officeDocument/2006/relationships/hyperlink" Target="https://static.redstone.rs/games/hot-rush-stars-deluxe/" TargetMode="External"/><Relationship Id="rId66" Type="http://schemas.openxmlformats.org/officeDocument/2006/relationships/hyperlink" Target="https://static.redstone.rs/games/volcano-hot/" TargetMode="External"/><Relationship Id="rId87" Type="http://schemas.openxmlformats.org/officeDocument/2006/relationships/hyperlink" Target="https://static.redstone.rs/games/double-wild-crown/" TargetMode="External"/><Relationship Id="rId110" Type="http://schemas.openxmlformats.org/officeDocument/2006/relationships/hyperlink" Target="https://static.redstone.rs/games/rolling-hearts-10/" TargetMode="External"/><Relationship Id="rId115" Type="http://schemas.openxmlformats.org/officeDocument/2006/relationships/hyperlink" Target="https://static.redstone.rs/games/joker-x5/" TargetMode="External"/><Relationship Id="rId131" Type="http://schemas.openxmlformats.org/officeDocument/2006/relationships/hyperlink" Target="https://static.redstone.rs/games/crown-deluxe-2x/" TargetMode="External"/><Relationship Id="rId136" Type="http://schemas.openxmlformats.org/officeDocument/2006/relationships/hyperlink" Target="https://gameserver-store-client-area.orbionlimited.com/Home/IntegrationGameLaunch/client-area?moneyType=0&amp;gameName=RedstoneMultiHeart10&amp;platform=desktop&amp;languageCode=eng&amp;currency=EUR" TargetMode="External"/><Relationship Id="rId61" Type="http://schemas.openxmlformats.org/officeDocument/2006/relationships/hyperlink" Target="https://static.redstone.rs/games/27-double-fruits/" TargetMode="External"/><Relationship Id="rId82" Type="http://schemas.openxmlformats.org/officeDocument/2006/relationships/hyperlink" Target="https://static.redstone.rs/games/5-star-fire/" TargetMode="External"/><Relationship Id="rId19" Type="http://schemas.openxmlformats.org/officeDocument/2006/relationships/hyperlink" Target="https://static.redstone.rs/games/heat-classic-5/" TargetMode="External"/><Relationship Id="rId14" Type="http://schemas.openxmlformats.org/officeDocument/2006/relationships/hyperlink" Target="https://static.redstone.rs/games/10-wild-diamond/" TargetMode="External"/><Relationship Id="rId30" Type="http://schemas.openxmlformats.org/officeDocument/2006/relationships/hyperlink" Target="https://play.redstone.rs/games/clover-blast-5/index.html" TargetMode="External"/><Relationship Id="rId35" Type="http://schemas.openxmlformats.org/officeDocument/2006/relationships/hyperlink" Target="https://play.redstone.rs/games/20-fruit-frenzy/index.html" TargetMode="External"/><Relationship Id="rId56" Type="http://schemas.openxmlformats.org/officeDocument/2006/relationships/hyperlink" Target="https://static.redstone.rs/games/volcano-crown/" TargetMode="External"/><Relationship Id="rId77" Type="http://schemas.openxmlformats.org/officeDocument/2006/relationships/hyperlink" Target="https://static.redstone.rs/games/hot-rush-triple-star/" TargetMode="External"/><Relationship Id="rId100" Type="http://schemas.openxmlformats.org/officeDocument/2006/relationships/hyperlink" Target="https://static.redstone.rs/games/clover-field-40/" TargetMode="External"/><Relationship Id="rId105" Type="http://schemas.openxmlformats.org/officeDocument/2006/relationships/hyperlink" Target="https://static.redstone.rs/games/chilli-double-40/" TargetMode="External"/><Relationship Id="rId126" Type="http://schemas.openxmlformats.org/officeDocument/2006/relationships/hyperlink" Target="https://static.redstone.rs/games/5-clover-deluxe/" TargetMode="External"/><Relationship Id="rId8" Type="http://schemas.openxmlformats.org/officeDocument/2006/relationships/hyperlink" Target="https://static.redstone.rs/games/50-wild-cash/" TargetMode="External"/><Relationship Id="rId51" Type="http://schemas.openxmlformats.org/officeDocument/2006/relationships/hyperlink" Target="https://static.redstone.rs/games/spin-up/" TargetMode="External"/><Relationship Id="rId72" Type="http://schemas.openxmlformats.org/officeDocument/2006/relationships/hyperlink" Target="https://static.redstone.rs/games/multi-clover-10/" TargetMode="External"/><Relationship Id="rId93" Type="http://schemas.openxmlformats.org/officeDocument/2006/relationships/hyperlink" Target="https://static.redstone.rs/games/5-clover-fire-6-reels/" TargetMode="External"/><Relationship Id="rId98" Type="http://schemas.openxmlformats.org/officeDocument/2006/relationships/hyperlink" Target="https://static.redstone.rs/games/10-wild-crown-halloween/" TargetMode="External"/><Relationship Id="rId121" Type="http://schemas.openxmlformats.org/officeDocument/2006/relationships/hyperlink" Target="https://static.redstone.rs/games/x-clover-fire/" TargetMode="External"/><Relationship Id="rId3" Type="http://schemas.openxmlformats.org/officeDocument/2006/relationships/hyperlink" Target="https://gameserver-store-client-area.orbionlimited.com/Home/IntegrationGameLaunch/client-area?moneyType=0&amp;gameName=FireClover5&amp;platform=desktop&amp;languageCode=eng&amp;currency=EUR" TargetMode="External"/><Relationship Id="rId25" Type="http://schemas.openxmlformats.org/officeDocument/2006/relationships/hyperlink" Target="https://static.redstone.rs/games/40-fire-cash/" TargetMode="External"/><Relationship Id="rId46" Type="http://schemas.openxmlformats.org/officeDocument/2006/relationships/hyperlink" Target="https://static.redstone.rs/games/slot-royale/" TargetMode="External"/><Relationship Id="rId67" Type="http://schemas.openxmlformats.org/officeDocument/2006/relationships/hyperlink" Target="https://static.redstone.rs/games/10-clover-fire/" TargetMode="External"/><Relationship Id="rId116" Type="http://schemas.openxmlformats.org/officeDocument/2006/relationships/hyperlink" Target="https://static.redstone.rs/games/clover-rush-5/" TargetMode="External"/><Relationship Id="rId137" Type="http://schemas.openxmlformats.org/officeDocument/2006/relationships/hyperlink" Target="https://gameserver-store-client-area.orbionlimited.com/Home/IntegrationGameLaunch/client-area?moneyType=0&amp;gameName=RedstoneLuckyLuckyBells&amp;platform=desktop&amp;languageCode=eng&amp;currency=EUR" TargetMode="External"/><Relationship Id="rId20" Type="http://schemas.openxmlformats.org/officeDocument/2006/relationships/hyperlink" Target="https://static.redstone.rs/games/book-of-dread/" TargetMode="External"/><Relationship Id="rId41" Type="http://schemas.openxmlformats.org/officeDocument/2006/relationships/hyperlink" Target="https://play.redstone.rs/games/20-wild-crown/index.html" TargetMode="External"/><Relationship Id="rId62" Type="http://schemas.openxmlformats.org/officeDocument/2006/relationships/hyperlink" Target="https://static.redstone.rs/games/juicy-heat-20/" TargetMode="External"/><Relationship Id="rId83" Type="http://schemas.openxmlformats.org/officeDocument/2006/relationships/hyperlink" Target="https://static.redstone.rs/games/clover-drop/" TargetMode="External"/><Relationship Id="rId88" Type="http://schemas.openxmlformats.org/officeDocument/2006/relationships/hyperlink" Target="https://static.redstone.rs/games/40-wild-crown/" TargetMode="External"/><Relationship Id="rId111" Type="http://schemas.openxmlformats.org/officeDocument/2006/relationships/hyperlink" Target="https://static.redstone.rs/games/cupids-wild-hearts/" TargetMode="External"/><Relationship Id="rId132" Type="http://schemas.openxmlformats.org/officeDocument/2006/relationships/hyperlink" Target="https://gameserver-store-client-area.orbionlimited.com/Home/IntegrationGameLaunch/client-area?moneyType=0&amp;gameName=RedstoneXCrownFire&amp;platform=desktop&amp;languageCode=eng&amp;currency=EUR" TargetMode="External"/><Relationship Id="rId15" Type="http://schemas.openxmlformats.org/officeDocument/2006/relationships/hyperlink" Target="https://static.redstone.rs/games/5-wild-heart/" TargetMode="External"/><Relationship Id="rId36" Type="http://schemas.openxmlformats.org/officeDocument/2006/relationships/hyperlink" Target="https://play.redstone.rs/games/40-fruit-frenzy/index.html" TargetMode="External"/><Relationship Id="rId57" Type="http://schemas.openxmlformats.org/officeDocument/2006/relationships/hyperlink" Target="https://static.redstone.rs/games/spooky-spins/" TargetMode="External"/><Relationship Id="rId106" Type="http://schemas.openxmlformats.org/officeDocument/2006/relationships/hyperlink" Target="https://static.redstone.rs/games/respin-gems/" TargetMode="External"/><Relationship Id="rId127" Type="http://schemas.openxmlformats.org/officeDocument/2006/relationships/hyperlink" Target="https://static.redstone.rs/games/heart-deluxe-2x/" TargetMode="External"/><Relationship Id="rId10" Type="http://schemas.openxmlformats.org/officeDocument/2006/relationships/hyperlink" Target="https://static.redstone.rs/games/40-dice-fire/" TargetMode="External"/><Relationship Id="rId31" Type="http://schemas.openxmlformats.org/officeDocument/2006/relationships/hyperlink" Target="https://play.redstone.rs/games/fear-of-dark/index.html" TargetMode="External"/><Relationship Id="rId52" Type="http://schemas.openxmlformats.org/officeDocument/2006/relationships/hyperlink" Target="https://static.redstone.rs/games/81-vegas-crown/" TargetMode="External"/><Relationship Id="rId73" Type="http://schemas.openxmlformats.org/officeDocument/2006/relationships/hyperlink" Target="https://static.redstone.rs/games/reel-x5/" TargetMode="External"/><Relationship Id="rId78" Type="http://schemas.openxmlformats.org/officeDocument/2006/relationships/hyperlink" Target="https://static.redstone.rs/games/hot-rush-fruit-lines/" TargetMode="External"/><Relationship Id="rId94" Type="http://schemas.openxmlformats.org/officeDocument/2006/relationships/hyperlink" Target="https://static.redstone.rs/games/10-extra-bank/" TargetMode="External"/><Relationship Id="rId99" Type="http://schemas.openxmlformats.org/officeDocument/2006/relationships/hyperlink" Target="https://static.redstone.rs/games/5-clover-fire-halloween/" TargetMode="External"/><Relationship Id="rId101" Type="http://schemas.openxmlformats.org/officeDocument/2006/relationships/hyperlink" Target="https://static.redstone.rs/games/multi-heart-5/" TargetMode="External"/><Relationship Id="rId122" Type="http://schemas.openxmlformats.org/officeDocument/2006/relationships/hyperlink" Target="https://static.redstone.rs/games/5-heart-deluxe/" TargetMode="External"/><Relationship Id="rId4" Type="http://schemas.openxmlformats.org/officeDocument/2006/relationships/hyperlink" Target="https://static.redstone.rs/games/10-wild-crown/" TargetMode="External"/><Relationship Id="rId9" Type="http://schemas.openxmlformats.org/officeDocument/2006/relationships/hyperlink" Target="https://static.redstone.rs/games/lost-book/" TargetMode="External"/><Relationship Id="rId26" Type="http://schemas.openxmlformats.org/officeDocument/2006/relationships/hyperlink" Target="https://static.redstone.rs/games/super-lucky/" TargetMode="External"/><Relationship Id="rId47" Type="http://schemas.openxmlformats.org/officeDocument/2006/relationships/hyperlink" Target="https://static.redstone.rs/games/5-clover-fire-lnc/" TargetMode="External"/><Relationship Id="rId68" Type="http://schemas.openxmlformats.org/officeDocument/2006/relationships/hyperlink" Target="https://static.redstone.rs/games/cosmic-sevens/" TargetMode="External"/><Relationship Id="rId89" Type="http://schemas.openxmlformats.org/officeDocument/2006/relationships/hyperlink" Target="https://static.redstone.rs/games/double-crown-5/" TargetMode="External"/><Relationship Id="rId112" Type="http://schemas.openxmlformats.org/officeDocument/2006/relationships/hyperlink" Target="https://static.redstone.rs/games/double-wild-diamond/" TargetMode="External"/><Relationship Id="rId133" Type="http://schemas.openxmlformats.org/officeDocument/2006/relationships/hyperlink" Target="https://gameserver-store-client-area.orbionlimited.com/Home/IntegrationGameLaunch/client-area?moneyType=0&amp;gameName=Redstone10CloverDeluxe&amp;platform=desktop&amp;languageCode=eng&amp;currency=EUR"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gameserver-store-client-area.orbionlimited.com/Home/IntegrationGameLaunch/client-area?moneyType=0&amp;gameName=PlayNetWildFortiesXmas&amp;platform=desktop&amp;languageCode=eng&amp;currency=EUR" TargetMode="External"/><Relationship Id="rId18" Type="http://schemas.openxmlformats.org/officeDocument/2006/relationships/hyperlink" Target="https://gameserver-store-client-area.orbionlimited.com/Home/IntegrationGameLaunch/client-area?moneyType=0&amp;gameName=PlayNetWildSpread40&amp;platform=desktop&amp;languageCode=eng&amp;currency=EUR" TargetMode="External"/><Relationship Id="rId26" Type="http://schemas.openxmlformats.org/officeDocument/2006/relationships/hyperlink" Target="https://gameserver-store-client-area.orbionlimited.com/Home/IntegrationGameLaunch/client-area?moneyType=0&amp;gameName=PlayNetMajesticCrown5&amp;platform=desktop&amp;languageCode=eng&amp;currency=EUR" TargetMode="External"/><Relationship Id="rId39" Type="http://schemas.openxmlformats.org/officeDocument/2006/relationships/hyperlink" Target="https://gameserver-store-client-area.orbionlimited.com/Home/IntegrationGameLaunch/client-area?moneyType=0&amp;gameName=PlayNetEmpressOfFlame&amp;platform=desktop&amp;languageCode=eng&amp;currency=EUR" TargetMode="External"/><Relationship Id="rId21" Type="http://schemas.openxmlformats.org/officeDocument/2006/relationships/hyperlink" Target="https://gameserver-store-client-area.orbionlimited.com/Home/IntegrationGameLaunch/client-area?moneyType=0&amp;gameName=PlayNetMajesticCrownX2&amp;platform=desktop&amp;languageCode=eng&amp;currency=EUR" TargetMode="External"/><Relationship Id="rId34" Type="http://schemas.openxmlformats.org/officeDocument/2006/relationships/hyperlink" Target="https://gameserver-store-client-area.orbionlimited.com/Home/IntegrationGameLaunch/client-area?moneyType=0&amp;gameName=PlayNetNeptunesJewels&amp;platform=desktop&amp;languageCode=eng&amp;currency=EUR" TargetMode="External"/><Relationship Id="rId42" Type="http://schemas.openxmlformats.org/officeDocument/2006/relationships/hyperlink" Target="https://gameserver-store-client-area.orbionlimited.com/Home/IntegrationGameLaunch/client-area?moneyType=0&amp;gameName=PlayNetRoyalFlame40&amp;platform=desktop&amp;languageCode=eng&amp;currency=EUR" TargetMode="External"/><Relationship Id="rId47" Type="http://schemas.openxmlformats.org/officeDocument/2006/relationships/hyperlink" Target="https://gameserver-store-client-area.orbionlimited.com/Home/IntegrationGameLaunch/client-area?moneyType=0&amp;gameName=PlayNetBitQueen&amp;platform=desktop&amp;languageCode=eng&amp;currency=EUR" TargetMode="External"/><Relationship Id="rId50" Type="http://schemas.openxmlformats.org/officeDocument/2006/relationships/hyperlink" Target="https://gameserver-store-client-area.orbionlimited.com/Home/IntegrationGameLaunch/client-area?moneyType=0&amp;gameName=PlayNetBarkinRiches&amp;platform=desktop&amp;languageCode=eng&amp;currency=EUR" TargetMode="External"/><Relationship Id="rId55" Type="http://schemas.openxmlformats.org/officeDocument/2006/relationships/hyperlink" Target="https://gameserver-store-client-area.orbionlimited.com/Home/IntegrationGameLaunch/client-area?moneyType=0&amp;gameName=PlayNetTropicTwistExtreme&amp;platform=desktop&amp;languageCode=eng&amp;currency=EUR" TargetMode="External"/><Relationship Id="rId7" Type="http://schemas.openxmlformats.org/officeDocument/2006/relationships/hyperlink" Target="https://gameserver-store-client-area.orbionlimited.com/Home/IntegrationGameLaunch/client-area?moneyType=0&amp;gameName=PlayNet27WildStacks&amp;platform=desktop&amp;languageCode=eng&amp;currency=EUR" TargetMode="External"/><Relationship Id="rId2" Type="http://schemas.openxmlformats.org/officeDocument/2006/relationships/hyperlink" Target="https://gameserver-store-client-area.orbionlimited.com/Home/IntegrationGameLaunch/client-area?moneyType=0&amp;gameName=MajesticCrown10&amp;platform=desktop&amp;languageCode=eng&amp;currency=EUR" TargetMode="External"/><Relationship Id="rId16" Type="http://schemas.openxmlformats.org/officeDocument/2006/relationships/hyperlink" Target="https://gameserver-store-client-area.orbionlimited.com/Home/IntegrationGameLaunch/client-area?moneyType=0&amp;gameName=PlayNetFortuneClover100&amp;platform=desktop&amp;languageCode=eng&amp;currency=EUR" TargetMode="External"/><Relationship Id="rId29" Type="http://schemas.openxmlformats.org/officeDocument/2006/relationships/hyperlink" Target="https://gameserver-store-client-area.orbionlimited.com/Home/IntegrationGameLaunch/client-area?moneyType=0&amp;gameName=PlayNetDashingHot20&amp;platform=desktop&amp;languageCode=eng&amp;currency=EUR" TargetMode="External"/><Relationship Id="rId11" Type="http://schemas.openxmlformats.org/officeDocument/2006/relationships/hyperlink" Target="https://gameserver-store-client-area.orbionlimited.com/Home/IntegrationGameLaunch/client-area?moneyType=0&amp;gameName=PlayNet27WildStacksXmas&amp;platform=desktop&amp;languageCode=eng&amp;currency=EUR" TargetMode="External"/><Relationship Id="rId24" Type="http://schemas.openxmlformats.org/officeDocument/2006/relationships/hyperlink" Target="https://gameserver-store-client-area.orbionlimited.com/Home/IntegrationGameLaunch/client-area?moneyType=0&amp;gameName=PlayNetMajesticCrown100&amp;platform=desktop&amp;languageCode=eng&amp;currency=EUR" TargetMode="External"/><Relationship Id="rId32" Type="http://schemas.openxmlformats.org/officeDocument/2006/relationships/hyperlink" Target="https://gameserver-store-client-area.orbionlimited.com/Home/IntegrationGameLaunch/client-area?moneyType=0&amp;gameName=PlayNetBrewmastersBank&amp;platform=desktop&amp;languageCode=eng&amp;currency=EUR" TargetMode="External"/><Relationship Id="rId37" Type="http://schemas.openxmlformats.org/officeDocument/2006/relationships/hyperlink" Target="https://gameserver-store-client-area.orbionlimited.com/Home/IntegrationGameLaunch/client-area?moneyType=0&amp;gameName=PlayNetDiamondHeart10&amp;platform=desktop&amp;languageCode=eng&amp;currency=EUR" TargetMode="External"/><Relationship Id="rId40" Type="http://schemas.openxmlformats.org/officeDocument/2006/relationships/hyperlink" Target="https://gameserver-store-client-area.orbionlimited.com/Home/IntegrationGameLaunch/client-area?moneyType=0&amp;gameName=PlayNetMajesticCrownEaster&amp;platform=desktop&amp;languageCode=eng&amp;currency=EUR" TargetMode="External"/><Relationship Id="rId45" Type="http://schemas.openxmlformats.org/officeDocument/2006/relationships/hyperlink" Target="https://gameserver-store-client-area.orbionlimited.com/Home/IntegrationGameLaunch/client-area?moneyType=0&amp;gameName=PlayNetShadowHunt10&amp;platform=desktop&amp;languageCode=eng&amp;currency=EUR" TargetMode="External"/><Relationship Id="rId53" Type="http://schemas.openxmlformats.org/officeDocument/2006/relationships/hyperlink" Target="https://gameserver-store-client-area.orbionlimited.com/Home/IntegrationGameLaunch/client-area?moneyType=0&amp;gameName=PlayNetHeartGem100&amp;platform=desktop&amp;languageCode=eng&amp;currency=EUR" TargetMode="External"/><Relationship Id="rId5" Type="http://schemas.openxmlformats.org/officeDocument/2006/relationships/hyperlink" Target="https://gameserver-store-client-area.orbionlimited.com/Home/IntegrationGameLaunch/client-area?moneyType=0&amp;gameName=PlayNetMajesticCrown20&amp;platform=desktop&amp;languageCode=eng&amp;currency=EUR" TargetMode="External"/><Relationship Id="rId19" Type="http://schemas.openxmlformats.org/officeDocument/2006/relationships/hyperlink" Target="https://gameserver-store-client-area.orbionlimited.com/Home/IntegrationGameLaunch/client-area?moneyType=0&amp;gameName=PlayNetCrownSpread40&amp;platform=desktop&amp;languageCode=eng&amp;currency=EUR" TargetMode="External"/><Relationship Id="rId4" Type="http://schemas.openxmlformats.org/officeDocument/2006/relationships/hyperlink" Target="https://gameserver-store-client-area.orbionlimited.com/Home/IntegrationGameLaunch/client-area?moneyType=0&amp;gameName=PlayNetDiamondHeart5&amp;platform=desktop&amp;languageCode=eng&amp;currency=EUR" TargetMode="External"/><Relationship Id="rId9" Type="http://schemas.openxmlformats.org/officeDocument/2006/relationships/hyperlink" Target="https://gameserver-store-client-area.orbionlimited.com/Home/IntegrationGameLaunch/client-area?moneyType=0&amp;gameName=PlayNetWildForties&amp;platform=desktop&amp;languageCode=eng&amp;currency=EUR" TargetMode="External"/><Relationship Id="rId14" Type="http://schemas.openxmlformats.org/officeDocument/2006/relationships/hyperlink" Target="https://gameserver-store-client-area.orbionlimited.com/Home/IntegrationGameLaunch/client-area?moneyType=0&amp;gameName=PlayNetFortuneCloverX2&amp;platform=desktop&amp;languageCode=eng&amp;currency=EUR" TargetMode="External"/><Relationship Id="rId22" Type="http://schemas.openxmlformats.org/officeDocument/2006/relationships/hyperlink" Target="https://gameserver-store-client-area.orbionlimited.com/Home/IntegrationGameLaunch/client-area?moneyType=0&amp;gameName=PlayNetBitSlot&amp;platform=desktop&amp;languageCode=eng&amp;currency=EUR" TargetMode="External"/><Relationship Id="rId27" Type="http://schemas.openxmlformats.org/officeDocument/2006/relationships/hyperlink" Target="https://gameserver-store-client-area.orbionlimited.com/Home/IntegrationGameLaunch/client-area?moneyType=0&amp;gameName=PlayNetDiamondHeart100&amp;platform=desktop&amp;languageCode=eng&amp;currency=EUR" TargetMode="External"/><Relationship Id="rId30" Type="http://schemas.openxmlformats.org/officeDocument/2006/relationships/hyperlink" Target="https://gameserver-store-client-area.orbionlimited.com/Home/IntegrationGameLaunch/client-area?moneyType=0&amp;gameName=PlayNetDarkTemptress&amp;platform=desktop&amp;languageCode=eng&amp;currency=EUR" TargetMode="External"/><Relationship Id="rId35" Type="http://schemas.openxmlformats.org/officeDocument/2006/relationships/hyperlink" Target="https://gameserver-store-client-area.orbionlimited.com/Home/IntegrationGameLaunch/client-area?moneyType=0&amp;gameName=PlayNet81MagicStars&amp;platform=desktop&amp;languageCode=eng&amp;currency=EUR" TargetMode="External"/><Relationship Id="rId43" Type="http://schemas.openxmlformats.org/officeDocument/2006/relationships/hyperlink" Target="https://gameserver-store-client-area.orbionlimited.com/Home/IntegrationGameLaunch/client-area?moneyType=0&amp;gameName=PlayNetFruitJackPotx10000&amp;platform=desktop&amp;languageCode=eng&amp;currency=EUR" TargetMode="External"/><Relationship Id="rId48" Type="http://schemas.openxmlformats.org/officeDocument/2006/relationships/hyperlink" Target="https://gameserver-store-client-area.orbionlimited.com/Home/IntegrationGameLaunch/client-area?moneyType=0&amp;gameName=PlayNetDashingHot40&amp;platform=desktop&amp;languageCode=eng&amp;currency=EUR" TargetMode="External"/><Relationship Id="rId56" Type="http://schemas.openxmlformats.org/officeDocument/2006/relationships/hyperlink" Target="https://gameserver-store-client-area.orbionlimited.com/Home/IntegrationGameLaunch/client-area?moneyType=0&amp;gameName=PlayNetCloverWealth5&amp;platform=desktop&amp;languageCode=eng&amp;currency=EUR" TargetMode="External"/><Relationship Id="rId8" Type="http://schemas.openxmlformats.org/officeDocument/2006/relationships/hyperlink" Target="https://gameserver-store-client-area.orbionlimited.com/Home/IntegrationGameLaunch/client-area?moneyType=0&amp;gameName=PlayNetDashingHot5&amp;platform=desktop&amp;languageCode=eng&amp;currency=EUR" TargetMode="External"/><Relationship Id="rId51" Type="http://schemas.openxmlformats.org/officeDocument/2006/relationships/hyperlink" Target="https://gameserver-store-client-area.orbionlimited.com/Home/IntegrationGameLaunch/client-area?moneyType=0&amp;gameName=PlayNetJokersCrownX2&amp;platform=desktop&amp;languageCode=eng&amp;currency=EUR" TargetMode="External"/><Relationship Id="rId3" Type="http://schemas.openxmlformats.org/officeDocument/2006/relationships/hyperlink" Target="https://gameserver-store-client-area.orbionlimited.com/Home/IntegrationGameLaunch/client-area?moneyType=0&amp;gameName=PlayNetFortuneClover40&amp;platform=desktop&amp;languageCode=eng&amp;currency=EUR" TargetMode="External"/><Relationship Id="rId12" Type="http://schemas.openxmlformats.org/officeDocument/2006/relationships/hyperlink" Target="https://gameserver-store-client-area.orbionlimited.com/Home/IntegrationGameLaunch/client-area?moneyType=0&amp;gameName=PlayNetMajesticCrown20Xmas&amp;platform=desktop&amp;languageCode=eng&amp;currency=EUR" TargetMode="External"/><Relationship Id="rId17" Type="http://schemas.openxmlformats.org/officeDocument/2006/relationships/hyperlink" Target="https://gameserver-store-client-area.orbionlimited.com/Home/IntegrationGameLaunch/client-area?moneyType=0&amp;gameName=PlayNetCrownStacks40&amp;platform=desktop&amp;languageCode=eng&amp;currency=EUR" TargetMode="External"/><Relationship Id="rId25" Type="http://schemas.openxmlformats.org/officeDocument/2006/relationships/hyperlink" Target="https://gameserver-store-client-area.orbionlimited.com/Home/IntegrationGameLaunch/client-area?moneyType=0&amp;gameName=PlayNetFortuneClover20&amp;platform=desktop&amp;languageCode=eng&amp;currency=EUR" TargetMode="External"/><Relationship Id="rId33" Type="http://schemas.openxmlformats.org/officeDocument/2006/relationships/hyperlink" Target="https://gameserver-store-client-area.orbionlimited.com/Home/IntegrationGameLaunch/client-area?moneyType=0&amp;gameName=PlayNetMajesticCrown40&amp;platform=desktop&amp;languageCode=eng&amp;currency=EUR" TargetMode="External"/><Relationship Id="rId38" Type="http://schemas.openxmlformats.org/officeDocument/2006/relationships/hyperlink" Target="https://gameserver-store-client-area.orbionlimited.com/Home/IntegrationGameLaunch/client-area?moneyType=0&amp;gameName=PlayNetLeprechaunsFortuneClover&amp;platform=desktop&amp;languageCode=eng&amp;currency=EUR" TargetMode="External"/><Relationship Id="rId46" Type="http://schemas.openxmlformats.org/officeDocument/2006/relationships/hyperlink" Target="https://gameserver-store-client-area.orbionlimited.com/Home/IntegrationGameLaunch/client-area?moneyType=0&amp;gameName=PlayNetDiamondHeart20&amp;platform=desktop&amp;languageCode=eng&amp;currency=EUR" TargetMode="External"/><Relationship Id="rId20" Type="http://schemas.openxmlformats.org/officeDocument/2006/relationships/hyperlink" Target="https://gameserver-store-client-area.orbionlimited.com/Home/IntegrationGameLaunch/client-area?moneyType=0&amp;gameName=PlayNetCloverSpread40&amp;platform=desktop&amp;languageCode=eng&amp;currency=EUR" TargetMode="External"/><Relationship Id="rId41" Type="http://schemas.openxmlformats.org/officeDocument/2006/relationships/hyperlink" Target="https://gameserver-store-client-area.orbionlimited.com/Home/IntegrationGameLaunch/client-area?moneyType=0&amp;gameName=PlayNetTropicTwist&amp;platform=desktop&amp;languageCode=eng&amp;currency=EUR" TargetMode="External"/><Relationship Id="rId54" Type="http://schemas.openxmlformats.org/officeDocument/2006/relationships/hyperlink" Target="https://gameserver-store-client-area.orbionlimited.com/Home/IntegrationGameLaunch/client-area?moneyType=0&amp;gameName=PlayNetCrownTreasure10&amp;platform=desktop&amp;languageCode=eng&amp;currency=EUR" TargetMode="External"/><Relationship Id="rId1" Type="http://schemas.openxmlformats.org/officeDocument/2006/relationships/hyperlink" Target="https://gameserver-store-client-area.orbionlimited.com/Home/IntegrationGameLaunch/client-area?moneyType=0&amp;gameName=FortuneClover5&amp;platform=desktop&amp;languageCode=eng&amp;currency=EUR" TargetMode="External"/><Relationship Id="rId6" Type="http://schemas.openxmlformats.org/officeDocument/2006/relationships/hyperlink" Target="https://gameserver-store-client-area.orbionlimited.com/Home/IntegrationGameLaunch/client-area?moneyType=0&amp;gameName=PlayNetDiamondHeart40&amp;platform=desktop&amp;languageCode=eng&amp;currency=EUR" TargetMode="External"/><Relationship Id="rId15" Type="http://schemas.openxmlformats.org/officeDocument/2006/relationships/hyperlink" Target="https://gameserver-store-client-area.orbionlimited.com/Home/IntegrationGameLaunch/client-area?moneyType=0&amp;gameName=PlayNetDiamondHeartX2&amp;platform=desktop&amp;languageCode=eng&amp;currency=EUR" TargetMode="External"/><Relationship Id="rId23" Type="http://schemas.openxmlformats.org/officeDocument/2006/relationships/hyperlink" Target="https://gameserver-store-client-area.orbionlimited.com/Home/IntegrationGameLaunch/client-area?moneyType=0&amp;gameName=PlayNetFortuneClover10&amp;platform=desktop&amp;languageCode=eng&amp;currency=EUR" TargetMode="External"/><Relationship Id="rId28" Type="http://schemas.openxmlformats.org/officeDocument/2006/relationships/hyperlink" Target="https://gameserver-store-client-area.orbionlimited.com/Home/IntegrationGameLaunch/client-area?moneyType=0&amp;gameName=PlayNetGoldenGetsby&amp;platform=desktop&amp;languageCode=eng&amp;currency=EUR" TargetMode="External"/><Relationship Id="rId36" Type="http://schemas.openxmlformats.org/officeDocument/2006/relationships/hyperlink" Target="https://gameserver-store-client-area.orbionlimited.com/Home/IntegrationGameLaunch/client-area?moneyType=0&amp;gameName=PlayNetElfAndRoll&amp;platform=desktop&amp;languageCode=eng&amp;currency=EUR" TargetMode="External"/><Relationship Id="rId49" Type="http://schemas.openxmlformats.org/officeDocument/2006/relationships/hyperlink" Target="https://gameserver-store-client-area.orbionlimited.com/Home/IntegrationGameLaunch/client-area?moneyType=0&amp;gameName=PlayNetDarkTemptress100&amp;platform=desktop&amp;languageCode=eng&amp;currency=EUR" TargetMode="External"/><Relationship Id="rId57" Type="http://schemas.openxmlformats.org/officeDocument/2006/relationships/hyperlink" Target="https://gameserver-store-client-area.orbionlimited.com/Home/IntegrationGameLaunch/client-area?moneyType=0&amp;gameName=PlayNet27LuckyCrown&amp;platform=desktop&amp;languageCode=eng&amp;currency=EUR" TargetMode="External"/><Relationship Id="rId10" Type="http://schemas.openxmlformats.org/officeDocument/2006/relationships/hyperlink" Target="https://gameserver-store-client-area.orbionlimited.com/Home/IntegrationGameLaunch/client-area?moneyType=0&amp;gameName=PlayNetBookOfAmun&amp;platform=desktop&amp;languageCode=eng&amp;currency=EUR" TargetMode="External"/><Relationship Id="rId31" Type="http://schemas.openxmlformats.org/officeDocument/2006/relationships/hyperlink" Target="https://gameserver-store-client-area.orbionlimited.com/Home/IntegrationGameLaunch/client-area?moneyType=0&amp;gameName=NovaPixelWheelOfJoker&amp;platform=desktop&amp;languageCode=eng&amp;currency=EUR" TargetMode="External"/><Relationship Id="rId44" Type="http://schemas.openxmlformats.org/officeDocument/2006/relationships/hyperlink" Target="https://gameserver-store-client-area.orbionlimited.com/Home/IntegrationGameLaunch/client-area?moneyType=0&amp;gameName=PlayNet27LuckyFruits&amp;platform=desktop&amp;languageCode=eng&amp;currency=EUR" TargetMode="External"/><Relationship Id="rId52" Type="http://schemas.openxmlformats.org/officeDocument/2006/relationships/hyperlink" Target="https://gameserver-store-client-area.orbionlimited.com/Home/IntegrationGameLaunch/client-area?moneyType=0&amp;gameName=PlayNetRoxyUndercover&amp;platform=desktop&amp;languageCode=eng&amp;currency=EUR"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gameserver-store-client-area.orbionlimited.com/Home/IntegrationGameLaunch/client-area?moneyType=0&amp;gameName=UnicornCoyoteSevensJackpot&amp;platform=desktop&amp;languageCode=eng&amp;currency=EUR" TargetMode="External"/><Relationship Id="rId21" Type="http://schemas.openxmlformats.org/officeDocument/2006/relationships/hyperlink" Target="https://gameserver-store-client-area.orbionlimited.com/Home/IntegrationGameLaunch/client-area?moneyType=0&amp;gameName=UnicornDaVincisDice&amp;platform=desktop&amp;languageCode=eng&amp;currency=EUR" TargetMode="External"/><Relationship Id="rId42" Type="http://schemas.openxmlformats.org/officeDocument/2006/relationships/hyperlink" Target="https://gameserver-store-client-area.orbionlimited.com/Home/IntegrationGameLaunch/client-area?moneyType=0&amp;gameName=UnicornGoldLine&amp;platform=desktop&amp;languageCode=eng&amp;currency=EUR" TargetMode="External"/><Relationship Id="rId63" Type="http://schemas.openxmlformats.org/officeDocument/2006/relationships/hyperlink" Target="https://gameserver-store-client-area.orbionlimited.com/Home/IntegrationGameLaunch/client-area?moneyType=0&amp;gameName=UnicornDynamiteRun&amp;platform=desktop&amp;languageCode=eng&amp;currency=EUR" TargetMode="External"/><Relationship Id="rId84" Type="http://schemas.openxmlformats.org/officeDocument/2006/relationships/hyperlink" Target="https://gameserver-store-client-area.orbionlimited.com/Home/IntegrationGameLaunch/client-area?moneyType=0&amp;gameName=UnicornSimplySevensGems&amp;platform=desktop&amp;languageCode=eng&amp;currency=EUR" TargetMode="External"/><Relationship Id="rId138" Type="http://schemas.openxmlformats.org/officeDocument/2006/relationships/hyperlink" Target="https://gameserver-store-client-area.orbionlimited.com/Home/IntegrationGameLaunch/client-area?moneyType=0&amp;gameName=UnicornSevensPayDice&amp;platform=desktop&amp;languageCode=eng&amp;currency=EUR" TargetMode="External"/><Relationship Id="rId16" Type="http://schemas.openxmlformats.org/officeDocument/2006/relationships/hyperlink" Target="https://gameserver-store-client-area.orbionlimited.com/Home/IntegrationGameLaunch/client-area?moneyType=0&amp;gameName=UnicornMoneyStandard&amp;platform=desktop&amp;languageCode=eng&amp;currency=EUR" TargetMode="External"/><Relationship Id="rId107" Type="http://schemas.openxmlformats.org/officeDocument/2006/relationships/hyperlink" Target="https://gameserver-store-client-area.orbionlimited.com/Home/IntegrationGameLaunch/client-area?moneyType=0&amp;gameName=UnicornMoneyStandardPlatinum&amp;platform=desktop&amp;languageCode=eng&amp;currency=EUR" TargetMode="External"/><Relationship Id="rId11" Type="http://schemas.openxmlformats.org/officeDocument/2006/relationships/hyperlink" Target="https://gameserver-store-client-area.orbionlimited.com/Home/IntegrationGameLaunch/client-area?moneyType=0&amp;gameName=UnicornIslandRespins&amp;platform=desktop&amp;languageCode=eng&amp;currency=EUR" TargetMode="External"/><Relationship Id="rId32" Type="http://schemas.openxmlformats.org/officeDocument/2006/relationships/hyperlink" Target="https://gameserver-store-client-area.orbionlimited.com/Home/IntegrationGameLaunch/client-area?moneyType=0&amp;gameName=UnicornMoneyStandardDice&amp;platform=desktop&amp;languageCode=eng&amp;currency=EUR" TargetMode="External"/><Relationship Id="rId37" Type="http://schemas.openxmlformats.org/officeDocument/2006/relationships/hyperlink" Target="https://gameserver-store-client-area.orbionlimited.com/Home/IntegrationGameLaunch/client-area?moneyType=0&amp;gameName=UnicornFireStars&amp;platform=desktop&amp;languageCode=eng&amp;currency=EUR" TargetMode="External"/><Relationship Id="rId53" Type="http://schemas.openxmlformats.org/officeDocument/2006/relationships/hyperlink" Target="https://gameserver-store-client-area.orbionlimited.com/Home/IntegrationGameLaunch/client-area?moneyType=0&amp;gameName=UnicornStickyHot&amp;platform=desktop&amp;languageCode=eng&amp;currency=EUR" TargetMode="External"/><Relationship Id="rId58" Type="http://schemas.openxmlformats.org/officeDocument/2006/relationships/hyperlink" Target="https://gameserver-store-client-area.orbionlimited.com/Home/IntegrationGameLaunch/client-area?moneyType=0&amp;gameName=UnicornPumpkinHorror&amp;platform=desktop&amp;languageCode=eng&amp;currency=EUR" TargetMode="External"/><Relationship Id="rId74" Type="http://schemas.openxmlformats.org/officeDocument/2006/relationships/hyperlink" Target="https://gameserver-store-client-area.orbionlimited.com/Home/IntegrationGameLaunch/client-area?moneyType=0&amp;gameName=UnicornDynamiteRunPlatinum&amp;platform=desktop&amp;languageCode=eng&amp;currency=EUR" TargetMode="External"/><Relationship Id="rId79" Type="http://schemas.openxmlformats.org/officeDocument/2006/relationships/hyperlink" Target="https://gameserver-store-client-area.orbionlimited.com/Home/IntegrationGameLaunch/client-area?moneyType=0&amp;gameName=UnicornFastPay&amp;platform=desktop&amp;languageCode=eng&amp;currency=EUR" TargetMode="External"/><Relationship Id="rId102" Type="http://schemas.openxmlformats.org/officeDocument/2006/relationships/hyperlink" Target="https://gameserver-store-client-area.orbionlimited.com/Home/IntegrationGameLaunch/client-area?moneyType=0&amp;gameName=UnicornFruitIslandDice&amp;platform=desktop&amp;languageCode=eng&amp;currency=EUR" TargetMode="External"/><Relationship Id="rId123" Type="http://schemas.openxmlformats.org/officeDocument/2006/relationships/hyperlink" Target="https://gameserver-store-client-area.orbionlimited.com/Home/IntegrationGameLaunch/client-area?moneyType=0&amp;gameName=UnicornTropicalTreasure&amp;platform=desktop&amp;languageCode=eng&amp;currency=EUR" TargetMode="External"/><Relationship Id="rId128" Type="http://schemas.openxmlformats.org/officeDocument/2006/relationships/hyperlink" Target="https://gameserver-store-client-area.orbionlimited.com/Home/IntegrationGameLaunch/client-area?moneyType=0&amp;gameName=UnicornHotFiredice&amp;platform=desktop&amp;languageCode=eng&amp;currency=EUR" TargetMode="External"/><Relationship Id="rId5" Type="http://schemas.openxmlformats.org/officeDocument/2006/relationships/hyperlink" Target="https://gameserver-store-client-area.orbionlimited.com/Home/IntegrationGameLaunch/client-area?moneyType=0&amp;gameName=UnicornRainbowSevens&amp;platform=desktop&amp;languageCode=eng&amp;currency=EUR" TargetMode="External"/><Relationship Id="rId90" Type="http://schemas.openxmlformats.org/officeDocument/2006/relationships/hyperlink" Target="https://gameserver-store-client-area.orbionlimited.com/Home/IntegrationGameLaunch/client-area?moneyType=0&amp;gameName=UnicornReelyWildReels&amp;platform=desktop&amp;languageCode=eng&amp;currency=EUR" TargetMode="External"/><Relationship Id="rId95" Type="http://schemas.openxmlformats.org/officeDocument/2006/relationships/hyperlink" Target="https://gameserver-store-client-area.orbionlimited.com/Home/IntegrationGameLaunch/client-area?moneyType=0&amp;gameName=UnicornFruitIslandJackpot&amp;platform=desktop&amp;languageCode=eng&amp;currency=EUR" TargetMode="External"/><Relationship Id="rId22" Type="http://schemas.openxmlformats.org/officeDocument/2006/relationships/hyperlink" Target="https://gameserver-store-client-area.orbionlimited.com/Home/IntegrationGameLaunch/client-area?moneyType=0&amp;gameName=UnicornWinterFruits&amp;platform=desktop&amp;languageCode=eng&amp;currency=EUR" TargetMode="External"/><Relationship Id="rId27" Type="http://schemas.openxmlformats.org/officeDocument/2006/relationships/hyperlink" Target="https://gameserver-store-client-area.orbionlimited.com/Home/IntegrationGameLaunch/client-area?moneyType=0&amp;gameName=Unicorn40HotStrikeDice&amp;platform=desktop&amp;languageCode=eng&amp;currency=EUR" TargetMode="External"/><Relationship Id="rId43" Type="http://schemas.openxmlformats.org/officeDocument/2006/relationships/hyperlink" Target="https://gameserver-store-client-area.orbionlimited.com/Home/IntegrationGameLaunch/client-area?moneyType=0&amp;gameName=UnicornFrootMachine&amp;platform=desktop&amp;languageCode=eng&amp;currency=EUR" TargetMode="External"/><Relationship Id="rId48" Type="http://schemas.openxmlformats.org/officeDocument/2006/relationships/hyperlink" Target="https://gameserver-store-client-area.orbionlimited.com/Home/IntegrationGameLaunch/client-area?moneyType=0&amp;gameName=Unicorn5HotStrikeDice&amp;platform=desktop&amp;languageCode=eng&amp;currency=EUR" TargetMode="External"/><Relationship Id="rId64" Type="http://schemas.openxmlformats.org/officeDocument/2006/relationships/hyperlink" Target="https://gameserver-store-client-area.orbionlimited.com/Home/IntegrationGameLaunch/client-area?moneyType=0&amp;gameName=Unicorn20HotStrikeDiceJackpot&amp;platform=desktop&amp;languageCode=eng&amp;currency=EUR" TargetMode="External"/><Relationship Id="rId69" Type="http://schemas.openxmlformats.org/officeDocument/2006/relationships/hyperlink" Target="https://gameserver-store-client-area.orbionlimited.com/Home/IntegrationGameLaunch/client-area?moneyType=0&amp;gameName=UnicornSimplySevensDiceEaster&amp;platform=desktop&amp;languageCode=eng&amp;currency=EUR" TargetMode="External"/><Relationship Id="rId113" Type="http://schemas.openxmlformats.org/officeDocument/2006/relationships/hyperlink" Target="https://gameserver-store-client-area.orbionlimited.com/Home/IntegrationGameLaunch/client-area?moneyType=0&amp;gameName=UnicornThreeReelFruitBoost&amp;platform=desktop&amp;languageCode=eng&amp;currency=EUR" TargetMode="External"/><Relationship Id="rId118" Type="http://schemas.openxmlformats.org/officeDocument/2006/relationships/hyperlink" Target="https://gameserver-store-client-area.orbionlimited.com/Home/IntegrationGameLaunch/client-area?moneyType=0&amp;gameName=UnicornDragonGems&amp;platform=desktop&amp;languageCode=eng&amp;currency=EUR" TargetMode="External"/><Relationship Id="rId134" Type="http://schemas.openxmlformats.org/officeDocument/2006/relationships/hyperlink" Target="https://gameserver-store-client-area.orbionlimited.com/Home/IntegrationGameLaunch/client-area?moneyType=0&amp;gameName=UnicornSpinTheSevens&amp;platform=desktop&amp;languageCode=eng&amp;currency=EUR" TargetMode="External"/><Relationship Id="rId80" Type="http://schemas.openxmlformats.org/officeDocument/2006/relationships/hyperlink" Target="https://gameserver-store-client-area.orbionlimited.com/Home/IntegrationGameLaunch/client-area?moneyType=0&amp;gameName=UnicornSuperFireJackpot&amp;platform=desktop&amp;languageCode=eng&amp;currency=EUR" TargetMode="External"/><Relationship Id="rId85" Type="http://schemas.openxmlformats.org/officeDocument/2006/relationships/hyperlink" Target="https://gameserver-store-client-area.orbionlimited.com/Home/IntegrationGameLaunch/client-area?moneyType=0&amp;gameName=UnicornSuperFireDiceJackpot&amp;platform=desktop&amp;languageCode=eng&amp;currency=EUR" TargetMode="External"/><Relationship Id="rId12" Type="http://schemas.openxmlformats.org/officeDocument/2006/relationships/hyperlink" Target="https://gameserver-store-client-area.orbionlimited.com/Home/IntegrationGameLaunch/client-area?moneyType=0&amp;gameName=UnicornGreatWhale&amp;platform=desktop&amp;languageCode=eng&amp;currency=EUR" TargetMode="External"/><Relationship Id="rId17" Type="http://schemas.openxmlformats.org/officeDocument/2006/relationships/hyperlink" Target="https://gameserver-store-client-area.orbionlimited.com/Home/IntegrationGameLaunch/client-area?moneyType=0&amp;gameName=UnicornMiniMegaCash&amp;platform=desktop&amp;languageCode=eng&amp;currency=EUR" TargetMode="External"/><Relationship Id="rId33" Type="http://schemas.openxmlformats.org/officeDocument/2006/relationships/hyperlink" Target="https://gameserver-store-client-area.orbionlimited.com/Home/IntegrationGameLaunch/client-area?moneyType=0&amp;gameName=UnicornDoubleWildDice&amp;platform=desktop&amp;languageCode=eng&amp;currency=EUR" TargetMode="External"/><Relationship Id="rId38" Type="http://schemas.openxmlformats.org/officeDocument/2006/relationships/hyperlink" Target="https://gameserver-store-client-area.orbionlimited.com/Home/IntegrationGameLaunch/client-area?moneyType=0&amp;gameName=Unicorn20HotStrikeDice&amp;platform=desktop&amp;languageCode=eng&amp;currency=EUR" TargetMode="External"/><Relationship Id="rId59" Type="http://schemas.openxmlformats.org/officeDocument/2006/relationships/hyperlink" Target="https://gameserver-store-client-area.orbionlimited.com/Home/IntegrationGameLaunch/client-area?moneyType=0&amp;gameName=UnicornHitLine&amp;platform=desktop&amp;languageCode=eng&amp;currency=EUR" TargetMode="External"/><Relationship Id="rId103" Type="http://schemas.openxmlformats.org/officeDocument/2006/relationships/hyperlink" Target="https://gameserver-store-client-area.orbionlimited.com/Home/IntegrationGameLaunch/client-area?moneyType=0&amp;gameName=UnicornStormDice&amp;platform=desktop&amp;languageCode=eng&amp;currency=EUR" TargetMode="External"/><Relationship Id="rId108" Type="http://schemas.openxmlformats.org/officeDocument/2006/relationships/hyperlink" Target="https://gameserver-store-client-area.orbionlimited.com/Home/IntegrationGameLaunch/client-area?moneyType=0&amp;gameName=UnicornFruitMultipliers&amp;platform=desktop&amp;languageCode=eng&amp;currency=EUR" TargetMode="External"/><Relationship Id="rId124" Type="http://schemas.openxmlformats.org/officeDocument/2006/relationships/hyperlink" Target="https://gameserver-store-client-area.orbionlimited.com/Home/IntegrationGameLaunch/client-area?moneyType=0&amp;gameName=UnicornGoldenGateFruit&amp;platform=desktop&amp;languageCode=eng&amp;currency=EUR" TargetMode="External"/><Relationship Id="rId129" Type="http://schemas.openxmlformats.org/officeDocument/2006/relationships/hyperlink" Target="https://gameserver-store-client-area.orbionlimited.com/Home/IntegrationGameLaunch/client-area?moneyType=0&amp;gameName=UnicornMysticTreasure&amp;platform=desktop&amp;languageCode=eng&amp;currency=EUR" TargetMode="External"/><Relationship Id="rId54" Type="http://schemas.openxmlformats.org/officeDocument/2006/relationships/hyperlink" Target="https://gameserver-store-client-area.orbionlimited.com/Home/IntegrationGameLaunch/client-area?moneyType=0&amp;gameName=UnicornBuffaloDice&amp;platform=desktop&amp;languageCode=eng&amp;currency=EUR" TargetMode="External"/><Relationship Id="rId70" Type="http://schemas.openxmlformats.org/officeDocument/2006/relationships/hyperlink" Target="https://gameserver-store-client-area.orbionlimited.com/Home/IntegrationGameLaunch/client-area?moneyType=0&amp;gameName=UnicornFruitIslandGems&amp;platform=desktop&amp;languageCode=eng&amp;currency=EUR" TargetMode="External"/><Relationship Id="rId75" Type="http://schemas.openxmlformats.org/officeDocument/2006/relationships/hyperlink" Target="https://gameserver-store-client-area.orbionlimited.com/Home/IntegrationGameLaunch/client-area?moneyType=0&amp;gameName=UnicornBigHitSevens&amp;platform=desktop&amp;languageCode=eng&amp;currency=EUR" TargetMode="External"/><Relationship Id="rId91" Type="http://schemas.openxmlformats.org/officeDocument/2006/relationships/hyperlink" Target="https://gameserver-store-client-area.orbionlimited.com/Home/IntegrationGameLaunch/client-area?moneyType=0&amp;gameName=UnicornDynamiteEscape&amp;platform=desktop&amp;languageCode=eng&amp;currency=EUR" TargetMode="External"/><Relationship Id="rId96" Type="http://schemas.openxmlformats.org/officeDocument/2006/relationships/hyperlink" Target="https://gameserver-store-client-area.orbionlimited.com/Home/IntegrationGameLaunch/client-area?moneyType=0&amp;gameName=UnicornCollectCall&amp;platform=desktop&amp;languageCode=eng&amp;currency=EUR" TargetMode="External"/><Relationship Id="rId1" Type="http://schemas.openxmlformats.org/officeDocument/2006/relationships/hyperlink" Target="https://gameserver-store-client-area.orbionlimited.com/Home/IntegrationGameLaunch/client-area?moneyType=0&amp;gameName=UnicornVegasDice&amp;platform=desktop&amp;languageCode=eng&amp;currency=EUR" TargetMode="External"/><Relationship Id="rId6" Type="http://schemas.openxmlformats.org/officeDocument/2006/relationships/hyperlink" Target="https://gameserver-store-client-area.orbionlimited.com/Home/IntegrationGameLaunch/client-area?moneyType=0&amp;gameName=UnicornHavanaDice&amp;platform=desktop&amp;languageCode=eng&amp;currency=EUR" TargetMode="External"/><Relationship Id="rId23" Type="http://schemas.openxmlformats.org/officeDocument/2006/relationships/hyperlink" Target="https://gameserver-store-client-area.orbionlimited.com/Home/IntegrationGameLaunch/client-area?moneyType=0&amp;gameName=UnicornFastFruits&amp;platform=desktop&amp;languageCode=eng&amp;currency=EUR" TargetMode="External"/><Relationship Id="rId28" Type="http://schemas.openxmlformats.org/officeDocument/2006/relationships/hyperlink" Target="https://gameserver-store-client-area.orbionlimited.com/Home/IntegrationGameLaunch/client-area?moneyType=0&amp;gameName=Unicorn20HotStrike&amp;platform=desktop&amp;languageCode=eng&amp;currency=EUR" TargetMode="External"/><Relationship Id="rId49" Type="http://schemas.openxmlformats.org/officeDocument/2006/relationships/hyperlink" Target="https://gameserver-store-client-area.orbionlimited.com/Home/IntegrationGameLaunch/client-area?moneyType=0&amp;gameName=UnicornBuffaloSevens&amp;platform=desktop&amp;languageCode=eng&amp;currency=EUR" TargetMode="External"/><Relationship Id="rId114" Type="http://schemas.openxmlformats.org/officeDocument/2006/relationships/hyperlink" Target="https://gameserver-store-client-area.orbionlimited.com/Home/IntegrationGameLaunch/client-area?moneyType=0&amp;gameName=UnicornSuperDiceRunner&amp;platform=desktop&amp;languageCode=eng&amp;currency=EUR" TargetMode="External"/><Relationship Id="rId119" Type="http://schemas.openxmlformats.org/officeDocument/2006/relationships/hyperlink" Target="https://gameserver-store-client-area.orbionlimited.com/Home/IntegrationGameLaunch/client-area?moneyType=0&amp;gameName=UnicornByeBouse&amp;platform=desktop&amp;languageCode=eng&amp;currency=EUR" TargetMode="External"/><Relationship Id="rId44" Type="http://schemas.openxmlformats.org/officeDocument/2006/relationships/hyperlink" Target="https://gameserver-store-client-area.orbionlimited.com/Home/IntegrationGameLaunch/client-area?moneyType=0&amp;gameName=UnicornSimplySevensDice&amp;platform=desktop&amp;languageCode=eng&amp;currency=EUR" TargetMode="External"/><Relationship Id="rId60" Type="http://schemas.openxmlformats.org/officeDocument/2006/relationships/hyperlink" Target="https://gameserver-store-client-area.orbionlimited.com/Home/IntegrationGameLaunch/client-area?moneyType=0&amp;gameName=Unicorn20SuperFlames&amp;platform=desktop&amp;languageCode=eng&amp;currency=EUR" TargetMode="External"/><Relationship Id="rId65" Type="http://schemas.openxmlformats.org/officeDocument/2006/relationships/hyperlink" Target="https://gameserver-store-client-area.orbionlimited.com/Home/IntegrationGameLaunch/client-area?moneyType=0&amp;gameName=UnicornDiceMachine&amp;platform=desktop&amp;languageCode=eng&amp;currency=EUR" TargetMode="External"/><Relationship Id="rId81" Type="http://schemas.openxmlformats.org/officeDocument/2006/relationships/hyperlink" Target="https://gameserver-store-client-area.orbionlimited.com/Home/IntegrationGameLaunch/client-area?moneyType=0&amp;gameName=UnicornCoyoteGems&amp;platform=desktop&amp;languageCode=eng&amp;currency=EUR" TargetMode="External"/><Relationship Id="rId86" Type="http://schemas.openxmlformats.org/officeDocument/2006/relationships/hyperlink" Target="https://gameserver-store-client-area.orbionlimited.com/Home/IntegrationGameLaunch/client-area?moneyType=0&amp;gameName=UnicornMisterDice&amp;platform=desktop&amp;languageCode=eng&amp;currency=EUR" TargetMode="External"/><Relationship Id="rId130" Type="http://schemas.openxmlformats.org/officeDocument/2006/relationships/hyperlink" Target="https://gameserver-store-client-area.orbionlimited.com/Home/IntegrationGameLaunch/client-area?moneyType=0&amp;gameName=UnicornGoldenGateDice&amp;platform=desktop&amp;languageCode=eng&amp;currency=EUR" TargetMode="External"/><Relationship Id="rId135" Type="http://schemas.openxmlformats.org/officeDocument/2006/relationships/hyperlink" Target="https://gameserver-store-client-area.orbionlimited.com/Home/IntegrationGameLaunch/client-area?moneyType=0&amp;gameName=UnicornCrazyWildSevens&amp;platform=desktop&amp;languageCode=eng&amp;currency=EUR" TargetMode="External"/><Relationship Id="rId13" Type="http://schemas.openxmlformats.org/officeDocument/2006/relationships/hyperlink" Target="https://gameserver-store-client-area.orbionlimited.com/Home/IntegrationGameLaunch/client-area?moneyType=0&amp;gameName=Unicorn20MegaFlames&amp;platform=desktop&amp;languageCode=eng&amp;currency=EUR" TargetMode="External"/><Relationship Id="rId18" Type="http://schemas.openxmlformats.org/officeDocument/2006/relationships/hyperlink" Target="https://gameserver-store-client-area.orbionlimited.com/Home/IntegrationGameLaunch/client-area?moneyType=0&amp;gameName=Unicorn20DiceFlames&amp;platform=desktop&amp;languageCode=eng&amp;currency=EUR" TargetMode="External"/><Relationship Id="rId39" Type="http://schemas.openxmlformats.org/officeDocument/2006/relationships/hyperlink" Target="https://gameserver-store-client-area.orbionlimited.com/Home/IntegrationGameLaunch/client-area?moneyType=0&amp;gameName=UnicornBikiniDice&amp;platform=desktop&amp;languageCode=eng&amp;currency=EUR" TargetMode="External"/><Relationship Id="rId109" Type="http://schemas.openxmlformats.org/officeDocument/2006/relationships/hyperlink" Target="https://gameserver-store-client-area.orbionlimited.com/Home/IntegrationGameLaunch/client-area?moneyType=0&amp;gameName=UnicornSevensPay&amp;platform=desktop&amp;languageCode=eng&amp;currency=EUR" TargetMode="External"/><Relationship Id="rId34" Type="http://schemas.openxmlformats.org/officeDocument/2006/relationships/hyperlink" Target="https://gameserver-store-client-area.orbionlimited.com/Home/IntegrationGameLaunch/client-area?moneyType=0&amp;gameName=Unicorn40FruitReels&amp;platform=desktop&amp;languageCode=eng&amp;currency=EUR" TargetMode="External"/><Relationship Id="rId50" Type="http://schemas.openxmlformats.org/officeDocument/2006/relationships/hyperlink" Target="https://gameserver-store-client-area.orbionlimited.com/Home/IntegrationGameLaunch/client-area?moneyType=0&amp;gameName=UnicornMisterLuck&amp;platform=desktop&amp;languageCode=eng&amp;currency=EUR" TargetMode="External"/><Relationship Id="rId55" Type="http://schemas.openxmlformats.org/officeDocument/2006/relationships/hyperlink" Target="https://gameserver-store-client-area.orbionlimited.com/Home/IntegrationGameLaunch/client-area?moneyType=0&amp;gameName=UnicornLavaDice&amp;platform=desktop&amp;languageCode=eng&amp;currency=EUR" TargetMode="External"/><Relationship Id="rId76" Type="http://schemas.openxmlformats.org/officeDocument/2006/relationships/hyperlink" Target="https://gameserver-store-client-area.orbionlimited.com/Home/IntegrationGameLaunch/client-area?moneyType=0&amp;gameName=UnicornSupremeSevens&amp;platform=desktop&amp;languageCode=eng&amp;currency=EUR" TargetMode="External"/><Relationship Id="rId97" Type="http://schemas.openxmlformats.org/officeDocument/2006/relationships/hyperlink" Target="https://gameserver-store-client-area.orbionlimited.com/Home/IntegrationGameLaunch/client-area?moneyType=0&amp;gameName=UnicornCoyoteSevensHalloween&amp;platform=desktop&amp;languageCode=eng&amp;currency=EUR" TargetMode="External"/><Relationship Id="rId104" Type="http://schemas.openxmlformats.org/officeDocument/2006/relationships/hyperlink" Target="https://gameserver-store-client-area.orbionlimited.com/Home/IntegrationGameLaunch/client-area?moneyType=0&amp;gameName=UnicornSantasRudolf&amp;platform=desktop&amp;languageCode=eng&amp;currency=EUR" TargetMode="External"/><Relationship Id="rId120" Type="http://schemas.openxmlformats.org/officeDocument/2006/relationships/hyperlink" Target="https://gameserver-store-client-area.orbionlimited.com/Home/IntegrationGameLaunch/client-area?moneyType=0&amp;gameName=UnicornTripleRoyalWilds&amp;platform=desktop&amp;languageCode=eng&amp;currency=EUR" TargetMode="External"/><Relationship Id="rId125" Type="http://schemas.openxmlformats.org/officeDocument/2006/relationships/hyperlink" Target="https://gameserver-store-client-area.orbionlimited.com/Home/IntegrationGameLaunch/client-area?moneyType=0&amp;gameName=UnicornMoneyStandardJackpot&amp;platform=desktop&amp;languageCode=eng&amp;currency=EUR" TargetMode="External"/><Relationship Id="rId7" Type="http://schemas.openxmlformats.org/officeDocument/2006/relationships/hyperlink" Target="https://gameserver-store-client-area.orbionlimited.com/Home/IntegrationGameLaunch/client-area?moneyType=0&amp;gameName=UnicornCasinoFruits&amp;platform=desktop&amp;languageCode=eng&amp;currency=EUR" TargetMode="External"/><Relationship Id="rId71" Type="http://schemas.openxmlformats.org/officeDocument/2006/relationships/hyperlink" Target="https://gameserver-store-client-area.orbionlimited.com/Home/IntegrationGameLaunch/client-area?moneyType=0&amp;gameName=UnicornBunnyDice&amp;platform=desktop&amp;languageCode=eng&amp;currency=EUR" TargetMode="External"/><Relationship Id="rId92" Type="http://schemas.openxmlformats.org/officeDocument/2006/relationships/hyperlink" Target="https://gameserver-store-client-area.orbionlimited.com/Home/IntegrationGameLaunch/client-area?moneyType=0&amp;gameName=UnicornBuffaloSevensJackpot&amp;platform=desktop&amp;languageCode=eng&amp;currency=EUR" TargetMode="External"/><Relationship Id="rId2" Type="http://schemas.openxmlformats.org/officeDocument/2006/relationships/hyperlink" Target="https://gameserver-store-client-area.orbionlimited.com/Home/IntegrationGameLaunch/client-area?moneyType=0&amp;gameName=UnicornReelDice&amp;platform=desktop&amp;languageCode=eng&amp;currency=EUR" TargetMode="External"/><Relationship Id="rId29" Type="http://schemas.openxmlformats.org/officeDocument/2006/relationships/hyperlink" Target="https://gameserver-store-client-area.orbionlimited.com/Home/IntegrationGameLaunch/client-area?moneyType=0&amp;gameName=UnicornCoyoteSevens&amp;platform=desktop&amp;languageCode=eng&amp;currency=EUR" TargetMode="External"/><Relationship Id="rId24" Type="http://schemas.openxmlformats.org/officeDocument/2006/relationships/hyperlink" Target="https://gameserver-store-client-area.orbionlimited.com/Home/IntegrationGameLaunch/client-area?moneyType=0&amp;gameName=UnicornMoneyStandardWild&amp;platform=desktop&amp;languageCode=eng&amp;currency=EUR" TargetMode="External"/><Relationship Id="rId40" Type="http://schemas.openxmlformats.org/officeDocument/2006/relationships/hyperlink" Target="https://gameserver-store-client-area.orbionlimited.com/Home/IntegrationGameLaunch/client-area?moneyType=0&amp;gameName=UnicornSimplySevens&amp;platform=desktop&amp;languageCode=eng&amp;currency=EUR" TargetMode="External"/><Relationship Id="rId45" Type="http://schemas.openxmlformats.org/officeDocument/2006/relationships/hyperlink" Target="https://gameserver-store-client-area.orbionlimited.com/Home/IntegrationGameLaunch/client-area?moneyType=0&amp;gameName=UnicornFruitIslandChristmas&amp;platform=desktop&amp;languageCode=eng&amp;currency=EUR" TargetMode="External"/><Relationship Id="rId66" Type="http://schemas.openxmlformats.org/officeDocument/2006/relationships/hyperlink" Target="https://gameserver-store-client-area.orbionlimited.com/Home/IntegrationGameLaunch/client-area?moneyType=0&amp;gameName=UnicornThunderFruits&amp;platform=desktop&amp;languageCode=eng&amp;currency=EUR" TargetMode="External"/><Relationship Id="rId87" Type="http://schemas.openxmlformats.org/officeDocument/2006/relationships/hyperlink" Target="https://gameserver-store-client-area.orbionlimited.com/Home/IntegrationGameLaunch/client-area?moneyType=0&amp;gameName=UnicornThreeReelSevens&amp;platform=desktop&amp;languageCode=eng&amp;currency=EUR" TargetMode="External"/><Relationship Id="rId110" Type="http://schemas.openxmlformats.org/officeDocument/2006/relationships/hyperlink" Target="https://gameserver-store-client-area.orbionlimited.com/Home/IntegrationGameLaunch/client-area?moneyType=0&amp;gameName=UnicornDynamiteBoomDice&amp;platform=desktop&amp;languageCode=eng&amp;currency=EUR" TargetMode="External"/><Relationship Id="rId115" Type="http://schemas.openxmlformats.org/officeDocument/2006/relationships/hyperlink" Target="https://gameserver-store-client-area.orbionlimited.com/Home/IntegrationGameLaunch/client-area?moneyType=0&amp;gameName=UnicornLuckyGinger&amp;platform=desktop&amp;languageCode=eng&amp;currency=EUR" TargetMode="External"/><Relationship Id="rId131" Type="http://schemas.openxmlformats.org/officeDocument/2006/relationships/hyperlink" Target="https://gameserver-store-client-area.orbionlimited.com/Home/IntegrationGameLaunch/client-area?moneyType=0&amp;gameName=UnicornBarrelsOfRiches&amp;platform=desktop&amp;languageCode=eng&amp;currency=EUR" TargetMode="External"/><Relationship Id="rId136" Type="http://schemas.openxmlformats.org/officeDocument/2006/relationships/hyperlink" Target="https://gameserver-store-client-area.orbionlimited.com/Home/IntegrationGameLaunch/client-area?moneyType=0&amp;gameName=UnicornSunOfTheNile&amp;platform=desktop&amp;languageCode=eng&amp;currency=EUR" TargetMode="External"/><Relationship Id="rId61" Type="http://schemas.openxmlformats.org/officeDocument/2006/relationships/hyperlink" Target="https://gameserver-store-client-area.orbionlimited.com/Home/IntegrationGameLaunch/client-area?moneyType=0&amp;gameName=Unicorn20HotStrikeJackpot&amp;platform=desktop&amp;languageCode=eng&amp;currency=EUR" TargetMode="External"/><Relationship Id="rId82" Type="http://schemas.openxmlformats.org/officeDocument/2006/relationships/hyperlink" Target="https://gameserver-store-client-area.orbionlimited.com/Home/IntegrationGameLaunch/client-area?moneyType=0&amp;gameName=UnicornDynamiteRunDice&amp;platform=desktop&amp;languageCode=eng&amp;currency=EUR" TargetMode="External"/><Relationship Id="rId19" Type="http://schemas.openxmlformats.org/officeDocument/2006/relationships/hyperlink" Target="https://gameserver-store-client-area.orbionlimited.com/Home/IntegrationGameLaunch/client-area?moneyType=0&amp;gameName=Unicorn40MegaFlames&amp;platform=desktop&amp;languageCode=eng&amp;currency=EUR" TargetMode="External"/><Relationship Id="rId14" Type="http://schemas.openxmlformats.org/officeDocument/2006/relationships/hyperlink" Target="https://gameserver-store-client-area.orbionlimited.com/Home/IntegrationGameLaunch/client-area?moneyType=0&amp;gameName=UnicornDaVincisFruits&amp;platform=desktop&amp;languageCode=eng&amp;currency=EUR" TargetMode="External"/><Relationship Id="rId30" Type="http://schemas.openxmlformats.org/officeDocument/2006/relationships/hyperlink" Target="https://gameserver-store-client-area.orbionlimited.com/Home/IntegrationGameLaunch/client-area?moneyType=0&amp;gameName=UnicornCoyoteDice&amp;platform=desktop&amp;languageCode=eng&amp;currency=EUR" TargetMode="External"/><Relationship Id="rId35" Type="http://schemas.openxmlformats.org/officeDocument/2006/relationships/hyperlink" Target="https://gameserver-store-client-area.orbionlimited.com/Home/IntegrationGameLaunch/client-area?moneyType=0&amp;gameName=Unicorn5HotStrike&amp;platform=desktop&amp;languageCode=eng&amp;currency=EUR" TargetMode="External"/><Relationship Id="rId56" Type="http://schemas.openxmlformats.org/officeDocument/2006/relationships/hyperlink" Target="https://gameserver-store-client-area.orbionlimited.com/Home/IntegrationGameLaunch/client-area?moneyType=0&amp;gameName=UnicornGoldLineDice&amp;platform=desktop&amp;languageCode=eng&amp;currency=EUR" TargetMode="External"/><Relationship Id="rId77" Type="http://schemas.openxmlformats.org/officeDocument/2006/relationships/hyperlink" Target="https://gameserver-store-client-area.orbionlimited.com/Home/IntegrationGameLaunch/client-area?moneyType=0&amp;gameName=UnicornTripleStackedDiamonds&amp;platform=desktop&amp;languageCode=eng&amp;currency=EUR" TargetMode="External"/><Relationship Id="rId100" Type="http://schemas.openxmlformats.org/officeDocument/2006/relationships/hyperlink" Target="https://gameserver-store-client-area.orbionlimited.com/Home/IntegrationGameLaunch/client-area?moneyType=0&amp;gameName=UnicornSuperHighRunner&amp;platform=desktop&amp;languageCode=eng&amp;currency=EUR" TargetMode="External"/><Relationship Id="rId105" Type="http://schemas.openxmlformats.org/officeDocument/2006/relationships/hyperlink" Target="https://gameserver-store-client-area.orbionlimited.com/Home/IntegrationGameLaunch/client-area?moneyType=0&amp;gameName=UnicornGoldLineGems&amp;platform=desktop&amp;languageCode=eng&amp;currency=EUR" TargetMode="External"/><Relationship Id="rId126" Type="http://schemas.openxmlformats.org/officeDocument/2006/relationships/hyperlink" Target="https://gameserver-store-client-area.orbionlimited.com/Home/IntegrationGameLaunch/client-area?moneyType=0&amp;gameName=UnicornShinyFireballs&amp;platform=desktop&amp;languageCode=eng&amp;currency=EUR" TargetMode="External"/><Relationship Id="rId8" Type="http://schemas.openxmlformats.org/officeDocument/2006/relationships/hyperlink" Target="https://gameserver-store-client-area.orbionlimited.com/Home/IntegrationGameLaunch/client-area?moneyType=0&amp;gameName=UnicornTheCrownFruit&amp;platform=desktop&amp;languageCode=eng&amp;currency=EUR" TargetMode="External"/><Relationship Id="rId51" Type="http://schemas.openxmlformats.org/officeDocument/2006/relationships/hyperlink" Target="https://gameserver-store-client-area.orbionlimited.com/Home/IntegrationGameLaunch/client-area?moneyType=0&amp;gameName=UnicornFrootClassic&amp;platform=desktop&amp;languageCode=eng&amp;currency=EUR" TargetMode="External"/><Relationship Id="rId72" Type="http://schemas.openxmlformats.org/officeDocument/2006/relationships/hyperlink" Target="https://gameserver-store-client-area.orbionlimited.com/Home/IntegrationGameLaunch/client-area?moneyType=0&amp;gameName=UnicornSavanaFruits&amp;platform=desktop&amp;languageCode=eng&amp;currency=EUR" TargetMode="External"/><Relationship Id="rId93" Type="http://schemas.openxmlformats.org/officeDocument/2006/relationships/hyperlink" Target="https://gameserver-store-client-area.orbionlimited.com/Home/IntegrationGameLaunch/client-area?moneyType=0&amp;gameName=UnicornScatterKaChing&amp;platform=desktop&amp;languageCode=eng&amp;currency=EUR" TargetMode="External"/><Relationship Id="rId98" Type="http://schemas.openxmlformats.org/officeDocument/2006/relationships/hyperlink" Target="https://gameserver-store-client-area.orbionlimited.com/Home/IntegrationGameLaunch/client-area?moneyType=0&amp;gameName=UnicornLavaGems&amp;platform=desktop&amp;languageCode=eng&amp;currency=EUR" TargetMode="External"/><Relationship Id="rId121" Type="http://schemas.openxmlformats.org/officeDocument/2006/relationships/hyperlink" Target="https://gameserver-store-client-area.orbionlimited.com/Home/IntegrationGameLaunch/client-area?moneyType=0&amp;gameName=UnicornHotFireballs&amp;platform=desktop&amp;languageCode=eng&amp;currency=EUR" TargetMode="External"/><Relationship Id="rId3" Type="http://schemas.openxmlformats.org/officeDocument/2006/relationships/hyperlink" Target="https://gameserver-store-client-area.orbionlimited.com/Home/IntegrationGameLaunch/client-area?moneyType=0&amp;gameName=UnicornFruitIsland&amp;platform=desktop&amp;languageCode=eng&amp;currency=EUR" TargetMode="External"/><Relationship Id="rId25" Type="http://schemas.openxmlformats.org/officeDocument/2006/relationships/hyperlink" Target="https://gameserver-store-client-area.orbionlimited.com/Home/IntegrationGameLaunch/client-area?moneyType=0&amp;gameName=UnicornDiceMegaCash&amp;platform=desktop&amp;languageCode=eng&amp;currency=EUR" TargetMode="External"/><Relationship Id="rId46" Type="http://schemas.openxmlformats.org/officeDocument/2006/relationships/hyperlink" Target="https://gameserver-store-client-area.orbionlimited.com/Home/IntegrationGameLaunch/client-area?moneyType=0&amp;gameName=UnicornChristmasPresents&amp;platform=desktop&amp;languageCode=eng&amp;currency=EUR" TargetMode="External"/><Relationship Id="rId67" Type="http://schemas.openxmlformats.org/officeDocument/2006/relationships/hyperlink" Target="https://gameserver-store-client-area.orbionlimited.com/Home/IntegrationGameLaunch/client-area?moneyType=0&amp;gameName=UnicornEpicMegaCash&amp;platform=desktop&amp;languageCode=eng&amp;currency=EUR" TargetMode="External"/><Relationship Id="rId116" Type="http://schemas.openxmlformats.org/officeDocument/2006/relationships/hyperlink" Target="https://gameserver-store-client-area.orbionlimited.com/Home/IntegrationGameLaunch/client-area?moneyType=0&amp;gameName=UnicornLionsSevensExtreme&amp;platform=desktop&amp;languageCode=eng&amp;currency=EUR" TargetMode="External"/><Relationship Id="rId137" Type="http://schemas.openxmlformats.org/officeDocument/2006/relationships/hyperlink" Target="https://gameserver-store-client-area.orbionlimited.com/Home/IntegrationGameLaunch/client-area?moneyType=0&amp;gameName=UnicornDazzleFireballs&amp;platform=desktop&amp;languageCode=eng&amp;currency=EUR" TargetMode="External"/><Relationship Id="rId20" Type="http://schemas.openxmlformats.org/officeDocument/2006/relationships/hyperlink" Target="https://gameserver-store-client-area.orbionlimited.com/Home/IntegrationGameLaunch/client-area?moneyType=0&amp;gameName=Unicorn40DiceFlames&amp;platform=desktop&amp;languageCode=eng&amp;currency=EUR" TargetMode="External"/><Relationship Id="rId41" Type="http://schemas.openxmlformats.org/officeDocument/2006/relationships/hyperlink" Target="https://gameserver-store-client-area.orbionlimited.com/Home/IntegrationGameLaunch/client-area?moneyType=0&amp;gameName=Unicorn10JingleFruits&amp;platform=desktop&amp;languageCode=eng&amp;currency=EUR" TargetMode="External"/><Relationship Id="rId62" Type="http://schemas.openxmlformats.org/officeDocument/2006/relationships/hyperlink" Target="https://gameserver-store-client-area.orbionlimited.com/Home/IntegrationGameLaunch/client-area?moneyType=0&amp;gameName=UnicornHitLineDice&amp;platform=desktop&amp;languageCode=eng&amp;currency=EUR" TargetMode="External"/><Relationship Id="rId83" Type="http://schemas.openxmlformats.org/officeDocument/2006/relationships/hyperlink" Target="https://gameserver-store-client-area.orbionlimited.com/Home/IntegrationGameLaunch/client-area?moneyType=0&amp;gameName=UnicornBigSpinDragons&amp;platform=desktop&amp;languageCode=eng&amp;currency=EUR" TargetMode="External"/><Relationship Id="rId88" Type="http://schemas.openxmlformats.org/officeDocument/2006/relationships/hyperlink" Target="https://gameserver-store-client-area.orbionlimited.com/Home/IntegrationGameLaunch/client-area?moneyType=0&amp;gameName=UnicornEnchantedGems&amp;platform=desktop&amp;languageCode=eng&amp;currency=EUR" TargetMode="External"/><Relationship Id="rId111" Type="http://schemas.openxmlformats.org/officeDocument/2006/relationships/hyperlink" Target="https://gameserver-store-client-area.orbionlimited.com/Home/IntegrationGameLaunch/client-area?moneyType=0&amp;gameName=UnicornBuffaloDiceJackpot&amp;platform=desktop&amp;languageCode=eng&amp;currency=EUR" TargetMode="External"/><Relationship Id="rId132" Type="http://schemas.openxmlformats.org/officeDocument/2006/relationships/hyperlink" Target="https://gameserver-store-client-area.orbionlimited.com/Home/IntegrationGameLaunch/client-area?moneyType=0&amp;gameName=UnicornFlamyFireballs&amp;platform=desktop&amp;languageCode=eng&amp;currency=EUR" TargetMode="External"/><Relationship Id="rId15" Type="http://schemas.openxmlformats.org/officeDocument/2006/relationships/hyperlink" Target="https://gameserver-store-client-area.orbionlimited.com/Home/IntegrationGameLaunch/client-area?moneyType=0&amp;gameName=UnicornFruitMagic&amp;platform=desktop&amp;languageCode=eng&amp;currency=EUR" TargetMode="External"/><Relationship Id="rId36" Type="http://schemas.openxmlformats.org/officeDocument/2006/relationships/hyperlink" Target="https://gameserver-store-client-area.orbionlimited.com/Home/IntegrationGameLaunch/client-area?moneyType=0&amp;gameName=UnicornBikiniFruits&amp;platform=desktop&amp;languageCode=eng&amp;currency=EUR" TargetMode="External"/><Relationship Id="rId57" Type="http://schemas.openxmlformats.org/officeDocument/2006/relationships/hyperlink" Target="https://gameserver-store-client-area.orbionlimited.com/Home/IntegrationGameLaunch/client-area?moneyType=0&amp;gameName=UnicornLavaDiamondsChristmas&amp;platform=desktop&amp;languageCode=eng&amp;currency=EUR" TargetMode="External"/><Relationship Id="rId106" Type="http://schemas.openxmlformats.org/officeDocument/2006/relationships/hyperlink" Target="https://gameserver-store-client-area.orbionlimited.com/Home/IntegrationGameLaunch/client-area?moneyType=0&amp;gameName=UnicornChristmasPresents2025&amp;platform=desktop&amp;languageCode=eng&amp;currency=EUR" TargetMode="External"/><Relationship Id="rId127" Type="http://schemas.openxmlformats.org/officeDocument/2006/relationships/hyperlink" Target="https://gameserver-store-client-area.orbionlimited.com/Home/IntegrationGameLaunch/client-area?moneyType=0&amp;gameName=UnicornHotEightyOne&amp;platform=desktop&amp;languageCode=eng&amp;currency=EUR" TargetMode="External"/><Relationship Id="rId10" Type="http://schemas.openxmlformats.org/officeDocument/2006/relationships/hyperlink" Target="https://gameserver-store-client-area.orbionlimited.com/Home/IntegrationGameLaunch/client-area?moneyType=0&amp;gameName=UnicornTwentyDice&amp;platform=desktop&amp;languageCode=eng&amp;currency=EUR" TargetMode="External"/><Relationship Id="rId31" Type="http://schemas.openxmlformats.org/officeDocument/2006/relationships/hyperlink" Target="https://gameserver-store-client-area.orbionlimited.com/Home/IntegrationGameLaunch/client-area?moneyType=0&amp;gameName=UnicornFruitWildLines&amp;platform=desktop&amp;languageCode=eng&amp;currency=EUR" TargetMode="External"/><Relationship Id="rId52" Type="http://schemas.openxmlformats.org/officeDocument/2006/relationships/hyperlink" Target="https://gameserver-store-client-area.orbionlimited.com/Home/IntegrationGameLaunch/client-area?moneyType=0&amp;gameName=UnicornDiceWildLines&amp;platform=desktop&amp;languageCode=eng&amp;currency=EUR" TargetMode="External"/><Relationship Id="rId73" Type="http://schemas.openxmlformats.org/officeDocument/2006/relationships/hyperlink" Target="https://gameserver-store-client-area.orbionlimited.com/Home/IntegrationGameLaunch/client-area?moneyType=0&amp;gameName=UnicornBigSpinSevens&amp;platform=desktop&amp;languageCode=eng&amp;currency=EUR" TargetMode="External"/><Relationship Id="rId78" Type="http://schemas.openxmlformats.org/officeDocument/2006/relationships/hyperlink" Target="https://gameserver-store-client-area.orbionlimited.com/Home/IntegrationGameLaunch/client-area?moneyType=0&amp;gameName=UnicornDynamiteBoom&amp;platform=desktop&amp;languageCode=eng&amp;currency=EUR" TargetMode="External"/><Relationship Id="rId94" Type="http://schemas.openxmlformats.org/officeDocument/2006/relationships/hyperlink" Target="https://gameserver-store-client-area.orbionlimited.com/Home/IntegrationGameLaunch/client-area?moneyType=0&amp;gameName=UnicornFruitPlay&amp;platform=desktop&amp;languageCode=eng&amp;currency=EUR" TargetMode="External"/><Relationship Id="rId99" Type="http://schemas.openxmlformats.org/officeDocument/2006/relationships/hyperlink" Target="https://gameserver-store-client-area.orbionlimited.com/Home/IntegrationGameLaunch/client-area?moneyType=0&amp;gameName=UnicornTheKingsHalloween&amp;platform=desktop&amp;languageCode=eng&amp;currency=EUR" TargetMode="External"/><Relationship Id="rId101" Type="http://schemas.openxmlformats.org/officeDocument/2006/relationships/hyperlink" Target="https://gameserver-store-client-area.orbionlimited.com/Home/IntegrationGameLaunch/client-area?moneyType=0&amp;gameName=UnicornBigSpinDice&amp;platform=desktop&amp;languageCode=eng&amp;currency=EUR" TargetMode="External"/><Relationship Id="rId122" Type="http://schemas.openxmlformats.org/officeDocument/2006/relationships/hyperlink" Target="https://gameserver-store-client-area.orbionlimited.com/Home/IntegrationGameLaunch/client-area?moneyType=0&amp;gameName=UnicornThreeReelDice&amp;platform=desktop&amp;languageCode=eng&amp;currency=EUR" TargetMode="External"/><Relationship Id="rId4" Type="http://schemas.openxmlformats.org/officeDocument/2006/relationships/hyperlink" Target="https://gameserver-store-client-area.orbionlimited.com/Home/IntegrationGameLaunch/client-area?moneyType=0&amp;gameName=UnicornWildParadise&amp;platform=desktop&amp;languageCode=eng&amp;currency=EUR" TargetMode="External"/><Relationship Id="rId9" Type="http://schemas.openxmlformats.org/officeDocument/2006/relationships/hyperlink" Target="https://gameserver-store-client-area.orbionlimited.com/Home/IntegrationGameLaunch/client-area?moneyType=0&amp;gameName=UnicornTwentyFruits&amp;platform=desktop&amp;languageCode=eng&amp;currency=EUR" TargetMode="External"/><Relationship Id="rId26" Type="http://schemas.openxmlformats.org/officeDocument/2006/relationships/hyperlink" Target="https://gameserver-store-client-area.orbionlimited.com/Home/IntegrationGameLaunch/client-area?moneyType=0&amp;gameName=Unicorn40HotStrike&amp;platform=desktop&amp;languageCode=eng&amp;currency=EUR" TargetMode="External"/><Relationship Id="rId47" Type="http://schemas.openxmlformats.org/officeDocument/2006/relationships/hyperlink" Target="https://gameserver-store-client-area.orbionlimited.com/Home/IntegrationGameLaunch/client-area?moneyType=0&amp;gameName=UnicornLavaDiamonds&amp;platform=desktop&amp;languageCode=eng&amp;currency=EUR" TargetMode="External"/><Relationship Id="rId68" Type="http://schemas.openxmlformats.org/officeDocument/2006/relationships/hyperlink" Target="https://gameserver-store-client-area.orbionlimited.com/Home/IntegrationGameLaunch/client-area?moneyType=0&amp;gameName=UnicornWildHoppers&amp;platform=desktop&amp;languageCode=eng&amp;currency=EUR" TargetMode="External"/><Relationship Id="rId89" Type="http://schemas.openxmlformats.org/officeDocument/2006/relationships/hyperlink" Target="https://gameserver-store-client-area.orbionlimited.com/Home/IntegrationGameLaunch/client-area?moneyType=0&amp;gameName=UnicornSupremeSevensDice&amp;platform=desktop&amp;languageCode=eng&amp;currency=EUR" TargetMode="External"/><Relationship Id="rId112" Type="http://schemas.openxmlformats.org/officeDocument/2006/relationships/hyperlink" Target="https://gameserver-store-client-area.orbionlimited.com/Home/IntegrationGameLaunch/client-area?moneyType=0&amp;gameName=UnicornTripleStackedDiamondJackpot&amp;platform=desktop&amp;languageCode=eng&amp;currency=EUR" TargetMode="External"/><Relationship Id="rId133" Type="http://schemas.openxmlformats.org/officeDocument/2006/relationships/hyperlink" Target="https://gameserver-store-client-area.orbionlimited.com/Home/IntegrationGameLaunch/client-area?moneyType=0&amp;gameName=UnicornFruitPlayDice&amp;platform=desktop&amp;languageCode=eng&amp;currency=EUR"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rgs-royal-jewels-fortune-deluxe.soko.games/?demo=True&amp;locale=eng" TargetMode="External"/><Relationship Id="rId2" Type="http://schemas.openxmlformats.org/officeDocument/2006/relationships/hyperlink" Target="https://rgs-double-hot-chili.soko.games/?demo=True&amp;locale=eng" TargetMode="External"/><Relationship Id="rId1" Type="http://schemas.openxmlformats.org/officeDocument/2006/relationships/hyperlink" Target="https://rgs-lucky-crown-10.soko.games/" TargetMode="External"/><Relationship Id="rId4" Type="http://schemas.openxmlformats.org/officeDocument/2006/relationships/hyperlink" Target="https://rgs-royal-crown-delight.soko.games/?demo=True&amp;locale=e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Y1001"/>
  <sheetViews>
    <sheetView tabSelected="1" workbookViewId="0">
      <pane ySplit="2" topLeftCell="A3" activePane="bottomLeft" state="frozen"/>
      <selection pane="bottomLeft" activeCell="B4" sqref="B4"/>
    </sheetView>
  </sheetViews>
  <sheetFormatPr defaultColWidth="12.6640625" defaultRowHeight="15.75" customHeight="1" x14ac:dyDescent="0.25"/>
  <cols>
    <col min="17" max="17" width="29.6640625" customWidth="1"/>
  </cols>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""Foxi"",
  all_rows, IFERROR(FILTER(AllGames_Games!A2:BZ1001, (AllGames_Games!BE2:BE1001 = TRUE) + (AllGames_Games!BE2:BE1001 = ""TRUE"")), """"),
  base_games, IFERROR(FILTER(all_rows, IF(studio_filter = """", 1, CHOOSECOLS(all_"&amp;"rows, 55) = studio_filter)), """"),
  IF(INDEX(base_games, 1, 1) = """", ""Nema rezultata za filter"",
    LET(
      gamename_keys, CHOOSECOLS(base_games, 4),
      gameid_keys, CHOOSECOLS(base_games, 6),
      studio, VSTACK(""GameStudio"", CH"&amp;"OOSECOLS(base_games, 55)),
      name, VSTACK(""GameName"", gamename_keys),
      gameID, VSTACK(""GameID"", gameid_keys),
      release, VSTACK(""ReleaseDate"", CHOOSECOLS(base_games, 19)),
      category, VSTACK(""GameCategoryID"", CHOOSECOLS(base_games"&amp;", 11)),
      size, VSTACK(""GameSize"", CHOOSECOLS(base_games, 16)),
      reels, VSTACK(""ReelsAndRows"", CHOOSECOLS(base_games, 21)),
      lines, VSTACK(""Paylines"", CHOOSECOLS(base_games, 22)),
      payLines, VSTACK(""PayableLines"", CHOOSECOLS(bas"&amp;"e_games, 23)),
      rtp, VSTACK(""RTP%"", ARRAYFORMULA(IF(CHOOSECOLS(base_games, 24)="""", """", CHOOSECOLS(base_games, 24) &amp; ""%""))),
      volatility, VSTACK(""VolatilityID"", CHOOSECOLS(base_games, 25)),
      hit, VSTACK(""HitFrequency%"", ARRAYFORM"&amp;"ULA(IF(CHOOSECOLS(base_games,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56)),
      promo, VSTACK(""PromoTe"&amp;"xt"", CHOOSECOLS(base_games, 45)),
      part1, HSTACK(studio, name, gameID, release, category, size, reels, lines, payLines, rtp, volatility, hit, exposure, bet, jackpot, features, demo, promo),
      lang_headers, GameLanguages_za_CA!B1:AD"&amp;"1,
      lang_data, ARRAYFORMULA(IFERROR(VLOOKUP(gameid_keys, GameLanguages_za_CA!A:AD, SEQUENCE(1, COLUMNS(lang_headers), 2), 0), """")),
      part2, VSTACK(lang_headers, lang_data),
      jur_headers, FILTER(Jurisdiction_report!B1:BY1, Jurisdict"&amp;"ion_report!B1:BY1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Avail"&amp;"able)"", """"))),
        LET(
          filtered_headers, CHOOSECOLS(jur_headers, valid_col_indices),
          filtered_data_raw, CHOOSECOLS(jur_data_raw, valid_col_indices),
          filtered_data, ARRAYFORMULA(IF(filtered_data_raw = ""Available"", """&amp;"Available"", """")),
          VSTACK(filtered_headers, filtered_data)
        )
      ),
      HSTACK(part1, part2)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IFERROR(__xludf.DUMMYFUNCTION("""COMPUTED_VALUE"""),"Foxi")</f>
        <v>Foxi</v>
      </c>
      <c r="B3" s="5" t="str">
        <f ca="1">IFERROR(__xludf.DUMMYFUNCTION("""COMPUTED_VALUE"""),"Postman")</f>
        <v>Postman</v>
      </c>
      <c r="C3" s="5" t="str">
        <f ca="1">IFERROR(__xludf.DUMMYFUNCTION("""COMPUTED_VALUE"""),"Postman")</f>
        <v>Postman</v>
      </c>
      <c r="D3" s="6">
        <f ca="1">IFERROR(__xludf.DUMMYFUNCTION("""COMPUTED_VALUE"""),42948)</f>
        <v>42948</v>
      </c>
      <c r="E3" s="5" t="str">
        <f ca="1">IFERROR(__xludf.DUMMYFUNCTION("""COMPUTED_VALUE"""),"Slot")</f>
        <v>Slot</v>
      </c>
      <c r="F3" s="5">
        <f ca="1">IFERROR(__xludf.DUMMYFUNCTION("""COMPUTED_VALUE"""),36.2)</f>
        <v>36.200000000000003</v>
      </c>
      <c r="G3" s="5" t="str">
        <f ca="1">IFERROR(__xludf.DUMMYFUNCTION("""COMPUTED_VALUE"""),"5x3")</f>
        <v>5x3</v>
      </c>
      <c r="H3" s="5" t="str">
        <f ca="1">IFERROR(__xludf.DUMMYFUNCTION("""COMPUTED_VALUE"""),"10")</f>
        <v>10</v>
      </c>
      <c r="I3" s="5" t="str">
        <f ca="1">IFERROR(__xludf.DUMMYFUNCTION("""COMPUTED_VALUE"""),"1,3,5,7,10")</f>
        <v>1,3,5,7,10</v>
      </c>
      <c r="J3" s="5" t="str">
        <f ca="1">IFERROR(__xludf.DUMMYFUNCTION("""COMPUTED_VALUE"""),"82.602%")</f>
        <v>82.602%</v>
      </c>
      <c r="K3" s="5" t="str">
        <f ca="1">IFERROR(__xludf.DUMMYFUNCTION("""COMPUTED_VALUE"""),"High")</f>
        <v>High</v>
      </c>
      <c r="L3" s="5" t="str">
        <f ca="1">IFERROR(__xludf.DUMMYFUNCTION("""COMPUTED_VALUE"""),"24.04%")</f>
        <v>24.04%</v>
      </c>
      <c r="M3" s="5" t="str">
        <f ca="1">IFERROR(__xludf.DUMMYFUNCTION("""COMPUTED_VALUE"""),"x4368")</f>
        <v>x4368</v>
      </c>
      <c r="N3" s="5" t="str">
        <f ca="1">IFERROR(__xludf.DUMMYFUNCTION("""COMPUTED_VALUE"""),"0.01/40")</f>
        <v>0.01/40</v>
      </c>
      <c r="O3" s="5" t="str">
        <f ca="1">IFERROR(__xludf.DUMMYFUNCTION("""COMPUTED_VALUE"""),"Yes")</f>
        <v>Yes</v>
      </c>
      <c r="P3" s="5" t="str">
        <f ca="1">IFERROR(__xludf.DUMMYFUNCTION("""COMPUTED_VALUE"""),"Bonus Game with Multiplier, Wild Multiplier, Scatter")</f>
        <v>Bonus Game with Multiplier, Wild Multiplier, Scatter</v>
      </c>
      <c r="Q3" s="7" t="str">
        <f ca="1">IFERROR(__xludf.DUMMYFUNCTION("""COMPUTED_VALUE"""),"https://gameserver-store-client-area.orbionlimited.com/Home/IntegrationGameLaunch/client-area?moneyType=0&amp;gameName=Postman&amp;platform=desktop&amp;languageCode=eng&amp;currency=EUR")</f>
        <v>https://gameserver-store-client-area.orbionlimited.com/Home/IntegrationGameLaunch/client-area?moneyType=0&amp;gameName=Postman&amp;platform=desktop&amp;languageCode=eng&amp;currency=EUR</v>
      </c>
      <c r="R3" s="5" t="str">
        <f ca="1">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S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IFERROR(__xludf.DUMMYFUNCTION("""COMPUTED_VALUE"""),"Yes")</f>
        <v>Yes</v>
      </c>
      <c r="AH3" s="5" t="str">
        <f ca="1">IFERROR(__xludf.DUMMYFUNCTION("""COMPUTED_VALUE"""),"Yes")</f>
        <v>Yes</v>
      </c>
      <c r="AI3" s="5" t="str">
        <f ca="1">IFERROR(__xludf.DUMMYFUNCTION("""COMPUTED_VALUE"""),"Yes")</f>
        <v>Yes</v>
      </c>
      <c r="AJ3" s="5" t="str">
        <f ca="1">IFERROR(__xludf.DUMMYFUNCTION("""COMPUTED_VALUE"""),"Yes")</f>
        <v>Yes</v>
      </c>
      <c r="AK3" s="5" t="str">
        <f ca="1">IFERROR(__xludf.DUMMYFUNCTION("""COMPUTED_VALUE"""),"Yes")</f>
        <v>Yes</v>
      </c>
      <c r="AL3" s="5" t="str">
        <f ca="1">IFERROR(__xludf.DUMMYFUNCTION("""COMPUTED_VALUE"""),"Yes")</f>
        <v>Yes</v>
      </c>
      <c r="AM3" s="5" t="str">
        <f ca="1">IFERROR(__xludf.DUMMYFUNCTION("""COMPUTED_VALUE"""),"Yes")</f>
        <v>Yes</v>
      </c>
      <c r="AN3" s="5" t="str">
        <f ca="1">IFERROR(__xludf.DUMMYFUNCTION("""COMPUTED_VALUE"""),"Yes")</f>
        <v>Yes</v>
      </c>
      <c r="AO3" s="5" t="str">
        <f ca="1">IFERROR(__xludf.DUMMYFUNCTION("""COMPUTED_VALUE"""),"Yes")</f>
        <v>Yes</v>
      </c>
      <c r="AP3" s="5" t="str">
        <f ca="1">IFERROR(__xludf.DUMMYFUNCTION("""COMPUTED_VALUE"""),"Yes")</f>
        <v>Yes</v>
      </c>
      <c r="AQ3" s="5" t="str">
        <f ca="1">IFERROR(__xludf.DUMMYFUNCTION("""COMPUTED_VALUE"""),"Yes")</f>
        <v>Yes</v>
      </c>
      <c r="AR3" s="5" t="str">
        <f ca="1">IFERROR(__xludf.DUMMYFUNCTION("""COMPUTED_VALUE"""),"Yes")</f>
        <v>Yes</v>
      </c>
      <c r="AS3" s="5" t="str">
        <f ca="1">IFERROR(__xludf.DUMMYFUNCTION("""COMPUTED_VALUE"""),"Yes")</f>
        <v>Yes</v>
      </c>
      <c r="AT3" s="5" t="str">
        <f ca="1">IFERROR(__xludf.DUMMYFUNCTION("""COMPUTED_VALUE"""),"No")</f>
        <v>No</v>
      </c>
      <c r="AU3" s="5"/>
    </row>
    <row r="4" spans="1:77" x14ac:dyDescent="0.25">
      <c r="A4" s="5" t="str">
        <f ca="1">IFERROR(__xludf.DUMMYFUNCTION("""COMPUTED_VALUE"""),"Foxi")</f>
        <v>Foxi</v>
      </c>
      <c r="B4" s="5" t="str">
        <f ca="1">IFERROR(__xludf.DUMMYFUNCTION("""COMPUTED_VALUE"""),"Deep Jungle")</f>
        <v>Deep Jungle</v>
      </c>
      <c r="C4" s="5" t="str">
        <f ca="1">IFERROR(__xludf.DUMMYFUNCTION("""COMPUTED_VALUE"""),"DeepJungle")</f>
        <v>DeepJungle</v>
      </c>
      <c r="D4" s="6">
        <f ca="1">IFERROR(__xludf.DUMMYFUNCTION("""COMPUTED_VALUE"""),42767)</f>
        <v>42767</v>
      </c>
      <c r="E4" s="5" t="str">
        <f ca="1">IFERROR(__xludf.DUMMYFUNCTION("""COMPUTED_VALUE"""),"Slot")</f>
        <v>Slot</v>
      </c>
      <c r="F4" s="5">
        <f ca="1">IFERROR(__xludf.DUMMYFUNCTION("""COMPUTED_VALUE"""),25.3)</f>
        <v>25.3</v>
      </c>
      <c r="G4" s="5" t="str">
        <f ca="1">IFERROR(__xludf.DUMMYFUNCTION("""COMPUTED_VALUE"""),"5x3")</f>
        <v>5x3</v>
      </c>
      <c r="H4" s="5" t="str">
        <f ca="1">IFERROR(__xludf.DUMMYFUNCTION("""COMPUTED_VALUE"""),"20")</f>
        <v>20</v>
      </c>
      <c r="I4" s="5" t="str">
        <f ca="1">IFERROR(__xludf.DUMMYFUNCTION("""COMPUTED_VALUE"""),"20")</f>
        <v>20</v>
      </c>
      <c r="J4" s="5" t="str">
        <f ca="1">IFERROR(__xludf.DUMMYFUNCTION("""COMPUTED_VALUE"""),"96.288%")</f>
        <v>96.288%</v>
      </c>
      <c r="K4" s="5" t="str">
        <f ca="1">IFERROR(__xludf.DUMMYFUNCTION("""COMPUTED_VALUE"""),"Medium")</f>
        <v>Medium</v>
      </c>
      <c r="L4" s="5" t="str">
        <f ca="1">IFERROR(__xludf.DUMMYFUNCTION("""COMPUTED_VALUE"""),"22.04%")</f>
        <v>22.04%</v>
      </c>
      <c r="M4" s="5" t="str">
        <f ca="1">IFERROR(__xludf.DUMMYFUNCTION("""COMPUTED_VALUE"""),"x1005")</f>
        <v>x1005</v>
      </c>
      <c r="N4" s="5" t="str">
        <f ca="1">IFERROR(__xludf.DUMMYFUNCTION("""COMPUTED_VALUE"""),"0.2/50")</f>
        <v>0.2/50</v>
      </c>
      <c r="O4" s="5" t="str">
        <f ca="1">IFERROR(__xludf.DUMMYFUNCTION("""COMPUTED_VALUE"""),"Yes")</f>
        <v>Yes</v>
      </c>
      <c r="P4" s="5" t="str">
        <f ca="1">IFERROR(__xludf.DUMMYFUNCTION("""COMPUTED_VALUE"""),"Scatter, Wild Symbol, Exploding Wild")</f>
        <v>Scatter, Wild Symbol, Exploding Wild</v>
      </c>
      <c r="Q4" s="7" t="str">
        <f ca="1">IFERROR(__xludf.DUMMYFUNCTION("""COMPUTED_VALUE"""),"https://gameserver-store-client-area.orbionlimited.com/Home/IntegrationGameLaunch/client-area?moneyType=0&amp;gameName=DeepJungle&amp;platform=desktop&amp;languageCode=eng&amp;currency=EUR")</f>
        <v>https://gameserver-store-client-area.orbionlimited.com/Home/IntegrationGameLaunch/client-area?moneyType=0&amp;gameName=DeepJungle&amp;platform=desktop&amp;languageCode=eng&amp;currency=EUR</v>
      </c>
      <c r="R4" s="5" t="str">
        <f ca="1">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S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IFERROR(__xludf.DUMMYFUNCTION("""COMPUTED_VALUE"""),"Yes")</f>
        <v>Yes</v>
      </c>
      <c r="AF4" s="5" t="str">
        <f ca="1">IFERROR(__xludf.DUMMYFUNCTION("""COMPUTED_VALUE"""),"Yes")</f>
        <v>Yes</v>
      </c>
      <c r="AG4" s="5" t="str">
        <f ca="1">IFERROR(__xludf.DUMMYFUNCTION("""COMPUTED_VALUE"""),"Yes")</f>
        <v>Yes</v>
      </c>
      <c r="AH4" s="5" t="str">
        <f ca="1">IFERROR(__xludf.DUMMYFUNCTION("""COMPUTED_VALUE"""),"Yes")</f>
        <v>Yes</v>
      </c>
      <c r="AI4" s="5" t="str">
        <f ca="1">IFERROR(__xludf.DUMMYFUNCTION("""COMPUTED_VALUE"""),"Yes")</f>
        <v>Yes</v>
      </c>
      <c r="AJ4" s="5" t="str">
        <f ca="1">IFERROR(__xludf.DUMMYFUNCTION("""COMPUTED_VALUE"""),"Yes")</f>
        <v>Yes</v>
      </c>
      <c r="AK4" s="5" t="str">
        <f ca="1">IFERROR(__xludf.DUMMYFUNCTION("""COMPUTED_VALUE"""),"Yes")</f>
        <v>Yes</v>
      </c>
      <c r="AL4" s="5" t="str">
        <f ca="1">IFERROR(__xludf.DUMMYFUNCTION("""COMPUTED_VALUE"""),"Yes")</f>
        <v>Yes</v>
      </c>
      <c r="AM4" s="5" t="str">
        <f ca="1">IFERROR(__xludf.DUMMYFUNCTION("""COMPUTED_VALUE"""),"Yes")</f>
        <v>Yes</v>
      </c>
      <c r="AN4" s="5" t="str">
        <f ca="1">IFERROR(__xludf.DUMMYFUNCTION("""COMPUTED_VALUE"""),"Yes")</f>
        <v>Yes</v>
      </c>
      <c r="AO4" s="5" t="str">
        <f ca="1">IFERROR(__xludf.DUMMYFUNCTION("""COMPUTED_VALUE"""),"Yes")</f>
        <v>Yes</v>
      </c>
      <c r="AP4" s="5" t="str">
        <f ca="1">IFERROR(__xludf.DUMMYFUNCTION("""COMPUTED_VALUE"""),"Yes")</f>
        <v>Yes</v>
      </c>
      <c r="AQ4" s="5" t="str">
        <f ca="1">IFERROR(__xludf.DUMMYFUNCTION("""COMPUTED_VALUE"""),"Yes")</f>
        <v>Yes</v>
      </c>
      <c r="AR4" s="5" t="str">
        <f ca="1">IFERROR(__xludf.DUMMYFUNCTION("""COMPUTED_VALUE"""),"Yes")</f>
        <v>Yes</v>
      </c>
      <c r="AS4" s="5" t="str">
        <f ca="1">IFERROR(__xludf.DUMMYFUNCTION("""COMPUTED_VALUE"""),"Yes")</f>
        <v>Yes</v>
      </c>
      <c r="AT4" s="5" t="str">
        <f ca="1">IFERROR(__xludf.DUMMYFUNCTION("""COMPUTED_VALUE"""),"No")</f>
        <v>No</v>
      </c>
      <c r="AU4" s="5"/>
    </row>
    <row r="5" spans="1:77" x14ac:dyDescent="0.25">
      <c r="A5" s="5" t="str">
        <f ca="1">IFERROR(__xludf.DUMMYFUNCTION("""COMPUTED_VALUE"""),"Foxi")</f>
        <v>Foxi</v>
      </c>
      <c r="B5" s="5" t="str">
        <f ca="1">IFERROR(__xludf.DUMMYFUNCTION("""COMPUTED_VALUE"""),"Wizard")</f>
        <v>Wizard</v>
      </c>
      <c r="C5" s="5" t="str">
        <f ca="1">IFERROR(__xludf.DUMMYFUNCTION("""COMPUTED_VALUE"""),"Wizard")</f>
        <v>Wizard</v>
      </c>
      <c r="D5" s="6">
        <f ca="1">IFERROR(__xludf.DUMMYFUNCTION("""COMPUTED_VALUE"""),43040)</f>
        <v>43040</v>
      </c>
      <c r="E5" s="5" t="str">
        <f ca="1">IFERROR(__xludf.DUMMYFUNCTION("""COMPUTED_VALUE"""),"Slot")</f>
        <v>Slot</v>
      </c>
      <c r="F5" s="5">
        <f ca="1">IFERROR(__xludf.DUMMYFUNCTION("""COMPUTED_VALUE"""),29.8)</f>
        <v>29.8</v>
      </c>
      <c r="G5" s="5" t="str">
        <f ca="1">IFERROR(__xludf.DUMMYFUNCTION("""COMPUTED_VALUE"""),"5x3")</f>
        <v>5x3</v>
      </c>
      <c r="H5" s="5" t="str">
        <f ca="1">IFERROR(__xludf.DUMMYFUNCTION("""COMPUTED_VALUE"""),"20")</f>
        <v>20</v>
      </c>
      <c r="I5" s="5" t="str">
        <f ca="1">IFERROR(__xludf.DUMMYFUNCTION("""COMPUTED_VALUE"""),"1,3,5,7,9,10,20")</f>
        <v>1,3,5,7,9,10,20</v>
      </c>
      <c r="J5" s="5" t="str">
        <f ca="1">IFERROR(__xludf.DUMMYFUNCTION("""COMPUTED_VALUE"""),"96.087%")</f>
        <v>96.087%</v>
      </c>
      <c r="K5" s="5" t="str">
        <f ca="1">IFERROR(__xludf.DUMMYFUNCTION("""COMPUTED_VALUE"""),"High")</f>
        <v>High</v>
      </c>
      <c r="L5" s="5" t="str">
        <f ca="1">IFERROR(__xludf.DUMMYFUNCTION("""COMPUTED_VALUE"""),"38.06%")</f>
        <v>38.06%</v>
      </c>
      <c r="M5" s="5" t="str">
        <f ca="1">IFERROR(__xludf.DUMMYFUNCTION("""COMPUTED_VALUE"""),"x3428")</f>
        <v>x3428</v>
      </c>
      <c r="N5" s="5" t="str">
        <f ca="1">IFERROR(__xludf.DUMMYFUNCTION("""COMPUTED_VALUE"""),"0.20/50")</f>
        <v>0.20/50</v>
      </c>
      <c r="O5" s="5" t="str">
        <f ca="1">IFERROR(__xludf.DUMMYFUNCTION("""COMPUTED_VALUE"""),"Yes")</f>
        <v>Yes</v>
      </c>
      <c r="P5" s="5" t="str">
        <f ca="1">IFERROR(__xludf.DUMMYFUNCTION("""COMPUTED_VALUE"""),"Bonus Game with Multiplier, Wild Multiplier, Scatter")</f>
        <v>Bonus Game with Multiplier, Wild Multiplier, Scatter</v>
      </c>
      <c r="Q5" s="7" t="str">
        <f ca="1">IFERROR(__xludf.DUMMYFUNCTION("""COMPUTED_VALUE"""),"https://gameserver-store-client-area.orbionlimited.com/Home/IntegrationGameLaunch/client-area?moneyType=0&amp;gameName=Wizard&amp;platform=desktop&amp;languageCode=eng&amp;currency=EUR")</f>
        <v>https://gameserver-store-client-area.orbionlimited.com/Home/IntegrationGameLaunch/client-area?moneyType=0&amp;gameName=Wizard&amp;platform=desktop&amp;languageCode=eng&amp;currency=EUR</v>
      </c>
      <c r="R5" s="5" t="str">
        <f ca="1">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S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IFERROR(__xludf.DUMMYFUNCTION("""COMPUTED_VALUE"""),"Yes")</f>
        <v>Yes</v>
      </c>
      <c r="AH5" s="5" t="str">
        <f ca="1">IFERROR(__xludf.DUMMYFUNCTION("""COMPUTED_VALUE"""),"Yes")</f>
        <v>Yes</v>
      </c>
      <c r="AI5" s="5" t="str">
        <f ca="1">IFERROR(__xludf.DUMMYFUNCTION("""COMPUTED_VALUE"""),"Yes")</f>
        <v>Yes</v>
      </c>
      <c r="AJ5" s="5" t="str">
        <f ca="1">IFERROR(__xludf.DUMMYFUNCTION("""COMPUTED_VALUE"""),"Yes")</f>
        <v>Yes</v>
      </c>
      <c r="AK5" s="5" t="str">
        <f ca="1">IFERROR(__xludf.DUMMYFUNCTION("""COMPUTED_VALUE"""),"Yes")</f>
        <v>Yes</v>
      </c>
      <c r="AL5" s="5" t="str">
        <f ca="1">IFERROR(__xludf.DUMMYFUNCTION("""COMPUTED_VALUE"""),"Yes")</f>
        <v>Yes</v>
      </c>
      <c r="AM5" s="5" t="str">
        <f ca="1">IFERROR(__xludf.DUMMYFUNCTION("""COMPUTED_VALUE"""),"Yes")</f>
        <v>Yes</v>
      </c>
      <c r="AN5" s="5" t="str">
        <f ca="1">IFERROR(__xludf.DUMMYFUNCTION("""COMPUTED_VALUE"""),"Yes")</f>
        <v>Yes</v>
      </c>
      <c r="AO5" s="5" t="str">
        <f ca="1">IFERROR(__xludf.DUMMYFUNCTION("""COMPUTED_VALUE"""),"Yes")</f>
        <v>Yes</v>
      </c>
      <c r="AP5" s="5" t="str">
        <f ca="1">IFERROR(__xludf.DUMMYFUNCTION("""COMPUTED_VALUE"""),"Yes")</f>
        <v>Yes</v>
      </c>
      <c r="AQ5" s="5" t="str">
        <f ca="1">IFERROR(__xludf.DUMMYFUNCTION("""COMPUTED_VALUE"""),"Yes")</f>
        <v>Yes</v>
      </c>
      <c r="AR5" s="5" t="str">
        <f ca="1">IFERROR(__xludf.DUMMYFUNCTION("""COMPUTED_VALUE"""),"Yes")</f>
        <v>Yes</v>
      </c>
      <c r="AS5" s="5" t="str">
        <f ca="1">IFERROR(__xludf.DUMMYFUNCTION("""COMPUTED_VALUE"""),"Yes")</f>
        <v>Yes</v>
      </c>
      <c r="AT5" s="5" t="str">
        <f ca="1">IFERROR(__xludf.DUMMYFUNCTION("""COMPUTED_VALUE"""),"No")</f>
        <v>No</v>
      </c>
      <c r="AU5" s="5"/>
    </row>
    <row r="6" spans="1:77" x14ac:dyDescent="0.25">
      <c r="A6" s="5" t="str">
        <f ca="1">IFERROR(__xludf.DUMMYFUNCTION("""COMPUTED_VALUE"""),"Foxi")</f>
        <v>Foxi</v>
      </c>
      <c r="B6" s="5" t="str">
        <f ca="1">IFERROR(__xludf.DUMMYFUNCTION("""COMPUTED_VALUE"""),"Fruits and Stars")</f>
        <v>Fruits and Stars</v>
      </c>
      <c r="C6" s="5" t="str">
        <f ca="1">IFERROR(__xludf.DUMMYFUNCTION("""COMPUTED_VALUE"""),"FruitsAndStars")</f>
        <v>FruitsAndStars</v>
      </c>
      <c r="D6" s="6">
        <f ca="1">IFERROR(__xludf.DUMMYFUNCTION("""COMPUTED_VALUE"""),42826)</f>
        <v>42826</v>
      </c>
      <c r="E6" s="5" t="str">
        <f ca="1">IFERROR(__xludf.DUMMYFUNCTION("""COMPUTED_VALUE"""),"Slot")</f>
        <v>Slot</v>
      </c>
      <c r="F6" s="5">
        <f ca="1">IFERROR(__xludf.DUMMYFUNCTION("""COMPUTED_VALUE"""),19.5)</f>
        <v>19.5</v>
      </c>
      <c r="G6" s="5" t="str">
        <f ca="1">IFERROR(__xludf.DUMMYFUNCTION("""COMPUTED_VALUE"""),"5x3")</f>
        <v>5x3</v>
      </c>
      <c r="H6" s="5" t="str">
        <f ca="1">IFERROR(__xludf.DUMMYFUNCTION("""COMPUTED_VALUE"""),"20")</f>
        <v>20</v>
      </c>
      <c r="I6" s="5" t="str">
        <f ca="1">IFERROR(__xludf.DUMMYFUNCTION("""COMPUTED_VALUE"""),"1,3,5,7,10,20")</f>
        <v>1,3,5,7,10,20</v>
      </c>
      <c r="J6" s="5" t="str">
        <f ca="1">IFERROR(__xludf.DUMMYFUNCTION("""COMPUTED_VALUE"""),"95.79%")</f>
        <v>95.79%</v>
      </c>
      <c r="K6" s="5" t="str">
        <f ca="1">IFERROR(__xludf.DUMMYFUNCTION("""COMPUTED_VALUE"""),"Low")</f>
        <v>Low</v>
      </c>
      <c r="L6" s="5" t="str">
        <f ca="1">IFERROR(__xludf.DUMMYFUNCTION("""COMPUTED_VALUE"""),"17.45%")</f>
        <v>17.45%</v>
      </c>
      <c r="M6" s="5" t="str">
        <f ca="1">IFERROR(__xludf.DUMMYFUNCTION("""COMPUTED_VALUE"""),"x1000")</f>
        <v>x1000</v>
      </c>
      <c r="N6" s="5" t="str">
        <f ca="1">IFERROR(__xludf.DUMMYFUNCTION("""COMPUTED_VALUE"""),"0.01/50")</f>
        <v>0.01/50</v>
      </c>
      <c r="O6" s="5" t="str">
        <f ca="1">IFERROR(__xludf.DUMMYFUNCTION("""COMPUTED_VALUE"""),"Yes")</f>
        <v>Yes</v>
      </c>
      <c r="P6" s="5" t="str">
        <f ca="1">IFERROR(__xludf.DUMMYFUNCTION("""COMPUTED_VALUE"""),"Wild Symbol, Scatter")</f>
        <v>Wild Symbol, Scatter</v>
      </c>
      <c r="Q6" s="7" t="str">
        <f ca="1">IFERROR(__xludf.DUMMYFUNCTION("""COMPUTED_VALUE"""),"https://gameserver-store-client-area.orbionlimited.com/Home/IntegrationGameLaunch/client-area?moneyType=0&amp;gameName=FruitsAndStars&amp;platform=desktop&amp;languageCode=eng&amp;currency=EUR")</f>
        <v>https://gameserver-store-client-area.orbionlimited.com/Home/IntegrationGameLaunch/client-area?moneyType=0&amp;gameName=FruitsAndStars&amp;platform=desktop&amp;languageCode=eng&amp;currency=EUR</v>
      </c>
      <c r="R6" s="5" t="str">
        <f ca="1">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S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 s="5" t="str">
        <f ca="1">IFERROR(__xludf.DUMMYFUNCTION("""COMPUTED_VALUE"""),"Yes")</f>
        <v>Yes</v>
      </c>
      <c r="U6" s="5" t="str">
        <f ca="1">IFERROR(__xludf.DUMMYFUNCTION("""COMPUTED_VALUE"""),"Yes")</f>
        <v>Yes</v>
      </c>
      <c r="V6" s="5" t="str">
        <f ca="1">IFERROR(__xludf.DUMMYFUNCTION("""COMPUTED_VALUE"""),"Yes")</f>
        <v>Yes</v>
      </c>
      <c r="W6" s="5" t="str">
        <f ca="1">IFERROR(__xludf.DUMMYFUNCTION("""COMPUTED_VALUE"""),"Yes")</f>
        <v>Yes</v>
      </c>
      <c r="X6" s="5" t="str">
        <f ca="1">IFERROR(__xludf.DUMMYFUNCTION("""COMPUTED_VALUE"""),"Yes")</f>
        <v>Yes</v>
      </c>
      <c r="Y6" s="5" t="str">
        <f ca="1">IFERROR(__xludf.DUMMYFUNCTION("""COMPUTED_VALUE"""),"Yes")</f>
        <v>Yes</v>
      </c>
      <c r="Z6" s="5" t="str">
        <f ca="1">IFERROR(__xludf.DUMMYFUNCTION("""COMPUTED_VALUE"""),"Yes")</f>
        <v>Yes</v>
      </c>
      <c r="AA6" s="5" t="str">
        <f ca="1">IFERROR(__xludf.DUMMYFUNCTION("""COMPUTED_VALUE"""),"Yes")</f>
        <v>Yes</v>
      </c>
      <c r="AB6" s="5" t="str">
        <f ca="1">IFERROR(__xludf.DUMMYFUNCTION("""COMPUTED_VALUE"""),"Yes")</f>
        <v>Yes</v>
      </c>
      <c r="AC6" s="5" t="str">
        <f ca="1">IFERROR(__xludf.DUMMYFUNCTION("""COMPUTED_VALUE"""),"Yes")</f>
        <v>Yes</v>
      </c>
      <c r="AD6" s="5" t="str">
        <f ca="1">IFERROR(__xludf.DUMMYFUNCTION("""COMPUTED_VALUE"""),"Yes")</f>
        <v>Yes</v>
      </c>
      <c r="AE6" s="5" t="str">
        <f ca="1">IFERROR(__xludf.DUMMYFUNCTION("""COMPUTED_VALUE"""),"Yes")</f>
        <v>Yes</v>
      </c>
      <c r="AF6" s="5" t="str">
        <f ca="1">IFERROR(__xludf.DUMMYFUNCTION("""COMPUTED_VALUE"""),"Yes")</f>
        <v>Yes</v>
      </c>
      <c r="AG6" s="5" t="str">
        <f ca="1">IFERROR(__xludf.DUMMYFUNCTION("""COMPUTED_VALUE"""),"Yes")</f>
        <v>Yes</v>
      </c>
      <c r="AH6" s="5" t="str">
        <f ca="1">IFERROR(__xludf.DUMMYFUNCTION("""COMPUTED_VALUE"""),"Yes")</f>
        <v>Yes</v>
      </c>
      <c r="AI6" s="5" t="str">
        <f ca="1">IFERROR(__xludf.DUMMYFUNCTION("""COMPUTED_VALUE"""),"Yes")</f>
        <v>Yes</v>
      </c>
      <c r="AJ6" s="5" t="str">
        <f ca="1">IFERROR(__xludf.DUMMYFUNCTION("""COMPUTED_VALUE"""),"Yes")</f>
        <v>Yes</v>
      </c>
      <c r="AK6" s="5" t="str">
        <f ca="1">IFERROR(__xludf.DUMMYFUNCTION("""COMPUTED_VALUE"""),"Yes")</f>
        <v>Yes</v>
      </c>
      <c r="AL6" s="5" t="str">
        <f ca="1">IFERROR(__xludf.DUMMYFUNCTION("""COMPUTED_VALUE"""),"Yes")</f>
        <v>Yes</v>
      </c>
      <c r="AM6" s="5" t="str">
        <f ca="1">IFERROR(__xludf.DUMMYFUNCTION("""COMPUTED_VALUE"""),"Yes")</f>
        <v>Yes</v>
      </c>
      <c r="AN6" s="5" t="str">
        <f ca="1">IFERROR(__xludf.DUMMYFUNCTION("""COMPUTED_VALUE"""),"Yes")</f>
        <v>Yes</v>
      </c>
      <c r="AO6" s="5" t="str">
        <f ca="1">IFERROR(__xludf.DUMMYFUNCTION("""COMPUTED_VALUE"""),"Yes")</f>
        <v>Yes</v>
      </c>
      <c r="AP6" s="5" t="str">
        <f ca="1">IFERROR(__xludf.DUMMYFUNCTION("""COMPUTED_VALUE"""),"Yes")</f>
        <v>Yes</v>
      </c>
      <c r="AQ6" s="5" t="str">
        <f ca="1">IFERROR(__xludf.DUMMYFUNCTION("""COMPUTED_VALUE"""),"Yes")</f>
        <v>Yes</v>
      </c>
      <c r="AR6" s="5" t="str">
        <f ca="1">IFERROR(__xludf.DUMMYFUNCTION("""COMPUTED_VALUE"""),"Yes")</f>
        <v>Yes</v>
      </c>
      <c r="AS6" s="5" t="str">
        <f ca="1">IFERROR(__xludf.DUMMYFUNCTION("""COMPUTED_VALUE"""),"Yes")</f>
        <v>Yes</v>
      </c>
      <c r="AT6" s="5" t="str">
        <f ca="1">IFERROR(__xludf.DUMMYFUNCTION("""COMPUTED_VALUE"""),"No")</f>
        <v>No</v>
      </c>
      <c r="AU6" s="5"/>
    </row>
    <row r="7" spans="1:77" x14ac:dyDescent="0.25">
      <c r="A7" s="5" t="str">
        <f ca="1">IFERROR(__xludf.DUMMYFUNCTION("""COMPUTED_VALUE"""),"Foxi")</f>
        <v>Foxi</v>
      </c>
      <c r="B7" s="5" t="str">
        <f ca="1">IFERROR(__xludf.DUMMYFUNCTION("""COMPUTED_VALUE"""),"Wild West")</f>
        <v>Wild West</v>
      </c>
      <c r="C7" s="5" t="str">
        <f ca="1">IFERROR(__xludf.DUMMYFUNCTION("""COMPUTED_VALUE"""),"WildWest")</f>
        <v>WildWest</v>
      </c>
      <c r="D7" s="6">
        <f ca="1">IFERROR(__xludf.DUMMYFUNCTION("""COMPUTED_VALUE"""),42979)</f>
        <v>42979</v>
      </c>
      <c r="E7" s="5" t="str">
        <f ca="1">IFERROR(__xludf.DUMMYFUNCTION("""COMPUTED_VALUE"""),"Slot")</f>
        <v>Slot</v>
      </c>
      <c r="F7" s="5">
        <f ca="1">IFERROR(__xludf.DUMMYFUNCTION("""COMPUTED_VALUE"""),32.7)</f>
        <v>32.700000000000003</v>
      </c>
      <c r="G7" s="5" t="str">
        <f ca="1">IFERROR(__xludf.DUMMYFUNCTION("""COMPUTED_VALUE"""),"5x3")</f>
        <v>5x3</v>
      </c>
      <c r="H7" s="5" t="str">
        <f ca="1">IFERROR(__xludf.DUMMYFUNCTION("""COMPUTED_VALUE"""),"20")</f>
        <v>20</v>
      </c>
      <c r="I7" s="5" t="str">
        <f ca="1">IFERROR(__xludf.DUMMYFUNCTION("""COMPUTED_VALUE"""),"20")</f>
        <v>20</v>
      </c>
      <c r="J7" s="5" t="str">
        <f ca="1">IFERROR(__xludf.DUMMYFUNCTION("""COMPUTED_VALUE"""),"95.625%")</f>
        <v>95.625%</v>
      </c>
      <c r="K7" s="5" t="str">
        <f ca="1">IFERROR(__xludf.DUMMYFUNCTION("""COMPUTED_VALUE"""),"High")</f>
        <v>High</v>
      </c>
      <c r="L7" s="5" t="str">
        <f ca="1">IFERROR(__xludf.DUMMYFUNCTION("""COMPUTED_VALUE"""),"26.36%")</f>
        <v>26.36%</v>
      </c>
      <c r="M7" s="5" t="str">
        <f ca="1">IFERROR(__xludf.DUMMYFUNCTION("""COMPUTED_VALUE"""),"x1005")</f>
        <v>x1005</v>
      </c>
      <c r="N7" s="5" t="str">
        <f ca="1">IFERROR(__xludf.DUMMYFUNCTION("""COMPUTED_VALUE"""),"0.20/50")</f>
        <v>0.20/50</v>
      </c>
      <c r="O7" s="5" t="str">
        <f ca="1">IFERROR(__xludf.DUMMYFUNCTION("""COMPUTED_VALUE"""),"Yes")</f>
        <v>Yes</v>
      </c>
      <c r="P7" s="5" t="str">
        <f ca="1">IFERROR(__xludf.DUMMYFUNCTION("""COMPUTED_VALUE"""),"Wild Symbol, Bonus Game with Sticky Wild")</f>
        <v>Wild Symbol, Bonus Game with Sticky Wild</v>
      </c>
      <c r="Q7" s="7" t="str">
        <f ca="1">IFERROR(__xludf.DUMMYFUNCTION("""COMPUTED_VALUE"""),"https://gameserver-store-client-area.orbionlimited.com/Home/IntegrationGameLaunch/client-area?moneyType=0&amp;gameName=WildWest&amp;platform=desktop&amp;languageCode=eng&amp;currency=EUR")</f>
        <v>https://gameserver-store-client-area.orbionlimited.com/Home/IntegrationGameLaunch/client-area?moneyType=0&amp;gameName=WildWest&amp;platform=desktop&amp;languageCode=eng&amp;currency=EUR</v>
      </c>
      <c r="R7" s="5" t="str">
        <f ca="1">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S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 s="5" t="str">
        <f ca="1">IFERROR(__xludf.DUMMYFUNCTION("""COMPUTED_VALUE"""),"Yes")</f>
        <v>Yes</v>
      </c>
      <c r="U7" s="5" t="str">
        <f ca="1">IFERROR(__xludf.DUMMYFUNCTION("""COMPUTED_VALUE"""),"Yes")</f>
        <v>Yes</v>
      </c>
      <c r="V7" s="5" t="str">
        <f ca="1">IFERROR(__xludf.DUMMYFUNCTION("""COMPUTED_VALUE"""),"Yes")</f>
        <v>Yes</v>
      </c>
      <c r="W7" s="5" t="str">
        <f ca="1">IFERROR(__xludf.DUMMYFUNCTION("""COMPUTED_VALUE"""),"Yes")</f>
        <v>Yes</v>
      </c>
      <c r="X7" s="5" t="str">
        <f ca="1">IFERROR(__xludf.DUMMYFUNCTION("""COMPUTED_VALUE"""),"Yes")</f>
        <v>Yes</v>
      </c>
      <c r="Y7" s="5" t="str">
        <f ca="1">IFERROR(__xludf.DUMMYFUNCTION("""COMPUTED_VALUE"""),"Yes")</f>
        <v>Yes</v>
      </c>
      <c r="Z7" s="5" t="str">
        <f ca="1">IFERROR(__xludf.DUMMYFUNCTION("""COMPUTED_VALUE"""),"Yes")</f>
        <v>Yes</v>
      </c>
      <c r="AA7" s="5" t="str">
        <f ca="1">IFERROR(__xludf.DUMMYFUNCTION("""COMPUTED_VALUE"""),"Yes")</f>
        <v>Yes</v>
      </c>
      <c r="AB7" s="5" t="str">
        <f ca="1">IFERROR(__xludf.DUMMYFUNCTION("""COMPUTED_VALUE"""),"Yes")</f>
        <v>Yes</v>
      </c>
      <c r="AC7" s="5" t="str">
        <f ca="1">IFERROR(__xludf.DUMMYFUNCTION("""COMPUTED_VALUE"""),"Yes")</f>
        <v>Yes</v>
      </c>
      <c r="AD7" s="5" t="str">
        <f ca="1">IFERROR(__xludf.DUMMYFUNCTION("""COMPUTED_VALUE"""),"Yes")</f>
        <v>Yes</v>
      </c>
      <c r="AE7" s="5" t="str">
        <f ca="1">IFERROR(__xludf.DUMMYFUNCTION("""COMPUTED_VALUE"""),"Yes")</f>
        <v>Yes</v>
      </c>
      <c r="AF7" s="5" t="str">
        <f ca="1">IFERROR(__xludf.DUMMYFUNCTION("""COMPUTED_VALUE"""),"Yes")</f>
        <v>Yes</v>
      </c>
      <c r="AG7" s="5" t="str">
        <f ca="1">IFERROR(__xludf.DUMMYFUNCTION("""COMPUTED_VALUE"""),"Yes")</f>
        <v>Yes</v>
      </c>
      <c r="AH7" s="5" t="str">
        <f ca="1">IFERROR(__xludf.DUMMYFUNCTION("""COMPUTED_VALUE"""),"Yes")</f>
        <v>Yes</v>
      </c>
      <c r="AI7" s="5" t="str">
        <f ca="1">IFERROR(__xludf.DUMMYFUNCTION("""COMPUTED_VALUE"""),"Yes")</f>
        <v>Yes</v>
      </c>
      <c r="AJ7" s="5" t="str">
        <f ca="1">IFERROR(__xludf.DUMMYFUNCTION("""COMPUTED_VALUE"""),"Yes")</f>
        <v>Yes</v>
      </c>
      <c r="AK7" s="5" t="str">
        <f ca="1">IFERROR(__xludf.DUMMYFUNCTION("""COMPUTED_VALUE"""),"Yes")</f>
        <v>Yes</v>
      </c>
      <c r="AL7" s="5" t="str">
        <f ca="1">IFERROR(__xludf.DUMMYFUNCTION("""COMPUTED_VALUE"""),"Yes")</f>
        <v>Yes</v>
      </c>
      <c r="AM7" s="5" t="str">
        <f ca="1">IFERROR(__xludf.DUMMYFUNCTION("""COMPUTED_VALUE"""),"Yes")</f>
        <v>Yes</v>
      </c>
      <c r="AN7" s="5" t="str">
        <f ca="1">IFERROR(__xludf.DUMMYFUNCTION("""COMPUTED_VALUE"""),"Yes")</f>
        <v>Yes</v>
      </c>
      <c r="AO7" s="5" t="str">
        <f ca="1">IFERROR(__xludf.DUMMYFUNCTION("""COMPUTED_VALUE"""),"Yes")</f>
        <v>Yes</v>
      </c>
      <c r="AP7" s="5" t="str">
        <f ca="1">IFERROR(__xludf.DUMMYFUNCTION("""COMPUTED_VALUE"""),"Yes")</f>
        <v>Yes</v>
      </c>
      <c r="AQ7" s="5" t="str">
        <f ca="1">IFERROR(__xludf.DUMMYFUNCTION("""COMPUTED_VALUE"""),"Yes")</f>
        <v>Yes</v>
      </c>
      <c r="AR7" s="5" t="str">
        <f ca="1">IFERROR(__xludf.DUMMYFUNCTION("""COMPUTED_VALUE"""),"Yes")</f>
        <v>Yes</v>
      </c>
      <c r="AS7" s="5" t="str">
        <f ca="1">IFERROR(__xludf.DUMMYFUNCTION("""COMPUTED_VALUE"""),"Yes")</f>
        <v>Yes</v>
      </c>
      <c r="AT7" s="5" t="str">
        <f ca="1">IFERROR(__xludf.DUMMYFUNCTION("""COMPUTED_VALUE"""),"No")</f>
        <v>No</v>
      </c>
      <c r="AU7" s="5"/>
    </row>
    <row r="8" spans="1:77" x14ac:dyDescent="0.25">
      <c r="A8" s="5" t="str">
        <f ca="1">IFERROR(__xludf.DUMMYFUNCTION("""COMPUTED_VALUE"""),"Foxi")</f>
        <v>Foxi</v>
      </c>
      <c r="B8" s="5" t="str">
        <f ca="1">IFERROR(__xludf.DUMMYFUNCTION("""COMPUTED_VALUE"""),"Pyramid")</f>
        <v>Pyramid</v>
      </c>
      <c r="C8" s="5" t="str">
        <f ca="1">IFERROR(__xludf.DUMMYFUNCTION("""COMPUTED_VALUE"""),"Pyramid")</f>
        <v>Pyramid</v>
      </c>
      <c r="D8" s="6">
        <f ca="1">IFERROR(__xludf.DUMMYFUNCTION("""COMPUTED_VALUE"""),42979)</f>
        <v>42979</v>
      </c>
      <c r="E8" s="5" t="str">
        <f ca="1">IFERROR(__xludf.DUMMYFUNCTION("""COMPUTED_VALUE"""),"Slot")</f>
        <v>Slot</v>
      </c>
      <c r="F8" s="5">
        <f ca="1">IFERROR(__xludf.DUMMYFUNCTION("""COMPUTED_VALUE"""),32.3)</f>
        <v>32.299999999999997</v>
      </c>
      <c r="G8" s="5" t="str">
        <f ca="1">IFERROR(__xludf.DUMMYFUNCTION("""COMPUTED_VALUE"""),"5x3")</f>
        <v>5x3</v>
      </c>
      <c r="H8" s="5" t="str">
        <f ca="1">IFERROR(__xludf.DUMMYFUNCTION("""COMPUTED_VALUE"""),"15")</f>
        <v>15</v>
      </c>
      <c r="I8" s="5" t="str">
        <f ca="1">IFERROR(__xludf.DUMMYFUNCTION("""COMPUTED_VALUE"""),"1,3,5,9,15")</f>
        <v>1,3,5,9,15</v>
      </c>
      <c r="J8" s="5" t="str">
        <f ca="1">IFERROR(__xludf.DUMMYFUNCTION("""COMPUTED_VALUE"""),"96.142%")</f>
        <v>96.142%</v>
      </c>
      <c r="K8" s="5" t="str">
        <f ca="1">IFERROR(__xludf.DUMMYFUNCTION("""COMPUTED_VALUE"""),"High")</f>
        <v>High</v>
      </c>
      <c r="L8" s="5" t="str">
        <f ca="1">IFERROR(__xludf.DUMMYFUNCTION("""COMPUTED_VALUE"""),"28.08%")</f>
        <v>28.08%</v>
      </c>
      <c r="M8" s="5" t="str">
        <f ca="1">IFERROR(__xludf.DUMMYFUNCTION("""COMPUTED_VALUE"""),"x1530")</f>
        <v>x1530</v>
      </c>
      <c r="N8" s="5" t="str">
        <f ca="1">IFERROR(__xludf.DUMMYFUNCTION("""COMPUTED_VALUE"""),"0.01/45")</f>
        <v>0.01/45</v>
      </c>
      <c r="O8" s="5" t="str">
        <f ca="1">IFERROR(__xludf.DUMMYFUNCTION("""COMPUTED_VALUE"""),"Yes")</f>
        <v>Yes</v>
      </c>
      <c r="P8" s="5" t="str">
        <f ca="1">IFERROR(__xludf.DUMMYFUNCTION("""COMPUTED_VALUE"""),"Wild Symbol, Bonus Game with Free Spins, Respin, Sticky Wild")</f>
        <v>Wild Symbol, Bonus Game with Free Spins, Respin, Sticky Wild</v>
      </c>
      <c r="Q8" s="7" t="str">
        <f ca="1">IFERROR(__xludf.DUMMYFUNCTION("""COMPUTED_VALUE"""),"https://gameserver-store-client-area.orbionlimited.com/Home/IntegrationGameLaunch/client-area?moneyType=0&amp;gameName=Pyramid&amp;platform=desktop&amp;languageCode=eng&amp;currency=EUR")</f>
        <v>https://gameserver-store-client-area.orbionlimited.com/Home/IntegrationGameLaunch/client-area?moneyType=0&amp;gameName=Pyramid&amp;platform=desktop&amp;languageCode=eng&amp;currency=EUR</v>
      </c>
      <c r="R8" s="5" t="str">
        <f ca="1">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S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 s="5" t="str">
        <f ca="1">IFERROR(__xludf.DUMMYFUNCTION("""COMPUTED_VALUE"""),"Yes")</f>
        <v>Yes</v>
      </c>
      <c r="U8" s="5" t="str">
        <f ca="1">IFERROR(__xludf.DUMMYFUNCTION("""COMPUTED_VALUE"""),"Yes")</f>
        <v>Yes</v>
      </c>
      <c r="V8" s="5" t="str">
        <f ca="1">IFERROR(__xludf.DUMMYFUNCTION("""COMPUTED_VALUE"""),"Yes")</f>
        <v>Yes</v>
      </c>
      <c r="W8" s="5" t="str">
        <f ca="1">IFERROR(__xludf.DUMMYFUNCTION("""COMPUTED_VALUE"""),"Yes")</f>
        <v>Yes</v>
      </c>
      <c r="X8" s="5" t="str">
        <f ca="1">IFERROR(__xludf.DUMMYFUNCTION("""COMPUTED_VALUE"""),"Yes")</f>
        <v>Yes</v>
      </c>
      <c r="Y8" s="5" t="str">
        <f ca="1">IFERROR(__xludf.DUMMYFUNCTION("""COMPUTED_VALUE"""),"Yes")</f>
        <v>Yes</v>
      </c>
      <c r="Z8" s="5" t="str">
        <f ca="1">IFERROR(__xludf.DUMMYFUNCTION("""COMPUTED_VALUE"""),"Yes")</f>
        <v>Yes</v>
      </c>
      <c r="AA8" s="5" t="str">
        <f ca="1">IFERROR(__xludf.DUMMYFUNCTION("""COMPUTED_VALUE"""),"Yes")</f>
        <v>Yes</v>
      </c>
      <c r="AB8" s="5" t="str">
        <f ca="1">IFERROR(__xludf.DUMMYFUNCTION("""COMPUTED_VALUE"""),"Yes")</f>
        <v>Yes</v>
      </c>
      <c r="AC8" s="5" t="str">
        <f ca="1">IFERROR(__xludf.DUMMYFUNCTION("""COMPUTED_VALUE"""),"Yes")</f>
        <v>Yes</v>
      </c>
      <c r="AD8" s="5" t="str">
        <f ca="1">IFERROR(__xludf.DUMMYFUNCTION("""COMPUTED_VALUE"""),"Yes")</f>
        <v>Yes</v>
      </c>
      <c r="AE8" s="5" t="str">
        <f ca="1">IFERROR(__xludf.DUMMYFUNCTION("""COMPUTED_VALUE"""),"Yes")</f>
        <v>Yes</v>
      </c>
      <c r="AF8" s="5" t="str">
        <f ca="1">IFERROR(__xludf.DUMMYFUNCTION("""COMPUTED_VALUE"""),"Yes")</f>
        <v>Yes</v>
      </c>
      <c r="AG8" s="5" t="str">
        <f ca="1">IFERROR(__xludf.DUMMYFUNCTION("""COMPUTED_VALUE"""),"Yes")</f>
        <v>Yes</v>
      </c>
      <c r="AH8" s="5" t="str">
        <f ca="1">IFERROR(__xludf.DUMMYFUNCTION("""COMPUTED_VALUE"""),"Yes")</f>
        <v>Yes</v>
      </c>
      <c r="AI8" s="5" t="str">
        <f ca="1">IFERROR(__xludf.DUMMYFUNCTION("""COMPUTED_VALUE"""),"Yes")</f>
        <v>Yes</v>
      </c>
      <c r="AJ8" s="5" t="str">
        <f ca="1">IFERROR(__xludf.DUMMYFUNCTION("""COMPUTED_VALUE"""),"Yes")</f>
        <v>Yes</v>
      </c>
      <c r="AK8" s="5" t="str">
        <f ca="1">IFERROR(__xludf.DUMMYFUNCTION("""COMPUTED_VALUE"""),"Yes")</f>
        <v>Yes</v>
      </c>
      <c r="AL8" s="5" t="str">
        <f ca="1">IFERROR(__xludf.DUMMYFUNCTION("""COMPUTED_VALUE"""),"Yes")</f>
        <v>Yes</v>
      </c>
      <c r="AM8" s="5" t="str">
        <f ca="1">IFERROR(__xludf.DUMMYFUNCTION("""COMPUTED_VALUE"""),"Yes")</f>
        <v>Yes</v>
      </c>
      <c r="AN8" s="5" t="str">
        <f ca="1">IFERROR(__xludf.DUMMYFUNCTION("""COMPUTED_VALUE"""),"Yes")</f>
        <v>Yes</v>
      </c>
      <c r="AO8" s="5" t="str">
        <f ca="1">IFERROR(__xludf.DUMMYFUNCTION("""COMPUTED_VALUE"""),"Yes")</f>
        <v>Yes</v>
      </c>
      <c r="AP8" s="5" t="str">
        <f ca="1">IFERROR(__xludf.DUMMYFUNCTION("""COMPUTED_VALUE"""),"Yes")</f>
        <v>Yes</v>
      </c>
      <c r="AQ8" s="5" t="str">
        <f ca="1">IFERROR(__xludf.DUMMYFUNCTION("""COMPUTED_VALUE"""),"Yes")</f>
        <v>Yes</v>
      </c>
      <c r="AR8" s="5" t="str">
        <f ca="1">IFERROR(__xludf.DUMMYFUNCTION("""COMPUTED_VALUE"""),"Yes")</f>
        <v>Yes</v>
      </c>
      <c r="AS8" s="5" t="str">
        <f ca="1">IFERROR(__xludf.DUMMYFUNCTION("""COMPUTED_VALUE"""),"Yes")</f>
        <v>Yes</v>
      </c>
      <c r="AT8" s="5" t="str">
        <f ca="1">IFERROR(__xludf.DUMMYFUNCTION("""COMPUTED_VALUE"""),"No")</f>
        <v>No</v>
      </c>
      <c r="AU8" s="5"/>
    </row>
    <row r="9" spans="1:77" x14ac:dyDescent="0.25">
      <c r="A9" s="5" t="str">
        <f ca="1">IFERROR(__xludf.DUMMYFUNCTION("""COMPUTED_VALUE"""),"Foxi")</f>
        <v>Foxi</v>
      </c>
      <c r="B9" s="5" t="str">
        <f ca="1">IFERROR(__xludf.DUMMYFUNCTION("""COMPUTED_VALUE"""),"Jolly Poker")</f>
        <v>Jolly Poker</v>
      </c>
      <c r="C9" s="5" t="str">
        <f ca="1">IFERROR(__xludf.DUMMYFUNCTION("""COMPUTED_VALUE"""),"JollyPoker")</f>
        <v>JollyPoker</v>
      </c>
      <c r="D9" s="6">
        <f ca="1">IFERROR(__xludf.DUMMYFUNCTION("""COMPUTED_VALUE"""),43070)</f>
        <v>43070</v>
      </c>
      <c r="E9" s="5" t="str">
        <f ca="1">IFERROR(__xludf.DUMMYFUNCTION("""COMPUTED_VALUE"""),"Poker")</f>
        <v>Poker</v>
      </c>
      <c r="F9" s="5">
        <f ca="1">IFERROR(__xludf.DUMMYFUNCTION("""COMPUTED_VALUE"""),14.8)</f>
        <v>14.8</v>
      </c>
      <c r="G9" s="5" t="str">
        <f ca="1">IFERROR(__xludf.DUMMYFUNCTION("""COMPUTED_VALUE"""),"/")</f>
        <v>/</v>
      </c>
      <c r="H9" s="5" t="str">
        <f ca="1">IFERROR(__xludf.DUMMYFUNCTION("""COMPUTED_VALUE"""),"/")</f>
        <v>/</v>
      </c>
      <c r="I9" s="5"/>
      <c r="J9" s="5" t="str">
        <f ca="1">IFERROR(__xludf.DUMMYFUNCTION("""COMPUTED_VALUE"""),"98.398%")</f>
        <v>98.398%</v>
      </c>
      <c r="K9" s="5" t="str">
        <f ca="1">IFERROR(__xludf.DUMMYFUNCTION("""COMPUTED_VALUE"""),"Low")</f>
        <v>Low</v>
      </c>
      <c r="L9" s="5" t="str">
        <f ca="1">IFERROR(__xludf.DUMMYFUNCTION("""COMPUTED_VALUE"""),"")</f>
        <v/>
      </c>
      <c r="M9" s="5" t="str">
        <f ca="1">IFERROR(__xludf.DUMMYFUNCTION("""COMPUTED_VALUE"""),"x1000")</f>
        <v>x1000</v>
      </c>
      <c r="N9" s="5" t="str">
        <f ca="1">IFERROR(__xludf.DUMMYFUNCTION("""COMPUTED_VALUE"""),"0.20/10")</f>
        <v>0.20/10</v>
      </c>
      <c r="O9" s="5" t="str">
        <f ca="1">IFERROR(__xludf.DUMMYFUNCTION("""COMPUTED_VALUE"""),"Yes")</f>
        <v>Yes</v>
      </c>
      <c r="P9" s="5" t="str">
        <f ca="1">IFERROR(__xludf.DUMMYFUNCTION("""COMPUTED_VALUE"""),"Poker machine")</f>
        <v>Poker machine</v>
      </c>
      <c r="Q9" s="7" t="str">
        <f ca="1">IFERROR(__xludf.DUMMYFUNCTION("""COMPUTED_VALUE"""),"https://gameserver-store-client-area.orbionlimited.com/Home/IntegrationGameLaunch/client-area?moneyType=0&amp;gameName=JollyPoker&amp;platform=desktop&amp;languageCode=eng&amp;currency=EUR")</f>
        <v>https://gameserver-store-client-area.orbionlimited.com/Home/IntegrationGameLaunch/client-area?moneyType=0&amp;gameName=JollyPoker&amp;platform=desktop&amp;languageCode=eng&amp;currency=EUR</v>
      </c>
      <c r="R9" s="5" t="str">
        <f ca="1">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S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 s="5" t="str">
        <f ca="1">IFERROR(__xludf.DUMMYFUNCTION("""COMPUTED_VALUE"""),"Yes")</f>
        <v>Yes</v>
      </c>
      <c r="U9" s="5" t="str">
        <f ca="1">IFERROR(__xludf.DUMMYFUNCTION("""COMPUTED_VALUE"""),"Yes")</f>
        <v>Yes</v>
      </c>
      <c r="V9" s="5" t="str">
        <f ca="1">IFERROR(__xludf.DUMMYFUNCTION("""COMPUTED_VALUE"""),"Yes")</f>
        <v>Yes</v>
      </c>
      <c r="W9" s="5" t="str">
        <f ca="1">IFERROR(__xludf.DUMMYFUNCTION("""COMPUTED_VALUE"""),"Yes")</f>
        <v>Yes</v>
      </c>
      <c r="X9" s="5" t="str">
        <f ca="1">IFERROR(__xludf.DUMMYFUNCTION("""COMPUTED_VALUE"""),"Yes")</f>
        <v>Yes</v>
      </c>
      <c r="Y9" s="5" t="str">
        <f ca="1">IFERROR(__xludf.DUMMYFUNCTION("""COMPUTED_VALUE"""),"Yes")</f>
        <v>Yes</v>
      </c>
      <c r="Z9" s="5" t="str">
        <f ca="1">IFERROR(__xludf.DUMMYFUNCTION("""COMPUTED_VALUE"""),"Yes")</f>
        <v>Yes</v>
      </c>
      <c r="AA9" s="5" t="str">
        <f ca="1">IFERROR(__xludf.DUMMYFUNCTION("""COMPUTED_VALUE"""),"Yes")</f>
        <v>Yes</v>
      </c>
      <c r="AB9" s="5" t="str">
        <f ca="1">IFERROR(__xludf.DUMMYFUNCTION("""COMPUTED_VALUE"""),"Yes")</f>
        <v>Yes</v>
      </c>
      <c r="AC9" s="5" t="str">
        <f ca="1">IFERROR(__xludf.DUMMYFUNCTION("""COMPUTED_VALUE"""),"Yes")</f>
        <v>Yes</v>
      </c>
      <c r="AD9" s="5" t="str">
        <f ca="1">IFERROR(__xludf.DUMMYFUNCTION("""COMPUTED_VALUE"""),"Yes")</f>
        <v>Yes</v>
      </c>
      <c r="AE9" s="5" t="str">
        <f ca="1">IFERROR(__xludf.DUMMYFUNCTION("""COMPUTED_VALUE"""),"Yes")</f>
        <v>Yes</v>
      </c>
      <c r="AF9" s="5" t="str">
        <f ca="1">IFERROR(__xludf.DUMMYFUNCTION("""COMPUTED_VALUE"""),"Yes")</f>
        <v>Yes</v>
      </c>
      <c r="AG9" s="5" t="str">
        <f ca="1">IFERROR(__xludf.DUMMYFUNCTION("""COMPUTED_VALUE"""),"Yes")</f>
        <v>Yes</v>
      </c>
      <c r="AH9" s="5" t="str">
        <f ca="1">IFERROR(__xludf.DUMMYFUNCTION("""COMPUTED_VALUE"""),"Yes")</f>
        <v>Yes</v>
      </c>
      <c r="AI9" s="5" t="str">
        <f ca="1">IFERROR(__xludf.DUMMYFUNCTION("""COMPUTED_VALUE"""),"Yes")</f>
        <v>Yes</v>
      </c>
      <c r="AJ9" s="5" t="str">
        <f ca="1">IFERROR(__xludf.DUMMYFUNCTION("""COMPUTED_VALUE"""),"Yes")</f>
        <v>Yes</v>
      </c>
      <c r="AK9" s="5" t="str">
        <f ca="1">IFERROR(__xludf.DUMMYFUNCTION("""COMPUTED_VALUE"""),"Yes")</f>
        <v>Yes</v>
      </c>
      <c r="AL9" s="5" t="str">
        <f ca="1">IFERROR(__xludf.DUMMYFUNCTION("""COMPUTED_VALUE"""),"Yes")</f>
        <v>Yes</v>
      </c>
      <c r="AM9" s="5" t="str">
        <f ca="1">IFERROR(__xludf.DUMMYFUNCTION("""COMPUTED_VALUE"""),"Yes")</f>
        <v>Yes</v>
      </c>
      <c r="AN9" s="5" t="str">
        <f ca="1">IFERROR(__xludf.DUMMYFUNCTION("""COMPUTED_VALUE"""),"Yes")</f>
        <v>Yes</v>
      </c>
      <c r="AO9" s="5" t="str">
        <f ca="1">IFERROR(__xludf.DUMMYFUNCTION("""COMPUTED_VALUE"""),"Yes")</f>
        <v>Yes</v>
      </c>
      <c r="AP9" s="5" t="str">
        <f ca="1">IFERROR(__xludf.DUMMYFUNCTION("""COMPUTED_VALUE"""),"Yes")</f>
        <v>Yes</v>
      </c>
      <c r="AQ9" s="5" t="str">
        <f ca="1">IFERROR(__xludf.DUMMYFUNCTION("""COMPUTED_VALUE"""),"Yes")</f>
        <v>Yes</v>
      </c>
      <c r="AR9" s="5" t="str">
        <f ca="1">IFERROR(__xludf.DUMMYFUNCTION("""COMPUTED_VALUE"""),"Yes")</f>
        <v>Yes</v>
      </c>
      <c r="AS9" s="5" t="str">
        <f ca="1">IFERROR(__xludf.DUMMYFUNCTION("""COMPUTED_VALUE"""),"Yes")</f>
        <v>Yes</v>
      </c>
      <c r="AT9" s="5" t="str">
        <f ca="1">IFERROR(__xludf.DUMMYFUNCTION("""COMPUTED_VALUE"""),"No")</f>
        <v>No</v>
      </c>
      <c r="AU9" s="5"/>
    </row>
    <row r="10" spans="1:77" x14ac:dyDescent="0.25">
      <c r="A10" s="5" t="str">
        <f ca="1">IFERROR(__xludf.DUMMYFUNCTION("""COMPUTED_VALUE"""),"Foxi")</f>
        <v>Foxi</v>
      </c>
      <c r="B10" s="5" t="str">
        <f ca="1">IFERROR(__xludf.DUMMYFUNCTION("""COMPUTED_VALUE"""),"Juicy Hot")</f>
        <v>Juicy Hot</v>
      </c>
      <c r="C10" s="5" t="str">
        <f ca="1">IFERROR(__xludf.DUMMYFUNCTION("""COMPUTED_VALUE"""),"JuicyHot")</f>
        <v>JuicyHot</v>
      </c>
      <c r="D10" s="6">
        <f ca="1">IFERROR(__xludf.DUMMYFUNCTION("""COMPUTED_VALUE"""),42887)</f>
        <v>42887</v>
      </c>
      <c r="E10" s="5" t="str">
        <f ca="1">IFERROR(__xludf.DUMMYFUNCTION("""COMPUTED_VALUE"""),"Slot")</f>
        <v>Slot</v>
      </c>
      <c r="F10" s="5">
        <f ca="1">IFERROR(__xludf.DUMMYFUNCTION("""COMPUTED_VALUE"""),20.7)</f>
        <v>20.7</v>
      </c>
      <c r="G10" s="5" t="str">
        <f ca="1">IFERROR(__xludf.DUMMYFUNCTION("""COMPUTED_VALUE"""),"5x3")</f>
        <v>5x3</v>
      </c>
      <c r="H10" s="5" t="str">
        <f ca="1">IFERROR(__xludf.DUMMYFUNCTION("""COMPUTED_VALUE"""),"20")</f>
        <v>20</v>
      </c>
      <c r="I10" s="5" t="str">
        <f ca="1">IFERROR(__xludf.DUMMYFUNCTION("""COMPUTED_VALUE"""),"1,3,5,7,9,10,20")</f>
        <v>1,3,5,7,9,10,20</v>
      </c>
      <c r="J10" s="5" t="str">
        <f ca="1">IFERROR(__xludf.DUMMYFUNCTION("""COMPUTED_VALUE"""),"93.694%")</f>
        <v>93.694%</v>
      </c>
      <c r="K10" s="5" t="str">
        <f ca="1">IFERROR(__xludf.DUMMYFUNCTION("""COMPUTED_VALUE"""),"Low")</f>
        <v>Low</v>
      </c>
      <c r="L10" s="5" t="str">
        <f ca="1">IFERROR(__xludf.DUMMYFUNCTION("""COMPUTED_VALUE"""),"17.21%")</f>
        <v>17.21%</v>
      </c>
      <c r="M10" s="5" t="str">
        <f ca="1">IFERROR(__xludf.DUMMYFUNCTION("""COMPUTED_VALUE"""),"x252.5")</f>
        <v>x252.5</v>
      </c>
      <c r="N10" s="5" t="str">
        <f ca="1">IFERROR(__xludf.DUMMYFUNCTION("""COMPUTED_VALUE"""),"0.01/50")</f>
        <v>0.01/50</v>
      </c>
      <c r="O10" s="5" t="str">
        <f ca="1">IFERROR(__xludf.DUMMYFUNCTION("""COMPUTED_VALUE"""),"Yes")</f>
        <v>Yes</v>
      </c>
      <c r="P10" s="5" t="str">
        <f ca="1">IFERROR(__xludf.DUMMYFUNCTION("""COMPUTED_VALUE"""),"Scatter")</f>
        <v>Scatter</v>
      </c>
      <c r="Q10" s="7" t="str">
        <f ca="1">IFERROR(__xludf.DUMMYFUNCTION("""COMPUTED_VALUE"""),"https://gameserver-store-client-area.orbionlimited.com/Home/IntegrationGameLaunch/client-area?moneyType=0&amp;gameName=JuicyHot&amp;platform=desktop&amp;languageCode=eng&amp;currency=EUR")</f>
        <v>https://gameserver-store-client-area.orbionlimited.com/Home/IntegrationGameLaunch/client-area?moneyType=0&amp;gameName=JuicyHot&amp;platform=desktop&amp;languageCode=eng&amp;currency=EUR</v>
      </c>
      <c r="R10" s="5" t="str">
        <f ca="1">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S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 s="5" t="str">
        <f ca="1">IFERROR(__xludf.DUMMYFUNCTION("""COMPUTED_VALUE"""),"Yes")</f>
        <v>Yes</v>
      </c>
      <c r="U10" s="5" t="str">
        <f ca="1">IFERROR(__xludf.DUMMYFUNCTION("""COMPUTED_VALUE"""),"Yes")</f>
        <v>Yes</v>
      </c>
      <c r="V10" s="5" t="str">
        <f ca="1">IFERROR(__xludf.DUMMYFUNCTION("""COMPUTED_VALUE"""),"Yes")</f>
        <v>Yes</v>
      </c>
      <c r="W10" s="5" t="str">
        <f ca="1">IFERROR(__xludf.DUMMYFUNCTION("""COMPUTED_VALUE"""),"Yes")</f>
        <v>Yes</v>
      </c>
      <c r="X10" s="5" t="str">
        <f ca="1">IFERROR(__xludf.DUMMYFUNCTION("""COMPUTED_VALUE"""),"Yes")</f>
        <v>Yes</v>
      </c>
      <c r="Y10" s="5" t="str">
        <f ca="1">IFERROR(__xludf.DUMMYFUNCTION("""COMPUTED_VALUE"""),"Yes")</f>
        <v>Yes</v>
      </c>
      <c r="Z10" s="5" t="str">
        <f ca="1">IFERROR(__xludf.DUMMYFUNCTION("""COMPUTED_VALUE"""),"Yes")</f>
        <v>Yes</v>
      </c>
      <c r="AA10" s="5" t="str">
        <f ca="1">IFERROR(__xludf.DUMMYFUNCTION("""COMPUTED_VALUE"""),"Yes")</f>
        <v>Yes</v>
      </c>
      <c r="AB10" s="5" t="str">
        <f ca="1">IFERROR(__xludf.DUMMYFUNCTION("""COMPUTED_VALUE"""),"Yes")</f>
        <v>Yes</v>
      </c>
      <c r="AC10" s="5" t="str">
        <f ca="1">IFERROR(__xludf.DUMMYFUNCTION("""COMPUTED_VALUE"""),"Yes")</f>
        <v>Yes</v>
      </c>
      <c r="AD10" s="5" t="str">
        <f ca="1">IFERROR(__xludf.DUMMYFUNCTION("""COMPUTED_VALUE"""),"Yes")</f>
        <v>Yes</v>
      </c>
      <c r="AE10" s="5" t="str">
        <f ca="1">IFERROR(__xludf.DUMMYFUNCTION("""COMPUTED_VALUE"""),"Yes")</f>
        <v>Yes</v>
      </c>
      <c r="AF10" s="5" t="str">
        <f ca="1">IFERROR(__xludf.DUMMYFUNCTION("""COMPUTED_VALUE"""),"Yes")</f>
        <v>Yes</v>
      </c>
      <c r="AG10" s="5" t="str">
        <f ca="1">IFERROR(__xludf.DUMMYFUNCTION("""COMPUTED_VALUE"""),"Yes")</f>
        <v>Yes</v>
      </c>
      <c r="AH10" s="5" t="str">
        <f ca="1">IFERROR(__xludf.DUMMYFUNCTION("""COMPUTED_VALUE"""),"Yes")</f>
        <v>Yes</v>
      </c>
      <c r="AI10" s="5" t="str">
        <f ca="1">IFERROR(__xludf.DUMMYFUNCTION("""COMPUTED_VALUE"""),"Yes")</f>
        <v>Yes</v>
      </c>
      <c r="AJ10" s="5" t="str">
        <f ca="1">IFERROR(__xludf.DUMMYFUNCTION("""COMPUTED_VALUE"""),"Yes")</f>
        <v>Yes</v>
      </c>
      <c r="AK10" s="5" t="str">
        <f ca="1">IFERROR(__xludf.DUMMYFUNCTION("""COMPUTED_VALUE"""),"Yes")</f>
        <v>Yes</v>
      </c>
      <c r="AL10" s="5" t="str">
        <f ca="1">IFERROR(__xludf.DUMMYFUNCTION("""COMPUTED_VALUE"""),"Yes")</f>
        <v>Yes</v>
      </c>
      <c r="AM10" s="5" t="str">
        <f ca="1">IFERROR(__xludf.DUMMYFUNCTION("""COMPUTED_VALUE"""),"Yes")</f>
        <v>Yes</v>
      </c>
      <c r="AN10" s="5" t="str">
        <f ca="1">IFERROR(__xludf.DUMMYFUNCTION("""COMPUTED_VALUE"""),"Yes")</f>
        <v>Yes</v>
      </c>
      <c r="AO10" s="5" t="str">
        <f ca="1">IFERROR(__xludf.DUMMYFUNCTION("""COMPUTED_VALUE"""),"Yes")</f>
        <v>Yes</v>
      </c>
      <c r="AP10" s="5" t="str">
        <f ca="1">IFERROR(__xludf.DUMMYFUNCTION("""COMPUTED_VALUE"""),"Yes")</f>
        <v>Yes</v>
      </c>
      <c r="AQ10" s="5" t="str">
        <f ca="1">IFERROR(__xludf.DUMMYFUNCTION("""COMPUTED_VALUE"""),"Yes")</f>
        <v>Yes</v>
      </c>
      <c r="AR10" s="5" t="str">
        <f ca="1">IFERROR(__xludf.DUMMYFUNCTION("""COMPUTED_VALUE"""),"Yes")</f>
        <v>Yes</v>
      </c>
      <c r="AS10" s="5" t="str">
        <f ca="1">IFERROR(__xludf.DUMMYFUNCTION("""COMPUTED_VALUE"""),"Yes")</f>
        <v>Yes</v>
      </c>
      <c r="AT10" s="5" t="str">
        <f ca="1">IFERROR(__xludf.DUMMYFUNCTION("""COMPUTED_VALUE"""),"No")</f>
        <v>No</v>
      </c>
      <c r="AU10" s="5"/>
    </row>
    <row r="11" spans="1:77" x14ac:dyDescent="0.25">
      <c r="A11" s="5" t="str">
        <f ca="1">IFERROR(__xludf.DUMMYFUNCTION("""COMPUTED_VALUE"""),"Foxi")</f>
        <v>Foxi</v>
      </c>
      <c r="B11" s="5" t="str">
        <f ca="1">IFERROR(__xludf.DUMMYFUNCTION("""COMPUTED_VALUE"""),"Hot Stars")</f>
        <v>Hot Stars</v>
      </c>
      <c r="C11" s="5" t="str">
        <f ca="1">IFERROR(__xludf.DUMMYFUNCTION("""COMPUTED_VALUE"""),"HotStars")</f>
        <v>HotStars</v>
      </c>
      <c r="D11" s="6">
        <f ca="1">IFERROR(__xludf.DUMMYFUNCTION("""COMPUTED_VALUE"""),42856)</f>
        <v>42856</v>
      </c>
      <c r="E11" s="5" t="str">
        <f ca="1">IFERROR(__xludf.DUMMYFUNCTION("""COMPUTED_VALUE"""),"Slot")</f>
        <v>Slot</v>
      </c>
      <c r="F11" s="5">
        <f ca="1">IFERROR(__xludf.DUMMYFUNCTION("""COMPUTED_VALUE"""),23.7)</f>
        <v>23.7</v>
      </c>
      <c r="G11" s="5" t="str">
        <f ca="1">IFERROR(__xludf.DUMMYFUNCTION("""COMPUTED_VALUE"""),"5x3")</f>
        <v>5x3</v>
      </c>
      <c r="H11" s="5" t="str">
        <f ca="1">IFERROR(__xludf.DUMMYFUNCTION("""COMPUTED_VALUE"""),"10")</f>
        <v>10</v>
      </c>
      <c r="I11" s="5" t="str">
        <f ca="1">IFERROR(__xludf.DUMMYFUNCTION("""COMPUTED_VALUE"""),"1,3,5,7,10")</f>
        <v>1,3,5,7,10</v>
      </c>
      <c r="J11" s="5" t="str">
        <f ca="1">IFERROR(__xludf.DUMMYFUNCTION("""COMPUTED_VALUE"""),"95.544%")</f>
        <v>95.544%</v>
      </c>
      <c r="K11" s="5" t="str">
        <f ca="1">IFERROR(__xludf.DUMMYFUNCTION("""COMPUTED_VALUE"""),"Medium")</f>
        <v>Medium</v>
      </c>
      <c r="L11" s="5" t="str">
        <f ca="1">IFERROR(__xludf.DUMMYFUNCTION("""COMPUTED_VALUE"""),"13.02%")</f>
        <v>13.02%</v>
      </c>
      <c r="M11" s="5" t="str">
        <f ca="1">IFERROR(__xludf.DUMMYFUNCTION("""COMPUTED_VALUE"""),"x1611")</f>
        <v>x1611</v>
      </c>
      <c r="N11" s="5" t="str">
        <f ca="1">IFERROR(__xludf.DUMMYFUNCTION("""COMPUTED_VALUE"""),"0.01/40")</f>
        <v>0.01/40</v>
      </c>
      <c r="O11" s="5" t="str">
        <f ca="1">IFERROR(__xludf.DUMMYFUNCTION("""COMPUTED_VALUE"""),"Yes")</f>
        <v>Yes</v>
      </c>
      <c r="P11" s="5" t="str">
        <f ca="1">IFERROR(__xludf.DUMMYFUNCTION("""COMPUTED_VALUE"""),"Expanding Wild, Respin, Bothways")</f>
        <v>Expanding Wild, Respin, Bothways</v>
      </c>
      <c r="Q11" s="7" t="str">
        <f ca="1">IFERROR(__xludf.DUMMYFUNCTION("""COMPUTED_VALUE"""),"https://gameserver-store-client-area.orbionlimited.com/Home/IntegrationGameLaunch/client-area?moneyType=0&amp;gameName=HotStars&amp;platform=desktop&amp;languageCode=eng&amp;currency=EUR")</f>
        <v>https://gameserver-store-client-area.orbionlimited.com/Home/IntegrationGameLaunch/client-area?moneyType=0&amp;gameName=HotStars&amp;platform=desktop&amp;languageCode=eng&amp;currency=EUR</v>
      </c>
      <c r="R11" s="5" t="str">
        <f ca="1">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S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 s="5" t="str">
        <f ca="1">IFERROR(__xludf.DUMMYFUNCTION("""COMPUTED_VALUE"""),"Yes")</f>
        <v>Yes</v>
      </c>
      <c r="U11" s="5" t="str">
        <f ca="1">IFERROR(__xludf.DUMMYFUNCTION("""COMPUTED_VALUE"""),"Yes")</f>
        <v>Yes</v>
      </c>
      <c r="V11" s="5" t="str">
        <f ca="1">IFERROR(__xludf.DUMMYFUNCTION("""COMPUTED_VALUE"""),"Yes")</f>
        <v>Yes</v>
      </c>
      <c r="W11" s="5" t="str">
        <f ca="1">IFERROR(__xludf.DUMMYFUNCTION("""COMPUTED_VALUE"""),"Yes")</f>
        <v>Yes</v>
      </c>
      <c r="X11" s="5" t="str">
        <f ca="1">IFERROR(__xludf.DUMMYFUNCTION("""COMPUTED_VALUE"""),"Yes")</f>
        <v>Yes</v>
      </c>
      <c r="Y11" s="5" t="str">
        <f ca="1">IFERROR(__xludf.DUMMYFUNCTION("""COMPUTED_VALUE"""),"Yes")</f>
        <v>Yes</v>
      </c>
      <c r="Z11" s="5" t="str">
        <f ca="1">IFERROR(__xludf.DUMMYFUNCTION("""COMPUTED_VALUE"""),"Yes")</f>
        <v>Yes</v>
      </c>
      <c r="AA11" s="5" t="str">
        <f ca="1">IFERROR(__xludf.DUMMYFUNCTION("""COMPUTED_VALUE"""),"Yes")</f>
        <v>Yes</v>
      </c>
      <c r="AB11" s="5" t="str">
        <f ca="1">IFERROR(__xludf.DUMMYFUNCTION("""COMPUTED_VALUE"""),"Yes")</f>
        <v>Yes</v>
      </c>
      <c r="AC11" s="5" t="str">
        <f ca="1">IFERROR(__xludf.DUMMYFUNCTION("""COMPUTED_VALUE"""),"Yes")</f>
        <v>Yes</v>
      </c>
      <c r="AD11" s="5" t="str">
        <f ca="1">IFERROR(__xludf.DUMMYFUNCTION("""COMPUTED_VALUE"""),"Yes")</f>
        <v>Yes</v>
      </c>
      <c r="AE11" s="5" t="str">
        <f ca="1">IFERROR(__xludf.DUMMYFUNCTION("""COMPUTED_VALUE"""),"Yes")</f>
        <v>Yes</v>
      </c>
      <c r="AF11" s="5" t="str">
        <f ca="1">IFERROR(__xludf.DUMMYFUNCTION("""COMPUTED_VALUE"""),"Yes")</f>
        <v>Yes</v>
      </c>
      <c r="AG11" s="5" t="str">
        <f ca="1">IFERROR(__xludf.DUMMYFUNCTION("""COMPUTED_VALUE"""),"Yes")</f>
        <v>Yes</v>
      </c>
      <c r="AH11" s="5" t="str">
        <f ca="1">IFERROR(__xludf.DUMMYFUNCTION("""COMPUTED_VALUE"""),"Yes")</f>
        <v>Yes</v>
      </c>
      <c r="AI11" s="5" t="str">
        <f ca="1">IFERROR(__xludf.DUMMYFUNCTION("""COMPUTED_VALUE"""),"Yes")</f>
        <v>Yes</v>
      </c>
      <c r="AJ11" s="5" t="str">
        <f ca="1">IFERROR(__xludf.DUMMYFUNCTION("""COMPUTED_VALUE"""),"Yes")</f>
        <v>Yes</v>
      </c>
      <c r="AK11" s="5" t="str">
        <f ca="1">IFERROR(__xludf.DUMMYFUNCTION("""COMPUTED_VALUE"""),"Yes")</f>
        <v>Yes</v>
      </c>
      <c r="AL11" s="5" t="str">
        <f ca="1">IFERROR(__xludf.DUMMYFUNCTION("""COMPUTED_VALUE"""),"Yes")</f>
        <v>Yes</v>
      </c>
      <c r="AM11" s="5" t="str">
        <f ca="1">IFERROR(__xludf.DUMMYFUNCTION("""COMPUTED_VALUE"""),"Yes")</f>
        <v>Yes</v>
      </c>
      <c r="AN11" s="5" t="str">
        <f ca="1">IFERROR(__xludf.DUMMYFUNCTION("""COMPUTED_VALUE"""),"Yes")</f>
        <v>Yes</v>
      </c>
      <c r="AO11" s="5" t="str">
        <f ca="1">IFERROR(__xludf.DUMMYFUNCTION("""COMPUTED_VALUE"""),"Yes")</f>
        <v>Yes</v>
      </c>
      <c r="AP11" s="5" t="str">
        <f ca="1">IFERROR(__xludf.DUMMYFUNCTION("""COMPUTED_VALUE"""),"Yes")</f>
        <v>Yes</v>
      </c>
      <c r="AQ11" s="5" t="str">
        <f ca="1">IFERROR(__xludf.DUMMYFUNCTION("""COMPUTED_VALUE"""),"Yes")</f>
        <v>Yes</v>
      </c>
      <c r="AR11" s="5" t="str">
        <f ca="1">IFERROR(__xludf.DUMMYFUNCTION("""COMPUTED_VALUE"""),"Yes")</f>
        <v>Yes</v>
      </c>
      <c r="AS11" s="5" t="str">
        <f ca="1">IFERROR(__xludf.DUMMYFUNCTION("""COMPUTED_VALUE"""),"Yes")</f>
        <v>Yes</v>
      </c>
      <c r="AT11" s="5" t="str">
        <f ca="1">IFERROR(__xludf.DUMMYFUNCTION("""COMPUTED_VALUE"""),"No")</f>
        <v>No</v>
      </c>
      <c r="AU11" s="5"/>
    </row>
    <row r="12" spans="1:77" x14ac:dyDescent="0.25">
      <c r="A12" s="5" t="str">
        <f ca="1">IFERROR(__xludf.DUMMYFUNCTION("""COMPUTED_VALUE"""),"Foxi")</f>
        <v>Foxi</v>
      </c>
      <c r="B12" s="5" t="str">
        <f ca="1">IFERROR(__xludf.DUMMYFUNCTION("""COMPUTED_VALUE"""),"Book of Spells")</f>
        <v>Book of Spells</v>
      </c>
      <c r="C12" s="5" t="str">
        <f ca="1">IFERROR(__xludf.DUMMYFUNCTION("""COMPUTED_VALUE"""),"BookOfSpells")</f>
        <v>BookOfSpells</v>
      </c>
      <c r="D12" s="6">
        <f ca="1">IFERROR(__xludf.DUMMYFUNCTION("""COMPUTED_VALUE"""),42736)</f>
        <v>42736</v>
      </c>
      <c r="E12" s="5" t="str">
        <f ca="1">IFERROR(__xludf.DUMMYFUNCTION("""COMPUTED_VALUE"""),"Slot")</f>
        <v>Slot</v>
      </c>
      <c r="F12" s="5">
        <f ca="1">IFERROR(__xludf.DUMMYFUNCTION("""COMPUTED_VALUE"""),37)</f>
        <v>37</v>
      </c>
      <c r="G12" s="5" t="str">
        <f ca="1">IFERROR(__xludf.DUMMYFUNCTION("""COMPUTED_VALUE"""),"5x3")</f>
        <v>5x3</v>
      </c>
      <c r="H12" s="5" t="str">
        <f ca="1">IFERROR(__xludf.DUMMYFUNCTION("""COMPUTED_VALUE"""),"10")</f>
        <v>10</v>
      </c>
      <c r="I12" s="5" t="str">
        <f ca="1">IFERROR(__xludf.DUMMYFUNCTION("""COMPUTED_VALUE"""),"1,3,5,7,10")</f>
        <v>1,3,5,7,10</v>
      </c>
      <c r="J12" s="5" t="str">
        <f ca="1">IFERROR(__xludf.DUMMYFUNCTION("""COMPUTED_VALUE"""),"96.064%")</f>
        <v>96.064%</v>
      </c>
      <c r="K12" s="5" t="str">
        <f ca="1">IFERROR(__xludf.DUMMYFUNCTION("""COMPUTED_VALUE"""),"High")</f>
        <v>High</v>
      </c>
      <c r="L12" s="5" t="str">
        <f ca="1">IFERROR(__xludf.DUMMYFUNCTION("""COMPUTED_VALUE"""),"31.467%")</f>
        <v>31.467%</v>
      </c>
      <c r="M12" s="5" t="str">
        <f ca="1">IFERROR(__xludf.DUMMYFUNCTION("""COMPUTED_VALUE"""),"x5512")</f>
        <v>x5512</v>
      </c>
      <c r="N12" s="5" t="str">
        <f ca="1">IFERROR(__xludf.DUMMYFUNCTION("""COMPUTED_VALUE"""),"0.01/40")</f>
        <v>0.01/40</v>
      </c>
      <c r="O12" s="5" t="str">
        <f ca="1">IFERROR(__xludf.DUMMYFUNCTION("""COMPUTED_VALUE"""),"Yes")</f>
        <v>Yes</v>
      </c>
      <c r="P12" s="5" t="str">
        <f ca="1">IFERROR(__xludf.DUMMYFUNCTION("""COMPUTED_VALUE"""),"Buy Bonus, Book Of Game, Wild Symbol, Scatter")</f>
        <v>Buy Bonus, Book Of Game, Wild Symbol, Scatter</v>
      </c>
      <c r="Q12" s="7" t="str">
        <f ca="1">IFERROR(__xludf.DUMMYFUNCTION("""COMPUTED_VALUE"""),"https://gameserver-store-client-area.orbionlimited.com/Home/IntegrationGameLaunch/client-area?moneyType=0&amp;gameName=BookOfSpells&amp;platform=desktop&amp;languageCode=eng&amp;currency=EUR")</f>
        <v>https://gameserver-store-client-area.orbionlimited.com/Home/IntegrationGameLaunch/client-area?moneyType=0&amp;gameName=BookOfSpells&amp;platform=desktop&amp;languageCode=eng&amp;currency=EUR</v>
      </c>
      <c r="R12" s="5" t="str">
        <f ca="1">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S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IFERROR(__xludf.DUMMYFUNCTION("""COMPUTED_VALUE"""),"Yes")</f>
        <v>Yes</v>
      </c>
      <c r="X12" s="5" t="str">
        <f ca="1">IFERROR(__xludf.DUMMYFUNCTION("""COMPUTED_VALUE"""),"Yes")</f>
        <v>Yes</v>
      </c>
      <c r="Y12" s="5" t="str">
        <f ca="1">IFERROR(__xludf.DUMMYFUNCTION("""COMPUTED_VALUE"""),"Yes")</f>
        <v>Yes</v>
      </c>
      <c r="Z12" s="5" t="str">
        <f ca="1">IFERROR(__xludf.DUMMYFUNCTION("""COMPUTED_VALUE"""),"Yes")</f>
        <v>Yes</v>
      </c>
      <c r="AA12" s="5" t="str">
        <f ca="1">IFERROR(__xludf.DUMMYFUNCTION("""COMPUTED_VALUE"""),"Yes")</f>
        <v>Yes</v>
      </c>
      <c r="AB12" s="5" t="str">
        <f ca="1">IFERROR(__xludf.DUMMYFUNCTION("""COMPUTED_VALUE"""),"Yes")</f>
        <v>Yes</v>
      </c>
      <c r="AC12" s="5" t="str">
        <f ca="1">IFERROR(__xludf.DUMMYFUNCTION("""COMPUTED_VALUE"""),"Yes")</f>
        <v>Yes</v>
      </c>
      <c r="AD12" s="5" t="str">
        <f ca="1">IFERROR(__xludf.DUMMYFUNCTION("""COMPUTED_VALUE"""),"Yes")</f>
        <v>Yes</v>
      </c>
      <c r="AE12" s="5" t="str">
        <f ca="1">IFERROR(__xludf.DUMMYFUNCTION("""COMPUTED_VALUE"""),"Yes")</f>
        <v>Yes</v>
      </c>
      <c r="AF12" s="5" t="str">
        <f ca="1">IFERROR(__xludf.DUMMYFUNCTION("""COMPUTED_VALUE"""),"Yes")</f>
        <v>Yes</v>
      </c>
      <c r="AG12" s="5" t="str">
        <f ca="1">IFERROR(__xludf.DUMMYFUNCTION("""COMPUTED_VALUE"""),"Yes")</f>
        <v>Yes</v>
      </c>
      <c r="AH12" s="5" t="str">
        <f ca="1">IFERROR(__xludf.DUMMYFUNCTION("""COMPUTED_VALUE"""),"Yes")</f>
        <v>Yes</v>
      </c>
      <c r="AI12" s="5" t="str">
        <f ca="1">IFERROR(__xludf.DUMMYFUNCTION("""COMPUTED_VALUE"""),"Yes")</f>
        <v>Yes</v>
      </c>
      <c r="AJ12" s="5" t="str">
        <f ca="1">IFERROR(__xludf.DUMMYFUNCTION("""COMPUTED_VALUE"""),"Yes")</f>
        <v>Yes</v>
      </c>
      <c r="AK12" s="5" t="str">
        <f ca="1">IFERROR(__xludf.DUMMYFUNCTION("""COMPUTED_VALUE"""),"Yes")</f>
        <v>Yes</v>
      </c>
      <c r="AL12" s="5" t="str">
        <f ca="1">IFERROR(__xludf.DUMMYFUNCTION("""COMPUTED_VALUE"""),"Yes")</f>
        <v>Yes</v>
      </c>
      <c r="AM12" s="5" t="str">
        <f ca="1">IFERROR(__xludf.DUMMYFUNCTION("""COMPUTED_VALUE"""),"Yes")</f>
        <v>Yes</v>
      </c>
      <c r="AN12" s="5" t="str">
        <f ca="1">IFERROR(__xludf.DUMMYFUNCTION("""COMPUTED_VALUE"""),"Yes")</f>
        <v>Yes</v>
      </c>
      <c r="AO12" s="5" t="str">
        <f ca="1">IFERROR(__xludf.DUMMYFUNCTION("""COMPUTED_VALUE"""),"Yes")</f>
        <v>Yes</v>
      </c>
      <c r="AP12" s="5" t="str">
        <f ca="1">IFERROR(__xludf.DUMMYFUNCTION("""COMPUTED_VALUE"""),"Yes")</f>
        <v>Yes</v>
      </c>
      <c r="AQ12" s="5" t="str">
        <f ca="1">IFERROR(__xludf.DUMMYFUNCTION("""COMPUTED_VALUE"""),"Yes")</f>
        <v>Yes</v>
      </c>
      <c r="AR12" s="5" t="str">
        <f ca="1">IFERROR(__xludf.DUMMYFUNCTION("""COMPUTED_VALUE"""),"Yes")</f>
        <v>Yes</v>
      </c>
      <c r="AS12" s="5" t="str">
        <f ca="1">IFERROR(__xludf.DUMMYFUNCTION("""COMPUTED_VALUE"""),"Yes")</f>
        <v>Yes</v>
      </c>
      <c r="AT12" s="5" t="str">
        <f ca="1">IFERROR(__xludf.DUMMYFUNCTION("""COMPUTED_VALUE"""),"No")</f>
        <v>No</v>
      </c>
      <c r="AU12" s="5"/>
    </row>
    <row r="13" spans="1:77" x14ac:dyDescent="0.25">
      <c r="A13" s="5" t="str">
        <f ca="1">IFERROR(__xludf.DUMMYFUNCTION("""COMPUTED_VALUE"""),"Foxi")</f>
        <v>Foxi</v>
      </c>
      <c r="B13" s="5" t="str">
        <f ca="1">IFERROR(__xludf.DUMMYFUNCTION("""COMPUTED_VALUE"""),"Mega Hot")</f>
        <v>Mega Hot</v>
      </c>
      <c r="C13" s="5" t="str">
        <f ca="1">IFERROR(__xludf.DUMMYFUNCTION("""COMPUTED_VALUE"""),"MegaHot")</f>
        <v>MegaHot</v>
      </c>
      <c r="D13" s="6">
        <f ca="1">IFERROR(__xludf.DUMMYFUNCTION("""COMPUTED_VALUE"""),42917)</f>
        <v>42917</v>
      </c>
      <c r="E13" s="5" t="str">
        <f ca="1">IFERROR(__xludf.DUMMYFUNCTION("""COMPUTED_VALUE"""),"Slot")</f>
        <v>Slot</v>
      </c>
      <c r="F13" s="5">
        <f ca="1">IFERROR(__xludf.DUMMYFUNCTION("""COMPUTED_VALUE"""),19.1)</f>
        <v>19.100000000000001</v>
      </c>
      <c r="G13" s="5" t="str">
        <f ca="1">IFERROR(__xludf.DUMMYFUNCTION("""COMPUTED_VALUE"""),"5x3")</f>
        <v>5x3</v>
      </c>
      <c r="H13" s="5" t="str">
        <f ca="1">IFERROR(__xludf.DUMMYFUNCTION("""COMPUTED_VALUE"""),"5")</f>
        <v>5</v>
      </c>
      <c r="I13" s="5" t="str">
        <f ca="1">IFERROR(__xludf.DUMMYFUNCTION("""COMPUTED_VALUE"""),"5")</f>
        <v>5</v>
      </c>
      <c r="J13" s="5" t="str">
        <f ca="1">IFERROR(__xludf.DUMMYFUNCTION("""COMPUTED_VALUE"""),"95.741%")</f>
        <v>95.741%</v>
      </c>
      <c r="K13" s="5" t="str">
        <f ca="1">IFERROR(__xludf.DUMMYFUNCTION("""COMPUTED_VALUE"""),"Medium")</f>
        <v>Medium</v>
      </c>
      <c r="L13" s="5" t="str">
        <f ca="1">IFERROR(__xludf.DUMMYFUNCTION("""COMPUTED_VALUE"""),"13.5%")</f>
        <v>13.5%</v>
      </c>
      <c r="M13" s="5" t="str">
        <f ca="1">IFERROR(__xludf.DUMMYFUNCTION("""COMPUTED_VALUE"""),"x1000")</f>
        <v>x1000</v>
      </c>
      <c r="N13" s="5" t="str">
        <f ca="1">IFERROR(__xludf.DUMMYFUNCTION("""COMPUTED_VALUE"""),"0.05/30")</f>
        <v>0.05/30</v>
      </c>
      <c r="O13" s="5" t="str">
        <f ca="1">IFERROR(__xludf.DUMMYFUNCTION("""COMPUTED_VALUE"""),"Yes")</f>
        <v>Yes</v>
      </c>
      <c r="P13" s="5" t="str">
        <f ca="1">IFERROR(__xludf.DUMMYFUNCTION("""COMPUTED_VALUE"""),"Scatter, Win Multiplier")</f>
        <v>Scatter, Win Multiplier</v>
      </c>
      <c r="Q13" s="7" t="str">
        <f ca="1">IFERROR(__xludf.DUMMYFUNCTION("""COMPUTED_VALUE"""),"https://gameserver-store-client-area.orbionlimited.com/Home/IntegrationGameLaunch/client-area?moneyType=0&amp;gameName=MegaHot&amp;platform=desktop&amp;languageCode=eng&amp;currency=EUR")</f>
        <v>https://gameserver-store-client-area.orbionlimited.com/Home/IntegrationGameLaunch/client-area?moneyType=0&amp;gameName=MegaHot&amp;platform=desktop&amp;languageCode=eng&amp;currency=EUR</v>
      </c>
      <c r="R13" s="5" t="str">
        <f ca="1">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S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IFERROR(__xludf.DUMMYFUNCTION("""COMPUTED_VALUE"""),"Yes")</f>
        <v>Yes</v>
      </c>
      <c r="X13" s="5" t="str">
        <f ca="1">IFERROR(__xludf.DUMMYFUNCTION("""COMPUTED_VALUE"""),"Yes")</f>
        <v>Yes</v>
      </c>
      <c r="Y13" s="5" t="str">
        <f ca="1">IFERROR(__xludf.DUMMYFUNCTION("""COMPUTED_VALUE"""),"Yes")</f>
        <v>Yes</v>
      </c>
      <c r="Z13" s="5" t="str">
        <f ca="1">IFERROR(__xludf.DUMMYFUNCTION("""COMPUTED_VALUE"""),"Yes")</f>
        <v>Yes</v>
      </c>
      <c r="AA13" s="5" t="str">
        <f ca="1">IFERROR(__xludf.DUMMYFUNCTION("""COMPUTED_VALUE"""),"Yes")</f>
        <v>Yes</v>
      </c>
      <c r="AB13" s="5" t="str">
        <f ca="1">IFERROR(__xludf.DUMMYFUNCTION("""COMPUTED_VALUE"""),"Yes")</f>
        <v>Yes</v>
      </c>
      <c r="AC13" s="5" t="str">
        <f ca="1">IFERROR(__xludf.DUMMYFUNCTION("""COMPUTED_VALUE"""),"Yes")</f>
        <v>Yes</v>
      </c>
      <c r="AD13" s="5" t="str">
        <f ca="1">IFERROR(__xludf.DUMMYFUNCTION("""COMPUTED_VALUE"""),"Yes")</f>
        <v>Yes</v>
      </c>
      <c r="AE13" s="5" t="str">
        <f ca="1">IFERROR(__xludf.DUMMYFUNCTION("""COMPUTED_VALUE"""),"Yes")</f>
        <v>Yes</v>
      </c>
      <c r="AF13" s="5" t="str">
        <f ca="1">IFERROR(__xludf.DUMMYFUNCTION("""COMPUTED_VALUE"""),"Yes")</f>
        <v>Yes</v>
      </c>
      <c r="AG13" s="5" t="str">
        <f ca="1">IFERROR(__xludf.DUMMYFUNCTION("""COMPUTED_VALUE"""),"Yes")</f>
        <v>Yes</v>
      </c>
      <c r="AH13" s="5" t="str">
        <f ca="1">IFERROR(__xludf.DUMMYFUNCTION("""COMPUTED_VALUE"""),"Yes")</f>
        <v>Yes</v>
      </c>
      <c r="AI13" s="5" t="str">
        <f ca="1">IFERROR(__xludf.DUMMYFUNCTION("""COMPUTED_VALUE"""),"Yes")</f>
        <v>Yes</v>
      </c>
      <c r="AJ13" s="5" t="str">
        <f ca="1">IFERROR(__xludf.DUMMYFUNCTION("""COMPUTED_VALUE"""),"Yes")</f>
        <v>Yes</v>
      </c>
      <c r="AK13" s="5" t="str">
        <f ca="1">IFERROR(__xludf.DUMMYFUNCTION("""COMPUTED_VALUE"""),"Yes")</f>
        <v>Yes</v>
      </c>
      <c r="AL13" s="5" t="str">
        <f ca="1">IFERROR(__xludf.DUMMYFUNCTION("""COMPUTED_VALUE"""),"Yes")</f>
        <v>Yes</v>
      </c>
      <c r="AM13" s="5" t="str">
        <f ca="1">IFERROR(__xludf.DUMMYFUNCTION("""COMPUTED_VALUE"""),"Yes")</f>
        <v>Yes</v>
      </c>
      <c r="AN13" s="5" t="str">
        <f ca="1">IFERROR(__xludf.DUMMYFUNCTION("""COMPUTED_VALUE"""),"Yes")</f>
        <v>Yes</v>
      </c>
      <c r="AO13" s="5" t="str">
        <f ca="1">IFERROR(__xludf.DUMMYFUNCTION("""COMPUTED_VALUE"""),"Yes")</f>
        <v>Yes</v>
      </c>
      <c r="AP13" s="5" t="str">
        <f ca="1">IFERROR(__xludf.DUMMYFUNCTION("""COMPUTED_VALUE"""),"Yes")</f>
        <v>Yes</v>
      </c>
      <c r="AQ13" s="5" t="str">
        <f ca="1">IFERROR(__xludf.DUMMYFUNCTION("""COMPUTED_VALUE"""),"Yes")</f>
        <v>Yes</v>
      </c>
      <c r="AR13" s="5" t="str">
        <f ca="1">IFERROR(__xludf.DUMMYFUNCTION("""COMPUTED_VALUE"""),"Yes")</f>
        <v>Yes</v>
      </c>
      <c r="AS13" s="5" t="str">
        <f ca="1">IFERROR(__xludf.DUMMYFUNCTION("""COMPUTED_VALUE"""),"Yes")</f>
        <v>Yes</v>
      </c>
      <c r="AT13" s="5" t="str">
        <f ca="1">IFERROR(__xludf.DUMMYFUNCTION("""COMPUTED_VALUE"""),"No")</f>
        <v>No</v>
      </c>
      <c r="AU13" s="5"/>
    </row>
    <row r="14" spans="1:77" x14ac:dyDescent="0.25">
      <c r="A14" s="5" t="str">
        <f ca="1">IFERROR(__xludf.DUMMYFUNCTION("""COMPUTED_VALUE"""),"Foxi")</f>
        <v>Foxi</v>
      </c>
      <c r="B14" s="5" t="str">
        <f ca="1">IFERROR(__xludf.DUMMYFUNCTION("""COMPUTED_VALUE"""),"Turbo Hot 40")</f>
        <v>Turbo Hot 40</v>
      </c>
      <c r="C14" s="5" t="str">
        <f ca="1">IFERROR(__xludf.DUMMYFUNCTION("""COMPUTED_VALUE"""),"TurboHot40")</f>
        <v>TurboHot40</v>
      </c>
      <c r="D14" s="6">
        <f ca="1">IFERROR(__xludf.DUMMYFUNCTION("""COMPUTED_VALUE"""),43435)</f>
        <v>43435</v>
      </c>
      <c r="E14" s="5" t="str">
        <f ca="1">IFERROR(__xludf.DUMMYFUNCTION("""COMPUTED_VALUE"""),"Slot")</f>
        <v>Slot</v>
      </c>
      <c r="F14" s="5">
        <f ca="1">IFERROR(__xludf.DUMMYFUNCTION("""COMPUTED_VALUE"""),21.3)</f>
        <v>21.3</v>
      </c>
      <c r="G14" s="5" t="str">
        <f ca="1">IFERROR(__xludf.DUMMYFUNCTION("""COMPUTED_VALUE"""),"5x4")</f>
        <v>5x4</v>
      </c>
      <c r="H14" s="5" t="str">
        <f ca="1">IFERROR(__xludf.DUMMYFUNCTION("""COMPUTED_VALUE"""),"40")</f>
        <v>40</v>
      </c>
      <c r="I14" s="5" t="str">
        <f ca="1">IFERROR(__xludf.DUMMYFUNCTION("""COMPUTED_VALUE"""),"40")</f>
        <v>40</v>
      </c>
      <c r="J14" s="5" t="str">
        <f ca="1">IFERROR(__xludf.DUMMYFUNCTION("""COMPUTED_VALUE"""),"96.584%")</f>
        <v>96.584%</v>
      </c>
      <c r="K14" s="5" t="str">
        <f ca="1">IFERROR(__xludf.DUMMYFUNCTION("""COMPUTED_VALUE"""),"Low")</f>
        <v>Low</v>
      </c>
      <c r="L14" s="5" t="str">
        <f ca="1">IFERROR(__xludf.DUMMYFUNCTION("""COMPUTED_VALUE"""),"16.73%")</f>
        <v>16.73%</v>
      </c>
      <c r="M14" s="5" t="str">
        <f ca="1">IFERROR(__xludf.DUMMYFUNCTION("""COMPUTED_VALUE"""),"x1000")</f>
        <v>x1000</v>
      </c>
      <c r="N14" s="5" t="str">
        <f ca="1">IFERROR(__xludf.DUMMYFUNCTION("""COMPUTED_VALUE"""),"0.40/60")</f>
        <v>0.40/60</v>
      </c>
      <c r="O14" s="5" t="str">
        <f ca="1">IFERROR(__xludf.DUMMYFUNCTION("""COMPUTED_VALUE"""),"Yes")</f>
        <v>Yes</v>
      </c>
      <c r="P14" s="5" t="str">
        <f ca="1">IFERROR(__xludf.DUMMYFUNCTION("""COMPUTED_VALUE"""),"Wild Symbol, Scatter")</f>
        <v>Wild Symbol, Scatter</v>
      </c>
      <c r="Q14" s="7" t="str">
        <f ca="1">IFERROR(__xludf.DUMMYFUNCTION("""COMPUTED_VALUE"""),"https://gameserver-store-client-area.orbionlimited.com/Home/IntegrationGameLaunch/client-area?moneyType=0&amp;gameName=TurboHot40&amp;platform=desktop&amp;languageCode=eng&amp;currency=EUR")</f>
        <v>https://gameserver-store-client-area.orbionlimited.com/Home/IntegrationGameLaunch/client-area?moneyType=0&amp;gameName=TurboHot40&amp;platform=desktop&amp;languageCode=eng&amp;currency=EUR</v>
      </c>
      <c r="R14" s="5" t="str">
        <f ca="1">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S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IFERROR(__xludf.DUMMYFUNCTION("""COMPUTED_VALUE"""),"Yes")</f>
        <v>Yes</v>
      </c>
      <c r="AF14" s="5" t="str">
        <f ca="1">IFERROR(__xludf.DUMMYFUNCTION("""COMPUTED_VALUE"""),"Yes")</f>
        <v>Yes</v>
      </c>
      <c r="AG14" s="5" t="str">
        <f ca="1">IFERROR(__xludf.DUMMYFUNCTION("""COMPUTED_VALUE"""),"Yes")</f>
        <v>Yes</v>
      </c>
      <c r="AH14" s="5" t="str">
        <f ca="1">IFERROR(__xludf.DUMMYFUNCTION("""COMPUTED_VALUE"""),"Yes")</f>
        <v>Yes</v>
      </c>
      <c r="AI14" s="5" t="str">
        <f ca="1">IFERROR(__xludf.DUMMYFUNCTION("""COMPUTED_VALUE"""),"Yes")</f>
        <v>Yes</v>
      </c>
      <c r="AJ14" s="5" t="str">
        <f ca="1">IFERROR(__xludf.DUMMYFUNCTION("""COMPUTED_VALUE"""),"Yes")</f>
        <v>Yes</v>
      </c>
      <c r="AK14" s="5" t="str">
        <f ca="1">IFERROR(__xludf.DUMMYFUNCTION("""COMPUTED_VALUE"""),"Yes")</f>
        <v>Yes</v>
      </c>
      <c r="AL14" s="5" t="str">
        <f ca="1">IFERROR(__xludf.DUMMYFUNCTION("""COMPUTED_VALUE"""),"Yes")</f>
        <v>Yes</v>
      </c>
      <c r="AM14" s="5" t="str">
        <f ca="1">IFERROR(__xludf.DUMMYFUNCTION("""COMPUTED_VALUE"""),"Yes")</f>
        <v>Yes</v>
      </c>
      <c r="AN14" s="5" t="str">
        <f ca="1">IFERROR(__xludf.DUMMYFUNCTION("""COMPUTED_VALUE"""),"Yes")</f>
        <v>Yes</v>
      </c>
      <c r="AO14" s="5" t="str">
        <f ca="1">IFERROR(__xludf.DUMMYFUNCTION("""COMPUTED_VALUE"""),"Yes")</f>
        <v>Yes</v>
      </c>
      <c r="AP14" s="5" t="str">
        <f ca="1">IFERROR(__xludf.DUMMYFUNCTION("""COMPUTED_VALUE"""),"Yes")</f>
        <v>Yes</v>
      </c>
      <c r="AQ14" s="5" t="str">
        <f ca="1">IFERROR(__xludf.DUMMYFUNCTION("""COMPUTED_VALUE"""),"Yes")</f>
        <v>Yes</v>
      </c>
      <c r="AR14" s="5" t="str">
        <f ca="1">IFERROR(__xludf.DUMMYFUNCTION("""COMPUTED_VALUE"""),"Yes")</f>
        <v>Yes</v>
      </c>
      <c r="AS14" s="5" t="str">
        <f ca="1">IFERROR(__xludf.DUMMYFUNCTION("""COMPUTED_VALUE"""),"Yes")</f>
        <v>Yes</v>
      </c>
      <c r="AT14" s="5" t="str">
        <f ca="1">IFERROR(__xludf.DUMMYFUNCTION("""COMPUTED_VALUE"""),"No")</f>
        <v>No</v>
      </c>
      <c r="AU14" s="5"/>
    </row>
    <row r="15" spans="1:77" x14ac:dyDescent="0.25">
      <c r="A15" s="5" t="str">
        <f ca="1">IFERROR(__xludf.DUMMYFUNCTION("""COMPUTED_VALUE"""),"Foxi")</f>
        <v>Foxi</v>
      </c>
      <c r="B15" s="5" t="str">
        <f ca="1">IFERROR(__xludf.DUMMYFUNCTION("""COMPUTED_VALUE"""),"Crystals of Magic")</f>
        <v>Crystals of Magic</v>
      </c>
      <c r="C15" s="5" t="str">
        <f ca="1">IFERROR(__xludf.DUMMYFUNCTION("""COMPUTED_VALUE"""),"CrystalsOfMagic")</f>
        <v>CrystalsOfMagic</v>
      </c>
      <c r="D15" s="6">
        <f ca="1">IFERROR(__xludf.DUMMYFUNCTION("""COMPUTED_VALUE"""),43160)</f>
        <v>43160</v>
      </c>
      <c r="E15" s="5" t="str">
        <f ca="1">IFERROR(__xludf.DUMMYFUNCTION("""COMPUTED_VALUE"""),"Slot")</f>
        <v>Slot</v>
      </c>
      <c r="F15" s="5">
        <f ca="1">IFERROR(__xludf.DUMMYFUNCTION("""COMPUTED_VALUE"""),90.5)</f>
        <v>90.5</v>
      </c>
      <c r="G15" s="5" t="str">
        <f ca="1">IFERROR(__xludf.DUMMYFUNCTION("""COMPUTED_VALUE"""),"5x3")</f>
        <v>5x3</v>
      </c>
      <c r="H15" s="5" t="str">
        <f ca="1">IFERROR(__xludf.DUMMYFUNCTION("""COMPUTED_VALUE"""),"25")</f>
        <v>25</v>
      </c>
      <c r="I15" s="5" t="str">
        <f ca="1">IFERROR(__xludf.DUMMYFUNCTION("""COMPUTED_VALUE"""),"25")</f>
        <v>25</v>
      </c>
      <c r="J15" s="5" t="str">
        <f ca="1">IFERROR(__xludf.DUMMYFUNCTION("""COMPUTED_VALUE"""),"96.037%")</f>
        <v>96.037%</v>
      </c>
      <c r="K15" s="5" t="str">
        <f ca="1">IFERROR(__xludf.DUMMYFUNCTION("""COMPUTED_VALUE"""),"Low")</f>
        <v>Low</v>
      </c>
      <c r="L15" s="5" t="str">
        <f ca="1">IFERROR(__xludf.DUMMYFUNCTION("""COMPUTED_VALUE"""),"58.33%")</f>
        <v>58.33%</v>
      </c>
      <c r="M15" s="5" t="str">
        <f ca="1">IFERROR(__xludf.DUMMYFUNCTION("""COMPUTED_VALUE"""),"x504")</f>
        <v>x504</v>
      </c>
      <c r="N15" s="5" t="str">
        <f ca="1">IFERROR(__xludf.DUMMYFUNCTION("""COMPUTED_VALUE"""),"0.25/62.5")</f>
        <v>0.25/62.5</v>
      </c>
      <c r="O15" s="5" t="str">
        <f ca="1">IFERROR(__xludf.DUMMYFUNCTION("""COMPUTED_VALUE"""),"Yes")</f>
        <v>Yes</v>
      </c>
      <c r="P15" s="5" t="str">
        <f ca="1">IFERROR(__xludf.DUMMYFUNCTION("""COMPUTED_VALUE"""),"Wild Symbol, Bonus Game with Free Spins, Sticky Wild, Bonus Game with Multiplier")</f>
        <v>Wild Symbol, Bonus Game with Free Spins, Sticky Wild, Bonus Game with Multiplier</v>
      </c>
      <c r="Q15" s="7" t="str">
        <f ca="1">IFERROR(__xludf.DUMMYFUNCTION("""COMPUTED_VALUE"""),"https://gameserver-store-client-area.orbionlimited.com/Home/IntegrationGameLaunch/client-area?moneyType=0&amp;gameName=CrystalsOfMagic&amp;platform=desktop&amp;languageCode=eng&amp;currency=EUR")</f>
        <v>https://gameserver-store-client-area.orbionlimited.com/Home/IntegrationGameLaunch/client-area?moneyType=0&amp;gameName=CrystalsOfMagic&amp;platform=desktop&amp;languageCode=eng&amp;currency=EUR</v>
      </c>
      <c r="R15" s="5" t="str">
        <f ca="1">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S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IFERROR(__xludf.DUMMYFUNCTION("""COMPUTED_VALUE"""),"Yes")</f>
        <v>Yes</v>
      </c>
      <c r="AF15" s="5" t="str">
        <f ca="1">IFERROR(__xludf.DUMMYFUNCTION("""COMPUTED_VALUE"""),"Yes")</f>
        <v>Yes</v>
      </c>
      <c r="AG15" s="5" t="str">
        <f ca="1">IFERROR(__xludf.DUMMYFUNCTION("""COMPUTED_VALUE"""),"Yes")</f>
        <v>Yes</v>
      </c>
      <c r="AH15" s="5" t="str">
        <f ca="1">IFERROR(__xludf.DUMMYFUNCTION("""COMPUTED_VALUE"""),"Yes")</f>
        <v>Yes</v>
      </c>
      <c r="AI15" s="5" t="str">
        <f ca="1">IFERROR(__xludf.DUMMYFUNCTION("""COMPUTED_VALUE"""),"Yes")</f>
        <v>Yes</v>
      </c>
      <c r="AJ15" s="5" t="str">
        <f ca="1">IFERROR(__xludf.DUMMYFUNCTION("""COMPUTED_VALUE"""),"Yes")</f>
        <v>Yes</v>
      </c>
      <c r="AK15" s="5" t="str">
        <f ca="1">IFERROR(__xludf.DUMMYFUNCTION("""COMPUTED_VALUE"""),"Yes")</f>
        <v>Yes</v>
      </c>
      <c r="AL15" s="5" t="str">
        <f ca="1">IFERROR(__xludf.DUMMYFUNCTION("""COMPUTED_VALUE"""),"Yes")</f>
        <v>Yes</v>
      </c>
      <c r="AM15" s="5" t="str">
        <f ca="1">IFERROR(__xludf.DUMMYFUNCTION("""COMPUTED_VALUE"""),"Yes")</f>
        <v>Yes</v>
      </c>
      <c r="AN15" s="5" t="str">
        <f ca="1">IFERROR(__xludf.DUMMYFUNCTION("""COMPUTED_VALUE"""),"Yes")</f>
        <v>Yes</v>
      </c>
      <c r="AO15" s="5" t="str">
        <f ca="1">IFERROR(__xludf.DUMMYFUNCTION("""COMPUTED_VALUE"""),"Yes")</f>
        <v>Yes</v>
      </c>
      <c r="AP15" s="5" t="str">
        <f ca="1">IFERROR(__xludf.DUMMYFUNCTION("""COMPUTED_VALUE"""),"Yes")</f>
        <v>Yes</v>
      </c>
      <c r="AQ15" s="5" t="str">
        <f ca="1">IFERROR(__xludf.DUMMYFUNCTION("""COMPUTED_VALUE"""),"Yes")</f>
        <v>Yes</v>
      </c>
      <c r="AR15" s="5" t="str">
        <f ca="1">IFERROR(__xludf.DUMMYFUNCTION("""COMPUTED_VALUE"""),"Yes")</f>
        <v>Yes</v>
      </c>
      <c r="AS15" s="5" t="str">
        <f ca="1">IFERROR(__xludf.DUMMYFUNCTION("""COMPUTED_VALUE"""),"Yes")</f>
        <v>Yes</v>
      </c>
      <c r="AT15" s="5" t="str">
        <f ca="1">IFERROR(__xludf.DUMMYFUNCTION("""COMPUTED_VALUE"""),"No")</f>
        <v>No</v>
      </c>
      <c r="AU15" s="5"/>
    </row>
    <row r="16" spans="1:77" x14ac:dyDescent="0.25">
      <c r="A16" s="5" t="str">
        <f ca="1">IFERROR(__xludf.DUMMYFUNCTION("""COMPUTED_VALUE"""),"Foxi")</f>
        <v>Foxi</v>
      </c>
      <c r="B16" s="5" t="str">
        <f ca="1">IFERROR(__xludf.DUMMYFUNCTION("""COMPUTED_VALUE"""),"Book of Bruno")</f>
        <v>Book of Bruno</v>
      </c>
      <c r="C16" s="5" t="str">
        <f ca="1">IFERROR(__xludf.DUMMYFUNCTION("""COMPUTED_VALUE"""),"BookOfBruno")</f>
        <v>BookOfBruno</v>
      </c>
      <c r="D16" s="6">
        <f ca="1">IFERROR(__xludf.DUMMYFUNCTION("""COMPUTED_VALUE"""),43101)</f>
        <v>43101</v>
      </c>
      <c r="E16" s="5" t="str">
        <f ca="1">IFERROR(__xludf.DUMMYFUNCTION("""COMPUTED_VALUE"""),"Slot")</f>
        <v>Slot</v>
      </c>
      <c r="F16" s="5">
        <f ca="1">IFERROR(__xludf.DUMMYFUNCTION("""COMPUTED_VALUE"""),26.4)</f>
        <v>26.4</v>
      </c>
      <c r="G16" s="5" t="str">
        <f ca="1">IFERROR(__xludf.DUMMYFUNCTION("""COMPUTED_VALUE"""),"5x3")</f>
        <v>5x3</v>
      </c>
      <c r="H16" s="5" t="str">
        <f ca="1">IFERROR(__xludf.DUMMYFUNCTION("""COMPUTED_VALUE"""),"10")</f>
        <v>10</v>
      </c>
      <c r="I16" s="5" t="str">
        <f ca="1">IFERROR(__xludf.DUMMYFUNCTION("""COMPUTED_VALUE"""),"1,3,5,7,10")</f>
        <v>1,3,5,7,10</v>
      </c>
      <c r="J16" s="5" t="str">
        <f ca="1">IFERROR(__xludf.DUMMYFUNCTION("""COMPUTED_VALUE"""),"96.064%")</f>
        <v>96.064%</v>
      </c>
      <c r="K16" s="5" t="str">
        <f ca="1">IFERROR(__xludf.DUMMYFUNCTION("""COMPUTED_VALUE"""),"High")</f>
        <v>High</v>
      </c>
      <c r="L16" s="5" t="str">
        <f ca="1">IFERROR(__xludf.DUMMYFUNCTION("""COMPUTED_VALUE"""),"31.66%")</f>
        <v>31.66%</v>
      </c>
      <c r="M16" s="5" t="str">
        <f ca="1">IFERROR(__xludf.DUMMYFUNCTION("""COMPUTED_VALUE"""),"x6408")</f>
        <v>x6408</v>
      </c>
      <c r="N16" s="5" t="str">
        <f ca="1">IFERROR(__xludf.DUMMYFUNCTION("""COMPUTED_VALUE"""),"0.01/40")</f>
        <v>0.01/40</v>
      </c>
      <c r="O16" s="5" t="str">
        <f ca="1">IFERROR(__xludf.DUMMYFUNCTION("""COMPUTED_VALUE"""),"Yes")</f>
        <v>Yes</v>
      </c>
      <c r="P16" s="5" t="str">
        <f ca="1">IFERROR(__xludf.DUMMYFUNCTION("""COMPUTED_VALUE"""),"Bonus Game with Special Symbol, Wild Symbol, Scatter, Book Of Game")</f>
        <v>Bonus Game with Special Symbol, Wild Symbol, Scatter, Book Of Game</v>
      </c>
      <c r="Q16" s="7" t="str">
        <f ca="1">IFERROR(__xludf.DUMMYFUNCTION("""COMPUTED_VALUE"""),"https://gameserver-store-client-area.orbionlimited.com/Home/IntegrationGameLaunch/client-area?moneyType=0&amp;gameName=BookOfBruno&amp;platform=desktop&amp;languageCode=eng&amp;currency=EUR")</f>
        <v>https://gameserver-store-client-area.orbionlimited.com/Home/IntegrationGameLaunch/client-area?moneyType=0&amp;gameName=BookOfBruno&amp;platform=desktop&amp;languageCode=eng&amp;currency=EUR</v>
      </c>
      <c r="R16" s="5" t="str">
        <f ca="1">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S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IFERROR(__xludf.DUMMYFUNCTION("""COMPUTED_VALUE"""),"Yes")</f>
        <v>Yes</v>
      </c>
      <c r="X16" s="5" t="str">
        <f ca="1">IFERROR(__xludf.DUMMYFUNCTION("""COMPUTED_VALUE"""),"Yes")</f>
        <v>Yes</v>
      </c>
      <c r="Y16" s="5" t="str">
        <f ca="1">IFERROR(__xludf.DUMMYFUNCTION("""COMPUTED_VALUE"""),"Yes")</f>
        <v>Yes</v>
      </c>
      <c r="Z16" s="5" t="str">
        <f ca="1">IFERROR(__xludf.DUMMYFUNCTION("""COMPUTED_VALUE"""),"Yes")</f>
        <v>Yes</v>
      </c>
      <c r="AA16" s="5" t="str">
        <f ca="1">IFERROR(__xludf.DUMMYFUNCTION("""COMPUTED_VALUE"""),"Yes")</f>
        <v>Yes</v>
      </c>
      <c r="AB16" s="5" t="str">
        <f ca="1">IFERROR(__xludf.DUMMYFUNCTION("""COMPUTED_VALUE"""),"Yes")</f>
        <v>Yes</v>
      </c>
      <c r="AC16" s="5" t="str">
        <f ca="1">IFERROR(__xludf.DUMMYFUNCTION("""COMPUTED_VALUE"""),"Yes")</f>
        <v>Yes</v>
      </c>
      <c r="AD16" s="5" t="str">
        <f ca="1">IFERROR(__xludf.DUMMYFUNCTION("""COMPUTED_VALUE"""),"Yes")</f>
        <v>Yes</v>
      </c>
      <c r="AE16" s="5" t="str">
        <f ca="1">IFERROR(__xludf.DUMMYFUNCTION("""COMPUTED_VALUE"""),"Yes")</f>
        <v>Yes</v>
      </c>
      <c r="AF16" s="5" t="str">
        <f ca="1">IFERROR(__xludf.DUMMYFUNCTION("""COMPUTED_VALUE"""),"Yes")</f>
        <v>Yes</v>
      </c>
      <c r="AG16" s="5" t="str">
        <f ca="1">IFERROR(__xludf.DUMMYFUNCTION("""COMPUTED_VALUE"""),"Yes")</f>
        <v>Yes</v>
      </c>
      <c r="AH16" s="5" t="str">
        <f ca="1">IFERROR(__xludf.DUMMYFUNCTION("""COMPUTED_VALUE"""),"Yes")</f>
        <v>Yes</v>
      </c>
      <c r="AI16" s="5" t="str">
        <f ca="1">IFERROR(__xludf.DUMMYFUNCTION("""COMPUTED_VALUE"""),"Yes")</f>
        <v>Yes</v>
      </c>
      <c r="AJ16" s="5" t="str">
        <f ca="1">IFERROR(__xludf.DUMMYFUNCTION("""COMPUTED_VALUE"""),"Yes")</f>
        <v>Yes</v>
      </c>
      <c r="AK16" s="5" t="str">
        <f ca="1">IFERROR(__xludf.DUMMYFUNCTION("""COMPUTED_VALUE"""),"Yes")</f>
        <v>Yes</v>
      </c>
      <c r="AL16" s="5" t="str">
        <f ca="1">IFERROR(__xludf.DUMMYFUNCTION("""COMPUTED_VALUE"""),"Yes")</f>
        <v>Yes</v>
      </c>
      <c r="AM16" s="5" t="str">
        <f ca="1">IFERROR(__xludf.DUMMYFUNCTION("""COMPUTED_VALUE"""),"Yes")</f>
        <v>Yes</v>
      </c>
      <c r="AN16" s="5" t="str">
        <f ca="1">IFERROR(__xludf.DUMMYFUNCTION("""COMPUTED_VALUE"""),"Yes")</f>
        <v>Yes</v>
      </c>
      <c r="AO16" s="5" t="str">
        <f ca="1">IFERROR(__xludf.DUMMYFUNCTION("""COMPUTED_VALUE"""),"Yes")</f>
        <v>Yes</v>
      </c>
      <c r="AP16" s="5" t="str">
        <f ca="1">IFERROR(__xludf.DUMMYFUNCTION("""COMPUTED_VALUE"""),"Yes")</f>
        <v>Yes</v>
      </c>
      <c r="AQ16" s="5" t="str">
        <f ca="1">IFERROR(__xludf.DUMMYFUNCTION("""COMPUTED_VALUE"""),"Yes")</f>
        <v>Yes</v>
      </c>
      <c r="AR16" s="5" t="str">
        <f ca="1">IFERROR(__xludf.DUMMYFUNCTION("""COMPUTED_VALUE"""),"Yes")</f>
        <v>Yes</v>
      </c>
      <c r="AS16" s="5" t="str">
        <f ca="1">IFERROR(__xludf.DUMMYFUNCTION("""COMPUTED_VALUE"""),"Yes")</f>
        <v>Yes</v>
      </c>
      <c r="AT16" s="5" t="str">
        <f ca="1">IFERROR(__xludf.DUMMYFUNCTION("""COMPUTED_VALUE"""),"No")</f>
        <v>No</v>
      </c>
      <c r="AU16" s="5"/>
    </row>
    <row r="17" spans="1:47" x14ac:dyDescent="0.25">
      <c r="A17" s="5" t="str">
        <f ca="1">IFERROR(__xludf.DUMMYFUNCTION("""COMPUTED_VALUE"""),"Foxi")</f>
        <v>Foxi</v>
      </c>
      <c r="B17" s="5" t="str">
        <f ca="1">IFERROR(__xludf.DUMMYFUNCTION("""COMPUTED_VALUE"""),"Tropical Hot")</f>
        <v>Tropical Hot</v>
      </c>
      <c r="C17" s="5" t="str">
        <f ca="1">IFERROR(__xludf.DUMMYFUNCTION("""COMPUTED_VALUE"""),"TropicalHot")</f>
        <v>TropicalHot</v>
      </c>
      <c r="D17" s="6">
        <f ca="1">IFERROR(__xludf.DUMMYFUNCTION("""COMPUTED_VALUE"""),43405)</f>
        <v>43405</v>
      </c>
      <c r="E17" s="5" t="str">
        <f ca="1">IFERROR(__xludf.DUMMYFUNCTION("""COMPUTED_VALUE"""),"Slot")</f>
        <v>Slot</v>
      </c>
      <c r="F17" s="5">
        <f ca="1">IFERROR(__xludf.DUMMYFUNCTION("""COMPUTED_VALUE"""),23.8)</f>
        <v>23.8</v>
      </c>
      <c r="G17" s="5" t="str">
        <f ca="1">IFERROR(__xludf.DUMMYFUNCTION("""COMPUTED_VALUE"""),"5x3")</f>
        <v>5x3</v>
      </c>
      <c r="H17" s="5" t="str">
        <f ca="1">IFERROR(__xludf.DUMMYFUNCTION("""COMPUTED_VALUE"""),"20")</f>
        <v>20</v>
      </c>
      <c r="I17" s="5" t="str">
        <f ca="1">IFERROR(__xludf.DUMMYFUNCTION("""COMPUTED_VALUE"""),"1,3,5,7,9,10,20")</f>
        <v>1,3,5,7,9,10,20</v>
      </c>
      <c r="J17" s="5" t="str">
        <f ca="1">IFERROR(__xludf.DUMMYFUNCTION("""COMPUTED_VALUE"""),"93.694%")</f>
        <v>93.694%</v>
      </c>
      <c r="K17" s="5" t="str">
        <f ca="1">IFERROR(__xludf.DUMMYFUNCTION("""COMPUTED_VALUE"""),"Low")</f>
        <v>Low</v>
      </c>
      <c r="L17" s="5" t="str">
        <f ca="1">IFERROR(__xludf.DUMMYFUNCTION("""COMPUTED_VALUE"""),"17.205%")</f>
        <v>17.205%</v>
      </c>
      <c r="M17" s="5" t="str">
        <f ca="1">IFERROR(__xludf.DUMMYFUNCTION("""COMPUTED_VALUE"""),"x252.5")</f>
        <v>x252.5</v>
      </c>
      <c r="N17" s="5" t="str">
        <f ca="1">IFERROR(__xludf.DUMMYFUNCTION("""COMPUTED_VALUE"""),"0.20/50")</f>
        <v>0.20/50</v>
      </c>
      <c r="O17" s="5" t="str">
        <f ca="1">IFERROR(__xludf.DUMMYFUNCTION("""COMPUTED_VALUE"""),"Yes")</f>
        <v>Yes</v>
      </c>
      <c r="P17" s="5" t="str">
        <f ca="1">IFERROR(__xludf.DUMMYFUNCTION("""COMPUTED_VALUE"""),"Scatter")</f>
        <v>Scatter</v>
      </c>
      <c r="Q17" s="7" t="str">
        <f ca="1">IFERROR(__xludf.DUMMYFUNCTION("""COMPUTED_VALUE"""),"https://gameserver-store-client-area.orbionlimited.com/Home/IntegrationGameLaunch/client-area?moneyType=0&amp;gameName=TropicalHot&amp;platform=desktop&amp;languageCode=eng&amp;currency=EUR")</f>
        <v>https://gameserver-store-client-area.orbionlimited.com/Home/IntegrationGameLaunch/client-area?moneyType=0&amp;gameName=TropicalHot&amp;platform=desktop&amp;languageCode=eng&amp;currency=EUR</v>
      </c>
      <c r="R17" s="5" t="str">
        <f ca="1">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S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IFERROR(__xludf.DUMMYFUNCTION("""COMPUTED_VALUE"""),"Yes")</f>
        <v>Yes</v>
      </c>
      <c r="AA17" s="5" t="str">
        <f ca="1">IFERROR(__xludf.DUMMYFUNCTION("""COMPUTED_VALUE"""),"Yes")</f>
        <v>Yes</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IFERROR(__xludf.DUMMYFUNCTION("""COMPUTED_VALUE"""),"Yes")</f>
        <v>Yes</v>
      </c>
      <c r="AF17" s="5" t="str">
        <f ca="1">IFERROR(__xludf.DUMMYFUNCTION("""COMPUTED_VALUE"""),"Yes")</f>
        <v>Yes</v>
      </c>
      <c r="AG17" s="5" t="str">
        <f ca="1">IFERROR(__xludf.DUMMYFUNCTION("""COMPUTED_VALUE"""),"Yes")</f>
        <v>Yes</v>
      </c>
      <c r="AH17" s="5" t="str">
        <f ca="1">IFERROR(__xludf.DUMMYFUNCTION("""COMPUTED_VALUE"""),"Yes")</f>
        <v>Yes</v>
      </c>
      <c r="AI17" s="5" t="str">
        <f ca="1">IFERROR(__xludf.DUMMYFUNCTION("""COMPUTED_VALUE"""),"Yes")</f>
        <v>Yes</v>
      </c>
      <c r="AJ17" s="5" t="str">
        <f ca="1">IFERROR(__xludf.DUMMYFUNCTION("""COMPUTED_VALUE"""),"Yes")</f>
        <v>Yes</v>
      </c>
      <c r="AK17" s="5" t="str">
        <f ca="1">IFERROR(__xludf.DUMMYFUNCTION("""COMPUTED_VALUE"""),"Yes")</f>
        <v>Yes</v>
      </c>
      <c r="AL17" s="5" t="str">
        <f ca="1">IFERROR(__xludf.DUMMYFUNCTION("""COMPUTED_VALUE"""),"Yes")</f>
        <v>Yes</v>
      </c>
      <c r="AM17" s="5" t="str">
        <f ca="1">IFERROR(__xludf.DUMMYFUNCTION("""COMPUTED_VALUE"""),"Yes")</f>
        <v>Yes</v>
      </c>
      <c r="AN17" s="5" t="str">
        <f ca="1">IFERROR(__xludf.DUMMYFUNCTION("""COMPUTED_VALUE"""),"Yes")</f>
        <v>Yes</v>
      </c>
      <c r="AO17" s="5" t="str">
        <f ca="1">IFERROR(__xludf.DUMMYFUNCTION("""COMPUTED_VALUE"""),"Yes")</f>
        <v>Yes</v>
      </c>
      <c r="AP17" s="5" t="str">
        <f ca="1">IFERROR(__xludf.DUMMYFUNCTION("""COMPUTED_VALUE"""),"Yes")</f>
        <v>Yes</v>
      </c>
      <c r="AQ17" s="5" t="str">
        <f ca="1">IFERROR(__xludf.DUMMYFUNCTION("""COMPUTED_VALUE"""),"Yes")</f>
        <v>Yes</v>
      </c>
      <c r="AR17" s="5" t="str">
        <f ca="1">IFERROR(__xludf.DUMMYFUNCTION("""COMPUTED_VALUE"""),"Yes")</f>
        <v>Yes</v>
      </c>
      <c r="AS17" s="5" t="str">
        <f ca="1">IFERROR(__xludf.DUMMYFUNCTION("""COMPUTED_VALUE"""),"Yes")</f>
        <v>Yes</v>
      </c>
      <c r="AT17" s="5" t="str">
        <f ca="1">IFERROR(__xludf.DUMMYFUNCTION("""COMPUTED_VALUE"""),"No")</f>
        <v>No</v>
      </c>
      <c r="AU17" s="5"/>
    </row>
    <row r="18" spans="1:47" x14ac:dyDescent="0.25">
      <c r="A18" s="5" t="str">
        <f ca="1">IFERROR(__xludf.DUMMYFUNCTION("""COMPUTED_VALUE"""),"Foxi")</f>
        <v>Foxi</v>
      </c>
      <c r="B18" s="5" t="str">
        <f ca="1">IFERROR(__xludf.DUMMYFUNCTION("""COMPUTED_VALUE"""),"Monsters")</f>
        <v>Monsters</v>
      </c>
      <c r="C18" s="5" t="str">
        <f ca="1">IFERROR(__xludf.DUMMYFUNCTION("""COMPUTED_VALUE"""),"Monsters")</f>
        <v>Monsters</v>
      </c>
      <c r="D18" s="6">
        <f ca="1">IFERROR(__xludf.DUMMYFUNCTION("""COMPUTED_VALUE"""),43105)</f>
        <v>43105</v>
      </c>
      <c r="E18" s="5" t="str">
        <f ca="1">IFERROR(__xludf.DUMMYFUNCTION("""COMPUTED_VALUE"""),"Slot")</f>
        <v>Slot</v>
      </c>
      <c r="F18" s="5">
        <f ca="1">IFERROR(__xludf.DUMMYFUNCTION("""COMPUTED_VALUE"""),34)</f>
        <v>34</v>
      </c>
      <c r="G18" s="5" t="str">
        <f ca="1">IFERROR(__xludf.DUMMYFUNCTION("""COMPUTED_VALUE"""),"5x3")</f>
        <v>5x3</v>
      </c>
      <c r="H18" s="5" t="str">
        <f ca="1">IFERROR(__xludf.DUMMYFUNCTION("""COMPUTED_VALUE"""),"20")</f>
        <v>20</v>
      </c>
      <c r="I18" s="5" t="str">
        <f ca="1">IFERROR(__xludf.DUMMYFUNCTION("""COMPUTED_VALUE"""),"20")</f>
        <v>20</v>
      </c>
      <c r="J18" s="5" t="str">
        <f ca="1">IFERROR(__xludf.DUMMYFUNCTION("""COMPUTED_VALUE"""),"95.639%")</f>
        <v>95.639%</v>
      </c>
      <c r="K18" s="5" t="str">
        <f ca="1">IFERROR(__xludf.DUMMYFUNCTION("""COMPUTED_VALUE"""),"High")</f>
        <v>High</v>
      </c>
      <c r="L18" s="5" t="str">
        <f ca="1">IFERROR(__xludf.DUMMYFUNCTION("""COMPUTED_VALUE"""),"26.35%")</f>
        <v>26.35%</v>
      </c>
      <c r="M18" s="5" t="str">
        <f ca="1">IFERROR(__xludf.DUMMYFUNCTION("""COMPUTED_VALUE"""),"x1067")</f>
        <v>x1067</v>
      </c>
      <c r="N18" s="5" t="str">
        <f ca="1">IFERROR(__xludf.DUMMYFUNCTION("""COMPUTED_VALUE"""),"0.2/50")</f>
        <v>0.2/50</v>
      </c>
      <c r="O18" s="5" t="str">
        <f ca="1">IFERROR(__xludf.DUMMYFUNCTION("""COMPUTED_VALUE"""),"Yes")</f>
        <v>Yes</v>
      </c>
      <c r="P18" s="5" t="str">
        <f ca="1">IFERROR(__xludf.DUMMYFUNCTION("""COMPUTED_VALUE"""),"Wild Symbol, Bonus Game with Sticky Wild")</f>
        <v>Wild Symbol, Bonus Game with Sticky Wild</v>
      </c>
      <c r="Q18" s="7" t="str">
        <f ca="1">IFERROR(__xludf.DUMMYFUNCTION("""COMPUTED_VALUE"""),"https://gameserver-store-client-area.orbionlimited.com/Home/IntegrationGameLaunch/client-area?moneyType=0&amp;gameName=Monsters&amp;platform=desktop&amp;languageCode=eng&amp;currency=EUR")</f>
        <v>https://gameserver-store-client-area.orbionlimited.com/Home/IntegrationGameLaunch/client-area?moneyType=0&amp;gameName=Monsters&amp;platform=desktop&amp;languageCode=eng&amp;currency=EUR</v>
      </c>
      <c r="R18" s="5" t="str">
        <f ca="1">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S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IFERROR(__xludf.DUMMYFUNCTION("""COMPUTED_VALUE"""),"Yes")</f>
        <v>Yes</v>
      </c>
      <c r="AA18" s="5" t="str">
        <f ca="1">IFERROR(__xludf.DUMMYFUNCTION("""COMPUTED_VALUE"""),"Yes")</f>
        <v>Yes</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IFERROR(__xludf.DUMMYFUNCTION("""COMPUTED_VALUE"""),"Yes")</f>
        <v>Yes</v>
      </c>
      <c r="AF18" s="5" t="str">
        <f ca="1">IFERROR(__xludf.DUMMYFUNCTION("""COMPUTED_VALUE"""),"Yes")</f>
        <v>Yes</v>
      </c>
      <c r="AG18" s="5" t="str">
        <f ca="1">IFERROR(__xludf.DUMMYFUNCTION("""COMPUTED_VALUE"""),"Yes")</f>
        <v>Yes</v>
      </c>
      <c r="AH18" s="5" t="str">
        <f ca="1">IFERROR(__xludf.DUMMYFUNCTION("""COMPUTED_VALUE"""),"Yes")</f>
        <v>Yes</v>
      </c>
      <c r="AI18" s="5" t="str">
        <f ca="1">IFERROR(__xludf.DUMMYFUNCTION("""COMPUTED_VALUE"""),"Yes")</f>
        <v>Yes</v>
      </c>
      <c r="AJ18" s="5" t="str">
        <f ca="1">IFERROR(__xludf.DUMMYFUNCTION("""COMPUTED_VALUE"""),"Yes")</f>
        <v>Yes</v>
      </c>
      <c r="AK18" s="5" t="str">
        <f ca="1">IFERROR(__xludf.DUMMYFUNCTION("""COMPUTED_VALUE"""),"Yes")</f>
        <v>Yes</v>
      </c>
      <c r="AL18" s="5" t="str">
        <f ca="1">IFERROR(__xludf.DUMMYFUNCTION("""COMPUTED_VALUE"""),"Yes")</f>
        <v>Yes</v>
      </c>
      <c r="AM18" s="5" t="str">
        <f ca="1">IFERROR(__xludf.DUMMYFUNCTION("""COMPUTED_VALUE"""),"Yes")</f>
        <v>Yes</v>
      </c>
      <c r="AN18" s="5" t="str">
        <f ca="1">IFERROR(__xludf.DUMMYFUNCTION("""COMPUTED_VALUE"""),"Yes")</f>
        <v>Yes</v>
      </c>
      <c r="AO18" s="5" t="str">
        <f ca="1">IFERROR(__xludf.DUMMYFUNCTION("""COMPUTED_VALUE"""),"Yes")</f>
        <v>Yes</v>
      </c>
      <c r="AP18" s="5" t="str">
        <f ca="1">IFERROR(__xludf.DUMMYFUNCTION("""COMPUTED_VALUE"""),"Yes")</f>
        <v>Yes</v>
      </c>
      <c r="AQ18" s="5" t="str">
        <f ca="1">IFERROR(__xludf.DUMMYFUNCTION("""COMPUTED_VALUE"""),"Yes")</f>
        <v>Yes</v>
      </c>
      <c r="AR18" s="5" t="str">
        <f ca="1">IFERROR(__xludf.DUMMYFUNCTION("""COMPUTED_VALUE"""),"Yes")</f>
        <v>Yes</v>
      </c>
      <c r="AS18" s="5" t="str">
        <f ca="1">IFERROR(__xludf.DUMMYFUNCTION("""COMPUTED_VALUE"""),"Yes")</f>
        <v>Yes</v>
      </c>
      <c r="AT18" s="5" t="str">
        <f ca="1">IFERROR(__xludf.DUMMYFUNCTION("""COMPUTED_VALUE"""),"No")</f>
        <v>No</v>
      </c>
      <c r="AU18" s="5"/>
    </row>
    <row r="19" spans="1:47" x14ac:dyDescent="0.25">
      <c r="A19" s="5" t="str">
        <f ca="1">IFERROR(__xludf.DUMMYFUNCTION("""COMPUTED_VALUE"""),"Foxi")</f>
        <v>Foxi</v>
      </c>
      <c r="B19" s="5" t="str">
        <f ca="1">IFERROR(__xludf.DUMMYFUNCTION("""COMPUTED_VALUE"""),"Forest Fruits")</f>
        <v>Forest Fruits</v>
      </c>
      <c r="C19" s="5" t="str">
        <f ca="1">IFERROR(__xludf.DUMMYFUNCTION("""COMPUTED_VALUE"""),"ForestFruits")</f>
        <v>ForestFruits</v>
      </c>
      <c r="D19" s="6">
        <f ca="1">IFERROR(__xludf.DUMMYFUNCTION("""COMPUTED_VALUE"""),43191)</f>
        <v>43191</v>
      </c>
      <c r="E19" s="5" t="str">
        <f ca="1">IFERROR(__xludf.DUMMYFUNCTION("""COMPUTED_VALUE"""),"Slot")</f>
        <v>Slot</v>
      </c>
      <c r="F19" s="5">
        <f ca="1">IFERROR(__xludf.DUMMYFUNCTION("""COMPUTED_VALUE"""),21.7)</f>
        <v>21.7</v>
      </c>
      <c r="G19" s="5" t="str">
        <f ca="1">IFERROR(__xludf.DUMMYFUNCTION("""COMPUTED_VALUE"""),"5x3")</f>
        <v>5x3</v>
      </c>
      <c r="H19" s="5" t="str">
        <f ca="1">IFERROR(__xludf.DUMMYFUNCTION("""COMPUTED_VALUE"""),"20")</f>
        <v>20</v>
      </c>
      <c r="I19" s="5" t="str">
        <f ca="1">IFERROR(__xludf.DUMMYFUNCTION("""COMPUTED_VALUE"""),"1,3,5,7,9,10,20")</f>
        <v>1,3,5,7,9,10,20</v>
      </c>
      <c r="J19" s="5" t="str">
        <f ca="1">IFERROR(__xludf.DUMMYFUNCTION("""COMPUTED_VALUE"""),"95.79%")</f>
        <v>95.79%</v>
      </c>
      <c r="K19" s="5" t="str">
        <f ca="1">IFERROR(__xludf.DUMMYFUNCTION("""COMPUTED_VALUE"""),"Low")</f>
        <v>Low</v>
      </c>
      <c r="L19" s="5" t="str">
        <f ca="1">IFERROR(__xludf.DUMMYFUNCTION("""COMPUTED_VALUE"""),"17.45%")</f>
        <v>17.45%</v>
      </c>
      <c r="M19" s="5" t="str">
        <f ca="1">IFERROR(__xludf.DUMMYFUNCTION("""COMPUTED_VALUE"""),"x1000")</f>
        <v>x1000</v>
      </c>
      <c r="N19" s="5" t="str">
        <f ca="1">IFERROR(__xludf.DUMMYFUNCTION("""COMPUTED_VALUE"""),"0.01/50")</f>
        <v>0.01/50</v>
      </c>
      <c r="O19" s="5" t="str">
        <f ca="1">IFERROR(__xludf.DUMMYFUNCTION("""COMPUTED_VALUE"""),"Yes")</f>
        <v>Yes</v>
      </c>
      <c r="P19" s="5" t="str">
        <f ca="1">IFERROR(__xludf.DUMMYFUNCTION("""COMPUTED_VALUE"""),"Wild Symbol, Scatter")</f>
        <v>Wild Symbol, Scatter</v>
      </c>
      <c r="Q19" s="7" t="str">
        <f ca="1">IFERROR(__xludf.DUMMYFUNCTION("""COMPUTED_VALUE"""),"https://gameserver-store-client-area.orbionlimited.com/Home/IntegrationGameLaunch/client-area?moneyType=0&amp;gameName=ForestFruits&amp;platform=desktop&amp;languageCode=eng&amp;currency=EUR")</f>
        <v>https://gameserver-store-client-area.orbionlimited.com/Home/IntegrationGameLaunch/client-area?moneyType=0&amp;gameName=ForestFruits&amp;platform=desktop&amp;languageCode=eng&amp;currency=EUR</v>
      </c>
      <c r="R19" s="5" t="str">
        <f ca="1">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S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IFERROR(__xludf.DUMMYFUNCTION("""COMPUTED_VALUE"""),"Yes")</f>
        <v>Yes</v>
      </c>
      <c r="AF19" s="5" t="str">
        <f ca="1">IFERROR(__xludf.DUMMYFUNCTION("""COMPUTED_VALUE"""),"Yes")</f>
        <v>Yes</v>
      </c>
      <c r="AG19" s="5" t="str">
        <f ca="1">IFERROR(__xludf.DUMMYFUNCTION("""COMPUTED_VALUE"""),"Yes")</f>
        <v>Yes</v>
      </c>
      <c r="AH19" s="5" t="str">
        <f ca="1">IFERROR(__xludf.DUMMYFUNCTION("""COMPUTED_VALUE"""),"Yes")</f>
        <v>Yes</v>
      </c>
      <c r="AI19" s="5" t="str">
        <f ca="1">IFERROR(__xludf.DUMMYFUNCTION("""COMPUTED_VALUE"""),"Yes")</f>
        <v>Yes</v>
      </c>
      <c r="AJ19" s="5" t="str">
        <f ca="1">IFERROR(__xludf.DUMMYFUNCTION("""COMPUTED_VALUE"""),"Yes")</f>
        <v>Yes</v>
      </c>
      <c r="AK19" s="5" t="str">
        <f ca="1">IFERROR(__xludf.DUMMYFUNCTION("""COMPUTED_VALUE"""),"Yes")</f>
        <v>Yes</v>
      </c>
      <c r="AL19" s="5" t="str">
        <f ca="1">IFERROR(__xludf.DUMMYFUNCTION("""COMPUTED_VALUE"""),"Yes")</f>
        <v>Yes</v>
      </c>
      <c r="AM19" s="5" t="str">
        <f ca="1">IFERROR(__xludf.DUMMYFUNCTION("""COMPUTED_VALUE"""),"Yes")</f>
        <v>Yes</v>
      </c>
      <c r="AN19" s="5" t="str">
        <f ca="1">IFERROR(__xludf.DUMMYFUNCTION("""COMPUTED_VALUE"""),"Yes")</f>
        <v>Yes</v>
      </c>
      <c r="AO19" s="5" t="str">
        <f ca="1">IFERROR(__xludf.DUMMYFUNCTION("""COMPUTED_VALUE"""),"Yes")</f>
        <v>Yes</v>
      </c>
      <c r="AP19" s="5" t="str">
        <f ca="1">IFERROR(__xludf.DUMMYFUNCTION("""COMPUTED_VALUE"""),"Yes")</f>
        <v>Yes</v>
      </c>
      <c r="AQ19" s="5" t="str">
        <f ca="1">IFERROR(__xludf.DUMMYFUNCTION("""COMPUTED_VALUE"""),"Yes")</f>
        <v>Yes</v>
      </c>
      <c r="AR19" s="5" t="str">
        <f ca="1">IFERROR(__xludf.DUMMYFUNCTION("""COMPUTED_VALUE"""),"Yes")</f>
        <v>Yes</v>
      </c>
      <c r="AS19" s="5" t="str">
        <f ca="1">IFERROR(__xludf.DUMMYFUNCTION("""COMPUTED_VALUE"""),"Yes")</f>
        <v>Yes</v>
      </c>
      <c r="AT19" s="5" t="str">
        <f ca="1">IFERROR(__xludf.DUMMYFUNCTION("""COMPUTED_VALUE"""),"No")</f>
        <v>No</v>
      </c>
      <c r="AU19" s="5"/>
    </row>
    <row r="20" spans="1:47" x14ac:dyDescent="0.25">
      <c r="A20" s="5" t="str">
        <f ca="1">IFERROR(__xludf.DUMMYFUNCTION("""COMPUTED_VALUE"""),"Foxi")</f>
        <v>Foxi</v>
      </c>
      <c r="B20" s="5" t="str">
        <f ca="1">IFERROR(__xludf.DUMMYFUNCTION("""COMPUTED_VALUE"""),"Viking Gold")</f>
        <v>Viking Gold</v>
      </c>
      <c r="C20" s="5" t="str">
        <f ca="1">IFERROR(__xludf.DUMMYFUNCTION("""COMPUTED_VALUE"""),"VikingGold")</f>
        <v>VikingGold</v>
      </c>
      <c r="D20" s="6">
        <f ca="1">IFERROR(__xludf.DUMMYFUNCTION("""COMPUTED_VALUE"""),43435)</f>
        <v>43435</v>
      </c>
      <c r="E20" s="5" t="str">
        <f ca="1">IFERROR(__xludf.DUMMYFUNCTION("""COMPUTED_VALUE"""),"Slot")</f>
        <v>Slot</v>
      </c>
      <c r="F20" s="5">
        <f ca="1">IFERROR(__xludf.DUMMYFUNCTION("""COMPUTED_VALUE"""),34.7)</f>
        <v>34.700000000000003</v>
      </c>
      <c r="G20" s="5" t="str">
        <f ca="1">IFERROR(__xludf.DUMMYFUNCTION("""COMPUTED_VALUE"""),"5x3")</f>
        <v>5x3</v>
      </c>
      <c r="H20" s="5" t="str">
        <f ca="1">IFERROR(__xludf.DUMMYFUNCTION("""COMPUTED_VALUE"""),"20")</f>
        <v>20</v>
      </c>
      <c r="I20" s="5" t="str">
        <f ca="1">IFERROR(__xludf.DUMMYFUNCTION("""COMPUTED_VALUE"""),"20")</f>
        <v>20</v>
      </c>
      <c r="J20" s="5" t="str">
        <f ca="1">IFERROR(__xludf.DUMMYFUNCTION("""COMPUTED_VALUE"""),"95.952%")</f>
        <v>95.952%</v>
      </c>
      <c r="K20" s="5" t="str">
        <f ca="1">IFERROR(__xludf.DUMMYFUNCTION("""COMPUTED_VALUE"""),"Medium")</f>
        <v>Medium</v>
      </c>
      <c r="L20" s="5" t="str">
        <f ca="1">IFERROR(__xludf.DUMMYFUNCTION("""COMPUTED_VALUE"""),"43.77%")</f>
        <v>43.77%</v>
      </c>
      <c r="M20" s="5" t="str">
        <f ca="1">IFERROR(__xludf.DUMMYFUNCTION("""COMPUTED_VALUE"""),"x3910")</f>
        <v>x3910</v>
      </c>
      <c r="N20" s="5" t="str">
        <f ca="1">IFERROR(__xludf.DUMMYFUNCTION("""COMPUTED_VALUE"""),"0.20/50")</f>
        <v>0.20/50</v>
      </c>
      <c r="O20" s="5" t="str">
        <f ca="1">IFERROR(__xludf.DUMMYFUNCTION("""COMPUTED_VALUE"""),"Yes")</f>
        <v>Yes</v>
      </c>
      <c r="P20" s="5" t="str">
        <f ca="1">IFERROR(__xludf.DUMMYFUNCTION("""COMPUTED_VALUE"""),"Cascade Game, Wild Symbol, Increasing Multiplier, Bonus Game with Multiplier")</f>
        <v>Cascade Game, Wild Symbol, Increasing Multiplier, Bonus Game with Multiplier</v>
      </c>
      <c r="Q20" s="7" t="str">
        <f ca="1">IFERROR(__xludf.DUMMYFUNCTION("""COMPUTED_VALUE"""),"https://gameserver-store-client-area.orbionlimited.com/Home/IntegrationGameLaunch/client-area?moneyType=0&amp;gameName=VikingGold&amp;platform=desktop&amp;languageCode=eng&amp;currency=EUR")</f>
        <v>https://gameserver-store-client-area.orbionlimited.com/Home/IntegrationGameLaunch/client-area?moneyType=0&amp;gameName=VikingGold&amp;platform=desktop&amp;languageCode=eng&amp;currency=EUR</v>
      </c>
      <c r="R20" s="5" t="str">
        <f ca="1">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S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IFERROR(__xludf.DUMMYFUNCTION("""COMPUTED_VALUE"""),"Yes")</f>
        <v>Yes</v>
      </c>
      <c r="AF20" s="5" t="str">
        <f ca="1">IFERROR(__xludf.DUMMYFUNCTION("""COMPUTED_VALUE"""),"Yes")</f>
        <v>Yes</v>
      </c>
      <c r="AG20" s="5" t="str">
        <f ca="1">IFERROR(__xludf.DUMMYFUNCTION("""COMPUTED_VALUE"""),"Yes")</f>
        <v>Yes</v>
      </c>
      <c r="AH20" s="5" t="str">
        <f ca="1">IFERROR(__xludf.DUMMYFUNCTION("""COMPUTED_VALUE"""),"Yes")</f>
        <v>Yes</v>
      </c>
      <c r="AI20" s="5" t="str">
        <f ca="1">IFERROR(__xludf.DUMMYFUNCTION("""COMPUTED_VALUE"""),"Yes")</f>
        <v>Yes</v>
      </c>
      <c r="AJ20" s="5" t="str">
        <f ca="1">IFERROR(__xludf.DUMMYFUNCTION("""COMPUTED_VALUE"""),"Yes")</f>
        <v>Yes</v>
      </c>
      <c r="AK20" s="5" t="str">
        <f ca="1">IFERROR(__xludf.DUMMYFUNCTION("""COMPUTED_VALUE"""),"Yes")</f>
        <v>Yes</v>
      </c>
      <c r="AL20" s="5" t="str">
        <f ca="1">IFERROR(__xludf.DUMMYFUNCTION("""COMPUTED_VALUE"""),"Yes")</f>
        <v>Yes</v>
      </c>
      <c r="AM20" s="5" t="str">
        <f ca="1">IFERROR(__xludf.DUMMYFUNCTION("""COMPUTED_VALUE"""),"Yes")</f>
        <v>Yes</v>
      </c>
      <c r="AN20" s="5" t="str">
        <f ca="1">IFERROR(__xludf.DUMMYFUNCTION("""COMPUTED_VALUE"""),"Yes")</f>
        <v>Yes</v>
      </c>
      <c r="AO20" s="5" t="str">
        <f ca="1">IFERROR(__xludf.DUMMYFUNCTION("""COMPUTED_VALUE"""),"Yes")</f>
        <v>Yes</v>
      </c>
      <c r="AP20" s="5" t="str">
        <f ca="1">IFERROR(__xludf.DUMMYFUNCTION("""COMPUTED_VALUE"""),"Yes")</f>
        <v>Yes</v>
      </c>
      <c r="AQ20" s="5" t="str">
        <f ca="1">IFERROR(__xludf.DUMMYFUNCTION("""COMPUTED_VALUE"""),"Yes")</f>
        <v>Yes</v>
      </c>
      <c r="AR20" s="5" t="str">
        <f ca="1">IFERROR(__xludf.DUMMYFUNCTION("""COMPUTED_VALUE"""),"Yes")</f>
        <v>Yes</v>
      </c>
      <c r="AS20" s="5" t="str">
        <f ca="1">IFERROR(__xludf.DUMMYFUNCTION("""COMPUTED_VALUE"""),"Yes")</f>
        <v>Yes</v>
      </c>
      <c r="AT20" s="5" t="str">
        <f ca="1">IFERROR(__xludf.DUMMYFUNCTION("""COMPUTED_VALUE"""),"No")</f>
        <v>No</v>
      </c>
      <c r="AU20" s="5"/>
    </row>
    <row r="21" spans="1:47" x14ac:dyDescent="0.25">
      <c r="A21" s="5" t="str">
        <f ca="1">IFERROR(__xludf.DUMMYFUNCTION("""COMPUTED_VALUE"""),"Foxi")</f>
        <v>Foxi</v>
      </c>
      <c r="B21" s="5" t="str">
        <f ca="1">IFERROR(__xludf.DUMMYFUNCTION("""COMPUTED_VALUE"""),"Star Gems")</f>
        <v>Star Gems</v>
      </c>
      <c r="C21" s="5" t="str">
        <f ca="1">IFERROR(__xludf.DUMMYFUNCTION("""COMPUTED_VALUE"""),"StarGems")</f>
        <v>StarGems</v>
      </c>
      <c r="D21" s="6">
        <f ca="1">IFERROR(__xludf.DUMMYFUNCTION("""COMPUTED_VALUE"""),43313)</f>
        <v>43313</v>
      </c>
      <c r="E21" s="5" t="str">
        <f ca="1">IFERROR(__xludf.DUMMYFUNCTION("""COMPUTED_VALUE"""),"Slot")</f>
        <v>Slot</v>
      </c>
      <c r="F21" s="5">
        <f ca="1">IFERROR(__xludf.DUMMYFUNCTION("""COMPUTED_VALUE"""),23.9)</f>
        <v>23.9</v>
      </c>
      <c r="G21" s="5" t="str">
        <f ca="1">IFERROR(__xludf.DUMMYFUNCTION("""COMPUTED_VALUE"""),"5x3")</f>
        <v>5x3</v>
      </c>
      <c r="H21" s="5" t="str">
        <f ca="1">IFERROR(__xludf.DUMMYFUNCTION("""COMPUTED_VALUE"""),"10")</f>
        <v>10</v>
      </c>
      <c r="I21" s="5" t="str">
        <f ca="1">IFERROR(__xludf.DUMMYFUNCTION("""COMPUTED_VALUE"""),"1,3,5,7,10")</f>
        <v>1,3,5,7,10</v>
      </c>
      <c r="J21" s="5" t="str">
        <f ca="1">IFERROR(__xludf.DUMMYFUNCTION("""COMPUTED_VALUE"""),"96.05%")</f>
        <v>96.05%</v>
      </c>
      <c r="K21" s="5" t="str">
        <f ca="1">IFERROR(__xludf.DUMMYFUNCTION("""COMPUTED_VALUE"""),"Low")</f>
        <v>Low</v>
      </c>
      <c r="L21" s="5" t="str">
        <f ca="1">IFERROR(__xludf.DUMMYFUNCTION("""COMPUTED_VALUE"""),"20.28%")</f>
        <v>20.28%</v>
      </c>
      <c r="M21" s="5" t="str">
        <f ca="1">IFERROR(__xludf.DUMMYFUNCTION("""COMPUTED_VALUE"""),"x581")</f>
        <v>x581</v>
      </c>
      <c r="N21" s="5" t="str">
        <f ca="1">IFERROR(__xludf.DUMMYFUNCTION("""COMPUTED_VALUE"""),"0.10/40")</f>
        <v>0.10/40</v>
      </c>
      <c r="O21" s="5" t="str">
        <f ca="1">IFERROR(__xludf.DUMMYFUNCTION("""COMPUTED_VALUE"""),"Yes")</f>
        <v>Yes</v>
      </c>
      <c r="P21" s="5" t="str">
        <f ca="1">IFERROR(__xludf.DUMMYFUNCTION("""COMPUTED_VALUE"""),"Wild Symbol, Respin, Bothways")</f>
        <v>Wild Symbol, Respin, Bothways</v>
      </c>
      <c r="Q21" s="7" t="str">
        <f ca="1">IFERROR(__xludf.DUMMYFUNCTION("""COMPUTED_VALUE"""),"https://gameserver-store-client-area.orbionlimited.com/Home/IntegrationGameLaunch/client-area?moneyType=0&amp;gameName=StarGems&amp;platform=desktop&amp;languageCode=eng&amp;currency=EUR")</f>
        <v>https://gameserver-store-client-area.orbionlimited.com/Home/IntegrationGameLaunch/client-area?moneyType=0&amp;gameName=StarGems&amp;platform=desktop&amp;languageCode=eng&amp;currency=EUR</v>
      </c>
      <c r="R21" s="5" t="str">
        <f ca="1">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S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IFERROR(__xludf.DUMMYFUNCTION("""COMPUTED_VALUE"""),"Yes")</f>
        <v>Yes</v>
      </c>
      <c r="AA21" s="5" t="str">
        <f ca="1">IFERROR(__xludf.DUMMYFUNCTION("""COMPUTED_VALUE"""),"Yes")</f>
        <v>Yes</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IFERROR(__xludf.DUMMYFUNCTION("""COMPUTED_VALUE"""),"Yes")</f>
        <v>Yes</v>
      </c>
      <c r="AF21" s="5" t="str">
        <f ca="1">IFERROR(__xludf.DUMMYFUNCTION("""COMPUTED_VALUE"""),"Yes")</f>
        <v>Yes</v>
      </c>
      <c r="AG21" s="5" t="str">
        <f ca="1">IFERROR(__xludf.DUMMYFUNCTION("""COMPUTED_VALUE"""),"Yes")</f>
        <v>Yes</v>
      </c>
      <c r="AH21" s="5" t="str">
        <f ca="1">IFERROR(__xludf.DUMMYFUNCTION("""COMPUTED_VALUE"""),"Yes")</f>
        <v>Yes</v>
      </c>
      <c r="AI21" s="5" t="str">
        <f ca="1">IFERROR(__xludf.DUMMYFUNCTION("""COMPUTED_VALUE"""),"Yes")</f>
        <v>Yes</v>
      </c>
      <c r="AJ21" s="5" t="str">
        <f ca="1">IFERROR(__xludf.DUMMYFUNCTION("""COMPUTED_VALUE"""),"Yes")</f>
        <v>Yes</v>
      </c>
      <c r="AK21" s="5" t="str">
        <f ca="1">IFERROR(__xludf.DUMMYFUNCTION("""COMPUTED_VALUE"""),"Yes")</f>
        <v>Yes</v>
      </c>
      <c r="AL21" s="5" t="str">
        <f ca="1">IFERROR(__xludf.DUMMYFUNCTION("""COMPUTED_VALUE"""),"Yes")</f>
        <v>Yes</v>
      </c>
      <c r="AM21" s="5" t="str">
        <f ca="1">IFERROR(__xludf.DUMMYFUNCTION("""COMPUTED_VALUE"""),"Yes")</f>
        <v>Yes</v>
      </c>
      <c r="AN21" s="5" t="str">
        <f ca="1">IFERROR(__xludf.DUMMYFUNCTION("""COMPUTED_VALUE"""),"Yes")</f>
        <v>Yes</v>
      </c>
      <c r="AO21" s="5" t="str">
        <f ca="1">IFERROR(__xludf.DUMMYFUNCTION("""COMPUTED_VALUE"""),"Yes")</f>
        <v>Yes</v>
      </c>
      <c r="AP21" s="5" t="str">
        <f ca="1">IFERROR(__xludf.DUMMYFUNCTION("""COMPUTED_VALUE"""),"Yes")</f>
        <v>Yes</v>
      </c>
      <c r="AQ21" s="5" t="str">
        <f ca="1">IFERROR(__xludf.DUMMYFUNCTION("""COMPUTED_VALUE"""),"Yes")</f>
        <v>Yes</v>
      </c>
      <c r="AR21" s="5" t="str">
        <f ca="1">IFERROR(__xludf.DUMMYFUNCTION("""COMPUTED_VALUE"""),"Yes")</f>
        <v>Yes</v>
      </c>
      <c r="AS21" s="5" t="str">
        <f ca="1">IFERROR(__xludf.DUMMYFUNCTION("""COMPUTED_VALUE"""),"Yes")</f>
        <v>Yes</v>
      </c>
      <c r="AT21" s="5" t="str">
        <f ca="1">IFERROR(__xludf.DUMMYFUNCTION("""COMPUTED_VALUE"""),"No")</f>
        <v>No</v>
      </c>
      <c r="AU21" s="5"/>
    </row>
    <row r="22" spans="1:47" x14ac:dyDescent="0.25">
      <c r="A22" s="5" t="str">
        <f ca="1">IFERROR(__xludf.DUMMYFUNCTION("""COMPUTED_VALUE"""),"Foxi")</f>
        <v>Foxi</v>
      </c>
      <c r="B22" s="5" t="str">
        <f ca="1">IFERROR(__xludf.DUMMYFUNCTION("""COMPUTED_VALUE"""),"Templars Quest")</f>
        <v>Templars Quest</v>
      </c>
      <c r="C22" s="5" t="str">
        <f ca="1">IFERROR(__xludf.DUMMYFUNCTION("""COMPUTED_VALUE"""),"TemplarsQuest")</f>
        <v>TemplarsQuest</v>
      </c>
      <c r="D22" s="6">
        <f ca="1">IFERROR(__xludf.DUMMYFUNCTION("""COMPUTED_VALUE"""),43374)</f>
        <v>43374</v>
      </c>
      <c r="E22" s="5" t="str">
        <f ca="1">IFERROR(__xludf.DUMMYFUNCTION("""COMPUTED_VALUE"""),"Slot")</f>
        <v>Slot</v>
      </c>
      <c r="F22" s="5">
        <f ca="1">IFERROR(__xludf.DUMMYFUNCTION("""COMPUTED_VALUE"""),55.7)</f>
        <v>55.7</v>
      </c>
      <c r="G22" s="5" t="str">
        <f ca="1">IFERROR(__xludf.DUMMYFUNCTION("""COMPUTED_VALUE"""),"5x3")</f>
        <v>5x3</v>
      </c>
      <c r="H22" s="5" t="str">
        <f ca="1">IFERROR(__xludf.DUMMYFUNCTION("""COMPUTED_VALUE"""),"10")</f>
        <v>10</v>
      </c>
      <c r="I22" s="5" t="str">
        <f ca="1">IFERROR(__xludf.DUMMYFUNCTION("""COMPUTED_VALUE"""),"10")</f>
        <v>10</v>
      </c>
      <c r="J22" s="5" t="str">
        <f ca="1">IFERROR(__xludf.DUMMYFUNCTION("""COMPUTED_VALUE"""),"95.499%")</f>
        <v>95.499%</v>
      </c>
      <c r="K22" s="5" t="str">
        <f ca="1">IFERROR(__xludf.DUMMYFUNCTION("""COMPUTED_VALUE"""),"Medium")</f>
        <v>Medium</v>
      </c>
      <c r="L22" s="5" t="str">
        <f ca="1">IFERROR(__xludf.DUMMYFUNCTION("""COMPUTED_VALUE"""),"27.76%")</f>
        <v>27.76%</v>
      </c>
      <c r="M22" s="5" t="str">
        <f ca="1">IFERROR(__xludf.DUMMYFUNCTION("""COMPUTED_VALUE"""),"x292")</f>
        <v>x292</v>
      </c>
      <c r="N22" s="5" t="str">
        <f ca="1">IFERROR(__xludf.DUMMYFUNCTION("""COMPUTED_VALUE"""),"0.10/40")</f>
        <v>0.10/40</v>
      </c>
      <c r="O22" s="5" t="str">
        <f ca="1">IFERROR(__xludf.DUMMYFUNCTION("""COMPUTED_VALUE"""),"Yes")</f>
        <v>Yes</v>
      </c>
      <c r="P22" s="5" t="str">
        <f ca="1">IFERROR(__xludf.DUMMYFUNCTION("""COMPUTED_VALUE"""),"Wild Symbol, Hold and Win")</f>
        <v>Wild Symbol, Hold and Win</v>
      </c>
      <c r="Q22" s="7" t="str">
        <f ca="1">IFERROR(__xludf.DUMMYFUNCTION("""COMPUTED_VALUE"""),"https://gameserver-store-client-area.orbionlimited.com/Home/IntegrationGameLaunch/client-area?moneyType=0&amp;gameName=TemplarsQuest&amp;platform=desktop&amp;languageCode=eng&amp;currency=EUR")</f>
        <v>https://gameserver-store-client-area.orbionlimited.com/Home/IntegrationGameLaunch/client-area?moneyType=0&amp;gameName=TemplarsQuest&amp;platform=desktop&amp;languageCode=eng&amp;currency=EUR</v>
      </c>
      <c r="R22" s="5" t="str">
        <f ca="1">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S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IFERROR(__xludf.DUMMYFUNCTION("""COMPUTED_VALUE"""),"Yes")</f>
        <v>Yes</v>
      </c>
      <c r="AA22" s="5" t="str">
        <f ca="1">IFERROR(__xludf.DUMMYFUNCTION("""COMPUTED_VALUE"""),"Yes")</f>
        <v>Yes</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IFERROR(__xludf.DUMMYFUNCTION("""COMPUTED_VALUE"""),"Yes")</f>
        <v>Yes</v>
      </c>
      <c r="AF22" s="5" t="str">
        <f ca="1">IFERROR(__xludf.DUMMYFUNCTION("""COMPUTED_VALUE"""),"Yes")</f>
        <v>Yes</v>
      </c>
      <c r="AG22" s="5" t="str">
        <f ca="1">IFERROR(__xludf.DUMMYFUNCTION("""COMPUTED_VALUE"""),"Yes")</f>
        <v>Yes</v>
      </c>
      <c r="AH22" s="5" t="str">
        <f ca="1">IFERROR(__xludf.DUMMYFUNCTION("""COMPUTED_VALUE"""),"Yes")</f>
        <v>Yes</v>
      </c>
      <c r="AI22" s="5" t="str">
        <f ca="1">IFERROR(__xludf.DUMMYFUNCTION("""COMPUTED_VALUE"""),"Yes")</f>
        <v>Yes</v>
      </c>
      <c r="AJ22" s="5" t="str">
        <f ca="1">IFERROR(__xludf.DUMMYFUNCTION("""COMPUTED_VALUE"""),"Yes")</f>
        <v>Yes</v>
      </c>
      <c r="AK22" s="5" t="str">
        <f ca="1">IFERROR(__xludf.DUMMYFUNCTION("""COMPUTED_VALUE"""),"Yes")</f>
        <v>Yes</v>
      </c>
      <c r="AL22" s="5" t="str">
        <f ca="1">IFERROR(__xludf.DUMMYFUNCTION("""COMPUTED_VALUE"""),"Yes")</f>
        <v>Yes</v>
      </c>
      <c r="AM22" s="5" t="str">
        <f ca="1">IFERROR(__xludf.DUMMYFUNCTION("""COMPUTED_VALUE"""),"Yes")</f>
        <v>Yes</v>
      </c>
      <c r="AN22" s="5" t="str">
        <f ca="1">IFERROR(__xludf.DUMMYFUNCTION("""COMPUTED_VALUE"""),"Yes")</f>
        <v>Yes</v>
      </c>
      <c r="AO22" s="5" t="str">
        <f ca="1">IFERROR(__xludf.DUMMYFUNCTION("""COMPUTED_VALUE"""),"Yes")</f>
        <v>Yes</v>
      </c>
      <c r="AP22" s="5" t="str">
        <f ca="1">IFERROR(__xludf.DUMMYFUNCTION("""COMPUTED_VALUE"""),"Yes")</f>
        <v>Yes</v>
      </c>
      <c r="AQ22" s="5" t="str">
        <f ca="1">IFERROR(__xludf.DUMMYFUNCTION("""COMPUTED_VALUE"""),"Yes")</f>
        <v>Yes</v>
      </c>
      <c r="AR22" s="5" t="str">
        <f ca="1">IFERROR(__xludf.DUMMYFUNCTION("""COMPUTED_VALUE"""),"Yes")</f>
        <v>Yes</v>
      </c>
      <c r="AS22" s="5" t="str">
        <f ca="1">IFERROR(__xludf.DUMMYFUNCTION("""COMPUTED_VALUE"""),"Yes")</f>
        <v>Yes</v>
      </c>
      <c r="AT22" s="5" t="str">
        <f ca="1">IFERROR(__xludf.DUMMYFUNCTION("""COMPUTED_VALUE"""),"No")</f>
        <v>No</v>
      </c>
      <c r="AU22" s="5"/>
    </row>
    <row r="23" spans="1:47" x14ac:dyDescent="0.25">
      <c r="A23" s="5" t="str">
        <f ca="1">IFERROR(__xludf.DUMMYFUNCTION("""COMPUTED_VALUE"""),"Foxi")</f>
        <v>Foxi</v>
      </c>
      <c r="B23" s="5" t="str">
        <f ca="1">IFERROR(__xludf.DUMMYFUNCTION("""COMPUTED_VALUE"""),"Space Guardians")</f>
        <v>Space Guardians</v>
      </c>
      <c r="C23" s="5" t="str">
        <f ca="1">IFERROR(__xludf.DUMMYFUNCTION("""COMPUTED_VALUE"""),"SpaceGuardians")</f>
        <v>SpaceGuardians</v>
      </c>
      <c r="D23" s="6">
        <f ca="1">IFERROR(__xludf.DUMMYFUNCTION("""COMPUTED_VALUE"""),43282)</f>
        <v>43282</v>
      </c>
      <c r="E23" s="5" t="str">
        <f ca="1">IFERROR(__xludf.DUMMYFUNCTION("""COMPUTED_VALUE"""),"Slot")</f>
        <v>Slot</v>
      </c>
      <c r="F23" s="5">
        <f ca="1">IFERROR(__xludf.DUMMYFUNCTION("""COMPUTED_VALUE"""),26.8)</f>
        <v>26.8</v>
      </c>
      <c r="G23" s="5" t="str">
        <f ca="1">IFERROR(__xludf.DUMMYFUNCTION("""COMPUTED_VALUE"""),"5x3")</f>
        <v>5x3</v>
      </c>
      <c r="H23" s="5" t="str">
        <f ca="1">IFERROR(__xludf.DUMMYFUNCTION("""COMPUTED_VALUE"""),"10")</f>
        <v>10</v>
      </c>
      <c r="I23" s="5" t="str">
        <f ca="1">IFERROR(__xludf.DUMMYFUNCTION("""COMPUTED_VALUE"""),"1,3,5,7,10")</f>
        <v>1,3,5,7,10</v>
      </c>
      <c r="J23" s="5" t="str">
        <f ca="1">IFERROR(__xludf.DUMMYFUNCTION("""COMPUTED_VALUE"""),"95.544%")</f>
        <v>95.544%</v>
      </c>
      <c r="K23" s="5" t="str">
        <f ca="1">IFERROR(__xludf.DUMMYFUNCTION("""COMPUTED_VALUE"""),"Medium")</f>
        <v>Medium</v>
      </c>
      <c r="L23" s="5" t="str">
        <f ca="1">IFERROR(__xludf.DUMMYFUNCTION("""COMPUTED_VALUE"""),"13.02%")</f>
        <v>13.02%</v>
      </c>
      <c r="M23" s="5" t="str">
        <f ca="1">IFERROR(__xludf.DUMMYFUNCTION("""COMPUTED_VALUE"""),"x1611")</f>
        <v>x1611</v>
      </c>
      <c r="N23" s="5" t="str">
        <f ca="1">IFERROR(__xludf.DUMMYFUNCTION("""COMPUTED_VALUE"""),"0.10/40")</f>
        <v>0.10/40</v>
      </c>
      <c r="O23" s="5" t="str">
        <f ca="1">IFERROR(__xludf.DUMMYFUNCTION("""COMPUTED_VALUE"""),"Yes")</f>
        <v>Yes</v>
      </c>
      <c r="P23" s="5" t="str">
        <f ca="1">IFERROR(__xludf.DUMMYFUNCTION("""COMPUTED_VALUE"""),"Expanding Wild, Respin, Bothways")</f>
        <v>Expanding Wild, Respin, Bothways</v>
      </c>
      <c r="Q23" s="7" t="str">
        <f ca="1">IFERROR(__xludf.DUMMYFUNCTION("""COMPUTED_VALUE"""),"https://gameserver-store-client-area.orbionlimited.com/Home/IntegrationGameLaunch/client-area?moneyType=0&amp;gameName=SpaceGuardians&amp;platform=desktop&amp;languageCode=eng&amp;currency=EUR")</f>
        <v>https://gameserver-store-client-area.orbionlimited.com/Home/IntegrationGameLaunch/client-area?moneyType=0&amp;gameName=SpaceGuardians&amp;platform=desktop&amp;languageCode=eng&amp;currency=EUR</v>
      </c>
      <c r="R23" s="5" t="str">
        <f ca="1">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S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IFERROR(__xludf.DUMMYFUNCTION("""COMPUTED_VALUE"""),"Yes")</f>
        <v>Yes</v>
      </c>
      <c r="AF23" s="5" t="str">
        <f ca="1">IFERROR(__xludf.DUMMYFUNCTION("""COMPUTED_VALUE"""),"Yes")</f>
        <v>Yes</v>
      </c>
      <c r="AG23" s="5" t="str">
        <f ca="1">IFERROR(__xludf.DUMMYFUNCTION("""COMPUTED_VALUE"""),"Yes")</f>
        <v>Yes</v>
      </c>
      <c r="AH23" s="5" t="str">
        <f ca="1">IFERROR(__xludf.DUMMYFUNCTION("""COMPUTED_VALUE"""),"Yes")</f>
        <v>Yes</v>
      </c>
      <c r="AI23" s="5" t="str">
        <f ca="1">IFERROR(__xludf.DUMMYFUNCTION("""COMPUTED_VALUE"""),"Yes")</f>
        <v>Yes</v>
      </c>
      <c r="AJ23" s="5" t="str">
        <f ca="1">IFERROR(__xludf.DUMMYFUNCTION("""COMPUTED_VALUE"""),"Yes")</f>
        <v>Yes</v>
      </c>
      <c r="AK23" s="5" t="str">
        <f ca="1">IFERROR(__xludf.DUMMYFUNCTION("""COMPUTED_VALUE"""),"Yes")</f>
        <v>Yes</v>
      </c>
      <c r="AL23" s="5" t="str">
        <f ca="1">IFERROR(__xludf.DUMMYFUNCTION("""COMPUTED_VALUE"""),"Yes")</f>
        <v>Yes</v>
      </c>
      <c r="AM23" s="5" t="str">
        <f ca="1">IFERROR(__xludf.DUMMYFUNCTION("""COMPUTED_VALUE"""),"Yes")</f>
        <v>Yes</v>
      </c>
      <c r="AN23" s="5" t="str">
        <f ca="1">IFERROR(__xludf.DUMMYFUNCTION("""COMPUTED_VALUE"""),"Yes")</f>
        <v>Yes</v>
      </c>
      <c r="AO23" s="5" t="str">
        <f ca="1">IFERROR(__xludf.DUMMYFUNCTION("""COMPUTED_VALUE"""),"Yes")</f>
        <v>Yes</v>
      </c>
      <c r="AP23" s="5" t="str">
        <f ca="1">IFERROR(__xludf.DUMMYFUNCTION("""COMPUTED_VALUE"""),"Yes")</f>
        <v>Yes</v>
      </c>
      <c r="AQ23" s="5" t="str">
        <f ca="1">IFERROR(__xludf.DUMMYFUNCTION("""COMPUTED_VALUE"""),"Yes")</f>
        <v>Yes</v>
      </c>
      <c r="AR23" s="5" t="str">
        <f ca="1">IFERROR(__xludf.DUMMYFUNCTION("""COMPUTED_VALUE"""),"Yes")</f>
        <v>Yes</v>
      </c>
      <c r="AS23" s="5" t="str">
        <f ca="1">IFERROR(__xludf.DUMMYFUNCTION("""COMPUTED_VALUE"""),"Yes")</f>
        <v>Yes</v>
      </c>
      <c r="AT23" s="5" t="str">
        <f ca="1">IFERROR(__xludf.DUMMYFUNCTION("""COMPUTED_VALUE"""),"No")</f>
        <v>No</v>
      </c>
      <c r="AU23" s="5"/>
    </row>
    <row r="24" spans="1:47" x14ac:dyDescent="0.25">
      <c r="A24" s="5" t="str">
        <f ca="1">IFERROR(__xludf.DUMMYFUNCTION("""COMPUTED_VALUE"""),"Foxi")</f>
        <v>Foxi</v>
      </c>
      <c r="B24" s="5" t="str">
        <f ca="1">IFERROR(__xludf.DUMMYFUNCTION("""COMPUTED_VALUE"""),"Starlight")</f>
        <v>Starlight</v>
      </c>
      <c r="C24" s="5" t="str">
        <f ca="1">IFERROR(__xludf.DUMMYFUNCTION("""COMPUTED_VALUE"""),"Starlight")</f>
        <v>Starlight</v>
      </c>
      <c r="D24" s="6">
        <f ca="1">IFERROR(__xludf.DUMMYFUNCTION("""COMPUTED_VALUE"""),43344)</f>
        <v>43344</v>
      </c>
      <c r="E24" s="5" t="str">
        <f ca="1">IFERROR(__xludf.DUMMYFUNCTION("""COMPUTED_VALUE"""),"Slot")</f>
        <v>Slot</v>
      </c>
      <c r="F24" s="5">
        <f ca="1">IFERROR(__xludf.DUMMYFUNCTION("""COMPUTED_VALUE"""),32.7)</f>
        <v>32.700000000000003</v>
      </c>
      <c r="G24" s="5" t="str">
        <f ca="1">IFERROR(__xludf.DUMMYFUNCTION("""COMPUTED_VALUE"""),"5x3")</f>
        <v>5x3</v>
      </c>
      <c r="H24" s="5" t="str">
        <f ca="1">IFERROR(__xludf.DUMMYFUNCTION("""COMPUTED_VALUE"""),"10")</f>
        <v>10</v>
      </c>
      <c r="I24" s="5" t="str">
        <f ca="1">IFERROR(__xludf.DUMMYFUNCTION("""COMPUTED_VALUE"""),"1,3,5,7,10")</f>
        <v>1,3,5,7,10</v>
      </c>
      <c r="J24" s="5" t="str">
        <f ca="1">IFERROR(__xludf.DUMMYFUNCTION("""COMPUTED_VALUE"""),"96.05%")</f>
        <v>96.05%</v>
      </c>
      <c r="K24" s="5" t="str">
        <f ca="1">IFERROR(__xludf.DUMMYFUNCTION("""COMPUTED_VALUE"""),"Low")</f>
        <v>Low</v>
      </c>
      <c r="L24" s="5" t="str">
        <f ca="1">IFERROR(__xludf.DUMMYFUNCTION("""COMPUTED_VALUE"""),"20.28%")</f>
        <v>20.28%</v>
      </c>
      <c r="M24" s="5" t="str">
        <f ca="1">IFERROR(__xludf.DUMMYFUNCTION("""COMPUTED_VALUE"""),"x581")</f>
        <v>x581</v>
      </c>
      <c r="N24" s="5" t="str">
        <f ca="1">IFERROR(__xludf.DUMMYFUNCTION("""COMPUTED_VALUE"""),"0.10/40")</f>
        <v>0.10/40</v>
      </c>
      <c r="O24" s="5" t="str">
        <f ca="1">IFERROR(__xludf.DUMMYFUNCTION("""COMPUTED_VALUE"""),"Yes")</f>
        <v>Yes</v>
      </c>
      <c r="P24" s="5" t="str">
        <f ca="1">IFERROR(__xludf.DUMMYFUNCTION("""COMPUTED_VALUE"""),"Expanding Wild, Respin, Bothways")</f>
        <v>Expanding Wild, Respin, Bothways</v>
      </c>
      <c r="Q24" s="7" t="str">
        <f ca="1">IFERROR(__xludf.DUMMYFUNCTION("""COMPUTED_VALUE"""),"https://gameserver-store-client-area.orbionlimited.com/Home/IntegrationGameLaunch/client-area?moneyType=0&amp;gameName=Starlight&amp;platform=desktop&amp;languageCode=eng&amp;currency=EUR")</f>
        <v>https://gameserver-store-client-area.orbionlimited.com/Home/IntegrationGameLaunch/client-area?moneyType=0&amp;gameName=Starlight&amp;platform=desktop&amp;languageCode=eng&amp;currency=EUR</v>
      </c>
      <c r="R24" s="5" t="str">
        <f ca="1">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S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IFERROR(__xludf.DUMMYFUNCTION("""COMPUTED_VALUE"""),"Yes")</f>
        <v>Yes</v>
      </c>
      <c r="X24" s="5" t="str">
        <f ca="1">IFERROR(__xludf.DUMMYFUNCTION("""COMPUTED_VALUE"""),"Yes")</f>
        <v>Yes</v>
      </c>
      <c r="Y24" s="5" t="str">
        <f ca="1">IFERROR(__xludf.DUMMYFUNCTION("""COMPUTED_VALUE"""),"Yes")</f>
        <v>Yes</v>
      </c>
      <c r="Z24" s="5" t="str">
        <f ca="1">IFERROR(__xludf.DUMMYFUNCTION("""COMPUTED_VALUE"""),"Yes")</f>
        <v>Yes</v>
      </c>
      <c r="AA24" s="5" t="str">
        <f ca="1">IFERROR(__xludf.DUMMYFUNCTION("""COMPUTED_VALUE"""),"Yes")</f>
        <v>Yes</v>
      </c>
      <c r="AB24" s="5" t="str">
        <f ca="1">IFERROR(__xludf.DUMMYFUNCTION("""COMPUTED_VALUE"""),"Yes")</f>
        <v>Yes</v>
      </c>
      <c r="AC24" s="5" t="str">
        <f ca="1">IFERROR(__xludf.DUMMYFUNCTION("""COMPUTED_VALUE"""),"Yes")</f>
        <v>Yes</v>
      </c>
      <c r="AD24" s="5" t="str">
        <f ca="1">IFERROR(__xludf.DUMMYFUNCTION("""COMPUTED_VALUE"""),"Yes")</f>
        <v>Yes</v>
      </c>
      <c r="AE24" s="5" t="str">
        <f ca="1">IFERROR(__xludf.DUMMYFUNCTION("""COMPUTED_VALUE"""),"Yes")</f>
        <v>Yes</v>
      </c>
      <c r="AF24" s="5" t="str">
        <f ca="1">IFERROR(__xludf.DUMMYFUNCTION("""COMPUTED_VALUE"""),"Yes")</f>
        <v>Yes</v>
      </c>
      <c r="AG24" s="5" t="str">
        <f ca="1">IFERROR(__xludf.DUMMYFUNCTION("""COMPUTED_VALUE"""),"Yes")</f>
        <v>Yes</v>
      </c>
      <c r="AH24" s="5" t="str">
        <f ca="1">IFERROR(__xludf.DUMMYFUNCTION("""COMPUTED_VALUE"""),"Yes")</f>
        <v>Yes</v>
      </c>
      <c r="AI24" s="5" t="str">
        <f ca="1">IFERROR(__xludf.DUMMYFUNCTION("""COMPUTED_VALUE"""),"Yes")</f>
        <v>Yes</v>
      </c>
      <c r="AJ24" s="5" t="str">
        <f ca="1">IFERROR(__xludf.DUMMYFUNCTION("""COMPUTED_VALUE"""),"Yes")</f>
        <v>Yes</v>
      </c>
      <c r="AK24" s="5" t="str">
        <f ca="1">IFERROR(__xludf.DUMMYFUNCTION("""COMPUTED_VALUE"""),"Yes")</f>
        <v>Yes</v>
      </c>
      <c r="AL24" s="5" t="str">
        <f ca="1">IFERROR(__xludf.DUMMYFUNCTION("""COMPUTED_VALUE"""),"Yes")</f>
        <v>Yes</v>
      </c>
      <c r="AM24" s="5" t="str">
        <f ca="1">IFERROR(__xludf.DUMMYFUNCTION("""COMPUTED_VALUE"""),"Yes")</f>
        <v>Yes</v>
      </c>
      <c r="AN24" s="5" t="str">
        <f ca="1">IFERROR(__xludf.DUMMYFUNCTION("""COMPUTED_VALUE"""),"Yes")</f>
        <v>Yes</v>
      </c>
      <c r="AO24" s="5" t="str">
        <f ca="1">IFERROR(__xludf.DUMMYFUNCTION("""COMPUTED_VALUE"""),"Yes")</f>
        <v>Yes</v>
      </c>
      <c r="AP24" s="5" t="str">
        <f ca="1">IFERROR(__xludf.DUMMYFUNCTION("""COMPUTED_VALUE"""),"Yes")</f>
        <v>Yes</v>
      </c>
      <c r="AQ24" s="5" t="str">
        <f ca="1">IFERROR(__xludf.DUMMYFUNCTION("""COMPUTED_VALUE"""),"Yes")</f>
        <v>Yes</v>
      </c>
      <c r="AR24" s="5" t="str">
        <f ca="1">IFERROR(__xludf.DUMMYFUNCTION("""COMPUTED_VALUE"""),"Yes")</f>
        <v>Yes</v>
      </c>
      <c r="AS24" s="5" t="str">
        <f ca="1">IFERROR(__xludf.DUMMYFUNCTION("""COMPUTED_VALUE"""),"Yes")</f>
        <v>Yes</v>
      </c>
      <c r="AT24" s="5" t="str">
        <f ca="1">IFERROR(__xludf.DUMMYFUNCTION("""COMPUTED_VALUE"""),"No")</f>
        <v>No</v>
      </c>
      <c r="AU24" s="5"/>
    </row>
    <row r="25" spans="1:47" x14ac:dyDescent="0.25">
      <c r="A25" s="5" t="str">
        <f ca="1">IFERROR(__xludf.DUMMYFUNCTION("""COMPUTED_VALUE"""),"Foxi")</f>
        <v>Foxi</v>
      </c>
      <c r="B25" s="5" t="str">
        <f ca="1">IFERROR(__xludf.DUMMYFUNCTION("""COMPUTED_VALUE"""),"Triple Hot")</f>
        <v>Triple Hot</v>
      </c>
      <c r="C25" s="5" t="str">
        <f ca="1">IFERROR(__xludf.DUMMYFUNCTION("""COMPUTED_VALUE"""),"TripleHot")</f>
        <v>TripleHot</v>
      </c>
      <c r="D25" s="6">
        <f ca="1">IFERROR(__xludf.DUMMYFUNCTION("""COMPUTED_VALUE"""),43531)</f>
        <v>43531</v>
      </c>
      <c r="E25" s="5" t="str">
        <f ca="1">IFERROR(__xludf.DUMMYFUNCTION("""COMPUTED_VALUE"""),"Slot")</f>
        <v>Slot</v>
      </c>
      <c r="F25" s="5">
        <f ca="1">IFERROR(__xludf.DUMMYFUNCTION("""COMPUTED_VALUE"""),24.7)</f>
        <v>24.7</v>
      </c>
      <c r="G25" s="5" t="str">
        <f ca="1">IFERROR(__xludf.DUMMYFUNCTION("""COMPUTED_VALUE"""),"3x3")</f>
        <v>3x3</v>
      </c>
      <c r="H25" s="5" t="str">
        <f ca="1">IFERROR(__xludf.DUMMYFUNCTION("""COMPUTED_VALUE"""),"5")</f>
        <v>5</v>
      </c>
      <c r="I25" s="5" t="str">
        <f ca="1">IFERROR(__xludf.DUMMYFUNCTION("""COMPUTED_VALUE"""),"5")</f>
        <v>5</v>
      </c>
      <c r="J25" s="5" t="str">
        <f ca="1">IFERROR(__xludf.DUMMYFUNCTION("""COMPUTED_VALUE"""),"95.513%")</f>
        <v>95.513%</v>
      </c>
      <c r="K25" s="5" t="str">
        <f ca="1">IFERROR(__xludf.DUMMYFUNCTION("""COMPUTED_VALUE"""),"Low")</f>
        <v>Low</v>
      </c>
      <c r="L25" s="5" t="str">
        <f ca="1">IFERROR(__xludf.DUMMYFUNCTION("""COMPUTED_VALUE"""),"6.51%")</f>
        <v>6.51%</v>
      </c>
      <c r="M25" s="5" t="str">
        <f ca="1">IFERROR(__xludf.DUMMYFUNCTION("""COMPUTED_VALUE"""),"x60")</f>
        <v>x60</v>
      </c>
      <c r="N25" s="5" t="str">
        <f ca="1">IFERROR(__xludf.DUMMYFUNCTION("""COMPUTED_VALUE"""),"0.05/30")</f>
        <v>0.05/30</v>
      </c>
      <c r="O25" s="5" t="str">
        <f ca="1">IFERROR(__xludf.DUMMYFUNCTION("""COMPUTED_VALUE"""),"Yes")</f>
        <v>Yes</v>
      </c>
      <c r="P25" s="5"/>
      <c r="Q25" s="7" t="str">
        <f ca="1">IFERROR(__xludf.DUMMYFUNCTION("""COMPUTED_VALUE"""),"https://gameserver-store-client-area.orbionlimited.com/Home/IntegrationGameLaunch/client-area?moneyType=0&amp;gameName=TripleHot&amp;platform=desktop&amp;languageCode=eng&amp;currency=EUR")</f>
        <v>https://gameserver-store-client-area.orbionlimited.com/Home/IntegrationGameLaunch/client-area?moneyType=0&amp;gameName=TripleHot&amp;platform=desktop&amp;languageCode=eng&amp;currency=EUR</v>
      </c>
      <c r="R25" s="5" t="str">
        <f ca="1">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S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IFERROR(__xludf.DUMMYFUNCTION("""COMPUTED_VALUE"""),"Yes")</f>
        <v>Yes</v>
      </c>
      <c r="AF25" s="5" t="str">
        <f ca="1">IFERROR(__xludf.DUMMYFUNCTION("""COMPUTED_VALUE"""),"Yes")</f>
        <v>Yes</v>
      </c>
      <c r="AG25" s="5" t="str">
        <f ca="1">IFERROR(__xludf.DUMMYFUNCTION("""COMPUTED_VALUE"""),"Yes")</f>
        <v>Yes</v>
      </c>
      <c r="AH25" s="5" t="str">
        <f ca="1">IFERROR(__xludf.DUMMYFUNCTION("""COMPUTED_VALUE"""),"Yes")</f>
        <v>Yes</v>
      </c>
      <c r="AI25" s="5" t="str">
        <f ca="1">IFERROR(__xludf.DUMMYFUNCTION("""COMPUTED_VALUE"""),"Yes")</f>
        <v>Yes</v>
      </c>
      <c r="AJ25" s="5" t="str">
        <f ca="1">IFERROR(__xludf.DUMMYFUNCTION("""COMPUTED_VALUE"""),"Yes")</f>
        <v>Yes</v>
      </c>
      <c r="AK25" s="5" t="str">
        <f ca="1">IFERROR(__xludf.DUMMYFUNCTION("""COMPUTED_VALUE"""),"Yes")</f>
        <v>Yes</v>
      </c>
      <c r="AL25" s="5" t="str">
        <f ca="1">IFERROR(__xludf.DUMMYFUNCTION("""COMPUTED_VALUE"""),"Yes")</f>
        <v>Yes</v>
      </c>
      <c r="AM25" s="5" t="str">
        <f ca="1">IFERROR(__xludf.DUMMYFUNCTION("""COMPUTED_VALUE"""),"Yes")</f>
        <v>Yes</v>
      </c>
      <c r="AN25" s="5" t="str">
        <f ca="1">IFERROR(__xludf.DUMMYFUNCTION("""COMPUTED_VALUE"""),"Yes")</f>
        <v>Yes</v>
      </c>
      <c r="AO25" s="5" t="str">
        <f ca="1">IFERROR(__xludf.DUMMYFUNCTION("""COMPUTED_VALUE"""),"Yes")</f>
        <v>Yes</v>
      </c>
      <c r="AP25" s="5" t="str">
        <f ca="1">IFERROR(__xludf.DUMMYFUNCTION("""COMPUTED_VALUE"""),"Yes")</f>
        <v>Yes</v>
      </c>
      <c r="AQ25" s="5" t="str">
        <f ca="1">IFERROR(__xludf.DUMMYFUNCTION("""COMPUTED_VALUE"""),"Yes")</f>
        <v>Yes</v>
      </c>
      <c r="AR25" s="5" t="str">
        <f ca="1">IFERROR(__xludf.DUMMYFUNCTION("""COMPUTED_VALUE"""),"Yes")</f>
        <v>Yes</v>
      </c>
      <c r="AS25" s="5" t="str">
        <f ca="1">IFERROR(__xludf.DUMMYFUNCTION("""COMPUTED_VALUE"""),"Yes")</f>
        <v>Yes</v>
      </c>
      <c r="AT25" s="5" t="str">
        <f ca="1">IFERROR(__xludf.DUMMYFUNCTION("""COMPUTED_VALUE"""),"No")</f>
        <v>No</v>
      </c>
      <c r="AU25" s="5"/>
    </row>
    <row r="26" spans="1:47" x14ac:dyDescent="0.25">
      <c r="A26" s="5" t="str">
        <f ca="1">IFERROR(__xludf.DUMMYFUNCTION("""COMPUTED_VALUE"""),"Foxi")</f>
        <v>Foxi</v>
      </c>
      <c r="B26" s="5" t="str">
        <f ca="1">IFERROR(__xludf.DUMMYFUNCTION("""COMPUTED_VALUE"""),"Crystal Hot 40")</f>
        <v>Crystal Hot 40</v>
      </c>
      <c r="C26" s="5" t="str">
        <f ca="1">IFERROR(__xludf.DUMMYFUNCTION("""COMPUTED_VALUE"""),"CrystalHot40")</f>
        <v>CrystalHot40</v>
      </c>
      <c r="D26" s="6">
        <f ca="1">IFERROR(__xludf.DUMMYFUNCTION("""COMPUTED_VALUE"""),43555)</f>
        <v>43555</v>
      </c>
      <c r="E26" s="5" t="str">
        <f ca="1">IFERROR(__xludf.DUMMYFUNCTION("""COMPUTED_VALUE"""),"Slot")</f>
        <v>Slot</v>
      </c>
      <c r="F26" s="5">
        <f ca="1">IFERROR(__xludf.DUMMYFUNCTION("""COMPUTED_VALUE"""),31.5)</f>
        <v>31.5</v>
      </c>
      <c r="G26" s="5" t="str">
        <f ca="1">IFERROR(__xludf.DUMMYFUNCTION("""COMPUTED_VALUE"""),"5x4")</f>
        <v>5x4</v>
      </c>
      <c r="H26" s="5" t="str">
        <f ca="1">IFERROR(__xludf.DUMMYFUNCTION("""COMPUTED_VALUE"""),"40")</f>
        <v>40</v>
      </c>
      <c r="I26" s="5" t="str">
        <f ca="1">IFERROR(__xludf.DUMMYFUNCTION("""COMPUTED_VALUE"""),"40")</f>
        <v>40</v>
      </c>
      <c r="J26" s="5" t="str">
        <f ca="1">IFERROR(__xludf.DUMMYFUNCTION("""COMPUTED_VALUE"""),"96.584%")</f>
        <v>96.584%</v>
      </c>
      <c r="K26" s="5" t="str">
        <f ca="1">IFERROR(__xludf.DUMMYFUNCTION("""COMPUTED_VALUE"""),"Low")</f>
        <v>Low</v>
      </c>
      <c r="L26" s="5" t="str">
        <f ca="1">IFERROR(__xludf.DUMMYFUNCTION("""COMPUTED_VALUE"""),"16.73%")</f>
        <v>16.73%</v>
      </c>
      <c r="M26" s="5" t="str">
        <f ca="1">IFERROR(__xludf.DUMMYFUNCTION("""COMPUTED_VALUE"""),"x1000")</f>
        <v>x1000</v>
      </c>
      <c r="N26" s="5" t="str">
        <f ca="1">IFERROR(__xludf.DUMMYFUNCTION("""COMPUTED_VALUE"""),"0.4/60")</f>
        <v>0.4/60</v>
      </c>
      <c r="O26" s="5" t="str">
        <f ca="1">IFERROR(__xludf.DUMMYFUNCTION("""COMPUTED_VALUE"""),"Yes")</f>
        <v>Yes</v>
      </c>
      <c r="P26" s="5" t="str">
        <f ca="1">IFERROR(__xludf.DUMMYFUNCTION("""COMPUTED_VALUE"""),"Wild Symbol, Scatter")</f>
        <v>Wild Symbol, Scatter</v>
      </c>
      <c r="Q26" s="7" t="str">
        <f ca="1">IFERROR(__xludf.DUMMYFUNCTION("""COMPUTED_VALUE"""),"https://gameserver-store-client-area.orbionlimited.com/Home/IntegrationGameLaunch/client-area?moneyType=0&amp;gameName=CrystalHot40&amp;platform=desktop&amp;languageCode=eng&amp;currency=EUR")</f>
        <v>https://gameserver-store-client-area.orbionlimited.com/Home/IntegrationGameLaunch/client-area?moneyType=0&amp;gameName=CrystalHot40&amp;platform=desktop&amp;languageCode=eng&amp;currency=EUR</v>
      </c>
      <c r="R26" s="5" t="str">
        <f ca="1">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IFERROR(__xludf.DUMMYFUNCTION("""COMPUTED_VALUE"""),"Yes")</f>
        <v>Yes</v>
      </c>
      <c r="X26" s="5" t="str">
        <f ca="1">IFERROR(__xludf.DUMMYFUNCTION("""COMPUTED_VALUE"""),"Yes")</f>
        <v>Yes</v>
      </c>
      <c r="Y26" s="5" t="str">
        <f ca="1">IFERROR(__xludf.DUMMYFUNCTION("""COMPUTED_VALUE"""),"Yes")</f>
        <v>Yes</v>
      </c>
      <c r="Z26" s="5" t="str">
        <f ca="1">IFERROR(__xludf.DUMMYFUNCTION("""COMPUTED_VALUE"""),"Yes")</f>
        <v>Yes</v>
      </c>
      <c r="AA26" s="5" t="str">
        <f ca="1">IFERROR(__xludf.DUMMYFUNCTION("""COMPUTED_VALUE"""),"Yes")</f>
        <v>Yes</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IFERROR(__xludf.DUMMYFUNCTION("""COMPUTED_VALUE"""),"Yes")</f>
        <v>Yes</v>
      </c>
      <c r="AF26" s="5" t="str">
        <f ca="1">IFERROR(__xludf.DUMMYFUNCTION("""COMPUTED_VALUE"""),"Yes")</f>
        <v>Yes</v>
      </c>
      <c r="AG26" s="5" t="str">
        <f ca="1">IFERROR(__xludf.DUMMYFUNCTION("""COMPUTED_VALUE"""),"Yes")</f>
        <v>Yes</v>
      </c>
      <c r="AH26" s="5" t="str">
        <f ca="1">IFERROR(__xludf.DUMMYFUNCTION("""COMPUTED_VALUE"""),"Yes")</f>
        <v>Yes</v>
      </c>
      <c r="AI26" s="5" t="str">
        <f ca="1">IFERROR(__xludf.DUMMYFUNCTION("""COMPUTED_VALUE"""),"Yes")</f>
        <v>Yes</v>
      </c>
      <c r="AJ26" s="5" t="str">
        <f ca="1">IFERROR(__xludf.DUMMYFUNCTION("""COMPUTED_VALUE"""),"Yes")</f>
        <v>Yes</v>
      </c>
      <c r="AK26" s="5" t="str">
        <f ca="1">IFERROR(__xludf.DUMMYFUNCTION("""COMPUTED_VALUE"""),"Yes")</f>
        <v>Yes</v>
      </c>
      <c r="AL26" s="5" t="str">
        <f ca="1">IFERROR(__xludf.DUMMYFUNCTION("""COMPUTED_VALUE"""),"Yes")</f>
        <v>Yes</v>
      </c>
      <c r="AM26" s="5" t="str">
        <f ca="1">IFERROR(__xludf.DUMMYFUNCTION("""COMPUTED_VALUE"""),"Yes")</f>
        <v>Yes</v>
      </c>
      <c r="AN26" s="5" t="str">
        <f ca="1">IFERROR(__xludf.DUMMYFUNCTION("""COMPUTED_VALUE"""),"Yes")</f>
        <v>Yes</v>
      </c>
      <c r="AO26" s="5" t="str">
        <f ca="1">IFERROR(__xludf.DUMMYFUNCTION("""COMPUTED_VALUE"""),"Yes")</f>
        <v>Yes</v>
      </c>
      <c r="AP26" s="5" t="str">
        <f ca="1">IFERROR(__xludf.DUMMYFUNCTION("""COMPUTED_VALUE"""),"Yes")</f>
        <v>Yes</v>
      </c>
      <c r="AQ26" s="5" t="str">
        <f ca="1">IFERROR(__xludf.DUMMYFUNCTION("""COMPUTED_VALUE"""),"Yes")</f>
        <v>Yes</v>
      </c>
      <c r="AR26" s="5" t="str">
        <f ca="1">IFERROR(__xludf.DUMMYFUNCTION("""COMPUTED_VALUE"""),"Yes")</f>
        <v>Yes</v>
      </c>
      <c r="AS26" s="5" t="str">
        <f ca="1">IFERROR(__xludf.DUMMYFUNCTION("""COMPUTED_VALUE"""),"Yes")</f>
        <v>Yes</v>
      </c>
      <c r="AT26" s="5" t="str">
        <f ca="1">IFERROR(__xludf.DUMMYFUNCTION("""COMPUTED_VALUE"""),"No")</f>
        <v>No</v>
      </c>
      <c r="AU26" s="5"/>
    </row>
    <row r="27" spans="1:47" x14ac:dyDescent="0.25">
      <c r="A27" s="5" t="str">
        <f ca="1">IFERROR(__xludf.DUMMYFUNCTION("""COMPUTED_VALUE"""),"Foxi")</f>
        <v>Foxi</v>
      </c>
      <c r="B27" s="5" t="str">
        <f ca="1">IFERROR(__xludf.DUMMYFUNCTION("""COMPUTED_VALUE"""),"Turbo Dice 40")</f>
        <v>Turbo Dice 40</v>
      </c>
      <c r="C27" s="5" t="str">
        <f ca="1">IFERROR(__xludf.DUMMYFUNCTION("""COMPUTED_VALUE"""),"TurboDice40")</f>
        <v>TurboDice40</v>
      </c>
      <c r="D27" s="6">
        <f ca="1">IFERROR(__xludf.DUMMYFUNCTION("""COMPUTED_VALUE"""),43843)</f>
        <v>43843</v>
      </c>
      <c r="E27" s="5" t="str">
        <f ca="1">IFERROR(__xludf.DUMMYFUNCTION("""COMPUTED_VALUE"""),"Slot")</f>
        <v>Slot</v>
      </c>
      <c r="F27" s="5">
        <f ca="1">IFERROR(__xludf.DUMMYFUNCTION("""COMPUTED_VALUE"""),19.3)</f>
        <v>19.3</v>
      </c>
      <c r="G27" s="5" t="str">
        <f ca="1">IFERROR(__xludf.DUMMYFUNCTION("""COMPUTED_VALUE"""),"5x4")</f>
        <v>5x4</v>
      </c>
      <c r="H27" s="5" t="str">
        <f ca="1">IFERROR(__xludf.DUMMYFUNCTION("""COMPUTED_VALUE"""),"40")</f>
        <v>40</v>
      </c>
      <c r="I27" s="5" t="str">
        <f ca="1">IFERROR(__xludf.DUMMYFUNCTION("""COMPUTED_VALUE"""),"40")</f>
        <v>40</v>
      </c>
      <c r="J27" s="5" t="str">
        <f ca="1">IFERROR(__xludf.DUMMYFUNCTION("""COMPUTED_VALUE"""),"96.584%")</f>
        <v>96.584%</v>
      </c>
      <c r="K27" s="5" t="str">
        <f ca="1">IFERROR(__xludf.DUMMYFUNCTION("""COMPUTED_VALUE"""),"Low")</f>
        <v>Low</v>
      </c>
      <c r="L27" s="5" t="str">
        <f ca="1">IFERROR(__xludf.DUMMYFUNCTION("""COMPUTED_VALUE"""),"16.735%")</f>
        <v>16.735%</v>
      </c>
      <c r="M27" s="5" t="str">
        <f ca="1">IFERROR(__xludf.DUMMYFUNCTION("""COMPUTED_VALUE"""),"x1000")</f>
        <v>x1000</v>
      </c>
      <c r="N27" s="5" t="str">
        <f ca="1">IFERROR(__xludf.DUMMYFUNCTION("""COMPUTED_VALUE"""),"0.40/60")</f>
        <v>0.40/60</v>
      </c>
      <c r="O27" s="5" t="str">
        <f ca="1">IFERROR(__xludf.DUMMYFUNCTION("""COMPUTED_VALUE"""),"Yes")</f>
        <v>Yes</v>
      </c>
      <c r="P27" s="5" t="str">
        <f ca="1">IFERROR(__xludf.DUMMYFUNCTION("""COMPUTED_VALUE"""),"Scatter, Wild Symbol")</f>
        <v>Scatter, Wild Symbol</v>
      </c>
      <c r="Q27" s="7" t="str">
        <f ca="1">IFERROR(__xludf.DUMMYFUNCTION("""COMPUTED_VALUE"""),"https://gameserver-store-client-area.orbionlimited.com/Home/IntegrationGameLaunch/client-area?moneyType=0&amp;gameName=TurboDice40&amp;platform=desktop&amp;languageCode=eng&amp;currency=EUR")</f>
        <v>https://gameserver-store-client-area.orbionlimited.com/Home/IntegrationGameLaunch/client-area?moneyType=0&amp;gameName=TurboDice40&amp;platform=desktop&amp;languageCode=eng&amp;currency=EUR</v>
      </c>
      <c r="R27" s="5" t="str">
        <f ca="1">IFERROR(__xludf.DUMMYFUNCTION("""COMPUTED_VALUE"""),"Roll your dice and feel the power of wining enormous price! Try your luck with the incredible magic of turbo dice!")</f>
        <v>Roll your dice and feel the power of wining enormous price! Try your luck with the incredible magic of turbo dice!</v>
      </c>
      <c r="S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IFERROR(__xludf.DUMMYFUNCTION("""COMPUTED_VALUE"""),"Yes")</f>
        <v>Yes</v>
      </c>
      <c r="X27" s="5" t="str">
        <f ca="1">IFERROR(__xludf.DUMMYFUNCTION("""COMPUTED_VALUE"""),"Yes")</f>
        <v>Yes</v>
      </c>
      <c r="Y27" s="5" t="str">
        <f ca="1">IFERROR(__xludf.DUMMYFUNCTION("""COMPUTED_VALUE"""),"Yes")</f>
        <v>Yes</v>
      </c>
      <c r="Z27" s="5" t="str">
        <f ca="1">IFERROR(__xludf.DUMMYFUNCTION("""COMPUTED_VALUE"""),"Yes")</f>
        <v>Yes</v>
      </c>
      <c r="AA27" s="5" t="str">
        <f ca="1">IFERROR(__xludf.DUMMYFUNCTION("""COMPUTED_VALUE"""),"Yes")</f>
        <v>Yes</v>
      </c>
      <c r="AB27" s="5" t="str">
        <f ca="1">IFERROR(__xludf.DUMMYFUNCTION("""COMPUTED_VALUE"""),"Yes")</f>
        <v>Yes</v>
      </c>
      <c r="AC27" s="5" t="str">
        <f ca="1">IFERROR(__xludf.DUMMYFUNCTION("""COMPUTED_VALUE"""),"Yes")</f>
        <v>Yes</v>
      </c>
      <c r="AD27" s="5" t="str">
        <f ca="1">IFERROR(__xludf.DUMMYFUNCTION("""COMPUTED_VALUE"""),"Yes")</f>
        <v>Yes</v>
      </c>
      <c r="AE27" s="5" t="str">
        <f ca="1">IFERROR(__xludf.DUMMYFUNCTION("""COMPUTED_VALUE"""),"Yes")</f>
        <v>Yes</v>
      </c>
      <c r="AF27" s="5" t="str">
        <f ca="1">IFERROR(__xludf.DUMMYFUNCTION("""COMPUTED_VALUE"""),"Yes")</f>
        <v>Yes</v>
      </c>
      <c r="AG27" s="5" t="str">
        <f ca="1">IFERROR(__xludf.DUMMYFUNCTION("""COMPUTED_VALUE"""),"Yes")</f>
        <v>Yes</v>
      </c>
      <c r="AH27" s="5" t="str">
        <f ca="1">IFERROR(__xludf.DUMMYFUNCTION("""COMPUTED_VALUE"""),"Yes")</f>
        <v>Yes</v>
      </c>
      <c r="AI27" s="5" t="str">
        <f ca="1">IFERROR(__xludf.DUMMYFUNCTION("""COMPUTED_VALUE"""),"Yes")</f>
        <v>Yes</v>
      </c>
      <c r="AJ27" s="5" t="str">
        <f ca="1">IFERROR(__xludf.DUMMYFUNCTION("""COMPUTED_VALUE"""),"Yes")</f>
        <v>Yes</v>
      </c>
      <c r="AK27" s="5" t="str">
        <f ca="1">IFERROR(__xludf.DUMMYFUNCTION("""COMPUTED_VALUE"""),"Yes")</f>
        <v>Yes</v>
      </c>
      <c r="AL27" s="5" t="str">
        <f ca="1">IFERROR(__xludf.DUMMYFUNCTION("""COMPUTED_VALUE"""),"Yes")</f>
        <v>Yes</v>
      </c>
      <c r="AM27" s="5" t="str">
        <f ca="1">IFERROR(__xludf.DUMMYFUNCTION("""COMPUTED_VALUE"""),"Yes")</f>
        <v>Yes</v>
      </c>
      <c r="AN27" s="5" t="str">
        <f ca="1">IFERROR(__xludf.DUMMYFUNCTION("""COMPUTED_VALUE"""),"Yes")</f>
        <v>Yes</v>
      </c>
      <c r="AO27" s="5" t="str">
        <f ca="1">IFERROR(__xludf.DUMMYFUNCTION("""COMPUTED_VALUE"""),"Yes")</f>
        <v>Yes</v>
      </c>
      <c r="AP27" s="5" t="str">
        <f ca="1">IFERROR(__xludf.DUMMYFUNCTION("""COMPUTED_VALUE"""),"Yes")</f>
        <v>Yes</v>
      </c>
      <c r="AQ27" s="5" t="str">
        <f ca="1">IFERROR(__xludf.DUMMYFUNCTION("""COMPUTED_VALUE"""),"Yes")</f>
        <v>Yes</v>
      </c>
      <c r="AR27" s="5" t="str">
        <f ca="1">IFERROR(__xludf.DUMMYFUNCTION("""COMPUTED_VALUE"""),"Yes")</f>
        <v>Yes</v>
      </c>
      <c r="AS27" s="5" t="str">
        <f ca="1">IFERROR(__xludf.DUMMYFUNCTION("""COMPUTED_VALUE"""),"Yes")</f>
        <v>Yes</v>
      </c>
      <c r="AT27" s="5" t="str">
        <f ca="1">IFERROR(__xludf.DUMMYFUNCTION("""COMPUTED_VALUE"""),"No")</f>
        <v>No</v>
      </c>
      <c r="AU27" s="5"/>
    </row>
    <row r="28" spans="1:47" x14ac:dyDescent="0.25">
      <c r="A28" s="5" t="str">
        <f ca="1">IFERROR(__xludf.DUMMYFUNCTION("""COMPUTED_VALUE"""),"Foxi")</f>
        <v>Foxi</v>
      </c>
      <c r="B28" s="5" t="str">
        <f ca="1">IFERROR(__xludf.DUMMYFUNCTION("""COMPUTED_VALUE"""),"Triple Dice")</f>
        <v>Triple Dice</v>
      </c>
      <c r="C28" s="5" t="str">
        <f ca="1">IFERROR(__xludf.DUMMYFUNCTION("""COMPUTED_VALUE"""),"TripleDice")</f>
        <v>TripleDice</v>
      </c>
      <c r="D28" s="6">
        <f ca="1">IFERROR(__xludf.DUMMYFUNCTION("""COMPUTED_VALUE"""),43531)</f>
        <v>43531</v>
      </c>
      <c r="E28" s="5" t="str">
        <f ca="1">IFERROR(__xludf.DUMMYFUNCTION("""COMPUTED_VALUE"""),"Slot")</f>
        <v>Slot</v>
      </c>
      <c r="F28" s="5">
        <f ca="1">IFERROR(__xludf.DUMMYFUNCTION("""COMPUTED_VALUE"""),24.1)</f>
        <v>24.1</v>
      </c>
      <c r="G28" s="5" t="str">
        <f ca="1">IFERROR(__xludf.DUMMYFUNCTION("""COMPUTED_VALUE"""),"3x3")</f>
        <v>3x3</v>
      </c>
      <c r="H28" s="5" t="str">
        <f ca="1">IFERROR(__xludf.DUMMYFUNCTION("""COMPUTED_VALUE"""),"5")</f>
        <v>5</v>
      </c>
      <c r="I28" s="5" t="str">
        <f ca="1">IFERROR(__xludf.DUMMYFUNCTION("""COMPUTED_VALUE"""),"5")</f>
        <v>5</v>
      </c>
      <c r="J28" s="5" t="str">
        <f ca="1">IFERROR(__xludf.DUMMYFUNCTION("""COMPUTED_VALUE"""),"95.513%")</f>
        <v>95.513%</v>
      </c>
      <c r="K28" s="5" t="str">
        <f ca="1">IFERROR(__xludf.DUMMYFUNCTION("""COMPUTED_VALUE"""),"Low")</f>
        <v>Low</v>
      </c>
      <c r="L28" s="5" t="str">
        <f ca="1">IFERROR(__xludf.DUMMYFUNCTION("""COMPUTED_VALUE"""),"6.51%")</f>
        <v>6.51%</v>
      </c>
      <c r="M28" s="5" t="str">
        <f ca="1">IFERROR(__xludf.DUMMYFUNCTION("""COMPUTED_VALUE"""),"x60")</f>
        <v>x60</v>
      </c>
      <c r="N28" s="5" t="str">
        <f ca="1">IFERROR(__xludf.DUMMYFUNCTION("""COMPUTED_VALUE"""),"0.05/30")</f>
        <v>0.05/30</v>
      </c>
      <c r="O28" s="5" t="str">
        <f ca="1">IFERROR(__xludf.DUMMYFUNCTION("""COMPUTED_VALUE"""),"Yes")</f>
        <v>Yes</v>
      </c>
      <c r="P28" s="5"/>
      <c r="Q28" s="7" t="str">
        <f ca="1">IFERROR(__xludf.DUMMYFUNCTION("""COMPUTED_VALUE"""),"https://gameserver-store-client-area.orbionlimited.com/Home/IntegrationGameLaunch/client-area?moneyType=0&amp;gameName=TripleDice&amp;platform=desktop&amp;languageCode=eng&amp;currency=EUR")</f>
        <v>https://gameserver-store-client-area.orbionlimited.com/Home/IntegrationGameLaunch/client-area?moneyType=0&amp;gameName=TripleDice&amp;platform=desktop&amp;languageCode=eng&amp;currency=EUR</v>
      </c>
      <c r="R28" s="5" t="str">
        <f ca="1">IFERROR(__xludf.DUMMYFUNCTION("""COMPUTED_VALUE"""),"If you feel lucky come and play sassy Triple Dice in retro style with 3x3 and 5 lines.")</f>
        <v>If you feel lucky come and play sassy Triple Dice in retro style with 3x3 and 5 lines.</v>
      </c>
      <c r="S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IFERROR(__xludf.DUMMYFUNCTION("""COMPUTED_VALUE"""),"Yes")</f>
        <v>Yes</v>
      </c>
      <c r="X28" s="5" t="str">
        <f ca="1">IFERROR(__xludf.DUMMYFUNCTION("""COMPUTED_VALUE"""),"Yes")</f>
        <v>Yes</v>
      </c>
      <c r="Y28" s="5" t="str">
        <f ca="1">IFERROR(__xludf.DUMMYFUNCTION("""COMPUTED_VALUE"""),"Yes")</f>
        <v>Yes</v>
      </c>
      <c r="Z28" s="5" t="str">
        <f ca="1">IFERROR(__xludf.DUMMYFUNCTION("""COMPUTED_VALUE"""),"Yes")</f>
        <v>Yes</v>
      </c>
      <c r="AA28" s="5" t="str">
        <f ca="1">IFERROR(__xludf.DUMMYFUNCTION("""COMPUTED_VALUE"""),"Yes")</f>
        <v>Yes</v>
      </c>
      <c r="AB28" s="5" t="str">
        <f ca="1">IFERROR(__xludf.DUMMYFUNCTION("""COMPUTED_VALUE"""),"Yes")</f>
        <v>Yes</v>
      </c>
      <c r="AC28" s="5" t="str">
        <f ca="1">IFERROR(__xludf.DUMMYFUNCTION("""COMPUTED_VALUE"""),"Yes")</f>
        <v>Yes</v>
      </c>
      <c r="AD28" s="5" t="str">
        <f ca="1">IFERROR(__xludf.DUMMYFUNCTION("""COMPUTED_VALUE"""),"Yes")</f>
        <v>Yes</v>
      </c>
      <c r="AE28" s="5" t="str">
        <f ca="1">IFERROR(__xludf.DUMMYFUNCTION("""COMPUTED_VALUE"""),"Yes")</f>
        <v>Yes</v>
      </c>
      <c r="AF28" s="5" t="str">
        <f ca="1">IFERROR(__xludf.DUMMYFUNCTION("""COMPUTED_VALUE"""),"Yes")</f>
        <v>Yes</v>
      </c>
      <c r="AG28" s="5" t="str">
        <f ca="1">IFERROR(__xludf.DUMMYFUNCTION("""COMPUTED_VALUE"""),"Yes")</f>
        <v>Yes</v>
      </c>
      <c r="AH28" s="5" t="str">
        <f ca="1">IFERROR(__xludf.DUMMYFUNCTION("""COMPUTED_VALUE"""),"Yes")</f>
        <v>Yes</v>
      </c>
      <c r="AI28" s="5" t="str">
        <f ca="1">IFERROR(__xludf.DUMMYFUNCTION("""COMPUTED_VALUE"""),"Yes")</f>
        <v>Yes</v>
      </c>
      <c r="AJ28" s="5" t="str">
        <f ca="1">IFERROR(__xludf.DUMMYFUNCTION("""COMPUTED_VALUE"""),"Yes")</f>
        <v>Yes</v>
      </c>
      <c r="AK28" s="5" t="str">
        <f ca="1">IFERROR(__xludf.DUMMYFUNCTION("""COMPUTED_VALUE"""),"Yes")</f>
        <v>Yes</v>
      </c>
      <c r="AL28" s="5" t="str">
        <f ca="1">IFERROR(__xludf.DUMMYFUNCTION("""COMPUTED_VALUE"""),"Yes")</f>
        <v>Yes</v>
      </c>
      <c r="AM28" s="5" t="str">
        <f ca="1">IFERROR(__xludf.DUMMYFUNCTION("""COMPUTED_VALUE"""),"Yes")</f>
        <v>Yes</v>
      </c>
      <c r="AN28" s="5" t="str">
        <f ca="1">IFERROR(__xludf.DUMMYFUNCTION("""COMPUTED_VALUE"""),"Yes")</f>
        <v>Yes</v>
      </c>
      <c r="AO28" s="5" t="str">
        <f ca="1">IFERROR(__xludf.DUMMYFUNCTION("""COMPUTED_VALUE"""),"Yes")</f>
        <v>Yes</v>
      </c>
      <c r="AP28" s="5" t="str">
        <f ca="1">IFERROR(__xludf.DUMMYFUNCTION("""COMPUTED_VALUE"""),"Yes")</f>
        <v>Yes</v>
      </c>
      <c r="AQ28" s="5" t="str">
        <f ca="1">IFERROR(__xludf.DUMMYFUNCTION("""COMPUTED_VALUE"""),"Yes")</f>
        <v>Yes</v>
      </c>
      <c r="AR28" s="5" t="str">
        <f ca="1">IFERROR(__xludf.DUMMYFUNCTION("""COMPUTED_VALUE"""),"Yes")</f>
        <v>Yes</v>
      </c>
      <c r="AS28" s="5" t="str">
        <f ca="1">IFERROR(__xludf.DUMMYFUNCTION("""COMPUTED_VALUE"""),"Yes")</f>
        <v>Yes</v>
      </c>
      <c r="AT28" s="5" t="str">
        <f ca="1">IFERROR(__xludf.DUMMYFUNCTION("""COMPUTED_VALUE"""),"No")</f>
        <v>No</v>
      </c>
      <c r="AU28" s="5"/>
    </row>
    <row r="29" spans="1:47" x14ac:dyDescent="0.25">
      <c r="A29" s="5" t="str">
        <f ca="1">IFERROR(__xludf.DUMMYFUNCTION("""COMPUTED_VALUE"""),"Foxi")</f>
        <v>Foxi</v>
      </c>
      <c r="B29" s="5" t="str">
        <f ca="1">IFERROR(__xludf.DUMMYFUNCTION("""COMPUTED_VALUE"""),"Katanas Of Time")</f>
        <v>Katanas Of Time</v>
      </c>
      <c r="C29" s="5" t="str">
        <f ca="1">IFERROR(__xludf.DUMMYFUNCTION("""COMPUTED_VALUE"""),"KatanasOfTime")</f>
        <v>KatanasOfTime</v>
      </c>
      <c r="D29" s="6">
        <f ca="1">IFERROR(__xludf.DUMMYFUNCTION("""COMPUTED_VALUE"""),42947)</f>
        <v>42947</v>
      </c>
      <c r="E29" s="5" t="str">
        <f ca="1">IFERROR(__xludf.DUMMYFUNCTION("""COMPUTED_VALUE"""),"Slot")</f>
        <v>Slot</v>
      </c>
      <c r="F29" s="5">
        <f ca="1">IFERROR(__xludf.DUMMYFUNCTION("""COMPUTED_VALUE"""),36.1)</f>
        <v>36.1</v>
      </c>
      <c r="G29" s="5" t="str">
        <f ca="1">IFERROR(__xludf.DUMMYFUNCTION("""COMPUTED_VALUE"""),"5x3")</f>
        <v>5x3</v>
      </c>
      <c r="H29" s="5" t="str">
        <f ca="1">IFERROR(__xludf.DUMMYFUNCTION("""COMPUTED_VALUE"""),"20")</f>
        <v>20</v>
      </c>
      <c r="I29" s="5" t="str">
        <f ca="1">IFERROR(__xludf.DUMMYFUNCTION("""COMPUTED_VALUE"""),"1,3,5,9,10,20")</f>
        <v>1,3,5,9,10,20</v>
      </c>
      <c r="J29" s="5" t="str">
        <f ca="1">IFERROR(__xludf.DUMMYFUNCTION("""COMPUTED_VALUE"""),"96.087%")</f>
        <v>96.087%</v>
      </c>
      <c r="K29" s="5" t="str">
        <f ca="1">IFERROR(__xludf.DUMMYFUNCTION("""COMPUTED_VALUE"""),"High")</f>
        <v>High</v>
      </c>
      <c r="L29" s="5" t="str">
        <f ca="1">IFERROR(__xludf.DUMMYFUNCTION("""COMPUTED_VALUE"""),"38.06%")</f>
        <v>38.06%</v>
      </c>
      <c r="M29" s="5" t="str">
        <f ca="1">IFERROR(__xludf.DUMMYFUNCTION("""COMPUTED_VALUE"""),"x4063")</f>
        <v>x4063</v>
      </c>
      <c r="N29" s="5" t="str">
        <f ca="1">IFERROR(__xludf.DUMMYFUNCTION("""COMPUTED_VALUE"""),"0.01/50")</f>
        <v>0.01/50</v>
      </c>
      <c r="O29" s="5" t="str">
        <f ca="1">IFERROR(__xludf.DUMMYFUNCTION("""COMPUTED_VALUE"""),"Yes")</f>
        <v>Yes</v>
      </c>
      <c r="P29" s="5" t="str">
        <f ca="1">IFERROR(__xludf.DUMMYFUNCTION("""COMPUTED_VALUE"""),"Bonus Game with Multiplier, Wild Multiplier, Scatter")</f>
        <v>Bonus Game with Multiplier, Wild Multiplier, Scatter</v>
      </c>
      <c r="Q29" s="7" t="str">
        <f ca="1">IFERROR(__xludf.DUMMYFUNCTION("""COMPUTED_VALUE"""),"https://gameserver-store-client-area.orbionlimited.com/Home/IntegrationGameLaunch/client-area?moneyType=0&amp;gameName=KatanasOfTime&amp;platform=desktop&amp;languageCode=eng&amp;currency=EUR")</f>
        <v>https://gameserver-store-client-area.orbionlimited.com/Home/IntegrationGameLaunch/client-area?moneyType=0&amp;gameName=KatanasOfTime&amp;platform=desktop&amp;languageCode=eng&amp;currency=EUR</v>
      </c>
      <c r="R29" s="5" t="str">
        <f ca="1">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S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IFERROR(__xludf.DUMMYFUNCTION("""COMPUTED_VALUE"""),"Yes")</f>
        <v>Yes</v>
      </c>
      <c r="AF29" s="5" t="str">
        <f ca="1">IFERROR(__xludf.DUMMYFUNCTION("""COMPUTED_VALUE"""),"Yes")</f>
        <v>Yes</v>
      </c>
      <c r="AG29" s="5" t="str">
        <f ca="1">IFERROR(__xludf.DUMMYFUNCTION("""COMPUTED_VALUE"""),"Yes")</f>
        <v>Yes</v>
      </c>
      <c r="AH29" s="5" t="str">
        <f ca="1">IFERROR(__xludf.DUMMYFUNCTION("""COMPUTED_VALUE"""),"Yes")</f>
        <v>Yes</v>
      </c>
      <c r="AI29" s="5" t="str">
        <f ca="1">IFERROR(__xludf.DUMMYFUNCTION("""COMPUTED_VALUE"""),"Yes")</f>
        <v>Yes</v>
      </c>
      <c r="AJ29" s="5" t="str">
        <f ca="1">IFERROR(__xludf.DUMMYFUNCTION("""COMPUTED_VALUE"""),"Yes")</f>
        <v>Yes</v>
      </c>
      <c r="AK29" s="5" t="str">
        <f ca="1">IFERROR(__xludf.DUMMYFUNCTION("""COMPUTED_VALUE"""),"Yes")</f>
        <v>Yes</v>
      </c>
      <c r="AL29" s="5" t="str">
        <f ca="1">IFERROR(__xludf.DUMMYFUNCTION("""COMPUTED_VALUE"""),"Yes")</f>
        <v>Yes</v>
      </c>
      <c r="AM29" s="5" t="str">
        <f ca="1">IFERROR(__xludf.DUMMYFUNCTION("""COMPUTED_VALUE"""),"Yes")</f>
        <v>Yes</v>
      </c>
      <c r="AN29" s="5" t="str">
        <f ca="1">IFERROR(__xludf.DUMMYFUNCTION("""COMPUTED_VALUE"""),"Yes")</f>
        <v>Yes</v>
      </c>
      <c r="AO29" s="5" t="str">
        <f ca="1">IFERROR(__xludf.DUMMYFUNCTION("""COMPUTED_VALUE"""),"Yes")</f>
        <v>Yes</v>
      </c>
      <c r="AP29" s="5" t="str">
        <f ca="1">IFERROR(__xludf.DUMMYFUNCTION("""COMPUTED_VALUE"""),"Yes")</f>
        <v>Yes</v>
      </c>
      <c r="AQ29" s="5" t="str">
        <f ca="1">IFERROR(__xludf.DUMMYFUNCTION("""COMPUTED_VALUE"""),"Yes")</f>
        <v>Yes</v>
      </c>
      <c r="AR29" s="5" t="str">
        <f ca="1">IFERROR(__xludf.DUMMYFUNCTION("""COMPUTED_VALUE"""),"Yes")</f>
        <v>Yes</v>
      </c>
      <c r="AS29" s="5" t="str">
        <f ca="1">IFERROR(__xludf.DUMMYFUNCTION("""COMPUTED_VALUE"""),"Yes")</f>
        <v>Yes</v>
      </c>
      <c r="AT29" s="5" t="str">
        <f ca="1">IFERROR(__xludf.DUMMYFUNCTION("""COMPUTED_VALUE"""),"No")</f>
        <v>No</v>
      </c>
      <c r="AU29" s="5"/>
    </row>
    <row r="30" spans="1:47" x14ac:dyDescent="0.25">
      <c r="A30" s="5" t="str">
        <f ca="1">IFERROR(__xludf.DUMMYFUNCTION("""COMPUTED_VALUE"""),"Foxi")</f>
        <v>Foxi</v>
      </c>
      <c r="B30" s="5" t="str">
        <f ca="1">IFERROR(__xludf.DUMMYFUNCTION("""COMPUTED_VALUE"""),"Retro 7 Hot")</f>
        <v>Retro 7 Hot</v>
      </c>
      <c r="C30" s="5" t="str">
        <f ca="1">IFERROR(__xludf.DUMMYFUNCTION("""COMPUTED_VALUE"""),"Retro7Hot")</f>
        <v>Retro7Hot</v>
      </c>
      <c r="D30" s="6">
        <f ca="1">IFERROR(__xludf.DUMMYFUNCTION("""COMPUTED_VALUE"""),43646)</f>
        <v>43646</v>
      </c>
      <c r="E30" s="5" t="str">
        <f ca="1">IFERROR(__xludf.DUMMYFUNCTION("""COMPUTED_VALUE"""),"Slot")</f>
        <v>Slot</v>
      </c>
      <c r="F30" s="5">
        <f ca="1">IFERROR(__xludf.DUMMYFUNCTION("""COMPUTED_VALUE"""),25.7)</f>
        <v>25.7</v>
      </c>
      <c r="G30" s="5" t="str">
        <f ca="1">IFERROR(__xludf.DUMMYFUNCTION("""COMPUTED_VALUE"""),"3x3")</f>
        <v>3x3</v>
      </c>
      <c r="H30" s="5" t="str">
        <f ca="1">IFERROR(__xludf.DUMMYFUNCTION("""COMPUTED_VALUE"""),"5")</f>
        <v>5</v>
      </c>
      <c r="I30" s="5" t="str">
        <f ca="1">IFERROR(__xludf.DUMMYFUNCTION("""COMPUTED_VALUE"""),"5")</f>
        <v>5</v>
      </c>
      <c r="J30" s="5" t="str">
        <f ca="1">IFERROR(__xludf.DUMMYFUNCTION("""COMPUTED_VALUE"""),"95.513%")</f>
        <v>95.513%</v>
      </c>
      <c r="K30" s="5" t="str">
        <f ca="1">IFERROR(__xludf.DUMMYFUNCTION("""COMPUTED_VALUE"""),"Low")</f>
        <v>Low</v>
      </c>
      <c r="L30" s="5" t="str">
        <f ca="1">IFERROR(__xludf.DUMMYFUNCTION("""COMPUTED_VALUE"""),"6.51%")</f>
        <v>6.51%</v>
      </c>
      <c r="M30" s="5" t="str">
        <f ca="1">IFERROR(__xludf.DUMMYFUNCTION("""COMPUTED_VALUE"""),"x60")</f>
        <v>x60</v>
      </c>
      <c r="N30" s="5" t="str">
        <f ca="1">IFERROR(__xludf.DUMMYFUNCTION("""COMPUTED_VALUE"""),"0.05/30")</f>
        <v>0.05/30</v>
      </c>
      <c r="O30" s="5" t="str">
        <f ca="1">IFERROR(__xludf.DUMMYFUNCTION("""COMPUTED_VALUE"""),"Yes")</f>
        <v>Yes</v>
      </c>
      <c r="P30" s="5"/>
      <c r="Q30" s="7" t="str">
        <f ca="1">IFERROR(__xludf.DUMMYFUNCTION("""COMPUTED_VALUE"""),"https://gameserver-store-client-area.orbionlimited.com/Home/IntegrationGameLaunch/client-area?moneyType=0&amp;gameName=Retro7Hot&amp;platform=desktop&amp;languageCode=eng&amp;currency=EUR")</f>
        <v>https://gameserver-store-client-area.orbionlimited.com/Home/IntegrationGameLaunch/client-area?moneyType=0&amp;gameName=Retro7Hot&amp;platform=desktop&amp;languageCode=eng&amp;currency=EUR</v>
      </c>
      <c r="R30" s="5" t="str">
        <f ca="1">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S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IFERROR(__xludf.DUMMYFUNCTION("""COMPUTED_VALUE"""),"Yes")</f>
        <v>Yes</v>
      </c>
      <c r="AA30" s="5" t="str">
        <f ca="1">IFERROR(__xludf.DUMMYFUNCTION("""COMPUTED_VALUE"""),"Yes")</f>
        <v>Yes</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IFERROR(__xludf.DUMMYFUNCTION("""COMPUTED_VALUE"""),"Yes")</f>
        <v>Yes</v>
      </c>
      <c r="AF30" s="5" t="str">
        <f ca="1">IFERROR(__xludf.DUMMYFUNCTION("""COMPUTED_VALUE"""),"Yes")</f>
        <v>Yes</v>
      </c>
      <c r="AG30" s="5" t="str">
        <f ca="1">IFERROR(__xludf.DUMMYFUNCTION("""COMPUTED_VALUE"""),"Yes")</f>
        <v>Yes</v>
      </c>
      <c r="AH30" s="5" t="str">
        <f ca="1">IFERROR(__xludf.DUMMYFUNCTION("""COMPUTED_VALUE"""),"Yes")</f>
        <v>Yes</v>
      </c>
      <c r="AI30" s="5" t="str">
        <f ca="1">IFERROR(__xludf.DUMMYFUNCTION("""COMPUTED_VALUE"""),"Yes")</f>
        <v>Yes</v>
      </c>
      <c r="AJ30" s="5" t="str">
        <f ca="1">IFERROR(__xludf.DUMMYFUNCTION("""COMPUTED_VALUE"""),"Yes")</f>
        <v>Yes</v>
      </c>
      <c r="AK30" s="5" t="str">
        <f ca="1">IFERROR(__xludf.DUMMYFUNCTION("""COMPUTED_VALUE"""),"Yes")</f>
        <v>Yes</v>
      </c>
      <c r="AL30" s="5" t="str">
        <f ca="1">IFERROR(__xludf.DUMMYFUNCTION("""COMPUTED_VALUE"""),"Yes")</f>
        <v>Yes</v>
      </c>
      <c r="AM30" s="5" t="str">
        <f ca="1">IFERROR(__xludf.DUMMYFUNCTION("""COMPUTED_VALUE"""),"Yes")</f>
        <v>Yes</v>
      </c>
      <c r="AN30" s="5" t="str">
        <f ca="1">IFERROR(__xludf.DUMMYFUNCTION("""COMPUTED_VALUE"""),"Yes")</f>
        <v>Yes</v>
      </c>
      <c r="AO30" s="5" t="str">
        <f ca="1">IFERROR(__xludf.DUMMYFUNCTION("""COMPUTED_VALUE"""),"Yes")</f>
        <v>Yes</v>
      </c>
      <c r="AP30" s="5" t="str">
        <f ca="1">IFERROR(__xludf.DUMMYFUNCTION("""COMPUTED_VALUE"""),"Yes")</f>
        <v>Yes</v>
      </c>
      <c r="AQ30" s="5" t="str">
        <f ca="1">IFERROR(__xludf.DUMMYFUNCTION("""COMPUTED_VALUE"""),"Yes")</f>
        <v>Yes</v>
      </c>
      <c r="AR30" s="5" t="str">
        <f ca="1">IFERROR(__xludf.DUMMYFUNCTION("""COMPUTED_VALUE"""),"Yes")</f>
        <v>Yes</v>
      </c>
      <c r="AS30" s="5" t="str">
        <f ca="1">IFERROR(__xludf.DUMMYFUNCTION("""COMPUTED_VALUE"""),"Yes")</f>
        <v>Yes</v>
      </c>
      <c r="AT30" s="5" t="str">
        <f ca="1">IFERROR(__xludf.DUMMYFUNCTION("""COMPUTED_VALUE"""),"No")</f>
        <v>No</v>
      </c>
      <c r="AU30" s="5"/>
    </row>
    <row r="31" spans="1:47" x14ac:dyDescent="0.25">
      <c r="A31" s="5" t="str">
        <f ca="1">IFERROR(__xludf.DUMMYFUNCTION("""COMPUTED_VALUE"""),"Foxi")</f>
        <v>Foxi</v>
      </c>
      <c r="B31" s="5" t="str">
        <f ca="1">IFERROR(__xludf.DUMMYFUNCTION("""COMPUTED_VALUE"""),"Star Runner")</f>
        <v>Star Runner</v>
      </c>
      <c r="C31" s="5" t="str">
        <f ca="1">IFERROR(__xludf.DUMMYFUNCTION("""COMPUTED_VALUE"""),"StarRunner")</f>
        <v>StarRunner</v>
      </c>
      <c r="D31" s="6">
        <f ca="1">IFERROR(__xludf.DUMMYFUNCTION("""COMPUTED_VALUE"""),43705)</f>
        <v>43705</v>
      </c>
      <c r="E31" s="5" t="str">
        <f ca="1">IFERROR(__xludf.DUMMYFUNCTION("""COMPUTED_VALUE"""),"Slot")</f>
        <v>Slot</v>
      </c>
      <c r="F31" s="5">
        <f ca="1">IFERROR(__xludf.DUMMYFUNCTION("""COMPUTED_VALUE"""),29.6)</f>
        <v>29.6</v>
      </c>
      <c r="G31" s="5" t="str">
        <f ca="1">IFERROR(__xludf.DUMMYFUNCTION("""COMPUTED_VALUE"""),"5x3")</f>
        <v>5x3</v>
      </c>
      <c r="H31" s="5" t="str">
        <f ca="1">IFERROR(__xludf.DUMMYFUNCTION("""COMPUTED_VALUE"""),"10")</f>
        <v>10</v>
      </c>
      <c r="I31" s="5" t="str">
        <f ca="1">IFERROR(__xludf.DUMMYFUNCTION("""COMPUTED_VALUE"""),"1,3,5,7,10")</f>
        <v>1,3,5,7,10</v>
      </c>
      <c r="J31" s="5" t="str">
        <f ca="1">IFERROR(__xludf.DUMMYFUNCTION("""COMPUTED_VALUE"""),"96.077%")</f>
        <v>96.077%</v>
      </c>
      <c r="K31" s="5" t="str">
        <f ca="1">IFERROR(__xludf.DUMMYFUNCTION("""COMPUTED_VALUE"""),"Medium")</f>
        <v>Medium</v>
      </c>
      <c r="L31" s="5" t="str">
        <f ca="1">IFERROR(__xludf.DUMMYFUNCTION("""COMPUTED_VALUE"""),"19.55%")</f>
        <v>19.55%</v>
      </c>
      <c r="M31" s="5" t="str">
        <f ca="1">IFERROR(__xludf.DUMMYFUNCTION("""COMPUTED_VALUE"""),"x598")</f>
        <v>x598</v>
      </c>
      <c r="N31" s="5" t="str">
        <f ca="1">IFERROR(__xludf.DUMMYFUNCTION("""COMPUTED_VALUE"""),"0.10/40")</f>
        <v>0.10/40</v>
      </c>
      <c r="O31" s="5" t="str">
        <f ca="1">IFERROR(__xludf.DUMMYFUNCTION("""COMPUTED_VALUE"""),"Yes")</f>
        <v>Yes</v>
      </c>
      <c r="P31" s="5" t="str">
        <f ca="1">IFERROR(__xludf.DUMMYFUNCTION("""COMPUTED_VALUE"""),"Wild Symbol, Respin, Bothways")</f>
        <v>Wild Symbol, Respin, Bothways</v>
      </c>
      <c r="Q31" s="7" t="str">
        <f ca="1">IFERROR(__xludf.DUMMYFUNCTION("""COMPUTED_VALUE"""),"https://gameserver-store-client-area.orbionlimited.com/Home/IntegrationGameLaunch/client-area?moneyType=0&amp;gameName=StarRunner&amp;platform=desktop&amp;languageCode=eng&amp;currency=EUR")</f>
        <v>https://gameserver-store-client-area.orbionlimited.com/Home/IntegrationGameLaunch/client-area?moneyType=0&amp;gameName=StarRunner&amp;platform=desktop&amp;languageCode=eng&amp;currency=EUR</v>
      </c>
      <c r="R31" s="5" t="str">
        <f ca="1">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S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IFERROR(__xludf.DUMMYFUNCTION("""COMPUTED_VALUE"""),"Yes")</f>
        <v>Yes</v>
      </c>
      <c r="AA31" s="5" t="str">
        <f ca="1">IFERROR(__xludf.DUMMYFUNCTION("""COMPUTED_VALUE"""),"Yes")</f>
        <v>Yes</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IFERROR(__xludf.DUMMYFUNCTION("""COMPUTED_VALUE"""),"Yes")</f>
        <v>Yes</v>
      </c>
      <c r="AF31" s="5" t="str">
        <f ca="1">IFERROR(__xludf.DUMMYFUNCTION("""COMPUTED_VALUE"""),"Yes")</f>
        <v>Yes</v>
      </c>
      <c r="AG31" s="5" t="str">
        <f ca="1">IFERROR(__xludf.DUMMYFUNCTION("""COMPUTED_VALUE"""),"Yes")</f>
        <v>Yes</v>
      </c>
      <c r="AH31" s="5" t="str">
        <f ca="1">IFERROR(__xludf.DUMMYFUNCTION("""COMPUTED_VALUE"""),"Yes")</f>
        <v>Yes</v>
      </c>
      <c r="AI31" s="5" t="str">
        <f ca="1">IFERROR(__xludf.DUMMYFUNCTION("""COMPUTED_VALUE"""),"Yes")</f>
        <v>Yes</v>
      </c>
      <c r="AJ31" s="5" t="str">
        <f ca="1">IFERROR(__xludf.DUMMYFUNCTION("""COMPUTED_VALUE"""),"Yes")</f>
        <v>Yes</v>
      </c>
      <c r="AK31" s="5" t="str">
        <f ca="1">IFERROR(__xludf.DUMMYFUNCTION("""COMPUTED_VALUE"""),"Yes")</f>
        <v>Yes</v>
      </c>
      <c r="AL31" s="5" t="str">
        <f ca="1">IFERROR(__xludf.DUMMYFUNCTION("""COMPUTED_VALUE"""),"Yes")</f>
        <v>Yes</v>
      </c>
      <c r="AM31" s="5" t="str">
        <f ca="1">IFERROR(__xludf.DUMMYFUNCTION("""COMPUTED_VALUE"""),"Yes")</f>
        <v>Yes</v>
      </c>
      <c r="AN31" s="5" t="str">
        <f ca="1">IFERROR(__xludf.DUMMYFUNCTION("""COMPUTED_VALUE"""),"Yes")</f>
        <v>Yes</v>
      </c>
      <c r="AO31" s="5" t="str">
        <f ca="1">IFERROR(__xludf.DUMMYFUNCTION("""COMPUTED_VALUE"""),"Yes")</f>
        <v>Yes</v>
      </c>
      <c r="AP31" s="5" t="str">
        <f ca="1">IFERROR(__xludf.DUMMYFUNCTION("""COMPUTED_VALUE"""),"Yes")</f>
        <v>Yes</v>
      </c>
      <c r="AQ31" s="5" t="str">
        <f ca="1">IFERROR(__xludf.DUMMYFUNCTION("""COMPUTED_VALUE"""),"Yes")</f>
        <v>Yes</v>
      </c>
      <c r="AR31" s="5" t="str">
        <f ca="1">IFERROR(__xludf.DUMMYFUNCTION("""COMPUTED_VALUE"""),"Yes")</f>
        <v>Yes</v>
      </c>
      <c r="AS31" s="5" t="str">
        <f ca="1">IFERROR(__xludf.DUMMYFUNCTION("""COMPUTED_VALUE"""),"Yes")</f>
        <v>Yes</v>
      </c>
      <c r="AT31" s="5" t="str">
        <f ca="1">IFERROR(__xludf.DUMMYFUNCTION("""COMPUTED_VALUE"""),"No")</f>
        <v>No</v>
      </c>
      <c r="AU31" s="5"/>
    </row>
    <row r="32" spans="1:47" x14ac:dyDescent="0.25">
      <c r="A32" s="5" t="str">
        <f ca="1">IFERROR(__xludf.DUMMYFUNCTION("""COMPUTED_VALUE"""),"Foxi")</f>
        <v>Foxi</v>
      </c>
      <c r="B32" s="5" t="str">
        <f ca="1">IFERROR(__xludf.DUMMYFUNCTION("""COMPUTED_VALUE"""),"Aloha Charm")</f>
        <v>Aloha Charm</v>
      </c>
      <c r="C32" s="5" t="str">
        <f ca="1">IFERROR(__xludf.DUMMYFUNCTION("""COMPUTED_VALUE"""),"AlohaCharm")</f>
        <v>AlohaCharm</v>
      </c>
      <c r="D32" s="6">
        <f ca="1">IFERROR(__xludf.DUMMYFUNCTION("""COMPUTED_VALUE"""),43738)</f>
        <v>43738</v>
      </c>
      <c r="E32" s="5" t="str">
        <f ca="1">IFERROR(__xludf.DUMMYFUNCTION("""COMPUTED_VALUE"""),"Slot")</f>
        <v>Slot</v>
      </c>
      <c r="F32" s="5">
        <f ca="1">IFERROR(__xludf.DUMMYFUNCTION("""COMPUTED_VALUE"""),29.6)</f>
        <v>29.6</v>
      </c>
      <c r="G32" s="5" t="str">
        <f ca="1">IFERROR(__xludf.DUMMYFUNCTION("""COMPUTED_VALUE"""),"5x3")</f>
        <v>5x3</v>
      </c>
      <c r="H32" s="5" t="str">
        <f ca="1">IFERROR(__xludf.DUMMYFUNCTION("""COMPUTED_VALUE"""),"10")</f>
        <v>10</v>
      </c>
      <c r="I32" s="5" t="str">
        <f ca="1">IFERROR(__xludf.DUMMYFUNCTION("""COMPUTED_VALUE"""),"1,3,5,7,9,10")</f>
        <v>1,3,5,7,9,10</v>
      </c>
      <c r="J32" s="5" t="str">
        <f ca="1">IFERROR(__xludf.DUMMYFUNCTION("""COMPUTED_VALUE"""),"95.125%")</f>
        <v>95.125%</v>
      </c>
      <c r="K32" s="5" t="str">
        <f ca="1">IFERROR(__xludf.DUMMYFUNCTION("""COMPUTED_VALUE"""),"High")</f>
        <v>High</v>
      </c>
      <c r="L32" s="5" t="str">
        <f ca="1">IFERROR(__xludf.DUMMYFUNCTION("""COMPUTED_VALUE"""),"25.18%")</f>
        <v>25.18%</v>
      </c>
      <c r="M32" s="5" t="str">
        <f ca="1">IFERROR(__xludf.DUMMYFUNCTION("""COMPUTED_VALUE"""),"x4016")</f>
        <v>x4016</v>
      </c>
      <c r="N32" s="5" t="str">
        <f ca="1">IFERROR(__xludf.DUMMYFUNCTION("""COMPUTED_VALUE"""),"0.01/40")</f>
        <v>0.01/40</v>
      </c>
      <c r="O32" s="5" t="str">
        <f ca="1">IFERROR(__xludf.DUMMYFUNCTION("""COMPUTED_VALUE"""),"Yes")</f>
        <v>Yes</v>
      </c>
      <c r="P32" s="5" t="str">
        <f ca="1">IFERROR(__xludf.DUMMYFUNCTION("""COMPUTED_VALUE"""),"Wild Symbol, Scatter, Bonus Game with Free Spins, Win Multiplier")</f>
        <v>Wild Symbol, Scatter, Bonus Game with Free Spins, Win Multiplier</v>
      </c>
      <c r="Q32" s="7" t="str">
        <f ca="1">IFERROR(__xludf.DUMMYFUNCTION("""COMPUTED_VALUE"""),"https://gameserver-store-client-area.orbionlimited.com/Home/IntegrationGameLaunch/client-area?moneyType=0&amp;gameName=AlohaCharm&amp;platform=desktop&amp;languageCode=eng&amp;currency=EUR")</f>
        <v>https://gameserver-store-client-area.orbionlimited.com/Home/IntegrationGameLaunch/client-area?moneyType=0&amp;gameName=AlohaCharm&amp;platform=desktop&amp;languageCode=eng&amp;currency=EUR</v>
      </c>
      <c r="R32" s="5" t="str">
        <f ca="1">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S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IFERROR(__xludf.DUMMYFUNCTION("""COMPUTED_VALUE"""),"Yes")</f>
        <v>Yes</v>
      </c>
      <c r="AF32" s="5" t="str">
        <f ca="1">IFERROR(__xludf.DUMMYFUNCTION("""COMPUTED_VALUE"""),"Yes")</f>
        <v>Yes</v>
      </c>
      <c r="AG32" s="5" t="str">
        <f ca="1">IFERROR(__xludf.DUMMYFUNCTION("""COMPUTED_VALUE"""),"Yes")</f>
        <v>Yes</v>
      </c>
      <c r="AH32" s="5" t="str">
        <f ca="1">IFERROR(__xludf.DUMMYFUNCTION("""COMPUTED_VALUE"""),"Yes")</f>
        <v>Yes</v>
      </c>
      <c r="AI32" s="5" t="str">
        <f ca="1">IFERROR(__xludf.DUMMYFUNCTION("""COMPUTED_VALUE"""),"Yes")</f>
        <v>Yes</v>
      </c>
      <c r="AJ32" s="5" t="str">
        <f ca="1">IFERROR(__xludf.DUMMYFUNCTION("""COMPUTED_VALUE"""),"Yes")</f>
        <v>Yes</v>
      </c>
      <c r="AK32" s="5" t="str">
        <f ca="1">IFERROR(__xludf.DUMMYFUNCTION("""COMPUTED_VALUE"""),"Yes")</f>
        <v>Yes</v>
      </c>
      <c r="AL32" s="5" t="str">
        <f ca="1">IFERROR(__xludf.DUMMYFUNCTION("""COMPUTED_VALUE"""),"Yes")</f>
        <v>Yes</v>
      </c>
      <c r="AM32" s="5" t="str">
        <f ca="1">IFERROR(__xludf.DUMMYFUNCTION("""COMPUTED_VALUE"""),"Yes")</f>
        <v>Yes</v>
      </c>
      <c r="AN32" s="5" t="str">
        <f ca="1">IFERROR(__xludf.DUMMYFUNCTION("""COMPUTED_VALUE"""),"Yes")</f>
        <v>Yes</v>
      </c>
      <c r="AO32" s="5" t="str">
        <f ca="1">IFERROR(__xludf.DUMMYFUNCTION("""COMPUTED_VALUE"""),"Yes")</f>
        <v>Yes</v>
      </c>
      <c r="AP32" s="5" t="str">
        <f ca="1">IFERROR(__xludf.DUMMYFUNCTION("""COMPUTED_VALUE"""),"Yes")</f>
        <v>Yes</v>
      </c>
      <c r="AQ32" s="5" t="str">
        <f ca="1">IFERROR(__xludf.DUMMYFUNCTION("""COMPUTED_VALUE"""),"Yes")</f>
        <v>Yes</v>
      </c>
      <c r="AR32" s="5" t="str">
        <f ca="1">IFERROR(__xludf.DUMMYFUNCTION("""COMPUTED_VALUE"""),"Yes")</f>
        <v>Yes</v>
      </c>
      <c r="AS32" s="5" t="str">
        <f ca="1">IFERROR(__xludf.DUMMYFUNCTION("""COMPUTED_VALUE"""),"Yes")</f>
        <v>Yes</v>
      </c>
      <c r="AT32" s="5" t="str">
        <f ca="1">IFERROR(__xludf.DUMMYFUNCTION("""COMPUTED_VALUE"""),"No")</f>
        <v>No</v>
      </c>
      <c r="AU32" s="5"/>
    </row>
    <row r="33" spans="1:47" x14ac:dyDescent="0.25">
      <c r="A33" s="5" t="str">
        <f ca="1">IFERROR(__xludf.DUMMYFUNCTION("""COMPUTED_VALUE"""),"Foxi")</f>
        <v>Foxi</v>
      </c>
      <c r="B33" s="5" t="str">
        <f ca="1">IFERROR(__xludf.DUMMYFUNCTION("""COMPUTED_VALUE"""),"Fruits And Stars 40")</f>
        <v>Fruits And Stars 40</v>
      </c>
      <c r="C33" s="5" t="str">
        <f ca="1">IFERROR(__xludf.DUMMYFUNCTION("""COMPUTED_VALUE"""),"FruitsAndStars40")</f>
        <v>FruitsAndStars40</v>
      </c>
      <c r="D33" s="6">
        <f ca="1">IFERROR(__xludf.DUMMYFUNCTION("""COMPUTED_VALUE"""),43766)</f>
        <v>43766</v>
      </c>
      <c r="E33" s="5" t="str">
        <f ca="1">IFERROR(__xludf.DUMMYFUNCTION("""COMPUTED_VALUE"""),"Slot")</f>
        <v>Slot</v>
      </c>
      <c r="F33" s="5">
        <f ca="1">IFERROR(__xludf.DUMMYFUNCTION("""COMPUTED_VALUE"""),29.4)</f>
        <v>29.4</v>
      </c>
      <c r="G33" s="5" t="str">
        <f ca="1">IFERROR(__xludf.DUMMYFUNCTION("""COMPUTED_VALUE"""),"5x3")</f>
        <v>5x3</v>
      </c>
      <c r="H33" s="5" t="str">
        <f ca="1">IFERROR(__xludf.DUMMYFUNCTION("""COMPUTED_VALUE"""),"40")</f>
        <v>40</v>
      </c>
      <c r="I33" s="5" t="str">
        <f ca="1">IFERROR(__xludf.DUMMYFUNCTION("""COMPUTED_VALUE"""),"1,3,5,7,10,15,20,25,30,35,40")</f>
        <v>1,3,5,7,10,15,20,25,30,35,40</v>
      </c>
      <c r="J33" s="5" t="str">
        <f ca="1">IFERROR(__xludf.DUMMYFUNCTION("""COMPUTED_VALUE"""),"95.79%")</f>
        <v>95.79%</v>
      </c>
      <c r="K33" s="5" t="str">
        <f ca="1">IFERROR(__xludf.DUMMYFUNCTION("""COMPUTED_VALUE"""),"Low")</f>
        <v>Low</v>
      </c>
      <c r="L33" s="5" t="str">
        <f ca="1">IFERROR(__xludf.DUMMYFUNCTION("""COMPUTED_VALUE"""),"18.24%")</f>
        <v>18.24%</v>
      </c>
      <c r="M33" s="5" t="str">
        <f ca="1">IFERROR(__xludf.DUMMYFUNCTION("""COMPUTED_VALUE"""),"x1000")</f>
        <v>x1000</v>
      </c>
      <c r="N33" s="5" t="str">
        <f ca="1">IFERROR(__xludf.DUMMYFUNCTION("""COMPUTED_VALUE"""),"0.01/60")</f>
        <v>0.01/60</v>
      </c>
      <c r="O33" s="5" t="str">
        <f ca="1">IFERROR(__xludf.DUMMYFUNCTION("""COMPUTED_VALUE"""),"Yes")</f>
        <v>Yes</v>
      </c>
      <c r="P33" s="5" t="str">
        <f ca="1">IFERROR(__xludf.DUMMYFUNCTION("""COMPUTED_VALUE"""),"Wild Symbol, Scatter")</f>
        <v>Wild Symbol, Scatter</v>
      </c>
      <c r="Q33" s="7" t="str">
        <f ca="1">IFERROR(__xludf.DUMMYFUNCTION("""COMPUTED_VALUE"""),"https://gameserver-store-client-area.orbionlimited.com/Home/IntegrationGameLaunch/client-area?moneyType=0&amp;gameName=FruitsAndStars40&amp;platform=desktop&amp;languageCode=eng&amp;currency=EUR")</f>
        <v>https://gameserver-store-client-area.orbionlimited.com/Home/IntegrationGameLaunch/client-area?moneyType=0&amp;gameName=FruitsAndStars40&amp;platform=desktop&amp;languageCode=eng&amp;currency=EUR</v>
      </c>
      <c r="R33" s="5" t="str">
        <f ca="1">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S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IFERROR(__xludf.DUMMYFUNCTION("""COMPUTED_VALUE"""),"Yes")</f>
        <v>Yes</v>
      </c>
      <c r="AF33" s="5" t="str">
        <f ca="1">IFERROR(__xludf.DUMMYFUNCTION("""COMPUTED_VALUE"""),"Yes")</f>
        <v>Yes</v>
      </c>
      <c r="AG33" s="5" t="str">
        <f ca="1">IFERROR(__xludf.DUMMYFUNCTION("""COMPUTED_VALUE"""),"Yes")</f>
        <v>Yes</v>
      </c>
      <c r="AH33" s="5" t="str">
        <f ca="1">IFERROR(__xludf.DUMMYFUNCTION("""COMPUTED_VALUE"""),"Yes")</f>
        <v>Yes</v>
      </c>
      <c r="AI33" s="5" t="str">
        <f ca="1">IFERROR(__xludf.DUMMYFUNCTION("""COMPUTED_VALUE"""),"Yes")</f>
        <v>Yes</v>
      </c>
      <c r="AJ33" s="5" t="str">
        <f ca="1">IFERROR(__xludf.DUMMYFUNCTION("""COMPUTED_VALUE"""),"Yes")</f>
        <v>Yes</v>
      </c>
      <c r="AK33" s="5" t="str">
        <f ca="1">IFERROR(__xludf.DUMMYFUNCTION("""COMPUTED_VALUE"""),"Yes")</f>
        <v>Yes</v>
      </c>
      <c r="AL33" s="5" t="str">
        <f ca="1">IFERROR(__xludf.DUMMYFUNCTION("""COMPUTED_VALUE"""),"Yes")</f>
        <v>Yes</v>
      </c>
      <c r="AM33" s="5" t="str">
        <f ca="1">IFERROR(__xludf.DUMMYFUNCTION("""COMPUTED_VALUE"""),"Yes")</f>
        <v>Yes</v>
      </c>
      <c r="AN33" s="5" t="str">
        <f ca="1">IFERROR(__xludf.DUMMYFUNCTION("""COMPUTED_VALUE"""),"Yes")</f>
        <v>Yes</v>
      </c>
      <c r="AO33" s="5" t="str">
        <f ca="1">IFERROR(__xludf.DUMMYFUNCTION("""COMPUTED_VALUE"""),"Yes")</f>
        <v>Yes</v>
      </c>
      <c r="AP33" s="5" t="str">
        <f ca="1">IFERROR(__xludf.DUMMYFUNCTION("""COMPUTED_VALUE"""),"Yes")</f>
        <v>Yes</v>
      </c>
      <c r="AQ33" s="5" t="str">
        <f ca="1">IFERROR(__xludf.DUMMYFUNCTION("""COMPUTED_VALUE"""),"Yes")</f>
        <v>Yes</v>
      </c>
      <c r="AR33" s="5" t="str">
        <f ca="1">IFERROR(__xludf.DUMMYFUNCTION("""COMPUTED_VALUE"""),"Yes")</f>
        <v>Yes</v>
      </c>
      <c r="AS33" s="5" t="str">
        <f ca="1">IFERROR(__xludf.DUMMYFUNCTION("""COMPUTED_VALUE"""),"Yes")</f>
        <v>Yes</v>
      </c>
      <c r="AT33" s="5" t="str">
        <f ca="1">IFERROR(__xludf.DUMMYFUNCTION("""COMPUTED_VALUE"""),"No")</f>
        <v>No</v>
      </c>
      <c r="AU33" s="5"/>
    </row>
    <row r="34" spans="1:47" x14ac:dyDescent="0.25">
      <c r="A34" s="5" t="str">
        <f ca="1">IFERROR(__xludf.DUMMYFUNCTION("""COMPUTED_VALUE"""),"Foxi")</f>
        <v>Foxi</v>
      </c>
      <c r="B34" s="5" t="str">
        <f ca="1">IFERROR(__xludf.DUMMYFUNCTION("""COMPUTED_VALUE"""),"Twinkling Hot 5")</f>
        <v>Twinkling Hot 5</v>
      </c>
      <c r="C34" s="5" t="str">
        <f ca="1">IFERROR(__xludf.DUMMYFUNCTION("""COMPUTED_VALUE"""),"TwinklingHot5")</f>
        <v>TwinklingHot5</v>
      </c>
      <c r="D34" s="6">
        <f ca="1">IFERROR(__xludf.DUMMYFUNCTION("""COMPUTED_VALUE"""),43815)</f>
        <v>43815</v>
      </c>
      <c r="E34" s="5" t="str">
        <f ca="1">IFERROR(__xludf.DUMMYFUNCTION("""COMPUTED_VALUE"""),"Slot")</f>
        <v>Slot</v>
      </c>
      <c r="F34" s="5">
        <f ca="1">IFERROR(__xludf.DUMMYFUNCTION("""COMPUTED_VALUE"""),27.6)</f>
        <v>27.6</v>
      </c>
      <c r="G34" s="5" t="str">
        <f ca="1">IFERROR(__xludf.DUMMYFUNCTION("""COMPUTED_VALUE"""),"5x3")</f>
        <v>5x3</v>
      </c>
      <c r="H34" s="5" t="str">
        <f ca="1">IFERROR(__xludf.DUMMYFUNCTION("""COMPUTED_VALUE"""),"5")</f>
        <v>5</v>
      </c>
      <c r="I34" s="5" t="str">
        <f ca="1">IFERROR(__xludf.DUMMYFUNCTION("""COMPUTED_VALUE"""),"5")</f>
        <v>5</v>
      </c>
      <c r="J34" s="5" t="str">
        <f ca="1">IFERROR(__xludf.DUMMYFUNCTION("""COMPUTED_VALUE"""),"95.656%")</f>
        <v>95.656%</v>
      </c>
      <c r="K34" s="5" t="str">
        <f ca="1">IFERROR(__xludf.DUMMYFUNCTION("""COMPUTED_VALUE"""),"Medium")</f>
        <v>Medium</v>
      </c>
      <c r="L34" s="5" t="str">
        <f ca="1">IFERROR(__xludf.DUMMYFUNCTION("""COMPUTED_VALUE"""),"12.49%")</f>
        <v>12.49%</v>
      </c>
      <c r="M34" s="5" t="str">
        <f ca="1">IFERROR(__xludf.DUMMYFUNCTION("""COMPUTED_VALUE"""),"x1000")</f>
        <v>x1000</v>
      </c>
      <c r="N34" s="5" t="str">
        <f ca="1">IFERROR(__xludf.DUMMYFUNCTION("""COMPUTED_VALUE"""),"0.05/30")</f>
        <v>0.05/30</v>
      </c>
      <c r="O34" s="5" t="str">
        <f ca="1">IFERROR(__xludf.DUMMYFUNCTION("""COMPUTED_VALUE"""),"Yes")</f>
        <v>Yes</v>
      </c>
      <c r="P34" s="5" t="str">
        <f ca="1">IFERROR(__xludf.DUMMYFUNCTION("""COMPUTED_VALUE"""),"Scatter")</f>
        <v>Scatter</v>
      </c>
      <c r="Q34" s="7" t="str">
        <f ca="1">IFERROR(__xludf.DUMMYFUNCTION("""COMPUTED_VALUE"""),"https://gameserver-store-client-area.orbionlimited.com/Home/IntegrationGameLaunch/client-area?moneyType=0&amp;gameName=TwinklingHot5&amp;platform=desktop&amp;languageCode=eng&amp;currency=EUR")</f>
        <v>https://gameserver-store-client-area.orbionlimited.com/Home/IntegrationGameLaunch/client-area?moneyType=0&amp;gameName=TwinklingHot5&amp;platform=desktop&amp;languageCode=eng&amp;currency=EUR</v>
      </c>
      <c r="R34" s="5" t="str">
        <f ca="1">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S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IFERROR(__xludf.DUMMYFUNCTION("""COMPUTED_VALUE"""),"Yes")</f>
        <v>Yes</v>
      </c>
      <c r="AF34" s="5" t="str">
        <f ca="1">IFERROR(__xludf.DUMMYFUNCTION("""COMPUTED_VALUE"""),"Yes")</f>
        <v>Yes</v>
      </c>
      <c r="AG34" s="5" t="str">
        <f ca="1">IFERROR(__xludf.DUMMYFUNCTION("""COMPUTED_VALUE"""),"Yes")</f>
        <v>Yes</v>
      </c>
      <c r="AH34" s="5" t="str">
        <f ca="1">IFERROR(__xludf.DUMMYFUNCTION("""COMPUTED_VALUE"""),"Yes")</f>
        <v>Yes</v>
      </c>
      <c r="AI34" s="5" t="str">
        <f ca="1">IFERROR(__xludf.DUMMYFUNCTION("""COMPUTED_VALUE"""),"Yes")</f>
        <v>Yes</v>
      </c>
      <c r="AJ34" s="5" t="str">
        <f ca="1">IFERROR(__xludf.DUMMYFUNCTION("""COMPUTED_VALUE"""),"Yes")</f>
        <v>Yes</v>
      </c>
      <c r="AK34" s="5" t="str">
        <f ca="1">IFERROR(__xludf.DUMMYFUNCTION("""COMPUTED_VALUE"""),"Yes")</f>
        <v>Yes</v>
      </c>
      <c r="AL34" s="5" t="str">
        <f ca="1">IFERROR(__xludf.DUMMYFUNCTION("""COMPUTED_VALUE"""),"Yes")</f>
        <v>Yes</v>
      </c>
      <c r="AM34" s="5" t="str">
        <f ca="1">IFERROR(__xludf.DUMMYFUNCTION("""COMPUTED_VALUE"""),"Yes")</f>
        <v>Yes</v>
      </c>
      <c r="AN34" s="5" t="str">
        <f ca="1">IFERROR(__xludf.DUMMYFUNCTION("""COMPUTED_VALUE"""),"Yes")</f>
        <v>Yes</v>
      </c>
      <c r="AO34" s="5" t="str">
        <f ca="1">IFERROR(__xludf.DUMMYFUNCTION("""COMPUTED_VALUE"""),"Yes")</f>
        <v>Yes</v>
      </c>
      <c r="AP34" s="5" t="str">
        <f ca="1">IFERROR(__xludf.DUMMYFUNCTION("""COMPUTED_VALUE"""),"Yes")</f>
        <v>Yes</v>
      </c>
      <c r="AQ34" s="5" t="str">
        <f ca="1">IFERROR(__xludf.DUMMYFUNCTION("""COMPUTED_VALUE"""),"Yes")</f>
        <v>Yes</v>
      </c>
      <c r="AR34" s="5" t="str">
        <f ca="1">IFERROR(__xludf.DUMMYFUNCTION("""COMPUTED_VALUE"""),"Yes")</f>
        <v>Yes</v>
      </c>
      <c r="AS34" s="5" t="str">
        <f ca="1">IFERROR(__xludf.DUMMYFUNCTION("""COMPUTED_VALUE"""),"Yes")</f>
        <v>Yes</v>
      </c>
      <c r="AT34" s="5" t="str">
        <f ca="1">IFERROR(__xludf.DUMMYFUNCTION("""COMPUTED_VALUE"""),"No")</f>
        <v>No</v>
      </c>
      <c r="AU34" s="5"/>
    </row>
    <row r="35" spans="1:47" x14ac:dyDescent="0.25">
      <c r="A35" s="5" t="str">
        <f ca="1">IFERROR(__xludf.DUMMYFUNCTION("""COMPUTED_VALUE"""),"Foxi")</f>
        <v>Foxi</v>
      </c>
      <c r="B35" s="5" t="str">
        <f ca="1">IFERROR(__xludf.DUMMYFUNCTION("""COMPUTED_VALUE"""),"Dice Of Spells")</f>
        <v>Dice Of Spells</v>
      </c>
      <c r="C35" s="5" t="str">
        <f ca="1">IFERROR(__xludf.DUMMYFUNCTION("""COMPUTED_VALUE"""),"DiceOfSpells")</f>
        <v>DiceOfSpells</v>
      </c>
      <c r="D35" s="6">
        <f ca="1">IFERROR(__xludf.DUMMYFUNCTION("""COMPUTED_VALUE"""),43922)</f>
        <v>43922</v>
      </c>
      <c r="E35" s="5" t="str">
        <f ca="1">IFERROR(__xludf.DUMMYFUNCTION("""COMPUTED_VALUE"""),"Slot")</f>
        <v>Slot</v>
      </c>
      <c r="F35" s="5">
        <f ca="1">IFERROR(__xludf.DUMMYFUNCTION("""COMPUTED_VALUE"""),37.2)</f>
        <v>37.200000000000003</v>
      </c>
      <c r="G35" s="5" t="str">
        <f ca="1">IFERROR(__xludf.DUMMYFUNCTION("""COMPUTED_VALUE"""),"5x3")</f>
        <v>5x3</v>
      </c>
      <c r="H35" s="5" t="str">
        <f ca="1">IFERROR(__xludf.DUMMYFUNCTION("""COMPUTED_VALUE"""),"10")</f>
        <v>10</v>
      </c>
      <c r="I35" s="5" t="str">
        <f ca="1">IFERROR(__xludf.DUMMYFUNCTION("""COMPUTED_VALUE"""),"1,3,5,7,10")</f>
        <v>1,3,5,7,10</v>
      </c>
      <c r="J35" s="5" t="str">
        <f ca="1">IFERROR(__xludf.DUMMYFUNCTION("""COMPUTED_VALUE"""),"96.064%")</f>
        <v>96.064%</v>
      </c>
      <c r="K35" s="5" t="str">
        <f ca="1">IFERROR(__xludf.DUMMYFUNCTION("""COMPUTED_VALUE"""),"High")</f>
        <v>High</v>
      </c>
      <c r="L35" s="5" t="str">
        <f ca="1">IFERROR(__xludf.DUMMYFUNCTION("""COMPUTED_VALUE"""),"31.47%")</f>
        <v>31.47%</v>
      </c>
      <c r="M35" s="5" t="str">
        <f ca="1">IFERROR(__xludf.DUMMYFUNCTION("""COMPUTED_VALUE"""),"x5512")</f>
        <v>x5512</v>
      </c>
      <c r="N35" s="5" t="str">
        <f ca="1">IFERROR(__xludf.DUMMYFUNCTION("""COMPUTED_VALUE"""),"0.01/40")</f>
        <v>0.01/40</v>
      </c>
      <c r="O35" s="5" t="str">
        <f ca="1">IFERROR(__xludf.DUMMYFUNCTION("""COMPUTED_VALUE"""),"Yes")</f>
        <v>Yes</v>
      </c>
      <c r="P35" s="5" t="str">
        <f ca="1">IFERROR(__xludf.DUMMYFUNCTION("""COMPUTED_VALUE"""),"Book Of Game, Wild Symbol, Scatter")</f>
        <v>Book Of Game, Wild Symbol, Scatter</v>
      </c>
      <c r="Q35" s="7" t="str">
        <f ca="1">IFERROR(__xludf.DUMMYFUNCTION("""COMPUTED_VALUE"""),"https://gameserver-store-client-area.orbionlimited.com/Home/IntegrationGameLaunch/client-area?moneyType=0&amp;gameName=DiceOfSpells&amp;platform=desktop&amp;languageCode=eng&amp;currency=EUR")</f>
        <v>https://gameserver-store-client-area.orbionlimited.com/Home/IntegrationGameLaunch/client-area?moneyType=0&amp;gameName=DiceOfSpells&amp;platform=desktop&amp;languageCode=eng&amp;currency=EUR</v>
      </c>
      <c r="R35" s="5" t="str">
        <f ca="1">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S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IFERROR(__xludf.DUMMYFUNCTION("""COMPUTED_VALUE"""),"Yes")</f>
        <v>Yes</v>
      </c>
      <c r="AA35" s="5" t="str">
        <f ca="1">IFERROR(__xludf.DUMMYFUNCTION("""COMPUTED_VALUE"""),"Yes")</f>
        <v>Yes</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IFERROR(__xludf.DUMMYFUNCTION("""COMPUTED_VALUE"""),"Yes")</f>
        <v>Yes</v>
      </c>
      <c r="AF35" s="5" t="str">
        <f ca="1">IFERROR(__xludf.DUMMYFUNCTION("""COMPUTED_VALUE"""),"Yes")</f>
        <v>Yes</v>
      </c>
      <c r="AG35" s="5" t="str">
        <f ca="1">IFERROR(__xludf.DUMMYFUNCTION("""COMPUTED_VALUE"""),"Yes")</f>
        <v>Yes</v>
      </c>
      <c r="AH35" s="5" t="str">
        <f ca="1">IFERROR(__xludf.DUMMYFUNCTION("""COMPUTED_VALUE"""),"Yes")</f>
        <v>Yes</v>
      </c>
      <c r="AI35" s="5" t="str">
        <f ca="1">IFERROR(__xludf.DUMMYFUNCTION("""COMPUTED_VALUE"""),"Yes")</f>
        <v>Yes</v>
      </c>
      <c r="AJ35" s="5" t="str">
        <f ca="1">IFERROR(__xludf.DUMMYFUNCTION("""COMPUTED_VALUE"""),"Yes")</f>
        <v>Yes</v>
      </c>
      <c r="AK35" s="5" t="str">
        <f ca="1">IFERROR(__xludf.DUMMYFUNCTION("""COMPUTED_VALUE"""),"Yes")</f>
        <v>Yes</v>
      </c>
      <c r="AL35" s="5" t="str">
        <f ca="1">IFERROR(__xludf.DUMMYFUNCTION("""COMPUTED_VALUE"""),"Yes")</f>
        <v>Yes</v>
      </c>
      <c r="AM35" s="5" t="str">
        <f ca="1">IFERROR(__xludf.DUMMYFUNCTION("""COMPUTED_VALUE"""),"Yes")</f>
        <v>Yes</v>
      </c>
      <c r="AN35" s="5" t="str">
        <f ca="1">IFERROR(__xludf.DUMMYFUNCTION("""COMPUTED_VALUE"""),"Yes")</f>
        <v>Yes</v>
      </c>
      <c r="AO35" s="5" t="str">
        <f ca="1">IFERROR(__xludf.DUMMYFUNCTION("""COMPUTED_VALUE"""),"Yes")</f>
        <v>Yes</v>
      </c>
      <c r="AP35" s="5" t="str">
        <f ca="1">IFERROR(__xludf.DUMMYFUNCTION("""COMPUTED_VALUE"""),"Yes")</f>
        <v>Yes</v>
      </c>
      <c r="AQ35" s="5" t="str">
        <f ca="1">IFERROR(__xludf.DUMMYFUNCTION("""COMPUTED_VALUE"""),"Yes")</f>
        <v>Yes</v>
      </c>
      <c r="AR35" s="5" t="str">
        <f ca="1">IFERROR(__xludf.DUMMYFUNCTION("""COMPUTED_VALUE"""),"Yes")</f>
        <v>Yes</v>
      </c>
      <c r="AS35" s="5" t="str">
        <f ca="1">IFERROR(__xludf.DUMMYFUNCTION("""COMPUTED_VALUE"""),"Yes")</f>
        <v>Yes</v>
      </c>
      <c r="AT35" s="5" t="str">
        <f ca="1">IFERROR(__xludf.DUMMYFUNCTION("""COMPUTED_VALUE"""),"No")</f>
        <v>No</v>
      </c>
      <c r="AU35" s="5"/>
    </row>
    <row r="36" spans="1:47" x14ac:dyDescent="0.25">
      <c r="A36" s="5" t="str">
        <f ca="1">IFERROR(__xludf.DUMMYFUNCTION("""COMPUTED_VALUE"""),"Foxi")</f>
        <v>Foxi</v>
      </c>
      <c r="B36" s="5" t="str">
        <f ca="1">IFERROR(__xludf.DUMMYFUNCTION("""COMPUTED_VALUE"""),"Cubes And Stars")</f>
        <v>Cubes And Stars</v>
      </c>
      <c r="C36" s="5" t="str">
        <f ca="1">IFERROR(__xludf.DUMMYFUNCTION("""COMPUTED_VALUE"""),"CubesAndStars")</f>
        <v>CubesAndStars</v>
      </c>
      <c r="D36" s="6">
        <f ca="1">IFERROR(__xludf.DUMMYFUNCTION("""COMPUTED_VALUE"""),43525)</f>
        <v>43525</v>
      </c>
      <c r="E36" s="5" t="str">
        <f ca="1">IFERROR(__xludf.DUMMYFUNCTION("""COMPUTED_VALUE"""),"Slot")</f>
        <v>Slot</v>
      </c>
      <c r="F36" s="5">
        <f ca="1">IFERROR(__xludf.DUMMYFUNCTION("""COMPUTED_VALUE"""),19.7)</f>
        <v>19.7</v>
      </c>
      <c r="G36" s="5" t="str">
        <f ca="1">IFERROR(__xludf.DUMMYFUNCTION("""COMPUTED_VALUE"""),"5x3")</f>
        <v>5x3</v>
      </c>
      <c r="H36" s="5" t="str">
        <f ca="1">IFERROR(__xludf.DUMMYFUNCTION("""COMPUTED_VALUE"""),"20")</f>
        <v>20</v>
      </c>
      <c r="I36" s="5" t="str">
        <f ca="1">IFERROR(__xludf.DUMMYFUNCTION("""COMPUTED_VALUE"""),"1,3,5,7,10,20")</f>
        <v>1,3,5,7,10,20</v>
      </c>
      <c r="J36" s="5" t="str">
        <f ca="1">IFERROR(__xludf.DUMMYFUNCTION("""COMPUTED_VALUE"""),"95.79%")</f>
        <v>95.79%</v>
      </c>
      <c r="K36" s="5" t="str">
        <f ca="1">IFERROR(__xludf.DUMMYFUNCTION("""COMPUTED_VALUE"""),"Low")</f>
        <v>Low</v>
      </c>
      <c r="L36" s="5" t="str">
        <f ca="1">IFERROR(__xludf.DUMMYFUNCTION("""COMPUTED_VALUE"""),"17.45%")</f>
        <v>17.45%</v>
      </c>
      <c r="M36" s="5" t="str">
        <f ca="1">IFERROR(__xludf.DUMMYFUNCTION("""COMPUTED_VALUE"""),"x1000")</f>
        <v>x1000</v>
      </c>
      <c r="N36" s="5" t="str">
        <f ca="1">IFERROR(__xludf.DUMMYFUNCTION("""COMPUTED_VALUE"""),"0.01/50")</f>
        <v>0.01/50</v>
      </c>
      <c r="O36" s="5" t="str">
        <f ca="1">IFERROR(__xludf.DUMMYFUNCTION("""COMPUTED_VALUE"""),"Yes")</f>
        <v>Yes</v>
      </c>
      <c r="P36" s="5" t="str">
        <f ca="1">IFERROR(__xludf.DUMMYFUNCTION("""COMPUTED_VALUE"""),"Wild Symbol, Scatter")</f>
        <v>Wild Symbol, Scatter</v>
      </c>
      <c r="Q36" s="7" t="str">
        <f ca="1">IFERROR(__xludf.DUMMYFUNCTION("""COMPUTED_VALUE"""),"https://gameserver-store-client-area.orbionlimited.com/Home/IntegrationGameLaunch/client-area?moneyType=0&amp;gameName=CubesAndStars&amp;platform=desktop&amp;languageCode=eng&amp;currency=EUR")</f>
        <v>https://gameserver-store-client-area.orbionlimited.com/Home/IntegrationGameLaunch/client-area?moneyType=0&amp;gameName=CubesAndStars&amp;platform=desktop&amp;languageCode=eng&amp;currency=EUR</v>
      </c>
      <c r="R36" s="5" t="str">
        <f ca="1">IFERROR(__xludf.DUMMYFUNCTION("""COMPUTED_VALUE"""),"Roll the dice and your day will get better than nice !")</f>
        <v>Roll the dice and your day will get better than nice !</v>
      </c>
      <c r="S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 ca="1">IFERROR(__xludf.DUMMYFUNCTION("""COMPUTED_VALUE"""),"Yes")</f>
        <v>Yes</v>
      </c>
      <c r="U36" s="5" t="str">
        <f ca="1">IFERROR(__xludf.DUMMYFUNCTION("""COMPUTED_VALUE"""),"Yes")</f>
        <v>Yes</v>
      </c>
      <c r="V36" s="5" t="str">
        <f ca="1">IFERROR(__xludf.DUMMYFUNCTION("""COMPUTED_VALUE"""),"Yes")</f>
        <v>Yes</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IFERROR(__xludf.DUMMYFUNCTION("""COMPUTED_VALUE"""),"Yes")</f>
        <v>Yes</v>
      </c>
      <c r="AF36" s="5" t="str">
        <f ca="1">IFERROR(__xludf.DUMMYFUNCTION("""COMPUTED_VALUE"""),"Yes")</f>
        <v>Yes</v>
      </c>
      <c r="AG36" s="5" t="str">
        <f ca="1">IFERROR(__xludf.DUMMYFUNCTION("""COMPUTED_VALUE"""),"Yes")</f>
        <v>Yes</v>
      </c>
      <c r="AH36" s="5" t="str">
        <f ca="1">IFERROR(__xludf.DUMMYFUNCTION("""COMPUTED_VALUE"""),"Yes")</f>
        <v>Yes</v>
      </c>
      <c r="AI36" s="5" t="str">
        <f ca="1">IFERROR(__xludf.DUMMYFUNCTION("""COMPUTED_VALUE"""),"Yes")</f>
        <v>Yes</v>
      </c>
      <c r="AJ36" s="5" t="str">
        <f ca="1">IFERROR(__xludf.DUMMYFUNCTION("""COMPUTED_VALUE"""),"Yes")</f>
        <v>Yes</v>
      </c>
      <c r="AK36" s="5" t="str">
        <f ca="1">IFERROR(__xludf.DUMMYFUNCTION("""COMPUTED_VALUE"""),"Yes")</f>
        <v>Yes</v>
      </c>
      <c r="AL36" s="5" t="str">
        <f ca="1">IFERROR(__xludf.DUMMYFUNCTION("""COMPUTED_VALUE"""),"Yes")</f>
        <v>Yes</v>
      </c>
      <c r="AM36" s="5" t="str">
        <f ca="1">IFERROR(__xludf.DUMMYFUNCTION("""COMPUTED_VALUE"""),"Yes")</f>
        <v>Yes</v>
      </c>
      <c r="AN36" s="5" t="str">
        <f ca="1">IFERROR(__xludf.DUMMYFUNCTION("""COMPUTED_VALUE"""),"Yes")</f>
        <v>Yes</v>
      </c>
      <c r="AO36" s="5" t="str">
        <f ca="1">IFERROR(__xludf.DUMMYFUNCTION("""COMPUTED_VALUE"""),"Yes")</f>
        <v>Yes</v>
      </c>
      <c r="AP36" s="5" t="str">
        <f ca="1">IFERROR(__xludf.DUMMYFUNCTION("""COMPUTED_VALUE"""),"Yes")</f>
        <v>Yes</v>
      </c>
      <c r="AQ36" s="5" t="str">
        <f ca="1">IFERROR(__xludf.DUMMYFUNCTION("""COMPUTED_VALUE"""),"Yes")</f>
        <v>Yes</v>
      </c>
      <c r="AR36" s="5" t="str">
        <f ca="1">IFERROR(__xludf.DUMMYFUNCTION("""COMPUTED_VALUE"""),"Yes")</f>
        <v>Yes</v>
      </c>
      <c r="AS36" s="5" t="str">
        <f ca="1">IFERROR(__xludf.DUMMYFUNCTION("""COMPUTED_VALUE"""),"Yes")</f>
        <v>Yes</v>
      </c>
      <c r="AT36" s="5" t="str">
        <f ca="1">IFERROR(__xludf.DUMMYFUNCTION("""COMPUTED_VALUE"""),"No")</f>
        <v>No</v>
      </c>
      <c r="AU36" s="5"/>
    </row>
    <row r="37" spans="1:47" x14ac:dyDescent="0.25">
      <c r="A37" s="5" t="str">
        <f ca="1">IFERROR(__xludf.DUMMYFUNCTION("""COMPUTED_VALUE"""),"Foxi")</f>
        <v>Foxi</v>
      </c>
      <c r="B37" s="5" t="str">
        <f ca="1">IFERROR(__xludf.DUMMYFUNCTION("""COMPUTED_VALUE"""),"Twinkling Hot 40")</f>
        <v>Twinkling Hot 40</v>
      </c>
      <c r="C37" s="5" t="str">
        <f ca="1">IFERROR(__xludf.DUMMYFUNCTION("""COMPUTED_VALUE"""),"TwinklingHot40")</f>
        <v>TwinklingHot40</v>
      </c>
      <c r="D37" s="6">
        <f ca="1">IFERROR(__xludf.DUMMYFUNCTION("""COMPUTED_VALUE"""),43843)</f>
        <v>43843</v>
      </c>
      <c r="E37" s="5" t="str">
        <f ca="1">IFERROR(__xludf.DUMMYFUNCTION("""COMPUTED_VALUE"""),"Slot")</f>
        <v>Slot</v>
      </c>
      <c r="F37" s="5">
        <f ca="1">IFERROR(__xludf.DUMMYFUNCTION("""COMPUTED_VALUE"""),27.9)</f>
        <v>27.9</v>
      </c>
      <c r="G37" s="5" t="str">
        <f ca="1">IFERROR(__xludf.DUMMYFUNCTION("""COMPUTED_VALUE"""),"5x3")</f>
        <v>5x3</v>
      </c>
      <c r="H37" s="5" t="str">
        <f ca="1">IFERROR(__xludf.DUMMYFUNCTION("""COMPUTED_VALUE"""),"40")</f>
        <v>40</v>
      </c>
      <c r="I37" s="5" t="str">
        <f ca="1">IFERROR(__xludf.DUMMYFUNCTION("""COMPUTED_VALUE"""),"40")</f>
        <v>40</v>
      </c>
      <c r="J37" s="5" t="str">
        <f ca="1">IFERROR(__xludf.DUMMYFUNCTION("""COMPUTED_VALUE"""),"95.656%")</f>
        <v>95.656%</v>
      </c>
      <c r="K37" s="5" t="str">
        <f ca="1">IFERROR(__xludf.DUMMYFUNCTION("""COMPUTED_VALUE"""),"Low")</f>
        <v>Low</v>
      </c>
      <c r="L37" s="5" t="str">
        <f ca="1">IFERROR(__xludf.DUMMYFUNCTION("""COMPUTED_VALUE"""),"17.87%")</f>
        <v>17.87%</v>
      </c>
      <c r="M37" s="5" t="str">
        <f ca="1">IFERROR(__xludf.DUMMYFUNCTION("""COMPUTED_VALUE"""),"x200")</f>
        <v>x200</v>
      </c>
      <c r="N37" s="5" t="str">
        <f ca="1">IFERROR(__xludf.DUMMYFUNCTION("""COMPUTED_VALUE"""),"0.40/60")</f>
        <v>0.40/60</v>
      </c>
      <c r="O37" s="5" t="str">
        <f ca="1">IFERROR(__xludf.DUMMYFUNCTION("""COMPUTED_VALUE"""),"Yes")</f>
        <v>Yes</v>
      </c>
      <c r="P37" s="5" t="str">
        <f ca="1">IFERROR(__xludf.DUMMYFUNCTION("""COMPUTED_VALUE"""),"Scatter")</f>
        <v>Scatter</v>
      </c>
      <c r="Q37" s="7" t="str">
        <f ca="1">IFERROR(__xludf.DUMMYFUNCTION("""COMPUTED_VALUE"""),"https://gameserver-store-client-area.orbionlimited.com/Home/IntegrationGameLaunch/client-area?moneyType=0&amp;gameName=TwinklingHot40&amp;platform=desktop&amp;languageCode=eng&amp;currency=EUR")</f>
        <v>https://gameserver-store-client-area.orbionlimited.com/Home/IntegrationGameLaunch/client-area?moneyType=0&amp;gameName=TwinklingHot40&amp;platform=desktop&amp;languageCode=eng&amp;currency=EUR</v>
      </c>
      <c r="R37" s="5" t="str">
        <f ca="1">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S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7" s="5" t="str">
        <f ca="1">IFERROR(__xludf.DUMMYFUNCTION("""COMPUTED_VALUE"""),"Yes")</f>
        <v>Yes</v>
      </c>
      <c r="U37" s="5" t="str">
        <f ca="1">IFERROR(__xludf.DUMMYFUNCTION("""COMPUTED_VALUE"""),"Yes")</f>
        <v>Yes</v>
      </c>
      <c r="V37" s="5" t="str">
        <f ca="1">IFERROR(__xludf.DUMMYFUNCTION("""COMPUTED_VALUE"""),"Yes")</f>
        <v>Yes</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IFERROR(__xludf.DUMMYFUNCTION("""COMPUTED_VALUE"""),"Yes")</f>
        <v>Yes</v>
      </c>
      <c r="AF37" s="5" t="str">
        <f ca="1">IFERROR(__xludf.DUMMYFUNCTION("""COMPUTED_VALUE"""),"Yes")</f>
        <v>Yes</v>
      </c>
      <c r="AG37" s="5" t="str">
        <f ca="1">IFERROR(__xludf.DUMMYFUNCTION("""COMPUTED_VALUE"""),"Yes")</f>
        <v>Yes</v>
      </c>
      <c r="AH37" s="5" t="str">
        <f ca="1">IFERROR(__xludf.DUMMYFUNCTION("""COMPUTED_VALUE"""),"Yes")</f>
        <v>Yes</v>
      </c>
      <c r="AI37" s="5" t="str">
        <f ca="1">IFERROR(__xludf.DUMMYFUNCTION("""COMPUTED_VALUE"""),"Yes")</f>
        <v>Yes</v>
      </c>
      <c r="AJ37" s="5" t="str">
        <f ca="1">IFERROR(__xludf.DUMMYFUNCTION("""COMPUTED_VALUE"""),"Yes")</f>
        <v>Yes</v>
      </c>
      <c r="AK37" s="5" t="str">
        <f ca="1">IFERROR(__xludf.DUMMYFUNCTION("""COMPUTED_VALUE"""),"Yes")</f>
        <v>Yes</v>
      </c>
      <c r="AL37" s="5" t="str">
        <f ca="1">IFERROR(__xludf.DUMMYFUNCTION("""COMPUTED_VALUE"""),"Yes")</f>
        <v>Yes</v>
      </c>
      <c r="AM37" s="5" t="str">
        <f ca="1">IFERROR(__xludf.DUMMYFUNCTION("""COMPUTED_VALUE"""),"Yes")</f>
        <v>Yes</v>
      </c>
      <c r="AN37" s="5" t="str">
        <f ca="1">IFERROR(__xludf.DUMMYFUNCTION("""COMPUTED_VALUE"""),"Yes")</f>
        <v>Yes</v>
      </c>
      <c r="AO37" s="5" t="str">
        <f ca="1">IFERROR(__xludf.DUMMYFUNCTION("""COMPUTED_VALUE"""),"Yes")</f>
        <v>Yes</v>
      </c>
      <c r="AP37" s="5" t="str">
        <f ca="1">IFERROR(__xludf.DUMMYFUNCTION("""COMPUTED_VALUE"""),"Yes")</f>
        <v>Yes</v>
      </c>
      <c r="AQ37" s="5" t="str">
        <f ca="1">IFERROR(__xludf.DUMMYFUNCTION("""COMPUTED_VALUE"""),"Yes")</f>
        <v>Yes</v>
      </c>
      <c r="AR37" s="5" t="str">
        <f ca="1">IFERROR(__xludf.DUMMYFUNCTION("""COMPUTED_VALUE"""),"Yes")</f>
        <v>Yes</v>
      </c>
      <c r="AS37" s="5" t="str">
        <f ca="1">IFERROR(__xludf.DUMMYFUNCTION("""COMPUTED_VALUE"""),"Yes")</f>
        <v>Yes</v>
      </c>
      <c r="AT37" s="5" t="str">
        <f ca="1">IFERROR(__xludf.DUMMYFUNCTION("""COMPUTED_VALUE"""),"No")</f>
        <v>No</v>
      </c>
      <c r="AU37" s="5"/>
    </row>
    <row r="38" spans="1:47" x14ac:dyDescent="0.25">
      <c r="A38" s="5" t="str">
        <f ca="1">IFERROR(__xludf.DUMMYFUNCTION("""COMPUTED_VALUE"""),"Foxi")</f>
        <v>Foxi</v>
      </c>
      <c r="B38" s="5" t="str">
        <f ca="1">IFERROR(__xludf.DUMMYFUNCTION("""COMPUTED_VALUE"""),"Book Of Spells Deluxe")</f>
        <v>Book Of Spells Deluxe</v>
      </c>
      <c r="C38" s="5" t="str">
        <f ca="1">IFERROR(__xludf.DUMMYFUNCTION("""COMPUTED_VALUE"""),"BookOfSpellsDeluxe")</f>
        <v>BookOfSpellsDeluxe</v>
      </c>
      <c r="D38" s="6">
        <f ca="1">IFERROR(__xludf.DUMMYFUNCTION("""COMPUTED_VALUE"""),43872)</f>
        <v>43872</v>
      </c>
      <c r="E38" s="5" t="str">
        <f ca="1">IFERROR(__xludf.DUMMYFUNCTION("""COMPUTED_VALUE"""),"Slot")</f>
        <v>Slot</v>
      </c>
      <c r="F38" s="5">
        <f ca="1">IFERROR(__xludf.DUMMYFUNCTION("""COMPUTED_VALUE"""),41.4)</f>
        <v>41.4</v>
      </c>
      <c r="G38" s="5" t="str">
        <f ca="1">IFERROR(__xludf.DUMMYFUNCTION("""COMPUTED_VALUE"""),"5x3")</f>
        <v>5x3</v>
      </c>
      <c r="H38" s="5" t="str">
        <f ca="1">IFERROR(__xludf.DUMMYFUNCTION("""COMPUTED_VALUE"""),"10")</f>
        <v>10</v>
      </c>
      <c r="I38" s="5" t="str">
        <f ca="1">IFERROR(__xludf.DUMMYFUNCTION("""COMPUTED_VALUE"""),"1,3,5,7,10")</f>
        <v>1,3,5,7,10</v>
      </c>
      <c r="J38" s="5" t="str">
        <f ca="1">IFERROR(__xludf.DUMMYFUNCTION("""COMPUTED_VALUE"""),"96.064%")</f>
        <v>96.064%</v>
      </c>
      <c r="K38" s="5" t="str">
        <f ca="1">IFERROR(__xludf.DUMMYFUNCTION("""COMPUTED_VALUE"""),"High")</f>
        <v>High</v>
      </c>
      <c r="L38" s="5" t="str">
        <f ca="1">IFERROR(__xludf.DUMMYFUNCTION("""COMPUTED_VALUE"""),"31.47%")</f>
        <v>31.47%</v>
      </c>
      <c r="M38" s="5" t="str">
        <f ca="1">IFERROR(__xludf.DUMMYFUNCTION("""COMPUTED_VALUE"""),"x5512")</f>
        <v>x5512</v>
      </c>
      <c r="N38" s="5" t="str">
        <f ca="1">IFERROR(__xludf.DUMMYFUNCTION("""COMPUTED_VALUE"""),"0.01/40")</f>
        <v>0.01/40</v>
      </c>
      <c r="O38" s="5" t="str">
        <f ca="1">IFERROR(__xludf.DUMMYFUNCTION("""COMPUTED_VALUE"""),"Yes")</f>
        <v>Yes</v>
      </c>
      <c r="P38" s="5" t="str">
        <f ca="1">IFERROR(__xludf.DUMMYFUNCTION("""COMPUTED_VALUE"""),"Book Of Game, Wild Symbol, Scatter")</f>
        <v>Book Of Game, Wild Symbol, Scatter</v>
      </c>
      <c r="Q38" s="7" t="str">
        <f ca="1">IFERROR(__xludf.DUMMYFUNCTION("""COMPUTED_VALUE"""),"https://gameserver-store-client-area.orbionlimited.com/Home/IntegrationGameLaunch/client-area?moneyType=0&amp;gameName=BookOfSpellsDeluxe&amp;platform=desktop&amp;languageCode=eng&amp;currency=EUR")</f>
        <v>https://gameserver-store-client-area.orbionlimited.com/Home/IntegrationGameLaunch/client-area?moneyType=0&amp;gameName=BookOfSpellsDeluxe&amp;platform=desktop&amp;languageCode=eng&amp;currency=EUR</v>
      </c>
      <c r="R38" s="5" t="str">
        <f ca="1">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8" s="5" t="str">
        <f ca="1">IFERROR(__xludf.DUMMYFUNCTION("""COMPUTED_VALUE"""),"Yes")</f>
        <v>Yes</v>
      </c>
      <c r="U38" s="5" t="str">
        <f ca="1">IFERROR(__xludf.DUMMYFUNCTION("""COMPUTED_VALUE"""),"Yes")</f>
        <v>Yes</v>
      </c>
      <c r="V38" s="5" t="str">
        <f ca="1">IFERROR(__xludf.DUMMYFUNCTION("""COMPUTED_VALUE"""),"Yes")</f>
        <v>Yes</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IFERROR(__xludf.DUMMYFUNCTION("""COMPUTED_VALUE"""),"Yes")</f>
        <v>Yes</v>
      </c>
      <c r="AA38" s="5" t="str">
        <f ca="1">IFERROR(__xludf.DUMMYFUNCTION("""COMPUTED_VALUE"""),"Yes")</f>
        <v>Yes</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IFERROR(__xludf.DUMMYFUNCTION("""COMPUTED_VALUE"""),"Yes")</f>
        <v>Yes</v>
      </c>
      <c r="AF38" s="5" t="str">
        <f ca="1">IFERROR(__xludf.DUMMYFUNCTION("""COMPUTED_VALUE"""),"Yes")</f>
        <v>Yes</v>
      </c>
      <c r="AG38" s="5" t="str">
        <f ca="1">IFERROR(__xludf.DUMMYFUNCTION("""COMPUTED_VALUE"""),"Yes")</f>
        <v>Yes</v>
      </c>
      <c r="AH38" s="5" t="str">
        <f ca="1">IFERROR(__xludf.DUMMYFUNCTION("""COMPUTED_VALUE"""),"Yes")</f>
        <v>Yes</v>
      </c>
      <c r="AI38" s="5" t="str">
        <f ca="1">IFERROR(__xludf.DUMMYFUNCTION("""COMPUTED_VALUE"""),"Yes")</f>
        <v>Yes</v>
      </c>
      <c r="AJ38" s="5" t="str">
        <f ca="1">IFERROR(__xludf.DUMMYFUNCTION("""COMPUTED_VALUE"""),"Yes")</f>
        <v>Yes</v>
      </c>
      <c r="AK38" s="5" t="str">
        <f ca="1">IFERROR(__xludf.DUMMYFUNCTION("""COMPUTED_VALUE"""),"Yes")</f>
        <v>Yes</v>
      </c>
      <c r="AL38" s="5" t="str">
        <f ca="1">IFERROR(__xludf.DUMMYFUNCTION("""COMPUTED_VALUE"""),"Yes")</f>
        <v>Yes</v>
      </c>
      <c r="AM38" s="5" t="str">
        <f ca="1">IFERROR(__xludf.DUMMYFUNCTION("""COMPUTED_VALUE"""),"Yes")</f>
        <v>Yes</v>
      </c>
      <c r="AN38" s="5" t="str">
        <f ca="1">IFERROR(__xludf.DUMMYFUNCTION("""COMPUTED_VALUE"""),"Yes")</f>
        <v>Yes</v>
      </c>
      <c r="AO38" s="5" t="str">
        <f ca="1">IFERROR(__xludf.DUMMYFUNCTION("""COMPUTED_VALUE"""),"Yes")</f>
        <v>Yes</v>
      </c>
      <c r="AP38" s="5" t="str">
        <f ca="1">IFERROR(__xludf.DUMMYFUNCTION("""COMPUTED_VALUE"""),"Yes")</f>
        <v>Yes</v>
      </c>
      <c r="AQ38" s="5" t="str">
        <f ca="1">IFERROR(__xludf.DUMMYFUNCTION("""COMPUTED_VALUE"""),"Yes")</f>
        <v>Yes</v>
      </c>
      <c r="AR38" s="5" t="str">
        <f ca="1">IFERROR(__xludf.DUMMYFUNCTION("""COMPUTED_VALUE"""),"Yes")</f>
        <v>Yes</v>
      </c>
      <c r="AS38" s="5" t="str">
        <f ca="1">IFERROR(__xludf.DUMMYFUNCTION("""COMPUTED_VALUE"""),"Yes")</f>
        <v>Yes</v>
      </c>
      <c r="AT38" s="5" t="str">
        <f ca="1">IFERROR(__xludf.DUMMYFUNCTION("""COMPUTED_VALUE"""),"No")</f>
        <v>No</v>
      </c>
      <c r="AU38" s="5"/>
    </row>
    <row r="39" spans="1:47" x14ac:dyDescent="0.25">
      <c r="A39" s="5" t="str">
        <f ca="1">IFERROR(__xludf.DUMMYFUNCTION("""COMPUTED_VALUE"""),"Foxi")</f>
        <v>Foxi</v>
      </c>
      <c r="B39" s="5" t="str">
        <f ca="1">IFERROR(__xludf.DUMMYFUNCTION("""COMPUTED_VALUE"""),"Jazzy Fruits")</f>
        <v>Jazzy Fruits</v>
      </c>
      <c r="C39" s="5" t="str">
        <f ca="1">IFERROR(__xludf.DUMMYFUNCTION("""COMPUTED_VALUE"""),"JazzyFruits")</f>
        <v>JazzyFruits</v>
      </c>
      <c r="D39" s="6">
        <f ca="1">IFERROR(__xludf.DUMMYFUNCTION("""COMPUTED_VALUE"""),43899)</f>
        <v>43899</v>
      </c>
      <c r="E39" s="5" t="str">
        <f ca="1">IFERROR(__xludf.DUMMYFUNCTION("""COMPUTED_VALUE"""),"Slot")</f>
        <v>Slot</v>
      </c>
      <c r="F39" s="5">
        <f ca="1">IFERROR(__xludf.DUMMYFUNCTION("""COMPUTED_VALUE"""),23.7)</f>
        <v>23.7</v>
      </c>
      <c r="G39" s="5" t="str">
        <f ca="1">IFERROR(__xludf.DUMMYFUNCTION("""COMPUTED_VALUE"""),"5x3")</f>
        <v>5x3</v>
      </c>
      <c r="H39" s="5" t="str">
        <f ca="1">IFERROR(__xludf.DUMMYFUNCTION("""COMPUTED_VALUE"""),"5")</f>
        <v>5</v>
      </c>
      <c r="I39" s="5" t="str">
        <f ca="1">IFERROR(__xludf.DUMMYFUNCTION("""COMPUTED_VALUE"""),"5")</f>
        <v>5</v>
      </c>
      <c r="J39" s="5" t="str">
        <f ca="1">IFERROR(__xludf.DUMMYFUNCTION("""COMPUTED_VALUE"""),"95.656%")</f>
        <v>95.656%</v>
      </c>
      <c r="K39" s="5" t="str">
        <f ca="1">IFERROR(__xludf.DUMMYFUNCTION("""COMPUTED_VALUE"""),"Medium")</f>
        <v>Medium</v>
      </c>
      <c r="L39" s="5" t="str">
        <f ca="1">IFERROR(__xludf.DUMMYFUNCTION("""COMPUTED_VALUE"""),"12.49%")</f>
        <v>12.49%</v>
      </c>
      <c r="M39" s="5" t="str">
        <f ca="1">IFERROR(__xludf.DUMMYFUNCTION("""COMPUTED_VALUE"""),"x1000")</f>
        <v>x1000</v>
      </c>
      <c r="N39" s="5" t="str">
        <f ca="1">IFERROR(__xludf.DUMMYFUNCTION("""COMPUTED_VALUE"""),"0.05/30")</f>
        <v>0.05/30</v>
      </c>
      <c r="O39" s="5" t="str">
        <f ca="1">IFERROR(__xludf.DUMMYFUNCTION("""COMPUTED_VALUE"""),"Yes")</f>
        <v>Yes</v>
      </c>
      <c r="P39" s="5" t="str">
        <f ca="1">IFERROR(__xludf.DUMMYFUNCTION("""COMPUTED_VALUE"""),"Scatter")</f>
        <v>Scatter</v>
      </c>
      <c r="Q39" s="7" t="str">
        <f ca="1">IFERROR(__xludf.DUMMYFUNCTION("""COMPUTED_VALUE"""),"https://gameserver-store-client-area.orbionlimited.com/Home/IntegrationGameLaunch/client-area?moneyType=0&amp;gameName=JazzyFruits&amp;platform=desktop&amp;languageCode=eng&amp;currency=EUR")</f>
        <v>https://gameserver-store-client-area.orbionlimited.com/Home/IntegrationGameLaunch/client-area?moneyType=0&amp;gameName=JazzyFruits&amp;platform=desktop&amp;languageCode=eng&amp;currency=EUR</v>
      </c>
      <c r="R39" s="5" t="str">
        <f ca="1">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S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9" s="5" t="str">
        <f ca="1">IFERROR(__xludf.DUMMYFUNCTION("""COMPUTED_VALUE"""),"Yes")</f>
        <v>Yes</v>
      </c>
      <c r="U39" s="5" t="str">
        <f ca="1">IFERROR(__xludf.DUMMYFUNCTION("""COMPUTED_VALUE"""),"Yes")</f>
        <v>Yes</v>
      </c>
      <c r="V39" s="5" t="str">
        <f ca="1">IFERROR(__xludf.DUMMYFUNCTION("""COMPUTED_VALUE"""),"Yes")</f>
        <v>Yes</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IFERROR(__xludf.DUMMYFUNCTION("""COMPUTED_VALUE"""),"Yes")</f>
        <v>Yes</v>
      </c>
      <c r="AA39" s="5" t="str">
        <f ca="1">IFERROR(__xludf.DUMMYFUNCTION("""COMPUTED_VALUE"""),"Yes")</f>
        <v>Yes</v>
      </c>
      <c r="AB39" s="5" t="str">
        <f ca="1">IFERROR(__xludf.DUMMYFUNCTION("""COMPUTED_VALUE"""),"Yes")</f>
        <v>Yes</v>
      </c>
      <c r="AC39" s="5" t="str">
        <f ca="1">IFERROR(__xludf.DUMMYFUNCTION("""COMPUTED_VALUE"""),"Yes")</f>
        <v>Yes</v>
      </c>
      <c r="AD39" s="5" t="str">
        <f ca="1">IFERROR(__xludf.DUMMYFUNCTION("""COMPUTED_VALUE"""),"Yes")</f>
        <v>Yes</v>
      </c>
      <c r="AE39" s="5" t="str">
        <f ca="1">IFERROR(__xludf.DUMMYFUNCTION("""COMPUTED_VALUE"""),"Yes")</f>
        <v>Yes</v>
      </c>
      <c r="AF39" s="5" t="str">
        <f ca="1">IFERROR(__xludf.DUMMYFUNCTION("""COMPUTED_VALUE"""),"Yes")</f>
        <v>Yes</v>
      </c>
      <c r="AG39" s="5" t="str">
        <f ca="1">IFERROR(__xludf.DUMMYFUNCTION("""COMPUTED_VALUE"""),"Yes")</f>
        <v>Yes</v>
      </c>
      <c r="AH39" s="5" t="str">
        <f ca="1">IFERROR(__xludf.DUMMYFUNCTION("""COMPUTED_VALUE"""),"Yes")</f>
        <v>Yes</v>
      </c>
      <c r="AI39" s="5" t="str">
        <f ca="1">IFERROR(__xludf.DUMMYFUNCTION("""COMPUTED_VALUE"""),"Yes")</f>
        <v>Yes</v>
      </c>
      <c r="AJ39" s="5" t="str">
        <f ca="1">IFERROR(__xludf.DUMMYFUNCTION("""COMPUTED_VALUE"""),"Yes")</f>
        <v>Yes</v>
      </c>
      <c r="AK39" s="5" t="str">
        <f ca="1">IFERROR(__xludf.DUMMYFUNCTION("""COMPUTED_VALUE"""),"Yes")</f>
        <v>Yes</v>
      </c>
      <c r="AL39" s="5" t="str">
        <f ca="1">IFERROR(__xludf.DUMMYFUNCTION("""COMPUTED_VALUE"""),"Yes")</f>
        <v>Yes</v>
      </c>
      <c r="AM39" s="5" t="str">
        <f ca="1">IFERROR(__xludf.DUMMYFUNCTION("""COMPUTED_VALUE"""),"Yes")</f>
        <v>Yes</v>
      </c>
      <c r="AN39" s="5" t="str">
        <f ca="1">IFERROR(__xludf.DUMMYFUNCTION("""COMPUTED_VALUE"""),"Yes")</f>
        <v>Yes</v>
      </c>
      <c r="AO39" s="5" t="str">
        <f ca="1">IFERROR(__xludf.DUMMYFUNCTION("""COMPUTED_VALUE"""),"Yes")</f>
        <v>Yes</v>
      </c>
      <c r="AP39" s="5" t="str">
        <f ca="1">IFERROR(__xludf.DUMMYFUNCTION("""COMPUTED_VALUE"""),"Yes")</f>
        <v>Yes</v>
      </c>
      <c r="AQ39" s="5" t="str">
        <f ca="1">IFERROR(__xludf.DUMMYFUNCTION("""COMPUTED_VALUE"""),"Yes")</f>
        <v>Yes</v>
      </c>
      <c r="AR39" s="5" t="str">
        <f ca="1">IFERROR(__xludf.DUMMYFUNCTION("""COMPUTED_VALUE"""),"Yes")</f>
        <v>Yes</v>
      </c>
      <c r="AS39" s="5" t="str">
        <f ca="1">IFERROR(__xludf.DUMMYFUNCTION("""COMPUTED_VALUE"""),"Yes")</f>
        <v>Yes</v>
      </c>
      <c r="AT39" s="5" t="str">
        <f ca="1">IFERROR(__xludf.DUMMYFUNCTION("""COMPUTED_VALUE"""),"No")</f>
        <v>No</v>
      </c>
      <c r="AU39" s="5"/>
    </row>
    <row r="40" spans="1:47" x14ac:dyDescent="0.25">
      <c r="A40" s="5" t="str">
        <f ca="1">IFERROR(__xludf.DUMMYFUNCTION("""COMPUTED_VALUE"""),"Foxi")</f>
        <v>Foxi</v>
      </c>
      <c r="B40" s="5" t="str">
        <f ca="1">IFERROR(__xludf.DUMMYFUNCTION("""COMPUTED_VALUE"""),"Crystal Hot 80")</f>
        <v>Crystal Hot 80</v>
      </c>
      <c r="C40" s="5" t="str">
        <f ca="1">IFERROR(__xludf.DUMMYFUNCTION("""COMPUTED_VALUE"""),"CrystalHot80")</f>
        <v>CrystalHot80</v>
      </c>
      <c r="D40" s="6">
        <f ca="1">IFERROR(__xludf.DUMMYFUNCTION("""COMPUTED_VALUE"""),43948)</f>
        <v>43948</v>
      </c>
      <c r="E40" s="5" t="str">
        <f ca="1">IFERROR(__xludf.DUMMYFUNCTION("""COMPUTED_VALUE"""),"Slot")</f>
        <v>Slot</v>
      </c>
      <c r="F40" s="5">
        <f ca="1">IFERROR(__xludf.DUMMYFUNCTION("""COMPUTED_VALUE"""),29.5)</f>
        <v>29.5</v>
      </c>
      <c r="G40" s="5" t="str">
        <f ca="1">IFERROR(__xludf.DUMMYFUNCTION("""COMPUTED_VALUE"""),"5x4")</f>
        <v>5x4</v>
      </c>
      <c r="H40" s="5" t="str">
        <f ca="1">IFERROR(__xludf.DUMMYFUNCTION("""COMPUTED_VALUE"""),"80")</f>
        <v>80</v>
      </c>
      <c r="I40" s="5" t="str">
        <f ca="1">IFERROR(__xludf.DUMMYFUNCTION("""COMPUTED_VALUE"""),"80")</f>
        <v>80</v>
      </c>
      <c r="J40" s="5" t="str">
        <f ca="1">IFERROR(__xludf.DUMMYFUNCTION("""COMPUTED_VALUE"""),"96.584%")</f>
        <v>96.584%</v>
      </c>
      <c r="K40" s="5" t="str">
        <f ca="1">IFERROR(__xludf.DUMMYFUNCTION("""COMPUTED_VALUE"""),"Low")</f>
        <v>Low</v>
      </c>
      <c r="L40" s="5" t="str">
        <f ca="1">IFERROR(__xludf.DUMMYFUNCTION("""COMPUTED_VALUE"""),"20.81%")</f>
        <v>20.81%</v>
      </c>
      <c r="M40" s="5" t="str">
        <f ca="1">IFERROR(__xludf.DUMMYFUNCTION("""COMPUTED_VALUE"""),"x1000")</f>
        <v>x1000</v>
      </c>
      <c r="N40" s="5" t="str">
        <f ca="1">IFERROR(__xludf.DUMMYFUNCTION("""COMPUTED_VALUE"""),"0.8/80")</f>
        <v>0.8/80</v>
      </c>
      <c r="O40" s="5" t="str">
        <f ca="1">IFERROR(__xludf.DUMMYFUNCTION("""COMPUTED_VALUE"""),"Yes")</f>
        <v>Yes</v>
      </c>
      <c r="P40" s="5" t="str">
        <f ca="1">IFERROR(__xludf.DUMMYFUNCTION("""COMPUTED_VALUE"""),"Scatter, Wild Symbol")</f>
        <v>Scatter, Wild Symbol</v>
      </c>
      <c r="Q40" s="7" t="str">
        <f ca="1">IFERROR(__xludf.DUMMYFUNCTION("""COMPUTED_VALUE"""),"https://gameserver-store-client-area.orbionlimited.com/Home/IntegrationGameLaunch/client-area?moneyType=0&amp;gameName=CrystalHot80&amp;platform=desktop&amp;languageCode=eng&amp;currency=EUR")</f>
        <v>https://gameserver-store-client-area.orbionlimited.com/Home/IntegrationGameLaunch/client-area?moneyType=0&amp;gameName=CrystalHot80&amp;platform=desktop&amp;languageCode=eng&amp;currency=EUR</v>
      </c>
      <c r="R40" s="5" t="str">
        <f ca="1">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S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IFERROR(__xludf.DUMMYFUNCTION("""COMPUTED_VALUE"""),"Yes")</f>
        <v>Yes</v>
      </c>
      <c r="AA40" s="5" t="str">
        <f ca="1">IFERROR(__xludf.DUMMYFUNCTION("""COMPUTED_VALUE"""),"Yes")</f>
        <v>Yes</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IFERROR(__xludf.DUMMYFUNCTION("""COMPUTED_VALUE"""),"Yes")</f>
        <v>Yes</v>
      </c>
      <c r="AF40" s="5" t="str">
        <f ca="1">IFERROR(__xludf.DUMMYFUNCTION("""COMPUTED_VALUE"""),"Yes")</f>
        <v>Yes</v>
      </c>
      <c r="AG40" s="5" t="str">
        <f ca="1">IFERROR(__xludf.DUMMYFUNCTION("""COMPUTED_VALUE"""),"Yes")</f>
        <v>Yes</v>
      </c>
      <c r="AH40" s="5" t="str">
        <f ca="1">IFERROR(__xludf.DUMMYFUNCTION("""COMPUTED_VALUE"""),"Yes")</f>
        <v>Yes</v>
      </c>
      <c r="AI40" s="5" t="str">
        <f ca="1">IFERROR(__xludf.DUMMYFUNCTION("""COMPUTED_VALUE"""),"Yes")</f>
        <v>Yes</v>
      </c>
      <c r="AJ40" s="5" t="str">
        <f ca="1">IFERROR(__xludf.DUMMYFUNCTION("""COMPUTED_VALUE"""),"Yes")</f>
        <v>Yes</v>
      </c>
      <c r="AK40" s="5" t="str">
        <f ca="1">IFERROR(__xludf.DUMMYFUNCTION("""COMPUTED_VALUE"""),"Yes")</f>
        <v>Yes</v>
      </c>
      <c r="AL40" s="5" t="str">
        <f ca="1">IFERROR(__xludf.DUMMYFUNCTION("""COMPUTED_VALUE"""),"Yes")</f>
        <v>Yes</v>
      </c>
      <c r="AM40" s="5" t="str">
        <f ca="1">IFERROR(__xludf.DUMMYFUNCTION("""COMPUTED_VALUE"""),"Yes")</f>
        <v>Yes</v>
      </c>
      <c r="AN40" s="5" t="str">
        <f ca="1">IFERROR(__xludf.DUMMYFUNCTION("""COMPUTED_VALUE"""),"Yes")</f>
        <v>Yes</v>
      </c>
      <c r="AO40" s="5" t="str">
        <f ca="1">IFERROR(__xludf.DUMMYFUNCTION("""COMPUTED_VALUE"""),"Yes")</f>
        <v>Yes</v>
      </c>
      <c r="AP40" s="5" t="str">
        <f ca="1">IFERROR(__xludf.DUMMYFUNCTION("""COMPUTED_VALUE"""),"Yes")</f>
        <v>Yes</v>
      </c>
      <c r="AQ40" s="5" t="str">
        <f ca="1">IFERROR(__xludf.DUMMYFUNCTION("""COMPUTED_VALUE"""),"Yes")</f>
        <v>Yes</v>
      </c>
      <c r="AR40" s="5" t="str">
        <f ca="1">IFERROR(__xludf.DUMMYFUNCTION("""COMPUTED_VALUE"""),"Yes")</f>
        <v>Yes</v>
      </c>
      <c r="AS40" s="5" t="str">
        <f ca="1">IFERROR(__xludf.DUMMYFUNCTION("""COMPUTED_VALUE"""),"Yes")</f>
        <v>Yes</v>
      </c>
      <c r="AT40" s="5" t="str">
        <f ca="1">IFERROR(__xludf.DUMMYFUNCTION("""COMPUTED_VALUE"""),"No")</f>
        <v>No</v>
      </c>
      <c r="AU40" s="5"/>
    </row>
    <row r="41" spans="1:47" x14ac:dyDescent="0.25">
      <c r="A41" s="5" t="str">
        <f ca="1">IFERROR(__xludf.DUMMYFUNCTION("""COMPUTED_VALUE"""),"Foxi")</f>
        <v>Foxi</v>
      </c>
      <c r="B41" s="5" t="str">
        <f ca="1">IFERROR(__xludf.DUMMYFUNCTION("""COMPUTED_VALUE"""),"Crystal Hot 40 Deluxe")</f>
        <v>Crystal Hot 40 Deluxe</v>
      </c>
      <c r="C41" s="5" t="str">
        <f ca="1">IFERROR(__xludf.DUMMYFUNCTION("""COMPUTED_VALUE"""),"CrystalHot40Deluxe")</f>
        <v>CrystalHot40Deluxe</v>
      </c>
      <c r="D41" s="6">
        <f ca="1">IFERROR(__xludf.DUMMYFUNCTION("""COMPUTED_VALUE"""),43976)</f>
        <v>43976</v>
      </c>
      <c r="E41" s="5" t="str">
        <f ca="1">IFERROR(__xludf.DUMMYFUNCTION("""COMPUTED_VALUE"""),"Slot")</f>
        <v>Slot</v>
      </c>
      <c r="F41" s="5">
        <f ca="1">IFERROR(__xludf.DUMMYFUNCTION("""COMPUTED_VALUE"""),28.8)</f>
        <v>28.8</v>
      </c>
      <c r="G41" s="5" t="str">
        <f ca="1">IFERROR(__xludf.DUMMYFUNCTION("""COMPUTED_VALUE"""),"5x4")</f>
        <v>5x4</v>
      </c>
      <c r="H41" s="5" t="str">
        <f ca="1">IFERROR(__xludf.DUMMYFUNCTION("""COMPUTED_VALUE"""),"40")</f>
        <v>40</v>
      </c>
      <c r="I41" s="5" t="str">
        <f ca="1">IFERROR(__xludf.DUMMYFUNCTION("""COMPUTED_VALUE"""),"40")</f>
        <v>40</v>
      </c>
      <c r="J41" s="5" t="str">
        <f ca="1">IFERROR(__xludf.DUMMYFUNCTION("""COMPUTED_VALUE"""),"96.433%")</f>
        <v>96.433%</v>
      </c>
      <c r="K41" s="5" t="str">
        <f ca="1">IFERROR(__xludf.DUMMYFUNCTION("""COMPUTED_VALUE"""),"Low")</f>
        <v>Low</v>
      </c>
      <c r="L41" s="5" t="str">
        <f ca="1">IFERROR(__xludf.DUMMYFUNCTION("""COMPUTED_VALUE"""),"19.94%")</f>
        <v>19.94%</v>
      </c>
      <c r="M41" s="5" t="str">
        <f ca="1">IFERROR(__xludf.DUMMYFUNCTION("""COMPUTED_VALUE"""),"x1000")</f>
        <v>x1000</v>
      </c>
      <c r="N41" s="5" t="str">
        <f ca="1">IFERROR(__xludf.DUMMYFUNCTION("""COMPUTED_VALUE"""),"0.4/40")</f>
        <v>0.4/40</v>
      </c>
      <c r="O41" s="5" t="str">
        <f ca="1">IFERROR(__xludf.DUMMYFUNCTION("""COMPUTED_VALUE"""),"Yes")</f>
        <v>Yes</v>
      </c>
      <c r="P41" s="5" t="str">
        <f ca="1">IFERROR(__xludf.DUMMYFUNCTION("""COMPUTED_VALUE"""),"Scatter, Wild Symbol")</f>
        <v>Scatter, Wild Symbol</v>
      </c>
      <c r="Q41" s="7" t="str">
        <f ca="1">IFERROR(__xludf.DUMMYFUNCTION("""COMPUTED_VALUE"""),"https://gameserver-store-client-area.orbionlimited.com/Home/IntegrationGameLaunch/client-area?moneyType=0&amp;gameName=CrystalHot40Deluxe&amp;platform=desktop&amp;languageCode=eng&amp;currency=EUR")</f>
        <v>https://gameserver-store-client-area.orbionlimited.com/Home/IntegrationGameLaunch/client-area?moneyType=0&amp;gameName=CrystalHot40Deluxe&amp;platform=desktop&amp;languageCode=eng&amp;currency=EUR</v>
      </c>
      <c r="R41" s="5" t="str">
        <f ca="1">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S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IFERROR(__xludf.DUMMYFUNCTION("""COMPUTED_VALUE"""),"Yes")</f>
        <v>Yes</v>
      </c>
      <c r="AA41" s="5" t="str">
        <f ca="1">IFERROR(__xludf.DUMMYFUNCTION("""COMPUTED_VALUE"""),"Yes")</f>
        <v>Yes</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IFERROR(__xludf.DUMMYFUNCTION("""COMPUTED_VALUE"""),"Yes")</f>
        <v>Yes</v>
      </c>
      <c r="AF41" s="5" t="str">
        <f ca="1">IFERROR(__xludf.DUMMYFUNCTION("""COMPUTED_VALUE"""),"Yes")</f>
        <v>Yes</v>
      </c>
      <c r="AG41" s="5" t="str">
        <f ca="1">IFERROR(__xludf.DUMMYFUNCTION("""COMPUTED_VALUE"""),"Yes")</f>
        <v>Yes</v>
      </c>
      <c r="AH41" s="5" t="str">
        <f ca="1">IFERROR(__xludf.DUMMYFUNCTION("""COMPUTED_VALUE"""),"Yes")</f>
        <v>Yes</v>
      </c>
      <c r="AI41" s="5" t="str">
        <f ca="1">IFERROR(__xludf.DUMMYFUNCTION("""COMPUTED_VALUE"""),"Yes")</f>
        <v>Yes</v>
      </c>
      <c r="AJ41" s="5" t="str">
        <f ca="1">IFERROR(__xludf.DUMMYFUNCTION("""COMPUTED_VALUE"""),"Yes")</f>
        <v>Yes</v>
      </c>
      <c r="AK41" s="5" t="str">
        <f ca="1">IFERROR(__xludf.DUMMYFUNCTION("""COMPUTED_VALUE"""),"Yes")</f>
        <v>Yes</v>
      </c>
      <c r="AL41" s="5" t="str">
        <f ca="1">IFERROR(__xludf.DUMMYFUNCTION("""COMPUTED_VALUE"""),"Yes")</f>
        <v>Yes</v>
      </c>
      <c r="AM41" s="5" t="str">
        <f ca="1">IFERROR(__xludf.DUMMYFUNCTION("""COMPUTED_VALUE"""),"Yes")</f>
        <v>Yes</v>
      </c>
      <c r="AN41" s="5" t="str">
        <f ca="1">IFERROR(__xludf.DUMMYFUNCTION("""COMPUTED_VALUE"""),"Yes")</f>
        <v>Yes</v>
      </c>
      <c r="AO41" s="5" t="str">
        <f ca="1">IFERROR(__xludf.DUMMYFUNCTION("""COMPUTED_VALUE"""),"Yes")</f>
        <v>Yes</v>
      </c>
      <c r="AP41" s="5" t="str">
        <f ca="1">IFERROR(__xludf.DUMMYFUNCTION("""COMPUTED_VALUE"""),"Yes")</f>
        <v>Yes</v>
      </c>
      <c r="AQ41" s="5" t="str">
        <f ca="1">IFERROR(__xludf.DUMMYFUNCTION("""COMPUTED_VALUE"""),"Yes")</f>
        <v>Yes</v>
      </c>
      <c r="AR41" s="5" t="str">
        <f ca="1">IFERROR(__xludf.DUMMYFUNCTION("""COMPUTED_VALUE"""),"Yes")</f>
        <v>Yes</v>
      </c>
      <c r="AS41" s="5" t="str">
        <f ca="1">IFERROR(__xludf.DUMMYFUNCTION("""COMPUTED_VALUE"""),"Yes")</f>
        <v>Yes</v>
      </c>
      <c r="AT41" s="5" t="str">
        <f ca="1">IFERROR(__xludf.DUMMYFUNCTION("""COMPUTED_VALUE"""),"No")</f>
        <v>No</v>
      </c>
      <c r="AU41" s="5"/>
    </row>
    <row r="42" spans="1:47" x14ac:dyDescent="0.25">
      <c r="A42" s="5" t="str">
        <f ca="1">IFERROR(__xludf.DUMMYFUNCTION("""COMPUTED_VALUE"""),"Foxi")</f>
        <v>Foxi</v>
      </c>
      <c r="B42" s="5" t="str">
        <f ca="1">IFERROR(__xludf.DUMMYFUNCTION("""COMPUTED_VALUE"""),"Wild Hot 40")</f>
        <v>Wild Hot 40</v>
      </c>
      <c r="C42" s="5" t="str">
        <f ca="1">IFERROR(__xludf.DUMMYFUNCTION("""COMPUTED_VALUE"""),"WildHot40")</f>
        <v>WildHot40</v>
      </c>
      <c r="D42" s="6">
        <f ca="1">IFERROR(__xludf.DUMMYFUNCTION("""COMPUTED_VALUE"""),43872)</f>
        <v>43872</v>
      </c>
      <c r="E42" s="5" t="str">
        <f ca="1">IFERROR(__xludf.DUMMYFUNCTION("""COMPUTED_VALUE"""),"Slot")</f>
        <v>Slot</v>
      </c>
      <c r="F42" s="5">
        <f ca="1">IFERROR(__xludf.DUMMYFUNCTION("""COMPUTED_VALUE"""),27.7)</f>
        <v>27.7</v>
      </c>
      <c r="G42" s="5" t="str">
        <f ca="1">IFERROR(__xludf.DUMMYFUNCTION("""COMPUTED_VALUE"""),"5x4")</f>
        <v>5x4</v>
      </c>
      <c r="H42" s="5" t="str">
        <f ca="1">IFERROR(__xludf.DUMMYFUNCTION("""COMPUTED_VALUE"""),"40")</f>
        <v>40</v>
      </c>
      <c r="I42" s="5" t="str">
        <f ca="1">IFERROR(__xludf.DUMMYFUNCTION("""COMPUTED_VALUE"""),"40")</f>
        <v>40</v>
      </c>
      <c r="J42" s="5" t="str">
        <f ca="1">IFERROR(__xludf.DUMMYFUNCTION("""COMPUTED_VALUE"""),"96.584%")</f>
        <v>96.584%</v>
      </c>
      <c r="K42" s="5" t="str">
        <f ca="1">IFERROR(__xludf.DUMMYFUNCTION("""COMPUTED_VALUE"""),"Low")</f>
        <v>Low</v>
      </c>
      <c r="L42" s="5" t="str">
        <f ca="1">IFERROR(__xludf.DUMMYFUNCTION("""COMPUTED_VALUE"""),"16.73%")</f>
        <v>16.73%</v>
      </c>
      <c r="M42" s="5" t="str">
        <f ca="1">IFERROR(__xludf.DUMMYFUNCTION("""COMPUTED_VALUE"""),"x1000")</f>
        <v>x1000</v>
      </c>
      <c r="N42" s="5" t="str">
        <f ca="1">IFERROR(__xludf.DUMMYFUNCTION("""COMPUTED_VALUE"""),"0.40/60")</f>
        <v>0.40/60</v>
      </c>
      <c r="O42" s="5" t="str">
        <f ca="1">IFERROR(__xludf.DUMMYFUNCTION("""COMPUTED_VALUE"""),"Yes")</f>
        <v>Yes</v>
      </c>
      <c r="P42" s="5" t="str">
        <f ca="1">IFERROR(__xludf.DUMMYFUNCTION("""COMPUTED_VALUE"""),"Wild Symbol, Scatter")</f>
        <v>Wild Symbol, Scatter</v>
      </c>
      <c r="Q42" s="7" t="str">
        <f ca="1">IFERROR(__xludf.DUMMYFUNCTION("""COMPUTED_VALUE"""),"https://gameserver-store-client-area.orbionlimited.com/Home/IntegrationGameLaunch/client-area?moneyType=0&amp;gameName=WildHot40&amp;platform=desktop&amp;languageCode=eng&amp;currency=EUR")</f>
        <v>https://gameserver-store-client-area.orbionlimited.com/Home/IntegrationGameLaunch/client-area?moneyType=0&amp;gameName=WildHot40&amp;platform=desktop&amp;languageCode=eng&amp;currency=EUR</v>
      </c>
      <c r="R42" s="5" t="str">
        <f ca="1">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S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IFERROR(__xludf.DUMMYFUNCTION("""COMPUTED_VALUE"""),"Yes")</f>
        <v>Yes</v>
      </c>
      <c r="AF42" s="5" t="str">
        <f ca="1">IFERROR(__xludf.DUMMYFUNCTION("""COMPUTED_VALUE"""),"Yes")</f>
        <v>Yes</v>
      </c>
      <c r="AG42" s="5" t="str">
        <f ca="1">IFERROR(__xludf.DUMMYFUNCTION("""COMPUTED_VALUE"""),"Yes")</f>
        <v>Yes</v>
      </c>
      <c r="AH42" s="5" t="str">
        <f ca="1">IFERROR(__xludf.DUMMYFUNCTION("""COMPUTED_VALUE"""),"Yes")</f>
        <v>Yes</v>
      </c>
      <c r="AI42" s="5" t="str">
        <f ca="1">IFERROR(__xludf.DUMMYFUNCTION("""COMPUTED_VALUE"""),"Yes")</f>
        <v>Yes</v>
      </c>
      <c r="AJ42" s="5" t="str">
        <f ca="1">IFERROR(__xludf.DUMMYFUNCTION("""COMPUTED_VALUE"""),"Yes")</f>
        <v>Yes</v>
      </c>
      <c r="AK42" s="5" t="str">
        <f ca="1">IFERROR(__xludf.DUMMYFUNCTION("""COMPUTED_VALUE"""),"Yes")</f>
        <v>Yes</v>
      </c>
      <c r="AL42" s="5" t="str">
        <f ca="1">IFERROR(__xludf.DUMMYFUNCTION("""COMPUTED_VALUE"""),"Yes")</f>
        <v>Yes</v>
      </c>
      <c r="AM42" s="5" t="str">
        <f ca="1">IFERROR(__xludf.DUMMYFUNCTION("""COMPUTED_VALUE"""),"Yes")</f>
        <v>Yes</v>
      </c>
      <c r="AN42" s="5" t="str">
        <f ca="1">IFERROR(__xludf.DUMMYFUNCTION("""COMPUTED_VALUE"""),"Yes")</f>
        <v>Yes</v>
      </c>
      <c r="AO42" s="5" t="str">
        <f ca="1">IFERROR(__xludf.DUMMYFUNCTION("""COMPUTED_VALUE"""),"Yes")</f>
        <v>Yes</v>
      </c>
      <c r="AP42" s="5" t="str">
        <f ca="1">IFERROR(__xludf.DUMMYFUNCTION("""COMPUTED_VALUE"""),"Yes")</f>
        <v>Yes</v>
      </c>
      <c r="AQ42" s="5" t="str">
        <f ca="1">IFERROR(__xludf.DUMMYFUNCTION("""COMPUTED_VALUE"""),"Yes")</f>
        <v>Yes</v>
      </c>
      <c r="AR42" s="5" t="str">
        <f ca="1">IFERROR(__xludf.DUMMYFUNCTION("""COMPUTED_VALUE"""),"Yes")</f>
        <v>Yes</v>
      </c>
      <c r="AS42" s="5" t="str">
        <f ca="1">IFERROR(__xludf.DUMMYFUNCTION("""COMPUTED_VALUE"""),"Yes")</f>
        <v>Yes</v>
      </c>
      <c r="AT42" s="5" t="str">
        <f ca="1">IFERROR(__xludf.DUMMYFUNCTION("""COMPUTED_VALUE"""),"No")</f>
        <v>No</v>
      </c>
      <c r="AU42" s="5"/>
    </row>
    <row r="43" spans="1:47" x14ac:dyDescent="0.25">
      <c r="A43" s="5" t="str">
        <f ca="1">IFERROR(__xludf.DUMMYFUNCTION("""COMPUTED_VALUE"""),"Foxi")</f>
        <v>Foxi</v>
      </c>
      <c r="B43" s="5" t="str">
        <f ca="1">IFERROR(__xludf.DUMMYFUNCTION("""COMPUTED_VALUE"""),"Dolphin's Shine")</f>
        <v>Dolphin's Shine</v>
      </c>
      <c r="C43" s="5" t="str">
        <f ca="1">IFERROR(__xludf.DUMMYFUNCTION("""COMPUTED_VALUE"""),"DolphinsShine")</f>
        <v>DolphinsShine</v>
      </c>
      <c r="D43" s="6">
        <f ca="1">IFERROR(__xludf.DUMMYFUNCTION("""COMPUTED_VALUE"""),44221)</f>
        <v>44221</v>
      </c>
      <c r="E43" s="5" t="str">
        <f ca="1">IFERROR(__xludf.DUMMYFUNCTION("""COMPUTED_VALUE"""),"Slot")</f>
        <v>Slot</v>
      </c>
      <c r="F43" s="5">
        <f ca="1">IFERROR(__xludf.DUMMYFUNCTION("""COMPUTED_VALUE"""),27.9)</f>
        <v>27.9</v>
      </c>
      <c r="G43" s="5" t="str">
        <f ca="1">IFERROR(__xludf.DUMMYFUNCTION("""COMPUTED_VALUE"""),"5x3")</f>
        <v>5x3</v>
      </c>
      <c r="H43" s="5" t="str">
        <f ca="1">IFERROR(__xludf.DUMMYFUNCTION("""COMPUTED_VALUE"""),"9")</f>
        <v>9</v>
      </c>
      <c r="I43" s="5" t="str">
        <f ca="1">IFERROR(__xludf.DUMMYFUNCTION("""COMPUTED_VALUE"""),"9")</f>
        <v>9</v>
      </c>
      <c r="J43" s="5" t="str">
        <f ca="1">IFERROR(__xludf.DUMMYFUNCTION("""COMPUTED_VALUE"""),"96.17%")</f>
        <v>96.17%</v>
      </c>
      <c r="K43" s="5" t="str">
        <f ca="1">IFERROR(__xludf.DUMMYFUNCTION("""COMPUTED_VALUE"""),"High")</f>
        <v>High</v>
      </c>
      <c r="L43" s="5" t="str">
        <f ca="1">IFERROR(__xludf.DUMMYFUNCTION("""COMPUTED_VALUE"""),"24.7%")</f>
        <v>24.7%</v>
      </c>
      <c r="M43" s="5" t="str">
        <f ca="1">IFERROR(__xludf.DUMMYFUNCTION("""COMPUTED_VALUE"""),"x4319")</f>
        <v>x4319</v>
      </c>
      <c r="N43" s="5" t="str">
        <f ca="1">IFERROR(__xludf.DUMMYFUNCTION("""COMPUTED_VALUE"""),"0.09/36")</f>
        <v>0.09/36</v>
      </c>
      <c r="O43" s="5" t="str">
        <f ca="1">IFERROR(__xludf.DUMMYFUNCTION("""COMPUTED_VALUE"""),"Yes")</f>
        <v>Yes</v>
      </c>
      <c r="P43" s="5" t="str">
        <f ca="1">IFERROR(__xludf.DUMMYFUNCTION("""COMPUTED_VALUE"""),"Bonus Game with Multiplier, Wild Multiplier, Scatter")</f>
        <v>Bonus Game with Multiplier, Wild Multiplier, Scatter</v>
      </c>
      <c r="Q43" s="7" t="str">
        <f ca="1">IFERROR(__xludf.DUMMYFUNCTION("""COMPUTED_VALUE"""),"https://gameserver-store-client-area.orbionlimited.com/Home/IntegrationGameLaunch/client-area?moneyType=0&amp;gameName=DolphinsShine&amp;platform=desktop&amp;languageCode=eng&amp;currency=EUR")</f>
        <v>https://gameserver-store-client-area.orbionlimited.com/Home/IntegrationGameLaunch/client-area?moneyType=0&amp;gameName=DolphinsShine&amp;platform=desktop&amp;languageCode=eng&amp;currency=EUR</v>
      </c>
      <c r="R43" s="5" t="str">
        <f ca="1">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S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IFERROR(__xludf.DUMMYFUNCTION("""COMPUTED_VALUE"""),"Yes")</f>
        <v>Yes</v>
      </c>
      <c r="AF43" s="5" t="str">
        <f ca="1">IFERROR(__xludf.DUMMYFUNCTION("""COMPUTED_VALUE"""),"Yes")</f>
        <v>Yes</v>
      </c>
      <c r="AG43" s="5" t="str">
        <f ca="1">IFERROR(__xludf.DUMMYFUNCTION("""COMPUTED_VALUE"""),"Yes")</f>
        <v>Yes</v>
      </c>
      <c r="AH43" s="5" t="str">
        <f ca="1">IFERROR(__xludf.DUMMYFUNCTION("""COMPUTED_VALUE"""),"Yes")</f>
        <v>Yes</v>
      </c>
      <c r="AI43" s="5" t="str">
        <f ca="1">IFERROR(__xludf.DUMMYFUNCTION("""COMPUTED_VALUE"""),"Yes")</f>
        <v>Yes</v>
      </c>
      <c r="AJ43" s="5" t="str">
        <f ca="1">IFERROR(__xludf.DUMMYFUNCTION("""COMPUTED_VALUE"""),"Yes")</f>
        <v>Yes</v>
      </c>
      <c r="AK43" s="5" t="str">
        <f ca="1">IFERROR(__xludf.DUMMYFUNCTION("""COMPUTED_VALUE"""),"Yes")</f>
        <v>Yes</v>
      </c>
      <c r="AL43" s="5" t="str">
        <f ca="1">IFERROR(__xludf.DUMMYFUNCTION("""COMPUTED_VALUE"""),"Yes")</f>
        <v>Yes</v>
      </c>
      <c r="AM43" s="5" t="str">
        <f ca="1">IFERROR(__xludf.DUMMYFUNCTION("""COMPUTED_VALUE"""),"Yes")</f>
        <v>Yes</v>
      </c>
      <c r="AN43" s="5" t="str">
        <f ca="1">IFERROR(__xludf.DUMMYFUNCTION("""COMPUTED_VALUE"""),"Yes")</f>
        <v>Yes</v>
      </c>
      <c r="AO43" s="5" t="str">
        <f ca="1">IFERROR(__xludf.DUMMYFUNCTION("""COMPUTED_VALUE"""),"Yes")</f>
        <v>Yes</v>
      </c>
      <c r="AP43" s="5" t="str">
        <f ca="1">IFERROR(__xludf.DUMMYFUNCTION("""COMPUTED_VALUE"""),"Yes")</f>
        <v>Yes</v>
      </c>
      <c r="AQ43" s="5" t="str">
        <f ca="1">IFERROR(__xludf.DUMMYFUNCTION("""COMPUTED_VALUE"""),"Yes")</f>
        <v>Yes</v>
      </c>
      <c r="AR43" s="5" t="str">
        <f ca="1">IFERROR(__xludf.DUMMYFUNCTION("""COMPUTED_VALUE"""),"Yes")</f>
        <v>Yes</v>
      </c>
      <c r="AS43" s="5" t="str">
        <f ca="1">IFERROR(__xludf.DUMMYFUNCTION("""COMPUTED_VALUE"""),"Yes")</f>
        <v>Yes</v>
      </c>
      <c r="AT43" s="5" t="str">
        <f ca="1">IFERROR(__xludf.DUMMYFUNCTION("""COMPUTED_VALUE"""),"No")</f>
        <v>No</v>
      </c>
      <c r="AU43" s="5"/>
    </row>
    <row r="44" spans="1:47" x14ac:dyDescent="0.25">
      <c r="A44" s="5" t="str">
        <f ca="1">IFERROR(__xludf.DUMMYFUNCTION("""COMPUTED_VALUE"""),"Foxi")</f>
        <v>Foxi</v>
      </c>
      <c r="B44" s="5" t="str">
        <f ca="1">IFERROR(__xludf.DUMMYFUNCTION("""COMPUTED_VALUE"""),"Golden Crown")</f>
        <v>Golden Crown</v>
      </c>
      <c r="C44" s="5" t="str">
        <f ca="1">IFERROR(__xludf.DUMMYFUNCTION("""COMPUTED_VALUE"""),"GoldenCrown")</f>
        <v>GoldenCrown</v>
      </c>
      <c r="D44" s="6">
        <f ca="1">IFERROR(__xludf.DUMMYFUNCTION("""COMPUTED_VALUE"""),44256)</f>
        <v>44256</v>
      </c>
      <c r="E44" s="5" t="str">
        <f ca="1">IFERROR(__xludf.DUMMYFUNCTION("""COMPUTED_VALUE"""),"Slot")</f>
        <v>Slot</v>
      </c>
      <c r="F44" s="5">
        <f ca="1">IFERROR(__xludf.DUMMYFUNCTION("""COMPUTED_VALUE"""),46.2)</f>
        <v>46.2</v>
      </c>
      <c r="G44" s="5" t="str">
        <f ca="1">IFERROR(__xludf.DUMMYFUNCTION("""COMPUTED_VALUE"""),"5x3")</f>
        <v>5x3</v>
      </c>
      <c r="H44" s="5" t="str">
        <f ca="1">IFERROR(__xludf.DUMMYFUNCTION("""COMPUTED_VALUE"""),"10")</f>
        <v>10</v>
      </c>
      <c r="I44" s="5" t="str">
        <f ca="1">IFERROR(__xludf.DUMMYFUNCTION("""COMPUTED_VALUE"""),"10")</f>
        <v>10</v>
      </c>
      <c r="J44" s="5" t="str">
        <f ca="1">IFERROR(__xludf.DUMMYFUNCTION("""COMPUTED_VALUE"""),"95.962%")</f>
        <v>95.962%</v>
      </c>
      <c r="K44" s="5" t="str">
        <f ca="1">IFERROR(__xludf.DUMMYFUNCTION("""COMPUTED_VALUE"""),"Medium")</f>
        <v>Medium</v>
      </c>
      <c r="L44" s="5" t="str">
        <f ca="1">IFERROR(__xludf.DUMMYFUNCTION("""COMPUTED_VALUE"""),"14.63%")</f>
        <v>14.63%</v>
      </c>
      <c r="M44" s="5" t="str">
        <f ca="1">IFERROR(__xludf.DUMMYFUNCTION("""COMPUTED_VALUE"""),"x1538")</f>
        <v>x1538</v>
      </c>
      <c r="N44" s="5" t="str">
        <f ca="1">IFERROR(__xludf.DUMMYFUNCTION("""COMPUTED_VALUE"""),"0.1/40")</f>
        <v>0.1/40</v>
      </c>
      <c r="O44" s="5" t="str">
        <f ca="1">IFERROR(__xludf.DUMMYFUNCTION("""COMPUTED_VALUE"""),"Yes")</f>
        <v>Yes</v>
      </c>
      <c r="P44" s="5" t="str">
        <f ca="1">IFERROR(__xludf.DUMMYFUNCTION("""COMPUTED_VALUE"""),"Scatter, Expanding Wild")</f>
        <v>Scatter, Expanding Wild</v>
      </c>
      <c r="Q44" s="7" t="str">
        <f ca="1">IFERROR(__xludf.DUMMYFUNCTION("""COMPUTED_VALUE"""),"https://gameserver-store-client-area.orbionlimited.com/Home/IntegrationGameLaunch/client-area?moneyType=0&amp;gameName=GoldenCrown&amp;platform=desktop&amp;languageCode=eng&amp;currency=EUR")</f>
        <v>https://gameserver-store-client-area.orbionlimited.com/Home/IntegrationGameLaunch/client-area?moneyType=0&amp;gameName=GoldenCrown&amp;platform=desktop&amp;languageCode=eng&amp;currency=EUR</v>
      </c>
      <c r="R44" s="5" t="str">
        <f ca="1">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S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IFERROR(__xludf.DUMMYFUNCTION("""COMPUTED_VALUE"""),"Yes")</f>
        <v>Yes</v>
      </c>
      <c r="AF44" s="5" t="str">
        <f ca="1">IFERROR(__xludf.DUMMYFUNCTION("""COMPUTED_VALUE"""),"Yes")</f>
        <v>Yes</v>
      </c>
      <c r="AG44" s="5" t="str">
        <f ca="1">IFERROR(__xludf.DUMMYFUNCTION("""COMPUTED_VALUE"""),"Yes")</f>
        <v>Yes</v>
      </c>
      <c r="AH44" s="5" t="str">
        <f ca="1">IFERROR(__xludf.DUMMYFUNCTION("""COMPUTED_VALUE"""),"Yes")</f>
        <v>Yes</v>
      </c>
      <c r="AI44" s="5" t="str">
        <f ca="1">IFERROR(__xludf.DUMMYFUNCTION("""COMPUTED_VALUE"""),"Yes")</f>
        <v>Yes</v>
      </c>
      <c r="AJ44" s="5" t="str">
        <f ca="1">IFERROR(__xludf.DUMMYFUNCTION("""COMPUTED_VALUE"""),"Yes")</f>
        <v>Yes</v>
      </c>
      <c r="AK44" s="5" t="str">
        <f ca="1">IFERROR(__xludf.DUMMYFUNCTION("""COMPUTED_VALUE"""),"Yes")</f>
        <v>Yes</v>
      </c>
      <c r="AL44" s="5" t="str">
        <f ca="1">IFERROR(__xludf.DUMMYFUNCTION("""COMPUTED_VALUE"""),"Yes")</f>
        <v>Yes</v>
      </c>
      <c r="AM44" s="5" t="str">
        <f ca="1">IFERROR(__xludf.DUMMYFUNCTION("""COMPUTED_VALUE"""),"Yes")</f>
        <v>Yes</v>
      </c>
      <c r="AN44" s="5" t="str">
        <f ca="1">IFERROR(__xludf.DUMMYFUNCTION("""COMPUTED_VALUE"""),"Yes")</f>
        <v>Yes</v>
      </c>
      <c r="AO44" s="5" t="str">
        <f ca="1">IFERROR(__xludf.DUMMYFUNCTION("""COMPUTED_VALUE"""),"Yes")</f>
        <v>Yes</v>
      </c>
      <c r="AP44" s="5" t="str">
        <f ca="1">IFERROR(__xludf.DUMMYFUNCTION("""COMPUTED_VALUE"""),"Yes")</f>
        <v>Yes</v>
      </c>
      <c r="AQ44" s="5" t="str">
        <f ca="1">IFERROR(__xludf.DUMMYFUNCTION("""COMPUTED_VALUE"""),"Yes")</f>
        <v>Yes</v>
      </c>
      <c r="AR44" s="5" t="str">
        <f ca="1">IFERROR(__xludf.DUMMYFUNCTION("""COMPUTED_VALUE"""),"Yes")</f>
        <v>Yes</v>
      </c>
      <c r="AS44" s="5" t="str">
        <f ca="1">IFERROR(__xludf.DUMMYFUNCTION("""COMPUTED_VALUE"""),"Yes")</f>
        <v>Yes</v>
      </c>
      <c r="AT44" s="5" t="str">
        <f ca="1">IFERROR(__xludf.DUMMYFUNCTION("""COMPUTED_VALUE"""),"No")</f>
        <v>No</v>
      </c>
      <c r="AU44" s="5"/>
    </row>
    <row r="45" spans="1:47" x14ac:dyDescent="0.25">
      <c r="A45" s="5" t="str">
        <f ca="1">IFERROR(__xludf.DUMMYFUNCTION("""COMPUTED_VALUE"""),"Foxi")</f>
        <v>Foxi</v>
      </c>
      <c r="B45" s="5" t="str">
        <f ca="1">IFERROR(__xludf.DUMMYFUNCTION("""COMPUTED_VALUE"""),"Mystery Joker Hot")</f>
        <v>Mystery Joker Hot</v>
      </c>
      <c r="C45" s="5" t="str">
        <f ca="1">IFERROR(__xludf.DUMMYFUNCTION("""COMPUTED_VALUE"""),"MysteryJokerHot")</f>
        <v>MysteryJokerHot</v>
      </c>
      <c r="D45" s="6">
        <f ca="1">IFERROR(__xludf.DUMMYFUNCTION("""COMPUTED_VALUE"""),44341)</f>
        <v>44341</v>
      </c>
      <c r="E45" s="5" t="str">
        <f ca="1">IFERROR(__xludf.DUMMYFUNCTION("""COMPUTED_VALUE"""),"Slot")</f>
        <v>Slot</v>
      </c>
      <c r="F45" s="5">
        <f ca="1">IFERROR(__xludf.DUMMYFUNCTION("""COMPUTED_VALUE"""),28.2)</f>
        <v>28.2</v>
      </c>
      <c r="G45" s="5" t="str">
        <f ca="1">IFERROR(__xludf.DUMMYFUNCTION("""COMPUTED_VALUE"""),"3x3")</f>
        <v>3x3</v>
      </c>
      <c r="H45" s="5" t="str">
        <f ca="1">IFERROR(__xludf.DUMMYFUNCTION("""COMPUTED_VALUE"""),"27")</f>
        <v>27</v>
      </c>
      <c r="I45" s="5" t="str">
        <f ca="1">IFERROR(__xludf.DUMMYFUNCTION("""COMPUTED_VALUE"""),"27")</f>
        <v>27</v>
      </c>
      <c r="J45" s="5" t="str">
        <f ca="1">IFERROR(__xludf.DUMMYFUNCTION("""COMPUTED_VALUE"""),"96.291%")</f>
        <v>96.291%</v>
      </c>
      <c r="K45" s="5" t="str">
        <f ca="1">IFERROR(__xludf.DUMMYFUNCTION("""COMPUTED_VALUE"""),"Medium")</f>
        <v>Medium</v>
      </c>
      <c r="L45" s="5" t="str">
        <f ca="1">IFERROR(__xludf.DUMMYFUNCTION("""COMPUTED_VALUE"""),"7.95%")</f>
        <v>7.95%</v>
      </c>
      <c r="M45" s="5" t="str">
        <f ca="1">IFERROR(__xludf.DUMMYFUNCTION("""COMPUTED_VALUE"""),"x540")</f>
        <v>x540</v>
      </c>
      <c r="N45" s="5" t="str">
        <f ca="1">IFERROR(__xludf.DUMMYFUNCTION("""COMPUTED_VALUE"""),"0.1/50")</f>
        <v>0.1/50</v>
      </c>
      <c r="O45" s="5" t="str">
        <f ca="1">IFERROR(__xludf.DUMMYFUNCTION("""COMPUTED_VALUE"""),"Yes")</f>
        <v>Yes</v>
      </c>
      <c r="P45" s="5" t="str">
        <f ca="1">IFERROR(__xludf.DUMMYFUNCTION("""COMPUTED_VALUE"""),"Wild Symbol, Respin, Win Multiplier")</f>
        <v>Wild Symbol, Respin, Win Multiplier</v>
      </c>
      <c r="Q45" s="7" t="str">
        <f ca="1">IFERROR(__xludf.DUMMYFUNCTION("""COMPUTED_VALUE"""),"https://gameserver-store-client-area.orbionlimited.com/Home/IntegrationGameLaunch/client-area?moneyType=0&amp;gameName=MysteryJokerHot&amp;platform=desktop&amp;languageCode=eng&amp;currency=EUR")</f>
        <v>https://gameserver-store-client-area.orbionlimited.com/Home/IntegrationGameLaunch/client-area?moneyType=0&amp;gameName=MysteryJokerHot&amp;platform=desktop&amp;languageCode=eng&amp;currency=EUR</v>
      </c>
      <c r="R45" s="5" t="str">
        <f ca="1">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S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IFERROR(__xludf.DUMMYFUNCTION("""COMPUTED_VALUE"""),"Yes")</f>
        <v>Yes</v>
      </c>
      <c r="AF45" s="5" t="str">
        <f ca="1">IFERROR(__xludf.DUMMYFUNCTION("""COMPUTED_VALUE"""),"Yes")</f>
        <v>Yes</v>
      </c>
      <c r="AG45" s="5" t="str">
        <f ca="1">IFERROR(__xludf.DUMMYFUNCTION("""COMPUTED_VALUE"""),"Yes")</f>
        <v>Yes</v>
      </c>
      <c r="AH45" s="5" t="str">
        <f ca="1">IFERROR(__xludf.DUMMYFUNCTION("""COMPUTED_VALUE"""),"Yes")</f>
        <v>Yes</v>
      </c>
      <c r="AI45" s="5" t="str">
        <f ca="1">IFERROR(__xludf.DUMMYFUNCTION("""COMPUTED_VALUE"""),"Yes")</f>
        <v>Yes</v>
      </c>
      <c r="AJ45" s="5" t="str">
        <f ca="1">IFERROR(__xludf.DUMMYFUNCTION("""COMPUTED_VALUE"""),"Yes")</f>
        <v>Yes</v>
      </c>
      <c r="AK45" s="5" t="str">
        <f ca="1">IFERROR(__xludf.DUMMYFUNCTION("""COMPUTED_VALUE"""),"Yes")</f>
        <v>Yes</v>
      </c>
      <c r="AL45" s="5" t="str">
        <f ca="1">IFERROR(__xludf.DUMMYFUNCTION("""COMPUTED_VALUE"""),"Yes")</f>
        <v>Yes</v>
      </c>
      <c r="AM45" s="5" t="str">
        <f ca="1">IFERROR(__xludf.DUMMYFUNCTION("""COMPUTED_VALUE"""),"Yes")</f>
        <v>Yes</v>
      </c>
      <c r="AN45" s="5" t="str">
        <f ca="1">IFERROR(__xludf.DUMMYFUNCTION("""COMPUTED_VALUE"""),"Yes")</f>
        <v>Yes</v>
      </c>
      <c r="AO45" s="5" t="str">
        <f ca="1">IFERROR(__xludf.DUMMYFUNCTION("""COMPUTED_VALUE"""),"Yes")</f>
        <v>Yes</v>
      </c>
      <c r="AP45" s="5" t="str">
        <f ca="1">IFERROR(__xludf.DUMMYFUNCTION("""COMPUTED_VALUE"""),"Yes")</f>
        <v>Yes</v>
      </c>
      <c r="AQ45" s="5" t="str">
        <f ca="1">IFERROR(__xludf.DUMMYFUNCTION("""COMPUTED_VALUE"""),"Yes")</f>
        <v>Yes</v>
      </c>
      <c r="AR45" s="5" t="str">
        <f ca="1">IFERROR(__xludf.DUMMYFUNCTION("""COMPUTED_VALUE"""),"Yes")</f>
        <v>Yes</v>
      </c>
      <c r="AS45" s="5" t="str">
        <f ca="1">IFERROR(__xludf.DUMMYFUNCTION("""COMPUTED_VALUE"""),"Yes")</f>
        <v>Yes</v>
      </c>
      <c r="AT45" s="5" t="str">
        <f ca="1">IFERROR(__xludf.DUMMYFUNCTION("""COMPUTED_VALUE"""),"No")</f>
        <v>No</v>
      </c>
      <c r="AU45" s="5"/>
    </row>
    <row r="46" spans="1:47" x14ac:dyDescent="0.25">
      <c r="A46" s="5" t="str">
        <f ca="1">IFERROR(__xludf.DUMMYFUNCTION("""COMPUTED_VALUE"""),"Foxi")</f>
        <v>Foxi</v>
      </c>
      <c r="B46" s="5" t="str">
        <f ca="1">IFERROR(__xludf.DUMMYFUNCTION("""COMPUTED_VALUE"""),"Crystal Joker Hot")</f>
        <v>Crystal Joker Hot</v>
      </c>
      <c r="C46" s="5" t="str">
        <f ca="1">IFERROR(__xludf.DUMMYFUNCTION("""COMPUTED_VALUE"""),"CrystalJokerHot")</f>
        <v>CrystalJokerHot</v>
      </c>
      <c r="D46" s="6">
        <f ca="1">IFERROR(__xludf.DUMMYFUNCTION("""COMPUTED_VALUE"""),44285)</f>
        <v>44285</v>
      </c>
      <c r="E46" s="5" t="str">
        <f ca="1">IFERROR(__xludf.DUMMYFUNCTION("""COMPUTED_VALUE"""),"Slot")</f>
        <v>Slot</v>
      </c>
      <c r="F46" s="5">
        <f ca="1">IFERROR(__xludf.DUMMYFUNCTION("""COMPUTED_VALUE"""),23.2)</f>
        <v>23.2</v>
      </c>
      <c r="G46" s="5" t="str">
        <f ca="1">IFERROR(__xludf.DUMMYFUNCTION("""COMPUTED_VALUE"""),"5x4")</f>
        <v>5x4</v>
      </c>
      <c r="H46" s="5" t="str">
        <f ca="1">IFERROR(__xludf.DUMMYFUNCTION("""COMPUTED_VALUE"""),"40")</f>
        <v>40</v>
      </c>
      <c r="I46" s="5" t="str">
        <f ca="1">IFERROR(__xludf.DUMMYFUNCTION("""COMPUTED_VALUE"""),"40")</f>
        <v>40</v>
      </c>
      <c r="J46" s="5" t="str">
        <f ca="1">IFERROR(__xludf.DUMMYFUNCTION("""COMPUTED_VALUE"""),"96.584%")</f>
        <v>96.584%</v>
      </c>
      <c r="K46" s="5" t="str">
        <f ca="1">IFERROR(__xludf.DUMMYFUNCTION("""COMPUTED_VALUE"""),"Low")</f>
        <v>Low</v>
      </c>
      <c r="L46" s="5" t="str">
        <f ca="1">IFERROR(__xludf.DUMMYFUNCTION("""COMPUTED_VALUE"""),"16.73%")</f>
        <v>16.73%</v>
      </c>
      <c r="M46" s="5" t="str">
        <f ca="1">IFERROR(__xludf.DUMMYFUNCTION("""COMPUTED_VALUE"""),"x1000")</f>
        <v>x1000</v>
      </c>
      <c r="N46" s="5" t="str">
        <f ca="1">IFERROR(__xludf.DUMMYFUNCTION("""COMPUTED_VALUE"""),"0.4/60")</f>
        <v>0.4/60</v>
      </c>
      <c r="O46" s="5" t="str">
        <f ca="1">IFERROR(__xludf.DUMMYFUNCTION("""COMPUTED_VALUE"""),"Yes")</f>
        <v>Yes</v>
      </c>
      <c r="P46" s="5" t="str">
        <f ca="1">IFERROR(__xludf.DUMMYFUNCTION("""COMPUTED_VALUE"""),"Scatter, Wild Symbol")</f>
        <v>Scatter, Wild Symbol</v>
      </c>
      <c r="Q46" s="7" t="str">
        <f ca="1">IFERROR(__xludf.DUMMYFUNCTION("""COMPUTED_VALUE"""),"https://gameserver-store-client-area.orbionlimited.com/Home/IntegrationGameLaunch/client-area?moneyType=0&amp;gameName=CrystalJokerHot&amp;platform=desktop&amp;languageCode=eng&amp;currency=EUR")</f>
        <v>https://gameserver-store-client-area.orbionlimited.com/Home/IntegrationGameLaunch/client-area?moneyType=0&amp;gameName=CrystalJokerHot&amp;platform=desktop&amp;languageCode=eng&amp;currency=EUR</v>
      </c>
      <c r="R46" s="5" t="str">
        <f ca="1">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S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IFERROR(__xludf.DUMMYFUNCTION("""COMPUTED_VALUE"""),"Yes")</f>
        <v>Yes</v>
      </c>
      <c r="AA46" s="5" t="str">
        <f ca="1">IFERROR(__xludf.DUMMYFUNCTION("""COMPUTED_VALUE"""),"Yes")</f>
        <v>Yes</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IFERROR(__xludf.DUMMYFUNCTION("""COMPUTED_VALUE"""),"Yes")</f>
        <v>Yes</v>
      </c>
      <c r="AF46" s="5" t="str">
        <f ca="1">IFERROR(__xludf.DUMMYFUNCTION("""COMPUTED_VALUE"""),"Yes")</f>
        <v>Yes</v>
      </c>
      <c r="AG46" s="5" t="str">
        <f ca="1">IFERROR(__xludf.DUMMYFUNCTION("""COMPUTED_VALUE"""),"Yes")</f>
        <v>Yes</v>
      </c>
      <c r="AH46" s="5" t="str">
        <f ca="1">IFERROR(__xludf.DUMMYFUNCTION("""COMPUTED_VALUE"""),"Yes")</f>
        <v>Yes</v>
      </c>
      <c r="AI46" s="5" t="str">
        <f ca="1">IFERROR(__xludf.DUMMYFUNCTION("""COMPUTED_VALUE"""),"Yes")</f>
        <v>Yes</v>
      </c>
      <c r="AJ46" s="5" t="str">
        <f ca="1">IFERROR(__xludf.DUMMYFUNCTION("""COMPUTED_VALUE"""),"Yes")</f>
        <v>Yes</v>
      </c>
      <c r="AK46" s="5" t="str">
        <f ca="1">IFERROR(__xludf.DUMMYFUNCTION("""COMPUTED_VALUE"""),"Yes")</f>
        <v>Yes</v>
      </c>
      <c r="AL46" s="5" t="str">
        <f ca="1">IFERROR(__xludf.DUMMYFUNCTION("""COMPUTED_VALUE"""),"Yes")</f>
        <v>Yes</v>
      </c>
      <c r="AM46" s="5" t="str">
        <f ca="1">IFERROR(__xludf.DUMMYFUNCTION("""COMPUTED_VALUE"""),"Yes")</f>
        <v>Yes</v>
      </c>
      <c r="AN46" s="5" t="str">
        <f ca="1">IFERROR(__xludf.DUMMYFUNCTION("""COMPUTED_VALUE"""),"Yes")</f>
        <v>Yes</v>
      </c>
      <c r="AO46" s="5" t="str">
        <f ca="1">IFERROR(__xludf.DUMMYFUNCTION("""COMPUTED_VALUE"""),"Yes")</f>
        <v>Yes</v>
      </c>
      <c r="AP46" s="5" t="str">
        <f ca="1">IFERROR(__xludf.DUMMYFUNCTION("""COMPUTED_VALUE"""),"Yes")</f>
        <v>Yes</v>
      </c>
      <c r="AQ46" s="5" t="str">
        <f ca="1">IFERROR(__xludf.DUMMYFUNCTION("""COMPUTED_VALUE"""),"Yes")</f>
        <v>Yes</v>
      </c>
      <c r="AR46" s="5" t="str">
        <f ca="1">IFERROR(__xludf.DUMMYFUNCTION("""COMPUTED_VALUE"""),"Yes")</f>
        <v>Yes</v>
      </c>
      <c r="AS46" s="5" t="str">
        <f ca="1">IFERROR(__xludf.DUMMYFUNCTION("""COMPUTED_VALUE"""),"Yes")</f>
        <v>Yes</v>
      </c>
      <c r="AT46" s="5" t="str">
        <f ca="1">IFERROR(__xludf.DUMMYFUNCTION("""COMPUTED_VALUE"""),"No")</f>
        <v>No</v>
      </c>
      <c r="AU46" s="5"/>
    </row>
    <row r="47" spans="1:47" x14ac:dyDescent="0.25">
      <c r="A47" s="5" t="str">
        <f ca="1">IFERROR(__xludf.DUMMYFUNCTION("""COMPUTED_VALUE"""),"Foxi")</f>
        <v>Foxi</v>
      </c>
      <c r="B47" s="5" t="str">
        <f ca="1">IFERROR(__xludf.DUMMYFUNCTION("""COMPUTED_VALUE"""),"Fruity Joker Hot")</f>
        <v>Fruity Joker Hot</v>
      </c>
      <c r="C47" s="5" t="str">
        <f ca="1">IFERROR(__xludf.DUMMYFUNCTION("""COMPUTED_VALUE"""),"FruityJokerHot")</f>
        <v>FruityJokerHot</v>
      </c>
      <c r="D47" s="6">
        <f ca="1">IFERROR(__xludf.DUMMYFUNCTION("""COMPUTED_VALUE"""),44312)</f>
        <v>44312</v>
      </c>
      <c r="E47" s="5" t="str">
        <f ca="1">IFERROR(__xludf.DUMMYFUNCTION("""COMPUTED_VALUE"""),"Slot")</f>
        <v>Slot</v>
      </c>
      <c r="F47" s="5">
        <f ca="1">IFERROR(__xludf.DUMMYFUNCTION("""COMPUTED_VALUE"""),26.9)</f>
        <v>26.9</v>
      </c>
      <c r="G47" s="5" t="str">
        <f ca="1">IFERROR(__xludf.DUMMYFUNCTION("""COMPUTED_VALUE"""),"5x3")</f>
        <v>5x3</v>
      </c>
      <c r="H47" s="5" t="str">
        <f ca="1">IFERROR(__xludf.DUMMYFUNCTION("""COMPUTED_VALUE"""),"20")</f>
        <v>20</v>
      </c>
      <c r="I47" s="5" t="str">
        <f ca="1">IFERROR(__xludf.DUMMYFUNCTION("""COMPUTED_VALUE"""),"20")</f>
        <v>20</v>
      </c>
      <c r="J47" s="5" t="str">
        <f ca="1">IFERROR(__xludf.DUMMYFUNCTION("""COMPUTED_VALUE"""),"96.019%")</f>
        <v>96.019%</v>
      </c>
      <c r="K47" s="5" t="str">
        <f ca="1">IFERROR(__xludf.DUMMYFUNCTION("""COMPUTED_VALUE"""),"Low")</f>
        <v>Low</v>
      </c>
      <c r="L47" s="5" t="str">
        <f ca="1">IFERROR(__xludf.DUMMYFUNCTION("""COMPUTED_VALUE"""),"19.77%")</f>
        <v>19.77%</v>
      </c>
      <c r="M47" s="5" t="str">
        <f ca="1">IFERROR(__xludf.DUMMYFUNCTION("""COMPUTED_VALUE"""),"x1500")</f>
        <v>x1500</v>
      </c>
      <c r="N47" s="5" t="str">
        <f ca="1">IFERROR(__xludf.DUMMYFUNCTION("""COMPUTED_VALUE"""),"0.2/50")</f>
        <v>0.2/50</v>
      </c>
      <c r="O47" s="5" t="str">
        <f ca="1">IFERROR(__xludf.DUMMYFUNCTION("""COMPUTED_VALUE"""),"Yes")</f>
        <v>Yes</v>
      </c>
      <c r="P47" s="5" t="str">
        <f ca="1">IFERROR(__xludf.DUMMYFUNCTION("""COMPUTED_VALUE"""),"Scatter, Wild Symbol")</f>
        <v>Scatter, Wild Symbol</v>
      </c>
      <c r="Q47" s="7" t="str">
        <f ca="1">IFERROR(__xludf.DUMMYFUNCTION("""COMPUTED_VALUE"""),"https://gameserver-store-client-area.orbionlimited.com/Home/IntegrationGameLaunch/client-area?moneyType=0&amp;gameName=FruityJokerHot&amp;platform=desktop&amp;languageCode=eng&amp;currency=EUR")</f>
        <v>https://gameserver-store-client-area.orbionlimited.com/Home/IntegrationGameLaunch/client-area?moneyType=0&amp;gameName=FruityJokerHot&amp;platform=desktop&amp;languageCode=eng&amp;currency=EUR</v>
      </c>
      <c r="R47" s="5" t="str">
        <f ca="1">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S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7" s="5" t="str">
        <f ca="1">IFERROR(__xludf.DUMMYFUNCTION("""COMPUTED_VALUE"""),"Yes")</f>
        <v>Yes</v>
      </c>
      <c r="U47" s="5" t="str">
        <f ca="1">IFERROR(__xludf.DUMMYFUNCTION("""COMPUTED_VALUE"""),"Yes")</f>
        <v>Yes</v>
      </c>
      <c r="V47" s="5" t="str">
        <f ca="1">IFERROR(__xludf.DUMMYFUNCTION("""COMPUTED_VALUE"""),"Yes")</f>
        <v>Yes</v>
      </c>
      <c r="W47" s="5" t="str">
        <f ca="1">IFERROR(__xludf.DUMMYFUNCTION("""COMPUTED_VALUE"""),"Yes")</f>
        <v>Yes</v>
      </c>
      <c r="X47" s="5" t="str">
        <f ca="1">IFERROR(__xludf.DUMMYFUNCTION("""COMPUTED_VALUE"""),"Yes")</f>
        <v>Yes</v>
      </c>
      <c r="Y47" s="5" t="str">
        <f ca="1">IFERROR(__xludf.DUMMYFUNCTION("""COMPUTED_VALUE"""),"Yes")</f>
        <v>Yes</v>
      </c>
      <c r="Z47" s="5" t="str">
        <f ca="1">IFERROR(__xludf.DUMMYFUNCTION("""COMPUTED_VALUE"""),"Yes")</f>
        <v>Yes</v>
      </c>
      <c r="AA47" s="5" t="str">
        <f ca="1">IFERROR(__xludf.DUMMYFUNCTION("""COMPUTED_VALUE"""),"Yes")</f>
        <v>Yes</v>
      </c>
      <c r="AB47" s="5" t="str">
        <f ca="1">IFERROR(__xludf.DUMMYFUNCTION("""COMPUTED_VALUE"""),"Yes")</f>
        <v>Yes</v>
      </c>
      <c r="AC47" s="5" t="str">
        <f ca="1">IFERROR(__xludf.DUMMYFUNCTION("""COMPUTED_VALUE"""),"Yes")</f>
        <v>Yes</v>
      </c>
      <c r="AD47" s="5" t="str">
        <f ca="1">IFERROR(__xludf.DUMMYFUNCTION("""COMPUTED_VALUE"""),"Yes")</f>
        <v>Yes</v>
      </c>
      <c r="AE47" s="5" t="str">
        <f ca="1">IFERROR(__xludf.DUMMYFUNCTION("""COMPUTED_VALUE"""),"Yes")</f>
        <v>Yes</v>
      </c>
      <c r="AF47" s="5" t="str">
        <f ca="1">IFERROR(__xludf.DUMMYFUNCTION("""COMPUTED_VALUE"""),"Yes")</f>
        <v>Yes</v>
      </c>
      <c r="AG47" s="5" t="str">
        <f ca="1">IFERROR(__xludf.DUMMYFUNCTION("""COMPUTED_VALUE"""),"Yes")</f>
        <v>Yes</v>
      </c>
      <c r="AH47" s="5" t="str">
        <f ca="1">IFERROR(__xludf.DUMMYFUNCTION("""COMPUTED_VALUE"""),"Yes")</f>
        <v>Yes</v>
      </c>
      <c r="AI47" s="5" t="str">
        <f ca="1">IFERROR(__xludf.DUMMYFUNCTION("""COMPUTED_VALUE"""),"Yes")</f>
        <v>Yes</v>
      </c>
      <c r="AJ47" s="5" t="str">
        <f ca="1">IFERROR(__xludf.DUMMYFUNCTION("""COMPUTED_VALUE"""),"Yes")</f>
        <v>Yes</v>
      </c>
      <c r="AK47" s="5" t="str">
        <f ca="1">IFERROR(__xludf.DUMMYFUNCTION("""COMPUTED_VALUE"""),"Yes")</f>
        <v>Yes</v>
      </c>
      <c r="AL47" s="5" t="str">
        <f ca="1">IFERROR(__xludf.DUMMYFUNCTION("""COMPUTED_VALUE"""),"Yes")</f>
        <v>Yes</v>
      </c>
      <c r="AM47" s="5" t="str">
        <f ca="1">IFERROR(__xludf.DUMMYFUNCTION("""COMPUTED_VALUE"""),"Yes")</f>
        <v>Yes</v>
      </c>
      <c r="AN47" s="5" t="str">
        <f ca="1">IFERROR(__xludf.DUMMYFUNCTION("""COMPUTED_VALUE"""),"Yes")</f>
        <v>Yes</v>
      </c>
      <c r="AO47" s="5" t="str">
        <f ca="1">IFERROR(__xludf.DUMMYFUNCTION("""COMPUTED_VALUE"""),"Yes")</f>
        <v>Yes</v>
      </c>
      <c r="AP47" s="5" t="str">
        <f ca="1">IFERROR(__xludf.DUMMYFUNCTION("""COMPUTED_VALUE"""),"Yes")</f>
        <v>Yes</v>
      </c>
      <c r="AQ47" s="5" t="str">
        <f ca="1">IFERROR(__xludf.DUMMYFUNCTION("""COMPUTED_VALUE"""),"Yes")</f>
        <v>Yes</v>
      </c>
      <c r="AR47" s="5" t="str">
        <f ca="1">IFERROR(__xludf.DUMMYFUNCTION("""COMPUTED_VALUE"""),"Yes")</f>
        <v>Yes</v>
      </c>
      <c r="AS47" s="5" t="str">
        <f ca="1">IFERROR(__xludf.DUMMYFUNCTION("""COMPUTED_VALUE"""),"Yes")</f>
        <v>Yes</v>
      </c>
      <c r="AT47" s="5" t="str">
        <f ca="1">IFERROR(__xludf.DUMMYFUNCTION("""COMPUTED_VALUE"""),"No")</f>
        <v>No</v>
      </c>
      <c r="AU47" s="5"/>
    </row>
    <row r="48" spans="1:47" x14ac:dyDescent="0.25">
      <c r="A48" s="5" t="str">
        <f ca="1">IFERROR(__xludf.DUMMYFUNCTION("""COMPUTED_VALUE"""),"Foxi")</f>
        <v>Foxi</v>
      </c>
      <c r="B48" s="5" t="str">
        <f ca="1">IFERROR(__xludf.DUMMYFUNCTION("""COMPUTED_VALUE"""),"Wild Kingdom")</f>
        <v>Wild Kingdom</v>
      </c>
      <c r="C48" s="5" t="str">
        <f ca="1">IFERROR(__xludf.DUMMYFUNCTION("""COMPUTED_VALUE"""),"WildKingdom")</f>
        <v>WildKingdom</v>
      </c>
      <c r="D48" s="6">
        <f ca="1">IFERROR(__xludf.DUMMYFUNCTION("""COMPUTED_VALUE"""),44364)</f>
        <v>44364</v>
      </c>
      <c r="E48" s="5" t="str">
        <f ca="1">IFERROR(__xludf.DUMMYFUNCTION("""COMPUTED_VALUE"""),"Slot")</f>
        <v>Slot</v>
      </c>
      <c r="F48" s="5">
        <f ca="1">IFERROR(__xludf.DUMMYFUNCTION("""COMPUTED_VALUE"""),21.3)</f>
        <v>21.3</v>
      </c>
      <c r="G48" s="5" t="str">
        <f ca="1">IFERROR(__xludf.DUMMYFUNCTION("""COMPUTED_VALUE"""),"5x3")</f>
        <v>5x3</v>
      </c>
      <c r="H48" s="5" t="str">
        <f ca="1">IFERROR(__xludf.DUMMYFUNCTION("""COMPUTED_VALUE"""),"15")</f>
        <v>15</v>
      </c>
      <c r="I48" s="5" t="str">
        <f ca="1">IFERROR(__xludf.DUMMYFUNCTION("""COMPUTED_VALUE"""),"1,3,5,9,15")</f>
        <v>1,3,5,9,15</v>
      </c>
      <c r="J48" s="5" t="str">
        <f ca="1">IFERROR(__xludf.DUMMYFUNCTION("""COMPUTED_VALUE"""),"96.142%")</f>
        <v>96.142%</v>
      </c>
      <c r="K48" s="5" t="str">
        <f ca="1">IFERROR(__xludf.DUMMYFUNCTION("""COMPUTED_VALUE"""),"High")</f>
        <v>High</v>
      </c>
      <c r="L48" s="5" t="str">
        <f ca="1">IFERROR(__xludf.DUMMYFUNCTION("""COMPUTED_VALUE"""),"28.08%")</f>
        <v>28.08%</v>
      </c>
      <c r="M48" s="5" t="str">
        <f ca="1">IFERROR(__xludf.DUMMYFUNCTION("""COMPUTED_VALUE"""),"x1530")</f>
        <v>x1530</v>
      </c>
      <c r="N48" s="5" t="str">
        <f ca="1">IFERROR(__xludf.DUMMYFUNCTION("""COMPUTED_VALUE"""),"0.15/45")</f>
        <v>0.15/45</v>
      </c>
      <c r="O48" s="5" t="str">
        <f ca="1">IFERROR(__xludf.DUMMYFUNCTION("""COMPUTED_VALUE"""),"Yes")</f>
        <v>Yes</v>
      </c>
      <c r="P48" s="5" t="str">
        <f ca="1">IFERROR(__xludf.DUMMYFUNCTION("""COMPUTED_VALUE"""),"Wild Symbol, Bonus Game with Free Spins, Respin, Sticky Wild")</f>
        <v>Wild Symbol, Bonus Game with Free Spins, Respin, Sticky Wild</v>
      </c>
      <c r="Q48" s="7" t="str">
        <f ca="1">IFERROR(__xludf.DUMMYFUNCTION("""COMPUTED_VALUE"""),"https://gameserver-store-client-area.orbionlimited.com/Home/IntegrationGameLaunch/client-area?moneyType=0&amp;gameName=WildKingdom&amp;platform=desktop&amp;languageCode=eng&amp;currency=EUR")</f>
        <v>https://gameserver-store-client-area.orbionlimited.com/Home/IntegrationGameLaunch/client-area?moneyType=0&amp;gameName=WildKingdom&amp;platform=desktop&amp;languageCode=eng&amp;currency=EUR</v>
      </c>
      <c r="R48" s="5" t="str">
        <f ca="1">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S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IFERROR(__xludf.DUMMYFUNCTION("""COMPUTED_VALUE"""),"Yes")</f>
        <v>Yes</v>
      </c>
      <c r="AA48" s="5" t="str">
        <f ca="1">IFERROR(__xludf.DUMMYFUNCTION("""COMPUTED_VALUE"""),"Yes")</f>
        <v>Yes</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IFERROR(__xludf.DUMMYFUNCTION("""COMPUTED_VALUE"""),"Yes")</f>
        <v>Yes</v>
      </c>
      <c r="AF48" s="5" t="str">
        <f ca="1">IFERROR(__xludf.DUMMYFUNCTION("""COMPUTED_VALUE"""),"Yes")</f>
        <v>Yes</v>
      </c>
      <c r="AG48" s="5" t="str">
        <f ca="1">IFERROR(__xludf.DUMMYFUNCTION("""COMPUTED_VALUE"""),"Yes")</f>
        <v>Yes</v>
      </c>
      <c r="AH48" s="5" t="str">
        <f ca="1">IFERROR(__xludf.DUMMYFUNCTION("""COMPUTED_VALUE"""),"Yes")</f>
        <v>Yes</v>
      </c>
      <c r="AI48" s="5" t="str">
        <f ca="1">IFERROR(__xludf.DUMMYFUNCTION("""COMPUTED_VALUE"""),"Yes")</f>
        <v>Yes</v>
      </c>
      <c r="AJ48" s="5" t="str">
        <f ca="1">IFERROR(__xludf.DUMMYFUNCTION("""COMPUTED_VALUE"""),"Yes")</f>
        <v>Yes</v>
      </c>
      <c r="AK48" s="5" t="str">
        <f ca="1">IFERROR(__xludf.DUMMYFUNCTION("""COMPUTED_VALUE"""),"Yes")</f>
        <v>Yes</v>
      </c>
      <c r="AL48" s="5" t="str">
        <f ca="1">IFERROR(__xludf.DUMMYFUNCTION("""COMPUTED_VALUE"""),"Yes")</f>
        <v>Yes</v>
      </c>
      <c r="AM48" s="5" t="str">
        <f ca="1">IFERROR(__xludf.DUMMYFUNCTION("""COMPUTED_VALUE"""),"Yes")</f>
        <v>Yes</v>
      </c>
      <c r="AN48" s="5" t="str">
        <f ca="1">IFERROR(__xludf.DUMMYFUNCTION("""COMPUTED_VALUE"""),"Yes")</f>
        <v>Yes</v>
      </c>
      <c r="AO48" s="5" t="str">
        <f ca="1">IFERROR(__xludf.DUMMYFUNCTION("""COMPUTED_VALUE"""),"Yes")</f>
        <v>Yes</v>
      </c>
      <c r="AP48" s="5" t="str">
        <f ca="1">IFERROR(__xludf.DUMMYFUNCTION("""COMPUTED_VALUE"""),"Yes")</f>
        <v>Yes</v>
      </c>
      <c r="AQ48" s="5" t="str">
        <f ca="1">IFERROR(__xludf.DUMMYFUNCTION("""COMPUTED_VALUE"""),"Yes")</f>
        <v>Yes</v>
      </c>
      <c r="AR48" s="5" t="str">
        <f ca="1">IFERROR(__xludf.DUMMYFUNCTION("""COMPUTED_VALUE"""),"Yes")</f>
        <v>Yes</v>
      </c>
      <c r="AS48" s="5" t="str">
        <f ca="1">IFERROR(__xludf.DUMMYFUNCTION("""COMPUTED_VALUE"""),"Yes")</f>
        <v>Yes</v>
      </c>
      <c r="AT48" s="5" t="str">
        <f ca="1">IFERROR(__xludf.DUMMYFUNCTION("""COMPUTED_VALUE"""),"No")</f>
        <v>No</v>
      </c>
      <c r="AU48" s="5"/>
    </row>
    <row r="49" spans="1:47" x14ac:dyDescent="0.25">
      <c r="A49" s="5" t="str">
        <f ca="1">IFERROR(__xludf.DUMMYFUNCTION("""COMPUTED_VALUE"""),"Foxi")</f>
        <v>Foxi</v>
      </c>
      <c r="B49" s="5" t="str">
        <f ca="1">IFERROR(__xludf.DUMMYFUNCTION("""COMPUTED_VALUE"""),"Book Of Luxor Double")</f>
        <v>Book Of Luxor Double</v>
      </c>
      <c r="C49" s="5" t="str">
        <f ca="1">IFERROR(__xludf.DUMMYFUNCTION("""COMPUTED_VALUE"""),"BookOfLuxorDouble")</f>
        <v>BookOfLuxorDouble</v>
      </c>
      <c r="D49" s="6">
        <f ca="1">IFERROR(__xludf.DUMMYFUNCTION("""COMPUTED_VALUE"""),44494)</f>
        <v>44494</v>
      </c>
      <c r="E49" s="5" t="str">
        <f ca="1">IFERROR(__xludf.DUMMYFUNCTION("""COMPUTED_VALUE"""),"Slot")</f>
        <v>Slot</v>
      </c>
      <c r="F49" s="5">
        <f ca="1">IFERROR(__xludf.DUMMYFUNCTION("""COMPUTED_VALUE"""),40.4)</f>
        <v>40.4</v>
      </c>
      <c r="G49" s="5" t="str">
        <f ca="1">IFERROR(__xludf.DUMMYFUNCTION("""COMPUTED_VALUE"""),"5x3")</f>
        <v>5x3</v>
      </c>
      <c r="H49" s="5" t="str">
        <f ca="1">IFERROR(__xludf.DUMMYFUNCTION("""COMPUTED_VALUE"""),"20")</f>
        <v>20</v>
      </c>
      <c r="I49" s="5" t="str">
        <f ca="1">IFERROR(__xludf.DUMMYFUNCTION("""COMPUTED_VALUE"""),"1,3,5,7,10")</f>
        <v>1,3,5,7,10</v>
      </c>
      <c r="J49" s="5" t="str">
        <f ca="1">IFERROR(__xludf.DUMMYFUNCTION("""COMPUTED_VALUE"""),"96.201%")</f>
        <v>96.201%</v>
      </c>
      <c r="K49" s="5" t="str">
        <f ca="1">IFERROR(__xludf.DUMMYFUNCTION("""COMPUTED_VALUE"""),"High")</f>
        <v>High</v>
      </c>
      <c r="L49" s="5" t="str">
        <f ca="1">IFERROR(__xludf.DUMMYFUNCTION("""COMPUTED_VALUE"""),"30.82%")</f>
        <v>30.82%</v>
      </c>
      <c r="M49" s="5" t="str">
        <f ca="1">IFERROR(__xludf.DUMMYFUNCTION("""COMPUTED_VALUE"""),"x5456")</f>
        <v>x5456</v>
      </c>
      <c r="N49" s="5" t="str">
        <f ca="1">IFERROR(__xludf.DUMMYFUNCTION("""COMPUTED_VALUE"""),"0.01/40")</f>
        <v>0.01/40</v>
      </c>
      <c r="O49" s="5" t="str">
        <f ca="1">IFERROR(__xludf.DUMMYFUNCTION("""COMPUTED_VALUE"""),"Yes")</f>
        <v>Yes</v>
      </c>
      <c r="P49" s="5" t="str">
        <f ca="1">IFERROR(__xludf.DUMMYFUNCTION("""COMPUTED_VALUE"""),"Buy Bonus, Book Of Game, Bonus Game with Free Spins")</f>
        <v>Buy Bonus, Book Of Game, Bonus Game with Free Spins</v>
      </c>
      <c r="Q49" s="7" t="str">
        <f ca="1">IFERROR(__xludf.DUMMYFUNCTION("""COMPUTED_VALUE"""),"https://gameserver-store-client-area.orbionlimited.com/Home/IntegrationGameLaunch/client-area?moneyType=0&amp;gameName=BookOfLuxorDouble&amp;platform=desktop&amp;languageCode=eng&amp;currency=EUR")</f>
        <v>https://gameserver-store-client-area.orbionlimited.com/Home/IntegrationGameLaunch/client-area?moneyType=0&amp;gameName=BookOfLuxorDouble&amp;platform=desktop&amp;languageCode=eng&amp;currency=EUR</v>
      </c>
      <c r="R49" s="5" t="str">
        <f ca="1">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9" s="5" t="str">
        <f ca="1">IFERROR(__xludf.DUMMYFUNCTION("""COMPUTED_VALUE"""),"Yes")</f>
        <v>Yes</v>
      </c>
      <c r="U49" s="5" t="str">
        <f ca="1">IFERROR(__xludf.DUMMYFUNCTION("""COMPUTED_VALUE"""),"Yes")</f>
        <v>Yes</v>
      </c>
      <c r="V49" s="5" t="str">
        <f ca="1">IFERROR(__xludf.DUMMYFUNCTION("""COMPUTED_VALUE"""),"Yes")</f>
        <v>Yes</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IFERROR(__xludf.DUMMYFUNCTION("""COMPUTED_VALUE"""),"Yes")</f>
        <v>Yes</v>
      </c>
      <c r="AF49" s="5" t="str">
        <f ca="1">IFERROR(__xludf.DUMMYFUNCTION("""COMPUTED_VALUE"""),"Yes")</f>
        <v>Yes</v>
      </c>
      <c r="AG49" s="5" t="str">
        <f ca="1">IFERROR(__xludf.DUMMYFUNCTION("""COMPUTED_VALUE"""),"Yes")</f>
        <v>Yes</v>
      </c>
      <c r="AH49" s="5" t="str">
        <f ca="1">IFERROR(__xludf.DUMMYFUNCTION("""COMPUTED_VALUE"""),"Yes")</f>
        <v>Yes</v>
      </c>
      <c r="AI49" s="5" t="str">
        <f ca="1">IFERROR(__xludf.DUMMYFUNCTION("""COMPUTED_VALUE"""),"Yes")</f>
        <v>Yes</v>
      </c>
      <c r="AJ49" s="5" t="str">
        <f ca="1">IFERROR(__xludf.DUMMYFUNCTION("""COMPUTED_VALUE"""),"Yes")</f>
        <v>Yes</v>
      </c>
      <c r="AK49" s="5" t="str">
        <f ca="1">IFERROR(__xludf.DUMMYFUNCTION("""COMPUTED_VALUE"""),"Yes")</f>
        <v>Yes</v>
      </c>
      <c r="AL49" s="5" t="str">
        <f ca="1">IFERROR(__xludf.DUMMYFUNCTION("""COMPUTED_VALUE"""),"Yes")</f>
        <v>Yes</v>
      </c>
      <c r="AM49" s="5" t="str">
        <f ca="1">IFERROR(__xludf.DUMMYFUNCTION("""COMPUTED_VALUE"""),"Yes")</f>
        <v>Yes</v>
      </c>
      <c r="AN49" s="5" t="str">
        <f ca="1">IFERROR(__xludf.DUMMYFUNCTION("""COMPUTED_VALUE"""),"Yes")</f>
        <v>Yes</v>
      </c>
      <c r="AO49" s="5" t="str">
        <f ca="1">IFERROR(__xludf.DUMMYFUNCTION("""COMPUTED_VALUE"""),"Yes")</f>
        <v>Yes</v>
      </c>
      <c r="AP49" s="5" t="str">
        <f ca="1">IFERROR(__xludf.DUMMYFUNCTION("""COMPUTED_VALUE"""),"Yes")</f>
        <v>Yes</v>
      </c>
      <c r="AQ49" s="5" t="str">
        <f ca="1">IFERROR(__xludf.DUMMYFUNCTION("""COMPUTED_VALUE"""),"Yes")</f>
        <v>Yes</v>
      </c>
      <c r="AR49" s="5" t="str">
        <f ca="1">IFERROR(__xludf.DUMMYFUNCTION("""COMPUTED_VALUE"""),"Yes")</f>
        <v>Yes</v>
      </c>
      <c r="AS49" s="5" t="str">
        <f ca="1">IFERROR(__xludf.DUMMYFUNCTION("""COMPUTED_VALUE"""),"Yes")</f>
        <v>Yes</v>
      </c>
      <c r="AT49" s="5" t="str">
        <f ca="1">IFERROR(__xludf.DUMMYFUNCTION("""COMPUTED_VALUE"""),"No")</f>
        <v>No</v>
      </c>
      <c r="AU49" s="5"/>
    </row>
    <row r="50" spans="1:47" x14ac:dyDescent="0.25">
      <c r="A50" s="5" t="str">
        <f ca="1">IFERROR(__xludf.DUMMYFUNCTION("""COMPUTED_VALUE"""),"Foxi")</f>
        <v>Foxi</v>
      </c>
      <c r="B50" s="5" t="str">
        <f ca="1">IFERROR(__xludf.DUMMYFUNCTION("""COMPUTED_VALUE"""),"Mega Cubes Deluxe")</f>
        <v>Mega Cubes Deluxe</v>
      </c>
      <c r="C50" s="5" t="str">
        <f ca="1">IFERROR(__xludf.DUMMYFUNCTION("""COMPUTED_VALUE"""),"MegaCubesDeluxe")</f>
        <v>MegaCubesDeluxe</v>
      </c>
      <c r="D50" s="6">
        <f ca="1">IFERROR(__xludf.DUMMYFUNCTION("""COMPUTED_VALUE"""),44399)</f>
        <v>44399</v>
      </c>
      <c r="E50" s="5" t="str">
        <f ca="1">IFERROR(__xludf.DUMMYFUNCTION("""COMPUTED_VALUE"""),"Slot")</f>
        <v>Slot</v>
      </c>
      <c r="F50" s="5">
        <f ca="1">IFERROR(__xludf.DUMMYFUNCTION("""COMPUTED_VALUE"""),15.5)</f>
        <v>15.5</v>
      </c>
      <c r="G50" s="5" t="str">
        <f ca="1">IFERROR(__xludf.DUMMYFUNCTION("""COMPUTED_VALUE"""),"5x3")</f>
        <v>5x3</v>
      </c>
      <c r="H50" s="5" t="str">
        <f ca="1">IFERROR(__xludf.DUMMYFUNCTION("""COMPUTED_VALUE"""),"5")</f>
        <v>5</v>
      </c>
      <c r="I50" s="5" t="str">
        <f ca="1">IFERROR(__xludf.DUMMYFUNCTION("""COMPUTED_VALUE"""),"5")</f>
        <v>5</v>
      </c>
      <c r="J50" s="5" t="str">
        <f ca="1">IFERROR(__xludf.DUMMYFUNCTION("""COMPUTED_VALUE"""),"95.485%")</f>
        <v>95.485%</v>
      </c>
      <c r="K50" s="5" t="str">
        <f ca="1">IFERROR(__xludf.DUMMYFUNCTION("""COMPUTED_VALUE"""),"Medium")</f>
        <v>Medium</v>
      </c>
      <c r="L50" s="5" t="str">
        <f ca="1">IFERROR(__xludf.DUMMYFUNCTION("""COMPUTED_VALUE"""),"12.49%")</f>
        <v>12.49%</v>
      </c>
      <c r="M50" s="5" t="str">
        <f ca="1">IFERROR(__xludf.DUMMYFUNCTION("""COMPUTED_VALUE"""),"x480")</f>
        <v>x480</v>
      </c>
      <c r="N50" s="5" t="str">
        <f ca="1">IFERROR(__xludf.DUMMYFUNCTION("""COMPUTED_VALUE"""),"0.05/30")</f>
        <v>0.05/30</v>
      </c>
      <c r="O50" s="5" t="str">
        <f ca="1">IFERROR(__xludf.DUMMYFUNCTION("""COMPUTED_VALUE"""),"Yes")</f>
        <v>Yes</v>
      </c>
      <c r="P50" s="5" t="str">
        <f ca="1">IFERROR(__xludf.DUMMYFUNCTION("""COMPUTED_VALUE"""),"Scatter")</f>
        <v>Scatter</v>
      </c>
      <c r="Q50" s="7" t="str">
        <f ca="1">IFERROR(__xludf.DUMMYFUNCTION("""COMPUTED_VALUE"""),"https://gameserver-store-client-area.orbionlimited.com/Home/IntegrationGameLaunch/client-area?moneyType=0&amp;gameName=MegaCubesDeluxe&amp;platform=desktop&amp;languageCode=eng&amp;currency=EUR")</f>
        <v>https://gameserver-store-client-area.orbionlimited.com/Home/IntegrationGameLaunch/client-area?moneyType=0&amp;gameName=MegaCubesDeluxe&amp;platform=desktop&amp;languageCode=eng&amp;currency=EUR</v>
      </c>
      <c r="R50" s="5" t="str">
        <f ca="1">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S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IFERROR(__xludf.DUMMYFUNCTION("""COMPUTED_VALUE"""),"Yes")</f>
        <v>Yes</v>
      </c>
      <c r="AA50" s="5" t="str">
        <f ca="1">IFERROR(__xludf.DUMMYFUNCTION("""COMPUTED_VALUE"""),"Yes")</f>
        <v>Yes</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IFERROR(__xludf.DUMMYFUNCTION("""COMPUTED_VALUE"""),"Yes")</f>
        <v>Yes</v>
      </c>
      <c r="AF50" s="5" t="str">
        <f ca="1">IFERROR(__xludf.DUMMYFUNCTION("""COMPUTED_VALUE"""),"Yes")</f>
        <v>Yes</v>
      </c>
      <c r="AG50" s="5" t="str">
        <f ca="1">IFERROR(__xludf.DUMMYFUNCTION("""COMPUTED_VALUE"""),"Yes")</f>
        <v>Yes</v>
      </c>
      <c r="AH50" s="5" t="str">
        <f ca="1">IFERROR(__xludf.DUMMYFUNCTION("""COMPUTED_VALUE"""),"Yes")</f>
        <v>Yes</v>
      </c>
      <c r="AI50" s="5" t="str">
        <f ca="1">IFERROR(__xludf.DUMMYFUNCTION("""COMPUTED_VALUE"""),"Yes")</f>
        <v>Yes</v>
      </c>
      <c r="AJ50" s="5" t="str">
        <f ca="1">IFERROR(__xludf.DUMMYFUNCTION("""COMPUTED_VALUE"""),"Yes")</f>
        <v>Yes</v>
      </c>
      <c r="AK50" s="5" t="str">
        <f ca="1">IFERROR(__xludf.DUMMYFUNCTION("""COMPUTED_VALUE"""),"Yes")</f>
        <v>Yes</v>
      </c>
      <c r="AL50" s="5" t="str">
        <f ca="1">IFERROR(__xludf.DUMMYFUNCTION("""COMPUTED_VALUE"""),"Yes")</f>
        <v>Yes</v>
      </c>
      <c r="AM50" s="5" t="str">
        <f ca="1">IFERROR(__xludf.DUMMYFUNCTION("""COMPUTED_VALUE"""),"Yes")</f>
        <v>Yes</v>
      </c>
      <c r="AN50" s="5" t="str">
        <f ca="1">IFERROR(__xludf.DUMMYFUNCTION("""COMPUTED_VALUE"""),"Yes")</f>
        <v>Yes</v>
      </c>
      <c r="AO50" s="5" t="str">
        <f ca="1">IFERROR(__xludf.DUMMYFUNCTION("""COMPUTED_VALUE"""),"Yes")</f>
        <v>Yes</v>
      </c>
      <c r="AP50" s="5" t="str">
        <f ca="1">IFERROR(__xludf.DUMMYFUNCTION("""COMPUTED_VALUE"""),"Yes")</f>
        <v>Yes</v>
      </c>
      <c r="AQ50" s="5" t="str">
        <f ca="1">IFERROR(__xludf.DUMMYFUNCTION("""COMPUTED_VALUE"""),"Yes")</f>
        <v>Yes</v>
      </c>
      <c r="AR50" s="5" t="str">
        <f ca="1">IFERROR(__xludf.DUMMYFUNCTION("""COMPUTED_VALUE"""),"Yes")</f>
        <v>Yes</v>
      </c>
      <c r="AS50" s="5" t="str">
        <f ca="1">IFERROR(__xludf.DUMMYFUNCTION("""COMPUTED_VALUE"""),"Yes")</f>
        <v>Yes</v>
      </c>
      <c r="AT50" s="5" t="str">
        <f ca="1">IFERROR(__xludf.DUMMYFUNCTION("""COMPUTED_VALUE"""),"No")</f>
        <v>No</v>
      </c>
      <c r="AU50" s="5"/>
    </row>
    <row r="51" spans="1:47" x14ac:dyDescent="0.25">
      <c r="A51" s="5" t="str">
        <f ca="1">IFERROR(__xludf.DUMMYFUNCTION("""COMPUTED_VALUE"""),"Foxi")</f>
        <v>Foxi</v>
      </c>
      <c r="B51" s="5" t="str">
        <f ca="1">IFERROR(__xludf.DUMMYFUNCTION("""COMPUTED_VALUE"""),"Lolla's World")</f>
        <v>Lolla's World</v>
      </c>
      <c r="C51" s="5" t="str">
        <f ca="1">IFERROR(__xludf.DUMMYFUNCTION("""COMPUTED_VALUE"""),"LollasWorld")</f>
        <v>LollasWorld</v>
      </c>
      <c r="D51" s="6">
        <f ca="1">IFERROR(__xludf.DUMMYFUNCTION("""COMPUTED_VALUE"""),44434)</f>
        <v>44434</v>
      </c>
      <c r="E51" s="5" t="str">
        <f ca="1">IFERROR(__xludf.DUMMYFUNCTION("""COMPUTED_VALUE"""),"Slot")</f>
        <v>Slot</v>
      </c>
      <c r="F51" s="5">
        <f ca="1">IFERROR(__xludf.DUMMYFUNCTION("""COMPUTED_VALUE"""),29.3)</f>
        <v>29.3</v>
      </c>
      <c r="G51" s="5" t="str">
        <f ca="1">IFERROR(__xludf.DUMMYFUNCTION("""COMPUTED_VALUE"""),"5x4")</f>
        <v>5x4</v>
      </c>
      <c r="H51" s="5" t="str">
        <f ca="1">IFERROR(__xludf.DUMMYFUNCTION("""COMPUTED_VALUE"""),"40")</f>
        <v>40</v>
      </c>
      <c r="I51" s="5" t="str">
        <f ca="1">IFERROR(__xludf.DUMMYFUNCTION("""COMPUTED_VALUE"""),"40")</f>
        <v>40</v>
      </c>
      <c r="J51" s="5" t="str">
        <f ca="1">IFERROR(__xludf.DUMMYFUNCTION("""COMPUTED_VALUE"""),"95.479%")</f>
        <v>95.479%</v>
      </c>
      <c r="K51" s="5" t="str">
        <f ca="1">IFERROR(__xludf.DUMMYFUNCTION("""COMPUTED_VALUE"""),"Medium")</f>
        <v>Medium</v>
      </c>
      <c r="L51" s="5" t="str">
        <f ca="1">IFERROR(__xludf.DUMMYFUNCTION("""COMPUTED_VALUE"""),"14.8%")</f>
        <v>14.8%</v>
      </c>
      <c r="M51" s="5" t="str">
        <f ca="1">IFERROR(__xludf.DUMMYFUNCTION("""COMPUTED_VALUE"""),"x1000")</f>
        <v>x1000</v>
      </c>
      <c r="N51" s="5" t="str">
        <f ca="1">IFERROR(__xludf.DUMMYFUNCTION("""COMPUTED_VALUE"""),"0.4/60")</f>
        <v>0.4/60</v>
      </c>
      <c r="O51" s="5" t="str">
        <f ca="1">IFERROR(__xludf.DUMMYFUNCTION("""COMPUTED_VALUE"""),"Yes")</f>
        <v>Yes</v>
      </c>
      <c r="P51" s="5" t="str">
        <f ca="1">IFERROR(__xludf.DUMMYFUNCTION("""COMPUTED_VALUE"""),"Scatter, Wild Symbol")</f>
        <v>Scatter, Wild Symbol</v>
      </c>
      <c r="Q51" s="7" t="str">
        <f ca="1">IFERROR(__xludf.DUMMYFUNCTION("""COMPUTED_VALUE"""),"https://gameserver-store-client-area.orbionlimited.com/Home/IntegrationGameLaunch/client-area?moneyType=0&amp;gameName=LollasWorld&amp;platform=desktop&amp;languageCode=eng&amp;currency=EUR")</f>
        <v>https://gameserver-store-client-area.orbionlimited.com/Home/IntegrationGameLaunch/client-area?moneyType=0&amp;gameName=LollasWorld&amp;platform=desktop&amp;languageCode=eng&amp;currency=EUR</v>
      </c>
      <c r="R51" s="5" t="str">
        <f ca="1">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S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1" s="5" t="str">
        <f ca="1">IFERROR(__xludf.DUMMYFUNCTION("""COMPUTED_VALUE"""),"Yes")</f>
        <v>Yes</v>
      </c>
      <c r="U51" s="5" t="str">
        <f ca="1">IFERROR(__xludf.DUMMYFUNCTION("""COMPUTED_VALUE"""),"Yes")</f>
        <v>Yes</v>
      </c>
      <c r="V51" s="5" t="str">
        <f ca="1">IFERROR(__xludf.DUMMYFUNCTION("""COMPUTED_VALUE"""),"Yes")</f>
        <v>Yes</v>
      </c>
      <c r="W51" s="5" t="str">
        <f ca="1">IFERROR(__xludf.DUMMYFUNCTION("""COMPUTED_VALUE"""),"Yes")</f>
        <v>Yes</v>
      </c>
      <c r="X51" s="5" t="str">
        <f ca="1">IFERROR(__xludf.DUMMYFUNCTION("""COMPUTED_VALUE"""),"Yes")</f>
        <v>Yes</v>
      </c>
      <c r="Y51" s="5" t="str">
        <f ca="1">IFERROR(__xludf.DUMMYFUNCTION("""COMPUTED_VALUE"""),"Yes")</f>
        <v>Yes</v>
      </c>
      <c r="Z51" s="5" t="str">
        <f ca="1">IFERROR(__xludf.DUMMYFUNCTION("""COMPUTED_VALUE"""),"Yes")</f>
        <v>Yes</v>
      </c>
      <c r="AA51" s="5" t="str">
        <f ca="1">IFERROR(__xludf.DUMMYFUNCTION("""COMPUTED_VALUE"""),"Yes")</f>
        <v>Yes</v>
      </c>
      <c r="AB51" s="5" t="str">
        <f ca="1">IFERROR(__xludf.DUMMYFUNCTION("""COMPUTED_VALUE"""),"Yes")</f>
        <v>Yes</v>
      </c>
      <c r="AC51" s="5" t="str">
        <f ca="1">IFERROR(__xludf.DUMMYFUNCTION("""COMPUTED_VALUE"""),"Yes")</f>
        <v>Yes</v>
      </c>
      <c r="AD51" s="5" t="str">
        <f ca="1">IFERROR(__xludf.DUMMYFUNCTION("""COMPUTED_VALUE"""),"Yes")</f>
        <v>Yes</v>
      </c>
      <c r="AE51" s="5" t="str">
        <f ca="1">IFERROR(__xludf.DUMMYFUNCTION("""COMPUTED_VALUE"""),"Yes")</f>
        <v>Yes</v>
      </c>
      <c r="AF51" s="5" t="str">
        <f ca="1">IFERROR(__xludf.DUMMYFUNCTION("""COMPUTED_VALUE"""),"Yes")</f>
        <v>Yes</v>
      </c>
      <c r="AG51" s="5" t="str">
        <f ca="1">IFERROR(__xludf.DUMMYFUNCTION("""COMPUTED_VALUE"""),"Yes")</f>
        <v>Yes</v>
      </c>
      <c r="AH51" s="5" t="str">
        <f ca="1">IFERROR(__xludf.DUMMYFUNCTION("""COMPUTED_VALUE"""),"Yes")</f>
        <v>Yes</v>
      </c>
      <c r="AI51" s="5" t="str">
        <f ca="1">IFERROR(__xludf.DUMMYFUNCTION("""COMPUTED_VALUE"""),"Yes")</f>
        <v>Yes</v>
      </c>
      <c r="AJ51" s="5" t="str">
        <f ca="1">IFERROR(__xludf.DUMMYFUNCTION("""COMPUTED_VALUE"""),"Yes")</f>
        <v>Yes</v>
      </c>
      <c r="AK51" s="5" t="str">
        <f ca="1">IFERROR(__xludf.DUMMYFUNCTION("""COMPUTED_VALUE"""),"Yes")</f>
        <v>Yes</v>
      </c>
      <c r="AL51" s="5" t="str">
        <f ca="1">IFERROR(__xludf.DUMMYFUNCTION("""COMPUTED_VALUE"""),"Yes")</f>
        <v>Yes</v>
      </c>
      <c r="AM51" s="5" t="str">
        <f ca="1">IFERROR(__xludf.DUMMYFUNCTION("""COMPUTED_VALUE"""),"Yes")</f>
        <v>Yes</v>
      </c>
      <c r="AN51" s="5" t="str">
        <f ca="1">IFERROR(__xludf.DUMMYFUNCTION("""COMPUTED_VALUE"""),"Yes")</f>
        <v>Yes</v>
      </c>
      <c r="AO51" s="5" t="str">
        <f ca="1">IFERROR(__xludf.DUMMYFUNCTION("""COMPUTED_VALUE"""),"Yes")</f>
        <v>Yes</v>
      </c>
      <c r="AP51" s="5" t="str">
        <f ca="1">IFERROR(__xludf.DUMMYFUNCTION("""COMPUTED_VALUE"""),"Yes")</f>
        <v>Yes</v>
      </c>
      <c r="AQ51" s="5" t="str">
        <f ca="1">IFERROR(__xludf.DUMMYFUNCTION("""COMPUTED_VALUE"""),"Yes")</f>
        <v>Yes</v>
      </c>
      <c r="AR51" s="5" t="str">
        <f ca="1">IFERROR(__xludf.DUMMYFUNCTION("""COMPUTED_VALUE"""),"Yes")</f>
        <v>Yes</v>
      </c>
      <c r="AS51" s="5" t="str">
        <f ca="1">IFERROR(__xludf.DUMMYFUNCTION("""COMPUTED_VALUE"""),"Yes")</f>
        <v>Yes</v>
      </c>
      <c r="AT51" s="5" t="str">
        <f ca="1">IFERROR(__xludf.DUMMYFUNCTION("""COMPUTED_VALUE"""),"No")</f>
        <v>No</v>
      </c>
      <c r="AU51" s="5"/>
    </row>
    <row r="52" spans="1:47" x14ac:dyDescent="0.25">
      <c r="A52" s="5" t="str">
        <f ca="1">IFERROR(__xludf.DUMMYFUNCTION("""COMPUTED_VALUE"""),"Foxi")</f>
        <v>Foxi</v>
      </c>
      <c r="B52" s="5" t="str">
        <f ca="1">IFERROR(__xludf.DUMMYFUNCTION("""COMPUTED_VALUE"""),"Very Hot 5")</f>
        <v>Very Hot 5</v>
      </c>
      <c r="C52" s="5" t="str">
        <f ca="1">IFERROR(__xludf.DUMMYFUNCTION("""COMPUTED_VALUE"""),"VeryHot5")</f>
        <v>VeryHot5</v>
      </c>
      <c r="D52" s="6">
        <f ca="1">IFERROR(__xludf.DUMMYFUNCTION("""COMPUTED_VALUE"""),44420)</f>
        <v>44420</v>
      </c>
      <c r="E52" s="5" t="str">
        <f ca="1">IFERROR(__xludf.DUMMYFUNCTION("""COMPUTED_VALUE"""),"Slot")</f>
        <v>Slot</v>
      </c>
      <c r="F52" s="5">
        <f ca="1">IFERROR(__xludf.DUMMYFUNCTION("""COMPUTED_VALUE"""),17.3)</f>
        <v>17.3</v>
      </c>
      <c r="G52" s="5" t="str">
        <f ca="1">IFERROR(__xludf.DUMMYFUNCTION("""COMPUTED_VALUE"""),"5x3")</f>
        <v>5x3</v>
      </c>
      <c r="H52" s="5" t="str">
        <f ca="1">IFERROR(__xludf.DUMMYFUNCTION("""COMPUTED_VALUE"""),"5")</f>
        <v>5</v>
      </c>
      <c r="I52" s="5" t="str">
        <f ca="1">IFERROR(__xludf.DUMMYFUNCTION("""COMPUTED_VALUE"""),"5")</f>
        <v>5</v>
      </c>
      <c r="J52" s="5" t="str">
        <f ca="1">IFERROR(__xludf.DUMMYFUNCTION("""COMPUTED_VALUE"""),"96.447%")</f>
        <v>96.447%</v>
      </c>
      <c r="K52" s="5" t="str">
        <f ca="1">IFERROR(__xludf.DUMMYFUNCTION("""COMPUTED_VALUE"""),"Medium")</f>
        <v>Medium</v>
      </c>
      <c r="L52" s="5" t="str">
        <f ca="1">IFERROR(__xludf.DUMMYFUNCTION("""COMPUTED_VALUE"""),"14.51%")</f>
        <v>14.51%</v>
      </c>
      <c r="M52" s="5" t="str">
        <f ca="1">IFERROR(__xludf.DUMMYFUNCTION("""COMPUTED_VALUE"""),"x1222")</f>
        <v>x1222</v>
      </c>
      <c r="N52" s="5" t="str">
        <f ca="1">IFERROR(__xludf.DUMMYFUNCTION("""COMPUTED_VALUE"""),"0.05/30")</f>
        <v>0.05/30</v>
      </c>
      <c r="O52" s="5" t="str">
        <f ca="1">IFERROR(__xludf.DUMMYFUNCTION("""COMPUTED_VALUE"""),"Yes")</f>
        <v>Yes</v>
      </c>
      <c r="P52" s="5" t="str">
        <f ca="1">IFERROR(__xludf.DUMMYFUNCTION("""COMPUTED_VALUE"""),"Scatter, Expanding Wild")</f>
        <v>Scatter, Expanding Wild</v>
      </c>
      <c r="Q52" s="7" t="str">
        <f ca="1">IFERROR(__xludf.DUMMYFUNCTION("""COMPUTED_VALUE"""),"https://gameserver-store-client-area.orbionlimited.com/Home/IntegrationGameLaunch/client-area?moneyType=0&amp;gameName=VeryHot5&amp;platform=desktop&amp;languageCode=eng&amp;currency=EUR")</f>
        <v>https://gameserver-store-client-area.orbionlimited.com/Home/IntegrationGameLaunch/client-area?moneyType=0&amp;gameName=VeryHot5&amp;platform=desktop&amp;languageCode=eng&amp;currency=EUR</v>
      </c>
      <c r="R52" s="5" t="str">
        <f ca="1">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S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2" s="5" t="str">
        <f ca="1">IFERROR(__xludf.DUMMYFUNCTION("""COMPUTED_VALUE"""),"Yes")</f>
        <v>Yes</v>
      </c>
      <c r="U52" s="5" t="str">
        <f ca="1">IFERROR(__xludf.DUMMYFUNCTION("""COMPUTED_VALUE"""),"Yes")</f>
        <v>Yes</v>
      </c>
      <c r="V52" s="5" t="str">
        <f ca="1">IFERROR(__xludf.DUMMYFUNCTION("""COMPUTED_VALUE"""),"Yes")</f>
        <v>Yes</v>
      </c>
      <c r="W52" s="5" t="str">
        <f ca="1">IFERROR(__xludf.DUMMYFUNCTION("""COMPUTED_VALUE"""),"Yes")</f>
        <v>Yes</v>
      </c>
      <c r="X52" s="5" t="str">
        <f ca="1">IFERROR(__xludf.DUMMYFUNCTION("""COMPUTED_VALUE"""),"Yes")</f>
        <v>Yes</v>
      </c>
      <c r="Y52" s="5" t="str">
        <f ca="1">IFERROR(__xludf.DUMMYFUNCTION("""COMPUTED_VALUE"""),"Yes")</f>
        <v>Yes</v>
      </c>
      <c r="Z52" s="5" t="str">
        <f ca="1">IFERROR(__xludf.DUMMYFUNCTION("""COMPUTED_VALUE"""),"Yes")</f>
        <v>Yes</v>
      </c>
      <c r="AA52" s="5" t="str">
        <f ca="1">IFERROR(__xludf.DUMMYFUNCTION("""COMPUTED_VALUE"""),"Yes")</f>
        <v>Yes</v>
      </c>
      <c r="AB52" s="5" t="str">
        <f ca="1">IFERROR(__xludf.DUMMYFUNCTION("""COMPUTED_VALUE"""),"Yes")</f>
        <v>Yes</v>
      </c>
      <c r="AC52" s="5" t="str">
        <f ca="1">IFERROR(__xludf.DUMMYFUNCTION("""COMPUTED_VALUE"""),"Yes")</f>
        <v>Yes</v>
      </c>
      <c r="AD52" s="5" t="str">
        <f ca="1">IFERROR(__xludf.DUMMYFUNCTION("""COMPUTED_VALUE"""),"Yes")</f>
        <v>Yes</v>
      </c>
      <c r="AE52" s="5" t="str">
        <f ca="1">IFERROR(__xludf.DUMMYFUNCTION("""COMPUTED_VALUE"""),"Yes")</f>
        <v>Yes</v>
      </c>
      <c r="AF52" s="5" t="str">
        <f ca="1">IFERROR(__xludf.DUMMYFUNCTION("""COMPUTED_VALUE"""),"Yes")</f>
        <v>Yes</v>
      </c>
      <c r="AG52" s="5" t="str">
        <f ca="1">IFERROR(__xludf.DUMMYFUNCTION("""COMPUTED_VALUE"""),"Yes")</f>
        <v>Yes</v>
      </c>
      <c r="AH52" s="5" t="str">
        <f ca="1">IFERROR(__xludf.DUMMYFUNCTION("""COMPUTED_VALUE"""),"Yes")</f>
        <v>Yes</v>
      </c>
      <c r="AI52" s="5" t="str">
        <f ca="1">IFERROR(__xludf.DUMMYFUNCTION("""COMPUTED_VALUE"""),"Yes")</f>
        <v>Yes</v>
      </c>
      <c r="AJ52" s="5" t="str">
        <f ca="1">IFERROR(__xludf.DUMMYFUNCTION("""COMPUTED_VALUE"""),"Yes")</f>
        <v>Yes</v>
      </c>
      <c r="AK52" s="5" t="str">
        <f ca="1">IFERROR(__xludf.DUMMYFUNCTION("""COMPUTED_VALUE"""),"Yes")</f>
        <v>Yes</v>
      </c>
      <c r="AL52" s="5" t="str">
        <f ca="1">IFERROR(__xludf.DUMMYFUNCTION("""COMPUTED_VALUE"""),"Yes")</f>
        <v>Yes</v>
      </c>
      <c r="AM52" s="5" t="str">
        <f ca="1">IFERROR(__xludf.DUMMYFUNCTION("""COMPUTED_VALUE"""),"Yes")</f>
        <v>Yes</v>
      </c>
      <c r="AN52" s="5" t="str">
        <f ca="1">IFERROR(__xludf.DUMMYFUNCTION("""COMPUTED_VALUE"""),"Yes")</f>
        <v>Yes</v>
      </c>
      <c r="AO52" s="5" t="str">
        <f ca="1">IFERROR(__xludf.DUMMYFUNCTION("""COMPUTED_VALUE"""),"Yes")</f>
        <v>Yes</v>
      </c>
      <c r="AP52" s="5" t="str">
        <f ca="1">IFERROR(__xludf.DUMMYFUNCTION("""COMPUTED_VALUE"""),"Yes")</f>
        <v>Yes</v>
      </c>
      <c r="AQ52" s="5" t="str">
        <f ca="1">IFERROR(__xludf.DUMMYFUNCTION("""COMPUTED_VALUE"""),"Yes")</f>
        <v>Yes</v>
      </c>
      <c r="AR52" s="5" t="str">
        <f ca="1">IFERROR(__xludf.DUMMYFUNCTION("""COMPUTED_VALUE"""),"Yes")</f>
        <v>Yes</v>
      </c>
      <c r="AS52" s="5" t="str">
        <f ca="1">IFERROR(__xludf.DUMMYFUNCTION("""COMPUTED_VALUE"""),"Yes")</f>
        <v>Yes</v>
      </c>
      <c r="AT52" s="5" t="str">
        <f ca="1">IFERROR(__xludf.DUMMYFUNCTION("""COMPUTED_VALUE"""),"No")</f>
        <v>No</v>
      </c>
      <c r="AU52" s="5"/>
    </row>
    <row r="53" spans="1:47" x14ac:dyDescent="0.25">
      <c r="A53" s="5" t="str">
        <f ca="1">IFERROR(__xludf.DUMMYFUNCTION("""COMPUTED_VALUE"""),"Foxi")</f>
        <v>Foxi</v>
      </c>
      <c r="B53" s="5" t="str">
        <f ca="1">IFERROR(__xludf.DUMMYFUNCTION("""COMPUTED_VALUE"""),"Very Hot 40")</f>
        <v>Very Hot 40</v>
      </c>
      <c r="C53" s="5" t="str">
        <f ca="1">IFERROR(__xludf.DUMMYFUNCTION("""COMPUTED_VALUE"""),"VeryHot40")</f>
        <v>VeryHot40</v>
      </c>
      <c r="D53" s="6">
        <f ca="1">IFERROR(__xludf.DUMMYFUNCTION("""COMPUTED_VALUE"""),44420)</f>
        <v>44420</v>
      </c>
      <c r="E53" s="5" t="str">
        <f ca="1">IFERROR(__xludf.DUMMYFUNCTION("""COMPUTED_VALUE"""),"Slot")</f>
        <v>Slot</v>
      </c>
      <c r="F53" s="5">
        <f ca="1">IFERROR(__xludf.DUMMYFUNCTION("""COMPUTED_VALUE"""),17.4)</f>
        <v>17.399999999999999</v>
      </c>
      <c r="G53" s="5" t="str">
        <f ca="1">IFERROR(__xludf.DUMMYFUNCTION("""COMPUTED_VALUE"""),"5x3")</f>
        <v>5x3</v>
      </c>
      <c r="H53" s="5" t="str">
        <f ca="1">IFERROR(__xludf.DUMMYFUNCTION("""COMPUTED_VALUE"""),"40")</f>
        <v>40</v>
      </c>
      <c r="I53" s="5" t="str">
        <f ca="1">IFERROR(__xludf.DUMMYFUNCTION("""COMPUTED_VALUE"""),"40")</f>
        <v>40</v>
      </c>
      <c r="J53" s="5" t="str">
        <f ca="1">IFERROR(__xludf.DUMMYFUNCTION("""COMPUTED_VALUE"""),"96.53%")</f>
        <v>96.53%</v>
      </c>
      <c r="K53" s="5" t="str">
        <f ca="1">IFERROR(__xludf.DUMMYFUNCTION("""COMPUTED_VALUE"""),"Low")</f>
        <v>Low</v>
      </c>
      <c r="L53" s="5" t="str">
        <f ca="1">IFERROR(__xludf.DUMMYFUNCTION("""COMPUTED_VALUE"""),"23.38%")</f>
        <v>23.38%</v>
      </c>
      <c r="M53" s="5" t="str">
        <f ca="1">IFERROR(__xludf.DUMMYFUNCTION("""COMPUTED_VALUE"""),"x876.75")</f>
        <v>x876.75</v>
      </c>
      <c r="N53" s="5" t="str">
        <f ca="1">IFERROR(__xludf.DUMMYFUNCTION("""COMPUTED_VALUE"""),"0.4/60")</f>
        <v>0.4/60</v>
      </c>
      <c r="O53" s="5" t="str">
        <f ca="1">IFERROR(__xludf.DUMMYFUNCTION("""COMPUTED_VALUE"""),"Yes")</f>
        <v>Yes</v>
      </c>
      <c r="P53" s="5" t="str">
        <f ca="1">IFERROR(__xludf.DUMMYFUNCTION("""COMPUTED_VALUE"""),"Scatter, Expanding Wild")</f>
        <v>Scatter, Expanding Wild</v>
      </c>
      <c r="Q53" s="7" t="str">
        <f ca="1">IFERROR(__xludf.DUMMYFUNCTION("""COMPUTED_VALUE"""),"https://gameserver-store-client-area.orbionlimited.com/Home/IntegrationGameLaunch/client-area?moneyType=0&amp;gameName=VeryHot40&amp;platform=desktop&amp;languageCode=eng&amp;currency=EUR")</f>
        <v>https://gameserver-store-client-area.orbionlimited.com/Home/IntegrationGameLaunch/client-area?moneyType=0&amp;gameName=VeryHot40&amp;platform=desktop&amp;languageCode=eng&amp;currency=EUR</v>
      </c>
      <c r="R53" s="5" t="str">
        <f ca="1">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S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IFERROR(__xludf.DUMMYFUNCTION("""COMPUTED_VALUE"""),"Yes")</f>
        <v>Yes</v>
      </c>
      <c r="AA53" s="5" t="str">
        <f ca="1">IFERROR(__xludf.DUMMYFUNCTION("""COMPUTED_VALUE"""),"Yes")</f>
        <v>Yes</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IFERROR(__xludf.DUMMYFUNCTION("""COMPUTED_VALUE"""),"Yes")</f>
        <v>Yes</v>
      </c>
      <c r="AF53" s="5" t="str">
        <f ca="1">IFERROR(__xludf.DUMMYFUNCTION("""COMPUTED_VALUE"""),"Yes")</f>
        <v>Yes</v>
      </c>
      <c r="AG53" s="5" t="str">
        <f ca="1">IFERROR(__xludf.DUMMYFUNCTION("""COMPUTED_VALUE"""),"Yes")</f>
        <v>Yes</v>
      </c>
      <c r="AH53" s="5" t="str">
        <f ca="1">IFERROR(__xludf.DUMMYFUNCTION("""COMPUTED_VALUE"""),"Yes")</f>
        <v>Yes</v>
      </c>
      <c r="AI53" s="5" t="str">
        <f ca="1">IFERROR(__xludf.DUMMYFUNCTION("""COMPUTED_VALUE"""),"Yes")</f>
        <v>Yes</v>
      </c>
      <c r="AJ53" s="5" t="str">
        <f ca="1">IFERROR(__xludf.DUMMYFUNCTION("""COMPUTED_VALUE"""),"Yes")</f>
        <v>Yes</v>
      </c>
      <c r="AK53" s="5" t="str">
        <f ca="1">IFERROR(__xludf.DUMMYFUNCTION("""COMPUTED_VALUE"""),"Yes")</f>
        <v>Yes</v>
      </c>
      <c r="AL53" s="5" t="str">
        <f ca="1">IFERROR(__xludf.DUMMYFUNCTION("""COMPUTED_VALUE"""),"Yes")</f>
        <v>Yes</v>
      </c>
      <c r="AM53" s="5" t="str">
        <f ca="1">IFERROR(__xludf.DUMMYFUNCTION("""COMPUTED_VALUE"""),"Yes")</f>
        <v>Yes</v>
      </c>
      <c r="AN53" s="5" t="str">
        <f ca="1">IFERROR(__xludf.DUMMYFUNCTION("""COMPUTED_VALUE"""),"Yes")</f>
        <v>Yes</v>
      </c>
      <c r="AO53" s="5" t="str">
        <f ca="1">IFERROR(__xludf.DUMMYFUNCTION("""COMPUTED_VALUE"""),"Yes")</f>
        <v>Yes</v>
      </c>
      <c r="AP53" s="5" t="str">
        <f ca="1">IFERROR(__xludf.DUMMYFUNCTION("""COMPUTED_VALUE"""),"Yes")</f>
        <v>Yes</v>
      </c>
      <c r="AQ53" s="5" t="str">
        <f ca="1">IFERROR(__xludf.DUMMYFUNCTION("""COMPUTED_VALUE"""),"Yes")</f>
        <v>Yes</v>
      </c>
      <c r="AR53" s="5" t="str">
        <f ca="1">IFERROR(__xludf.DUMMYFUNCTION("""COMPUTED_VALUE"""),"Yes")</f>
        <v>Yes</v>
      </c>
      <c r="AS53" s="5" t="str">
        <f ca="1">IFERROR(__xludf.DUMMYFUNCTION("""COMPUTED_VALUE"""),"Yes")</f>
        <v>Yes</v>
      </c>
      <c r="AT53" s="5" t="str">
        <f ca="1">IFERROR(__xludf.DUMMYFUNCTION("""COMPUTED_VALUE"""),"No")</f>
        <v>No</v>
      </c>
      <c r="AU53" s="5"/>
    </row>
    <row r="54" spans="1:47" x14ac:dyDescent="0.25">
      <c r="A54" s="5" t="str">
        <f ca="1">IFERROR(__xludf.DUMMYFUNCTION("""COMPUTED_VALUE"""),"Foxi")</f>
        <v>Foxi</v>
      </c>
      <c r="B54" s="5" t="str">
        <f ca="1">IFERROR(__xludf.DUMMYFUNCTION("""COMPUTED_VALUE"""),"Jewels Beat")</f>
        <v>Jewels Beat</v>
      </c>
      <c r="C54" s="5" t="str">
        <f ca="1">IFERROR(__xludf.DUMMYFUNCTION("""COMPUTED_VALUE"""),"JewelsBeat")</f>
        <v>JewelsBeat</v>
      </c>
      <c r="D54" s="6">
        <f ca="1">IFERROR(__xludf.DUMMYFUNCTION("""COMPUTED_VALUE"""),44561)</f>
        <v>44561</v>
      </c>
      <c r="E54" s="5" t="str">
        <f ca="1">IFERROR(__xludf.DUMMYFUNCTION("""COMPUTED_VALUE"""),"Slot")</f>
        <v>Slot</v>
      </c>
      <c r="F54" s="5">
        <f ca="1">IFERROR(__xludf.DUMMYFUNCTION("""COMPUTED_VALUE"""),23.7)</f>
        <v>23.7</v>
      </c>
      <c r="G54" s="5" t="str">
        <f ca="1">IFERROR(__xludf.DUMMYFUNCTION("""COMPUTED_VALUE"""),"5x3")</f>
        <v>5x3</v>
      </c>
      <c r="H54" s="5" t="str">
        <f ca="1">IFERROR(__xludf.DUMMYFUNCTION("""COMPUTED_VALUE"""),"10")</f>
        <v>10</v>
      </c>
      <c r="I54" s="5" t="str">
        <f ca="1">IFERROR(__xludf.DUMMYFUNCTION("""COMPUTED_VALUE"""),"1,3,5,7,10")</f>
        <v>1,3,5,7,10</v>
      </c>
      <c r="J54" s="5" t="str">
        <f ca="1">IFERROR(__xludf.DUMMYFUNCTION("""COMPUTED_VALUE"""),"95.421%")</f>
        <v>95.421%</v>
      </c>
      <c r="K54" s="5" t="str">
        <f ca="1">IFERROR(__xludf.DUMMYFUNCTION("""COMPUTED_VALUE"""),"Medium")</f>
        <v>Medium</v>
      </c>
      <c r="L54" s="5" t="str">
        <f ca="1">IFERROR(__xludf.DUMMYFUNCTION("""COMPUTED_VALUE"""),"15.82%")</f>
        <v>15.82%</v>
      </c>
      <c r="M54" s="5" t="str">
        <f ca="1">IFERROR(__xludf.DUMMYFUNCTION("""COMPUTED_VALUE"""),"x5000")</f>
        <v>x5000</v>
      </c>
      <c r="N54" s="5" t="str">
        <f ca="1">IFERROR(__xludf.DUMMYFUNCTION("""COMPUTED_VALUE"""),"0.01/40")</f>
        <v>0.01/40</v>
      </c>
      <c r="O54" s="5" t="str">
        <f ca="1">IFERROR(__xludf.DUMMYFUNCTION("""COMPUTED_VALUE"""),"Yes")</f>
        <v>Yes</v>
      </c>
      <c r="P54" s="5" t="str">
        <f ca="1">IFERROR(__xludf.DUMMYFUNCTION("""COMPUTED_VALUE"""),"Adjacent pays, Scatter")</f>
        <v>Adjacent pays, Scatter</v>
      </c>
      <c r="Q54" s="7" t="str">
        <f ca="1">IFERROR(__xludf.DUMMYFUNCTION("""COMPUTED_VALUE"""),"https://gameserver-store-client-area.orbionlimited.com/Home/IntegrationGameLaunch/client-area?moneyType=0&amp;gameName=JewelsBeat&amp;platform=desktop&amp;languageCode=eng&amp;currency=EUR")</f>
        <v>https://gameserver-store-client-area.orbionlimited.com/Home/IntegrationGameLaunch/client-area?moneyType=0&amp;gameName=JewelsBeat&amp;platform=desktop&amp;languageCode=eng&amp;currency=EUR</v>
      </c>
      <c r="R54" s="5" t="str">
        <f ca="1">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S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IFERROR(__xludf.DUMMYFUNCTION("""COMPUTED_VALUE"""),"Yes")</f>
        <v>Yes</v>
      </c>
      <c r="X54" s="5" t="str">
        <f ca="1">IFERROR(__xludf.DUMMYFUNCTION("""COMPUTED_VALUE"""),"Yes")</f>
        <v>Yes</v>
      </c>
      <c r="Y54" s="5" t="str">
        <f ca="1">IFERROR(__xludf.DUMMYFUNCTION("""COMPUTED_VALUE"""),"Yes")</f>
        <v>Yes</v>
      </c>
      <c r="Z54" s="5" t="str">
        <f ca="1">IFERROR(__xludf.DUMMYFUNCTION("""COMPUTED_VALUE"""),"Yes")</f>
        <v>Yes</v>
      </c>
      <c r="AA54" s="5" t="str">
        <f ca="1">IFERROR(__xludf.DUMMYFUNCTION("""COMPUTED_VALUE"""),"Yes")</f>
        <v>Yes</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IFERROR(__xludf.DUMMYFUNCTION("""COMPUTED_VALUE"""),"Yes")</f>
        <v>Yes</v>
      </c>
      <c r="AF54" s="5" t="str">
        <f ca="1">IFERROR(__xludf.DUMMYFUNCTION("""COMPUTED_VALUE"""),"Yes")</f>
        <v>Yes</v>
      </c>
      <c r="AG54" s="5" t="str">
        <f ca="1">IFERROR(__xludf.DUMMYFUNCTION("""COMPUTED_VALUE"""),"Yes")</f>
        <v>Yes</v>
      </c>
      <c r="AH54" s="5" t="str">
        <f ca="1">IFERROR(__xludf.DUMMYFUNCTION("""COMPUTED_VALUE"""),"Yes")</f>
        <v>Yes</v>
      </c>
      <c r="AI54" s="5" t="str">
        <f ca="1">IFERROR(__xludf.DUMMYFUNCTION("""COMPUTED_VALUE"""),"Yes")</f>
        <v>Yes</v>
      </c>
      <c r="AJ54" s="5" t="str">
        <f ca="1">IFERROR(__xludf.DUMMYFUNCTION("""COMPUTED_VALUE"""),"Yes")</f>
        <v>Yes</v>
      </c>
      <c r="AK54" s="5" t="str">
        <f ca="1">IFERROR(__xludf.DUMMYFUNCTION("""COMPUTED_VALUE"""),"Yes")</f>
        <v>Yes</v>
      </c>
      <c r="AL54" s="5" t="str">
        <f ca="1">IFERROR(__xludf.DUMMYFUNCTION("""COMPUTED_VALUE"""),"Yes")</f>
        <v>Yes</v>
      </c>
      <c r="AM54" s="5" t="str">
        <f ca="1">IFERROR(__xludf.DUMMYFUNCTION("""COMPUTED_VALUE"""),"Yes")</f>
        <v>Yes</v>
      </c>
      <c r="AN54" s="5" t="str">
        <f ca="1">IFERROR(__xludf.DUMMYFUNCTION("""COMPUTED_VALUE"""),"Yes")</f>
        <v>Yes</v>
      </c>
      <c r="AO54" s="5" t="str">
        <f ca="1">IFERROR(__xludf.DUMMYFUNCTION("""COMPUTED_VALUE"""),"Yes")</f>
        <v>Yes</v>
      </c>
      <c r="AP54" s="5" t="str">
        <f ca="1">IFERROR(__xludf.DUMMYFUNCTION("""COMPUTED_VALUE"""),"Yes")</f>
        <v>Yes</v>
      </c>
      <c r="AQ54" s="5" t="str">
        <f ca="1">IFERROR(__xludf.DUMMYFUNCTION("""COMPUTED_VALUE"""),"Yes")</f>
        <v>Yes</v>
      </c>
      <c r="AR54" s="5" t="str">
        <f ca="1">IFERROR(__xludf.DUMMYFUNCTION("""COMPUTED_VALUE"""),"Yes")</f>
        <v>Yes</v>
      </c>
      <c r="AS54" s="5" t="str">
        <f ca="1">IFERROR(__xludf.DUMMYFUNCTION("""COMPUTED_VALUE"""),"Yes")</f>
        <v>Yes</v>
      </c>
      <c r="AT54" s="5" t="str">
        <f ca="1">IFERROR(__xludf.DUMMYFUNCTION("""COMPUTED_VALUE"""),"No")</f>
        <v>No</v>
      </c>
      <c r="AU54" s="5"/>
    </row>
    <row r="55" spans="1:47" x14ac:dyDescent="0.25">
      <c r="A55" s="5" t="str">
        <f ca="1">IFERROR(__xludf.DUMMYFUNCTION("""COMPUTED_VALUE"""),"Foxi")</f>
        <v>Foxi</v>
      </c>
      <c r="B55" s="5" t="str">
        <f ca="1">IFERROR(__xludf.DUMMYFUNCTION("""COMPUTED_VALUE"""),"Heating Ice")</f>
        <v>Heating Ice</v>
      </c>
      <c r="C55" s="5" t="str">
        <f ca="1">IFERROR(__xludf.DUMMYFUNCTION("""COMPUTED_VALUE"""),"HeatingIce")</f>
        <v>HeatingIce</v>
      </c>
      <c r="D55" s="6">
        <f ca="1">IFERROR(__xludf.DUMMYFUNCTION("""COMPUTED_VALUE"""),44561)</f>
        <v>44561</v>
      </c>
      <c r="E55" s="5" t="str">
        <f ca="1">IFERROR(__xludf.DUMMYFUNCTION("""COMPUTED_VALUE"""),"Slot")</f>
        <v>Slot</v>
      </c>
      <c r="F55" s="5">
        <f ca="1">IFERROR(__xludf.DUMMYFUNCTION("""COMPUTED_VALUE"""),35.5)</f>
        <v>35.5</v>
      </c>
      <c r="G55" s="5" t="str">
        <f ca="1">IFERROR(__xludf.DUMMYFUNCTION("""COMPUTED_VALUE"""),"3x3")</f>
        <v>3x3</v>
      </c>
      <c r="H55" s="5" t="str">
        <f ca="1">IFERROR(__xludf.DUMMYFUNCTION("""COMPUTED_VALUE"""),"27")</f>
        <v>27</v>
      </c>
      <c r="I55" s="5" t="str">
        <f ca="1">IFERROR(__xludf.DUMMYFUNCTION("""COMPUTED_VALUE"""),"27")</f>
        <v>27</v>
      </c>
      <c r="J55" s="5" t="str">
        <f ca="1">IFERROR(__xludf.DUMMYFUNCTION("""COMPUTED_VALUE"""),"96.352%")</f>
        <v>96.352%</v>
      </c>
      <c r="K55" s="5" t="str">
        <f ca="1">IFERROR(__xludf.DUMMYFUNCTION("""COMPUTED_VALUE"""),"Medium")</f>
        <v>Medium</v>
      </c>
      <c r="L55" s="5" t="str">
        <f ca="1">IFERROR(__xludf.DUMMYFUNCTION("""COMPUTED_VALUE"""),"8.02%")</f>
        <v>8.02%</v>
      </c>
      <c r="M55" s="5" t="str">
        <f ca="1">IFERROR(__xludf.DUMMYFUNCTION("""COMPUTED_VALUE"""),"x360")</f>
        <v>x360</v>
      </c>
      <c r="N55" s="5" t="str">
        <f ca="1">IFERROR(__xludf.DUMMYFUNCTION("""COMPUTED_VALUE"""),"0.1/50")</f>
        <v>0.1/50</v>
      </c>
      <c r="O55" s="5" t="str">
        <f ca="1">IFERROR(__xludf.DUMMYFUNCTION("""COMPUTED_VALUE"""),"Yes")</f>
        <v>Yes</v>
      </c>
      <c r="P55" s="5" t="str">
        <f ca="1">IFERROR(__xludf.DUMMYFUNCTION("""COMPUTED_VALUE"""),"Respin, Mystery symbol")</f>
        <v>Respin, Mystery symbol</v>
      </c>
      <c r="Q55" s="7" t="str">
        <f ca="1">IFERROR(__xludf.DUMMYFUNCTION("""COMPUTED_VALUE"""),"https://gameserver-store-client-area.orbionlimited.com/Home/IntegrationGameLaunch/client-area?moneyType=0&amp;gameName=HeatingIce&amp;platform=desktop&amp;languageCode=eng&amp;currency=EUR")</f>
        <v>https://gameserver-store-client-area.orbionlimited.com/Home/IntegrationGameLaunch/client-area?moneyType=0&amp;gameName=HeatingIce&amp;platform=desktop&amp;languageCode=eng&amp;currency=EUR</v>
      </c>
      <c r="R55" s="5" t="str">
        <f ca="1">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S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IFERROR(__xludf.DUMMYFUNCTION("""COMPUTED_VALUE"""),"Yes")</f>
        <v>Yes</v>
      </c>
      <c r="AA55" s="5" t="str">
        <f ca="1">IFERROR(__xludf.DUMMYFUNCTION("""COMPUTED_VALUE"""),"Yes")</f>
        <v>Yes</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IFERROR(__xludf.DUMMYFUNCTION("""COMPUTED_VALUE"""),"Yes")</f>
        <v>Yes</v>
      </c>
      <c r="AF55" s="5" t="str">
        <f ca="1">IFERROR(__xludf.DUMMYFUNCTION("""COMPUTED_VALUE"""),"Yes")</f>
        <v>Yes</v>
      </c>
      <c r="AG55" s="5" t="str">
        <f ca="1">IFERROR(__xludf.DUMMYFUNCTION("""COMPUTED_VALUE"""),"Yes")</f>
        <v>Yes</v>
      </c>
      <c r="AH55" s="5" t="str">
        <f ca="1">IFERROR(__xludf.DUMMYFUNCTION("""COMPUTED_VALUE"""),"Yes")</f>
        <v>Yes</v>
      </c>
      <c r="AI55" s="5" t="str">
        <f ca="1">IFERROR(__xludf.DUMMYFUNCTION("""COMPUTED_VALUE"""),"Yes")</f>
        <v>Yes</v>
      </c>
      <c r="AJ55" s="5" t="str">
        <f ca="1">IFERROR(__xludf.DUMMYFUNCTION("""COMPUTED_VALUE"""),"Yes")</f>
        <v>Yes</v>
      </c>
      <c r="AK55" s="5" t="str">
        <f ca="1">IFERROR(__xludf.DUMMYFUNCTION("""COMPUTED_VALUE"""),"Yes")</f>
        <v>Yes</v>
      </c>
      <c r="AL55" s="5" t="str">
        <f ca="1">IFERROR(__xludf.DUMMYFUNCTION("""COMPUTED_VALUE"""),"Yes")</f>
        <v>Yes</v>
      </c>
      <c r="AM55" s="5" t="str">
        <f ca="1">IFERROR(__xludf.DUMMYFUNCTION("""COMPUTED_VALUE"""),"Yes")</f>
        <v>Yes</v>
      </c>
      <c r="AN55" s="5" t="str">
        <f ca="1">IFERROR(__xludf.DUMMYFUNCTION("""COMPUTED_VALUE"""),"Yes")</f>
        <v>Yes</v>
      </c>
      <c r="AO55" s="5" t="str">
        <f ca="1">IFERROR(__xludf.DUMMYFUNCTION("""COMPUTED_VALUE"""),"Yes")</f>
        <v>Yes</v>
      </c>
      <c r="AP55" s="5" t="str">
        <f ca="1">IFERROR(__xludf.DUMMYFUNCTION("""COMPUTED_VALUE"""),"Yes")</f>
        <v>Yes</v>
      </c>
      <c r="AQ55" s="5" t="str">
        <f ca="1">IFERROR(__xludf.DUMMYFUNCTION("""COMPUTED_VALUE"""),"Yes")</f>
        <v>Yes</v>
      </c>
      <c r="AR55" s="5" t="str">
        <f ca="1">IFERROR(__xludf.DUMMYFUNCTION("""COMPUTED_VALUE"""),"Yes")</f>
        <v>Yes</v>
      </c>
      <c r="AS55" s="5" t="str">
        <f ca="1">IFERROR(__xludf.DUMMYFUNCTION("""COMPUTED_VALUE"""),"Yes")</f>
        <v>Yes</v>
      </c>
      <c r="AT55" s="5" t="str">
        <f ca="1">IFERROR(__xludf.DUMMYFUNCTION("""COMPUTED_VALUE"""),"No")</f>
        <v>No</v>
      </c>
      <c r="AU55" s="5"/>
    </row>
    <row r="56" spans="1:47" x14ac:dyDescent="0.25">
      <c r="A56" s="5" t="str">
        <f ca="1">IFERROR(__xludf.DUMMYFUNCTION("""COMPUTED_VALUE"""),"Foxi")</f>
        <v>Foxi</v>
      </c>
      <c r="B56" s="5" t="str">
        <f ca="1">IFERROR(__xludf.DUMMYFUNCTION("""COMPUTED_VALUE"""),"Heating Ice Deluxe")</f>
        <v>Heating Ice Deluxe</v>
      </c>
      <c r="C56" s="5" t="str">
        <f ca="1">IFERROR(__xludf.DUMMYFUNCTION("""COMPUTED_VALUE"""),"HeatingIceDeluxe")</f>
        <v>HeatingIceDeluxe</v>
      </c>
      <c r="D56" s="6">
        <f ca="1">IFERROR(__xludf.DUMMYFUNCTION("""COMPUTED_VALUE"""),44551)</f>
        <v>44551</v>
      </c>
      <c r="E56" s="5" t="str">
        <f ca="1">IFERROR(__xludf.DUMMYFUNCTION("""COMPUTED_VALUE"""),"Slot")</f>
        <v>Slot</v>
      </c>
      <c r="F56" s="5">
        <f ca="1">IFERROR(__xludf.DUMMYFUNCTION("""COMPUTED_VALUE"""),38.4)</f>
        <v>38.4</v>
      </c>
      <c r="G56" s="5" t="str">
        <f ca="1">IFERROR(__xludf.DUMMYFUNCTION("""COMPUTED_VALUE"""),"3x3")</f>
        <v>3x3</v>
      </c>
      <c r="H56" s="5" t="str">
        <f ca="1">IFERROR(__xludf.DUMMYFUNCTION("""COMPUTED_VALUE"""),"27")</f>
        <v>27</v>
      </c>
      <c r="I56" s="5" t="str">
        <f ca="1">IFERROR(__xludf.DUMMYFUNCTION("""COMPUTED_VALUE"""),"27")</f>
        <v>27</v>
      </c>
      <c r="J56" s="5" t="str">
        <f ca="1">IFERROR(__xludf.DUMMYFUNCTION("""COMPUTED_VALUE"""),"96.352%")</f>
        <v>96.352%</v>
      </c>
      <c r="K56" s="5" t="str">
        <f ca="1">IFERROR(__xludf.DUMMYFUNCTION("""COMPUTED_VALUE"""),"Medium")</f>
        <v>Medium</v>
      </c>
      <c r="L56" s="5" t="str">
        <f ca="1">IFERROR(__xludf.DUMMYFUNCTION("""COMPUTED_VALUE"""),"8.02%")</f>
        <v>8.02%</v>
      </c>
      <c r="M56" s="5" t="str">
        <f ca="1">IFERROR(__xludf.DUMMYFUNCTION("""COMPUTED_VALUE"""),"x360")</f>
        <v>x360</v>
      </c>
      <c r="N56" s="5" t="str">
        <f ca="1">IFERROR(__xludf.DUMMYFUNCTION("""COMPUTED_VALUE"""),"0.1/50")</f>
        <v>0.1/50</v>
      </c>
      <c r="O56" s="5" t="str">
        <f ca="1">IFERROR(__xludf.DUMMYFUNCTION("""COMPUTED_VALUE"""),"Yes")</f>
        <v>Yes</v>
      </c>
      <c r="P56" s="5" t="str">
        <f ca="1">IFERROR(__xludf.DUMMYFUNCTION("""COMPUTED_VALUE"""),"Respin, Mystery symbol")</f>
        <v>Respin, Mystery symbol</v>
      </c>
      <c r="Q56" s="7" t="str">
        <f ca="1">IFERROR(__xludf.DUMMYFUNCTION("""COMPUTED_VALUE"""),"https://gameserver-store-client-area.orbionlimited.com/Home/IntegrationGameLaunch/client-area?moneyType=0&amp;gameName=HeatingIceDeluxe&amp;platform=desktop&amp;languageCode=eng&amp;currency=EUR")</f>
        <v>https://gameserver-store-client-area.orbionlimited.com/Home/IntegrationGameLaunch/client-area?moneyType=0&amp;gameName=HeatingIceDeluxe&amp;platform=desktop&amp;languageCode=eng&amp;currency=EUR</v>
      </c>
      <c r="R56" s="5" t="str">
        <f ca="1">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S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IFERROR(__xludf.DUMMYFUNCTION("""COMPUTED_VALUE"""),"Yes")</f>
        <v>Yes</v>
      </c>
      <c r="AF56" s="5" t="str">
        <f ca="1">IFERROR(__xludf.DUMMYFUNCTION("""COMPUTED_VALUE"""),"Yes")</f>
        <v>Yes</v>
      </c>
      <c r="AG56" s="5" t="str">
        <f ca="1">IFERROR(__xludf.DUMMYFUNCTION("""COMPUTED_VALUE"""),"Yes")</f>
        <v>Yes</v>
      </c>
      <c r="AH56" s="5" t="str">
        <f ca="1">IFERROR(__xludf.DUMMYFUNCTION("""COMPUTED_VALUE"""),"Yes")</f>
        <v>Yes</v>
      </c>
      <c r="AI56" s="5" t="str">
        <f ca="1">IFERROR(__xludf.DUMMYFUNCTION("""COMPUTED_VALUE"""),"Yes")</f>
        <v>Yes</v>
      </c>
      <c r="AJ56" s="5" t="str">
        <f ca="1">IFERROR(__xludf.DUMMYFUNCTION("""COMPUTED_VALUE"""),"Yes")</f>
        <v>Yes</v>
      </c>
      <c r="AK56" s="5" t="str">
        <f ca="1">IFERROR(__xludf.DUMMYFUNCTION("""COMPUTED_VALUE"""),"Yes")</f>
        <v>Yes</v>
      </c>
      <c r="AL56" s="5" t="str">
        <f ca="1">IFERROR(__xludf.DUMMYFUNCTION("""COMPUTED_VALUE"""),"Yes")</f>
        <v>Yes</v>
      </c>
      <c r="AM56" s="5" t="str">
        <f ca="1">IFERROR(__xludf.DUMMYFUNCTION("""COMPUTED_VALUE"""),"Yes")</f>
        <v>Yes</v>
      </c>
      <c r="AN56" s="5" t="str">
        <f ca="1">IFERROR(__xludf.DUMMYFUNCTION("""COMPUTED_VALUE"""),"Yes")</f>
        <v>Yes</v>
      </c>
      <c r="AO56" s="5" t="str">
        <f ca="1">IFERROR(__xludf.DUMMYFUNCTION("""COMPUTED_VALUE"""),"Yes")</f>
        <v>Yes</v>
      </c>
      <c r="AP56" s="5" t="str">
        <f ca="1">IFERROR(__xludf.DUMMYFUNCTION("""COMPUTED_VALUE"""),"Yes")</f>
        <v>Yes</v>
      </c>
      <c r="AQ56" s="5" t="str">
        <f ca="1">IFERROR(__xludf.DUMMYFUNCTION("""COMPUTED_VALUE"""),"Yes")</f>
        <v>Yes</v>
      </c>
      <c r="AR56" s="5" t="str">
        <f ca="1">IFERROR(__xludf.DUMMYFUNCTION("""COMPUTED_VALUE"""),"Yes")</f>
        <v>Yes</v>
      </c>
      <c r="AS56" s="5" t="str">
        <f ca="1">IFERROR(__xludf.DUMMYFUNCTION("""COMPUTED_VALUE"""),"Yes")</f>
        <v>Yes</v>
      </c>
      <c r="AT56" s="5" t="str">
        <f ca="1">IFERROR(__xludf.DUMMYFUNCTION("""COMPUTED_VALUE"""),"No")</f>
        <v>No</v>
      </c>
      <c r="AU56" s="5"/>
    </row>
    <row r="57" spans="1:47" x14ac:dyDescent="0.25">
      <c r="A57" s="5" t="str">
        <f ca="1">IFERROR(__xludf.DUMMYFUNCTION("""COMPUTED_VALUE"""),"Foxi")</f>
        <v>Foxi</v>
      </c>
      <c r="B57" s="5" t="str">
        <f ca="1">IFERROR(__xludf.DUMMYFUNCTION("""COMPUTED_VALUE"""),"Fluo Dice 5")</f>
        <v>Fluo Dice 5</v>
      </c>
      <c r="C57" s="5" t="str">
        <f ca="1">IFERROR(__xludf.DUMMYFUNCTION("""COMPUTED_VALUE"""),"FluoDice5")</f>
        <v>FluoDice5</v>
      </c>
      <c r="D57" s="6">
        <f ca="1">IFERROR(__xludf.DUMMYFUNCTION("""COMPUTED_VALUE"""),38544)</f>
        <v>38544</v>
      </c>
      <c r="E57" s="5" t="str">
        <f ca="1">IFERROR(__xludf.DUMMYFUNCTION("""COMPUTED_VALUE"""),"Slot")</f>
        <v>Slot</v>
      </c>
      <c r="F57" s="5">
        <f ca="1">IFERROR(__xludf.DUMMYFUNCTION("""COMPUTED_VALUE"""),31.9)</f>
        <v>31.9</v>
      </c>
      <c r="G57" s="5" t="str">
        <f ca="1">IFERROR(__xludf.DUMMYFUNCTION("""COMPUTED_VALUE"""),"5x3")</f>
        <v>5x3</v>
      </c>
      <c r="H57" s="5" t="str">
        <f ca="1">IFERROR(__xludf.DUMMYFUNCTION("""COMPUTED_VALUE"""),"5")</f>
        <v>5</v>
      </c>
      <c r="I57" s="5" t="str">
        <f ca="1">IFERROR(__xludf.DUMMYFUNCTION("""COMPUTED_VALUE"""),"5")</f>
        <v>5</v>
      </c>
      <c r="J57" s="5" t="str">
        <f ca="1">IFERROR(__xludf.DUMMYFUNCTION("""COMPUTED_VALUE"""),"95.74%")</f>
        <v>95.74%</v>
      </c>
      <c r="K57" s="5" t="str">
        <f ca="1">IFERROR(__xludf.DUMMYFUNCTION("""COMPUTED_VALUE"""),"Medium")</f>
        <v>Medium</v>
      </c>
      <c r="L57" s="5" t="str">
        <f ca="1">IFERROR(__xludf.DUMMYFUNCTION("""COMPUTED_VALUE"""),"12.55%")</f>
        <v>12.55%</v>
      </c>
      <c r="M57" s="5" t="str">
        <f ca="1">IFERROR(__xludf.DUMMYFUNCTION("""COMPUTED_VALUE"""),"x1000")</f>
        <v>x1000</v>
      </c>
      <c r="N57" s="5" t="str">
        <f ca="1">IFERROR(__xludf.DUMMYFUNCTION("""COMPUTED_VALUE"""),"0.05/30")</f>
        <v>0.05/30</v>
      </c>
      <c r="O57" s="5" t="str">
        <f ca="1">IFERROR(__xludf.DUMMYFUNCTION("""COMPUTED_VALUE"""),"Yes")</f>
        <v>Yes</v>
      </c>
      <c r="P57" s="5" t="str">
        <f ca="1">IFERROR(__xludf.DUMMYFUNCTION("""COMPUTED_VALUE"""),"Scatter")</f>
        <v>Scatter</v>
      </c>
      <c r="Q57" s="7" t="str">
        <f ca="1">IFERROR(__xludf.DUMMYFUNCTION("""COMPUTED_VALUE"""),"https://gameserver-store-client-area.orbionlimited.com/Home/IntegrationGameLaunch/client-area?moneyType=0&amp;gameName=FluoDice5&amp;platform=desktop&amp;languageCode=eng&amp;currency=EUR")</f>
        <v>https://gameserver-store-client-area.orbionlimited.com/Home/IntegrationGameLaunch/client-area?moneyType=0&amp;gameName=FluoDice5&amp;platform=desktop&amp;languageCode=eng&amp;currency=EUR</v>
      </c>
      <c r="R57" s="5" t="str">
        <f ca="1">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S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IFERROR(__xludf.DUMMYFUNCTION("""COMPUTED_VALUE"""),"Yes")</f>
        <v>Yes</v>
      </c>
      <c r="AF57" s="5" t="str">
        <f ca="1">IFERROR(__xludf.DUMMYFUNCTION("""COMPUTED_VALUE"""),"Yes")</f>
        <v>Yes</v>
      </c>
      <c r="AG57" s="5" t="str">
        <f ca="1">IFERROR(__xludf.DUMMYFUNCTION("""COMPUTED_VALUE"""),"Yes")</f>
        <v>Yes</v>
      </c>
      <c r="AH57" s="5" t="str">
        <f ca="1">IFERROR(__xludf.DUMMYFUNCTION("""COMPUTED_VALUE"""),"Yes")</f>
        <v>Yes</v>
      </c>
      <c r="AI57" s="5" t="str">
        <f ca="1">IFERROR(__xludf.DUMMYFUNCTION("""COMPUTED_VALUE"""),"Yes")</f>
        <v>Yes</v>
      </c>
      <c r="AJ57" s="5" t="str">
        <f ca="1">IFERROR(__xludf.DUMMYFUNCTION("""COMPUTED_VALUE"""),"Yes")</f>
        <v>Yes</v>
      </c>
      <c r="AK57" s="5" t="str">
        <f ca="1">IFERROR(__xludf.DUMMYFUNCTION("""COMPUTED_VALUE"""),"Yes")</f>
        <v>Yes</v>
      </c>
      <c r="AL57" s="5" t="str">
        <f ca="1">IFERROR(__xludf.DUMMYFUNCTION("""COMPUTED_VALUE"""),"Yes")</f>
        <v>Yes</v>
      </c>
      <c r="AM57" s="5" t="str">
        <f ca="1">IFERROR(__xludf.DUMMYFUNCTION("""COMPUTED_VALUE"""),"Yes")</f>
        <v>Yes</v>
      </c>
      <c r="AN57" s="5" t="str">
        <f ca="1">IFERROR(__xludf.DUMMYFUNCTION("""COMPUTED_VALUE"""),"Yes")</f>
        <v>Yes</v>
      </c>
      <c r="AO57" s="5" t="str">
        <f ca="1">IFERROR(__xludf.DUMMYFUNCTION("""COMPUTED_VALUE"""),"Yes")</f>
        <v>Yes</v>
      </c>
      <c r="AP57" s="5" t="str">
        <f ca="1">IFERROR(__xludf.DUMMYFUNCTION("""COMPUTED_VALUE"""),"Yes")</f>
        <v>Yes</v>
      </c>
      <c r="AQ57" s="5" t="str">
        <f ca="1">IFERROR(__xludf.DUMMYFUNCTION("""COMPUTED_VALUE"""),"Yes")</f>
        <v>Yes</v>
      </c>
      <c r="AR57" s="5" t="str">
        <f ca="1">IFERROR(__xludf.DUMMYFUNCTION("""COMPUTED_VALUE"""),"Yes")</f>
        <v>Yes</v>
      </c>
      <c r="AS57" s="5" t="str">
        <f ca="1">IFERROR(__xludf.DUMMYFUNCTION("""COMPUTED_VALUE"""),"Yes")</f>
        <v>Yes</v>
      </c>
      <c r="AT57" s="5" t="str">
        <f ca="1">IFERROR(__xludf.DUMMYFUNCTION("""COMPUTED_VALUE"""),"No")</f>
        <v>No</v>
      </c>
      <c r="AU57" s="5"/>
    </row>
    <row r="58" spans="1:47" x14ac:dyDescent="0.25">
      <c r="A58" s="5" t="str">
        <f ca="1">IFERROR(__xludf.DUMMYFUNCTION("""COMPUTED_VALUE"""),"Foxi")</f>
        <v>Foxi</v>
      </c>
      <c r="B58" s="5" t="str">
        <f ca="1">IFERROR(__xludf.DUMMYFUNCTION("""COMPUTED_VALUE"""),"Fluo Hot 5")</f>
        <v>Fluo Hot 5</v>
      </c>
      <c r="C58" s="5" t="str">
        <f ca="1">IFERROR(__xludf.DUMMYFUNCTION("""COMPUTED_VALUE"""),"FluoHot5")</f>
        <v>FluoHot5</v>
      </c>
      <c r="D58" s="6">
        <f ca="1">IFERROR(__xludf.DUMMYFUNCTION("""COMPUTED_VALUE"""),44561)</f>
        <v>44561</v>
      </c>
      <c r="E58" s="5" t="str">
        <f ca="1">IFERROR(__xludf.DUMMYFUNCTION("""COMPUTED_VALUE"""),"Slot")</f>
        <v>Slot</v>
      </c>
      <c r="F58" s="5">
        <f ca="1">IFERROR(__xludf.DUMMYFUNCTION("""COMPUTED_VALUE"""),33)</f>
        <v>33</v>
      </c>
      <c r="G58" s="5" t="str">
        <f ca="1">IFERROR(__xludf.DUMMYFUNCTION("""COMPUTED_VALUE"""),"5x3")</f>
        <v>5x3</v>
      </c>
      <c r="H58" s="5" t="str">
        <f ca="1">IFERROR(__xludf.DUMMYFUNCTION("""COMPUTED_VALUE"""),"5")</f>
        <v>5</v>
      </c>
      <c r="I58" s="5" t="str">
        <f ca="1">IFERROR(__xludf.DUMMYFUNCTION("""COMPUTED_VALUE"""),"5")</f>
        <v>5</v>
      </c>
      <c r="J58" s="5" t="str">
        <f ca="1">IFERROR(__xludf.DUMMYFUNCTION("""COMPUTED_VALUE"""),"95.74%")</f>
        <v>95.74%</v>
      </c>
      <c r="K58" s="5" t="str">
        <f ca="1">IFERROR(__xludf.DUMMYFUNCTION("""COMPUTED_VALUE"""),"Medium")</f>
        <v>Medium</v>
      </c>
      <c r="L58" s="5" t="str">
        <f ca="1">IFERROR(__xludf.DUMMYFUNCTION("""COMPUTED_VALUE"""),"12.55%")</f>
        <v>12.55%</v>
      </c>
      <c r="M58" s="5" t="str">
        <f ca="1">IFERROR(__xludf.DUMMYFUNCTION("""COMPUTED_VALUE"""),"x1000")</f>
        <v>x1000</v>
      </c>
      <c r="N58" s="5" t="str">
        <f ca="1">IFERROR(__xludf.DUMMYFUNCTION("""COMPUTED_VALUE"""),"0.05/30")</f>
        <v>0.05/30</v>
      </c>
      <c r="O58" s="5" t="str">
        <f ca="1">IFERROR(__xludf.DUMMYFUNCTION("""COMPUTED_VALUE"""),"Yes")</f>
        <v>Yes</v>
      </c>
      <c r="P58" s="5" t="str">
        <f ca="1">IFERROR(__xludf.DUMMYFUNCTION("""COMPUTED_VALUE"""),"Scatter")</f>
        <v>Scatter</v>
      </c>
      <c r="Q58" s="7" t="str">
        <f ca="1">IFERROR(__xludf.DUMMYFUNCTION("""COMPUTED_VALUE"""),"https://gameserver-store-client-area.orbionlimited.com/Home/IntegrationGameLaunch/client-area?moneyType=0&amp;gameName=FluoHot5&amp;platform=desktop&amp;languageCode=eng&amp;currency=EUR")</f>
        <v>https://gameserver-store-client-area.orbionlimited.com/Home/IntegrationGameLaunch/client-area?moneyType=0&amp;gameName=FluoHot5&amp;platform=desktop&amp;languageCode=eng&amp;currency=EUR</v>
      </c>
      <c r="R58" s="5" t="str">
        <f ca="1">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S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8" s="5" t="str">
        <f ca="1">IFERROR(__xludf.DUMMYFUNCTION("""COMPUTED_VALUE"""),"Yes")</f>
        <v>Yes</v>
      </c>
      <c r="U58" s="5" t="str">
        <f ca="1">IFERROR(__xludf.DUMMYFUNCTION("""COMPUTED_VALUE"""),"Yes")</f>
        <v>Yes</v>
      </c>
      <c r="V58" s="5" t="str">
        <f ca="1">IFERROR(__xludf.DUMMYFUNCTION("""COMPUTED_VALUE"""),"Yes")</f>
        <v>Yes</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IFERROR(__xludf.DUMMYFUNCTION("""COMPUTED_VALUE"""),"Yes")</f>
        <v>Yes</v>
      </c>
      <c r="AF58" s="5" t="str">
        <f ca="1">IFERROR(__xludf.DUMMYFUNCTION("""COMPUTED_VALUE"""),"Yes")</f>
        <v>Yes</v>
      </c>
      <c r="AG58" s="5" t="str">
        <f ca="1">IFERROR(__xludf.DUMMYFUNCTION("""COMPUTED_VALUE"""),"Yes")</f>
        <v>Yes</v>
      </c>
      <c r="AH58" s="5" t="str">
        <f ca="1">IFERROR(__xludf.DUMMYFUNCTION("""COMPUTED_VALUE"""),"Yes")</f>
        <v>Yes</v>
      </c>
      <c r="AI58" s="5" t="str">
        <f ca="1">IFERROR(__xludf.DUMMYFUNCTION("""COMPUTED_VALUE"""),"Yes")</f>
        <v>Yes</v>
      </c>
      <c r="AJ58" s="5" t="str">
        <f ca="1">IFERROR(__xludf.DUMMYFUNCTION("""COMPUTED_VALUE"""),"Yes")</f>
        <v>Yes</v>
      </c>
      <c r="AK58" s="5" t="str">
        <f ca="1">IFERROR(__xludf.DUMMYFUNCTION("""COMPUTED_VALUE"""),"Yes")</f>
        <v>Yes</v>
      </c>
      <c r="AL58" s="5" t="str">
        <f ca="1">IFERROR(__xludf.DUMMYFUNCTION("""COMPUTED_VALUE"""),"Yes")</f>
        <v>Yes</v>
      </c>
      <c r="AM58" s="5" t="str">
        <f ca="1">IFERROR(__xludf.DUMMYFUNCTION("""COMPUTED_VALUE"""),"Yes")</f>
        <v>Yes</v>
      </c>
      <c r="AN58" s="5" t="str">
        <f ca="1">IFERROR(__xludf.DUMMYFUNCTION("""COMPUTED_VALUE"""),"Yes")</f>
        <v>Yes</v>
      </c>
      <c r="AO58" s="5" t="str">
        <f ca="1">IFERROR(__xludf.DUMMYFUNCTION("""COMPUTED_VALUE"""),"Yes")</f>
        <v>Yes</v>
      </c>
      <c r="AP58" s="5" t="str">
        <f ca="1">IFERROR(__xludf.DUMMYFUNCTION("""COMPUTED_VALUE"""),"Yes")</f>
        <v>Yes</v>
      </c>
      <c r="AQ58" s="5" t="str">
        <f ca="1">IFERROR(__xludf.DUMMYFUNCTION("""COMPUTED_VALUE"""),"Yes")</f>
        <v>Yes</v>
      </c>
      <c r="AR58" s="5" t="str">
        <f ca="1">IFERROR(__xludf.DUMMYFUNCTION("""COMPUTED_VALUE"""),"Yes")</f>
        <v>Yes</v>
      </c>
      <c r="AS58" s="5" t="str">
        <f ca="1">IFERROR(__xludf.DUMMYFUNCTION("""COMPUTED_VALUE"""),"Yes")</f>
        <v>Yes</v>
      </c>
      <c r="AT58" s="5" t="str">
        <f ca="1">IFERROR(__xludf.DUMMYFUNCTION("""COMPUTED_VALUE"""),"No")</f>
        <v>No</v>
      </c>
      <c r="AU58" s="5"/>
    </row>
    <row r="59" spans="1:47" x14ac:dyDescent="0.25">
      <c r="A59" s="5" t="str">
        <f ca="1">IFERROR(__xludf.DUMMYFUNCTION("""COMPUTED_VALUE"""),"Foxi")</f>
        <v>Foxi</v>
      </c>
      <c r="B59" s="5" t="str">
        <f ca="1">IFERROR(__xludf.DUMMYFUNCTION("""COMPUTED_VALUE"""),"Heating Dice")</f>
        <v>Heating Dice</v>
      </c>
      <c r="C59" s="5" t="str">
        <f ca="1">IFERROR(__xludf.DUMMYFUNCTION("""COMPUTED_VALUE"""),"HeatingDice")</f>
        <v>HeatingDice</v>
      </c>
      <c r="D59" s="6">
        <f ca="1">IFERROR(__xludf.DUMMYFUNCTION("""COMPUTED_VALUE"""),44561)</f>
        <v>44561</v>
      </c>
      <c r="E59" s="5" t="str">
        <f ca="1">IFERROR(__xludf.DUMMYFUNCTION("""COMPUTED_VALUE"""),"Slot")</f>
        <v>Slot</v>
      </c>
      <c r="F59" s="5">
        <f ca="1">IFERROR(__xludf.DUMMYFUNCTION("""COMPUTED_VALUE"""),33.1)</f>
        <v>33.1</v>
      </c>
      <c r="G59" s="5" t="str">
        <f ca="1">IFERROR(__xludf.DUMMYFUNCTION("""COMPUTED_VALUE"""),"3x3")</f>
        <v>3x3</v>
      </c>
      <c r="H59" s="5" t="str">
        <f ca="1">IFERROR(__xludf.DUMMYFUNCTION("""COMPUTED_VALUE"""),"27")</f>
        <v>27</v>
      </c>
      <c r="I59" s="5" t="str">
        <f ca="1">IFERROR(__xludf.DUMMYFUNCTION("""COMPUTED_VALUE"""),"27")</f>
        <v>27</v>
      </c>
      <c r="J59" s="5" t="str">
        <f ca="1">IFERROR(__xludf.DUMMYFUNCTION("""COMPUTED_VALUE"""),"96.352%")</f>
        <v>96.352%</v>
      </c>
      <c r="K59" s="5" t="str">
        <f ca="1">IFERROR(__xludf.DUMMYFUNCTION("""COMPUTED_VALUE"""),"Medium")</f>
        <v>Medium</v>
      </c>
      <c r="L59" s="5" t="str">
        <f ca="1">IFERROR(__xludf.DUMMYFUNCTION("""COMPUTED_VALUE"""),"8.02%")</f>
        <v>8.02%</v>
      </c>
      <c r="M59" s="5" t="str">
        <f ca="1">IFERROR(__xludf.DUMMYFUNCTION("""COMPUTED_VALUE"""),"x360")</f>
        <v>x360</v>
      </c>
      <c r="N59" s="5" t="str">
        <f ca="1">IFERROR(__xludf.DUMMYFUNCTION("""COMPUTED_VALUE"""),"0.1/50")</f>
        <v>0.1/50</v>
      </c>
      <c r="O59" s="5" t="str">
        <f ca="1">IFERROR(__xludf.DUMMYFUNCTION("""COMPUTED_VALUE"""),"Yes")</f>
        <v>Yes</v>
      </c>
      <c r="P59" s="5" t="str">
        <f ca="1">IFERROR(__xludf.DUMMYFUNCTION("""COMPUTED_VALUE"""),"Respin, Mystery symbol")</f>
        <v>Respin, Mystery symbol</v>
      </c>
      <c r="Q59" s="7" t="str">
        <f ca="1">IFERROR(__xludf.DUMMYFUNCTION("""COMPUTED_VALUE"""),"https://gameserver-store-client-area.orbionlimited.com/Home/IntegrationGameLaunch/client-area?moneyType=0&amp;gameName=HeatingDice&amp;platform=desktop&amp;languageCode=eng&amp;currency=EUR")</f>
        <v>https://gameserver-store-client-area.orbionlimited.com/Home/IntegrationGameLaunch/client-area?moneyType=0&amp;gameName=HeatingDice&amp;platform=desktop&amp;languageCode=eng&amp;currency=EUR</v>
      </c>
      <c r="R59" s="5" t="str">
        <f ca="1">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S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IFERROR(__xludf.DUMMYFUNCTION("""COMPUTED_VALUE"""),"Yes")</f>
        <v>Yes</v>
      </c>
      <c r="AF59" s="5" t="str">
        <f ca="1">IFERROR(__xludf.DUMMYFUNCTION("""COMPUTED_VALUE"""),"Yes")</f>
        <v>Yes</v>
      </c>
      <c r="AG59" s="5" t="str">
        <f ca="1">IFERROR(__xludf.DUMMYFUNCTION("""COMPUTED_VALUE"""),"Yes")</f>
        <v>Yes</v>
      </c>
      <c r="AH59" s="5" t="str">
        <f ca="1">IFERROR(__xludf.DUMMYFUNCTION("""COMPUTED_VALUE"""),"Yes")</f>
        <v>Yes</v>
      </c>
      <c r="AI59" s="5" t="str">
        <f ca="1">IFERROR(__xludf.DUMMYFUNCTION("""COMPUTED_VALUE"""),"Yes")</f>
        <v>Yes</v>
      </c>
      <c r="AJ59" s="5" t="str">
        <f ca="1">IFERROR(__xludf.DUMMYFUNCTION("""COMPUTED_VALUE"""),"Yes")</f>
        <v>Yes</v>
      </c>
      <c r="AK59" s="5" t="str">
        <f ca="1">IFERROR(__xludf.DUMMYFUNCTION("""COMPUTED_VALUE"""),"Yes")</f>
        <v>Yes</v>
      </c>
      <c r="AL59" s="5" t="str">
        <f ca="1">IFERROR(__xludf.DUMMYFUNCTION("""COMPUTED_VALUE"""),"Yes")</f>
        <v>Yes</v>
      </c>
      <c r="AM59" s="5" t="str">
        <f ca="1">IFERROR(__xludf.DUMMYFUNCTION("""COMPUTED_VALUE"""),"Yes")</f>
        <v>Yes</v>
      </c>
      <c r="AN59" s="5" t="str">
        <f ca="1">IFERROR(__xludf.DUMMYFUNCTION("""COMPUTED_VALUE"""),"Yes")</f>
        <v>Yes</v>
      </c>
      <c r="AO59" s="5" t="str">
        <f ca="1">IFERROR(__xludf.DUMMYFUNCTION("""COMPUTED_VALUE"""),"Yes")</f>
        <v>Yes</v>
      </c>
      <c r="AP59" s="5" t="str">
        <f ca="1">IFERROR(__xludf.DUMMYFUNCTION("""COMPUTED_VALUE"""),"Yes")</f>
        <v>Yes</v>
      </c>
      <c r="AQ59" s="5" t="str">
        <f ca="1">IFERROR(__xludf.DUMMYFUNCTION("""COMPUTED_VALUE"""),"Yes")</f>
        <v>Yes</v>
      </c>
      <c r="AR59" s="5" t="str">
        <f ca="1">IFERROR(__xludf.DUMMYFUNCTION("""COMPUTED_VALUE"""),"Yes")</f>
        <v>Yes</v>
      </c>
      <c r="AS59" s="5" t="str">
        <f ca="1">IFERROR(__xludf.DUMMYFUNCTION("""COMPUTED_VALUE"""),"Yes")</f>
        <v>Yes</v>
      </c>
      <c r="AT59" s="5" t="str">
        <f ca="1">IFERROR(__xludf.DUMMYFUNCTION("""COMPUTED_VALUE"""),"No")</f>
        <v>No</v>
      </c>
      <c r="AU59" s="5"/>
    </row>
    <row r="60" spans="1:47" x14ac:dyDescent="0.25">
      <c r="A60" s="5" t="str">
        <f ca="1">IFERROR(__xludf.DUMMYFUNCTION("""COMPUTED_VALUE"""),"Foxi")</f>
        <v>Foxi</v>
      </c>
      <c r="B60" s="5" t="str">
        <f ca="1">IFERROR(__xludf.DUMMYFUNCTION("""COMPUTED_VALUE"""),"Crystal Jewels")</f>
        <v>Crystal Jewels</v>
      </c>
      <c r="C60" s="5" t="str">
        <f ca="1">IFERROR(__xludf.DUMMYFUNCTION("""COMPUTED_VALUE"""),"CrystalJewels")</f>
        <v>CrystalJewels</v>
      </c>
      <c r="D60" s="6">
        <f ca="1">IFERROR(__xludf.DUMMYFUNCTION("""COMPUTED_VALUE"""),44434)</f>
        <v>44434</v>
      </c>
      <c r="E60" s="5" t="str">
        <f ca="1">IFERROR(__xludf.DUMMYFUNCTION("""COMPUTED_VALUE"""),"Slot")</f>
        <v>Slot</v>
      </c>
      <c r="F60" s="5">
        <f ca="1">IFERROR(__xludf.DUMMYFUNCTION("""COMPUTED_VALUE"""),30.8)</f>
        <v>30.8</v>
      </c>
      <c r="G60" s="5" t="str">
        <f ca="1">IFERROR(__xludf.DUMMYFUNCTION("""COMPUTED_VALUE"""),"5x3")</f>
        <v>5x3</v>
      </c>
      <c r="H60" s="5" t="str">
        <f ca="1">IFERROR(__xludf.DUMMYFUNCTION("""COMPUTED_VALUE"""),"10")</f>
        <v>10</v>
      </c>
      <c r="I60" s="5" t="str">
        <f ca="1">IFERROR(__xludf.DUMMYFUNCTION("""COMPUTED_VALUE"""),"1,3,5,7,10")</f>
        <v>1,3,5,7,10</v>
      </c>
      <c r="J60" s="5" t="str">
        <f ca="1">IFERROR(__xludf.DUMMYFUNCTION("""COMPUTED_VALUE"""),"96.077%")</f>
        <v>96.077%</v>
      </c>
      <c r="K60" s="5" t="str">
        <f ca="1">IFERROR(__xludf.DUMMYFUNCTION("""COMPUTED_VALUE"""),"Medium")</f>
        <v>Medium</v>
      </c>
      <c r="L60" s="5" t="str">
        <f ca="1">IFERROR(__xludf.DUMMYFUNCTION("""COMPUTED_VALUE"""),"19.54%")</f>
        <v>19.54%</v>
      </c>
      <c r="M60" s="5" t="str">
        <f ca="1">IFERROR(__xludf.DUMMYFUNCTION("""COMPUTED_VALUE"""),"x598")</f>
        <v>x598</v>
      </c>
      <c r="N60" s="5" t="str">
        <f ca="1">IFERROR(__xludf.DUMMYFUNCTION("""COMPUTED_VALUE"""),"0.01/40")</f>
        <v>0.01/40</v>
      </c>
      <c r="O60" s="5" t="str">
        <f ca="1">IFERROR(__xludf.DUMMYFUNCTION("""COMPUTED_VALUE"""),"Yes")</f>
        <v>Yes</v>
      </c>
      <c r="P60" s="5" t="str">
        <f ca="1">IFERROR(__xludf.DUMMYFUNCTION("""COMPUTED_VALUE"""),"Wild Symbol, Respin, Bothways")</f>
        <v>Wild Symbol, Respin, Bothways</v>
      </c>
      <c r="Q60" s="7" t="str">
        <f ca="1">IFERROR(__xludf.DUMMYFUNCTION("""COMPUTED_VALUE"""),"https://gameserver-store-client-area.orbionlimited.com/Home/IntegrationGameLaunch/client-area?moneyType=0&amp;gameName=CrystalJewels&amp;platform=desktop&amp;languageCode=eng&amp;currency=EUR")</f>
        <v>https://gameserver-store-client-area.orbionlimited.com/Home/IntegrationGameLaunch/client-area?moneyType=0&amp;gameName=CrystalJewels&amp;platform=desktop&amp;languageCode=eng&amp;currency=EUR</v>
      </c>
      <c r="R60" s="5" t="str">
        <f ca="1">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S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IFERROR(__xludf.DUMMYFUNCTION("""COMPUTED_VALUE"""),"Yes")</f>
        <v>Yes</v>
      </c>
      <c r="AA60" s="5" t="str">
        <f ca="1">IFERROR(__xludf.DUMMYFUNCTION("""COMPUTED_VALUE"""),"Yes")</f>
        <v>Yes</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IFERROR(__xludf.DUMMYFUNCTION("""COMPUTED_VALUE"""),"Yes")</f>
        <v>Yes</v>
      </c>
      <c r="AF60" s="5" t="str">
        <f ca="1">IFERROR(__xludf.DUMMYFUNCTION("""COMPUTED_VALUE"""),"Yes")</f>
        <v>Yes</v>
      </c>
      <c r="AG60" s="5" t="str">
        <f ca="1">IFERROR(__xludf.DUMMYFUNCTION("""COMPUTED_VALUE"""),"Yes")</f>
        <v>Yes</v>
      </c>
      <c r="AH60" s="5" t="str">
        <f ca="1">IFERROR(__xludf.DUMMYFUNCTION("""COMPUTED_VALUE"""),"Yes")</f>
        <v>Yes</v>
      </c>
      <c r="AI60" s="5" t="str">
        <f ca="1">IFERROR(__xludf.DUMMYFUNCTION("""COMPUTED_VALUE"""),"Yes")</f>
        <v>Yes</v>
      </c>
      <c r="AJ60" s="5" t="str">
        <f ca="1">IFERROR(__xludf.DUMMYFUNCTION("""COMPUTED_VALUE"""),"Yes")</f>
        <v>Yes</v>
      </c>
      <c r="AK60" s="5" t="str">
        <f ca="1">IFERROR(__xludf.DUMMYFUNCTION("""COMPUTED_VALUE"""),"Yes")</f>
        <v>Yes</v>
      </c>
      <c r="AL60" s="5" t="str">
        <f ca="1">IFERROR(__xludf.DUMMYFUNCTION("""COMPUTED_VALUE"""),"Yes")</f>
        <v>Yes</v>
      </c>
      <c r="AM60" s="5" t="str">
        <f ca="1">IFERROR(__xludf.DUMMYFUNCTION("""COMPUTED_VALUE"""),"Yes")</f>
        <v>Yes</v>
      </c>
      <c r="AN60" s="5" t="str">
        <f ca="1">IFERROR(__xludf.DUMMYFUNCTION("""COMPUTED_VALUE"""),"Yes")</f>
        <v>Yes</v>
      </c>
      <c r="AO60" s="5" t="str">
        <f ca="1">IFERROR(__xludf.DUMMYFUNCTION("""COMPUTED_VALUE"""),"Yes")</f>
        <v>Yes</v>
      </c>
      <c r="AP60" s="5" t="str">
        <f ca="1">IFERROR(__xludf.DUMMYFUNCTION("""COMPUTED_VALUE"""),"Yes")</f>
        <v>Yes</v>
      </c>
      <c r="AQ60" s="5" t="str">
        <f ca="1">IFERROR(__xludf.DUMMYFUNCTION("""COMPUTED_VALUE"""),"Yes")</f>
        <v>Yes</v>
      </c>
      <c r="AR60" s="5" t="str">
        <f ca="1">IFERROR(__xludf.DUMMYFUNCTION("""COMPUTED_VALUE"""),"Yes")</f>
        <v>Yes</v>
      </c>
      <c r="AS60" s="5" t="str">
        <f ca="1">IFERROR(__xludf.DUMMYFUNCTION("""COMPUTED_VALUE"""),"Yes")</f>
        <v>Yes</v>
      </c>
      <c r="AT60" s="5" t="str">
        <f ca="1">IFERROR(__xludf.DUMMYFUNCTION("""COMPUTED_VALUE"""),"No")</f>
        <v>No</v>
      </c>
      <c r="AU60" s="5"/>
    </row>
    <row r="61" spans="1:47" x14ac:dyDescent="0.25">
      <c r="A61" s="5" t="str">
        <f ca="1">IFERROR(__xludf.DUMMYFUNCTION("""COMPUTED_VALUE"""),"Foxi")</f>
        <v>Foxi</v>
      </c>
      <c r="B61" s="5" t="str">
        <f ca="1">IFERROR(__xludf.DUMMYFUNCTION("""COMPUTED_VALUE"""),"Twinkling Hot 80")</f>
        <v>Twinkling Hot 80</v>
      </c>
      <c r="C61" s="5" t="str">
        <f ca="1">IFERROR(__xludf.DUMMYFUNCTION("""COMPUTED_VALUE"""),"TwinklingHot80")</f>
        <v>TwinklingHot80</v>
      </c>
      <c r="D61" s="6">
        <f ca="1">IFERROR(__xludf.DUMMYFUNCTION("""COMPUTED_VALUE"""),44390)</f>
        <v>44390</v>
      </c>
      <c r="E61" s="5" t="str">
        <f ca="1">IFERROR(__xludf.DUMMYFUNCTION("""COMPUTED_VALUE"""),"Slot")</f>
        <v>Slot</v>
      </c>
      <c r="F61" s="5">
        <f ca="1">IFERROR(__xludf.DUMMYFUNCTION("""COMPUTED_VALUE"""),27.6)</f>
        <v>27.6</v>
      </c>
      <c r="G61" s="5" t="str">
        <f ca="1">IFERROR(__xludf.DUMMYFUNCTION("""COMPUTED_VALUE"""),"5x3")</f>
        <v>5x3</v>
      </c>
      <c r="H61" s="5" t="str">
        <f ca="1">IFERROR(__xludf.DUMMYFUNCTION("""COMPUTED_VALUE"""),"80")</f>
        <v>80</v>
      </c>
      <c r="I61" s="5" t="str">
        <f ca="1">IFERROR(__xludf.DUMMYFUNCTION("""COMPUTED_VALUE"""),"80")</f>
        <v>80</v>
      </c>
      <c r="J61" s="5" t="str">
        <f ca="1">IFERROR(__xludf.DUMMYFUNCTION("""COMPUTED_VALUE"""),"95.656%")</f>
        <v>95.656%</v>
      </c>
      <c r="K61" s="5" t="str">
        <f ca="1">IFERROR(__xludf.DUMMYFUNCTION("""COMPUTED_VALUE"""),"Low")</f>
        <v>Low</v>
      </c>
      <c r="L61" s="5" t="str">
        <f ca="1">IFERROR(__xludf.DUMMYFUNCTION("""COMPUTED_VALUE"""),"17.87%")</f>
        <v>17.87%</v>
      </c>
      <c r="M61" s="5" t="str">
        <f ca="1">IFERROR(__xludf.DUMMYFUNCTION("""COMPUTED_VALUE"""),"x200")</f>
        <v>x200</v>
      </c>
      <c r="N61" s="5" t="str">
        <f ca="1">IFERROR(__xludf.DUMMYFUNCTION("""COMPUTED_VALUE"""),"0.8/80")</f>
        <v>0.8/80</v>
      </c>
      <c r="O61" s="5" t="str">
        <f ca="1">IFERROR(__xludf.DUMMYFUNCTION("""COMPUTED_VALUE"""),"Yes")</f>
        <v>Yes</v>
      </c>
      <c r="P61" s="5" t="str">
        <f ca="1">IFERROR(__xludf.DUMMYFUNCTION("""COMPUTED_VALUE"""),"Scatter")</f>
        <v>Scatter</v>
      </c>
      <c r="Q61" s="7" t="str">
        <f ca="1">IFERROR(__xludf.DUMMYFUNCTION("""COMPUTED_VALUE"""),"https://gameserver-store-client-area.orbionlimited.com/Home/IntegrationGameLaunch/client-area?moneyType=0&amp;gameName=TwinklingHot80&amp;platform=desktop&amp;languageCode=eng&amp;currency=EUR")</f>
        <v>https://gameserver-store-client-area.orbionlimited.com/Home/IntegrationGameLaunch/client-area?moneyType=0&amp;gameName=TwinklingHot80&amp;platform=desktop&amp;languageCode=eng&amp;currency=EUR</v>
      </c>
      <c r="R61" s="5" t="str">
        <f ca="1">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S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IFERROR(__xludf.DUMMYFUNCTION("""COMPUTED_VALUE"""),"Yes")</f>
        <v>Yes</v>
      </c>
      <c r="X61" s="5" t="str">
        <f ca="1">IFERROR(__xludf.DUMMYFUNCTION("""COMPUTED_VALUE"""),"Yes")</f>
        <v>Yes</v>
      </c>
      <c r="Y61" s="5" t="str">
        <f ca="1">IFERROR(__xludf.DUMMYFUNCTION("""COMPUTED_VALUE"""),"Yes")</f>
        <v>Yes</v>
      </c>
      <c r="Z61" s="5" t="str">
        <f ca="1">IFERROR(__xludf.DUMMYFUNCTION("""COMPUTED_VALUE"""),"Yes")</f>
        <v>Yes</v>
      </c>
      <c r="AA61" s="5" t="str">
        <f ca="1">IFERROR(__xludf.DUMMYFUNCTION("""COMPUTED_VALUE"""),"Yes")</f>
        <v>Yes</v>
      </c>
      <c r="AB61" s="5" t="str">
        <f ca="1">IFERROR(__xludf.DUMMYFUNCTION("""COMPUTED_VALUE"""),"Yes")</f>
        <v>Yes</v>
      </c>
      <c r="AC61" s="5" t="str">
        <f ca="1">IFERROR(__xludf.DUMMYFUNCTION("""COMPUTED_VALUE"""),"Yes")</f>
        <v>Yes</v>
      </c>
      <c r="AD61" s="5" t="str">
        <f ca="1">IFERROR(__xludf.DUMMYFUNCTION("""COMPUTED_VALUE"""),"Yes")</f>
        <v>Yes</v>
      </c>
      <c r="AE61" s="5" t="str">
        <f ca="1">IFERROR(__xludf.DUMMYFUNCTION("""COMPUTED_VALUE"""),"Yes")</f>
        <v>Yes</v>
      </c>
      <c r="AF61" s="5" t="str">
        <f ca="1">IFERROR(__xludf.DUMMYFUNCTION("""COMPUTED_VALUE"""),"Yes")</f>
        <v>Yes</v>
      </c>
      <c r="AG61" s="5" t="str">
        <f ca="1">IFERROR(__xludf.DUMMYFUNCTION("""COMPUTED_VALUE"""),"Yes")</f>
        <v>Yes</v>
      </c>
      <c r="AH61" s="5" t="str">
        <f ca="1">IFERROR(__xludf.DUMMYFUNCTION("""COMPUTED_VALUE"""),"Yes")</f>
        <v>Yes</v>
      </c>
      <c r="AI61" s="5" t="str">
        <f ca="1">IFERROR(__xludf.DUMMYFUNCTION("""COMPUTED_VALUE"""),"Yes")</f>
        <v>Yes</v>
      </c>
      <c r="AJ61" s="5" t="str">
        <f ca="1">IFERROR(__xludf.DUMMYFUNCTION("""COMPUTED_VALUE"""),"Yes")</f>
        <v>Yes</v>
      </c>
      <c r="AK61" s="5" t="str">
        <f ca="1">IFERROR(__xludf.DUMMYFUNCTION("""COMPUTED_VALUE"""),"Yes")</f>
        <v>Yes</v>
      </c>
      <c r="AL61" s="5" t="str">
        <f ca="1">IFERROR(__xludf.DUMMYFUNCTION("""COMPUTED_VALUE"""),"Yes")</f>
        <v>Yes</v>
      </c>
      <c r="AM61" s="5" t="str">
        <f ca="1">IFERROR(__xludf.DUMMYFUNCTION("""COMPUTED_VALUE"""),"Yes")</f>
        <v>Yes</v>
      </c>
      <c r="AN61" s="5" t="str">
        <f ca="1">IFERROR(__xludf.DUMMYFUNCTION("""COMPUTED_VALUE"""),"Yes")</f>
        <v>Yes</v>
      </c>
      <c r="AO61" s="5" t="str">
        <f ca="1">IFERROR(__xludf.DUMMYFUNCTION("""COMPUTED_VALUE"""),"Yes")</f>
        <v>Yes</v>
      </c>
      <c r="AP61" s="5" t="str">
        <f ca="1">IFERROR(__xludf.DUMMYFUNCTION("""COMPUTED_VALUE"""),"Yes")</f>
        <v>Yes</v>
      </c>
      <c r="AQ61" s="5" t="str">
        <f ca="1">IFERROR(__xludf.DUMMYFUNCTION("""COMPUTED_VALUE"""),"Yes")</f>
        <v>Yes</v>
      </c>
      <c r="AR61" s="5" t="str">
        <f ca="1">IFERROR(__xludf.DUMMYFUNCTION("""COMPUTED_VALUE"""),"Yes")</f>
        <v>Yes</v>
      </c>
      <c r="AS61" s="5" t="str">
        <f ca="1">IFERROR(__xludf.DUMMYFUNCTION("""COMPUTED_VALUE"""),"Yes")</f>
        <v>Yes</v>
      </c>
      <c r="AT61" s="5" t="str">
        <f ca="1">IFERROR(__xludf.DUMMYFUNCTION("""COMPUTED_VALUE"""),"No")</f>
        <v>No</v>
      </c>
      <c r="AU61" s="5"/>
    </row>
    <row r="62" spans="1:47" x14ac:dyDescent="0.25">
      <c r="A62" s="5" t="str">
        <f ca="1">IFERROR(__xludf.DUMMYFUNCTION("""COMPUTED_VALUE"""),"Foxi")</f>
        <v>Foxi</v>
      </c>
      <c r="B62" s="5" t="str">
        <f ca="1">IFERROR(__xludf.DUMMYFUNCTION("""COMPUTED_VALUE"""),"Lucky Brilliants")</f>
        <v>Lucky Brilliants</v>
      </c>
      <c r="C62" s="5" t="str">
        <f ca="1">IFERROR(__xludf.DUMMYFUNCTION("""COMPUTED_VALUE"""),"LuckyBrilliants")</f>
        <v>LuckyBrilliants</v>
      </c>
      <c r="D62" s="6">
        <f ca="1">IFERROR(__xludf.DUMMYFUNCTION("""COMPUTED_VALUE"""),44452)</f>
        <v>44452</v>
      </c>
      <c r="E62" s="5" t="str">
        <f ca="1">IFERROR(__xludf.DUMMYFUNCTION("""COMPUTED_VALUE"""),"Slot")</f>
        <v>Slot</v>
      </c>
      <c r="F62" s="5">
        <f ca="1">IFERROR(__xludf.DUMMYFUNCTION("""COMPUTED_VALUE"""),12.9)</f>
        <v>12.9</v>
      </c>
      <c r="G62" s="5" t="str">
        <f ca="1">IFERROR(__xludf.DUMMYFUNCTION("""COMPUTED_VALUE"""),"5x3")</f>
        <v>5x3</v>
      </c>
      <c r="H62" s="5" t="str">
        <f ca="1">IFERROR(__xludf.DUMMYFUNCTION("""COMPUTED_VALUE"""),"20")</f>
        <v>20</v>
      </c>
      <c r="I62" s="5" t="str">
        <f ca="1">IFERROR(__xludf.DUMMYFUNCTION("""COMPUTED_VALUE"""),"20")</f>
        <v>20</v>
      </c>
      <c r="J62" s="5" t="str">
        <f ca="1">IFERROR(__xludf.DUMMYFUNCTION("""COMPUTED_VALUE"""),"95.656%")</f>
        <v>95.656%</v>
      </c>
      <c r="K62" s="5" t="str">
        <f ca="1">IFERROR(__xludf.DUMMYFUNCTION("""COMPUTED_VALUE"""),"Low")</f>
        <v>Low</v>
      </c>
      <c r="L62" s="5" t="str">
        <f ca="1">IFERROR(__xludf.DUMMYFUNCTION("""COMPUTED_VALUE"""),"17.08%")</f>
        <v>17.08%</v>
      </c>
      <c r="M62" s="5" t="str">
        <f ca="1">IFERROR(__xludf.DUMMYFUNCTION("""COMPUTED_VALUE"""),"x250")</f>
        <v>x250</v>
      </c>
      <c r="N62" s="5" t="str">
        <f ca="1">IFERROR(__xludf.DUMMYFUNCTION("""COMPUTED_VALUE"""),"0.2/50")</f>
        <v>0.2/50</v>
      </c>
      <c r="O62" s="5" t="str">
        <f ca="1">IFERROR(__xludf.DUMMYFUNCTION("""COMPUTED_VALUE"""),"Yes")</f>
        <v>Yes</v>
      </c>
      <c r="P62" s="5" t="str">
        <f ca="1">IFERROR(__xludf.DUMMYFUNCTION("""COMPUTED_VALUE"""),"Scatter")</f>
        <v>Scatter</v>
      </c>
      <c r="Q62" s="7" t="str">
        <f ca="1">IFERROR(__xludf.DUMMYFUNCTION("""COMPUTED_VALUE"""),"https://gameserver-store-client-area.orbionlimited.com/Home/IntegrationGameLaunch/client-area?moneyType=0&amp;gameName=LuckyBrilliants&amp;platform=desktop&amp;languageCode=eng&amp;currency=EUR")</f>
        <v>https://gameserver-store-client-area.orbionlimited.com/Home/IntegrationGameLaunch/client-area?moneyType=0&amp;gameName=LuckyBrilliants&amp;platform=desktop&amp;languageCode=eng&amp;currency=EUR</v>
      </c>
      <c r="R62" s="5" t="str">
        <f ca="1">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S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2" s="5" t="str">
        <f ca="1">IFERROR(__xludf.DUMMYFUNCTION("""COMPUTED_VALUE"""),"Yes")</f>
        <v>Yes</v>
      </c>
      <c r="U62" s="5" t="str">
        <f ca="1">IFERROR(__xludf.DUMMYFUNCTION("""COMPUTED_VALUE"""),"Yes")</f>
        <v>Yes</v>
      </c>
      <c r="V62" s="5" t="str">
        <f ca="1">IFERROR(__xludf.DUMMYFUNCTION("""COMPUTED_VALUE"""),"Yes")</f>
        <v>Yes</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IFERROR(__xludf.DUMMYFUNCTION("""COMPUTED_VALUE"""),"Yes")</f>
        <v>Yes</v>
      </c>
      <c r="AA62" s="5" t="str">
        <f ca="1">IFERROR(__xludf.DUMMYFUNCTION("""COMPUTED_VALUE"""),"Yes")</f>
        <v>Yes</v>
      </c>
      <c r="AB62" s="5" t="str">
        <f ca="1">IFERROR(__xludf.DUMMYFUNCTION("""COMPUTED_VALUE"""),"Yes")</f>
        <v>Yes</v>
      </c>
      <c r="AC62" s="5" t="str">
        <f ca="1">IFERROR(__xludf.DUMMYFUNCTION("""COMPUTED_VALUE"""),"Yes")</f>
        <v>Yes</v>
      </c>
      <c r="AD62" s="5" t="str">
        <f ca="1">IFERROR(__xludf.DUMMYFUNCTION("""COMPUTED_VALUE"""),"Yes")</f>
        <v>Yes</v>
      </c>
      <c r="AE62" s="5" t="str">
        <f ca="1">IFERROR(__xludf.DUMMYFUNCTION("""COMPUTED_VALUE"""),"Yes")</f>
        <v>Yes</v>
      </c>
      <c r="AF62" s="5" t="str">
        <f ca="1">IFERROR(__xludf.DUMMYFUNCTION("""COMPUTED_VALUE"""),"Yes")</f>
        <v>Yes</v>
      </c>
      <c r="AG62" s="5" t="str">
        <f ca="1">IFERROR(__xludf.DUMMYFUNCTION("""COMPUTED_VALUE"""),"Yes")</f>
        <v>Yes</v>
      </c>
      <c r="AH62" s="5" t="str">
        <f ca="1">IFERROR(__xludf.DUMMYFUNCTION("""COMPUTED_VALUE"""),"Yes")</f>
        <v>Yes</v>
      </c>
      <c r="AI62" s="5" t="str">
        <f ca="1">IFERROR(__xludf.DUMMYFUNCTION("""COMPUTED_VALUE"""),"Yes")</f>
        <v>Yes</v>
      </c>
      <c r="AJ62" s="5" t="str">
        <f ca="1">IFERROR(__xludf.DUMMYFUNCTION("""COMPUTED_VALUE"""),"Yes")</f>
        <v>Yes</v>
      </c>
      <c r="AK62" s="5" t="str">
        <f ca="1">IFERROR(__xludf.DUMMYFUNCTION("""COMPUTED_VALUE"""),"Yes")</f>
        <v>Yes</v>
      </c>
      <c r="AL62" s="5" t="str">
        <f ca="1">IFERROR(__xludf.DUMMYFUNCTION("""COMPUTED_VALUE"""),"Yes")</f>
        <v>Yes</v>
      </c>
      <c r="AM62" s="5" t="str">
        <f ca="1">IFERROR(__xludf.DUMMYFUNCTION("""COMPUTED_VALUE"""),"Yes")</f>
        <v>Yes</v>
      </c>
      <c r="AN62" s="5" t="str">
        <f ca="1">IFERROR(__xludf.DUMMYFUNCTION("""COMPUTED_VALUE"""),"Yes")</f>
        <v>Yes</v>
      </c>
      <c r="AO62" s="5" t="str">
        <f ca="1">IFERROR(__xludf.DUMMYFUNCTION("""COMPUTED_VALUE"""),"Yes")</f>
        <v>Yes</v>
      </c>
      <c r="AP62" s="5" t="str">
        <f ca="1">IFERROR(__xludf.DUMMYFUNCTION("""COMPUTED_VALUE"""),"Yes")</f>
        <v>Yes</v>
      </c>
      <c r="AQ62" s="5" t="str">
        <f ca="1">IFERROR(__xludf.DUMMYFUNCTION("""COMPUTED_VALUE"""),"Yes")</f>
        <v>Yes</v>
      </c>
      <c r="AR62" s="5" t="str">
        <f ca="1">IFERROR(__xludf.DUMMYFUNCTION("""COMPUTED_VALUE"""),"Yes")</f>
        <v>Yes</v>
      </c>
      <c r="AS62" s="5" t="str">
        <f ca="1">IFERROR(__xludf.DUMMYFUNCTION("""COMPUTED_VALUE"""),"Yes")</f>
        <v>Yes</v>
      </c>
      <c r="AT62" s="5" t="str">
        <f ca="1">IFERROR(__xludf.DUMMYFUNCTION("""COMPUTED_VALUE"""),"No")</f>
        <v>No</v>
      </c>
      <c r="AU62" s="5"/>
    </row>
    <row r="63" spans="1:47" x14ac:dyDescent="0.25">
      <c r="A63" s="5" t="str">
        <f ca="1">IFERROR(__xludf.DUMMYFUNCTION("""COMPUTED_VALUE"""),"Foxi")</f>
        <v>Foxi</v>
      </c>
      <c r="B63" s="5" t="str">
        <f ca="1">IFERROR(__xludf.DUMMYFUNCTION("""COMPUTED_VALUE"""),"Crystal Hot 40 Free")</f>
        <v>Crystal Hot 40 Free</v>
      </c>
      <c r="C63" s="5" t="str">
        <f ca="1">IFERROR(__xludf.DUMMYFUNCTION("""COMPUTED_VALUE"""),"CrystalHot40Free")</f>
        <v>CrystalHot40Free</v>
      </c>
      <c r="D63" s="6">
        <f ca="1">IFERROR(__xludf.DUMMYFUNCTION("""COMPUTED_VALUE"""),44487)</f>
        <v>44487</v>
      </c>
      <c r="E63" s="5" t="str">
        <f ca="1">IFERROR(__xludf.DUMMYFUNCTION("""COMPUTED_VALUE"""),"Slot")</f>
        <v>Slot</v>
      </c>
      <c r="F63" s="5">
        <f ca="1">IFERROR(__xludf.DUMMYFUNCTION("""COMPUTED_VALUE"""),32.9)</f>
        <v>32.9</v>
      </c>
      <c r="G63" s="5" t="str">
        <f ca="1">IFERROR(__xludf.DUMMYFUNCTION("""COMPUTED_VALUE"""),"5x4")</f>
        <v>5x4</v>
      </c>
      <c r="H63" s="5" t="str">
        <f ca="1">IFERROR(__xludf.DUMMYFUNCTION("""COMPUTED_VALUE"""),"40")</f>
        <v>40</v>
      </c>
      <c r="I63" s="5" t="str">
        <f ca="1">IFERROR(__xludf.DUMMYFUNCTION("""COMPUTED_VALUE"""),"40")</f>
        <v>40</v>
      </c>
      <c r="J63" s="5" t="str">
        <f ca="1">IFERROR(__xludf.DUMMYFUNCTION("""COMPUTED_VALUE"""),"96.024%")</f>
        <v>96.024%</v>
      </c>
      <c r="K63" s="5" t="str">
        <f ca="1">IFERROR(__xludf.DUMMYFUNCTION("""COMPUTED_VALUE"""),"Low")</f>
        <v>Low</v>
      </c>
      <c r="L63" s="5" t="str">
        <f ca="1">IFERROR(__xludf.DUMMYFUNCTION("""COMPUTED_VALUE"""),"17.23%")</f>
        <v>17.23%</v>
      </c>
      <c r="M63" s="5" t="str">
        <f ca="1">IFERROR(__xludf.DUMMYFUNCTION("""COMPUTED_VALUE"""),"x1046")</f>
        <v>x1046</v>
      </c>
      <c r="N63" s="5" t="str">
        <f ca="1">IFERROR(__xludf.DUMMYFUNCTION("""COMPUTED_VALUE"""),"0.4/60")</f>
        <v>0.4/60</v>
      </c>
      <c r="O63" s="5" t="str">
        <f ca="1">IFERROR(__xludf.DUMMYFUNCTION("""COMPUTED_VALUE"""),"Yes")</f>
        <v>Yes</v>
      </c>
      <c r="P63" s="5" t="str">
        <f ca="1">IFERROR(__xludf.DUMMYFUNCTION("""COMPUTED_VALUE"""),"Buy Bonus, Wild Symbol, Bonus Game with Free Spins")</f>
        <v>Buy Bonus, Wild Symbol, Bonus Game with Free Spins</v>
      </c>
      <c r="Q63" s="7" t="str">
        <f ca="1">IFERROR(__xludf.DUMMYFUNCTION("""COMPUTED_VALUE"""),"https://gameserver-store-client-area.orbionlimited.com/Home/IntegrationGameLaunch/client-area?moneyType=0&amp;gameName=CrystalHot40Free&amp;platform=desktop&amp;languageCode=eng&amp;currency=EUR")</f>
        <v>https://gameserver-store-client-area.orbionlimited.com/Home/IntegrationGameLaunch/client-area?moneyType=0&amp;gameName=CrystalHot40Free&amp;platform=desktop&amp;languageCode=eng&amp;currency=EUR</v>
      </c>
      <c r="R63" s="5" t="str">
        <f ca="1">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S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3" s="5" t="str">
        <f ca="1">IFERROR(__xludf.DUMMYFUNCTION("""COMPUTED_VALUE"""),"Yes")</f>
        <v>Yes</v>
      </c>
      <c r="U63" s="5" t="str">
        <f ca="1">IFERROR(__xludf.DUMMYFUNCTION("""COMPUTED_VALUE"""),"Yes")</f>
        <v>Yes</v>
      </c>
      <c r="V63" s="5" t="str">
        <f ca="1">IFERROR(__xludf.DUMMYFUNCTION("""COMPUTED_VALUE"""),"Yes")</f>
        <v>Yes</v>
      </c>
      <c r="W63" s="5" t="str">
        <f ca="1">IFERROR(__xludf.DUMMYFUNCTION("""COMPUTED_VALUE"""),"Yes")</f>
        <v>Yes</v>
      </c>
      <c r="X63" s="5" t="str">
        <f ca="1">IFERROR(__xludf.DUMMYFUNCTION("""COMPUTED_VALUE"""),"Yes")</f>
        <v>Yes</v>
      </c>
      <c r="Y63" s="5" t="str">
        <f ca="1">IFERROR(__xludf.DUMMYFUNCTION("""COMPUTED_VALUE"""),"Yes")</f>
        <v>Yes</v>
      </c>
      <c r="Z63" s="5" t="str">
        <f ca="1">IFERROR(__xludf.DUMMYFUNCTION("""COMPUTED_VALUE"""),"Yes")</f>
        <v>Yes</v>
      </c>
      <c r="AA63" s="5" t="str">
        <f ca="1">IFERROR(__xludf.DUMMYFUNCTION("""COMPUTED_VALUE"""),"Yes")</f>
        <v>Yes</v>
      </c>
      <c r="AB63" s="5" t="str">
        <f ca="1">IFERROR(__xludf.DUMMYFUNCTION("""COMPUTED_VALUE"""),"Yes")</f>
        <v>Yes</v>
      </c>
      <c r="AC63" s="5" t="str">
        <f ca="1">IFERROR(__xludf.DUMMYFUNCTION("""COMPUTED_VALUE"""),"Yes")</f>
        <v>Yes</v>
      </c>
      <c r="AD63" s="5" t="str">
        <f ca="1">IFERROR(__xludf.DUMMYFUNCTION("""COMPUTED_VALUE"""),"Yes")</f>
        <v>Yes</v>
      </c>
      <c r="AE63" s="5" t="str">
        <f ca="1">IFERROR(__xludf.DUMMYFUNCTION("""COMPUTED_VALUE"""),"Yes")</f>
        <v>Yes</v>
      </c>
      <c r="AF63" s="5" t="str">
        <f ca="1">IFERROR(__xludf.DUMMYFUNCTION("""COMPUTED_VALUE"""),"Yes")</f>
        <v>Yes</v>
      </c>
      <c r="AG63" s="5" t="str">
        <f ca="1">IFERROR(__xludf.DUMMYFUNCTION("""COMPUTED_VALUE"""),"Yes")</f>
        <v>Yes</v>
      </c>
      <c r="AH63" s="5" t="str">
        <f ca="1">IFERROR(__xludf.DUMMYFUNCTION("""COMPUTED_VALUE"""),"Yes")</f>
        <v>Yes</v>
      </c>
      <c r="AI63" s="5" t="str">
        <f ca="1">IFERROR(__xludf.DUMMYFUNCTION("""COMPUTED_VALUE"""),"Yes")</f>
        <v>Yes</v>
      </c>
      <c r="AJ63" s="5" t="str">
        <f ca="1">IFERROR(__xludf.DUMMYFUNCTION("""COMPUTED_VALUE"""),"Yes")</f>
        <v>Yes</v>
      </c>
      <c r="AK63" s="5" t="str">
        <f ca="1">IFERROR(__xludf.DUMMYFUNCTION("""COMPUTED_VALUE"""),"Yes")</f>
        <v>Yes</v>
      </c>
      <c r="AL63" s="5" t="str">
        <f ca="1">IFERROR(__xludf.DUMMYFUNCTION("""COMPUTED_VALUE"""),"Yes")</f>
        <v>Yes</v>
      </c>
      <c r="AM63" s="5" t="str">
        <f ca="1">IFERROR(__xludf.DUMMYFUNCTION("""COMPUTED_VALUE"""),"Yes")</f>
        <v>Yes</v>
      </c>
      <c r="AN63" s="5" t="str">
        <f ca="1">IFERROR(__xludf.DUMMYFUNCTION("""COMPUTED_VALUE"""),"Yes")</f>
        <v>Yes</v>
      </c>
      <c r="AO63" s="5" t="str">
        <f ca="1">IFERROR(__xludf.DUMMYFUNCTION("""COMPUTED_VALUE"""),"Yes")</f>
        <v>Yes</v>
      </c>
      <c r="AP63" s="5" t="str">
        <f ca="1">IFERROR(__xludf.DUMMYFUNCTION("""COMPUTED_VALUE"""),"Yes")</f>
        <v>Yes</v>
      </c>
      <c r="AQ63" s="5" t="str">
        <f ca="1">IFERROR(__xludf.DUMMYFUNCTION("""COMPUTED_VALUE"""),"Yes")</f>
        <v>Yes</v>
      </c>
      <c r="AR63" s="5" t="str">
        <f ca="1">IFERROR(__xludf.DUMMYFUNCTION("""COMPUTED_VALUE"""),"Yes")</f>
        <v>Yes</v>
      </c>
      <c r="AS63" s="5" t="str">
        <f ca="1">IFERROR(__xludf.DUMMYFUNCTION("""COMPUTED_VALUE"""),"Yes")</f>
        <v>Yes</v>
      </c>
      <c r="AT63" s="5" t="str">
        <f ca="1">IFERROR(__xludf.DUMMYFUNCTION("""COMPUTED_VALUE"""),"No")</f>
        <v>No</v>
      </c>
      <c r="AU63" s="5"/>
    </row>
    <row r="64" spans="1:47" x14ac:dyDescent="0.25">
      <c r="A64" s="5" t="str">
        <f ca="1">IFERROR(__xludf.DUMMYFUNCTION("""COMPUTED_VALUE"""),"Foxi")</f>
        <v>Foxi</v>
      </c>
      <c r="B64" s="5" t="str">
        <f ca="1">IFERROR(__xludf.DUMMYFUNCTION("""COMPUTED_VALUE"""),"El Grande Toro")</f>
        <v>El Grande Toro</v>
      </c>
      <c r="C64" s="5" t="str">
        <f ca="1">IFERROR(__xludf.DUMMYFUNCTION("""COMPUTED_VALUE"""),"ElGrandeToro")</f>
        <v>ElGrandeToro</v>
      </c>
      <c r="D64" s="6">
        <f ca="1">IFERROR(__xludf.DUMMYFUNCTION("""COMPUTED_VALUE"""),44515)</f>
        <v>44515</v>
      </c>
      <c r="E64" s="5" t="str">
        <f ca="1">IFERROR(__xludf.DUMMYFUNCTION("""COMPUTED_VALUE"""),"Slot")</f>
        <v>Slot</v>
      </c>
      <c r="F64" s="5">
        <f ca="1">IFERROR(__xludf.DUMMYFUNCTION("""COMPUTED_VALUE"""),38.9)</f>
        <v>38.9</v>
      </c>
      <c r="G64" s="5" t="str">
        <f ca="1">IFERROR(__xludf.DUMMYFUNCTION("""COMPUTED_VALUE"""),"5x3")</f>
        <v>5x3</v>
      </c>
      <c r="H64" s="5" t="str">
        <f ca="1">IFERROR(__xludf.DUMMYFUNCTION("""COMPUTED_VALUE"""),"10")</f>
        <v>10</v>
      </c>
      <c r="I64" s="5" t="str">
        <f ca="1">IFERROR(__xludf.DUMMYFUNCTION("""COMPUTED_VALUE"""),"10")</f>
        <v>10</v>
      </c>
      <c r="J64" s="5" t="str">
        <f ca="1">IFERROR(__xludf.DUMMYFUNCTION("""COMPUTED_VALUE"""),"96.016%")</f>
        <v>96.016%</v>
      </c>
      <c r="K64" s="5" t="str">
        <f ca="1">IFERROR(__xludf.DUMMYFUNCTION("""COMPUTED_VALUE"""),"High")</f>
        <v>High</v>
      </c>
      <c r="L64" s="5" t="str">
        <f ca="1">IFERROR(__xludf.DUMMYFUNCTION("""COMPUTED_VALUE"""),"31.33%")</f>
        <v>31.33%</v>
      </c>
      <c r="M64" s="5" t="str">
        <f ca="1">IFERROR(__xludf.DUMMYFUNCTION("""COMPUTED_VALUE"""),"x3755")</f>
        <v>x3755</v>
      </c>
      <c r="N64" s="5" t="str">
        <f ca="1">IFERROR(__xludf.DUMMYFUNCTION("""COMPUTED_VALUE"""),"0.1/50")</f>
        <v>0.1/50</v>
      </c>
      <c r="O64" s="5" t="str">
        <f ca="1">IFERROR(__xludf.DUMMYFUNCTION("""COMPUTED_VALUE"""),"Yes")</f>
        <v>Yes</v>
      </c>
      <c r="P64" s="5" t="str">
        <f ca="1">IFERROR(__xludf.DUMMYFUNCTION("""COMPUTED_VALUE"""),"Buy Bonus, Sticky Wild, Wild Symbol, Bonus Game with Free Spins")</f>
        <v>Buy Bonus, Sticky Wild, Wild Symbol, Bonus Game with Free Spins</v>
      </c>
      <c r="Q64" s="7" t="str">
        <f ca="1">IFERROR(__xludf.DUMMYFUNCTION("""COMPUTED_VALUE"""),"https://gameserver-store-client-area.orbionlimited.com/Home/IntegrationGameLaunch/client-area?moneyType=0&amp;gameName=ElGrandeToro&amp;platform=desktop&amp;languageCode=eng&amp;currency=EUR")</f>
        <v>https://gameserver-store-client-area.orbionlimited.com/Home/IntegrationGameLaunch/client-area?moneyType=0&amp;gameName=ElGrandeToro&amp;platform=desktop&amp;languageCode=eng&amp;currency=EUR</v>
      </c>
      <c r="R64" s="5" t="str">
        <f ca="1">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S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IFERROR(__xludf.DUMMYFUNCTION("""COMPUTED_VALUE"""),"Yes")</f>
        <v>Yes</v>
      </c>
      <c r="X64" s="5" t="str">
        <f ca="1">IFERROR(__xludf.DUMMYFUNCTION("""COMPUTED_VALUE"""),"Yes")</f>
        <v>Yes</v>
      </c>
      <c r="Y64" s="5" t="str">
        <f ca="1">IFERROR(__xludf.DUMMYFUNCTION("""COMPUTED_VALUE"""),"Yes")</f>
        <v>Yes</v>
      </c>
      <c r="Z64" s="5" t="str">
        <f ca="1">IFERROR(__xludf.DUMMYFUNCTION("""COMPUTED_VALUE"""),"Yes")</f>
        <v>Yes</v>
      </c>
      <c r="AA64" s="5" t="str">
        <f ca="1">IFERROR(__xludf.DUMMYFUNCTION("""COMPUTED_VALUE"""),"Yes")</f>
        <v>Yes</v>
      </c>
      <c r="AB64" s="5" t="str">
        <f ca="1">IFERROR(__xludf.DUMMYFUNCTION("""COMPUTED_VALUE"""),"Yes")</f>
        <v>Yes</v>
      </c>
      <c r="AC64" s="5" t="str">
        <f ca="1">IFERROR(__xludf.DUMMYFUNCTION("""COMPUTED_VALUE"""),"Yes")</f>
        <v>Yes</v>
      </c>
      <c r="AD64" s="5" t="str">
        <f ca="1">IFERROR(__xludf.DUMMYFUNCTION("""COMPUTED_VALUE"""),"Yes")</f>
        <v>Yes</v>
      </c>
      <c r="AE64" s="5" t="str">
        <f ca="1">IFERROR(__xludf.DUMMYFUNCTION("""COMPUTED_VALUE"""),"Yes")</f>
        <v>Yes</v>
      </c>
      <c r="AF64" s="5" t="str">
        <f ca="1">IFERROR(__xludf.DUMMYFUNCTION("""COMPUTED_VALUE"""),"Yes")</f>
        <v>Yes</v>
      </c>
      <c r="AG64" s="5" t="str">
        <f ca="1">IFERROR(__xludf.DUMMYFUNCTION("""COMPUTED_VALUE"""),"Yes")</f>
        <v>Yes</v>
      </c>
      <c r="AH64" s="5" t="str">
        <f ca="1">IFERROR(__xludf.DUMMYFUNCTION("""COMPUTED_VALUE"""),"Yes")</f>
        <v>Yes</v>
      </c>
      <c r="AI64" s="5" t="str">
        <f ca="1">IFERROR(__xludf.DUMMYFUNCTION("""COMPUTED_VALUE"""),"Yes")</f>
        <v>Yes</v>
      </c>
      <c r="AJ64" s="5" t="str">
        <f ca="1">IFERROR(__xludf.DUMMYFUNCTION("""COMPUTED_VALUE"""),"Yes")</f>
        <v>Yes</v>
      </c>
      <c r="AK64" s="5" t="str">
        <f ca="1">IFERROR(__xludf.DUMMYFUNCTION("""COMPUTED_VALUE"""),"Yes")</f>
        <v>Yes</v>
      </c>
      <c r="AL64" s="5" t="str">
        <f ca="1">IFERROR(__xludf.DUMMYFUNCTION("""COMPUTED_VALUE"""),"Yes")</f>
        <v>Yes</v>
      </c>
      <c r="AM64" s="5" t="str">
        <f ca="1">IFERROR(__xludf.DUMMYFUNCTION("""COMPUTED_VALUE"""),"Yes")</f>
        <v>Yes</v>
      </c>
      <c r="AN64" s="5" t="str">
        <f ca="1">IFERROR(__xludf.DUMMYFUNCTION("""COMPUTED_VALUE"""),"Yes")</f>
        <v>Yes</v>
      </c>
      <c r="AO64" s="5" t="str">
        <f ca="1">IFERROR(__xludf.DUMMYFUNCTION("""COMPUTED_VALUE"""),"Yes")</f>
        <v>Yes</v>
      </c>
      <c r="AP64" s="5" t="str">
        <f ca="1">IFERROR(__xludf.DUMMYFUNCTION("""COMPUTED_VALUE"""),"Yes")</f>
        <v>Yes</v>
      </c>
      <c r="AQ64" s="5" t="str">
        <f ca="1">IFERROR(__xludf.DUMMYFUNCTION("""COMPUTED_VALUE"""),"Yes")</f>
        <v>Yes</v>
      </c>
      <c r="AR64" s="5" t="str">
        <f ca="1">IFERROR(__xludf.DUMMYFUNCTION("""COMPUTED_VALUE"""),"Yes")</f>
        <v>Yes</v>
      </c>
      <c r="AS64" s="5" t="str">
        <f ca="1">IFERROR(__xludf.DUMMYFUNCTION("""COMPUTED_VALUE"""),"Yes")</f>
        <v>Yes</v>
      </c>
      <c r="AT64" s="5" t="str">
        <f ca="1">IFERROR(__xludf.DUMMYFUNCTION("""COMPUTED_VALUE"""),"No")</f>
        <v>No</v>
      </c>
      <c r="AU64" s="5"/>
    </row>
    <row r="65" spans="1:47" x14ac:dyDescent="0.25">
      <c r="A65" s="5" t="str">
        <f ca="1">IFERROR(__xludf.DUMMYFUNCTION("""COMPUTED_VALUE"""),"Foxi")</f>
        <v>Foxi</v>
      </c>
      <c r="B65" s="5" t="str">
        <f ca="1">IFERROR(__xludf.DUMMYFUNCTION("""COMPUTED_VALUE"""),"Winning Stars")</f>
        <v>Winning Stars</v>
      </c>
      <c r="C65" s="5" t="str">
        <f ca="1">IFERROR(__xludf.DUMMYFUNCTION("""COMPUTED_VALUE"""),"WinningStars")</f>
        <v>WinningStars</v>
      </c>
      <c r="D65" s="6">
        <f ca="1">IFERROR(__xludf.DUMMYFUNCTION("""COMPUTED_VALUE"""),44531)</f>
        <v>44531</v>
      </c>
      <c r="E65" s="5" t="str">
        <f ca="1">IFERROR(__xludf.DUMMYFUNCTION("""COMPUTED_VALUE"""),"Slot")</f>
        <v>Slot</v>
      </c>
      <c r="F65" s="5">
        <f ca="1">IFERROR(__xludf.DUMMYFUNCTION("""COMPUTED_VALUE"""),26)</f>
        <v>26</v>
      </c>
      <c r="G65" s="5" t="str">
        <f ca="1">IFERROR(__xludf.DUMMYFUNCTION("""COMPUTED_VALUE"""),"5x3")</f>
        <v>5x3</v>
      </c>
      <c r="H65" s="5" t="str">
        <f ca="1">IFERROR(__xludf.DUMMYFUNCTION("""COMPUTED_VALUE"""),"10")</f>
        <v>10</v>
      </c>
      <c r="I65" s="5" t="str">
        <f ca="1">IFERROR(__xludf.DUMMYFUNCTION("""COMPUTED_VALUE"""),"10")</f>
        <v>10</v>
      </c>
      <c r="J65" s="5" t="str">
        <f ca="1">IFERROR(__xludf.DUMMYFUNCTION("""COMPUTED_VALUE"""),"95.544%")</f>
        <v>95.544%</v>
      </c>
      <c r="K65" s="5" t="str">
        <f ca="1">IFERROR(__xludf.DUMMYFUNCTION("""COMPUTED_VALUE"""),"Medium")</f>
        <v>Medium</v>
      </c>
      <c r="L65" s="5" t="str">
        <f ca="1">IFERROR(__xludf.DUMMYFUNCTION("""COMPUTED_VALUE"""),"13.02%")</f>
        <v>13.02%</v>
      </c>
      <c r="M65" s="5" t="str">
        <f ca="1">IFERROR(__xludf.DUMMYFUNCTION("""COMPUTED_VALUE"""),"x1611")</f>
        <v>x1611</v>
      </c>
      <c r="N65" s="5" t="str">
        <f ca="1">IFERROR(__xludf.DUMMYFUNCTION("""COMPUTED_VALUE"""),"0.10/40")</f>
        <v>0.10/40</v>
      </c>
      <c r="O65" s="5" t="str">
        <f ca="1">IFERROR(__xludf.DUMMYFUNCTION("""COMPUTED_VALUE"""),"Yes")</f>
        <v>Yes</v>
      </c>
      <c r="P65" s="5" t="str">
        <f ca="1">IFERROR(__xludf.DUMMYFUNCTION("""COMPUTED_VALUE"""),"Expanding Wild, Respin, Bothways")</f>
        <v>Expanding Wild, Respin, Bothways</v>
      </c>
      <c r="Q65" s="7" t="str">
        <f ca="1">IFERROR(__xludf.DUMMYFUNCTION("""COMPUTED_VALUE"""),"https://gameserver-store-client-area.orbionlimited.com/Home/IntegrationGameLaunch/client-area?moneyType=0&amp;gameName=WinningStars&amp;platform=desktop&amp;languageCode=eng&amp;currency=EUR")</f>
        <v>https://gameserver-store-client-area.orbionlimited.com/Home/IntegrationGameLaunch/client-area?moneyType=0&amp;gameName=WinningStars&amp;platform=desktop&amp;languageCode=eng&amp;currency=EUR</v>
      </c>
      <c r="R65" s="5" t="str">
        <f ca="1">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S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5" s="5" t="str">
        <f ca="1">IFERROR(__xludf.DUMMYFUNCTION("""COMPUTED_VALUE"""),"Yes")</f>
        <v>Yes</v>
      </c>
      <c r="U65" s="5" t="str">
        <f ca="1">IFERROR(__xludf.DUMMYFUNCTION("""COMPUTED_VALUE"""),"Yes")</f>
        <v>Yes</v>
      </c>
      <c r="V65" s="5" t="str">
        <f ca="1">IFERROR(__xludf.DUMMYFUNCTION("""COMPUTED_VALUE"""),"Yes")</f>
        <v>Yes</v>
      </c>
      <c r="W65" s="5" t="str">
        <f ca="1">IFERROR(__xludf.DUMMYFUNCTION("""COMPUTED_VALUE"""),"Yes")</f>
        <v>Yes</v>
      </c>
      <c r="X65" s="5" t="str">
        <f ca="1">IFERROR(__xludf.DUMMYFUNCTION("""COMPUTED_VALUE"""),"Yes")</f>
        <v>Yes</v>
      </c>
      <c r="Y65" s="5" t="str">
        <f ca="1">IFERROR(__xludf.DUMMYFUNCTION("""COMPUTED_VALUE"""),"Yes")</f>
        <v>Yes</v>
      </c>
      <c r="Z65" s="5" t="str">
        <f ca="1">IFERROR(__xludf.DUMMYFUNCTION("""COMPUTED_VALUE"""),"Yes")</f>
        <v>Yes</v>
      </c>
      <c r="AA65" s="5" t="str">
        <f ca="1">IFERROR(__xludf.DUMMYFUNCTION("""COMPUTED_VALUE"""),"Yes")</f>
        <v>Yes</v>
      </c>
      <c r="AB65" s="5" t="str">
        <f ca="1">IFERROR(__xludf.DUMMYFUNCTION("""COMPUTED_VALUE"""),"Yes")</f>
        <v>Yes</v>
      </c>
      <c r="AC65" s="5" t="str">
        <f ca="1">IFERROR(__xludf.DUMMYFUNCTION("""COMPUTED_VALUE"""),"Yes")</f>
        <v>Yes</v>
      </c>
      <c r="AD65" s="5" t="str">
        <f ca="1">IFERROR(__xludf.DUMMYFUNCTION("""COMPUTED_VALUE"""),"Yes")</f>
        <v>Yes</v>
      </c>
      <c r="AE65" s="5" t="str">
        <f ca="1">IFERROR(__xludf.DUMMYFUNCTION("""COMPUTED_VALUE"""),"Yes")</f>
        <v>Yes</v>
      </c>
      <c r="AF65" s="5" t="str">
        <f ca="1">IFERROR(__xludf.DUMMYFUNCTION("""COMPUTED_VALUE"""),"Yes")</f>
        <v>Yes</v>
      </c>
      <c r="AG65" s="5" t="str">
        <f ca="1">IFERROR(__xludf.DUMMYFUNCTION("""COMPUTED_VALUE"""),"Yes")</f>
        <v>Yes</v>
      </c>
      <c r="AH65" s="5" t="str">
        <f ca="1">IFERROR(__xludf.DUMMYFUNCTION("""COMPUTED_VALUE"""),"Yes")</f>
        <v>Yes</v>
      </c>
      <c r="AI65" s="5" t="str">
        <f ca="1">IFERROR(__xludf.DUMMYFUNCTION("""COMPUTED_VALUE"""),"Yes")</f>
        <v>Yes</v>
      </c>
      <c r="AJ65" s="5" t="str">
        <f ca="1">IFERROR(__xludf.DUMMYFUNCTION("""COMPUTED_VALUE"""),"Yes")</f>
        <v>Yes</v>
      </c>
      <c r="AK65" s="5" t="str">
        <f ca="1">IFERROR(__xludf.DUMMYFUNCTION("""COMPUTED_VALUE"""),"Yes")</f>
        <v>Yes</v>
      </c>
      <c r="AL65" s="5" t="str">
        <f ca="1">IFERROR(__xludf.DUMMYFUNCTION("""COMPUTED_VALUE"""),"Yes")</f>
        <v>Yes</v>
      </c>
      <c r="AM65" s="5" t="str">
        <f ca="1">IFERROR(__xludf.DUMMYFUNCTION("""COMPUTED_VALUE"""),"Yes")</f>
        <v>Yes</v>
      </c>
      <c r="AN65" s="5" t="str">
        <f ca="1">IFERROR(__xludf.DUMMYFUNCTION("""COMPUTED_VALUE"""),"Yes")</f>
        <v>Yes</v>
      </c>
      <c r="AO65" s="5" t="str">
        <f ca="1">IFERROR(__xludf.DUMMYFUNCTION("""COMPUTED_VALUE"""),"Yes")</f>
        <v>Yes</v>
      </c>
      <c r="AP65" s="5" t="str">
        <f ca="1">IFERROR(__xludf.DUMMYFUNCTION("""COMPUTED_VALUE"""),"Yes")</f>
        <v>Yes</v>
      </c>
      <c r="AQ65" s="5" t="str">
        <f ca="1">IFERROR(__xludf.DUMMYFUNCTION("""COMPUTED_VALUE"""),"Yes")</f>
        <v>Yes</v>
      </c>
      <c r="AR65" s="5" t="str">
        <f ca="1">IFERROR(__xludf.DUMMYFUNCTION("""COMPUTED_VALUE"""),"Yes")</f>
        <v>Yes</v>
      </c>
      <c r="AS65" s="5" t="str">
        <f ca="1">IFERROR(__xludf.DUMMYFUNCTION("""COMPUTED_VALUE"""),"Yes")</f>
        <v>Yes</v>
      </c>
      <c r="AT65" s="5" t="str">
        <f ca="1">IFERROR(__xludf.DUMMYFUNCTION("""COMPUTED_VALUE"""),"No")</f>
        <v>No</v>
      </c>
      <c r="AU65" s="5"/>
    </row>
    <row r="66" spans="1:47" x14ac:dyDescent="0.25">
      <c r="A66" s="5" t="str">
        <f ca="1">IFERROR(__xludf.DUMMYFUNCTION("""COMPUTED_VALUE"""),"Foxi")</f>
        <v>Foxi</v>
      </c>
      <c r="B66" s="5" t="str">
        <f ca="1">IFERROR(__xludf.DUMMYFUNCTION("""COMPUTED_VALUE"""),"Crystal Hot 100")</f>
        <v>Crystal Hot 100</v>
      </c>
      <c r="C66" s="5" t="str">
        <f ca="1">IFERROR(__xludf.DUMMYFUNCTION("""COMPUTED_VALUE"""),"CrystalHot100")</f>
        <v>CrystalHot100</v>
      </c>
      <c r="D66" s="6">
        <f ca="1">IFERROR(__xludf.DUMMYFUNCTION("""COMPUTED_VALUE"""),44480)</f>
        <v>44480</v>
      </c>
      <c r="E66" s="5" t="str">
        <f ca="1">IFERROR(__xludf.DUMMYFUNCTION("""COMPUTED_VALUE"""),"Slot")</f>
        <v>Slot</v>
      </c>
      <c r="F66" s="5">
        <f ca="1">IFERROR(__xludf.DUMMYFUNCTION("""COMPUTED_VALUE"""),30.8)</f>
        <v>30.8</v>
      </c>
      <c r="G66" s="5" t="str">
        <f ca="1">IFERROR(__xludf.DUMMYFUNCTION("""COMPUTED_VALUE"""),"5x4")</f>
        <v>5x4</v>
      </c>
      <c r="H66" s="5" t="str">
        <f ca="1">IFERROR(__xludf.DUMMYFUNCTION("""COMPUTED_VALUE"""),"100")</f>
        <v>100</v>
      </c>
      <c r="I66" s="5" t="str">
        <f ca="1">IFERROR(__xludf.DUMMYFUNCTION("""COMPUTED_VALUE"""),"100")</f>
        <v>100</v>
      </c>
      <c r="J66" s="5" t="str">
        <f ca="1">IFERROR(__xludf.DUMMYFUNCTION("""COMPUTED_VALUE"""),"96.584%")</f>
        <v>96.584%</v>
      </c>
      <c r="K66" s="5" t="str">
        <f ca="1">IFERROR(__xludf.DUMMYFUNCTION("""COMPUTED_VALUE"""),"Low")</f>
        <v>Low</v>
      </c>
      <c r="L66" s="5" t="str">
        <f ca="1">IFERROR(__xludf.DUMMYFUNCTION("""COMPUTED_VALUE"""),"20.81%")</f>
        <v>20.81%</v>
      </c>
      <c r="M66" s="5" t="str">
        <f ca="1">IFERROR(__xludf.DUMMYFUNCTION("""COMPUTED_VALUE"""),"x1000")</f>
        <v>x1000</v>
      </c>
      <c r="N66" s="5" t="str">
        <f ca="1">IFERROR(__xludf.DUMMYFUNCTION("""COMPUTED_VALUE"""),"1/100")</f>
        <v>1/100</v>
      </c>
      <c r="O66" s="5" t="str">
        <f ca="1">IFERROR(__xludf.DUMMYFUNCTION("""COMPUTED_VALUE"""),"Yes")</f>
        <v>Yes</v>
      </c>
      <c r="P66" s="5" t="str">
        <f ca="1">IFERROR(__xludf.DUMMYFUNCTION("""COMPUTED_VALUE"""),"Wild Symbol, Scatter")</f>
        <v>Wild Symbol, Scatter</v>
      </c>
      <c r="Q66" s="7" t="str">
        <f ca="1">IFERROR(__xludf.DUMMYFUNCTION("""COMPUTED_VALUE"""),"https://gameserver-store-client-area.orbionlimited.com/Home/IntegrationGameLaunch/client-area?moneyType=0&amp;gameName=CrystalHot100&amp;platform=desktop&amp;languageCode=eng&amp;currency=EUR")</f>
        <v>https://gameserver-store-client-area.orbionlimited.com/Home/IntegrationGameLaunch/client-area?moneyType=0&amp;gameName=CrystalHot100&amp;platform=desktop&amp;languageCode=eng&amp;currency=EUR</v>
      </c>
      <c r="R66" s="5" t="str">
        <f ca="1">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S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6" s="5" t="str">
        <f ca="1">IFERROR(__xludf.DUMMYFUNCTION("""COMPUTED_VALUE"""),"Yes")</f>
        <v>Yes</v>
      </c>
      <c r="U66" s="5" t="str">
        <f ca="1">IFERROR(__xludf.DUMMYFUNCTION("""COMPUTED_VALUE"""),"Yes")</f>
        <v>Yes</v>
      </c>
      <c r="V66" s="5" t="str">
        <f ca="1">IFERROR(__xludf.DUMMYFUNCTION("""COMPUTED_VALUE"""),"Yes")</f>
        <v>Yes</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IFERROR(__xludf.DUMMYFUNCTION("""COMPUTED_VALUE"""),"Yes")</f>
        <v>Yes</v>
      </c>
      <c r="AA66" s="5" t="str">
        <f ca="1">IFERROR(__xludf.DUMMYFUNCTION("""COMPUTED_VALUE"""),"Yes")</f>
        <v>Yes</v>
      </c>
      <c r="AB66" s="5" t="str">
        <f ca="1">IFERROR(__xludf.DUMMYFUNCTION("""COMPUTED_VALUE"""),"Yes")</f>
        <v>Yes</v>
      </c>
      <c r="AC66" s="5" t="str">
        <f ca="1">IFERROR(__xludf.DUMMYFUNCTION("""COMPUTED_VALUE"""),"Yes")</f>
        <v>Yes</v>
      </c>
      <c r="AD66" s="5" t="str">
        <f ca="1">IFERROR(__xludf.DUMMYFUNCTION("""COMPUTED_VALUE"""),"Yes")</f>
        <v>Yes</v>
      </c>
      <c r="AE66" s="5" t="str">
        <f ca="1">IFERROR(__xludf.DUMMYFUNCTION("""COMPUTED_VALUE"""),"Yes")</f>
        <v>Yes</v>
      </c>
      <c r="AF66" s="5" t="str">
        <f ca="1">IFERROR(__xludf.DUMMYFUNCTION("""COMPUTED_VALUE"""),"Yes")</f>
        <v>Yes</v>
      </c>
      <c r="AG66" s="5" t="str">
        <f ca="1">IFERROR(__xludf.DUMMYFUNCTION("""COMPUTED_VALUE"""),"Yes")</f>
        <v>Yes</v>
      </c>
      <c r="AH66" s="5" t="str">
        <f ca="1">IFERROR(__xludf.DUMMYFUNCTION("""COMPUTED_VALUE"""),"Yes")</f>
        <v>Yes</v>
      </c>
      <c r="AI66" s="5" t="str">
        <f ca="1">IFERROR(__xludf.DUMMYFUNCTION("""COMPUTED_VALUE"""),"Yes")</f>
        <v>Yes</v>
      </c>
      <c r="AJ66" s="5" t="str">
        <f ca="1">IFERROR(__xludf.DUMMYFUNCTION("""COMPUTED_VALUE"""),"Yes")</f>
        <v>Yes</v>
      </c>
      <c r="AK66" s="5" t="str">
        <f ca="1">IFERROR(__xludf.DUMMYFUNCTION("""COMPUTED_VALUE"""),"Yes")</f>
        <v>Yes</v>
      </c>
      <c r="AL66" s="5" t="str">
        <f ca="1">IFERROR(__xludf.DUMMYFUNCTION("""COMPUTED_VALUE"""),"Yes")</f>
        <v>Yes</v>
      </c>
      <c r="AM66" s="5" t="str">
        <f ca="1">IFERROR(__xludf.DUMMYFUNCTION("""COMPUTED_VALUE"""),"Yes")</f>
        <v>Yes</v>
      </c>
      <c r="AN66" s="5" t="str">
        <f ca="1">IFERROR(__xludf.DUMMYFUNCTION("""COMPUTED_VALUE"""),"Yes")</f>
        <v>Yes</v>
      </c>
      <c r="AO66" s="5" t="str">
        <f ca="1">IFERROR(__xludf.DUMMYFUNCTION("""COMPUTED_VALUE"""),"Yes")</f>
        <v>Yes</v>
      </c>
      <c r="AP66" s="5" t="str">
        <f ca="1">IFERROR(__xludf.DUMMYFUNCTION("""COMPUTED_VALUE"""),"Yes")</f>
        <v>Yes</v>
      </c>
      <c r="AQ66" s="5" t="str">
        <f ca="1">IFERROR(__xludf.DUMMYFUNCTION("""COMPUTED_VALUE"""),"Yes")</f>
        <v>Yes</v>
      </c>
      <c r="AR66" s="5" t="str">
        <f ca="1">IFERROR(__xludf.DUMMYFUNCTION("""COMPUTED_VALUE"""),"Yes")</f>
        <v>Yes</v>
      </c>
      <c r="AS66" s="5" t="str">
        <f ca="1">IFERROR(__xludf.DUMMYFUNCTION("""COMPUTED_VALUE"""),"Yes")</f>
        <v>Yes</v>
      </c>
      <c r="AT66" s="5" t="str">
        <f ca="1">IFERROR(__xludf.DUMMYFUNCTION("""COMPUTED_VALUE"""),"No")</f>
        <v>No</v>
      </c>
      <c r="AU66" s="5"/>
    </row>
    <row r="67" spans="1:47" x14ac:dyDescent="0.25">
      <c r="A67" s="5" t="str">
        <f ca="1">IFERROR(__xludf.DUMMYFUNCTION("""COMPUTED_VALUE"""),"Foxi")</f>
        <v>Foxi</v>
      </c>
      <c r="B67" s="5" t="str">
        <f ca="1">IFERROR(__xludf.DUMMYFUNCTION("""COMPUTED_VALUE"""),"Turbo Hot 80")</f>
        <v>Turbo Hot 80</v>
      </c>
      <c r="C67" s="5" t="str">
        <f ca="1">IFERROR(__xludf.DUMMYFUNCTION("""COMPUTED_VALUE"""),"TurboHot80")</f>
        <v>TurboHot80</v>
      </c>
      <c r="D67" s="6">
        <f ca="1">IFERROR(__xludf.DUMMYFUNCTION("""COMPUTED_VALUE"""),44503)</f>
        <v>44503</v>
      </c>
      <c r="E67" s="5" t="str">
        <f ca="1">IFERROR(__xludf.DUMMYFUNCTION("""COMPUTED_VALUE"""),"Slot")</f>
        <v>Slot</v>
      </c>
      <c r="F67" s="5">
        <f ca="1">IFERROR(__xludf.DUMMYFUNCTION("""COMPUTED_VALUE"""),22.6)</f>
        <v>22.6</v>
      </c>
      <c r="G67" s="5" t="str">
        <f ca="1">IFERROR(__xludf.DUMMYFUNCTION("""COMPUTED_VALUE"""),"5x4")</f>
        <v>5x4</v>
      </c>
      <c r="H67" s="5" t="str">
        <f ca="1">IFERROR(__xludf.DUMMYFUNCTION("""COMPUTED_VALUE"""),"80")</f>
        <v>80</v>
      </c>
      <c r="I67" s="5" t="str">
        <f ca="1">IFERROR(__xludf.DUMMYFUNCTION("""COMPUTED_VALUE"""),"80")</f>
        <v>80</v>
      </c>
      <c r="J67" s="5" t="str">
        <f ca="1">IFERROR(__xludf.DUMMYFUNCTION("""COMPUTED_VALUE"""),"96.584%")</f>
        <v>96.584%</v>
      </c>
      <c r="K67" s="5" t="str">
        <f ca="1">IFERROR(__xludf.DUMMYFUNCTION("""COMPUTED_VALUE"""),"Low")</f>
        <v>Low</v>
      </c>
      <c r="L67" s="5" t="str">
        <f ca="1">IFERROR(__xludf.DUMMYFUNCTION("""COMPUTED_VALUE"""),"20.81%")</f>
        <v>20.81%</v>
      </c>
      <c r="M67" s="5" t="str">
        <f ca="1">IFERROR(__xludf.DUMMYFUNCTION("""COMPUTED_VALUE"""),"x1000")</f>
        <v>x1000</v>
      </c>
      <c r="N67" s="5" t="str">
        <f ca="1">IFERROR(__xludf.DUMMYFUNCTION("""COMPUTED_VALUE"""),"0.8/80")</f>
        <v>0.8/80</v>
      </c>
      <c r="O67" s="5" t="str">
        <f ca="1">IFERROR(__xludf.DUMMYFUNCTION("""COMPUTED_VALUE"""),"Yes")</f>
        <v>Yes</v>
      </c>
      <c r="P67" s="5" t="str">
        <f ca="1">IFERROR(__xludf.DUMMYFUNCTION("""COMPUTED_VALUE"""),"Wild Symbol, Scatter")</f>
        <v>Wild Symbol, Scatter</v>
      </c>
      <c r="Q67" s="7" t="str">
        <f ca="1">IFERROR(__xludf.DUMMYFUNCTION("""COMPUTED_VALUE"""),"https://gameserver-store-client-area.orbionlimited.com/Home/IntegrationGameLaunch/client-area?moneyType=0&amp;gameName=TurboHot80&amp;platform=desktop&amp;languageCode=eng&amp;currency=EUR")</f>
        <v>https://gameserver-store-client-area.orbionlimited.com/Home/IntegrationGameLaunch/client-area?moneyType=0&amp;gameName=TurboHot80&amp;platform=desktop&amp;languageCode=eng&amp;currency=EUR</v>
      </c>
      <c r="R67" s="5" t="str">
        <f ca="1">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S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7" s="5" t="str">
        <f ca="1">IFERROR(__xludf.DUMMYFUNCTION("""COMPUTED_VALUE"""),"Yes")</f>
        <v>Yes</v>
      </c>
      <c r="U67" s="5" t="str">
        <f ca="1">IFERROR(__xludf.DUMMYFUNCTION("""COMPUTED_VALUE"""),"Yes")</f>
        <v>Yes</v>
      </c>
      <c r="V67" s="5" t="str">
        <f ca="1">IFERROR(__xludf.DUMMYFUNCTION("""COMPUTED_VALUE"""),"Yes")</f>
        <v>Yes</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IFERROR(__xludf.DUMMYFUNCTION("""COMPUTED_VALUE"""),"Yes")</f>
        <v>Yes</v>
      </c>
      <c r="AA67" s="5" t="str">
        <f ca="1">IFERROR(__xludf.DUMMYFUNCTION("""COMPUTED_VALUE"""),"Yes")</f>
        <v>Yes</v>
      </c>
      <c r="AB67" s="5" t="str">
        <f ca="1">IFERROR(__xludf.DUMMYFUNCTION("""COMPUTED_VALUE"""),"Yes")</f>
        <v>Yes</v>
      </c>
      <c r="AC67" s="5" t="str">
        <f ca="1">IFERROR(__xludf.DUMMYFUNCTION("""COMPUTED_VALUE"""),"Yes")</f>
        <v>Yes</v>
      </c>
      <c r="AD67" s="5" t="str">
        <f ca="1">IFERROR(__xludf.DUMMYFUNCTION("""COMPUTED_VALUE"""),"Yes")</f>
        <v>Yes</v>
      </c>
      <c r="AE67" s="5" t="str">
        <f ca="1">IFERROR(__xludf.DUMMYFUNCTION("""COMPUTED_VALUE"""),"Yes")</f>
        <v>Yes</v>
      </c>
      <c r="AF67" s="5" t="str">
        <f ca="1">IFERROR(__xludf.DUMMYFUNCTION("""COMPUTED_VALUE"""),"Yes")</f>
        <v>Yes</v>
      </c>
      <c r="AG67" s="5" t="str">
        <f ca="1">IFERROR(__xludf.DUMMYFUNCTION("""COMPUTED_VALUE"""),"Yes")</f>
        <v>Yes</v>
      </c>
      <c r="AH67" s="5" t="str">
        <f ca="1">IFERROR(__xludf.DUMMYFUNCTION("""COMPUTED_VALUE"""),"Yes")</f>
        <v>Yes</v>
      </c>
      <c r="AI67" s="5" t="str">
        <f ca="1">IFERROR(__xludf.DUMMYFUNCTION("""COMPUTED_VALUE"""),"Yes")</f>
        <v>Yes</v>
      </c>
      <c r="AJ67" s="5" t="str">
        <f ca="1">IFERROR(__xludf.DUMMYFUNCTION("""COMPUTED_VALUE"""),"Yes")</f>
        <v>Yes</v>
      </c>
      <c r="AK67" s="5" t="str">
        <f ca="1">IFERROR(__xludf.DUMMYFUNCTION("""COMPUTED_VALUE"""),"Yes")</f>
        <v>Yes</v>
      </c>
      <c r="AL67" s="5" t="str">
        <f ca="1">IFERROR(__xludf.DUMMYFUNCTION("""COMPUTED_VALUE"""),"Yes")</f>
        <v>Yes</v>
      </c>
      <c r="AM67" s="5" t="str">
        <f ca="1">IFERROR(__xludf.DUMMYFUNCTION("""COMPUTED_VALUE"""),"Yes")</f>
        <v>Yes</v>
      </c>
      <c r="AN67" s="5" t="str">
        <f ca="1">IFERROR(__xludf.DUMMYFUNCTION("""COMPUTED_VALUE"""),"Yes")</f>
        <v>Yes</v>
      </c>
      <c r="AO67" s="5" t="str">
        <f ca="1">IFERROR(__xludf.DUMMYFUNCTION("""COMPUTED_VALUE"""),"Yes")</f>
        <v>Yes</v>
      </c>
      <c r="AP67" s="5" t="str">
        <f ca="1">IFERROR(__xludf.DUMMYFUNCTION("""COMPUTED_VALUE"""),"Yes")</f>
        <v>Yes</v>
      </c>
      <c r="AQ67" s="5" t="str">
        <f ca="1">IFERROR(__xludf.DUMMYFUNCTION("""COMPUTED_VALUE"""),"Yes")</f>
        <v>Yes</v>
      </c>
      <c r="AR67" s="5" t="str">
        <f ca="1">IFERROR(__xludf.DUMMYFUNCTION("""COMPUTED_VALUE"""),"Yes")</f>
        <v>Yes</v>
      </c>
      <c r="AS67" s="5" t="str">
        <f ca="1">IFERROR(__xludf.DUMMYFUNCTION("""COMPUTED_VALUE"""),"Yes")</f>
        <v>Yes</v>
      </c>
      <c r="AT67" s="5" t="str">
        <f ca="1">IFERROR(__xludf.DUMMYFUNCTION("""COMPUTED_VALUE"""),"No")</f>
        <v>No</v>
      </c>
      <c r="AU67" s="5"/>
    </row>
    <row r="68" spans="1:47" x14ac:dyDescent="0.25">
      <c r="A68" s="5" t="str">
        <f ca="1">IFERROR(__xludf.DUMMYFUNCTION("""COMPUTED_VALUE"""),"Foxi")</f>
        <v>Foxi</v>
      </c>
      <c r="B68" s="5" t="str">
        <f ca="1">IFERROR(__xludf.DUMMYFUNCTION("""COMPUTED_VALUE"""),"Seven Classic Slot")</f>
        <v>Seven Classic Slot</v>
      </c>
      <c r="C68" s="5" t="str">
        <f ca="1">IFERROR(__xludf.DUMMYFUNCTION("""COMPUTED_VALUE"""),"SevenClassicHot")</f>
        <v>SevenClassicHot</v>
      </c>
      <c r="D68" s="6">
        <f ca="1">IFERROR(__xludf.DUMMYFUNCTION("""COMPUTED_VALUE"""),44547)</f>
        <v>44547</v>
      </c>
      <c r="E68" s="5" t="str">
        <f ca="1">IFERROR(__xludf.DUMMYFUNCTION("""COMPUTED_VALUE"""),"Slot")</f>
        <v>Slot</v>
      </c>
      <c r="F68" s="5">
        <f ca="1">IFERROR(__xludf.DUMMYFUNCTION("""COMPUTED_VALUE"""),17)</f>
        <v>17</v>
      </c>
      <c r="G68" s="5" t="str">
        <f ca="1">IFERROR(__xludf.DUMMYFUNCTION("""COMPUTED_VALUE"""),"5x3")</f>
        <v>5x3</v>
      </c>
      <c r="H68" s="5" t="str">
        <f ca="1">IFERROR(__xludf.DUMMYFUNCTION("""COMPUTED_VALUE"""),"20")</f>
        <v>20</v>
      </c>
      <c r="I68" s="5" t="str">
        <f ca="1">IFERROR(__xludf.DUMMYFUNCTION("""COMPUTED_VALUE"""),"1,3,5,9,10,20")</f>
        <v>1,3,5,9,10,20</v>
      </c>
      <c r="J68" s="5" t="str">
        <f ca="1">IFERROR(__xludf.DUMMYFUNCTION("""COMPUTED_VALUE"""),"96.134%")</f>
        <v>96.134%</v>
      </c>
      <c r="K68" s="5" t="str">
        <f ca="1">IFERROR(__xludf.DUMMYFUNCTION("""COMPUTED_VALUE"""),"High")</f>
        <v>High</v>
      </c>
      <c r="L68" s="5" t="str">
        <f ca="1">IFERROR(__xludf.DUMMYFUNCTION("""COMPUTED_VALUE"""),"26.95%")</f>
        <v>26.95%</v>
      </c>
      <c r="M68" s="5" t="str">
        <f ca="1">IFERROR(__xludf.DUMMYFUNCTION("""COMPUTED_VALUE"""),"x4200")</f>
        <v>x4200</v>
      </c>
      <c r="N68" s="5" t="str">
        <f ca="1">IFERROR(__xludf.DUMMYFUNCTION("""COMPUTED_VALUE"""),"0.2/80")</f>
        <v>0.2/80</v>
      </c>
      <c r="O68" s="5" t="str">
        <f ca="1">IFERROR(__xludf.DUMMYFUNCTION("""COMPUTED_VALUE"""),"Yes")</f>
        <v>Yes</v>
      </c>
      <c r="P68" s="5" t="str">
        <f ca="1">IFERROR(__xludf.DUMMYFUNCTION("""COMPUTED_VALUE"""),"Wild Symbol, Bonus Game with Free Spins")</f>
        <v>Wild Symbol, Bonus Game with Free Spins</v>
      </c>
      <c r="Q68" s="7" t="str">
        <f ca="1">IFERROR(__xludf.DUMMYFUNCTION("""COMPUTED_VALUE"""),"https://gameserver-store-client-area.orbionlimited.com/Home/IntegrationGameLaunch/client-area?moneyType=0&amp;gameName=SevenClassicHot&amp;platform=desktop&amp;languageCode=eng&amp;currency=EUR")</f>
        <v>https://gameserver-store-client-area.orbionlimited.com/Home/IntegrationGameLaunch/client-area?moneyType=0&amp;gameName=SevenClassicHot&amp;platform=desktop&amp;languageCode=eng&amp;currency=EUR</v>
      </c>
      <c r="R68" s="5" t="str">
        <f ca="1">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S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8" s="5" t="str">
        <f ca="1">IFERROR(__xludf.DUMMYFUNCTION("""COMPUTED_VALUE"""),"Yes")</f>
        <v>Yes</v>
      </c>
      <c r="U68" s="5" t="str">
        <f ca="1">IFERROR(__xludf.DUMMYFUNCTION("""COMPUTED_VALUE"""),"Yes")</f>
        <v>Yes</v>
      </c>
      <c r="V68" s="5" t="str">
        <f ca="1">IFERROR(__xludf.DUMMYFUNCTION("""COMPUTED_VALUE"""),"Yes")</f>
        <v>Yes</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IFERROR(__xludf.DUMMYFUNCTION("""COMPUTED_VALUE"""),"Yes")</f>
        <v>Yes</v>
      </c>
      <c r="AA68" s="5" t="str">
        <f ca="1">IFERROR(__xludf.DUMMYFUNCTION("""COMPUTED_VALUE"""),"Yes")</f>
        <v>Yes</v>
      </c>
      <c r="AB68" s="5" t="str">
        <f ca="1">IFERROR(__xludf.DUMMYFUNCTION("""COMPUTED_VALUE"""),"Yes")</f>
        <v>Yes</v>
      </c>
      <c r="AC68" s="5" t="str">
        <f ca="1">IFERROR(__xludf.DUMMYFUNCTION("""COMPUTED_VALUE"""),"Yes")</f>
        <v>Yes</v>
      </c>
      <c r="AD68" s="5" t="str">
        <f ca="1">IFERROR(__xludf.DUMMYFUNCTION("""COMPUTED_VALUE"""),"Yes")</f>
        <v>Yes</v>
      </c>
      <c r="AE68" s="5" t="str">
        <f ca="1">IFERROR(__xludf.DUMMYFUNCTION("""COMPUTED_VALUE"""),"Yes")</f>
        <v>Yes</v>
      </c>
      <c r="AF68" s="5" t="str">
        <f ca="1">IFERROR(__xludf.DUMMYFUNCTION("""COMPUTED_VALUE"""),"Yes")</f>
        <v>Yes</v>
      </c>
      <c r="AG68" s="5" t="str">
        <f ca="1">IFERROR(__xludf.DUMMYFUNCTION("""COMPUTED_VALUE"""),"Yes")</f>
        <v>Yes</v>
      </c>
      <c r="AH68" s="5" t="str">
        <f ca="1">IFERROR(__xludf.DUMMYFUNCTION("""COMPUTED_VALUE"""),"Yes")</f>
        <v>Yes</v>
      </c>
      <c r="AI68" s="5" t="str">
        <f ca="1">IFERROR(__xludf.DUMMYFUNCTION("""COMPUTED_VALUE"""),"Yes")</f>
        <v>Yes</v>
      </c>
      <c r="AJ68" s="5" t="str">
        <f ca="1">IFERROR(__xludf.DUMMYFUNCTION("""COMPUTED_VALUE"""),"Yes")</f>
        <v>Yes</v>
      </c>
      <c r="AK68" s="5" t="str">
        <f ca="1">IFERROR(__xludf.DUMMYFUNCTION("""COMPUTED_VALUE"""),"Yes")</f>
        <v>Yes</v>
      </c>
      <c r="AL68" s="5" t="str">
        <f ca="1">IFERROR(__xludf.DUMMYFUNCTION("""COMPUTED_VALUE"""),"Yes")</f>
        <v>Yes</v>
      </c>
      <c r="AM68" s="5" t="str">
        <f ca="1">IFERROR(__xludf.DUMMYFUNCTION("""COMPUTED_VALUE"""),"Yes")</f>
        <v>Yes</v>
      </c>
      <c r="AN68" s="5" t="str">
        <f ca="1">IFERROR(__xludf.DUMMYFUNCTION("""COMPUTED_VALUE"""),"Yes")</f>
        <v>Yes</v>
      </c>
      <c r="AO68" s="5" t="str">
        <f ca="1">IFERROR(__xludf.DUMMYFUNCTION("""COMPUTED_VALUE"""),"Yes")</f>
        <v>Yes</v>
      </c>
      <c r="AP68" s="5" t="str">
        <f ca="1">IFERROR(__xludf.DUMMYFUNCTION("""COMPUTED_VALUE"""),"Yes")</f>
        <v>Yes</v>
      </c>
      <c r="AQ68" s="5" t="str">
        <f ca="1">IFERROR(__xludf.DUMMYFUNCTION("""COMPUTED_VALUE"""),"Yes")</f>
        <v>Yes</v>
      </c>
      <c r="AR68" s="5" t="str">
        <f ca="1">IFERROR(__xludf.DUMMYFUNCTION("""COMPUTED_VALUE"""),"Yes")</f>
        <v>Yes</v>
      </c>
      <c r="AS68" s="5" t="str">
        <f ca="1">IFERROR(__xludf.DUMMYFUNCTION("""COMPUTED_VALUE"""),"Yes")</f>
        <v>Yes</v>
      </c>
      <c r="AT68" s="5" t="str">
        <f ca="1">IFERROR(__xludf.DUMMYFUNCTION("""COMPUTED_VALUE"""),"No")</f>
        <v>No</v>
      </c>
      <c r="AU68" s="5"/>
    </row>
    <row r="69" spans="1:47" x14ac:dyDescent="0.25">
      <c r="A69" s="5" t="str">
        <f ca="1">IFERROR(__xludf.DUMMYFUNCTION("""COMPUTED_VALUE"""),"Foxi")</f>
        <v>Foxi</v>
      </c>
      <c r="B69" s="5" t="str">
        <f ca="1">IFERROR(__xludf.DUMMYFUNCTION("""COMPUTED_VALUE"""),"Turbo Hot 100")</f>
        <v>Turbo Hot 100</v>
      </c>
      <c r="C69" s="5" t="str">
        <f ca="1">IFERROR(__xludf.DUMMYFUNCTION("""COMPUTED_VALUE"""),"TurboHot100")</f>
        <v>TurboHot100</v>
      </c>
      <c r="D69" s="6">
        <f ca="1">IFERROR(__xludf.DUMMYFUNCTION("""COMPUTED_VALUE"""),44524)</f>
        <v>44524</v>
      </c>
      <c r="E69" s="5" t="str">
        <f ca="1">IFERROR(__xludf.DUMMYFUNCTION("""COMPUTED_VALUE"""),"Slot")</f>
        <v>Slot</v>
      </c>
      <c r="F69" s="5">
        <f ca="1">IFERROR(__xludf.DUMMYFUNCTION("""COMPUTED_VALUE"""),22.5)</f>
        <v>22.5</v>
      </c>
      <c r="G69" s="5" t="str">
        <f ca="1">IFERROR(__xludf.DUMMYFUNCTION("""COMPUTED_VALUE"""),"5x4")</f>
        <v>5x4</v>
      </c>
      <c r="H69" s="5" t="str">
        <f ca="1">IFERROR(__xludf.DUMMYFUNCTION("""COMPUTED_VALUE"""),"100")</f>
        <v>100</v>
      </c>
      <c r="I69" s="5" t="str">
        <f ca="1">IFERROR(__xludf.DUMMYFUNCTION("""COMPUTED_VALUE"""),"100")</f>
        <v>100</v>
      </c>
      <c r="J69" s="5" t="str">
        <f ca="1">IFERROR(__xludf.DUMMYFUNCTION("""COMPUTED_VALUE"""),"96.584%")</f>
        <v>96.584%</v>
      </c>
      <c r="K69" s="5" t="str">
        <f ca="1">IFERROR(__xludf.DUMMYFUNCTION("""COMPUTED_VALUE"""),"Low")</f>
        <v>Low</v>
      </c>
      <c r="L69" s="5" t="str">
        <f ca="1">IFERROR(__xludf.DUMMYFUNCTION("""COMPUTED_VALUE"""),"20.81%")</f>
        <v>20.81%</v>
      </c>
      <c r="M69" s="5" t="str">
        <f ca="1">IFERROR(__xludf.DUMMYFUNCTION("""COMPUTED_VALUE"""),"x1000")</f>
        <v>x1000</v>
      </c>
      <c r="N69" s="5" t="str">
        <f ca="1">IFERROR(__xludf.DUMMYFUNCTION("""COMPUTED_VALUE"""),"1/100")</f>
        <v>1/100</v>
      </c>
      <c r="O69" s="5" t="str">
        <f ca="1">IFERROR(__xludf.DUMMYFUNCTION("""COMPUTED_VALUE"""),"Yes")</f>
        <v>Yes</v>
      </c>
      <c r="P69" s="5" t="str">
        <f ca="1">IFERROR(__xludf.DUMMYFUNCTION("""COMPUTED_VALUE"""),"Wild Symbol, Scatter")</f>
        <v>Wild Symbol, Scatter</v>
      </c>
      <c r="Q69" s="7" t="str">
        <f ca="1">IFERROR(__xludf.DUMMYFUNCTION("""COMPUTED_VALUE"""),"https://gameserver-store-client-area.orbionlimited.com/Home/IntegrationGameLaunch/client-area?moneyType=0&amp;gameName=TurboHot100&amp;platform=desktop&amp;languageCode=eng&amp;currency=EUR")</f>
        <v>https://gameserver-store-client-area.orbionlimited.com/Home/IntegrationGameLaunch/client-area?moneyType=0&amp;gameName=TurboHot100&amp;platform=desktop&amp;languageCode=eng&amp;currency=EUR</v>
      </c>
      <c r="R69" s="5" t="str">
        <f ca="1">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S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9" s="5" t="str">
        <f ca="1">IFERROR(__xludf.DUMMYFUNCTION("""COMPUTED_VALUE"""),"Yes")</f>
        <v>Yes</v>
      </c>
      <c r="U69" s="5" t="str">
        <f ca="1">IFERROR(__xludf.DUMMYFUNCTION("""COMPUTED_VALUE"""),"Yes")</f>
        <v>Yes</v>
      </c>
      <c r="V69" s="5" t="str">
        <f ca="1">IFERROR(__xludf.DUMMYFUNCTION("""COMPUTED_VALUE"""),"Yes")</f>
        <v>Yes</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IFERROR(__xludf.DUMMYFUNCTION("""COMPUTED_VALUE"""),"Yes")</f>
        <v>Yes</v>
      </c>
      <c r="AA69" s="5" t="str">
        <f ca="1">IFERROR(__xludf.DUMMYFUNCTION("""COMPUTED_VALUE"""),"Yes")</f>
        <v>Yes</v>
      </c>
      <c r="AB69" s="5" t="str">
        <f ca="1">IFERROR(__xludf.DUMMYFUNCTION("""COMPUTED_VALUE"""),"Yes")</f>
        <v>Yes</v>
      </c>
      <c r="AC69" s="5" t="str">
        <f ca="1">IFERROR(__xludf.DUMMYFUNCTION("""COMPUTED_VALUE"""),"Yes")</f>
        <v>Yes</v>
      </c>
      <c r="AD69" s="5" t="str">
        <f ca="1">IFERROR(__xludf.DUMMYFUNCTION("""COMPUTED_VALUE"""),"Yes")</f>
        <v>Yes</v>
      </c>
      <c r="AE69" s="5" t="str">
        <f ca="1">IFERROR(__xludf.DUMMYFUNCTION("""COMPUTED_VALUE"""),"Yes")</f>
        <v>Yes</v>
      </c>
      <c r="AF69" s="5" t="str">
        <f ca="1">IFERROR(__xludf.DUMMYFUNCTION("""COMPUTED_VALUE"""),"Yes")</f>
        <v>Yes</v>
      </c>
      <c r="AG69" s="5" t="str">
        <f ca="1">IFERROR(__xludf.DUMMYFUNCTION("""COMPUTED_VALUE"""),"Yes")</f>
        <v>Yes</v>
      </c>
      <c r="AH69" s="5" t="str">
        <f ca="1">IFERROR(__xludf.DUMMYFUNCTION("""COMPUTED_VALUE"""),"Yes")</f>
        <v>Yes</v>
      </c>
      <c r="AI69" s="5" t="str">
        <f ca="1">IFERROR(__xludf.DUMMYFUNCTION("""COMPUTED_VALUE"""),"Yes")</f>
        <v>Yes</v>
      </c>
      <c r="AJ69" s="5" t="str">
        <f ca="1">IFERROR(__xludf.DUMMYFUNCTION("""COMPUTED_VALUE"""),"Yes")</f>
        <v>Yes</v>
      </c>
      <c r="AK69" s="5" t="str">
        <f ca="1">IFERROR(__xludf.DUMMYFUNCTION("""COMPUTED_VALUE"""),"Yes")</f>
        <v>Yes</v>
      </c>
      <c r="AL69" s="5" t="str">
        <f ca="1">IFERROR(__xludf.DUMMYFUNCTION("""COMPUTED_VALUE"""),"Yes")</f>
        <v>Yes</v>
      </c>
      <c r="AM69" s="5" t="str">
        <f ca="1">IFERROR(__xludf.DUMMYFUNCTION("""COMPUTED_VALUE"""),"Yes")</f>
        <v>Yes</v>
      </c>
      <c r="AN69" s="5" t="str">
        <f ca="1">IFERROR(__xludf.DUMMYFUNCTION("""COMPUTED_VALUE"""),"Yes")</f>
        <v>Yes</v>
      </c>
      <c r="AO69" s="5" t="str">
        <f ca="1">IFERROR(__xludf.DUMMYFUNCTION("""COMPUTED_VALUE"""),"Yes")</f>
        <v>Yes</v>
      </c>
      <c r="AP69" s="5" t="str">
        <f ca="1">IFERROR(__xludf.DUMMYFUNCTION("""COMPUTED_VALUE"""),"Yes")</f>
        <v>Yes</v>
      </c>
      <c r="AQ69" s="5" t="str">
        <f ca="1">IFERROR(__xludf.DUMMYFUNCTION("""COMPUTED_VALUE"""),"Yes")</f>
        <v>Yes</v>
      </c>
      <c r="AR69" s="5" t="str">
        <f ca="1">IFERROR(__xludf.DUMMYFUNCTION("""COMPUTED_VALUE"""),"Yes")</f>
        <v>Yes</v>
      </c>
      <c r="AS69" s="5" t="str">
        <f ca="1">IFERROR(__xludf.DUMMYFUNCTION("""COMPUTED_VALUE"""),"Yes")</f>
        <v>Yes</v>
      </c>
      <c r="AT69" s="5" t="str">
        <f ca="1">IFERROR(__xludf.DUMMYFUNCTION("""COMPUTED_VALUE"""),"No")</f>
        <v>No</v>
      </c>
      <c r="AU69" s="5"/>
    </row>
    <row r="70" spans="1:47" x14ac:dyDescent="0.25">
      <c r="A70" s="5" t="str">
        <f ca="1">IFERROR(__xludf.DUMMYFUNCTION("""COMPUTED_VALUE"""),"Foxi")</f>
        <v>Foxi</v>
      </c>
      <c r="B70" s="5" t="str">
        <f ca="1">IFERROR(__xludf.DUMMYFUNCTION("""COMPUTED_VALUE"""),"Bonus Bells")</f>
        <v>Bonus Bells</v>
      </c>
      <c r="C70" s="5" t="str">
        <f ca="1">IFERROR(__xludf.DUMMYFUNCTION("""COMPUTED_VALUE"""),"BonusBells")</f>
        <v>BonusBells</v>
      </c>
      <c r="D70" s="6">
        <f ca="1">IFERROR(__xludf.DUMMYFUNCTION("""COMPUTED_VALUE"""),44880)</f>
        <v>44880</v>
      </c>
      <c r="E70" s="5" t="str">
        <f ca="1">IFERROR(__xludf.DUMMYFUNCTION("""COMPUTED_VALUE"""),"Slot")</f>
        <v>Slot</v>
      </c>
      <c r="F70" s="5">
        <f ca="1">IFERROR(__xludf.DUMMYFUNCTION("""COMPUTED_VALUE"""),231)</f>
        <v>231</v>
      </c>
      <c r="G70" s="5" t="str">
        <f ca="1">IFERROR(__xludf.DUMMYFUNCTION("""COMPUTED_VALUE"""),"5x3")</f>
        <v>5x3</v>
      </c>
      <c r="H70" s="5" t="str">
        <f ca="1">IFERROR(__xludf.DUMMYFUNCTION("""COMPUTED_VALUE"""),"10")</f>
        <v>10</v>
      </c>
      <c r="I70" s="5" t="str">
        <f ca="1">IFERROR(__xludf.DUMMYFUNCTION("""COMPUTED_VALUE"""),"10")</f>
        <v>10</v>
      </c>
      <c r="J70" s="5" t="str">
        <f ca="1">IFERROR(__xludf.DUMMYFUNCTION("""COMPUTED_VALUE"""),"96.247%")</f>
        <v>96.247%</v>
      </c>
      <c r="K70" s="5" t="str">
        <f ca="1">IFERROR(__xludf.DUMMYFUNCTION("""COMPUTED_VALUE"""),"High")</f>
        <v>High</v>
      </c>
      <c r="L70" s="5" t="str">
        <f ca="1">IFERROR(__xludf.DUMMYFUNCTION("""COMPUTED_VALUE"""),"12.636%")</f>
        <v>12.636%</v>
      </c>
      <c r="M70" s="5" t="str">
        <f ca="1">IFERROR(__xludf.DUMMYFUNCTION("""COMPUTED_VALUE"""),"x12104")</f>
        <v>x12104</v>
      </c>
      <c r="N70" s="5" t="str">
        <f ca="1">IFERROR(__xludf.DUMMYFUNCTION("""COMPUTED_VALUE"""),"0.1/40")</f>
        <v>0.1/40</v>
      </c>
      <c r="O70" s="5" t="str">
        <f ca="1">IFERROR(__xludf.DUMMYFUNCTION("""COMPUTED_VALUE"""),"Yes")</f>
        <v>Yes</v>
      </c>
      <c r="P70" s="5" t="str">
        <f ca="1">IFERROR(__xludf.DUMMYFUNCTION("""COMPUTED_VALUE"""),"Buy Bonus, Wild Symbol, Expanding Wild, Bonus Game with Free Spins")</f>
        <v>Buy Bonus, Wild Symbol, Expanding Wild, Bonus Game with Free Spins</v>
      </c>
      <c r="Q70" s="7" t="str">
        <f ca="1">IFERROR(__xludf.DUMMYFUNCTION("""COMPUTED_VALUE"""),"https://gameserver-store-client-area.orbionlimited.com/Home/IntegrationGameLaunch/client-area?moneyType=0&amp;gameName=BonusBells&amp;platform=desktop&amp;languageCode=eng&amp;currency=EUR")</f>
        <v>https://gameserver-store-client-area.orbionlimited.com/Home/IntegrationGameLaunch/client-area?moneyType=0&amp;gameName=BonusBells&amp;platform=desktop&amp;languageCode=eng&amp;currency=EUR</v>
      </c>
      <c r="R70" s="5" t="str">
        <f ca="1">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S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0" s="5" t="str">
        <f ca="1">IFERROR(__xludf.DUMMYFUNCTION("""COMPUTED_VALUE"""),"Yes")</f>
        <v>Yes</v>
      </c>
      <c r="U70" s="5" t="str">
        <f ca="1">IFERROR(__xludf.DUMMYFUNCTION("""COMPUTED_VALUE"""),"Yes")</f>
        <v>Yes</v>
      </c>
      <c r="V70" s="5" t="str">
        <f ca="1">IFERROR(__xludf.DUMMYFUNCTION("""COMPUTED_VALUE"""),"Yes")</f>
        <v>Yes</v>
      </c>
      <c r="W70" s="5" t="str">
        <f ca="1">IFERROR(__xludf.DUMMYFUNCTION("""COMPUTED_VALUE"""),"Yes")</f>
        <v>Yes</v>
      </c>
      <c r="X70" s="5" t="str">
        <f ca="1">IFERROR(__xludf.DUMMYFUNCTION("""COMPUTED_VALUE"""),"Yes")</f>
        <v>Yes</v>
      </c>
      <c r="Y70" s="5" t="str">
        <f ca="1">IFERROR(__xludf.DUMMYFUNCTION("""COMPUTED_VALUE"""),"Yes")</f>
        <v>Yes</v>
      </c>
      <c r="Z70" s="5" t="str">
        <f ca="1">IFERROR(__xludf.DUMMYFUNCTION("""COMPUTED_VALUE"""),"Yes")</f>
        <v>Yes</v>
      </c>
      <c r="AA70" s="5" t="str">
        <f ca="1">IFERROR(__xludf.DUMMYFUNCTION("""COMPUTED_VALUE"""),"Yes")</f>
        <v>Yes</v>
      </c>
      <c r="AB70" s="5" t="str">
        <f ca="1">IFERROR(__xludf.DUMMYFUNCTION("""COMPUTED_VALUE"""),"Yes")</f>
        <v>Yes</v>
      </c>
      <c r="AC70" s="5" t="str">
        <f ca="1">IFERROR(__xludf.DUMMYFUNCTION("""COMPUTED_VALUE"""),"Yes")</f>
        <v>Yes</v>
      </c>
      <c r="AD70" s="5" t="str">
        <f ca="1">IFERROR(__xludf.DUMMYFUNCTION("""COMPUTED_VALUE"""),"Yes")</f>
        <v>Yes</v>
      </c>
      <c r="AE70" s="5" t="str">
        <f ca="1">IFERROR(__xludf.DUMMYFUNCTION("""COMPUTED_VALUE"""),"Yes")</f>
        <v>Yes</v>
      </c>
      <c r="AF70" s="5" t="str">
        <f ca="1">IFERROR(__xludf.DUMMYFUNCTION("""COMPUTED_VALUE"""),"Yes")</f>
        <v>Yes</v>
      </c>
      <c r="AG70" s="5" t="str">
        <f ca="1">IFERROR(__xludf.DUMMYFUNCTION("""COMPUTED_VALUE"""),"Yes")</f>
        <v>Yes</v>
      </c>
      <c r="AH70" s="5" t="str">
        <f ca="1">IFERROR(__xludf.DUMMYFUNCTION("""COMPUTED_VALUE"""),"Yes")</f>
        <v>Yes</v>
      </c>
      <c r="AI70" s="5" t="str">
        <f ca="1">IFERROR(__xludf.DUMMYFUNCTION("""COMPUTED_VALUE"""),"Yes")</f>
        <v>Yes</v>
      </c>
      <c r="AJ70" s="5" t="str">
        <f ca="1">IFERROR(__xludf.DUMMYFUNCTION("""COMPUTED_VALUE"""),"Yes")</f>
        <v>Yes</v>
      </c>
      <c r="AK70" s="5" t="str">
        <f ca="1">IFERROR(__xludf.DUMMYFUNCTION("""COMPUTED_VALUE"""),"Yes")</f>
        <v>Yes</v>
      </c>
      <c r="AL70" s="5" t="str">
        <f ca="1">IFERROR(__xludf.DUMMYFUNCTION("""COMPUTED_VALUE"""),"Yes")</f>
        <v>Yes</v>
      </c>
      <c r="AM70" s="5" t="str">
        <f ca="1">IFERROR(__xludf.DUMMYFUNCTION("""COMPUTED_VALUE"""),"Yes")</f>
        <v>Yes</v>
      </c>
      <c r="AN70" s="5" t="str">
        <f ca="1">IFERROR(__xludf.DUMMYFUNCTION("""COMPUTED_VALUE"""),"Yes")</f>
        <v>Yes</v>
      </c>
      <c r="AO70" s="5" t="str">
        <f ca="1">IFERROR(__xludf.DUMMYFUNCTION("""COMPUTED_VALUE"""),"Yes")</f>
        <v>Yes</v>
      </c>
      <c r="AP70" s="5" t="str">
        <f ca="1">IFERROR(__xludf.DUMMYFUNCTION("""COMPUTED_VALUE"""),"Yes")</f>
        <v>Yes</v>
      </c>
      <c r="AQ70" s="5" t="str">
        <f ca="1">IFERROR(__xludf.DUMMYFUNCTION("""COMPUTED_VALUE"""),"Yes")</f>
        <v>Yes</v>
      </c>
      <c r="AR70" s="5" t="str">
        <f ca="1">IFERROR(__xludf.DUMMYFUNCTION("""COMPUTED_VALUE"""),"Yes")</f>
        <v>Yes</v>
      </c>
      <c r="AS70" s="5" t="str">
        <f ca="1">IFERROR(__xludf.DUMMYFUNCTION("""COMPUTED_VALUE"""),"Yes")</f>
        <v>Yes</v>
      </c>
      <c r="AT70" s="5" t="str">
        <f ca="1">IFERROR(__xludf.DUMMYFUNCTION("""COMPUTED_VALUE"""),"No")</f>
        <v>No</v>
      </c>
      <c r="AU70" s="5"/>
    </row>
    <row r="71" spans="1:47" x14ac:dyDescent="0.25">
      <c r="A71" s="5" t="str">
        <f ca="1">IFERROR(__xludf.DUMMYFUNCTION("""COMPUTED_VALUE"""),"Foxi")</f>
        <v>Foxi</v>
      </c>
      <c r="B71" s="5" t="str">
        <f ca="1">IFERROR(__xludf.DUMMYFUNCTION("""COMPUTED_VALUE"""),"Fruity Hot")</f>
        <v>Fruity Hot</v>
      </c>
      <c r="C71" s="5" t="str">
        <f ca="1">IFERROR(__xludf.DUMMYFUNCTION("""COMPUTED_VALUE"""),"FruityHot")</f>
        <v>FruityHot</v>
      </c>
      <c r="D71" s="6">
        <f ca="1">IFERROR(__xludf.DUMMYFUNCTION("""COMPUTED_VALUE"""),44539)</f>
        <v>44539</v>
      </c>
      <c r="E71" s="5" t="str">
        <f ca="1">IFERROR(__xludf.DUMMYFUNCTION("""COMPUTED_VALUE"""),"Slot")</f>
        <v>Slot</v>
      </c>
      <c r="F71" s="5">
        <f ca="1">IFERROR(__xludf.DUMMYFUNCTION("""COMPUTED_VALUE"""),13.9)</f>
        <v>13.9</v>
      </c>
      <c r="G71" s="5" t="str">
        <f ca="1">IFERROR(__xludf.DUMMYFUNCTION("""COMPUTED_VALUE"""),"5x3")</f>
        <v>5x3</v>
      </c>
      <c r="H71" s="5" t="str">
        <f ca="1">IFERROR(__xludf.DUMMYFUNCTION("""COMPUTED_VALUE"""),"20")</f>
        <v>20</v>
      </c>
      <c r="I71" s="5" t="str">
        <f ca="1">IFERROR(__xludf.DUMMYFUNCTION("""COMPUTED_VALUE"""),"1,3,5,9,10,15,20")</f>
        <v>1,3,5,9,10,15,20</v>
      </c>
      <c r="J71" s="5" t="str">
        <f ca="1">IFERROR(__xludf.DUMMYFUNCTION("""COMPUTED_VALUE"""),"95.79%")</f>
        <v>95.79%</v>
      </c>
      <c r="K71" s="5" t="str">
        <f ca="1">IFERROR(__xludf.DUMMYFUNCTION("""COMPUTED_VALUE"""),"Low")</f>
        <v>Low</v>
      </c>
      <c r="L71" s="5" t="str">
        <f ca="1">IFERROR(__xludf.DUMMYFUNCTION("""COMPUTED_VALUE"""),"16.19%")</f>
        <v>16.19%</v>
      </c>
      <c r="M71" s="5" t="str">
        <f ca="1">IFERROR(__xludf.DUMMYFUNCTION("""COMPUTED_VALUE"""),"x1000")</f>
        <v>x1000</v>
      </c>
      <c r="N71" s="5" t="str">
        <f ca="1">IFERROR(__xludf.DUMMYFUNCTION("""COMPUTED_VALUE"""),"0.2/50")</f>
        <v>0.2/50</v>
      </c>
      <c r="O71" s="5" t="str">
        <f ca="1">IFERROR(__xludf.DUMMYFUNCTION("""COMPUTED_VALUE"""),"Yes")</f>
        <v>Yes</v>
      </c>
      <c r="P71" s="5" t="str">
        <f ca="1">IFERROR(__xludf.DUMMYFUNCTION("""COMPUTED_VALUE"""),"Wild Symbol, Scatter")</f>
        <v>Wild Symbol, Scatter</v>
      </c>
      <c r="Q71" s="7" t="str">
        <f ca="1">IFERROR(__xludf.DUMMYFUNCTION("""COMPUTED_VALUE"""),"https://gameserver-store-client-area.orbionlimited.com/Home/IntegrationGameLaunch/client-area?moneyType=0&amp;gameName=FruityHot&amp;platform=desktop&amp;languageCode=eng&amp;currency=EUR")</f>
        <v>https://gameserver-store-client-area.orbionlimited.com/Home/IntegrationGameLaunch/client-area?moneyType=0&amp;gameName=FruityHot&amp;platform=desktop&amp;languageCode=eng&amp;currency=EUR</v>
      </c>
      <c r="R71" s="5" t="str">
        <f ca="1">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IFERROR(__xludf.DUMMYFUNCTION("""COMPUTED_VALUE"""),"Yes")</f>
        <v>Yes</v>
      </c>
      <c r="X71" s="5" t="str">
        <f ca="1">IFERROR(__xludf.DUMMYFUNCTION("""COMPUTED_VALUE"""),"Yes")</f>
        <v>Yes</v>
      </c>
      <c r="Y71" s="5" t="str">
        <f ca="1">IFERROR(__xludf.DUMMYFUNCTION("""COMPUTED_VALUE"""),"Yes")</f>
        <v>Yes</v>
      </c>
      <c r="Z71" s="5" t="str">
        <f ca="1">IFERROR(__xludf.DUMMYFUNCTION("""COMPUTED_VALUE"""),"Yes")</f>
        <v>Yes</v>
      </c>
      <c r="AA71" s="5" t="str">
        <f ca="1">IFERROR(__xludf.DUMMYFUNCTION("""COMPUTED_VALUE"""),"Yes")</f>
        <v>Yes</v>
      </c>
      <c r="AB71" s="5" t="str">
        <f ca="1">IFERROR(__xludf.DUMMYFUNCTION("""COMPUTED_VALUE"""),"Yes")</f>
        <v>Yes</v>
      </c>
      <c r="AC71" s="5" t="str">
        <f ca="1">IFERROR(__xludf.DUMMYFUNCTION("""COMPUTED_VALUE"""),"Yes")</f>
        <v>Yes</v>
      </c>
      <c r="AD71" s="5" t="str">
        <f ca="1">IFERROR(__xludf.DUMMYFUNCTION("""COMPUTED_VALUE"""),"Yes")</f>
        <v>Yes</v>
      </c>
      <c r="AE71" s="5" t="str">
        <f ca="1">IFERROR(__xludf.DUMMYFUNCTION("""COMPUTED_VALUE"""),"Yes")</f>
        <v>Yes</v>
      </c>
      <c r="AF71" s="5" t="str">
        <f ca="1">IFERROR(__xludf.DUMMYFUNCTION("""COMPUTED_VALUE"""),"Yes")</f>
        <v>Yes</v>
      </c>
      <c r="AG71" s="5" t="str">
        <f ca="1">IFERROR(__xludf.DUMMYFUNCTION("""COMPUTED_VALUE"""),"Yes")</f>
        <v>Yes</v>
      </c>
      <c r="AH71" s="5" t="str">
        <f ca="1">IFERROR(__xludf.DUMMYFUNCTION("""COMPUTED_VALUE"""),"Yes")</f>
        <v>Yes</v>
      </c>
      <c r="AI71" s="5" t="str">
        <f ca="1">IFERROR(__xludf.DUMMYFUNCTION("""COMPUTED_VALUE"""),"Yes")</f>
        <v>Yes</v>
      </c>
      <c r="AJ71" s="5" t="str">
        <f ca="1">IFERROR(__xludf.DUMMYFUNCTION("""COMPUTED_VALUE"""),"Yes")</f>
        <v>Yes</v>
      </c>
      <c r="AK71" s="5" t="str">
        <f ca="1">IFERROR(__xludf.DUMMYFUNCTION("""COMPUTED_VALUE"""),"Yes")</f>
        <v>Yes</v>
      </c>
      <c r="AL71" s="5" t="str">
        <f ca="1">IFERROR(__xludf.DUMMYFUNCTION("""COMPUTED_VALUE"""),"Yes")</f>
        <v>Yes</v>
      </c>
      <c r="AM71" s="5" t="str">
        <f ca="1">IFERROR(__xludf.DUMMYFUNCTION("""COMPUTED_VALUE"""),"Yes")</f>
        <v>Yes</v>
      </c>
      <c r="AN71" s="5" t="str">
        <f ca="1">IFERROR(__xludf.DUMMYFUNCTION("""COMPUTED_VALUE"""),"Yes")</f>
        <v>Yes</v>
      </c>
      <c r="AO71" s="5" t="str">
        <f ca="1">IFERROR(__xludf.DUMMYFUNCTION("""COMPUTED_VALUE"""),"Yes")</f>
        <v>Yes</v>
      </c>
      <c r="AP71" s="5" t="str">
        <f ca="1">IFERROR(__xludf.DUMMYFUNCTION("""COMPUTED_VALUE"""),"Yes")</f>
        <v>Yes</v>
      </c>
      <c r="AQ71" s="5" t="str">
        <f ca="1">IFERROR(__xludf.DUMMYFUNCTION("""COMPUTED_VALUE"""),"Yes")</f>
        <v>Yes</v>
      </c>
      <c r="AR71" s="5" t="str">
        <f ca="1">IFERROR(__xludf.DUMMYFUNCTION("""COMPUTED_VALUE"""),"Yes")</f>
        <v>Yes</v>
      </c>
      <c r="AS71" s="5" t="str">
        <f ca="1">IFERROR(__xludf.DUMMYFUNCTION("""COMPUTED_VALUE"""),"Yes")</f>
        <v>Yes</v>
      </c>
      <c r="AT71" s="5" t="str">
        <f ca="1">IFERROR(__xludf.DUMMYFUNCTION("""COMPUTED_VALUE"""),"No")</f>
        <v>No</v>
      </c>
      <c r="AU71" s="5"/>
    </row>
    <row r="72" spans="1:47" x14ac:dyDescent="0.25">
      <c r="A72" s="5" t="str">
        <f ca="1">IFERROR(__xludf.DUMMYFUNCTION("""COMPUTED_VALUE"""),"Foxi")</f>
        <v>Foxi</v>
      </c>
      <c r="B72" s="5" t="str">
        <f ca="1">IFERROR(__xludf.DUMMYFUNCTION("""COMPUTED_VALUE"""),"Eye Of Tut")</f>
        <v>Eye Of Tut</v>
      </c>
      <c r="C72" s="5" t="str">
        <f ca="1">IFERROR(__xludf.DUMMYFUNCTION("""COMPUTED_VALUE"""),"EyeOfTut")</f>
        <v>EyeOfTut</v>
      </c>
      <c r="D72" s="6">
        <f ca="1">IFERROR(__xludf.DUMMYFUNCTION("""COMPUTED_VALUE"""),44742)</f>
        <v>44742</v>
      </c>
      <c r="E72" s="5" t="str">
        <f ca="1">IFERROR(__xludf.DUMMYFUNCTION("""COMPUTED_VALUE"""),"Slot")</f>
        <v>Slot</v>
      </c>
      <c r="F72" s="5">
        <f ca="1">IFERROR(__xludf.DUMMYFUNCTION("""COMPUTED_VALUE"""),38.2)</f>
        <v>38.200000000000003</v>
      </c>
      <c r="G72" s="5" t="str">
        <f ca="1">IFERROR(__xludf.DUMMYFUNCTION("""COMPUTED_VALUE"""),"5x3")</f>
        <v>5x3</v>
      </c>
      <c r="H72" s="5" t="str">
        <f ca="1">IFERROR(__xludf.DUMMYFUNCTION("""COMPUTED_VALUE"""),"15")</f>
        <v>15</v>
      </c>
      <c r="I72" s="5" t="str">
        <f ca="1">IFERROR(__xludf.DUMMYFUNCTION("""COMPUTED_VALUE"""),"15")</f>
        <v>15</v>
      </c>
      <c r="J72" s="5" t="str">
        <f ca="1">IFERROR(__xludf.DUMMYFUNCTION("""COMPUTED_VALUE"""),"96.142%")</f>
        <v>96.142%</v>
      </c>
      <c r="K72" s="5" t="str">
        <f ca="1">IFERROR(__xludf.DUMMYFUNCTION("""COMPUTED_VALUE"""),"High")</f>
        <v>High</v>
      </c>
      <c r="L72" s="5" t="str">
        <f ca="1">IFERROR(__xludf.DUMMYFUNCTION("""COMPUTED_VALUE"""),"28.08%")</f>
        <v>28.08%</v>
      </c>
      <c r="M72" s="5" t="str">
        <f ca="1">IFERROR(__xludf.DUMMYFUNCTION("""COMPUTED_VALUE"""),"x1530")</f>
        <v>x1530</v>
      </c>
      <c r="N72" s="5" t="str">
        <f ca="1">IFERROR(__xludf.DUMMYFUNCTION("""COMPUTED_VALUE"""),"0.01/45")</f>
        <v>0.01/45</v>
      </c>
      <c r="O72" s="5" t="str">
        <f ca="1">IFERROR(__xludf.DUMMYFUNCTION("""COMPUTED_VALUE"""),"Yes")</f>
        <v>Yes</v>
      </c>
      <c r="P72" s="5" t="str">
        <f ca="1">IFERROR(__xludf.DUMMYFUNCTION("""COMPUTED_VALUE"""),"Wild Symbol, Bonus Game with Free Spins, Sticky Wild")</f>
        <v>Wild Symbol, Bonus Game with Free Spins, Sticky Wild</v>
      </c>
      <c r="Q72" s="7" t="str">
        <f ca="1">IFERROR(__xludf.DUMMYFUNCTION("""COMPUTED_VALUE"""),"https://gameserver-store-client-area.orbionlimited.com/Home/IntegrationGameLaunch/client-area?moneyType=0&amp;gameName=EyeOfTut&amp;platform=desktop&amp;languageCode=eng&amp;currency=EUR")</f>
        <v>https://gameserver-store-client-area.orbionlimited.com/Home/IntegrationGameLaunch/client-area?moneyType=0&amp;gameName=EyeOfTut&amp;platform=desktop&amp;languageCode=eng&amp;currency=EUR</v>
      </c>
      <c r="R72" s="5" t="str">
        <f ca="1">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S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2" s="5" t="str">
        <f ca="1">IFERROR(__xludf.DUMMYFUNCTION("""COMPUTED_VALUE"""),"Yes")</f>
        <v>Yes</v>
      </c>
      <c r="U72" s="5" t="str">
        <f ca="1">IFERROR(__xludf.DUMMYFUNCTION("""COMPUTED_VALUE"""),"Yes")</f>
        <v>Yes</v>
      </c>
      <c r="V72" s="5" t="str">
        <f ca="1">IFERROR(__xludf.DUMMYFUNCTION("""COMPUTED_VALUE"""),"Yes")</f>
        <v>Yes</v>
      </c>
      <c r="W72" s="5" t="str">
        <f ca="1">IFERROR(__xludf.DUMMYFUNCTION("""COMPUTED_VALUE"""),"Yes")</f>
        <v>Yes</v>
      </c>
      <c r="X72" s="5" t="str">
        <f ca="1">IFERROR(__xludf.DUMMYFUNCTION("""COMPUTED_VALUE"""),"Yes")</f>
        <v>Yes</v>
      </c>
      <c r="Y72" s="5" t="str">
        <f ca="1">IFERROR(__xludf.DUMMYFUNCTION("""COMPUTED_VALUE"""),"Yes")</f>
        <v>Yes</v>
      </c>
      <c r="Z72" s="5" t="str">
        <f ca="1">IFERROR(__xludf.DUMMYFUNCTION("""COMPUTED_VALUE"""),"Yes")</f>
        <v>Yes</v>
      </c>
      <c r="AA72" s="5" t="str">
        <f ca="1">IFERROR(__xludf.DUMMYFUNCTION("""COMPUTED_VALUE"""),"Yes")</f>
        <v>Yes</v>
      </c>
      <c r="AB72" s="5" t="str">
        <f ca="1">IFERROR(__xludf.DUMMYFUNCTION("""COMPUTED_VALUE"""),"Yes")</f>
        <v>Yes</v>
      </c>
      <c r="AC72" s="5" t="str">
        <f ca="1">IFERROR(__xludf.DUMMYFUNCTION("""COMPUTED_VALUE"""),"Yes")</f>
        <v>Yes</v>
      </c>
      <c r="AD72" s="5" t="str">
        <f ca="1">IFERROR(__xludf.DUMMYFUNCTION("""COMPUTED_VALUE"""),"Yes")</f>
        <v>Yes</v>
      </c>
      <c r="AE72" s="5" t="str">
        <f ca="1">IFERROR(__xludf.DUMMYFUNCTION("""COMPUTED_VALUE"""),"Yes")</f>
        <v>Yes</v>
      </c>
      <c r="AF72" s="5" t="str">
        <f ca="1">IFERROR(__xludf.DUMMYFUNCTION("""COMPUTED_VALUE"""),"Yes")</f>
        <v>Yes</v>
      </c>
      <c r="AG72" s="5" t="str">
        <f ca="1">IFERROR(__xludf.DUMMYFUNCTION("""COMPUTED_VALUE"""),"Yes")</f>
        <v>Yes</v>
      </c>
      <c r="AH72" s="5" t="str">
        <f ca="1">IFERROR(__xludf.DUMMYFUNCTION("""COMPUTED_VALUE"""),"Yes")</f>
        <v>Yes</v>
      </c>
      <c r="AI72" s="5" t="str">
        <f ca="1">IFERROR(__xludf.DUMMYFUNCTION("""COMPUTED_VALUE"""),"Yes")</f>
        <v>Yes</v>
      </c>
      <c r="AJ72" s="5" t="str">
        <f ca="1">IFERROR(__xludf.DUMMYFUNCTION("""COMPUTED_VALUE"""),"Yes")</f>
        <v>Yes</v>
      </c>
      <c r="AK72" s="5" t="str">
        <f ca="1">IFERROR(__xludf.DUMMYFUNCTION("""COMPUTED_VALUE"""),"Yes")</f>
        <v>Yes</v>
      </c>
      <c r="AL72" s="5" t="str">
        <f ca="1">IFERROR(__xludf.DUMMYFUNCTION("""COMPUTED_VALUE"""),"Yes")</f>
        <v>Yes</v>
      </c>
      <c r="AM72" s="5" t="str">
        <f ca="1">IFERROR(__xludf.DUMMYFUNCTION("""COMPUTED_VALUE"""),"Yes")</f>
        <v>Yes</v>
      </c>
      <c r="AN72" s="5" t="str">
        <f ca="1">IFERROR(__xludf.DUMMYFUNCTION("""COMPUTED_VALUE"""),"Yes")</f>
        <v>Yes</v>
      </c>
      <c r="AO72" s="5" t="str">
        <f ca="1">IFERROR(__xludf.DUMMYFUNCTION("""COMPUTED_VALUE"""),"Yes")</f>
        <v>Yes</v>
      </c>
      <c r="AP72" s="5" t="str">
        <f ca="1">IFERROR(__xludf.DUMMYFUNCTION("""COMPUTED_VALUE"""),"Yes")</f>
        <v>Yes</v>
      </c>
      <c r="AQ72" s="5" t="str">
        <f ca="1">IFERROR(__xludf.DUMMYFUNCTION("""COMPUTED_VALUE"""),"Yes")</f>
        <v>Yes</v>
      </c>
      <c r="AR72" s="5" t="str">
        <f ca="1">IFERROR(__xludf.DUMMYFUNCTION("""COMPUTED_VALUE"""),"Yes")</f>
        <v>Yes</v>
      </c>
      <c r="AS72" s="5" t="str">
        <f ca="1">IFERROR(__xludf.DUMMYFUNCTION("""COMPUTED_VALUE"""),"Yes")</f>
        <v>Yes</v>
      </c>
      <c r="AT72" s="5" t="str">
        <f ca="1">IFERROR(__xludf.DUMMYFUNCTION("""COMPUTED_VALUE"""),"No")</f>
        <v>No</v>
      </c>
      <c r="AU72" s="5"/>
    </row>
    <row r="73" spans="1:47" x14ac:dyDescent="0.25">
      <c r="A73" s="5" t="str">
        <f ca="1">IFERROR(__xludf.DUMMYFUNCTION("""COMPUTED_VALUE"""),"Foxi")</f>
        <v>Foxi</v>
      </c>
      <c r="B73" s="5" t="str">
        <f ca="1">IFERROR(__xludf.DUMMYFUNCTION("""COMPUTED_VALUE"""),"Fruity Win 40")</f>
        <v>Fruity Win 40</v>
      </c>
      <c r="C73" s="5" t="str">
        <f ca="1">IFERROR(__xludf.DUMMYFUNCTION("""COMPUTED_VALUE"""),"FruityWin40")</f>
        <v>FruityWin40</v>
      </c>
      <c r="D73" s="6">
        <f ca="1">IFERROR(__xludf.DUMMYFUNCTION("""COMPUTED_VALUE"""),44606)</f>
        <v>44606</v>
      </c>
      <c r="E73" s="5" t="str">
        <f ca="1">IFERROR(__xludf.DUMMYFUNCTION("""COMPUTED_VALUE"""),"Slot")</f>
        <v>Slot</v>
      </c>
      <c r="F73" s="5">
        <f ca="1">IFERROR(__xludf.DUMMYFUNCTION("""COMPUTED_VALUE"""),26.5)</f>
        <v>26.5</v>
      </c>
      <c r="G73" s="5" t="str">
        <f ca="1">IFERROR(__xludf.DUMMYFUNCTION("""COMPUTED_VALUE"""),"5x4")</f>
        <v>5x4</v>
      </c>
      <c r="H73" s="5" t="str">
        <f ca="1">IFERROR(__xludf.DUMMYFUNCTION("""COMPUTED_VALUE"""),"40")</f>
        <v>40</v>
      </c>
      <c r="I73" s="5" t="str">
        <f ca="1">IFERROR(__xludf.DUMMYFUNCTION("""COMPUTED_VALUE"""),"40")</f>
        <v>40</v>
      </c>
      <c r="J73" s="5" t="str">
        <f ca="1">IFERROR(__xludf.DUMMYFUNCTION("""COMPUTED_VALUE"""),"96.584%")</f>
        <v>96.584%</v>
      </c>
      <c r="K73" s="5" t="str">
        <f ca="1">IFERROR(__xludf.DUMMYFUNCTION("""COMPUTED_VALUE"""),"Low")</f>
        <v>Low</v>
      </c>
      <c r="L73" s="5" t="str">
        <f ca="1">IFERROR(__xludf.DUMMYFUNCTION("""COMPUTED_VALUE"""),"16.73%")</f>
        <v>16.73%</v>
      </c>
      <c r="M73" s="5" t="str">
        <f ca="1">IFERROR(__xludf.DUMMYFUNCTION("""COMPUTED_VALUE"""),"x1000")</f>
        <v>x1000</v>
      </c>
      <c r="N73" s="5" t="str">
        <f ca="1">IFERROR(__xludf.DUMMYFUNCTION("""COMPUTED_VALUE"""),"0.4/60")</f>
        <v>0.4/60</v>
      </c>
      <c r="O73" s="5" t="str">
        <f ca="1">IFERROR(__xludf.DUMMYFUNCTION("""COMPUTED_VALUE"""),"Yes")</f>
        <v>Yes</v>
      </c>
      <c r="P73" s="5" t="str">
        <f ca="1">IFERROR(__xludf.DUMMYFUNCTION("""COMPUTED_VALUE"""),"Expanding Wild, Scatter")</f>
        <v>Expanding Wild, Scatter</v>
      </c>
      <c r="Q73" s="7" t="str">
        <f ca="1">IFERROR(__xludf.DUMMYFUNCTION("""COMPUTED_VALUE"""),"https://gameserver-store-client-area.orbionlimited.com/Home/IntegrationGameLaunch/client-area?moneyType=0&amp;gameName=FruityWin40&amp;platform=desktop&amp;languageCode=eng&amp;currency=EUR")</f>
        <v>https://gameserver-store-client-area.orbionlimited.com/Home/IntegrationGameLaunch/client-area?moneyType=0&amp;gameName=FruityWin40&amp;platform=desktop&amp;languageCode=eng&amp;currency=EUR</v>
      </c>
      <c r="R73" s="5" t="str">
        <f ca="1">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3" s="5" t="str">
        <f ca="1">IFERROR(__xludf.DUMMYFUNCTION("""COMPUTED_VALUE"""),"Yes")</f>
        <v>Yes</v>
      </c>
      <c r="U73" s="5" t="str">
        <f ca="1">IFERROR(__xludf.DUMMYFUNCTION("""COMPUTED_VALUE"""),"Yes")</f>
        <v>Yes</v>
      </c>
      <c r="V73" s="5" t="str">
        <f ca="1">IFERROR(__xludf.DUMMYFUNCTION("""COMPUTED_VALUE"""),"Yes")</f>
        <v>Yes</v>
      </c>
      <c r="W73" s="5" t="str">
        <f ca="1">IFERROR(__xludf.DUMMYFUNCTION("""COMPUTED_VALUE"""),"Yes")</f>
        <v>Yes</v>
      </c>
      <c r="X73" s="5" t="str">
        <f ca="1">IFERROR(__xludf.DUMMYFUNCTION("""COMPUTED_VALUE"""),"Yes")</f>
        <v>Yes</v>
      </c>
      <c r="Y73" s="5" t="str">
        <f ca="1">IFERROR(__xludf.DUMMYFUNCTION("""COMPUTED_VALUE"""),"Yes")</f>
        <v>Yes</v>
      </c>
      <c r="Z73" s="5" t="str">
        <f ca="1">IFERROR(__xludf.DUMMYFUNCTION("""COMPUTED_VALUE"""),"Yes")</f>
        <v>Yes</v>
      </c>
      <c r="AA73" s="5" t="str">
        <f ca="1">IFERROR(__xludf.DUMMYFUNCTION("""COMPUTED_VALUE"""),"Yes")</f>
        <v>Yes</v>
      </c>
      <c r="AB73" s="5" t="str">
        <f ca="1">IFERROR(__xludf.DUMMYFUNCTION("""COMPUTED_VALUE"""),"Yes")</f>
        <v>Yes</v>
      </c>
      <c r="AC73" s="5" t="str">
        <f ca="1">IFERROR(__xludf.DUMMYFUNCTION("""COMPUTED_VALUE"""),"Yes")</f>
        <v>Yes</v>
      </c>
      <c r="AD73" s="5" t="str">
        <f ca="1">IFERROR(__xludf.DUMMYFUNCTION("""COMPUTED_VALUE"""),"Yes")</f>
        <v>Yes</v>
      </c>
      <c r="AE73" s="5" t="str">
        <f ca="1">IFERROR(__xludf.DUMMYFUNCTION("""COMPUTED_VALUE"""),"Yes")</f>
        <v>Yes</v>
      </c>
      <c r="AF73" s="5" t="str">
        <f ca="1">IFERROR(__xludf.DUMMYFUNCTION("""COMPUTED_VALUE"""),"Yes")</f>
        <v>Yes</v>
      </c>
      <c r="AG73" s="5" t="str">
        <f ca="1">IFERROR(__xludf.DUMMYFUNCTION("""COMPUTED_VALUE"""),"Yes")</f>
        <v>Yes</v>
      </c>
      <c r="AH73" s="5" t="str">
        <f ca="1">IFERROR(__xludf.DUMMYFUNCTION("""COMPUTED_VALUE"""),"Yes")</f>
        <v>Yes</v>
      </c>
      <c r="AI73" s="5" t="str">
        <f ca="1">IFERROR(__xludf.DUMMYFUNCTION("""COMPUTED_VALUE"""),"Yes")</f>
        <v>Yes</v>
      </c>
      <c r="AJ73" s="5" t="str">
        <f ca="1">IFERROR(__xludf.DUMMYFUNCTION("""COMPUTED_VALUE"""),"Yes")</f>
        <v>Yes</v>
      </c>
      <c r="AK73" s="5" t="str">
        <f ca="1">IFERROR(__xludf.DUMMYFUNCTION("""COMPUTED_VALUE"""),"Yes")</f>
        <v>Yes</v>
      </c>
      <c r="AL73" s="5" t="str">
        <f ca="1">IFERROR(__xludf.DUMMYFUNCTION("""COMPUTED_VALUE"""),"Yes")</f>
        <v>Yes</v>
      </c>
      <c r="AM73" s="5" t="str">
        <f ca="1">IFERROR(__xludf.DUMMYFUNCTION("""COMPUTED_VALUE"""),"Yes")</f>
        <v>Yes</v>
      </c>
      <c r="AN73" s="5" t="str">
        <f ca="1">IFERROR(__xludf.DUMMYFUNCTION("""COMPUTED_VALUE"""),"Yes")</f>
        <v>Yes</v>
      </c>
      <c r="AO73" s="5" t="str">
        <f ca="1">IFERROR(__xludf.DUMMYFUNCTION("""COMPUTED_VALUE"""),"Yes")</f>
        <v>Yes</v>
      </c>
      <c r="AP73" s="5" t="str">
        <f ca="1">IFERROR(__xludf.DUMMYFUNCTION("""COMPUTED_VALUE"""),"Yes")</f>
        <v>Yes</v>
      </c>
      <c r="AQ73" s="5" t="str">
        <f ca="1">IFERROR(__xludf.DUMMYFUNCTION("""COMPUTED_VALUE"""),"Yes")</f>
        <v>Yes</v>
      </c>
      <c r="AR73" s="5" t="str">
        <f ca="1">IFERROR(__xludf.DUMMYFUNCTION("""COMPUTED_VALUE"""),"Yes")</f>
        <v>Yes</v>
      </c>
      <c r="AS73" s="5" t="str">
        <f ca="1">IFERROR(__xludf.DUMMYFUNCTION("""COMPUTED_VALUE"""),"Yes")</f>
        <v>Yes</v>
      </c>
      <c r="AT73" s="5" t="str">
        <f ca="1">IFERROR(__xludf.DUMMYFUNCTION("""COMPUTED_VALUE"""),"No")</f>
        <v>No</v>
      </c>
      <c r="AU73" s="5"/>
    </row>
    <row r="74" spans="1:47" x14ac:dyDescent="0.25">
      <c r="A74" s="5" t="str">
        <f ca="1">IFERROR(__xludf.DUMMYFUNCTION("""COMPUTED_VALUE"""),"Foxi")</f>
        <v>Foxi</v>
      </c>
      <c r="B74" s="5" t="str">
        <f ca="1">IFERROR(__xludf.DUMMYFUNCTION("""COMPUTED_VALUE"""),"Very Hot 20")</f>
        <v>Very Hot 20</v>
      </c>
      <c r="C74" s="5" t="str">
        <f ca="1">IFERROR(__xludf.DUMMYFUNCTION("""COMPUTED_VALUE"""),"VeryHot20")</f>
        <v>VeryHot20</v>
      </c>
      <c r="D74" s="6">
        <f ca="1">IFERROR(__xludf.DUMMYFUNCTION("""COMPUTED_VALUE"""),44613)</f>
        <v>44613</v>
      </c>
      <c r="E74" s="5" t="str">
        <f ca="1">IFERROR(__xludf.DUMMYFUNCTION("""COMPUTED_VALUE"""),"Slot")</f>
        <v>Slot</v>
      </c>
      <c r="F74" s="5">
        <f ca="1">IFERROR(__xludf.DUMMYFUNCTION("""COMPUTED_VALUE"""),17.3)</f>
        <v>17.3</v>
      </c>
      <c r="G74" s="5" t="str">
        <f ca="1">IFERROR(__xludf.DUMMYFUNCTION("""COMPUTED_VALUE"""),"5x3")</f>
        <v>5x3</v>
      </c>
      <c r="H74" s="5" t="str">
        <f ca="1">IFERROR(__xludf.DUMMYFUNCTION("""COMPUTED_VALUE"""),"20")</f>
        <v>20</v>
      </c>
      <c r="I74" s="5" t="str">
        <f ca="1">IFERROR(__xludf.DUMMYFUNCTION("""COMPUTED_VALUE"""),"20")</f>
        <v>20</v>
      </c>
      <c r="J74" s="5" t="str">
        <f ca="1">IFERROR(__xludf.DUMMYFUNCTION("""COMPUTED_VALUE"""),"96.504%")</f>
        <v>96.504%</v>
      </c>
      <c r="K74" s="5" t="str">
        <f ca="1">IFERROR(__xludf.DUMMYFUNCTION("""COMPUTED_VALUE"""),"Medium")</f>
        <v>Medium</v>
      </c>
      <c r="L74" s="5" t="str">
        <f ca="1">IFERROR(__xludf.DUMMYFUNCTION("""COMPUTED_VALUE"""),"21.75%")</f>
        <v>21.75%</v>
      </c>
      <c r="M74" s="5" t="str">
        <f ca="1">IFERROR(__xludf.DUMMYFUNCTION("""COMPUTED_VALUE"""),"x1231.5")</f>
        <v>x1231.5</v>
      </c>
      <c r="N74" s="5" t="str">
        <f ca="1">IFERROR(__xludf.DUMMYFUNCTION("""COMPUTED_VALUE"""),"0.2/50")</f>
        <v>0.2/50</v>
      </c>
      <c r="O74" s="5" t="str">
        <f ca="1">IFERROR(__xludf.DUMMYFUNCTION("""COMPUTED_VALUE"""),"Yes")</f>
        <v>Yes</v>
      </c>
      <c r="P74" s="5" t="str">
        <f ca="1">IFERROR(__xludf.DUMMYFUNCTION("""COMPUTED_VALUE"""),"Scatter, Expanding Wild")</f>
        <v>Scatter, Expanding Wild</v>
      </c>
      <c r="Q74" s="7" t="str">
        <f ca="1">IFERROR(__xludf.DUMMYFUNCTION("""COMPUTED_VALUE"""),"https://gameserver-store-client-area.orbionlimited.com/Home/IntegrationGameLaunch/client-area?moneyType=0&amp;gameName=VeryHot20&amp;platform=desktop&amp;languageCode=eng&amp;currency=EUR")</f>
        <v>https://gameserver-store-client-area.orbionlimited.com/Home/IntegrationGameLaunch/client-area?moneyType=0&amp;gameName=VeryHot20&amp;platform=desktop&amp;languageCode=eng&amp;currency=EUR</v>
      </c>
      <c r="R74" s="5" t="str">
        <f ca="1">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S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IFERROR(__xludf.DUMMYFUNCTION("""COMPUTED_VALUE"""),"Yes")</f>
        <v>Yes</v>
      </c>
      <c r="X74" s="5" t="str">
        <f ca="1">IFERROR(__xludf.DUMMYFUNCTION("""COMPUTED_VALUE"""),"Yes")</f>
        <v>Yes</v>
      </c>
      <c r="Y74" s="5" t="str">
        <f ca="1">IFERROR(__xludf.DUMMYFUNCTION("""COMPUTED_VALUE"""),"Yes")</f>
        <v>Yes</v>
      </c>
      <c r="Z74" s="5" t="str">
        <f ca="1">IFERROR(__xludf.DUMMYFUNCTION("""COMPUTED_VALUE"""),"Yes")</f>
        <v>Yes</v>
      </c>
      <c r="AA74" s="5" t="str">
        <f ca="1">IFERROR(__xludf.DUMMYFUNCTION("""COMPUTED_VALUE"""),"Yes")</f>
        <v>Yes</v>
      </c>
      <c r="AB74" s="5" t="str">
        <f ca="1">IFERROR(__xludf.DUMMYFUNCTION("""COMPUTED_VALUE"""),"Yes")</f>
        <v>Yes</v>
      </c>
      <c r="AC74" s="5" t="str">
        <f ca="1">IFERROR(__xludf.DUMMYFUNCTION("""COMPUTED_VALUE"""),"Yes")</f>
        <v>Yes</v>
      </c>
      <c r="AD74" s="5" t="str">
        <f ca="1">IFERROR(__xludf.DUMMYFUNCTION("""COMPUTED_VALUE"""),"Yes")</f>
        <v>Yes</v>
      </c>
      <c r="AE74" s="5" t="str">
        <f ca="1">IFERROR(__xludf.DUMMYFUNCTION("""COMPUTED_VALUE"""),"Yes")</f>
        <v>Yes</v>
      </c>
      <c r="AF74" s="5" t="str">
        <f ca="1">IFERROR(__xludf.DUMMYFUNCTION("""COMPUTED_VALUE"""),"Yes")</f>
        <v>Yes</v>
      </c>
      <c r="AG74" s="5" t="str">
        <f ca="1">IFERROR(__xludf.DUMMYFUNCTION("""COMPUTED_VALUE"""),"Yes")</f>
        <v>Yes</v>
      </c>
      <c r="AH74" s="5" t="str">
        <f ca="1">IFERROR(__xludf.DUMMYFUNCTION("""COMPUTED_VALUE"""),"Yes")</f>
        <v>Yes</v>
      </c>
      <c r="AI74" s="5" t="str">
        <f ca="1">IFERROR(__xludf.DUMMYFUNCTION("""COMPUTED_VALUE"""),"Yes")</f>
        <v>Yes</v>
      </c>
      <c r="AJ74" s="5" t="str">
        <f ca="1">IFERROR(__xludf.DUMMYFUNCTION("""COMPUTED_VALUE"""),"Yes")</f>
        <v>Yes</v>
      </c>
      <c r="AK74" s="5" t="str">
        <f ca="1">IFERROR(__xludf.DUMMYFUNCTION("""COMPUTED_VALUE"""),"Yes")</f>
        <v>Yes</v>
      </c>
      <c r="AL74" s="5" t="str">
        <f ca="1">IFERROR(__xludf.DUMMYFUNCTION("""COMPUTED_VALUE"""),"Yes")</f>
        <v>Yes</v>
      </c>
      <c r="AM74" s="5" t="str">
        <f ca="1">IFERROR(__xludf.DUMMYFUNCTION("""COMPUTED_VALUE"""),"Yes")</f>
        <v>Yes</v>
      </c>
      <c r="AN74" s="5" t="str">
        <f ca="1">IFERROR(__xludf.DUMMYFUNCTION("""COMPUTED_VALUE"""),"Yes")</f>
        <v>Yes</v>
      </c>
      <c r="AO74" s="5" t="str">
        <f ca="1">IFERROR(__xludf.DUMMYFUNCTION("""COMPUTED_VALUE"""),"Yes")</f>
        <v>Yes</v>
      </c>
      <c r="AP74" s="5" t="str">
        <f ca="1">IFERROR(__xludf.DUMMYFUNCTION("""COMPUTED_VALUE"""),"Yes")</f>
        <v>Yes</v>
      </c>
      <c r="AQ74" s="5" t="str">
        <f ca="1">IFERROR(__xludf.DUMMYFUNCTION("""COMPUTED_VALUE"""),"Yes")</f>
        <v>Yes</v>
      </c>
      <c r="AR74" s="5" t="str">
        <f ca="1">IFERROR(__xludf.DUMMYFUNCTION("""COMPUTED_VALUE"""),"Yes")</f>
        <v>Yes</v>
      </c>
      <c r="AS74" s="5" t="str">
        <f ca="1">IFERROR(__xludf.DUMMYFUNCTION("""COMPUTED_VALUE"""),"Yes")</f>
        <v>Yes</v>
      </c>
      <c r="AT74" s="5" t="str">
        <f ca="1">IFERROR(__xludf.DUMMYFUNCTION("""COMPUTED_VALUE"""),"No")</f>
        <v>No</v>
      </c>
      <c r="AU74" s="5"/>
    </row>
    <row r="75" spans="1:47" x14ac:dyDescent="0.25">
      <c r="A75" s="5" t="str">
        <f ca="1">IFERROR(__xludf.DUMMYFUNCTION("""COMPUTED_VALUE"""),"Foxi")</f>
        <v>Foxi</v>
      </c>
      <c r="B75" s="5" t="str">
        <f ca="1">IFERROR(__xludf.DUMMYFUNCTION("""COMPUTED_VALUE"""),"King Of Thunder")</f>
        <v>King Of Thunder</v>
      </c>
      <c r="C75" s="5" t="str">
        <f ca="1">IFERROR(__xludf.DUMMYFUNCTION("""COMPUTED_VALUE"""),"KingOfThunder")</f>
        <v>KingOfThunder</v>
      </c>
      <c r="D75" s="6">
        <f ca="1">IFERROR(__xludf.DUMMYFUNCTION("""COMPUTED_VALUE"""),44911)</f>
        <v>44911</v>
      </c>
      <c r="E75" s="5" t="str">
        <f ca="1">IFERROR(__xludf.DUMMYFUNCTION("""COMPUTED_VALUE"""),"Slot")</f>
        <v>Slot</v>
      </c>
      <c r="F75" s="5">
        <f ca="1">IFERROR(__xludf.DUMMYFUNCTION("""COMPUTED_VALUE"""),77.3)</f>
        <v>77.3</v>
      </c>
      <c r="G75" s="5" t="str">
        <f ca="1">IFERROR(__xludf.DUMMYFUNCTION("""COMPUTED_VALUE"""),"5x3")</f>
        <v>5x3</v>
      </c>
      <c r="H75" s="5" t="str">
        <f ca="1">IFERROR(__xludf.DUMMYFUNCTION("""COMPUTED_VALUE"""),"10")</f>
        <v>10</v>
      </c>
      <c r="I75" s="5" t="str">
        <f ca="1">IFERROR(__xludf.DUMMYFUNCTION("""COMPUTED_VALUE"""),"10")</f>
        <v>10</v>
      </c>
      <c r="J75" s="5" t="str">
        <f ca="1">IFERROR(__xludf.DUMMYFUNCTION("""COMPUTED_VALUE"""),"96.214%")</f>
        <v>96.214%</v>
      </c>
      <c r="K75" s="5" t="str">
        <f ca="1">IFERROR(__xludf.DUMMYFUNCTION("""COMPUTED_VALUE"""),"Medium")</f>
        <v>Medium</v>
      </c>
      <c r="L75" s="5" t="str">
        <f ca="1">IFERROR(__xludf.DUMMYFUNCTION("""COMPUTED_VALUE"""),"15.02%")</f>
        <v>15.02%</v>
      </c>
      <c r="M75" s="5" t="str">
        <f ca="1">IFERROR(__xludf.DUMMYFUNCTION("""COMPUTED_VALUE"""),"x1656")</f>
        <v>x1656</v>
      </c>
      <c r="N75" s="5" t="str">
        <f ca="1">IFERROR(__xludf.DUMMYFUNCTION("""COMPUTED_VALUE"""),"0.1/40")</f>
        <v>0.1/40</v>
      </c>
      <c r="O75" s="5" t="str">
        <f ca="1">IFERROR(__xludf.DUMMYFUNCTION("""COMPUTED_VALUE"""),"Yes")</f>
        <v>Yes</v>
      </c>
      <c r="P75" s="5" t="str">
        <f ca="1">IFERROR(__xludf.DUMMYFUNCTION("""COMPUTED_VALUE"""),"Buy Bonus, Shifting Wild, Bonus Game with Free Spins")</f>
        <v>Buy Bonus, Shifting Wild, Bonus Game with Free Spins</v>
      </c>
      <c r="Q75" s="7" t="str">
        <f ca="1">IFERROR(__xludf.DUMMYFUNCTION("""COMPUTED_VALUE"""),"https://gameserver-store-client-area.orbionlimited.com/Home/IntegrationGameLaunch/client-area?moneyType=0&amp;gameName=KingOfThunder&amp;platform=desktop&amp;languageCode=eng&amp;currency=EUR")</f>
        <v>https://gameserver-store-client-area.orbionlimited.com/Home/IntegrationGameLaunch/client-area?moneyType=0&amp;gameName=KingOfThunder&amp;platform=desktop&amp;languageCode=eng&amp;currency=EUR</v>
      </c>
      <c r="R75" s="5" t="str">
        <f ca="1">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S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5" s="5" t="str">
        <f ca="1">IFERROR(__xludf.DUMMYFUNCTION("""COMPUTED_VALUE"""),"Yes")</f>
        <v>Yes</v>
      </c>
      <c r="U75" s="5" t="str">
        <f ca="1">IFERROR(__xludf.DUMMYFUNCTION("""COMPUTED_VALUE"""),"Yes")</f>
        <v>Yes</v>
      </c>
      <c r="V75" s="5" t="str">
        <f ca="1">IFERROR(__xludf.DUMMYFUNCTION("""COMPUTED_VALUE"""),"Yes")</f>
        <v>Yes</v>
      </c>
      <c r="W75" s="5" t="str">
        <f ca="1">IFERROR(__xludf.DUMMYFUNCTION("""COMPUTED_VALUE"""),"Yes")</f>
        <v>Yes</v>
      </c>
      <c r="X75" s="5" t="str">
        <f ca="1">IFERROR(__xludf.DUMMYFUNCTION("""COMPUTED_VALUE"""),"Yes")</f>
        <v>Yes</v>
      </c>
      <c r="Y75" s="5" t="str">
        <f ca="1">IFERROR(__xludf.DUMMYFUNCTION("""COMPUTED_VALUE"""),"Yes")</f>
        <v>Yes</v>
      </c>
      <c r="Z75" s="5" t="str">
        <f ca="1">IFERROR(__xludf.DUMMYFUNCTION("""COMPUTED_VALUE"""),"Yes")</f>
        <v>Yes</v>
      </c>
      <c r="AA75" s="5" t="str">
        <f ca="1">IFERROR(__xludf.DUMMYFUNCTION("""COMPUTED_VALUE"""),"Yes")</f>
        <v>Yes</v>
      </c>
      <c r="AB75" s="5" t="str">
        <f ca="1">IFERROR(__xludf.DUMMYFUNCTION("""COMPUTED_VALUE"""),"Yes")</f>
        <v>Yes</v>
      </c>
      <c r="AC75" s="5" t="str">
        <f ca="1">IFERROR(__xludf.DUMMYFUNCTION("""COMPUTED_VALUE"""),"Yes")</f>
        <v>Yes</v>
      </c>
      <c r="AD75" s="5" t="str">
        <f ca="1">IFERROR(__xludf.DUMMYFUNCTION("""COMPUTED_VALUE"""),"Yes")</f>
        <v>Yes</v>
      </c>
      <c r="AE75" s="5" t="str">
        <f ca="1">IFERROR(__xludf.DUMMYFUNCTION("""COMPUTED_VALUE"""),"Yes")</f>
        <v>Yes</v>
      </c>
      <c r="AF75" s="5" t="str">
        <f ca="1">IFERROR(__xludf.DUMMYFUNCTION("""COMPUTED_VALUE"""),"Yes")</f>
        <v>Yes</v>
      </c>
      <c r="AG75" s="5" t="str">
        <f ca="1">IFERROR(__xludf.DUMMYFUNCTION("""COMPUTED_VALUE"""),"Yes")</f>
        <v>Yes</v>
      </c>
      <c r="AH75" s="5" t="str">
        <f ca="1">IFERROR(__xludf.DUMMYFUNCTION("""COMPUTED_VALUE"""),"Yes")</f>
        <v>Yes</v>
      </c>
      <c r="AI75" s="5" t="str">
        <f ca="1">IFERROR(__xludf.DUMMYFUNCTION("""COMPUTED_VALUE"""),"Yes")</f>
        <v>Yes</v>
      </c>
      <c r="AJ75" s="5" t="str">
        <f ca="1">IFERROR(__xludf.DUMMYFUNCTION("""COMPUTED_VALUE"""),"Yes")</f>
        <v>Yes</v>
      </c>
      <c r="AK75" s="5" t="str">
        <f ca="1">IFERROR(__xludf.DUMMYFUNCTION("""COMPUTED_VALUE"""),"Yes")</f>
        <v>Yes</v>
      </c>
      <c r="AL75" s="5" t="str">
        <f ca="1">IFERROR(__xludf.DUMMYFUNCTION("""COMPUTED_VALUE"""),"Yes")</f>
        <v>Yes</v>
      </c>
      <c r="AM75" s="5" t="str">
        <f ca="1">IFERROR(__xludf.DUMMYFUNCTION("""COMPUTED_VALUE"""),"Yes")</f>
        <v>Yes</v>
      </c>
      <c r="AN75" s="5" t="str">
        <f ca="1">IFERROR(__xludf.DUMMYFUNCTION("""COMPUTED_VALUE"""),"Yes")</f>
        <v>Yes</v>
      </c>
      <c r="AO75" s="5" t="str">
        <f ca="1">IFERROR(__xludf.DUMMYFUNCTION("""COMPUTED_VALUE"""),"Yes")</f>
        <v>Yes</v>
      </c>
      <c r="AP75" s="5" t="str">
        <f ca="1">IFERROR(__xludf.DUMMYFUNCTION("""COMPUTED_VALUE"""),"Yes")</f>
        <v>Yes</v>
      </c>
      <c r="AQ75" s="5" t="str">
        <f ca="1">IFERROR(__xludf.DUMMYFUNCTION("""COMPUTED_VALUE"""),"Yes")</f>
        <v>Yes</v>
      </c>
      <c r="AR75" s="5" t="str">
        <f ca="1">IFERROR(__xludf.DUMMYFUNCTION("""COMPUTED_VALUE"""),"Yes")</f>
        <v>Yes</v>
      </c>
      <c r="AS75" s="5" t="str">
        <f ca="1">IFERROR(__xludf.DUMMYFUNCTION("""COMPUTED_VALUE"""),"Yes")</f>
        <v>Yes</v>
      </c>
      <c r="AT75" s="5" t="str">
        <f ca="1">IFERROR(__xludf.DUMMYFUNCTION("""COMPUTED_VALUE"""),"No")</f>
        <v>No</v>
      </c>
      <c r="AU75" s="5"/>
    </row>
    <row r="76" spans="1:47" x14ac:dyDescent="0.25">
      <c r="A76" s="5" t="str">
        <f ca="1">IFERROR(__xludf.DUMMYFUNCTION("""COMPUTED_VALUE"""),"Foxi")</f>
        <v>Foxi</v>
      </c>
      <c r="B76" s="5" t="str">
        <f ca="1">IFERROR(__xludf.DUMMYFUNCTION("""COMPUTED_VALUE"""),"Book Of Spells 2")</f>
        <v>Book Of Spells 2</v>
      </c>
      <c r="C76" s="5" t="str">
        <f ca="1">IFERROR(__xludf.DUMMYFUNCTION("""COMPUTED_VALUE"""),"BookOfSpells2")</f>
        <v>BookOfSpells2</v>
      </c>
      <c r="D76" s="6">
        <f ca="1">IFERROR(__xludf.DUMMYFUNCTION("""COMPUTED_VALUE"""),44759)</f>
        <v>44759</v>
      </c>
      <c r="E76" s="5" t="str">
        <f ca="1">IFERROR(__xludf.DUMMYFUNCTION("""COMPUTED_VALUE"""),"Slot")</f>
        <v>Slot</v>
      </c>
      <c r="F76" s="5">
        <f ca="1">IFERROR(__xludf.DUMMYFUNCTION("""COMPUTED_VALUE"""),31.1)</f>
        <v>31.1</v>
      </c>
      <c r="G76" s="5" t="str">
        <f ca="1">IFERROR(__xludf.DUMMYFUNCTION("""COMPUTED_VALUE"""),"5x3")</f>
        <v>5x3</v>
      </c>
      <c r="H76" s="5" t="str">
        <f ca="1">IFERROR(__xludf.DUMMYFUNCTION("""COMPUTED_VALUE"""),"10")</f>
        <v>10</v>
      </c>
      <c r="I76" s="5" t="str">
        <f ca="1">IFERROR(__xludf.DUMMYFUNCTION("""COMPUTED_VALUE"""),"1,3,5,7,10")</f>
        <v>1,3,5,7,10</v>
      </c>
      <c r="J76" s="5" t="str">
        <f ca="1">IFERROR(__xludf.DUMMYFUNCTION("""COMPUTED_VALUE"""),"96.064%")</f>
        <v>96.064%</v>
      </c>
      <c r="K76" s="5" t="str">
        <f ca="1">IFERROR(__xludf.DUMMYFUNCTION("""COMPUTED_VALUE"""),"High")</f>
        <v>High</v>
      </c>
      <c r="L76" s="5" t="str">
        <f ca="1">IFERROR(__xludf.DUMMYFUNCTION("""COMPUTED_VALUE"""),"31.47%")</f>
        <v>31.47%</v>
      </c>
      <c r="M76" s="5" t="str">
        <f ca="1">IFERROR(__xludf.DUMMYFUNCTION("""COMPUTED_VALUE"""),"x5512")</f>
        <v>x5512</v>
      </c>
      <c r="N76" s="5" t="str">
        <f ca="1">IFERROR(__xludf.DUMMYFUNCTION("""COMPUTED_VALUE"""),"0.01/40")</f>
        <v>0.01/40</v>
      </c>
      <c r="O76" s="5" t="str">
        <f ca="1">IFERROR(__xludf.DUMMYFUNCTION("""COMPUTED_VALUE"""),"Yes")</f>
        <v>Yes</v>
      </c>
      <c r="P76" s="5" t="str">
        <f ca="1">IFERROR(__xludf.DUMMYFUNCTION("""COMPUTED_VALUE"""),"Buy Bonus, Book Of Game, Expanding Wild, Bonus Game with Free Spins")</f>
        <v>Buy Bonus, Book Of Game, Expanding Wild, Bonus Game with Free Spins</v>
      </c>
      <c r="Q76" s="7" t="str">
        <f ca="1">IFERROR(__xludf.DUMMYFUNCTION("""COMPUTED_VALUE"""),"https://gameserver-store-client-area.orbionlimited.com/Home/IntegrationGameLaunch/client-area?moneyType=0&amp;gameName=BookOfSpells2&amp;platform=desktop&amp;languageCode=eng&amp;currency=EUR")</f>
        <v>https://gameserver-store-client-area.orbionlimited.com/Home/IntegrationGameLaunch/client-area?moneyType=0&amp;gameName=BookOfSpells2&amp;platform=desktop&amp;languageCode=eng&amp;currency=EUR</v>
      </c>
      <c r="R76" s="5" t="str">
        <f ca="1">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S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IFERROR(__xludf.DUMMYFUNCTION("""COMPUTED_VALUE"""),"Yes")</f>
        <v>Yes</v>
      </c>
      <c r="X76" s="5" t="str">
        <f ca="1">IFERROR(__xludf.DUMMYFUNCTION("""COMPUTED_VALUE"""),"Yes")</f>
        <v>Yes</v>
      </c>
      <c r="Y76" s="5" t="str">
        <f ca="1">IFERROR(__xludf.DUMMYFUNCTION("""COMPUTED_VALUE"""),"Yes")</f>
        <v>Yes</v>
      </c>
      <c r="Z76" s="5" t="str">
        <f ca="1">IFERROR(__xludf.DUMMYFUNCTION("""COMPUTED_VALUE"""),"Yes")</f>
        <v>Yes</v>
      </c>
      <c r="AA76" s="5" t="str">
        <f ca="1">IFERROR(__xludf.DUMMYFUNCTION("""COMPUTED_VALUE"""),"Yes")</f>
        <v>Yes</v>
      </c>
      <c r="AB76" s="5" t="str">
        <f ca="1">IFERROR(__xludf.DUMMYFUNCTION("""COMPUTED_VALUE"""),"Yes")</f>
        <v>Yes</v>
      </c>
      <c r="AC76" s="5" t="str">
        <f ca="1">IFERROR(__xludf.DUMMYFUNCTION("""COMPUTED_VALUE"""),"Yes")</f>
        <v>Yes</v>
      </c>
      <c r="AD76" s="5" t="str">
        <f ca="1">IFERROR(__xludf.DUMMYFUNCTION("""COMPUTED_VALUE"""),"Yes")</f>
        <v>Yes</v>
      </c>
      <c r="AE76" s="5" t="str">
        <f ca="1">IFERROR(__xludf.DUMMYFUNCTION("""COMPUTED_VALUE"""),"Yes")</f>
        <v>Yes</v>
      </c>
      <c r="AF76" s="5" t="str">
        <f ca="1">IFERROR(__xludf.DUMMYFUNCTION("""COMPUTED_VALUE"""),"Yes")</f>
        <v>Yes</v>
      </c>
      <c r="AG76" s="5" t="str">
        <f ca="1">IFERROR(__xludf.DUMMYFUNCTION("""COMPUTED_VALUE"""),"Yes")</f>
        <v>Yes</v>
      </c>
      <c r="AH76" s="5" t="str">
        <f ca="1">IFERROR(__xludf.DUMMYFUNCTION("""COMPUTED_VALUE"""),"Yes")</f>
        <v>Yes</v>
      </c>
      <c r="AI76" s="5" t="str">
        <f ca="1">IFERROR(__xludf.DUMMYFUNCTION("""COMPUTED_VALUE"""),"Yes")</f>
        <v>Yes</v>
      </c>
      <c r="AJ76" s="5" t="str">
        <f ca="1">IFERROR(__xludf.DUMMYFUNCTION("""COMPUTED_VALUE"""),"Yes")</f>
        <v>Yes</v>
      </c>
      <c r="AK76" s="5" t="str">
        <f ca="1">IFERROR(__xludf.DUMMYFUNCTION("""COMPUTED_VALUE"""),"Yes")</f>
        <v>Yes</v>
      </c>
      <c r="AL76" s="5" t="str">
        <f ca="1">IFERROR(__xludf.DUMMYFUNCTION("""COMPUTED_VALUE"""),"Yes")</f>
        <v>Yes</v>
      </c>
      <c r="AM76" s="5" t="str">
        <f ca="1">IFERROR(__xludf.DUMMYFUNCTION("""COMPUTED_VALUE"""),"Yes")</f>
        <v>Yes</v>
      </c>
      <c r="AN76" s="5" t="str">
        <f ca="1">IFERROR(__xludf.DUMMYFUNCTION("""COMPUTED_VALUE"""),"Yes")</f>
        <v>Yes</v>
      </c>
      <c r="AO76" s="5" t="str">
        <f ca="1">IFERROR(__xludf.DUMMYFUNCTION("""COMPUTED_VALUE"""),"Yes")</f>
        <v>Yes</v>
      </c>
      <c r="AP76" s="5" t="str">
        <f ca="1">IFERROR(__xludf.DUMMYFUNCTION("""COMPUTED_VALUE"""),"Yes")</f>
        <v>Yes</v>
      </c>
      <c r="AQ76" s="5" t="str">
        <f ca="1">IFERROR(__xludf.DUMMYFUNCTION("""COMPUTED_VALUE"""),"Yes")</f>
        <v>Yes</v>
      </c>
      <c r="AR76" s="5" t="str">
        <f ca="1">IFERROR(__xludf.DUMMYFUNCTION("""COMPUTED_VALUE"""),"Yes")</f>
        <v>Yes</v>
      </c>
      <c r="AS76" s="5" t="str">
        <f ca="1">IFERROR(__xludf.DUMMYFUNCTION("""COMPUTED_VALUE"""),"Yes")</f>
        <v>Yes</v>
      </c>
      <c r="AT76" s="5" t="str">
        <f ca="1">IFERROR(__xludf.DUMMYFUNCTION("""COMPUTED_VALUE"""),"No")</f>
        <v>No</v>
      </c>
      <c r="AU76" s="5"/>
    </row>
    <row r="77" spans="1:47" x14ac:dyDescent="0.25">
      <c r="A77" s="5" t="str">
        <f ca="1">IFERROR(__xludf.DUMMYFUNCTION("""COMPUTED_VALUE"""),"Foxi")</f>
        <v>Foxi</v>
      </c>
      <c r="B77" s="5" t="str">
        <f ca="1">IFERROR(__xludf.DUMMYFUNCTION("""COMPUTED_VALUE"""),"Crystal Hot 40 Max")</f>
        <v>Crystal Hot 40 Max</v>
      </c>
      <c r="C77" s="5" t="str">
        <f ca="1">IFERROR(__xludf.DUMMYFUNCTION("""COMPUTED_VALUE"""),"CrystalHot40Max")</f>
        <v>CrystalHot40Max</v>
      </c>
      <c r="D77" s="6">
        <f ca="1">IFERROR(__xludf.DUMMYFUNCTION("""COMPUTED_VALUE"""),44679)</f>
        <v>44679</v>
      </c>
      <c r="E77" s="5" t="str">
        <f ca="1">IFERROR(__xludf.DUMMYFUNCTION("""COMPUTED_VALUE"""),"Slot")</f>
        <v>Slot</v>
      </c>
      <c r="F77" s="5">
        <f ca="1">IFERROR(__xludf.DUMMYFUNCTION("""COMPUTED_VALUE"""),32.7)</f>
        <v>32.700000000000003</v>
      </c>
      <c r="G77" s="5" t="str">
        <f ca="1">IFERROR(__xludf.DUMMYFUNCTION("""COMPUTED_VALUE"""),"5x4")</f>
        <v>5x4</v>
      </c>
      <c r="H77" s="5" t="str">
        <f ca="1">IFERROR(__xludf.DUMMYFUNCTION("""COMPUTED_VALUE"""),"40")</f>
        <v>40</v>
      </c>
      <c r="I77" s="5" t="str">
        <f ca="1">IFERROR(__xludf.DUMMYFUNCTION("""COMPUTED_VALUE"""),"40")</f>
        <v>40</v>
      </c>
      <c r="J77" s="5" t="str">
        <f ca="1">IFERROR(__xludf.DUMMYFUNCTION("""COMPUTED_VALUE"""),"96.031%")</f>
        <v>96.031%</v>
      </c>
      <c r="K77" s="5" t="str">
        <f ca="1">IFERROR(__xludf.DUMMYFUNCTION("""COMPUTED_VALUE"""),"Low")</f>
        <v>Low</v>
      </c>
      <c r="L77" s="5" t="str">
        <f ca="1">IFERROR(__xludf.DUMMYFUNCTION("""COMPUTED_VALUE"""),"14.28%")</f>
        <v>14.28%</v>
      </c>
      <c r="M77" s="5" t="str">
        <f ca="1">IFERROR(__xludf.DUMMYFUNCTION("""COMPUTED_VALUE"""),"x1000")</f>
        <v>x1000</v>
      </c>
      <c r="N77" s="5" t="str">
        <f ca="1">IFERROR(__xludf.DUMMYFUNCTION("""COMPUTED_VALUE"""),"0.4/60")</f>
        <v>0.4/60</v>
      </c>
      <c r="O77" s="5" t="str">
        <f ca="1">IFERROR(__xludf.DUMMYFUNCTION("""COMPUTED_VALUE"""),"Yes")</f>
        <v>Yes</v>
      </c>
      <c r="P77" s="5" t="str">
        <f ca="1">IFERROR(__xludf.DUMMYFUNCTION("""COMPUTED_VALUE"""),"Wild Symbol, Scatter, Expanding Wild")</f>
        <v>Wild Symbol, Scatter, Expanding Wild</v>
      </c>
      <c r="Q77" s="7" t="str">
        <f ca="1">IFERROR(__xludf.DUMMYFUNCTION("""COMPUTED_VALUE"""),"https://gameserver-store-client-area.orbionlimited.com/Home/IntegrationGameLaunch/client-area?moneyType=0&amp;gameName=CrystalHot40Max&amp;platform=desktop&amp;languageCode=eng&amp;currency=EUR")</f>
        <v>https://gameserver-store-client-area.orbionlimited.com/Home/IntegrationGameLaunch/client-area?moneyType=0&amp;gameName=CrystalHot40Max&amp;platform=desktop&amp;languageCode=eng&amp;currency=EUR</v>
      </c>
      <c r="R77" s="5" t="str">
        <f ca="1">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IFERROR(__xludf.DUMMYFUNCTION("""COMPUTED_VALUE"""),"Yes")</f>
        <v>Yes</v>
      </c>
      <c r="X77" s="5" t="str">
        <f ca="1">IFERROR(__xludf.DUMMYFUNCTION("""COMPUTED_VALUE"""),"Yes")</f>
        <v>Yes</v>
      </c>
      <c r="Y77" s="5" t="str">
        <f ca="1">IFERROR(__xludf.DUMMYFUNCTION("""COMPUTED_VALUE"""),"Yes")</f>
        <v>Yes</v>
      </c>
      <c r="Z77" s="5" t="str">
        <f ca="1">IFERROR(__xludf.DUMMYFUNCTION("""COMPUTED_VALUE"""),"Yes")</f>
        <v>Yes</v>
      </c>
      <c r="AA77" s="5" t="str">
        <f ca="1">IFERROR(__xludf.DUMMYFUNCTION("""COMPUTED_VALUE"""),"Yes")</f>
        <v>Yes</v>
      </c>
      <c r="AB77" s="5" t="str">
        <f ca="1">IFERROR(__xludf.DUMMYFUNCTION("""COMPUTED_VALUE"""),"Yes")</f>
        <v>Yes</v>
      </c>
      <c r="AC77" s="5" t="str">
        <f ca="1">IFERROR(__xludf.DUMMYFUNCTION("""COMPUTED_VALUE"""),"Yes")</f>
        <v>Yes</v>
      </c>
      <c r="AD77" s="5" t="str">
        <f ca="1">IFERROR(__xludf.DUMMYFUNCTION("""COMPUTED_VALUE"""),"Yes")</f>
        <v>Yes</v>
      </c>
      <c r="AE77" s="5" t="str">
        <f ca="1">IFERROR(__xludf.DUMMYFUNCTION("""COMPUTED_VALUE"""),"Yes")</f>
        <v>Yes</v>
      </c>
      <c r="AF77" s="5" t="str">
        <f ca="1">IFERROR(__xludf.DUMMYFUNCTION("""COMPUTED_VALUE"""),"Yes")</f>
        <v>Yes</v>
      </c>
      <c r="AG77" s="5" t="str">
        <f ca="1">IFERROR(__xludf.DUMMYFUNCTION("""COMPUTED_VALUE"""),"Yes")</f>
        <v>Yes</v>
      </c>
      <c r="AH77" s="5" t="str">
        <f ca="1">IFERROR(__xludf.DUMMYFUNCTION("""COMPUTED_VALUE"""),"Yes")</f>
        <v>Yes</v>
      </c>
      <c r="AI77" s="5" t="str">
        <f ca="1">IFERROR(__xludf.DUMMYFUNCTION("""COMPUTED_VALUE"""),"Yes")</f>
        <v>Yes</v>
      </c>
      <c r="AJ77" s="5" t="str">
        <f ca="1">IFERROR(__xludf.DUMMYFUNCTION("""COMPUTED_VALUE"""),"Yes")</f>
        <v>Yes</v>
      </c>
      <c r="AK77" s="5" t="str">
        <f ca="1">IFERROR(__xludf.DUMMYFUNCTION("""COMPUTED_VALUE"""),"Yes")</f>
        <v>Yes</v>
      </c>
      <c r="AL77" s="5" t="str">
        <f ca="1">IFERROR(__xludf.DUMMYFUNCTION("""COMPUTED_VALUE"""),"Yes")</f>
        <v>Yes</v>
      </c>
      <c r="AM77" s="5" t="str">
        <f ca="1">IFERROR(__xludf.DUMMYFUNCTION("""COMPUTED_VALUE"""),"Yes")</f>
        <v>Yes</v>
      </c>
      <c r="AN77" s="5" t="str">
        <f ca="1">IFERROR(__xludf.DUMMYFUNCTION("""COMPUTED_VALUE"""),"Yes")</f>
        <v>Yes</v>
      </c>
      <c r="AO77" s="5" t="str">
        <f ca="1">IFERROR(__xludf.DUMMYFUNCTION("""COMPUTED_VALUE"""),"Yes")</f>
        <v>Yes</v>
      </c>
      <c r="AP77" s="5" t="str">
        <f ca="1">IFERROR(__xludf.DUMMYFUNCTION("""COMPUTED_VALUE"""),"Yes")</f>
        <v>Yes</v>
      </c>
      <c r="AQ77" s="5" t="str">
        <f ca="1">IFERROR(__xludf.DUMMYFUNCTION("""COMPUTED_VALUE"""),"Yes")</f>
        <v>Yes</v>
      </c>
      <c r="AR77" s="5" t="str">
        <f ca="1">IFERROR(__xludf.DUMMYFUNCTION("""COMPUTED_VALUE"""),"Yes")</f>
        <v>Yes</v>
      </c>
      <c r="AS77" s="5" t="str">
        <f ca="1">IFERROR(__xludf.DUMMYFUNCTION("""COMPUTED_VALUE"""),"Yes")</f>
        <v>Yes</v>
      </c>
      <c r="AT77" s="5" t="str">
        <f ca="1">IFERROR(__xludf.DUMMYFUNCTION("""COMPUTED_VALUE"""),"No")</f>
        <v>No</v>
      </c>
      <c r="AU77" s="5"/>
    </row>
    <row r="78" spans="1:47" x14ac:dyDescent="0.25">
      <c r="A78" s="5" t="str">
        <f ca="1">IFERROR(__xludf.DUMMYFUNCTION("""COMPUTED_VALUE"""),"Foxi")</f>
        <v>Foxi</v>
      </c>
      <c r="B78" s="5" t="str">
        <f ca="1">IFERROR(__xludf.DUMMYFUNCTION("""COMPUTED_VALUE"""),"Fruity Win 20")</f>
        <v>Fruity Win 20</v>
      </c>
      <c r="C78" s="5" t="str">
        <f ca="1">IFERROR(__xludf.DUMMYFUNCTION("""COMPUTED_VALUE"""),"FruityWin20")</f>
        <v>FruityWin20</v>
      </c>
      <c r="D78" s="6">
        <f ca="1">IFERROR(__xludf.DUMMYFUNCTION("""COMPUTED_VALUE"""),44693)</f>
        <v>44693</v>
      </c>
      <c r="E78" s="5" t="str">
        <f ca="1">IFERROR(__xludf.DUMMYFUNCTION("""COMPUTED_VALUE"""),"Slot")</f>
        <v>Slot</v>
      </c>
      <c r="F78" s="5">
        <f ca="1">IFERROR(__xludf.DUMMYFUNCTION("""COMPUTED_VALUE"""),29.2)</f>
        <v>29.2</v>
      </c>
      <c r="G78" s="5" t="str">
        <f ca="1">IFERROR(__xludf.DUMMYFUNCTION("""COMPUTED_VALUE"""),"5x4")</f>
        <v>5x4</v>
      </c>
      <c r="H78" s="5" t="str">
        <f ca="1">IFERROR(__xludf.DUMMYFUNCTION("""COMPUTED_VALUE"""),"20")</f>
        <v>20</v>
      </c>
      <c r="I78" s="5" t="str">
        <f ca="1">IFERROR(__xludf.DUMMYFUNCTION("""COMPUTED_VALUE"""),"20")</f>
        <v>20</v>
      </c>
      <c r="J78" s="5" t="str">
        <f ca="1">IFERROR(__xludf.DUMMYFUNCTION("""COMPUTED_VALUE"""),"96.584%")</f>
        <v>96.584%</v>
      </c>
      <c r="K78" s="5" t="str">
        <f ca="1">IFERROR(__xludf.DUMMYFUNCTION("""COMPUTED_VALUE"""),"Low")</f>
        <v>Low</v>
      </c>
      <c r="L78" s="5" t="str">
        <f ca="1">IFERROR(__xludf.DUMMYFUNCTION("""COMPUTED_VALUE"""),"16.73%")</f>
        <v>16.73%</v>
      </c>
      <c r="M78" s="5" t="str">
        <f ca="1">IFERROR(__xludf.DUMMYFUNCTION("""COMPUTED_VALUE"""),"x1000")</f>
        <v>x1000</v>
      </c>
      <c r="N78" s="5" t="str">
        <f ca="1">IFERROR(__xludf.DUMMYFUNCTION("""COMPUTED_VALUE"""),"0.4/60")</f>
        <v>0.4/60</v>
      </c>
      <c r="O78" s="5" t="str">
        <f ca="1">IFERROR(__xludf.DUMMYFUNCTION("""COMPUTED_VALUE"""),"Yes")</f>
        <v>Yes</v>
      </c>
      <c r="P78" s="5" t="str">
        <f ca="1">IFERROR(__xludf.DUMMYFUNCTION("""COMPUTED_VALUE"""),"Wild Symbol, Scatter")</f>
        <v>Wild Symbol, Scatter</v>
      </c>
      <c r="Q78" s="7" t="str">
        <f ca="1">IFERROR(__xludf.DUMMYFUNCTION("""COMPUTED_VALUE"""),"https://gameserver-store-client-area.orbionlimited.com/Home/IntegrationGameLaunch/client-area?moneyType=0&amp;gameName=FruityWin20&amp;platform=desktop&amp;languageCode=eng&amp;currency=EUR")</f>
        <v>https://gameserver-store-client-area.orbionlimited.com/Home/IntegrationGameLaunch/client-area?moneyType=0&amp;gameName=FruityWin20&amp;platform=desktop&amp;languageCode=eng&amp;currency=EUR</v>
      </c>
      <c r="R78" s="5" t="str">
        <f ca="1">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8" s="5" t="str">
        <f ca="1">IFERROR(__xludf.DUMMYFUNCTION("""COMPUTED_VALUE"""),"Yes")</f>
        <v>Yes</v>
      </c>
      <c r="U78" s="5" t="str">
        <f ca="1">IFERROR(__xludf.DUMMYFUNCTION("""COMPUTED_VALUE"""),"Yes")</f>
        <v>Yes</v>
      </c>
      <c r="V78" s="5" t="str">
        <f ca="1">IFERROR(__xludf.DUMMYFUNCTION("""COMPUTED_VALUE"""),"Yes")</f>
        <v>Yes</v>
      </c>
      <c r="W78" s="5" t="str">
        <f ca="1">IFERROR(__xludf.DUMMYFUNCTION("""COMPUTED_VALUE"""),"Yes")</f>
        <v>Yes</v>
      </c>
      <c r="X78" s="5" t="str">
        <f ca="1">IFERROR(__xludf.DUMMYFUNCTION("""COMPUTED_VALUE"""),"Yes")</f>
        <v>Yes</v>
      </c>
      <c r="Y78" s="5" t="str">
        <f ca="1">IFERROR(__xludf.DUMMYFUNCTION("""COMPUTED_VALUE"""),"Yes")</f>
        <v>Yes</v>
      </c>
      <c r="Z78" s="5" t="str">
        <f ca="1">IFERROR(__xludf.DUMMYFUNCTION("""COMPUTED_VALUE"""),"Yes")</f>
        <v>Yes</v>
      </c>
      <c r="AA78" s="5" t="str">
        <f ca="1">IFERROR(__xludf.DUMMYFUNCTION("""COMPUTED_VALUE"""),"Yes")</f>
        <v>Yes</v>
      </c>
      <c r="AB78" s="5" t="str">
        <f ca="1">IFERROR(__xludf.DUMMYFUNCTION("""COMPUTED_VALUE"""),"Yes")</f>
        <v>Yes</v>
      </c>
      <c r="AC78" s="5" t="str">
        <f ca="1">IFERROR(__xludf.DUMMYFUNCTION("""COMPUTED_VALUE"""),"Yes")</f>
        <v>Yes</v>
      </c>
      <c r="AD78" s="5" t="str">
        <f ca="1">IFERROR(__xludf.DUMMYFUNCTION("""COMPUTED_VALUE"""),"Yes")</f>
        <v>Yes</v>
      </c>
      <c r="AE78" s="5" t="str">
        <f ca="1">IFERROR(__xludf.DUMMYFUNCTION("""COMPUTED_VALUE"""),"Yes")</f>
        <v>Yes</v>
      </c>
      <c r="AF78" s="5" t="str">
        <f ca="1">IFERROR(__xludf.DUMMYFUNCTION("""COMPUTED_VALUE"""),"Yes")</f>
        <v>Yes</v>
      </c>
      <c r="AG78" s="5" t="str">
        <f ca="1">IFERROR(__xludf.DUMMYFUNCTION("""COMPUTED_VALUE"""),"Yes")</f>
        <v>Yes</v>
      </c>
      <c r="AH78" s="5" t="str">
        <f ca="1">IFERROR(__xludf.DUMMYFUNCTION("""COMPUTED_VALUE"""),"Yes")</f>
        <v>Yes</v>
      </c>
      <c r="AI78" s="5" t="str">
        <f ca="1">IFERROR(__xludf.DUMMYFUNCTION("""COMPUTED_VALUE"""),"Yes")</f>
        <v>Yes</v>
      </c>
      <c r="AJ78" s="5" t="str">
        <f ca="1">IFERROR(__xludf.DUMMYFUNCTION("""COMPUTED_VALUE"""),"Yes")</f>
        <v>Yes</v>
      </c>
      <c r="AK78" s="5" t="str">
        <f ca="1">IFERROR(__xludf.DUMMYFUNCTION("""COMPUTED_VALUE"""),"Yes")</f>
        <v>Yes</v>
      </c>
      <c r="AL78" s="5" t="str">
        <f ca="1">IFERROR(__xludf.DUMMYFUNCTION("""COMPUTED_VALUE"""),"Yes")</f>
        <v>Yes</v>
      </c>
      <c r="AM78" s="5" t="str">
        <f ca="1">IFERROR(__xludf.DUMMYFUNCTION("""COMPUTED_VALUE"""),"Yes")</f>
        <v>Yes</v>
      </c>
      <c r="AN78" s="5" t="str">
        <f ca="1">IFERROR(__xludf.DUMMYFUNCTION("""COMPUTED_VALUE"""),"Yes")</f>
        <v>Yes</v>
      </c>
      <c r="AO78" s="5" t="str">
        <f ca="1">IFERROR(__xludf.DUMMYFUNCTION("""COMPUTED_VALUE"""),"Yes")</f>
        <v>Yes</v>
      </c>
      <c r="AP78" s="5" t="str">
        <f ca="1">IFERROR(__xludf.DUMMYFUNCTION("""COMPUTED_VALUE"""),"Yes")</f>
        <v>Yes</v>
      </c>
      <c r="AQ78" s="5" t="str">
        <f ca="1">IFERROR(__xludf.DUMMYFUNCTION("""COMPUTED_VALUE"""),"Yes")</f>
        <v>Yes</v>
      </c>
      <c r="AR78" s="5" t="str">
        <f ca="1">IFERROR(__xludf.DUMMYFUNCTION("""COMPUTED_VALUE"""),"Yes")</f>
        <v>Yes</v>
      </c>
      <c r="AS78" s="5" t="str">
        <f ca="1">IFERROR(__xludf.DUMMYFUNCTION("""COMPUTED_VALUE"""),"Yes")</f>
        <v>Yes</v>
      </c>
      <c r="AT78" s="5" t="str">
        <f ca="1">IFERROR(__xludf.DUMMYFUNCTION("""COMPUTED_VALUE"""),"No")</f>
        <v>No</v>
      </c>
      <c r="AU78" s="5"/>
    </row>
    <row r="79" spans="1:47" x14ac:dyDescent="0.25">
      <c r="A79" s="5" t="str">
        <f ca="1">IFERROR(__xludf.DUMMYFUNCTION("""COMPUTED_VALUE"""),"Foxi")</f>
        <v>Foxi</v>
      </c>
      <c r="B79" s="5" t="str">
        <f ca="1">IFERROR(__xludf.DUMMYFUNCTION("""COMPUTED_VALUE"""),"Fruity Hot 5")</f>
        <v>Fruity Hot 5</v>
      </c>
      <c r="C79" s="5" t="str">
        <f ca="1">IFERROR(__xludf.DUMMYFUNCTION("""COMPUTED_VALUE"""),"FruityHot5")</f>
        <v>FruityHot5</v>
      </c>
      <c r="D79" s="6">
        <f ca="1">IFERROR(__xludf.DUMMYFUNCTION("""COMPUTED_VALUE"""),44623)</f>
        <v>44623</v>
      </c>
      <c r="E79" s="5" t="str">
        <f ca="1">IFERROR(__xludf.DUMMYFUNCTION("""COMPUTED_VALUE"""),"Slot")</f>
        <v>Slot</v>
      </c>
      <c r="F79" s="5">
        <f ca="1">IFERROR(__xludf.DUMMYFUNCTION("""COMPUTED_VALUE"""),14.4)</f>
        <v>14.4</v>
      </c>
      <c r="G79" s="5" t="str">
        <f ca="1">IFERROR(__xludf.DUMMYFUNCTION("""COMPUTED_VALUE"""),"5x3")</f>
        <v>5x3</v>
      </c>
      <c r="H79" s="5" t="str">
        <f ca="1">IFERROR(__xludf.DUMMYFUNCTION("""COMPUTED_VALUE"""),"5")</f>
        <v>5</v>
      </c>
      <c r="I79" s="5" t="str">
        <f ca="1">IFERROR(__xludf.DUMMYFUNCTION("""COMPUTED_VALUE"""),"5")</f>
        <v>5</v>
      </c>
      <c r="J79" s="5" t="str">
        <f ca="1">IFERROR(__xludf.DUMMYFUNCTION("""COMPUTED_VALUE"""),"95.79%")</f>
        <v>95.79%</v>
      </c>
      <c r="K79" s="5" t="str">
        <f ca="1">IFERROR(__xludf.DUMMYFUNCTION("""COMPUTED_VALUE"""),"Low")</f>
        <v>Low</v>
      </c>
      <c r="L79" s="5" t="str">
        <f ca="1">IFERROR(__xludf.DUMMYFUNCTION("""COMPUTED_VALUE"""),"12.847%")</f>
        <v>12.847%</v>
      </c>
      <c r="M79" s="5" t="str">
        <f ca="1">IFERROR(__xludf.DUMMYFUNCTION("""COMPUTED_VALUE"""),"x1000")</f>
        <v>x1000</v>
      </c>
      <c r="N79" s="5" t="str">
        <f ca="1">IFERROR(__xludf.DUMMYFUNCTION("""COMPUTED_VALUE"""),"0.05/30")</f>
        <v>0.05/30</v>
      </c>
      <c r="O79" s="5" t="str">
        <f ca="1">IFERROR(__xludf.DUMMYFUNCTION("""COMPUTED_VALUE"""),"Yes")</f>
        <v>Yes</v>
      </c>
      <c r="P79" s="5" t="str">
        <f ca="1">IFERROR(__xludf.DUMMYFUNCTION("""COMPUTED_VALUE"""),"Wild Symbol, Scatter")</f>
        <v>Wild Symbol, Scatter</v>
      </c>
      <c r="Q79" s="7" t="str">
        <f ca="1">IFERROR(__xludf.DUMMYFUNCTION("""COMPUTED_VALUE"""),"https://gameserver-store-client-area.orbionlimited.com/Home/IntegrationGameLaunch/client-area?moneyType=0&amp;gameName=FruityHot5&amp;platform=desktop&amp;languageCode=eng&amp;currency=EUR")</f>
        <v>https://gameserver-store-client-area.orbionlimited.com/Home/IntegrationGameLaunch/client-area?moneyType=0&amp;gameName=FruityHot5&amp;platform=desktop&amp;languageCode=eng&amp;currency=EUR</v>
      </c>
      <c r="R79" s="5" t="str">
        <f ca="1">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9" s="5" t="str">
        <f ca="1">IFERROR(__xludf.DUMMYFUNCTION("""COMPUTED_VALUE"""),"Yes")</f>
        <v>Yes</v>
      </c>
      <c r="U79" s="5" t="str">
        <f ca="1">IFERROR(__xludf.DUMMYFUNCTION("""COMPUTED_VALUE"""),"Yes")</f>
        <v>Yes</v>
      </c>
      <c r="V79" s="5" t="str">
        <f ca="1">IFERROR(__xludf.DUMMYFUNCTION("""COMPUTED_VALUE"""),"Yes")</f>
        <v>Yes</v>
      </c>
      <c r="W79" s="5" t="str">
        <f ca="1">IFERROR(__xludf.DUMMYFUNCTION("""COMPUTED_VALUE"""),"Yes")</f>
        <v>Yes</v>
      </c>
      <c r="X79" s="5" t="str">
        <f ca="1">IFERROR(__xludf.DUMMYFUNCTION("""COMPUTED_VALUE"""),"Yes")</f>
        <v>Yes</v>
      </c>
      <c r="Y79" s="5" t="str">
        <f ca="1">IFERROR(__xludf.DUMMYFUNCTION("""COMPUTED_VALUE"""),"Yes")</f>
        <v>Yes</v>
      </c>
      <c r="Z79" s="5" t="str">
        <f ca="1">IFERROR(__xludf.DUMMYFUNCTION("""COMPUTED_VALUE"""),"Yes")</f>
        <v>Yes</v>
      </c>
      <c r="AA79" s="5" t="str">
        <f ca="1">IFERROR(__xludf.DUMMYFUNCTION("""COMPUTED_VALUE"""),"Yes")</f>
        <v>Yes</v>
      </c>
      <c r="AB79" s="5" t="str">
        <f ca="1">IFERROR(__xludf.DUMMYFUNCTION("""COMPUTED_VALUE"""),"Yes")</f>
        <v>Yes</v>
      </c>
      <c r="AC79" s="5" t="str">
        <f ca="1">IFERROR(__xludf.DUMMYFUNCTION("""COMPUTED_VALUE"""),"Yes")</f>
        <v>Yes</v>
      </c>
      <c r="AD79" s="5" t="str">
        <f ca="1">IFERROR(__xludf.DUMMYFUNCTION("""COMPUTED_VALUE"""),"Yes")</f>
        <v>Yes</v>
      </c>
      <c r="AE79" s="5" t="str">
        <f ca="1">IFERROR(__xludf.DUMMYFUNCTION("""COMPUTED_VALUE"""),"Yes")</f>
        <v>Yes</v>
      </c>
      <c r="AF79" s="5" t="str">
        <f ca="1">IFERROR(__xludf.DUMMYFUNCTION("""COMPUTED_VALUE"""),"Yes")</f>
        <v>Yes</v>
      </c>
      <c r="AG79" s="5" t="str">
        <f ca="1">IFERROR(__xludf.DUMMYFUNCTION("""COMPUTED_VALUE"""),"Yes")</f>
        <v>Yes</v>
      </c>
      <c r="AH79" s="5" t="str">
        <f ca="1">IFERROR(__xludf.DUMMYFUNCTION("""COMPUTED_VALUE"""),"Yes")</f>
        <v>Yes</v>
      </c>
      <c r="AI79" s="5" t="str">
        <f ca="1">IFERROR(__xludf.DUMMYFUNCTION("""COMPUTED_VALUE"""),"Yes")</f>
        <v>Yes</v>
      </c>
      <c r="AJ79" s="5" t="str">
        <f ca="1">IFERROR(__xludf.DUMMYFUNCTION("""COMPUTED_VALUE"""),"Yes")</f>
        <v>Yes</v>
      </c>
      <c r="AK79" s="5" t="str">
        <f ca="1">IFERROR(__xludf.DUMMYFUNCTION("""COMPUTED_VALUE"""),"Yes")</f>
        <v>Yes</v>
      </c>
      <c r="AL79" s="5" t="str">
        <f ca="1">IFERROR(__xludf.DUMMYFUNCTION("""COMPUTED_VALUE"""),"Yes")</f>
        <v>Yes</v>
      </c>
      <c r="AM79" s="5" t="str">
        <f ca="1">IFERROR(__xludf.DUMMYFUNCTION("""COMPUTED_VALUE"""),"Yes")</f>
        <v>Yes</v>
      </c>
      <c r="AN79" s="5" t="str">
        <f ca="1">IFERROR(__xludf.DUMMYFUNCTION("""COMPUTED_VALUE"""),"Yes")</f>
        <v>Yes</v>
      </c>
      <c r="AO79" s="5" t="str">
        <f ca="1">IFERROR(__xludf.DUMMYFUNCTION("""COMPUTED_VALUE"""),"Yes")</f>
        <v>Yes</v>
      </c>
      <c r="AP79" s="5" t="str">
        <f ca="1">IFERROR(__xludf.DUMMYFUNCTION("""COMPUTED_VALUE"""),"Yes")</f>
        <v>Yes</v>
      </c>
      <c r="AQ79" s="5" t="str">
        <f ca="1">IFERROR(__xludf.DUMMYFUNCTION("""COMPUTED_VALUE"""),"Yes")</f>
        <v>Yes</v>
      </c>
      <c r="AR79" s="5" t="str">
        <f ca="1">IFERROR(__xludf.DUMMYFUNCTION("""COMPUTED_VALUE"""),"Yes")</f>
        <v>Yes</v>
      </c>
      <c r="AS79" s="5" t="str">
        <f ca="1">IFERROR(__xludf.DUMMYFUNCTION("""COMPUTED_VALUE"""),"Yes")</f>
        <v>Yes</v>
      </c>
      <c r="AT79" s="5" t="str">
        <f ca="1">IFERROR(__xludf.DUMMYFUNCTION("""COMPUTED_VALUE"""),"No")</f>
        <v>No</v>
      </c>
      <c r="AU79" s="5"/>
    </row>
    <row r="80" spans="1:47" x14ac:dyDescent="0.25">
      <c r="A80" s="5" t="str">
        <f ca="1">IFERROR(__xludf.DUMMYFUNCTION("""COMPUTED_VALUE"""),"Foxi")</f>
        <v>Foxi</v>
      </c>
      <c r="B80" s="5" t="str">
        <f ca="1">IFERROR(__xludf.DUMMYFUNCTION("""COMPUTED_VALUE"""),"Giga Hot 40")</f>
        <v>Giga Hot 40</v>
      </c>
      <c r="C80" s="5" t="str">
        <f ca="1">IFERROR(__xludf.DUMMYFUNCTION("""COMPUTED_VALUE"""),"GigaHot40")</f>
        <v>GigaHot40</v>
      </c>
      <c r="D80" s="6">
        <f ca="1">IFERROR(__xludf.DUMMYFUNCTION("""COMPUTED_VALUE"""),44714)</f>
        <v>44714</v>
      </c>
      <c r="E80" s="5" t="str">
        <f ca="1">IFERROR(__xludf.DUMMYFUNCTION("""COMPUTED_VALUE"""),"Slot")</f>
        <v>Slot</v>
      </c>
      <c r="F80" s="5">
        <f ca="1">IFERROR(__xludf.DUMMYFUNCTION("""COMPUTED_VALUE"""),3.3)</f>
        <v>3.3</v>
      </c>
      <c r="G80" s="5" t="str">
        <f ca="1">IFERROR(__xludf.DUMMYFUNCTION("""COMPUTED_VALUE"""),"5x4")</f>
        <v>5x4</v>
      </c>
      <c r="H80" s="5" t="str">
        <f ca="1">IFERROR(__xludf.DUMMYFUNCTION("""COMPUTED_VALUE"""),"40")</f>
        <v>40</v>
      </c>
      <c r="I80" s="5" t="str">
        <f ca="1">IFERROR(__xludf.DUMMYFUNCTION("""COMPUTED_VALUE"""),"40")</f>
        <v>40</v>
      </c>
      <c r="J80" s="5" t="str">
        <f ca="1">IFERROR(__xludf.DUMMYFUNCTION("""COMPUTED_VALUE"""),"96.584%")</f>
        <v>96.584%</v>
      </c>
      <c r="K80" s="5" t="str">
        <f ca="1">IFERROR(__xludf.DUMMYFUNCTION("""COMPUTED_VALUE"""),"Low")</f>
        <v>Low</v>
      </c>
      <c r="L80" s="5" t="str">
        <f ca="1">IFERROR(__xludf.DUMMYFUNCTION("""COMPUTED_VALUE"""),"16.725%")</f>
        <v>16.725%</v>
      </c>
      <c r="M80" s="5" t="str">
        <f ca="1">IFERROR(__xludf.DUMMYFUNCTION("""COMPUTED_VALUE"""),"x1000")</f>
        <v>x1000</v>
      </c>
      <c r="N80" s="5" t="str">
        <f ca="1">IFERROR(__xludf.DUMMYFUNCTION("""COMPUTED_VALUE"""),"0.4/60")</f>
        <v>0.4/60</v>
      </c>
      <c r="O80" s="5" t="str">
        <f ca="1">IFERROR(__xludf.DUMMYFUNCTION("""COMPUTED_VALUE"""),"Yes")</f>
        <v>Yes</v>
      </c>
      <c r="P80" s="5" t="str">
        <f ca="1">IFERROR(__xludf.DUMMYFUNCTION("""COMPUTED_VALUE"""),"Wild Symbol, Scatter")</f>
        <v>Wild Symbol, Scatter</v>
      </c>
      <c r="Q80" s="7" t="str">
        <f ca="1">IFERROR(__xludf.DUMMYFUNCTION("""COMPUTED_VALUE"""),"https://gameserver-store-client-area.orbionlimited.com/Home/IntegrationGameLaunch/client-area?moneyType=0&amp;gameName=GigaHot40&amp;platform=desktop&amp;languageCode=eng&amp;currency=EUR")</f>
        <v>https://gameserver-store-client-area.orbionlimited.com/Home/IntegrationGameLaunch/client-area?moneyType=0&amp;gameName=GigaHot40&amp;platform=desktop&amp;languageCode=eng&amp;currency=EUR</v>
      </c>
      <c r="R80" s="5" t="str">
        <f ca="1">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S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0" s="5" t="str">
        <f ca="1">IFERROR(__xludf.DUMMYFUNCTION("""COMPUTED_VALUE"""),"Yes")</f>
        <v>Yes</v>
      </c>
      <c r="U80" s="5" t="str">
        <f ca="1">IFERROR(__xludf.DUMMYFUNCTION("""COMPUTED_VALUE"""),"Yes")</f>
        <v>Yes</v>
      </c>
      <c r="V80" s="5" t="str">
        <f ca="1">IFERROR(__xludf.DUMMYFUNCTION("""COMPUTED_VALUE"""),"Yes")</f>
        <v>Yes</v>
      </c>
      <c r="W80" s="5" t="str">
        <f ca="1">IFERROR(__xludf.DUMMYFUNCTION("""COMPUTED_VALUE"""),"Yes")</f>
        <v>Yes</v>
      </c>
      <c r="X80" s="5" t="str">
        <f ca="1">IFERROR(__xludf.DUMMYFUNCTION("""COMPUTED_VALUE"""),"Yes")</f>
        <v>Yes</v>
      </c>
      <c r="Y80" s="5" t="str">
        <f ca="1">IFERROR(__xludf.DUMMYFUNCTION("""COMPUTED_VALUE"""),"Yes")</f>
        <v>Yes</v>
      </c>
      <c r="Z80" s="5" t="str">
        <f ca="1">IFERROR(__xludf.DUMMYFUNCTION("""COMPUTED_VALUE"""),"Yes")</f>
        <v>Yes</v>
      </c>
      <c r="AA80" s="5" t="str">
        <f ca="1">IFERROR(__xludf.DUMMYFUNCTION("""COMPUTED_VALUE"""),"Yes")</f>
        <v>Yes</v>
      </c>
      <c r="AB80" s="5" t="str">
        <f ca="1">IFERROR(__xludf.DUMMYFUNCTION("""COMPUTED_VALUE"""),"Yes")</f>
        <v>Yes</v>
      </c>
      <c r="AC80" s="5" t="str">
        <f ca="1">IFERROR(__xludf.DUMMYFUNCTION("""COMPUTED_VALUE"""),"Yes")</f>
        <v>Yes</v>
      </c>
      <c r="AD80" s="5" t="str">
        <f ca="1">IFERROR(__xludf.DUMMYFUNCTION("""COMPUTED_VALUE"""),"Yes")</f>
        <v>Yes</v>
      </c>
      <c r="AE80" s="5" t="str">
        <f ca="1">IFERROR(__xludf.DUMMYFUNCTION("""COMPUTED_VALUE"""),"Yes")</f>
        <v>Yes</v>
      </c>
      <c r="AF80" s="5" t="str">
        <f ca="1">IFERROR(__xludf.DUMMYFUNCTION("""COMPUTED_VALUE"""),"Yes")</f>
        <v>Yes</v>
      </c>
      <c r="AG80" s="5" t="str">
        <f ca="1">IFERROR(__xludf.DUMMYFUNCTION("""COMPUTED_VALUE"""),"Yes")</f>
        <v>Yes</v>
      </c>
      <c r="AH80" s="5" t="str">
        <f ca="1">IFERROR(__xludf.DUMMYFUNCTION("""COMPUTED_VALUE"""),"Yes")</f>
        <v>Yes</v>
      </c>
      <c r="AI80" s="5" t="str">
        <f ca="1">IFERROR(__xludf.DUMMYFUNCTION("""COMPUTED_VALUE"""),"Yes")</f>
        <v>Yes</v>
      </c>
      <c r="AJ80" s="5" t="str">
        <f ca="1">IFERROR(__xludf.DUMMYFUNCTION("""COMPUTED_VALUE"""),"Yes")</f>
        <v>Yes</v>
      </c>
      <c r="AK80" s="5" t="str">
        <f ca="1">IFERROR(__xludf.DUMMYFUNCTION("""COMPUTED_VALUE"""),"Yes")</f>
        <v>Yes</v>
      </c>
      <c r="AL80" s="5" t="str">
        <f ca="1">IFERROR(__xludf.DUMMYFUNCTION("""COMPUTED_VALUE"""),"Yes")</f>
        <v>Yes</v>
      </c>
      <c r="AM80" s="5" t="str">
        <f ca="1">IFERROR(__xludf.DUMMYFUNCTION("""COMPUTED_VALUE"""),"Yes")</f>
        <v>Yes</v>
      </c>
      <c r="AN80" s="5" t="str">
        <f ca="1">IFERROR(__xludf.DUMMYFUNCTION("""COMPUTED_VALUE"""),"Yes")</f>
        <v>Yes</v>
      </c>
      <c r="AO80" s="5" t="str">
        <f ca="1">IFERROR(__xludf.DUMMYFUNCTION("""COMPUTED_VALUE"""),"Yes")</f>
        <v>Yes</v>
      </c>
      <c r="AP80" s="5" t="str">
        <f ca="1">IFERROR(__xludf.DUMMYFUNCTION("""COMPUTED_VALUE"""),"Yes")</f>
        <v>Yes</v>
      </c>
      <c r="AQ80" s="5" t="str">
        <f ca="1">IFERROR(__xludf.DUMMYFUNCTION("""COMPUTED_VALUE"""),"Yes")</f>
        <v>Yes</v>
      </c>
      <c r="AR80" s="5" t="str">
        <f ca="1">IFERROR(__xludf.DUMMYFUNCTION("""COMPUTED_VALUE"""),"Yes")</f>
        <v>Yes</v>
      </c>
      <c r="AS80" s="5" t="str">
        <f ca="1">IFERROR(__xludf.DUMMYFUNCTION("""COMPUTED_VALUE"""),"Yes")</f>
        <v>Yes</v>
      </c>
      <c r="AT80" s="5" t="str">
        <f ca="1">IFERROR(__xludf.DUMMYFUNCTION("""COMPUTED_VALUE"""),"No")</f>
        <v>No</v>
      </c>
      <c r="AU80" s="5"/>
    </row>
    <row r="81" spans="1:47" x14ac:dyDescent="0.25">
      <c r="A81" s="5" t="str">
        <f ca="1">IFERROR(__xludf.DUMMYFUNCTION("""COMPUTED_VALUE"""),"Foxi")</f>
        <v>Foxi</v>
      </c>
      <c r="B81" s="5" t="str">
        <f ca="1">IFERROR(__xludf.DUMMYFUNCTION("""COMPUTED_VALUE"""),"Fruity Face")</f>
        <v>Fruity Face</v>
      </c>
      <c r="C81" s="5" t="str">
        <f ca="1">IFERROR(__xludf.DUMMYFUNCTION("""COMPUTED_VALUE"""),"FruityFace")</f>
        <v>FruityFace</v>
      </c>
      <c r="D81" s="6">
        <f ca="1">IFERROR(__xludf.DUMMYFUNCTION("""COMPUTED_VALUE"""),44719)</f>
        <v>44719</v>
      </c>
      <c r="E81" s="5" t="str">
        <f ca="1">IFERROR(__xludf.DUMMYFUNCTION("""COMPUTED_VALUE"""),"Slot")</f>
        <v>Slot</v>
      </c>
      <c r="F81" s="5">
        <f ca="1">IFERROR(__xludf.DUMMYFUNCTION("""COMPUTED_VALUE"""),18.8)</f>
        <v>18.8</v>
      </c>
      <c r="G81" s="5" t="str">
        <f ca="1">IFERROR(__xludf.DUMMYFUNCTION("""COMPUTED_VALUE"""),"5x3")</f>
        <v>5x3</v>
      </c>
      <c r="H81" s="5" t="str">
        <f ca="1">IFERROR(__xludf.DUMMYFUNCTION("""COMPUTED_VALUE"""),"5")</f>
        <v>5</v>
      </c>
      <c r="I81" s="5" t="str">
        <f ca="1">IFERROR(__xludf.DUMMYFUNCTION("""COMPUTED_VALUE"""),"5")</f>
        <v>5</v>
      </c>
      <c r="J81" s="5" t="str">
        <f ca="1">IFERROR(__xludf.DUMMYFUNCTION("""COMPUTED_VALUE"""),"96.25%")</f>
        <v>96.25%</v>
      </c>
      <c r="K81" s="5" t="str">
        <f ca="1">IFERROR(__xludf.DUMMYFUNCTION("""COMPUTED_VALUE"""),"Medium")</f>
        <v>Medium</v>
      </c>
      <c r="L81" s="5" t="str">
        <f ca="1">IFERROR(__xludf.DUMMYFUNCTION("""COMPUTED_VALUE"""),"10.46%")</f>
        <v>10.46%</v>
      </c>
      <c r="M81" s="5" t="str">
        <f ca="1">IFERROR(__xludf.DUMMYFUNCTION("""COMPUTED_VALUE"""),"x1040")</f>
        <v>x1040</v>
      </c>
      <c r="N81" s="5" t="str">
        <f ca="1">IFERROR(__xludf.DUMMYFUNCTION("""COMPUTED_VALUE"""),"0.05/30")</f>
        <v>0.05/30</v>
      </c>
      <c r="O81" s="5" t="str">
        <f ca="1">IFERROR(__xludf.DUMMYFUNCTION("""COMPUTED_VALUE"""),"Yes")</f>
        <v>Yes</v>
      </c>
      <c r="P81" s="5"/>
      <c r="Q81" s="7" t="str">
        <f ca="1">IFERROR(__xludf.DUMMYFUNCTION("""COMPUTED_VALUE"""),"https://gameserver-store-client-area.orbionlimited.com/Home/IntegrationGameLaunch/client-area?moneyType=0&amp;gameName=FruityFace&amp;platform=desktop&amp;languageCode=eng&amp;currency=EUR")</f>
        <v>https://gameserver-store-client-area.orbionlimited.com/Home/IntegrationGameLaunch/client-area?moneyType=0&amp;gameName=FruityFace&amp;platform=desktop&amp;languageCode=eng&amp;currency=EUR</v>
      </c>
      <c r="R81" s="5" t="str">
        <f ca="1">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S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1" s="5" t="str">
        <f ca="1">IFERROR(__xludf.DUMMYFUNCTION("""COMPUTED_VALUE"""),"Yes")</f>
        <v>Yes</v>
      </c>
      <c r="U81" s="5" t="str">
        <f ca="1">IFERROR(__xludf.DUMMYFUNCTION("""COMPUTED_VALUE"""),"Yes")</f>
        <v>Yes</v>
      </c>
      <c r="V81" s="5" t="str">
        <f ca="1">IFERROR(__xludf.DUMMYFUNCTION("""COMPUTED_VALUE"""),"Yes")</f>
        <v>Yes</v>
      </c>
      <c r="W81" s="5" t="str">
        <f ca="1">IFERROR(__xludf.DUMMYFUNCTION("""COMPUTED_VALUE"""),"Yes")</f>
        <v>Yes</v>
      </c>
      <c r="X81" s="5" t="str">
        <f ca="1">IFERROR(__xludf.DUMMYFUNCTION("""COMPUTED_VALUE"""),"Yes")</f>
        <v>Yes</v>
      </c>
      <c r="Y81" s="5" t="str">
        <f ca="1">IFERROR(__xludf.DUMMYFUNCTION("""COMPUTED_VALUE"""),"Yes")</f>
        <v>Yes</v>
      </c>
      <c r="Z81" s="5" t="str">
        <f ca="1">IFERROR(__xludf.DUMMYFUNCTION("""COMPUTED_VALUE"""),"Yes")</f>
        <v>Yes</v>
      </c>
      <c r="AA81" s="5" t="str">
        <f ca="1">IFERROR(__xludf.DUMMYFUNCTION("""COMPUTED_VALUE"""),"Yes")</f>
        <v>Yes</v>
      </c>
      <c r="AB81" s="5" t="str">
        <f ca="1">IFERROR(__xludf.DUMMYFUNCTION("""COMPUTED_VALUE"""),"Yes")</f>
        <v>Yes</v>
      </c>
      <c r="AC81" s="5" t="str">
        <f ca="1">IFERROR(__xludf.DUMMYFUNCTION("""COMPUTED_VALUE"""),"Yes")</f>
        <v>Yes</v>
      </c>
      <c r="AD81" s="5" t="str">
        <f ca="1">IFERROR(__xludf.DUMMYFUNCTION("""COMPUTED_VALUE"""),"Yes")</f>
        <v>Yes</v>
      </c>
      <c r="AE81" s="5" t="str">
        <f ca="1">IFERROR(__xludf.DUMMYFUNCTION("""COMPUTED_VALUE"""),"Yes")</f>
        <v>Yes</v>
      </c>
      <c r="AF81" s="5" t="str">
        <f ca="1">IFERROR(__xludf.DUMMYFUNCTION("""COMPUTED_VALUE"""),"Yes")</f>
        <v>Yes</v>
      </c>
      <c r="AG81" s="5" t="str">
        <f ca="1">IFERROR(__xludf.DUMMYFUNCTION("""COMPUTED_VALUE"""),"Yes")</f>
        <v>Yes</v>
      </c>
      <c r="AH81" s="5" t="str">
        <f ca="1">IFERROR(__xludf.DUMMYFUNCTION("""COMPUTED_VALUE"""),"Yes")</f>
        <v>Yes</v>
      </c>
      <c r="AI81" s="5" t="str">
        <f ca="1">IFERROR(__xludf.DUMMYFUNCTION("""COMPUTED_VALUE"""),"Yes")</f>
        <v>Yes</v>
      </c>
      <c r="AJ81" s="5" t="str">
        <f ca="1">IFERROR(__xludf.DUMMYFUNCTION("""COMPUTED_VALUE"""),"Yes")</f>
        <v>Yes</v>
      </c>
      <c r="AK81" s="5" t="str">
        <f ca="1">IFERROR(__xludf.DUMMYFUNCTION("""COMPUTED_VALUE"""),"Yes")</f>
        <v>Yes</v>
      </c>
      <c r="AL81" s="5" t="str">
        <f ca="1">IFERROR(__xludf.DUMMYFUNCTION("""COMPUTED_VALUE"""),"Yes")</f>
        <v>Yes</v>
      </c>
      <c r="AM81" s="5" t="str">
        <f ca="1">IFERROR(__xludf.DUMMYFUNCTION("""COMPUTED_VALUE"""),"Yes")</f>
        <v>Yes</v>
      </c>
      <c r="AN81" s="5" t="str">
        <f ca="1">IFERROR(__xludf.DUMMYFUNCTION("""COMPUTED_VALUE"""),"Yes")</f>
        <v>Yes</v>
      </c>
      <c r="AO81" s="5" t="str">
        <f ca="1">IFERROR(__xludf.DUMMYFUNCTION("""COMPUTED_VALUE"""),"Yes")</f>
        <v>Yes</v>
      </c>
      <c r="AP81" s="5" t="str">
        <f ca="1">IFERROR(__xludf.DUMMYFUNCTION("""COMPUTED_VALUE"""),"Yes")</f>
        <v>Yes</v>
      </c>
      <c r="AQ81" s="5" t="str">
        <f ca="1">IFERROR(__xludf.DUMMYFUNCTION("""COMPUTED_VALUE"""),"Yes")</f>
        <v>Yes</v>
      </c>
      <c r="AR81" s="5" t="str">
        <f ca="1">IFERROR(__xludf.DUMMYFUNCTION("""COMPUTED_VALUE"""),"Yes")</f>
        <v>Yes</v>
      </c>
      <c r="AS81" s="5" t="str">
        <f ca="1">IFERROR(__xludf.DUMMYFUNCTION("""COMPUTED_VALUE"""),"Yes")</f>
        <v>Yes</v>
      </c>
      <c r="AT81" s="5" t="str">
        <f ca="1">IFERROR(__xludf.DUMMYFUNCTION("""COMPUTED_VALUE"""),"No")</f>
        <v>No</v>
      </c>
      <c r="AU81" s="5"/>
    </row>
    <row r="82" spans="1:47" x14ac:dyDescent="0.25">
      <c r="A82" s="5" t="str">
        <f ca="1">IFERROR(__xludf.DUMMYFUNCTION("""COMPUTED_VALUE"""),"Foxi")</f>
        <v>Foxi</v>
      </c>
      <c r="B82" s="5" t="str">
        <f ca="1">IFERROR(__xludf.DUMMYFUNCTION("""COMPUTED_VALUE"""),"Classic Lucky Spin")</f>
        <v>Classic Lucky Spin</v>
      </c>
      <c r="C82" s="5" t="str">
        <f ca="1">IFERROR(__xludf.DUMMYFUNCTION("""COMPUTED_VALUE"""),"ClassicLuckySpin")</f>
        <v>ClassicLuckySpin</v>
      </c>
      <c r="D82" s="6">
        <f ca="1">IFERROR(__xludf.DUMMYFUNCTION("""COMPUTED_VALUE"""),44727)</f>
        <v>44727</v>
      </c>
      <c r="E82" s="5" t="str">
        <f ca="1">IFERROR(__xludf.DUMMYFUNCTION("""COMPUTED_VALUE"""),"Slot")</f>
        <v>Slot</v>
      </c>
      <c r="F82" s="5">
        <f ca="1">IFERROR(__xludf.DUMMYFUNCTION("""COMPUTED_VALUE"""),45.3)</f>
        <v>45.3</v>
      </c>
      <c r="G82" s="5" t="str">
        <f ca="1">IFERROR(__xludf.DUMMYFUNCTION("""COMPUTED_VALUE"""),"3x3")</f>
        <v>3x3</v>
      </c>
      <c r="H82" s="5" t="str">
        <f ca="1">IFERROR(__xludf.DUMMYFUNCTION("""COMPUTED_VALUE"""),"5")</f>
        <v>5</v>
      </c>
      <c r="I82" s="5" t="str">
        <f ca="1">IFERROR(__xludf.DUMMYFUNCTION("""COMPUTED_VALUE"""),"5")</f>
        <v>5</v>
      </c>
      <c r="J82" s="5" t="str">
        <f ca="1">IFERROR(__xludf.DUMMYFUNCTION("""COMPUTED_VALUE"""),"95.513%")</f>
        <v>95.513%</v>
      </c>
      <c r="K82" s="5" t="str">
        <f ca="1">IFERROR(__xludf.DUMMYFUNCTION("""COMPUTED_VALUE"""),"Low")</f>
        <v>Low</v>
      </c>
      <c r="L82" s="5" t="str">
        <f ca="1">IFERROR(__xludf.DUMMYFUNCTION("""COMPUTED_VALUE"""),"6.51%")</f>
        <v>6.51%</v>
      </c>
      <c r="M82" s="5" t="str">
        <f ca="1">IFERROR(__xludf.DUMMYFUNCTION("""COMPUTED_VALUE"""),"x60")</f>
        <v>x60</v>
      </c>
      <c r="N82" s="5" t="str">
        <f ca="1">IFERROR(__xludf.DUMMYFUNCTION("""COMPUTED_VALUE"""),"0.05/30")</f>
        <v>0.05/30</v>
      </c>
      <c r="O82" s="5" t="str">
        <f ca="1">IFERROR(__xludf.DUMMYFUNCTION("""COMPUTED_VALUE"""),"Yes")</f>
        <v>Yes</v>
      </c>
      <c r="P82" s="5"/>
      <c r="Q82" s="7" t="str">
        <f ca="1">IFERROR(__xludf.DUMMYFUNCTION("""COMPUTED_VALUE"""),"https://gameserver-store-client-area.orbionlimited.com/Home/IntegrationGameLaunch/client-area?moneyType=0&amp;gameName=ClassicLuckySpin&amp;platform=desktop&amp;languageCode=eng&amp;currency=EUR")</f>
        <v>https://gameserver-store-client-area.orbionlimited.com/Home/IntegrationGameLaunch/client-area?moneyType=0&amp;gameName=ClassicLuckySpin&amp;platform=desktop&amp;languageCode=eng&amp;currency=EUR</v>
      </c>
      <c r="R82" s="5" t="str">
        <f ca="1">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S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2" s="5" t="str">
        <f ca="1">IFERROR(__xludf.DUMMYFUNCTION("""COMPUTED_VALUE"""),"Yes")</f>
        <v>Yes</v>
      </c>
      <c r="U82" s="5" t="str">
        <f ca="1">IFERROR(__xludf.DUMMYFUNCTION("""COMPUTED_VALUE"""),"Yes")</f>
        <v>Yes</v>
      </c>
      <c r="V82" s="5" t="str">
        <f ca="1">IFERROR(__xludf.DUMMYFUNCTION("""COMPUTED_VALUE"""),"Yes")</f>
        <v>Yes</v>
      </c>
      <c r="W82" s="5" t="str">
        <f ca="1">IFERROR(__xludf.DUMMYFUNCTION("""COMPUTED_VALUE"""),"Yes")</f>
        <v>Yes</v>
      </c>
      <c r="X82" s="5" t="str">
        <f ca="1">IFERROR(__xludf.DUMMYFUNCTION("""COMPUTED_VALUE"""),"Yes")</f>
        <v>Yes</v>
      </c>
      <c r="Y82" s="5" t="str">
        <f ca="1">IFERROR(__xludf.DUMMYFUNCTION("""COMPUTED_VALUE"""),"Yes")</f>
        <v>Yes</v>
      </c>
      <c r="Z82" s="5" t="str">
        <f ca="1">IFERROR(__xludf.DUMMYFUNCTION("""COMPUTED_VALUE"""),"Yes")</f>
        <v>Yes</v>
      </c>
      <c r="AA82" s="5" t="str">
        <f ca="1">IFERROR(__xludf.DUMMYFUNCTION("""COMPUTED_VALUE"""),"Yes")</f>
        <v>Yes</v>
      </c>
      <c r="AB82" s="5" t="str">
        <f ca="1">IFERROR(__xludf.DUMMYFUNCTION("""COMPUTED_VALUE"""),"Yes")</f>
        <v>Yes</v>
      </c>
      <c r="AC82" s="5" t="str">
        <f ca="1">IFERROR(__xludf.DUMMYFUNCTION("""COMPUTED_VALUE"""),"Yes")</f>
        <v>Yes</v>
      </c>
      <c r="AD82" s="5" t="str">
        <f ca="1">IFERROR(__xludf.DUMMYFUNCTION("""COMPUTED_VALUE"""),"Yes")</f>
        <v>Yes</v>
      </c>
      <c r="AE82" s="5" t="str">
        <f ca="1">IFERROR(__xludf.DUMMYFUNCTION("""COMPUTED_VALUE"""),"Yes")</f>
        <v>Yes</v>
      </c>
      <c r="AF82" s="5" t="str">
        <f ca="1">IFERROR(__xludf.DUMMYFUNCTION("""COMPUTED_VALUE"""),"Yes")</f>
        <v>Yes</v>
      </c>
      <c r="AG82" s="5" t="str">
        <f ca="1">IFERROR(__xludf.DUMMYFUNCTION("""COMPUTED_VALUE"""),"Yes")</f>
        <v>Yes</v>
      </c>
      <c r="AH82" s="5" t="str">
        <f ca="1">IFERROR(__xludf.DUMMYFUNCTION("""COMPUTED_VALUE"""),"Yes")</f>
        <v>Yes</v>
      </c>
      <c r="AI82" s="5" t="str">
        <f ca="1">IFERROR(__xludf.DUMMYFUNCTION("""COMPUTED_VALUE"""),"Yes")</f>
        <v>Yes</v>
      </c>
      <c r="AJ82" s="5" t="str">
        <f ca="1">IFERROR(__xludf.DUMMYFUNCTION("""COMPUTED_VALUE"""),"Yes")</f>
        <v>Yes</v>
      </c>
      <c r="AK82" s="5" t="str">
        <f ca="1">IFERROR(__xludf.DUMMYFUNCTION("""COMPUTED_VALUE"""),"Yes")</f>
        <v>Yes</v>
      </c>
      <c r="AL82" s="5" t="str">
        <f ca="1">IFERROR(__xludf.DUMMYFUNCTION("""COMPUTED_VALUE"""),"Yes")</f>
        <v>Yes</v>
      </c>
      <c r="AM82" s="5" t="str">
        <f ca="1">IFERROR(__xludf.DUMMYFUNCTION("""COMPUTED_VALUE"""),"Yes")</f>
        <v>Yes</v>
      </c>
      <c r="AN82" s="5" t="str">
        <f ca="1">IFERROR(__xludf.DUMMYFUNCTION("""COMPUTED_VALUE"""),"Yes")</f>
        <v>Yes</v>
      </c>
      <c r="AO82" s="5" t="str">
        <f ca="1">IFERROR(__xludf.DUMMYFUNCTION("""COMPUTED_VALUE"""),"Yes")</f>
        <v>Yes</v>
      </c>
      <c r="AP82" s="5" t="str">
        <f ca="1">IFERROR(__xludf.DUMMYFUNCTION("""COMPUTED_VALUE"""),"Yes")</f>
        <v>Yes</v>
      </c>
      <c r="AQ82" s="5" t="str">
        <f ca="1">IFERROR(__xludf.DUMMYFUNCTION("""COMPUTED_VALUE"""),"Yes")</f>
        <v>Yes</v>
      </c>
      <c r="AR82" s="5" t="str">
        <f ca="1">IFERROR(__xludf.DUMMYFUNCTION("""COMPUTED_VALUE"""),"Yes")</f>
        <v>Yes</v>
      </c>
      <c r="AS82" s="5" t="str">
        <f ca="1">IFERROR(__xludf.DUMMYFUNCTION("""COMPUTED_VALUE"""),"Yes")</f>
        <v>Yes</v>
      </c>
      <c r="AT82" s="5" t="str">
        <f ca="1">IFERROR(__xludf.DUMMYFUNCTION("""COMPUTED_VALUE"""),"No")</f>
        <v>No</v>
      </c>
      <c r="AU82" s="5"/>
    </row>
    <row r="83" spans="1:47" x14ac:dyDescent="0.25">
      <c r="A83" s="5" t="str">
        <f ca="1">IFERROR(__xludf.DUMMYFUNCTION("""COMPUTED_VALUE"""),"Foxi")</f>
        <v>Foxi</v>
      </c>
      <c r="B83" s="5" t="str">
        <f ca="1">IFERROR(__xludf.DUMMYFUNCTION("""COMPUTED_VALUE"""),"Wild Joker Hot")</f>
        <v>Wild Joker Hot</v>
      </c>
      <c r="C83" s="5" t="str">
        <f ca="1">IFERROR(__xludf.DUMMYFUNCTION("""COMPUTED_VALUE"""),"WildJokerHot")</f>
        <v>WildJokerHot</v>
      </c>
      <c r="D83" s="6">
        <f ca="1">IFERROR(__xludf.DUMMYFUNCTION("""COMPUTED_VALUE"""),44798)</f>
        <v>44798</v>
      </c>
      <c r="E83" s="5" t="str">
        <f ca="1">IFERROR(__xludf.DUMMYFUNCTION("""COMPUTED_VALUE"""),"Slot")</f>
        <v>Slot</v>
      </c>
      <c r="F83" s="5">
        <f ca="1">IFERROR(__xludf.DUMMYFUNCTION("""COMPUTED_VALUE"""),38.8)</f>
        <v>38.799999999999997</v>
      </c>
      <c r="G83" s="5" t="str">
        <f ca="1">IFERROR(__xludf.DUMMYFUNCTION("""COMPUTED_VALUE"""),"5x3")</f>
        <v>5x3</v>
      </c>
      <c r="H83" s="5" t="str">
        <f ca="1">IFERROR(__xludf.DUMMYFUNCTION("""COMPUTED_VALUE"""),"10")</f>
        <v>10</v>
      </c>
      <c r="I83" s="5" t="str">
        <f ca="1">IFERROR(__xludf.DUMMYFUNCTION("""COMPUTED_VALUE"""),"10")</f>
        <v>10</v>
      </c>
      <c r="J83" s="5" t="str">
        <f ca="1">IFERROR(__xludf.DUMMYFUNCTION("""COMPUTED_VALUE"""),"96.124%")</f>
        <v>96.124%</v>
      </c>
      <c r="K83" s="5" t="str">
        <f ca="1">IFERROR(__xludf.DUMMYFUNCTION("""COMPUTED_VALUE"""),"Medium")</f>
        <v>Medium</v>
      </c>
      <c r="L83" s="5" t="str">
        <f ca="1">IFERROR(__xludf.DUMMYFUNCTION("""COMPUTED_VALUE"""),"17.81%")</f>
        <v>17.81%</v>
      </c>
      <c r="M83" s="5" t="str">
        <f ca="1">IFERROR(__xludf.DUMMYFUNCTION("""COMPUTED_VALUE"""),"x3092")</f>
        <v>x3092</v>
      </c>
      <c r="N83" s="5" t="str">
        <f ca="1">IFERROR(__xludf.DUMMYFUNCTION("""COMPUTED_VALUE"""),"0.10/40")</f>
        <v>0.10/40</v>
      </c>
      <c r="O83" s="5" t="str">
        <f ca="1">IFERROR(__xludf.DUMMYFUNCTION("""COMPUTED_VALUE"""),"Yes")</f>
        <v>Yes</v>
      </c>
      <c r="P83" s="5" t="str">
        <f ca="1">IFERROR(__xludf.DUMMYFUNCTION("""COMPUTED_VALUE"""),"Scatter, Wild Symbol, Wild Multiplier")</f>
        <v>Scatter, Wild Symbol, Wild Multiplier</v>
      </c>
      <c r="Q83" s="7" t="str">
        <f ca="1">IFERROR(__xludf.DUMMYFUNCTION("""COMPUTED_VALUE"""),"https://gameserver-store-client-area.orbionlimited.com/Home/IntegrationGameLaunch/client-area?moneyType=0&amp;gameName=WildJokerHot&amp;platform=desktop&amp;languageCode=eng&amp;currency=EUR")</f>
        <v>https://gameserver-store-client-area.orbionlimited.com/Home/IntegrationGameLaunch/client-area?moneyType=0&amp;gameName=WildJokerHot&amp;platform=desktop&amp;languageCode=eng&amp;currency=EUR</v>
      </c>
      <c r="R83" s="5" t="str">
        <f ca="1">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S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3" s="5" t="str">
        <f ca="1">IFERROR(__xludf.DUMMYFUNCTION("""COMPUTED_VALUE"""),"Yes")</f>
        <v>Yes</v>
      </c>
      <c r="U83" s="5" t="str">
        <f ca="1">IFERROR(__xludf.DUMMYFUNCTION("""COMPUTED_VALUE"""),"Yes")</f>
        <v>Yes</v>
      </c>
      <c r="V83" s="5" t="str">
        <f ca="1">IFERROR(__xludf.DUMMYFUNCTION("""COMPUTED_VALUE"""),"Yes")</f>
        <v>Yes</v>
      </c>
      <c r="W83" s="5" t="str">
        <f ca="1">IFERROR(__xludf.DUMMYFUNCTION("""COMPUTED_VALUE"""),"Yes")</f>
        <v>Yes</v>
      </c>
      <c r="X83" s="5" t="str">
        <f ca="1">IFERROR(__xludf.DUMMYFUNCTION("""COMPUTED_VALUE"""),"Yes")</f>
        <v>Yes</v>
      </c>
      <c r="Y83" s="5" t="str">
        <f ca="1">IFERROR(__xludf.DUMMYFUNCTION("""COMPUTED_VALUE"""),"Yes")</f>
        <v>Yes</v>
      </c>
      <c r="Z83" s="5" t="str">
        <f ca="1">IFERROR(__xludf.DUMMYFUNCTION("""COMPUTED_VALUE"""),"Yes")</f>
        <v>Yes</v>
      </c>
      <c r="AA83" s="5" t="str">
        <f ca="1">IFERROR(__xludf.DUMMYFUNCTION("""COMPUTED_VALUE"""),"Yes")</f>
        <v>Yes</v>
      </c>
      <c r="AB83" s="5" t="str">
        <f ca="1">IFERROR(__xludf.DUMMYFUNCTION("""COMPUTED_VALUE"""),"Yes")</f>
        <v>Yes</v>
      </c>
      <c r="AC83" s="5" t="str">
        <f ca="1">IFERROR(__xludf.DUMMYFUNCTION("""COMPUTED_VALUE"""),"Yes")</f>
        <v>Yes</v>
      </c>
      <c r="AD83" s="5" t="str">
        <f ca="1">IFERROR(__xludf.DUMMYFUNCTION("""COMPUTED_VALUE"""),"Yes")</f>
        <v>Yes</v>
      </c>
      <c r="AE83" s="5" t="str">
        <f ca="1">IFERROR(__xludf.DUMMYFUNCTION("""COMPUTED_VALUE"""),"Yes")</f>
        <v>Yes</v>
      </c>
      <c r="AF83" s="5" t="str">
        <f ca="1">IFERROR(__xludf.DUMMYFUNCTION("""COMPUTED_VALUE"""),"Yes")</f>
        <v>Yes</v>
      </c>
      <c r="AG83" s="5" t="str">
        <f ca="1">IFERROR(__xludf.DUMMYFUNCTION("""COMPUTED_VALUE"""),"Yes")</f>
        <v>Yes</v>
      </c>
      <c r="AH83" s="5" t="str">
        <f ca="1">IFERROR(__xludf.DUMMYFUNCTION("""COMPUTED_VALUE"""),"Yes")</f>
        <v>Yes</v>
      </c>
      <c r="AI83" s="5" t="str">
        <f ca="1">IFERROR(__xludf.DUMMYFUNCTION("""COMPUTED_VALUE"""),"Yes")</f>
        <v>Yes</v>
      </c>
      <c r="AJ83" s="5" t="str">
        <f ca="1">IFERROR(__xludf.DUMMYFUNCTION("""COMPUTED_VALUE"""),"Yes")</f>
        <v>Yes</v>
      </c>
      <c r="AK83" s="5" t="str">
        <f ca="1">IFERROR(__xludf.DUMMYFUNCTION("""COMPUTED_VALUE"""),"Yes")</f>
        <v>Yes</v>
      </c>
      <c r="AL83" s="5" t="str">
        <f ca="1">IFERROR(__xludf.DUMMYFUNCTION("""COMPUTED_VALUE"""),"Yes")</f>
        <v>Yes</v>
      </c>
      <c r="AM83" s="5" t="str">
        <f ca="1">IFERROR(__xludf.DUMMYFUNCTION("""COMPUTED_VALUE"""),"Yes")</f>
        <v>Yes</v>
      </c>
      <c r="AN83" s="5" t="str">
        <f ca="1">IFERROR(__xludf.DUMMYFUNCTION("""COMPUTED_VALUE"""),"Yes")</f>
        <v>Yes</v>
      </c>
      <c r="AO83" s="5" t="str">
        <f ca="1">IFERROR(__xludf.DUMMYFUNCTION("""COMPUTED_VALUE"""),"Yes")</f>
        <v>Yes</v>
      </c>
      <c r="AP83" s="5" t="str">
        <f ca="1">IFERROR(__xludf.DUMMYFUNCTION("""COMPUTED_VALUE"""),"Yes")</f>
        <v>Yes</v>
      </c>
      <c r="AQ83" s="5" t="str">
        <f ca="1">IFERROR(__xludf.DUMMYFUNCTION("""COMPUTED_VALUE"""),"Yes")</f>
        <v>Yes</v>
      </c>
      <c r="AR83" s="5" t="str">
        <f ca="1">IFERROR(__xludf.DUMMYFUNCTION("""COMPUTED_VALUE"""),"Yes")</f>
        <v>Yes</v>
      </c>
      <c r="AS83" s="5" t="str">
        <f ca="1">IFERROR(__xludf.DUMMYFUNCTION("""COMPUTED_VALUE"""),"Yes")</f>
        <v>Yes</v>
      </c>
      <c r="AT83" s="5" t="str">
        <f ca="1">IFERROR(__xludf.DUMMYFUNCTION("""COMPUTED_VALUE"""),"No")</f>
        <v>No</v>
      </c>
      <c r="AU83" s="5"/>
    </row>
    <row r="84" spans="1:47" x14ac:dyDescent="0.25">
      <c r="A84" s="5" t="str">
        <f ca="1">IFERROR(__xludf.DUMMYFUNCTION("""COMPUTED_VALUE"""),"Foxi")</f>
        <v>Foxi</v>
      </c>
      <c r="B84" s="5" t="str">
        <f ca="1">IFERROR(__xludf.DUMMYFUNCTION("""COMPUTED_VALUE"""),"Heating Fruits")</f>
        <v>Heating Fruits</v>
      </c>
      <c r="C84" s="5" t="str">
        <f ca="1">IFERROR(__xludf.DUMMYFUNCTION("""COMPUTED_VALUE"""),"HeatingFruits")</f>
        <v>HeatingFruits</v>
      </c>
      <c r="D84" s="6">
        <f ca="1">IFERROR(__xludf.DUMMYFUNCTION("""COMPUTED_VALUE"""),44887)</f>
        <v>44887</v>
      </c>
      <c r="E84" s="5" t="str">
        <f ca="1">IFERROR(__xludf.DUMMYFUNCTION("""COMPUTED_VALUE"""),"Slot")</f>
        <v>Slot</v>
      </c>
      <c r="F84" s="5">
        <f ca="1">IFERROR(__xludf.DUMMYFUNCTION("""COMPUTED_VALUE"""),34)</f>
        <v>34</v>
      </c>
      <c r="G84" s="5" t="str">
        <f ca="1">IFERROR(__xludf.DUMMYFUNCTION("""COMPUTED_VALUE"""),"5x4")</f>
        <v>5x4</v>
      </c>
      <c r="H84" s="5" t="str">
        <f ca="1">IFERROR(__xludf.DUMMYFUNCTION("""COMPUTED_VALUE"""),"40")</f>
        <v>40</v>
      </c>
      <c r="I84" s="5" t="str">
        <f ca="1">IFERROR(__xludf.DUMMYFUNCTION("""COMPUTED_VALUE"""),"40")</f>
        <v>40</v>
      </c>
      <c r="J84" s="5" t="str">
        <f ca="1">IFERROR(__xludf.DUMMYFUNCTION("""COMPUTED_VALUE"""),"96.261%")</f>
        <v>96.261%</v>
      </c>
      <c r="K84" s="5" t="str">
        <f ca="1">IFERROR(__xludf.DUMMYFUNCTION("""COMPUTED_VALUE"""),"Medium")</f>
        <v>Medium</v>
      </c>
      <c r="L84" s="5" t="str">
        <f ca="1">IFERROR(__xludf.DUMMYFUNCTION("""COMPUTED_VALUE"""),"12.1%")</f>
        <v>12.1%</v>
      </c>
      <c r="M84" s="5" t="str">
        <f ca="1">IFERROR(__xludf.DUMMYFUNCTION("""COMPUTED_VALUE"""),"x1000")</f>
        <v>x1000</v>
      </c>
      <c r="N84" s="5" t="str">
        <f ca="1">IFERROR(__xludf.DUMMYFUNCTION("""COMPUTED_VALUE"""),"0.4/60")</f>
        <v>0.4/60</v>
      </c>
      <c r="O84" s="5" t="str">
        <f ca="1">IFERROR(__xludf.DUMMYFUNCTION("""COMPUTED_VALUE"""),"Yes")</f>
        <v>Yes</v>
      </c>
      <c r="P84" s="5"/>
      <c r="Q84" s="7" t="str">
        <f ca="1">IFERROR(__xludf.DUMMYFUNCTION("""COMPUTED_VALUE"""),"https://gameserver-store-client-area.orbionlimited.com/Home/IntegrationGameLaunch/client-area?moneyType=0&amp;gameName=HeatingFruits&amp;platform=desktop&amp;languageCode=eng&amp;currency=EUR")</f>
        <v>https://gameserver-store-client-area.orbionlimited.com/Home/IntegrationGameLaunch/client-area?moneyType=0&amp;gameName=HeatingFruits&amp;platform=desktop&amp;languageCode=eng&amp;currency=EUR</v>
      </c>
      <c r="R84" s="5" t="str">
        <f ca="1">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S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4" s="5" t="str">
        <f ca="1">IFERROR(__xludf.DUMMYFUNCTION("""COMPUTED_VALUE"""),"Yes")</f>
        <v>Yes</v>
      </c>
      <c r="U84" s="5" t="str">
        <f ca="1">IFERROR(__xludf.DUMMYFUNCTION("""COMPUTED_VALUE"""),"Yes")</f>
        <v>Yes</v>
      </c>
      <c r="V84" s="5" t="str">
        <f ca="1">IFERROR(__xludf.DUMMYFUNCTION("""COMPUTED_VALUE"""),"Yes")</f>
        <v>Yes</v>
      </c>
      <c r="W84" s="5" t="str">
        <f ca="1">IFERROR(__xludf.DUMMYFUNCTION("""COMPUTED_VALUE"""),"Yes")</f>
        <v>Yes</v>
      </c>
      <c r="X84" s="5" t="str">
        <f ca="1">IFERROR(__xludf.DUMMYFUNCTION("""COMPUTED_VALUE"""),"Yes")</f>
        <v>Yes</v>
      </c>
      <c r="Y84" s="5" t="str">
        <f ca="1">IFERROR(__xludf.DUMMYFUNCTION("""COMPUTED_VALUE"""),"Yes")</f>
        <v>Yes</v>
      </c>
      <c r="Z84" s="5" t="str">
        <f ca="1">IFERROR(__xludf.DUMMYFUNCTION("""COMPUTED_VALUE"""),"Yes")</f>
        <v>Yes</v>
      </c>
      <c r="AA84" s="5" t="str">
        <f ca="1">IFERROR(__xludf.DUMMYFUNCTION("""COMPUTED_VALUE"""),"Yes")</f>
        <v>Yes</v>
      </c>
      <c r="AB84" s="5" t="str">
        <f ca="1">IFERROR(__xludf.DUMMYFUNCTION("""COMPUTED_VALUE"""),"Yes")</f>
        <v>Yes</v>
      </c>
      <c r="AC84" s="5" t="str">
        <f ca="1">IFERROR(__xludf.DUMMYFUNCTION("""COMPUTED_VALUE"""),"Yes")</f>
        <v>Yes</v>
      </c>
      <c r="AD84" s="5" t="str">
        <f ca="1">IFERROR(__xludf.DUMMYFUNCTION("""COMPUTED_VALUE"""),"Yes")</f>
        <v>Yes</v>
      </c>
      <c r="AE84" s="5" t="str">
        <f ca="1">IFERROR(__xludf.DUMMYFUNCTION("""COMPUTED_VALUE"""),"Yes")</f>
        <v>Yes</v>
      </c>
      <c r="AF84" s="5" t="str">
        <f ca="1">IFERROR(__xludf.DUMMYFUNCTION("""COMPUTED_VALUE"""),"Yes")</f>
        <v>Yes</v>
      </c>
      <c r="AG84" s="5" t="str">
        <f ca="1">IFERROR(__xludf.DUMMYFUNCTION("""COMPUTED_VALUE"""),"Yes")</f>
        <v>Yes</v>
      </c>
      <c r="AH84" s="5" t="str">
        <f ca="1">IFERROR(__xludf.DUMMYFUNCTION("""COMPUTED_VALUE"""),"Yes")</f>
        <v>Yes</v>
      </c>
      <c r="AI84" s="5" t="str">
        <f ca="1">IFERROR(__xludf.DUMMYFUNCTION("""COMPUTED_VALUE"""),"Yes")</f>
        <v>Yes</v>
      </c>
      <c r="AJ84" s="5" t="str">
        <f ca="1">IFERROR(__xludf.DUMMYFUNCTION("""COMPUTED_VALUE"""),"Yes")</f>
        <v>Yes</v>
      </c>
      <c r="AK84" s="5" t="str">
        <f ca="1">IFERROR(__xludf.DUMMYFUNCTION("""COMPUTED_VALUE"""),"Yes")</f>
        <v>Yes</v>
      </c>
      <c r="AL84" s="5" t="str">
        <f ca="1">IFERROR(__xludf.DUMMYFUNCTION("""COMPUTED_VALUE"""),"Yes")</f>
        <v>Yes</v>
      </c>
      <c r="AM84" s="5" t="str">
        <f ca="1">IFERROR(__xludf.DUMMYFUNCTION("""COMPUTED_VALUE"""),"Yes")</f>
        <v>Yes</v>
      </c>
      <c r="AN84" s="5" t="str">
        <f ca="1">IFERROR(__xludf.DUMMYFUNCTION("""COMPUTED_VALUE"""),"Yes")</f>
        <v>Yes</v>
      </c>
      <c r="AO84" s="5" t="str">
        <f ca="1">IFERROR(__xludf.DUMMYFUNCTION("""COMPUTED_VALUE"""),"Yes")</f>
        <v>Yes</v>
      </c>
      <c r="AP84" s="5" t="str">
        <f ca="1">IFERROR(__xludf.DUMMYFUNCTION("""COMPUTED_VALUE"""),"Yes")</f>
        <v>Yes</v>
      </c>
      <c r="AQ84" s="5" t="str">
        <f ca="1">IFERROR(__xludf.DUMMYFUNCTION("""COMPUTED_VALUE"""),"Yes")</f>
        <v>Yes</v>
      </c>
      <c r="AR84" s="5" t="str">
        <f ca="1">IFERROR(__xludf.DUMMYFUNCTION("""COMPUTED_VALUE"""),"Yes")</f>
        <v>Yes</v>
      </c>
      <c r="AS84" s="5" t="str">
        <f ca="1">IFERROR(__xludf.DUMMYFUNCTION("""COMPUTED_VALUE"""),"Yes")</f>
        <v>Yes</v>
      </c>
      <c r="AT84" s="5" t="str">
        <f ca="1">IFERROR(__xludf.DUMMYFUNCTION("""COMPUTED_VALUE"""),"No")</f>
        <v>No</v>
      </c>
      <c r="AU84" s="5"/>
    </row>
    <row r="85" spans="1:47" x14ac:dyDescent="0.25">
      <c r="A85" s="5" t="str">
        <f ca="1">IFERROR(__xludf.DUMMYFUNCTION("""COMPUTED_VALUE"""),"Foxi")</f>
        <v>Foxi</v>
      </c>
      <c r="B85" s="5" t="str">
        <f ca="1">IFERROR(__xludf.DUMMYFUNCTION("""COMPUTED_VALUE"""),"Power Of The Great")</f>
        <v>Power Of The Great</v>
      </c>
      <c r="C85" s="5" t="str">
        <f ca="1">IFERROR(__xludf.DUMMYFUNCTION("""COMPUTED_VALUE"""),"PowerOfTheGreat")</f>
        <v>PowerOfTheGreat</v>
      </c>
      <c r="D85" s="6">
        <f ca="1">IFERROR(__xludf.DUMMYFUNCTION("""COMPUTED_VALUE"""),44875)</f>
        <v>44875</v>
      </c>
      <c r="E85" s="5" t="str">
        <f ca="1">IFERROR(__xludf.DUMMYFUNCTION("""COMPUTED_VALUE"""),"Slot")</f>
        <v>Slot</v>
      </c>
      <c r="F85" s="5">
        <f ca="1">IFERROR(__xludf.DUMMYFUNCTION("""COMPUTED_VALUE"""),34.7)</f>
        <v>34.700000000000003</v>
      </c>
      <c r="G85" s="5" t="str">
        <f ca="1">IFERROR(__xludf.DUMMYFUNCTION("""COMPUTED_VALUE"""),"5x3")</f>
        <v>5x3</v>
      </c>
      <c r="H85" s="5" t="str">
        <f ca="1">IFERROR(__xludf.DUMMYFUNCTION("""COMPUTED_VALUE"""),"20")</f>
        <v>20</v>
      </c>
      <c r="I85" s="5" t="str">
        <f ca="1">IFERROR(__xludf.DUMMYFUNCTION("""COMPUTED_VALUE"""),"20")</f>
        <v>20</v>
      </c>
      <c r="J85" s="5" t="str">
        <f ca="1">IFERROR(__xludf.DUMMYFUNCTION("""COMPUTED_VALUE"""),"95.952%")</f>
        <v>95.952%</v>
      </c>
      <c r="K85" s="5" t="str">
        <f ca="1">IFERROR(__xludf.DUMMYFUNCTION("""COMPUTED_VALUE"""),"Medium")</f>
        <v>Medium</v>
      </c>
      <c r="L85" s="5" t="str">
        <f ca="1">IFERROR(__xludf.DUMMYFUNCTION("""COMPUTED_VALUE"""),"43.77%")</f>
        <v>43.77%</v>
      </c>
      <c r="M85" s="5" t="str">
        <f ca="1">IFERROR(__xludf.DUMMYFUNCTION("""COMPUTED_VALUE"""),"x3910")</f>
        <v>x3910</v>
      </c>
      <c r="N85" s="5" t="str">
        <f ca="1">IFERROR(__xludf.DUMMYFUNCTION("""COMPUTED_VALUE"""),"0.2/50")</f>
        <v>0.2/50</v>
      </c>
      <c r="O85" s="5" t="str">
        <f ca="1">IFERROR(__xludf.DUMMYFUNCTION("""COMPUTED_VALUE"""),"Yes")</f>
        <v>Yes</v>
      </c>
      <c r="P85" s="5" t="str">
        <f ca="1">IFERROR(__xludf.DUMMYFUNCTION("""COMPUTED_VALUE"""),"Wild Symbol, Bonus Game with Free Spins, Cascade Game, Increasing Multiplier")</f>
        <v>Wild Symbol, Bonus Game with Free Spins, Cascade Game, Increasing Multiplier</v>
      </c>
      <c r="Q85" s="7" t="str">
        <f ca="1">IFERROR(__xludf.DUMMYFUNCTION("""COMPUTED_VALUE"""),"https://gameserver-store-client-area.orbionlimited.com/Home/IntegrationGameLaunch/client-area?moneyType=0&amp;gameName=PowerOfTheGreat&amp;platform=desktop&amp;languageCode=eng&amp;currency=EUR")</f>
        <v>https://gameserver-store-client-area.orbionlimited.com/Home/IntegrationGameLaunch/client-area?moneyType=0&amp;gameName=PowerOfTheGreat&amp;platform=desktop&amp;languageCode=eng&amp;currency=EUR</v>
      </c>
      <c r="R85" s="5" t="str">
        <f ca="1">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S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IFERROR(__xludf.DUMMYFUNCTION("""COMPUTED_VALUE"""),"Yes")</f>
        <v>Yes</v>
      </c>
      <c r="X85" s="5" t="str">
        <f ca="1">IFERROR(__xludf.DUMMYFUNCTION("""COMPUTED_VALUE"""),"Yes")</f>
        <v>Yes</v>
      </c>
      <c r="Y85" s="5" t="str">
        <f ca="1">IFERROR(__xludf.DUMMYFUNCTION("""COMPUTED_VALUE"""),"Yes")</f>
        <v>Yes</v>
      </c>
      <c r="Z85" s="5" t="str">
        <f ca="1">IFERROR(__xludf.DUMMYFUNCTION("""COMPUTED_VALUE"""),"Yes")</f>
        <v>Yes</v>
      </c>
      <c r="AA85" s="5" t="str">
        <f ca="1">IFERROR(__xludf.DUMMYFUNCTION("""COMPUTED_VALUE"""),"Yes")</f>
        <v>Yes</v>
      </c>
      <c r="AB85" s="5" t="str">
        <f ca="1">IFERROR(__xludf.DUMMYFUNCTION("""COMPUTED_VALUE"""),"Yes")</f>
        <v>Yes</v>
      </c>
      <c r="AC85" s="5" t="str">
        <f ca="1">IFERROR(__xludf.DUMMYFUNCTION("""COMPUTED_VALUE"""),"Yes")</f>
        <v>Yes</v>
      </c>
      <c r="AD85" s="5" t="str">
        <f ca="1">IFERROR(__xludf.DUMMYFUNCTION("""COMPUTED_VALUE"""),"Yes")</f>
        <v>Yes</v>
      </c>
      <c r="AE85" s="5" t="str">
        <f ca="1">IFERROR(__xludf.DUMMYFUNCTION("""COMPUTED_VALUE"""),"Yes")</f>
        <v>Yes</v>
      </c>
      <c r="AF85" s="5" t="str">
        <f ca="1">IFERROR(__xludf.DUMMYFUNCTION("""COMPUTED_VALUE"""),"Yes")</f>
        <v>Yes</v>
      </c>
      <c r="AG85" s="5" t="str">
        <f ca="1">IFERROR(__xludf.DUMMYFUNCTION("""COMPUTED_VALUE"""),"Yes")</f>
        <v>Yes</v>
      </c>
      <c r="AH85" s="5" t="str">
        <f ca="1">IFERROR(__xludf.DUMMYFUNCTION("""COMPUTED_VALUE"""),"Yes")</f>
        <v>Yes</v>
      </c>
      <c r="AI85" s="5" t="str">
        <f ca="1">IFERROR(__xludf.DUMMYFUNCTION("""COMPUTED_VALUE"""),"Yes")</f>
        <v>Yes</v>
      </c>
      <c r="AJ85" s="5" t="str">
        <f ca="1">IFERROR(__xludf.DUMMYFUNCTION("""COMPUTED_VALUE"""),"Yes")</f>
        <v>Yes</v>
      </c>
      <c r="AK85" s="5" t="str">
        <f ca="1">IFERROR(__xludf.DUMMYFUNCTION("""COMPUTED_VALUE"""),"Yes")</f>
        <v>Yes</v>
      </c>
      <c r="AL85" s="5" t="str">
        <f ca="1">IFERROR(__xludf.DUMMYFUNCTION("""COMPUTED_VALUE"""),"Yes")</f>
        <v>Yes</v>
      </c>
      <c r="AM85" s="5" t="str">
        <f ca="1">IFERROR(__xludf.DUMMYFUNCTION("""COMPUTED_VALUE"""),"Yes")</f>
        <v>Yes</v>
      </c>
      <c r="AN85" s="5" t="str">
        <f ca="1">IFERROR(__xludf.DUMMYFUNCTION("""COMPUTED_VALUE"""),"Yes")</f>
        <v>Yes</v>
      </c>
      <c r="AO85" s="5" t="str">
        <f ca="1">IFERROR(__xludf.DUMMYFUNCTION("""COMPUTED_VALUE"""),"Yes")</f>
        <v>Yes</v>
      </c>
      <c r="AP85" s="5" t="str">
        <f ca="1">IFERROR(__xludf.DUMMYFUNCTION("""COMPUTED_VALUE"""),"Yes")</f>
        <v>Yes</v>
      </c>
      <c r="AQ85" s="5" t="str">
        <f ca="1">IFERROR(__xludf.DUMMYFUNCTION("""COMPUTED_VALUE"""),"Yes")</f>
        <v>Yes</v>
      </c>
      <c r="AR85" s="5" t="str">
        <f ca="1">IFERROR(__xludf.DUMMYFUNCTION("""COMPUTED_VALUE"""),"Yes")</f>
        <v>Yes</v>
      </c>
      <c r="AS85" s="5" t="str">
        <f ca="1">IFERROR(__xludf.DUMMYFUNCTION("""COMPUTED_VALUE"""),"Yes")</f>
        <v>Yes</v>
      </c>
      <c r="AT85" s="5" t="str">
        <f ca="1">IFERROR(__xludf.DUMMYFUNCTION("""COMPUTED_VALUE"""),"No")</f>
        <v>No</v>
      </c>
      <c r="AU85" s="5"/>
    </row>
    <row r="86" spans="1:47" x14ac:dyDescent="0.25">
      <c r="A86" s="5" t="str">
        <f ca="1">IFERROR(__xludf.DUMMYFUNCTION("""COMPUTED_VALUE"""),"Foxi")</f>
        <v>Foxi</v>
      </c>
      <c r="B86" s="5" t="str">
        <f ca="1">IFERROR(__xludf.DUMMYFUNCTION("""COMPUTED_VALUE"""),"Very Hot 40 Dice")</f>
        <v>Very Hot 40 Dice</v>
      </c>
      <c r="C86" s="5" t="str">
        <f ca="1">IFERROR(__xludf.DUMMYFUNCTION("""COMPUTED_VALUE"""),"VeryHot40Dice")</f>
        <v>VeryHot40Dice</v>
      </c>
      <c r="D86" s="6">
        <f ca="1">IFERROR(__xludf.DUMMYFUNCTION("""COMPUTED_VALUE"""),44839)</f>
        <v>44839</v>
      </c>
      <c r="E86" s="5" t="str">
        <f ca="1">IFERROR(__xludf.DUMMYFUNCTION("""COMPUTED_VALUE"""),"Slot")</f>
        <v>Slot</v>
      </c>
      <c r="F86" s="5">
        <f ca="1">IFERROR(__xludf.DUMMYFUNCTION("""COMPUTED_VALUE"""),17.4)</f>
        <v>17.399999999999999</v>
      </c>
      <c r="G86" s="5" t="str">
        <f ca="1">IFERROR(__xludf.DUMMYFUNCTION("""COMPUTED_VALUE"""),"5x3")</f>
        <v>5x3</v>
      </c>
      <c r="H86" s="5" t="str">
        <f ca="1">IFERROR(__xludf.DUMMYFUNCTION("""COMPUTED_VALUE"""),"40")</f>
        <v>40</v>
      </c>
      <c r="I86" s="5" t="str">
        <f ca="1">IFERROR(__xludf.DUMMYFUNCTION("""COMPUTED_VALUE"""),"40")</f>
        <v>40</v>
      </c>
      <c r="J86" s="5" t="str">
        <f ca="1">IFERROR(__xludf.DUMMYFUNCTION("""COMPUTED_VALUE"""),"96.53%")</f>
        <v>96.53%</v>
      </c>
      <c r="K86" s="5" t="str">
        <f ca="1">IFERROR(__xludf.DUMMYFUNCTION("""COMPUTED_VALUE"""),"Low")</f>
        <v>Low</v>
      </c>
      <c r="L86" s="5" t="str">
        <f ca="1">IFERROR(__xludf.DUMMYFUNCTION("""COMPUTED_VALUE"""),"23.38%")</f>
        <v>23.38%</v>
      </c>
      <c r="M86" s="5" t="str">
        <f ca="1">IFERROR(__xludf.DUMMYFUNCTION("""COMPUTED_VALUE"""),"x876.75")</f>
        <v>x876.75</v>
      </c>
      <c r="N86" s="5" t="str">
        <f ca="1">IFERROR(__xludf.DUMMYFUNCTION("""COMPUTED_VALUE"""),"0.4/60")</f>
        <v>0.4/60</v>
      </c>
      <c r="O86" s="5" t="str">
        <f ca="1">IFERROR(__xludf.DUMMYFUNCTION("""COMPUTED_VALUE"""),"Yes")</f>
        <v>Yes</v>
      </c>
      <c r="P86" s="5" t="str">
        <f ca="1">IFERROR(__xludf.DUMMYFUNCTION("""COMPUTED_VALUE"""),"Expanding Wild, Scatter")</f>
        <v>Expanding Wild, Scatter</v>
      </c>
      <c r="Q86" s="7" t="str">
        <f ca="1">IFERROR(__xludf.DUMMYFUNCTION("""COMPUTED_VALUE"""),"https://gameserver-store-client-area.orbionlimited.com/Home/IntegrationGameLaunch/client-area?moneyType=0&amp;gameName=VeryHot40Dice&amp;platform=desktop&amp;languageCode=eng&amp;currency=EUR")</f>
        <v>https://gameserver-store-client-area.orbionlimited.com/Home/IntegrationGameLaunch/client-area?moneyType=0&amp;gameName=VeryHot40Dice&amp;platform=desktop&amp;languageCode=eng&amp;currency=EUR</v>
      </c>
      <c r="R86" s="5" t="str">
        <f ca="1">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S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IFERROR(__xludf.DUMMYFUNCTION("""COMPUTED_VALUE"""),"Yes")</f>
        <v>Yes</v>
      </c>
      <c r="X86" s="5" t="str">
        <f ca="1">IFERROR(__xludf.DUMMYFUNCTION("""COMPUTED_VALUE"""),"Yes")</f>
        <v>Yes</v>
      </c>
      <c r="Y86" s="5" t="str">
        <f ca="1">IFERROR(__xludf.DUMMYFUNCTION("""COMPUTED_VALUE"""),"Yes")</f>
        <v>Yes</v>
      </c>
      <c r="Z86" s="5" t="str">
        <f ca="1">IFERROR(__xludf.DUMMYFUNCTION("""COMPUTED_VALUE"""),"Yes")</f>
        <v>Yes</v>
      </c>
      <c r="AA86" s="5" t="str">
        <f ca="1">IFERROR(__xludf.DUMMYFUNCTION("""COMPUTED_VALUE"""),"Yes")</f>
        <v>Yes</v>
      </c>
      <c r="AB86" s="5" t="str">
        <f ca="1">IFERROR(__xludf.DUMMYFUNCTION("""COMPUTED_VALUE"""),"Yes")</f>
        <v>Yes</v>
      </c>
      <c r="AC86" s="5" t="str">
        <f ca="1">IFERROR(__xludf.DUMMYFUNCTION("""COMPUTED_VALUE"""),"Yes")</f>
        <v>Yes</v>
      </c>
      <c r="AD86" s="5" t="str">
        <f ca="1">IFERROR(__xludf.DUMMYFUNCTION("""COMPUTED_VALUE"""),"Yes")</f>
        <v>Yes</v>
      </c>
      <c r="AE86" s="5" t="str">
        <f ca="1">IFERROR(__xludf.DUMMYFUNCTION("""COMPUTED_VALUE"""),"Yes")</f>
        <v>Yes</v>
      </c>
      <c r="AF86" s="5" t="str">
        <f ca="1">IFERROR(__xludf.DUMMYFUNCTION("""COMPUTED_VALUE"""),"Yes")</f>
        <v>Yes</v>
      </c>
      <c r="AG86" s="5" t="str">
        <f ca="1">IFERROR(__xludf.DUMMYFUNCTION("""COMPUTED_VALUE"""),"Yes")</f>
        <v>Yes</v>
      </c>
      <c r="AH86" s="5" t="str">
        <f ca="1">IFERROR(__xludf.DUMMYFUNCTION("""COMPUTED_VALUE"""),"Yes")</f>
        <v>Yes</v>
      </c>
      <c r="AI86" s="5" t="str">
        <f ca="1">IFERROR(__xludf.DUMMYFUNCTION("""COMPUTED_VALUE"""),"Yes")</f>
        <v>Yes</v>
      </c>
      <c r="AJ86" s="5" t="str">
        <f ca="1">IFERROR(__xludf.DUMMYFUNCTION("""COMPUTED_VALUE"""),"Yes")</f>
        <v>Yes</v>
      </c>
      <c r="AK86" s="5" t="str">
        <f ca="1">IFERROR(__xludf.DUMMYFUNCTION("""COMPUTED_VALUE"""),"Yes")</f>
        <v>Yes</v>
      </c>
      <c r="AL86" s="5" t="str">
        <f ca="1">IFERROR(__xludf.DUMMYFUNCTION("""COMPUTED_VALUE"""),"Yes")</f>
        <v>Yes</v>
      </c>
      <c r="AM86" s="5" t="str">
        <f ca="1">IFERROR(__xludf.DUMMYFUNCTION("""COMPUTED_VALUE"""),"Yes")</f>
        <v>Yes</v>
      </c>
      <c r="AN86" s="5" t="str">
        <f ca="1">IFERROR(__xludf.DUMMYFUNCTION("""COMPUTED_VALUE"""),"Yes")</f>
        <v>Yes</v>
      </c>
      <c r="AO86" s="5" t="str">
        <f ca="1">IFERROR(__xludf.DUMMYFUNCTION("""COMPUTED_VALUE"""),"Yes")</f>
        <v>Yes</v>
      </c>
      <c r="AP86" s="5" t="str">
        <f ca="1">IFERROR(__xludf.DUMMYFUNCTION("""COMPUTED_VALUE"""),"Yes")</f>
        <v>Yes</v>
      </c>
      <c r="AQ86" s="5" t="str">
        <f ca="1">IFERROR(__xludf.DUMMYFUNCTION("""COMPUTED_VALUE"""),"Yes")</f>
        <v>Yes</v>
      </c>
      <c r="AR86" s="5" t="str">
        <f ca="1">IFERROR(__xludf.DUMMYFUNCTION("""COMPUTED_VALUE"""),"Yes")</f>
        <v>Yes</v>
      </c>
      <c r="AS86" s="5" t="str">
        <f ca="1">IFERROR(__xludf.DUMMYFUNCTION("""COMPUTED_VALUE"""),"Yes")</f>
        <v>Yes</v>
      </c>
      <c r="AT86" s="5" t="str">
        <f ca="1">IFERROR(__xludf.DUMMYFUNCTION("""COMPUTED_VALUE"""),"No")</f>
        <v>No</v>
      </c>
      <c r="AU86" s="5"/>
    </row>
    <row r="87" spans="1:47" x14ac:dyDescent="0.25">
      <c r="A87" s="5" t="str">
        <f ca="1">IFERROR(__xludf.DUMMYFUNCTION("""COMPUTED_VALUE"""),"Foxi")</f>
        <v>Foxi</v>
      </c>
      <c r="B87" s="5" t="str">
        <f ca="1">IFERROR(__xludf.DUMMYFUNCTION("""COMPUTED_VALUE"""),"Wild Lucky Clover")</f>
        <v>Wild Lucky Clover</v>
      </c>
      <c r="C87" s="5" t="str">
        <f ca="1">IFERROR(__xludf.DUMMYFUNCTION("""COMPUTED_VALUE"""),"WildLuckyClover")</f>
        <v>WildLuckyClover</v>
      </c>
      <c r="D87" s="6">
        <f ca="1">IFERROR(__xludf.DUMMYFUNCTION("""COMPUTED_VALUE"""),44833)</f>
        <v>44833</v>
      </c>
      <c r="E87" s="5" t="str">
        <f ca="1">IFERROR(__xludf.DUMMYFUNCTION("""COMPUTED_VALUE"""),"Slot")</f>
        <v>Slot</v>
      </c>
      <c r="F87" s="5">
        <f ca="1">IFERROR(__xludf.DUMMYFUNCTION("""COMPUTED_VALUE"""),31.2)</f>
        <v>31.2</v>
      </c>
      <c r="G87" s="5" t="str">
        <f ca="1">IFERROR(__xludf.DUMMYFUNCTION("""COMPUTED_VALUE"""),"5x4")</f>
        <v>5x4</v>
      </c>
      <c r="H87" s="5" t="str">
        <f ca="1">IFERROR(__xludf.DUMMYFUNCTION("""COMPUTED_VALUE"""),"40")</f>
        <v>40</v>
      </c>
      <c r="I87" s="5" t="str">
        <f ca="1">IFERROR(__xludf.DUMMYFUNCTION("""COMPUTED_VALUE"""),"40")</f>
        <v>40</v>
      </c>
      <c r="J87" s="5" t="str">
        <f ca="1">IFERROR(__xludf.DUMMYFUNCTION("""COMPUTED_VALUE"""),"96.291%")</f>
        <v>96.291%</v>
      </c>
      <c r="K87" s="5" t="str">
        <f ca="1">IFERROR(__xludf.DUMMYFUNCTION("""COMPUTED_VALUE"""),"Medium")</f>
        <v>Medium</v>
      </c>
      <c r="L87" s="5" t="str">
        <f ca="1">IFERROR(__xludf.DUMMYFUNCTION("""COMPUTED_VALUE"""),"12.67%")</f>
        <v>12.67%</v>
      </c>
      <c r="M87" s="5" t="str">
        <f ca="1">IFERROR(__xludf.DUMMYFUNCTION("""COMPUTED_VALUE"""),"x1043")</f>
        <v>x1043</v>
      </c>
      <c r="N87" s="5" t="str">
        <f ca="1">IFERROR(__xludf.DUMMYFUNCTION("""COMPUTED_VALUE"""),"0.40/60")</f>
        <v>0.40/60</v>
      </c>
      <c r="O87" s="5" t="str">
        <f ca="1">IFERROR(__xludf.DUMMYFUNCTION("""COMPUTED_VALUE"""),"Yes")</f>
        <v>Yes</v>
      </c>
      <c r="P87" s="5" t="str">
        <f ca="1">IFERROR(__xludf.DUMMYFUNCTION("""COMPUTED_VALUE"""),"Buy Bonus, Bonus Game with Free Spins, Converting Wild, Wild Symbol")</f>
        <v>Buy Bonus, Bonus Game with Free Spins, Converting Wild, Wild Symbol</v>
      </c>
      <c r="Q87" s="7" t="str">
        <f ca="1">IFERROR(__xludf.DUMMYFUNCTION("""COMPUTED_VALUE"""),"https://gameserver-store-client-area.orbionlimited.com/Home/IntegrationGameLaunch/client-area?moneyType=0&amp;gameName=WildLuckyClover&amp;platform=desktop&amp;languageCode=eng&amp;currency=EUR")</f>
        <v>https://gameserver-store-client-area.orbionlimited.com/Home/IntegrationGameLaunch/client-area?moneyType=0&amp;gameName=WildLuckyClover&amp;platform=desktop&amp;languageCode=eng&amp;currency=EUR</v>
      </c>
      <c r="R87" s="5" t="str">
        <f ca="1">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S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7" s="5" t="str">
        <f ca="1">IFERROR(__xludf.DUMMYFUNCTION("""COMPUTED_VALUE"""),"Yes")</f>
        <v>Yes</v>
      </c>
      <c r="U87" s="5" t="str">
        <f ca="1">IFERROR(__xludf.DUMMYFUNCTION("""COMPUTED_VALUE"""),"Yes")</f>
        <v>Yes</v>
      </c>
      <c r="V87" s="5" t="str">
        <f ca="1">IFERROR(__xludf.DUMMYFUNCTION("""COMPUTED_VALUE"""),"Yes")</f>
        <v>Yes</v>
      </c>
      <c r="W87" s="5" t="str">
        <f ca="1">IFERROR(__xludf.DUMMYFUNCTION("""COMPUTED_VALUE"""),"Yes")</f>
        <v>Yes</v>
      </c>
      <c r="X87" s="5" t="str">
        <f ca="1">IFERROR(__xludf.DUMMYFUNCTION("""COMPUTED_VALUE"""),"Yes")</f>
        <v>Yes</v>
      </c>
      <c r="Y87" s="5" t="str">
        <f ca="1">IFERROR(__xludf.DUMMYFUNCTION("""COMPUTED_VALUE"""),"Yes")</f>
        <v>Yes</v>
      </c>
      <c r="Z87" s="5" t="str">
        <f ca="1">IFERROR(__xludf.DUMMYFUNCTION("""COMPUTED_VALUE"""),"Yes")</f>
        <v>Yes</v>
      </c>
      <c r="AA87" s="5" t="str">
        <f ca="1">IFERROR(__xludf.DUMMYFUNCTION("""COMPUTED_VALUE"""),"Yes")</f>
        <v>Yes</v>
      </c>
      <c r="AB87" s="5" t="str">
        <f ca="1">IFERROR(__xludf.DUMMYFUNCTION("""COMPUTED_VALUE"""),"Yes")</f>
        <v>Yes</v>
      </c>
      <c r="AC87" s="5" t="str">
        <f ca="1">IFERROR(__xludf.DUMMYFUNCTION("""COMPUTED_VALUE"""),"Yes")</f>
        <v>Yes</v>
      </c>
      <c r="AD87" s="5" t="str">
        <f ca="1">IFERROR(__xludf.DUMMYFUNCTION("""COMPUTED_VALUE"""),"Yes")</f>
        <v>Yes</v>
      </c>
      <c r="AE87" s="5" t="str">
        <f ca="1">IFERROR(__xludf.DUMMYFUNCTION("""COMPUTED_VALUE"""),"Yes")</f>
        <v>Yes</v>
      </c>
      <c r="AF87" s="5" t="str">
        <f ca="1">IFERROR(__xludf.DUMMYFUNCTION("""COMPUTED_VALUE"""),"Yes")</f>
        <v>Yes</v>
      </c>
      <c r="AG87" s="5" t="str">
        <f ca="1">IFERROR(__xludf.DUMMYFUNCTION("""COMPUTED_VALUE"""),"Yes")</f>
        <v>Yes</v>
      </c>
      <c r="AH87" s="5" t="str">
        <f ca="1">IFERROR(__xludf.DUMMYFUNCTION("""COMPUTED_VALUE"""),"Yes")</f>
        <v>Yes</v>
      </c>
      <c r="AI87" s="5" t="str">
        <f ca="1">IFERROR(__xludf.DUMMYFUNCTION("""COMPUTED_VALUE"""),"Yes")</f>
        <v>Yes</v>
      </c>
      <c r="AJ87" s="5" t="str">
        <f ca="1">IFERROR(__xludf.DUMMYFUNCTION("""COMPUTED_VALUE"""),"Yes")</f>
        <v>Yes</v>
      </c>
      <c r="AK87" s="5" t="str">
        <f ca="1">IFERROR(__xludf.DUMMYFUNCTION("""COMPUTED_VALUE"""),"Yes")</f>
        <v>Yes</v>
      </c>
      <c r="AL87" s="5" t="str">
        <f ca="1">IFERROR(__xludf.DUMMYFUNCTION("""COMPUTED_VALUE"""),"Yes")</f>
        <v>Yes</v>
      </c>
      <c r="AM87" s="5" t="str">
        <f ca="1">IFERROR(__xludf.DUMMYFUNCTION("""COMPUTED_VALUE"""),"Yes")</f>
        <v>Yes</v>
      </c>
      <c r="AN87" s="5" t="str">
        <f ca="1">IFERROR(__xludf.DUMMYFUNCTION("""COMPUTED_VALUE"""),"Yes")</f>
        <v>Yes</v>
      </c>
      <c r="AO87" s="5" t="str">
        <f ca="1">IFERROR(__xludf.DUMMYFUNCTION("""COMPUTED_VALUE"""),"Yes")</f>
        <v>Yes</v>
      </c>
      <c r="AP87" s="5" t="str">
        <f ca="1">IFERROR(__xludf.DUMMYFUNCTION("""COMPUTED_VALUE"""),"Yes")</f>
        <v>Yes</v>
      </c>
      <c r="AQ87" s="5" t="str">
        <f ca="1">IFERROR(__xludf.DUMMYFUNCTION("""COMPUTED_VALUE"""),"Yes")</f>
        <v>Yes</v>
      </c>
      <c r="AR87" s="5" t="str">
        <f ca="1">IFERROR(__xludf.DUMMYFUNCTION("""COMPUTED_VALUE"""),"Yes")</f>
        <v>Yes</v>
      </c>
      <c r="AS87" s="5" t="str">
        <f ca="1">IFERROR(__xludf.DUMMYFUNCTION("""COMPUTED_VALUE"""),"Yes")</f>
        <v>Yes</v>
      </c>
      <c r="AT87" s="5" t="str">
        <f ca="1">IFERROR(__xludf.DUMMYFUNCTION("""COMPUTED_VALUE"""),"No")</f>
        <v>No</v>
      </c>
      <c r="AU87" s="5"/>
    </row>
    <row r="88" spans="1:47" x14ac:dyDescent="0.25">
      <c r="A88" s="5" t="str">
        <f ca="1">IFERROR(__xludf.DUMMYFUNCTION("""COMPUTED_VALUE"""),"Foxi")</f>
        <v>Foxi</v>
      </c>
      <c r="B88" s="5" t="str">
        <f ca="1">IFERROR(__xludf.DUMMYFUNCTION("""COMPUTED_VALUE"""),"Fruits And Stars 20 Deluxe")</f>
        <v>Fruits And Stars 20 Deluxe</v>
      </c>
      <c r="C88" s="5" t="str">
        <f ca="1">IFERROR(__xludf.DUMMYFUNCTION("""COMPUTED_VALUE"""),"FruitsAndStars20Deluxe")</f>
        <v>FruitsAndStars20Deluxe</v>
      </c>
      <c r="D88" s="6">
        <f ca="1">IFERROR(__xludf.DUMMYFUNCTION("""COMPUTED_VALUE"""),44978)</f>
        <v>44978</v>
      </c>
      <c r="E88" s="5" t="str">
        <f ca="1">IFERROR(__xludf.DUMMYFUNCTION("""COMPUTED_VALUE"""),"Slot")</f>
        <v>Slot</v>
      </c>
      <c r="F88" s="5">
        <f ca="1">IFERROR(__xludf.DUMMYFUNCTION("""COMPUTED_VALUE"""),11.5)</f>
        <v>11.5</v>
      </c>
      <c r="G88" s="5" t="str">
        <f ca="1">IFERROR(__xludf.DUMMYFUNCTION("""COMPUTED_VALUE"""),"5x3")</f>
        <v>5x3</v>
      </c>
      <c r="H88" s="5" t="str">
        <f ca="1">IFERROR(__xludf.DUMMYFUNCTION("""COMPUTED_VALUE"""),"20")</f>
        <v>20</v>
      </c>
      <c r="I88" s="5" t="str">
        <f ca="1">IFERROR(__xludf.DUMMYFUNCTION("""COMPUTED_VALUE"""),"20")</f>
        <v>20</v>
      </c>
      <c r="J88" s="5" t="str">
        <f ca="1">IFERROR(__xludf.DUMMYFUNCTION("""COMPUTED_VALUE"""),"96.5%")</f>
        <v>96.5%</v>
      </c>
      <c r="K88" s="5" t="str">
        <f ca="1">IFERROR(__xludf.DUMMYFUNCTION("""COMPUTED_VALUE"""),"Low")</f>
        <v>Low</v>
      </c>
      <c r="L88" s="5" t="str">
        <f ca="1">IFERROR(__xludf.DUMMYFUNCTION("""COMPUTED_VALUE"""),"17.481%")</f>
        <v>17.481%</v>
      </c>
      <c r="M88" s="5" t="str">
        <f ca="1">IFERROR(__xludf.DUMMYFUNCTION("""COMPUTED_VALUE"""),"x1000")</f>
        <v>x1000</v>
      </c>
      <c r="N88" s="5" t="str">
        <f ca="1">IFERROR(__xludf.DUMMYFUNCTION("""COMPUTED_VALUE"""),"0.2/50")</f>
        <v>0.2/50</v>
      </c>
      <c r="O88" s="5" t="str">
        <f ca="1">IFERROR(__xludf.DUMMYFUNCTION("""COMPUTED_VALUE"""),"Yes")</f>
        <v>Yes</v>
      </c>
      <c r="P88" s="5" t="str">
        <f ca="1">IFERROR(__xludf.DUMMYFUNCTION("""COMPUTED_VALUE"""),"Scatter, Wild Symbol")</f>
        <v>Scatter, Wild Symbol</v>
      </c>
      <c r="Q88" s="7" t="str">
        <f ca="1">IFERROR(__xludf.DUMMYFUNCTION("""COMPUTED_VALUE"""),"https://gameserver-store-client-area.orbionlimited.com/Home/IntegrationGameLaunch/client-area?moneyType=0&amp;gameName=FruitsAndStars20Deluxe&amp;platform=desktop&amp;languageCode=eng&amp;currency=EUR")</f>
        <v>https://gameserver-store-client-area.orbionlimited.com/Home/IntegrationGameLaunch/client-area?moneyType=0&amp;gameName=FruitsAndStars20Deluxe&amp;platform=desktop&amp;languageCode=eng&amp;currency=EUR</v>
      </c>
      <c r="R88" s="5" t="str">
        <f ca="1">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S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8" s="5" t="str">
        <f ca="1">IFERROR(__xludf.DUMMYFUNCTION("""COMPUTED_VALUE"""),"Yes")</f>
        <v>Yes</v>
      </c>
      <c r="U88" s="5" t="str">
        <f ca="1">IFERROR(__xludf.DUMMYFUNCTION("""COMPUTED_VALUE"""),"Yes")</f>
        <v>Yes</v>
      </c>
      <c r="V88" s="5" t="str">
        <f ca="1">IFERROR(__xludf.DUMMYFUNCTION("""COMPUTED_VALUE"""),"Yes")</f>
        <v>Yes</v>
      </c>
      <c r="W88" s="5" t="str">
        <f ca="1">IFERROR(__xludf.DUMMYFUNCTION("""COMPUTED_VALUE"""),"Yes")</f>
        <v>Yes</v>
      </c>
      <c r="X88" s="5" t="str">
        <f ca="1">IFERROR(__xludf.DUMMYFUNCTION("""COMPUTED_VALUE"""),"Yes")</f>
        <v>Yes</v>
      </c>
      <c r="Y88" s="5" t="str">
        <f ca="1">IFERROR(__xludf.DUMMYFUNCTION("""COMPUTED_VALUE"""),"Yes")</f>
        <v>Yes</v>
      </c>
      <c r="Z88" s="5" t="str">
        <f ca="1">IFERROR(__xludf.DUMMYFUNCTION("""COMPUTED_VALUE"""),"Yes")</f>
        <v>Yes</v>
      </c>
      <c r="AA88" s="5" t="str">
        <f ca="1">IFERROR(__xludf.DUMMYFUNCTION("""COMPUTED_VALUE"""),"Yes")</f>
        <v>Yes</v>
      </c>
      <c r="AB88" s="5" t="str">
        <f ca="1">IFERROR(__xludf.DUMMYFUNCTION("""COMPUTED_VALUE"""),"Yes")</f>
        <v>Yes</v>
      </c>
      <c r="AC88" s="5" t="str">
        <f ca="1">IFERROR(__xludf.DUMMYFUNCTION("""COMPUTED_VALUE"""),"Yes")</f>
        <v>Yes</v>
      </c>
      <c r="AD88" s="5" t="str">
        <f ca="1">IFERROR(__xludf.DUMMYFUNCTION("""COMPUTED_VALUE"""),"Yes")</f>
        <v>Yes</v>
      </c>
      <c r="AE88" s="5" t="str">
        <f ca="1">IFERROR(__xludf.DUMMYFUNCTION("""COMPUTED_VALUE"""),"Yes")</f>
        <v>Yes</v>
      </c>
      <c r="AF88" s="5" t="str">
        <f ca="1">IFERROR(__xludf.DUMMYFUNCTION("""COMPUTED_VALUE"""),"Yes")</f>
        <v>Yes</v>
      </c>
      <c r="AG88" s="5" t="str">
        <f ca="1">IFERROR(__xludf.DUMMYFUNCTION("""COMPUTED_VALUE"""),"Yes")</f>
        <v>Yes</v>
      </c>
      <c r="AH88" s="5" t="str">
        <f ca="1">IFERROR(__xludf.DUMMYFUNCTION("""COMPUTED_VALUE"""),"Yes")</f>
        <v>Yes</v>
      </c>
      <c r="AI88" s="5" t="str">
        <f ca="1">IFERROR(__xludf.DUMMYFUNCTION("""COMPUTED_VALUE"""),"Yes")</f>
        <v>Yes</v>
      </c>
      <c r="AJ88" s="5" t="str">
        <f ca="1">IFERROR(__xludf.DUMMYFUNCTION("""COMPUTED_VALUE"""),"Yes")</f>
        <v>Yes</v>
      </c>
      <c r="AK88" s="5" t="str">
        <f ca="1">IFERROR(__xludf.DUMMYFUNCTION("""COMPUTED_VALUE"""),"Yes")</f>
        <v>Yes</v>
      </c>
      <c r="AL88" s="5" t="str">
        <f ca="1">IFERROR(__xludf.DUMMYFUNCTION("""COMPUTED_VALUE"""),"Yes")</f>
        <v>Yes</v>
      </c>
      <c r="AM88" s="5" t="str">
        <f ca="1">IFERROR(__xludf.DUMMYFUNCTION("""COMPUTED_VALUE"""),"Yes")</f>
        <v>Yes</v>
      </c>
      <c r="AN88" s="5" t="str">
        <f ca="1">IFERROR(__xludf.DUMMYFUNCTION("""COMPUTED_VALUE"""),"Yes")</f>
        <v>Yes</v>
      </c>
      <c r="AO88" s="5" t="str">
        <f ca="1">IFERROR(__xludf.DUMMYFUNCTION("""COMPUTED_VALUE"""),"Yes")</f>
        <v>Yes</v>
      </c>
      <c r="AP88" s="5" t="str">
        <f ca="1">IFERROR(__xludf.DUMMYFUNCTION("""COMPUTED_VALUE"""),"Yes")</f>
        <v>Yes</v>
      </c>
      <c r="AQ88" s="5" t="str">
        <f ca="1">IFERROR(__xludf.DUMMYFUNCTION("""COMPUTED_VALUE"""),"Yes")</f>
        <v>Yes</v>
      </c>
      <c r="AR88" s="5" t="str">
        <f ca="1">IFERROR(__xludf.DUMMYFUNCTION("""COMPUTED_VALUE"""),"Yes")</f>
        <v>Yes</v>
      </c>
      <c r="AS88" s="5" t="str">
        <f ca="1">IFERROR(__xludf.DUMMYFUNCTION("""COMPUTED_VALUE"""),"Yes")</f>
        <v>Yes</v>
      </c>
      <c r="AT88" s="5" t="str">
        <f ca="1">IFERROR(__xludf.DUMMYFUNCTION("""COMPUTED_VALUE"""),"No")</f>
        <v>No</v>
      </c>
      <c r="AU88" s="5"/>
    </row>
    <row r="89" spans="1:47" x14ac:dyDescent="0.25">
      <c r="A89" s="5" t="str">
        <f ca="1">IFERROR(__xludf.DUMMYFUNCTION("""COMPUTED_VALUE"""),"Foxi")</f>
        <v>Foxi</v>
      </c>
      <c r="B89" s="5" t="str">
        <f ca="1">IFERROR(__xludf.DUMMYFUNCTION("""COMPUTED_VALUE"""),"Very Hot 40 Respin")</f>
        <v>Very Hot 40 Respin</v>
      </c>
      <c r="C89" s="5" t="str">
        <f ca="1">IFERROR(__xludf.DUMMYFUNCTION("""COMPUTED_VALUE"""),"VeryHot40Respin")</f>
        <v>VeryHot40Respin</v>
      </c>
      <c r="D89" s="6">
        <f ca="1">IFERROR(__xludf.DUMMYFUNCTION("""COMPUTED_VALUE"""),44847)</f>
        <v>44847</v>
      </c>
      <c r="E89" s="5" t="str">
        <f ca="1">IFERROR(__xludf.DUMMYFUNCTION("""COMPUTED_VALUE"""),"Slot")</f>
        <v>Slot</v>
      </c>
      <c r="F89" s="5">
        <f ca="1">IFERROR(__xludf.DUMMYFUNCTION("""COMPUTED_VALUE"""),25.2)</f>
        <v>25.2</v>
      </c>
      <c r="G89" s="5" t="str">
        <f ca="1">IFERROR(__xludf.DUMMYFUNCTION("""COMPUTED_VALUE"""),"5x3")</f>
        <v>5x3</v>
      </c>
      <c r="H89" s="5" t="str">
        <f ca="1">IFERROR(__xludf.DUMMYFUNCTION("""COMPUTED_VALUE"""),"40")</f>
        <v>40</v>
      </c>
      <c r="I89" s="5" t="str">
        <f ca="1">IFERROR(__xludf.DUMMYFUNCTION("""COMPUTED_VALUE"""),"40")</f>
        <v>40</v>
      </c>
      <c r="J89" s="5" t="str">
        <f ca="1">IFERROR(__xludf.DUMMYFUNCTION("""COMPUTED_VALUE"""),"96.342%")</f>
        <v>96.342%</v>
      </c>
      <c r="K89" s="5" t="str">
        <f ca="1">IFERROR(__xludf.DUMMYFUNCTION("""COMPUTED_VALUE"""),"Medium")</f>
        <v>Medium</v>
      </c>
      <c r="L89" s="5" t="str">
        <f ca="1">IFERROR(__xludf.DUMMYFUNCTION("""COMPUTED_VALUE"""),"21.45%")</f>
        <v>21.45%</v>
      </c>
      <c r="M89" s="5" t="str">
        <f ca="1">IFERROR(__xludf.DUMMYFUNCTION("""COMPUTED_VALUE"""),"x1744")</f>
        <v>x1744</v>
      </c>
      <c r="N89" s="5" t="str">
        <f ca="1">IFERROR(__xludf.DUMMYFUNCTION("""COMPUTED_VALUE"""),"0.4/60")</f>
        <v>0.4/60</v>
      </c>
      <c r="O89" s="5" t="str">
        <f ca="1">IFERROR(__xludf.DUMMYFUNCTION("""COMPUTED_VALUE"""),"Yes")</f>
        <v>Yes</v>
      </c>
      <c r="P89" s="5" t="str">
        <f ca="1">IFERROR(__xludf.DUMMYFUNCTION("""COMPUTED_VALUE"""),"Scatter, Expanding Wild, Respin")</f>
        <v>Scatter, Expanding Wild, Respin</v>
      </c>
      <c r="Q89" s="7" t="str">
        <f ca="1">IFERROR(__xludf.DUMMYFUNCTION("""COMPUTED_VALUE"""),"https://gameserver-store-client-area.orbionlimited.com/Home/IntegrationGameLaunch/client-area?moneyType=0&amp;gameName=VeryHot40Respin&amp;platform=desktop&amp;languageCode=eng&amp;currency=EUR")</f>
        <v>https://gameserver-store-client-area.orbionlimited.com/Home/IntegrationGameLaunch/client-area?moneyType=0&amp;gameName=VeryHot40Respin&amp;platform=desktop&amp;languageCode=eng&amp;currency=EUR</v>
      </c>
      <c r="R89" s="5" t="str">
        <f ca="1">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S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9" s="5" t="str">
        <f ca="1">IFERROR(__xludf.DUMMYFUNCTION("""COMPUTED_VALUE"""),"Yes")</f>
        <v>Yes</v>
      </c>
      <c r="U89" s="5" t="str">
        <f ca="1">IFERROR(__xludf.DUMMYFUNCTION("""COMPUTED_VALUE"""),"Yes")</f>
        <v>Yes</v>
      </c>
      <c r="V89" s="5" t="str">
        <f ca="1">IFERROR(__xludf.DUMMYFUNCTION("""COMPUTED_VALUE"""),"Yes")</f>
        <v>Yes</v>
      </c>
      <c r="W89" s="5" t="str">
        <f ca="1">IFERROR(__xludf.DUMMYFUNCTION("""COMPUTED_VALUE"""),"Yes")</f>
        <v>Yes</v>
      </c>
      <c r="X89" s="5" t="str">
        <f ca="1">IFERROR(__xludf.DUMMYFUNCTION("""COMPUTED_VALUE"""),"Yes")</f>
        <v>Yes</v>
      </c>
      <c r="Y89" s="5" t="str">
        <f ca="1">IFERROR(__xludf.DUMMYFUNCTION("""COMPUTED_VALUE"""),"Yes")</f>
        <v>Yes</v>
      </c>
      <c r="Z89" s="5" t="str">
        <f ca="1">IFERROR(__xludf.DUMMYFUNCTION("""COMPUTED_VALUE"""),"Yes")</f>
        <v>Yes</v>
      </c>
      <c r="AA89" s="5" t="str">
        <f ca="1">IFERROR(__xludf.DUMMYFUNCTION("""COMPUTED_VALUE"""),"Yes")</f>
        <v>Yes</v>
      </c>
      <c r="AB89" s="5" t="str">
        <f ca="1">IFERROR(__xludf.DUMMYFUNCTION("""COMPUTED_VALUE"""),"Yes")</f>
        <v>Yes</v>
      </c>
      <c r="AC89" s="5" t="str">
        <f ca="1">IFERROR(__xludf.DUMMYFUNCTION("""COMPUTED_VALUE"""),"Yes")</f>
        <v>Yes</v>
      </c>
      <c r="AD89" s="5" t="str">
        <f ca="1">IFERROR(__xludf.DUMMYFUNCTION("""COMPUTED_VALUE"""),"Yes")</f>
        <v>Yes</v>
      </c>
      <c r="AE89" s="5" t="str">
        <f ca="1">IFERROR(__xludf.DUMMYFUNCTION("""COMPUTED_VALUE"""),"Yes")</f>
        <v>Yes</v>
      </c>
      <c r="AF89" s="5" t="str">
        <f ca="1">IFERROR(__xludf.DUMMYFUNCTION("""COMPUTED_VALUE"""),"Yes")</f>
        <v>Yes</v>
      </c>
      <c r="AG89" s="5" t="str">
        <f ca="1">IFERROR(__xludf.DUMMYFUNCTION("""COMPUTED_VALUE"""),"Yes")</f>
        <v>Yes</v>
      </c>
      <c r="AH89" s="5" t="str">
        <f ca="1">IFERROR(__xludf.DUMMYFUNCTION("""COMPUTED_VALUE"""),"Yes")</f>
        <v>Yes</v>
      </c>
      <c r="AI89" s="5" t="str">
        <f ca="1">IFERROR(__xludf.DUMMYFUNCTION("""COMPUTED_VALUE"""),"Yes")</f>
        <v>Yes</v>
      </c>
      <c r="AJ89" s="5" t="str">
        <f ca="1">IFERROR(__xludf.DUMMYFUNCTION("""COMPUTED_VALUE"""),"Yes")</f>
        <v>Yes</v>
      </c>
      <c r="AK89" s="5" t="str">
        <f ca="1">IFERROR(__xludf.DUMMYFUNCTION("""COMPUTED_VALUE"""),"Yes")</f>
        <v>Yes</v>
      </c>
      <c r="AL89" s="5" t="str">
        <f ca="1">IFERROR(__xludf.DUMMYFUNCTION("""COMPUTED_VALUE"""),"Yes")</f>
        <v>Yes</v>
      </c>
      <c r="AM89" s="5" t="str">
        <f ca="1">IFERROR(__xludf.DUMMYFUNCTION("""COMPUTED_VALUE"""),"Yes")</f>
        <v>Yes</v>
      </c>
      <c r="AN89" s="5" t="str">
        <f ca="1">IFERROR(__xludf.DUMMYFUNCTION("""COMPUTED_VALUE"""),"Yes")</f>
        <v>Yes</v>
      </c>
      <c r="AO89" s="5" t="str">
        <f ca="1">IFERROR(__xludf.DUMMYFUNCTION("""COMPUTED_VALUE"""),"Yes")</f>
        <v>Yes</v>
      </c>
      <c r="AP89" s="5" t="str">
        <f ca="1">IFERROR(__xludf.DUMMYFUNCTION("""COMPUTED_VALUE"""),"Yes")</f>
        <v>Yes</v>
      </c>
      <c r="AQ89" s="5" t="str">
        <f ca="1">IFERROR(__xludf.DUMMYFUNCTION("""COMPUTED_VALUE"""),"Yes")</f>
        <v>Yes</v>
      </c>
      <c r="AR89" s="5" t="str">
        <f ca="1">IFERROR(__xludf.DUMMYFUNCTION("""COMPUTED_VALUE"""),"Yes")</f>
        <v>Yes</v>
      </c>
      <c r="AS89" s="5" t="str">
        <f ca="1">IFERROR(__xludf.DUMMYFUNCTION("""COMPUTED_VALUE"""),"Yes")</f>
        <v>Yes</v>
      </c>
      <c r="AT89" s="5" t="str">
        <f ca="1">IFERROR(__xludf.DUMMYFUNCTION("""COMPUTED_VALUE"""),"No")</f>
        <v>No</v>
      </c>
      <c r="AU89" s="5"/>
    </row>
    <row r="90" spans="1:47" x14ac:dyDescent="0.25">
      <c r="A90" s="5" t="str">
        <f ca="1">IFERROR(__xludf.DUMMYFUNCTION("""COMPUTED_VALUE"""),"Foxi")</f>
        <v>Foxi</v>
      </c>
      <c r="B90" s="5" t="str">
        <f ca="1">IFERROR(__xludf.DUMMYFUNCTION("""COMPUTED_VALUE"""),"African Treasure")</f>
        <v>African Treasure</v>
      </c>
      <c r="C90" s="5" t="str">
        <f ca="1">IFERROR(__xludf.DUMMYFUNCTION("""COMPUTED_VALUE"""),"AfricanTreasure")</f>
        <v>AfricanTreasure</v>
      </c>
      <c r="D90" s="6">
        <f ca="1">IFERROR(__xludf.DUMMYFUNCTION("""COMPUTED_VALUE"""),44922)</f>
        <v>44922</v>
      </c>
      <c r="E90" s="5" t="str">
        <f ca="1">IFERROR(__xludf.DUMMYFUNCTION("""COMPUTED_VALUE"""),"Slot")</f>
        <v>Slot</v>
      </c>
      <c r="F90" s="5">
        <f ca="1">IFERROR(__xludf.DUMMYFUNCTION("""COMPUTED_VALUE"""),6)</f>
        <v>6</v>
      </c>
      <c r="G90" s="5" t="str">
        <f ca="1">IFERROR(__xludf.DUMMYFUNCTION("""COMPUTED_VALUE"""),"5x3")</f>
        <v>5x3</v>
      </c>
      <c r="H90" s="5" t="str">
        <f ca="1">IFERROR(__xludf.DUMMYFUNCTION("""COMPUTED_VALUE"""),"5")</f>
        <v>5</v>
      </c>
      <c r="I90" s="5" t="str">
        <f ca="1">IFERROR(__xludf.DUMMYFUNCTION("""COMPUTED_VALUE"""),"5")</f>
        <v>5</v>
      </c>
      <c r="J90" s="5" t="str">
        <f ca="1">IFERROR(__xludf.DUMMYFUNCTION("""COMPUTED_VALUE"""),"96.521%")</f>
        <v>96.521%</v>
      </c>
      <c r="K90" s="5" t="str">
        <f ca="1">IFERROR(__xludf.DUMMYFUNCTION("""COMPUTED_VALUE"""),"Medium")</f>
        <v>Medium</v>
      </c>
      <c r="L90" s="5" t="str">
        <f ca="1">IFERROR(__xludf.DUMMYFUNCTION("""COMPUTED_VALUE"""),"13.01%")</f>
        <v>13.01%</v>
      </c>
      <c r="M90" s="5" t="str">
        <f ca="1">IFERROR(__xludf.DUMMYFUNCTION("""COMPUTED_VALUE"""),"x1000")</f>
        <v>x1000</v>
      </c>
      <c r="N90" s="5" t="str">
        <f ca="1">IFERROR(__xludf.DUMMYFUNCTION("""COMPUTED_VALUE"""),"0.05/50")</f>
        <v>0.05/50</v>
      </c>
      <c r="O90" s="5" t="str">
        <f ca="1">IFERROR(__xludf.DUMMYFUNCTION("""COMPUTED_VALUE"""),"Yes")</f>
        <v>Yes</v>
      </c>
      <c r="P90" s="5" t="str">
        <f ca="1">IFERROR(__xludf.DUMMYFUNCTION("""COMPUTED_VALUE"""),"Scatter")</f>
        <v>Scatter</v>
      </c>
      <c r="Q90" s="7" t="str">
        <f ca="1">IFERROR(__xludf.DUMMYFUNCTION("""COMPUTED_VALUE"""),"https://gameserver-store-client-area.orbionlimited.com/Home/IntegrationGameLaunch/client-area?moneyType=0&amp;gameName=AfricanTreasure&amp;platform=desktop&amp;languageCode=eng&amp;currency=EUR")</f>
        <v>https://gameserver-store-client-area.orbionlimited.com/Home/IntegrationGameLaunch/client-area?moneyType=0&amp;gameName=AfricanTreasure&amp;platform=desktop&amp;languageCode=eng&amp;currency=EUR</v>
      </c>
      <c r="R90" s="5" t="str">
        <f ca="1">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S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0" s="5" t="str">
        <f ca="1">IFERROR(__xludf.DUMMYFUNCTION("""COMPUTED_VALUE"""),"Yes")</f>
        <v>Yes</v>
      </c>
      <c r="U90" s="5" t="str">
        <f ca="1">IFERROR(__xludf.DUMMYFUNCTION("""COMPUTED_VALUE"""),"Yes")</f>
        <v>Yes</v>
      </c>
      <c r="V90" s="5" t="str">
        <f ca="1">IFERROR(__xludf.DUMMYFUNCTION("""COMPUTED_VALUE"""),"Yes")</f>
        <v>Yes</v>
      </c>
      <c r="W90" s="5" t="str">
        <f ca="1">IFERROR(__xludf.DUMMYFUNCTION("""COMPUTED_VALUE"""),"Yes")</f>
        <v>Yes</v>
      </c>
      <c r="X90" s="5" t="str">
        <f ca="1">IFERROR(__xludf.DUMMYFUNCTION("""COMPUTED_VALUE"""),"Yes")</f>
        <v>Yes</v>
      </c>
      <c r="Y90" s="5" t="str">
        <f ca="1">IFERROR(__xludf.DUMMYFUNCTION("""COMPUTED_VALUE"""),"Yes")</f>
        <v>Yes</v>
      </c>
      <c r="Z90" s="5" t="str">
        <f ca="1">IFERROR(__xludf.DUMMYFUNCTION("""COMPUTED_VALUE"""),"Yes")</f>
        <v>Yes</v>
      </c>
      <c r="AA90" s="5" t="str">
        <f ca="1">IFERROR(__xludf.DUMMYFUNCTION("""COMPUTED_VALUE"""),"Yes")</f>
        <v>Yes</v>
      </c>
      <c r="AB90" s="5" t="str">
        <f ca="1">IFERROR(__xludf.DUMMYFUNCTION("""COMPUTED_VALUE"""),"Yes")</f>
        <v>Yes</v>
      </c>
      <c r="AC90" s="5" t="str">
        <f ca="1">IFERROR(__xludf.DUMMYFUNCTION("""COMPUTED_VALUE"""),"Yes")</f>
        <v>Yes</v>
      </c>
      <c r="AD90" s="5" t="str">
        <f ca="1">IFERROR(__xludf.DUMMYFUNCTION("""COMPUTED_VALUE"""),"Yes")</f>
        <v>Yes</v>
      </c>
      <c r="AE90" s="5" t="str">
        <f ca="1">IFERROR(__xludf.DUMMYFUNCTION("""COMPUTED_VALUE"""),"Yes")</f>
        <v>Yes</v>
      </c>
      <c r="AF90" s="5" t="str">
        <f ca="1">IFERROR(__xludf.DUMMYFUNCTION("""COMPUTED_VALUE"""),"Yes")</f>
        <v>Yes</v>
      </c>
      <c r="AG90" s="5" t="str">
        <f ca="1">IFERROR(__xludf.DUMMYFUNCTION("""COMPUTED_VALUE"""),"Yes")</f>
        <v>Yes</v>
      </c>
      <c r="AH90" s="5" t="str">
        <f ca="1">IFERROR(__xludf.DUMMYFUNCTION("""COMPUTED_VALUE"""),"Yes")</f>
        <v>Yes</v>
      </c>
      <c r="AI90" s="5" t="str">
        <f ca="1">IFERROR(__xludf.DUMMYFUNCTION("""COMPUTED_VALUE"""),"Yes")</f>
        <v>Yes</v>
      </c>
      <c r="AJ90" s="5" t="str">
        <f ca="1">IFERROR(__xludf.DUMMYFUNCTION("""COMPUTED_VALUE"""),"Yes")</f>
        <v>Yes</v>
      </c>
      <c r="AK90" s="5" t="str">
        <f ca="1">IFERROR(__xludf.DUMMYFUNCTION("""COMPUTED_VALUE"""),"Yes")</f>
        <v>Yes</v>
      </c>
      <c r="AL90" s="5" t="str">
        <f ca="1">IFERROR(__xludf.DUMMYFUNCTION("""COMPUTED_VALUE"""),"Yes")</f>
        <v>Yes</v>
      </c>
      <c r="AM90" s="5" t="str">
        <f ca="1">IFERROR(__xludf.DUMMYFUNCTION("""COMPUTED_VALUE"""),"Yes")</f>
        <v>Yes</v>
      </c>
      <c r="AN90" s="5" t="str">
        <f ca="1">IFERROR(__xludf.DUMMYFUNCTION("""COMPUTED_VALUE"""),"Yes")</f>
        <v>Yes</v>
      </c>
      <c r="AO90" s="5" t="str">
        <f ca="1">IFERROR(__xludf.DUMMYFUNCTION("""COMPUTED_VALUE"""),"Yes")</f>
        <v>Yes</v>
      </c>
      <c r="AP90" s="5" t="str">
        <f ca="1">IFERROR(__xludf.DUMMYFUNCTION("""COMPUTED_VALUE"""),"Yes")</f>
        <v>Yes</v>
      </c>
      <c r="AQ90" s="5" t="str">
        <f ca="1">IFERROR(__xludf.DUMMYFUNCTION("""COMPUTED_VALUE"""),"Yes")</f>
        <v>Yes</v>
      </c>
      <c r="AR90" s="5" t="str">
        <f ca="1">IFERROR(__xludf.DUMMYFUNCTION("""COMPUTED_VALUE"""),"Yes")</f>
        <v>Yes</v>
      </c>
      <c r="AS90" s="5" t="str">
        <f ca="1">IFERROR(__xludf.DUMMYFUNCTION("""COMPUTED_VALUE"""),"Yes")</f>
        <v>Yes</v>
      </c>
      <c r="AT90" s="5" t="str">
        <f ca="1">IFERROR(__xludf.DUMMYFUNCTION("""COMPUTED_VALUE"""),"No")</f>
        <v>No</v>
      </c>
      <c r="AU90" s="5"/>
    </row>
    <row r="91" spans="1:47" x14ac:dyDescent="0.25">
      <c r="A91" s="5" t="str">
        <f ca="1">IFERROR(__xludf.DUMMYFUNCTION("""COMPUTED_VALUE"""),"Foxi")</f>
        <v>Foxi</v>
      </c>
      <c r="B91" s="5" t="str">
        <f ca="1">IFERROR(__xludf.DUMMYFUNCTION("""COMPUTED_VALUE"""),"Wild Hot 40 Blow")</f>
        <v>Wild Hot 40 Blow</v>
      </c>
      <c r="C91" s="5" t="str">
        <f ca="1">IFERROR(__xludf.DUMMYFUNCTION("""COMPUTED_VALUE"""),"WildHot40Blow")</f>
        <v>WildHot40Blow</v>
      </c>
      <c r="D91" s="6">
        <f ca="1">IFERROR(__xludf.DUMMYFUNCTION("""COMPUTED_VALUE"""),44910)</f>
        <v>44910</v>
      </c>
      <c r="E91" s="5" t="str">
        <f ca="1">IFERROR(__xludf.DUMMYFUNCTION("""COMPUTED_VALUE"""),"Slot")</f>
        <v>Slot</v>
      </c>
      <c r="F91" s="5">
        <f ca="1">IFERROR(__xludf.DUMMYFUNCTION("""COMPUTED_VALUE"""),35)</f>
        <v>35</v>
      </c>
      <c r="G91" s="5" t="str">
        <f ca="1">IFERROR(__xludf.DUMMYFUNCTION("""COMPUTED_VALUE"""),"5x4")</f>
        <v>5x4</v>
      </c>
      <c r="H91" s="5" t="str">
        <f ca="1">IFERROR(__xludf.DUMMYFUNCTION("""COMPUTED_VALUE"""),"40")</f>
        <v>40</v>
      </c>
      <c r="I91" s="5" t="str">
        <f ca="1">IFERROR(__xludf.DUMMYFUNCTION("""COMPUTED_VALUE"""),"40")</f>
        <v>40</v>
      </c>
      <c r="J91" s="5" t="str">
        <f ca="1">IFERROR(__xludf.DUMMYFUNCTION("""COMPUTED_VALUE"""),"96.269%")</f>
        <v>96.269%</v>
      </c>
      <c r="K91" s="5" t="str">
        <f ca="1">IFERROR(__xludf.DUMMYFUNCTION("""COMPUTED_VALUE"""),"Medium")</f>
        <v>Medium</v>
      </c>
      <c r="L91" s="5" t="str">
        <f ca="1">IFERROR(__xludf.DUMMYFUNCTION("""COMPUTED_VALUE"""),"13.88%")</f>
        <v>13.88%</v>
      </c>
      <c r="M91" s="5" t="str">
        <f ca="1">IFERROR(__xludf.DUMMYFUNCTION("""COMPUTED_VALUE"""),"x1000")</f>
        <v>x1000</v>
      </c>
      <c r="N91" s="5" t="str">
        <f ca="1">IFERROR(__xludf.DUMMYFUNCTION("""COMPUTED_VALUE"""),"0.40/60")</f>
        <v>0.40/60</v>
      </c>
      <c r="O91" s="5" t="str">
        <f ca="1">IFERROR(__xludf.DUMMYFUNCTION("""COMPUTED_VALUE"""),"Yes")</f>
        <v>Yes</v>
      </c>
      <c r="P91" s="5" t="str">
        <f ca="1">IFERROR(__xludf.DUMMYFUNCTION("""COMPUTED_VALUE"""),"Wild Symbol, Scatter, Exploding Wild")</f>
        <v>Wild Symbol, Scatter, Exploding Wild</v>
      </c>
      <c r="Q91" s="7" t="str">
        <f ca="1">IFERROR(__xludf.DUMMYFUNCTION("""COMPUTED_VALUE"""),"https://gameserver-store-client-area.orbionlimited.com/Home/IntegrationGameLaunch/client-area?moneyType=0&amp;gameName=WildHot40Blow&amp;platform=desktop&amp;languageCode=eng&amp;currency=EUR")</f>
        <v>https://gameserver-store-client-area.orbionlimited.com/Home/IntegrationGameLaunch/client-area?moneyType=0&amp;gameName=WildHot40Blow&amp;platform=desktop&amp;languageCode=eng&amp;currency=EUR</v>
      </c>
      <c r="R91" s="5" t="str">
        <f ca="1">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S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1" s="5" t="str">
        <f ca="1">IFERROR(__xludf.DUMMYFUNCTION("""COMPUTED_VALUE"""),"Yes")</f>
        <v>Yes</v>
      </c>
      <c r="U91" s="5" t="str">
        <f ca="1">IFERROR(__xludf.DUMMYFUNCTION("""COMPUTED_VALUE"""),"Yes")</f>
        <v>Yes</v>
      </c>
      <c r="V91" s="5" t="str">
        <f ca="1">IFERROR(__xludf.DUMMYFUNCTION("""COMPUTED_VALUE"""),"Yes")</f>
        <v>Yes</v>
      </c>
      <c r="W91" s="5" t="str">
        <f ca="1">IFERROR(__xludf.DUMMYFUNCTION("""COMPUTED_VALUE"""),"Yes")</f>
        <v>Yes</v>
      </c>
      <c r="X91" s="5" t="str">
        <f ca="1">IFERROR(__xludf.DUMMYFUNCTION("""COMPUTED_VALUE"""),"Yes")</f>
        <v>Yes</v>
      </c>
      <c r="Y91" s="5" t="str">
        <f ca="1">IFERROR(__xludf.DUMMYFUNCTION("""COMPUTED_VALUE"""),"Yes")</f>
        <v>Yes</v>
      </c>
      <c r="Z91" s="5" t="str">
        <f ca="1">IFERROR(__xludf.DUMMYFUNCTION("""COMPUTED_VALUE"""),"Yes")</f>
        <v>Yes</v>
      </c>
      <c r="AA91" s="5" t="str">
        <f ca="1">IFERROR(__xludf.DUMMYFUNCTION("""COMPUTED_VALUE"""),"Yes")</f>
        <v>Yes</v>
      </c>
      <c r="AB91" s="5" t="str">
        <f ca="1">IFERROR(__xludf.DUMMYFUNCTION("""COMPUTED_VALUE"""),"Yes")</f>
        <v>Yes</v>
      </c>
      <c r="AC91" s="5" t="str">
        <f ca="1">IFERROR(__xludf.DUMMYFUNCTION("""COMPUTED_VALUE"""),"Yes")</f>
        <v>Yes</v>
      </c>
      <c r="AD91" s="5" t="str">
        <f ca="1">IFERROR(__xludf.DUMMYFUNCTION("""COMPUTED_VALUE"""),"Yes")</f>
        <v>Yes</v>
      </c>
      <c r="AE91" s="5" t="str">
        <f ca="1">IFERROR(__xludf.DUMMYFUNCTION("""COMPUTED_VALUE"""),"Yes")</f>
        <v>Yes</v>
      </c>
      <c r="AF91" s="5" t="str">
        <f ca="1">IFERROR(__xludf.DUMMYFUNCTION("""COMPUTED_VALUE"""),"Yes")</f>
        <v>Yes</v>
      </c>
      <c r="AG91" s="5" t="str">
        <f ca="1">IFERROR(__xludf.DUMMYFUNCTION("""COMPUTED_VALUE"""),"Yes")</f>
        <v>Yes</v>
      </c>
      <c r="AH91" s="5" t="str">
        <f ca="1">IFERROR(__xludf.DUMMYFUNCTION("""COMPUTED_VALUE"""),"Yes")</f>
        <v>Yes</v>
      </c>
      <c r="AI91" s="5" t="str">
        <f ca="1">IFERROR(__xludf.DUMMYFUNCTION("""COMPUTED_VALUE"""),"Yes")</f>
        <v>Yes</v>
      </c>
      <c r="AJ91" s="5" t="str">
        <f ca="1">IFERROR(__xludf.DUMMYFUNCTION("""COMPUTED_VALUE"""),"Yes")</f>
        <v>Yes</v>
      </c>
      <c r="AK91" s="5" t="str">
        <f ca="1">IFERROR(__xludf.DUMMYFUNCTION("""COMPUTED_VALUE"""),"Yes")</f>
        <v>Yes</v>
      </c>
      <c r="AL91" s="5" t="str">
        <f ca="1">IFERROR(__xludf.DUMMYFUNCTION("""COMPUTED_VALUE"""),"Yes")</f>
        <v>Yes</v>
      </c>
      <c r="AM91" s="5" t="str">
        <f ca="1">IFERROR(__xludf.DUMMYFUNCTION("""COMPUTED_VALUE"""),"Yes")</f>
        <v>Yes</v>
      </c>
      <c r="AN91" s="5" t="str">
        <f ca="1">IFERROR(__xludf.DUMMYFUNCTION("""COMPUTED_VALUE"""),"Yes")</f>
        <v>Yes</v>
      </c>
      <c r="AO91" s="5" t="str">
        <f ca="1">IFERROR(__xludf.DUMMYFUNCTION("""COMPUTED_VALUE"""),"Yes")</f>
        <v>Yes</v>
      </c>
      <c r="AP91" s="5" t="str">
        <f ca="1">IFERROR(__xludf.DUMMYFUNCTION("""COMPUTED_VALUE"""),"Yes")</f>
        <v>Yes</v>
      </c>
      <c r="AQ91" s="5" t="str">
        <f ca="1">IFERROR(__xludf.DUMMYFUNCTION("""COMPUTED_VALUE"""),"Yes")</f>
        <v>Yes</v>
      </c>
      <c r="AR91" s="5" t="str">
        <f ca="1">IFERROR(__xludf.DUMMYFUNCTION("""COMPUTED_VALUE"""),"Yes")</f>
        <v>Yes</v>
      </c>
      <c r="AS91" s="5" t="str">
        <f ca="1">IFERROR(__xludf.DUMMYFUNCTION("""COMPUTED_VALUE"""),"Yes")</f>
        <v>Yes</v>
      </c>
      <c r="AT91" s="5" t="str">
        <f ca="1">IFERROR(__xludf.DUMMYFUNCTION("""COMPUTED_VALUE"""),"No")</f>
        <v>No</v>
      </c>
      <c r="AU91" s="5"/>
    </row>
    <row r="92" spans="1:47" x14ac:dyDescent="0.25">
      <c r="A92" s="5" t="str">
        <f ca="1">IFERROR(__xludf.DUMMYFUNCTION("""COMPUTED_VALUE"""),"Foxi")</f>
        <v>Foxi</v>
      </c>
      <c r="B92" s="5" t="str">
        <f ca="1">IFERROR(__xludf.DUMMYFUNCTION("""COMPUTED_VALUE"""),"Golden Explosion")</f>
        <v>Golden Explosion</v>
      </c>
      <c r="C92" s="5" t="str">
        <f ca="1">IFERROR(__xludf.DUMMYFUNCTION("""COMPUTED_VALUE"""),"GoldenExplosion")</f>
        <v>GoldenExplosion</v>
      </c>
      <c r="D92" s="6">
        <f ca="1">IFERROR(__xludf.DUMMYFUNCTION("""COMPUTED_VALUE"""),44992)</f>
        <v>44992</v>
      </c>
      <c r="E92" s="5" t="str">
        <f ca="1">IFERROR(__xludf.DUMMYFUNCTION("""COMPUTED_VALUE"""),"Slot")</f>
        <v>Slot</v>
      </c>
      <c r="F92" s="5">
        <f ca="1">IFERROR(__xludf.DUMMYFUNCTION("""COMPUTED_VALUE"""),26)</f>
        <v>26</v>
      </c>
      <c r="G92" s="5" t="str">
        <f ca="1">IFERROR(__xludf.DUMMYFUNCTION("""COMPUTED_VALUE"""),"5x3")</f>
        <v>5x3</v>
      </c>
      <c r="H92" s="5" t="str">
        <f ca="1">IFERROR(__xludf.DUMMYFUNCTION("""COMPUTED_VALUE"""),"10")</f>
        <v>10</v>
      </c>
      <c r="I92" s="5" t="str">
        <f ca="1">IFERROR(__xludf.DUMMYFUNCTION("""COMPUTED_VALUE"""),"10")</f>
        <v>10</v>
      </c>
      <c r="J92" s="5" t="str">
        <f ca="1">IFERROR(__xludf.DUMMYFUNCTION("""COMPUTED_VALUE"""),"96.597%")</f>
        <v>96.597%</v>
      </c>
      <c r="K92" s="5" t="str">
        <f ca="1">IFERROR(__xludf.DUMMYFUNCTION("""COMPUTED_VALUE"""),"High")</f>
        <v>High</v>
      </c>
      <c r="L92" s="5" t="str">
        <f ca="1">IFERROR(__xludf.DUMMYFUNCTION("""COMPUTED_VALUE"""),"14.16%")</f>
        <v>14.16%</v>
      </c>
      <c r="M92" s="5" t="str">
        <f ca="1">IFERROR(__xludf.DUMMYFUNCTION("""COMPUTED_VALUE"""),"x8250")</f>
        <v>x8250</v>
      </c>
      <c r="N92" s="5" t="str">
        <f ca="1">IFERROR(__xludf.DUMMYFUNCTION("""COMPUTED_VALUE"""),"0.1/40")</f>
        <v>0.1/40</v>
      </c>
      <c r="O92" s="5" t="str">
        <f ca="1">IFERROR(__xludf.DUMMYFUNCTION("""COMPUTED_VALUE"""),"Yes")</f>
        <v>Yes</v>
      </c>
      <c r="P92" s="5" t="str">
        <f ca="1">IFERROR(__xludf.DUMMYFUNCTION("""COMPUTED_VALUE"""),"Expanding Wild, Wild Multiplier, Scatter")</f>
        <v>Expanding Wild, Wild Multiplier, Scatter</v>
      </c>
      <c r="Q92" s="7" t="str">
        <f ca="1">IFERROR(__xludf.DUMMYFUNCTION("""COMPUTED_VALUE"""),"https://gameserver-store-client-area.orbionlimited.com/Home/IntegrationGameLaunch/client-area?moneyType=0&amp;gameName=GoldenExplosion&amp;platform=desktop&amp;languageCode=eng&amp;currency=EUR")</f>
        <v>https://gameserver-store-client-area.orbionlimited.com/Home/IntegrationGameLaunch/client-area?moneyType=0&amp;gameName=GoldenExplosion&amp;platform=desktop&amp;languageCode=eng&amp;currency=EUR</v>
      </c>
      <c r="R92" s="5" t="str">
        <f ca="1">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S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2" s="5" t="str">
        <f ca="1">IFERROR(__xludf.DUMMYFUNCTION("""COMPUTED_VALUE"""),"Yes")</f>
        <v>Yes</v>
      </c>
      <c r="U92" s="5" t="str">
        <f ca="1">IFERROR(__xludf.DUMMYFUNCTION("""COMPUTED_VALUE"""),"Yes")</f>
        <v>Yes</v>
      </c>
      <c r="V92" s="5" t="str">
        <f ca="1">IFERROR(__xludf.DUMMYFUNCTION("""COMPUTED_VALUE"""),"Yes")</f>
        <v>Yes</v>
      </c>
      <c r="W92" s="5" t="str">
        <f ca="1">IFERROR(__xludf.DUMMYFUNCTION("""COMPUTED_VALUE"""),"Yes")</f>
        <v>Yes</v>
      </c>
      <c r="X92" s="5" t="str">
        <f ca="1">IFERROR(__xludf.DUMMYFUNCTION("""COMPUTED_VALUE"""),"Yes")</f>
        <v>Yes</v>
      </c>
      <c r="Y92" s="5" t="str">
        <f ca="1">IFERROR(__xludf.DUMMYFUNCTION("""COMPUTED_VALUE"""),"Yes")</f>
        <v>Yes</v>
      </c>
      <c r="Z92" s="5" t="str">
        <f ca="1">IFERROR(__xludf.DUMMYFUNCTION("""COMPUTED_VALUE"""),"Yes")</f>
        <v>Yes</v>
      </c>
      <c r="AA92" s="5" t="str">
        <f ca="1">IFERROR(__xludf.DUMMYFUNCTION("""COMPUTED_VALUE"""),"Yes")</f>
        <v>Yes</v>
      </c>
      <c r="AB92" s="5" t="str">
        <f ca="1">IFERROR(__xludf.DUMMYFUNCTION("""COMPUTED_VALUE"""),"Yes")</f>
        <v>Yes</v>
      </c>
      <c r="AC92" s="5" t="str">
        <f ca="1">IFERROR(__xludf.DUMMYFUNCTION("""COMPUTED_VALUE"""),"Yes")</f>
        <v>Yes</v>
      </c>
      <c r="AD92" s="5" t="str">
        <f ca="1">IFERROR(__xludf.DUMMYFUNCTION("""COMPUTED_VALUE"""),"Yes")</f>
        <v>Yes</v>
      </c>
      <c r="AE92" s="5" t="str">
        <f ca="1">IFERROR(__xludf.DUMMYFUNCTION("""COMPUTED_VALUE"""),"Yes")</f>
        <v>Yes</v>
      </c>
      <c r="AF92" s="5" t="str">
        <f ca="1">IFERROR(__xludf.DUMMYFUNCTION("""COMPUTED_VALUE"""),"Yes")</f>
        <v>Yes</v>
      </c>
      <c r="AG92" s="5" t="str">
        <f ca="1">IFERROR(__xludf.DUMMYFUNCTION("""COMPUTED_VALUE"""),"Yes")</f>
        <v>Yes</v>
      </c>
      <c r="AH92" s="5" t="str">
        <f ca="1">IFERROR(__xludf.DUMMYFUNCTION("""COMPUTED_VALUE"""),"Yes")</f>
        <v>Yes</v>
      </c>
      <c r="AI92" s="5" t="str">
        <f ca="1">IFERROR(__xludf.DUMMYFUNCTION("""COMPUTED_VALUE"""),"Yes")</f>
        <v>Yes</v>
      </c>
      <c r="AJ92" s="5" t="str">
        <f ca="1">IFERROR(__xludf.DUMMYFUNCTION("""COMPUTED_VALUE"""),"Yes")</f>
        <v>Yes</v>
      </c>
      <c r="AK92" s="5" t="str">
        <f ca="1">IFERROR(__xludf.DUMMYFUNCTION("""COMPUTED_VALUE"""),"Yes")</f>
        <v>Yes</v>
      </c>
      <c r="AL92" s="5" t="str">
        <f ca="1">IFERROR(__xludf.DUMMYFUNCTION("""COMPUTED_VALUE"""),"Yes")</f>
        <v>Yes</v>
      </c>
      <c r="AM92" s="5" t="str">
        <f ca="1">IFERROR(__xludf.DUMMYFUNCTION("""COMPUTED_VALUE"""),"Yes")</f>
        <v>Yes</v>
      </c>
      <c r="AN92" s="5" t="str">
        <f ca="1">IFERROR(__xludf.DUMMYFUNCTION("""COMPUTED_VALUE"""),"Yes")</f>
        <v>Yes</v>
      </c>
      <c r="AO92" s="5" t="str">
        <f ca="1">IFERROR(__xludf.DUMMYFUNCTION("""COMPUTED_VALUE"""),"Yes")</f>
        <v>Yes</v>
      </c>
      <c r="AP92" s="5" t="str">
        <f ca="1">IFERROR(__xludf.DUMMYFUNCTION("""COMPUTED_VALUE"""),"Yes")</f>
        <v>Yes</v>
      </c>
      <c r="AQ92" s="5" t="str">
        <f ca="1">IFERROR(__xludf.DUMMYFUNCTION("""COMPUTED_VALUE"""),"Yes")</f>
        <v>Yes</v>
      </c>
      <c r="AR92" s="5" t="str">
        <f ca="1">IFERROR(__xludf.DUMMYFUNCTION("""COMPUTED_VALUE"""),"Yes")</f>
        <v>Yes</v>
      </c>
      <c r="AS92" s="5" t="str">
        <f ca="1">IFERROR(__xludf.DUMMYFUNCTION("""COMPUTED_VALUE"""),"Yes")</f>
        <v>Yes</v>
      </c>
      <c r="AT92" s="5" t="str">
        <f ca="1">IFERROR(__xludf.DUMMYFUNCTION("""COMPUTED_VALUE"""),"No")</f>
        <v>No</v>
      </c>
      <c r="AU92" s="5"/>
    </row>
    <row r="93" spans="1:47" x14ac:dyDescent="0.25">
      <c r="A93" s="5" t="str">
        <f ca="1">IFERROR(__xludf.DUMMYFUNCTION("""COMPUTED_VALUE"""),"Foxi")</f>
        <v>Foxi</v>
      </c>
      <c r="B93" s="5" t="str">
        <f ca="1">IFERROR(__xludf.DUMMYFUNCTION("""COMPUTED_VALUE"""),"Very Hot 5 Extreme")</f>
        <v>Very Hot 5 Extreme</v>
      </c>
      <c r="C93" s="5" t="str">
        <f ca="1">IFERROR(__xludf.DUMMYFUNCTION("""COMPUTED_VALUE"""),"VeryHot5Extreme")</f>
        <v>VeryHot5Extreme</v>
      </c>
      <c r="D93" s="6">
        <f ca="1">IFERROR(__xludf.DUMMYFUNCTION("""COMPUTED_VALUE"""),45002)</f>
        <v>45002</v>
      </c>
      <c r="E93" s="5" t="str">
        <f ca="1">IFERROR(__xludf.DUMMYFUNCTION("""COMPUTED_VALUE"""),"Slot")</f>
        <v>Slot</v>
      </c>
      <c r="F93" s="5">
        <f ca="1">IFERROR(__xludf.DUMMYFUNCTION("""COMPUTED_VALUE"""),14.5)</f>
        <v>14.5</v>
      </c>
      <c r="G93" s="5" t="str">
        <f ca="1">IFERROR(__xludf.DUMMYFUNCTION("""COMPUTED_VALUE"""),"5x3")</f>
        <v>5x3</v>
      </c>
      <c r="H93" s="5" t="str">
        <f ca="1">IFERROR(__xludf.DUMMYFUNCTION("""COMPUTED_VALUE"""),"5")</f>
        <v>5</v>
      </c>
      <c r="I93" s="5" t="str">
        <f ca="1">IFERROR(__xludf.DUMMYFUNCTION("""COMPUTED_VALUE"""),"5")</f>
        <v>5</v>
      </c>
      <c r="J93" s="5" t="str">
        <f ca="1">IFERROR(__xludf.DUMMYFUNCTION("""COMPUTED_VALUE"""),"96.453%")</f>
        <v>96.453%</v>
      </c>
      <c r="K93" s="5" t="str">
        <f ca="1">IFERROR(__xludf.DUMMYFUNCTION("""COMPUTED_VALUE"""),"Medium")</f>
        <v>Medium</v>
      </c>
      <c r="L93" s="5" t="str">
        <f ca="1">IFERROR(__xludf.DUMMYFUNCTION("""COMPUTED_VALUE"""),"14.23%")</f>
        <v>14.23%</v>
      </c>
      <c r="M93" s="5" t="str">
        <f ca="1">IFERROR(__xludf.DUMMYFUNCTION("""COMPUTED_VALUE"""),"x2624")</f>
        <v>x2624</v>
      </c>
      <c r="N93" s="5" t="str">
        <f ca="1">IFERROR(__xludf.DUMMYFUNCTION("""COMPUTED_VALUE"""),"0.05/30")</f>
        <v>0.05/30</v>
      </c>
      <c r="O93" s="5" t="str">
        <f ca="1">IFERROR(__xludf.DUMMYFUNCTION("""COMPUTED_VALUE"""),"Yes")</f>
        <v>Yes</v>
      </c>
      <c r="P93" s="5" t="str">
        <f ca="1">IFERROR(__xludf.DUMMYFUNCTION("""COMPUTED_VALUE"""),"Expanding Wild, Wild Multiplier, Scatter")</f>
        <v>Expanding Wild, Wild Multiplier, Scatter</v>
      </c>
      <c r="Q93" s="7" t="str">
        <f ca="1">IFERROR(__xludf.DUMMYFUNCTION("""COMPUTED_VALUE"""),"https://gameserver-store-client-area.orbionlimited.com/Home/IntegrationGameLaunch/client-area?moneyType=0&amp;gameName=VeryHot5Extreme&amp;platform=desktop&amp;languageCode=eng&amp;currency=EUR")</f>
        <v>https://gameserver-store-client-area.orbionlimited.com/Home/IntegrationGameLaunch/client-area?moneyType=0&amp;gameName=VeryHot5Extreme&amp;platform=desktop&amp;languageCode=eng&amp;currency=EUR</v>
      </c>
      <c r="R93" s="5" t="str">
        <f ca="1">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S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3" s="5" t="str">
        <f ca="1">IFERROR(__xludf.DUMMYFUNCTION("""COMPUTED_VALUE"""),"Yes")</f>
        <v>Yes</v>
      </c>
      <c r="U93" s="5" t="str">
        <f ca="1">IFERROR(__xludf.DUMMYFUNCTION("""COMPUTED_VALUE"""),"Yes")</f>
        <v>Yes</v>
      </c>
      <c r="V93" s="5" t="str">
        <f ca="1">IFERROR(__xludf.DUMMYFUNCTION("""COMPUTED_VALUE"""),"Yes")</f>
        <v>Yes</v>
      </c>
      <c r="W93" s="5" t="str">
        <f ca="1">IFERROR(__xludf.DUMMYFUNCTION("""COMPUTED_VALUE"""),"Yes")</f>
        <v>Yes</v>
      </c>
      <c r="X93" s="5" t="str">
        <f ca="1">IFERROR(__xludf.DUMMYFUNCTION("""COMPUTED_VALUE"""),"Yes")</f>
        <v>Yes</v>
      </c>
      <c r="Y93" s="5" t="str">
        <f ca="1">IFERROR(__xludf.DUMMYFUNCTION("""COMPUTED_VALUE"""),"Yes")</f>
        <v>Yes</v>
      </c>
      <c r="Z93" s="5" t="str">
        <f ca="1">IFERROR(__xludf.DUMMYFUNCTION("""COMPUTED_VALUE"""),"Yes")</f>
        <v>Yes</v>
      </c>
      <c r="AA93" s="5" t="str">
        <f ca="1">IFERROR(__xludf.DUMMYFUNCTION("""COMPUTED_VALUE"""),"Yes")</f>
        <v>Yes</v>
      </c>
      <c r="AB93" s="5" t="str">
        <f ca="1">IFERROR(__xludf.DUMMYFUNCTION("""COMPUTED_VALUE"""),"Yes")</f>
        <v>Yes</v>
      </c>
      <c r="AC93" s="5" t="str">
        <f ca="1">IFERROR(__xludf.DUMMYFUNCTION("""COMPUTED_VALUE"""),"Yes")</f>
        <v>Yes</v>
      </c>
      <c r="AD93" s="5" t="str">
        <f ca="1">IFERROR(__xludf.DUMMYFUNCTION("""COMPUTED_VALUE"""),"Yes")</f>
        <v>Yes</v>
      </c>
      <c r="AE93" s="5" t="str">
        <f ca="1">IFERROR(__xludf.DUMMYFUNCTION("""COMPUTED_VALUE"""),"Yes")</f>
        <v>Yes</v>
      </c>
      <c r="AF93" s="5" t="str">
        <f ca="1">IFERROR(__xludf.DUMMYFUNCTION("""COMPUTED_VALUE"""),"Yes")</f>
        <v>Yes</v>
      </c>
      <c r="AG93" s="5" t="str">
        <f ca="1">IFERROR(__xludf.DUMMYFUNCTION("""COMPUTED_VALUE"""),"Yes")</f>
        <v>Yes</v>
      </c>
      <c r="AH93" s="5" t="str">
        <f ca="1">IFERROR(__xludf.DUMMYFUNCTION("""COMPUTED_VALUE"""),"Yes")</f>
        <v>Yes</v>
      </c>
      <c r="AI93" s="5" t="str">
        <f ca="1">IFERROR(__xludf.DUMMYFUNCTION("""COMPUTED_VALUE"""),"Yes")</f>
        <v>Yes</v>
      </c>
      <c r="AJ93" s="5" t="str">
        <f ca="1">IFERROR(__xludf.DUMMYFUNCTION("""COMPUTED_VALUE"""),"Yes")</f>
        <v>Yes</v>
      </c>
      <c r="AK93" s="5" t="str">
        <f ca="1">IFERROR(__xludf.DUMMYFUNCTION("""COMPUTED_VALUE"""),"Yes")</f>
        <v>Yes</v>
      </c>
      <c r="AL93" s="5" t="str">
        <f ca="1">IFERROR(__xludf.DUMMYFUNCTION("""COMPUTED_VALUE"""),"Yes")</f>
        <v>Yes</v>
      </c>
      <c r="AM93" s="5" t="str">
        <f ca="1">IFERROR(__xludf.DUMMYFUNCTION("""COMPUTED_VALUE"""),"Yes")</f>
        <v>Yes</v>
      </c>
      <c r="AN93" s="5" t="str">
        <f ca="1">IFERROR(__xludf.DUMMYFUNCTION("""COMPUTED_VALUE"""),"Yes")</f>
        <v>Yes</v>
      </c>
      <c r="AO93" s="5" t="str">
        <f ca="1">IFERROR(__xludf.DUMMYFUNCTION("""COMPUTED_VALUE"""),"Yes")</f>
        <v>Yes</v>
      </c>
      <c r="AP93" s="5" t="str">
        <f ca="1">IFERROR(__xludf.DUMMYFUNCTION("""COMPUTED_VALUE"""),"Yes")</f>
        <v>Yes</v>
      </c>
      <c r="AQ93" s="5" t="str">
        <f ca="1">IFERROR(__xludf.DUMMYFUNCTION("""COMPUTED_VALUE"""),"Yes")</f>
        <v>Yes</v>
      </c>
      <c r="AR93" s="5" t="str">
        <f ca="1">IFERROR(__xludf.DUMMYFUNCTION("""COMPUTED_VALUE"""),"Yes")</f>
        <v>Yes</v>
      </c>
      <c r="AS93" s="5" t="str">
        <f ca="1">IFERROR(__xludf.DUMMYFUNCTION("""COMPUTED_VALUE"""),"Yes")</f>
        <v>Yes</v>
      </c>
      <c r="AT93" s="5" t="str">
        <f ca="1">IFERROR(__xludf.DUMMYFUNCTION("""COMPUTED_VALUE"""),"No")</f>
        <v>No</v>
      </c>
      <c r="AU93" s="5"/>
    </row>
    <row r="94" spans="1:47" x14ac:dyDescent="0.25">
      <c r="A94" s="5" t="str">
        <f ca="1">IFERROR(__xludf.DUMMYFUNCTION("""COMPUTED_VALUE"""),"Foxi")</f>
        <v>Foxi</v>
      </c>
      <c r="B94" s="5" t="str">
        <f ca="1">IFERROR(__xludf.DUMMYFUNCTION("""COMPUTED_VALUE"""),"Pixel Hot 40")</f>
        <v>Pixel Hot 40</v>
      </c>
      <c r="C94" s="5" t="str">
        <f ca="1">IFERROR(__xludf.DUMMYFUNCTION("""COMPUTED_VALUE"""),"PixelHot40")</f>
        <v>PixelHot40</v>
      </c>
      <c r="D94" s="6">
        <f ca="1">IFERROR(__xludf.DUMMYFUNCTION("""COMPUTED_VALUE"""),45001)</f>
        <v>45001</v>
      </c>
      <c r="E94" s="5" t="str">
        <f ca="1">IFERROR(__xludf.DUMMYFUNCTION("""COMPUTED_VALUE"""),"Slot")</f>
        <v>Slot</v>
      </c>
      <c r="F94" s="5">
        <f ca="1">IFERROR(__xludf.DUMMYFUNCTION("""COMPUTED_VALUE"""),5.5)</f>
        <v>5.5</v>
      </c>
      <c r="G94" s="5" t="str">
        <f ca="1">IFERROR(__xludf.DUMMYFUNCTION("""COMPUTED_VALUE"""),"5x4")</f>
        <v>5x4</v>
      </c>
      <c r="H94" s="5" t="str">
        <f ca="1">IFERROR(__xludf.DUMMYFUNCTION("""COMPUTED_VALUE"""),"40")</f>
        <v>40</v>
      </c>
      <c r="I94" s="5" t="str">
        <f ca="1">IFERROR(__xludf.DUMMYFUNCTION("""COMPUTED_VALUE"""),"40")</f>
        <v>40</v>
      </c>
      <c r="J94" s="5" t="str">
        <f ca="1">IFERROR(__xludf.DUMMYFUNCTION("""COMPUTED_VALUE"""),"96.584%")</f>
        <v>96.584%</v>
      </c>
      <c r="K94" s="5" t="str">
        <f ca="1">IFERROR(__xludf.DUMMYFUNCTION("""COMPUTED_VALUE"""),"Low")</f>
        <v>Low</v>
      </c>
      <c r="L94" s="5" t="str">
        <f ca="1">IFERROR(__xludf.DUMMYFUNCTION("""COMPUTED_VALUE"""),"16.73%")</f>
        <v>16.73%</v>
      </c>
      <c r="M94" s="5" t="str">
        <f ca="1">IFERROR(__xludf.DUMMYFUNCTION("""COMPUTED_VALUE"""),"x1000")</f>
        <v>x1000</v>
      </c>
      <c r="N94" s="5" t="str">
        <f ca="1">IFERROR(__xludf.DUMMYFUNCTION("""COMPUTED_VALUE"""),"0.4/60")</f>
        <v>0.4/60</v>
      </c>
      <c r="O94" s="5" t="str">
        <f ca="1">IFERROR(__xludf.DUMMYFUNCTION("""COMPUTED_VALUE"""),"Yes")</f>
        <v>Yes</v>
      </c>
      <c r="P94" s="5" t="str">
        <f ca="1">IFERROR(__xludf.DUMMYFUNCTION("""COMPUTED_VALUE"""),"Wild Symbol, Scatter")</f>
        <v>Wild Symbol, Scatter</v>
      </c>
      <c r="Q94" s="7" t="str">
        <f ca="1">IFERROR(__xludf.DUMMYFUNCTION("""COMPUTED_VALUE"""),"https://gameserver-store-client-area.orbionlimited.com/Home/IntegrationGameLaunch/client-area?moneyType=0&amp;gameName=PixelHot40&amp;platform=desktop&amp;languageCode=eng&amp;currency=EUR")</f>
        <v>https://gameserver-store-client-area.orbionlimited.com/Home/IntegrationGameLaunch/client-area?moneyType=0&amp;gameName=PixelHot40&amp;platform=desktop&amp;languageCode=eng&amp;currency=EUR</v>
      </c>
      <c r="R94" s="5" t="str">
        <f ca="1">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S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4" s="5" t="str">
        <f ca="1">IFERROR(__xludf.DUMMYFUNCTION("""COMPUTED_VALUE"""),"Yes")</f>
        <v>Yes</v>
      </c>
      <c r="U94" s="5" t="str">
        <f ca="1">IFERROR(__xludf.DUMMYFUNCTION("""COMPUTED_VALUE"""),"Yes")</f>
        <v>Yes</v>
      </c>
      <c r="V94" s="5" t="str">
        <f ca="1">IFERROR(__xludf.DUMMYFUNCTION("""COMPUTED_VALUE"""),"Yes")</f>
        <v>Yes</v>
      </c>
      <c r="W94" s="5" t="str">
        <f ca="1">IFERROR(__xludf.DUMMYFUNCTION("""COMPUTED_VALUE"""),"Yes")</f>
        <v>Yes</v>
      </c>
      <c r="X94" s="5" t="str">
        <f ca="1">IFERROR(__xludf.DUMMYFUNCTION("""COMPUTED_VALUE"""),"Yes")</f>
        <v>Yes</v>
      </c>
      <c r="Y94" s="5" t="str">
        <f ca="1">IFERROR(__xludf.DUMMYFUNCTION("""COMPUTED_VALUE"""),"Yes")</f>
        <v>Yes</v>
      </c>
      <c r="Z94" s="5" t="str">
        <f ca="1">IFERROR(__xludf.DUMMYFUNCTION("""COMPUTED_VALUE"""),"Yes")</f>
        <v>Yes</v>
      </c>
      <c r="AA94" s="5" t="str">
        <f ca="1">IFERROR(__xludf.DUMMYFUNCTION("""COMPUTED_VALUE"""),"Yes")</f>
        <v>Yes</v>
      </c>
      <c r="AB94" s="5" t="str">
        <f ca="1">IFERROR(__xludf.DUMMYFUNCTION("""COMPUTED_VALUE"""),"Yes")</f>
        <v>Yes</v>
      </c>
      <c r="AC94" s="5" t="str">
        <f ca="1">IFERROR(__xludf.DUMMYFUNCTION("""COMPUTED_VALUE"""),"Yes")</f>
        <v>Yes</v>
      </c>
      <c r="AD94" s="5" t="str">
        <f ca="1">IFERROR(__xludf.DUMMYFUNCTION("""COMPUTED_VALUE"""),"Yes")</f>
        <v>Yes</v>
      </c>
      <c r="AE94" s="5" t="str">
        <f ca="1">IFERROR(__xludf.DUMMYFUNCTION("""COMPUTED_VALUE"""),"Yes")</f>
        <v>Yes</v>
      </c>
      <c r="AF94" s="5" t="str">
        <f ca="1">IFERROR(__xludf.DUMMYFUNCTION("""COMPUTED_VALUE"""),"Yes")</f>
        <v>Yes</v>
      </c>
      <c r="AG94" s="5" t="str">
        <f ca="1">IFERROR(__xludf.DUMMYFUNCTION("""COMPUTED_VALUE"""),"Yes")</f>
        <v>Yes</v>
      </c>
      <c r="AH94" s="5" t="str">
        <f ca="1">IFERROR(__xludf.DUMMYFUNCTION("""COMPUTED_VALUE"""),"Yes")</f>
        <v>Yes</v>
      </c>
      <c r="AI94" s="5" t="str">
        <f ca="1">IFERROR(__xludf.DUMMYFUNCTION("""COMPUTED_VALUE"""),"Yes")</f>
        <v>Yes</v>
      </c>
      <c r="AJ94" s="5" t="str">
        <f ca="1">IFERROR(__xludf.DUMMYFUNCTION("""COMPUTED_VALUE"""),"Yes")</f>
        <v>Yes</v>
      </c>
      <c r="AK94" s="5" t="str">
        <f ca="1">IFERROR(__xludf.DUMMYFUNCTION("""COMPUTED_VALUE"""),"Yes")</f>
        <v>Yes</v>
      </c>
      <c r="AL94" s="5" t="str">
        <f ca="1">IFERROR(__xludf.DUMMYFUNCTION("""COMPUTED_VALUE"""),"Yes")</f>
        <v>Yes</v>
      </c>
      <c r="AM94" s="5" t="str">
        <f ca="1">IFERROR(__xludf.DUMMYFUNCTION("""COMPUTED_VALUE"""),"Yes")</f>
        <v>Yes</v>
      </c>
      <c r="AN94" s="5" t="str">
        <f ca="1">IFERROR(__xludf.DUMMYFUNCTION("""COMPUTED_VALUE"""),"Yes")</f>
        <v>Yes</v>
      </c>
      <c r="AO94" s="5" t="str">
        <f ca="1">IFERROR(__xludf.DUMMYFUNCTION("""COMPUTED_VALUE"""),"Yes")</f>
        <v>Yes</v>
      </c>
      <c r="AP94" s="5" t="str">
        <f ca="1">IFERROR(__xludf.DUMMYFUNCTION("""COMPUTED_VALUE"""),"Yes")</f>
        <v>Yes</v>
      </c>
      <c r="AQ94" s="5" t="str">
        <f ca="1">IFERROR(__xludf.DUMMYFUNCTION("""COMPUTED_VALUE"""),"Yes")</f>
        <v>Yes</v>
      </c>
      <c r="AR94" s="5" t="str">
        <f ca="1">IFERROR(__xludf.DUMMYFUNCTION("""COMPUTED_VALUE"""),"Yes")</f>
        <v>Yes</v>
      </c>
      <c r="AS94" s="5" t="str">
        <f ca="1">IFERROR(__xludf.DUMMYFUNCTION("""COMPUTED_VALUE"""),"Yes")</f>
        <v>Yes</v>
      </c>
      <c r="AT94" s="5" t="str">
        <f ca="1">IFERROR(__xludf.DUMMYFUNCTION("""COMPUTED_VALUE"""),"No")</f>
        <v>No</v>
      </c>
      <c r="AU94" s="5"/>
    </row>
    <row r="95" spans="1:47" x14ac:dyDescent="0.25">
      <c r="A95" s="5" t="str">
        <f ca="1">IFERROR(__xludf.DUMMYFUNCTION("""COMPUTED_VALUE"""),"Foxi")</f>
        <v>Foxi</v>
      </c>
      <c r="B95" s="5" t="str">
        <f ca="1">IFERROR(__xludf.DUMMYFUNCTION("""COMPUTED_VALUE"""),"Epic Fire 40")</f>
        <v>Epic Fire 40</v>
      </c>
      <c r="C95" s="5" t="str">
        <f ca="1">IFERROR(__xludf.DUMMYFUNCTION("""COMPUTED_VALUE"""),"EpicFire40")</f>
        <v>EpicFire40</v>
      </c>
      <c r="D95" s="6">
        <f ca="1">IFERROR(__xludf.DUMMYFUNCTION("""COMPUTED_VALUE"""),45132)</f>
        <v>45132</v>
      </c>
      <c r="E95" s="5" t="str">
        <f ca="1">IFERROR(__xludf.DUMMYFUNCTION("""COMPUTED_VALUE"""),"Slot")</f>
        <v>Slot</v>
      </c>
      <c r="F95" s="5">
        <f ca="1">IFERROR(__xludf.DUMMYFUNCTION("""COMPUTED_VALUE"""),28.3)</f>
        <v>28.3</v>
      </c>
      <c r="G95" s="5" t="str">
        <f ca="1">IFERROR(__xludf.DUMMYFUNCTION("""COMPUTED_VALUE"""),"5x4")</f>
        <v>5x4</v>
      </c>
      <c r="H95" s="5" t="str">
        <f ca="1">IFERROR(__xludf.DUMMYFUNCTION("""COMPUTED_VALUE"""),"40")</f>
        <v>40</v>
      </c>
      <c r="I95" s="5" t="str">
        <f ca="1">IFERROR(__xludf.DUMMYFUNCTION("""COMPUTED_VALUE"""),"40")</f>
        <v>40</v>
      </c>
      <c r="J95" s="5" t="str">
        <f ca="1">IFERROR(__xludf.DUMMYFUNCTION("""COMPUTED_VALUE"""),"96.507%")</f>
        <v>96.507%</v>
      </c>
      <c r="K95" s="5" t="str">
        <f ca="1">IFERROR(__xludf.DUMMYFUNCTION("""COMPUTED_VALUE"""),"Medium")</f>
        <v>Medium</v>
      </c>
      <c r="L95" s="5" t="str">
        <f ca="1">IFERROR(__xludf.DUMMYFUNCTION("""COMPUTED_VALUE"""),"14.93%")</f>
        <v>14.93%</v>
      </c>
      <c r="M95" s="5" t="str">
        <f ca="1">IFERROR(__xludf.DUMMYFUNCTION("""COMPUTED_VALUE"""),"x1000")</f>
        <v>x1000</v>
      </c>
      <c r="N95" s="5" t="str">
        <f ca="1">IFERROR(__xludf.DUMMYFUNCTION("""COMPUTED_VALUE"""),"0.4/60")</f>
        <v>0.4/60</v>
      </c>
      <c r="O95" s="5" t="str">
        <f ca="1">IFERROR(__xludf.DUMMYFUNCTION("""COMPUTED_VALUE"""),"Yes")</f>
        <v>Yes</v>
      </c>
      <c r="P95" s="5" t="str">
        <f ca="1">IFERROR(__xludf.DUMMYFUNCTION("""COMPUTED_VALUE"""),"Wild Symbol, Scatter")</f>
        <v>Wild Symbol, Scatter</v>
      </c>
      <c r="Q95" s="7" t="str">
        <f ca="1">IFERROR(__xludf.DUMMYFUNCTION("""COMPUTED_VALUE"""),"https://gameserver-store-client-area.orbionlimited.com/Home/IntegrationGameLaunch/client-area?moneyType=0&amp;gameName=EpicFire40&amp;platform=desktop&amp;languageCode=eng&amp;currency=EUR")</f>
        <v>https://gameserver-store-client-area.orbionlimited.com/Home/IntegrationGameLaunch/client-area?moneyType=0&amp;gameName=EpicFire40&amp;platform=desktop&amp;languageCode=eng&amp;currency=EUR</v>
      </c>
      <c r="R95" s="5" t="str">
        <f ca="1">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S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5" s="5" t="str">
        <f ca="1">IFERROR(__xludf.DUMMYFUNCTION("""COMPUTED_VALUE"""),"Yes")</f>
        <v>Yes</v>
      </c>
      <c r="U95" s="5" t="str">
        <f ca="1">IFERROR(__xludf.DUMMYFUNCTION("""COMPUTED_VALUE"""),"Yes")</f>
        <v>Yes</v>
      </c>
      <c r="V95" s="5" t="str">
        <f ca="1">IFERROR(__xludf.DUMMYFUNCTION("""COMPUTED_VALUE"""),"Yes")</f>
        <v>Yes</v>
      </c>
      <c r="W95" s="5" t="str">
        <f ca="1">IFERROR(__xludf.DUMMYFUNCTION("""COMPUTED_VALUE"""),"Yes")</f>
        <v>Yes</v>
      </c>
      <c r="X95" s="5" t="str">
        <f ca="1">IFERROR(__xludf.DUMMYFUNCTION("""COMPUTED_VALUE"""),"Yes")</f>
        <v>Yes</v>
      </c>
      <c r="Y95" s="5" t="str">
        <f ca="1">IFERROR(__xludf.DUMMYFUNCTION("""COMPUTED_VALUE"""),"Yes")</f>
        <v>Yes</v>
      </c>
      <c r="Z95" s="5" t="str">
        <f ca="1">IFERROR(__xludf.DUMMYFUNCTION("""COMPUTED_VALUE"""),"Yes")</f>
        <v>Yes</v>
      </c>
      <c r="AA95" s="5" t="str">
        <f ca="1">IFERROR(__xludf.DUMMYFUNCTION("""COMPUTED_VALUE"""),"Yes")</f>
        <v>Yes</v>
      </c>
      <c r="AB95" s="5" t="str">
        <f ca="1">IFERROR(__xludf.DUMMYFUNCTION("""COMPUTED_VALUE"""),"Yes")</f>
        <v>Yes</v>
      </c>
      <c r="AC95" s="5" t="str">
        <f ca="1">IFERROR(__xludf.DUMMYFUNCTION("""COMPUTED_VALUE"""),"Yes")</f>
        <v>Yes</v>
      </c>
      <c r="AD95" s="5" t="str">
        <f ca="1">IFERROR(__xludf.DUMMYFUNCTION("""COMPUTED_VALUE"""),"Yes")</f>
        <v>Yes</v>
      </c>
      <c r="AE95" s="5" t="str">
        <f ca="1">IFERROR(__xludf.DUMMYFUNCTION("""COMPUTED_VALUE"""),"Yes")</f>
        <v>Yes</v>
      </c>
      <c r="AF95" s="5" t="str">
        <f ca="1">IFERROR(__xludf.DUMMYFUNCTION("""COMPUTED_VALUE"""),"Yes")</f>
        <v>Yes</v>
      </c>
      <c r="AG95" s="5" t="str">
        <f ca="1">IFERROR(__xludf.DUMMYFUNCTION("""COMPUTED_VALUE"""),"Yes")</f>
        <v>Yes</v>
      </c>
      <c r="AH95" s="5" t="str">
        <f ca="1">IFERROR(__xludf.DUMMYFUNCTION("""COMPUTED_VALUE"""),"Yes")</f>
        <v>Yes</v>
      </c>
      <c r="AI95" s="5" t="str">
        <f ca="1">IFERROR(__xludf.DUMMYFUNCTION("""COMPUTED_VALUE"""),"Yes")</f>
        <v>Yes</v>
      </c>
      <c r="AJ95" s="5" t="str">
        <f ca="1">IFERROR(__xludf.DUMMYFUNCTION("""COMPUTED_VALUE"""),"Yes")</f>
        <v>Yes</v>
      </c>
      <c r="AK95" s="5" t="str">
        <f ca="1">IFERROR(__xludf.DUMMYFUNCTION("""COMPUTED_VALUE"""),"Yes")</f>
        <v>Yes</v>
      </c>
      <c r="AL95" s="5" t="str">
        <f ca="1">IFERROR(__xludf.DUMMYFUNCTION("""COMPUTED_VALUE"""),"Yes")</f>
        <v>Yes</v>
      </c>
      <c r="AM95" s="5" t="str">
        <f ca="1">IFERROR(__xludf.DUMMYFUNCTION("""COMPUTED_VALUE"""),"Yes")</f>
        <v>Yes</v>
      </c>
      <c r="AN95" s="5" t="str">
        <f ca="1">IFERROR(__xludf.DUMMYFUNCTION("""COMPUTED_VALUE"""),"Yes")</f>
        <v>Yes</v>
      </c>
      <c r="AO95" s="5" t="str">
        <f ca="1">IFERROR(__xludf.DUMMYFUNCTION("""COMPUTED_VALUE"""),"Yes")</f>
        <v>Yes</v>
      </c>
      <c r="AP95" s="5" t="str">
        <f ca="1">IFERROR(__xludf.DUMMYFUNCTION("""COMPUTED_VALUE"""),"Yes")</f>
        <v>Yes</v>
      </c>
      <c r="AQ95" s="5" t="str">
        <f ca="1">IFERROR(__xludf.DUMMYFUNCTION("""COMPUTED_VALUE"""),"Yes")</f>
        <v>Yes</v>
      </c>
      <c r="AR95" s="5" t="str">
        <f ca="1">IFERROR(__xludf.DUMMYFUNCTION("""COMPUTED_VALUE"""),"Yes")</f>
        <v>Yes</v>
      </c>
      <c r="AS95" s="5" t="str">
        <f ca="1">IFERROR(__xludf.DUMMYFUNCTION("""COMPUTED_VALUE"""),"Yes")</f>
        <v>Yes</v>
      </c>
      <c r="AT95" s="5" t="str">
        <f ca="1">IFERROR(__xludf.DUMMYFUNCTION("""COMPUTED_VALUE"""),"No")</f>
        <v>No</v>
      </c>
      <c r="AU95" s="5"/>
    </row>
    <row r="96" spans="1:47" x14ac:dyDescent="0.25">
      <c r="A96" s="5" t="str">
        <f ca="1">IFERROR(__xludf.DUMMYFUNCTION("""COMPUTED_VALUE"""),"Foxi")</f>
        <v>Foxi</v>
      </c>
      <c r="B96" s="5" t="str">
        <f ca="1">IFERROR(__xludf.DUMMYFUNCTION("""COMPUTED_VALUE"""),"Golden Crown 40")</f>
        <v>Golden Crown 40</v>
      </c>
      <c r="C96" s="5" t="str">
        <f ca="1">IFERROR(__xludf.DUMMYFUNCTION("""COMPUTED_VALUE"""),"GoldenCrown40")</f>
        <v>GoldenCrown40</v>
      </c>
      <c r="D96" s="6">
        <f ca="1">IFERROR(__xludf.DUMMYFUNCTION("""COMPUTED_VALUE"""),45027)</f>
        <v>45027</v>
      </c>
      <c r="E96" s="5" t="str">
        <f ca="1">IFERROR(__xludf.DUMMYFUNCTION("""COMPUTED_VALUE"""),"Slot")</f>
        <v>Slot</v>
      </c>
      <c r="F96" s="5">
        <f ca="1">IFERROR(__xludf.DUMMYFUNCTION("""COMPUTED_VALUE"""),19)</f>
        <v>19</v>
      </c>
      <c r="G96" s="5" t="str">
        <f ca="1">IFERROR(__xludf.DUMMYFUNCTION("""COMPUTED_VALUE"""),"5x3")</f>
        <v>5x3</v>
      </c>
      <c r="H96" s="5" t="str">
        <f ca="1">IFERROR(__xludf.DUMMYFUNCTION("""COMPUTED_VALUE"""),"40")</f>
        <v>40</v>
      </c>
      <c r="I96" s="5" t="str">
        <f ca="1">IFERROR(__xludf.DUMMYFUNCTION("""COMPUTED_VALUE"""),"40")</f>
        <v>40</v>
      </c>
      <c r="J96" s="5" t="str">
        <f ca="1">IFERROR(__xludf.DUMMYFUNCTION("""COMPUTED_VALUE"""),"95.962%")</f>
        <v>95.962%</v>
      </c>
      <c r="K96" s="5" t="str">
        <f ca="1">IFERROR(__xludf.DUMMYFUNCTION("""COMPUTED_VALUE"""),"Medium")</f>
        <v>Medium</v>
      </c>
      <c r="L96" s="5" t="str">
        <f ca="1">IFERROR(__xludf.DUMMYFUNCTION("""COMPUTED_VALUE"""),"18.35%")</f>
        <v>18.35%</v>
      </c>
      <c r="M96" s="5" t="str">
        <f ca="1">IFERROR(__xludf.DUMMYFUNCTION("""COMPUTED_VALUE"""),"x1420.25")</f>
        <v>x1420.25</v>
      </c>
      <c r="N96" s="5" t="str">
        <f ca="1">IFERROR(__xludf.DUMMYFUNCTION("""COMPUTED_VALUE"""),"0.4/50")</f>
        <v>0.4/50</v>
      </c>
      <c r="O96" s="5" t="str">
        <f ca="1">IFERROR(__xludf.DUMMYFUNCTION("""COMPUTED_VALUE"""),"Yes")</f>
        <v>Yes</v>
      </c>
      <c r="P96" s="5" t="str">
        <f ca="1">IFERROR(__xludf.DUMMYFUNCTION("""COMPUTED_VALUE"""),"Scatter, Expanding Wild")</f>
        <v>Scatter, Expanding Wild</v>
      </c>
      <c r="Q96" s="7" t="str">
        <f ca="1">IFERROR(__xludf.DUMMYFUNCTION("""COMPUTED_VALUE"""),"https://gameserver-store-client-area.orbionlimited.com/Home/IntegrationGameLaunch/client-area?moneyType=0&amp;gameName=GoldenCrown40&amp;platform=desktop&amp;languageCode=eng&amp;currency=EUR")</f>
        <v>https://gameserver-store-client-area.orbionlimited.com/Home/IntegrationGameLaunch/client-area?moneyType=0&amp;gameName=GoldenCrown40&amp;platform=desktop&amp;languageCode=eng&amp;currency=EUR</v>
      </c>
      <c r="R96" s="5" t="str">
        <f ca="1">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S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6" s="5" t="str">
        <f ca="1">IFERROR(__xludf.DUMMYFUNCTION("""COMPUTED_VALUE"""),"Yes")</f>
        <v>Yes</v>
      </c>
      <c r="U96" s="5" t="str">
        <f ca="1">IFERROR(__xludf.DUMMYFUNCTION("""COMPUTED_VALUE"""),"Yes")</f>
        <v>Yes</v>
      </c>
      <c r="V96" s="5" t="str">
        <f ca="1">IFERROR(__xludf.DUMMYFUNCTION("""COMPUTED_VALUE"""),"Yes")</f>
        <v>Yes</v>
      </c>
      <c r="W96" s="5" t="str">
        <f ca="1">IFERROR(__xludf.DUMMYFUNCTION("""COMPUTED_VALUE"""),"Yes")</f>
        <v>Yes</v>
      </c>
      <c r="X96" s="5" t="str">
        <f ca="1">IFERROR(__xludf.DUMMYFUNCTION("""COMPUTED_VALUE"""),"Yes")</f>
        <v>Yes</v>
      </c>
      <c r="Y96" s="5" t="str">
        <f ca="1">IFERROR(__xludf.DUMMYFUNCTION("""COMPUTED_VALUE"""),"Yes")</f>
        <v>Yes</v>
      </c>
      <c r="Z96" s="5" t="str">
        <f ca="1">IFERROR(__xludf.DUMMYFUNCTION("""COMPUTED_VALUE"""),"Yes")</f>
        <v>Yes</v>
      </c>
      <c r="AA96" s="5" t="str">
        <f ca="1">IFERROR(__xludf.DUMMYFUNCTION("""COMPUTED_VALUE"""),"Yes")</f>
        <v>Yes</v>
      </c>
      <c r="AB96" s="5" t="str">
        <f ca="1">IFERROR(__xludf.DUMMYFUNCTION("""COMPUTED_VALUE"""),"Yes")</f>
        <v>Yes</v>
      </c>
      <c r="AC96" s="5" t="str">
        <f ca="1">IFERROR(__xludf.DUMMYFUNCTION("""COMPUTED_VALUE"""),"Yes")</f>
        <v>Yes</v>
      </c>
      <c r="AD96" s="5" t="str">
        <f ca="1">IFERROR(__xludf.DUMMYFUNCTION("""COMPUTED_VALUE"""),"Yes")</f>
        <v>Yes</v>
      </c>
      <c r="AE96" s="5" t="str">
        <f ca="1">IFERROR(__xludf.DUMMYFUNCTION("""COMPUTED_VALUE"""),"Yes")</f>
        <v>Yes</v>
      </c>
      <c r="AF96" s="5" t="str">
        <f ca="1">IFERROR(__xludf.DUMMYFUNCTION("""COMPUTED_VALUE"""),"Yes")</f>
        <v>Yes</v>
      </c>
      <c r="AG96" s="5" t="str">
        <f ca="1">IFERROR(__xludf.DUMMYFUNCTION("""COMPUTED_VALUE"""),"Yes")</f>
        <v>Yes</v>
      </c>
      <c r="AH96" s="5" t="str">
        <f ca="1">IFERROR(__xludf.DUMMYFUNCTION("""COMPUTED_VALUE"""),"Yes")</f>
        <v>Yes</v>
      </c>
      <c r="AI96" s="5" t="str">
        <f ca="1">IFERROR(__xludf.DUMMYFUNCTION("""COMPUTED_VALUE"""),"Yes")</f>
        <v>Yes</v>
      </c>
      <c r="AJ96" s="5" t="str">
        <f ca="1">IFERROR(__xludf.DUMMYFUNCTION("""COMPUTED_VALUE"""),"Yes")</f>
        <v>Yes</v>
      </c>
      <c r="AK96" s="5" t="str">
        <f ca="1">IFERROR(__xludf.DUMMYFUNCTION("""COMPUTED_VALUE"""),"Yes")</f>
        <v>Yes</v>
      </c>
      <c r="AL96" s="5" t="str">
        <f ca="1">IFERROR(__xludf.DUMMYFUNCTION("""COMPUTED_VALUE"""),"Yes")</f>
        <v>Yes</v>
      </c>
      <c r="AM96" s="5" t="str">
        <f ca="1">IFERROR(__xludf.DUMMYFUNCTION("""COMPUTED_VALUE"""),"Yes")</f>
        <v>Yes</v>
      </c>
      <c r="AN96" s="5" t="str">
        <f ca="1">IFERROR(__xludf.DUMMYFUNCTION("""COMPUTED_VALUE"""),"Yes")</f>
        <v>Yes</v>
      </c>
      <c r="AO96" s="5" t="str">
        <f ca="1">IFERROR(__xludf.DUMMYFUNCTION("""COMPUTED_VALUE"""),"Yes")</f>
        <v>Yes</v>
      </c>
      <c r="AP96" s="5" t="str">
        <f ca="1">IFERROR(__xludf.DUMMYFUNCTION("""COMPUTED_VALUE"""),"Yes")</f>
        <v>Yes</v>
      </c>
      <c r="AQ96" s="5" t="str">
        <f ca="1">IFERROR(__xludf.DUMMYFUNCTION("""COMPUTED_VALUE"""),"Yes")</f>
        <v>Yes</v>
      </c>
      <c r="AR96" s="5" t="str">
        <f ca="1">IFERROR(__xludf.DUMMYFUNCTION("""COMPUTED_VALUE"""),"Yes")</f>
        <v>Yes</v>
      </c>
      <c r="AS96" s="5" t="str">
        <f ca="1">IFERROR(__xludf.DUMMYFUNCTION("""COMPUTED_VALUE"""),"Yes")</f>
        <v>Yes</v>
      </c>
      <c r="AT96" s="5" t="str">
        <f ca="1">IFERROR(__xludf.DUMMYFUNCTION("""COMPUTED_VALUE"""),"No")</f>
        <v>No</v>
      </c>
      <c r="AU96" s="5"/>
    </row>
    <row r="97" spans="1:47" x14ac:dyDescent="0.25">
      <c r="A97" s="5" t="str">
        <f ca="1">IFERROR(__xludf.DUMMYFUNCTION("""COMPUTED_VALUE"""),"Foxi")</f>
        <v>Foxi</v>
      </c>
      <c r="B97" s="5" t="str">
        <f ca="1">IFERROR(__xludf.DUMMYFUNCTION("""COMPUTED_VALUE"""),"Wild 27")</f>
        <v>Wild 27</v>
      </c>
      <c r="C97" s="5" t="str">
        <f ca="1">IFERROR(__xludf.DUMMYFUNCTION("""COMPUTED_VALUE"""),"Wild27")</f>
        <v>Wild27</v>
      </c>
      <c r="D97" s="6">
        <f ca="1">IFERROR(__xludf.DUMMYFUNCTION("""COMPUTED_VALUE"""),45050)</f>
        <v>45050</v>
      </c>
      <c r="E97" s="5" t="str">
        <f ca="1">IFERROR(__xludf.DUMMYFUNCTION("""COMPUTED_VALUE"""),"Slot")</f>
        <v>Slot</v>
      </c>
      <c r="F97" s="5">
        <f ca="1">IFERROR(__xludf.DUMMYFUNCTION("""COMPUTED_VALUE"""),11.2)</f>
        <v>11.2</v>
      </c>
      <c r="G97" s="5" t="str">
        <f ca="1">IFERROR(__xludf.DUMMYFUNCTION("""COMPUTED_VALUE"""),"3x3")</f>
        <v>3x3</v>
      </c>
      <c r="H97" s="5" t="str">
        <f ca="1">IFERROR(__xludf.DUMMYFUNCTION("""COMPUTED_VALUE"""),"27")</f>
        <v>27</v>
      </c>
      <c r="I97" s="5" t="str">
        <f ca="1">IFERROR(__xludf.DUMMYFUNCTION("""COMPUTED_VALUE"""),"27")</f>
        <v>27</v>
      </c>
      <c r="J97" s="5" t="str">
        <f ca="1">IFERROR(__xludf.DUMMYFUNCTION("""COMPUTED_VALUE"""),"96.24%")</f>
        <v>96.24%</v>
      </c>
      <c r="K97" s="5" t="str">
        <f ca="1">IFERROR(__xludf.DUMMYFUNCTION("""COMPUTED_VALUE"""),"Low")</f>
        <v>Low</v>
      </c>
      <c r="L97" s="5" t="str">
        <f ca="1">IFERROR(__xludf.DUMMYFUNCTION("""COMPUTED_VALUE"""),"6.58%")</f>
        <v>6.58%</v>
      </c>
      <c r="M97" s="5" t="str">
        <f ca="1">IFERROR(__xludf.DUMMYFUNCTION("""COMPUTED_VALUE"""),"x108")</f>
        <v>x108</v>
      </c>
      <c r="N97" s="5" t="str">
        <f ca="1">IFERROR(__xludf.DUMMYFUNCTION("""COMPUTED_VALUE"""),"0.1/40")</f>
        <v>0.1/40</v>
      </c>
      <c r="O97" s="5" t="str">
        <f ca="1">IFERROR(__xludf.DUMMYFUNCTION("""COMPUTED_VALUE"""),"Yes")</f>
        <v>Yes</v>
      </c>
      <c r="P97" s="5" t="str">
        <f ca="1">IFERROR(__xludf.DUMMYFUNCTION("""COMPUTED_VALUE"""),"Win Multiplier")</f>
        <v>Win Multiplier</v>
      </c>
      <c r="Q97" s="7" t="str">
        <f ca="1">IFERROR(__xludf.DUMMYFUNCTION("""COMPUTED_VALUE"""),"https://gameserver-store-client-area.orbionlimited.com/Home/IntegrationGameLaunch/client-area?moneyType=0&amp;gameName=Wild27&amp;platform=desktop&amp;languageCode=eng&amp;currency=EUR")</f>
        <v>https://gameserver-store-client-area.orbionlimited.com/Home/IntegrationGameLaunch/client-area?moneyType=0&amp;gameName=Wild27&amp;platform=desktop&amp;languageCode=eng&amp;currency=EUR</v>
      </c>
      <c r="R97" s="5" t="str">
        <f ca="1">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S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7" s="5" t="str">
        <f ca="1">IFERROR(__xludf.DUMMYFUNCTION("""COMPUTED_VALUE"""),"Yes")</f>
        <v>Yes</v>
      </c>
      <c r="U97" s="5" t="str">
        <f ca="1">IFERROR(__xludf.DUMMYFUNCTION("""COMPUTED_VALUE"""),"Yes")</f>
        <v>Yes</v>
      </c>
      <c r="V97" s="5" t="str">
        <f ca="1">IFERROR(__xludf.DUMMYFUNCTION("""COMPUTED_VALUE"""),"Yes")</f>
        <v>Yes</v>
      </c>
      <c r="W97" s="5" t="str">
        <f ca="1">IFERROR(__xludf.DUMMYFUNCTION("""COMPUTED_VALUE"""),"Yes")</f>
        <v>Yes</v>
      </c>
      <c r="X97" s="5" t="str">
        <f ca="1">IFERROR(__xludf.DUMMYFUNCTION("""COMPUTED_VALUE"""),"Yes")</f>
        <v>Yes</v>
      </c>
      <c r="Y97" s="5" t="str">
        <f ca="1">IFERROR(__xludf.DUMMYFUNCTION("""COMPUTED_VALUE"""),"Yes")</f>
        <v>Yes</v>
      </c>
      <c r="Z97" s="5" t="str">
        <f ca="1">IFERROR(__xludf.DUMMYFUNCTION("""COMPUTED_VALUE"""),"Yes")</f>
        <v>Yes</v>
      </c>
      <c r="AA97" s="5" t="str">
        <f ca="1">IFERROR(__xludf.DUMMYFUNCTION("""COMPUTED_VALUE"""),"Yes")</f>
        <v>Yes</v>
      </c>
      <c r="AB97" s="5" t="str">
        <f ca="1">IFERROR(__xludf.DUMMYFUNCTION("""COMPUTED_VALUE"""),"Yes")</f>
        <v>Yes</v>
      </c>
      <c r="AC97" s="5" t="str">
        <f ca="1">IFERROR(__xludf.DUMMYFUNCTION("""COMPUTED_VALUE"""),"Yes")</f>
        <v>Yes</v>
      </c>
      <c r="AD97" s="5" t="str">
        <f ca="1">IFERROR(__xludf.DUMMYFUNCTION("""COMPUTED_VALUE"""),"Yes")</f>
        <v>Yes</v>
      </c>
      <c r="AE97" s="5" t="str">
        <f ca="1">IFERROR(__xludf.DUMMYFUNCTION("""COMPUTED_VALUE"""),"Yes")</f>
        <v>Yes</v>
      </c>
      <c r="AF97" s="5" t="str">
        <f ca="1">IFERROR(__xludf.DUMMYFUNCTION("""COMPUTED_VALUE"""),"Yes")</f>
        <v>Yes</v>
      </c>
      <c r="AG97" s="5" t="str">
        <f ca="1">IFERROR(__xludf.DUMMYFUNCTION("""COMPUTED_VALUE"""),"Yes")</f>
        <v>Yes</v>
      </c>
      <c r="AH97" s="5" t="str">
        <f ca="1">IFERROR(__xludf.DUMMYFUNCTION("""COMPUTED_VALUE"""),"Yes")</f>
        <v>Yes</v>
      </c>
      <c r="AI97" s="5" t="str">
        <f ca="1">IFERROR(__xludf.DUMMYFUNCTION("""COMPUTED_VALUE"""),"Yes")</f>
        <v>Yes</v>
      </c>
      <c r="AJ97" s="5" t="str">
        <f ca="1">IFERROR(__xludf.DUMMYFUNCTION("""COMPUTED_VALUE"""),"Yes")</f>
        <v>Yes</v>
      </c>
      <c r="AK97" s="5" t="str">
        <f ca="1">IFERROR(__xludf.DUMMYFUNCTION("""COMPUTED_VALUE"""),"Yes")</f>
        <v>Yes</v>
      </c>
      <c r="AL97" s="5" t="str">
        <f ca="1">IFERROR(__xludf.DUMMYFUNCTION("""COMPUTED_VALUE"""),"Yes")</f>
        <v>Yes</v>
      </c>
      <c r="AM97" s="5" t="str">
        <f ca="1">IFERROR(__xludf.DUMMYFUNCTION("""COMPUTED_VALUE"""),"Yes")</f>
        <v>Yes</v>
      </c>
      <c r="AN97" s="5" t="str">
        <f ca="1">IFERROR(__xludf.DUMMYFUNCTION("""COMPUTED_VALUE"""),"Yes")</f>
        <v>Yes</v>
      </c>
      <c r="AO97" s="5" t="str">
        <f ca="1">IFERROR(__xludf.DUMMYFUNCTION("""COMPUTED_VALUE"""),"Yes")</f>
        <v>Yes</v>
      </c>
      <c r="AP97" s="5" t="str">
        <f ca="1">IFERROR(__xludf.DUMMYFUNCTION("""COMPUTED_VALUE"""),"Yes")</f>
        <v>Yes</v>
      </c>
      <c r="AQ97" s="5" t="str">
        <f ca="1">IFERROR(__xludf.DUMMYFUNCTION("""COMPUTED_VALUE"""),"Yes")</f>
        <v>Yes</v>
      </c>
      <c r="AR97" s="5" t="str">
        <f ca="1">IFERROR(__xludf.DUMMYFUNCTION("""COMPUTED_VALUE"""),"Yes")</f>
        <v>Yes</v>
      </c>
      <c r="AS97" s="5" t="str">
        <f ca="1">IFERROR(__xludf.DUMMYFUNCTION("""COMPUTED_VALUE"""),"Yes")</f>
        <v>Yes</v>
      </c>
      <c r="AT97" s="5" t="str">
        <f ca="1">IFERROR(__xludf.DUMMYFUNCTION("""COMPUTED_VALUE"""),"No")</f>
        <v>No</v>
      </c>
      <c r="AU97" s="5"/>
    </row>
    <row r="98" spans="1:47" x14ac:dyDescent="0.25">
      <c r="A98" s="5" t="str">
        <f ca="1">IFERROR(__xludf.DUMMYFUNCTION("""COMPUTED_VALUE"""),"Foxi")</f>
        <v>Foxi</v>
      </c>
      <c r="B98" s="5" t="str">
        <f ca="1">IFERROR(__xludf.DUMMYFUNCTION("""COMPUTED_VALUE"""),"Wild Hot 40 Free Spins")</f>
        <v>Wild Hot 40 Free Spins</v>
      </c>
      <c r="C98" s="5" t="str">
        <f ca="1">IFERROR(__xludf.DUMMYFUNCTION("""COMPUTED_VALUE"""),"WildHot40FreeSpins")</f>
        <v>WildHot40FreeSpins</v>
      </c>
      <c r="D98" s="6">
        <f ca="1">IFERROR(__xludf.DUMMYFUNCTION("""COMPUTED_VALUE"""),45043)</f>
        <v>45043</v>
      </c>
      <c r="E98" s="5" t="str">
        <f ca="1">IFERROR(__xludf.DUMMYFUNCTION("""COMPUTED_VALUE"""),"Slot")</f>
        <v>Slot</v>
      </c>
      <c r="F98" s="5">
        <f ca="1">IFERROR(__xludf.DUMMYFUNCTION("""COMPUTED_VALUE"""),32.9)</f>
        <v>32.9</v>
      </c>
      <c r="G98" s="5" t="str">
        <f ca="1">IFERROR(__xludf.DUMMYFUNCTION("""COMPUTED_VALUE"""),"5x4")</f>
        <v>5x4</v>
      </c>
      <c r="H98" s="5" t="str">
        <f ca="1">IFERROR(__xludf.DUMMYFUNCTION("""COMPUTED_VALUE"""),"40")</f>
        <v>40</v>
      </c>
      <c r="I98" s="5" t="str">
        <f ca="1">IFERROR(__xludf.DUMMYFUNCTION("""COMPUTED_VALUE"""),"40")</f>
        <v>40</v>
      </c>
      <c r="J98" s="5" t="str">
        <f ca="1">IFERROR(__xludf.DUMMYFUNCTION("""COMPUTED_VALUE"""),"96.024%")</f>
        <v>96.024%</v>
      </c>
      <c r="K98" s="5" t="str">
        <f ca="1">IFERROR(__xludf.DUMMYFUNCTION("""COMPUTED_VALUE"""),"Low")</f>
        <v>Low</v>
      </c>
      <c r="L98" s="5" t="str">
        <f ca="1">IFERROR(__xludf.DUMMYFUNCTION("""COMPUTED_VALUE"""),"17.23%")</f>
        <v>17.23%</v>
      </c>
      <c r="M98" s="5" t="str">
        <f ca="1">IFERROR(__xludf.DUMMYFUNCTION("""COMPUTED_VALUE"""),"x1046")</f>
        <v>x1046</v>
      </c>
      <c r="N98" s="5" t="str">
        <f ca="1">IFERROR(__xludf.DUMMYFUNCTION("""COMPUTED_VALUE"""),"0.4/60")</f>
        <v>0.4/60</v>
      </c>
      <c r="O98" s="5" t="str">
        <f ca="1">IFERROR(__xludf.DUMMYFUNCTION("""COMPUTED_VALUE"""),"Yes")</f>
        <v>Yes</v>
      </c>
      <c r="P98" s="5" t="str">
        <f ca="1">IFERROR(__xludf.DUMMYFUNCTION("""COMPUTED_VALUE"""),"Buy Bonus, Wild Symbol, Bonus Game with Free Spins")</f>
        <v>Buy Bonus, Wild Symbol, Bonus Game with Free Spins</v>
      </c>
      <c r="Q98" s="7" t="str">
        <f ca="1">IFERROR(__xludf.DUMMYFUNCTION("""COMPUTED_VALUE"""),"https://gameserver-store-client-area.orbionlimited.com/Home/IntegrationGameLaunch/client-area?moneyType=0&amp;gameName=WildHot40FreeSpins&amp;platform=desktop&amp;languageCode=eng&amp;currency=EUR")</f>
        <v>https://gameserver-store-client-area.orbionlimited.com/Home/IntegrationGameLaunch/client-area?moneyType=0&amp;gameName=WildHot40FreeSpins&amp;platform=desktop&amp;languageCode=eng&amp;currency=EUR</v>
      </c>
      <c r="R98" s="5" t="str">
        <f ca="1">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S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8" s="5" t="str">
        <f ca="1">IFERROR(__xludf.DUMMYFUNCTION("""COMPUTED_VALUE"""),"Yes")</f>
        <v>Yes</v>
      </c>
      <c r="U98" s="5" t="str">
        <f ca="1">IFERROR(__xludf.DUMMYFUNCTION("""COMPUTED_VALUE"""),"Yes")</f>
        <v>Yes</v>
      </c>
      <c r="V98" s="5" t="str">
        <f ca="1">IFERROR(__xludf.DUMMYFUNCTION("""COMPUTED_VALUE"""),"Yes")</f>
        <v>Yes</v>
      </c>
      <c r="W98" s="5" t="str">
        <f ca="1">IFERROR(__xludf.DUMMYFUNCTION("""COMPUTED_VALUE"""),"Yes")</f>
        <v>Yes</v>
      </c>
      <c r="X98" s="5" t="str">
        <f ca="1">IFERROR(__xludf.DUMMYFUNCTION("""COMPUTED_VALUE"""),"Yes")</f>
        <v>Yes</v>
      </c>
      <c r="Y98" s="5" t="str">
        <f ca="1">IFERROR(__xludf.DUMMYFUNCTION("""COMPUTED_VALUE"""),"Yes")</f>
        <v>Yes</v>
      </c>
      <c r="Z98" s="5" t="str">
        <f ca="1">IFERROR(__xludf.DUMMYFUNCTION("""COMPUTED_VALUE"""),"Yes")</f>
        <v>Yes</v>
      </c>
      <c r="AA98" s="5" t="str">
        <f ca="1">IFERROR(__xludf.DUMMYFUNCTION("""COMPUTED_VALUE"""),"Yes")</f>
        <v>Yes</v>
      </c>
      <c r="AB98" s="5" t="str">
        <f ca="1">IFERROR(__xludf.DUMMYFUNCTION("""COMPUTED_VALUE"""),"Yes")</f>
        <v>Yes</v>
      </c>
      <c r="AC98" s="5" t="str">
        <f ca="1">IFERROR(__xludf.DUMMYFUNCTION("""COMPUTED_VALUE"""),"Yes")</f>
        <v>Yes</v>
      </c>
      <c r="AD98" s="5" t="str">
        <f ca="1">IFERROR(__xludf.DUMMYFUNCTION("""COMPUTED_VALUE"""),"Yes")</f>
        <v>Yes</v>
      </c>
      <c r="AE98" s="5" t="str">
        <f ca="1">IFERROR(__xludf.DUMMYFUNCTION("""COMPUTED_VALUE"""),"Yes")</f>
        <v>Yes</v>
      </c>
      <c r="AF98" s="5" t="str">
        <f ca="1">IFERROR(__xludf.DUMMYFUNCTION("""COMPUTED_VALUE"""),"Yes")</f>
        <v>Yes</v>
      </c>
      <c r="AG98" s="5" t="str">
        <f ca="1">IFERROR(__xludf.DUMMYFUNCTION("""COMPUTED_VALUE"""),"Yes")</f>
        <v>Yes</v>
      </c>
      <c r="AH98" s="5" t="str">
        <f ca="1">IFERROR(__xludf.DUMMYFUNCTION("""COMPUTED_VALUE"""),"Yes")</f>
        <v>Yes</v>
      </c>
      <c r="AI98" s="5" t="str">
        <f ca="1">IFERROR(__xludf.DUMMYFUNCTION("""COMPUTED_VALUE"""),"Yes")</f>
        <v>Yes</v>
      </c>
      <c r="AJ98" s="5" t="str">
        <f ca="1">IFERROR(__xludf.DUMMYFUNCTION("""COMPUTED_VALUE"""),"Yes")</f>
        <v>Yes</v>
      </c>
      <c r="AK98" s="5" t="str">
        <f ca="1">IFERROR(__xludf.DUMMYFUNCTION("""COMPUTED_VALUE"""),"Yes")</f>
        <v>Yes</v>
      </c>
      <c r="AL98" s="5" t="str">
        <f ca="1">IFERROR(__xludf.DUMMYFUNCTION("""COMPUTED_VALUE"""),"Yes")</f>
        <v>Yes</v>
      </c>
      <c r="AM98" s="5" t="str">
        <f ca="1">IFERROR(__xludf.DUMMYFUNCTION("""COMPUTED_VALUE"""),"Yes")</f>
        <v>Yes</v>
      </c>
      <c r="AN98" s="5" t="str">
        <f ca="1">IFERROR(__xludf.DUMMYFUNCTION("""COMPUTED_VALUE"""),"Yes")</f>
        <v>Yes</v>
      </c>
      <c r="AO98" s="5" t="str">
        <f ca="1">IFERROR(__xludf.DUMMYFUNCTION("""COMPUTED_VALUE"""),"Yes")</f>
        <v>Yes</v>
      </c>
      <c r="AP98" s="5" t="str">
        <f ca="1">IFERROR(__xludf.DUMMYFUNCTION("""COMPUTED_VALUE"""),"Yes")</f>
        <v>Yes</v>
      </c>
      <c r="AQ98" s="5" t="str">
        <f ca="1">IFERROR(__xludf.DUMMYFUNCTION("""COMPUTED_VALUE"""),"Yes")</f>
        <v>Yes</v>
      </c>
      <c r="AR98" s="5" t="str">
        <f ca="1">IFERROR(__xludf.DUMMYFUNCTION("""COMPUTED_VALUE"""),"Yes")</f>
        <v>Yes</v>
      </c>
      <c r="AS98" s="5" t="str">
        <f ca="1">IFERROR(__xludf.DUMMYFUNCTION("""COMPUTED_VALUE"""),"Yes")</f>
        <v>Yes</v>
      </c>
      <c r="AT98" s="5" t="str">
        <f ca="1">IFERROR(__xludf.DUMMYFUNCTION("""COMPUTED_VALUE"""),"No")</f>
        <v>No</v>
      </c>
      <c r="AU98" s="5"/>
    </row>
    <row r="99" spans="1:47" x14ac:dyDescent="0.25">
      <c r="A99" s="5" t="str">
        <f ca="1">IFERROR(__xludf.DUMMYFUNCTION("""COMPUTED_VALUE"""),"Foxi")</f>
        <v>Foxi</v>
      </c>
      <c r="B99" s="5" t="str">
        <f ca="1">IFERROR(__xludf.DUMMYFUNCTION("""COMPUTED_VALUE"""),"Epic Clover 40")</f>
        <v>Epic Clover 40</v>
      </c>
      <c r="C99" s="5" t="str">
        <f ca="1">IFERROR(__xludf.DUMMYFUNCTION("""COMPUTED_VALUE"""),"EpicClover40")</f>
        <v>EpicClover40</v>
      </c>
      <c r="D99" s="6">
        <f ca="1">IFERROR(__xludf.DUMMYFUNCTION("""COMPUTED_VALUE"""),45113)</f>
        <v>45113</v>
      </c>
      <c r="E99" s="5" t="str">
        <f ca="1">IFERROR(__xludf.DUMMYFUNCTION("""COMPUTED_VALUE"""),"Slot")</f>
        <v>Slot</v>
      </c>
      <c r="F99" s="5">
        <f ca="1">IFERROR(__xludf.DUMMYFUNCTION("""COMPUTED_VALUE"""),27)</f>
        <v>27</v>
      </c>
      <c r="G99" s="5" t="str">
        <f ca="1">IFERROR(__xludf.DUMMYFUNCTION("""COMPUTED_VALUE"""),"5x4")</f>
        <v>5x4</v>
      </c>
      <c r="H99" s="5" t="str">
        <f ca="1">IFERROR(__xludf.DUMMYFUNCTION("""COMPUTED_VALUE"""),"40")</f>
        <v>40</v>
      </c>
      <c r="I99" s="5" t="str">
        <f ca="1">IFERROR(__xludf.DUMMYFUNCTION("""COMPUTED_VALUE"""),"40")</f>
        <v>40</v>
      </c>
      <c r="J99" s="5" t="str">
        <f ca="1">IFERROR(__xludf.DUMMYFUNCTION("""COMPUTED_VALUE"""),"96.502%")</f>
        <v>96.502%</v>
      </c>
      <c r="K99" s="5" t="str">
        <f ca="1">IFERROR(__xludf.DUMMYFUNCTION("""COMPUTED_VALUE"""),"Medium")</f>
        <v>Medium</v>
      </c>
      <c r="L99" s="5" t="str">
        <f ca="1">IFERROR(__xludf.DUMMYFUNCTION("""COMPUTED_VALUE"""),"11.6%")</f>
        <v>11.6%</v>
      </c>
      <c r="M99" s="5" t="str">
        <f ca="1">IFERROR(__xludf.DUMMYFUNCTION("""COMPUTED_VALUE"""),"x3000")</f>
        <v>x3000</v>
      </c>
      <c r="N99" s="5" t="str">
        <f ca="1">IFERROR(__xludf.DUMMYFUNCTION("""COMPUTED_VALUE"""),"0.4/60")</f>
        <v>0.4/60</v>
      </c>
      <c r="O99" s="5" t="str">
        <f ca="1">IFERROR(__xludf.DUMMYFUNCTION("""COMPUTED_VALUE"""),"Yes")</f>
        <v>Yes</v>
      </c>
      <c r="P99" s="5" t="str">
        <f ca="1">IFERROR(__xludf.DUMMYFUNCTION("""COMPUTED_VALUE"""),"Scatter, Expanding Wild")</f>
        <v>Scatter, Expanding Wild</v>
      </c>
      <c r="Q99" s="7" t="str">
        <f ca="1">IFERROR(__xludf.DUMMYFUNCTION("""COMPUTED_VALUE"""),"https://gameserver-store-client-area.orbionlimited.com/Home/IntegrationGameLaunch/client-area?moneyType=0&amp;gameName=EpicClover40&amp;platform=desktop&amp;languageCode=eng&amp;currency=EUR")</f>
        <v>https://gameserver-store-client-area.orbionlimited.com/Home/IntegrationGameLaunch/client-area?moneyType=0&amp;gameName=EpicClover40&amp;platform=desktop&amp;languageCode=eng&amp;currency=EUR</v>
      </c>
      <c r="R99" s="5" t="str">
        <f ca="1">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S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9" s="5" t="str">
        <f ca="1">IFERROR(__xludf.DUMMYFUNCTION("""COMPUTED_VALUE"""),"Yes")</f>
        <v>Yes</v>
      </c>
      <c r="U99" s="5" t="str">
        <f ca="1">IFERROR(__xludf.DUMMYFUNCTION("""COMPUTED_VALUE"""),"Yes")</f>
        <v>Yes</v>
      </c>
      <c r="V99" s="5" t="str">
        <f ca="1">IFERROR(__xludf.DUMMYFUNCTION("""COMPUTED_VALUE"""),"Yes")</f>
        <v>Yes</v>
      </c>
      <c r="W99" s="5" t="str">
        <f ca="1">IFERROR(__xludf.DUMMYFUNCTION("""COMPUTED_VALUE"""),"Yes")</f>
        <v>Yes</v>
      </c>
      <c r="X99" s="5" t="str">
        <f ca="1">IFERROR(__xludf.DUMMYFUNCTION("""COMPUTED_VALUE"""),"Yes")</f>
        <v>Yes</v>
      </c>
      <c r="Y99" s="5" t="str">
        <f ca="1">IFERROR(__xludf.DUMMYFUNCTION("""COMPUTED_VALUE"""),"Yes")</f>
        <v>Yes</v>
      </c>
      <c r="Z99" s="5" t="str">
        <f ca="1">IFERROR(__xludf.DUMMYFUNCTION("""COMPUTED_VALUE"""),"Yes")</f>
        <v>Yes</v>
      </c>
      <c r="AA99" s="5" t="str">
        <f ca="1">IFERROR(__xludf.DUMMYFUNCTION("""COMPUTED_VALUE"""),"Yes")</f>
        <v>Yes</v>
      </c>
      <c r="AB99" s="5" t="str">
        <f ca="1">IFERROR(__xludf.DUMMYFUNCTION("""COMPUTED_VALUE"""),"Yes")</f>
        <v>Yes</v>
      </c>
      <c r="AC99" s="5" t="str">
        <f ca="1">IFERROR(__xludf.DUMMYFUNCTION("""COMPUTED_VALUE"""),"Yes")</f>
        <v>Yes</v>
      </c>
      <c r="AD99" s="5" t="str">
        <f ca="1">IFERROR(__xludf.DUMMYFUNCTION("""COMPUTED_VALUE"""),"Yes")</f>
        <v>Yes</v>
      </c>
      <c r="AE99" s="5" t="str">
        <f ca="1">IFERROR(__xludf.DUMMYFUNCTION("""COMPUTED_VALUE"""),"Yes")</f>
        <v>Yes</v>
      </c>
      <c r="AF99" s="5" t="str">
        <f ca="1">IFERROR(__xludf.DUMMYFUNCTION("""COMPUTED_VALUE"""),"Yes")</f>
        <v>Yes</v>
      </c>
      <c r="AG99" s="5" t="str">
        <f ca="1">IFERROR(__xludf.DUMMYFUNCTION("""COMPUTED_VALUE"""),"Yes")</f>
        <v>Yes</v>
      </c>
      <c r="AH99" s="5" t="str">
        <f ca="1">IFERROR(__xludf.DUMMYFUNCTION("""COMPUTED_VALUE"""),"Yes")</f>
        <v>Yes</v>
      </c>
      <c r="AI99" s="5" t="str">
        <f ca="1">IFERROR(__xludf.DUMMYFUNCTION("""COMPUTED_VALUE"""),"Yes")</f>
        <v>Yes</v>
      </c>
      <c r="AJ99" s="5" t="str">
        <f ca="1">IFERROR(__xludf.DUMMYFUNCTION("""COMPUTED_VALUE"""),"Yes")</f>
        <v>Yes</v>
      </c>
      <c r="AK99" s="5" t="str">
        <f ca="1">IFERROR(__xludf.DUMMYFUNCTION("""COMPUTED_VALUE"""),"Yes")</f>
        <v>Yes</v>
      </c>
      <c r="AL99" s="5" t="str">
        <f ca="1">IFERROR(__xludf.DUMMYFUNCTION("""COMPUTED_VALUE"""),"Yes")</f>
        <v>Yes</v>
      </c>
      <c r="AM99" s="5" t="str">
        <f ca="1">IFERROR(__xludf.DUMMYFUNCTION("""COMPUTED_VALUE"""),"Yes")</f>
        <v>Yes</v>
      </c>
      <c r="AN99" s="5" t="str">
        <f ca="1">IFERROR(__xludf.DUMMYFUNCTION("""COMPUTED_VALUE"""),"Yes")</f>
        <v>Yes</v>
      </c>
      <c r="AO99" s="5" t="str">
        <f ca="1">IFERROR(__xludf.DUMMYFUNCTION("""COMPUTED_VALUE"""),"Yes")</f>
        <v>Yes</v>
      </c>
      <c r="AP99" s="5" t="str">
        <f ca="1">IFERROR(__xludf.DUMMYFUNCTION("""COMPUTED_VALUE"""),"Yes")</f>
        <v>Yes</v>
      </c>
      <c r="AQ99" s="5" t="str">
        <f ca="1">IFERROR(__xludf.DUMMYFUNCTION("""COMPUTED_VALUE"""),"Yes")</f>
        <v>Yes</v>
      </c>
      <c r="AR99" s="5" t="str">
        <f ca="1">IFERROR(__xludf.DUMMYFUNCTION("""COMPUTED_VALUE"""),"Yes")</f>
        <v>Yes</v>
      </c>
      <c r="AS99" s="5" t="str">
        <f ca="1">IFERROR(__xludf.DUMMYFUNCTION("""COMPUTED_VALUE"""),"Yes")</f>
        <v>Yes</v>
      </c>
      <c r="AT99" s="5" t="str">
        <f ca="1">IFERROR(__xludf.DUMMYFUNCTION("""COMPUTED_VALUE"""),"No")</f>
        <v>No</v>
      </c>
      <c r="AU99" s="5"/>
    </row>
    <row r="100" spans="1:47" x14ac:dyDescent="0.25">
      <c r="A100" s="5" t="str">
        <f ca="1">IFERROR(__xludf.DUMMYFUNCTION("""COMPUTED_VALUE"""),"Foxi")</f>
        <v>Foxi</v>
      </c>
      <c r="B100" s="5" t="str">
        <f ca="1">IFERROR(__xludf.DUMMYFUNCTION("""COMPUTED_VALUE"""),"Wild Lucky Clover 2")</f>
        <v>Wild Lucky Clover 2</v>
      </c>
      <c r="C100" s="5" t="str">
        <f ca="1">IFERROR(__xludf.DUMMYFUNCTION("""COMPUTED_VALUE"""),"WildLuckyClover2")</f>
        <v>WildLuckyClover2</v>
      </c>
      <c r="D100" s="6">
        <f ca="1">IFERROR(__xludf.DUMMYFUNCTION("""COMPUTED_VALUE"""),45076)</f>
        <v>45076</v>
      </c>
      <c r="E100" s="5" t="str">
        <f ca="1">IFERROR(__xludf.DUMMYFUNCTION("""COMPUTED_VALUE"""),"Slot")</f>
        <v>Slot</v>
      </c>
      <c r="F100" s="5">
        <f ca="1">IFERROR(__xludf.DUMMYFUNCTION("""COMPUTED_VALUE"""),31.5)</f>
        <v>31.5</v>
      </c>
      <c r="G100" s="5" t="str">
        <f ca="1">IFERROR(__xludf.DUMMYFUNCTION("""COMPUTED_VALUE"""),"5x4")</f>
        <v>5x4</v>
      </c>
      <c r="H100" s="5" t="str">
        <f ca="1">IFERROR(__xludf.DUMMYFUNCTION("""COMPUTED_VALUE"""),"40")</f>
        <v>40</v>
      </c>
      <c r="I100" s="5" t="str">
        <f ca="1">IFERROR(__xludf.DUMMYFUNCTION("""COMPUTED_VALUE"""),"40")</f>
        <v>40</v>
      </c>
      <c r="J100" s="5" t="str">
        <f ca="1">IFERROR(__xludf.DUMMYFUNCTION("""COMPUTED_VALUE"""),"96.395%")</f>
        <v>96.395%</v>
      </c>
      <c r="K100" s="5" t="str">
        <f ca="1">IFERROR(__xludf.DUMMYFUNCTION("""COMPUTED_VALUE"""),"Medium")</f>
        <v>Medium</v>
      </c>
      <c r="L100" s="5" t="str">
        <f ca="1">IFERROR(__xludf.DUMMYFUNCTION("""COMPUTED_VALUE"""),"12.63%")</f>
        <v>12.63%</v>
      </c>
      <c r="M100" s="5" t="str">
        <f ca="1">IFERROR(__xludf.DUMMYFUNCTION("""COMPUTED_VALUE"""),"x2501")</f>
        <v>x2501</v>
      </c>
      <c r="N100" s="5" t="str">
        <f ca="1">IFERROR(__xludf.DUMMYFUNCTION("""COMPUTED_VALUE"""),"0.4/60")</f>
        <v>0.4/60</v>
      </c>
      <c r="O100" s="5" t="str">
        <f ca="1">IFERROR(__xludf.DUMMYFUNCTION("""COMPUTED_VALUE"""),"Yes")</f>
        <v>Yes</v>
      </c>
      <c r="P100" s="5" t="str">
        <f ca="1">IFERROR(__xludf.DUMMYFUNCTION("""COMPUTED_VALUE"""),"Buy Bonus, Bonus Game with Free Spins, Converting Wild, Wild Symbol, Wild Multiplier")</f>
        <v>Buy Bonus, Bonus Game with Free Spins, Converting Wild, Wild Symbol, Wild Multiplier</v>
      </c>
      <c r="Q100" s="7" t="str">
        <f ca="1">IFERROR(__xludf.DUMMYFUNCTION("""COMPUTED_VALUE"""),"https://gameserver-store-client-area.orbionlimited.com/Home/IntegrationGameLaunch/client-area?moneyType=0&amp;gameName=WildLuckyClover2&amp;platform=desktop&amp;languageCode=eng&amp;currency=EUR")</f>
        <v>https://gameserver-store-client-area.orbionlimited.com/Home/IntegrationGameLaunch/client-area?moneyType=0&amp;gameName=WildLuckyClover2&amp;platform=desktop&amp;languageCode=eng&amp;currency=EUR</v>
      </c>
      <c r="R100" s="5" t="str">
        <f ca="1">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S1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0" s="5" t="str">
        <f ca="1">IFERROR(__xludf.DUMMYFUNCTION("""COMPUTED_VALUE"""),"Yes")</f>
        <v>Yes</v>
      </c>
      <c r="U100" s="5" t="str">
        <f ca="1">IFERROR(__xludf.DUMMYFUNCTION("""COMPUTED_VALUE"""),"Yes")</f>
        <v>Yes</v>
      </c>
      <c r="V100" s="5" t="str">
        <f ca="1">IFERROR(__xludf.DUMMYFUNCTION("""COMPUTED_VALUE"""),"Yes")</f>
        <v>Yes</v>
      </c>
      <c r="W100" s="5" t="str">
        <f ca="1">IFERROR(__xludf.DUMMYFUNCTION("""COMPUTED_VALUE"""),"Yes")</f>
        <v>Yes</v>
      </c>
      <c r="X100" s="5" t="str">
        <f ca="1">IFERROR(__xludf.DUMMYFUNCTION("""COMPUTED_VALUE"""),"Yes")</f>
        <v>Yes</v>
      </c>
      <c r="Y100" s="5" t="str">
        <f ca="1">IFERROR(__xludf.DUMMYFUNCTION("""COMPUTED_VALUE"""),"Yes")</f>
        <v>Yes</v>
      </c>
      <c r="Z100" s="5" t="str">
        <f ca="1">IFERROR(__xludf.DUMMYFUNCTION("""COMPUTED_VALUE"""),"Yes")</f>
        <v>Yes</v>
      </c>
      <c r="AA100" s="5" t="str">
        <f ca="1">IFERROR(__xludf.DUMMYFUNCTION("""COMPUTED_VALUE"""),"Yes")</f>
        <v>Yes</v>
      </c>
      <c r="AB100" s="5" t="str">
        <f ca="1">IFERROR(__xludf.DUMMYFUNCTION("""COMPUTED_VALUE"""),"Yes")</f>
        <v>Yes</v>
      </c>
      <c r="AC100" s="5" t="str">
        <f ca="1">IFERROR(__xludf.DUMMYFUNCTION("""COMPUTED_VALUE"""),"Yes")</f>
        <v>Yes</v>
      </c>
      <c r="AD100" s="5" t="str">
        <f ca="1">IFERROR(__xludf.DUMMYFUNCTION("""COMPUTED_VALUE"""),"Yes")</f>
        <v>Yes</v>
      </c>
      <c r="AE100" s="5" t="str">
        <f ca="1">IFERROR(__xludf.DUMMYFUNCTION("""COMPUTED_VALUE"""),"Yes")</f>
        <v>Yes</v>
      </c>
      <c r="AF100" s="5" t="str">
        <f ca="1">IFERROR(__xludf.DUMMYFUNCTION("""COMPUTED_VALUE"""),"Yes")</f>
        <v>Yes</v>
      </c>
      <c r="AG100" s="5" t="str">
        <f ca="1">IFERROR(__xludf.DUMMYFUNCTION("""COMPUTED_VALUE"""),"Yes")</f>
        <v>Yes</v>
      </c>
      <c r="AH100" s="5" t="str">
        <f ca="1">IFERROR(__xludf.DUMMYFUNCTION("""COMPUTED_VALUE"""),"Yes")</f>
        <v>Yes</v>
      </c>
      <c r="AI100" s="5" t="str">
        <f ca="1">IFERROR(__xludf.DUMMYFUNCTION("""COMPUTED_VALUE"""),"Yes")</f>
        <v>Yes</v>
      </c>
      <c r="AJ100" s="5" t="str">
        <f ca="1">IFERROR(__xludf.DUMMYFUNCTION("""COMPUTED_VALUE"""),"Yes")</f>
        <v>Yes</v>
      </c>
      <c r="AK100" s="5" t="str">
        <f ca="1">IFERROR(__xludf.DUMMYFUNCTION("""COMPUTED_VALUE"""),"Yes")</f>
        <v>Yes</v>
      </c>
      <c r="AL100" s="5" t="str">
        <f ca="1">IFERROR(__xludf.DUMMYFUNCTION("""COMPUTED_VALUE"""),"Yes")</f>
        <v>Yes</v>
      </c>
      <c r="AM100" s="5" t="str">
        <f ca="1">IFERROR(__xludf.DUMMYFUNCTION("""COMPUTED_VALUE"""),"Yes")</f>
        <v>Yes</v>
      </c>
      <c r="AN100" s="5" t="str">
        <f ca="1">IFERROR(__xludf.DUMMYFUNCTION("""COMPUTED_VALUE"""),"Yes")</f>
        <v>Yes</v>
      </c>
      <c r="AO100" s="5" t="str">
        <f ca="1">IFERROR(__xludf.DUMMYFUNCTION("""COMPUTED_VALUE"""),"Yes")</f>
        <v>Yes</v>
      </c>
      <c r="AP100" s="5" t="str">
        <f ca="1">IFERROR(__xludf.DUMMYFUNCTION("""COMPUTED_VALUE"""),"Yes")</f>
        <v>Yes</v>
      </c>
      <c r="AQ100" s="5" t="str">
        <f ca="1">IFERROR(__xludf.DUMMYFUNCTION("""COMPUTED_VALUE"""),"Yes")</f>
        <v>Yes</v>
      </c>
      <c r="AR100" s="5" t="str">
        <f ca="1">IFERROR(__xludf.DUMMYFUNCTION("""COMPUTED_VALUE"""),"Yes")</f>
        <v>Yes</v>
      </c>
      <c r="AS100" s="5" t="str">
        <f ca="1">IFERROR(__xludf.DUMMYFUNCTION("""COMPUTED_VALUE"""),"Yes")</f>
        <v>Yes</v>
      </c>
      <c r="AT100" s="5" t="str">
        <f ca="1">IFERROR(__xludf.DUMMYFUNCTION("""COMPUTED_VALUE"""),"No")</f>
        <v>No</v>
      </c>
      <c r="AU100" s="5"/>
    </row>
    <row r="101" spans="1:47" x14ac:dyDescent="0.25">
      <c r="A101" s="5" t="str">
        <f ca="1">IFERROR(__xludf.DUMMYFUNCTION("""COMPUTED_VALUE"""),"Foxi")</f>
        <v>Foxi</v>
      </c>
      <c r="B101" s="5" t="str">
        <f ca="1">IFERROR(__xludf.DUMMYFUNCTION("""COMPUTED_VALUE"""),"Epic Crown 10")</f>
        <v>Epic Crown 10</v>
      </c>
      <c r="C101" s="5" t="str">
        <f ca="1">IFERROR(__xludf.DUMMYFUNCTION("""COMPUTED_VALUE"""),"EpicCrown10")</f>
        <v>EpicCrown10</v>
      </c>
      <c r="D101" s="6">
        <f ca="1">IFERROR(__xludf.DUMMYFUNCTION("""COMPUTED_VALUE"""),45314)</f>
        <v>45314</v>
      </c>
      <c r="E101" s="5" t="str">
        <f ca="1">IFERROR(__xludf.DUMMYFUNCTION("""COMPUTED_VALUE"""),"Slot")</f>
        <v>Slot</v>
      </c>
      <c r="F101" s="5">
        <f ca="1">IFERROR(__xludf.DUMMYFUNCTION("""COMPUTED_VALUE"""),23.7)</f>
        <v>23.7</v>
      </c>
      <c r="G101" s="5" t="str">
        <f ca="1">IFERROR(__xludf.DUMMYFUNCTION("""COMPUTED_VALUE"""),"5x3")</f>
        <v>5x3</v>
      </c>
      <c r="H101" s="5" t="str">
        <f ca="1">IFERROR(__xludf.DUMMYFUNCTION("""COMPUTED_VALUE"""),"10")</f>
        <v>10</v>
      </c>
      <c r="I101" s="5" t="str">
        <f ca="1">IFERROR(__xludf.DUMMYFUNCTION("""COMPUTED_VALUE"""),"10")</f>
        <v>10</v>
      </c>
      <c r="J101" s="5" t="str">
        <f ca="1">IFERROR(__xludf.DUMMYFUNCTION("""COMPUTED_VALUE"""),"95.962%")</f>
        <v>95.962%</v>
      </c>
      <c r="K101" s="5" t="str">
        <f ca="1">IFERROR(__xludf.DUMMYFUNCTION("""COMPUTED_VALUE"""),"Medium")</f>
        <v>Medium</v>
      </c>
      <c r="L101" s="5" t="str">
        <f ca="1">IFERROR(__xludf.DUMMYFUNCTION("""COMPUTED_VALUE"""),"14.63%")</f>
        <v>14.63%</v>
      </c>
      <c r="M101" s="5" t="str">
        <f ca="1">IFERROR(__xludf.DUMMYFUNCTION("""COMPUTED_VALUE"""),"x1538")</f>
        <v>x1538</v>
      </c>
      <c r="N101" s="5" t="str">
        <f ca="1">IFERROR(__xludf.DUMMYFUNCTION("""COMPUTED_VALUE"""),"0.1/50")</f>
        <v>0.1/50</v>
      </c>
      <c r="O101" s="5" t="str">
        <f ca="1">IFERROR(__xludf.DUMMYFUNCTION("""COMPUTED_VALUE"""),"Yes")</f>
        <v>Yes</v>
      </c>
      <c r="P101" s="5" t="str">
        <f ca="1">IFERROR(__xludf.DUMMYFUNCTION("""COMPUTED_VALUE"""),"Scatter, Expanding Wild")</f>
        <v>Scatter, Expanding Wild</v>
      </c>
      <c r="Q101" s="7" t="str">
        <f ca="1">IFERROR(__xludf.DUMMYFUNCTION("""COMPUTED_VALUE"""),"https://gameserver-store-client-area.orbionlimited.com/Home/IntegrationGameLaunch/client-area?moneyType=0&amp;gameName=EpicCrown10&amp;platform=desktop&amp;languageCode=eng&amp;currency=EUR")</f>
        <v>https://gameserver-store-client-area.orbionlimited.com/Home/IntegrationGameLaunch/client-area?moneyType=0&amp;gameName=EpicCrown10&amp;platform=desktop&amp;languageCode=eng&amp;currency=EUR</v>
      </c>
      <c r="R101" s="5" t="str">
        <f ca="1">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S1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1" s="5" t="str">
        <f ca="1">IFERROR(__xludf.DUMMYFUNCTION("""COMPUTED_VALUE"""),"Yes")</f>
        <v>Yes</v>
      </c>
      <c r="U101" s="5" t="str">
        <f ca="1">IFERROR(__xludf.DUMMYFUNCTION("""COMPUTED_VALUE"""),"Yes")</f>
        <v>Yes</v>
      </c>
      <c r="V101" s="5" t="str">
        <f ca="1">IFERROR(__xludf.DUMMYFUNCTION("""COMPUTED_VALUE"""),"Yes")</f>
        <v>Yes</v>
      </c>
      <c r="W101" s="5" t="str">
        <f ca="1">IFERROR(__xludf.DUMMYFUNCTION("""COMPUTED_VALUE"""),"Yes")</f>
        <v>Yes</v>
      </c>
      <c r="X101" s="5" t="str">
        <f ca="1">IFERROR(__xludf.DUMMYFUNCTION("""COMPUTED_VALUE"""),"Yes")</f>
        <v>Yes</v>
      </c>
      <c r="Y101" s="5" t="str">
        <f ca="1">IFERROR(__xludf.DUMMYFUNCTION("""COMPUTED_VALUE"""),"Yes")</f>
        <v>Yes</v>
      </c>
      <c r="Z101" s="5" t="str">
        <f ca="1">IFERROR(__xludf.DUMMYFUNCTION("""COMPUTED_VALUE"""),"Yes")</f>
        <v>Yes</v>
      </c>
      <c r="AA101" s="5" t="str">
        <f ca="1">IFERROR(__xludf.DUMMYFUNCTION("""COMPUTED_VALUE"""),"Yes")</f>
        <v>Yes</v>
      </c>
      <c r="AB101" s="5" t="str">
        <f ca="1">IFERROR(__xludf.DUMMYFUNCTION("""COMPUTED_VALUE"""),"Yes")</f>
        <v>Yes</v>
      </c>
      <c r="AC101" s="5" t="str">
        <f ca="1">IFERROR(__xludf.DUMMYFUNCTION("""COMPUTED_VALUE"""),"Yes")</f>
        <v>Yes</v>
      </c>
      <c r="AD101" s="5" t="str">
        <f ca="1">IFERROR(__xludf.DUMMYFUNCTION("""COMPUTED_VALUE"""),"Yes")</f>
        <v>Yes</v>
      </c>
      <c r="AE101" s="5" t="str">
        <f ca="1">IFERROR(__xludf.DUMMYFUNCTION("""COMPUTED_VALUE"""),"Yes")</f>
        <v>Yes</v>
      </c>
      <c r="AF101" s="5" t="str">
        <f ca="1">IFERROR(__xludf.DUMMYFUNCTION("""COMPUTED_VALUE"""),"Yes")</f>
        <v>Yes</v>
      </c>
      <c r="AG101" s="5" t="str">
        <f ca="1">IFERROR(__xludf.DUMMYFUNCTION("""COMPUTED_VALUE"""),"Yes")</f>
        <v>Yes</v>
      </c>
      <c r="AH101" s="5" t="str">
        <f ca="1">IFERROR(__xludf.DUMMYFUNCTION("""COMPUTED_VALUE"""),"Yes")</f>
        <v>Yes</v>
      </c>
      <c r="AI101" s="5" t="str">
        <f ca="1">IFERROR(__xludf.DUMMYFUNCTION("""COMPUTED_VALUE"""),"Yes")</f>
        <v>Yes</v>
      </c>
      <c r="AJ101" s="5" t="str">
        <f ca="1">IFERROR(__xludf.DUMMYFUNCTION("""COMPUTED_VALUE"""),"Yes")</f>
        <v>Yes</v>
      </c>
      <c r="AK101" s="5" t="str">
        <f ca="1">IFERROR(__xludf.DUMMYFUNCTION("""COMPUTED_VALUE"""),"Yes")</f>
        <v>Yes</v>
      </c>
      <c r="AL101" s="5" t="str">
        <f ca="1">IFERROR(__xludf.DUMMYFUNCTION("""COMPUTED_VALUE"""),"Yes")</f>
        <v>Yes</v>
      </c>
      <c r="AM101" s="5" t="str">
        <f ca="1">IFERROR(__xludf.DUMMYFUNCTION("""COMPUTED_VALUE"""),"Yes")</f>
        <v>Yes</v>
      </c>
      <c r="AN101" s="5" t="str">
        <f ca="1">IFERROR(__xludf.DUMMYFUNCTION("""COMPUTED_VALUE"""),"Yes")</f>
        <v>Yes</v>
      </c>
      <c r="AO101" s="5" t="str">
        <f ca="1">IFERROR(__xludf.DUMMYFUNCTION("""COMPUTED_VALUE"""),"Yes")</f>
        <v>Yes</v>
      </c>
      <c r="AP101" s="5" t="str">
        <f ca="1">IFERROR(__xludf.DUMMYFUNCTION("""COMPUTED_VALUE"""),"Yes")</f>
        <v>Yes</v>
      </c>
      <c r="AQ101" s="5" t="str">
        <f ca="1">IFERROR(__xludf.DUMMYFUNCTION("""COMPUTED_VALUE"""),"Yes")</f>
        <v>Yes</v>
      </c>
      <c r="AR101" s="5" t="str">
        <f ca="1">IFERROR(__xludf.DUMMYFUNCTION("""COMPUTED_VALUE"""),"Yes")</f>
        <v>Yes</v>
      </c>
      <c r="AS101" s="5" t="str">
        <f ca="1">IFERROR(__xludf.DUMMYFUNCTION("""COMPUTED_VALUE"""),"Yes")</f>
        <v>Yes</v>
      </c>
      <c r="AT101" s="5" t="str">
        <f ca="1">IFERROR(__xludf.DUMMYFUNCTION("""COMPUTED_VALUE"""),"No")</f>
        <v>No</v>
      </c>
      <c r="AU101" s="5"/>
    </row>
    <row r="102" spans="1:47" x14ac:dyDescent="0.25">
      <c r="A102" s="5" t="str">
        <f ca="1">IFERROR(__xludf.DUMMYFUNCTION("""COMPUTED_VALUE"""),"Foxi")</f>
        <v>Foxi</v>
      </c>
      <c r="B102" s="5" t="str">
        <f ca="1">IFERROR(__xludf.DUMMYFUNCTION("""COMPUTED_VALUE"""),"Joker Triple Double")</f>
        <v>Joker Triple Double</v>
      </c>
      <c r="C102" s="5" t="str">
        <f ca="1">IFERROR(__xludf.DUMMYFUNCTION("""COMPUTED_VALUE"""),"JokerTripleDouble")</f>
        <v>JokerTripleDouble</v>
      </c>
      <c r="D102" s="6">
        <f ca="1">IFERROR(__xludf.DUMMYFUNCTION("""COMPUTED_VALUE"""),45148)</f>
        <v>45148</v>
      </c>
      <c r="E102" s="5" t="str">
        <f ca="1">IFERROR(__xludf.DUMMYFUNCTION("""COMPUTED_VALUE"""),"Slot")</f>
        <v>Slot</v>
      </c>
      <c r="F102" s="5">
        <f ca="1">IFERROR(__xludf.DUMMYFUNCTION("""COMPUTED_VALUE"""),9.5)</f>
        <v>9.5</v>
      </c>
      <c r="G102" s="5" t="str">
        <f ca="1">IFERROR(__xludf.DUMMYFUNCTION("""COMPUTED_VALUE"""),"3x3")</f>
        <v>3x3</v>
      </c>
      <c r="H102" s="5" t="str">
        <f ca="1">IFERROR(__xludf.DUMMYFUNCTION("""COMPUTED_VALUE"""),"5")</f>
        <v>5</v>
      </c>
      <c r="I102" s="5" t="str">
        <f ca="1">IFERROR(__xludf.DUMMYFUNCTION("""COMPUTED_VALUE"""),"5")</f>
        <v>5</v>
      </c>
      <c r="J102" s="5" t="str">
        <f ca="1">IFERROR(__xludf.DUMMYFUNCTION("""COMPUTED_VALUE"""),"96.5%")</f>
        <v>96.5%</v>
      </c>
      <c r="K102" s="5" t="str">
        <f ca="1">IFERROR(__xludf.DUMMYFUNCTION("""COMPUTED_VALUE"""),"Medium")</f>
        <v>Medium</v>
      </c>
      <c r="L102" s="5" t="str">
        <f ca="1">IFERROR(__xludf.DUMMYFUNCTION("""COMPUTED_VALUE"""),"7.03%")</f>
        <v>7.03%</v>
      </c>
      <c r="M102" s="5" t="str">
        <f ca="1">IFERROR(__xludf.DUMMYFUNCTION("""COMPUTED_VALUE"""),"x1590")</f>
        <v>x1590</v>
      </c>
      <c r="N102" s="5" t="str">
        <f ca="1">IFERROR(__xludf.DUMMYFUNCTION("""COMPUTED_VALUE"""),"0.5/50")</f>
        <v>0.5/50</v>
      </c>
      <c r="O102" s="5" t="str">
        <f ca="1">IFERROR(__xludf.DUMMYFUNCTION("""COMPUTED_VALUE"""),"Yes")</f>
        <v>Yes</v>
      </c>
      <c r="P102" s="5" t="str">
        <f ca="1">IFERROR(__xludf.DUMMYFUNCTION("""COMPUTED_VALUE"""),"Respin, Sticky Wild, Win Multiplier")</f>
        <v>Respin, Sticky Wild, Win Multiplier</v>
      </c>
      <c r="Q102" s="7" t="str">
        <f ca="1">IFERROR(__xludf.DUMMYFUNCTION("""COMPUTED_VALUE"""),"https://gameserver-store-client-area.orbionlimited.com/Home/IntegrationGameLaunch/client-area?moneyType=0&amp;gameName=JokerTripleDouble&amp;platform=desktop&amp;languageCode=eng&amp;currency=EUR")</f>
        <v>https://gameserver-store-client-area.orbionlimited.com/Home/IntegrationGameLaunch/client-area?moneyType=0&amp;gameName=JokerTripleDouble&amp;platform=desktop&amp;languageCode=eng&amp;currency=EUR</v>
      </c>
      <c r="R102" s="5" t="str">
        <f ca="1">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S1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2" s="5" t="str">
        <f ca="1">IFERROR(__xludf.DUMMYFUNCTION("""COMPUTED_VALUE"""),"Yes")</f>
        <v>Yes</v>
      </c>
      <c r="U102" s="5" t="str">
        <f ca="1">IFERROR(__xludf.DUMMYFUNCTION("""COMPUTED_VALUE"""),"Yes")</f>
        <v>Yes</v>
      </c>
      <c r="V102" s="5" t="str">
        <f ca="1">IFERROR(__xludf.DUMMYFUNCTION("""COMPUTED_VALUE"""),"Yes")</f>
        <v>Yes</v>
      </c>
      <c r="W102" s="5" t="str">
        <f ca="1">IFERROR(__xludf.DUMMYFUNCTION("""COMPUTED_VALUE"""),"Yes")</f>
        <v>Yes</v>
      </c>
      <c r="X102" s="5" t="str">
        <f ca="1">IFERROR(__xludf.DUMMYFUNCTION("""COMPUTED_VALUE"""),"Yes")</f>
        <v>Yes</v>
      </c>
      <c r="Y102" s="5" t="str">
        <f ca="1">IFERROR(__xludf.DUMMYFUNCTION("""COMPUTED_VALUE"""),"Yes")</f>
        <v>Yes</v>
      </c>
      <c r="Z102" s="5" t="str">
        <f ca="1">IFERROR(__xludf.DUMMYFUNCTION("""COMPUTED_VALUE"""),"Yes")</f>
        <v>Yes</v>
      </c>
      <c r="AA102" s="5" t="str">
        <f ca="1">IFERROR(__xludf.DUMMYFUNCTION("""COMPUTED_VALUE"""),"Yes")</f>
        <v>Yes</v>
      </c>
      <c r="AB102" s="5" t="str">
        <f ca="1">IFERROR(__xludf.DUMMYFUNCTION("""COMPUTED_VALUE"""),"Yes")</f>
        <v>Yes</v>
      </c>
      <c r="AC102" s="5" t="str">
        <f ca="1">IFERROR(__xludf.DUMMYFUNCTION("""COMPUTED_VALUE"""),"Yes")</f>
        <v>Yes</v>
      </c>
      <c r="AD102" s="5" t="str">
        <f ca="1">IFERROR(__xludf.DUMMYFUNCTION("""COMPUTED_VALUE"""),"Yes")</f>
        <v>Yes</v>
      </c>
      <c r="AE102" s="5" t="str">
        <f ca="1">IFERROR(__xludf.DUMMYFUNCTION("""COMPUTED_VALUE"""),"Yes")</f>
        <v>Yes</v>
      </c>
      <c r="AF102" s="5" t="str">
        <f ca="1">IFERROR(__xludf.DUMMYFUNCTION("""COMPUTED_VALUE"""),"Yes")</f>
        <v>Yes</v>
      </c>
      <c r="AG102" s="5" t="str">
        <f ca="1">IFERROR(__xludf.DUMMYFUNCTION("""COMPUTED_VALUE"""),"Yes")</f>
        <v>Yes</v>
      </c>
      <c r="AH102" s="5" t="str">
        <f ca="1">IFERROR(__xludf.DUMMYFUNCTION("""COMPUTED_VALUE"""),"Yes")</f>
        <v>Yes</v>
      </c>
      <c r="AI102" s="5" t="str">
        <f ca="1">IFERROR(__xludf.DUMMYFUNCTION("""COMPUTED_VALUE"""),"Yes")</f>
        <v>Yes</v>
      </c>
      <c r="AJ102" s="5" t="str">
        <f ca="1">IFERROR(__xludf.DUMMYFUNCTION("""COMPUTED_VALUE"""),"Yes")</f>
        <v>Yes</v>
      </c>
      <c r="AK102" s="5" t="str">
        <f ca="1">IFERROR(__xludf.DUMMYFUNCTION("""COMPUTED_VALUE"""),"Yes")</f>
        <v>Yes</v>
      </c>
      <c r="AL102" s="5" t="str">
        <f ca="1">IFERROR(__xludf.DUMMYFUNCTION("""COMPUTED_VALUE"""),"Yes")</f>
        <v>Yes</v>
      </c>
      <c r="AM102" s="5" t="str">
        <f ca="1">IFERROR(__xludf.DUMMYFUNCTION("""COMPUTED_VALUE"""),"Yes")</f>
        <v>Yes</v>
      </c>
      <c r="AN102" s="5" t="str">
        <f ca="1">IFERROR(__xludf.DUMMYFUNCTION("""COMPUTED_VALUE"""),"Yes")</f>
        <v>Yes</v>
      </c>
      <c r="AO102" s="5" t="str">
        <f ca="1">IFERROR(__xludf.DUMMYFUNCTION("""COMPUTED_VALUE"""),"Yes")</f>
        <v>Yes</v>
      </c>
      <c r="AP102" s="5" t="str">
        <f ca="1">IFERROR(__xludf.DUMMYFUNCTION("""COMPUTED_VALUE"""),"Yes")</f>
        <v>Yes</v>
      </c>
      <c r="AQ102" s="5" t="str">
        <f ca="1">IFERROR(__xludf.DUMMYFUNCTION("""COMPUTED_VALUE"""),"Yes")</f>
        <v>Yes</v>
      </c>
      <c r="AR102" s="5" t="str">
        <f ca="1">IFERROR(__xludf.DUMMYFUNCTION("""COMPUTED_VALUE"""),"Yes")</f>
        <v>Yes</v>
      </c>
      <c r="AS102" s="5" t="str">
        <f ca="1">IFERROR(__xludf.DUMMYFUNCTION("""COMPUTED_VALUE"""),"Yes")</f>
        <v>Yes</v>
      </c>
      <c r="AT102" s="5" t="str">
        <f ca="1">IFERROR(__xludf.DUMMYFUNCTION("""COMPUTED_VALUE"""),"No")</f>
        <v>No</v>
      </c>
      <c r="AU102" s="5"/>
    </row>
    <row r="103" spans="1:47" x14ac:dyDescent="0.25">
      <c r="A103" s="5" t="str">
        <f ca="1">IFERROR(__xludf.DUMMYFUNCTION("""COMPUTED_VALUE"""),"Foxi")</f>
        <v>Foxi</v>
      </c>
      <c r="B103" s="5" t="str">
        <f ca="1">IFERROR(__xludf.DUMMYFUNCTION("""COMPUTED_VALUE"""),"Kettys Fashion World")</f>
        <v>Kettys Fashion World</v>
      </c>
      <c r="C103" s="5" t="str">
        <f ca="1">IFERROR(__xludf.DUMMYFUNCTION("""COMPUTED_VALUE"""),"KettysFashionWorld")</f>
        <v>KettysFashionWorld</v>
      </c>
      <c r="D103" s="6">
        <f ca="1">IFERROR(__xludf.DUMMYFUNCTION("""COMPUTED_VALUE"""),45160)</f>
        <v>45160</v>
      </c>
      <c r="E103" s="5" t="str">
        <f ca="1">IFERROR(__xludf.DUMMYFUNCTION("""COMPUTED_VALUE"""),"Slot")</f>
        <v>Slot</v>
      </c>
      <c r="F103" s="5">
        <f ca="1">IFERROR(__xludf.DUMMYFUNCTION("""COMPUTED_VALUE"""),24.5)</f>
        <v>24.5</v>
      </c>
      <c r="G103" s="5" t="str">
        <f ca="1">IFERROR(__xludf.DUMMYFUNCTION("""COMPUTED_VALUE"""),"5x4")</f>
        <v>5x4</v>
      </c>
      <c r="H103" s="5" t="str">
        <f ca="1">IFERROR(__xludf.DUMMYFUNCTION("""COMPUTED_VALUE"""),"40")</f>
        <v>40</v>
      </c>
      <c r="I103" s="5" t="str">
        <f ca="1">IFERROR(__xludf.DUMMYFUNCTION("""COMPUTED_VALUE"""),"40")</f>
        <v>40</v>
      </c>
      <c r="J103" s="5" t="str">
        <f ca="1">IFERROR(__xludf.DUMMYFUNCTION("""COMPUTED_VALUE"""),"95.479%")</f>
        <v>95.479%</v>
      </c>
      <c r="K103" s="5" t="str">
        <f ca="1">IFERROR(__xludf.DUMMYFUNCTION("""COMPUTED_VALUE"""),"Medium")</f>
        <v>Medium</v>
      </c>
      <c r="L103" s="5" t="str">
        <f ca="1">IFERROR(__xludf.DUMMYFUNCTION("""COMPUTED_VALUE"""),"14.8%")</f>
        <v>14.8%</v>
      </c>
      <c r="M103" s="5" t="str">
        <f ca="1">IFERROR(__xludf.DUMMYFUNCTION("""COMPUTED_VALUE"""),"x1000")</f>
        <v>x1000</v>
      </c>
      <c r="N103" s="5" t="str">
        <f ca="1">IFERROR(__xludf.DUMMYFUNCTION("""COMPUTED_VALUE"""),"0.4/60")</f>
        <v>0.4/60</v>
      </c>
      <c r="O103" s="5" t="str">
        <f ca="1">IFERROR(__xludf.DUMMYFUNCTION("""COMPUTED_VALUE"""),"Yes")</f>
        <v>Yes</v>
      </c>
      <c r="P103" s="5" t="str">
        <f ca="1">IFERROR(__xludf.DUMMYFUNCTION("""COMPUTED_VALUE"""),"Scatter, Wild Symbol")</f>
        <v>Scatter, Wild Symbol</v>
      </c>
      <c r="Q103" s="7" t="str">
        <f ca="1">IFERROR(__xludf.DUMMYFUNCTION("""COMPUTED_VALUE"""),"https://gameserver-store-client-area.orbionlimited.com/Home/IntegrationGameLaunch/client-area?moneyType=0&amp;gameName=KettysFashionWorld&amp;platform=desktop&amp;languageCode=eng&amp;currency=EUR")</f>
        <v>https://gameserver-store-client-area.orbionlimited.com/Home/IntegrationGameLaunch/client-area?moneyType=0&amp;gameName=KettysFashionWorld&amp;platform=desktop&amp;languageCode=eng&amp;currency=EUR</v>
      </c>
      <c r="R103" s="5" t="str">
        <f ca="1">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S1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3" s="5" t="str">
        <f ca="1">IFERROR(__xludf.DUMMYFUNCTION("""COMPUTED_VALUE"""),"Yes")</f>
        <v>Yes</v>
      </c>
      <c r="U103" s="5" t="str">
        <f ca="1">IFERROR(__xludf.DUMMYFUNCTION("""COMPUTED_VALUE"""),"Yes")</f>
        <v>Yes</v>
      </c>
      <c r="V103" s="5" t="str">
        <f ca="1">IFERROR(__xludf.DUMMYFUNCTION("""COMPUTED_VALUE"""),"Yes")</f>
        <v>Yes</v>
      </c>
      <c r="W103" s="5" t="str">
        <f ca="1">IFERROR(__xludf.DUMMYFUNCTION("""COMPUTED_VALUE"""),"Yes")</f>
        <v>Yes</v>
      </c>
      <c r="X103" s="5" t="str">
        <f ca="1">IFERROR(__xludf.DUMMYFUNCTION("""COMPUTED_VALUE"""),"Yes")</f>
        <v>Yes</v>
      </c>
      <c r="Y103" s="5" t="str">
        <f ca="1">IFERROR(__xludf.DUMMYFUNCTION("""COMPUTED_VALUE"""),"Yes")</f>
        <v>Yes</v>
      </c>
      <c r="Z103" s="5" t="str">
        <f ca="1">IFERROR(__xludf.DUMMYFUNCTION("""COMPUTED_VALUE"""),"Yes")</f>
        <v>Yes</v>
      </c>
      <c r="AA103" s="5" t="str">
        <f ca="1">IFERROR(__xludf.DUMMYFUNCTION("""COMPUTED_VALUE"""),"Yes")</f>
        <v>Yes</v>
      </c>
      <c r="AB103" s="5" t="str">
        <f ca="1">IFERROR(__xludf.DUMMYFUNCTION("""COMPUTED_VALUE"""),"Yes")</f>
        <v>Yes</v>
      </c>
      <c r="AC103" s="5" t="str">
        <f ca="1">IFERROR(__xludf.DUMMYFUNCTION("""COMPUTED_VALUE"""),"Yes")</f>
        <v>Yes</v>
      </c>
      <c r="AD103" s="5" t="str">
        <f ca="1">IFERROR(__xludf.DUMMYFUNCTION("""COMPUTED_VALUE"""),"Yes")</f>
        <v>Yes</v>
      </c>
      <c r="AE103" s="5" t="str">
        <f ca="1">IFERROR(__xludf.DUMMYFUNCTION("""COMPUTED_VALUE"""),"Yes")</f>
        <v>Yes</v>
      </c>
      <c r="AF103" s="5" t="str">
        <f ca="1">IFERROR(__xludf.DUMMYFUNCTION("""COMPUTED_VALUE"""),"Yes")</f>
        <v>Yes</v>
      </c>
      <c r="AG103" s="5" t="str">
        <f ca="1">IFERROR(__xludf.DUMMYFUNCTION("""COMPUTED_VALUE"""),"Yes")</f>
        <v>Yes</v>
      </c>
      <c r="AH103" s="5" t="str">
        <f ca="1">IFERROR(__xludf.DUMMYFUNCTION("""COMPUTED_VALUE"""),"Yes")</f>
        <v>Yes</v>
      </c>
      <c r="AI103" s="5" t="str">
        <f ca="1">IFERROR(__xludf.DUMMYFUNCTION("""COMPUTED_VALUE"""),"Yes")</f>
        <v>Yes</v>
      </c>
      <c r="AJ103" s="5" t="str">
        <f ca="1">IFERROR(__xludf.DUMMYFUNCTION("""COMPUTED_VALUE"""),"Yes")</f>
        <v>Yes</v>
      </c>
      <c r="AK103" s="5" t="str">
        <f ca="1">IFERROR(__xludf.DUMMYFUNCTION("""COMPUTED_VALUE"""),"Yes")</f>
        <v>Yes</v>
      </c>
      <c r="AL103" s="5" t="str">
        <f ca="1">IFERROR(__xludf.DUMMYFUNCTION("""COMPUTED_VALUE"""),"Yes")</f>
        <v>Yes</v>
      </c>
      <c r="AM103" s="5" t="str">
        <f ca="1">IFERROR(__xludf.DUMMYFUNCTION("""COMPUTED_VALUE"""),"Yes")</f>
        <v>Yes</v>
      </c>
      <c r="AN103" s="5" t="str">
        <f ca="1">IFERROR(__xludf.DUMMYFUNCTION("""COMPUTED_VALUE"""),"Yes")</f>
        <v>Yes</v>
      </c>
      <c r="AO103" s="5" t="str">
        <f ca="1">IFERROR(__xludf.DUMMYFUNCTION("""COMPUTED_VALUE"""),"Yes")</f>
        <v>Yes</v>
      </c>
      <c r="AP103" s="5" t="str">
        <f ca="1">IFERROR(__xludf.DUMMYFUNCTION("""COMPUTED_VALUE"""),"Yes")</f>
        <v>Yes</v>
      </c>
      <c r="AQ103" s="5" t="str">
        <f ca="1">IFERROR(__xludf.DUMMYFUNCTION("""COMPUTED_VALUE"""),"Yes")</f>
        <v>Yes</v>
      </c>
      <c r="AR103" s="5" t="str">
        <f ca="1">IFERROR(__xludf.DUMMYFUNCTION("""COMPUTED_VALUE"""),"Yes")</f>
        <v>Yes</v>
      </c>
      <c r="AS103" s="5" t="str">
        <f ca="1">IFERROR(__xludf.DUMMYFUNCTION("""COMPUTED_VALUE"""),"Yes")</f>
        <v>Yes</v>
      </c>
      <c r="AT103" s="5" t="str">
        <f ca="1">IFERROR(__xludf.DUMMYFUNCTION("""COMPUTED_VALUE"""),"No")</f>
        <v>No</v>
      </c>
      <c r="AU103" s="5"/>
    </row>
    <row r="104" spans="1:47" x14ac:dyDescent="0.25">
      <c r="A104" s="5" t="str">
        <f ca="1">IFERROR(__xludf.DUMMYFUNCTION("""COMPUTED_VALUE"""),"Foxi")</f>
        <v>Foxi</v>
      </c>
      <c r="B104" s="5" t="str">
        <f ca="1">IFERROR(__xludf.DUMMYFUNCTION("""COMPUTED_VALUE"""),"Retro Fire")</f>
        <v>Retro Fire</v>
      </c>
      <c r="C104" s="5" t="str">
        <f ca="1">IFERROR(__xludf.DUMMYFUNCTION("""COMPUTED_VALUE"""),"RetroFire")</f>
        <v>RetroFire</v>
      </c>
      <c r="D104" s="6">
        <f ca="1">IFERROR(__xludf.DUMMYFUNCTION("""COMPUTED_VALUE"""),45182)</f>
        <v>45182</v>
      </c>
      <c r="E104" s="5" t="str">
        <f ca="1">IFERROR(__xludf.DUMMYFUNCTION("""COMPUTED_VALUE"""),"Slot")</f>
        <v>Slot</v>
      </c>
      <c r="F104" s="5">
        <f ca="1">IFERROR(__xludf.DUMMYFUNCTION("""COMPUTED_VALUE"""),17)</f>
        <v>17</v>
      </c>
      <c r="G104" s="5" t="str">
        <f ca="1">IFERROR(__xludf.DUMMYFUNCTION("""COMPUTED_VALUE"""),"5x4")</f>
        <v>5x4</v>
      </c>
      <c r="H104" s="5" t="str">
        <f ca="1">IFERROR(__xludf.DUMMYFUNCTION("""COMPUTED_VALUE"""),"40")</f>
        <v>40</v>
      </c>
      <c r="I104" s="5" t="str">
        <f ca="1">IFERROR(__xludf.DUMMYFUNCTION("""COMPUTED_VALUE"""),"40")</f>
        <v>40</v>
      </c>
      <c r="J104" s="5" t="str">
        <f ca="1">IFERROR(__xludf.DUMMYFUNCTION("""COMPUTED_VALUE"""),"96.584%")</f>
        <v>96.584%</v>
      </c>
      <c r="K104" s="5" t="str">
        <f ca="1">IFERROR(__xludf.DUMMYFUNCTION("""COMPUTED_VALUE"""),"Low")</f>
        <v>Low</v>
      </c>
      <c r="L104" s="5" t="str">
        <f ca="1">IFERROR(__xludf.DUMMYFUNCTION("""COMPUTED_VALUE"""),"16.73%")</f>
        <v>16.73%</v>
      </c>
      <c r="M104" s="5" t="str">
        <f ca="1">IFERROR(__xludf.DUMMYFUNCTION("""COMPUTED_VALUE"""),"x1000")</f>
        <v>x1000</v>
      </c>
      <c r="N104" s="5" t="str">
        <f ca="1">IFERROR(__xludf.DUMMYFUNCTION("""COMPUTED_VALUE"""),"0.40/60")</f>
        <v>0.40/60</v>
      </c>
      <c r="O104" s="5" t="str">
        <f ca="1">IFERROR(__xludf.DUMMYFUNCTION("""COMPUTED_VALUE"""),"Yes")</f>
        <v>Yes</v>
      </c>
      <c r="P104" s="5" t="str">
        <f ca="1">IFERROR(__xludf.DUMMYFUNCTION("""COMPUTED_VALUE"""),"Wild Symbol, Scatter")</f>
        <v>Wild Symbol, Scatter</v>
      </c>
      <c r="Q104" s="7" t="str">
        <f ca="1">IFERROR(__xludf.DUMMYFUNCTION("""COMPUTED_VALUE"""),"https://gameserver-store-client-area.orbionlimited.com/Home/IntegrationGameLaunch/client-area?moneyType=0&amp;gameName=RetroFire&amp;platform=desktop&amp;languageCode=eng&amp;currency=EUR")</f>
        <v>https://gameserver-store-client-area.orbionlimited.com/Home/IntegrationGameLaunch/client-area?moneyType=0&amp;gameName=RetroFire&amp;platform=desktop&amp;languageCode=eng&amp;currency=EUR</v>
      </c>
      <c r="R104" s="5" t="str">
        <f ca="1">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S1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4" s="5" t="str">
        <f ca="1">IFERROR(__xludf.DUMMYFUNCTION("""COMPUTED_VALUE"""),"Yes")</f>
        <v>Yes</v>
      </c>
      <c r="U104" s="5" t="str">
        <f ca="1">IFERROR(__xludf.DUMMYFUNCTION("""COMPUTED_VALUE"""),"Yes")</f>
        <v>Yes</v>
      </c>
      <c r="V104" s="5" t="str">
        <f ca="1">IFERROR(__xludf.DUMMYFUNCTION("""COMPUTED_VALUE"""),"Yes")</f>
        <v>Yes</v>
      </c>
      <c r="W104" s="5" t="str">
        <f ca="1">IFERROR(__xludf.DUMMYFUNCTION("""COMPUTED_VALUE"""),"Yes")</f>
        <v>Yes</v>
      </c>
      <c r="X104" s="5" t="str">
        <f ca="1">IFERROR(__xludf.DUMMYFUNCTION("""COMPUTED_VALUE"""),"Yes")</f>
        <v>Yes</v>
      </c>
      <c r="Y104" s="5" t="str">
        <f ca="1">IFERROR(__xludf.DUMMYFUNCTION("""COMPUTED_VALUE"""),"Yes")</f>
        <v>Yes</v>
      </c>
      <c r="Z104" s="5" t="str">
        <f ca="1">IFERROR(__xludf.DUMMYFUNCTION("""COMPUTED_VALUE"""),"Yes")</f>
        <v>Yes</v>
      </c>
      <c r="AA104" s="5" t="str">
        <f ca="1">IFERROR(__xludf.DUMMYFUNCTION("""COMPUTED_VALUE"""),"Yes")</f>
        <v>Yes</v>
      </c>
      <c r="AB104" s="5" t="str">
        <f ca="1">IFERROR(__xludf.DUMMYFUNCTION("""COMPUTED_VALUE"""),"Yes")</f>
        <v>Yes</v>
      </c>
      <c r="AC104" s="5" t="str">
        <f ca="1">IFERROR(__xludf.DUMMYFUNCTION("""COMPUTED_VALUE"""),"Yes")</f>
        <v>Yes</v>
      </c>
      <c r="AD104" s="5" t="str">
        <f ca="1">IFERROR(__xludf.DUMMYFUNCTION("""COMPUTED_VALUE"""),"Yes")</f>
        <v>Yes</v>
      </c>
      <c r="AE104" s="5" t="str">
        <f ca="1">IFERROR(__xludf.DUMMYFUNCTION("""COMPUTED_VALUE"""),"Yes")</f>
        <v>Yes</v>
      </c>
      <c r="AF104" s="5" t="str">
        <f ca="1">IFERROR(__xludf.DUMMYFUNCTION("""COMPUTED_VALUE"""),"Yes")</f>
        <v>Yes</v>
      </c>
      <c r="AG104" s="5" t="str">
        <f ca="1">IFERROR(__xludf.DUMMYFUNCTION("""COMPUTED_VALUE"""),"Yes")</f>
        <v>Yes</v>
      </c>
      <c r="AH104" s="5" t="str">
        <f ca="1">IFERROR(__xludf.DUMMYFUNCTION("""COMPUTED_VALUE"""),"Yes")</f>
        <v>Yes</v>
      </c>
      <c r="AI104" s="5" t="str">
        <f ca="1">IFERROR(__xludf.DUMMYFUNCTION("""COMPUTED_VALUE"""),"Yes")</f>
        <v>Yes</v>
      </c>
      <c r="AJ104" s="5" t="str">
        <f ca="1">IFERROR(__xludf.DUMMYFUNCTION("""COMPUTED_VALUE"""),"Yes")</f>
        <v>Yes</v>
      </c>
      <c r="AK104" s="5" t="str">
        <f ca="1">IFERROR(__xludf.DUMMYFUNCTION("""COMPUTED_VALUE"""),"Yes")</f>
        <v>Yes</v>
      </c>
      <c r="AL104" s="5" t="str">
        <f ca="1">IFERROR(__xludf.DUMMYFUNCTION("""COMPUTED_VALUE"""),"Yes")</f>
        <v>Yes</v>
      </c>
      <c r="AM104" s="5" t="str">
        <f ca="1">IFERROR(__xludf.DUMMYFUNCTION("""COMPUTED_VALUE"""),"Yes")</f>
        <v>Yes</v>
      </c>
      <c r="AN104" s="5" t="str">
        <f ca="1">IFERROR(__xludf.DUMMYFUNCTION("""COMPUTED_VALUE"""),"Yes")</f>
        <v>Yes</v>
      </c>
      <c r="AO104" s="5" t="str">
        <f ca="1">IFERROR(__xludf.DUMMYFUNCTION("""COMPUTED_VALUE"""),"Yes")</f>
        <v>Yes</v>
      </c>
      <c r="AP104" s="5" t="str">
        <f ca="1">IFERROR(__xludf.DUMMYFUNCTION("""COMPUTED_VALUE"""),"Yes")</f>
        <v>Yes</v>
      </c>
      <c r="AQ104" s="5" t="str">
        <f ca="1">IFERROR(__xludf.DUMMYFUNCTION("""COMPUTED_VALUE"""),"Yes")</f>
        <v>Yes</v>
      </c>
      <c r="AR104" s="5" t="str">
        <f ca="1">IFERROR(__xludf.DUMMYFUNCTION("""COMPUTED_VALUE"""),"Yes")</f>
        <v>Yes</v>
      </c>
      <c r="AS104" s="5" t="str">
        <f ca="1">IFERROR(__xludf.DUMMYFUNCTION("""COMPUTED_VALUE"""),"Yes")</f>
        <v>Yes</v>
      </c>
      <c r="AT104" s="5" t="str">
        <f ca="1">IFERROR(__xludf.DUMMYFUNCTION("""COMPUTED_VALUE"""),"No")</f>
        <v>No</v>
      </c>
      <c r="AU104" s="5"/>
    </row>
    <row r="105" spans="1:47" x14ac:dyDescent="0.25">
      <c r="A105" s="5" t="str">
        <f ca="1">IFERROR(__xludf.DUMMYFUNCTION("""COMPUTED_VALUE"""),"Foxi")</f>
        <v>Foxi</v>
      </c>
      <c r="B105" s="5" t="str">
        <f ca="1">IFERROR(__xludf.DUMMYFUNCTION("""COMPUTED_VALUE"""),"Money 5")</f>
        <v>Money 5</v>
      </c>
      <c r="C105" s="5" t="str">
        <f ca="1">IFERROR(__xludf.DUMMYFUNCTION("""COMPUTED_VALUE"""),"Money5")</f>
        <v>Money5</v>
      </c>
      <c r="D105" s="6">
        <f ca="1">IFERROR(__xludf.DUMMYFUNCTION("""COMPUTED_VALUE"""),45327)</f>
        <v>45327</v>
      </c>
      <c r="E105" s="5" t="str">
        <f ca="1">IFERROR(__xludf.DUMMYFUNCTION("""COMPUTED_VALUE"""),"Slot")</f>
        <v>Slot</v>
      </c>
      <c r="F105" s="5">
        <f ca="1">IFERROR(__xludf.DUMMYFUNCTION("""COMPUTED_VALUE"""),24)</f>
        <v>24</v>
      </c>
      <c r="G105" s="5" t="str">
        <f ca="1">IFERROR(__xludf.DUMMYFUNCTION("""COMPUTED_VALUE"""),"5x3")</f>
        <v>5x3</v>
      </c>
      <c r="H105" s="5" t="str">
        <f ca="1">IFERROR(__xludf.DUMMYFUNCTION("""COMPUTED_VALUE"""),"5")</f>
        <v>5</v>
      </c>
      <c r="I105" s="5" t="str">
        <f ca="1">IFERROR(__xludf.DUMMYFUNCTION("""COMPUTED_VALUE"""),"5")</f>
        <v>5</v>
      </c>
      <c r="J105" s="5" t="str">
        <f ca="1">IFERROR(__xludf.DUMMYFUNCTION("""COMPUTED_VALUE"""),"96.786%")</f>
        <v>96.786%</v>
      </c>
      <c r="K105" s="5" t="str">
        <f ca="1">IFERROR(__xludf.DUMMYFUNCTION("""COMPUTED_VALUE"""),"Medium")</f>
        <v>Medium</v>
      </c>
      <c r="L105" s="5" t="str">
        <f ca="1">IFERROR(__xludf.DUMMYFUNCTION("""COMPUTED_VALUE"""),"14.5%")</f>
        <v>14.5%</v>
      </c>
      <c r="M105" s="5" t="str">
        <f ca="1">IFERROR(__xludf.DUMMYFUNCTION("""COMPUTED_VALUE"""),"x1222")</f>
        <v>x1222</v>
      </c>
      <c r="N105" s="5" t="str">
        <f ca="1">IFERROR(__xludf.DUMMYFUNCTION("""COMPUTED_VALUE"""),"0.05/30")</f>
        <v>0.05/30</v>
      </c>
      <c r="O105" s="5" t="str">
        <f ca="1">IFERROR(__xludf.DUMMYFUNCTION("""COMPUTED_VALUE"""),"Yes")</f>
        <v>Yes</v>
      </c>
      <c r="P105" s="5" t="str">
        <f ca="1">IFERROR(__xludf.DUMMYFUNCTION("""COMPUTED_VALUE"""),"Scatter, Expanding Wild")</f>
        <v>Scatter, Expanding Wild</v>
      </c>
      <c r="Q105" s="7" t="str">
        <f ca="1">IFERROR(__xludf.DUMMYFUNCTION("""COMPUTED_VALUE"""),"https://gameserver-store-client-area.orbionlimited.com/Home/IntegrationGameLaunch/client-area?moneyType=0&amp;gameName=Money5&amp;platform=desktop&amp;languageCode=eng&amp;currency=EUR")</f>
        <v>https://gameserver-store-client-area.orbionlimited.com/Home/IntegrationGameLaunch/client-area?moneyType=0&amp;gameName=Money5&amp;platform=desktop&amp;languageCode=eng&amp;currency=EUR</v>
      </c>
      <c r="R105" s="5" t="str">
        <f ca="1">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S1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5" s="5" t="str">
        <f ca="1">IFERROR(__xludf.DUMMYFUNCTION("""COMPUTED_VALUE"""),"Yes")</f>
        <v>Yes</v>
      </c>
      <c r="U105" s="5" t="str">
        <f ca="1">IFERROR(__xludf.DUMMYFUNCTION("""COMPUTED_VALUE"""),"Yes")</f>
        <v>Yes</v>
      </c>
      <c r="V105" s="5" t="str">
        <f ca="1">IFERROR(__xludf.DUMMYFUNCTION("""COMPUTED_VALUE"""),"Yes")</f>
        <v>Yes</v>
      </c>
      <c r="W105" s="5" t="str">
        <f ca="1">IFERROR(__xludf.DUMMYFUNCTION("""COMPUTED_VALUE"""),"Yes")</f>
        <v>Yes</v>
      </c>
      <c r="X105" s="5" t="str">
        <f ca="1">IFERROR(__xludf.DUMMYFUNCTION("""COMPUTED_VALUE"""),"Yes")</f>
        <v>Yes</v>
      </c>
      <c r="Y105" s="5" t="str">
        <f ca="1">IFERROR(__xludf.DUMMYFUNCTION("""COMPUTED_VALUE"""),"Yes")</f>
        <v>Yes</v>
      </c>
      <c r="Z105" s="5" t="str">
        <f ca="1">IFERROR(__xludf.DUMMYFUNCTION("""COMPUTED_VALUE"""),"Yes")</f>
        <v>Yes</v>
      </c>
      <c r="AA105" s="5" t="str">
        <f ca="1">IFERROR(__xludf.DUMMYFUNCTION("""COMPUTED_VALUE"""),"Yes")</f>
        <v>Yes</v>
      </c>
      <c r="AB105" s="5" t="str">
        <f ca="1">IFERROR(__xludf.DUMMYFUNCTION("""COMPUTED_VALUE"""),"Yes")</f>
        <v>Yes</v>
      </c>
      <c r="AC105" s="5" t="str">
        <f ca="1">IFERROR(__xludf.DUMMYFUNCTION("""COMPUTED_VALUE"""),"Yes")</f>
        <v>Yes</v>
      </c>
      <c r="AD105" s="5" t="str">
        <f ca="1">IFERROR(__xludf.DUMMYFUNCTION("""COMPUTED_VALUE"""),"Yes")</f>
        <v>Yes</v>
      </c>
      <c r="AE105" s="5" t="str">
        <f ca="1">IFERROR(__xludf.DUMMYFUNCTION("""COMPUTED_VALUE"""),"Yes")</f>
        <v>Yes</v>
      </c>
      <c r="AF105" s="5" t="str">
        <f ca="1">IFERROR(__xludf.DUMMYFUNCTION("""COMPUTED_VALUE"""),"Yes")</f>
        <v>Yes</v>
      </c>
      <c r="AG105" s="5" t="str">
        <f ca="1">IFERROR(__xludf.DUMMYFUNCTION("""COMPUTED_VALUE"""),"Yes")</f>
        <v>Yes</v>
      </c>
      <c r="AH105" s="5" t="str">
        <f ca="1">IFERROR(__xludf.DUMMYFUNCTION("""COMPUTED_VALUE"""),"Yes")</f>
        <v>Yes</v>
      </c>
      <c r="AI105" s="5" t="str">
        <f ca="1">IFERROR(__xludf.DUMMYFUNCTION("""COMPUTED_VALUE"""),"Yes")</f>
        <v>Yes</v>
      </c>
      <c r="AJ105" s="5" t="str">
        <f ca="1">IFERROR(__xludf.DUMMYFUNCTION("""COMPUTED_VALUE"""),"Yes")</f>
        <v>Yes</v>
      </c>
      <c r="AK105" s="5" t="str">
        <f ca="1">IFERROR(__xludf.DUMMYFUNCTION("""COMPUTED_VALUE"""),"Yes")</f>
        <v>Yes</v>
      </c>
      <c r="AL105" s="5" t="str">
        <f ca="1">IFERROR(__xludf.DUMMYFUNCTION("""COMPUTED_VALUE"""),"Yes")</f>
        <v>Yes</v>
      </c>
      <c r="AM105" s="5" t="str">
        <f ca="1">IFERROR(__xludf.DUMMYFUNCTION("""COMPUTED_VALUE"""),"Yes")</f>
        <v>Yes</v>
      </c>
      <c r="AN105" s="5" t="str">
        <f ca="1">IFERROR(__xludf.DUMMYFUNCTION("""COMPUTED_VALUE"""),"Yes")</f>
        <v>Yes</v>
      </c>
      <c r="AO105" s="5" t="str">
        <f ca="1">IFERROR(__xludf.DUMMYFUNCTION("""COMPUTED_VALUE"""),"Yes")</f>
        <v>Yes</v>
      </c>
      <c r="AP105" s="5" t="str">
        <f ca="1">IFERROR(__xludf.DUMMYFUNCTION("""COMPUTED_VALUE"""),"Yes")</f>
        <v>Yes</v>
      </c>
      <c r="AQ105" s="5" t="str">
        <f ca="1">IFERROR(__xludf.DUMMYFUNCTION("""COMPUTED_VALUE"""),"Yes")</f>
        <v>Yes</v>
      </c>
      <c r="AR105" s="5" t="str">
        <f ca="1">IFERROR(__xludf.DUMMYFUNCTION("""COMPUTED_VALUE"""),"Yes")</f>
        <v>Yes</v>
      </c>
      <c r="AS105" s="5" t="str">
        <f ca="1">IFERROR(__xludf.DUMMYFUNCTION("""COMPUTED_VALUE"""),"Yes")</f>
        <v>Yes</v>
      </c>
      <c r="AT105" s="5" t="str">
        <f ca="1">IFERROR(__xludf.DUMMYFUNCTION("""COMPUTED_VALUE"""),"No")</f>
        <v>No</v>
      </c>
      <c r="AU105" s="5"/>
    </row>
    <row r="106" spans="1:47" x14ac:dyDescent="0.25">
      <c r="A106" s="5" t="str">
        <f ca="1">IFERROR(__xludf.DUMMYFUNCTION("""COMPUTED_VALUE"""),"Foxi")</f>
        <v>Foxi</v>
      </c>
      <c r="B106" s="5" t="str">
        <f ca="1">IFERROR(__xludf.DUMMYFUNCTION("""COMPUTED_VALUE"""),"Epic Crown 5")</f>
        <v>Epic Crown 5</v>
      </c>
      <c r="C106" s="5" t="str">
        <f ca="1">IFERROR(__xludf.DUMMYFUNCTION("""COMPUTED_VALUE"""),"EpicCrown5")</f>
        <v>EpicCrown5</v>
      </c>
      <c r="D106" s="6">
        <f ca="1">IFERROR(__xludf.DUMMYFUNCTION("""COMPUTED_VALUE"""),45231)</f>
        <v>45231</v>
      </c>
      <c r="E106" s="5" t="str">
        <f ca="1">IFERROR(__xludf.DUMMYFUNCTION("""COMPUTED_VALUE"""),"Slot")</f>
        <v>Slot</v>
      </c>
      <c r="F106" s="5">
        <f ca="1">IFERROR(__xludf.DUMMYFUNCTION("""COMPUTED_VALUE"""),24.6)</f>
        <v>24.6</v>
      </c>
      <c r="G106" s="5" t="str">
        <f ca="1">IFERROR(__xludf.DUMMYFUNCTION("""COMPUTED_VALUE"""),"5x3")</f>
        <v>5x3</v>
      </c>
      <c r="H106" s="5" t="str">
        <f ca="1">IFERROR(__xludf.DUMMYFUNCTION("""COMPUTED_VALUE"""),"5")</f>
        <v>5</v>
      </c>
      <c r="I106" s="5" t="str">
        <f ca="1">IFERROR(__xludf.DUMMYFUNCTION("""COMPUTED_VALUE"""),"5")</f>
        <v>5</v>
      </c>
      <c r="J106" s="5" t="str">
        <f ca="1">IFERROR(__xludf.DUMMYFUNCTION("""COMPUTED_VALUE"""),"95.962%")</f>
        <v>95.962%</v>
      </c>
      <c r="K106" s="5" t="str">
        <f ca="1">IFERROR(__xludf.DUMMYFUNCTION("""COMPUTED_VALUE"""),"Medium")</f>
        <v>Medium</v>
      </c>
      <c r="L106" s="5" t="str">
        <f ca="1">IFERROR(__xludf.DUMMYFUNCTION("""COMPUTED_VALUE"""),"12.26%")</f>
        <v>12.26%</v>
      </c>
      <c r="M106" s="5" t="str">
        <f ca="1">IFERROR(__xludf.DUMMYFUNCTION("""COMPUTED_VALUE"""),"x2018")</f>
        <v>x2018</v>
      </c>
      <c r="N106" s="5" t="str">
        <f ca="1">IFERROR(__xludf.DUMMYFUNCTION("""COMPUTED_VALUE"""),"0.05/30")</f>
        <v>0.05/30</v>
      </c>
      <c r="O106" s="5" t="str">
        <f ca="1">IFERROR(__xludf.DUMMYFUNCTION("""COMPUTED_VALUE"""),"Yes")</f>
        <v>Yes</v>
      </c>
      <c r="P106" s="5" t="str">
        <f ca="1">IFERROR(__xludf.DUMMYFUNCTION("""COMPUTED_VALUE"""),"Scatter, Expanding Wild")</f>
        <v>Scatter, Expanding Wild</v>
      </c>
      <c r="Q106" s="7" t="str">
        <f ca="1">IFERROR(__xludf.DUMMYFUNCTION("""COMPUTED_VALUE"""),"https://gameserver-store-client-area.orbionlimited.com/Home/IntegrationGameLaunch/client-area?moneyType=0&amp;gameName=EpicCrown5&amp;platform=desktop&amp;languageCode=eng&amp;currency=EUR")</f>
        <v>https://gameserver-store-client-area.orbionlimited.com/Home/IntegrationGameLaunch/client-area?moneyType=0&amp;gameName=EpicCrown5&amp;platform=desktop&amp;languageCode=eng&amp;currency=EUR</v>
      </c>
      <c r="R106" s="5" t="str">
        <f ca="1">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S1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6" s="5" t="str">
        <f ca="1">IFERROR(__xludf.DUMMYFUNCTION("""COMPUTED_VALUE"""),"Yes")</f>
        <v>Yes</v>
      </c>
      <c r="U106" s="5" t="str">
        <f ca="1">IFERROR(__xludf.DUMMYFUNCTION("""COMPUTED_VALUE"""),"Yes")</f>
        <v>Yes</v>
      </c>
      <c r="V106" s="5" t="str">
        <f ca="1">IFERROR(__xludf.DUMMYFUNCTION("""COMPUTED_VALUE"""),"Yes")</f>
        <v>Yes</v>
      </c>
      <c r="W106" s="5" t="str">
        <f ca="1">IFERROR(__xludf.DUMMYFUNCTION("""COMPUTED_VALUE"""),"Yes")</f>
        <v>Yes</v>
      </c>
      <c r="X106" s="5" t="str">
        <f ca="1">IFERROR(__xludf.DUMMYFUNCTION("""COMPUTED_VALUE"""),"Yes")</f>
        <v>Yes</v>
      </c>
      <c r="Y106" s="5" t="str">
        <f ca="1">IFERROR(__xludf.DUMMYFUNCTION("""COMPUTED_VALUE"""),"Yes")</f>
        <v>Yes</v>
      </c>
      <c r="Z106" s="5" t="str">
        <f ca="1">IFERROR(__xludf.DUMMYFUNCTION("""COMPUTED_VALUE"""),"Yes")</f>
        <v>Yes</v>
      </c>
      <c r="AA106" s="5" t="str">
        <f ca="1">IFERROR(__xludf.DUMMYFUNCTION("""COMPUTED_VALUE"""),"Yes")</f>
        <v>Yes</v>
      </c>
      <c r="AB106" s="5" t="str">
        <f ca="1">IFERROR(__xludf.DUMMYFUNCTION("""COMPUTED_VALUE"""),"Yes")</f>
        <v>Yes</v>
      </c>
      <c r="AC106" s="5" t="str">
        <f ca="1">IFERROR(__xludf.DUMMYFUNCTION("""COMPUTED_VALUE"""),"Yes")</f>
        <v>Yes</v>
      </c>
      <c r="AD106" s="5" t="str">
        <f ca="1">IFERROR(__xludf.DUMMYFUNCTION("""COMPUTED_VALUE"""),"Yes")</f>
        <v>Yes</v>
      </c>
      <c r="AE106" s="5" t="str">
        <f ca="1">IFERROR(__xludf.DUMMYFUNCTION("""COMPUTED_VALUE"""),"Yes")</f>
        <v>Yes</v>
      </c>
      <c r="AF106" s="5" t="str">
        <f ca="1">IFERROR(__xludf.DUMMYFUNCTION("""COMPUTED_VALUE"""),"Yes")</f>
        <v>Yes</v>
      </c>
      <c r="AG106" s="5" t="str">
        <f ca="1">IFERROR(__xludf.DUMMYFUNCTION("""COMPUTED_VALUE"""),"Yes")</f>
        <v>Yes</v>
      </c>
      <c r="AH106" s="5" t="str">
        <f ca="1">IFERROR(__xludf.DUMMYFUNCTION("""COMPUTED_VALUE"""),"Yes")</f>
        <v>Yes</v>
      </c>
      <c r="AI106" s="5" t="str">
        <f ca="1">IFERROR(__xludf.DUMMYFUNCTION("""COMPUTED_VALUE"""),"Yes")</f>
        <v>Yes</v>
      </c>
      <c r="AJ106" s="5" t="str">
        <f ca="1">IFERROR(__xludf.DUMMYFUNCTION("""COMPUTED_VALUE"""),"Yes")</f>
        <v>Yes</v>
      </c>
      <c r="AK106" s="5" t="str">
        <f ca="1">IFERROR(__xludf.DUMMYFUNCTION("""COMPUTED_VALUE"""),"Yes")</f>
        <v>Yes</v>
      </c>
      <c r="AL106" s="5" t="str">
        <f ca="1">IFERROR(__xludf.DUMMYFUNCTION("""COMPUTED_VALUE"""),"Yes")</f>
        <v>Yes</v>
      </c>
      <c r="AM106" s="5" t="str">
        <f ca="1">IFERROR(__xludf.DUMMYFUNCTION("""COMPUTED_VALUE"""),"Yes")</f>
        <v>Yes</v>
      </c>
      <c r="AN106" s="5" t="str">
        <f ca="1">IFERROR(__xludf.DUMMYFUNCTION("""COMPUTED_VALUE"""),"Yes")</f>
        <v>Yes</v>
      </c>
      <c r="AO106" s="5" t="str">
        <f ca="1">IFERROR(__xludf.DUMMYFUNCTION("""COMPUTED_VALUE"""),"Yes")</f>
        <v>Yes</v>
      </c>
      <c r="AP106" s="5" t="str">
        <f ca="1">IFERROR(__xludf.DUMMYFUNCTION("""COMPUTED_VALUE"""),"Yes")</f>
        <v>Yes</v>
      </c>
      <c r="AQ106" s="5" t="str">
        <f ca="1">IFERROR(__xludf.DUMMYFUNCTION("""COMPUTED_VALUE"""),"Yes")</f>
        <v>Yes</v>
      </c>
      <c r="AR106" s="5" t="str">
        <f ca="1">IFERROR(__xludf.DUMMYFUNCTION("""COMPUTED_VALUE"""),"Yes")</f>
        <v>Yes</v>
      </c>
      <c r="AS106" s="5" t="str">
        <f ca="1">IFERROR(__xludf.DUMMYFUNCTION("""COMPUTED_VALUE"""),"Yes")</f>
        <v>Yes</v>
      </c>
      <c r="AT106" s="5" t="str">
        <f ca="1">IFERROR(__xludf.DUMMYFUNCTION("""COMPUTED_VALUE"""),"No")</f>
        <v>No</v>
      </c>
      <c r="AU106" s="5"/>
    </row>
    <row r="107" spans="1:47" x14ac:dyDescent="0.25">
      <c r="A107" s="5" t="str">
        <f ca="1">IFERROR(__xludf.DUMMYFUNCTION("""COMPUTED_VALUE"""),"Foxi")</f>
        <v>Foxi</v>
      </c>
      <c r="B107" s="5" t="str">
        <f ca="1">IFERROR(__xludf.DUMMYFUNCTION("""COMPUTED_VALUE"""),"Dead Night")</f>
        <v>Dead Night</v>
      </c>
      <c r="C107" s="5" t="str">
        <f ca="1">IFERROR(__xludf.DUMMYFUNCTION("""COMPUTED_VALUE"""),"DeadNight")</f>
        <v>DeadNight</v>
      </c>
      <c r="D107" s="6">
        <f ca="1">IFERROR(__xludf.DUMMYFUNCTION("""COMPUTED_VALUE"""),45204)</f>
        <v>45204</v>
      </c>
      <c r="E107" s="5" t="str">
        <f ca="1">IFERROR(__xludf.DUMMYFUNCTION("""COMPUTED_VALUE"""),"Slot")</f>
        <v>Slot</v>
      </c>
      <c r="F107" s="5">
        <f ca="1">IFERROR(__xludf.DUMMYFUNCTION("""COMPUTED_VALUE"""),36)</f>
        <v>36</v>
      </c>
      <c r="G107" s="5" t="str">
        <f ca="1">IFERROR(__xludf.DUMMYFUNCTION("""COMPUTED_VALUE"""),"5x4")</f>
        <v>5x4</v>
      </c>
      <c r="H107" s="5" t="str">
        <f ca="1">IFERROR(__xludf.DUMMYFUNCTION("""COMPUTED_VALUE"""),"40")</f>
        <v>40</v>
      </c>
      <c r="I107" s="5" t="str">
        <f ca="1">IFERROR(__xludf.DUMMYFUNCTION("""COMPUTED_VALUE"""),"40")</f>
        <v>40</v>
      </c>
      <c r="J107" s="5" t="str">
        <f ca="1">IFERROR(__xludf.DUMMYFUNCTION("""COMPUTED_VALUE"""),"96.291%")</f>
        <v>96.291%</v>
      </c>
      <c r="K107" s="5" t="str">
        <f ca="1">IFERROR(__xludf.DUMMYFUNCTION("""COMPUTED_VALUE"""),"Medium")</f>
        <v>Medium</v>
      </c>
      <c r="L107" s="5" t="str">
        <f ca="1">IFERROR(__xludf.DUMMYFUNCTION("""COMPUTED_VALUE"""),"12.67%")</f>
        <v>12.67%</v>
      </c>
      <c r="M107" s="5" t="str">
        <f ca="1">IFERROR(__xludf.DUMMYFUNCTION("""COMPUTED_VALUE"""),"x1043")</f>
        <v>x1043</v>
      </c>
      <c r="N107" s="5" t="str">
        <f ca="1">IFERROR(__xludf.DUMMYFUNCTION("""COMPUTED_VALUE"""),"0.4/60")</f>
        <v>0.4/60</v>
      </c>
      <c r="O107" s="5" t="str">
        <f ca="1">IFERROR(__xludf.DUMMYFUNCTION("""COMPUTED_VALUE"""),"Yes")</f>
        <v>Yes</v>
      </c>
      <c r="P107" s="5" t="str">
        <f ca="1">IFERROR(__xludf.DUMMYFUNCTION("""COMPUTED_VALUE"""),"Bonus Game with Free Spins, Converting Wild")</f>
        <v>Bonus Game with Free Spins, Converting Wild</v>
      </c>
      <c r="Q107" s="7" t="str">
        <f ca="1">IFERROR(__xludf.DUMMYFUNCTION("""COMPUTED_VALUE"""),"https://gameserver-store-client-area.orbionlimited.com/Home/IntegrationGameLaunch/client-area?moneyType=0&amp;gameName=DeadNight&amp;platform=desktop&amp;languageCode=eng&amp;currency=EUR")</f>
        <v>https://gameserver-store-client-area.orbionlimited.com/Home/IntegrationGameLaunch/client-area?moneyType=0&amp;gameName=DeadNight&amp;platform=desktop&amp;languageCode=eng&amp;currency=EUR</v>
      </c>
      <c r="R107" s="5" t="str">
        <f ca="1">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S1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7" s="5" t="str">
        <f ca="1">IFERROR(__xludf.DUMMYFUNCTION("""COMPUTED_VALUE"""),"Yes")</f>
        <v>Yes</v>
      </c>
      <c r="U107" s="5" t="str">
        <f ca="1">IFERROR(__xludf.DUMMYFUNCTION("""COMPUTED_VALUE"""),"Yes")</f>
        <v>Yes</v>
      </c>
      <c r="V107" s="5" t="str">
        <f ca="1">IFERROR(__xludf.DUMMYFUNCTION("""COMPUTED_VALUE"""),"Yes")</f>
        <v>Yes</v>
      </c>
      <c r="W107" s="5" t="str">
        <f ca="1">IFERROR(__xludf.DUMMYFUNCTION("""COMPUTED_VALUE"""),"Yes")</f>
        <v>Yes</v>
      </c>
      <c r="X107" s="5" t="str">
        <f ca="1">IFERROR(__xludf.DUMMYFUNCTION("""COMPUTED_VALUE"""),"Yes")</f>
        <v>Yes</v>
      </c>
      <c r="Y107" s="5" t="str">
        <f ca="1">IFERROR(__xludf.DUMMYFUNCTION("""COMPUTED_VALUE"""),"Yes")</f>
        <v>Yes</v>
      </c>
      <c r="Z107" s="5" t="str">
        <f ca="1">IFERROR(__xludf.DUMMYFUNCTION("""COMPUTED_VALUE"""),"Yes")</f>
        <v>Yes</v>
      </c>
      <c r="AA107" s="5" t="str">
        <f ca="1">IFERROR(__xludf.DUMMYFUNCTION("""COMPUTED_VALUE"""),"Yes")</f>
        <v>Yes</v>
      </c>
      <c r="AB107" s="5" t="str">
        <f ca="1">IFERROR(__xludf.DUMMYFUNCTION("""COMPUTED_VALUE"""),"Yes")</f>
        <v>Yes</v>
      </c>
      <c r="AC107" s="5" t="str">
        <f ca="1">IFERROR(__xludf.DUMMYFUNCTION("""COMPUTED_VALUE"""),"Yes")</f>
        <v>Yes</v>
      </c>
      <c r="AD107" s="5" t="str">
        <f ca="1">IFERROR(__xludf.DUMMYFUNCTION("""COMPUTED_VALUE"""),"Yes")</f>
        <v>Yes</v>
      </c>
      <c r="AE107" s="5" t="str">
        <f ca="1">IFERROR(__xludf.DUMMYFUNCTION("""COMPUTED_VALUE"""),"Yes")</f>
        <v>Yes</v>
      </c>
      <c r="AF107" s="5" t="str">
        <f ca="1">IFERROR(__xludf.DUMMYFUNCTION("""COMPUTED_VALUE"""),"Yes")</f>
        <v>Yes</v>
      </c>
      <c r="AG107" s="5" t="str">
        <f ca="1">IFERROR(__xludf.DUMMYFUNCTION("""COMPUTED_VALUE"""),"Yes")</f>
        <v>Yes</v>
      </c>
      <c r="AH107" s="5" t="str">
        <f ca="1">IFERROR(__xludf.DUMMYFUNCTION("""COMPUTED_VALUE"""),"Yes")</f>
        <v>Yes</v>
      </c>
      <c r="AI107" s="5" t="str">
        <f ca="1">IFERROR(__xludf.DUMMYFUNCTION("""COMPUTED_VALUE"""),"Yes")</f>
        <v>Yes</v>
      </c>
      <c r="AJ107" s="5" t="str">
        <f ca="1">IFERROR(__xludf.DUMMYFUNCTION("""COMPUTED_VALUE"""),"Yes")</f>
        <v>Yes</v>
      </c>
      <c r="AK107" s="5" t="str">
        <f ca="1">IFERROR(__xludf.DUMMYFUNCTION("""COMPUTED_VALUE"""),"Yes")</f>
        <v>Yes</v>
      </c>
      <c r="AL107" s="5" t="str">
        <f ca="1">IFERROR(__xludf.DUMMYFUNCTION("""COMPUTED_VALUE"""),"Yes")</f>
        <v>Yes</v>
      </c>
      <c r="AM107" s="5" t="str">
        <f ca="1">IFERROR(__xludf.DUMMYFUNCTION("""COMPUTED_VALUE"""),"Yes")</f>
        <v>Yes</v>
      </c>
      <c r="AN107" s="5" t="str">
        <f ca="1">IFERROR(__xludf.DUMMYFUNCTION("""COMPUTED_VALUE"""),"Yes")</f>
        <v>Yes</v>
      </c>
      <c r="AO107" s="5" t="str">
        <f ca="1">IFERROR(__xludf.DUMMYFUNCTION("""COMPUTED_VALUE"""),"Yes")</f>
        <v>Yes</v>
      </c>
      <c r="AP107" s="5" t="str">
        <f ca="1">IFERROR(__xludf.DUMMYFUNCTION("""COMPUTED_VALUE"""),"Yes")</f>
        <v>Yes</v>
      </c>
      <c r="AQ107" s="5" t="str">
        <f ca="1">IFERROR(__xludf.DUMMYFUNCTION("""COMPUTED_VALUE"""),"Yes")</f>
        <v>Yes</v>
      </c>
      <c r="AR107" s="5" t="str">
        <f ca="1">IFERROR(__xludf.DUMMYFUNCTION("""COMPUTED_VALUE"""),"Yes")</f>
        <v>Yes</v>
      </c>
      <c r="AS107" s="5" t="str">
        <f ca="1">IFERROR(__xludf.DUMMYFUNCTION("""COMPUTED_VALUE"""),"Yes")</f>
        <v>Yes</v>
      </c>
      <c r="AT107" s="5" t="str">
        <f ca="1">IFERROR(__xludf.DUMMYFUNCTION("""COMPUTED_VALUE"""),"No")</f>
        <v>No</v>
      </c>
      <c r="AU107" s="5"/>
    </row>
    <row r="108" spans="1:47" x14ac:dyDescent="0.25">
      <c r="A108" s="5" t="str">
        <f ca="1">IFERROR(__xludf.DUMMYFUNCTION("""COMPUTED_VALUE"""),"Foxi")</f>
        <v>Foxi</v>
      </c>
      <c r="B108" s="5" t="str">
        <f ca="1">IFERROR(__xludf.DUMMYFUNCTION("""COMPUTED_VALUE"""),"Winning Clover 5")</f>
        <v>Winning Clover 5</v>
      </c>
      <c r="C108" s="5" t="str">
        <f ca="1">IFERROR(__xludf.DUMMYFUNCTION("""COMPUTED_VALUE"""),"WinningClover5")</f>
        <v>WinningClover5</v>
      </c>
      <c r="D108" s="6">
        <f ca="1">IFERROR(__xludf.DUMMYFUNCTION("""COMPUTED_VALUE"""),45216)</f>
        <v>45216</v>
      </c>
      <c r="E108" s="5" t="str">
        <f ca="1">IFERROR(__xludf.DUMMYFUNCTION("""COMPUTED_VALUE"""),"Slot")</f>
        <v>Slot</v>
      </c>
      <c r="F108" s="5">
        <f ca="1">IFERROR(__xludf.DUMMYFUNCTION("""COMPUTED_VALUE"""),16)</f>
        <v>16</v>
      </c>
      <c r="G108" s="5" t="str">
        <f ca="1">IFERROR(__xludf.DUMMYFUNCTION("""COMPUTED_VALUE"""),"5x3")</f>
        <v>5x3</v>
      </c>
      <c r="H108" s="5" t="str">
        <f ca="1">IFERROR(__xludf.DUMMYFUNCTION("""COMPUTED_VALUE"""),"5")</f>
        <v>5</v>
      </c>
      <c r="I108" s="5" t="str">
        <f ca="1">IFERROR(__xludf.DUMMYFUNCTION("""COMPUTED_VALUE"""),"5")</f>
        <v>5</v>
      </c>
      <c r="J108" s="5" t="str">
        <f ca="1">IFERROR(__xludf.DUMMYFUNCTION("""COMPUTED_VALUE"""),"96.447%")</f>
        <v>96.447%</v>
      </c>
      <c r="K108" s="5" t="str">
        <f ca="1">IFERROR(__xludf.DUMMYFUNCTION("""COMPUTED_VALUE"""),"Medium")</f>
        <v>Medium</v>
      </c>
      <c r="L108" s="5" t="str">
        <f ca="1">IFERROR(__xludf.DUMMYFUNCTION("""COMPUTED_VALUE"""),"14.51%")</f>
        <v>14.51%</v>
      </c>
      <c r="M108" s="5" t="str">
        <f ca="1">IFERROR(__xludf.DUMMYFUNCTION("""COMPUTED_VALUE"""),"x1222")</f>
        <v>x1222</v>
      </c>
      <c r="N108" s="5" t="str">
        <f ca="1">IFERROR(__xludf.DUMMYFUNCTION("""COMPUTED_VALUE"""),"0.05/30")</f>
        <v>0.05/30</v>
      </c>
      <c r="O108" s="5" t="str">
        <f ca="1">IFERROR(__xludf.DUMMYFUNCTION("""COMPUTED_VALUE"""),"Yes")</f>
        <v>Yes</v>
      </c>
      <c r="P108" s="5" t="str">
        <f ca="1">IFERROR(__xludf.DUMMYFUNCTION("""COMPUTED_VALUE"""),"Scatter, Expanding Wild")</f>
        <v>Scatter, Expanding Wild</v>
      </c>
      <c r="Q108" s="7" t="str">
        <f ca="1">IFERROR(__xludf.DUMMYFUNCTION("""COMPUTED_VALUE"""),"https://gameserver-store-client-area.orbionlimited.com/Home/IntegrationGameLaunch/client-area?moneyType=0&amp;gameName=WinningClover5&amp;platform=desktop&amp;languageCode=eng&amp;currency=EUR")</f>
        <v>https://gameserver-store-client-area.orbionlimited.com/Home/IntegrationGameLaunch/client-area?moneyType=0&amp;gameName=WinningClover5&amp;platform=desktop&amp;languageCode=eng&amp;currency=EUR</v>
      </c>
      <c r="R108" s="5" t="str">
        <f ca="1">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S1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8" s="5" t="str">
        <f ca="1">IFERROR(__xludf.DUMMYFUNCTION("""COMPUTED_VALUE"""),"Yes")</f>
        <v>Yes</v>
      </c>
      <c r="U108" s="5" t="str">
        <f ca="1">IFERROR(__xludf.DUMMYFUNCTION("""COMPUTED_VALUE"""),"Yes")</f>
        <v>Yes</v>
      </c>
      <c r="V108" s="5" t="str">
        <f ca="1">IFERROR(__xludf.DUMMYFUNCTION("""COMPUTED_VALUE"""),"Yes")</f>
        <v>Yes</v>
      </c>
      <c r="W108" s="5" t="str">
        <f ca="1">IFERROR(__xludf.DUMMYFUNCTION("""COMPUTED_VALUE"""),"Yes")</f>
        <v>Yes</v>
      </c>
      <c r="X108" s="5" t="str">
        <f ca="1">IFERROR(__xludf.DUMMYFUNCTION("""COMPUTED_VALUE"""),"Yes")</f>
        <v>Yes</v>
      </c>
      <c r="Y108" s="5" t="str">
        <f ca="1">IFERROR(__xludf.DUMMYFUNCTION("""COMPUTED_VALUE"""),"Yes")</f>
        <v>Yes</v>
      </c>
      <c r="Z108" s="5" t="str">
        <f ca="1">IFERROR(__xludf.DUMMYFUNCTION("""COMPUTED_VALUE"""),"Yes")</f>
        <v>Yes</v>
      </c>
      <c r="AA108" s="5" t="str">
        <f ca="1">IFERROR(__xludf.DUMMYFUNCTION("""COMPUTED_VALUE"""),"Yes")</f>
        <v>Yes</v>
      </c>
      <c r="AB108" s="5" t="str">
        <f ca="1">IFERROR(__xludf.DUMMYFUNCTION("""COMPUTED_VALUE"""),"Yes")</f>
        <v>Yes</v>
      </c>
      <c r="AC108" s="5" t="str">
        <f ca="1">IFERROR(__xludf.DUMMYFUNCTION("""COMPUTED_VALUE"""),"Yes")</f>
        <v>Yes</v>
      </c>
      <c r="AD108" s="5" t="str">
        <f ca="1">IFERROR(__xludf.DUMMYFUNCTION("""COMPUTED_VALUE"""),"Yes")</f>
        <v>Yes</v>
      </c>
      <c r="AE108" s="5" t="str">
        <f ca="1">IFERROR(__xludf.DUMMYFUNCTION("""COMPUTED_VALUE"""),"Yes")</f>
        <v>Yes</v>
      </c>
      <c r="AF108" s="5" t="str">
        <f ca="1">IFERROR(__xludf.DUMMYFUNCTION("""COMPUTED_VALUE"""),"Yes")</f>
        <v>Yes</v>
      </c>
      <c r="AG108" s="5" t="str">
        <f ca="1">IFERROR(__xludf.DUMMYFUNCTION("""COMPUTED_VALUE"""),"Yes")</f>
        <v>Yes</v>
      </c>
      <c r="AH108" s="5" t="str">
        <f ca="1">IFERROR(__xludf.DUMMYFUNCTION("""COMPUTED_VALUE"""),"Yes")</f>
        <v>Yes</v>
      </c>
      <c r="AI108" s="5" t="str">
        <f ca="1">IFERROR(__xludf.DUMMYFUNCTION("""COMPUTED_VALUE"""),"Yes")</f>
        <v>Yes</v>
      </c>
      <c r="AJ108" s="5" t="str">
        <f ca="1">IFERROR(__xludf.DUMMYFUNCTION("""COMPUTED_VALUE"""),"Yes")</f>
        <v>Yes</v>
      </c>
      <c r="AK108" s="5" t="str">
        <f ca="1">IFERROR(__xludf.DUMMYFUNCTION("""COMPUTED_VALUE"""),"Yes")</f>
        <v>Yes</v>
      </c>
      <c r="AL108" s="5" t="str">
        <f ca="1">IFERROR(__xludf.DUMMYFUNCTION("""COMPUTED_VALUE"""),"Yes")</f>
        <v>Yes</v>
      </c>
      <c r="AM108" s="5" t="str">
        <f ca="1">IFERROR(__xludf.DUMMYFUNCTION("""COMPUTED_VALUE"""),"Yes")</f>
        <v>Yes</v>
      </c>
      <c r="AN108" s="5" t="str">
        <f ca="1">IFERROR(__xludf.DUMMYFUNCTION("""COMPUTED_VALUE"""),"Yes")</f>
        <v>Yes</v>
      </c>
      <c r="AO108" s="5" t="str">
        <f ca="1">IFERROR(__xludf.DUMMYFUNCTION("""COMPUTED_VALUE"""),"Yes")</f>
        <v>Yes</v>
      </c>
      <c r="AP108" s="5" t="str">
        <f ca="1">IFERROR(__xludf.DUMMYFUNCTION("""COMPUTED_VALUE"""),"Yes")</f>
        <v>Yes</v>
      </c>
      <c r="AQ108" s="5" t="str">
        <f ca="1">IFERROR(__xludf.DUMMYFUNCTION("""COMPUTED_VALUE"""),"Yes")</f>
        <v>Yes</v>
      </c>
      <c r="AR108" s="5" t="str">
        <f ca="1">IFERROR(__xludf.DUMMYFUNCTION("""COMPUTED_VALUE"""),"Yes")</f>
        <v>Yes</v>
      </c>
      <c r="AS108" s="5" t="str">
        <f ca="1">IFERROR(__xludf.DUMMYFUNCTION("""COMPUTED_VALUE"""),"Yes")</f>
        <v>Yes</v>
      </c>
      <c r="AT108" s="5" t="str">
        <f ca="1">IFERROR(__xludf.DUMMYFUNCTION("""COMPUTED_VALUE"""),"No")</f>
        <v>No</v>
      </c>
      <c r="AU108" s="5"/>
    </row>
    <row r="109" spans="1:47" x14ac:dyDescent="0.25">
      <c r="A109" s="5" t="str">
        <f ca="1">IFERROR(__xludf.DUMMYFUNCTION("""COMPUTED_VALUE"""),"Foxi")</f>
        <v>Foxi</v>
      </c>
      <c r="B109" s="5" t="str">
        <f ca="1">IFERROR(__xludf.DUMMYFUNCTION("""COMPUTED_VALUE"""),"Turbo Fire")</f>
        <v>Turbo Fire</v>
      </c>
      <c r="C109" s="5" t="str">
        <f ca="1">IFERROR(__xludf.DUMMYFUNCTION("""COMPUTED_VALUE"""),"TurboFire")</f>
        <v>TurboFire</v>
      </c>
      <c r="D109" s="6">
        <f ca="1">IFERROR(__xludf.DUMMYFUNCTION("""COMPUTED_VALUE"""),45272)</f>
        <v>45272</v>
      </c>
      <c r="E109" s="5" t="str">
        <f ca="1">IFERROR(__xludf.DUMMYFUNCTION("""COMPUTED_VALUE"""),"Slot")</f>
        <v>Slot</v>
      </c>
      <c r="F109" s="5">
        <f ca="1">IFERROR(__xludf.DUMMYFUNCTION("""COMPUTED_VALUE"""),13)</f>
        <v>13</v>
      </c>
      <c r="G109" s="5" t="str">
        <f ca="1">IFERROR(__xludf.DUMMYFUNCTION("""COMPUTED_VALUE"""),"5x4")</f>
        <v>5x4</v>
      </c>
      <c r="H109" s="5" t="str">
        <f ca="1">IFERROR(__xludf.DUMMYFUNCTION("""COMPUTED_VALUE"""),"40")</f>
        <v>40</v>
      </c>
      <c r="I109" s="5" t="str">
        <f ca="1">IFERROR(__xludf.DUMMYFUNCTION("""COMPUTED_VALUE"""),"40")</f>
        <v>40</v>
      </c>
      <c r="J109" s="5" t="str">
        <f ca="1">IFERROR(__xludf.DUMMYFUNCTION("""COMPUTED_VALUE"""),"96.584%")</f>
        <v>96.584%</v>
      </c>
      <c r="K109" s="5" t="str">
        <f ca="1">IFERROR(__xludf.DUMMYFUNCTION("""COMPUTED_VALUE"""),"Low")</f>
        <v>Low</v>
      </c>
      <c r="L109" s="5" t="str">
        <f ca="1">IFERROR(__xludf.DUMMYFUNCTION("""COMPUTED_VALUE"""),"16.73%")</f>
        <v>16.73%</v>
      </c>
      <c r="M109" s="5" t="str">
        <f ca="1">IFERROR(__xludf.DUMMYFUNCTION("""COMPUTED_VALUE"""),"x1000")</f>
        <v>x1000</v>
      </c>
      <c r="N109" s="5" t="str">
        <f ca="1">IFERROR(__xludf.DUMMYFUNCTION("""COMPUTED_VALUE"""),"0.4/40")</f>
        <v>0.4/40</v>
      </c>
      <c r="O109" s="5" t="str">
        <f ca="1">IFERROR(__xludf.DUMMYFUNCTION("""COMPUTED_VALUE"""),"Yes")</f>
        <v>Yes</v>
      </c>
      <c r="P109" s="5" t="str">
        <f ca="1">IFERROR(__xludf.DUMMYFUNCTION("""COMPUTED_VALUE"""),"Wild Symbol, Scatter")</f>
        <v>Wild Symbol, Scatter</v>
      </c>
      <c r="Q109" s="7" t="str">
        <f ca="1">IFERROR(__xludf.DUMMYFUNCTION("""COMPUTED_VALUE"""),"https://gameserver-store-client-area.orbionlimited.com/Home/IntegrationGameLaunch/client-area?moneyType=0&amp;gameName=TurboFire&amp;platform=desktop&amp;languageCode=eng&amp;currency=EUR")</f>
        <v>https://gameserver-store-client-area.orbionlimited.com/Home/IntegrationGameLaunch/client-area?moneyType=0&amp;gameName=TurboFire&amp;platform=desktop&amp;languageCode=eng&amp;currency=EUR</v>
      </c>
      <c r="R109" s="5" t="str">
        <f ca="1">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S1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9" s="5" t="str">
        <f ca="1">IFERROR(__xludf.DUMMYFUNCTION("""COMPUTED_VALUE"""),"Yes")</f>
        <v>Yes</v>
      </c>
      <c r="U109" s="5" t="str">
        <f ca="1">IFERROR(__xludf.DUMMYFUNCTION("""COMPUTED_VALUE"""),"Yes")</f>
        <v>Yes</v>
      </c>
      <c r="V109" s="5" t="str">
        <f ca="1">IFERROR(__xludf.DUMMYFUNCTION("""COMPUTED_VALUE"""),"Yes")</f>
        <v>Yes</v>
      </c>
      <c r="W109" s="5" t="str">
        <f ca="1">IFERROR(__xludf.DUMMYFUNCTION("""COMPUTED_VALUE"""),"Yes")</f>
        <v>Yes</v>
      </c>
      <c r="X109" s="5" t="str">
        <f ca="1">IFERROR(__xludf.DUMMYFUNCTION("""COMPUTED_VALUE"""),"Yes")</f>
        <v>Yes</v>
      </c>
      <c r="Y109" s="5" t="str">
        <f ca="1">IFERROR(__xludf.DUMMYFUNCTION("""COMPUTED_VALUE"""),"Yes")</f>
        <v>Yes</v>
      </c>
      <c r="Z109" s="5" t="str">
        <f ca="1">IFERROR(__xludf.DUMMYFUNCTION("""COMPUTED_VALUE"""),"Yes")</f>
        <v>Yes</v>
      </c>
      <c r="AA109" s="5" t="str">
        <f ca="1">IFERROR(__xludf.DUMMYFUNCTION("""COMPUTED_VALUE"""),"Yes")</f>
        <v>Yes</v>
      </c>
      <c r="AB109" s="5" t="str">
        <f ca="1">IFERROR(__xludf.DUMMYFUNCTION("""COMPUTED_VALUE"""),"Yes")</f>
        <v>Yes</v>
      </c>
      <c r="AC109" s="5" t="str">
        <f ca="1">IFERROR(__xludf.DUMMYFUNCTION("""COMPUTED_VALUE"""),"Yes")</f>
        <v>Yes</v>
      </c>
      <c r="AD109" s="5" t="str">
        <f ca="1">IFERROR(__xludf.DUMMYFUNCTION("""COMPUTED_VALUE"""),"Yes")</f>
        <v>Yes</v>
      </c>
      <c r="AE109" s="5" t="str">
        <f ca="1">IFERROR(__xludf.DUMMYFUNCTION("""COMPUTED_VALUE"""),"Yes")</f>
        <v>Yes</v>
      </c>
      <c r="AF109" s="5" t="str">
        <f ca="1">IFERROR(__xludf.DUMMYFUNCTION("""COMPUTED_VALUE"""),"Yes")</f>
        <v>Yes</v>
      </c>
      <c r="AG109" s="5" t="str">
        <f ca="1">IFERROR(__xludf.DUMMYFUNCTION("""COMPUTED_VALUE"""),"Yes")</f>
        <v>Yes</v>
      </c>
      <c r="AH109" s="5" t="str">
        <f ca="1">IFERROR(__xludf.DUMMYFUNCTION("""COMPUTED_VALUE"""),"Yes")</f>
        <v>Yes</v>
      </c>
      <c r="AI109" s="5" t="str">
        <f ca="1">IFERROR(__xludf.DUMMYFUNCTION("""COMPUTED_VALUE"""),"Yes")</f>
        <v>Yes</v>
      </c>
      <c r="AJ109" s="5" t="str">
        <f ca="1">IFERROR(__xludf.DUMMYFUNCTION("""COMPUTED_VALUE"""),"Yes")</f>
        <v>Yes</v>
      </c>
      <c r="AK109" s="5" t="str">
        <f ca="1">IFERROR(__xludf.DUMMYFUNCTION("""COMPUTED_VALUE"""),"Yes")</f>
        <v>Yes</v>
      </c>
      <c r="AL109" s="5" t="str">
        <f ca="1">IFERROR(__xludf.DUMMYFUNCTION("""COMPUTED_VALUE"""),"Yes")</f>
        <v>Yes</v>
      </c>
      <c r="AM109" s="5" t="str">
        <f ca="1">IFERROR(__xludf.DUMMYFUNCTION("""COMPUTED_VALUE"""),"Yes")</f>
        <v>Yes</v>
      </c>
      <c r="AN109" s="5" t="str">
        <f ca="1">IFERROR(__xludf.DUMMYFUNCTION("""COMPUTED_VALUE"""),"Yes")</f>
        <v>Yes</v>
      </c>
      <c r="AO109" s="5" t="str">
        <f ca="1">IFERROR(__xludf.DUMMYFUNCTION("""COMPUTED_VALUE"""),"Yes")</f>
        <v>Yes</v>
      </c>
      <c r="AP109" s="5" t="str">
        <f ca="1">IFERROR(__xludf.DUMMYFUNCTION("""COMPUTED_VALUE"""),"Yes")</f>
        <v>Yes</v>
      </c>
      <c r="AQ109" s="5" t="str">
        <f ca="1">IFERROR(__xludf.DUMMYFUNCTION("""COMPUTED_VALUE"""),"Yes")</f>
        <v>Yes</v>
      </c>
      <c r="AR109" s="5" t="str">
        <f ca="1">IFERROR(__xludf.DUMMYFUNCTION("""COMPUTED_VALUE"""),"Yes")</f>
        <v>Yes</v>
      </c>
      <c r="AS109" s="5" t="str">
        <f ca="1">IFERROR(__xludf.DUMMYFUNCTION("""COMPUTED_VALUE"""),"Yes")</f>
        <v>Yes</v>
      </c>
      <c r="AT109" s="5" t="str">
        <f ca="1">IFERROR(__xludf.DUMMYFUNCTION("""COMPUTED_VALUE"""),"No")</f>
        <v>No</v>
      </c>
      <c r="AU109" s="5"/>
    </row>
    <row r="110" spans="1:47" x14ac:dyDescent="0.25">
      <c r="A110" s="5" t="str">
        <f ca="1">IFERROR(__xludf.DUMMYFUNCTION("""COMPUTED_VALUE"""),"Foxi")</f>
        <v>Foxi</v>
      </c>
      <c r="B110" s="5" t="str">
        <f ca="1">IFERROR(__xludf.DUMMYFUNCTION("""COMPUTED_VALUE"""),"Winning Clover 5 Extreme")</f>
        <v>Winning Clover 5 Extreme</v>
      </c>
      <c r="C110" s="5" t="str">
        <f ca="1">IFERROR(__xludf.DUMMYFUNCTION("""COMPUTED_VALUE"""),"WinningClover5Extreme")</f>
        <v>WinningClover5Extreme</v>
      </c>
      <c r="D110" s="6">
        <f ca="1">IFERROR(__xludf.DUMMYFUNCTION("""COMPUTED_VALUE"""),45251)</f>
        <v>45251</v>
      </c>
      <c r="E110" s="5" t="str">
        <f ca="1">IFERROR(__xludf.DUMMYFUNCTION("""COMPUTED_VALUE"""),"Slot")</f>
        <v>Slot</v>
      </c>
      <c r="F110" s="5">
        <f ca="1">IFERROR(__xludf.DUMMYFUNCTION("""COMPUTED_VALUE"""),16)</f>
        <v>16</v>
      </c>
      <c r="G110" s="5" t="str">
        <f ca="1">IFERROR(__xludf.DUMMYFUNCTION("""COMPUTED_VALUE"""),"5x3")</f>
        <v>5x3</v>
      </c>
      <c r="H110" s="5" t="str">
        <f ca="1">IFERROR(__xludf.DUMMYFUNCTION("""COMPUTED_VALUE"""),"5")</f>
        <v>5</v>
      </c>
      <c r="I110" s="5" t="str">
        <f ca="1">IFERROR(__xludf.DUMMYFUNCTION("""COMPUTED_VALUE"""),"5")</f>
        <v>5</v>
      </c>
      <c r="J110" s="5" t="str">
        <f ca="1">IFERROR(__xludf.DUMMYFUNCTION("""COMPUTED_VALUE"""),"96.5%")</f>
        <v>96.5%</v>
      </c>
      <c r="K110" s="5" t="str">
        <f ca="1">IFERROR(__xludf.DUMMYFUNCTION("""COMPUTED_VALUE"""),"High")</f>
        <v>High</v>
      </c>
      <c r="L110" s="5" t="str">
        <f ca="1">IFERROR(__xludf.DUMMYFUNCTION("""COMPUTED_VALUE"""),"12.8%")</f>
        <v>12.8%</v>
      </c>
      <c r="M110" s="5" t="str">
        <f ca="1">IFERROR(__xludf.DUMMYFUNCTION("""COMPUTED_VALUE"""),"x5000")</f>
        <v>x5000</v>
      </c>
      <c r="N110" s="5" t="str">
        <f ca="1">IFERROR(__xludf.DUMMYFUNCTION("""COMPUTED_VALUE"""),"0.05/30")</f>
        <v>0.05/30</v>
      </c>
      <c r="O110" s="5" t="str">
        <f ca="1">IFERROR(__xludf.DUMMYFUNCTION("""COMPUTED_VALUE"""),"Yes")</f>
        <v>Yes</v>
      </c>
      <c r="P110" s="5" t="str">
        <f ca="1">IFERROR(__xludf.DUMMYFUNCTION("""COMPUTED_VALUE"""),"Expanding Wild, Wild Multiplier, Scatter")</f>
        <v>Expanding Wild, Wild Multiplier, Scatter</v>
      </c>
      <c r="Q110" s="7" t="str">
        <f ca="1">IFERROR(__xludf.DUMMYFUNCTION("""COMPUTED_VALUE"""),"https://gameserver-store-client-area.orbionlimited.com/Home/IntegrationGameLaunch/client-area?moneyType=0&amp;gameName=WinningClover5Extreme&amp;platform=desktop&amp;languageCode=eng&amp;currency=EUR")</f>
        <v>https://gameserver-store-client-area.orbionlimited.com/Home/IntegrationGameLaunch/client-area?moneyType=0&amp;gameName=WinningClover5Extreme&amp;platform=desktop&amp;languageCode=eng&amp;currency=EUR</v>
      </c>
      <c r="R110" s="5" t="str">
        <f ca="1">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S1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0" s="5" t="str">
        <f ca="1">IFERROR(__xludf.DUMMYFUNCTION("""COMPUTED_VALUE"""),"Yes")</f>
        <v>Yes</v>
      </c>
      <c r="U110" s="5" t="str">
        <f ca="1">IFERROR(__xludf.DUMMYFUNCTION("""COMPUTED_VALUE"""),"Yes")</f>
        <v>Yes</v>
      </c>
      <c r="V110" s="5" t="str">
        <f ca="1">IFERROR(__xludf.DUMMYFUNCTION("""COMPUTED_VALUE"""),"Yes")</f>
        <v>Yes</v>
      </c>
      <c r="W110" s="5" t="str">
        <f ca="1">IFERROR(__xludf.DUMMYFUNCTION("""COMPUTED_VALUE"""),"Yes")</f>
        <v>Yes</v>
      </c>
      <c r="X110" s="5" t="str">
        <f ca="1">IFERROR(__xludf.DUMMYFUNCTION("""COMPUTED_VALUE"""),"Yes")</f>
        <v>Yes</v>
      </c>
      <c r="Y110" s="5" t="str">
        <f ca="1">IFERROR(__xludf.DUMMYFUNCTION("""COMPUTED_VALUE"""),"Yes")</f>
        <v>Yes</v>
      </c>
      <c r="Z110" s="5" t="str">
        <f ca="1">IFERROR(__xludf.DUMMYFUNCTION("""COMPUTED_VALUE"""),"Yes")</f>
        <v>Yes</v>
      </c>
      <c r="AA110" s="5" t="str">
        <f ca="1">IFERROR(__xludf.DUMMYFUNCTION("""COMPUTED_VALUE"""),"Yes")</f>
        <v>Yes</v>
      </c>
      <c r="AB110" s="5" t="str">
        <f ca="1">IFERROR(__xludf.DUMMYFUNCTION("""COMPUTED_VALUE"""),"Yes")</f>
        <v>Yes</v>
      </c>
      <c r="AC110" s="5" t="str">
        <f ca="1">IFERROR(__xludf.DUMMYFUNCTION("""COMPUTED_VALUE"""),"Yes")</f>
        <v>Yes</v>
      </c>
      <c r="AD110" s="5" t="str">
        <f ca="1">IFERROR(__xludf.DUMMYFUNCTION("""COMPUTED_VALUE"""),"Yes")</f>
        <v>Yes</v>
      </c>
      <c r="AE110" s="5" t="str">
        <f ca="1">IFERROR(__xludf.DUMMYFUNCTION("""COMPUTED_VALUE"""),"Yes")</f>
        <v>Yes</v>
      </c>
      <c r="AF110" s="5" t="str">
        <f ca="1">IFERROR(__xludf.DUMMYFUNCTION("""COMPUTED_VALUE"""),"Yes")</f>
        <v>Yes</v>
      </c>
      <c r="AG110" s="5" t="str">
        <f ca="1">IFERROR(__xludf.DUMMYFUNCTION("""COMPUTED_VALUE"""),"Yes")</f>
        <v>Yes</v>
      </c>
      <c r="AH110" s="5" t="str">
        <f ca="1">IFERROR(__xludf.DUMMYFUNCTION("""COMPUTED_VALUE"""),"Yes")</f>
        <v>Yes</v>
      </c>
      <c r="AI110" s="5" t="str">
        <f ca="1">IFERROR(__xludf.DUMMYFUNCTION("""COMPUTED_VALUE"""),"Yes")</f>
        <v>Yes</v>
      </c>
      <c r="AJ110" s="5" t="str">
        <f ca="1">IFERROR(__xludf.DUMMYFUNCTION("""COMPUTED_VALUE"""),"Yes")</f>
        <v>Yes</v>
      </c>
      <c r="AK110" s="5" t="str">
        <f ca="1">IFERROR(__xludf.DUMMYFUNCTION("""COMPUTED_VALUE"""),"Yes")</f>
        <v>Yes</v>
      </c>
      <c r="AL110" s="5" t="str">
        <f ca="1">IFERROR(__xludf.DUMMYFUNCTION("""COMPUTED_VALUE"""),"Yes")</f>
        <v>Yes</v>
      </c>
      <c r="AM110" s="5" t="str">
        <f ca="1">IFERROR(__xludf.DUMMYFUNCTION("""COMPUTED_VALUE"""),"Yes")</f>
        <v>Yes</v>
      </c>
      <c r="AN110" s="5" t="str">
        <f ca="1">IFERROR(__xludf.DUMMYFUNCTION("""COMPUTED_VALUE"""),"Yes")</f>
        <v>Yes</v>
      </c>
      <c r="AO110" s="5" t="str">
        <f ca="1">IFERROR(__xludf.DUMMYFUNCTION("""COMPUTED_VALUE"""),"Yes")</f>
        <v>Yes</v>
      </c>
      <c r="AP110" s="5" t="str">
        <f ca="1">IFERROR(__xludf.DUMMYFUNCTION("""COMPUTED_VALUE"""),"Yes")</f>
        <v>Yes</v>
      </c>
      <c r="AQ110" s="5" t="str">
        <f ca="1">IFERROR(__xludf.DUMMYFUNCTION("""COMPUTED_VALUE"""),"Yes")</f>
        <v>Yes</v>
      </c>
      <c r="AR110" s="5" t="str">
        <f ca="1">IFERROR(__xludf.DUMMYFUNCTION("""COMPUTED_VALUE"""),"Yes")</f>
        <v>Yes</v>
      </c>
      <c r="AS110" s="5" t="str">
        <f ca="1">IFERROR(__xludf.DUMMYFUNCTION("""COMPUTED_VALUE"""),"Yes")</f>
        <v>Yes</v>
      </c>
      <c r="AT110" s="5" t="str">
        <f ca="1">IFERROR(__xludf.DUMMYFUNCTION("""COMPUTED_VALUE"""),"No")</f>
        <v>No</v>
      </c>
      <c r="AU110" s="5"/>
    </row>
    <row r="111" spans="1:47" x14ac:dyDescent="0.25">
      <c r="A111" s="5" t="str">
        <f ca="1">IFERROR(__xludf.DUMMYFUNCTION("""COMPUTED_VALUE"""),"Foxi")</f>
        <v>Foxi</v>
      </c>
      <c r="B111" s="5" t="str">
        <f ca="1">IFERROR(__xludf.DUMMYFUNCTION("""COMPUTED_VALUE"""),"Wild Hot 40 Dice")</f>
        <v>Wild Hot 40 Dice</v>
      </c>
      <c r="C111" s="5" t="str">
        <f ca="1">IFERROR(__xludf.DUMMYFUNCTION("""COMPUTED_VALUE"""),"WildHot40Dice")</f>
        <v>WildHot40Dice</v>
      </c>
      <c r="D111" s="6">
        <f ca="1">IFERROR(__xludf.DUMMYFUNCTION("""COMPUTED_VALUE"""),45239)</f>
        <v>45239</v>
      </c>
      <c r="E111" s="5" t="str">
        <f ca="1">IFERROR(__xludf.DUMMYFUNCTION("""COMPUTED_VALUE"""),"Slot")</f>
        <v>Slot</v>
      </c>
      <c r="F111" s="5">
        <f ca="1">IFERROR(__xludf.DUMMYFUNCTION("""COMPUTED_VALUE"""),23.2)</f>
        <v>23.2</v>
      </c>
      <c r="G111" s="5" t="str">
        <f ca="1">IFERROR(__xludf.DUMMYFUNCTION("""COMPUTED_VALUE"""),"5x4")</f>
        <v>5x4</v>
      </c>
      <c r="H111" s="5" t="str">
        <f ca="1">IFERROR(__xludf.DUMMYFUNCTION("""COMPUTED_VALUE"""),"40")</f>
        <v>40</v>
      </c>
      <c r="I111" s="5" t="str">
        <f ca="1">IFERROR(__xludf.DUMMYFUNCTION("""COMPUTED_VALUE"""),"40")</f>
        <v>40</v>
      </c>
      <c r="J111" s="5" t="str">
        <f ca="1">IFERROR(__xludf.DUMMYFUNCTION("""COMPUTED_VALUE"""),"96.584%")</f>
        <v>96.584%</v>
      </c>
      <c r="K111" s="5" t="str">
        <f ca="1">IFERROR(__xludf.DUMMYFUNCTION("""COMPUTED_VALUE"""),"Low")</f>
        <v>Low</v>
      </c>
      <c r="L111" s="5" t="str">
        <f ca="1">IFERROR(__xludf.DUMMYFUNCTION("""COMPUTED_VALUE"""),"16.73%")</f>
        <v>16.73%</v>
      </c>
      <c r="M111" s="5" t="str">
        <f ca="1">IFERROR(__xludf.DUMMYFUNCTION("""COMPUTED_VALUE"""),"x1000")</f>
        <v>x1000</v>
      </c>
      <c r="N111" s="5" t="str">
        <f ca="1">IFERROR(__xludf.DUMMYFUNCTION("""COMPUTED_VALUE"""),"0.4/60")</f>
        <v>0.4/60</v>
      </c>
      <c r="O111" s="5" t="str">
        <f ca="1">IFERROR(__xludf.DUMMYFUNCTION("""COMPUTED_VALUE"""),"Yes")</f>
        <v>Yes</v>
      </c>
      <c r="P111" s="5" t="str">
        <f ca="1">IFERROR(__xludf.DUMMYFUNCTION("""COMPUTED_VALUE"""),"Wild Symbol, Scatter, Exploding Wild")</f>
        <v>Wild Symbol, Scatter, Exploding Wild</v>
      </c>
      <c r="Q111" s="7" t="str">
        <f ca="1">IFERROR(__xludf.DUMMYFUNCTION("""COMPUTED_VALUE"""),"https://gameserver-store-client-area.orbionlimited.com/Home/IntegrationGameLaunch/client-area?moneyType=0&amp;gameName=WildHot40Dice&amp;platform=desktop&amp;languageCode=eng&amp;currency=EUR")</f>
        <v>https://gameserver-store-client-area.orbionlimited.com/Home/IntegrationGameLaunch/client-area?moneyType=0&amp;gameName=WildHot40Dice&amp;platform=desktop&amp;languageCode=eng&amp;currency=EUR</v>
      </c>
      <c r="R111" s="5" t="str">
        <f ca="1">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S1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1" s="5" t="str">
        <f ca="1">IFERROR(__xludf.DUMMYFUNCTION("""COMPUTED_VALUE"""),"Yes")</f>
        <v>Yes</v>
      </c>
      <c r="U111" s="5" t="str">
        <f ca="1">IFERROR(__xludf.DUMMYFUNCTION("""COMPUTED_VALUE"""),"Yes")</f>
        <v>Yes</v>
      </c>
      <c r="V111" s="5" t="str">
        <f ca="1">IFERROR(__xludf.DUMMYFUNCTION("""COMPUTED_VALUE"""),"Yes")</f>
        <v>Yes</v>
      </c>
      <c r="W111" s="5" t="str">
        <f ca="1">IFERROR(__xludf.DUMMYFUNCTION("""COMPUTED_VALUE"""),"Yes")</f>
        <v>Yes</v>
      </c>
      <c r="X111" s="5" t="str">
        <f ca="1">IFERROR(__xludf.DUMMYFUNCTION("""COMPUTED_VALUE"""),"Yes")</f>
        <v>Yes</v>
      </c>
      <c r="Y111" s="5" t="str">
        <f ca="1">IFERROR(__xludf.DUMMYFUNCTION("""COMPUTED_VALUE"""),"Yes")</f>
        <v>Yes</v>
      </c>
      <c r="Z111" s="5" t="str">
        <f ca="1">IFERROR(__xludf.DUMMYFUNCTION("""COMPUTED_VALUE"""),"Yes")</f>
        <v>Yes</v>
      </c>
      <c r="AA111" s="5" t="str">
        <f ca="1">IFERROR(__xludf.DUMMYFUNCTION("""COMPUTED_VALUE"""),"Yes")</f>
        <v>Yes</v>
      </c>
      <c r="AB111" s="5" t="str">
        <f ca="1">IFERROR(__xludf.DUMMYFUNCTION("""COMPUTED_VALUE"""),"Yes")</f>
        <v>Yes</v>
      </c>
      <c r="AC111" s="5" t="str">
        <f ca="1">IFERROR(__xludf.DUMMYFUNCTION("""COMPUTED_VALUE"""),"Yes")</f>
        <v>Yes</v>
      </c>
      <c r="AD111" s="5" t="str">
        <f ca="1">IFERROR(__xludf.DUMMYFUNCTION("""COMPUTED_VALUE"""),"Yes")</f>
        <v>Yes</v>
      </c>
      <c r="AE111" s="5" t="str">
        <f ca="1">IFERROR(__xludf.DUMMYFUNCTION("""COMPUTED_VALUE"""),"Yes")</f>
        <v>Yes</v>
      </c>
      <c r="AF111" s="5" t="str">
        <f ca="1">IFERROR(__xludf.DUMMYFUNCTION("""COMPUTED_VALUE"""),"Yes")</f>
        <v>Yes</v>
      </c>
      <c r="AG111" s="5" t="str">
        <f ca="1">IFERROR(__xludf.DUMMYFUNCTION("""COMPUTED_VALUE"""),"Yes")</f>
        <v>Yes</v>
      </c>
      <c r="AH111" s="5" t="str">
        <f ca="1">IFERROR(__xludf.DUMMYFUNCTION("""COMPUTED_VALUE"""),"Yes")</f>
        <v>Yes</v>
      </c>
      <c r="AI111" s="5" t="str">
        <f ca="1">IFERROR(__xludf.DUMMYFUNCTION("""COMPUTED_VALUE"""),"Yes")</f>
        <v>Yes</v>
      </c>
      <c r="AJ111" s="5" t="str">
        <f ca="1">IFERROR(__xludf.DUMMYFUNCTION("""COMPUTED_VALUE"""),"Yes")</f>
        <v>Yes</v>
      </c>
      <c r="AK111" s="5" t="str">
        <f ca="1">IFERROR(__xludf.DUMMYFUNCTION("""COMPUTED_VALUE"""),"Yes")</f>
        <v>Yes</v>
      </c>
      <c r="AL111" s="5" t="str">
        <f ca="1">IFERROR(__xludf.DUMMYFUNCTION("""COMPUTED_VALUE"""),"Yes")</f>
        <v>Yes</v>
      </c>
      <c r="AM111" s="5" t="str">
        <f ca="1">IFERROR(__xludf.DUMMYFUNCTION("""COMPUTED_VALUE"""),"Yes")</f>
        <v>Yes</v>
      </c>
      <c r="AN111" s="5" t="str">
        <f ca="1">IFERROR(__xludf.DUMMYFUNCTION("""COMPUTED_VALUE"""),"Yes")</f>
        <v>Yes</v>
      </c>
      <c r="AO111" s="5" t="str">
        <f ca="1">IFERROR(__xludf.DUMMYFUNCTION("""COMPUTED_VALUE"""),"Yes")</f>
        <v>Yes</v>
      </c>
      <c r="AP111" s="5" t="str">
        <f ca="1">IFERROR(__xludf.DUMMYFUNCTION("""COMPUTED_VALUE"""),"Yes")</f>
        <v>Yes</v>
      </c>
      <c r="AQ111" s="5" t="str">
        <f ca="1">IFERROR(__xludf.DUMMYFUNCTION("""COMPUTED_VALUE"""),"Yes")</f>
        <v>Yes</v>
      </c>
      <c r="AR111" s="5" t="str">
        <f ca="1">IFERROR(__xludf.DUMMYFUNCTION("""COMPUTED_VALUE"""),"Yes")</f>
        <v>Yes</v>
      </c>
      <c r="AS111" s="5" t="str">
        <f ca="1">IFERROR(__xludf.DUMMYFUNCTION("""COMPUTED_VALUE"""),"Yes")</f>
        <v>Yes</v>
      </c>
      <c r="AT111" s="5" t="str">
        <f ca="1">IFERROR(__xludf.DUMMYFUNCTION("""COMPUTED_VALUE"""),"No")</f>
        <v>No</v>
      </c>
      <c r="AU111" s="5"/>
    </row>
    <row r="112" spans="1:47" x14ac:dyDescent="0.25">
      <c r="A112" s="5" t="str">
        <f ca="1">IFERROR(__xludf.DUMMYFUNCTION("""COMPUTED_VALUE"""),"Foxi")</f>
        <v>Foxi</v>
      </c>
      <c r="B112" s="5" t="str">
        <f ca="1">IFERROR(__xludf.DUMMYFUNCTION("""COMPUTED_VALUE"""),"Wild Hot 40 Blow Dice")</f>
        <v>Wild Hot 40 Blow Dice</v>
      </c>
      <c r="C112" s="5" t="str">
        <f ca="1">IFERROR(__xludf.DUMMYFUNCTION("""COMPUTED_VALUE"""),"WildHot40BlowDice")</f>
        <v>WildHot40BlowDice</v>
      </c>
      <c r="D112" s="6">
        <f ca="1">IFERROR(__xludf.DUMMYFUNCTION("""COMPUTED_VALUE"""),45239)</f>
        <v>45239</v>
      </c>
      <c r="E112" s="5" t="str">
        <f ca="1">IFERROR(__xludf.DUMMYFUNCTION("""COMPUTED_VALUE"""),"Slot")</f>
        <v>Slot</v>
      </c>
      <c r="F112" s="5">
        <f ca="1">IFERROR(__xludf.DUMMYFUNCTION("""COMPUTED_VALUE"""),26.3)</f>
        <v>26.3</v>
      </c>
      <c r="G112" s="5" t="str">
        <f ca="1">IFERROR(__xludf.DUMMYFUNCTION("""COMPUTED_VALUE"""),"5x4")</f>
        <v>5x4</v>
      </c>
      <c r="H112" s="5" t="str">
        <f ca="1">IFERROR(__xludf.DUMMYFUNCTION("""COMPUTED_VALUE"""),"40")</f>
        <v>40</v>
      </c>
      <c r="I112" s="5" t="str">
        <f ca="1">IFERROR(__xludf.DUMMYFUNCTION("""COMPUTED_VALUE"""),"40")</f>
        <v>40</v>
      </c>
      <c r="J112" s="5" t="str">
        <f ca="1">IFERROR(__xludf.DUMMYFUNCTION("""COMPUTED_VALUE"""),"96.269%")</f>
        <v>96.269%</v>
      </c>
      <c r="K112" s="5" t="str">
        <f ca="1">IFERROR(__xludf.DUMMYFUNCTION("""COMPUTED_VALUE"""),"Medium")</f>
        <v>Medium</v>
      </c>
      <c r="L112" s="5" t="str">
        <f ca="1">IFERROR(__xludf.DUMMYFUNCTION("""COMPUTED_VALUE"""),"13.88%")</f>
        <v>13.88%</v>
      </c>
      <c r="M112" s="5" t="str">
        <f ca="1">IFERROR(__xludf.DUMMYFUNCTION("""COMPUTED_VALUE"""),"x1000")</f>
        <v>x1000</v>
      </c>
      <c r="N112" s="5" t="str">
        <f ca="1">IFERROR(__xludf.DUMMYFUNCTION("""COMPUTED_VALUE"""),"0.4/60")</f>
        <v>0.4/60</v>
      </c>
      <c r="O112" s="5" t="str">
        <f ca="1">IFERROR(__xludf.DUMMYFUNCTION("""COMPUTED_VALUE"""),"Yes")</f>
        <v>Yes</v>
      </c>
      <c r="P112" s="5" t="str">
        <f ca="1">IFERROR(__xludf.DUMMYFUNCTION("""COMPUTED_VALUE"""),"Scatter, Exploding Wild, Wild Symbol")</f>
        <v>Scatter, Exploding Wild, Wild Symbol</v>
      </c>
      <c r="Q112" s="7" t="str">
        <f ca="1">IFERROR(__xludf.DUMMYFUNCTION("""COMPUTED_VALUE"""),"https://gameserver-store-client-area.orbionlimited.com/Home/IntegrationGameLaunch/client-area?moneyType=0&amp;gameName=WildHot40BlowDice&amp;platform=desktop&amp;languageCode=eng&amp;currency=EUR")</f>
        <v>https://gameserver-store-client-area.orbionlimited.com/Home/IntegrationGameLaunch/client-area?moneyType=0&amp;gameName=WildHot40BlowDice&amp;platform=desktop&amp;languageCode=eng&amp;currency=EUR</v>
      </c>
      <c r="R112" s="5" t="str">
        <f ca="1">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S1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2" s="5" t="str">
        <f ca="1">IFERROR(__xludf.DUMMYFUNCTION("""COMPUTED_VALUE"""),"Yes")</f>
        <v>Yes</v>
      </c>
      <c r="U112" s="5" t="str">
        <f ca="1">IFERROR(__xludf.DUMMYFUNCTION("""COMPUTED_VALUE"""),"Yes")</f>
        <v>Yes</v>
      </c>
      <c r="V112" s="5" t="str">
        <f ca="1">IFERROR(__xludf.DUMMYFUNCTION("""COMPUTED_VALUE"""),"Yes")</f>
        <v>Yes</v>
      </c>
      <c r="W112" s="5" t="str">
        <f ca="1">IFERROR(__xludf.DUMMYFUNCTION("""COMPUTED_VALUE"""),"Yes")</f>
        <v>Yes</v>
      </c>
      <c r="X112" s="5" t="str">
        <f ca="1">IFERROR(__xludf.DUMMYFUNCTION("""COMPUTED_VALUE"""),"Yes")</f>
        <v>Yes</v>
      </c>
      <c r="Y112" s="5" t="str">
        <f ca="1">IFERROR(__xludf.DUMMYFUNCTION("""COMPUTED_VALUE"""),"Yes")</f>
        <v>Yes</v>
      </c>
      <c r="Z112" s="5" t="str">
        <f ca="1">IFERROR(__xludf.DUMMYFUNCTION("""COMPUTED_VALUE"""),"Yes")</f>
        <v>Yes</v>
      </c>
      <c r="AA112" s="5" t="str">
        <f ca="1">IFERROR(__xludf.DUMMYFUNCTION("""COMPUTED_VALUE"""),"Yes")</f>
        <v>Yes</v>
      </c>
      <c r="AB112" s="5" t="str">
        <f ca="1">IFERROR(__xludf.DUMMYFUNCTION("""COMPUTED_VALUE"""),"Yes")</f>
        <v>Yes</v>
      </c>
      <c r="AC112" s="5" t="str">
        <f ca="1">IFERROR(__xludf.DUMMYFUNCTION("""COMPUTED_VALUE"""),"Yes")</f>
        <v>Yes</v>
      </c>
      <c r="AD112" s="5" t="str">
        <f ca="1">IFERROR(__xludf.DUMMYFUNCTION("""COMPUTED_VALUE"""),"Yes")</f>
        <v>Yes</v>
      </c>
      <c r="AE112" s="5" t="str">
        <f ca="1">IFERROR(__xludf.DUMMYFUNCTION("""COMPUTED_VALUE"""),"Yes")</f>
        <v>Yes</v>
      </c>
      <c r="AF112" s="5" t="str">
        <f ca="1">IFERROR(__xludf.DUMMYFUNCTION("""COMPUTED_VALUE"""),"Yes")</f>
        <v>Yes</v>
      </c>
      <c r="AG112" s="5" t="str">
        <f ca="1">IFERROR(__xludf.DUMMYFUNCTION("""COMPUTED_VALUE"""),"Yes")</f>
        <v>Yes</v>
      </c>
      <c r="AH112" s="5" t="str">
        <f ca="1">IFERROR(__xludf.DUMMYFUNCTION("""COMPUTED_VALUE"""),"Yes")</f>
        <v>Yes</v>
      </c>
      <c r="AI112" s="5" t="str">
        <f ca="1">IFERROR(__xludf.DUMMYFUNCTION("""COMPUTED_VALUE"""),"Yes")</f>
        <v>Yes</v>
      </c>
      <c r="AJ112" s="5" t="str">
        <f ca="1">IFERROR(__xludf.DUMMYFUNCTION("""COMPUTED_VALUE"""),"Yes")</f>
        <v>Yes</v>
      </c>
      <c r="AK112" s="5" t="str">
        <f ca="1">IFERROR(__xludf.DUMMYFUNCTION("""COMPUTED_VALUE"""),"Yes")</f>
        <v>Yes</v>
      </c>
      <c r="AL112" s="5" t="str">
        <f ca="1">IFERROR(__xludf.DUMMYFUNCTION("""COMPUTED_VALUE"""),"Yes")</f>
        <v>Yes</v>
      </c>
      <c r="AM112" s="5" t="str">
        <f ca="1">IFERROR(__xludf.DUMMYFUNCTION("""COMPUTED_VALUE"""),"Yes")</f>
        <v>Yes</v>
      </c>
      <c r="AN112" s="5" t="str">
        <f ca="1">IFERROR(__xludf.DUMMYFUNCTION("""COMPUTED_VALUE"""),"Yes")</f>
        <v>Yes</v>
      </c>
      <c r="AO112" s="5" t="str">
        <f ca="1">IFERROR(__xludf.DUMMYFUNCTION("""COMPUTED_VALUE"""),"Yes")</f>
        <v>Yes</v>
      </c>
      <c r="AP112" s="5" t="str">
        <f ca="1">IFERROR(__xludf.DUMMYFUNCTION("""COMPUTED_VALUE"""),"Yes")</f>
        <v>Yes</v>
      </c>
      <c r="AQ112" s="5" t="str">
        <f ca="1">IFERROR(__xludf.DUMMYFUNCTION("""COMPUTED_VALUE"""),"Yes")</f>
        <v>Yes</v>
      </c>
      <c r="AR112" s="5" t="str">
        <f ca="1">IFERROR(__xludf.DUMMYFUNCTION("""COMPUTED_VALUE"""),"Yes")</f>
        <v>Yes</v>
      </c>
      <c r="AS112" s="5" t="str">
        <f ca="1">IFERROR(__xludf.DUMMYFUNCTION("""COMPUTED_VALUE"""),"Yes")</f>
        <v>Yes</v>
      </c>
      <c r="AT112" s="5" t="str">
        <f ca="1">IFERROR(__xludf.DUMMYFUNCTION("""COMPUTED_VALUE"""),"No")</f>
        <v>No</v>
      </c>
      <c r="AU112" s="5"/>
    </row>
    <row r="113" spans="1:47" x14ac:dyDescent="0.25">
      <c r="A113" s="5" t="str">
        <f ca="1">IFERROR(__xludf.DUMMYFUNCTION("""COMPUTED_VALUE"""),"Foxi")</f>
        <v>Foxi</v>
      </c>
      <c r="B113" s="5" t="str">
        <f ca="1">IFERROR(__xludf.DUMMYFUNCTION("""COMPUTED_VALUE"""),"Fashion Night")</f>
        <v>Fashion Night</v>
      </c>
      <c r="C113" s="5" t="str">
        <f ca="1">IFERROR(__xludf.DUMMYFUNCTION("""COMPUTED_VALUE"""),"FashionNight")</f>
        <v>FashionNight</v>
      </c>
      <c r="D113" s="6">
        <f ca="1">IFERROR(__xludf.DUMMYFUNCTION("""COMPUTED_VALUE"""),45274)</f>
        <v>45274</v>
      </c>
      <c r="E113" s="5" t="str">
        <f ca="1">IFERROR(__xludf.DUMMYFUNCTION("""COMPUTED_VALUE"""),"Slot")</f>
        <v>Slot</v>
      </c>
      <c r="F113" s="5">
        <f ca="1">IFERROR(__xludf.DUMMYFUNCTION("""COMPUTED_VALUE"""),21)</f>
        <v>21</v>
      </c>
      <c r="G113" s="5" t="str">
        <f ca="1">IFERROR(__xludf.DUMMYFUNCTION("""COMPUTED_VALUE"""),"5x3")</f>
        <v>5x3</v>
      </c>
      <c r="H113" s="5" t="str">
        <f ca="1">IFERROR(__xludf.DUMMYFUNCTION("""COMPUTED_VALUE"""),"10")</f>
        <v>10</v>
      </c>
      <c r="I113" s="5" t="str">
        <f ca="1">IFERROR(__xludf.DUMMYFUNCTION("""COMPUTED_VALUE"""),"10")</f>
        <v>10</v>
      </c>
      <c r="J113" s="5" t="str">
        <f ca="1">IFERROR(__xludf.DUMMYFUNCTION("""COMPUTED_VALUE"""),"96.51%")</f>
        <v>96.51%</v>
      </c>
      <c r="K113" s="5" t="str">
        <f ca="1">IFERROR(__xludf.DUMMYFUNCTION("""COMPUTED_VALUE"""),"Medium")</f>
        <v>Medium</v>
      </c>
      <c r="L113" s="5" t="str">
        <f ca="1">IFERROR(__xludf.DUMMYFUNCTION("""COMPUTED_VALUE"""),"17.918%")</f>
        <v>17.918%</v>
      </c>
      <c r="M113" s="5" t="str">
        <f ca="1">IFERROR(__xludf.DUMMYFUNCTION("""COMPUTED_VALUE"""),"x3092")</f>
        <v>x3092</v>
      </c>
      <c r="N113" s="5" t="str">
        <f ca="1">IFERROR(__xludf.DUMMYFUNCTION("""COMPUTED_VALUE"""),"0.1/40")</f>
        <v>0.1/40</v>
      </c>
      <c r="O113" s="5" t="str">
        <f ca="1">IFERROR(__xludf.DUMMYFUNCTION("""COMPUTED_VALUE"""),"Yes")</f>
        <v>Yes</v>
      </c>
      <c r="P113" s="5" t="str">
        <f ca="1">IFERROR(__xludf.DUMMYFUNCTION("""COMPUTED_VALUE"""),"Expanding Wild, Scatter")</f>
        <v>Expanding Wild, Scatter</v>
      </c>
      <c r="Q113" s="7" t="str">
        <f ca="1">IFERROR(__xludf.DUMMYFUNCTION("""COMPUTED_VALUE"""),"https://gameserver-store-client-area.orbionlimited.com/Home/IntegrationGameLaunch/client-area?moneyType=0&amp;gameName=FashionNight&amp;platform=desktop&amp;languageCode=eng&amp;currency=EUR")</f>
        <v>https://gameserver-store-client-area.orbionlimited.com/Home/IntegrationGameLaunch/client-area?moneyType=0&amp;gameName=FashionNight&amp;platform=desktop&amp;languageCode=eng&amp;currency=EUR</v>
      </c>
      <c r="R113" s="5" t="str">
        <f ca="1">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S1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3" s="5" t="str">
        <f ca="1">IFERROR(__xludf.DUMMYFUNCTION("""COMPUTED_VALUE"""),"Yes")</f>
        <v>Yes</v>
      </c>
      <c r="U113" s="5" t="str">
        <f ca="1">IFERROR(__xludf.DUMMYFUNCTION("""COMPUTED_VALUE"""),"Yes")</f>
        <v>Yes</v>
      </c>
      <c r="V113" s="5" t="str">
        <f ca="1">IFERROR(__xludf.DUMMYFUNCTION("""COMPUTED_VALUE"""),"Yes")</f>
        <v>Yes</v>
      </c>
      <c r="W113" s="5" t="str">
        <f ca="1">IFERROR(__xludf.DUMMYFUNCTION("""COMPUTED_VALUE"""),"Yes")</f>
        <v>Yes</v>
      </c>
      <c r="X113" s="5" t="str">
        <f ca="1">IFERROR(__xludf.DUMMYFUNCTION("""COMPUTED_VALUE"""),"Yes")</f>
        <v>Yes</v>
      </c>
      <c r="Y113" s="5" t="str">
        <f ca="1">IFERROR(__xludf.DUMMYFUNCTION("""COMPUTED_VALUE"""),"Yes")</f>
        <v>Yes</v>
      </c>
      <c r="Z113" s="5" t="str">
        <f ca="1">IFERROR(__xludf.DUMMYFUNCTION("""COMPUTED_VALUE"""),"Yes")</f>
        <v>Yes</v>
      </c>
      <c r="AA113" s="5" t="str">
        <f ca="1">IFERROR(__xludf.DUMMYFUNCTION("""COMPUTED_VALUE"""),"Yes")</f>
        <v>Yes</v>
      </c>
      <c r="AB113" s="5" t="str">
        <f ca="1">IFERROR(__xludf.DUMMYFUNCTION("""COMPUTED_VALUE"""),"Yes")</f>
        <v>Yes</v>
      </c>
      <c r="AC113" s="5" t="str">
        <f ca="1">IFERROR(__xludf.DUMMYFUNCTION("""COMPUTED_VALUE"""),"Yes")</f>
        <v>Yes</v>
      </c>
      <c r="AD113" s="5" t="str">
        <f ca="1">IFERROR(__xludf.DUMMYFUNCTION("""COMPUTED_VALUE"""),"Yes")</f>
        <v>Yes</v>
      </c>
      <c r="AE113" s="5" t="str">
        <f ca="1">IFERROR(__xludf.DUMMYFUNCTION("""COMPUTED_VALUE"""),"Yes")</f>
        <v>Yes</v>
      </c>
      <c r="AF113" s="5" t="str">
        <f ca="1">IFERROR(__xludf.DUMMYFUNCTION("""COMPUTED_VALUE"""),"Yes")</f>
        <v>Yes</v>
      </c>
      <c r="AG113" s="5" t="str">
        <f ca="1">IFERROR(__xludf.DUMMYFUNCTION("""COMPUTED_VALUE"""),"Yes")</f>
        <v>Yes</v>
      </c>
      <c r="AH113" s="5" t="str">
        <f ca="1">IFERROR(__xludf.DUMMYFUNCTION("""COMPUTED_VALUE"""),"Yes")</f>
        <v>Yes</v>
      </c>
      <c r="AI113" s="5" t="str">
        <f ca="1">IFERROR(__xludf.DUMMYFUNCTION("""COMPUTED_VALUE"""),"Yes")</f>
        <v>Yes</v>
      </c>
      <c r="AJ113" s="5" t="str">
        <f ca="1">IFERROR(__xludf.DUMMYFUNCTION("""COMPUTED_VALUE"""),"Yes")</f>
        <v>Yes</v>
      </c>
      <c r="AK113" s="5" t="str">
        <f ca="1">IFERROR(__xludf.DUMMYFUNCTION("""COMPUTED_VALUE"""),"Yes")</f>
        <v>Yes</v>
      </c>
      <c r="AL113" s="5" t="str">
        <f ca="1">IFERROR(__xludf.DUMMYFUNCTION("""COMPUTED_VALUE"""),"Yes")</f>
        <v>Yes</v>
      </c>
      <c r="AM113" s="5" t="str">
        <f ca="1">IFERROR(__xludf.DUMMYFUNCTION("""COMPUTED_VALUE"""),"Yes")</f>
        <v>Yes</v>
      </c>
      <c r="AN113" s="5" t="str">
        <f ca="1">IFERROR(__xludf.DUMMYFUNCTION("""COMPUTED_VALUE"""),"Yes")</f>
        <v>Yes</v>
      </c>
      <c r="AO113" s="5" t="str">
        <f ca="1">IFERROR(__xludf.DUMMYFUNCTION("""COMPUTED_VALUE"""),"Yes")</f>
        <v>Yes</v>
      </c>
      <c r="AP113" s="5" t="str">
        <f ca="1">IFERROR(__xludf.DUMMYFUNCTION("""COMPUTED_VALUE"""),"Yes")</f>
        <v>Yes</v>
      </c>
      <c r="AQ113" s="5" t="str">
        <f ca="1">IFERROR(__xludf.DUMMYFUNCTION("""COMPUTED_VALUE"""),"Yes")</f>
        <v>Yes</v>
      </c>
      <c r="AR113" s="5" t="str">
        <f ca="1">IFERROR(__xludf.DUMMYFUNCTION("""COMPUTED_VALUE"""),"Yes")</f>
        <v>Yes</v>
      </c>
      <c r="AS113" s="5" t="str">
        <f ca="1">IFERROR(__xludf.DUMMYFUNCTION("""COMPUTED_VALUE"""),"Yes")</f>
        <v>Yes</v>
      </c>
      <c r="AT113" s="5" t="str">
        <f ca="1">IFERROR(__xludf.DUMMYFUNCTION("""COMPUTED_VALUE"""),"No")</f>
        <v>No</v>
      </c>
      <c r="AU113" s="5"/>
    </row>
    <row r="114" spans="1:47" x14ac:dyDescent="0.25">
      <c r="A114" s="5" t="str">
        <f ca="1">IFERROR(__xludf.DUMMYFUNCTION("""COMPUTED_VALUE"""),"Foxi")</f>
        <v>Foxi</v>
      </c>
      <c r="B114" s="5" t="str">
        <f ca="1">IFERROR(__xludf.DUMMYFUNCTION("""COMPUTED_VALUE"""),"Mayan's Battle")</f>
        <v>Mayan's Battle</v>
      </c>
      <c r="C114" s="5" t="str">
        <f ca="1">IFERROR(__xludf.DUMMYFUNCTION("""COMPUTED_VALUE"""),"MayansBattle")</f>
        <v>MayansBattle</v>
      </c>
      <c r="D114" s="6">
        <f ca="1">IFERROR(__xludf.DUMMYFUNCTION("""COMPUTED_VALUE"""),45357)</f>
        <v>45357</v>
      </c>
      <c r="E114" s="5" t="str">
        <f ca="1">IFERROR(__xludf.DUMMYFUNCTION("""COMPUTED_VALUE"""),"Slot")</f>
        <v>Slot</v>
      </c>
      <c r="F114" s="5">
        <f ca="1">IFERROR(__xludf.DUMMYFUNCTION("""COMPUTED_VALUE"""),24)</f>
        <v>24</v>
      </c>
      <c r="G114" s="5" t="str">
        <f ca="1">IFERROR(__xludf.DUMMYFUNCTION("""COMPUTED_VALUE"""),"5x3")</f>
        <v>5x3</v>
      </c>
      <c r="H114" s="5" t="str">
        <f ca="1">IFERROR(__xludf.DUMMYFUNCTION("""COMPUTED_VALUE"""),"30")</f>
        <v>30</v>
      </c>
      <c r="I114" s="5" t="str">
        <f ca="1">IFERROR(__xludf.DUMMYFUNCTION("""COMPUTED_VALUE"""),"30")</f>
        <v>30</v>
      </c>
      <c r="J114" s="5" t="str">
        <f ca="1">IFERROR(__xludf.DUMMYFUNCTION("""COMPUTED_VALUE"""),"96.477%")</f>
        <v>96.477%</v>
      </c>
      <c r="K114" s="5" t="str">
        <f ca="1">IFERROR(__xludf.DUMMYFUNCTION("""COMPUTED_VALUE"""),"High")</f>
        <v>High</v>
      </c>
      <c r="L114" s="5" t="str">
        <f ca="1">IFERROR(__xludf.DUMMYFUNCTION("""COMPUTED_VALUE"""),"21.29%")</f>
        <v>21.29%</v>
      </c>
      <c r="M114" s="5" t="str">
        <f ca="1">IFERROR(__xludf.DUMMYFUNCTION("""COMPUTED_VALUE"""),"x2752")</f>
        <v>x2752</v>
      </c>
      <c r="N114" s="5" t="str">
        <f ca="1">IFERROR(__xludf.DUMMYFUNCTION("""COMPUTED_VALUE"""),"0.3/30")</f>
        <v>0.3/30</v>
      </c>
      <c r="O114" s="5" t="str">
        <f ca="1">IFERROR(__xludf.DUMMYFUNCTION("""COMPUTED_VALUE"""),"Yes")</f>
        <v>Yes</v>
      </c>
      <c r="P114" s="5" t="str">
        <f ca="1">IFERROR(__xludf.DUMMYFUNCTION("""COMPUTED_VALUE"""),"Bonus Game with Free Spins, Scatter")</f>
        <v>Bonus Game with Free Spins, Scatter</v>
      </c>
      <c r="Q114" s="7" t="str">
        <f ca="1">IFERROR(__xludf.DUMMYFUNCTION("""COMPUTED_VALUE"""),"https://gameserver-store-client-area.orbionlimited.com/Home/IntegrationGameLaunch/client-area?moneyType=0&amp;gameName=MayansBattle&amp;platform=desktop&amp;languageCode=eng&amp;currency=EUR")</f>
        <v>https://gameserver-store-client-area.orbionlimited.com/Home/IntegrationGameLaunch/client-area?moneyType=0&amp;gameName=MayansBattle&amp;platform=desktop&amp;languageCode=eng&amp;currency=EUR</v>
      </c>
      <c r="R114" s="5" t="str">
        <f ca="1">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S1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4" s="5" t="str">
        <f ca="1">IFERROR(__xludf.DUMMYFUNCTION("""COMPUTED_VALUE"""),"Yes")</f>
        <v>Yes</v>
      </c>
      <c r="U114" s="5" t="str">
        <f ca="1">IFERROR(__xludf.DUMMYFUNCTION("""COMPUTED_VALUE"""),"Yes")</f>
        <v>Yes</v>
      </c>
      <c r="V114" s="5" t="str">
        <f ca="1">IFERROR(__xludf.DUMMYFUNCTION("""COMPUTED_VALUE"""),"Yes")</f>
        <v>Yes</v>
      </c>
      <c r="W114" s="5" t="str">
        <f ca="1">IFERROR(__xludf.DUMMYFUNCTION("""COMPUTED_VALUE"""),"Yes")</f>
        <v>Yes</v>
      </c>
      <c r="X114" s="5" t="str">
        <f ca="1">IFERROR(__xludf.DUMMYFUNCTION("""COMPUTED_VALUE"""),"Yes")</f>
        <v>Yes</v>
      </c>
      <c r="Y114" s="5" t="str">
        <f ca="1">IFERROR(__xludf.DUMMYFUNCTION("""COMPUTED_VALUE"""),"Yes")</f>
        <v>Yes</v>
      </c>
      <c r="Z114" s="5" t="str">
        <f ca="1">IFERROR(__xludf.DUMMYFUNCTION("""COMPUTED_VALUE"""),"Yes")</f>
        <v>Yes</v>
      </c>
      <c r="AA114" s="5" t="str">
        <f ca="1">IFERROR(__xludf.DUMMYFUNCTION("""COMPUTED_VALUE"""),"Yes")</f>
        <v>Yes</v>
      </c>
      <c r="AB114" s="5" t="str">
        <f ca="1">IFERROR(__xludf.DUMMYFUNCTION("""COMPUTED_VALUE"""),"Yes")</f>
        <v>Yes</v>
      </c>
      <c r="AC114" s="5" t="str">
        <f ca="1">IFERROR(__xludf.DUMMYFUNCTION("""COMPUTED_VALUE"""),"Yes")</f>
        <v>Yes</v>
      </c>
      <c r="AD114" s="5" t="str">
        <f ca="1">IFERROR(__xludf.DUMMYFUNCTION("""COMPUTED_VALUE"""),"Yes")</f>
        <v>Yes</v>
      </c>
      <c r="AE114" s="5" t="str">
        <f ca="1">IFERROR(__xludf.DUMMYFUNCTION("""COMPUTED_VALUE"""),"Yes")</f>
        <v>Yes</v>
      </c>
      <c r="AF114" s="5" t="str">
        <f ca="1">IFERROR(__xludf.DUMMYFUNCTION("""COMPUTED_VALUE"""),"Yes")</f>
        <v>Yes</v>
      </c>
      <c r="AG114" s="5" t="str">
        <f ca="1">IFERROR(__xludf.DUMMYFUNCTION("""COMPUTED_VALUE"""),"Yes")</f>
        <v>Yes</v>
      </c>
      <c r="AH114" s="5" t="str">
        <f ca="1">IFERROR(__xludf.DUMMYFUNCTION("""COMPUTED_VALUE"""),"Yes")</f>
        <v>Yes</v>
      </c>
      <c r="AI114" s="5" t="str">
        <f ca="1">IFERROR(__xludf.DUMMYFUNCTION("""COMPUTED_VALUE"""),"Yes")</f>
        <v>Yes</v>
      </c>
      <c r="AJ114" s="5" t="str">
        <f ca="1">IFERROR(__xludf.DUMMYFUNCTION("""COMPUTED_VALUE"""),"Yes")</f>
        <v>Yes</v>
      </c>
      <c r="AK114" s="5" t="str">
        <f ca="1">IFERROR(__xludf.DUMMYFUNCTION("""COMPUTED_VALUE"""),"Yes")</f>
        <v>Yes</v>
      </c>
      <c r="AL114" s="5" t="str">
        <f ca="1">IFERROR(__xludf.DUMMYFUNCTION("""COMPUTED_VALUE"""),"Yes")</f>
        <v>Yes</v>
      </c>
      <c r="AM114" s="5" t="str">
        <f ca="1">IFERROR(__xludf.DUMMYFUNCTION("""COMPUTED_VALUE"""),"Yes")</f>
        <v>Yes</v>
      </c>
      <c r="AN114" s="5" t="str">
        <f ca="1">IFERROR(__xludf.DUMMYFUNCTION("""COMPUTED_VALUE"""),"Yes")</f>
        <v>Yes</v>
      </c>
      <c r="AO114" s="5" t="str">
        <f ca="1">IFERROR(__xludf.DUMMYFUNCTION("""COMPUTED_VALUE"""),"Yes")</f>
        <v>Yes</v>
      </c>
      <c r="AP114" s="5" t="str">
        <f ca="1">IFERROR(__xludf.DUMMYFUNCTION("""COMPUTED_VALUE"""),"Yes")</f>
        <v>Yes</v>
      </c>
      <c r="AQ114" s="5" t="str">
        <f ca="1">IFERROR(__xludf.DUMMYFUNCTION("""COMPUTED_VALUE"""),"Yes")</f>
        <v>Yes</v>
      </c>
      <c r="AR114" s="5" t="str">
        <f ca="1">IFERROR(__xludf.DUMMYFUNCTION("""COMPUTED_VALUE"""),"Yes")</f>
        <v>Yes</v>
      </c>
      <c r="AS114" s="5" t="str">
        <f ca="1">IFERROR(__xludf.DUMMYFUNCTION("""COMPUTED_VALUE"""),"Yes")</f>
        <v>Yes</v>
      </c>
      <c r="AT114" s="5" t="str">
        <f ca="1">IFERROR(__xludf.DUMMYFUNCTION("""COMPUTED_VALUE"""),"No")</f>
        <v>No</v>
      </c>
      <c r="AU114" s="5"/>
    </row>
    <row r="115" spans="1:47" x14ac:dyDescent="0.25">
      <c r="A115" s="5" t="str">
        <f ca="1">IFERROR(__xludf.DUMMYFUNCTION("""COMPUTED_VALUE"""),"Foxi")</f>
        <v>Foxi</v>
      </c>
      <c r="B115" s="5" t="str">
        <f ca="1">IFERROR(__xludf.DUMMYFUNCTION("""COMPUTED_VALUE"""),"Wild Craps")</f>
        <v>Wild Craps</v>
      </c>
      <c r="C115" s="5" t="str">
        <f ca="1">IFERROR(__xludf.DUMMYFUNCTION("""COMPUTED_VALUE"""),"WildCraps")</f>
        <v>WildCraps</v>
      </c>
      <c r="D115" s="6">
        <f ca="1">IFERROR(__xludf.DUMMYFUNCTION("""COMPUTED_VALUE"""),45342)</f>
        <v>45342</v>
      </c>
      <c r="E115" s="5" t="str">
        <f ca="1">IFERROR(__xludf.DUMMYFUNCTION("""COMPUTED_VALUE"""),"Slot")</f>
        <v>Slot</v>
      </c>
      <c r="F115" s="5">
        <f ca="1">IFERROR(__xludf.DUMMYFUNCTION("""COMPUTED_VALUE"""),29)</f>
        <v>29</v>
      </c>
      <c r="G115" s="5" t="str">
        <f ca="1">IFERROR(__xludf.DUMMYFUNCTION("""COMPUTED_VALUE"""),"5x3")</f>
        <v>5x3</v>
      </c>
      <c r="H115" s="5" t="str">
        <f ca="1">IFERROR(__xludf.DUMMYFUNCTION("""COMPUTED_VALUE"""),"10")</f>
        <v>10</v>
      </c>
      <c r="I115" s="5" t="str">
        <f ca="1">IFERROR(__xludf.DUMMYFUNCTION("""COMPUTED_VALUE"""),"10")</f>
        <v>10</v>
      </c>
      <c r="J115" s="5" t="str">
        <f ca="1">IFERROR(__xludf.DUMMYFUNCTION("""COMPUTED_VALUE"""),"96.528%")</f>
        <v>96.528%</v>
      </c>
      <c r="K115" s="5" t="str">
        <f ca="1">IFERROR(__xludf.DUMMYFUNCTION("""COMPUTED_VALUE"""),"High")</f>
        <v>High</v>
      </c>
      <c r="L115" s="5" t="str">
        <f ca="1">IFERROR(__xludf.DUMMYFUNCTION("""COMPUTED_VALUE"""),"14.88%")</f>
        <v>14.88%</v>
      </c>
      <c r="M115" s="5" t="str">
        <f ca="1">IFERROR(__xludf.DUMMYFUNCTION("""COMPUTED_VALUE"""),"x4038")</f>
        <v>x4038</v>
      </c>
      <c r="N115" s="5" t="str">
        <f ca="1">IFERROR(__xludf.DUMMYFUNCTION("""COMPUTED_VALUE"""),"0.1/40")</f>
        <v>0.1/40</v>
      </c>
      <c r="O115" s="5" t="str">
        <f ca="1">IFERROR(__xludf.DUMMYFUNCTION("""COMPUTED_VALUE"""),"Yes")</f>
        <v>Yes</v>
      </c>
      <c r="P115" s="5" t="str">
        <f ca="1">IFERROR(__xludf.DUMMYFUNCTION("""COMPUTED_VALUE"""),"Bonus Game with Free Spins, Sticky Wild")</f>
        <v>Bonus Game with Free Spins, Sticky Wild</v>
      </c>
      <c r="Q115" s="7" t="str">
        <f ca="1">IFERROR(__xludf.DUMMYFUNCTION("""COMPUTED_VALUE"""),"https://gameserver-store-client-area.orbionlimited.com/Home/IntegrationGameLaunch/client-area?moneyType=0&amp;gameName=WildCraps&amp;platform=desktop&amp;languageCode=eng&amp;currency=EUR")</f>
        <v>https://gameserver-store-client-area.orbionlimited.com/Home/IntegrationGameLaunch/client-area?moneyType=0&amp;gameName=WildCraps&amp;platform=desktop&amp;languageCode=eng&amp;currency=EUR</v>
      </c>
      <c r="R115" s="5" t="str">
        <f ca="1">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S1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5" s="5" t="str">
        <f ca="1">IFERROR(__xludf.DUMMYFUNCTION("""COMPUTED_VALUE"""),"Yes")</f>
        <v>Yes</v>
      </c>
      <c r="U115" s="5" t="str">
        <f ca="1">IFERROR(__xludf.DUMMYFUNCTION("""COMPUTED_VALUE"""),"Yes")</f>
        <v>Yes</v>
      </c>
      <c r="V115" s="5" t="str">
        <f ca="1">IFERROR(__xludf.DUMMYFUNCTION("""COMPUTED_VALUE"""),"Yes")</f>
        <v>Yes</v>
      </c>
      <c r="W115" s="5" t="str">
        <f ca="1">IFERROR(__xludf.DUMMYFUNCTION("""COMPUTED_VALUE"""),"Yes")</f>
        <v>Yes</v>
      </c>
      <c r="X115" s="5" t="str">
        <f ca="1">IFERROR(__xludf.DUMMYFUNCTION("""COMPUTED_VALUE"""),"Yes")</f>
        <v>Yes</v>
      </c>
      <c r="Y115" s="5" t="str">
        <f ca="1">IFERROR(__xludf.DUMMYFUNCTION("""COMPUTED_VALUE"""),"Yes")</f>
        <v>Yes</v>
      </c>
      <c r="Z115" s="5" t="str">
        <f ca="1">IFERROR(__xludf.DUMMYFUNCTION("""COMPUTED_VALUE"""),"Yes")</f>
        <v>Yes</v>
      </c>
      <c r="AA115" s="5" t="str">
        <f ca="1">IFERROR(__xludf.DUMMYFUNCTION("""COMPUTED_VALUE"""),"Yes")</f>
        <v>Yes</v>
      </c>
      <c r="AB115" s="5" t="str">
        <f ca="1">IFERROR(__xludf.DUMMYFUNCTION("""COMPUTED_VALUE"""),"Yes")</f>
        <v>Yes</v>
      </c>
      <c r="AC115" s="5" t="str">
        <f ca="1">IFERROR(__xludf.DUMMYFUNCTION("""COMPUTED_VALUE"""),"Yes")</f>
        <v>Yes</v>
      </c>
      <c r="AD115" s="5" t="str">
        <f ca="1">IFERROR(__xludf.DUMMYFUNCTION("""COMPUTED_VALUE"""),"Yes")</f>
        <v>Yes</v>
      </c>
      <c r="AE115" s="5" t="str">
        <f ca="1">IFERROR(__xludf.DUMMYFUNCTION("""COMPUTED_VALUE"""),"Yes")</f>
        <v>Yes</v>
      </c>
      <c r="AF115" s="5" t="str">
        <f ca="1">IFERROR(__xludf.DUMMYFUNCTION("""COMPUTED_VALUE"""),"Yes")</f>
        <v>Yes</v>
      </c>
      <c r="AG115" s="5" t="str">
        <f ca="1">IFERROR(__xludf.DUMMYFUNCTION("""COMPUTED_VALUE"""),"Yes")</f>
        <v>Yes</v>
      </c>
      <c r="AH115" s="5" t="str">
        <f ca="1">IFERROR(__xludf.DUMMYFUNCTION("""COMPUTED_VALUE"""),"Yes")</f>
        <v>Yes</v>
      </c>
      <c r="AI115" s="5" t="str">
        <f ca="1">IFERROR(__xludf.DUMMYFUNCTION("""COMPUTED_VALUE"""),"Yes")</f>
        <v>Yes</v>
      </c>
      <c r="AJ115" s="5" t="str">
        <f ca="1">IFERROR(__xludf.DUMMYFUNCTION("""COMPUTED_VALUE"""),"Yes")</f>
        <v>Yes</v>
      </c>
      <c r="AK115" s="5" t="str">
        <f ca="1">IFERROR(__xludf.DUMMYFUNCTION("""COMPUTED_VALUE"""),"Yes")</f>
        <v>Yes</v>
      </c>
      <c r="AL115" s="5" t="str">
        <f ca="1">IFERROR(__xludf.DUMMYFUNCTION("""COMPUTED_VALUE"""),"Yes")</f>
        <v>Yes</v>
      </c>
      <c r="AM115" s="5" t="str">
        <f ca="1">IFERROR(__xludf.DUMMYFUNCTION("""COMPUTED_VALUE"""),"Yes")</f>
        <v>Yes</v>
      </c>
      <c r="AN115" s="5" t="str">
        <f ca="1">IFERROR(__xludf.DUMMYFUNCTION("""COMPUTED_VALUE"""),"Yes")</f>
        <v>Yes</v>
      </c>
      <c r="AO115" s="5" t="str">
        <f ca="1">IFERROR(__xludf.DUMMYFUNCTION("""COMPUTED_VALUE"""),"Yes")</f>
        <v>Yes</v>
      </c>
      <c r="AP115" s="5" t="str">
        <f ca="1">IFERROR(__xludf.DUMMYFUNCTION("""COMPUTED_VALUE"""),"Yes")</f>
        <v>Yes</v>
      </c>
      <c r="AQ115" s="5" t="str">
        <f ca="1">IFERROR(__xludf.DUMMYFUNCTION("""COMPUTED_VALUE"""),"Yes")</f>
        <v>Yes</v>
      </c>
      <c r="AR115" s="5" t="str">
        <f ca="1">IFERROR(__xludf.DUMMYFUNCTION("""COMPUTED_VALUE"""),"Yes")</f>
        <v>Yes</v>
      </c>
      <c r="AS115" s="5" t="str">
        <f ca="1">IFERROR(__xludf.DUMMYFUNCTION("""COMPUTED_VALUE"""),"Yes")</f>
        <v>Yes</v>
      </c>
      <c r="AT115" s="5" t="str">
        <f ca="1">IFERROR(__xludf.DUMMYFUNCTION("""COMPUTED_VALUE"""),"No")</f>
        <v>No</v>
      </c>
      <c r="AU115" s="5"/>
    </row>
    <row r="116" spans="1:47" x14ac:dyDescent="0.25">
      <c r="A116" s="5" t="str">
        <f ca="1">IFERROR(__xludf.DUMMYFUNCTION("""COMPUTED_VALUE"""),"Foxi")</f>
        <v>Foxi</v>
      </c>
      <c r="B116" s="5" t="str">
        <f ca="1">IFERROR(__xludf.DUMMYFUNCTION("""COMPUTED_VALUE"""),"Mr First Cryptonium")</f>
        <v>Mr First Cryptonium</v>
      </c>
      <c r="C116" s="5" t="str">
        <f ca="1">IFERROR(__xludf.DUMMYFUNCTION("""COMPUTED_VALUE"""),"MrFirstCryptonium")</f>
        <v>MrFirstCryptonium</v>
      </c>
      <c r="D116" s="6">
        <f ca="1">IFERROR(__xludf.DUMMYFUNCTION("""COMPUTED_VALUE"""),45258)</f>
        <v>45258</v>
      </c>
      <c r="E116" s="5" t="str">
        <f ca="1">IFERROR(__xludf.DUMMYFUNCTION("""COMPUTED_VALUE"""),"Slot")</f>
        <v>Slot</v>
      </c>
      <c r="F116" s="5">
        <f ca="1">IFERROR(__xludf.DUMMYFUNCTION("""COMPUTED_VALUE"""),24)</f>
        <v>24</v>
      </c>
      <c r="G116" s="5" t="str">
        <f ca="1">IFERROR(__xludf.DUMMYFUNCTION("""COMPUTED_VALUE"""),"5x4")</f>
        <v>5x4</v>
      </c>
      <c r="H116" s="5" t="str">
        <f ca="1">IFERROR(__xludf.DUMMYFUNCTION("""COMPUTED_VALUE"""),"40")</f>
        <v>40</v>
      </c>
      <c r="I116" s="5" t="str">
        <f ca="1">IFERROR(__xludf.DUMMYFUNCTION("""COMPUTED_VALUE"""),"40")</f>
        <v>40</v>
      </c>
      <c r="J116" s="5" t="str">
        <f ca="1">IFERROR(__xludf.DUMMYFUNCTION("""COMPUTED_VALUE"""),"96.291%")</f>
        <v>96.291%</v>
      </c>
      <c r="K116" s="5" t="str">
        <f ca="1">IFERROR(__xludf.DUMMYFUNCTION("""COMPUTED_VALUE"""),"Medium")</f>
        <v>Medium</v>
      </c>
      <c r="L116" s="5" t="str">
        <f ca="1">IFERROR(__xludf.DUMMYFUNCTION("""COMPUTED_VALUE"""),"12.67%")</f>
        <v>12.67%</v>
      </c>
      <c r="M116" s="5" t="str">
        <f ca="1">IFERROR(__xludf.DUMMYFUNCTION("""COMPUTED_VALUE"""),"x1043")</f>
        <v>x1043</v>
      </c>
      <c r="N116" s="5" t="str">
        <f ca="1">IFERROR(__xludf.DUMMYFUNCTION("""COMPUTED_VALUE"""),"0.4/60")</f>
        <v>0.4/60</v>
      </c>
      <c r="O116" s="5" t="str">
        <f ca="1">IFERROR(__xludf.DUMMYFUNCTION("""COMPUTED_VALUE"""),"Yes")</f>
        <v>Yes</v>
      </c>
      <c r="P116" s="5" t="str">
        <f ca="1">IFERROR(__xludf.DUMMYFUNCTION("""COMPUTED_VALUE"""),"Bonus Game with Free Spins, Converting Wild")</f>
        <v>Bonus Game with Free Spins, Converting Wild</v>
      </c>
      <c r="Q116" s="7" t="str">
        <f ca="1">IFERROR(__xludf.DUMMYFUNCTION("""COMPUTED_VALUE"""),"https://gameserver-store-client-area.orbionlimited.com/Home/IntegrationGameLaunch/client-area?moneyType=0&amp;gameName=MrFirstCryptonium&amp;platform=desktop&amp;languageCode=eng&amp;currency=EUR")</f>
        <v>https://gameserver-store-client-area.orbionlimited.com/Home/IntegrationGameLaunch/client-area?moneyType=0&amp;gameName=MrFirstCryptonium&amp;platform=desktop&amp;languageCode=eng&amp;currency=EUR</v>
      </c>
      <c r="R116" s="5" t="str">
        <f ca="1">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S1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6" s="5" t="str">
        <f ca="1">IFERROR(__xludf.DUMMYFUNCTION("""COMPUTED_VALUE"""),"Yes")</f>
        <v>Yes</v>
      </c>
      <c r="U116" s="5" t="str">
        <f ca="1">IFERROR(__xludf.DUMMYFUNCTION("""COMPUTED_VALUE"""),"Yes")</f>
        <v>Yes</v>
      </c>
      <c r="V116" s="5" t="str">
        <f ca="1">IFERROR(__xludf.DUMMYFUNCTION("""COMPUTED_VALUE"""),"Yes")</f>
        <v>Yes</v>
      </c>
      <c r="W116" s="5" t="str">
        <f ca="1">IFERROR(__xludf.DUMMYFUNCTION("""COMPUTED_VALUE"""),"Yes")</f>
        <v>Yes</v>
      </c>
      <c r="X116" s="5" t="str">
        <f ca="1">IFERROR(__xludf.DUMMYFUNCTION("""COMPUTED_VALUE"""),"Yes")</f>
        <v>Yes</v>
      </c>
      <c r="Y116" s="5" t="str">
        <f ca="1">IFERROR(__xludf.DUMMYFUNCTION("""COMPUTED_VALUE"""),"Yes")</f>
        <v>Yes</v>
      </c>
      <c r="Z116" s="5" t="str">
        <f ca="1">IFERROR(__xludf.DUMMYFUNCTION("""COMPUTED_VALUE"""),"Yes")</f>
        <v>Yes</v>
      </c>
      <c r="AA116" s="5" t="str">
        <f ca="1">IFERROR(__xludf.DUMMYFUNCTION("""COMPUTED_VALUE"""),"Yes")</f>
        <v>Yes</v>
      </c>
      <c r="AB116" s="5" t="str">
        <f ca="1">IFERROR(__xludf.DUMMYFUNCTION("""COMPUTED_VALUE"""),"Yes")</f>
        <v>Yes</v>
      </c>
      <c r="AC116" s="5" t="str">
        <f ca="1">IFERROR(__xludf.DUMMYFUNCTION("""COMPUTED_VALUE"""),"Yes")</f>
        <v>Yes</v>
      </c>
      <c r="AD116" s="5" t="str">
        <f ca="1">IFERROR(__xludf.DUMMYFUNCTION("""COMPUTED_VALUE"""),"Yes")</f>
        <v>Yes</v>
      </c>
      <c r="AE116" s="5" t="str">
        <f ca="1">IFERROR(__xludf.DUMMYFUNCTION("""COMPUTED_VALUE"""),"Yes")</f>
        <v>Yes</v>
      </c>
      <c r="AF116" s="5" t="str">
        <f ca="1">IFERROR(__xludf.DUMMYFUNCTION("""COMPUTED_VALUE"""),"Yes")</f>
        <v>Yes</v>
      </c>
      <c r="AG116" s="5" t="str">
        <f ca="1">IFERROR(__xludf.DUMMYFUNCTION("""COMPUTED_VALUE"""),"Yes")</f>
        <v>Yes</v>
      </c>
      <c r="AH116" s="5" t="str">
        <f ca="1">IFERROR(__xludf.DUMMYFUNCTION("""COMPUTED_VALUE"""),"Yes")</f>
        <v>Yes</v>
      </c>
      <c r="AI116" s="5" t="str">
        <f ca="1">IFERROR(__xludf.DUMMYFUNCTION("""COMPUTED_VALUE"""),"Yes")</f>
        <v>Yes</v>
      </c>
      <c r="AJ116" s="5" t="str">
        <f ca="1">IFERROR(__xludf.DUMMYFUNCTION("""COMPUTED_VALUE"""),"Yes")</f>
        <v>Yes</v>
      </c>
      <c r="AK116" s="5" t="str">
        <f ca="1">IFERROR(__xludf.DUMMYFUNCTION("""COMPUTED_VALUE"""),"Yes")</f>
        <v>Yes</v>
      </c>
      <c r="AL116" s="5" t="str">
        <f ca="1">IFERROR(__xludf.DUMMYFUNCTION("""COMPUTED_VALUE"""),"Yes")</f>
        <v>Yes</v>
      </c>
      <c r="AM116" s="5" t="str">
        <f ca="1">IFERROR(__xludf.DUMMYFUNCTION("""COMPUTED_VALUE"""),"Yes")</f>
        <v>Yes</v>
      </c>
      <c r="AN116" s="5" t="str">
        <f ca="1">IFERROR(__xludf.DUMMYFUNCTION("""COMPUTED_VALUE"""),"Yes")</f>
        <v>Yes</v>
      </c>
      <c r="AO116" s="5" t="str">
        <f ca="1">IFERROR(__xludf.DUMMYFUNCTION("""COMPUTED_VALUE"""),"Yes")</f>
        <v>Yes</v>
      </c>
      <c r="AP116" s="5" t="str">
        <f ca="1">IFERROR(__xludf.DUMMYFUNCTION("""COMPUTED_VALUE"""),"Yes")</f>
        <v>Yes</v>
      </c>
      <c r="AQ116" s="5" t="str">
        <f ca="1">IFERROR(__xludf.DUMMYFUNCTION("""COMPUTED_VALUE"""),"Yes")</f>
        <v>Yes</v>
      </c>
      <c r="AR116" s="5" t="str">
        <f ca="1">IFERROR(__xludf.DUMMYFUNCTION("""COMPUTED_VALUE"""),"Yes")</f>
        <v>Yes</v>
      </c>
      <c r="AS116" s="5" t="str">
        <f ca="1">IFERROR(__xludf.DUMMYFUNCTION("""COMPUTED_VALUE"""),"Yes")</f>
        <v>Yes</v>
      </c>
      <c r="AT116" s="5" t="str">
        <f ca="1">IFERROR(__xludf.DUMMYFUNCTION("""COMPUTED_VALUE"""),"No")</f>
        <v>No</v>
      </c>
      <c r="AU116" s="5"/>
    </row>
    <row r="117" spans="1:47" x14ac:dyDescent="0.25">
      <c r="A117" s="5" t="str">
        <f ca="1">IFERROR(__xludf.DUMMYFUNCTION("""COMPUTED_VALUE"""),"Foxi")</f>
        <v>Foxi</v>
      </c>
      <c r="B117" s="5" t="str">
        <f ca="1">IFERROR(__xludf.DUMMYFUNCTION("""COMPUTED_VALUE"""),"Santa's Presents")</f>
        <v>Santa's Presents</v>
      </c>
      <c r="C117" s="5" t="str">
        <f ca="1">IFERROR(__xludf.DUMMYFUNCTION("""COMPUTED_VALUE"""),"SantasPresents")</f>
        <v>SantasPresents</v>
      </c>
      <c r="D117" s="6">
        <f ca="1">IFERROR(__xludf.DUMMYFUNCTION("""COMPUTED_VALUE"""),45252)</f>
        <v>45252</v>
      </c>
      <c r="E117" s="5" t="str">
        <f ca="1">IFERROR(__xludf.DUMMYFUNCTION("""COMPUTED_VALUE"""),"Slot")</f>
        <v>Slot</v>
      </c>
      <c r="F117" s="5">
        <f ca="1">IFERROR(__xludf.DUMMYFUNCTION("""COMPUTED_VALUE"""),17)</f>
        <v>17</v>
      </c>
      <c r="G117" s="5" t="str">
        <f ca="1">IFERROR(__xludf.DUMMYFUNCTION("""COMPUTED_VALUE"""),"5x3")</f>
        <v>5x3</v>
      </c>
      <c r="H117" s="5" t="str">
        <f ca="1">IFERROR(__xludf.DUMMYFUNCTION("""COMPUTED_VALUE"""),"10")</f>
        <v>10</v>
      </c>
      <c r="I117" s="5" t="str">
        <f ca="1">IFERROR(__xludf.DUMMYFUNCTION("""COMPUTED_VALUE"""),"10")</f>
        <v>10</v>
      </c>
      <c r="J117" s="5" t="str">
        <f ca="1">IFERROR(__xludf.DUMMYFUNCTION("""COMPUTED_VALUE"""),"96.5%")</f>
        <v>96.5%</v>
      </c>
      <c r="K117" s="5" t="str">
        <f ca="1">IFERROR(__xludf.DUMMYFUNCTION("""COMPUTED_VALUE"""),"High")</f>
        <v>High</v>
      </c>
      <c r="L117" s="5" t="str">
        <f ca="1">IFERROR(__xludf.DUMMYFUNCTION("""COMPUTED_VALUE"""),"17.014%")</f>
        <v>17.014%</v>
      </c>
      <c r="M117" s="5" t="str">
        <f ca="1">IFERROR(__xludf.DUMMYFUNCTION("""COMPUTED_VALUE"""),"x4614")</f>
        <v>x4614</v>
      </c>
      <c r="N117" s="5" t="str">
        <f ca="1">IFERROR(__xludf.DUMMYFUNCTION("""COMPUTED_VALUE"""),"0.1/40")</f>
        <v>0.1/40</v>
      </c>
      <c r="O117" s="5" t="str">
        <f ca="1">IFERROR(__xludf.DUMMYFUNCTION("""COMPUTED_VALUE"""),"Yes")</f>
        <v>Yes</v>
      </c>
      <c r="P117" s="5" t="str">
        <f ca="1">IFERROR(__xludf.DUMMYFUNCTION("""COMPUTED_VALUE"""),"Bonus Game with Free Spins, Expanding Wild, Win Multiplier")</f>
        <v>Bonus Game with Free Spins, Expanding Wild, Win Multiplier</v>
      </c>
      <c r="Q117" s="7" t="str">
        <f ca="1">IFERROR(__xludf.DUMMYFUNCTION("""COMPUTED_VALUE"""),"https://gameserver-store-client-area.orbionlimited.com/Home/IntegrationGameLaunch/client-area?moneyType=0&amp;gameName=SantasPresents&amp;platform=desktop&amp;languageCode=eng&amp;currency=EUR")</f>
        <v>https://gameserver-store-client-area.orbionlimited.com/Home/IntegrationGameLaunch/client-area?moneyType=0&amp;gameName=SantasPresents&amp;platform=desktop&amp;languageCode=eng&amp;currency=EUR</v>
      </c>
      <c r="R117" s="5" t="str">
        <f ca="1">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S1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7" s="5" t="str">
        <f ca="1">IFERROR(__xludf.DUMMYFUNCTION("""COMPUTED_VALUE"""),"Yes")</f>
        <v>Yes</v>
      </c>
      <c r="U117" s="5" t="str">
        <f ca="1">IFERROR(__xludf.DUMMYFUNCTION("""COMPUTED_VALUE"""),"Yes")</f>
        <v>Yes</v>
      </c>
      <c r="V117" s="5" t="str">
        <f ca="1">IFERROR(__xludf.DUMMYFUNCTION("""COMPUTED_VALUE"""),"Yes")</f>
        <v>Yes</v>
      </c>
      <c r="W117" s="5" t="str">
        <f ca="1">IFERROR(__xludf.DUMMYFUNCTION("""COMPUTED_VALUE"""),"Yes")</f>
        <v>Yes</v>
      </c>
      <c r="X117" s="5" t="str">
        <f ca="1">IFERROR(__xludf.DUMMYFUNCTION("""COMPUTED_VALUE"""),"Yes")</f>
        <v>Yes</v>
      </c>
      <c r="Y117" s="5" t="str">
        <f ca="1">IFERROR(__xludf.DUMMYFUNCTION("""COMPUTED_VALUE"""),"Yes")</f>
        <v>Yes</v>
      </c>
      <c r="Z117" s="5" t="str">
        <f ca="1">IFERROR(__xludf.DUMMYFUNCTION("""COMPUTED_VALUE"""),"Yes")</f>
        <v>Yes</v>
      </c>
      <c r="AA117" s="5" t="str">
        <f ca="1">IFERROR(__xludf.DUMMYFUNCTION("""COMPUTED_VALUE"""),"Yes")</f>
        <v>Yes</v>
      </c>
      <c r="AB117" s="5" t="str">
        <f ca="1">IFERROR(__xludf.DUMMYFUNCTION("""COMPUTED_VALUE"""),"Yes")</f>
        <v>Yes</v>
      </c>
      <c r="AC117" s="5" t="str">
        <f ca="1">IFERROR(__xludf.DUMMYFUNCTION("""COMPUTED_VALUE"""),"Yes")</f>
        <v>Yes</v>
      </c>
      <c r="AD117" s="5" t="str">
        <f ca="1">IFERROR(__xludf.DUMMYFUNCTION("""COMPUTED_VALUE"""),"Yes")</f>
        <v>Yes</v>
      </c>
      <c r="AE117" s="5" t="str">
        <f ca="1">IFERROR(__xludf.DUMMYFUNCTION("""COMPUTED_VALUE"""),"Yes")</f>
        <v>Yes</v>
      </c>
      <c r="AF117" s="5" t="str">
        <f ca="1">IFERROR(__xludf.DUMMYFUNCTION("""COMPUTED_VALUE"""),"Yes")</f>
        <v>Yes</v>
      </c>
      <c r="AG117" s="5" t="str">
        <f ca="1">IFERROR(__xludf.DUMMYFUNCTION("""COMPUTED_VALUE"""),"Yes")</f>
        <v>Yes</v>
      </c>
      <c r="AH117" s="5" t="str">
        <f ca="1">IFERROR(__xludf.DUMMYFUNCTION("""COMPUTED_VALUE"""),"Yes")</f>
        <v>Yes</v>
      </c>
      <c r="AI117" s="5" t="str">
        <f ca="1">IFERROR(__xludf.DUMMYFUNCTION("""COMPUTED_VALUE"""),"Yes")</f>
        <v>Yes</v>
      </c>
      <c r="AJ117" s="5" t="str">
        <f ca="1">IFERROR(__xludf.DUMMYFUNCTION("""COMPUTED_VALUE"""),"Yes")</f>
        <v>Yes</v>
      </c>
      <c r="AK117" s="5" t="str">
        <f ca="1">IFERROR(__xludf.DUMMYFUNCTION("""COMPUTED_VALUE"""),"Yes")</f>
        <v>Yes</v>
      </c>
      <c r="AL117" s="5" t="str">
        <f ca="1">IFERROR(__xludf.DUMMYFUNCTION("""COMPUTED_VALUE"""),"Yes")</f>
        <v>Yes</v>
      </c>
      <c r="AM117" s="5" t="str">
        <f ca="1">IFERROR(__xludf.DUMMYFUNCTION("""COMPUTED_VALUE"""),"Yes")</f>
        <v>Yes</v>
      </c>
      <c r="AN117" s="5" t="str">
        <f ca="1">IFERROR(__xludf.DUMMYFUNCTION("""COMPUTED_VALUE"""),"Yes")</f>
        <v>Yes</v>
      </c>
      <c r="AO117" s="5" t="str">
        <f ca="1">IFERROR(__xludf.DUMMYFUNCTION("""COMPUTED_VALUE"""),"Yes")</f>
        <v>Yes</v>
      </c>
      <c r="AP117" s="5" t="str">
        <f ca="1">IFERROR(__xludf.DUMMYFUNCTION("""COMPUTED_VALUE"""),"Yes")</f>
        <v>Yes</v>
      </c>
      <c r="AQ117" s="5" t="str">
        <f ca="1">IFERROR(__xludf.DUMMYFUNCTION("""COMPUTED_VALUE"""),"Yes")</f>
        <v>Yes</v>
      </c>
      <c r="AR117" s="5" t="str">
        <f ca="1">IFERROR(__xludf.DUMMYFUNCTION("""COMPUTED_VALUE"""),"Yes")</f>
        <v>Yes</v>
      </c>
      <c r="AS117" s="5" t="str">
        <f ca="1">IFERROR(__xludf.DUMMYFUNCTION("""COMPUTED_VALUE"""),"Yes")</f>
        <v>Yes</v>
      </c>
      <c r="AT117" s="5" t="str">
        <f ca="1">IFERROR(__xludf.DUMMYFUNCTION("""COMPUTED_VALUE"""),"No")</f>
        <v>No</v>
      </c>
      <c r="AU117" s="5"/>
    </row>
    <row r="118" spans="1:47" x14ac:dyDescent="0.25">
      <c r="A118" s="5" t="str">
        <f ca="1">IFERROR(__xludf.DUMMYFUNCTION("""COMPUTED_VALUE"""),"Foxi")</f>
        <v>Foxi</v>
      </c>
      <c r="B118" s="5" t="str">
        <f ca="1">IFERROR(__xludf.DUMMYFUNCTION("""COMPUTED_VALUE"""),"Chilli Respin")</f>
        <v>Chilli Respin</v>
      </c>
      <c r="C118" s="5" t="str">
        <f ca="1">IFERROR(__xludf.DUMMYFUNCTION("""COMPUTED_VALUE"""),"ChilliRespin")</f>
        <v>ChilliRespin</v>
      </c>
      <c r="D118" s="6">
        <f ca="1">IFERROR(__xludf.DUMMYFUNCTION("""COMPUTED_VALUE"""),45337)</f>
        <v>45337</v>
      </c>
      <c r="E118" s="5" t="str">
        <f ca="1">IFERROR(__xludf.DUMMYFUNCTION("""COMPUTED_VALUE"""),"Slot")</f>
        <v>Slot</v>
      </c>
      <c r="F118" s="5">
        <f ca="1">IFERROR(__xludf.DUMMYFUNCTION("""COMPUTED_VALUE"""),13.8)</f>
        <v>13.8</v>
      </c>
      <c r="G118" s="5" t="str">
        <f ca="1">IFERROR(__xludf.DUMMYFUNCTION("""COMPUTED_VALUE"""),"3x3")</f>
        <v>3x3</v>
      </c>
      <c r="H118" s="5" t="str">
        <f ca="1">IFERROR(__xludf.DUMMYFUNCTION("""COMPUTED_VALUE"""),"5")</f>
        <v>5</v>
      </c>
      <c r="I118" s="5" t="str">
        <f ca="1">IFERROR(__xludf.DUMMYFUNCTION("""COMPUTED_VALUE"""),"5")</f>
        <v>5</v>
      </c>
      <c r="J118" s="5" t="str">
        <f ca="1">IFERROR(__xludf.DUMMYFUNCTION("""COMPUTED_VALUE"""),"96.5%")</f>
        <v>96.5%</v>
      </c>
      <c r="K118" s="5" t="str">
        <f ca="1">IFERROR(__xludf.DUMMYFUNCTION("""COMPUTED_VALUE"""),"Medium")</f>
        <v>Medium</v>
      </c>
      <c r="L118" s="5" t="str">
        <f ca="1">IFERROR(__xludf.DUMMYFUNCTION("""COMPUTED_VALUE"""),"7.032%")</f>
        <v>7.032%</v>
      </c>
      <c r="M118" s="5" t="str">
        <f ca="1">IFERROR(__xludf.DUMMYFUNCTION("""COMPUTED_VALUE"""),"x1590")</f>
        <v>x1590</v>
      </c>
      <c r="N118" s="5" t="str">
        <f ca="1">IFERROR(__xludf.DUMMYFUNCTION("""COMPUTED_VALUE"""),"0.5/50")</f>
        <v>0.5/50</v>
      </c>
      <c r="O118" s="5" t="str">
        <f ca="1">IFERROR(__xludf.DUMMYFUNCTION("""COMPUTED_VALUE"""),"Yes")</f>
        <v>Yes</v>
      </c>
      <c r="P118" s="5" t="str">
        <f ca="1">IFERROR(__xludf.DUMMYFUNCTION("""COMPUTED_VALUE"""),"Win Multiplier, Sticky Wild, Respin")</f>
        <v>Win Multiplier, Sticky Wild, Respin</v>
      </c>
      <c r="Q118" s="7" t="str">
        <f ca="1">IFERROR(__xludf.DUMMYFUNCTION("""COMPUTED_VALUE"""),"https://gameserver-store-client-area.orbionlimited.com/Home/IntegrationGameLaunch/client-area?moneyType=0&amp;gameName=ChilliRespin&amp;platform=desktop&amp;languageCode=eng&amp;currency=EUR")</f>
        <v>https://gameserver-store-client-area.orbionlimited.com/Home/IntegrationGameLaunch/client-area?moneyType=0&amp;gameName=ChilliRespin&amp;platform=desktop&amp;languageCode=eng&amp;currency=EUR</v>
      </c>
      <c r="R118" s="5" t="str">
        <f ca="1">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S1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8" s="5" t="str">
        <f ca="1">IFERROR(__xludf.DUMMYFUNCTION("""COMPUTED_VALUE"""),"Yes")</f>
        <v>Yes</v>
      </c>
      <c r="U118" s="5" t="str">
        <f ca="1">IFERROR(__xludf.DUMMYFUNCTION("""COMPUTED_VALUE"""),"Yes")</f>
        <v>Yes</v>
      </c>
      <c r="V118" s="5" t="str">
        <f ca="1">IFERROR(__xludf.DUMMYFUNCTION("""COMPUTED_VALUE"""),"Yes")</f>
        <v>Yes</v>
      </c>
      <c r="W118" s="5" t="str">
        <f ca="1">IFERROR(__xludf.DUMMYFUNCTION("""COMPUTED_VALUE"""),"Yes")</f>
        <v>Yes</v>
      </c>
      <c r="X118" s="5" t="str">
        <f ca="1">IFERROR(__xludf.DUMMYFUNCTION("""COMPUTED_VALUE"""),"Yes")</f>
        <v>Yes</v>
      </c>
      <c r="Y118" s="5" t="str">
        <f ca="1">IFERROR(__xludf.DUMMYFUNCTION("""COMPUTED_VALUE"""),"Yes")</f>
        <v>Yes</v>
      </c>
      <c r="Z118" s="5" t="str">
        <f ca="1">IFERROR(__xludf.DUMMYFUNCTION("""COMPUTED_VALUE"""),"Yes")</f>
        <v>Yes</v>
      </c>
      <c r="AA118" s="5" t="str">
        <f ca="1">IFERROR(__xludf.DUMMYFUNCTION("""COMPUTED_VALUE"""),"Yes")</f>
        <v>Yes</v>
      </c>
      <c r="AB118" s="5" t="str">
        <f ca="1">IFERROR(__xludf.DUMMYFUNCTION("""COMPUTED_VALUE"""),"Yes")</f>
        <v>Yes</v>
      </c>
      <c r="AC118" s="5" t="str">
        <f ca="1">IFERROR(__xludf.DUMMYFUNCTION("""COMPUTED_VALUE"""),"Yes")</f>
        <v>Yes</v>
      </c>
      <c r="AD118" s="5" t="str">
        <f ca="1">IFERROR(__xludf.DUMMYFUNCTION("""COMPUTED_VALUE"""),"Yes")</f>
        <v>Yes</v>
      </c>
      <c r="AE118" s="5" t="str">
        <f ca="1">IFERROR(__xludf.DUMMYFUNCTION("""COMPUTED_VALUE"""),"Yes")</f>
        <v>Yes</v>
      </c>
      <c r="AF118" s="5" t="str">
        <f ca="1">IFERROR(__xludf.DUMMYFUNCTION("""COMPUTED_VALUE"""),"Yes")</f>
        <v>Yes</v>
      </c>
      <c r="AG118" s="5" t="str">
        <f ca="1">IFERROR(__xludf.DUMMYFUNCTION("""COMPUTED_VALUE"""),"Yes")</f>
        <v>Yes</v>
      </c>
      <c r="AH118" s="5" t="str">
        <f ca="1">IFERROR(__xludf.DUMMYFUNCTION("""COMPUTED_VALUE"""),"Yes")</f>
        <v>Yes</v>
      </c>
      <c r="AI118" s="5" t="str">
        <f ca="1">IFERROR(__xludf.DUMMYFUNCTION("""COMPUTED_VALUE"""),"Yes")</f>
        <v>Yes</v>
      </c>
      <c r="AJ118" s="5" t="str">
        <f ca="1">IFERROR(__xludf.DUMMYFUNCTION("""COMPUTED_VALUE"""),"Yes")</f>
        <v>Yes</v>
      </c>
      <c r="AK118" s="5" t="str">
        <f ca="1">IFERROR(__xludf.DUMMYFUNCTION("""COMPUTED_VALUE"""),"Yes")</f>
        <v>Yes</v>
      </c>
      <c r="AL118" s="5" t="str">
        <f ca="1">IFERROR(__xludf.DUMMYFUNCTION("""COMPUTED_VALUE"""),"Yes")</f>
        <v>Yes</v>
      </c>
      <c r="AM118" s="5" t="str">
        <f ca="1">IFERROR(__xludf.DUMMYFUNCTION("""COMPUTED_VALUE"""),"Yes")</f>
        <v>Yes</v>
      </c>
      <c r="AN118" s="5" t="str">
        <f ca="1">IFERROR(__xludf.DUMMYFUNCTION("""COMPUTED_VALUE"""),"Yes")</f>
        <v>Yes</v>
      </c>
      <c r="AO118" s="5" t="str">
        <f ca="1">IFERROR(__xludf.DUMMYFUNCTION("""COMPUTED_VALUE"""),"Yes")</f>
        <v>Yes</v>
      </c>
      <c r="AP118" s="5" t="str">
        <f ca="1">IFERROR(__xludf.DUMMYFUNCTION("""COMPUTED_VALUE"""),"Yes")</f>
        <v>Yes</v>
      </c>
      <c r="AQ118" s="5" t="str">
        <f ca="1">IFERROR(__xludf.DUMMYFUNCTION("""COMPUTED_VALUE"""),"Yes")</f>
        <v>Yes</v>
      </c>
      <c r="AR118" s="5" t="str">
        <f ca="1">IFERROR(__xludf.DUMMYFUNCTION("""COMPUTED_VALUE"""),"Yes")</f>
        <v>Yes</v>
      </c>
      <c r="AS118" s="5" t="str">
        <f ca="1">IFERROR(__xludf.DUMMYFUNCTION("""COMPUTED_VALUE"""),"Yes")</f>
        <v>Yes</v>
      </c>
      <c r="AT118" s="5" t="str">
        <f ca="1">IFERROR(__xludf.DUMMYFUNCTION("""COMPUTED_VALUE"""),"No")</f>
        <v>No</v>
      </c>
      <c r="AU118" s="5"/>
    </row>
    <row r="119" spans="1:47" x14ac:dyDescent="0.25">
      <c r="A119" s="5" t="str">
        <f ca="1">IFERROR(__xludf.DUMMYFUNCTION("""COMPUTED_VALUE"""),"Foxi")</f>
        <v>Foxi</v>
      </c>
      <c r="B119" s="5" t="str">
        <f ca="1">IFERROR(__xludf.DUMMYFUNCTION("""COMPUTED_VALUE"""),"Bonus Epic Crown")</f>
        <v>Bonus Epic Crown</v>
      </c>
      <c r="C119" s="5" t="str">
        <f ca="1">IFERROR(__xludf.DUMMYFUNCTION("""COMPUTED_VALUE"""),"BonusEpicCrown")</f>
        <v>BonusEpicCrown</v>
      </c>
      <c r="D119" s="6">
        <f ca="1">IFERROR(__xludf.DUMMYFUNCTION("""COMPUTED_VALUE"""),45379)</f>
        <v>45379</v>
      </c>
      <c r="E119" s="5" t="str">
        <f ca="1">IFERROR(__xludf.DUMMYFUNCTION("""COMPUTED_VALUE"""),"Slot")</f>
        <v>Slot</v>
      </c>
      <c r="F119" s="5">
        <f ca="1">IFERROR(__xludf.DUMMYFUNCTION("""COMPUTED_VALUE"""),18)</f>
        <v>18</v>
      </c>
      <c r="G119" s="5" t="str">
        <f ca="1">IFERROR(__xludf.DUMMYFUNCTION("""COMPUTED_VALUE"""),"5x3")</f>
        <v>5x3</v>
      </c>
      <c r="H119" s="5" t="str">
        <f ca="1">IFERROR(__xludf.DUMMYFUNCTION("""COMPUTED_VALUE"""),"10")</f>
        <v>10</v>
      </c>
      <c r="I119" s="5" t="str">
        <f ca="1">IFERROR(__xludf.DUMMYFUNCTION("""COMPUTED_VALUE"""),"10")</f>
        <v>10</v>
      </c>
      <c r="J119" s="5" t="str">
        <f ca="1">IFERROR(__xludf.DUMMYFUNCTION("""COMPUTED_VALUE"""),"96.533%")</f>
        <v>96.533%</v>
      </c>
      <c r="K119" s="5" t="str">
        <f ca="1">IFERROR(__xludf.DUMMYFUNCTION("""COMPUTED_VALUE"""),"High")</f>
        <v>High</v>
      </c>
      <c r="L119" s="5" t="str">
        <f ca="1">IFERROR(__xludf.DUMMYFUNCTION("""COMPUTED_VALUE"""),"10.61%")</f>
        <v>10.61%</v>
      </c>
      <c r="M119" s="5" t="str">
        <f ca="1">IFERROR(__xludf.DUMMYFUNCTION("""COMPUTED_VALUE"""),"x20108")</f>
        <v>x20108</v>
      </c>
      <c r="N119" s="5" t="str">
        <f ca="1">IFERROR(__xludf.DUMMYFUNCTION("""COMPUTED_VALUE"""),"0.1/40")</f>
        <v>0.1/40</v>
      </c>
      <c r="O119" s="5" t="str">
        <f ca="1">IFERROR(__xludf.DUMMYFUNCTION("""COMPUTED_VALUE"""),"Yes")</f>
        <v>Yes</v>
      </c>
      <c r="P119" s="5" t="str">
        <f ca="1">IFERROR(__xludf.DUMMYFUNCTION("""COMPUTED_VALUE"""),"Extralines, Expanding Wild, Bonus Game with Free Spins, Buy Bonus")</f>
        <v>Extralines, Expanding Wild, Bonus Game with Free Spins, Buy Bonus</v>
      </c>
      <c r="Q119" s="7" t="str">
        <f ca="1">IFERROR(__xludf.DUMMYFUNCTION("""COMPUTED_VALUE"""),"https://gameserver-store-client-area.orbionlimited.com/Home/IntegrationGameLaunch/client-area?moneyType=0&amp;gameName=BonusEpicCrown&amp;platform=desktop&amp;languageCode=eng&amp;currency=EUR")</f>
        <v>https://gameserver-store-client-area.orbionlimited.com/Home/IntegrationGameLaunch/client-area?moneyType=0&amp;gameName=BonusEpicCrown&amp;platform=desktop&amp;languageCode=eng&amp;currency=EUR</v>
      </c>
      <c r="R119" s="5" t="str">
        <f ca="1">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S1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9" s="5" t="str">
        <f ca="1">IFERROR(__xludf.DUMMYFUNCTION("""COMPUTED_VALUE"""),"Yes")</f>
        <v>Yes</v>
      </c>
      <c r="U119" s="5" t="str">
        <f ca="1">IFERROR(__xludf.DUMMYFUNCTION("""COMPUTED_VALUE"""),"Yes")</f>
        <v>Yes</v>
      </c>
      <c r="V119" s="5" t="str">
        <f ca="1">IFERROR(__xludf.DUMMYFUNCTION("""COMPUTED_VALUE"""),"Yes")</f>
        <v>Yes</v>
      </c>
      <c r="W119" s="5" t="str">
        <f ca="1">IFERROR(__xludf.DUMMYFUNCTION("""COMPUTED_VALUE"""),"Yes")</f>
        <v>Yes</v>
      </c>
      <c r="X119" s="5" t="str">
        <f ca="1">IFERROR(__xludf.DUMMYFUNCTION("""COMPUTED_VALUE"""),"Yes")</f>
        <v>Yes</v>
      </c>
      <c r="Y119" s="5" t="str">
        <f ca="1">IFERROR(__xludf.DUMMYFUNCTION("""COMPUTED_VALUE"""),"Yes")</f>
        <v>Yes</v>
      </c>
      <c r="Z119" s="5" t="str">
        <f ca="1">IFERROR(__xludf.DUMMYFUNCTION("""COMPUTED_VALUE"""),"Yes")</f>
        <v>Yes</v>
      </c>
      <c r="AA119" s="5" t="str">
        <f ca="1">IFERROR(__xludf.DUMMYFUNCTION("""COMPUTED_VALUE"""),"Yes")</f>
        <v>Yes</v>
      </c>
      <c r="AB119" s="5" t="str">
        <f ca="1">IFERROR(__xludf.DUMMYFUNCTION("""COMPUTED_VALUE"""),"Yes")</f>
        <v>Yes</v>
      </c>
      <c r="AC119" s="5" t="str">
        <f ca="1">IFERROR(__xludf.DUMMYFUNCTION("""COMPUTED_VALUE"""),"Yes")</f>
        <v>Yes</v>
      </c>
      <c r="AD119" s="5" t="str">
        <f ca="1">IFERROR(__xludf.DUMMYFUNCTION("""COMPUTED_VALUE"""),"Yes")</f>
        <v>Yes</v>
      </c>
      <c r="AE119" s="5" t="str">
        <f ca="1">IFERROR(__xludf.DUMMYFUNCTION("""COMPUTED_VALUE"""),"Yes")</f>
        <v>Yes</v>
      </c>
      <c r="AF119" s="5" t="str">
        <f ca="1">IFERROR(__xludf.DUMMYFUNCTION("""COMPUTED_VALUE"""),"Yes")</f>
        <v>Yes</v>
      </c>
      <c r="AG119" s="5" t="str">
        <f ca="1">IFERROR(__xludf.DUMMYFUNCTION("""COMPUTED_VALUE"""),"Yes")</f>
        <v>Yes</v>
      </c>
      <c r="AH119" s="5" t="str">
        <f ca="1">IFERROR(__xludf.DUMMYFUNCTION("""COMPUTED_VALUE"""),"Yes")</f>
        <v>Yes</v>
      </c>
      <c r="AI119" s="5" t="str">
        <f ca="1">IFERROR(__xludf.DUMMYFUNCTION("""COMPUTED_VALUE"""),"Yes")</f>
        <v>Yes</v>
      </c>
      <c r="AJ119" s="5" t="str">
        <f ca="1">IFERROR(__xludf.DUMMYFUNCTION("""COMPUTED_VALUE"""),"Yes")</f>
        <v>Yes</v>
      </c>
      <c r="AK119" s="5" t="str">
        <f ca="1">IFERROR(__xludf.DUMMYFUNCTION("""COMPUTED_VALUE"""),"Yes")</f>
        <v>Yes</v>
      </c>
      <c r="AL119" s="5" t="str">
        <f ca="1">IFERROR(__xludf.DUMMYFUNCTION("""COMPUTED_VALUE"""),"Yes")</f>
        <v>Yes</v>
      </c>
      <c r="AM119" s="5" t="str">
        <f ca="1">IFERROR(__xludf.DUMMYFUNCTION("""COMPUTED_VALUE"""),"Yes")</f>
        <v>Yes</v>
      </c>
      <c r="AN119" s="5" t="str">
        <f ca="1">IFERROR(__xludf.DUMMYFUNCTION("""COMPUTED_VALUE"""),"Yes")</f>
        <v>Yes</v>
      </c>
      <c r="AO119" s="5" t="str">
        <f ca="1">IFERROR(__xludf.DUMMYFUNCTION("""COMPUTED_VALUE"""),"Yes")</f>
        <v>Yes</v>
      </c>
      <c r="AP119" s="5" t="str">
        <f ca="1">IFERROR(__xludf.DUMMYFUNCTION("""COMPUTED_VALUE"""),"Yes")</f>
        <v>Yes</v>
      </c>
      <c r="AQ119" s="5" t="str">
        <f ca="1">IFERROR(__xludf.DUMMYFUNCTION("""COMPUTED_VALUE"""),"Yes")</f>
        <v>Yes</v>
      </c>
      <c r="AR119" s="5" t="str">
        <f ca="1">IFERROR(__xludf.DUMMYFUNCTION("""COMPUTED_VALUE"""),"Yes")</f>
        <v>Yes</v>
      </c>
      <c r="AS119" s="5" t="str">
        <f ca="1">IFERROR(__xludf.DUMMYFUNCTION("""COMPUTED_VALUE"""),"Yes")</f>
        <v>Yes</v>
      </c>
      <c r="AT119" s="5" t="str">
        <f ca="1">IFERROR(__xludf.DUMMYFUNCTION("""COMPUTED_VALUE"""),"No")</f>
        <v>No</v>
      </c>
      <c r="AU119" s="5"/>
    </row>
    <row r="120" spans="1:47" x14ac:dyDescent="0.25">
      <c r="A120" s="5" t="str">
        <f ca="1">IFERROR(__xludf.DUMMYFUNCTION("""COMPUTED_VALUE"""),"Foxi")</f>
        <v>Foxi</v>
      </c>
      <c r="B120" s="5" t="str">
        <f ca="1">IFERROR(__xludf.DUMMYFUNCTION("""COMPUTED_VALUE"""),"Epic Clover 100")</f>
        <v>Epic Clover 100</v>
      </c>
      <c r="C120" s="5" t="str">
        <f ca="1">IFERROR(__xludf.DUMMYFUNCTION("""COMPUTED_VALUE"""),"EpicClover100")</f>
        <v>EpicClover100</v>
      </c>
      <c r="D120" s="6">
        <f ca="1">IFERROR(__xludf.DUMMYFUNCTION("""COMPUTED_VALUE"""),45316)</f>
        <v>45316</v>
      </c>
      <c r="E120" s="5" t="str">
        <f ca="1">IFERROR(__xludf.DUMMYFUNCTION("""COMPUTED_VALUE"""),"Slot")</f>
        <v>Slot</v>
      </c>
      <c r="F120" s="5">
        <f ca="1">IFERROR(__xludf.DUMMYFUNCTION("""COMPUTED_VALUE"""),26)</f>
        <v>26</v>
      </c>
      <c r="G120" s="5" t="str">
        <f ca="1">IFERROR(__xludf.DUMMYFUNCTION("""COMPUTED_VALUE"""),"5x4")</f>
        <v>5x4</v>
      </c>
      <c r="H120" s="5" t="str">
        <f ca="1">IFERROR(__xludf.DUMMYFUNCTION("""COMPUTED_VALUE"""),"100")</f>
        <v>100</v>
      </c>
      <c r="I120" s="5" t="str">
        <f ca="1">IFERROR(__xludf.DUMMYFUNCTION("""COMPUTED_VALUE"""),"100")</f>
        <v>100</v>
      </c>
      <c r="J120" s="5" t="str">
        <f ca="1">IFERROR(__xludf.DUMMYFUNCTION("""COMPUTED_VALUE"""),"96.502%")</f>
        <v>96.502%</v>
      </c>
      <c r="K120" s="5" t="str">
        <f ca="1">IFERROR(__xludf.DUMMYFUNCTION("""COMPUTED_VALUE"""),"Medium")</f>
        <v>Medium</v>
      </c>
      <c r="L120" s="5" t="str">
        <f ca="1">IFERROR(__xludf.DUMMYFUNCTION("""COMPUTED_VALUE"""),"13.309%")</f>
        <v>13.309%</v>
      </c>
      <c r="M120" s="5" t="str">
        <f ca="1">IFERROR(__xludf.DUMMYFUNCTION("""COMPUTED_VALUE"""),"x3000")</f>
        <v>x3000</v>
      </c>
      <c r="N120" s="5" t="str">
        <f ca="1">IFERROR(__xludf.DUMMYFUNCTION("""COMPUTED_VALUE"""),"1/100")</f>
        <v>1/100</v>
      </c>
      <c r="O120" s="5" t="str">
        <f ca="1">IFERROR(__xludf.DUMMYFUNCTION("""COMPUTED_VALUE"""),"Yes")</f>
        <v>Yes</v>
      </c>
      <c r="P120" s="5" t="str">
        <f ca="1">IFERROR(__xludf.DUMMYFUNCTION("""COMPUTED_VALUE"""),"Scatter, Expanding Wild")</f>
        <v>Scatter, Expanding Wild</v>
      </c>
      <c r="Q120" s="7" t="str">
        <f ca="1">IFERROR(__xludf.DUMMYFUNCTION("""COMPUTED_VALUE"""),"https://gameserver-store-client-area.orbionlimited.com/Home/IntegrationGameLaunch/client-area?moneyType=0&amp;gameName=EpicClover100&amp;platform=desktop&amp;languageCode=eng&amp;currency=EUR")</f>
        <v>https://gameserver-store-client-area.orbionlimited.com/Home/IntegrationGameLaunch/client-area?moneyType=0&amp;gameName=EpicClover100&amp;platform=desktop&amp;languageCode=eng&amp;currency=EUR</v>
      </c>
      <c r="R120" s="5" t="str">
        <f ca="1">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S1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0" s="5" t="str">
        <f ca="1">IFERROR(__xludf.DUMMYFUNCTION("""COMPUTED_VALUE"""),"Yes")</f>
        <v>Yes</v>
      </c>
      <c r="U120" s="5" t="str">
        <f ca="1">IFERROR(__xludf.DUMMYFUNCTION("""COMPUTED_VALUE"""),"Yes")</f>
        <v>Yes</v>
      </c>
      <c r="V120" s="5" t="str">
        <f ca="1">IFERROR(__xludf.DUMMYFUNCTION("""COMPUTED_VALUE"""),"Yes")</f>
        <v>Yes</v>
      </c>
      <c r="W120" s="5" t="str">
        <f ca="1">IFERROR(__xludf.DUMMYFUNCTION("""COMPUTED_VALUE"""),"Yes")</f>
        <v>Yes</v>
      </c>
      <c r="X120" s="5" t="str">
        <f ca="1">IFERROR(__xludf.DUMMYFUNCTION("""COMPUTED_VALUE"""),"Yes")</f>
        <v>Yes</v>
      </c>
      <c r="Y120" s="5" t="str">
        <f ca="1">IFERROR(__xludf.DUMMYFUNCTION("""COMPUTED_VALUE"""),"Yes")</f>
        <v>Yes</v>
      </c>
      <c r="Z120" s="5" t="str">
        <f ca="1">IFERROR(__xludf.DUMMYFUNCTION("""COMPUTED_VALUE"""),"Yes")</f>
        <v>Yes</v>
      </c>
      <c r="AA120" s="5" t="str">
        <f ca="1">IFERROR(__xludf.DUMMYFUNCTION("""COMPUTED_VALUE"""),"Yes")</f>
        <v>Yes</v>
      </c>
      <c r="AB120" s="5" t="str">
        <f ca="1">IFERROR(__xludf.DUMMYFUNCTION("""COMPUTED_VALUE"""),"Yes")</f>
        <v>Yes</v>
      </c>
      <c r="AC120" s="5" t="str">
        <f ca="1">IFERROR(__xludf.DUMMYFUNCTION("""COMPUTED_VALUE"""),"Yes")</f>
        <v>Yes</v>
      </c>
      <c r="AD120" s="5" t="str">
        <f ca="1">IFERROR(__xludf.DUMMYFUNCTION("""COMPUTED_VALUE"""),"Yes")</f>
        <v>Yes</v>
      </c>
      <c r="AE120" s="5" t="str">
        <f ca="1">IFERROR(__xludf.DUMMYFUNCTION("""COMPUTED_VALUE"""),"Yes")</f>
        <v>Yes</v>
      </c>
      <c r="AF120" s="5" t="str">
        <f ca="1">IFERROR(__xludf.DUMMYFUNCTION("""COMPUTED_VALUE"""),"Yes")</f>
        <v>Yes</v>
      </c>
      <c r="AG120" s="5" t="str">
        <f ca="1">IFERROR(__xludf.DUMMYFUNCTION("""COMPUTED_VALUE"""),"Yes")</f>
        <v>Yes</v>
      </c>
      <c r="AH120" s="5" t="str">
        <f ca="1">IFERROR(__xludf.DUMMYFUNCTION("""COMPUTED_VALUE"""),"Yes")</f>
        <v>Yes</v>
      </c>
      <c r="AI120" s="5" t="str">
        <f ca="1">IFERROR(__xludf.DUMMYFUNCTION("""COMPUTED_VALUE"""),"Yes")</f>
        <v>Yes</v>
      </c>
      <c r="AJ120" s="5" t="str">
        <f ca="1">IFERROR(__xludf.DUMMYFUNCTION("""COMPUTED_VALUE"""),"Yes")</f>
        <v>Yes</v>
      </c>
      <c r="AK120" s="5" t="str">
        <f ca="1">IFERROR(__xludf.DUMMYFUNCTION("""COMPUTED_VALUE"""),"Yes")</f>
        <v>Yes</v>
      </c>
      <c r="AL120" s="5" t="str">
        <f ca="1">IFERROR(__xludf.DUMMYFUNCTION("""COMPUTED_VALUE"""),"Yes")</f>
        <v>Yes</v>
      </c>
      <c r="AM120" s="5" t="str">
        <f ca="1">IFERROR(__xludf.DUMMYFUNCTION("""COMPUTED_VALUE"""),"Yes")</f>
        <v>Yes</v>
      </c>
      <c r="AN120" s="5" t="str">
        <f ca="1">IFERROR(__xludf.DUMMYFUNCTION("""COMPUTED_VALUE"""),"Yes")</f>
        <v>Yes</v>
      </c>
      <c r="AO120" s="5" t="str">
        <f ca="1">IFERROR(__xludf.DUMMYFUNCTION("""COMPUTED_VALUE"""),"Yes")</f>
        <v>Yes</v>
      </c>
      <c r="AP120" s="5" t="str">
        <f ca="1">IFERROR(__xludf.DUMMYFUNCTION("""COMPUTED_VALUE"""),"Yes")</f>
        <v>Yes</v>
      </c>
      <c r="AQ120" s="5" t="str">
        <f ca="1">IFERROR(__xludf.DUMMYFUNCTION("""COMPUTED_VALUE"""),"Yes")</f>
        <v>Yes</v>
      </c>
      <c r="AR120" s="5" t="str">
        <f ca="1">IFERROR(__xludf.DUMMYFUNCTION("""COMPUTED_VALUE"""),"Yes")</f>
        <v>Yes</v>
      </c>
      <c r="AS120" s="5" t="str">
        <f ca="1">IFERROR(__xludf.DUMMYFUNCTION("""COMPUTED_VALUE"""),"Yes")</f>
        <v>Yes</v>
      </c>
      <c r="AT120" s="5" t="str">
        <f ca="1">IFERROR(__xludf.DUMMYFUNCTION("""COMPUTED_VALUE"""),"No")</f>
        <v>No</v>
      </c>
      <c r="AU120" s="5"/>
    </row>
    <row r="121" spans="1:47" x14ac:dyDescent="0.25">
      <c r="A121" s="5" t="str">
        <f ca="1">IFERROR(__xludf.DUMMYFUNCTION("""COMPUTED_VALUE"""),"Foxi")</f>
        <v>Foxi</v>
      </c>
      <c r="B121" s="5" t="str">
        <f ca="1">IFERROR(__xludf.DUMMYFUNCTION("""COMPUTED_VALUE"""),"Amazing Joker")</f>
        <v>Amazing Joker</v>
      </c>
      <c r="C121" s="5" t="str">
        <f ca="1">IFERROR(__xludf.DUMMYFUNCTION("""COMPUTED_VALUE"""),"AmazingJoker")</f>
        <v>AmazingJoker</v>
      </c>
      <c r="D121" s="6">
        <f ca="1">IFERROR(__xludf.DUMMYFUNCTION("""COMPUTED_VALUE"""),45391)</f>
        <v>45391</v>
      </c>
      <c r="E121" s="5" t="str">
        <f ca="1">IFERROR(__xludf.DUMMYFUNCTION("""COMPUTED_VALUE"""),"Slot")</f>
        <v>Slot</v>
      </c>
      <c r="F121" s="5">
        <f ca="1">IFERROR(__xludf.DUMMYFUNCTION("""COMPUTED_VALUE"""),23.5)</f>
        <v>23.5</v>
      </c>
      <c r="G121" s="5" t="str">
        <f ca="1">IFERROR(__xludf.DUMMYFUNCTION("""COMPUTED_VALUE"""),"5x4")</f>
        <v>5x4</v>
      </c>
      <c r="H121" s="5" t="str">
        <f ca="1">IFERROR(__xludf.DUMMYFUNCTION("""COMPUTED_VALUE"""),"40")</f>
        <v>40</v>
      </c>
      <c r="I121" s="5" t="str">
        <f ca="1">IFERROR(__xludf.DUMMYFUNCTION("""COMPUTED_VALUE"""),"40")</f>
        <v>40</v>
      </c>
      <c r="J121" s="5" t="str">
        <f ca="1">IFERROR(__xludf.DUMMYFUNCTION("""COMPUTED_VALUE"""),"96.634%")</f>
        <v>96.634%</v>
      </c>
      <c r="K121" s="5" t="str">
        <f ca="1">IFERROR(__xludf.DUMMYFUNCTION("""COMPUTED_VALUE"""),"Medium")</f>
        <v>Medium</v>
      </c>
      <c r="L121" s="5" t="str">
        <f ca="1">IFERROR(__xludf.DUMMYFUNCTION("""COMPUTED_VALUE"""),"12.693%")</f>
        <v>12.693%</v>
      </c>
      <c r="M121" s="5" t="str">
        <f ca="1">IFERROR(__xludf.DUMMYFUNCTION("""COMPUTED_VALUE"""),"x2038")</f>
        <v>x2038</v>
      </c>
      <c r="N121" s="5" t="str">
        <f ca="1">IFERROR(__xludf.DUMMYFUNCTION("""COMPUTED_VALUE"""),"0.4/60")</f>
        <v>0.4/60</v>
      </c>
      <c r="O121" s="5" t="str">
        <f ca="1">IFERROR(__xludf.DUMMYFUNCTION("""COMPUTED_VALUE"""),"Yes")</f>
        <v>Yes</v>
      </c>
      <c r="P121" s="5" t="str">
        <f ca="1">IFERROR(__xludf.DUMMYFUNCTION("""COMPUTED_VALUE"""),"Wild Symbol, Bonus Game with Free Spins")</f>
        <v>Wild Symbol, Bonus Game with Free Spins</v>
      </c>
      <c r="Q121" s="7" t="str">
        <f ca="1">IFERROR(__xludf.DUMMYFUNCTION("""COMPUTED_VALUE"""),"https://gameserver-store-client-area.orbionlimited.com/Home/IntegrationGameLaunch/client-area?moneyType=0&amp;gameName=AmazingJoker&amp;platform=desktop&amp;languageCode=eng&amp;currency=EUR")</f>
        <v>https://gameserver-store-client-area.orbionlimited.com/Home/IntegrationGameLaunch/client-area?moneyType=0&amp;gameName=AmazingJoker&amp;platform=desktop&amp;languageCode=eng&amp;currency=EUR</v>
      </c>
      <c r="R121" s="5" t="str">
        <f ca="1">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S1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1" s="5" t="str">
        <f ca="1">IFERROR(__xludf.DUMMYFUNCTION("""COMPUTED_VALUE"""),"Yes")</f>
        <v>Yes</v>
      </c>
      <c r="U121" s="5" t="str">
        <f ca="1">IFERROR(__xludf.DUMMYFUNCTION("""COMPUTED_VALUE"""),"Yes")</f>
        <v>Yes</v>
      </c>
      <c r="V121" s="5" t="str">
        <f ca="1">IFERROR(__xludf.DUMMYFUNCTION("""COMPUTED_VALUE"""),"Yes")</f>
        <v>Yes</v>
      </c>
      <c r="W121" s="5" t="str">
        <f ca="1">IFERROR(__xludf.DUMMYFUNCTION("""COMPUTED_VALUE"""),"Yes")</f>
        <v>Yes</v>
      </c>
      <c r="X121" s="5" t="str">
        <f ca="1">IFERROR(__xludf.DUMMYFUNCTION("""COMPUTED_VALUE"""),"Yes")</f>
        <v>Yes</v>
      </c>
      <c r="Y121" s="5" t="str">
        <f ca="1">IFERROR(__xludf.DUMMYFUNCTION("""COMPUTED_VALUE"""),"Yes")</f>
        <v>Yes</v>
      </c>
      <c r="Z121" s="5" t="str">
        <f ca="1">IFERROR(__xludf.DUMMYFUNCTION("""COMPUTED_VALUE"""),"Yes")</f>
        <v>Yes</v>
      </c>
      <c r="AA121" s="5" t="str">
        <f ca="1">IFERROR(__xludf.DUMMYFUNCTION("""COMPUTED_VALUE"""),"Yes")</f>
        <v>Yes</v>
      </c>
      <c r="AB121" s="5" t="str">
        <f ca="1">IFERROR(__xludf.DUMMYFUNCTION("""COMPUTED_VALUE"""),"Yes")</f>
        <v>Yes</v>
      </c>
      <c r="AC121" s="5" t="str">
        <f ca="1">IFERROR(__xludf.DUMMYFUNCTION("""COMPUTED_VALUE"""),"Yes")</f>
        <v>Yes</v>
      </c>
      <c r="AD121" s="5" t="str">
        <f ca="1">IFERROR(__xludf.DUMMYFUNCTION("""COMPUTED_VALUE"""),"Yes")</f>
        <v>Yes</v>
      </c>
      <c r="AE121" s="5" t="str">
        <f ca="1">IFERROR(__xludf.DUMMYFUNCTION("""COMPUTED_VALUE"""),"Yes")</f>
        <v>Yes</v>
      </c>
      <c r="AF121" s="5" t="str">
        <f ca="1">IFERROR(__xludf.DUMMYFUNCTION("""COMPUTED_VALUE"""),"Yes")</f>
        <v>Yes</v>
      </c>
      <c r="AG121" s="5" t="str">
        <f ca="1">IFERROR(__xludf.DUMMYFUNCTION("""COMPUTED_VALUE"""),"Yes")</f>
        <v>Yes</v>
      </c>
      <c r="AH121" s="5" t="str">
        <f ca="1">IFERROR(__xludf.DUMMYFUNCTION("""COMPUTED_VALUE"""),"Yes")</f>
        <v>Yes</v>
      </c>
      <c r="AI121" s="5" t="str">
        <f ca="1">IFERROR(__xludf.DUMMYFUNCTION("""COMPUTED_VALUE"""),"Yes")</f>
        <v>Yes</v>
      </c>
      <c r="AJ121" s="5" t="str">
        <f ca="1">IFERROR(__xludf.DUMMYFUNCTION("""COMPUTED_VALUE"""),"Yes")</f>
        <v>Yes</v>
      </c>
      <c r="AK121" s="5" t="str">
        <f ca="1">IFERROR(__xludf.DUMMYFUNCTION("""COMPUTED_VALUE"""),"Yes")</f>
        <v>Yes</v>
      </c>
      <c r="AL121" s="5" t="str">
        <f ca="1">IFERROR(__xludf.DUMMYFUNCTION("""COMPUTED_VALUE"""),"Yes")</f>
        <v>Yes</v>
      </c>
      <c r="AM121" s="5" t="str">
        <f ca="1">IFERROR(__xludf.DUMMYFUNCTION("""COMPUTED_VALUE"""),"Yes")</f>
        <v>Yes</v>
      </c>
      <c r="AN121" s="5" t="str">
        <f ca="1">IFERROR(__xludf.DUMMYFUNCTION("""COMPUTED_VALUE"""),"Yes")</f>
        <v>Yes</v>
      </c>
      <c r="AO121" s="5" t="str">
        <f ca="1">IFERROR(__xludf.DUMMYFUNCTION("""COMPUTED_VALUE"""),"Yes")</f>
        <v>Yes</v>
      </c>
      <c r="AP121" s="5" t="str">
        <f ca="1">IFERROR(__xludf.DUMMYFUNCTION("""COMPUTED_VALUE"""),"Yes")</f>
        <v>Yes</v>
      </c>
      <c r="AQ121" s="5" t="str">
        <f ca="1">IFERROR(__xludf.DUMMYFUNCTION("""COMPUTED_VALUE"""),"Yes")</f>
        <v>Yes</v>
      </c>
      <c r="AR121" s="5" t="str">
        <f ca="1">IFERROR(__xludf.DUMMYFUNCTION("""COMPUTED_VALUE"""),"Yes")</f>
        <v>Yes</v>
      </c>
      <c r="AS121" s="5" t="str">
        <f ca="1">IFERROR(__xludf.DUMMYFUNCTION("""COMPUTED_VALUE"""),"Yes")</f>
        <v>Yes</v>
      </c>
      <c r="AT121" s="5" t="str">
        <f ca="1">IFERROR(__xludf.DUMMYFUNCTION("""COMPUTED_VALUE"""),"No")</f>
        <v>No</v>
      </c>
      <c r="AU121" s="5"/>
    </row>
    <row r="122" spans="1:47" x14ac:dyDescent="0.25">
      <c r="A122" s="5" t="str">
        <f ca="1">IFERROR(__xludf.DUMMYFUNCTION("""COMPUTED_VALUE"""),"Foxi")</f>
        <v>Foxi</v>
      </c>
      <c r="B122" s="5" t="str">
        <f ca="1">IFERROR(__xludf.DUMMYFUNCTION("""COMPUTED_VALUE"""),"Triple Fields of Luck")</f>
        <v>Triple Fields of Luck</v>
      </c>
      <c r="C122" s="5" t="str">
        <f ca="1">IFERROR(__xludf.DUMMYFUNCTION("""COMPUTED_VALUE"""),"TripleFieldsOfLuck")</f>
        <v>TripleFieldsOfLuck</v>
      </c>
      <c r="D122" s="6">
        <f ca="1">IFERROR(__xludf.DUMMYFUNCTION("""COMPUTED_VALUE"""),45366)</f>
        <v>45366</v>
      </c>
      <c r="E122" s="5" t="str">
        <f ca="1">IFERROR(__xludf.DUMMYFUNCTION("""COMPUTED_VALUE"""),"Slot")</f>
        <v>Slot</v>
      </c>
      <c r="F122" s="5">
        <f ca="1">IFERROR(__xludf.DUMMYFUNCTION("""COMPUTED_VALUE"""),23)</f>
        <v>23</v>
      </c>
      <c r="G122" s="5" t="str">
        <f ca="1">IFERROR(__xludf.DUMMYFUNCTION("""COMPUTED_VALUE"""),"3x3")</f>
        <v>3x3</v>
      </c>
      <c r="H122" s="5" t="str">
        <f ca="1">IFERROR(__xludf.DUMMYFUNCTION("""COMPUTED_VALUE"""),"5")</f>
        <v>5</v>
      </c>
      <c r="I122" s="5" t="str">
        <f ca="1">IFERROR(__xludf.DUMMYFUNCTION("""COMPUTED_VALUE"""),"5")</f>
        <v>5</v>
      </c>
      <c r="J122" s="5" t="str">
        <f ca="1">IFERROR(__xludf.DUMMYFUNCTION("""COMPUTED_VALUE"""),"96.479%")</f>
        <v>96.479%</v>
      </c>
      <c r="K122" s="5" t="str">
        <f ca="1">IFERROR(__xludf.DUMMYFUNCTION("""COMPUTED_VALUE"""),"Medium")</f>
        <v>Medium</v>
      </c>
      <c r="L122" s="5" t="str">
        <f ca="1">IFERROR(__xludf.DUMMYFUNCTION("""COMPUTED_VALUE"""),"9.94%")</f>
        <v>9.94%</v>
      </c>
      <c r="M122" s="5" t="str">
        <f ca="1">IFERROR(__xludf.DUMMYFUNCTION("""COMPUTED_VALUE"""),"x200")</f>
        <v>x200</v>
      </c>
      <c r="N122" s="5" t="str">
        <f ca="1">IFERROR(__xludf.DUMMYFUNCTION("""COMPUTED_VALUE"""),"0.05/30")</f>
        <v>0.05/30</v>
      </c>
      <c r="O122" s="5" t="str">
        <f ca="1">IFERROR(__xludf.DUMMYFUNCTION("""COMPUTED_VALUE"""),"Yes")</f>
        <v>Yes</v>
      </c>
      <c r="P122" s="5" t="str">
        <f ca="1">IFERROR(__xludf.DUMMYFUNCTION("""COMPUTED_VALUE"""),"Expanding Wild")</f>
        <v>Expanding Wild</v>
      </c>
      <c r="Q122" s="7" t="str">
        <f ca="1">IFERROR(__xludf.DUMMYFUNCTION("""COMPUTED_VALUE"""),"https://gameserver-store-client-area.orbionlimited.com/Home/IntegrationGameLaunch/client-area?moneyType=0&amp;gameName=TripleFieldsOfLuck&amp;platform=desktop&amp;languageCode=eng&amp;currency=EUR")</f>
        <v>https://gameserver-store-client-area.orbionlimited.com/Home/IntegrationGameLaunch/client-area?moneyType=0&amp;gameName=TripleFieldsOfLuck&amp;platform=desktop&amp;languageCode=eng&amp;currency=EUR</v>
      </c>
      <c r="R122" s="5" t="str">
        <f ca="1">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S1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2" s="5" t="str">
        <f ca="1">IFERROR(__xludf.DUMMYFUNCTION("""COMPUTED_VALUE"""),"Yes")</f>
        <v>Yes</v>
      </c>
      <c r="U122" s="5" t="str">
        <f ca="1">IFERROR(__xludf.DUMMYFUNCTION("""COMPUTED_VALUE"""),"Yes")</f>
        <v>Yes</v>
      </c>
      <c r="V122" s="5" t="str">
        <f ca="1">IFERROR(__xludf.DUMMYFUNCTION("""COMPUTED_VALUE"""),"Yes")</f>
        <v>Yes</v>
      </c>
      <c r="W122" s="5" t="str">
        <f ca="1">IFERROR(__xludf.DUMMYFUNCTION("""COMPUTED_VALUE"""),"Yes")</f>
        <v>Yes</v>
      </c>
      <c r="X122" s="5" t="str">
        <f ca="1">IFERROR(__xludf.DUMMYFUNCTION("""COMPUTED_VALUE"""),"Yes")</f>
        <v>Yes</v>
      </c>
      <c r="Y122" s="5" t="str">
        <f ca="1">IFERROR(__xludf.DUMMYFUNCTION("""COMPUTED_VALUE"""),"Yes")</f>
        <v>Yes</v>
      </c>
      <c r="Z122" s="5" t="str">
        <f ca="1">IFERROR(__xludf.DUMMYFUNCTION("""COMPUTED_VALUE"""),"Yes")</f>
        <v>Yes</v>
      </c>
      <c r="AA122" s="5" t="str">
        <f ca="1">IFERROR(__xludf.DUMMYFUNCTION("""COMPUTED_VALUE"""),"Yes")</f>
        <v>Yes</v>
      </c>
      <c r="AB122" s="5" t="str">
        <f ca="1">IFERROR(__xludf.DUMMYFUNCTION("""COMPUTED_VALUE"""),"Yes")</f>
        <v>Yes</v>
      </c>
      <c r="AC122" s="5" t="str">
        <f ca="1">IFERROR(__xludf.DUMMYFUNCTION("""COMPUTED_VALUE"""),"Yes")</f>
        <v>Yes</v>
      </c>
      <c r="AD122" s="5" t="str">
        <f ca="1">IFERROR(__xludf.DUMMYFUNCTION("""COMPUTED_VALUE"""),"Yes")</f>
        <v>Yes</v>
      </c>
      <c r="AE122" s="5" t="str">
        <f ca="1">IFERROR(__xludf.DUMMYFUNCTION("""COMPUTED_VALUE"""),"Yes")</f>
        <v>Yes</v>
      </c>
      <c r="AF122" s="5" t="str">
        <f ca="1">IFERROR(__xludf.DUMMYFUNCTION("""COMPUTED_VALUE"""),"Yes")</f>
        <v>Yes</v>
      </c>
      <c r="AG122" s="5" t="str">
        <f ca="1">IFERROR(__xludf.DUMMYFUNCTION("""COMPUTED_VALUE"""),"Yes")</f>
        <v>Yes</v>
      </c>
      <c r="AH122" s="5" t="str">
        <f ca="1">IFERROR(__xludf.DUMMYFUNCTION("""COMPUTED_VALUE"""),"Yes")</f>
        <v>Yes</v>
      </c>
      <c r="AI122" s="5" t="str">
        <f ca="1">IFERROR(__xludf.DUMMYFUNCTION("""COMPUTED_VALUE"""),"Yes")</f>
        <v>Yes</v>
      </c>
      <c r="AJ122" s="5" t="str">
        <f ca="1">IFERROR(__xludf.DUMMYFUNCTION("""COMPUTED_VALUE"""),"Yes")</f>
        <v>Yes</v>
      </c>
      <c r="AK122" s="5" t="str">
        <f ca="1">IFERROR(__xludf.DUMMYFUNCTION("""COMPUTED_VALUE"""),"Yes")</f>
        <v>Yes</v>
      </c>
      <c r="AL122" s="5" t="str">
        <f ca="1">IFERROR(__xludf.DUMMYFUNCTION("""COMPUTED_VALUE"""),"Yes")</f>
        <v>Yes</v>
      </c>
      <c r="AM122" s="5" t="str">
        <f ca="1">IFERROR(__xludf.DUMMYFUNCTION("""COMPUTED_VALUE"""),"Yes")</f>
        <v>Yes</v>
      </c>
      <c r="AN122" s="5" t="str">
        <f ca="1">IFERROR(__xludf.DUMMYFUNCTION("""COMPUTED_VALUE"""),"Yes")</f>
        <v>Yes</v>
      </c>
      <c r="AO122" s="5" t="str">
        <f ca="1">IFERROR(__xludf.DUMMYFUNCTION("""COMPUTED_VALUE"""),"Yes")</f>
        <v>Yes</v>
      </c>
      <c r="AP122" s="5" t="str">
        <f ca="1">IFERROR(__xludf.DUMMYFUNCTION("""COMPUTED_VALUE"""),"Yes")</f>
        <v>Yes</v>
      </c>
      <c r="AQ122" s="5" t="str">
        <f ca="1">IFERROR(__xludf.DUMMYFUNCTION("""COMPUTED_VALUE"""),"Yes")</f>
        <v>Yes</v>
      </c>
      <c r="AR122" s="5" t="str">
        <f ca="1">IFERROR(__xludf.DUMMYFUNCTION("""COMPUTED_VALUE"""),"Yes")</f>
        <v>Yes</v>
      </c>
      <c r="AS122" s="5" t="str">
        <f ca="1">IFERROR(__xludf.DUMMYFUNCTION("""COMPUTED_VALUE"""),"Yes")</f>
        <v>Yes</v>
      </c>
      <c r="AT122" s="5" t="str">
        <f ca="1">IFERROR(__xludf.DUMMYFUNCTION("""COMPUTED_VALUE"""),"No")</f>
        <v>No</v>
      </c>
      <c r="AU122" s="5"/>
    </row>
    <row r="123" spans="1:47" x14ac:dyDescent="0.25">
      <c r="A123" s="5" t="str">
        <f ca="1">IFERROR(__xludf.DUMMYFUNCTION("""COMPUTED_VALUE"""),"Foxi")</f>
        <v>Foxi</v>
      </c>
      <c r="B123" s="5" t="str">
        <f ca="1">IFERROR(__xludf.DUMMYFUNCTION("""COMPUTED_VALUE"""),"Wild 81")</f>
        <v>Wild 81</v>
      </c>
      <c r="C123" s="5" t="str">
        <f ca="1">IFERROR(__xludf.DUMMYFUNCTION("""COMPUTED_VALUE"""),"Wild81")</f>
        <v>Wild81</v>
      </c>
      <c r="D123" s="6">
        <f ca="1">IFERROR(__xludf.DUMMYFUNCTION("""COMPUTED_VALUE"""),45407)</f>
        <v>45407</v>
      </c>
      <c r="E123" s="5" t="str">
        <f ca="1">IFERROR(__xludf.DUMMYFUNCTION("""COMPUTED_VALUE"""),"Slot")</f>
        <v>Slot</v>
      </c>
      <c r="F123" s="5">
        <f ca="1">IFERROR(__xludf.DUMMYFUNCTION("""COMPUTED_VALUE"""),13.3)</f>
        <v>13.3</v>
      </c>
      <c r="G123" s="5" t="str">
        <f ca="1">IFERROR(__xludf.DUMMYFUNCTION("""COMPUTED_VALUE"""),"4x3")</f>
        <v>4x3</v>
      </c>
      <c r="H123" s="5" t="str">
        <f ca="1">IFERROR(__xludf.DUMMYFUNCTION("""COMPUTED_VALUE"""),"81")</f>
        <v>81</v>
      </c>
      <c r="I123" s="5" t="str">
        <f ca="1">IFERROR(__xludf.DUMMYFUNCTION("""COMPUTED_VALUE"""),"81")</f>
        <v>81</v>
      </c>
      <c r="J123" s="5" t="str">
        <f ca="1">IFERROR(__xludf.DUMMYFUNCTION("""COMPUTED_VALUE"""),"96.55%")</f>
        <v>96.55%</v>
      </c>
      <c r="K123" s="5" t="str">
        <f ca="1">IFERROR(__xludf.DUMMYFUNCTION("""COMPUTED_VALUE"""),"High")</f>
        <v>High</v>
      </c>
      <c r="L123" s="5" t="str">
        <f ca="1">IFERROR(__xludf.DUMMYFUNCTION("""COMPUTED_VALUE"""),"5.1%")</f>
        <v>5.1%</v>
      </c>
      <c r="M123" s="5" t="str">
        <f ca="1">IFERROR(__xludf.DUMMYFUNCTION("""COMPUTED_VALUE"""),"x3200")</f>
        <v>x3200</v>
      </c>
      <c r="N123" s="5" t="str">
        <f ca="1">IFERROR(__xludf.DUMMYFUNCTION("""COMPUTED_VALUE"""),"0.05/20")</f>
        <v>0.05/20</v>
      </c>
      <c r="O123" s="5" t="str">
        <f ca="1">IFERROR(__xludf.DUMMYFUNCTION("""COMPUTED_VALUE"""),"Yes")</f>
        <v>Yes</v>
      </c>
      <c r="P123" s="5" t="str">
        <f ca="1">IFERROR(__xludf.DUMMYFUNCTION("""COMPUTED_VALUE"""),"Wild Multiplier, Scatter")</f>
        <v>Wild Multiplier, Scatter</v>
      </c>
      <c r="Q123" s="7" t="str">
        <f ca="1">IFERROR(__xludf.DUMMYFUNCTION("""COMPUTED_VALUE"""),"https://gameserver-store-client-area.orbionlimited.com/Home/IntegrationGameLaunch/client-area?moneyType=0&amp;gameName=Wild81&amp;platform=desktop&amp;languageCode=eng&amp;currency=EUR")</f>
        <v>https://gameserver-store-client-area.orbionlimited.com/Home/IntegrationGameLaunch/client-area?moneyType=0&amp;gameName=Wild81&amp;platform=desktop&amp;languageCode=eng&amp;currency=EUR</v>
      </c>
      <c r="R123" s="5" t="str">
        <f ca="1">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S1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3" s="5" t="str">
        <f ca="1">IFERROR(__xludf.DUMMYFUNCTION("""COMPUTED_VALUE"""),"Yes")</f>
        <v>Yes</v>
      </c>
      <c r="U123" s="5" t="str">
        <f ca="1">IFERROR(__xludf.DUMMYFUNCTION("""COMPUTED_VALUE"""),"Yes")</f>
        <v>Yes</v>
      </c>
      <c r="V123" s="5" t="str">
        <f ca="1">IFERROR(__xludf.DUMMYFUNCTION("""COMPUTED_VALUE"""),"Yes")</f>
        <v>Yes</v>
      </c>
      <c r="W123" s="5" t="str">
        <f ca="1">IFERROR(__xludf.DUMMYFUNCTION("""COMPUTED_VALUE"""),"Yes")</f>
        <v>Yes</v>
      </c>
      <c r="X123" s="5" t="str">
        <f ca="1">IFERROR(__xludf.DUMMYFUNCTION("""COMPUTED_VALUE"""),"Yes")</f>
        <v>Yes</v>
      </c>
      <c r="Y123" s="5" t="str">
        <f ca="1">IFERROR(__xludf.DUMMYFUNCTION("""COMPUTED_VALUE"""),"Yes")</f>
        <v>Yes</v>
      </c>
      <c r="Z123" s="5" t="str">
        <f ca="1">IFERROR(__xludf.DUMMYFUNCTION("""COMPUTED_VALUE"""),"Yes")</f>
        <v>Yes</v>
      </c>
      <c r="AA123" s="5" t="str">
        <f ca="1">IFERROR(__xludf.DUMMYFUNCTION("""COMPUTED_VALUE"""),"Yes")</f>
        <v>Yes</v>
      </c>
      <c r="AB123" s="5" t="str">
        <f ca="1">IFERROR(__xludf.DUMMYFUNCTION("""COMPUTED_VALUE"""),"Yes")</f>
        <v>Yes</v>
      </c>
      <c r="AC123" s="5" t="str">
        <f ca="1">IFERROR(__xludf.DUMMYFUNCTION("""COMPUTED_VALUE"""),"Yes")</f>
        <v>Yes</v>
      </c>
      <c r="AD123" s="5" t="str">
        <f ca="1">IFERROR(__xludf.DUMMYFUNCTION("""COMPUTED_VALUE"""),"Yes")</f>
        <v>Yes</v>
      </c>
      <c r="AE123" s="5" t="str">
        <f ca="1">IFERROR(__xludf.DUMMYFUNCTION("""COMPUTED_VALUE"""),"Yes")</f>
        <v>Yes</v>
      </c>
      <c r="AF123" s="5" t="str">
        <f ca="1">IFERROR(__xludf.DUMMYFUNCTION("""COMPUTED_VALUE"""),"Yes")</f>
        <v>Yes</v>
      </c>
      <c r="AG123" s="5" t="str">
        <f ca="1">IFERROR(__xludf.DUMMYFUNCTION("""COMPUTED_VALUE"""),"Yes")</f>
        <v>Yes</v>
      </c>
      <c r="AH123" s="5" t="str">
        <f ca="1">IFERROR(__xludf.DUMMYFUNCTION("""COMPUTED_VALUE"""),"Yes")</f>
        <v>Yes</v>
      </c>
      <c r="AI123" s="5" t="str">
        <f ca="1">IFERROR(__xludf.DUMMYFUNCTION("""COMPUTED_VALUE"""),"Yes")</f>
        <v>Yes</v>
      </c>
      <c r="AJ123" s="5" t="str">
        <f ca="1">IFERROR(__xludf.DUMMYFUNCTION("""COMPUTED_VALUE"""),"Yes")</f>
        <v>Yes</v>
      </c>
      <c r="AK123" s="5" t="str">
        <f ca="1">IFERROR(__xludf.DUMMYFUNCTION("""COMPUTED_VALUE"""),"Yes")</f>
        <v>Yes</v>
      </c>
      <c r="AL123" s="5" t="str">
        <f ca="1">IFERROR(__xludf.DUMMYFUNCTION("""COMPUTED_VALUE"""),"Yes")</f>
        <v>Yes</v>
      </c>
      <c r="AM123" s="5" t="str">
        <f ca="1">IFERROR(__xludf.DUMMYFUNCTION("""COMPUTED_VALUE"""),"Yes")</f>
        <v>Yes</v>
      </c>
      <c r="AN123" s="5" t="str">
        <f ca="1">IFERROR(__xludf.DUMMYFUNCTION("""COMPUTED_VALUE"""),"Yes")</f>
        <v>Yes</v>
      </c>
      <c r="AO123" s="5" t="str">
        <f ca="1">IFERROR(__xludf.DUMMYFUNCTION("""COMPUTED_VALUE"""),"Yes")</f>
        <v>Yes</v>
      </c>
      <c r="AP123" s="5" t="str">
        <f ca="1">IFERROR(__xludf.DUMMYFUNCTION("""COMPUTED_VALUE"""),"Yes")</f>
        <v>Yes</v>
      </c>
      <c r="AQ123" s="5" t="str">
        <f ca="1">IFERROR(__xludf.DUMMYFUNCTION("""COMPUTED_VALUE"""),"Yes")</f>
        <v>Yes</v>
      </c>
      <c r="AR123" s="5" t="str">
        <f ca="1">IFERROR(__xludf.DUMMYFUNCTION("""COMPUTED_VALUE"""),"Yes")</f>
        <v>Yes</v>
      </c>
      <c r="AS123" s="5" t="str">
        <f ca="1">IFERROR(__xludf.DUMMYFUNCTION("""COMPUTED_VALUE"""),"Yes")</f>
        <v>Yes</v>
      </c>
      <c r="AT123" s="5" t="str">
        <f ca="1">IFERROR(__xludf.DUMMYFUNCTION("""COMPUTED_VALUE"""),"No")</f>
        <v>No</v>
      </c>
      <c r="AU123" s="5"/>
    </row>
    <row r="124" spans="1:47" x14ac:dyDescent="0.25">
      <c r="A124" s="5" t="str">
        <f ca="1">IFERROR(__xludf.DUMMYFUNCTION("""COMPUTED_VALUE"""),"Foxi")</f>
        <v>Foxi</v>
      </c>
      <c r="B124" s="5" t="str">
        <f ca="1">IFERROR(__xludf.DUMMYFUNCTION("""COMPUTED_VALUE"""),"Mystic Jungle")</f>
        <v>Mystic Jungle</v>
      </c>
      <c r="C124" s="5" t="str">
        <f ca="1">IFERROR(__xludf.DUMMYFUNCTION("""COMPUTED_VALUE"""),"MysticJungle")</f>
        <v>MysticJungle</v>
      </c>
      <c r="D124" s="6">
        <f ca="1">IFERROR(__xludf.DUMMYFUNCTION("""COMPUTED_VALUE"""),45439)</f>
        <v>45439</v>
      </c>
      <c r="E124" s="5" t="str">
        <f ca="1">IFERROR(__xludf.DUMMYFUNCTION("""COMPUTED_VALUE"""),"Slot")</f>
        <v>Slot</v>
      </c>
      <c r="F124" s="5">
        <f ca="1">IFERROR(__xludf.DUMMYFUNCTION("""COMPUTED_VALUE"""),19.1)</f>
        <v>19.100000000000001</v>
      </c>
      <c r="G124" s="5" t="str">
        <f ca="1">IFERROR(__xludf.DUMMYFUNCTION("""COMPUTED_VALUE"""),"5x3")</f>
        <v>5x3</v>
      </c>
      <c r="H124" s="5" t="str">
        <f ca="1">IFERROR(__xludf.DUMMYFUNCTION("""COMPUTED_VALUE"""),"10")</f>
        <v>10</v>
      </c>
      <c r="I124" s="5" t="str">
        <f ca="1">IFERROR(__xludf.DUMMYFUNCTION("""COMPUTED_VALUE"""),"10")</f>
        <v>10</v>
      </c>
      <c r="J124" s="5" t="str">
        <f ca="1">IFERROR(__xludf.DUMMYFUNCTION("""COMPUTED_VALUE"""),"96.494%")</f>
        <v>96.494%</v>
      </c>
      <c r="K124" s="5" t="str">
        <f ca="1">IFERROR(__xludf.DUMMYFUNCTION("""COMPUTED_VALUE"""),"Medium")</f>
        <v>Medium</v>
      </c>
      <c r="L124" s="5" t="str">
        <f ca="1">IFERROR(__xludf.DUMMYFUNCTION("""COMPUTED_VALUE"""),"9.824%")</f>
        <v>9.824%</v>
      </c>
      <c r="M124" s="5" t="str">
        <f ca="1">IFERROR(__xludf.DUMMYFUNCTION("""COMPUTED_VALUE"""),"x500")</f>
        <v>x500</v>
      </c>
      <c r="N124" s="5" t="str">
        <f ca="1">IFERROR(__xludf.DUMMYFUNCTION("""COMPUTED_VALUE"""),"0.1/40")</f>
        <v>0.1/40</v>
      </c>
      <c r="O124" s="5" t="str">
        <f ca="1">IFERROR(__xludf.DUMMYFUNCTION("""COMPUTED_VALUE"""),"Yes")</f>
        <v>Yes</v>
      </c>
      <c r="P124" s="5" t="str">
        <f ca="1">IFERROR(__xludf.DUMMYFUNCTION("""COMPUTED_VALUE"""),"Mystery symbol")</f>
        <v>Mystery symbol</v>
      </c>
      <c r="Q124" s="7" t="str">
        <f ca="1">IFERROR(__xludf.DUMMYFUNCTION("""COMPUTED_VALUE"""),"https://gameserver-store-client-area.orbionlimited.com/Home/IntegrationGameLaunch/client-area?moneyType=0&amp;gameName=MysticJungle&amp;platform=desktop&amp;languageCode=eng&amp;currency=EUR")</f>
        <v>https://gameserver-store-client-area.orbionlimited.com/Home/IntegrationGameLaunch/client-area?moneyType=0&amp;gameName=MysticJungle&amp;platform=desktop&amp;languageCode=eng&amp;currency=EUR</v>
      </c>
      <c r="R124" s="5" t="str">
        <f ca="1">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S1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4" s="5" t="str">
        <f ca="1">IFERROR(__xludf.DUMMYFUNCTION("""COMPUTED_VALUE"""),"Yes")</f>
        <v>Yes</v>
      </c>
      <c r="U124" s="5" t="str">
        <f ca="1">IFERROR(__xludf.DUMMYFUNCTION("""COMPUTED_VALUE"""),"Yes")</f>
        <v>Yes</v>
      </c>
      <c r="V124" s="5" t="str">
        <f ca="1">IFERROR(__xludf.DUMMYFUNCTION("""COMPUTED_VALUE"""),"Yes")</f>
        <v>Yes</v>
      </c>
      <c r="W124" s="5" t="str">
        <f ca="1">IFERROR(__xludf.DUMMYFUNCTION("""COMPUTED_VALUE"""),"Yes")</f>
        <v>Yes</v>
      </c>
      <c r="X124" s="5" t="str">
        <f ca="1">IFERROR(__xludf.DUMMYFUNCTION("""COMPUTED_VALUE"""),"Yes")</f>
        <v>Yes</v>
      </c>
      <c r="Y124" s="5" t="str">
        <f ca="1">IFERROR(__xludf.DUMMYFUNCTION("""COMPUTED_VALUE"""),"Yes")</f>
        <v>Yes</v>
      </c>
      <c r="Z124" s="5" t="str">
        <f ca="1">IFERROR(__xludf.DUMMYFUNCTION("""COMPUTED_VALUE"""),"Yes")</f>
        <v>Yes</v>
      </c>
      <c r="AA124" s="5" t="str">
        <f ca="1">IFERROR(__xludf.DUMMYFUNCTION("""COMPUTED_VALUE"""),"Yes")</f>
        <v>Yes</v>
      </c>
      <c r="AB124" s="5" t="str">
        <f ca="1">IFERROR(__xludf.DUMMYFUNCTION("""COMPUTED_VALUE"""),"Yes")</f>
        <v>Yes</v>
      </c>
      <c r="AC124" s="5" t="str">
        <f ca="1">IFERROR(__xludf.DUMMYFUNCTION("""COMPUTED_VALUE"""),"Yes")</f>
        <v>Yes</v>
      </c>
      <c r="AD124" s="5" t="str">
        <f ca="1">IFERROR(__xludf.DUMMYFUNCTION("""COMPUTED_VALUE"""),"Yes")</f>
        <v>Yes</v>
      </c>
      <c r="AE124" s="5" t="str">
        <f ca="1">IFERROR(__xludf.DUMMYFUNCTION("""COMPUTED_VALUE"""),"Yes")</f>
        <v>Yes</v>
      </c>
      <c r="AF124" s="5" t="str">
        <f ca="1">IFERROR(__xludf.DUMMYFUNCTION("""COMPUTED_VALUE"""),"Yes")</f>
        <v>Yes</v>
      </c>
      <c r="AG124" s="5" t="str">
        <f ca="1">IFERROR(__xludf.DUMMYFUNCTION("""COMPUTED_VALUE"""),"Yes")</f>
        <v>Yes</v>
      </c>
      <c r="AH124" s="5" t="str">
        <f ca="1">IFERROR(__xludf.DUMMYFUNCTION("""COMPUTED_VALUE"""),"Yes")</f>
        <v>Yes</v>
      </c>
      <c r="AI124" s="5" t="str">
        <f ca="1">IFERROR(__xludf.DUMMYFUNCTION("""COMPUTED_VALUE"""),"Yes")</f>
        <v>Yes</v>
      </c>
      <c r="AJ124" s="5" t="str">
        <f ca="1">IFERROR(__xludf.DUMMYFUNCTION("""COMPUTED_VALUE"""),"Yes")</f>
        <v>Yes</v>
      </c>
      <c r="AK124" s="5" t="str">
        <f ca="1">IFERROR(__xludf.DUMMYFUNCTION("""COMPUTED_VALUE"""),"Yes")</f>
        <v>Yes</v>
      </c>
      <c r="AL124" s="5" t="str">
        <f ca="1">IFERROR(__xludf.DUMMYFUNCTION("""COMPUTED_VALUE"""),"Yes")</f>
        <v>Yes</v>
      </c>
      <c r="AM124" s="5" t="str">
        <f ca="1">IFERROR(__xludf.DUMMYFUNCTION("""COMPUTED_VALUE"""),"Yes")</f>
        <v>Yes</v>
      </c>
      <c r="AN124" s="5" t="str">
        <f ca="1">IFERROR(__xludf.DUMMYFUNCTION("""COMPUTED_VALUE"""),"Yes")</f>
        <v>Yes</v>
      </c>
      <c r="AO124" s="5" t="str">
        <f ca="1">IFERROR(__xludf.DUMMYFUNCTION("""COMPUTED_VALUE"""),"Yes")</f>
        <v>Yes</v>
      </c>
      <c r="AP124" s="5" t="str">
        <f ca="1">IFERROR(__xludf.DUMMYFUNCTION("""COMPUTED_VALUE"""),"Yes")</f>
        <v>Yes</v>
      </c>
      <c r="AQ124" s="5" t="str">
        <f ca="1">IFERROR(__xludf.DUMMYFUNCTION("""COMPUTED_VALUE"""),"Yes")</f>
        <v>Yes</v>
      </c>
      <c r="AR124" s="5" t="str">
        <f ca="1">IFERROR(__xludf.DUMMYFUNCTION("""COMPUTED_VALUE"""),"Yes")</f>
        <v>Yes</v>
      </c>
      <c r="AS124" s="5" t="str">
        <f ca="1">IFERROR(__xludf.DUMMYFUNCTION("""COMPUTED_VALUE"""),"Yes")</f>
        <v>Yes</v>
      </c>
      <c r="AT124" s="5" t="str">
        <f ca="1">IFERROR(__xludf.DUMMYFUNCTION("""COMPUTED_VALUE"""),"No")</f>
        <v>No</v>
      </c>
      <c r="AU124" s="5"/>
    </row>
    <row r="125" spans="1:47" x14ac:dyDescent="0.25">
      <c r="A125" s="5" t="str">
        <f ca="1">IFERROR(__xludf.DUMMYFUNCTION("""COMPUTED_VALUE"""),"Foxi")</f>
        <v>Foxi</v>
      </c>
      <c r="B125" s="5" t="str">
        <f ca="1">IFERROR(__xludf.DUMMYFUNCTION("""COMPUTED_VALUE"""),"Wild Lucky Dice")</f>
        <v>Wild Lucky Dice</v>
      </c>
      <c r="C125" s="5" t="str">
        <f ca="1">IFERROR(__xludf.DUMMYFUNCTION("""COMPUTED_VALUE"""),"WildLuckyDice")</f>
        <v>WildLuckyDice</v>
      </c>
      <c r="D125" s="6">
        <f ca="1">IFERROR(__xludf.DUMMYFUNCTION("""COMPUTED_VALUE"""),45429)</f>
        <v>45429</v>
      </c>
      <c r="E125" s="5" t="str">
        <f ca="1">IFERROR(__xludf.DUMMYFUNCTION("""COMPUTED_VALUE"""),"Slot")</f>
        <v>Slot</v>
      </c>
      <c r="F125" s="5">
        <f ca="1">IFERROR(__xludf.DUMMYFUNCTION("""COMPUTED_VALUE"""),25)</f>
        <v>25</v>
      </c>
      <c r="G125" s="5" t="str">
        <f ca="1">IFERROR(__xludf.DUMMYFUNCTION("""COMPUTED_VALUE"""),"5x4")</f>
        <v>5x4</v>
      </c>
      <c r="H125" s="5" t="str">
        <f ca="1">IFERROR(__xludf.DUMMYFUNCTION("""COMPUTED_VALUE"""),"40")</f>
        <v>40</v>
      </c>
      <c r="I125" s="5" t="str">
        <f ca="1">IFERROR(__xludf.DUMMYFUNCTION("""COMPUTED_VALUE"""),"40")</f>
        <v>40</v>
      </c>
      <c r="J125" s="5" t="str">
        <f ca="1">IFERROR(__xludf.DUMMYFUNCTION("""COMPUTED_VALUE"""),"96.291%")</f>
        <v>96.291%</v>
      </c>
      <c r="K125" s="5" t="str">
        <f ca="1">IFERROR(__xludf.DUMMYFUNCTION("""COMPUTED_VALUE"""),"Medium")</f>
        <v>Medium</v>
      </c>
      <c r="L125" s="5" t="str">
        <f ca="1">IFERROR(__xludf.DUMMYFUNCTION("""COMPUTED_VALUE"""),"12.67%")</f>
        <v>12.67%</v>
      </c>
      <c r="M125" s="5" t="str">
        <f ca="1">IFERROR(__xludf.DUMMYFUNCTION("""COMPUTED_VALUE"""),"x1043")</f>
        <v>x1043</v>
      </c>
      <c r="N125" s="5" t="str">
        <f ca="1">IFERROR(__xludf.DUMMYFUNCTION("""COMPUTED_VALUE"""),"0.40/60")</f>
        <v>0.40/60</v>
      </c>
      <c r="O125" s="5" t="str">
        <f ca="1">IFERROR(__xludf.DUMMYFUNCTION("""COMPUTED_VALUE"""),"Yes")</f>
        <v>Yes</v>
      </c>
      <c r="P125" s="5" t="str">
        <f ca="1">IFERROR(__xludf.DUMMYFUNCTION("""COMPUTED_VALUE"""),"Bonus Game with Free Spins, Converting Wild, Wild Symbol")</f>
        <v>Bonus Game with Free Spins, Converting Wild, Wild Symbol</v>
      </c>
      <c r="Q125" s="7" t="str">
        <f ca="1">IFERROR(__xludf.DUMMYFUNCTION("""COMPUTED_VALUE"""),"https://gameserver-store-client-area.orbionlimited.com/Home/IntegrationGameLaunch/client-area?moneyType=0&amp;gameName=WildLuckyDice&amp;platform=desktop&amp;languageCode=eng&amp;currency=EUR")</f>
        <v>https://gameserver-store-client-area.orbionlimited.com/Home/IntegrationGameLaunch/client-area?moneyType=0&amp;gameName=WildLuckyDice&amp;platform=desktop&amp;languageCode=eng&amp;currency=EUR</v>
      </c>
      <c r="R125" s="5" t="str">
        <f ca="1">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S1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5" s="5" t="str">
        <f ca="1">IFERROR(__xludf.DUMMYFUNCTION("""COMPUTED_VALUE"""),"Yes")</f>
        <v>Yes</v>
      </c>
      <c r="U125" s="5" t="str">
        <f ca="1">IFERROR(__xludf.DUMMYFUNCTION("""COMPUTED_VALUE"""),"Yes")</f>
        <v>Yes</v>
      </c>
      <c r="V125" s="5" t="str">
        <f ca="1">IFERROR(__xludf.DUMMYFUNCTION("""COMPUTED_VALUE"""),"Yes")</f>
        <v>Yes</v>
      </c>
      <c r="W125" s="5" t="str">
        <f ca="1">IFERROR(__xludf.DUMMYFUNCTION("""COMPUTED_VALUE"""),"Yes")</f>
        <v>Yes</v>
      </c>
      <c r="X125" s="5" t="str">
        <f ca="1">IFERROR(__xludf.DUMMYFUNCTION("""COMPUTED_VALUE"""),"Yes")</f>
        <v>Yes</v>
      </c>
      <c r="Y125" s="5" t="str">
        <f ca="1">IFERROR(__xludf.DUMMYFUNCTION("""COMPUTED_VALUE"""),"Yes")</f>
        <v>Yes</v>
      </c>
      <c r="Z125" s="5" t="str">
        <f ca="1">IFERROR(__xludf.DUMMYFUNCTION("""COMPUTED_VALUE"""),"Yes")</f>
        <v>Yes</v>
      </c>
      <c r="AA125" s="5" t="str">
        <f ca="1">IFERROR(__xludf.DUMMYFUNCTION("""COMPUTED_VALUE"""),"Yes")</f>
        <v>Yes</v>
      </c>
      <c r="AB125" s="5" t="str">
        <f ca="1">IFERROR(__xludf.DUMMYFUNCTION("""COMPUTED_VALUE"""),"Yes")</f>
        <v>Yes</v>
      </c>
      <c r="AC125" s="5" t="str">
        <f ca="1">IFERROR(__xludf.DUMMYFUNCTION("""COMPUTED_VALUE"""),"Yes")</f>
        <v>Yes</v>
      </c>
      <c r="AD125" s="5" t="str">
        <f ca="1">IFERROR(__xludf.DUMMYFUNCTION("""COMPUTED_VALUE"""),"Yes")</f>
        <v>Yes</v>
      </c>
      <c r="AE125" s="5" t="str">
        <f ca="1">IFERROR(__xludf.DUMMYFUNCTION("""COMPUTED_VALUE"""),"Yes")</f>
        <v>Yes</v>
      </c>
      <c r="AF125" s="5" t="str">
        <f ca="1">IFERROR(__xludf.DUMMYFUNCTION("""COMPUTED_VALUE"""),"Yes")</f>
        <v>Yes</v>
      </c>
      <c r="AG125" s="5" t="str">
        <f ca="1">IFERROR(__xludf.DUMMYFUNCTION("""COMPUTED_VALUE"""),"Yes")</f>
        <v>Yes</v>
      </c>
      <c r="AH125" s="5" t="str">
        <f ca="1">IFERROR(__xludf.DUMMYFUNCTION("""COMPUTED_VALUE"""),"Yes")</f>
        <v>Yes</v>
      </c>
      <c r="AI125" s="5" t="str">
        <f ca="1">IFERROR(__xludf.DUMMYFUNCTION("""COMPUTED_VALUE"""),"Yes")</f>
        <v>Yes</v>
      </c>
      <c r="AJ125" s="5" t="str">
        <f ca="1">IFERROR(__xludf.DUMMYFUNCTION("""COMPUTED_VALUE"""),"Yes")</f>
        <v>Yes</v>
      </c>
      <c r="AK125" s="5" t="str">
        <f ca="1">IFERROR(__xludf.DUMMYFUNCTION("""COMPUTED_VALUE"""),"Yes")</f>
        <v>Yes</v>
      </c>
      <c r="AL125" s="5" t="str">
        <f ca="1">IFERROR(__xludf.DUMMYFUNCTION("""COMPUTED_VALUE"""),"Yes")</f>
        <v>Yes</v>
      </c>
      <c r="AM125" s="5" t="str">
        <f ca="1">IFERROR(__xludf.DUMMYFUNCTION("""COMPUTED_VALUE"""),"Yes")</f>
        <v>Yes</v>
      </c>
      <c r="AN125" s="5" t="str">
        <f ca="1">IFERROR(__xludf.DUMMYFUNCTION("""COMPUTED_VALUE"""),"Yes")</f>
        <v>Yes</v>
      </c>
      <c r="AO125" s="5" t="str">
        <f ca="1">IFERROR(__xludf.DUMMYFUNCTION("""COMPUTED_VALUE"""),"Yes")</f>
        <v>Yes</v>
      </c>
      <c r="AP125" s="5" t="str">
        <f ca="1">IFERROR(__xludf.DUMMYFUNCTION("""COMPUTED_VALUE"""),"Yes")</f>
        <v>Yes</v>
      </c>
      <c r="AQ125" s="5" t="str">
        <f ca="1">IFERROR(__xludf.DUMMYFUNCTION("""COMPUTED_VALUE"""),"Yes")</f>
        <v>Yes</v>
      </c>
      <c r="AR125" s="5" t="str">
        <f ca="1">IFERROR(__xludf.DUMMYFUNCTION("""COMPUTED_VALUE"""),"Yes")</f>
        <v>Yes</v>
      </c>
      <c r="AS125" s="5" t="str">
        <f ca="1">IFERROR(__xludf.DUMMYFUNCTION("""COMPUTED_VALUE"""),"Yes")</f>
        <v>Yes</v>
      </c>
      <c r="AT125" s="5" t="str">
        <f ca="1">IFERROR(__xludf.DUMMYFUNCTION("""COMPUTED_VALUE"""),"No")</f>
        <v>No</v>
      </c>
      <c r="AU125" s="5"/>
    </row>
    <row r="126" spans="1:47" x14ac:dyDescent="0.25">
      <c r="A126" s="5" t="str">
        <f ca="1">IFERROR(__xludf.DUMMYFUNCTION("""COMPUTED_VALUE"""),"Foxi")</f>
        <v>Foxi</v>
      </c>
      <c r="B126" s="5" t="str">
        <f ca="1">IFERROR(__xludf.DUMMYFUNCTION("""COMPUTED_VALUE"""),"Eggspanding Rush")</f>
        <v>Eggspanding Rush</v>
      </c>
      <c r="C126" s="5" t="str">
        <f ca="1">IFERROR(__xludf.DUMMYFUNCTION("""COMPUTED_VALUE"""),"EggspandingRush")</f>
        <v>EggspandingRush</v>
      </c>
      <c r="D126" s="6">
        <f ca="1">IFERROR(__xludf.DUMMYFUNCTION("""COMPUTED_VALUE"""),45400)</f>
        <v>45400</v>
      </c>
      <c r="E126" s="5" t="str">
        <f ca="1">IFERROR(__xludf.DUMMYFUNCTION("""COMPUTED_VALUE"""),"Slot")</f>
        <v>Slot</v>
      </c>
      <c r="F126" s="5">
        <f ca="1">IFERROR(__xludf.DUMMYFUNCTION("""COMPUTED_VALUE"""),28)</f>
        <v>28</v>
      </c>
      <c r="G126" s="5" t="str">
        <f ca="1">IFERROR(__xludf.DUMMYFUNCTION("""COMPUTED_VALUE"""),"5x3")</f>
        <v>5x3</v>
      </c>
      <c r="H126" s="5" t="str">
        <f ca="1">IFERROR(__xludf.DUMMYFUNCTION("""COMPUTED_VALUE"""),"10")</f>
        <v>10</v>
      </c>
      <c r="I126" s="5" t="str">
        <f ca="1">IFERROR(__xludf.DUMMYFUNCTION("""COMPUTED_VALUE"""),"10")</f>
        <v>10</v>
      </c>
      <c r="J126" s="5" t="str">
        <f ca="1">IFERROR(__xludf.DUMMYFUNCTION("""COMPUTED_VALUE"""),"96.5%")</f>
        <v>96.5%</v>
      </c>
      <c r="K126" s="5" t="str">
        <f ca="1">IFERROR(__xludf.DUMMYFUNCTION("""COMPUTED_VALUE"""),"High")</f>
        <v>High</v>
      </c>
      <c r="L126" s="5" t="str">
        <f ca="1">IFERROR(__xludf.DUMMYFUNCTION("""COMPUTED_VALUE"""),"17.014%")</f>
        <v>17.014%</v>
      </c>
      <c r="M126" s="5" t="str">
        <f ca="1">IFERROR(__xludf.DUMMYFUNCTION("""COMPUTED_VALUE"""),"x4614")</f>
        <v>x4614</v>
      </c>
      <c r="N126" s="5" t="str">
        <f ca="1">IFERROR(__xludf.DUMMYFUNCTION("""COMPUTED_VALUE"""),"0.1/50")</f>
        <v>0.1/50</v>
      </c>
      <c r="O126" s="5" t="str">
        <f ca="1">IFERROR(__xludf.DUMMYFUNCTION("""COMPUTED_VALUE"""),"Yes")</f>
        <v>Yes</v>
      </c>
      <c r="P126" s="5" t="str">
        <f ca="1">IFERROR(__xludf.DUMMYFUNCTION("""COMPUTED_VALUE"""),"Bonus Game with Free Spins, Wild Multiplier, Expanding Wild")</f>
        <v>Bonus Game with Free Spins, Wild Multiplier, Expanding Wild</v>
      </c>
      <c r="Q126" s="7" t="str">
        <f ca="1">IFERROR(__xludf.DUMMYFUNCTION("""COMPUTED_VALUE"""),"https://gameserver-store-client-area.orbionlimited.com/Home/IntegrationGameLaunch/client-area?moneyType=0&amp;gameName=EggspandingRush&amp;platform=desktop&amp;languageCode=eng&amp;currency=EUR")</f>
        <v>https://gameserver-store-client-area.orbionlimited.com/Home/IntegrationGameLaunch/client-area?moneyType=0&amp;gameName=EggspandingRush&amp;platform=desktop&amp;languageCode=eng&amp;currency=EUR</v>
      </c>
      <c r="R126" s="5" t="str">
        <f ca="1">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S1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6" s="5" t="str">
        <f ca="1">IFERROR(__xludf.DUMMYFUNCTION("""COMPUTED_VALUE"""),"Yes")</f>
        <v>Yes</v>
      </c>
      <c r="U126" s="5" t="str">
        <f ca="1">IFERROR(__xludf.DUMMYFUNCTION("""COMPUTED_VALUE"""),"Yes")</f>
        <v>Yes</v>
      </c>
      <c r="V126" s="5" t="str">
        <f ca="1">IFERROR(__xludf.DUMMYFUNCTION("""COMPUTED_VALUE"""),"Yes")</f>
        <v>Yes</v>
      </c>
      <c r="W126" s="5" t="str">
        <f ca="1">IFERROR(__xludf.DUMMYFUNCTION("""COMPUTED_VALUE"""),"Yes")</f>
        <v>Yes</v>
      </c>
      <c r="X126" s="5" t="str">
        <f ca="1">IFERROR(__xludf.DUMMYFUNCTION("""COMPUTED_VALUE"""),"Yes")</f>
        <v>Yes</v>
      </c>
      <c r="Y126" s="5" t="str">
        <f ca="1">IFERROR(__xludf.DUMMYFUNCTION("""COMPUTED_VALUE"""),"Yes")</f>
        <v>Yes</v>
      </c>
      <c r="Z126" s="5" t="str">
        <f ca="1">IFERROR(__xludf.DUMMYFUNCTION("""COMPUTED_VALUE"""),"Yes")</f>
        <v>Yes</v>
      </c>
      <c r="AA126" s="5" t="str">
        <f ca="1">IFERROR(__xludf.DUMMYFUNCTION("""COMPUTED_VALUE"""),"Yes")</f>
        <v>Yes</v>
      </c>
      <c r="AB126" s="5" t="str">
        <f ca="1">IFERROR(__xludf.DUMMYFUNCTION("""COMPUTED_VALUE"""),"Yes")</f>
        <v>Yes</v>
      </c>
      <c r="AC126" s="5" t="str">
        <f ca="1">IFERROR(__xludf.DUMMYFUNCTION("""COMPUTED_VALUE"""),"Yes")</f>
        <v>Yes</v>
      </c>
      <c r="AD126" s="5" t="str">
        <f ca="1">IFERROR(__xludf.DUMMYFUNCTION("""COMPUTED_VALUE"""),"Yes")</f>
        <v>Yes</v>
      </c>
      <c r="AE126" s="5" t="str">
        <f ca="1">IFERROR(__xludf.DUMMYFUNCTION("""COMPUTED_VALUE"""),"Yes")</f>
        <v>Yes</v>
      </c>
      <c r="AF126" s="5" t="str">
        <f ca="1">IFERROR(__xludf.DUMMYFUNCTION("""COMPUTED_VALUE"""),"Yes")</f>
        <v>Yes</v>
      </c>
      <c r="AG126" s="5" t="str">
        <f ca="1">IFERROR(__xludf.DUMMYFUNCTION("""COMPUTED_VALUE"""),"Yes")</f>
        <v>Yes</v>
      </c>
      <c r="AH126" s="5" t="str">
        <f ca="1">IFERROR(__xludf.DUMMYFUNCTION("""COMPUTED_VALUE"""),"Yes")</f>
        <v>Yes</v>
      </c>
      <c r="AI126" s="5" t="str">
        <f ca="1">IFERROR(__xludf.DUMMYFUNCTION("""COMPUTED_VALUE"""),"Yes")</f>
        <v>Yes</v>
      </c>
      <c r="AJ126" s="5" t="str">
        <f ca="1">IFERROR(__xludf.DUMMYFUNCTION("""COMPUTED_VALUE"""),"Yes")</f>
        <v>Yes</v>
      </c>
      <c r="AK126" s="5" t="str">
        <f ca="1">IFERROR(__xludf.DUMMYFUNCTION("""COMPUTED_VALUE"""),"Yes")</f>
        <v>Yes</v>
      </c>
      <c r="AL126" s="5" t="str">
        <f ca="1">IFERROR(__xludf.DUMMYFUNCTION("""COMPUTED_VALUE"""),"Yes")</f>
        <v>Yes</v>
      </c>
      <c r="AM126" s="5" t="str">
        <f ca="1">IFERROR(__xludf.DUMMYFUNCTION("""COMPUTED_VALUE"""),"Yes")</f>
        <v>Yes</v>
      </c>
      <c r="AN126" s="5" t="str">
        <f ca="1">IFERROR(__xludf.DUMMYFUNCTION("""COMPUTED_VALUE"""),"Yes")</f>
        <v>Yes</v>
      </c>
      <c r="AO126" s="5" t="str">
        <f ca="1">IFERROR(__xludf.DUMMYFUNCTION("""COMPUTED_VALUE"""),"Yes")</f>
        <v>Yes</v>
      </c>
      <c r="AP126" s="5" t="str">
        <f ca="1">IFERROR(__xludf.DUMMYFUNCTION("""COMPUTED_VALUE"""),"Yes")</f>
        <v>Yes</v>
      </c>
      <c r="AQ126" s="5" t="str">
        <f ca="1">IFERROR(__xludf.DUMMYFUNCTION("""COMPUTED_VALUE"""),"Yes")</f>
        <v>Yes</v>
      </c>
      <c r="AR126" s="5" t="str">
        <f ca="1">IFERROR(__xludf.DUMMYFUNCTION("""COMPUTED_VALUE"""),"Yes")</f>
        <v>Yes</v>
      </c>
      <c r="AS126" s="5" t="str">
        <f ca="1">IFERROR(__xludf.DUMMYFUNCTION("""COMPUTED_VALUE"""),"Yes")</f>
        <v>Yes</v>
      </c>
      <c r="AT126" s="5" t="str">
        <f ca="1">IFERROR(__xludf.DUMMYFUNCTION("""COMPUTED_VALUE"""),"No")</f>
        <v>No</v>
      </c>
      <c r="AU126" s="5"/>
    </row>
    <row r="127" spans="1:47" x14ac:dyDescent="0.25">
      <c r="A127" s="5" t="str">
        <f ca="1">IFERROR(__xludf.DUMMYFUNCTION("""COMPUTED_VALUE"""),"Foxi")</f>
        <v>Foxi</v>
      </c>
      <c r="B127" s="5" t="str">
        <f ca="1">IFERROR(__xludf.DUMMYFUNCTION("""COMPUTED_VALUE"""),"Vintage Fruits 40")</f>
        <v>Vintage Fruits 40</v>
      </c>
      <c r="C127" s="5" t="str">
        <f ca="1">IFERROR(__xludf.DUMMYFUNCTION("""COMPUTED_VALUE"""),"VintageFruits40")</f>
        <v>VintageFruits40</v>
      </c>
      <c r="D127" s="6">
        <f ca="1">IFERROR(__xludf.DUMMYFUNCTION("""COMPUTED_VALUE"""),45469)</f>
        <v>45469</v>
      </c>
      <c r="E127" s="5" t="str">
        <f ca="1">IFERROR(__xludf.DUMMYFUNCTION("""COMPUTED_VALUE"""),"Slot")</f>
        <v>Slot</v>
      </c>
      <c r="F127" s="5">
        <f ca="1">IFERROR(__xludf.DUMMYFUNCTION("""COMPUTED_VALUE"""),8.8)</f>
        <v>8.8000000000000007</v>
      </c>
      <c r="G127" s="5" t="str">
        <f ca="1">IFERROR(__xludf.DUMMYFUNCTION("""COMPUTED_VALUE"""),"5x4")</f>
        <v>5x4</v>
      </c>
      <c r="H127" s="5" t="str">
        <f ca="1">IFERROR(__xludf.DUMMYFUNCTION("""COMPUTED_VALUE"""),"40")</f>
        <v>40</v>
      </c>
      <c r="I127" s="5" t="str">
        <f ca="1">IFERROR(__xludf.DUMMYFUNCTION("""COMPUTED_VALUE"""),"40")</f>
        <v>40</v>
      </c>
      <c r="J127" s="5" t="str">
        <f ca="1">IFERROR(__xludf.DUMMYFUNCTION("""COMPUTED_VALUE"""),"96.382%")</f>
        <v>96.382%</v>
      </c>
      <c r="K127" s="5" t="str">
        <f ca="1">IFERROR(__xludf.DUMMYFUNCTION("""COMPUTED_VALUE"""),"Medium")</f>
        <v>Medium</v>
      </c>
      <c r="L127" s="5" t="str">
        <f ca="1">IFERROR(__xludf.DUMMYFUNCTION("""COMPUTED_VALUE"""),"14.89%")</f>
        <v>14.89%</v>
      </c>
      <c r="M127" s="5" t="str">
        <f ca="1">IFERROR(__xludf.DUMMYFUNCTION("""COMPUTED_VALUE"""),"x1000")</f>
        <v>x1000</v>
      </c>
      <c r="N127" s="5" t="str">
        <f ca="1">IFERROR(__xludf.DUMMYFUNCTION("""COMPUTED_VALUE"""),"0.4/40")</f>
        <v>0.4/40</v>
      </c>
      <c r="O127" s="5" t="str">
        <f ca="1">IFERROR(__xludf.DUMMYFUNCTION("""COMPUTED_VALUE"""),"Yes")</f>
        <v>Yes</v>
      </c>
      <c r="P127" s="5" t="str">
        <f ca="1">IFERROR(__xludf.DUMMYFUNCTION("""COMPUTED_VALUE"""),"Wild Symbol, Scatter")</f>
        <v>Wild Symbol, Scatter</v>
      </c>
      <c r="Q127" s="7" t="str">
        <f ca="1">IFERROR(__xludf.DUMMYFUNCTION("""COMPUTED_VALUE"""),"https://gameserver-store-client-area.orbionlimited.com/Home/IntegrationGameLaunch/client-area?moneyType=0&amp;gameName=VintageFruits40&amp;platform=desktop&amp;languageCode=eng&amp;currency=EUR")</f>
        <v>https://gameserver-store-client-area.orbionlimited.com/Home/IntegrationGameLaunch/client-area?moneyType=0&amp;gameName=VintageFruits40&amp;platform=desktop&amp;languageCode=eng&amp;currency=EUR</v>
      </c>
      <c r="R127" s="5" t="str">
        <f ca="1">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S1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7" s="5" t="str">
        <f ca="1">IFERROR(__xludf.DUMMYFUNCTION("""COMPUTED_VALUE"""),"Yes")</f>
        <v>Yes</v>
      </c>
      <c r="U127" s="5" t="str">
        <f ca="1">IFERROR(__xludf.DUMMYFUNCTION("""COMPUTED_VALUE"""),"Yes")</f>
        <v>Yes</v>
      </c>
      <c r="V127" s="5" t="str">
        <f ca="1">IFERROR(__xludf.DUMMYFUNCTION("""COMPUTED_VALUE"""),"Yes")</f>
        <v>Yes</v>
      </c>
      <c r="W127" s="5" t="str">
        <f ca="1">IFERROR(__xludf.DUMMYFUNCTION("""COMPUTED_VALUE"""),"Yes")</f>
        <v>Yes</v>
      </c>
      <c r="X127" s="5" t="str">
        <f ca="1">IFERROR(__xludf.DUMMYFUNCTION("""COMPUTED_VALUE"""),"Yes")</f>
        <v>Yes</v>
      </c>
      <c r="Y127" s="5" t="str">
        <f ca="1">IFERROR(__xludf.DUMMYFUNCTION("""COMPUTED_VALUE"""),"Yes")</f>
        <v>Yes</v>
      </c>
      <c r="Z127" s="5" t="str">
        <f ca="1">IFERROR(__xludf.DUMMYFUNCTION("""COMPUTED_VALUE"""),"Yes")</f>
        <v>Yes</v>
      </c>
      <c r="AA127" s="5" t="str">
        <f ca="1">IFERROR(__xludf.DUMMYFUNCTION("""COMPUTED_VALUE"""),"Yes")</f>
        <v>Yes</v>
      </c>
      <c r="AB127" s="5" t="str">
        <f ca="1">IFERROR(__xludf.DUMMYFUNCTION("""COMPUTED_VALUE"""),"Yes")</f>
        <v>Yes</v>
      </c>
      <c r="AC127" s="5" t="str">
        <f ca="1">IFERROR(__xludf.DUMMYFUNCTION("""COMPUTED_VALUE"""),"Yes")</f>
        <v>Yes</v>
      </c>
      <c r="AD127" s="5" t="str">
        <f ca="1">IFERROR(__xludf.DUMMYFUNCTION("""COMPUTED_VALUE"""),"Yes")</f>
        <v>Yes</v>
      </c>
      <c r="AE127" s="5" t="str">
        <f ca="1">IFERROR(__xludf.DUMMYFUNCTION("""COMPUTED_VALUE"""),"Yes")</f>
        <v>Yes</v>
      </c>
      <c r="AF127" s="5" t="str">
        <f ca="1">IFERROR(__xludf.DUMMYFUNCTION("""COMPUTED_VALUE"""),"Yes")</f>
        <v>Yes</v>
      </c>
      <c r="AG127" s="5" t="str">
        <f ca="1">IFERROR(__xludf.DUMMYFUNCTION("""COMPUTED_VALUE"""),"Yes")</f>
        <v>Yes</v>
      </c>
      <c r="AH127" s="5" t="str">
        <f ca="1">IFERROR(__xludf.DUMMYFUNCTION("""COMPUTED_VALUE"""),"Yes")</f>
        <v>Yes</v>
      </c>
      <c r="AI127" s="5" t="str">
        <f ca="1">IFERROR(__xludf.DUMMYFUNCTION("""COMPUTED_VALUE"""),"Yes")</f>
        <v>Yes</v>
      </c>
      <c r="AJ127" s="5" t="str">
        <f ca="1">IFERROR(__xludf.DUMMYFUNCTION("""COMPUTED_VALUE"""),"Yes")</f>
        <v>Yes</v>
      </c>
      <c r="AK127" s="5" t="str">
        <f ca="1">IFERROR(__xludf.DUMMYFUNCTION("""COMPUTED_VALUE"""),"Yes")</f>
        <v>Yes</v>
      </c>
      <c r="AL127" s="5" t="str">
        <f ca="1">IFERROR(__xludf.DUMMYFUNCTION("""COMPUTED_VALUE"""),"Yes")</f>
        <v>Yes</v>
      </c>
      <c r="AM127" s="5" t="str">
        <f ca="1">IFERROR(__xludf.DUMMYFUNCTION("""COMPUTED_VALUE"""),"Yes")</f>
        <v>Yes</v>
      </c>
      <c r="AN127" s="5" t="str">
        <f ca="1">IFERROR(__xludf.DUMMYFUNCTION("""COMPUTED_VALUE"""),"Yes")</f>
        <v>Yes</v>
      </c>
      <c r="AO127" s="5" t="str">
        <f ca="1">IFERROR(__xludf.DUMMYFUNCTION("""COMPUTED_VALUE"""),"Yes")</f>
        <v>Yes</v>
      </c>
      <c r="AP127" s="5" t="str">
        <f ca="1">IFERROR(__xludf.DUMMYFUNCTION("""COMPUTED_VALUE"""),"Yes")</f>
        <v>Yes</v>
      </c>
      <c r="AQ127" s="5" t="str">
        <f ca="1">IFERROR(__xludf.DUMMYFUNCTION("""COMPUTED_VALUE"""),"Yes")</f>
        <v>Yes</v>
      </c>
      <c r="AR127" s="5" t="str">
        <f ca="1">IFERROR(__xludf.DUMMYFUNCTION("""COMPUTED_VALUE"""),"Yes")</f>
        <v>Yes</v>
      </c>
      <c r="AS127" s="5" t="str">
        <f ca="1">IFERROR(__xludf.DUMMYFUNCTION("""COMPUTED_VALUE"""),"Yes")</f>
        <v>Yes</v>
      </c>
      <c r="AT127" s="5" t="str">
        <f ca="1">IFERROR(__xludf.DUMMYFUNCTION("""COMPUTED_VALUE"""),"No")</f>
        <v>No</v>
      </c>
      <c r="AU127" s="5"/>
    </row>
    <row r="128" spans="1:47" x14ac:dyDescent="0.25">
      <c r="A128" s="5" t="str">
        <f ca="1">IFERROR(__xludf.DUMMYFUNCTION("""COMPUTED_VALUE"""),"Foxi")</f>
        <v>Foxi</v>
      </c>
      <c r="B128" s="5" t="str">
        <f ca="1">IFERROR(__xludf.DUMMYFUNCTION("""COMPUTED_VALUE"""),"Summer Rush")</f>
        <v>Summer Rush</v>
      </c>
      <c r="C128" s="5" t="str">
        <f ca="1">IFERROR(__xludf.DUMMYFUNCTION("""COMPUTED_VALUE"""),"SummerRush")</f>
        <v>SummerRush</v>
      </c>
      <c r="D128" s="6">
        <f ca="1">IFERROR(__xludf.DUMMYFUNCTION("""COMPUTED_VALUE"""),45495)</f>
        <v>45495</v>
      </c>
      <c r="E128" s="5" t="str">
        <f ca="1">IFERROR(__xludf.DUMMYFUNCTION("""COMPUTED_VALUE"""),"Slot")</f>
        <v>Slot</v>
      </c>
      <c r="F128" s="5">
        <f ca="1">IFERROR(__xludf.DUMMYFUNCTION("""COMPUTED_VALUE"""),31.8)</f>
        <v>31.8</v>
      </c>
      <c r="G128" s="5" t="str">
        <f ca="1">IFERROR(__xludf.DUMMYFUNCTION("""COMPUTED_VALUE"""),"5x4")</f>
        <v>5x4</v>
      </c>
      <c r="H128" s="5" t="str">
        <f ca="1">IFERROR(__xludf.DUMMYFUNCTION("""COMPUTED_VALUE"""),"40")</f>
        <v>40</v>
      </c>
      <c r="I128" s="5" t="str">
        <f ca="1">IFERROR(__xludf.DUMMYFUNCTION("""COMPUTED_VALUE"""),"40")</f>
        <v>40</v>
      </c>
      <c r="J128" s="5" t="str">
        <f ca="1">IFERROR(__xludf.DUMMYFUNCTION("""COMPUTED_VALUE"""),"96.291%")</f>
        <v>96.291%</v>
      </c>
      <c r="K128" s="5" t="str">
        <f ca="1">IFERROR(__xludf.DUMMYFUNCTION("""COMPUTED_VALUE"""),"Medium")</f>
        <v>Medium</v>
      </c>
      <c r="L128" s="5" t="str">
        <f ca="1">IFERROR(__xludf.DUMMYFUNCTION("""COMPUTED_VALUE"""),"12.67%")</f>
        <v>12.67%</v>
      </c>
      <c r="M128" s="5" t="str">
        <f ca="1">IFERROR(__xludf.DUMMYFUNCTION("""COMPUTED_VALUE"""),"x1043")</f>
        <v>x1043</v>
      </c>
      <c r="N128" s="5" t="str">
        <f ca="1">IFERROR(__xludf.DUMMYFUNCTION("""COMPUTED_VALUE"""),"0.40/60")</f>
        <v>0.40/60</v>
      </c>
      <c r="O128" s="5" t="str">
        <f ca="1">IFERROR(__xludf.DUMMYFUNCTION("""COMPUTED_VALUE"""),"Yes")</f>
        <v>Yes</v>
      </c>
      <c r="P128" s="5" t="str">
        <f ca="1">IFERROR(__xludf.DUMMYFUNCTION("""COMPUTED_VALUE"""),"Wild Symbol, Bonus Game with Free Spins, Wild Symbol")</f>
        <v>Wild Symbol, Bonus Game with Free Spins, Wild Symbol</v>
      </c>
      <c r="Q128" s="7" t="str">
        <f ca="1">IFERROR(__xludf.DUMMYFUNCTION("""COMPUTED_VALUE"""),"https://gameserver-store-client-area.orbionlimited.com/Home/IntegrationGameLaunch/client-area?moneyType=0&amp;gameName=SummerRush&amp;platform=desktop&amp;languageCode=eng&amp;currency=EUR")</f>
        <v>https://gameserver-store-client-area.orbionlimited.com/Home/IntegrationGameLaunch/client-area?moneyType=0&amp;gameName=SummerRush&amp;platform=desktop&amp;languageCode=eng&amp;currency=EUR</v>
      </c>
      <c r="R128" s="5" t="str">
        <f ca="1">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S1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8" s="5" t="str">
        <f ca="1">IFERROR(__xludf.DUMMYFUNCTION("""COMPUTED_VALUE"""),"Yes")</f>
        <v>Yes</v>
      </c>
      <c r="U128" s="5" t="str">
        <f ca="1">IFERROR(__xludf.DUMMYFUNCTION("""COMPUTED_VALUE"""),"Yes")</f>
        <v>Yes</v>
      </c>
      <c r="V128" s="5" t="str">
        <f ca="1">IFERROR(__xludf.DUMMYFUNCTION("""COMPUTED_VALUE"""),"Yes")</f>
        <v>Yes</v>
      </c>
      <c r="W128" s="5" t="str">
        <f ca="1">IFERROR(__xludf.DUMMYFUNCTION("""COMPUTED_VALUE"""),"Yes")</f>
        <v>Yes</v>
      </c>
      <c r="X128" s="5" t="str">
        <f ca="1">IFERROR(__xludf.DUMMYFUNCTION("""COMPUTED_VALUE"""),"Yes")</f>
        <v>Yes</v>
      </c>
      <c r="Y128" s="5" t="str">
        <f ca="1">IFERROR(__xludf.DUMMYFUNCTION("""COMPUTED_VALUE"""),"Yes")</f>
        <v>Yes</v>
      </c>
      <c r="Z128" s="5" t="str">
        <f ca="1">IFERROR(__xludf.DUMMYFUNCTION("""COMPUTED_VALUE"""),"Yes")</f>
        <v>Yes</v>
      </c>
      <c r="AA128" s="5" t="str">
        <f ca="1">IFERROR(__xludf.DUMMYFUNCTION("""COMPUTED_VALUE"""),"Yes")</f>
        <v>Yes</v>
      </c>
      <c r="AB128" s="5" t="str">
        <f ca="1">IFERROR(__xludf.DUMMYFUNCTION("""COMPUTED_VALUE"""),"Yes")</f>
        <v>Yes</v>
      </c>
      <c r="AC128" s="5" t="str">
        <f ca="1">IFERROR(__xludf.DUMMYFUNCTION("""COMPUTED_VALUE"""),"Yes")</f>
        <v>Yes</v>
      </c>
      <c r="AD128" s="5" t="str">
        <f ca="1">IFERROR(__xludf.DUMMYFUNCTION("""COMPUTED_VALUE"""),"Yes")</f>
        <v>Yes</v>
      </c>
      <c r="AE128" s="5" t="str">
        <f ca="1">IFERROR(__xludf.DUMMYFUNCTION("""COMPUTED_VALUE"""),"Yes")</f>
        <v>Yes</v>
      </c>
      <c r="AF128" s="5" t="str">
        <f ca="1">IFERROR(__xludf.DUMMYFUNCTION("""COMPUTED_VALUE"""),"Yes")</f>
        <v>Yes</v>
      </c>
      <c r="AG128" s="5" t="str">
        <f ca="1">IFERROR(__xludf.DUMMYFUNCTION("""COMPUTED_VALUE"""),"Yes")</f>
        <v>Yes</v>
      </c>
      <c r="AH128" s="5" t="str">
        <f ca="1">IFERROR(__xludf.DUMMYFUNCTION("""COMPUTED_VALUE"""),"Yes")</f>
        <v>Yes</v>
      </c>
      <c r="AI128" s="5" t="str">
        <f ca="1">IFERROR(__xludf.DUMMYFUNCTION("""COMPUTED_VALUE"""),"Yes")</f>
        <v>Yes</v>
      </c>
      <c r="AJ128" s="5" t="str">
        <f ca="1">IFERROR(__xludf.DUMMYFUNCTION("""COMPUTED_VALUE"""),"Yes")</f>
        <v>Yes</v>
      </c>
      <c r="AK128" s="5" t="str">
        <f ca="1">IFERROR(__xludf.DUMMYFUNCTION("""COMPUTED_VALUE"""),"Yes")</f>
        <v>Yes</v>
      </c>
      <c r="AL128" s="5" t="str">
        <f ca="1">IFERROR(__xludf.DUMMYFUNCTION("""COMPUTED_VALUE"""),"Yes")</f>
        <v>Yes</v>
      </c>
      <c r="AM128" s="5" t="str">
        <f ca="1">IFERROR(__xludf.DUMMYFUNCTION("""COMPUTED_VALUE"""),"Yes")</f>
        <v>Yes</v>
      </c>
      <c r="AN128" s="5" t="str">
        <f ca="1">IFERROR(__xludf.DUMMYFUNCTION("""COMPUTED_VALUE"""),"Yes")</f>
        <v>Yes</v>
      </c>
      <c r="AO128" s="5" t="str">
        <f ca="1">IFERROR(__xludf.DUMMYFUNCTION("""COMPUTED_VALUE"""),"Yes")</f>
        <v>Yes</v>
      </c>
      <c r="AP128" s="5" t="str">
        <f ca="1">IFERROR(__xludf.DUMMYFUNCTION("""COMPUTED_VALUE"""),"Yes")</f>
        <v>Yes</v>
      </c>
      <c r="AQ128" s="5" t="str">
        <f ca="1">IFERROR(__xludf.DUMMYFUNCTION("""COMPUTED_VALUE"""),"Yes")</f>
        <v>Yes</v>
      </c>
      <c r="AR128" s="5" t="str">
        <f ca="1">IFERROR(__xludf.DUMMYFUNCTION("""COMPUTED_VALUE"""),"Yes")</f>
        <v>Yes</v>
      </c>
      <c r="AS128" s="5" t="str">
        <f ca="1">IFERROR(__xludf.DUMMYFUNCTION("""COMPUTED_VALUE"""),"Yes")</f>
        <v>Yes</v>
      </c>
      <c r="AT128" s="5" t="str">
        <f ca="1">IFERROR(__xludf.DUMMYFUNCTION("""COMPUTED_VALUE"""),"No")</f>
        <v>No</v>
      </c>
      <c r="AU128" s="5"/>
    </row>
    <row r="129" spans="1:47" x14ac:dyDescent="0.25">
      <c r="A129" s="5" t="str">
        <f ca="1">IFERROR(__xludf.DUMMYFUNCTION("""COMPUTED_VALUE"""),"Foxi")</f>
        <v>Foxi</v>
      </c>
      <c r="B129" s="5" t="str">
        <f ca="1">IFERROR(__xludf.DUMMYFUNCTION("""COMPUTED_VALUE"""),"Football Victory")</f>
        <v>Football Victory</v>
      </c>
      <c r="C129" s="5" t="str">
        <f ca="1">IFERROR(__xludf.DUMMYFUNCTION("""COMPUTED_VALUE"""),"FootballVictory")</f>
        <v>FootballVictory</v>
      </c>
      <c r="D129" s="6">
        <f ca="1">IFERROR(__xludf.DUMMYFUNCTION("""COMPUTED_VALUE"""),45450)</f>
        <v>45450</v>
      </c>
      <c r="E129" s="5" t="str">
        <f ca="1">IFERROR(__xludf.DUMMYFUNCTION("""COMPUTED_VALUE"""),"Slot")</f>
        <v>Slot</v>
      </c>
      <c r="F129" s="5">
        <f ca="1">IFERROR(__xludf.DUMMYFUNCTION("""COMPUTED_VALUE"""),21)</f>
        <v>21</v>
      </c>
      <c r="G129" s="5" t="str">
        <f ca="1">IFERROR(__xludf.DUMMYFUNCTION("""COMPUTED_VALUE"""),"5x3")</f>
        <v>5x3</v>
      </c>
      <c r="H129" s="5" t="str">
        <f ca="1">IFERROR(__xludf.DUMMYFUNCTION("""COMPUTED_VALUE"""),"30")</f>
        <v>30</v>
      </c>
      <c r="I129" s="5" t="str">
        <f ca="1">IFERROR(__xludf.DUMMYFUNCTION("""COMPUTED_VALUE"""),"30")</f>
        <v>30</v>
      </c>
      <c r="J129" s="5" t="str">
        <f ca="1">IFERROR(__xludf.DUMMYFUNCTION("""COMPUTED_VALUE"""),"96.477%")</f>
        <v>96.477%</v>
      </c>
      <c r="K129" s="5" t="str">
        <f ca="1">IFERROR(__xludf.DUMMYFUNCTION("""COMPUTED_VALUE"""),"High")</f>
        <v>High</v>
      </c>
      <c r="L129" s="5" t="str">
        <f ca="1">IFERROR(__xludf.DUMMYFUNCTION("""COMPUTED_VALUE"""),"21.289%")</f>
        <v>21.289%</v>
      </c>
      <c r="M129" s="5" t="str">
        <f ca="1">IFERROR(__xludf.DUMMYFUNCTION("""COMPUTED_VALUE"""),"x2752")</f>
        <v>x2752</v>
      </c>
      <c r="N129" s="5" t="str">
        <f ca="1">IFERROR(__xludf.DUMMYFUNCTION("""COMPUTED_VALUE"""),"0.3/30")</f>
        <v>0.3/30</v>
      </c>
      <c r="O129" s="5" t="str">
        <f ca="1">IFERROR(__xludf.DUMMYFUNCTION("""COMPUTED_VALUE"""),"Yes")</f>
        <v>Yes</v>
      </c>
      <c r="P129" s="5" t="str">
        <f ca="1">IFERROR(__xludf.DUMMYFUNCTION("""COMPUTED_VALUE"""),"Wild Symbol, Scatter, Bonus Game with Free Spins")</f>
        <v>Wild Symbol, Scatter, Bonus Game with Free Spins</v>
      </c>
      <c r="Q129" s="7" t="str">
        <f ca="1">IFERROR(__xludf.DUMMYFUNCTION("""COMPUTED_VALUE"""),"https://gameserver-store-client-area.orbionlimited.com/Home/IntegrationGameLaunch/client-area?moneyType=0&amp;gameName=FootballVictory&amp;platform=desktop&amp;languageCode=eng&amp;currency=EUR")</f>
        <v>https://gameserver-store-client-area.orbionlimited.com/Home/IntegrationGameLaunch/client-area?moneyType=0&amp;gameName=FootballVictory&amp;platform=desktop&amp;languageCode=eng&amp;currency=EUR</v>
      </c>
      <c r="R129" s="5" t="str">
        <f ca="1">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S1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9" s="5" t="str">
        <f ca="1">IFERROR(__xludf.DUMMYFUNCTION("""COMPUTED_VALUE"""),"Yes")</f>
        <v>Yes</v>
      </c>
      <c r="U129" s="5" t="str">
        <f ca="1">IFERROR(__xludf.DUMMYFUNCTION("""COMPUTED_VALUE"""),"Yes")</f>
        <v>Yes</v>
      </c>
      <c r="V129" s="5" t="str">
        <f ca="1">IFERROR(__xludf.DUMMYFUNCTION("""COMPUTED_VALUE"""),"Yes")</f>
        <v>Yes</v>
      </c>
      <c r="W129" s="5" t="str">
        <f ca="1">IFERROR(__xludf.DUMMYFUNCTION("""COMPUTED_VALUE"""),"Yes")</f>
        <v>Yes</v>
      </c>
      <c r="X129" s="5" t="str">
        <f ca="1">IFERROR(__xludf.DUMMYFUNCTION("""COMPUTED_VALUE"""),"Yes")</f>
        <v>Yes</v>
      </c>
      <c r="Y129" s="5" t="str">
        <f ca="1">IFERROR(__xludf.DUMMYFUNCTION("""COMPUTED_VALUE"""),"Yes")</f>
        <v>Yes</v>
      </c>
      <c r="Z129" s="5" t="str">
        <f ca="1">IFERROR(__xludf.DUMMYFUNCTION("""COMPUTED_VALUE"""),"Yes")</f>
        <v>Yes</v>
      </c>
      <c r="AA129" s="5" t="str">
        <f ca="1">IFERROR(__xludf.DUMMYFUNCTION("""COMPUTED_VALUE"""),"Yes")</f>
        <v>Yes</v>
      </c>
      <c r="AB129" s="5" t="str">
        <f ca="1">IFERROR(__xludf.DUMMYFUNCTION("""COMPUTED_VALUE"""),"Yes")</f>
        <v>Yes</v>
      </c>
      <c r="AC129" s="5" t="str">
        <f ca="1">IFERROR(__xludf.DUMMYFUNCTION("""COMPUTED_VALUE"""),"Yes")</f>
        <v>Yes</v>
      </c>
      <c r="AD129" s="5" t="str">
        <f ca="1">IFERROR(__xludf.DUMMYFUNCTION("""COMPUTED_VALUE"""),"Yes")</f>
        <v>Yes</v>
      </c>
      <c r="AE129" s="5" t="str">
        <f ca="1">IFERROR(__xludf.DUMMYFUNCTION("""COMPUTED_VALUE"""),"Yes")</f>
        <v>Yes</v>
      </c>
      <c r="AF129" s="5" t="str">
        <f ca="1">IFERROR(__xludf.DUMMYFUNCTION("""COMPUTED_VALUE"""),"Yes")</f>
        <v>Yes</v>
      </c>
      <c r="AG129" s="5" t="str">
        <f ca="1">IFERROR(__xludf.DUMMYFUNCTION("""COMPUTED_VALUE"""),"Yes")</f>
        <v>Yes</v>
      </c>
      <c r="AH129" s="5" t="str">
        <f ca="1">IFERROR(__xludf.DUMMYFUNCTION("""COMPUTED_VALUE"""),"Yes")</f>
        <v>Yes</v>
      </c>
      <c r="AI129" s="5" t="str">
        <f ca="1">IFERROR(__xludf.DUMMYFUNCTION("""COMPUTED_VALUE"""),"Yes")</f>
        <v>Yes</v>
      </c>
      <c r="AJ129" s="5" t="str">
        <f ca="1">IFERROR(__xludf.DUMMYFUNCTION("""COMPUTED_VALUE"""),"Yes")</f>
        <v>Yes</v>
      </c>
      <c r="AK129" s="5" t="str">
        <f ca="1">IFERROR(__xludf.DUMMYFUNCTION("""COMPUTED_VALUE"""),"Yes")</f>
        <v>Yes</v>
      </c>
      <c r="AL129" s="5" t="str">
        <f ca="1">IFERROR(__xludf.DUMMYFUNCTION("""COMPUTED_VALUE"""),"Yes")</f>
        <v>Yes</v>
      </c>
      <c r="AM129" s="5" t="str">
        <f ca="1">IFERROR(__xludf.DUMMYFUNCTION("""COMPUTED_VALUE"""),"Yes")</f>
        <v>Yes</v>
      </c>
      <c r="AN129" s="5" t="str">
        <f ca="1">IFERROR(__xludf.DUMMYFUNCTION("""COMPUTED_VALUE"""),"Yes")</f>
        <v>Yes</v>
      </c>
      <c r="AO129" s="5" t="str">
        <f ca="1">IFERROR(__xludf.DUMMYFUNCTION("""COMPUTED_VALUE"""),"Yes")</f>
        <v>Yes</v>
      </c>
      <c r="AP129" s="5" t="str">
        <f ca="1">IFERROR(__xludf.DUMMYFUNCTION("""COMPUTED_VALUE"""),"Yes")</f>
        <v>Yes</v>
      </c>
      <c r="AQ129" s="5" t="str">
        <f ca="1">IFERROR(__xludf.DUMMYFUNCTION("""COMPUTED_VALUE"""),"Yes")</f>
        <v>Yes</v>
      </c>
      <c r="AR129" s="5" t="str">
        <f ca="1">IFERROR(__xludf.DUMMYFUNCTION("""COMPUTED_VALUE"""),"Yes")</f>
        <v>Yes</v>
      </c>
      <c r="AS129" s="5" t="str">
        <f ca="1">IFERROR(__xludf.DUMMYFUNCTION("""COMPUTED_VALUE"""),"Yes")</f>
        <v>Yes</v>
      </c>
      <c r="AT129" s="5" t="str">
        <f ca="1">IFERROR(__xludf.DUMMYFUNCTION("""COMPUTED_VALUE"""),"No")</f>
        <v>No</v>
      </c>
      <c r="AU129" s="5"/>
    </row>
    <row r="130" spans="1:47" x14ac:dyDescent="0.25">
      <c r="A130" s="5" t="str">
        <f ca="1">IFERROR(__xludf.DUMMYFUNCTION("""COMPUTED_VALUE"""),"Foxi")</f>
        <v>Foxi</v>
      </c>
      <c r="B130" s="5" t="str">
        <f ca="1">IFERROR(__xludf.DUMMYFUNCTION("""COMPUTED_VALUE"""),"Wild Sunburst")</f>
        <v>Wild Sunburst</v>
      </c>
      <c r="C130" s="5" t="str">
        <f ca="1">IFERROR(__xludf.DUMMYFUNCTION("""COMPUTED_VALUE"""),"WildSunburst")</f>
        <v>WildSunburst</v>
      </c>
      <c r="D130" s="6">
        <f ca="1">IFERROR(__xludf.DUMMYFUNCTION("""COMPUTED_VALUE"""),45525)</f>
        <v>45525</v>
      </c>
      <c r="E130" s="5" t="str">
        <f ca="1">IFERROR(__xludf.DUMMYFUNCTION("""COMPUTED_VALUE"""),"Slot")</f>
        <v>Slot</v>
      </c>
      <c r="F130" s="5">
        <f ca="1">IFERROR(__xludf.DUMMYFUNCTION("""COMPUTED_VALUE"""),17)</f>
        <v>17</v>
      </c>
      <c r="G130" s="5" t="str">
        <f ca="1">IFERROR(__xludf.DUMMYFUNCTION("""COMPUTED_VALUE"""),"5x3")</f>
        <v>5x3</v>
      </c>
      <c r="H130" s="5" t="str">
        <f ca="1">IFERROR(__xludf.DUMMYFUNCTION("""COMPUTED_VALUE"""),"40")</f>
        <v>40</v>
      </c>
      <c r="I130" s="5" t="str">
        <f ca="1">IFERROR(__xludf.DUMMYFUNCTION("""COMPUTED_VALUE"""),"40")</f>
        <v>40</v>
      </c>
      <c r="J130" s="5" t="str">
        <f ca="1">IFERROR(__xludf.DUMMYFUNCTION("""COMPUTED_VALUE"""),"96.526%")</f>
        <v>96.526%</v>
      </c>
      <c r="K130" s="5" t="str">
        <f ca="1">IFERROR(__xludf.DUMMYFUNCTION("""COMPUTED_VALUE"""),"Medium")</f>
        <v>Medium</v>
      </c>
      <c r="L130" s="5" t="str">
        <f ca="1">IFERROR(__xludf.DUMMYFUNCTION("""COMPUTED_VALUE"""),"38.826%")</f>
        <v>38.826%</v>
      </c>
      <c r="M130" s="5" t="str">
        <f ca="1">IFERROR(__xludf.DUMMYFUNCTION("""COMPUTED_VALUE"""),"x2320")</f>
        <v>x2320</v>
      </c>
      <c r="N130" s="5" t="str">
        <f ca="1">IFERROR(__xludf.DUMMYFUNCTION("""COMPUTED_VALUE"""),"0.4/60")</f>
        <v>0.4/60</v>
      </c>
      <c r="O130" s="5" t="str">
        <f ca="1">IFERROR(__xludf.DUMMYFUNCTION("""COMPUTED_VALUE"""),"Yes")</f>
        <v>Yes</v>
      </c>
      <c r="P130" s="5" t="str">
        <f ca="1">IFERROR(__xludf.DUMMYFUNCTION("""COMPUTED_VALUE"""),"Bonus Game with Free Spins, Wild Multiplier, Expanding Wild")</f>
        <v>Bonus Game with Free Spins, Wild Multiplier, Expanding Wild</v>
      </c>
      <c r="Q130" s="7" t="str">
        <f ca="1">IFERROR(__xludf.DUMMYFUNCTION("""COMPUTED_VALUE"""),"https://gameserver-store-client-area.orbionlimited.com/Home/IntegrationGameLaunch/client-area?moneyType=0&amp;gameName=WildSunburst&amp;platform=desktop&amp;languageCode=eng&amp;currency=EUR")</f>
        <v>https://gameserver-store-client-area.orbionlimited.com/Home/IntegrationGameLaunch/client-area?moneyType=0&amp;gameName=WildSunburst&amp;platform=desktop&amp;languageCode=eng&amp;currency=EUR</v>
      </c>
      <c r="R130" s="5" t="str">
        <f ca="1">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S1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0" s="5" t="str">
        <f ca="1">IFERROR(__xludf.DUMMYFUNCTION("""COMPUTED_VALUE"""),"Yes")</f>
        <v>Yes</v>
      </c>
      <c r="U130" s="5" t="str">
        <f ca="1">IFERROR(__xludf.DUMMYFUNCTION("""COMPUTED_VALUE"""),"Yes")</f>
        <v>Yes</v>
      </c>
      <c r="V130" s="5" t="str">
        <f ca="1">IFERROR(__xludf.DUMMYFUNCTION("""COMPUTED_VALUE"""),"Yes")</f>
        <v>Yes</v>
      </c>
      <c r="W130" s="5" t="str">
        <f ca="1">IFERROR(__xludf.DUMMYFUNCTION("""COMPUTED_VALUE"""),"Yes")</f>
        <v>Yes</v>
      </c>
      <c r="X130" s="5" t="str">
        <f ca="1">IFERROR(__xludf.DUMMYFUNCTION("""COMPUTED_VALUE"""),"Yes")</f>
        <v>Yes</v>
      </c>
      <c r="Y130" s="5" t="str">
        <f ca="1">IFERROR(__xludf.DUMMYFUNCTION("""COMPUTED_VALUE"""),"Yes")</f>
        <v>Yes</v>
      </c>
      <c r="Z130" s="5" t="str">
        <f ca="1">IFERROR(__xludf.DUMMYFUNCTION("""COMPUTED_VALUE"""),"Yes")</f>
        <v>Yes</v>
      </c>
      <c r="AA130" s="5" t="str">
        <f ca="1">IFERROR(__xludf.DUMMYFUNCTION("""COMPUTED_VALUE"""),"Yes")</f>
        <v>Yes</v>
      </c>
      <c r="AB130" s="5" t="str">
        <f ca="1">IFERROR(__xludf.DUMMYFUNCTION("""COMPUTED_VALUE"""),"Yes")</f>
        <v>Yes</v>
      </c>
      <c r="AC130" s="5" t="str">
        <f ca="1">IFERROR(__xludf.DUMMYFUNCTION("""COMPUTED_VALUE"""),"Yes")</f>
        <v>Yes</v>
      </c>
      <c r="AD130" s="5" t="str">
        <f ca="1">IFERROR(__xludf.DUMMYFUNCTION("""COMPUTED_VALUE"""),"Yes")</f>
        <v>Yes</v>
      </c>
      <c r="AE130" s="5" t="str">
        <f ca="1">IFERROR(__xludf.DUMMYFUNCTION("""COMPUTED_VALUE"""),"Yes")</f>
        <v>Yes</v>
      </c>
      <c r="AF130" s="5" t="str">
        <f ca="1">IFERROR(__xludf.DUMMYFUNCTION("""COMPUTED_VALUE"""),"Yes")</f>
        <v>Yes</v>
      </c>
      <c r="AG130" s="5" t="str">
        <f ca="1">IFERROR(__xludf.DUMMYFUNCTION("""COMPUTED_VALUE"""),"Yes")</f>
        <v>Yes</v>
      </c>
      <c r="AH130" s="5" t="str">
        <f ca="1">IFERROR(__xludf.DUMMYFUNCTION("""COMPUTED_VALUE"""),"Yes")</f>
        <v>Yes</v>
      </c>
      <c r="AI130" s="5" t="str">
        <f ca="1">IFERROR(__xludf.DUMMYFUNCTION("""COMPUTED_VALUE"""),"Yes")</f>
        <v>Yes</v>
      </c>
      <c r="AJ130" s="5" t="str">
        <f ca="1">IFERROR(__xludf.DUMMYFUNCTION("""COMPUTED_VALUE"""),"Yes")</f>
        <v>Yes</v>
      </c>
      <c r="AK130" s="5" t="str">
        <f ca="1">IFERROR(__xludf.DUMMYFUNCTION("""COMPUTED_VALUE"""),"Yes")</f>
        <v>Yes</v>
      </c>
      <c r="AL130" s="5" t="str">
        <f ca="1">IFERROR(__xludf.DUMMYFUNCTION("""COMPUTED_VALUE"""),"Yes")</f>
        <v>Yes</v>
      </c>
      <c r="AM130" s="5" t="str">
        <f ca="1">IFERROR(__xludf.DUMMYFUNCTION("""COMPUTED_VALUE"""),"Yes")</f>
        <v>Yes</v>
      </c>
      <c r="AN130" s="5" t="str">
        <f ca="1">IFERROR(__xludf.DUMMYFUNCTION("""COMPUTED_VALUE"""),"Yes")</f>
        <v>Yes</v>
      </c>
      <c r="AO130" s="5" t="str">
        <f ca="1">IFERROR(__xludf.DUMMYFUNCTION("""COMPUTED_VALUE"""),"Yes")</f>
        <v>Yes</v>
      </c>
      <c r="AP130" s="5" t="str">
        <f ca="1">IFERROR(__xludf.DUMMYFUNCTION("""COMPUTED_VALUE"""),"Yes")</f>
        <v>Yes</v>
      </c>
      <c r="AQ130" s="5" t="str">
        <f ca="1">IFERROR(__xludf.DUMMYFUNCTION("""COMPUTED_VALUE"""),"Yes")</f>
        <v>Yes</v>
      </c>
      <c r="AR130" s="5" t="str">
        <f ca="1">IFERROR(__xludf.DUMMYFUNCTION("""COMPUTED_VALUE"""),"Yes")</f>
        <v>Yes</v>
      </c>
      <c r="AS130" s="5" t="str">
        <f ca="1">IFERROR(__xludf.DUMMYFUNCTION("""COMPUTED_VALUE"""),"Yes")</f>
        <v>Yes</v>
      </c>
      <c r="AT130" s="5" t="str">
        <f ca="1">IFERROR(__xludf.DUMMYFUNCTION("""COMPUTED_VALUE"""),"No")</f>
        <v>No</v>
      </c>
      <c r="AU130" s="5"/>
    </row>
    <row r="131" spans="1:47" x14ac:dyDescent="0.25">
      <c r="A131" s="5" t="str">
        <f ca="1">IFERROR(__xludf.DUMMYFUNCTION("""COMPUTED_VALUE"""),"Foxi")</f>
        <v>Foxi</v>
      </c>
      <c r="B131" s="5" t="str">
        <f ca="1">IFERROR(__xludf.DUMMYFUNCTION("""COMPUTED_VALUE"""),"Toxic Haze")</f>
        <v>Toxic Haze</v>
      </c>
      <c r="C131" s="5" t="str">
        <f ca="1">IFERROR(__xludf.DUMMYFUNCTION("""COMPUTED_VALUE"""),"ToxicHaze")</f>
        <v>ToxicHaze</v>
      </c>
      <c r="D131" s="6">
        <f ca="1">IFERROR(__xludf.DUMMYFUNCTION("""COMPUTED_VALUE"""),45478)</f>
        <v>45478</v>
      </c>
      <c r="E131" s="5" t="str">
        <f ca="1">IFERROR(__xludf.DUMMYFUNCTION("""COMPUTED_VALUE"""),"Slot")</f>
        <v>Slot</v>
      </c>
      <c r="F131" s="5">
        <f ca="1">IFERROR(__xludf.DUMMYFUNCTION("""COMPUTED_VALUE"""),32.2)</f>
        <v>32.200000000000003</v>
      </c>
      <c r="G131" s="5" t="str">
        <f ca="1">IFERROR(__xludf.DUMMYFUNCTION("""COMPUTED_VALUE"""),"5x5")</f>
        <v>5x5</v>
      </c>
      <c r="H131" s="5" t="str">
        <f ca="1">IFERROR(__xludf.DUMMYFUNCTION("""COMPUTED_VALUE"""),"40")</f>
        <v>40</v>
      </c>
      <c r="I131" s="5" t="str">
        <f ca="1">IFERROR(__xludf.DUMMYFUNCTION("""COMPUTED_VALUE"""),"40")</f>
        <v>40</v>
      </c>
      <c r="J131" s="5" t="str">
        <f ca="1">IFERROR(__xludf.DUMMYFUNCTION("""COMPUTED_VALUE"""),"96.817%")</f>
        <v>96.817%</v>
      </c>
      <c r="K131" s="5" t="str">
        <f ca="1">IFERROR(__xludf.DUMMYFUNCTION("""COMPUTED_VALUE"""),"Medium")</f>
        <v>Medium</v>
      </c>
      <c r="L131" s="5" t="str">
        <f ca="1">IFERROR(__xludf.DUMMYFUNCTION("""COMPUTED_VALUE"""),"18.44%")</f>
        <v>18.44%</v>
      </c>
      <c r="M131" s="5" t="str">
        <f ca="1">IFERROR(__xludf.DUMMYFUNCTION("""COMPUTED_VALUE"""),"x2674")</f>
        <v>x2674</v>
      </c>
      <c r="N131" s="5" t="str">
        <f ca="1">IFERROR(__xludf.DUMMYFUNCTION("""COMPUTED_VALUE"""),"0.4/40")</f>
        <v>0.4/40</v>
      </c>
      <c r="O131" s="5" t="str">
        <f ca="1">IFERROR(__xludf.DUMMYFUNCTION("""COMPUTED_VALUE"""),"Yes")</f>
        <v>Yes</v>
      </c>
      <c r="P131" s="5" t="str">
        <f ca="1">IFERROR(__xludf.DUMMYFUNCTION("""COMPUTED_VALUE"""),"Bonus Game with Free Spins, Shifting Wild")</f>
        <v>Bonus Game with Free Spins, Shifting Wild</v>
      </c>
      <c r="Q131" s="7" t="str">
        <f ca="1">IFERROR(__xludf.DUMMYFUNCTION("""COMPUTED_VALUE"""),"https://gameserver-store-client-area.orbionlimited.com/Home/IntegrationGameLaunch/client-area?moneyType=0&amp;gameName=ToxicHaze&amp;platform=desktop&amp;languageCode=eng&amp;currency=EUR")</f>
        <v>https://gameserver-store-client-area.orbionlimited.com/Home/IntegrationGameLaunch/client-area?moneyType=0&amp;gameName=ToxicHaze&amp;platform=desktop&amp;languageCode=eng&amp;currency=EUR</v>
      </c>
      <c r="R131" s="5" t="str">
        <f ca="1">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S1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1" s="5" t="str">
        <f ca="1">IFERROR(__xludf.DUMMYFUNCTION("""COMPUTED_VALUE"""),"Yes")</f>
        <v>Yes</v>
      </c>
      <c r="U131" s="5" t="str">
        <f ca="1">IFERROR(__xludf.DUMMYFUNCTION("""COMPUTED_VALUE"""),"Yes")</f>
        <v>Yes</v>
      </c>
      <c r="V131" s="5" t="str">
        <f ca="1">IFERROR(__xludf.DUMMYFUNCTION("""COMPUTED_VALUE"""),"Yes")</f>
        <v>Yes</v>
      </c>
      <c r="W131" s="5" t="str">
        <f ca="1">IFERROR(__xludf.DUMMYFUNCTION("""COMPUTED_VALUE"""),"Yes")</f>
        <v>Yes</v>
      </c>
      <c r="X131" s="5" t="str">
        <f ca="1">IFERROR(__xludf.DUMMYFUNCTION("""COMPUTED_VALUE"""),"Yes")</f>
        <v>Yes</v>
      </c>
      <c r="Y131" s="5" t="str">
        <f ca="1">IFERROR(__xludf.DUMMYFUNCTION("""COMPUTED_VALUE"""),"Yes")</f>
        <v>Yes</v>
      </c>
      <c r="Z131" s="5" t="str">
        <f ca="1">IFERROR(__xludf.DUMMYFUNCTION("""COMPUTED_VALUE"""),"Yes")</f>
        <v>Yes</v>
      </c>
      <c r="AA131" s="5" t="str">
        <f ca="1">IFERROR(__xludf.DUMMYFUNCTION("""COMPUTED_VALUE"""),"Yes")</f>
        <v>Yes</v>
      </c>
      <c r="AB131" s="5" t="str">
        <f ca="1">IFERROR(__xludf.DUMMYFUNCTION("""COMPUTED_VALUE"""),"Yes")</f>
        <v>Yes</v>
      </c>
      <c r="AC131" s="5" t="str">
        <f ca="1">IFERROR(__xludf.DUMMYFUNCTION("""COMPUTED_VALUE"""),"Yes")</f>
        <v>Yes</v>
      </c>
      <c r="AD131" s="5" t="str">
        <f ca="1">IFERROR(__xludf.DUMMYFUNCTION("""COMPUTED_VALUE"""),"Yes")</f>
        <v>Yes</v>
      </c>
      <c r="AE131" s="5" t="str">
        <f ca="1">IFERROR(__xludf.DUMMYFUNCTION("""COMPUTED_VALUE"""),"Yes")</f>
        <v>Yes</v>
      </c>
      <c r="AF131" s="5" t="str">
        <f ca="1">IFERROR(__xludf.DUMMYFUNCTION("""COMPUTED_VALUE"""),"Yes")</f>
        <v>Yes</v>
      </c>
      <c r="AG131" s="5" t="str">
        <f ca="1">IFERROR(__xludf.DUMMYFUNCTION("""COMPUTED_VALUE"""),"Yes")</f>
        <v>Yes</v>
      </c>
      <c r="AH131" s="5" t="str">
        <f ca="1">IFERROR(__xludf.DUMMYFUNCTION("""COMPUTED_VALUE"""),"Yes")</f>
        <v>Yes</v>
      </c>
      <c r="AI131" s="5" t="str">
        <f ca="1">IFERROR(__xludf.DUMMYFUNCTION("""COMPUTED_VALUE"""),"Yes")</f>
        <v>Yes</v>
      </c>
      <c r="AJ131" s="5" t="str">
        <f ca="1">IFERROR(__xludf.DUMMYFUNCTION("""COMPUTED_VALUE"""),"Yes")</f>
        <v>Yes</v>
      </c>
      <c r="AK131" s="5" t="str">
        <f ca="1">IFERROR(__xludf.DUMMYFUNCTION("""COMPUTED_VALUE"""),"Yes")</f>
        <v>Yes</v>
      </c>
      <c r="AL131" s="5" t="str">
        <f ca="1">IFERROR(__xludf.DUMMYFUNCTION("""COMPUTED_VALUE"""),"Yes")</f>
        <v>Yes</v>
      </c>
      <c r="AM131" s="5" t="str">
        <f ca="1">IFERROR(__xludf.DUMMYFUNCTION("""COMPUTED_VALUE"""),"Yes")</f>
        <v>Yes</v>
      </c>
      <c r="AN131" s="5" t="str">
        <f ca="1">IFERROR(__xludf.DUMMYFUNCTION("""COMPUTED_VALUE"""),"Yes")</f>
        <v>Yes</v>
      </c>
      <c r="AO131" s="5" t="str">
        <f ca="1">IFERROR(__xludf.DUMMYFUNCTION("""COMPUTED_VALUE"""),"Yes")</f>
        <v>Yes</v>
      </c>
      <c r="AP131" s="5" t="str">
        <f ca="1">IFERROR(__xludf.DUMMYFUNCTION("""COMPUTED_VALUE"""),"Yes")</f>
        <v>Yes</v>
      </c>
      <c r="AQ131" s="5" t="str">
        <f ca="1">IFERROR(__xludf.DUMMYFUNCTION("""COMPUTED_VALUE"""),"Yes")</f>
        <v>Yes</v>
      </c>
      <c r="AR131" s="5" t="str">
        <f ca="1">IFERROR(__xludf.DUMMYFUNCTION("""COMPUTED_VALUE"""),"Yes")</f>
        <v>Yes</v>
      </c>
      <c r="AS131" s="5" t="str">
        <f ca="1">IFERROR(__xludf.DUMMYFUNCTION("""COMPUTED_VALUE"""),"Yes")</f>
        <v>Yes</v>
      </c>
      <c r="AT131" s="5" t="str">
        <f ca="1">IFERROR(__xludf.DUMMYFUNCTION("""COMPUTED_VALUE"""),"No")</f>
        <v>No</v>
      </c>
      <c r="AU131" s="5"/>
    </row>
    <row r="132" spans="1:47" x14ac:dyDescent="0.25">
      <c r="A132" s="5" t="str">
        <f ca="1">IFERROR(__xludf.DUMMYFUNCTION("""COMPUTED_VALUE"""),"Foxi")</f>
        <v>Foxi</v>
      </c>
      <c r="B132" s="5" t="str">
        <f ca="1">IFERROR(__xludf.DUMMYFUNCTION("""COMPUTED_VALUE"""),"Mega Hot 10")</f>
        <v>Mega Hot 10</v>
      </c>
      <c r="C132" s="5" t="str">
        <f ca="1">IFERROR(__xludf.DUMMYFUNCTION("""COMPUTED_VALUE"""),"MegaHot10")</f>
        <v>MegaHot10</v>
      </c>
      <c r="D132" s="6">
        <f ca="1">IFERROR(__xludf.DUMMYFUNCTION("""COMPUTED_VALUE"""),45540)</f>
        <v>45540</v>
      </c>
      <c r="E132" s="5" t="str">
        <f ca="1">IFERROR(__xludf.DUMMYFUNCTION("""COMPUTED_VALUE"""),"Slot")</f>
        <v>Slot</v>
      </c>
      <c r="F132" s="5">
        <f ca="1">IFERROR(__xludf.DUMMYFUNCTION("""COMPUTED_VALUE"""),9.8)</f>
        <v>9.8000000000000007</v>
      </c>
      <c r="G132" s="5" t="str">
        <f ca="1">IFERROR(__xludf.DUMMYFUNCTION("""COMPUTED_VALUE"""),"5x3")</f>
        <v>5x3</v>
      </c>
      <c r="H132" s="5" t="str">
        <f ca="1">IFERROR(__xludf.DUMMYFUNCTION("""COMPUTED_VALUE"""),"10")</f>
        <v>10</v>
      </c>
      <c r="I132" s="5" t="str">
        <f ca="1">IFERROR(__xludf.DUMMYFUNCTION("""COMPUTED_VALUE"""),"10")</f>
        <v>10</v>
      </c>
      <c r="J132" s="5" t="str">
        <f ca="1">IFERROR(__xludf.DUMMYFUNCTION("""COMPUTED_VALUE"""),"96.475%")</f>
        <v>96.475%</v>
      </c>
      <c r="K132" s="5" t="str">
        <f ca="1">IFERROR(__xludf.DUMMYFUNCTION("""COMPUTED_VALUE"""),"High")</f>
        <v>High</v>
      </c>
      <c r="L132" s="5" t="str">
        <f ca="1">IFERROR(__xludf.DUMMYFUNCTION("""COMPUTED_VALUE"""),"5.934%")</f>
        <v>5.934%</v>
      </c>
      <c r="M132" s="5" t="str">
        <f ca="1">IFERROR(__xludf.DUMMYFUNCTION("""COMPUTED_VALUE"""),"x1500")</f>
        <v>x1500</v>
      </c>
      <c r="N132" s="5" t="str">
        <f ca="1">IFERROR(__xludf.DUMMYFUNCTION("""COMPUTED_VALUE"""),"0.1/40")</f>
        <v>0.1/40</v>
      </c>
      <c r="O132" s="5" t="str">
        <f ca="1">IFERROR(__xludf.DUMMYFUNCTION("""COMPUTED_VALUE"""),"Yes")</f>
        <v>Yes</v>
      </c>
      <c r="P132" s="5" t="str">
        <f ca="1">IFERROR(__xludf.DUMMYFUNCTION("""COMPUTED_VALUE"""),"Win Multiplier")</f>
        <v>Win Multiplier</v>
      </c>
      <c r="Q132" s="7" t="str">
        <f ca="1">IFERROR(__xludf.DUMMYFUNCTION("""COMPUTED_VALUE"""),"https://gameserver-store-client-area.orbionlimited.com/Home/IntegrationGameLaunch/client-area?moneyType=0&amp;gameName=MegaHot10&amp;platform=desktop&amp;languageCode=eng&amp;currency=EUR")</f>
        <v>https://gameserver-store-client-area.orbionlimited.com/Home/IntegrationGameLaunch/client-area?moneyType=0&amp;gameName=MegaHot10&amp;platform=desktop&amp;languageCode=eng&amp;currency=EUR</v>
      </c>
      <c r="R132" s="5" t="str">
        <f ca="1">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S1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2" s="5" t="str">
        <f ca="1">IFERROR(__xludf.DUMMYFUNCTION("""COMPUTED_VALUE"""),"Yes")</f>
        <v>Yes</v>
      </c>
      <c r="U132" s="5" t="str">
        <f ca="1">IFERROR(__xludf.DUMMYFUNCTION("""COMPUTED_VALUE"""),"Yes")</f>
        <v>Yes</v>
      </c>
      <c r="V132" s="5" t="str">
        <f ca="1">IFERROR(__xludf.DUMMYFUNCTION("""COMPUTED_VALUE"""),"Yes")</f>
        <v>Yes</v>
      </c>
      <c r="W132" s="5" t="str">
        <f ca="1">IFERROR(__xludf.DUMMYFUNCTION("""COMPUTED_VALUE"""),"Yes")</f>
        <v>Yes</v>
      </c>
      <c r="X132" s="5" t="str">
        <f ca="1">IFERROR(__xludf.DUMMYFUNCTION("""COMPUTED_VALUE"""),"Yes")</f>
        <v>Yes</v>
      </c>
      <c r="Y132" s="5" t="str">
        <f ca="1">IFERROR(__xludf.DUMMYFUNCTION("""COMPUTED_VALUE"""),"Yes")</f>
        <v>Yes</v>
      </c>
      <c r="Z132" s="5" t="str">
        <f ca="1">IFERROR(__xludf.DUMMYFUNCTION("""COMPUTED_VALUE"""),"Yes")</f>
        <v>Yes</v>
      </c>
      <c r="AA132" s="5" t="str">
        <f ca="1">IFERROR(__xludf.DUMMYFUNCTION("""COMPUTED_VALUE"""),"Yes")</f>
        <v>Yes</v>
      </c>
      <c r="AB132" s="5" t="str">
        <f ca="1">IFERROR(__xludf.DUMMYFUNCTION("""COMPUTED_VALUE"""),"Yes")</f>
        <v>Yes</v>
      </c>
      <c r="AC132" s="5" t="str">
        <f ca="1">IFERROR(__xludf.DUMMYFUNCTION("""COMPUTED_VALUE"""),"Yes")</f>
        <v>Yes</v>
      </c>
      <c r="AD132" s="5" t="str">
        <f ca="1">IFERROR(__xludf.DUMMYFUNCTION("""COMPUTED_VALUE"""),"Yes")</f>
        <v>Yes</v>
      </c>
      <c r="AE132" s="5" t="str">
        <f ca="1">IFERROR(__xludf.DUMMYFUNCTION("""COMPUTED_VALUE"""),"Yes")</f>
        <v>Yes</v>
      </c>
      <c r="AF132" s="5" t="str">
        <f ca="1">IFERROR(__xludf.DUMMYFUNCTION("""COMPUTED_VALUE"""),"Yes")</f>
        <v>Yes</v>
      </c>
      <c r="AG132" s="5" t="str">
        <f ca="1">IFERROR(__xludf.DUMMYFUNCTION("""COMPUTED_VALUE"""),"Yes")</f>
        <v>Yes</v>
      </c>
      <c r="AH132" s="5" t="str">
        <f ca="1">IFERROR(__xludf.DUMMYFUNCTION("""COMPUTED_VALUE"""),"Yes")</f>
        <v>Yes</v>
      </c>
      <c r="AI132" s="5" t="str">
        <f ca="1">IFERROR(__xludf.DUMMYFUNCTION("""COMPUTED_VALUE"""),"Yes")</f>
        <v>Yes</v>
      </c>
      <c r="AJ132" s="5" t="str">
        <f ca="1">IFERROR(__xludf.DUMMYFUNCTION("""COMPUTED_VALUE"""),"Yes")</f>
        <v>Yes</v>
      </c>
      <c r="AK132" s="5" t="str">
        <f ca="1">IFERROR(__xludf.DUMMYFUNCTION("""COMPUTED_VALUE"""),"Yes")</f>
        <v>Yes</v>
      </c>
      <c r="AL132" s="5" t="str">
        <f ca="1">IFERROR(__xludf.DUMMYFUNCTION("""COMPUTED_VALUE"""),"Yes")</f>
        <v>Yes</v>
      </c>
      <c r="AM132" s="5" t="str">
        <f ca="1">IFERROR(__xludf.DUMMYFUNCTION("""COMPUTED_VALUE"""),"Yes")</f>
        <v>Yes</v>
      </c>
      <c r="AN132" s="5" t="str">
        <f ca="1">IFERROR(__xludf.DUMMYFUNCTION("""COMPUTED_VALUE"""),"Yes")</f>
        <v>Yes</v>
      </c>
      <c r="AO132" s="5" t="str">
        <f ca="1">IFERROR(__xludf.DUMMYFUNCTION("""COMPUTED_VALUE"""),"Yes")</f>
        <v>Yes</v>
      </c>
      <c r="AP132" s="5" t="str">
        <f ca="1">IFERROR(__xludf.DUMMYFUNCTION("""COMPUTED_VALUE"""),"Yes")</f>
        <v>Yes</v>
      </c>
      <c r="AQ132" s="5" t="str">
        <f ca="1">IFERROR(__xludf.DUMMYFUNCTION("""COMPUTED_VALUE"""),"Yes")</f>
        <v>Yes</v>
      </c>
      <c r="AR132" s="5" t="str">
        <f ca="1">IFERROR(__xludf.DUMMYFUNCTION("""COMPUTED_VALUE"""),"Yes")</f>
        <v>Yes</v>
      </c>
      <c r="AS132" s="5" t="str">
        <f ca="1">IFERROR(__xludf.DUMMYFUNCTION("""COMPUTED_VALUE"""),"Yes")</f>
        <v>Yes</v>
      </c>
      <c r="AT132" s="5" t="str">
        <f ca="1">IFERROR(__xludf.DUMMYFUNCTION("""COMPUTED_VALUE"""),"No")</f>
        <v>No</v>
      </c>
      <c r="AU132" s="5"/>
    </row>
    <row r="133" spans="1:47" x14ac:dyDescent="0.25">
      <c r="A133" s="5" t="str">
        <f ca="1">IFERROR(__xludf.DUMMYFUNCTION("""COMPUTED_VALUE"""),"Foxi")</f>
        <v>Foxi</v>
      </c>
      <c r="B133" s="5" t="str">
        <f ca="1">IFERROR(__xludf.DUMMYFUNCTION("""COMPUTED_VALUE"""),"Wild Heat 40")</f>
        <v>Wild Heat 40</v>
      </c>
      <c r="C133" s="5" t="str">
        <f ca="1">IFERROR(__xludf.DUMMYFUNCTION("""COMPUTED_VALUE"""),"WildHeat40")</f>
        <v>WildHeat40</v>
      </c>
      <c r="D133" s="6">
        <f ca="1">IFERROR(__xludf.DUMMYFUNCTION("""COMPUTED_VALUE"""),45551)</f>
        <v>45551</v>
      </c>
      <c r="E133" s="5" t="str">
        <f ca="1">IFERROR(__xludf.DUMMYFUNCTION("""COMPUTED_VALUE"""),"Slot")</f>
        <v>Slot</v>
      </c>
      <c r="F133" s="5">
        <f ca="1">IFERROR(__xludf.DUMMYFUNCTION("""COMPUTED_VALUE"""),11.9)</f>
        <v>11.9</v>
      </c>
      <c r="G133" s="5" t="str">
        <f ca="1">IFERROR(__xludf.DUMMYFUNCTION("""COMPUTED_VALUE"""),"5x4")</f>
        <v>5x4</v>
      </c>
      <c r="H133" s="5" t="str">
        <f ca="1">IFERROR(__xludf.DUMMYFUNCTION("""COMPUTED_VALUE"""),"40")</f>
        <v>40</v>
      </c>
      <c r="I133" s="5" t="str">
        <f ca="1">IFERROR(__xludf.DUMMYFUNCTION("""COMPUTED_VALUE"""),"40")</f>
        <v>40</v>
      </c>
      <c r="J133" s="5" t="str">
        <f ca="1">IFERROR(__xludf.DUMMYFUNCTION("""COMPUTED_VALUE"""),"96.997%")</f>
        <v>96.997%</v>
      </c>
      <c r="K133" s="5" t="str">
        <f ca="1">IFERROR(__xludf.DUMMYFUNCTION("""COMPUTED_VALUE"""),"Low")</f>
        <v>Low</v>
      </c>
      <c r="L133" s="5" t="str">
        <f ca="1">IFERROR(__xludf.DUMMYFUNCTION("""COMPUTED_VALUE"""),"16.768%")</f>
        <v>16.768%</v>
      </c>
      <c r="M133" s="5" t="str">
        <f ca="1">IFERROR(__xludf.DUMMYFUNCTION("""COMPUTED_VALUE"""),"x1000")</f>
        <v>x1000</v>
      </c>
      <c r="N133" s="5" t="str">
        <f ca="1">IFERROR(__xludf.DUMMYFUNCTION("""COMPUTED_VALUE"""),"0.4/60")</f>
        <v>0.4/60</v>
      </c>
      <c r="O133" s="5" t="str">
        <f ca="1">IFERROR(__xludf.DUMMYFUNCTION("""COMPUTED_VALUE"""),"Yes")</f>
        <v>Yes</v>
      </c>
      <c r="P133" s="5" t="str">
        <f ca="1">IFERROR(__xludf.DUMMYFUNCTION("""COMPUTED_VALUE"""),"Wild Symbol")</f>
        <v>Wild Symbol</v>
      </c>
      <c r="Q133" s="7" t="str">
        <f ca="1">IFERROR(__xludf.DUMMYFUNCTION("""COMPUTED_VALUE"""),"https://gameserver-store-client-area.orbionlimited.com/Home/IntegrationGameLaunch/client-area?moneyType=0&amp;gameName=WildHeat40&amp;platform=desktop&amp;languageCode=eng&amp;currency=EUR")</f>
        <v>https://gameserver-store-client-area.orbionlimited.com/Home/IntegrationGameLaunch/client-area?moneyType=0&amp;gameName=WildHeat40&amp;platform=desktop&amp;languageCode=eng&amp;currency=EUR</v>
      </c>
      <c r="R133" s="5" t="str">
        <f ca="1">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S1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3" s="5" t="str">
        <f ca="1">IFERROR(__xludf.DUMMYFUNCTION("""COMPUTED_VALUE"""),"Yes")</f>
        <v>Yes</v>
      </c>
      <c r="U133" s="5" t="str">
        <f ca="1">IFERROR(__xludf.DUMMYFUNCTION("""COMPUTED_VALUE"""),"Yes")</f>
        <v>Yes</v>
      </c>
      <c r="V133" s="5" t="str">
        <f ca="1">IFERROR(__xludf.DUMMYFUNCTION("""COMPUTED_VALUE"""),"Yes")</f>
        <v>Yes</v>
      </c>
      <c r="W133" s="5" t="str">
        <f ca="1">IFERROR(__xludf.DUMMYFUNCTION("""COMPUTED_VALUE"""),"Yes")</f>
        <v>Yes</v>
      </c>
      <c r="X133" s="5" t="str">
        <f ca="1">IFERROR(__xludf.DUMMYFUNCTION("""COMPUTED_VALUE"""),"Yes")</f>
        <v>Yes</v>
      </c>
      <c r="Y133" s="5" t="str">
        <f ca="1">IFERROR(__xludf.DUMMYFUNCTION("""COMPUTED_VALUE"""),"Yes")</f>
        <v>Yes</v>
      </c>
      <c r="Z133" s="5" t="str">
        <f ca="1">IFERROR(__xludf.DUMMYFUNCTION("""COMPUTED_VALUE"""),"Yes")</f>
        <v>Yes</v>
      </c>
      <c r="AA133" s="5" t="str">
        <f ca="1">IFERROR(__xludf.DUMMYFUNCTION("""COMPUTED_VALUE"""),"Yes")</f>
        <v>Yes</v>
      </c>
      <c r="AB133" s="5" t="str">
        <f ca="1">IFERROR(__xludf.DUMMYFUNCTION("""COMPUTED_VALUE"""),"Yes")</f>
        <v>Yes</v>
      </c>
      <c r="AC133" s="5" t="str">
        <f ca="1">IFERROR(__xludf.DUMMYFUNCTION("""COMPUTED_VALUE"""),"Yes")</f>
        <v>Yes</v>
      </c>
      <c r="AD133" s="5" t="str">
        <f ca="1">IFERROR(__xludf.DUMMYFUNCTION("""COMPUTED_VALUE"""),"Yes")</f>
        <v>Yes</v>
      </c>
      <c r="AE133" s="5" t="str">
        <f ca="1">IFERROR(__xludf.DUMMYFUNCTION("""COMPUTED_VALUE"""),"Yes")</f>
        <v>Yes</v>
      </c>
      <c r="AF133" s="5" t="str">
        <f ca="1">IFERROR(__xludf.DUMMYFUNCTION("""COMPUTED_VALUE"""),"Yes")</f>
        <v>Yes</v>
      </c>
      <c r="AG133" s="5" t="str">
        <f ca="1">IFERROR(__xludf.DUMMYFUNCTION("""COMPUTED_VALUE"""),"Yes")</f>
        <v>Yes</v>
      </c>
      <c r="AH133" s="5" t="str">
        <f ca="1">IFERROR(__xludf.DUMMYFUNCTION("""COMPUTED_VALUE"""),"Yes")</f>
        <v>Yes</v>
      </c>
      <c r="AI133" s="5" t="str">
        <f ca="1">IFERROR(__xludf.DUMMYFUNCTION("""COMPUTED_VALUE"""),"Yes")</f>
        <v>Yes</v>
      </c>
      <c r="AJ133" s="5" t="str">
        <f ca="1">IFERROR(__xludf.DUMMYFUNCTION("""COMPUTED_VALUE"""),"Yes")</f>
        <v>Yes</v>
      </c>
      <c r="AK133" s="5" t="str">
        <f ca="1">IFERROR(__xludf.DUMMYFUNCTION("""COMPUTED_VALUE"""),"Yes")</f>
        <v>Yes</v>
      </c>
      <c r="AL133" s="5" t="str">
        <f ca="1">IFERROR(__xludf.DUMMYFUNCTION("""COMPUTED_VALUE"""),"Yes")</f>
        <v>Yes</v>
      </c>
      <c r="AM133" s="5" t="str">
        <f ca="1">IFERROR(__xludf.DUMMYFUNCTION("""COMPUTED_VALUE"""),"Yes")</f>
        <v>Yes</v>
      </c>
      <c r="AN133" s="5" t="str">
        <f ca="1">IFERROR(__xludf.DUMMYFUNCTION("""COMPUTED_VALUE"""),"Yes")</f>
        <v>Yes</v>
      </c>
      <c r="AO133" s="5" t="str">
        <f ca="1">IFERROR(__xludf.DUMMYFUNCTION("""COMPUTED_VALUE"""),"Yes")</f>
        <v>Yes</v>
      </c>
      <c r="AP133" s="5" t="str">
        <f ca="1">IFERROR(__xludf.DUMMYFUNCTION("""COMPUTED_VALUE"""),"Yes")</f>
        <v>Yes</v>
      </c>
      <c r="AQ133" s="5" t="str">
        <f ca="1">IFERROR(__xludf.DUMMYFUNCTION("""COMPUTED_VALUE"""),"Yes")</f>
        <v>Yes</v>
      </c>
      <c r="AR133" s="5" t="str">
        <f ca="1">IFERROR(__xludf.DUMMYFUNCTION("""COMPUTED_VALUE"""),"Yes")</f>
        <v>Yes</v>
      </c>
      <c r="AS133" s="5" t="str">
        <f ca="1">IFERROR(__xludf.DUMMYFUNCTION("""COMPUTED_VALUE"""),"Yes")</f>
        <v>Yes</v>
      </c>
      <c r="AT133" s="5" t="str">
        <f ca="1">IFERROR(__xludf.DUMMYFUNCTION("""COMPUTED_VALUE"""),"No")</f>
        <v>No</v>
      </c>
      <c r="AU133" s="5"/>
    </row>
    <row r="134" spans="1:47" x14ac:dyDescent="0.25">
      <c r="A134" s="5" t="str">
        <f ca="1">IFERROR(__xludf.DUMMYFUNCTION("""COMPUTED_VALUE"""),"Foxi")</f>
        <v>Foxi</v>
      </c>
      <c r="B134" s="5" t="str">
        <f ca="1">IFERROR(__xludf.DUMMYFUNCTION("""COMPUTED_VALUE"""),"Blow Fruits 40")</f>
        <v>Blow Fruits 40</v>
      </c>
      <c r="C134" s="5" t="str">
        <f ca="1">IFERROR(__xludf.DUMMYFUNCTION("""COMPUTED_VALUE"""),"BlowFruits40")</f>
        <v>BlowFruits40</v>
      </c>
      <c r="D134" s="6">
        <f ca="1">IFERROR(__xludf.DUMMYFUNCTION("""COMPUTED_VALUE"""),45601)</f>
        <v>45601</v>
      </c>
      <c r="E134" s="5" t="str">
        <f ca="1">IFERROR(__xludf.DUMMYFUNCTION("""COMPUTED_VALUE"""),"Slot")</f>
        <v>Slot</v>
      </c>
      <c r="F134" s="5">
        <f ca="1">IFERROR(__xludf.DUMMYFUNCTION("""COMPUTED_VALUE"""),22.6)</f>
        <v>22.6</v>
      </c>
      <c r="G134" s="5" t="str">
        <f ca="1">IFERROR(__xludf.DUMMYFUNCTION("""COMPUTED_VALUE"""),"5x4")</f>
        <v>5x4</v>
      </c>
      <c r="H134" s="5" t="str">
        <f ca="1">IFERROR(__xludf.DUMMYFUNCTION("""COMPUTED_VALUE"""),"40")</f>
        <v>40</v>
      </c>
      <c r="I134" s="5" t="str">
        <f ca="1">IFERROR(__xludf.DUMMYFUNCTION("""COMPUTED_VALUE"""),"40")</f>
        <v>40</v>
      </c>
      <c r="J134" s="5" t="str">
        <f ca="1">IFERROR(__xludf.DUMMYFUNCTION("""COMPUTED_VALUE"""),"96.594%")</f>
        <v>96.594%</v>
      </c>
      <c r="K134" s="5" t="str">
        <f ca="1">IFERROR(__xludf.DUMMYFUNCTION("""COMPUTED_VALUE"""),"Medium")</f>
        <v>Medium</v>
      </c>
      <c r="L134" s="5" t="str">
        <f ca="1">IFERROR(__xludf.DUMMYFUNCTION("""COMPUTED_VALUE"""),"12.056%")</f>
        <v>12.056%</v>
      </c>
      <c r="M134" s="5" t="str">
        <f ca="1">IFERROR(__xludf.DUMMYFUNCTION("""COMPUTED_VALUE"""),"x750")</f>
        <v>x750</v>
      </c>
      <c r="N134" s="5" t="str">
        <f ca="1">IFERROR(__xludf.DUMMYFUNCTION("""COMPUTED_VALUE"""),"0.4/60")</f>
        <v>0.4/60</v>
      </c>
      <c r="O134" s="5" t="str">
        <f ca="1">IFERROR(__xludf.DUMMYFUNCTION("""COMPUTED_VALUE"""),"Yes")</f>
        <v>Yes</v>
      </c>
      <c r="P134" s="5" t="str">
        <f ca="1">IFERROR(__xludf.DUMMYFUNCTION("""COMPUTED_VALUE"""),"Exploding Wild")</f>
        <v>Exploding Wild</v>
      </c>
      <c r="Q134" s="7" t="str">
        <f ca="1">IFERROR(__xludf.DUMMYFUNCTION("""COMPUTED_VALUE"""),"https://gameserver-store-client-area.orbionlimited.com/Home/IntegrationGameLaunch/client-area?moneyType=0&amp;gameName=BlowFruits40&amp;platform=desktop&amp;languageCode=eng&amp;currency=EUR")</f>
        <v>https://gameserver-store-client-area.orbionlimited.com/Home/IntegrationGameLaunch/client-area?moneyType=0&amp;gameName=BlowFruits40&amp;platform=desktop&amp;languageCode=eng&amp;currency=EUR</v>
      </c>
      <c r="R134" s="5" t="str">
        <f ca="1">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S1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4" s="5" t="str">
        <f ca="1">IFERROR(__xludf.DUMMYFUNCTION("""COMPUTED_VALUE"""),"Yes")</f>
        <v>Yes</v>
      </c>
      <c r="U134" s="5" t="str">
        <f ca="1">IFERROR(__xludf.DUMMYFUNCTION("""COMPUTED_VALUE"""),"Yes")</f>
        <v>Yes</v>
      </c>
      <c r="V134" s="5" t="str">
        <f ca="1">IFERROR(__xludf.DUMMYFUNCTION("""COMPUTED_VALUE"""),"Yes")</f>
        <v>Yes</v>
      </c>
      <c r="W134" s="5" t="str">
        <f ca="1">IFERROR(__xludf.DUMMYFUNCTION("""COMPUTED_VALUE"""),"Yes")</f>
        <v>Yes</v>
      </c>
      <c r="X134" s="5" t="str">
        <f ca="1">IFERROR(__xludf.DUMMYFUNCTION("""COMPUTED_VALUE"""),"Yes")</f>
        <v>Yes</v>
      </c>
      <c r="Y134" s="5" t="str">
        <f ca="1">IFERROR(__xludf.DUMMYFUNCTION("""COMPUTED_VALUE"""),"Yes")</f>
        <v>Yes</v>
      </c>
      <c r="Z134" s="5" t="str">
        <f ca="1">IFERROR(__xludf.DUMMYFUNCTION("""COMPUTED_VALUE"""),"Yes")</f>
        <v>Yes</v>
      </c>
      <c r="AA134" s="5" t="str">
        <f ca="1">IFERROR(__xludf.DUMMYFUNCTION("""COMPUTED_VALUE"""),"Yes")</f>
        <v>Yes</v>
      </c>
      <c r="AB134" s="5" t="str">
        <f ca="1">IFERROR(__xludf.DUMMYFUNCTION("""COMPUTED_VALUE"""),"Yes")</f>
        <v>Yes</v>
      </c>
      <c r="AC134" s="5" t="str">
        <f ca="1">IFERROR(__xludf.DUMMYFUNCTION("""COMPUTED_VALUE"""),"Yes")</f>
        <v>Yes</v>
      </c>
      <c r="AD134" s="5" t="str">
        <f ca="1">IFERROR(__xludf.DUMMYFUNCTION("""COMPUTED_VALUE"""),"Yes")</f>
        <v>Yes</v>
      </c>
      <c r="AE134" s="5" t="str">
        <f ca="1">IFERROR(__xludf.DUMMYFUNCTION("""COMPUTED_VALUE"""),"Yes")</f>
        <v>Yes</v>
      </c>
      <c r="AF134" s="5" t="str">
        <f ca="1">IFERROR(__xludf.DUMMYFUNCTION("""COMPUTED_VALUE"""),"Yes")</f>
        <v>Yes</v>
      </c>
      <c r="AG134" s="5" t="str">
        <f ca="1">IFERROR(__xludf.DUMMYFUNCTION("""COMPUTED_VALUE"""),"Yes")</f>
        <v>Yes</v>
      </c>
      <c r="AH134" s="5" t="str">
        <f ca="1">IFERROR(__xludf.DUMMYFUNCTION("""COMPUTED_VALUE"""),"Yes")</f>
        <v>Yes</v>
      </c>
      <c r="AI134" s="5" t="str">
        <f ca="1">IFERROR(__xludf.DUMMYFUNCTION("""COMPUTED_VALUE"""),"Yes")</f>
        <v>Yes</v>
      </c>
      <c r="AJ134" s="5" t="str">
        <f ca="1">IFERROR(__xludf.DUMMYFUNCTION("""COMPUTED_VALUE"""),"Yes")</f>
        <v>Yes</v>
      </c>
      <c r="AK134" s="5" t="str">
        <f ca="1">IFERROR(__xludf.DUMMYFUNCTION("""COMPUTED_VALUE"""),"Yes")</f>
        <v>Yes</v>
      </c>
      <c r="AL134" s="5" t="str">
        <f ca="1">IFERROR(__xludf.DUMMYFUNCTION("""COMPUTED_VALUE"""),"Yes")</f>
        <v>Yes</v>
      </c>
      <c r="AM134" s="5" t="str">
        <f ca="1">IFERROR(__xludf.DUMMYFUNCTION("""COMPUTED_VALUE"""),"Yes")</f>
        <v>Yes</v>
      </c>
      <c r="AN134" s="5" t="str">
        <f ca="1">IFERROR(__xludf.DUMMYFUNCTION("""COMPUTED_VALUE"""),"Yes")</f>
        <v>Yes</v>
      </c>
      <c r="AO134" s="5" t="str">
        <f ca="1">IFERROR(__xludf.DUMMYFUNCTION("""COMPUTED_VALUE"""),"Yes")</f>
        <v>Yes</v>
      </c>
      <c r="AP134" s="5" t="str">
        <f ca="1">IFERROR(__xludf.DUMMYFUNCTION("""COMPUTED_VALUE"""),"Yes")</f>
        <v>Yes</v>
      </c>
      <c r="AQ134" s="5" t="str">
        <f ca="1">IFERROR(__xludf.DUMMYFUNCTION("""COMPUTED_VALUE"""),"Yes")</f>
        <v>Yes</v>
      </c>
      <c r="AR134" s="5" t="str">
        <f ca="1">IFERROR(__xludf.DUMMYFUNCTION("""COMPUTED_VALUE"""),"Yes")</f>
        <v>Yes</v>
      </c>
      <c r="AS134" s="5" t="str">
        <f ca="1">IFERROR(__xludf.DUMMYFUNCTION("""COMPUTED_VALUE"""),"Yes")</f>
        <v>Yes</v>
      </c>
      <c r="AT134" s="5" t="str">
        <f ca="1">IFERROR(__xludf.DUMMYFUNCTION("""COMPUTED_VALUE"""),"No")</f>
        <v>No</v>
      </c>
      <c r="AU134" s="5"/>
    </row>
    <row r="135" spans="1:47" x14ac:dyDescent="0.25">
      <c r="A135" s="5" t="str">
        <f ca="1">IFERROR(__xludf.DUMMYFUNCTION("""COMPUTED_VALUE"""),"Foxi")</f>
        <v>Foxi</v>
      </c>
      <c r="B135" s="5" t="str">
        <f ca="1">IFERROR(__xludf.DUMMYFUNCTION("""COMPUTED_VALUE"""),"Age of Rome")</f>
        <v>Age of Rome</v>
      </c>
      <c r="C135" s="5" t="str">
        <f ca="1">IFERROR(__xludf.DUMMYFUNCTION("""COMPUTED_VALUE"""),"AgeOfRome")</f>
        <v>AgeOfRome</v>
      </c>
      <c r="D135" s="6">
        <f ca="1">IFERROR(__xludf.DUMMYFUNCTION("""COMPUTED_VALUE"""),45769)</f>
        <v>45769</v>
      </c>
      <c r="E135" s="5" t="str">
        <f ca="1">IFERROR(__xludf.DUMMYFUNCTION("""COMPUTED_VALUE"""),"Slot")</f>
        <v>Slot</v>
      </c>
      <c r="F135" s="5">
        <f ca="1">IFERROR(__xludf.DUMMYFUNCTION("""COMPUTED_VALUE"""),33.1)</f>
        <v>33.1</v>
      </c>
      <c r="G135" s="5" t="str">
        <f ca="1">IFERROR(__xludf.DUMMYFUNCTION("""COMPUTED_VALUE"""),"5x3")</f>
        <v>5x3</v>
      </c>
      <c r="H135" s="5" t="str">
        <f ca="1">IFERROR(__xludf.DUMMYFUNCTION("""COMPUTED_VALUE"""),"20")</f>
        <v>20</v>
      </c>
      <c r="I135" s="5" t="str">
        <f ca="1">IFERROR(__xludf.DUMMYFUNCTION("""COMPUTED_VALUE"""),"20")</f>
        <v>20</v>
      </c>
      <c r="J135" s="5" t="str">
        <f ca="1">IFERROR(__xludf.DUMMYFUNCTION("""COMPUTED_VALUE"""),"96.502%")</f>
        <v>96.502%</v>
      </c>
      <c r="K135" s="5" t="str">
        <f ca="1">IFERROR(__xludf.DUMMYFUNCTION("""COMPUTED_VALUE"""),"High")</f>
        <v>High</v>
      </c>
      <c r="L135" s="5" t="str">
        <f ca="1">IFERROR(__xludf.DUMMYFUNCTION("""COMPUTED_VALUE"""),"12.937%")</f>
        <v>12.937%</v>
      </c>
      <c r="M135" s="5" t="str">
        <f ca="1">IFERROR(__xludf.DUMMYFUNCTION("""COMPUTED_VALUE"""),"x14000")</f>
        <v>x14000</v>
      </c>
      <c r="N135" s="5" t="str">
        <f ca="1">IFERROR(__xludf.DUMMYFUNCTION("""COMPUTED_VALUE"""),"0.4/60")</f>
        <v>0.4/60</v>
      </c>
      <c r="O135" s="5" t="str">
        <f ca="1">IFERROR(__xludf.DUMMYFUNCTION("""COMPUTED_VALUE"""),"Yes")</f>
        <v>Yes</v>
      </c>
      <c r="P135" s="5" t="str">
        <f ca="1">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Q135" s="7" t="str">
        <f ca="1">IFERROR(__xludf.DUMMYFUNCTION("""COMPUTED_VALUE"""),"https://gameserver-store-client-area.orbionlimited.com/Home/IntegrationGameLaunch/client-area?moneyType=0&amp;gameName=AgeOfRome&amp;platform=desktop&amp;languageCode=eng&amp;currency=EUR")</f>
        <v>https://gameserver-store-client-area.orbionlimited.com/Home/IntegrationGameLaunch/client-area?moneyType=0&amp;gameName=AgeOfRome&amp;platform=desktop&amp;languageCode=eng&amp;currency=EUR</v>
      </c>
      <c r="R135" s="5" t="str">
        <f ca="1">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S1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IFERROR(__xludf.DUMMYFUNCTION("""COMPUTED_VALUE"""),"Yes")</f>
        <v>Yes</v>
      </c>
      <c r="AA135" s="5" t="str">
        <f ca="1">IFERROR(__xludf.DUMMYFUNCTION("""COMPUTED_VALUE"""),"Yes")</f>
        <v>Yes</v>
      </c>
      <c r="AB135" s="5" t="str">
        <f ca="1">IFERROR(__xludf.DUMMYFUNCTION("""COMPUTED_VALUE"""),"Yes")</f>
        <v>Yes</v>
      </c>
      <c r="AC135" s="5" t="str">
        <f ca="1">IFERROR(__xludf.DUMMYFUNCTION("""COMPUTED_VALUE"""),"Yes")</f>
        <v>Yes</v>
      </c>
      <c r="AD135" s="5" t="str">
        <f ca="1">IFERROR(__xludf.DUMMYFUNCTION("""COMPUTED_VALUE"""),"Yes")</f>
        <v>Yes</v>
      </c>
      <c r="AE135" s="5" t="str">
        <f ca="1">IFERROR(__xludf.DUMMYFUNCTION("""COMPUTED_VALUE"""),"Yes")</f>
        <v>Yes</v>
      </c>
      <c r="AF135" s="5" t="str">
        <f ca="1">IFERROR(__xludf.DUMMYFUNCTION("""COMPUTED_VALUE"""),"Yes")</f>
        <v>Yes</v>
      </c>
      <c r="AG135" s="5" t="str">
        <f ca="1">IFERROR(__xludf.DUMMYFUNCTION("""COMPUTED_VALUE"""),"Yes")</f>
        <v>Yes</v>
      </c>
      <c r="AH135" s="5" t="str">
        <f ca="1">IFERROR(__xludf.DUMMYFUNCTION("""COMPUTED_VALUE"""),"Yes")</f>
        <v>Yes</v>
      </c>
      <c r="AI135" s="5" t="str">
        <f ca="1">IFERROR(__xludf.DUMMYFUNCTION("""COMPUTED_VALUE"""),"Yes")</f>
        <v>Yes</v>
      </c>
      <c r="AJ135" s="5" t="str">
        <f ca="1">IFERROR(__xludf.DUMMYFUNCTION("""COMPUTED_VALUE"""),"Yes")</f>
        <v>Yes</v>
      </c>
      <c r="AK135" s="5" t="str">
        <f ca="1">IFERROR(__xludf.DUMMYFUNCTION("""COMPUTED_VALUE"""),"Yes")</f>
        <v>Yes</v>
      </c>
      <c r="AL135" s="5" t="str">
        <f ca="1">IFERROR(__xludf.DUMMYFUNCTION("""COMPUTED_VALUE"""),"Yes")</f>
        <v>Yes</v>
      </c>
      <c r="AM135" s="5" t="str">
        <f ca="1">IFERROR(__xludf.DUMMYFUNCTION("""COMPUTED_VALUE"""),"Yes")</f>
        <v>Yes</v>
      </c>
      <c r="AN135" s="5" t="str">
        <f ca="1">IFERROR(__xludf.DUMMYFUNCTION("""COMPUTED_VALUE"""),"Yes")</f>
        <v>Yes</v>
      </c>
      <c r="AO135" s="5" t="str">
        <f ca="1">IFERROR(__xludf.DUMMYFUNCTION("""COMPUTED_VALUE"""),"Yes")</f>
        <v>Yes</v>
      </c>
      <c r="AP135" s="5" t="str">
        <f ca="1">IFERROR(__xludf.DUMMYFUNCTION("""COMPUTED_VALUE"""),"Yes")</f>
        <v>Yes</v>
      </c>
      <c r="AQ135" s="5" t="str">
        <f ca="1">IFERROR(__xludf.DUMMYFUNCTION("""COMPUTED_VALUE"""),"Yes")</f>
        <v>Yes</v>
      </c>
      <c r="AR135" s="5" t="str">
        <f ca="1">IFERROR(__xludf.DUMMYFUNCTION("""COMPUTED_VALUE"""),"Yes")</f>
        <v>Yes</v>
      </c>
      <c r="AS135" s="5" t="str">
        <f ca="1">IFERROR(__xludf.DUMMYFUNCTION("""COMPUTED_VALUE"""),"Yes")</f>
        <v>Yes</v>
      </c>
      <c r="AT135" s="5" t="str">
        <f ca="1">IFERROR(__xludf.DUMMYFUNCTION("""COMPUTED_VALUE"""),"No")</f>
        <v>No</v>
      </c>
      <c r="AU135" s="5"/>
    </row>
    <row r="136" spans="1:47" x14ac:dyDescent="0.25">
      <c r="A136" s="5" t="str">
        <f ca="1">IFERROR(__xludf.DUMMYFUNCTION("""COMPUTED_VALUE"""),"Foxi")</f>
        <v>Foxi</v>
      </c>
      <c r="B136" s="5" t="str">
        <f ca="1">IFERROR(__xludf.DUMMYFUNCTION("""COMPUTED_VALUE"""),"Fruity Force 40")</f>
        <v>Fruity Force 40</v>
      </c>
      <c r="C136" s="5" t="str">
        <f ca="1">IFERROR(__xludf.DUMMYFUNCTION("""COMPUTED_VALUE"""),"FruityForce40")</f>
        <v>FruityForce40</v>
      </c>
      <c r="D136" s="6">
        <f ca="1">IFERROR(__xludf.DUMMYFUNCTION("""COMPUTED_VALUE"""),45743)</f>
        <v>45743</v>
      </c>
      <c r="E136" s="5" t="str">
        <f ca="1">IFERROR(__xludf.DUMMYFUNCTION("""COMPUTED_VALUE"""),"Slot")</f>
        <v>Slot</v>
      </c>
      <c r="F136" s="5">
        <f ca="1">IFERROR(__xludf.DUMMYFUNCTION("""COMPUTED_VALUE"""),22.6)</f>
        <v>22.6</v>
      </c>
      <c r="G136" s="5" t="str">
        <f ca="1">IFERROR(__xludf.DUMMYFUNCTION("""COMPUTED_VALUE"""),"5x4")</f>
        <v>5x4</v>
      </c>
      <c r="H136" s="5" t="str">
        <f ca="1">IFERROR(__xludf.DUMMYFUNCTION("""COMPUTED_VALUE"""),"40")</f>
        <v>40</v>
      </c>
      <c r="I136" s="5" t="str">
        <f ca="1">IFERROR(__xludf.DUMMYFUNCTION("""COMPUTED_VALUE"""),"40")</f>
        <v>40</v>
      </c>
      <c r="J136" s="5" t="str">
        <f ca="1">IFERROR(__xludf.DUMMYFUNCTION("""COMPUTED_VALUE"""),"96.621%")</f>
        <v>96.621%</v>
      </c>
      <c r="K136" s="5" t="str">
        <f ca="1">IFERROR(__xludf.DUMMYFUNCTION("""COMPUTED_VALUE"""),"High")</f>
        <v>High</v>
      </c>
      <c r="L136" s="5" t="str">
        <f ca="1">IFERROR(__xludf.DUMMYFUNCTION("""COMPUTED_VALUE"""),"12.617%")</f>
        <v>12.617%</v>
      </c>
      <c r="M136" s="5" t="str">
        <f ca="1">IFERROR(__xludf.DUMMYFUNCTION("""COMPUTED_VALUE"""),"x25000")</f>
        <v>x25000</v>
      </c>
      <c r="N136" s="5" t="str">
        <f ca="1">IFERROR(__xludf.DUMMYFUNCTION("""COMPUTED_VALUE"""),"0.40/60")</f>
        <v>0.40/60</v>
      </c>
      <c r="O136" s="5" t="str">
        <f ca="1">IFERROR(__xludf.DUMMYFUNCTION("""COMPUTED_VALUE"""),"Yes")</f>
        <v>Yes</v>
      </c>
      <c r="P136" s="5" t="str">
        <f ca="1">IFERROR(__xludf.DUMMYFUNCTION("""COMPUTED_VALUE"""),"Level Pay, Win Multiplier, Buy Feature")</f>
        <v>Level Pay, Win Multiplier, Buy Feature</v>
      </c>
      <c r="Q136" s="7" t="str">
        <f ca="1">IFERROR(__xludf.DUMMYFUNCTION("""COMPUTED_VALUE"""),"https://gameserver-store-client-area.orbionlimited.com/Home/IntegrationGameLaunch/client-area?moneyType=0&amp;gameName=FruityForce40&amp;platform=desktop&amp;languageCode=eng&amp;currency=EUR")</f>
        <v>https://gameserver-store-client-area.orbionlimited.com/Home/IntegrationGameLaunch/client-area?moneyType=0&amp;gameName=FruityForce40&amp;platform=desktop&amp;languageCode=eng&amp;currency=EUR</v>
      </c>
      <c r="R136" s="5" t="str">
        <f ca="1">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S1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IFERROR(__xludf.DUMMYFUNCTION("""COMPUTED_VALUE"""),"Yes")</f>
        <v>Yes</v>
      </c>
      <c r="AA136" s="5" t="str">
        <f ca="1">IFERROR(__xludf.DUMMYFUNCTION("""COMPUTED_VALUE"""),"Yes")</f>
        <v>Yes</v>
      </c>
      <c r="AB136" s="5" t="str">
        <f ca="1">IFERROR(__xludf.DUMMYFUNCTION("""COMPUTED_VALUE"""),"Yes")</f>
        <v>Yes</v>
      </c>
      <c r="AC136" s="5" t="str">
        <f ca="1">IFERROR(__xludf.DUMMYFUNCTION("""COMPUTED_VALUE"""),"Yes")</f>
        <v>Yes</v>
      </c>
      <c r="AD136" s="5" t="str">
        <f ca="1">IFERROR(__xludf.DUMMYFUNCTION("""COMPUTED_VALUE"""),"Yes")</f>
        <v>Yes</v>
      </c>
      <c r="AE136" s="5" t="str">
        <f ca="1">IFERROR(__xludf.DUMMYFUNCTION("""COMPUTED_VALUE"""),"Yes")</f>
        <v>Yes</v>
      </c>
      <c r="AF136" s="5" t="str">
        <f ca="1">IFERROR(__xludf.DUMMYFUNCTION("""COMPUTED_VALUE"""),"Yes")</f>
        <v>Yes</v>
      </c>
      <c r="AG136" s="5" t="str">
        <f ca="1">IFERROR(__xludf.DUMMYFUNCTION("""COMPUTED_VALUE"""),"Yes")</f>
        <v>Yes</v>
      </c>
      <c r="AH136" s="5" t="str">
        <f ca="1">IFERROR(__xludf.DUMMYFUNCTION("""COMPUTED_VALUE"""),"Yes")</f>
        <v>Yes</v>
      </c>
      <c r="AI136" s="5" t="str">
        <f ca="1">IFERROR(__xludf.DUMMYFUNCTION("""COMPUTED_VALUE"""),"Yes")</f>
        <v>Yes</v>
      </c>
      <c r="AJ136" s="5" t="str">
        <f ca="1">IFERROR(__xludf.DUMMYFUNCTION("""COMPUTED_VALUE"""),"Yes")</f>
        <v>Yes</v>
      </c>
      <c r="AK136" s="5" t="str">
        <f ca="1">IFERROR(__xludf.DUMMYFUNCTION("""COMPUTED_VALUE"""),"Yes")</f>
        <v>Yes</v>
      </c>
      <c r="AL136" s="5" t="str">
        <f ca="1">IFERROR(__xludf.DUMMYFUNCTION("""COMPUTED_VALUE"""),"Yes")</f>
        <v>Yes</v>
      </c>
      <c r="AM136" s="5" t="str">
        <f ca="1">IFERROR(__xludf.DUMMYFUNCTION("""COMPUTED_VALUE"""),"Yes")</f>
        <v>Yes</v>
      </c>
      <c r="AN136" s="5" t="str">
        <f ca="1">IFERROR(__xludf.DUMMYFUNCTION("""COMPUTED_VALUE"""),"Yes")</f>
        <v>Yes</v>
      </c>
      <c r="AO136" s="5" t="str">
        <f ca="1">IFERROR(__xludf.DUMMYFUNCTION("""COMPUTED_VALUE"""),"Yes")</f>
        <v>Yes</v>
      </c>
      <c r="AP136" s="5" t="str">
        <f ca="1">IFERROR(__xludf.DUMMYFUNCTION("""COMPUTED_VALUE"""),"Yes")</f>
        <v>Yes</v>
      </c>
      <c r="AQ136" s="5" t="str">
        <f ca="1">IFERROR(__xludf.DUMMYFUNCTION("""COMPUTED_VALUE"""),"Yes")</f>
        <v>Yes</v>
      </c>
      <c r="AR136" s="5" t="str">
        <f ca="1">IFERROR(__xludf.DUMMYFUNCTION("""COMPUTED_VALUE"""),"Yes")</f>
        <v>Yes</v>
      </c>
      <c r="AS136" s="5" t="str">
        <f ca="1">IFERROR(__xludf.DUMMYFUNCTION("""COMPUTED_VALUE"""),"Yes")</f>
        <v>Yes</v>
      </c>
      <c r="AT136" s="5" t="str">
        <f ca="1">IFERROR(__xludf.DUMMYFUNCTION("""COMPUTED_VALUE"""),"No")</f>
        <v>No</v>
      </c>
      <c r="AU136" s="5"/>
    </row>
    <row r="137" spans="1:47" x14ac:dyDescent="0.25">
      <c r="A137" s="5" t="str">
        <f ca="1">IFERROR(__xludf.DUMMYFUNCTION("""COMPUTED_VALUE"""),"Foxi")</f>
        <v>Foxi</v>
      </c>
      <c r="B137" s="5" t="str">
        <f ca="1">IFERROR(__xludf.DUMMYFUNCTION("""COMPUTED_VALUE"""),"Bonus Crown")</f>
        <v>Bonus Crown</v>
      </c>
      <c r="C137" s="5" t="str">
        <f ca="1">IFERROR(__xludf.DUMMYFUNCTION("""COMPUTED_VALUE"""),"BonusCrown")</f>
        <v>BonusCrown</v>
      </c>
      <c r="D137" s="6">
        <f ca="1">IFERROR(__xludf.DUMMYFUNCTION("""COMPUTED_VALUE"""),45615)</f>
        <v>45615</v>
      </c>
      <c r="E137" s="5" t="str">
        <f ca="1">IFERROR(__xludf.DUMMYFUNCTION("""COMPUTED_VALUE"""),"Slot")</f>
        <v>Slot</v>
      </c>
      <c r="F137" s="5">
        <f ca="1">IFERROR(__xludf.DUMMYFUNCTION("""COMPUTED_VALUE"""),17)</f>
        <v>17</v>
      </c>
      <c r="G137" s="5" t="str">
        <f ca="1">IFERROR(__xludf.DUMMYFUNCTION("""COMPUTED_VALUE"""),"5x3")</f>
        <v>5x3</v>
      </c>
      <c r="H137" s="5" t="str">
        <f ca="1">IFERROR(__xludf.DUMMYFUNCTION("""COMPUTED_VALUE"""),"10")</f>
        <v>10</v>
      </c>
      <c r="I137" s="5" t="str">
        <f ca="1">IFERROR(__xludf.DUMMYFUNCTION("""COMPUTED_VALUE"""),"10")</f>
        <v>10</v>
      </c>
      <c r="J137" s="5" t="str">
        <f ca="1">IFERROR(__xludf.DUMMYFUNCTION("""COMPUTED_VALUE"""),"96.533%")</f>
        <v>96.533%</v>
      </c>
      <c r="K137" s="5" t="str">
        <f ca="1">IFERROR(__xludf.DUMMYFUNCTION("""COMPUTED_VALUE"""),"High")</f>
        <v>High</v>
      </c>
      <c r="L137" s="5" t="str">
        <f ca="1">IFERROR(__xludf.DUMMYFUNCTION("""COMPUTED_VALUE"""),"10.607%")</f>
        <v>10.607%</v>
      </c>
      <c r="M137" s="5" t="str">
        <f ca="1">IFERROR(__xludf.DUMMYFUNCTION("""COMPUTED_VALUE"""),"x10400")</f>
        <v>x10400</v>
      </c>
      <c r="N137" s="5" t="str">
        <f ca="1">IFERROR(__xludf.DUMMYFUNCTION("""COMPUTED_VALUE"""),"0.1/40")</f>
        <v>0.1/40</v>
      </c>
      <c r="O137" s="5" t="str">
        <f ca="1">IFERROR(__xludf.DUMMYFUNCTION("""COMPUTED_VALUE"""),"Yes")</f>
        <v>Yes</v>
      </c>
      <c r="P137" s="5" t="str">
        <f ca="1">IFERROR(__xludf.DUMMYFUNCTION("""COMPUTED_VALUE"""),"Extralines, Expanding Wild, Buy Bonus")</f>
        <v>Extralines, Expanding Wild, Buy Bonus</v>
      </c>
      <c r="Q137" s="7" t="str">
        <f ca="1">IFERROR(__xludf.DUMMYFUNCTION("""COMPUTED_VALUE"""),"https://gameserver-store-client-area.orbionlimited.com/Home/IntegrationGameLaunch/client-area?moneyType=0&amp;gameName=BonusCrown&amp;platform=desktop&amp;languageCode=eng&amp;currency=EUR")</f>
        <v>https://gameserver-store-client-area.orbionlimited.com/Home/IntegrationGameLaunch/client-area?moneyType=0&amp;gameName=BonusCrown&amp;platform=desktop&amp;languageCode=eng&amp;currency=EUR</v>
      </c>
      <c r="R137" s="5" t="str">
        <f ca="1">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S1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7" s="5" t="str">
        <f ca="1">IFERROR(__xludf.DUMMYFUNCTION("""COMPUTED_VALUE"""),"Yes")</f>
        <v>Yes</v>
      </c>
      <c r="U137" s="5" t="str">
        <f ca="1">IFERROR(__xludf.DUMMYFUNCTION("""COMPUTED_VALUE"""),"Yes")</f>
        <v>Yes</v>
      </c>
      <c r="V137" s="5" t="str">
        <f ca="1">IFERROR(__xludf.DUMMYFUNCTION("""COMPUTED_VALUE"""),"Yes")</f>
        <v>Yes</v>
      </c>
      <c r="W137" s="5" t="str">
        <f ca="1">IFERROR(__xludf.DUMMYFUNCTION("""COMPUTED_VALUE"""),"Yes")</f>
        <v>Yes</v>
      </c>
      <c r="X137" s="5" t="str">
        <f ca="1">IFERROR(__xludf.DUMMYFUNCTION("""COMPUTED_VALUE"""),"Yes")</f>
        <v>Yes</v>
      </c>
      <c r="Y137" s="5" t="str">
        <f ca="1">IFERROR(__xludf.DUMMYFUNCTION("""COMPUTED_VALUE"""),"Yes")</f>
        <v>Yes</v>
      </c>
      <c r="Z137" s="5" t="str">
        <f ca="1">IFERROR(__xludf.DUMMYFUNCTION("""COMPUTED_VALUE"""),"Yes")</f>
        <v>Yes</v>
      </c>
      <c r="AA137" s="5" t="str">
        <f ca="1">IFERROR(__xludf.DUMMYFUNCTION("""COMPUTED_VALUE"""),"Yes")</f>
        <v>Yes</v>
      </c>
      <c r="AB137" s="5" t="str">
        <f ca="1">IFERROR(__xludf.DUMMYFUNCTION("""COMPUTED_VALUE"""),"Yes")</f>
        <v>Yes</v>
      </c>
      <c r="AC137" s="5" t="str">
        <f ca="1">IFERROR(__xludf.DUMMYFUNCTION("""COMPUTED_VALUE"""),"Yes")</f>
        <v>Yes</v>
      </c>
      <c r="AD137" s="5" t="str">
        <f ca="1">IFERROR(__xludf.DUMMYFUNCTION("""COMPUTED_VALUE"""),"Yes")</f>
        <v>Yes</v>
      </c>
      <c r="AE137" s="5" t="str">
        <f ca="1">IFERROR(__xludf.DUMMYFUNCTION("""COMPUTED_VALUE"""),"Yes")</f>
        <v>Yes</v>
      </c>
      <c r="AF137" s="5" t="str">
        <f ca="1">IFERROR(__xludf.DUMMYFUNCTION("""COMPUTED_VALUE"""),"Yes")</f>
        <v>Yes</v>
      </c>
      <c r="AG137" s="5" t="str">
        <f ca="1">IFERROR(__xludf.DUMMYFUNCTION("""COMPUTED_VALUE"""),"Yes")</f>
        <v>Yes</v>
      </c>
      <c r="AH137" s="5" t="str">
        <f ca="1">IFERROR(__xludf.DUMMYFUNCTION("""COMPUTED_VALUE"""),"Yes")</f>
        <v>Yes</v>
      </c>
      <c r="AI137" s="5" t="str">
        <f ca="1">IFERROR(__xludf.DUMMYFUNCTION("""COMPUTED_VALUE"""),"Yes")</f>
        <v>Yes</v>
      </c>
      <c r="AJ137" s="5" t="str">
        <f ca="1">IFERROR(__xludf.DUMMYFUNCTION("""COMPUTED_VALUE"""),"Yes")</f>
        <v>Yes</v>
      </c>
      <c r="AK137" s="5" t="str">
        <f ca="1">IFERROR(__xludf.DUMMYFUNCTION("""COMPUTED_VALUE"""),"Yes")</f>
        <v>Yes</v>
      </c>
      <c r="AL137" s="5" t="str">
        <f ca="1">IFERROR(__xludf.DUMMYFUNCTION("""COMPUTED_VALUE"""),"Yes")</f>
        <v>Yes</v>
      </c>
      <c r="AM137" s="5" t="str">
        <f ca="1">IFERROR(__xludf.DUMMYFUNCTION("""COMPUTED_VALUE"""),"Yes")</f>
        <v>Yes</v>
      </c>
      <c r="AN137" s="5" t="str">
        <f ca="1">IFERROR(__xludf.DUMMYFUNCTION("""COMPUTED_VALUE"""),"Yes")</f>
        <v>Yes</v>
      </c>
      <c r="AO137" s="5" t="str">
        <f ca="1">IFERROR(__xludf.DUMMYFUNCTION("""COMPUTED_VALUE"""),"Yes")</f>
        <v>Yes</v>
      </c>
      <c r="AP137" s="5" t="str">
        <f ca="1">IFERROR(__xludf.DUMMYFUNCTION("""COMPUTED_VALUE"""),"Yes")</f>
        <v>Yes</v>
      </c>
      <c r="AQ137" s="5" t="str">
        <f ca="1">IFERROR(__xludf.DUMMYFUNCTION("""COMPUTED_VALUE"""),"Yes")</f>
        <v>Yes</v>
      </c>
      <c r="AR137" s="5" t="str">
        <f ca="1">IFERROR(__xludf.DUMMYFUNCTION("""COMPUTED_VALUE"""),"Yes")</f>
        <v>Yes</v>
      </c>
      <c r="AS137" s="5" t="str">
        <f ca="1">IFERROR(__xludf.DUMMYFUNCTION("""COMPUTED_VALUE"""),"Yes")</f>
        <v>Yes</v>
      </c>
      <c r="AT137" s="5" t="str">
        <f ca="1">IFERROR(__xludf.DUMMYFUNCTION("""COMPUTED_VALUE"""),"No")</f>
        <v>No</v>
      </c>
      <c r="AU137" s="5"/>
    </row>
    <row r="138" spans="1:47" x14ac:dyDescent="0.25">
      <c r="A138" s="5" t="str">
        <f ca="1">IFERROR(__xludf.DUMMYFUNCTION("""COMPUTED_VALUE"""),"Foxi")</f>
        <v>Foxi</v>
      </c>
      <c r="B138" s="5" t="str">
        <f ca="1">IFERROR(__xludf.DUMMYFUNCTION("""COMPUTED_VALUE"""),"Aqua Flame")</f>
        <v>Aqua Flame</v>
      </c>
      <c r="C138" s="5" t="str">
        <f ca="1">IFERROR(__xludf.DUMMYFUNCTION("""COMPUTED_VALUE"""),"AquaFlame")</f>
        <v>AquaFlame</v>
      </c>
      <c r="D138" s="6">
        <f ca="1">IFERROR(__xludf.DUMMYFUNCTION("""COMPUTED_VALUE"""),45643)</f>
        <v>45643</v>
      </c>
      <c r="E138" s="5" t="str">
        <f ca="1">IFERROR(__xludf.DUMMYFUNCTION("""COMPUTED_VALUE"""),"Slot")</f>
        <v>Slot</v>
      </c>
      <c r="F138" s="5">
        <f ca="1">IFERROR(__xludf.DUMMYFUNCTION("""COMPUTED_VALUE"""),18.8)</f>
        <v>18.8</v>
      </c>
      <c r="G138" s="5" t="str">
        <f ca="1">IFERROR(__xludf.DUMMYFUNCTION("""COMPUTED_VALUE"""),"5x3")</f>
        <v>5x3</v>
      </c>
      <c r="H138" s="5" t="str">
        <f ca="1">IFERROR(__xludf.DUMMYFUNCTION("""COMPUTED_VALUE"""),"20")</f>
        <v>20</v>
      </c>
      <c r="I138" s="5" t="str">
        <f ca="1">IFERROR(__xludf.DUMMYFUNCTION("""COMPUTED_VALUE"""),"20")</f>
        <v>20</v>
      </c>
      <c r="J138" s="5" t="str">
        <f ca="1">IFERROR(__xludf.DUMMYFUNCTION("""COMPUTED_VALUE"""),"96.502%")</f>
        <v>96.502%</v>
      </c>
      <c r="K138" s="5" t="str">
        <f ca="1">IFERROR(__xludf.DUMMYFUNCTION("""COMPUTED_VALUE"""),"High")</f>
        <v>High</v>
      </c>
      <c r="L138" s="5" t="str">
        <f ca="1">IFERROR(__xludf.DUMMYFUNCTION("""COMPUTED_VALUE"""),"17.348%")</f>
        <v>17.348%</v>
      </c>
      <c r="M138" s="5" t="str">
        <f ca="1">IFERROR(__xludf.DUMMYFUNCTION("""COMPUTED_VALUE"""),"x10000")</f>
        <v>x10000</v>
      </c>
      <c r="N138" s="5" t="str">
        <f ca="1">IFERROR(__xludf.DUMMYFUNCTION("""COMPUTED_VALUE"""),"0.2/50")</f>
        <v>0.2/50</v>
      </c>
      <c r="O138" s="5" t="str">
        <f ca="1">IFERROR(__xludf.DUMMYFUNCTION("""COMPUTED_VALUE"""),"Yes")</f>
        <v>Yes</v>
      </c>
      <c r="P138" s="5" t="str">
        <f ca="1">IFERROR(__xludf.DUMMYFUNCTION("""COMPUTED_VALUE"""),"Select Volatility, Scatter, Wild Symbol")</f>
        <v>Select Volatility, Scatter, Wild Symbol</v>
      </c>
      <c r="Q138" s="7" t="str">
        <f ca="1">IFERROR(__xludf.DUMMYFUNCTION("""COMPUTED_VALUE"""),"https://gameserver-store-client-area.orbionlimited.com/Home/IntegrationGameLaunch/client-area?moneyType=0&amp;gameName=AquaFlame&amp;platform=desktop&amp;languageCode=eng&amp;currency=EUR")</f>
        <v>https://gameserver-store-client-area.orbionlimited.com/Home/IntegrationGameLaunch/client-area?moneyType=0&amp;gameName=AquaFlame&amp;platform=desktop&amp;languageCode=eng&amp;currency=EUR</v>
      </c>
      <c r="R138" s="5" t="str">
        <f ca="1">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S1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8" s="5" t="str">
        <f ca="1">IFERROR(__xludf.DUMMYFUNCTION("""COMPUTED_VALUE"""),"Yes")</f>
        <v>Yes</v>
      </c>
      <c r="U138" s="5" t="str">
        <f ca="1">IFERROR(__xludf.DUMMYFUNCTION("""COMPUTED_VALUE"""),"Yes")</f>
        <v>Yes</v>
      </c>
      <c r="V138" s="5" t="str">
        <f ca="1">IFERROR(__xludf.DUMMYFUNCTION("""COMPUTED_VALUE"""),"Yes")</f>
        <v>Yes</v>
      </c>
      <c r="W138" s="5" t="str">
        <f ca="1">IFERROR(__xludf.DUMMYFUNCTION("""COMPUTED_VALUE"""),"Yes")</f>
        <v>Yes</v>
      </c>
      <c r="X138" s="5" t="str">
        <f ca="1">IFERROR(__xludf.DUMMYFUNCTION("""COMPUTED_VALUE"""),"Yes")</f>
        <v>Yes</v>
      </c>
      <c r="Y138" s="5" t="str">
        <f ca="1">IFERROR(__xludf.DUMMYFUNCTION("""COMPUTED_VALUE"""),"Yes")</f>
        <v>Yes</v>
      </c>
      <c r="Z138" s="5" t="str">
        <f ca="1">IFERROR(__xludf.DUMMYFUNCTION("""COMPUTED_VALUE"""),"Yes")</f>
        <v>Yes</v>
      </c>
      <c r="AA138" s="5" t="str">
        <f ca="1">IFERROR(__xludf.DUMMYFUNCTION("""COMPUTED_VALUE"""),"Yes")</f>
        <v>Yes</v>
      </c>
      <c r="AB138" s="5" t="str">
        <f ca="1">IFERROR(__xludf.DUMMYFUNCTION("""COMPUTED_VALUE"""),"Yes")</f>
        <v>Yes</v>
      </c>
      <c r="AC138" s="5" t="str">
        <f ca="1">IFERROR(__xludf.DUMMYFUNCTION("""COMPUTED_VALUE"""),"Yes")</f>
        <v>Yes</v>
      </c>
      <c r="AD138" s="5" t="str">
        <f ca="1">IFERROR(__xludf.DUMMYFUNCTION("""COMPUTED_VALUE"""),"Yes")</f>
        <v>Yes</v>
      </c>
      <c r="AE138" s="5" t="str">
        <f ca="1">IFERROR(__xludf.DUMMYFUNCTION("""COMPUTED_VALUE"""),"Yes")</f>
        <v>Yes</v>
      </c>
      <c r="AF138" s="5" t="str">
        <f ca="1">IFERROR(__xludf.DUMMYFUNCTION("""COMPUTED_VALUE"""),"Yes")</f>
        <v>Yes</v>
      </c>
      <c r="AG138" s="5" t="str">
        <f ca="1">IFERROR(__xludf.DUMMYFUNCTION("""COMPUTED_VALUE"""),"Yes")</f>
        <v>Yes</v>
      </c>
      <c r="AH138" s="5" t="str">
        <f ca="1">IFERROR(__xludf.DUMMYFUNCTION("""COMPUTED_VALUE"""),"Yes")</f>
        <v>Yes</v>
      </c>
      <c r="AI138" s="5" t="str">
        <f ca="1">IFERROR(__xludf.DUMMYFUNCTION("""COMPUTED_VALUE"""),"Yes")</f>
        <v>Yes</v>
      </c>
      <c r="AJ138" s="5" t="str">
        <f ca="1">IFERROR(__xludf.DUMMYFUNCTION("""COMPUTED_VALUE"""),"Yes")</f>
        <v>Yes</v>
      </c>
      <c r="AK138" s="5" t="str">
        <f ca="1">IFERROR(__xludf.DUMMYFUNCTION("""COMPUTED_VALUE"""),"Yes")</f>
        <v>Yes</v>
      </c>
      <c r="AL138" s="5" t="str">
        <f ca="1">IFERROR(__xludf.DUMMYFUNCTION("""COMPUTED_VALUE"""),"Yes")</f>
        <v>Yes</v>
      </c>
      <c r="AM138" s="5" t="str">
        <f ca="1">IFERROR(__xludf.DUMMYFUNCTION("""COMPUTED_VALUE"""),"Yes")</f>
        <v>Yes</v>
      </c>
      <c r="AN138" s="5" t="str">
        <f ca="1">IFERROR(__xludf.DUMMYFUNCTION("""COMPUTED_VALUE"""),"Yes")</f>
        <v>Yes</v>
      </c>
      <c r="AO138" s="5" t="str">
        <f ca="1">IFERROR(__xludf.DUMMYFUNCTION("""COMPUTED_VALUE"""),"Yes")</f>
        <v>Yes</v>
      </c>
      <c r="AP138" s="5" t="str">
        <f ca="1">IFERROR(__xludf.DUMMYFUNCTION("""COMPUTED_VALUE"""),"Yes")</f>
        <v>Yes</v>
      </c>
      <c r="AQ138" s="5" t="str">
        <f ca="1">IFERROR(__xludf.DUMMYFUNCTION("""COMPUTED_VALUE"""),"Yes")</f>
        <v>Yes</v>
      </c>
      <c r="AR138" s="5" t="str">
        <f ca="1">IFERROR(__xludf.DUMMYFUNCTION("""COMPUTED_VALUE"""),"Yes")</f>
        <v>Yes</v>
      </c>
      <c r="AS138" s="5" t="str">
        <f ca="1">IFERROR(__xludf.DUMMYFUNCTION("""COMPUTED_VALUE"""),"Yes")</f>
        <v>Yes</v>
      </c>
      <c r="AT138" s="5" t="str">
        <f ca="1">IFERROR(__xludf.DUMMYFUNCTION("""COMPUTED_VALUE"""),"No")</f>
        <v>No</v>
      </c>
      <c r="AU138" s="5"/>
    </row>
    <row r="139" spans="1:47" x14ac:dyDescent="0.25">
      <c r="A139" s="5" t="str">
        <f ca="1">IFERROR(__xludf.DUMMYFUNCTION("""COMPUTED_VALUE"""),"Foxi")</f>
        <v>Foxi</v>
      </c>
      <c r="B139" s="5" t="str">
        <f ca="1">IFERROR(__xludf.DUMMYFUNCTION("""COMPUTED_VALUE"""),"Crown of Secret")</f>
        <v>Crown of Secret</v>
      </c>
      <c r="C139" s="5" t="str">
        <f ca="1">IFERROR(__xludf.DUMMYFUNCTION("""COMPUTED_VALUE"""),"CrownOfSecret")</f>
        <v>CrownOfSecret</v>
      </c>
      <c r="D139" s="6">
        <f ca="1">IFERROR(__xludf.DUMMYFUNCTION("""COMPUTED_VALUE"""),45750)</f>
        <v>45750</v>
      </c>
      <c r="E139" s="5" t="str">
        <f ca="1">IFERROR(__xludf.DUMMYFUNCTION("""COMPUTED_VALUE"""),"Slot")</f>
        <v>Slot</v>
      </c>
      <c r="F139" s="5">
        <f ca="1">IFERROR(__xludf.DUMMYFUNCTION("""COMPUTED_VALUE"""),23.4)</f>
        <v>23.4</v>
      </c>
      <c r="G139" s="5" t="str">
        <f ca="1">IFERROR(__xludf.DUMMYFUNCTION("""COMPUTED_VALUE"""),"5x3")</f>
        <v>5x3</v>
      </c>
      <c r="H139" s="5" t="str">
        <f ca="1">IFERROR(__xludf.DUMMYFUNCTION("""COMPUTED_VALUE"""),"10")</f>
        <v>10</v>
      </c>
      <c r="I139" s="5" t="str">
        <f ca="1">IFERROR(__xludf.DUMMYFUNCTION("""COMPUTED_VALUE"""),"10")</f>
        <v>10</v>
      </c>
      <c r="J139" s="5" t="str">
        <f ca="1">IFERROR(__xludf.DUMMYFUNCTION("""COMPUTED_VALUE"""),"96.74%")</f>
        <v>96.74%</v>
      </c>
      <c r="K139" s="5" t="str">
        <f ca="1">IFERROR(__xludf.DUMMYFUNCTION("""COMPUTED_VALUE"""),"High")</f>
        <v>High</v>
      </c>
      <c r="L139" s="5" t="str">
        <f ca="1">IFERROR(__xludf.DUMMYFUNCTION("""COMPUTED_VALUE"""),"11.115%")</f>
        <v>11.115%</v>
      </c>
      <c r="M139" s="5" t="str">
        <f ca="1">IFERROR(__xludf.DUMMYFUNCTION("""COMPUTED_VALUE"""),"x15700")</f>
        <v>x15700</v>
      </c>
      <c r="N139" s="5" t="str">
        <f ca="1">IFERROR(__xludf.DUMMYFUNCTION("""COMPUTED_VALUE"""),"0.1/40")</f>
        <v>0.1/40</v>
      </c>
      <c r="O139" s="5" t="str">
        <f ca="1">IFERROR(__xludf.DUMMYFUNCTION("""COMPUTED_VALUE"""),"Yes")</f>
        <v>Yes</v>
      </c>
      <c r="P139" s="5" t="str">
        <f ca="1">IFERROR(__xludf.DUMMYFUNCTION("""COMPUTED_VALUE"""),"Buy Bonus, Expanding Wild")</f>
        <v>Buy Bonus, Expanding Wild</v>
      </c>
      <c r="Q139" s="7" t="str">
        <f ca="1">IFERROR(__xludf.DUMMYFUNCTION("""COMPUTED_VALUE"""),"https://gameserver-store-client-area.orbionlimited.com/Home/IntegrationGameLaunch/client-area?moneyType=0&amp;gameName=CrownOfSecret&amp;platform=desktop&amp;languageCode=eng&amp;currency=EUR")</f>
        <v>https://gameserver-store-client-area.orbionlimited.com/Home/IntegrationGameLaunch/client-area?moneyType=0&amp;gameName=CrownOfSecret&amp;platform=desktop&amp;languageCode=eng&amp;currency=EUR</v>
      </c>
      <c r="R139" s="5" t="str">
        <f ca="1">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S1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9" s="5" t="str">
        <f ca="1">IFERROR(__xludf.DUMMYFUNCTION("""COMPUTED_VALUE"""),"Yes")</f>
        <v>Yes</v>
      </c>
      <c r="U139" s="5" t="str">
        <f ca="1">IFERROR(__xludf.DUMMYFUNCTION("""COMPUTED_VALUE"""),"Yes")</f>
        <v>Yes</v>
      </c>
      <c r="V139" s="5" t="str">
        <f ca="1">IFERROR(__xludf.DUMMYFUNCTION("""COMPUTED_VALUE"""),"Yes")</f>
        <v>Yes</v>
      </c>
      <c r="W139" s="5" t="str">
        <f ca="1">IFERROR(__xludf.DUMMYFUNCTION("""COMPUTED_VALUE"""),"Yes")</f>
        <v>Yes</v>
      </c>
      <c r="X139" s="5" t="str">
        <f ca="1">IFERROR(__xludf.DUMMYFUNCTION("""COMPUTED_VALUE"""),"Yes")</f>
        <v>Yes</v>
      </c>
      <c r="Y139" s="5" t="str">
        <f ca="1">IFERROR(__xludf.DUMMYFUNCTION("""COMPUTED_VALUE"""),"Yes")</f>
        <v>Yes</v>
      </c>
      <c r="Z139" s="5" t="str">
        <f ca="1">IFERROR(__xludf.DUMMYFUNCTION("""COMPUTED_VALUE"""),"Yes")</f>
        <v>Yes</v>
      </c>
      <c r="AA139" s="5" t="str">
        <f ca="1">IFERROR(__xludf.DUMMYFUNCTION("""COMPUTED_VALUE"""),"Yes")</f>
        <v>Yes</v>
      </c>
      <c r="AB139" s="5" t="str">
        <f ca="1">IFERROR(__xludf.DUMMYFUNCTION("""COMPUTED_VALUE"""),"Yes")</f>
        <v>Yes</v>
      </c>
      <c r="AC139" s="5" t="str">
        <f ca="1">IFERROR(__xludf.DUMMYFUNCTION("""COMPUTED_VALUE"""),"Yes")</f>
        <v>Yes</v>
      </c>
      <c r="AD139" s="5" t="str">
        <f ca="1">IFERROR(__xludf.DUMMYFUNCTION("""COMPUTED_VALUE"""),"Yes")</f>
        <v>Yes</v>
      </c>
      <c r="AE139" s="5" t="str">
        <f ca="1">IFERROR(__xludf.DUMMYFUNCTION("""COMPUTED_VALUE"""),"Yes")</f>
        <v>Yes</v>
      </c>
      <c r="AF139" s="5" t="str">
        <f ca="1">IFERROR(__xludf.DUMMYFUNCTION("""COMPUTED_VALUE"""),"Yes")</f>
        <v>Yes</v>
      </c>
      <c r="AG139" s="5" t="str">
        <f ca="1">IFERROR(__xludf.DUMMYFUNCTION("""COMPUTED_VALUE"""),"Yes")</f>
        <v>Yes</v>
      </c>
      <c r="AH139" s="5" t="str">
        <f ca="1">IFERROR(__xludf.DUMMYFUNCTION("""COMPUTED_VALUE"""),"Yes")</f>
        <v>Yes</v>
      </c>
      <c r="AI139" s="5" t="str">
        <f ca="1">IFERROR(__xludf.DUMMYFUNCTION("""COMPUTED_VALUE"""),"Yes")</f>
        <v>Yes</v>
      </c>
      <c r="AJ139" s="5" t="str">
        <f ca="1">IFERROR(__xludf.DUMMYFUNCTION("""COMPUTED_VALUE"""),"Yes")</f>
        <v>Yes</v>
      </c>
      <c r="AK139" s="5" t="str">
        <f ca="1">IFERROR(__xludf.DUMMYFUNCTION("""COMPUTED_VALUE"""),"Yes")</f>
        <v>Yes</v>
      </c>
      <c r="AL139" s="5" t="str">
        <f ca="1">IFERROR(__xludf.DUMMYFUNCTION("""COMPUTED_VALUE"""),"Yes")</f>
        <v>Yes</v>
      </c>
      <c r="AM139" s="5" t="str">
        <f ca="1">IFERROR(__xludf.DUMMYFUNCTION("""COMPUTED_VALUE"""),"Yes")</f>
        <v>Yes</v>
      </c>
      <c r="AN139" s="5" t="str">
        <f ca="1">IFERROR(__xludf.DUMMYFUNCTION("""COMPUTED_VALUE"""),"Yes")</f>
        <v>Yes</v>
      </c>
      <c r="AO139" s="5" t="str">
        <f ca="1">IFERROR(__xludf.DUMMYFUNCTION("""COMPUTED_VALUE"""),"Yes")</f>
        <v>Yes</v>
      </c>
      <c r="AP139" s="5" t="str">
        <f ca="1">IFERROR(__xludf.DUMMYFUNCTION("""COMPUTED_VALUE"""),"Yes")</f>
        <v>Yes</v>
      </c>
      <c r="AQ139" s="5" t="str">
        <f ca="1">IFERROR(__xludf.DUMMYFUNCTION("""COMPUTED_VALUE"""),"Yes")</f>
        <v>Yes</v>
      </c>
      <c r="AR139" s="5" t="str">
        <f ca="1">IFERROR(__xludf.DUMMYFUNCTION("""COMPUTED_VALUE"""),"Yes")</f>
        <v>Yes</v>
      </c>
      <c r="AS139" s="5" t="str">
        <f ca="1">IFERROR(__xludf.DUMMYFUNCTION("""COMPUTED_VALUE"""),"Yes")</f>
        <v>Yes</v>
      </c>
      <c r="AT139" s="5" t="str">
        <f ca="1">IFERROR(__xludf.DUMMYFUNCTION("""COMPUTED_VALUE"""),"No")</f>
        <v>No</v>
      </c>
      <c r="AU139" s="5"/>
    </row>
    <row r="140" spans="1:47" x14ac:dyDescent="0.25">
      <c r="A140" s="5" t="str">
        <f ca="1">IFERROR(__xludf.DUMMYFUNCTION("""COMPUTED_VALUE"""),"Foxi")</f>
        <v>Foxi</v>
      </c>
      <c r="B140" s="5" t="str">
        <f ca="1">IFERROR(__xludf.DUMMYFUNCTION("""COMPUTED_VALUE"""),"Very Hot 40 Extreme")</f>
        <v>Very Hot 40 Extreme</v>
      </c>
      <c r="C140" s="5" t="str">
        <f ca="1">IFERROR(__xludf.DUMMYFUNCTION("""COMPUTED_VALUE"""),"VeryHot40Extreme")</f>
        <v>VeryHot40Extreme</v>
      </c>
      <c r="D140" s="6">
        <f ca="1">IFERROR(__xludf.DUMMYFUNCTION("""COMPUTED_VALUE"""),45622)</f>
        <v>45622</v>
      </c>
      <c r="E140" s="5" t="str">
        <f ca="1">IFERROR(__xludf.DUMMYFUNCTION("""COMPUTED_VALUE"""),"Slot")</f>
        <v>Slot</v>
      </c>
      <c r="F140" s="5">
        <f ca="1">IFERROR(__xludf.DUMMYFUNCTION("""COMPUTED_VALUE"""),15.4)</f>
        <v>15.4</v>
      </c>
      <c r="G140" s="5" t="str">
        <f ca="1">IFERROR(__xludf.DUMMYFUNCTION("""COMPUTED_VALUE"""),"5x3")</f>
        <v>5x3</v>
      </c>
      <c r="H140" s="5" t="str">
        <f ca="1">IFERROR(__xludf.DUMMYFUNCTION("""COMPUTED_VALUE"""),"40")</f>
        <v>40</v>
      </c>
      <c r="I140" s="5" t="str">
        <f ca="1">IFERROR(__xludf.DUMMYFUNCTION("""COMPUTED_VALUE"""),"40")</f>
        <v>40</v>
      </c>
      <c r="J140" s="5" t="str">
        <f ca="1">IFERROR(__xludf.DUMMYFUNCTION("""COMPUTED_VALUE"""),"96.453%")</f>
        <v>96.453%</v>
      </c>
      <c r="K140" s="5" t="str">
        <f ca="1">IFERROR(__xludf.DUMMYFUNCTION("""COMPUTED_VALUE"""),"Low")</f>
        <v>Low</v>
      </c>
      <c r="L140" s="5" t="str">
        <f ca="1">IFERROR(__xludf.DUMMYFUNCTION("""COMPUTED_VALUE"""),"22.711%")</f>
        <v>22.711%</v>
      </c>
      <c r="M140" s="5" t="str">
        <f ca="1">IFERROR(__xludf.DUMMYFUNCTION("""COMPUTED_VALUE"""),"x1993")</f>
        <v>x1993</v>
      </c>
      <c r="N140" s="5" t="str">
        <f ca="1">IFERROR(__xludf.DUMMYFUNCTION("""COMPUTED_VALUE"""),"0.12/ 80")</f>
        <v>0.12/ 80</v>
      </c>
      <c r="O140" s="5" t="str">
        <f ca="1">IFERROR(__xludf.DUMMYFUNCTION("""COMPUTED_VALUE"""),"Yes")</f>
        <v>Yes</v>
      </c>
      <c r="P140" s="5" t="str">
        <f ca="1">IFERROR(__xludf.DUMMYFUNCTION("""COMPUTED_VALUE"""),"Wild Symbol, Win Multiplier")</f>
        <v>Wild Symbol, Win Multiplier</v>
      </c>
      <c r="Q140" s="7" t="str">
        <f ca="1">IFERROR(__xludf.DUMMYFUNCTION("""COMPUTED_VALUE"""),"https://gameserver-store-client-area.orbionlimited.com/Home/IntegrationGameLaunch/client-area?moneyType=0&amp;gameName=VeryHot40Extreme&amp;platform=desktop&amp;languageCode=eng&amp;currency=EUR")</f>
        <v>https://gameserver-store-client-area.orbionlimited.com/Home/IntegrationGameLaunch/client-area?moneyType=0&amp;gameName=VeryHot40Extreme&amp;platform=desktop&amp;languageCode=eng&amp;currency=EUR</v>
      </c>
      <c r="R140" s="5" t="str">
        <f ca="1">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S1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0" s="5" t="str">
        <f ca="1">IFERROR(__xludf.DUMMYFUNCTION("""COMPUTED_VALUE"""),"Yes")</f>
        <v>Yes</v>
      </c>
      <c r="U140" s="5" t="str">
        <f ca="1">IFERROR(__xludf.DUMMYFUNCTION("""COMPUTED_VALUE"""),"Yes")</f>
        <v>Yes</v>
      </c>
      <c r="V140" s="5" t="str">
        <f ca="1">IFERROR(__xludf.DUMMYFUNCTION("""COMPUTED_VALUE"""),"Yes")</f>
        <v>Yes</v>
      </c>
      <c r="W140" s="5" t="str">
        <f ca="1">IFERROR(__xludf.DUMMYFUNCTION("""COMPUTED_VALUE"""),"Yes")</f>
        <v>Yes</v>
      </c>
      <c r="X140" s="5" t="str">
        <f ca="1">IFERROR(__xludf.DUMMYFUNCTION("""COMPUTED_VALUE"""),"Yes")</f>
        <v>Yes</v>
      </c>
      <c r="Y140" s="5" t="str">
        <f ca="1">IFERROR(__xludf.DUMMYFUNCTION("""COMPUTED_VALUE"""),"Yes")</f>
        <v>Yes</v>
      </c>
      <c r="Z140" s="5" t="str">
        <f ca="1">IFERROR(__xludf.DUMMYFUNCTION("""COMPUTED_VALUE"""),"Yes")</f>
        <v>Yes</v>
      </c>
      <c r="AA140" s="5" t="str">
        <f ca="1">IFERROR(__xludf.DUMMYFUNCTION("""COMPUTED_VALUE"""),"Yes")</f>
        <v>Yes</v>
      </c>
      <c r="AB140" s="5" t="str">
        <f ca="1">IFERROR(__xludf.DUMMYFUNCTION("""COMPUTED_VALUE"""),"Yes")</f>
        <v>Yes</v>
      </c>
      <c r="AC140" s="5" t="str">
        <f ca="1">IFERROR(__xludf.DUMMYFUNCTION("""COMPUTED_VALUE"""),"Yes")</f>
        <v>Yes</v>
      </c>
      <c r="AD140" s="5" t="str">
        <f ca="1">IFERROR(__xludf.DUMMYFUNCTION("""COMPUTED_VALUE"""),"Yes")</f>
        <v>Yes</v>
      </c>
      <c r="AE140" s="5" t="str">
        <f ca="1">IFERROR(__xludf.DUMMYFUNCTION("""COMPUTED_VALUE"""),"Yes")</f>
        <v>Yes</v>
      </c>
      <c r="AF140" s="5" t="str">
        <f ca="1">IFERROR(__xludf.DUMMYFUNCTION("""COMPUTED_VALUE"""),"Yes")</f>
        <v>Yes</v>
      </c>
      <c r="AG140" s="5" t="str">
        <f ca="1">IFERROR(__xludf.DUMMYFUNCTION("""COMPUTED_VALUE"""),"Yes")</f>
        <v>Yes</v>
      </c>
      <c r="AH140" s="5" t="str">
        <f ca="1">IFERROR(__xludf.DUMMYFUNCTION("""COMPUTED_VALUE"""),"Yes")</f>
        <v>Yes</v>
      </c>
      <c r="AI140" s="5" t="str">
        <f ca="1">IFERROR(__xludf.DUMMYFUNCTION("""COMPUTED_VALUE"""),"Yes")</f>
        <v>Yes</v>
      </c>
      <c r="AJ140" s="5" t="str">
        <f ca="1">IFERROR(__xludf.DUMMYFUNCTION("""COMPUTED_VALUE"""),"Yes")</f>
        <v>Yes</v>
      </c>
      <c r="AK140" s="5" t="str">
        <f ca="1">IFERROR(__xludf.DUMMYFUNCTION("""COMPUTED_VALUE"""),"Yes")</f>
        <v>Yes</v>
      </c>
      <c r="AL140" s="5" t="str">
        <f ca="1">IFERROR(__xludf.DUMMYFUNCTION("""COMPUTED_VALUE"""),"Yes")</f>
        <v>Yes</v>
      </c>
      <c r="AM140" s="5" t="str">
        <f ca="1">IFERROR(__xludf.DUMMYFUNCTION("""COMPUTED_VALUE"""),"Yes")</f>
        <v>Yes</v>
      </c>
      <c r="AN140" s="5" t="str">
        <f ca="1">IFERROR(__xludf.DUMMYFUNCTION("""COMPUTED_VALUE"""),"Yes")</f>
        <v>Yes</v>
      </c>
      <c r="AO140" s="5" t="str">
        <f ca="1">IFERROR(__xludf.DUMMYFUNCTION("""COMPUTED_VALUE"""),"Yes")</f>
        <v>Yes</v>
      </c>
      <c r="AP140" s="5" t="str">
        <f ca="1">IFERROR(__xludf.DUMMYFUNCTION("""COMPUTED_VALUE"""),"Yes")</f>
        <v>Yes</v>
      </c>
      <c r="AQ140" s="5" t="str">
        <f ca="1">IFERROR(__xludf.DUMMYFUNCTION("""COMPUTED_VALUE"""),"Yes")</f>
        <v>Yes</v>
      </c>
      <c r="AR140" s="5" t="str">
        <f ca="1">IFERROR(__xludf.DUMMYFUNCTION("""COMPUTED_VALUE"""),"Yes")</f>
        <v>Yes</v>
      </c>
      <c r="AS140" s="5" t="str">
        <f ca="1">IFERROR(__xludf.DUMMYFUNCTION("""COMPUTED_VALUE"""),"Yes")</f>
        <v>Yes</v>
      </c>
      <c r="AT140" s="5" t="str">
        <f ca="1">IFERROR(__xludf.DUMMYFUNCTION("""COMPUTED_VALUE"""),"No")</f>
        <v>No</v>
      </c>
      <c r="AU140" s="5"/>
    </row>
    <row r="141" spans="1:47" x14ac:dyDescent="0.25">
      <c r="A141" s="5" t="str">
        <f ca="1">IFERROR(__xludf.DUMMYFUNCTION("""COMPUTED_VALUE"""),"Foxi")</f>
        <v>Foxi</v>
      </c>
      <c r="B141" s="5" t="str">
        <f ca="1">IFERROR(__xludf.DUMMYFUNCTION("""COMPUTED_VALUE"""),"Special Fruits")</f>
        <v>Special Fruits</v>
      </c>
      <c r="C141" s="5" t="str">
        <f ca="1">IFERROR(__xludf.DUMMYFUNCTION("""COMPUTED_VALUE"""),"SpecialFruits")</f>
        <v>SpecialFruits</v>
      </c>
      <c r="D141" s="6">
        <f ca="1">IFERROR(__xludf.DUMMYFUNCTION("""COMPUTED_VALUE"""),45680)</f>
        <v>45680</v>
      </c>
      <c r="E141" s="5" t="str">
        <f ca="1">IFERROR(__xludf.DUMMYFUNCTION("""COMPUTED_VALUE"""),"Slot")</f>
        <v>Slot</v>
      </c>
      <c r="F141" s="5">
        <f ca="1">IFERROR(__xludf.DUMMYFUNCTION("""COMPUTED_VALUE"""),14.1)</f>
        <v>14.1</v>
      </c>
      <c r="G141" s="5" t="str">
        <f ca="1">IFERROR(__xludf.DUMMYFUNCTION("""COMPUTED_VALUE"""),"5x3")</f>
        <v>5x3</v>
      </c>
      <c r="H141" s="5" t="str">
        <f ca="1">IFERROR(__xludf.DUMMYFUNCTION("""COMPUTED_VALUE"""),"20")</f>
        <v>20</v>
      </c>
      <c r="I141" s="5" t="str">
        <f ca="1">IFERROR(__xludf.DUMMYFUNCTION("""COMPUTED_VALUE"""),"5, 10, 15, 20, 30, 40")</f>
        <v>5, 10, 15, 20, 30, 40</v>
      </c>
      <c r="J141" s="5" t="str">
        <f ca="1">IFERROR(__xludf.DUMMYFUNCTION("""COMPUTED_VALUE"""),"96.501%")</f>
        <v>96.501%</v>
      </c>
      <c r="K141" s="5" t="str">
        <f ca="1">IFERROR(__xludf.DUMMYFUNCTION("""COMPUTED_VALUE"""),"Low")</f>
        <v>Low</v>
      </c>
      <c r="L141" s="5" t="str">
        <f ca="1">IFERROR(__xludf.DUMMYFUNCTION("""COMPUTED_VALUE"""),"16.882%")</f>
        <v>16.882%</v>
      </c>
      <c r="M141" s="5" t="str">
        <f ca="1">IFERROR(__xludf.DUMMYFUNCTION("""COMPUTED_VALUE"""),"x2000")</f>
        <v>x2000</v>
      </c>
      <c r="N141" s="5" t="str">
        <f ca="1">IFERROR(__xludf.DUMMYFUNCTION("""COMPUTED_VALUE"""),"0.2/50")</f>
        <v>0.2/50</v>
      </c>
      <c r="O141" s="5" t="str">
        <f ca="1">IFERROR(__xludf.DUMMYFUNCTION("""COMPUTED_VALUE"""),"Yes")</f>
        <v>Yes</v>
      </c>
      <c r="P141" s="5" t="str">
        <f ca="1">IFERROR(__xludf.DUMMYFUNCTION("""COMPUTED_VALUE"""),"Mystic Pay, Scatter, Wild Symbol")</f>
        <v>Mystic Pay, Scatter, Wild Symbol</v>
      </c>
      <c r="Q141" s="7" t="str">
        <f ca="1">IFERROR(__xludf.DUMMYFUNCTION("""COMPUTED_VALUE"""),"https://gameserver-store-client-area.orbionlimited.com/Home/IntegrationGameLaunch/client-area?moneyType=0&amp;gameName=SpecialFruits&amp;platform=desktop&amp;languageCode=eng&amp;currency=EUR")</f>
        <v>https://gameserver-store-client-area.orbionlimited.com/Home/IntegrationGameLaunch/client-area?moneyType=0&amp;gameName=SpecialFruits&amp;platform=desktop&amp;languageCode=eng&amp;currency=EUR</v>
      </c>
      <c r="R141" s="5" t="str">
        <f ca="1">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S1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1" s="5" t="str">
        <f ca="1">IFERROR(__xludf.DUMMYFUNCTION("""COMPUTED_VALUE"""),"Yes")</f>
        <v>Yes</v>
      </c>
      <c r="U141" s="5" t="str">
        <f ca="1">IFERROR(__xludf.DUMMYFUNCTION("""COMPUTED_VALUE"""),"Yes")</f>
        <v>Yes</v>
      </c>
      <c r="V141" s="5" t="str">
        <f ca="1">IFERROR(__xludf.DUMMYFUNCTION("""COMPUTED_VALUE"""),"Yes")</f>
        <v>Yes</v>
      </c>
      <c r="W141" s="5" t="str">
        <f ca="1">IFERROR(__xludf.DUMMYFUNCTION("""COMPUTED_VALUE"""),"Yes")</f>
        <v>Yes</v>
      </c>
      <c r="X141" s="5" t="str">
        <f ca="1">IFERROR(__xludf.DUMMYFUNCTION("""COMPUTED_VALUE"""),"Yes")</f>
        <v>Yes</v>
      </c>
      <c r="Y141" s="5" t="str">
        <f ca="1">IFERROR(__xludf.DUMMYFUNCTION("""COMPUTED_VALUE"""),"Yes")</f>
        <v>Yes</v>
      </c>
      <c r="Z141" s="5" t="str">
        <f ca="1">IFERROR(__xludf.DUMMYFUNCTION("""COMPUTED_VALUE"""),"Yes")</f>
        <v>Yes</v>
      </c>
      <c r="AA141" s="5" t="str">
        <f ca="1">IFERROR(__xludf.DUMMYFUNCTION("""COMPUTED_VALUE"""),"Yes")</f>
        <v>Yes</v>
      </c>
      <c r="AB141" s="5" t="str">
        <f ca="1">IFERROR(__xludf.DUMMYFUNCTION("""COMPUTED_VALUE"""),"Yes")</f>
        <v>Yes</v>
      </c>
      <c r="AC141" s="5" t="str">
        <f ca="1">IFERROR(__xludf.DUMMYFUNCTION("""COMPUTED_VALUE"""),"Yes")</f>
        <v>Yes</v>
      </c>
      <c r="AD141" s="5" t="str">
        <f ca="1">IFERROR(__xludf.DUMMYFUNCTION("""COMPUTED_VALUE"""),"Yes")</f>
        <v>Yes</v>
      </c>
      <c r="AE141" s="5" t="str">
        <f ca="1">IFERROR(__xludf.DUMMYFUNCTION("""COMPUTED_VALUE"""),"Yes")</f>
        <v>Yes</v>
      </c>
      <c r="AF141" s="5" t="str">
        <f ca="1">IFERROR(__xludf.DUMMYFUNCTION("""COMPUTED_VALUE"""),"Yes")</f>
        <v>Yes</v>
      </c>
      <c r="AG141" s="5" t="str">
        <f ca="1">IFERROR(__xludf.DUMMYFUNCTION("""COMPUTED_VALUE"""),"Yes")</f>
        <v>Yes</v>
      </c>
      <c r="AH141" s="5" t="str">
        <f ca="1">IFERROR(__xludf.DUMMYFUNCTION("""COMPUTED_VALUE"""),"Yes")</f>
        <v>Yes</v>
      </c>
      <c r="AI141" s="5" t="str">
        <f ca="1">IFERROR(__xludf.DUMMYFUNCTION("""COMPUTED_VALUE"""),"Yes")</f>
        <v>Yes</v>
      </c>
      <c r="AJ141" s="5" t="str">
        <f ca="1">IFERROR(__xludf.DUMMYFUNCTION("""COMPUTED_VALUE"""),"Yes")</f>
        <v>Yes</v>
      </c>
      <c r="AK141" s="5" t="str">
        <f ca="1">IFERROR(__xludf.DUMMYFUNCTION("""COMPUTED_VALUE"""),"Yes")</f>
        <v>Yes</v>
      </c>
      <c r="AL141" s="5" t="str">
        <f ca="1">IFERROR(__xludf.DUMMYFUNCTION("""COMPUTED_VALUE"""),"Yes")</f>
        <v>Yes</v>
      </c>
      <c r="AM141" s="5" t="str">
        <f ca="1">IFERROR(__xludf.DUMMYFUNCTION("""COMPUTED_VALUE"""),"Yes")</f>
        <v>Yes</v>
      </c>
      <c r="AN141" s="5" t="str">
        <f ca="1">IFERROR(__xludf.DUMMYFUNCTION("""COMPUTED_VALUE"""),"Yes")</f>
        <v>Yes</v>
      </c>
      <c r="AO141" s="5" t="str">
        <f ca="1">IFERROR(__xludf.DUMMYFUNCTION("""COMPUTED_VALUE"""),"Yes")</f>
        <v>Yes</v>
      </c>
      <c r="AP141" s="5" t="str">
        <f ca="1">IFERROR(__xludf.DUMMYFUNCTION("""COMPUTED_VALUE"""),"Yes")</f>
        <v>Yes</v>
      </c>
      <c r="AQ141" s="5" t="str">
        <f ca="1">IFERROR(__xludf.DUMMYFUNCTION("""COMPUTED_VALUE"""),"Yes")</f>
        <v>Yes</v>
      </c>
      <c r="AR141" s="5" t="str">
        <f ca="1">IFERROR(__xludf.DUMMYFUNCTION("""COMPUTED_VALUE"""),"Yes")</f>
        <v>Yes</v>
      </c>
      <c r="AS141" s="5" t="str">
        <f ca="1">IFERROR(__xludf.DUMMYFUNCTION("""COMPUTED_VALUE"""),"Yes")</f>
        <v>Yes</v>
      </c>
      <c r="AT141" s="5" t="str">
        <f ca="1">IFERROR(__xludf.DUMMYFUNCTION("""COMPUTED_VALUE"""),"No")</f>
        <v>No</v>
      </c>
      <c r="AU141" s="5"/>
    </row>
    <row r="142" spans="1:47" x14ac:dyDescent="0.25">
      <c r="A142" s="5" t="str">
        <f ca="1">IFERROR(__xludf.DUMMYFUNCTION("""COMPUTED_VALUE"""),"Foxi")</f>
        <v>Foxi</v>
      </c>
      <c r="B142" s="5" t="str">
        <f ca="1">IFERROR(__xludf.DUMMYFUNCTION("""COMPUTED_VALUE"""),"Turbo Stars 10")</f>
        <v>Turbo Stars 10</v>
      </c>
      <c r="C142" s="5" t="str">
        <f ca="1">IFERROR(__xludf.DUMMYFUNCTION("""COMPUTED_VALUE"""),"TurboStars10")</f>
        <v>TurboStars10</v>
      </c>
      <c r="D142" s="6">
        <f ca="1">IFERROR(__xludf.DUMMYFUNCTION("""COMPUTED_VALUE"""),45483)</f>
        <v>45483</v>
      </c>
      <c r="E142" s="5" t="str">
        <f ca="1">IFERROR(__xludf.DUMMYFUNCTION("""COMPUTED_VALUE"""),"Slot")</f>
        <v>Slot</v>
      </c>
      <c r="F142" s="5">
        <f ca="1">IFERROR(__xludf.DUMMYFUNCTION("""COMPUTED_VALUE"""),22)</f>
        <v>22</v>
      </c>
      <c r="G142" s="5" t="str">
        <f ca="1">IFERROR(__xludf.DUMMYFUNCTION("""COMPUTED_VALUE"""),"5x3")</f>
        <v>5x3</v>
      </c>
      <c r="H142" s="5" t="str">
        <f ca="1">IFERROR(__xludf.DUMMYFUNCTION("""COMPUTED_VALUE"""),"10")</f>
        <v>10</v>
      </c>
      <c r="I142" s="5" t="str">
        <f ca="1">IFERROR(__xludf.DUMMYFUNCTION("""COMPUTED_VALUE"""),"1,3,5,7,10")</f>
        <v>1,3,5,7,10</v>
      </c>
      <c r="J142" s="5" t="str">
        <f ca="1">IFERROR(__xludf.DUMMYFUNCTION("""COMPUTED_VALUE"""),"95.544%")</f>
        <v>95.544%</v>
      </c>
      <c r="K142" s="5" t="str">
        <f ca="1">IFERROR(__xludf.DUMMYFUNCTION("""COMPUTED_VALUE"""),"Medium")</f>
        <v>Medium</v>
      </c>
      <c r="L142" s="5" t="str">
        <f ca="1">IFERROR(__xludf.DUMMYFUNCTION("""COMPUTED_VALUE"""),"13.022%")</f>
        <v>13.022%</v>
      </c>
      <c r="M142" s="5" t="str">
        <f ca="1">IFERROR(__xludf.DUMMYFUNCTION("""COMPUTED_VALUE"""),"x1611")</f>
        <v>x1611</v>
      </c>
      <c r="N142" s="5" t="str">
        <f ca="1">IFERROR(__xludf.DUMMYFUNCTION("""COMPUTED_VALUE"""),"0.1/40")</f>
        <v>0.1/40</v>
      </c>
      <c r="O142" s="5" t="str">
        <f ca="1">IFERROR(__xludf.DUMMYFUNCTION("""COMPUTED_VALUE"""),"Yes")</f>
        <v>Yes</v>
      </c>
      <c r="P142" s="5" t="str">
        <f ca="1">IFERROR(__xludf.DUMMYFUNCTION("""COMPUTED_VALUE"""),"Respin, Expanding Wild")</f>
        <v>Respin, Expanding Wild</v>
      </c>
      <c r="Q142" s="7" t="str">
        <f ca="1">IFERROR(__xludf.DUMMYFUNCTION("""COMPUTED_VALUE"""),"https://gameserver-store-client-area.orbionlimited.com/Home/IntegrationGameLaunch/client-area?moneyType=0&amp;gameName=TurboStars10&amp;platform=desktop&amp;languageCode=eng&amp;currency=EUR")</f>
        <v>https://gameserver-store-client-area.orbionlimited.com/Home/IntegrationGameLaunch/client-area?moneyType=0&amp;gameName=TurboStars10&amp;platform=desktop&amp;languageCode=eng&amp;currency=EUR</v>
      </c>
      <c r="R142" s="5" t="str">
        <f ca="1">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S1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2" s="5" t="str">
        <f ca="1">IFERROR(__xludf.DUMMYFUNCTION("""COMPUTED_VALUE"""),"Yes")</f>
        <v>Yes</v>
      </c>
      <c r="U142" s="5" t="str">
        <f ca="1">IFERROR(__xludf.DUMMYFUNCTION("""COMPUTED_VALUE"""),"Yes")</f>
        <v>Yes</v>
      </c>
      <c r="V142" s="5" t="str">
        <f ca="1">IFERROR(__xludf.DUMMYFUNCTION("""COMPUTED_VALUE"""),"Yes")</f>
        <v>Yes</v>
      </c>
      <c r="W142" s="5" t="str">
        <f ca="1">IFERROR(__xludf.DUMMYFUNCTION("""COMPUTED_VALUE"""),"Yes")</f>
        <v>Yes</v>
      </c>
      <c r="X142" s="5" t="str">
        <f ca="1">IFERROR(__xludf.DUMMYFUNCTION("""COMPUTED_VALUE"""),"Yes")</f>
        <v>Yes</v>
      </c>
      <c r="Y142" s="5" t="str">
        <f ca="1">IFERROR(__xludf.DUMMYFUNCTION("""COMPUTED_VALUE"""),"Yes")</f>
        <v>Yes</v>
      </c>
      <c r="Z142" s="5" t="str">
        <f ca="1">IFERROR(__xludf.DUMMYFUNCTION("""COMPUTED_VALUE"""),"Yes")</f>
        <v>Yes</v>
      </c>
      <c r="AA142" s="5" t="str">
        <f ca="1">IFERROR(__xludf.DUMMYFUNCTION("""COMPUTED_VALUE"""),"Yes")</f>
        <v>Yes</v>
      </c>
      <c r="AB142" s="5" t="str">
        <f ca="1">IFERROR(__xludf.DUMMYFUNCTION("""COMPUTED_VALUE"""),"Yes")</f>
        <v>Yes</v>
      </c>
      <c r="AC142" s="5" t="str">
        <f ca="1">IFERROR(__xludf.DUMMYFUNCTION("""COMPUTED_VALUE"""),"Yes")</f>
        <v>Yes</v>
      </c>
      <c r="AD142" s="5" t="str">
        <f ca="1">IFERROR(__xludf.DUMMYFUNCTION("""COMPUTED_VALUE"""),"Yes")</f>
        <v>Yes</v>
      </c>
      <c r="AE142" s="5" t="str">
        <f ca="1">IFERROR(__xludf.DUMMYFUNCTION("""COMPUTED_VALUE"""),"Yes")</f>
        <v>Yes</v>
      </c>
      <c r="AF142" s="5" t="str">
        <f ca="1">IFERROR(__xludf.DUMMYFUNCTION("""COMPUTED_VALUE"""),"Yes")</f>
        <v>Yes</v>
      </c>
      <c r="AG142" s="5" t="str">
        <f ca="1">IFERROR(__xludf.DUMMYFUNCTION("""COMPUTED_VALUE"""),"Yes")</f>
        <v>Yes</v>
      </c>
      <c r="AH142" s="5" t="str">
        <f ca="1">IFERROR(__xludf.DUMMYFUNCTION("""COMPUTED_VALUE"""),"Yes")</f>
        <v>Yes</v>
      </c>
      <c r="AI142" s="5" t="str">
        <f ca="1">IFERROR(__xludf.DUMMYFUNCTION("""COMPUTED_VALUE"""),"Yes")</f>
        <v>Yes</v>
      </c>
      <c r="AJ142" s="5" t="str">
        <f ca="1">IFERROR(__xludf.DUMMYFUNCTION("""COMPUTED_VALUE"""),"Yes")</f>
        <v>Yes</v>
      </c>
      <c r="AK142" s="5" t="str">
        <f ca="1">IFERROR(__xludf.DUMMYFUNCTION("""COMPUTED_VALUE"""),"Yes")</f>
        <v>Yes</v>
      </c>
      <c r="AL142" s="5" t="str">
        <f ca="1">IFERROR(__xludf.DUMMYFUNCTION("""COMPUTED_VALUE"""),"Yes")</f>
        <v>Yes</v>
      </c>
      <c r="AM142" s="5" t="str">
        <f ca="1">IFERROR(__xludf.DUMMYFUNCTION("""COMPUTED_VALUE"""),"Yes")</f>
        <v>Yes</v>
      </c>
      <c r="AN142" s="5" t="str">
        <f ca="1">IFERROR(__xludf.DUMMYFUNCTION("""COMPUTED_VALUE"""),"Yes")</f>
        <v>Yes</v>
      </c>
      <c r="AO142" s="5" t="str">
        <f ca="1">IFERROR(__xludf.DUMMYFUNCTION("""COMPUTED_VALUE"""),"Yes")</f>
        <v>Yes</v>
      </c>
      <c r="AP142" s="5" t="str">
        <f ca="1">IFERROR(__xludf.DUMMYFUNCTION("""COMPUTED_VALUE"""),"Yes")</f>
        <v>Yes</v>
      </c>
      <c r="AQ142" s="5" t="str">
        <f ca="1">IFERROR(__xludf.DUMMYFUNCTION("""COMPUTED_VALUE"""),"Yes")</f>
        <v>Yes</v>
      </c>
      <c r="AR142" s="5" t="str">
        <f ca="1">IFERROR(__xludf.DUMMYFUNCTION("""COMPUTED_VALUE"""),"Yes")</f>
        <v>Yes</v>
      </c>
      <c r="AS142" s="5" t="str">
        <f ca="1">IFERROR(__xludf.DUMMYFUNCTION("""COMPUTED_VALUE"""),"Yes")</f>
        <v>Yes</v>
      </c>
      <c r="AT142" s="5" t="str">
        <f ca="1">IFERROR(__xludf.DUMMYFUNCTION("""COMPUTED_VALUE"""),"No")</f>
        <v>No</v>
      </c>
      <c r="AU142" s="5"/>
    </row>
    <row r="143" spans="1:47" x14ac:dyDescent="0.25">
      <c r="A143" s="5" t="str">
        <f ca="1">IFERROR(__xludf.DUMMYFUNCTION("""COMPUTED_VALUE"""),"Foxi")</f>
        <v>Foxi</v>
      </c>
      <c r="B143" s="5" t="str">
        <f ca="1">IFERROR(__xludf.DUMMYFUNCTION("""COMPUTED_VALUE"""),"Turbo Stars 40")</f>
        <v>Turbo Stars 40</v>
      </c>
      <c r="C143" s="5" t="str">
        <f ca="1">IFERROR(__xludf.DUMMYFUNCTION("""COMPUTED_VALUE"""),"TurboStars40")</f>
        <v>TurboStars40</v>
      </c>
      <c r="D143" s="6">
        <f ca="1">IFERROR(__xludf.DUMMYFUNCTION("""COMPUTED_VALUE"""),45593)</f>
        <v>45593</v>
      </c>
      <c r="E143" s="5" t="str">
        <f ca="1">IFERROR(__xludf.DUMMYFUNCTION("""COMPUTED_VALUE"""),"Slot")</f>
        <v>Slot</v>
      </c>
      <c r="F143" s="5">
        <f ca="1">IFERROR(__xludf.DUMMYFUNCTION("""COMPUTED_VALUE"""),21.3)</f>
        <v>21.3</v>
      </c>
      <c r="G143" s="5" t="str">
        <f ca="1">IFERROR(__xludf.DUMMYFUNCTION("""COMPUTED_VALUE"""),"5x3")</f>
        <v>5x3</v>
      </c>
      <c r="H143" s="5" t="str">
        <f ca="1">IFERROR(__xludf.DUMMYFUNCTION("""COMPUTED_VALUE"""),"40")</f>
        <v>40</v>
      </c>
      <c r="I143" s="5" t="str">
        <f ca="1">IFERROR(__xludf.DUMMYFUNCTION("""COMPUTED_VALUE"""),"40")</f>
        <v>40</v>
      </c>
      <c r="J143" s="5" t="str">
        <f ca="1">IFERROR(__xludf.DUMMYFUNCTION("""COMPUTED_VALUE"""),"95.544%")</f>
        <v>95.544%</v>
      </c>
      <c r="K143" s="5" t="str">
        <f ca="1">IFERROR(__xludf.DUMMYFUNCTION("""COMPUTED_VALUE"""),"Medium")</f>
        <v>Medium</v>
      </c>
      <c r="L143" s="5" t="str">
        <f ca="1">IFERROR(__xludf.DUMMYFUNCTION("""COMPUTED_VALUE"""),"17.13%")</f>
        <v>17.13%</v>
      </c>
      <c r="M143" s="5" t="str">
        <f ca="1">IFERROR(__xludf.DUMMYFUNCTION("""COMPUTED_VALUE"""),"x1700")</f>
        <v>x1700</v>
      </c>
      <c r="N143" s="5" t="str">
        <f ca="1">IFERROR(__xludf.DUMMYFUNCTION("""COMPUTED_VALUE"""),"0.4/60")</f>
        <v>0.4/60</v>
      </c>
      <c r="O143" s="5" t="str">
        <f ca="1">IFERROR(__xludf.DUMMYFUNCTION("""COMPUTED_VALUE"""),"Yes")</f>
        <v>Yes</v>
      </c>
      <c r="P143" s="5" t="str">
        <f ca="1">IFERROR(__xludf.DUMMYFUNCTION("""COMPUTED_VALUE"""),"Expanding Wild, Respin")</f>
        <v>Expanding Wild, Respin</v>
      </c>
      <c r="Q143" s="7" t="str">
        <f ca="1">IFERROR(__xludf.DUMMYFUNCTION("""COMPUTED_VALUE"""),"https://gameserver-store-client-area.orbionlimited.com/Home/IntegrationGameLaunch/client-area?moneyType=0&amp;gameName=TurboStars40&amp;platform=desktop&amp;languageCode=eng&amp;currency=EUR")</f>
        <v>https://gameserver-store-client-area.orbionlimited.com/Home/IntegrationGameLaunch/client-area?moneyType=0&amp;gameName=TurboStars40&amp;platform=desktop&amp;languageCode=eng&amp;currency=EUR</v>
      </c>
      <c r="R143" s="5" t="str">
        <f ca="1">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S1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3" s="5" t="str">
        <f ca="1">IFERROR(__xludf.DUMMYFUNCTION("""COMPUTED_VALUE"""),"Yes")</f>
        <v>Yes</v>
      </c>
      <c r="U143" s="5" t="str">
        <f ca="1">IFERROR(__xludf.DUMMYFUNCTION("""COMPUTED_VALUE"""),"Yes")</f>
        <v>Yes</v>
      </c>
      <c r="V143" s="5" t="str">
        <f ca="1">IFERROR(__xludf.DUMMYFUNCTION("""COMPUTED_VALUE"""),"Yes")</f>
        <v>Yes</v>
      </c>
      <c r="W143" s="5" t="str">
        <f ca="1">IFERROR(__xludf.DUMMYFUNCTION("""COMPUTED_VALUE"""),"Yes")</f>
        <v>Yes</v>
      </c>
      <c r="X143" s="5" t="str">
        <f ca="1">IFERROR(__xludf.DUMMYFUNCTION("""COMPUTED_VALUE"""),"Yes")</f>
        <v>Yes</v>
      </c>
      <c r="Y143" s="5" t="str">
        <f ca="1">IFERROR(__xludf.DUMMYFUNCTION("""COMPUTED_VALUE"""),"Yes")</f>
        <v>Yes</v>
      </c>
      <c r="Z143" s="5" t="str">
        <f ca="1">IFERROR(__xludf.DUMMYFUNCTION("""COMPUTED_VALUE"""),"Yes")</f>
        <v>Yes</v>
      </c>
      <c r="AA143" s="5" t="str">
        <f ca="1">IFERROR(__xludf.DUMMYFUNCTION("""COMPUTED_VALUE"""),"Yes")</f>
        <v>Yes</v>
      </c>
      <c r="AB143" s="5" t="str">
        <f ca="1">IFERROR(__xludf.DUMMYFUNCTION("""COMPUTED_VALUE"""),"Yes")</f>
        <v>Yes</v>
      </c>
      <c r="AC143" s="5" t="str">
        <f ca="1">IFERROR(__xludf.DUMMYFUNCTION("""COMPUTED_VALUE"""),"Yes")</f>
        <v>Yes</v>
      </c>
      <c r="AD143" s="5" t="str">
        <f ca="1">IFERROR(__xludf.DUMMYFUNCTION("""COMPUTED_VALUE"""),"Yes")</f>
        <v>Yes</v>
      </c>
      <c r="AE143" s="5" t="str">
        <f ca="1">IFERROR(__xludf.DUMMYFUNCTION("""COMPUTED_VALUE"""),"Yes")</f>
        <v>Yes</v>
      </c>
      <c r="AF143" s="5" t="str">
        <f ca="1">IFERROR(__xludf.DUMMYFUNCTION("""COMPUTED_VALUE"""),"Yes")</f>
        <v>Yes</v>
      </c>
      <c r="AG143" s="5" t="str">
        <f ca="1">IFERROR(__xludf.DUMMYFUNCTION("""COMPUTED_VALUE"""),"Yes")</f>
        <v>Yes</v>
      </c>
      <c r="AH143" s="5" t="str">
        <f ca="1">IFERROR(__xludf.DUMMYFUNCTION("""COMPUTED_VALUE"""),"Yes")</f>
        <v>Yes</v>
      </c>
      <c r="AI143" s="5" t="str">
        <f ca="1">IFERROR(__xludf.DUMMYFUNCTION("""COMPUTED_VALUE"""),"Yes")</f>
        <v>Yes</v>
      </c>
      <c r="AJ143" s="5" t="str">
        <f ca="1">IFERROR(__xludf.DUMMYFUNCTION("""COMPUTED_VALUE"""),"Yes")</f>
        <v>Yes</v>
      </c>
      <c r="AK143" s="5" t="str">
        <f ca="1">IFERROR(__xludf.DUMMYFUNCTION("""COMPUTED_VALUE"""),"Yes")</f>
        <v>Yes</v>
      </c>
      <c r="AL143" s="5" t="str">
        <f ca="1">IFERROR(__xludf.DUMMYFUNCTION("""COMPUTED_VALUE"""),"Yes")</f>
        <v>Yes</v>
      </c>
      <c r="AM143" s="5" t="str">
        <f ca="1">IFERROR(__xludf.DUMMYFUNCTION("""COMPUTED_VALUE"""),"Yes")</f>
        <v>Yes</v>
      </c>
      <c r="AN143" s="5" t="str">
        <f ca="1">IFERROR(__xludf.DUMMYFUNCTION("""COMPUTED_VALUE"""),"Yes")</f>
        <v>Yes</v>
      </c>
      <c r="AO143" s="5" t="str">
        <f ca="1">IFERROR(__xludf.DUMMYFUNCTION("""COMPUTED_VALUE"""),"Yes")</f>
        <v>Yes</v>
      </c>
      <c r="AP143" s="5" t="str">
        <f ca="1">IFERROR(__xludf.DUMMYFUNCTION("""COMPUTED_VALUE"""),"Yes")</f>
        <v>Yes</v>
      </c>
      <c r="AQ143" s="5" t="str">
        <f ca="1">IFERROR(__xludf.DUMMYFUNCTION("""COMPUTED_VALUE"""),"Yes")</f>
        <v>Yes</v>
      </c>
      <c r="AR143" s="5" t="str">
        <f ca="1">IFERROR(__xludf.DUMMYFUNCTION("""COMPUTED_VALUE"""),"Yes")</f>
        <v>Yes</v>
      </c>
      <c r="AS143" s="5" t="str">
        <f ca="1">IFERROR(__xludf.DUMMYFUNCTION("""COMPUTED_VALUE"""),"Yes")</f>
        <v>Yes</v>
      </c>
      <c r="AT143" s="5" t="str">
        <f ca="1">IFERROR(__xludf.DUMMYFUNCTION("""COMPUTED_VALUE"""),"No")</f>
        <v>No</v>
      </c>
      <c r="AU143" s="5"/>
    </row>
    <row r="144" spans="1:47" x14ac:dyDescent="0.25">
      <c r="A144" s="5" t="str">
        <f ca="1">IFERROR(__xludf.DUMMYFUNCTION("""COMPUTED_VALUE"""),"Foxi")</f>
        <v>Foxi</v>
      </c>
      <c r="B144" s="5" t="str">
        <f ca="1">IFERROR(__xludf.DUMMYFUNCTION("""COMPUTED_VALUE"""),"Turbo Stars 20")</f>
        <v>Turbo Stars 20</v>
      </c>
      <c r="C144" s="5" t="str">
        <f ca="1">IFERROR(__xludf.DUMMYFUNCTION("""COMPUTED_VALUE"""),"TurboStars20")</f>
        <v>TurboStars20</v>
      </c>
      <c r="D144" s="6">
        <f ca="1">IFERROR(__xludf.DUMMYFUNCTION("""COMPUTED_VALUE"""),45630)</f>
        <v>45630</v>
      </c>
      <c r="E144" s="5" t="str">
        <f ca="1">IFERROR(__xludf.DUMMYFUNCTION("""COMPUTED_VALUE"""),"Slot")</f>
        <v>Slot</v>
      </c>
      <c r="F144" s="5">
        <f ca="1">IFERROR(__xludf.DUMMYFUNCTION("""COMPUTED_VALUE"""),23)</f>
        <v>23</v>
      </c>
      <c r="G144" s="5" t="str">
        <f ca="1">IFERROR(__xludf.DUMMYFUNCTION("""COMPUTED_VALUE"""),"5x3")</f>
        <v>5x3</v>
      </c>
      <c r="H144" s="5" t="str">
        <f ca="1">IFERROR(__xludf.DUMMYFUNCTION("""COMPUTED_VALUE"""),"20")</f>
        <v>20</v>
      </c>
      <c r="I144" s="5" t="str">
        <f ca="1">IFERROR(__xludf.DUMMYFUNCTION("""COMPUTED_VALUE"""),"20")</f>
        <v>20</v>
      </c>
      <c r="J144" s="5" t="str">
        <f ca="1">IFERROR(__xludf.DUMMYFUNCTION("""COMPUTED_VALUE"""),"95.544%")</f>
        <v>95.544%</v>
      </c>
      <c r="K144" s="5" t="str">
        <f ca="1">IFERROR(__xludf.DUMMYFUNCTION("""COMPUTED_VALUE"""),"Medium")</f>
        <v>Medium</v>
      </c>
      <c r="L144" s="5" t="str">
        <f ca="1">IFERROR(__xludf.DUMMYFUNCTION("""COMPUTED_VALUE"""),"16.508%")</f>
        <v>16.508%</v>
      </c>
      <c r="M144" s="5" t="str">
        <f ca="1">IFERROR(__xludf.DUMMYFUNCTION("""COMPUTED_VALUE"""),"x1700")</f>
        <v>x1700</v>
      </c>
      <c r="N144" s="5" t="str">
        <f ca="1">IFERROR(__xludf.DUMMYFUNCTION("""COMPUTED_VALUE"""),"0.2/50")</f>
        <v>0.2/50</v>
      </c>
      <c r="O144" s="5" t="str">
        <f ca="1">IFERROR(__xludf.DUMMYFUNCTION("""COMPUTED_VALUE"""),"Yes")</f>
        <v>Yes</v>
      </c>
      <c r="P144" s="5" t="str">
        <f ca="1">IFERROR(__xludf.DUMMYFUNCTION("""COMPUTED_VALUE"""),"Expanding Wild, Respin")</f>
        <v>Expanding Wild, Respin</v>
      </c>
      <c r="Q144" s="7" t="str">
        <f ca="1">IFERROR(__xludf.DUMMYFUNCTION("""COMPUTED_VALUE"""),"https://gameserver-store-client-area.orbionlimited.com/Home/IntegrationGameLaunch/client-area?moneyType=0&amp;gameName=TurboStars20&amp;platform=desktop&amp;languageCode=eng&amp;currency=EUR")</f>
        <v>https://gameserver-store-client-area.orbionlimited.com/Home/IntegrationGameLaunch/client-area?moneyType=0&amp;gameName=TurboStars20&amp;platform=desktop&amp;languageCode=eng&amp;currency=EUR</v>
      </c>
      <c r="R144" s="5" t="str">
        <f ca="1">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S1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4" s="5" t="str">
        <f ca="1">IFERROR(__xludf.DUMMYFUNCTION("""COMPUTED_VALUE"""),"Yes")</f>
        <v>Yes</v>
      </c>
      <c r="U144" s="5" t="str">
        <f ca="1">IFERROR(__xludf.DUMMYFUNCTION("""COMPUTED_VALUE"""),"Yes")</f>
        <v>Yes</v>
      </c>
      <c r="V144" s="5" t="str">
        <f ca="1">IFERROR(__xludf.DUMMYFUNCTION("""COMPUTED_VALUE"""),"Yes")</f>
        <v>Yes</v>
      </c>
      <c r="W144" s="5" t="str">
        <f ca="1">IFERROR(__xludf.DUMMYFUNCTION("""COMPUTED_VALUE"""),"Yes")</f>
        <v>Yes</v>
      </c>
      <c r="X144" s="5" t="str">
        <f ca="1">IFERROR(__xludf.DUMMYFUNCTION("""COMPUTED_VALUE"""),"Yes")</f>
        <v>Yes</v>
      </c>
      <c r="Y144" s="5" t="str">
        <f ca="1">IFERROR(__xludf.DUMMYFUNCTION("""COMPUTED_VALUE"""),"Yes")</f>
        <v>Yes</v>
      </c>
      <c r="Z144" s="5" t="str">
        <f ca="1">IFERROR(__xludf.DUMMYFUNCTION("""COMPUTED_VALUE"""),"Yes")</f>
        <v>Yes</v>
      </c>
      <c r="AA144" s="5" t="str">
        <f ca="1">IFERROR(__xludf.DUMMYFUNCTION("""COMPUTED_VALUE"""),"Yes")</f>
        <v>Yes</v>
      </c>
      <c r="AB144" s="5" t="str">
        <f ca="1">IFERROR(__xludf.DUMMYFUNCTION("""COMPUTED_VALUE"""),"Yes")</f>
        <v>Yes</v>
      </c>
      <c r="AC144" s="5" t="str">
        <f ca="1">IFERROR(__xludf.DUMMYFUNCTION("""COMPUTED_VALUE"""),"Yes")</f>
        <v>Yes</v>
      </c>
      <c r="AD144" s="5" t="str">
        <f ca="1">IFERROR(__xludf.DUMMYFUNCTION("""COMPUTED_VALUE"""),"Yes")</f>
        <v>Yes</v>
      </c>
      <c r="AE144" s="5" t="str">
        <f ca="1">IFERROR(__xludf.DUMMYFUNCTION("""COMPUTED_VALUE"""),"Yes")</f>
        <v>Yes</v>
      </c>
      <c r="AF144" s="5" t="str">
        <f ca="1">IFERROR(__xludf.DUMMYFUNCTION("""COMPUTED_VALUE"""),"Yes")</f>
        <v>Yes</v>
      </c>
      <c r="AG144" s="5" t="str">
        <f ca="1">IFERROR(__xludf.DUMMYFUNCTION("""COMPUTED_VALUE"""),"Yes")</f>
        <v>Yes</v>
      </c>
      <c r="AH144" s="5" t="str">
        <f ca="1">IFERROR(__xludf.DUMMYFUNCTION("""COMPUTED_VALUE"""),"Yes")</f>
        <v>Yes</v>
      </c>
      <c r="AI144" s="5" t="str">
        <f ca="1">IFERROR(__xludf.DUMMYFUNCTION("""COMPUTED_VALUE"""),"Yes")</f>
        <v>Yes</v>
      </c>
      <c r="AJ144" s="5" t="str">
        <f ca="1">IFERROR(__xludf.DUMMYFUNCTION("""COMPUTED_VALUE"""),"Yes")</f>
        <v>Yes</v>
      </c>
      <c r="AK144" s="5" t="str">
        <f ca="1">IFERROR(__xludf.DUMMYFUNCTION("""COMPUTED_VALUE"""),"Yes")</f>
        <v>Yes</v>
      </c>
      <c r="AL144" s="5" t="str">
        <f ca="1">IFERROR(__xludf.DUMMYFUNCTION("""COMPUTED_VALUE"""),"Yes")</f>
        <v>Yes</v>
      </c>
      <c r="AM144" s="5" t="str">
        <f ca="1">IFERROR(__xludf.DUMMYFUNCTION("""COMPUTED_VALUE"""),"Yes")</f>
        <v>Yes</v>
      </c>
      <c r="AN144" s="5" t="str">
        <f ca="1">IFERROR(__xludf.DUMMYFUNCTION("""COMPUTED_VALUE"""),"Yes")</f>
        <v>Yes</v>
      </c>
      <c r="AO144" s="5" t="str">
        <f ca="1">IFERROR(__xludf.DUMMYFUNCTION("""COMPUTED_VALUE"""),"Yes")</f>
        <v>Yes</v>
      </c>
      <c r="AP144" s="5" t="str">
        <f ca="1">IFERROR(__xludf.DUMMYFUNCTION("""COMPUTED_VALUE"""),"Yes")</f>
        <v>Yes</v>
      </c>
      <c r="AQ144" s="5" t="str">
        <f ca="1">IFERROR(__xludf.DUMMYFUNCTION("""COMPUTED_VALUE"""),"Yes")</f>
        <v>Yes</v>
      </c>
      <c r="AR144" s="5" t="str">
        <f ca="1">IFERROR(__xludf.DUMMYFUNCTION("""COMPUTED_VALUE"""),"Yes")</f>
        <v>Yes</v>
      </c>
      <c r="AS144" s="5" t="str">
        <f ca="1">IFERROR(__xludf.DUMMYFUNCTION("""COMPUTED_VALUE"""),"Yes")</f>
        <v>Yes</v>
      </c>
      <c r="AT144" s="5" t="str">
        <f ca="1">IFERROR(__xludf.DUMMYFUNCTION("""COMPUTED_VALUE"""),"No")</f>
        <v>No</v>
      </c>
      <c r="AU144" s="5"/>
    </row>
    <row r="145" spans="1:47" x14ac:dyDescent="0.25">
      <c r="A145" s="5" t="str">
        <f ca="1">IFERROR(__xludf.DUMMYFUNCTION("""COMPUTED_VALUE"""),"Foxi")</f>
        <v>Foxi</v>
      </c>
      <c r="B145" s="5" t="str">
        <f ca="1">IFERROR(__xludf.DUMMYFUNCTION("""COMPUTED_VALUE"""),"Epic Dice 100")</f>
        <v>Epic Dice 100</v>
      </c>
      <c r="C145" s="5" t="str">
        <f ca="1">IFERROR(__xludf.DUMMYFUNCTION("""COMPUTED_VALUE"""),"EpicDice100")</f>
        <v>EpicDice100</v>
      </c>
      <c r="D145" s="6">
        <f ca="1">IFERROR(__xludf.DUMMYFUNCTION("""COMPUTED_VALUE"""),45518)</f>
        <v>45518</v>
      </c>
      <c r="E145" s="5" t="str">
        <f ca="1">IFERROR(__xludf.DUMMYFUNCTION("""COMPUTED_VALUE"""),"Slot")</f>
        <v>Slot</v>
      </c>
      <c r="F145" s="5">
        <f ca="1">IFERROR(__xludf.DUMMYFUNCTION("""COMPUTED_VALUE"""),23.1)</f>
        <v>23.1</v>
      </c>
      <c r="G145" s="5" t="str">
        <f ca="1">IFERROR(__xludf.DUMMYFUNCTION("""COMPUTED_VALUE"""),"5x4")</f>
        <v>5x4</v>
      </c>
      <c r="H145" s="5">
        <f ca="1">IFERROR(__xludf.DUMMYFUNCTION("""COMPUTED_VALUE"""),100)</f>
        <v>100</v>
      </c>
      <c r="I145" s="5">
        <f ca="1">IFERROR(__xludf.DUMMYFUNCTION("""COMPUTED_VALUE"""),100)</f>
        <v>100</v>
      </c>
      <c r="J145" s="5" t="str">
        <f ca="1">IFERROR(__xludf.DUMMYFUNCTION("""COMPUTED_VALUE"""),"96.502%")</f>
        <v>96.502%</v>
      </c>
      <c r="K145" s="5" t="str">
        <f ca="1">IFERROR(__xludf.DUMMYFUNCTION("""COMPUTED_VALUE"""),"Medium")</f>
        <v>Medium</v>
      </c>
      <c r="L145" s="5" t="str">
        <f ca="1">IFERROR(__xludf.DUMMYFUNCTION("""COMPUTED_VALUE"""),"13.309%")</f>
        <v>13.309%</v>
      </c>
      <c r="M145" s="5" t="str">
        <f ca="1">IFERROR(__xludf.DUMMYFUNCTION("""COMPUTED_VALUE"""),"x3000")</f>
        <v>x3000</v>
      </c>
      <c r="N145" s="5" t="str">
        <f ca="1">IFERROR(__xludf.DUMMYFUNCTION("""COMPUTED_VALUE"""),"1/100")</f>
        <v>1/100</v>
      </c>
      <c r="O145" s="5" t="str">
        <f ca="1">IFERROR(__xludf.DUMMYFUNCTION("""COMPUTED_VALUE"""),"Yes")</f>
        <v>Yes</v>
      </c>
      <c r="P145" s="5" t="str">
        <f ca="1">IFERROR(__xludf.DUMMYFUNCTION("""COMPUTED_VALUE"""),"Scatter, Expanding Wild")</f>
        <v>Scatter, Expanding Wild</v>
      </c>
      <c r="Q145" s="7" t="str">
        <f ca="1">IFERROR(__xludf.DUMMYFUNCTION("""COMPUTED_VALUE"""),"https://gameserver-store-client-area.orbionlimited.com/Home/IntegrationGameLaunch/client-area?moneyType=0&amp;gameName=EpicDice100&amp;platform=desktop&amp;languageCode=eng&amp;currency=EUR")</f>
        <v>https://gameserver-store-client-area.orbionlimited.com/Home/IntegrationGameLaunch/client-area?moneyType=0&amp;gameName=EpicDice100&amp;platform=desktop&amp;languageCode=eng&amp;currency=EUR</v>
      </c>
      <c r="R145" s="5" t="str">
        <f ca="1">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S1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5" s="5" t="str">
        <f ca="1">IFERROR(__xludf.DUMMYFUNCTION("""COMPUTED_VALUE"""),"Yes")</f>
        <v>Yes</v>
      </c>
      <c r="U145" s="5" t="str">
        <f ca="1">IFERROR(__xludf.DUMMYFUNCTION("""COMPUTED_VALUE"""),"Yes")</f>
        <v>Yes</v>
      </c>
      <c r="V145" s="5" t="str">
        <f ca="1">IFERROR(__xludf.DUMMYFUNCTION("""COMPUTED_VALUE"""),"Yes")</f>
        <v>Yes</v>
      </c>
      <c r="W145" s="5" t="str">
        <f ca="1">IFERROR(__xludf.DUMMYFUNCTION("""COMPUTED_VALUE"""),"Yes")</f>
        <v>Yes</v>
      </c>
      <c r="X145" s="5" t="str">
        <f ca="1">IFERROR(__xludf.DUMMYFUNCTION("""COMPUTED_VALUE"""),"Yes")</f>
        <v>Yes</v>
      </c>
      <c r="Y145" s="5" t="str">
        <f ca="1">IFERROR(__xludf.DUMMYFUNCTION("""COMPUTED_VALUE"""),"Yes")</f>
        <v>Yes</v>
      </c>
      <c r="Z145" s="5" t="str">
        <f ca="1">IFERROR(__xludf.DUMMYFUNCTION("""COMPUTED_VALUE"""),"Yes")</f>
        <v>Yes</v>
      </c>
      <c r="AA145" s="5" t="str">
        <f ca="1">IFERROR(__xludf.DUMMYFUNCTION("""COMPUTED_VALUE"""),"Yes")</f>
        <v>Yes</v>
      </c>
      <c r="AB145" s="5" t="str">
        <f ca="1">IFERROR(__xludf.DUMMYFUNCTION("""COMPUTED_VALUE"""),"Yes")</f>
        <v>Yes</v>
      </c>
      <c r="AC145" s="5" t="str">
        <f ca="1">IFERROR(__xludf.DUMMYFUNCTION("""COMPUTED_VALUE"""),"Yes")</f>
        <v>Yes</v>
      </c>
      <c r="AD145" s="5" t="str">
        <f ca="1">IFERROR(__xludf.DUMMYFUNCTION("""COMPUTED_VALUE"""),"Yes")</f>
        <v>Yes</v>
      </c>
      <c r="AE145" s="5" t="str">
        <f ca="1">IFERROR(__xludf.DUMMYFUNCTION("""COMPUTED_VALUE"""),"Yes")</f>
        <v>Yes</v>
      </c>
      <c r="AF145" s="5" t="str">
        <f ca="1">IFERROR(__xludf.DUMMYFUNCTION("""COMPUTED_VALUE"""),"Yes")</f>
        <v>Yes</v>
      </c>
      <c r="AG145" s="5" t="str">
        <f ca="1">IFERROR(__xludf.DUMMYFUNCTION("""COMPUTED_VALUE"""),"Yes")</f>
        <v>Yes</v>
      </c>
      <c r="AH145" s="5" t="str">
        <f ca="1">IFERROR(__xludf.DUMMYFUNCTION("""COMPUTED_VALUE"""),"Yes")</f>
        <v>Yes</v>
      </c>
      <c r="AI145" s="5" t="str">
        <f ca="1">IFERROR(__xludf.DUMMYFUNCTION("""COMPUTED_VALUE"""),"Yes")</f>
        <v>Yes</v>
      </c>
      <c r="AJ145" s="5" t="str">
        <f ca="1">IFERROR(__xludf.DUMMYFUNCTION("""COMPUTED_VALUE"""),"Yes")</f>
        <v>Yes</v>
      </c>
      <c r="AK145" s="5" t="str">
        <f ca="1">IFERROR(__xludf.DUMMYFUNCTION("""COMPUTED_VALUE"""),"Yes")</f>
        <v>Yes</v>
      </c>
      <c r="AL145" s="5" t="str">
        <f ca="1">IFERROR(__xludf.DUMMYFUNCTION("""COMPUTED_VALUE"""),"Yes")</f>
        <v>Yes</v>
      </c>
      <c r="AM145" s="5" t="str">
        <f ca="1">IFERROR(__xludf.DUMMYFUNCTION("""COMPUTED_VALUE"""),"Yes")</f>
        <v>Yes</v>
      </c>
      <c r="AN145" s="5" t="str">
        <f ca="1">IFERROR(__xludf.DUMMYFUNCTION("""COMPUTED_VALUE"""),"Yes")</f>
        <v>Yes</v>
      </c>
      <c r="AO145" s="5" t="str">
        <f ca="1">IFERROR(__xludf.DUMMYFUNCTION("""COMPUTED_VALUE"""),"Yes")</f>
        <v>Yes</v>
      </c>
      <c r="AP145" s="5" t="str">
        <f ca="1">IFERROR(__xludf.DUMMYFUNCTION("""COMPUTED_VALUE"""),"Yes")</f>
        <v>Yes</v>
      </c>
      <c r="AQ145" s="5" t="str">
        <f ca="1">IFERROR(__xludf.DUMMYFUNCTION("""COMPUTED_VALUE"""),"Yes")</f>
        <v>Yes</v>
      </c>
      <c r="AR145" s="5" t="str">
        <f ca="1">IFERROR(__xludf.DUMMYFUNCTION("""COMPUTED_VALUE"""),"Yes")</f>
        <v>Yes</v>
      </c>
      <c r="AS145" s="5" t="str">
        <f ca="1">IFERROR(__xludf.DUMMYFUNCTION("""COMPUTED_VALUE"""),"Yes")</f>
        <v>Yes</v>
      </c>
      <c r="AT145" s="5" t="str">
        <f ca="1">IFERROR(__xludf.DUMMYFUNCTION("""COMPUTED_VALUE"""),"No")</f>
        <v>No</v>
      </c>
      <c r="AU145" s="5"/>
    </row>
    <row r="146" spans="1:47" x14ac:dyDescent="0.25">
      <c r="A146" s="5" t="str">
        <f ca="1">IFERROR(__xludf.DUMMYFUNCTION("""COMPUTED_VALUE"""),"Foxi")</f>
        <v>Foxi</v>
      </c>
      <c r="B146" s="5" t="str">
        <f ca="1">IFERROR(__xludf.DUMMYFUNCTION("""COMPUTED_VALUE"""),"Mega Hot 20")</f>
        <v>Mega Hot 20</v>
      </c>
      <c r="C146" s="5" t="str">
        <f ca="1">IFERROR(__xludf.DUMMYFUNCTION("""COMPUTED_VALUE"""),"MegaHot20")</f>
        <v>MegaHot20</v>
      </c>
      <c r="D146" s="6">
        <f ca="1">IFERROR(__xludf.DUMMYFUNCTION("""COMPUTED_VALUE"""),45509)</f>
        <v>45509</v>
      </c>
      <c r="E146" s="5" t="str">
        <f ca="1">IFERROR(__xludf.DUMMYFUNCTION("""COMPUTED_VALUE"""),"Slot")</f>
        <v>Slot</v>
      </c>
      <c r="F146" s="5">
        <f ca="1">IFERROR(__xludf.DUMMYFUNCTION("""COMPUTED_VALUE"""),21)</f>
        <v>21</v>
      </c>
      <c r="G146" s="5" t="str">
        <f ca="1">IFERROR(__xludf.DUMMYFUNCTION("""COMPUTED_VALUE"""),"5x3")</f>
        <v>5x3</v>
      </c>
      <c r="H146" s="5">
        <f ca="1">IFERROR(__xludf.DUMMYFUNCTION("""COMPUTED_VALUE"""),20)</f>
        <v>20</v>
      </c>
      <c r="I146" s="5">
        <f ca="1">IFERROR(__xludf.DUMMYFUNCTION("""COMPUTED_VALUE"""),20)</f>
        <v>20</v>
      </c>
      <c r="J146" s="5" t="str">
        <f ca="1">IFERROR(__xludf.DUMMYFUNCTION("""COMPUTED_VALUE"""),"96.475%")</f>
        <v>96.475%</v>
      </c>
      <c r="K146" s="5" t="str">
        <f ca="1">IFERROR(__xludf.DUMMYFUNCTION("""COMPUTED_VALUE"""),"High")</f>
        <v>High</v>
      </c>
      <c r="L146" s="5" t="str">
        <f ca="1">IFERROR(__xludf.DUMMYFUNCTION("""COMPUTED_VALUE"""),"7.13%")</f>
        <v>7.13%</v>
      </c>
      <c r="M146" s="5" t="str">
        <f ca="1">IFERROR(__xludf.DUMMYFUNCTION("""COMPUTED_VALUE"""),"x1500")</f>
        <v>x1500</v>
      </c>
      <c r="N146" s="5" t="str">
        <f ca="1">IFERROR(__xludf.DUMMYFUNCTION("""COMPUTED_VALUE"""),"0.2/50")</f>
        <v>0.2/50</v>
      </c>
      <c r="O146" s="5" t="str">
        <f ca="1">IFERROR(__xludf.DUMMYFUNCTION("""COMPUTED_VALUE"""),"Yes")</f>
        <v>Yes</v>
      </c>
      <c r="P146" s="5" t="str">
        <f ca="1">IFERROR(__xludf.DUMMYFUNCTION("""COMPUTED_VALUE"""),"Win Multiplier")</f>
        <v>Win Multiplier</v>
      </c>
      <c r="Q146" s="7" t="str">
        <f ca="1">IFERROR(__xludf.DUMMYFUNCTION("""COMPUTED_VALUE"""),"https://gameserver-store-client-area.orbionlimited.com/Home/IntegrationGameLaunch/client-area?moneyType=0&amp;gameName=MegaHot20&amp;platform=desktop&amp;languageCode=eng&amp;currency=EUR")</f>
        <v>https://gameserver-store-client-area.orbionlimited.com/Home/IntegrationGameLaunch/client-area?moneyType=0&amp;gameName=MegaHot20&amp;platform=desktop&amp;languageCode=eng&amp;currency=EUR</v>
      </c>
      <c r="R146" s="5" t="str">
        <f ca="1">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S1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6" s="5" t="str">
        <f ca="1">IFERROR(__xludf.DUMMYFUNCTION("""COMPUTED_VALUE"""),"Yes")</f>
        <v>Yes</v>
      </c>
      <c r="U146" s="5" t="str">
        <f ca="1">IFERROR(__xludf.DUMMYFUNCTION("""COMPUTED_VALUE"""),"Yes")</f>
        <v>Yes</v>
      </c>
      <c r="V146" s="5" t="str">
        <f ca="1">IFERROR(__xludf.DUMMYFUNCTION("""COMPUTED_VALUE"""),"Yes")</f>
        <v>Yes</v>
      </c>
      <c r="W146" s="5" t="str">
        <f ca="1">IFERROR(__xludf.DUMMYFUNCTION("""COMPUTED_VALUE"""),"Yes")</f>
        <v>Yes</v>
      </c>
      <c r="X146" s="5" t="str">
        <f ca="1">IFERROR(__xludf.DUMMYFUNCTION("""COMPUTED_VALUE"""),"Yes")</f>
        <v>Yes</v>
      </c>
      <c r="Y146" s="5" t="str">
        <f ca="1">IFERROR(__xludf.DUMMYFUNCTION("""COMPUTED_VALUE"""),"Yes")</f>
        <v>Yes</v>
      </c>
      <c r="Z146" s="5" t="str">
        <f ca="1">IFERROR(__xludf.DUMMYFUNCTION("""COMPUTED_VALUE"""),"Yes")</f>
        <v>Yes</v>
      </c>
      <c r="AA146" s="5" t="str">
        <f ca="1">IFERROR(__xludf.DUMMYFUNCTION("""COMPUTED_VALUE"""),"Yes")</f>
        <v>Yes</v>
      </c>
      <c r="AB146" s="5" t="str">
        <f ca="1">IFERROR(__xludf.DUMMYFUNCTION("""COMPUTED_VALUE"""),"Yes")</f>
        <v>Yes</v>
      </c>
      <c r="AC146" s="5" t="str">
        <f ca="1">IFERROR(__xludf.DUMMYFUNCTION("""COMPUTED_VALUE"""),"Yes")</f>
        <v>Yes</v>
      </c>
      <c r="AD146" s="5" t="str">
        <f ca="1">IFERROR(__xludf.DUMMYFUNCTION("""COMPUTED_VALUE"""),"Yes")</f>
        <v>Yes</v>
      </c>
      <c r="AE146" s="5" t="str">
        <f ca="1">IFERROR(__xludf.DUMMYFUNCTION("""COMPUTED_VALUE"""),"Yes")</f>
        <v>Yes</v>
      </c>
      <c r="AF146" s="5" t="str">
        <f ca="1">IFERROR(__xludf.DUMMYFUNCTION("""COMPUTED_VALUE"""),"Yes")</f>
        <v>Yes</v>
      </c>
      <c r="AG146" s="5" t="str">
        <f ca="1">IFERROR(__xludf.DUMMYFUNCTION("""COMPUTED_VALUE"""),"Yes")</f>
        <v>Yes</v>
      </c>
      <c r="AH146" s="5" t="str">
        <f ca="1">IFERROR(__xludf.DUMMYFUNCTION("""COMPUTED_VALUE"""),"Yes")</f>
        <v>Yes</v>
      </c>
      <c r="AI146" s="5" t="str">
        <f ca="1">IFERROR(__xludf.DUMMYFUNCTION("""COMPUTED_VALUE"""),"Yes")</f>
        <v>Yes</v>
      </c>
      <c r="AJ146" s="5" t="str">
        <f ca="1">IFERROR(__xludf.DUMMYFUNCTION("""COMPUTED_VALUE"""),"Yes")</f>
        <v>Yes</v>
      </c>
      <c r="AK146" s="5" t="str">
        <f ca="1">IFERROR(__xludf.DUMMYFUNCTION("""COMPUTED_VALUE"""),"Yes")</f>
        <v>Yes</v>
      </c>
      <c r="AL146" s="5" t="str">
        <f ca="1">IFERROR(__xludf.DUMMYFUNCTION("""COMPUTED_VALUE"""),"Yes")</f>
        <v>Yes</v>
      </c>
      <c r="AM146" s="5" t="str">
        <f ca="1">IFERROR(__xludf.DUMMYFUNCTION("""COMPUTED_VALUE"""),"Yes")</f>
        <v>Yes</v>
      </c>
      <c r="AN146" s="5" t="str">
        <f ca="1">IFERROR(__xludf.DUMMYFUNCTION("""COMPUTED_VALUE"""),"Yes")</f>
        <v>Yes</v>
      </c>
      <c r="AO146" s="5" t="str">
        <f ca="1">IFERROR(__xludf.DUMMYFUNCTION("""COMPUTED_VALUE"""),"Yes")</f>
        <v>Yes</v>
      </c>
      <c r="AP146" s="5" t="str">
        <f ca="1">IFERROR(__xludf.DUMMYFUNCTION("""COMPUTED_VALUE"""),"Yes")</f>
        <v>Yes</v>
      </c>
      <c r="AQ146" s="5" t="str">
        <f ca="1">IFERROR(__xludf.DUMMYFUNCTION("""COMPUTED_VALUE"""),"Yes")</f>
        <v>Yes</v>
      </c>
      <c r="AR146" s="5" t="str">
        <f ca="1">IFERROR(__xludf.DUMMYFUNCTION("""COMPUTED_VALUE"""),"Yes")</f>
        <v>Yes</v>
      </c>
      <c r="AS146" s="5" t="str">
        <f ca="1">IFERROR(__xludf.DUMMYFUNCTION("""COMPUTED_VALUE"""),"Yes")</f>
        <v>Yes</v>
      </c>
      <c r="AT146" s="5" t="str">
        <f ca="1">IFERROR(__xludf.DUMMYFUNCTION("""COMPUTED_VALUE"""),"No")</f>
        <v>No</v>
      </c>
      <c r="AU146" s="5"/>
    </row>
    <row r="147" spans="1:47" x14ac:dyDescent="0.25">
      <c r="A147" s="5" t="str">
        <f ca="1">IFERROR(__xludf.DUMMYFUNCTION("""COMPUTED_VALUE"""),"Foxi")</f>
        <v>Foxi</v>
      </c>
      <c r="B147" s="5" t="str">
        <f ca="1">IFERROR(__xludf.DUMMYFUNCTION("""COMPUTED_VALUE"""),"Clovers And Stars")</f>
        <v>Clovers And Stars</v>
      </c>
      <c r="C147" s="5" t="str">
        <f ca="1">IFERROR(__xludf.DUMMYFUNCTION("""COMPUTED_VALUE"""),"CloversAndStars")</f>
        <v>CloversAndStars</v>
      </c>
      <c r="D147" s="6">
        <f ca="1">IFERROR(__xludf.DUMMYFUNCTION("""COMPUTED_VALUE"""),45566)</f>
        <v>45566</v>
      </c>
      <c r="E147" s="5" t="str">
        <f ca="1">IFERROR(__xludf.DUMMYFUNCTION("""COMPUTED_VALUE"""),"Slot")</f>
        <v>Slot</v>
      </c>
      <c r="F147" s="5">
        <f ca="1">IFERROR(__xludf.DUMMYFUNCTION("""COMPUTED_VALUE"""),22.4)</f>
        <v>22.4</v>
      </c>
      <c r="G147" s="5" t="str">
        <f ca="1">IFERROR(__xludf.DUMMYFUNCTION("""COMPUTED_VALUE"""),"5x4")</f>
        <v>5x4</v>
      </c>
      <c r="H147" s="5">
        <f ca="1">IFERROR(__xludf.DUMMYFUNCTION("""COMPUTED_VALUE"""),40)</f>
        <v>40</v>
      </c>
      <c r="I147" s="5">
        <f ca="1">IFERROR(__xludf.DUMMYFUNCTION("""COMPUTED_VALUE"""),40)</f>
        <v>40</v>
      </c>
      <c r="J147" s="5" t="str">
        <f ca="1">IFERROR(__xludf.DUMMYFUNCTION("""COMPUTED_VALUE"""),"96.474%")</f>
        <v>96.474%</v>
      </c>
      <c r="K147" s="5" t="str">
        <f ca="1">IFERROR(__xludf.DUMMYFUNCTION("""COMPUTED_VALUE"""),"High")</f>
        <v>High</v>
      </c>
      <c r="L147" s="5" t="str">
        <f ca="1">IFERROR(__xludf.DUMMYFUNCTION("""COMPUTED_VALUE"""),"10.421%")</f>
        <v>10.421%</v>
      </c>
      <c r="M147" s="5" t="str">
        <f ca="1">IFERROR(__xludf.DUMMYFUNCTION("""COMPUTED_VALUE"""),"x10145")</f>
        <v>x10145</v>
      </c>
      <c r="N147" s="5" t="str">
        <f ca="1">IFERROR(__xludf.DUMMYFUNCTION("""COMPUTED_VALUE"""),"0.4/60")</f>
        <v>0.4/60</v>
      </c>
      <c r="O147" s="5" t="str">
        <f ca="1">IFERROR(__xludf.DUMMYFUNCTION("""COMPUTED_VALUE"""),"Yes")</f>
        <v>Yes</v>
      </c>
      <c r="P147" s="5"/>
      <c r="Q147" s="7" t="str">
        <f ca="1">IFERROR(__xludf.DUMMYFUNCTION("""COMPUTED_VALUE"""),"https://gameserver-store-client-area.orbionlimited.com/Home/IntegrationGameLaunch/client-area?moneyType=0&amp;gameName=CloversAndStars&amp;platform=desktop&amp;languageCode=eng&amp;currency=EUR")</f>
        <v>https://gameserver-store-client-area.orbionlimited.com/Home/IntegrationGameLaunch/client-area?moneyType=0&amp;gameName=CloversAndStars&amp;platform=desktop&amp;languageCode=eng&amp;currency=EUR</v>
      </c>
      <c r="R147" s="5" t="str">
        <f ca="1">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S1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7" s="5" t="str">
        <f ca="1">IFERROR(__xludf.DUMMYFUNCTION("""COMPUTED_VALUE"""),"Yes")</f>
        <v>Yes</v>
      </c>
      <c r="U147" s="5" t="str">
        <f ca="1">IFERROR(__xludf.DUMMYFUNCTION("""COMPUTED_VALUE"""),"Yes")</f>
        <v>Yes</v>
      </c>
      <c r="V147" s="5" t="str">
        <f ca="1">IFERROR(__xludf.DUMMYFUNCTION("""COMPUTED_VALUE"""),"Yes")</f>
        <v>Yes</v>
      </c>
      <c r="W147" s="5" t="str">
        <f ca="1">IFERROR(__xludf.DUMMYFUNCTION("""COMPUTED_VALUE"""),"Yes")</f>
        <v>Yes</v>
      </c>
      <c r="X147" s="5" t="str">
        <f ca="1">IFERROR(__xludf.DUMMYFUNCTION("""COMPUTED_VALUE"""),"Yes")</f>
        <v>Yes</v>
      </c>
      <c r="Y147" s="5" t="str">
        <f ca="1">IFERROR(__xludf.DUMMYFUNCTION("""COMPUTED_VALUE"""),"Yes")</f>
        <v>Yes</v>
      </c>
      <c r="Z147" s="5" t="str">
        <f ca="1">IFERROR(__xludf.DUMMYFUNCTION("""COMPUTED_VALUE"""),"Yes")</f>
        <v>Yes</v>
      </c>
      <c r="AA147" s="5" t="str">
        <f ca="1">IFERROR(__xludf.DUMMYFUNCTION("""COMPUTED_VALUE"""),"Yes")</f>
        <v>Yes</v>
      </c>
      <c r="AB147" s="5" t="str">
        <f ca="1">IFERROR(__xludf.DUMMYFUNCTION("""COMPUTED_VALUE"""),"Yes")</f>
        <v>Yes</v>
      </c>
      <c r="AC147" s="5" t="str">
        <f ca="1">IFERROR(__xludf.DUMMYFUNCTION("""COMPUTED_VALUE"""),"Yes")</f>
        <v>Yes</v>
      </c>
      <c r="AD147" s="5" t="str">
        <f ca="1">IFERROR(__xludf.DUMMYFUNCTION("""COMPUTED_VALUE"""),"Yes")</f>
        <v>Yes</v>
      </c>
      <c r="AE147" s="5" t="str">
        <f ca="1">IFERROR(__xludf.DUMMYFUNCTION("""COMPUTED_VALUE"""),"Yes")</f>
        <v>Yes</v>
      </c>
      <c r="AF147" s="5" t="str">
        <f ca="1">IFERROR(__xludf.DUMMYFUNCTION("""COMPUTED_VALUE"""),"Yes")</f>
        <v>Yes</v>
      </c>
      <c r="AG147" s="5" t="str">
        <f ca="1">IFERROR(__xludf.DUMMYFUNCTION("""COMPUTED_VALUE"""),"Yes")</f>
        <v>Yes</v>
      </c>
      <c r="AH147" s="5" t="str">
        <f ca="1">IFERROR(__xludf.DUMMYFUNCTION("""COMPUTED_VALUE"""),"Yes")</f>
        <v>Yes</v>
      </c>
      <c r="AI147" s="5" t="str">
        <f ca="1">IFERROR(__xludf.DUMMYFUNCTION("""COMPUTED_VALUE"""),"Yes")</f>
        <v>Yes</v>
      </c>
      <c r="AJ147" s="5" t="str">
        <f ca="1">IFERROR(__xludf.DUMMYFUNCTION("""COMPUTED_VALUE"""),"Yes")</f>
        <v>Yes</v>
      </c>
      <c r="AK147" s="5" t="str">
        <f ca="1">IFERROR(__xludf.DUMMYFUNCTION("""COMPUTED_VALUE"""),"Yes")</f>
        <v>Yes</v>
      </c>
      <c r="AL147" s="5" t="str">
        <f ca="1">IFERROR(__xludf.DUMMYFUNCTION("""COMPUTED_VALUE"""),"Yes")</f>
        <v>Yes</v>
      </c>
      <c r="AM147" s="5" t="str">
        <f ca="1">IFERROR(__xludf.DUMMYFUNCTION("""COMPUTED_VALUE"""),"Yes")</f>
        <v>Yes</v>
      </c>
      <c r="AN147" s="5" t="str">
        <f ca="1">IFERROR(__xludf.DUMMYFUNCTION("""COMPUTED_VALUE"""),"Yes")</f>
        <v>Yes</v>
      </c>
      <c r="AO147" s="5" t="str">
        <f ca="1">IFERROR(__xludf.DUMMYFUNCTION("""COMPUTED_VALUE"""),"Yes")</f>
        <v>Yes</v>
      </c>
      <c r="AP147" s="5" t="str">
        <f ca="1">IFERROR(__xludf.DUMMYFUNCTION("""COMPUTED_VALUE"""),"Yes")</f>
        <v>Yes</v>
      </c>
      <c r="AQ147" s="5" t="str">
        <f ca="1">IFERROR(__xludf.DUMMYFUNCTION("""COMPUTED_VALUE"""),"Yes")</f>
        <v>Yes</v>
      </c>
      <c r="AR147" s="5" t="str">
        <f ca="1">IFERROR(__xludf.DUMMYFUNCTION("""COMPUTED_VALUE"""),"Yes")</f>
        <v>Yes</v>
      </c>
      <c r="AS147" s="5" t="str">
        <f ca="1">IFERROR(__xludf.DUMMYFUNCTION("""COMPUTED_VALUE"""),"Yes")</f>
        <v>Yes</v>
      </c>
      <c r="AT147" s="5" t="str">
        <f ca="1">IFERROR(__xludf.DUMMYFUNCTION("""COMPUTED_VALUE"""),"No")</f>
        <v>No</v>
      </c>
      <c r="AU147" s="5"/>
    </row>
    <row r="148" spans="1:47" x14ac:dyDescent="0.25">
      <c r="A148" s="5" t="str">
        <f ca="1">IFERROR(__xludf.DUMMYFUNCTION("""COMPUTED_VALUE"""),"Foxi")</f>
        <v>Foxi</v>
      </c>
      <c r="B148" s="5" t="str">
        <f ca="1">IFERROR(__xludf.DUMMYFUNCTION("""COMPUTED_VALUE"""),"Fortune Parrot")</f>
        <v>Fortune Parrot</v>
      </c>
      <c r="C148" s="5" t="str">
        <f ca="1">IFERROR(__xludf.DUMMYFUNCTION("""COMPUTED_VALUE"""),"FortuneParrot")</f>
        <v>FortuneParrot</v>
      </c>
      <c r="D148" s="6">
        <f ca="1">IFERROR(__xludf.DUMMYFUNCTION("""COMPUTED_VALUE"""),45582)</f>
        <v>45582</v>
      </c>
      <c r="E148" s="5" t="str">
        <f ca="1">IFERROR(__xludf.DUMMYFUNCTION("""COMPUTED_VALUE"""),"Slot")</f>
        <v>Slot</v>
      </c>
      <c r="F148" s="5">
        <f ca="1">IFERROR(__xludf.DUMMYFUNCTION("""COMPUTED_VALUE"""),27)</f>
        <v>27</v>
      </c>
      <c r="G148" s="5" t="str">
        <f ca="1">IFERROR(__xludf.DUMMYFUNCTION("""COMPUTED_VALUE"""),"5x3")</f>
        <v>5x3</v>
      </c>
      <c r="H148" s="5">
        <f ca="1">IFERROR(__xludf.DUMMYFUNCTION("""COMPUTED_VALUE"""),10)</f>
        <v>10</v>
      </c>
      <c r="I148" s="5">
        <f ca="1">IFERROR(__xludf.DUMMYFUNCTION("""COMPUTED_VALUE"""),10)</f>
        <v>10</v>
      </c>
      <c r="J148" s="5" t="str">
        <f ca="1">IFERROR(__xludf.DUMMYFUNCTION("""COMPUTED_VALUE"""),"96.414%")</f>
        <v>96.414%</v>
      </c>
      <c r="K148" s="5" t="str">
        <f ca="1">IFERROR(__xludf.DUMMYFUNCTION("""COMPUTED_VALUE"""),"Medium")</f>
        <v>Medium</v>
      </c>
      <c r="L148" s="5" t="str">
        <f ca="1">IFERROR(__xludf.DUMMYFUNCTION("""COMPUTED_VALUE"""),"17.959%")</f>
        <v>17.959%</v>
      </c>
      <c r="M148" s="5" t="str">
        <f ca="1">IFERROR(__xludf.DUMMYFUNCTION("""COMPUTED_VALUE"""),"x1543")</f>
        <v>x1543</v>
      </c>
      <c r="N148" s="5" t="str">
        <f ca="1">IFERROR(__xludf.DUMMYFUNCTION("""COMPUTED_VALUE"""),"0.1/40")</f>
        <v>0.1/40</v>
      </c>
      <c r="O148" s="5" t="str">
        <f ca="1">IFERROR(__xludf.DUMMYFUNCTION("""COMPUTED_VALUE"""),"Yes")</f>
        <v>Yes</v>
      </c>
      <c r="P148" s="5" t="str">
        <f ca="1">IFERROR(__xludf.DUMMYFUNCTION("""COMPUTED_VALUE"""),"Expanding Wild, Scatter")</f>
        <v>Expanding Wild, Scatter</v>
      </c>
      <c r="Q148" s="7" t="str">
        <f ca="1">IFERROR(__xludf.DUMMYFUNCTION("""COMPUTED_VALUE"""),"https://gameserver-store-client-area.orbionlimited.com/Home/IntegrationGameLaunch/client-area?moneyType=0&amp;gameName=FortuneParrot&amp;platform=desktop&amp;languageCode=eng&amp;currency=EUR")</f>
        <v>https://gameserver-store-client-area.orbionlimited.com/Home/IntegrationGameLaunch/client-area?moneyType=0&amp;gameName=FortuneParrot&amp;platform=desktop&amp;languageCode=eng&amp;currency=EUR</v>
      </c>
      <c r="R148" s="5" t="str">
        <f ca="1">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S1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8" s="5" t="str">
        <f ca="1">IFERROR(__xludf.DUMMYFUNCTION("""COMPUTED_VALUE"""),"Yes")</f>
        <v>Yes</v>
      </c>
      <c r="U148" s="5" t="str">
        <f ca="1">IFERROR(__xludf.DUMMYFUNCTION("""COMPUTED_VALUE"""),"Yes")</f>
        <v>Yes</v>
      </c>
      <c r="V148" s="5" t="str">
        <f ca="1">IFERROR(__xludf.DUMMYFUNCTION("""COMPUTED_VALUE"""),"Yes")</f>
        <v>Yes</v>
      </c>
      <c r="W148" s="5" t="str">
        <f ca="1">IFERROR(__xludf.DUMMYFUNCTION("""COMPUTED_VALUE"""),"Yes")</f>
        <v>Yes</v>
      </c>
      <c r="X148" s="5" t="str">
        <f ca="1">IFERROR(__xludf.DUMMYFUNCTION("""COMPUTED_VALUE"""),"Yes")</f>
        <v>Yes</v>
      </c>
      <c r="Y148" s="5" t="str">
        <f ca="1">IFERROR(__xludf.DUMMYFUNCTION("""COMPUTED_VALUE"""),"Yes")</f>
        <v>Yes</v>
      </c>
      <c r="Z148" s="5" t="str">
        <f ca="1">IFERROR(__xludf.DUMMYFUNCTION("""COMPUTED_VALUE"""),"Yes")</f>
        <v>Yes</v>
      </c>
      <c r="AA148" s="5" t="str">
        <f ca="1">IFERROR(__xludf.DUMMYFUNCTION("""COMPUTED_VALUE"""),"Yes")</f>
        <v>Yes</v>
      </c>
      <c r="AB148" s="5" t="str">
        <f ca="1">IFERROR(__xludf.DUMMYFUNCTION("""COMPUTED_VALUE"""),"Yes")</f>
        <v>Yes</v>
      </c>
      <c r="AC148" s="5" t="str">
        <f ca="1">IFERROR(__xludf.DUMMYFUNCTION("""COMPUTED_VALUE"""),"Yes")</f>
        <v>Yes</v>
      </c>
      <c r="AD148" s="5" t="str">
        <f ca="1">IFERROR(__xludf.DUMMYFUNCTION("""COMPUTED_VALUE"""),"Yes")</f>
        <v>Yes</v>
      </c>
      <c r="AE148" s="5" t="str">
        <f ca="1">IFERROR(__xludf.DUMMYFUNCTION("""COMPUTED_VALUE"""),"Yes")</f>
        <v>Yes</v>
      </c>
      <c r="AF148" s="5" t="str">
        <f ca="1">IFERROR(__xludf.DUMMYFUNCTION("""COMPUTED_VALUE"""),"Yes")</f>
        <v>Yes</v>
      </c>
      <c r="AG148" s="5" t="str">
        <f ca="1">IFERROR(__xludf.DUMMYFUNCTION("""COMPUTED_VALUE"""),"Yes")</f>
        <v>Yes</v>
      </c>
      <c r="AH148" s="5" t="str">
        <f ca="1">IFERROR(__xludf.DUMMYFUNCTION("""COMPUTED_VALUE"""),"Yes")</f>
        <v>Yes</v>
      </c>
      <c r="AI148" s="5" t="str">
        <f ca="1">IFERROR(__xludf.DUMMYFUNCTION("""COMPUTED_VALUE"""),"Yes")</f>
        <v>Yes</v>
      </c>
      <c r="AJ148" s="5" t="str">
        <f ca="1">IFERROR(__xludf.DUMMYFUNCTION("""COMPUTED_VALUE"""),"Yes")</f>
        <v>Yes</v>
      </c>
      <c r="AK148" s="5" t="str">
        <f ca="1">IFERROR(__xludf.DUMMYFUNCTION("""COMPUTED_VALUE"""),"Yes")</f>
        <v>Yes</v>
      </c>
      <c r="AL148" s="5" t="str">
        <f ca="1">IFERROR(__xludf.DUMMYFUNCTION("""COMPUTED_VALUE"""),"Yes")</f>
        <v>Yes</v>
      </c>
      <c r="AM148" s="5" t="str">
        <f ca="1">IFERROR(__xludf.DUMMYFUNCTION("""COMPUTED_VALUE"""),"Yes")</f>
        <v>Yes</v>
      </c>
      <c r="AN148" s="5" t="str">
        <f ca="1">IFERROR(__xludf.DUMMYFUNCTION("""COMPUTED_VALUE"""),"Yes")</f>
        <v>Yes</v>
      </c>
      <c r="AO148" s="5" t="str">
        <f ca="1">IFERROR(__xludf.DUMMYFUNCTION("""COMPUTED_VALUE"""),"Yes")</f>
        <v>Yes</v>
      </c>
      <c r="AP148" s="5" t="str">
        <f ca="1">IFERROR(__xludf.DUMMYFUNCTION("""COMPUTED_VALUE"""),"Yes")</f>
        <v>Yes</v>
      </c>
      <c r="AQ148" s="5" t="str">
        <f ca="1">IFERROR(__xludf.DUMMYFUNCTION("""COMPUTED_VALUE"""),"Yes")</f>
        <v>Yes</v>
      </c>
      <c r="AR148" s="5" t="str">
        <f ca="1">IFERROR(__xludf.DUMMYFUNCTION("""COMPUTED_VALUE"""),"Yes")</f>
        <v>Yes</v>
      </c>
      <c r="AS148" s="5" t="str">
        <f ca="1">IFERROR(__xludf.DUMMYFUNCTION("""COMPUTED_VALUE"""),"Yes")</f>
        <v>Yes</v>
      </c>
      <c r="AT148" s="5" t="str">
        <f ca="1">IFERROR(__xludf.DUMMYFUNCTION("""COMPUTED_VALUE"""),"No")</f>
        <v>No</v>
      </c>
      <c r="AU148" s="5"/>
    </row>
    <row r="149" spans="1:47" x14ac:dyDescent="0.25">
      <c r="A149" s="5" t="str">
        <f ca="1">IFERROR(__xludf.DUMMYFUNCTION("""COMPUTED_VALUE"""),"Foxi")</f>
        <v>Foxi</v>
      </c>
      <c r="B149" s="5" t="str">
        <f ca="1">IFERROR(__xludf.DUMMYFUNCTION("""COMPUTED_VALUE"""),"Golden Crown Max")</f>
        <v>Golden Crown Max</v>
      </c>
      <c r="C149" s="5" t="str">
        <f ca="1">IFERROR(__xludf.DUMMYFUNCTION("""COMPUTED_VALUE"""),"GoldenCrownMax")</f>
        <v>GoldenCrownMax</v>
      </c>
      <c r="D149" s="6">
        <f ca="1">IFERROR(__xludf.DUMMYFUNCTION("""COMPUTED_VALUE"""),45636)</f>
        <v>45636</v>
      </c>
      <c r="E149" s="5" t="str">
        <f ca="1">IFERROR(__xludf.DUMMYFUNCTION("""COMPUTED_VALUE"""),"Slot")</f>
        <v>Slot</v>
      </c>
      <c r="F149" s="5">
        <f ca="1">IFERROR(__xludf.DUMMYFUNCTION("""COMPUTED_VALUE"""),25)</f>
        <v>25</v>
      </c>
      <c r="G149" s="5" t="str">
        <f ca="1">IFERROR(__xludf.DUMMYFUNCTION("""COMPUTED_VALUE"""),"5x4")</f>
        <v>5x4</v>
      </c>
      <c r="H149" s="5">
        <f ca="1">IFERROR(__xludf.DUMMYFUNCTION("""COMPUTED_VALUE"""),40)</f>
        <v>40</v>
      </c>
      <c r="I149" s="5">
        <f ca="1">IFERROR(__xludf.DUMMYFUNCTION("""COMPUTED_VALUE"""),40)</f>
        <v>40</v>
      </c>
      <c r="J149" s="5" t="str">
        <f ca="1">IFERROR(__xludf.DUMMYFUNCTION("""COMPUTED_VALUE"""),"96.483%")</f>
        <v>96.483%</v>
      </c>
      <c r="K149" s="5" t="str">
        <f ca="1">IFERROR(__xludf.DUMMYFUNCTION("""COMPUTED_VALUE"""),"High")</f>
        <v>High</v>
      </c>
      <c r="L149" s="5" t="str">
        <f ca="1">IFERROR(__xludf.DUMMYFUNCTION("""COMPUTED_VALUE"""),"12.5%")</f>
        <v>12.5%</v>
      </c>
      <c r="M149" s="5" t="str">
        <f ca="1">IFERROR(__xludf.DUMMYFUNCTION("""COMPUTED_VALUE"""),"x5000")</f>
        <v>x5000</v>
      </c>
      <c r="N149" s="5" t="str">
        <f ca="1">IFERROR(__xludf.DUMMYFUNCTION("""COMPUTED_VALUE"""),"0.4/60")</f>
        <v>0.4/60</v>
      </c>
      <c r="O149" s="5" t="str">
        <f ca="1">IFERROR(__xludf.DUMMYFUNCTION("""COMPUTED_VALUE"""),"Yes")</f>
        <v>Yes</v>
      </c>
      <c r="P149" s="5" t="str">
        <f ca="1">IFERROR(__xludf.DUMMYFUNCTION("""COMPUTED_VALUE"""),"Scatter, Expanding Wild")</f>
        <v>Scatter, Expanding Wild</v>
      </c>
      <c r="Q149" s="7" t="str">
        <f ca="1">IFERROR(__xludf.DUMMYFUNCTION("""COMPUTED_VALUE"""),"https://gameserver-store-client-area.orbionlimited.com/Home/IntegrationGameLaunch/client-area?moneyType=0&amp;gameName=GoldenCrownMax&amp;platform=desktop&amp;languageCode=eng&amp;currency=EUR")</f>
        <v>https://gameserver-store-client-area.orbionlimited.com/Home/IntegrationGameLaunch/client-area?moneyType=0&amp;gameName=GoldenCrownMax&amp;platform=desktop&amp;languageCode=eng&amp;currency=EUR</v>
      </c>
      <c r="R149" s="5" t="str">
        <f ca="1">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S1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9" s="5" t="str">
        <f ca="1">IFERROR(__xludf.DUMMYFUNCTION("""COMPUTED_VALUE"""),"Yes")</f>
        <v>Yes</v>
      </c>
      <c r="U149" s="5" t="str">
        <f ca="1">IFERROR(__xludf.DUMMYFUNCTION("""COMPUTED_VALUE"""),"Yes")</f>
        <v>Yes</v>
      </c>
      <c r="V149" s="5" t="str">
        <f ca="1">IFERROR(__xludf.DUMMYFUNCTION("""COMPUTED_VALUE"""),"Yes")</f>
        <v>Yes</v>
      </c>
      <c r="W149" s="5" t="str">
        <f ca="1">IFERROR(__xludf.DUMMYFUNCTION("""COMPUTED_VALUE"""),"Yes")</f>
        <v>Yes</v>
      </c>
      <c r="X149" s="5" t="str">
        <f ca="1">IFERROR(__xludf.DUMMYFUNCTION("""COMPUTED_VALUE"""),"Yes")</f>
        <v>Yes</v>
      </c>
      <c r="Y149" s="5" t="str">
        <f ca="1">IFERROR(__xludf.DUMMYFUNCTION("""COMPUTED_VALUE"""),"Yes")</f>
        <v>Yes</v>
      </c>
      <c r="Z149" s="5" t="str">
        <f ca="1">IFERROR(__xludf.DUMMYFUNCTION("""COMPUTED_VALUE"""),"Yes")</f>
        <v>Yes</v>
      </c>
      <c r="AA149" s="5" t="str">
        <f ca="1">IFERROR(__xludf.DUMMYFUNCTION("""COMPUTED_VALUE"""),"Yes")</f>
        <v>Yes</v>
      </c>
      <c r="AB149" s="5" t="str">
        <f ca="1">IFERROR(__xludf.DUMMYFUNCTION("""COMPUTED_VALUE"""),"Yes")</f>
        <v>Yes</v>
      </c>
      <c r="AC149" s="5" t="str">
        <f ca="1">IFERROR(__xludf.DUMMYFUNCTION("""COMPUTED_VALUE"""),"Yes")</f>
        <v>Yes</v>
      </c>
      <c r="AD149" s="5" t="str">
        <f ca="1">IFERROR(__xludf.DUMMYFUNCTION("""COMPUTED_VALUE"""),"Yes")</f>
        <v>Yes</v>
      </c>
      <c r="AE149" s="5" t="str">
        <f ca="1">IFERROR(__xludf.DUMMYFUNCTION("""COMPUTED_VALUE"""),"Yes")</f>
        <v>Yes</v>
      </c>
      <c r="AF149" s="5" t="str">
        <f ca="1">IFERROR(__xludf.DUMMYFUNCTION("""COMPUTED_VALUE"""),"Yes")</f>
        <v>Yes</v>
      </c>
      <c r="AG149" s="5" t="str">
        <f ca="1">IFERROR(__xludf.DUMMYFUNCTION("""COMPUTED_VALUE"""),"Yes")</f>
        <v>Yes</v>
      </c>
      <c r="AH149" s="5" t="str">
        <f ca="1">IFERROR(__xludf.DUMMYFUNCTION("""COMPUTED_VALUE"""),"Yes")</f>
        <v>Yes</v>
      </c>
      <c r="AI149" s="5" t="str">
        <f ca="1">IFERROR(__xludf.DUMMYFUNCTION("""COMPUTED_VALUE"""),"Yes")</f>
        <v>Yes</v>
      </c>
      <c r="AJ149" s="5" t="str">
        <f ca="1">IFERROR(__xludf.DUMMYFUNCTION("""COMPUTED_VALUE"""),"Yes")</f>
        <v>Yes</v>
      </c>
      <c r="AK149" s="5" t="str">
        <f ca="1">IFERROR(__xludf.DUMMYFUNCTION("""COMPUTED_VALUE"""),"Yes")</f>
        <v>Yes</v>
      </c>
      <c r="AL149" s="5" t="str">
        <f ca="1">IFERROR(__xludf.DUMMYFUNCTION("""COMPUTED_VALUE"""),"Yes")</f>
        <v>Yes</v>
      </c>
      <c r="AM149" s="5" t="str">
        <f ca="1">IFERROR(__xludf.DUMMYFUNCTION("""COMPUTED_VALUE"""),"Yes")</f>
        <v>Yes</v>
      </c>
      <c r="AN149" s="5" t="str">
        <f ca="1">IFERROR(__xludf.DUMMYFUNCTION("""COMPUTED_VALUE"""),"Yes")</f>
        <v>Yes</v>
      </c>
      <c r="AO149" s="5" t="str">
        <f ca="1">IFERROR(__xludf.DUMMYFUNCTION("""COMPUTED_VALUE"""),"Yes")</f>
        <v>Yes</v>
      </c>
      <c r="AP149" s="5" t="str">
        <f ca="1">IFERROR(__xludf.DUMMYFUNCTION("""COMPUTED_VALUE"""),"Yes")</f>
        <v>Yes</v>
      </c>
      <c r="AQ149" s="5" t="str">
        <f ca="1">IFERROR(__xludf.DUMMYFUNCTION("""COMPUTED_VALUE"""),"Yes")</f>
        <v>Yes</v>
      </c>
      <c r="AR149" s="5" t="str">
        <f ca="1">IFERROR(__xludf.DUMMYFUNCTION("""COMPUTED_VALUE"""),"Yes")</f>
        <v>Yes</v>
      </c>
      <c r="AS149" s="5" t="str">
        <f ca="1">IFERROR(__xludf.DUMMYFUNCTION("""COMPUTED_VALUE"""),"Yes")</f>
        <v>Yes</v>
      </c>
      <c r="AT149" s="5" t="str">
        <f ca="1">IFERROR(__xludf.DUMMYFUNCTION("""COMPUTED_VALUE"""),"No")</f>
        <v>No</v>
      </c>
      <c r="AU149" s="5"/>
    </row>
    <row r="150" spans="1:47" x14ac:dyDescent="0.25">
      <c r="A150" s="5" t="str">
        <f ca="1">IFERROR(__xludf.DUMMYFUNCTION("""COMPUTED_VALUE"""),"Foxi")</f>
        <v>Foxi</v>
      </c>
      <c r="B150" s="5" t="str">
        <f ca="1">IFERROR(__xludf.DUMMYFUNCTION("""COMPUTED_VALUE"""),"Crowns and Stars")</f>
        <v>Crowns and Stars</v>
      </c>
      <c r="C150" s="5" t="str">
        <f ca="1">IFERROR(__xludf.DUMMYFUNCTION("""COMPUTED_VALUE"""),"CrownsAndStars")</f>
        <v>CrownsAndStars</v>
      </c>
      <c r="D150" s="6">
        <f ca="1">IFERROR(__xludf.DUMMYFUNCTION("""COMPUTED_VALUE"""),45666)</f>
        <v>45666</v>
      </c>
      <c r="E150" s="5" t="str">
        <f ca="1">IFERROR(__xludf.DUMMYFUNCTION("""COMPUTED_VALUE"""),"Slot")</f>
        <v>Slot</v>
      </c>
      <c r="F150" s="5">
        <f ca="1">IFERROR(__xludf.DUMMYFUNCTION("""COMPUTED_VALUE"""),30.3)</f>
        <v>30.3</v>
      </c>
      <c r="G150" s="5" t="str">
        <f ca="1">IFERROR(__xludf.DUMMYFUNCTION("""COMPUTED_VALUE"""),"5x3")</f>
        <v>5x3</v>
      </c>
      <c r="H150" s="5">
        <f ca="1">IFERROR(__xludf.DUMMYFUNCTION("""COMPUTED_VALUE"""),10)</f>
        <v>10</v>
      </c>
      <c r="I150" s="5">
        <f ca="1">IFERROR(__xludf.DUMMYFUNCTION("""COMPUTED_VALUE"""),10)</f>
        <v>10</v>
      </c>
      <c r="J150" s="5" t="str">
        <f ca="1">IFERROR(__xludf.DUMMYFUNCTION("""COMPUTED_VALUE"""),"96.592%")</f>
        <v>96.592%</v>
      </c>
      <c r="K150" s="5" t="str">
        <f ca="1">IFERROR(__xludf.DUMMYFUNCTION("""COMPUTED_VALUE"""),"High")</f>
        <v>High</v>
      </c>
      <c r="L150" s="5" t="str">
        <f ca="1">IFERROR(__xludf.DUMMYFUNCTION("""COMPUTED_VALUE"""),"10.705%")</f>
        <v>10.705%</v>
      </c>
      <c r="M150" s="5" t="str">
        <f ca="1">IFERROR(__xludf.DUMMYFUNCTION("""COMPUTED_VALUE"""),"x10075")</f>
        <v>x10075</v>
      </c>
      <c r="N150" s="5" t="str">
        <f ca="1">IFERROR(__xludf.DUMMYFUNCTION("""COMPUTED_VALUE"""),"0.1/40")</f>
        <v>0.1/40</v>
      </c>
      <c r="O150" s="5" t="str">
        <f ca="1">IFERROR(__xludf.DUMMYFUNCTION("""COMPUTED_VALUE"""),"Yes")</f>
        <v>Yes</v>
      </c>
      <c r="P150" s="5" t="str">
        <f ca="1">IFERROR(__xludf.DUMMYFUNCTION("""COMPUTED_VALUE"""),"In Game Jackpot, Expanding Wild")</f>
        <v>In Game Jackpot, Expanding Wild</v>
      </c>
      <c r="Q150" s="7" t="str">
        <f ca="1">IFERROR(__xludf.DUMMYFUNCTION("""COMPUTED_VALUE"""),"https://gameserver-store-client-area.orbionlimited.com/Home/IntegrationGameLaunch/client-area?moneyType=0&amp;gameName=CrownsAndStars&amp;platform=desktop&amp;languageCode=eng&amp;currency=EUR")</f>
        <v>https://gameserver-store-client-area.orbionlimited.com/Home/IntegrationGameLaunch/client-area?moneyType=0&amp;gameName=CrownsAndStars&amp;platform=desktop&amp;languageCode=eng&amp;currency=EUR</v>
      </c>
      <c r="R150" s="5" t="str">
        <f ca="1">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S1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0" s="5" t="str">
        <f ca="1">IFERROR(__xludf.DUMMYFUNCTION("""COMPUTED_VALUE"""),"Yes")</f>
        <v>Yes</v>
      </c>
      <c r="U150" s="5" t="str">
        <f ca="1">IFERROR(__xludf.DUMMYFUNCTION("""COMPUTED_VALUE"""),"Yes")</f>
        <v>Yes</v>
      </c>
      <c r="V150" s="5" t="str">
        <f ca="1">IFERROR(__xludf.DUMMYFUNCTION("""COMPUTED_VALUE"""),"Yes")</f>
        <v>Yes</v>
      </c>
      <c r="W150" s="5" t="str">
        <f ca="1">IFERROR(__xludf.DUMMYFUNCTION("""COMPUTED_VALUE"""),"Yes")</f>
        <v>Yes</v>
      </c>
      <c r="X150" s="5" t="str">
        <f ca="1">IFERROR(__xludf.DUMMYFUNCTION("""COMPUTED_VALUE"""),"Yes")</f>
        <v>Yes</v>
      </c>
      <c r="Y150" s="5" t="str">
        <f ca="1">IFERROR(__xludf.DUMMYFUNCTION("""COMPUTED_VALUE"""),"Yes")</f>
        <v>Yes</v>
      </c>
      <c r="Z150" s="5" t="str">
        <f ca="1">IFERROR(__xludf.DUMMYFUNCTION("""COMPUTED_VALUE"""),"Yes")</f>
        <v>Yes</v>
      </c>
      <c r="AA150" s="5" t="str">
        <f ca="1">IFERROR(__xludf.DUMMYFUNCTION("""COMPUTED_VALUE"""),"Yes")</f>
        <v>Yes</v>
      </c>
      <c r="AB150" s="5" t="str">
        <f ca="1">IFERROR(__xludf.DUMMYFUNCTION("""COMPUTED_VALUE"""),"Yes")</f>
        <v>Yes</v>
      </c>
      <c r="AC150" s="5" t="str">
        <f ca="1">IFERROR(__xludf.DUMMYFUNCTION("""COMPUTED_VALUE"""),"Yes")</f>
        <v>Yes</v>
      </c>
      <c r="AD150" s="5" t="str">
        <f ca="1">IFERROR(__xludf.DUMMYFUNCTION("""COMPUTED_VALUE"""),"Yes")</f>
        <v>Yes</v>
      </c>
      <c r="AE150" s="5" t="str">
        <f ca="1">IFERROR(__xludf.DUMMYFUNCTION("""COMPUTED_VALUE"""),"Yes")</f>
        <v>Yes</v>
      </c>
      <c r="AF150" s="5" t="str">
        <f ca="1">IFERROR(__xludf.DUMMYFUNCTION("""COMPUTED_VALUE"""),"Yes")</f>
        <v>Yes</v>
      </c>
      <c r="AG150" s="5" t="str">
        <f ca="1">IFERROR(__xludf.DUMMYFUNCTION("""COMPUTED_VALUE"""),"Yes")</f>
        <v>Yes</v>
      </c>
      <c r="AH150" s="5" t="str">
        <f ca="1">IFERROR(__xludf.DUMMYFUNCTION("""COMPUTED_VALUE"""),"Yes")</f>
        <v>Yes</v>
      </c>
      <c r="AI150" s="5" t="str">
        <f ca="1">IFERROR(__xludf.DUMMYFUNCTION("""COMPUTED_VALUE"""),"Yes")</f>
        <v>Yes</v>
      </c>
      <c r="AJ150" s="5" t="str">
        <f ca="1">IFERROR(__xludf.DUMMYFUNCTION("""COMPUTED_VALUE"""),"Yes")</f>
        <v>Yes</v>
      </c>
      <c r="AK150" s="5" t="str">
        <f ca="1">IFERROR(__xludf.DUMMYFUNCTION("""COMPUTED_VALUE"""),"Yes")</f>
        <v>Yes</v>
      </c>
      <c r="AL150" s="5" t="str">
        <f ca="1">IFERROR(__xludf.DUMMYFUNCTION("""COMPUTED_VALUE"""),"Yes")</f>
        <v>Yes</v>
      </c>
      <c r="AM150" s="5" t="str">
        <f ca="1">IFERROR(__xludf.DUMMYFUNCTION("""COMPUTED_VALUE"""),"Yes")</f>
        <v>Yes</v>
      </c>
      <c r="AN150" s="5" t="str">
        <f ca="1">IFERROR(__xludf.DUMMYFUNCTION("""COMPUTED_VALUE"""),"Yes")</f>
        <v>Yes</v>
      </c>
      <c r="AO150" s="5" t="str">
        <f ca="1">IFERROR(__xludf.DUMMYFUNCTION("""COMPUTED_VALUE"""),"Yes")</f>
        <v>Yes</v>
      </c>
      <c r="AP150" s="5" t="str">
        <f ca="1">IFERROR(__xludf.DUMMYFUNCTION("""COMPUTED_VALUE"""),"Yes")</f>
        <v>Yes</v>
      </c>
      <c r="AQ150" s="5" t="str">
        <f ca="1">IFERROR(__xludf.DUMMYFUNCTION("""COMPUTED_VALUE"""),"Yes")</f>
        <v>Yes</v>
      </c>
      <c r="AR150" s="5" t="str">
        <f ca="1">IFERROR(__xludf.DUMMYFUNCTION("""COMPUTED_VALUE"""),"Yes")</f>
        <v>Yes</v>
      </c>
      <c r="AS150" s="5" t="str">
        <f ca="1">IFERROR(__xludf.DUMMYFUNCTION("""COMPUTED_VALUE"""),"Yes")</f>
        <v>Yes</v>
      </c>
      <c r="AT150" s="5" t="str">
        <f ca="1">IFERROR(__xludf.DUMMYFUNCTION("""COMPUTED_VALUE"""),"No")</f>
        <v>No</v>
      </c>
      <c r="AU150" s="5"/>
    </row>
    <row r="151" spans="1:47" x14ac:dyDescent="0.25">
      <c r="A151" s="5" t="str">
        <f ca="1">IFERROR(__xludf.DUMMYFUNCTION("""COMPUTED_VALUE"""),"Foxi")</f>
        <v>Foxi</v>
      </c>
      <c r="B151" s="5" t="str">
        <f ca="1">IFERROR(__xludf.DUMMYFUNCTION("""COMPUTED_VALUE"""),"Hearts and Stars")</f>
        <v>Hearts and Stars</v>
      </c>
      <c r="C151" s="5" t="str">
        <f ca="1">IFERROR(__xludf.DUMMYFUNCTION("""COMPUTED_VALUE"""),"HeartsAndStars")</f>
        <v>HeartsAndStars</v>
      </c>
      <c r="D151" s="6">
        <f ca="1">IFERROR(__xludf.DUMMYFUNCTION("""COMPUTED_VALUE"""),45698)</f>
        <v>45698</v>
      </c>
      <c r="E151" s="5" t="str">
        <f ca="1">IFERROR(__xludf.DUMMYFUNCTION("""COMPUTED_VALUE"""),"Slot")</f>
        <v>Slot</v>
      </c>
      <c r="F151" s="5">
        <f ca="1">IFERROR(__xludf.DUMMYFUNCTION("""COMPUTED_VALUE"""),23.6)</f>
        <v>23.6</v>
      </c>
      <c r="G151" s="5"/>
      <c r="H151" s="5">
        <f ca="1">IFERROR(__xludf.DUMMYFUNCTION("""COMPUTED_VALUE"""),40)</f>
        <v>40</v>
      </c>
      <c r="I151" s="5"/>
      <c r="J151" s="5" t="str">
        <f ca="1">IFERROR(__xludf.DUMMYFUNCTION("""COMPUTED_VALUE"""),"96.474%")</f>
        <v>96.474%</v>
      </c>
      <c r="K151" s="5" t="str">
        <f ca="1">IFERROR(__xludf.DUMMYFUNCTION("""COMPUTED_VALUE"""),"High")</f>
        <v>High</v>
      </c>
      <c r="L151" s="5" t="str">
        <f ca="1">IFERROR(__xludf.DUMMYFUNCTION("""COMPUTED_VALUE"""),"10.421%")</f>
        <v>10.421%</v>
      </c>
      <c r="M151" s="5" t="str">
        <f ca="1">IFERROR(__xludf.DUMMYFUNCTION("""COMPUTED_VALUE"""),"x10145")</f>
        <v>x10145</v>
      </c>
      <c r="N151" s="5" t="str">
        <f ca="1">IFERROR(__xludf.DUMMYFUNCTION("""COMPUTED_VALUE"""),"0.4/60")</f>
        <v>0.4/60</v>
      </c>
      <c r="O151" s="5" t="str">
        <f ca="1">IFERROR(__xludf.DUMMYFUNCTION("""COMPUTED_VALUE"""),"Yes")</f>
        <v>Yes</v>
      </c>
      <c r="P151" s="5" t="str">
        <f ca="1">IFERROR(__xludf.DUMMYFUNCTION("""COMPUTED_VALUE"""),"Wild Symbol")</f>
        <v>Wild Symbol</v>
      </c>
      <c r="Q151" s="5" t="str">
        <f ca="1">IFERROR(__xludf.DUMMYFUNCTION("""COMPUTED_VALUE"""),"")</f>
        <v/>
      </c>
      <c r="R151" s="5"/>
      <c r="S1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1" s="5" t="str">
        <f ca="1">IFERROR(__xludf.DUMMYFUNCTION("""COMPUTED_VALUE"""),"Yes")</f>
        <v>Yes</v>
      </c>
      <c r="U151" s="5" t="str">
        <f ca="1">IFERROR(__xludf.DUMMYFUNCTION("""COMPUTED_VALUE"""),"Yes")</f>
        <v>Yes</v>
      </c>
      <c r="V151" s="5" t="str">
        <f ca="1">IFERROR(__xludf.DUMMYFUNCTION("""COMPUTED_VALUE"""),"Yes")</f>
        <v>Yes</v>
      </c>
      <c r="W151" s="5" t="str">
        <f ca="1">IFERROR(__xludf.DUMMYFUNCTION("""COMPUTED_VALUE"""),"Yes")</f>
        <v>Yes</v>
      </c>
      <c r="X151" s="5" t="str">
        <f ca="1">IFERROR(__xludf.DUMMYFUNCTION("""COMPUTED_VALUE"""),"Yes")</f>
        <v>Yes</v>
      </c>
      <c r="Y151" s="5" t="str">
        <f ca="1">IFERROR(__xludf.DUMMYFUNCTION("""COMPUTED_VALUE"""),"Yes")</f>
        <v>Yes</v>
      </c>
      <c r="Z151" s="5" t="str">
        <f ca="1">IFERROR(__xludf.DUMMYFUNCTION("""COMPUTED_VALUE"""),"Yes")</f>
        <v>Yes</v>
      </c>
      <c r="AA151" s="5" t="str">
        <f ca="1">IFERROR(__xludf.DUMMYFUNCTION("""COMPUTED_VALUE"""),"Yes")</f>
        <v>Yes</v>
      </c>
      <c r="AB151" s="5" t="str">
        <f ca="1">IFERROR(__xludf.DUMMYFUNCTION("""COMPUTED_VALUE"""),"Yes")</f>
        <v>Yes</v>
      </c>
      <c r="AC151" s="5" t="str">
        <f ca="1">IFERROR(__xludf.DUMMYFUNCTION("""COMPUTED_VALUE"""),"Yes")</f>
        <v>Yes</v>
      </c>
      <c r="AD151" s="5" t="str">
        <f ca="1">IFERROR(__xludf.DUMMYFUNCTION("""COMPUTED_VALUE"""),"Yes")</f>
        <v>Yes</v>
      </c>
      <c r="AE151" s="5" t="str">
        <f ca="1">IFERROR(__xludf.DUMMYFUNCTION("""COMPUTED_VALUE"""),"Yes")</f>
        <v>Yes</v>
      </c>
      <c r="AF151" s="5" t="str">
        <f ca="1">IFERROR(__xludf.DUMMYFUNCTION("""COMPUTED_VALUE"""),"Yes")</f>
        <v>Yes</v>
      </c>
      <c r="AG151" s="5" t="str">
        <f ca="1">IFERROR(__xludf.DUMMYFUNCTION("""COMPUTED_VALUE"""),"Yes")</f>
        <v>Yes</v>
      </c>
      <c r="AH151" s="5" t="str">
        <f ca="1">IFERROR(__xludf.DUMMYFUNCTION("""COMPUTED_VALUE"""),"Yes")</f>
        <v>Yes</v>
      </c>
      <c r="AI151" s="5" t="str">
        <f ca="1">IFERROR(__xludf.DUMMYFUNCTION("""COMPUTED_VALUE"""),"Yes")</f>
        <v>Yes</v>
      </c>
      <c r="AJ151" s="5" t="str">
        <f ca="1">IFERROR(__xludf.DUMMYFUNCTION("""COMPUTED_VALUE"""),"Yes")</f>
        <v>Yes</v>
      </c>
      <c r="AK151" s="5" t="str">
        <f ca="1">IFERROR(__xludf.DUMMYFUNCTION("""COMPUTED_VALUE"""),"Yes")</f>
        <v>Yes</v>
      </c>
      <c r="AL151" s="5" t="str">
        <f ca="1">IFERROR(__xludf.DUMMYFUNCTION("""COMPUTED_VALUE"""),"Yes")</f>
        <v>Yes</v>
      </c>
      <c r="AM151" s="5" t="str">
        <f ca="1">IFERROR(__xludf.DUMMYFUNCTION("""COMPUTED_VALUE"""),"Yes")</f>
        <v>Yes</v>
      </c>
      <c r="AN151" s="5" t="str">
        <f ca="1">IFERROR(__xludf.DUMMYFUNCTION("""COMPUTED_VALUE"""),"Yes")</f>
        <v>Yes</v>
      </c>
      <c r="AO151" s="5" t="str">
        <f ca="1">IFERROR(__xludf.DUMMYFUNCTION("""COMPUTED_VALUE"""),"Yes")</f>
        <v>Yes</v>
      </c>
      <c r="AP151" s="5" t="str">
        <f ca="1">IFERROR(__xludf.DUMMYFUNCTION("""COMPUTED_VALUE"""),"Yes")</f>
        <v>Yes</v>
      </c>
      <c r="AQ151" s="5" t="str">
        <f ca="1">IFERROR(__xludf.DUMMYFUNCTION("""COMPUTED_VALUE"""),"Yes")</f>
        <v>Yes</v>
      </c>
      <c r="AR151" s="5" t="str">
        <f ca="1">IFERROR(__xludf.DUMMYFUNCTION("""COMPUTED_VALUE"""),"Yes")</f>
        <v>Yes</v>
      </c>
      <c r="AS151" s="5" t="str">
        <f ca="1">IFERROR(__xludf.DUMMYFUNCTION("""COMPUTED_VALUE"""),"Yes")</f>
        <v>Yes</v>
      </c>
      <c r="AT151" s="5" t="str">
        <f ca="1">IFERROR(__xludf.DUMMYFUNCTION("""COMPUTED_VALUE"""),"No")</f>
        <v>No</v>
      </c>
      <c r="AU151" s="5"/>
    </row>
    <row r="152" spans="1:47" x14ac:dyDescent="0.25">
      <c r="A152" s="5" t="str">
        <f ca="1">IFERROR(__xludf.DUMMYFUNCTION("""COMPUTED_VALUE"""),"Foxi")</f>
        <v>Foxi</v>
      </c>
      <c r="B152" s="5" t="str">
        <f ca="1">IFERROR(__xludf.DUMMYFUNCTION("""COMPUTED_VALUE"""),"Top Hot 5")</f>
        <v>Top Hot 5</v>
      </c>
      <c r="C152" s="5" t="str">
        <f ca="1">IFERROR(__xludf.DUMMYFUNCTION("""COMPUTED_VALUE"""),"TopHot5")</f>
        <v>TopHot5</v>
      </c>
      <c r="D152" s="6">
        <f ca="1">IFERROR(__xludf.DUMMYFUNCTION("""COMPUTED_VALUE"""),45708)</f>
        <v>45708</v>
      </c>
      <c r="E152" s="5" t="str">
        <f ca="1">IFERROR(__xludf.DUMMYFUNCTION("""COMPUTED_VALUE"""),"Slot")</f>
        <v>Slot</v>
      </c>
      <c r="F152" s="5">
        <f ca="1">IFERROR(__xludf.DUMMYFUNCTION("""COMPUTED_VALUE"""),36.8)</f>
        <v>36.799999999999997</v>
      </c>
      <c r="G152" s="5" t="str">
        <f ca="1">IFERROR(__xludf.DUMMYFUNCTION("""COMPUTED_VALUE"""),"3x3")</f>
        <v>3x3</v>
      </c>
      <c r="H152" s="5">
        <f ca="1">IFERROR(__xludf.DUMMYFUNCTION("""COMPUTED_VALUE"""),5)</f>
        <v>5</v>
      </c>
      <c r="I152" s="5">
        <f ca="1">IFERROR(__xludf.DUMMYFUNCTION("""COMPUTED_VALUE"""),5)</f>
        <v>5</v>
      </c>
      <c r="J152" s="5" t="str">
        <f ca="1">IFERROR(__xludf.DUMMYFUNCTION("""COMPUTED_VALUE"""),"96.609%")</f>
        <v>96.609%</v>
      </c>
      <c r="K152" s="5" t="str">
        <f ca="1">IFERROR(__xludf.DUMMYFUNCTION("""COMPUTED_VALUE"""),"Low")</f>
        <v>Low</v>
      </c>
      <c r="L152" s="5" t="str">
        <f ca="1">IFERROR(__xludf.DUMMYFUNCTION("""COMPUTED_VALUE"""),"6.446%")</f>
        <v>6.446%</v>
      </c>
      <c r="M152" s="5" t="str">
        <f ca="1">IFERROR(__xludf.DUMMYFUNCTION("""COMPUTED_VALUE"""),"x60")</f>
        <v>x60</v>
      </c>
      <c r="N152" s="5"/>
      <c r="O152" s="5" t="str">
        <f ca="1">IFERROR(__xludf.DUMMYFUNCTION("""COMPUTED_VALUE"""),"Yes")</f>
        <v>Yes</v>
      </c>
      <c r="P152" s="5"/>
      <c r="Q152" s="7" t="str">
        <f ca="1">IFERROR(__xludf.DUMMYFUNCTION("""COMPUTED_VALUE"""),"https://gameserver-store-client-area.orbionlimited.com/Home/IntegrationGameLaunch/client-area?moneyType=0&amp;gameName=TopHot5&amp;platform=desktop&amp;languageCode=eng&amp;currency=EUR")</f>
        <v>https://gameserver-store-client-area.orbionlimited.com/Home/IntegrationGameLaunch/client-area?moneyType=0&amp;gameName=TopHot5&amp;platform=desktop&amp;languageCode=eng&amp;currency=EUR</v>
      </c>
      <c r="R152" s="5" t="str">
        <f ca="1">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S1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2" s="5" t="str">
        <f ca="1">IFERROR(__xludf.DUMMYFUNCTION("""COMPUTED_VALUE"""),"Yes")</f>
        <v>Yes</v>
      </c>
      <c r="U152" s="5" t="str">
        <f ca="1">IFERROR(__xludf.DUMMYFUNCTION("""COMPUTED_VALUE"""),"Yes")</f>
        <v>Yes</v>
      </c>
      <c r="V152" s="5" t="str">
        <f ca="1">IFERROR(__xludf.DUMMYFUNCTION("""COMPUTED_VALUE"""),"Yes")</f>
        <v>Yes</v>
      </c>
      <c r="W152" s="5" t="str">
        <f ca="1">IFERROR(__xludf.DUMMYFUNCTION("""COMPUTED_VALUE"""),"Yes")</f>
        <v>Yes</v>
      </c>
      <c r="X152" s="5" t="str">
        <f ca="1">IFERROR(__xludf.DUMMYFUNCTION("""COMPUTED_VALUE"""),"Yes")</f>
        <v>Yes</v>
      </c>
      <c r="Y152" s="5" t="str">
        <f ca="1">IFERROR(__xludf.DUMMYFUNCTION("""COMPUTED_VALUE"""),"Yes")</f>
        <v>Yes</v>
      </c>
      <c r="Z152" s="5" t="str">
        <f ca="1">IFERROR(__xludf.DUMMYFUNCTION("""COMPUTED_VALUE"""),"Yes")</f>
        <v>Yes</v>
      </c>
      <c r="AA152" s="5" t="str">
        <f ca="1">IFERROR(__xludf.DUMMYFUNCTION("""COMPUTED_VALUE"""),"Yes")</f>
        <v>Yes</v>
      </c>
      <c r="AB152" s="5" t="str">
        <f ca="1">IFERROR(__xludf.DUMMYFUNCTION("""COMPUTED_VALUE"""),"Yes")</f>
        <v>Yes</v>
      </c>
      <c r="AC152" s="5" t="str">
        <f ca="1">IFERROR(__xludf.DUMMYFUNCTION("""COMPUTED_VALUE"""),"Yes")</f>
        <v>Yes</v>
      </c>
      <c r="AD152" s="5" t="str">
        <f ca="1">IFERROR(__xludf.DUMMYFUNCTION("""COMPUTED_VALUE"""),"Yes")</f>
        <v>Yes</v>
      </c>
      <c r="AE152" s="5" t="str">
        <f ca="1">IFERROR(__xludf.DUMMYFUNCTION("""COMPUTED_VALUE"""),"Yes")</f>
        <v>Yes</v>
      </c>
      <c r="AF152" s="5" t="str">
        <f ca="1">IFERROR(__xludf.DUMMYFUNCTION("""COMPUTED_VALUE"""),"Yes")</f>
        <v>Yes</v>
      </c>
      <c r="AG152" s="5" t="str">
        <f ca="1">IFERROR(__xludf.DUMMYFUNCTION("""COMPUTED_VALUE"""),"Yes")</f>
        <v>Yes</v>
      </c>
      <c r="AH152" s="5" t="str">
        <f ca="1">IFERROR(__xludf.DUMMYFUNCTION("""COMPUTED_VALUE"""),"Yes")</f>
        <v>Yes</v>
      </c>
      <c r="AI152" s="5" t="str">
        <f ca="1">IFERROR(__xludf.DUMMYFUNCTION("""COMPUTED_VALUE"""),"Yes")</f>
        <v>Yes</v>
      </c>
      <c r="AJ152" s="5" t="str">
        <f ca="1">IFERROR(__xludf.DUMMYFUNCTION("""COMPUTED_VALUE"""),"Yes")</f>
        <v>Yes</v>
      </c>
      <c r="AK152" s="5" t="str">
        <f ca="1">IFERROR(__xludf.DUMMYFUNCTION("""COMPUTED_VALUE"""),"Yes")</f>
        <v>Yes</v>
      </c>
      <c r="AL152" s="5" t="str">
        <f ca="1">IFERROR(__xludf.DUMMYFUNCTION("""COMPUTED_VALUE"""),"Yes")</f>
        <v>Yes</v>
      </c>
      <c r="AM152" s="5" t="str">
        <f ca="1">IFERROR(__xludf.DUMMYFUNCTION("""COMPUTED_VALUE"""),"Yes")</f>
        <v>Yes</v>
      </c>
      <c r="AN152" s="5" t="str">
        <f ca="1">IFERROR(__xludf.DUMMYFUNCTION("""COMPUTED_VALUE"""),"Yes")</f>
        <v>Yes</v>
      </c>
      <c r="AO152" s="5" t="str">
        <f ca="1">IFERROR(__xludf.DUMMYFUNCTION("""COMPUTED_VALUE"""),"Yes")</f>
        <v>Yes</v>
      </c>
      <c r="AP152" s="5" t="str">
        <f ca="1">IFERROR(__xludf.DUMMYFUNCTION("""COMPUTED_VALUE"""),"Yes")</f>
        <v>Yes</v>
      </c>
      <c r="AQ152" s="5" t="str">
        <f ca="1">IFERROR(__xludf.DUMMYFUNCTION("""COMPUTED_VALUE"""),"Yes")</f>
        <v>Yes</v>
      </c>
      <c r="AR152" s="5" t="str">
        <f ca="1">IFERROR(__xludf.DUMMYFUNCTION("""COMPUTED_VALUE"""),"Yes")</f>
        <v>Yes</v>
      </c>
      <c r="AS152" s="5" t="str">
        <f ca="1">IFERROR(__xludf.DUMMYFUNCTION("""COMPUTED_VALUE"""),"Yes")</f>
        <v>Yes</v>
      </c>
      <c r="AT152" s="5" t="str">
        <f ca="1">IFERROR(__xludf.DUMMYFUNCTION("""COMPUTED_VALUE"""),"No")</f>
        <v>No</v>
      </c>
      <c r="AU152" s="5"/>
    </row>
    <row r="153" spans="1:47" x14ac:dyDescent="0.25">
      <c r="A153" s="5" t="str">
        <f ca="1">IFERROR(__xludf.DUMMYFUNCTION("""COMPUTED_VALUE"""),"Foxi")</f>
        <v>Foxi</v>
      </c>
      <c r="B153" s="5" t="str">
        <f ca="1">IFERROR(__xludf.DUMMYFUNCTION("""COMPUTED_VALUE"""),"Wild 5")</f>
        <v>Wild 5</v>
      </c>
      <c r="C153" s="5" t="str">
        <f ca="1">IFERROR(__xludf.DUMMYFUNCTION("""COMPUTED_VALUE"""),"Wild5")</f>
        <v>Wild5</v>
      </c>
      <c r="D153" s="6">
        <f ca="1">IFERROR(__xludf.DUMMYFUNCTION("""COMPUTED_VALUE"""),45726)</f>
        <v>45726</v>
      </c>
      <c r="E153" s="5" t="str">
        <f ca="1">IFERROR(__xludf.DUMMYFUNCTION("""COMPUTED_VALUE"""),"Slot")</f>
        <v>Slot</v>
      </c>
      <c r="F153" s="5">
        <f ca="1">IFERROR(__xludf.DUMMYFUNCTION("""COMPUTED_VALUE"""),10.1)</f>
        <v>10.1</v>
      </c>
      <c r="G153" s="5" t="str">
        <f ca="1">IFERROR(__xludf.DUMMYFUNCTION("""COMPUTED_VALUE"""),"3x3")</f>
        <v>3x3</v>
      </c>
      <c r="H153" s="5">
        <f ca="1">IFERROR(__xludf.DUMMYFUNCTION("""COMPUTED_VALUE"""),5)</f>
        <v>5</v>
      </c>
      <c r="I153" s="5">
        <f ca="1">IFERROR(__xludf.DUMMYFUNCTION("""COMPUTED_VALUE"""),5)</f>
        <v>5</v>
      </c>
      <c r="J153" s="5" t="str">
        <f ca="1">IFERROR(__xludf.DUMMYFUNCTION("""COMPUTED_VALUE"""),"96.327%")</f>
        <v>96.327%</v>
      </c>
      <c r="K153" s="5" t="str">
        <f ca="1">IFERROR(__xludf.DUMMYFUNCTION("""COMPUTED_VALUE"""),"High")</f>
        <v>High</v>
      </c>
      <c r="L153" s="5" t="str">
        <f ca="1">IFERROR(__xludf.DUMMYFUNCTION("""COMPUTED_VALUE"""),"5.553%")</f>
        <v>5.553%</v>
      </c>
      <c r="M153" s="5" t="str">
        <f ca="1">IFERROR(__xludf.DUMMYFUNCTION("""COMPUTED_VALUE"""),"x100")</f>
        <v>x100</v>
      </c>
      <c r="N153" s="5" t="str">
        <f ca="1">IFERROR(__xludf.DUMMYFUNCTION("""COMPUTED_VALUE"""),"0.1/50")</f>
        <v>0.1/50</v>
      </c>
      <c r="O153" s="5" t="str">
        <f ca="1">IFERROR(__xludf.DUMMYFUNCTION("""COMPUTED_VALUE"""),"Yes")</f>
        <v>Yes</v>
      </c>
      <c r="P153" s="5" t="str">
        <f ca="1">IFERROR(__xludf.DUMMYFUNCTION("""COMPUTED_VALUE"""),"Win Multiplier, Win Multiplier")</f>
        <v>Win Multiplier, Win Multiplier</v>
      </c>
      <c r="Q153" s="7" t="str">
        <f ca="1">IFERROR(__xludf.DUMMYFUNCTION("""COMPUTED_VALUE"""),"https://gameserver-store-client-area.orbionlimited.com/Home/IntegrationGameLaunch/client-area?moneyType=0&amp;gameName=Wild5&amp;platform=desktop&amp;languageCode=eng&amp;currency=EUR")</f>
        <v>https://gameserver-store-client-area.orbionlimited.com/Home/IntegrationGameLaunch/client-area?moneyType=0&amp;gameName=Wild5&amp;platform=desktop&amp;languageCode=eng&amp;currency=EUR</v>
      </c>
      <c r="R153" s="5" t="str">
        <f ca="1">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S1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3" s="5" t="str">
        <f ca="1">IFERROR(__xludf.DUMMYFUNCTION("""COMPUTED_VALUE"""),"Yes")</f>
        <v>Yes</v>
      </c>
      <c r="U153" s="5" t="str">
        <f ca="1">IFERROR(__xludf.DUMMYFUNCTION("""COMPUTED_VALUE"""),"Yes")</f>
        <v>Yes</v>
      </c>
      <c r="V153" s="5" t="str">
        <f ca="1">IFERROR(__xludf.DUMMYFUNCTION("""COMPUTED_VALUE"""),"Yes")</f>
        <v>Yes</v>
      </c>
      <c r="W153" s="5" t="str">
        <f ca="1">IFERROR(__xludf.DUMMYFUNCTION("""COMPUTED_VALUE"""),"Yes")</f>
        <v>Yes</v>
      </c>
      <c r="X153" s="5" t="str">
        <f ca="1">IFERROR(__xludf.DUMMYFUNCTION("""COMPUTED_VALUE"""),"Yes")</f>
        <v>Yes</v>
      </c>
      <c r="Y153" s="5" t="str">
        <f ca="1">IFERROR(__xludf.DUMMYFUNCTION("""COMPUTED_VALUE"""),"Yes")</f>
        <v>Yes</v>
      </c>
      <c r="Z153" s="5" t="str">
        <f ca="1">IFERROR(__xludf.DUMMYFUNCTION("""COMPUTED_VALUE"""),"Yes")</f>
        <v>Yes</v>
      </c>
      <c r="AA153" s="5" t="str">
        <f ca="1">IFERROR(__xludf.DUMMYFUNCTION("""COMPUTED_VALUE"""),"Yes")</f>
        <v>Yes</v>
      </c>
      <c r="AB153" s="5" t="str">
        <f ca="1">IFERROR(__xludf.DUMMYFUNCTION("""COMPUTED_VALUE"""),"Yes")</f>
        <v>Yes</v>
      </c>
      <c r="AC153" s="5" t="str">
        <f ca="1">IFERROR(__xludf.DUMMYFUNCTION("""COMPUTED_VALUE"""),"Yes")</f>
        <v>Yes</v>
      </c>
      <c r="AD153" s="5" t="str">
        <f ca="1">IFERROR(__xludf.DUMMYFUNCTION("""COMPUTED_VALUE"""),"Yes")</f>
        <v>Yes</v>
      </c>
      <c r="AE153" s="5" t="str">
        <f ca="1">IFERROR(__xludf.DUMMYFUNCTION("""COMPUTED_VALUE"""),"Yes")</f>
        <v>Yes</v>
      </c>
      <c r="AF153" s="5" t="str">
        <f ca="1">IFERROR(__xludf.DUMMYFUNCTION("""COMPUTED_VALUE"""),"Yes")</f>
        <v>Yes</v>
      </c>
      <c r="AG153" s="5" t="str">
        <f ca="1">IFERROR(__xludf.DUMMYFUNCTION("""COMPUTED_VALUE"""),"Yes")</f>
        <v>Yes</v>
      </c>
      <c r="AH153" s="5" t="str">
        <f ca="1">IFERROR(__xludf.DUMMYFUNCTION("""COMPUTED_VALUE"""),"Yes")</f>
        <v>Yes</v>
      </c>
      <c r="AI153" s="5" t="str">
        <f ca="1">IFERROR(__xludf.DUMMYFUNCTION("""COMPUTED_VALUE"""),"Yes")</f>
        <v>Yes</v>
      </c>
      <c r="AJ153" s="5" t="str">
        <f ca="1">IFERROR(__xludf.DUMMYFUNCTION("""COMPUTED_VALUE"""),"Yes")</f>
        <v>Yes</v>
      </c>
      <c r="AK153" s="5" t="str">
        <f ca="1">IFERROR(__xludf.DUMMYFUNCTION("""COMPUTED_VALUE"""),"Yes")</f>
        <v>Yes</v>
      </c>
      <c r="AL153" s="5" t="str">
        <f ca="1">IFERROR(__xludf.DUMMYFUNCTION("""COMPUTED_VALUE"""),"Yes")</f>
        <v>Yes</v>
      </c>
      <c r="AM153" s="5" t="str">
        <f ca="1">IFERROR(__xludf.DUMMYFUNCTION("""COMPUTED_VALUE"""),"Yes")</f>
        <v>Yes</v>
      </c>
      <c r="AN153" s="5" t="str">
        <f ca="1">IFERROR(__xludf.DUMMYFUNCTION("""COMPUTED_VALUE"""),"Yes")</f>
        <v>Yes</v>
      </c>
      <c r="AO153" s="5" t="str">
        <f ca="1">IFERROR(__xludf.DUMMYFUNCTION("""COMPUTED_VALUE"""),"Yes")</f>
        <v>Yes</v>
      </c>
      <c r="AP153" s="5" t="str">
        <f ca="1">IFERROR(__xludf.DUMMYFUNCTION("""COMPUTED_VALUE"""),"Yes")</f>
        <v>Yes</v>
      </c>
      <c r="AQ153" s="5" t="str">
        <f ca="1">IFERROR(__xludf.DUMMYFUNCTION("""COMPUTED_VALUE"""),"Yes")</f>
        <v>Yes</v>
      </c>
      <c r="AR153" s="5" t="str">
        <f ca="1">IFERROR(__xludf.DUMMYFUNCTION("""COMPUTED_VALUE"""),"Yes")</f>
        <v>Yes</v>
      </c>
      <c r="AS153" s="5" t="str">
        <f ca="1">IFERROR(__xludf.DUMMYFUNCTION("""COMPUTED_VALUE"""),"Yes")</f>
        <v>Yes</v>
      </c>
      <c r="AT153" s="5" t="str">
        <f ca="1">IFERROR(__xludf.DUMMYFUNCTION("""COMPUTED_VALUE"""),"No")</f>
        <v>No</v>
      </c>
      <c r="AU153" s="5"/>
    </row>
    <row r="154" spans="1:47" x14ac:dyDescent="0.25">
      <c r="A154" s="5" t="str">
        <f ca="1">IFERROR(__xludf.DUMMYFUNCTION("""COMPUTED_VALUE"""),"Foxi")</f>
        <v>Foxi</v>
      </c>
      <c r="B154" s="5" t="str">
        <f ca="1">IFERROR(__xludf.DUMMYFUNCTION("""COMPUTED_VALUE"""),"Brilliant Heart")</f>
        <v>Brilliant Heart</v>
      </c>
      <c r="C154" s="5" t="str">
        <f ca="1">IFERROR(__xludf.DUMMYFUNCTION("""COMPUTED_VALUE"""),"BrilliantHeart")</f>
        <v>BrilliantHeart</v>
      </c>
      <c r="D154" s="6">
        <f ca="1">IFERROR(__xludf.DUMMYFUNCTION("""COMPUTED_VALUE"""),45736)</f>
        <v>45736</v>
      </c>
      <c r="E154" s="5" t="str">
        <f ca="1">IFERROR(__xludf.DUMMYFUNCTION("""COMPUTED_VALUE"""),"Slot")</f>
        <v>Slot</v>
      </c>
      <c r="F154" s="5">
        <f ca="1">IFERROR(__xludf.DUMMYFUNCTION("""COMPUTED_VALUE"""),24.6)</f>
        <v>24.6</v>
      </c>
      <c r="G154" s="5" t="str">
        <f ca="1">IFERROR(__xludf.DUMMYFUNCTION("""COMPUTED_VALUE"""),"5x4")</f>
        <v>5x4</v>
      </c>
      <c r="H154" s="5">
        <f ca="1">IFERROR(__xludf.DUMMYFUNCTION("""COMPUTED_VALUE"""),40)</f>
        <v>40</v>
      </c>
      <c r="I154" s="5">
        <f ca="1">IFERROR(__xludf.DUMMYFUNCTION("""COMPUTED_VALUE"""),40)</f>
        <v>40</v>
      </c>
      <c r="J154" s="5" t="str">
        <f ca="1">IFERROR(__xludf.DUMMYFUNCTION("""COMPUTED_VALUE"""),"96.483%")</f>
        <v>96.483%</v>
      </c>
      <c r="K154" s="5" t="str">
        <f ca="1">IFERROR(__xludf.DUMMYFUNCTION("""COMPUTED_VALUE"""),"High")</f>
        <v>High</v>
      </c>
      <c r="L154" s="5" t="str">
        <f ca="1">IFERROR(__xludf.DUMMYFUNCTION("""COMPUTED_VALUE"""),"12.5%")</f>
        <v>12.5%</v>
      </c>
      <c r="M154" s="5" t="str">
        <f ca="1">IFERROR(__xludf.DUMMYFUNCTION("""COMPUTED_VALUE"""),"x5000")</f>
        <v>x5000</v>
      </c>
      <c r="N154" s="5" t="str">
        <f ca="1">IFERROR(__xludf.DUMMYFUNCTION("""COMPUTED_VALUE"""),"0.4/60")</f>
        <v>0.4/60</v>
      </c>
      <c r="O154" s="5" t="str">
        <f ca="1">IFERROR(__xludf.DUMMYFUNCTION("""COMPUTED_VALUE"""),"Yes")</f>
        <v>Yes</v>
      </c>
      <c r="P154" s="5" t="str">
        <f ca="1">IFERROR(__xludf.DUMMYFUNCTION("""COMPUTED_VALUE"""),"Expanding Wild")</f>
        <v>Expanding Wild</v>
      </c>
      <c r="Q154" s="7" t="str">
        <f ca="1">IFERROR(__xludf.DUMMYFUNCTION("""COMPUTED_VALUE"""),"https://gameserver-store-client-area.orbionlimited.com/Home/IntegrationGameLaunch/client-area?moneyType=0&amp;gameName=BrilliantHeart&amp;platform=desktop&amp;languageCode=eng&amp;currency=EUR")</f>
        <v>https://gameserver-store-client-area.orbionlimited.com/Home/IntegrationGameLaunch/client-area?moneyType=0&amp;gameName=BrilliantHeart&amp;platform=desktop&amp;languageCode=eng&amp;currency=EUR</v>
      </c>
      <c r="R154" s="5" t="str">
        <f ca="1">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S1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4" s="5" t="str">
        <f ca="1">IFERROR(__xludf.DUMMYFUNCTION("""COMPUTED_VALUE"""),"Yes")</f>
        <v>Yes</v>
      </c>
      <c r="U154" s="5" t="str">
        <f ca="1">IFERROR(__xludf.DUMMYFUNCTION("""COMPUTED_VALUE"""),"Yes")</f>
        <v>Yes</v>
      </c>
      <c r="V154" s="5" t="str">
        <f ca="1">IFERROR(__xludf.DUMMYFUNCTION("""COMPUTED_VALUE"""),"Yes")</f>
        <v>Yes</v>
      </c>
      <c r="W154" s="5" t="str">
        <f ca="1">IFERROR(__xludf.DUMMYFUNCTION("""COMPUTED_VALUE"""),"Yes")</f>
        <v>Yes</v>
      </c>
      <c r="X154" s="5" t="str">
        <f ca="1">IFERROR(__xludf.DUMMYFUNCTION("""COMPUTED_VALUE"""),"Yes")</f>
        <v>Yes</v>
      </c>
      <c r="Y154" s="5" t="str">
        <f ca="1">IFERROR(__xludf.DUMMYFUNCTION("""COMPUTED_VALUE"""),"Yes")</f>
        <v>Yes</v>
      </c>
      <c r="Z154" s="5" t="str">
        <f ca="1">IFERROR(__xludf.DUMMYFUNCTION("""COMPUTED_VALUE"""),"Yes")</f>
        <v>Yes</v>
      </c>
      <c r="AA154" s="5" t="str">
        <f ca="1">IFERROR(__xludf.DUMMYFUNCTION("""COMPUTED_VALUE"""),"Yes")</f>
        <v>Yes</v>
      </c>
      <c r="AB154" s="5" t="str">
        <f ca="1">IFERROR(__xludf.DUMMYFUNCTION("""COMPUTED_VALUE"""),"Yes")</f>
        <v>Yes</v>
      </c>
      <c r="AC154" s="5" t="str">
        <f ca="1">IFERROR(__xludf.DUMMYFUNCTION("""COMPUTED_VALUE"""),"Yes")</f>
        <v>Yes</v>
      </c>
      <c r="AD154" s="5" t="str">
        <f ca="1">IFERROR(__xludf.DUMMYFUNCTION("""COMPUTED_VALUE"""),"Yes")</f>
        <v>Yes</v>
      </c>
      <c r="AE154" s="5" t="str">
        <f ca="1">IFERROR(__xludf.DUMMYFUNCTION("""COMPUTED_VALUE"""),"Yes")</f>
        <v>Yes</v>
      </c>
      <c r="AF154" s="5" t="str">
        <f ca="1">IFERROR(__xludf.DUMMYFUNCTION("""COMPUTED_VALUE"""),"Yes")</f>
        <v>Yes</v>
      </c>
      <c r="AG154" s="5" t="str">
        <f ca="1">IFERROR(__xludf.DUMMYFUNCTION("""COMPUTED_VALUE"""),"Yes")</f>
        <v>Yes</v>
      </c>
      <c r="AH154" s="5" t="str">
        <f ca="1">IFERROR(__xludf.DUMMYFUNCTION("""COMPUTED_VALUE"""),"Yes")</f>
        <v>Yes</v>
      </c>
      <c r="AI154" s="5" t="str">
        <f ca="1">IFERROR(__xludf.DUMMYFUNCTION("""COMPUTED_VALUE"""),"Yes")</f>
        <v>Yes</v>
      </c>
      <c r="AJ154" s="5" t="str">
        <f ca="1">IFERROR(__xludf.DUMMYFUNCTION("""COMPUTED_VALUE"""),"Yes")</f>
        <v>Yes</v>
      </c>
      <c r="AK154" s="5" t="str">
        <f ca="1">IFERROR(__xludf.DUMMYFUNCTION("""COMPUTED_VALUE"""),"Yes")</f>
        <v>Yes</v>
      </c>
      <c r="AL154" s="5" t="str">
        <f ca="1">IFERROR(__xludf.DUMMYFUNCTION("""COMPUTED_VALUE"""),"Yes")</f>
        <v>Yes</v>
      </c>
      <c r="AM154" s="5" t="str">
        <f ca="1">IFERROR(__xludf.DUMMYFUNCTION("""COMPUTED_VALUE"""),"Yes")</f>
        <v>Yes</v>
      </c>
      <c r="AN154" s="5" t="str">
        <f ca="1">IFERROR(__xludf.DUMMYFUNCTION("""COMPUTED_VALUE"""),"Yes")</f>
        <v>Yes</v>
      </c>
      <c r="AO154" s="5" t="str">
        <f ca="1">IFERROR(__xludf.DUMMYFUNCTION("""COMPUTED_VALUE"""),"Yes")</f>
        <v>Yes</v>
      </c>
      <c r="AP154" s="5" t="str">
        <f ca="1">IFERROR(__xludf.DUMMYFUNCTION("""COMPUTED_VALUE"""),"Yes")</f>
        <v>Yes</v>
      </c>
      <c r="AQ154" s="5" t="str">
        <f ca="1">IFERROR(__xludf.DUMMYFUNCTION("""COMPUTED_VALUE"""),"Yes")</f>
        <v>Yes</v>
      </c>
      <c r="AR154" s="5" t="str">
        <f ca="1">IFERROR(__xludf.DUMMYFUNCTION("""COMPUTED_VALUE"""),"Yes")</f>
        <v>Yes</v>
      </c>
      <c r="AS154" s="5" t="str">
        <f ca="1">IFERROR(__xludf.DUMMYFUNCTION("""COMPUTED_VALUE"""),"Yes")</f>
        <v>Yes</v>
      </c>
      <c r="AT154" s="5" t="str">
        <f ca="1">IFERROR(__xludf.DUMMYFUNCTION("""COMPUTED_VALUE"""),"No")</f>
        <v>No</v>
      </c>
      <c r="AU154" s="5"/>
    </row>
    <row r="155" spans="1:47" x14ac:dyDescent="0.25">
      <c r="A155" s="5" t="str">
        <f ca="1">IFERROR(__xludf.DUMMYFUNCTION("""COMPUTED_VALUE"""),"Foxi")</f>
        <v>Foxi</v>
      </c>
      <c r="B155" s="5" t="str">
        <f ca="1">IFERROR(__xludf.DUMMYFUNCTION("""COMPUTED_VALUE"""),"Lucky Sheriff")</f>
        <v>Lucky Sheriff</v>
      </c>
      <c r="C155" s="5" t="str">
        <f ca="1">IFERROR(__xludf.DUMMYFUNCTION("""COMPUTED_VALUE"""),"LuckySheriff")</f>
        <v>LuckySheriff</v>
      </c>
      <c r="D155" s="6">
        <f ca="1">IFERROR(__xludf.DUMMYFUNCTION("""COMPUTED_VALUE"""),45960)</f>
        <v>45960</v>
      </c>
      <c r="E155" s="5" t="str">
        <f ca="1">IFERROR(__xludf.DUMMYFUNCTION("""COMPUTED_VALUE"""),"Slot")</f>
        <v>Slot</v>
      </c>
      <c r="F155" s="5">
        <f ca="1">IFERROR(__xludf.DUMMYFUNCTION("""COMPUTED_VALUE"""),23.75)</f>
        <v>23.75</v>
      </c>
      <c r="G155" s="5" t="str">
        <f ca="1">IFERROR(__xludf.DUMMYFUNCTION("""COMPUTED_VALUE"""),"5x3")</f>
        <v>5x3</v>
      </c>
      <c r="H155" s="5">
        <f ca="1">IFERROR(__xludf.DUMMYFUNCTION("""COMPUTED_VALUE"""),25)</f>
        <v>25</v>
      </c>
      <c r="I155" s="5">
        <f ca="1">IFERROR(__xludf.DUMMYFUNCTION("""COMPUTED_VALUE"""),25)</f>
        <v>25</v>
      </c>
      <c r="J155" s="5" t="str">
        <f ca="1">IFERROR(__xludf.DUMMYFUNCTION("""COMPUTED_VALUE"""),"96.556%")</f>
        <v>96.556%</v>
      </c>
      <c r="K155" s="5" t="str">
        <f ca="1">IFERROR(__xludf.DUMMYFUNCTION("""COMPUTED_VALUE"""),"High")</f>
        <v>High</v>
      </c>
      <c r="L155" s="5" t="str">
        <f ca="1">IFERROR(__xludf.DUMMYFUNCTION("""COMPUTED_VALUE"""),"43.091%")</f>
        <v>43.091%</v>
      </c>
      <c r="M155" s="5" t="str">
        <f ca="1">IFERROR(__xludf.DUMMYFUNCTION("""COMPUTED_VALUE"""),"x1590")</f>
        <v>x1590</v>
      </c>
      <c r="N155" s="5" t="str">
        <f ca="1">IFERROR(__xludf.DUMMYFUNCTION("""COMPUTED_VALUE"""),"0.25/50")</f>
        <v>0.25/50</v>
      </c>
      <c r="O155" s="5" t="str">
        <f ca="1">IFERROR(__xludf.DUMMYFUNCTION("""COMPUTED_VALUE"""),"No")</f>
        <v>No</v>
      </c>
      <c r="P155" s="5" t="str">
        <f ca="1">IFERROR(__xludf.DUMMYFUNCTION("""COMPUTED_VALUE"""),"Wild Symbol, Respin, Bonus Game with Free Spins, Buy Bonus")</f>
        <v>Wild Symbol, Respin, Bonus Game with Free Spins, Buy Bonus</v>
      </c>
      <c r="Q155" s="7" t="str">
        <f ca="1">IFERROR(__xludf.DUMMYFUNCTION("""COMPUTED_VALUE"""),"https://gameserver-store-client-area.orbionlimited.com/Home/IntegrationGameLaunch/client-area?moneyType=0&amp;gameName=LuckySheriff&amp;platform=desktop&amp;languageCode=eng&amp;currency=EUR")</f>
        <v>https://gameserver-store-client-area.orbionlimited.com/Home/IntegrationGameLaunch/client-area?moneyType=0&amp;gameName=LuckySheriff&amp;platform=desktop&amp;languageCode=eng&amp;currency=EUR</v>
      </c>
      <c r="R155" s="5" t="str">
        <f ca="1">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S1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5" s="5" t="str">
        <f ca="1">IFERROR(__xludf.DUMMYFUNCTION("""COMPUTED_VALUE"""),"Yes")</f>
        <v>Yes</v>
      </c>
      <c r="U155" s="5" t="str">
        <f ca="1">IFERROR(__xludf.DUMMYFUNCTION("""COMPUTED_VALUE"""),"Yes")</f>
        <v>Yes</v>
      </c>
      <c r="V155" s="5" t="str">
        <f ca="1">IFERROR(__xludf.DUMMYFUNCTION("""COMPUTED_VALUE"""),"Yes")</f>
        <v>Yes</v>
      </c>
      <c r="W155" s="5" t="str">
        <f ca="1">IFERROR(__xludf.DUMMYFUNCTION("""COMPUTED_VALUE"""),"Yes")</f>
        <v>Yes</v>
      </c>
      <c r="X155" s="5" t="str">
        <f ca="1">IFERROR(__xludf.DUMMYFUNCTION("""COMPUTED_VALUE"""),"Yes")</f>
        <v>Yes</v>
      </c>
      <c r="Y155" s="5" t="str">
        <f ca="1">IFERROR(__xludf.DUMMYFUNCTION("""COMPUTED_VALUE"""),"Yes")</f>
        <v>Yes</v>
      </c>
      <c r="Z155" s="5" t="str">
        <f ca="1">IFERROR(__xludf.DUMMYFUNCTION("""COMPUTED_VALUE"""),"Yes")</f>
        <v>Yes</v>
      </c>
      <c r="AA155" s="5" t="str">
        <f ca="1">IFERROR(__xludf.DUMMYFUNCTION("""COMPUTED_VALUE"""),"Yes")</f>
        <v>Yes</v>
      </c>
      <c r="AB155" s="5" t="str">
        <f ca="1">IFERROR(__xludf.DUMMYFUNCTION("""COMPUTED_VALUE"""),"Yes")</f>
        <v>Yes</v>
      </c>
      <c r="AC155" s="5" t="str">
        <f ca="1">IFERROR(__xludf.DUMMYFUNCTION("""COMPUTED_VALUE"""),"Yes")</f>
        <v>Yes</v>
      </c>
      <c r="AD155" s="5" t="str">
        <f ca="1">IFERROR(__xludf.DUMMYFUNCTION("""COMPUTED_VALUE"""),"Yes")</f>
        <v>Yes</v>
      </c>
      <c r="AE155" s="5" t="str">
        <f ca="1">IFERROR(__xludf.DUMMYFUNCTION("""COMPUTED_VALUE"""),"Yes")</f>
        <v>Yes</v>
      </c>
      <c r="AF155" s="5" t="str">
        <f ca="1">IFERROR(__xludf.DUMMYFUNCTION("""COMPUTED_VALUE"""),"Yes")</f>
        <v>Yes</v>
      </c>
      <c r="AG155" s="5" t="str">
        <f ca="1">IFERROR(__xludf.DUMMYFUNCTION("""COMPUTED_VALUE"""),"Yes")</f>
        <v>Yes</v>
      </c>
      <c r="AH155" s="5" t="str">
        <f ca="1">IFERROR(__xludf.DUMMYFUNCTION("""COMPUTED_VALUE"""),"Yes")</f>
        <v>Yes</v>
      </c>
      <c r="AI155" s="5" t="str">
        <f ca="1">IFERROR(__xludf.DUMMYFUNCTION("""COMPUTED_VALUE"""),"Yes")</f>
        <v>Yes</v>
      </c>
      <c r="AJ155" s="5" t="str">
        <f ca="1">IFERROR(__xludf.DUMMYFUNCTION("""COMPUTED_VALUE"""),"Yes")</f>
        <v>Yes</v>
      </c>
      <c r="AK155" s="5" t="str">
        <f ca="1">IFERROR(__xludf.DUMMYFUNCTION("""COMPUTED_VALUE"""),"Yes")</f>
        <v>Yes</v>
      </c>
      <c r="AL155" s="5" t="str">
        <f ca="1">IFERROR(__xludf.DUMMYFUNCTION("""COMPUTED_VALUE"""),"Yes")</f>
        <v>Yes</v>
      </c>
      <c r="AM155" s="5" t="str">
        <f ca="1">IFERROR(__xludf.DUMMYFUNCTION("""COMPUTED_VALUE"""),"Yes")</f>
        <v>Yes</v>
      </c>
      <c r="AN155" s="5" t="str">
        <f ca="1">IFERROR(__xludf.DUMMYFUNCTION("""COMPUTED_VALUE"""),"Yes")</f>
        <v>Yes</v>
      </c>
      <c r="AO155" s="5" t="str">
        <f ca="1">IFERROR(__xludf.DUMMYFUNCTION("""COMPUTED_VALUE"""),"Yes")</f>
        <v>Yes</v>
      </c>
      <c r="AP155" s="5" t="str">
        <f ca="1">IFERROR(__xludf.DUMMYFUNCTION("""COMPUTED_VALUE"""),"Yes")</f>
        <v>Yes</v>
      </c>
      <c r="AQ155" s="5" t="str">
        <f ca="1">IFERROR(__xludf.DUMMYFUNCTION("""COMPUTED_VALUE"""),"Yes")</f>
        <v>Yes</v>
      </c>
      <c r="AR155" s="5" t="str">
        <f ca="1">IFERROR(__xludf.DUMMYFUNCTION("""COMPUTED_VALUE"""),"Yes")</f>
        <v>Yes</v>
      </c>
      <c r="AS155" s="5" t="str">
        <f ca="1">IFERROR(__xludf.DUMMYFUNCTION("""COMPUTED_VALUE"""),"Yes")</f>
        <v>Yes</v>
      </c>
      <c r="AT155" s="5" t="str">
        <f ca="1">IFERROR(__xludf.DUMMYFUNCTION("""COMPUTED_VALUE"""),"No")</f>
        <v>No</v>
      </c>
      <c r="AU155" s="5"/>
    </row>
    <row r="156" spans="1:47" x14ac:dyDescent="0.25">
      <c r="A156" s="5" t="str">
        <f ca="1">IFERROR(__xludf.DUMMYFUNCTION("""COMPUTED_VALUE"""),"Foxi")</f>
        <v>Foxi</v>
      </c>
      <c r="B156" s="5" t="str">
        <f ca="1">IFERROR(__xludf.DUMMYFUNCTION("""COMPUTED_VALUE"""),"Coin Splash")</f>
        <v>Coin Splash</v>
      </c>
      <c r="C156" s="5" t="str">
        <f ca="1">IFERROR(__xludf.DUMMYFUNCTION("""COMPUTED_VALUE"""),"CoinSplash")</f>
        <v>CoinSplash</v>
      </c>
      <c r="D156" s="6">
        <f ca="1">IFERROR(__xludf.DUMMYFUNCTION("""COMPUTED_VALUE"""),45783)</f>
        <v>45783</v>
      </c>
      <c r="E156" s="5" t="str">
        <f ca="1">IFERROR(__xludf.DUMMYFUNCTION("""COMPUTED_VALUE"""),"Slot")</f>
        <v>Slot</v>
      </c>
      <c r="F156" s="5">
        <f ca="1">IFERROR(__xludf.DUMMYFUNCTION("""COMPUTED_VALUE"""),14)</f>
        <v>14</v>
      </c>
      <c r="G156" s="5" t="str">
        <f ca="1">IFERROR(__xludf.DUMMYFUNCTION("""COMPUTED_VALUE"""),"5x4")</f>
        <v>5x4</v>
      </c>
      <c r="H156" s="5">
        <f ca="1">IFERROR(__xludf.DUMMYFUNCTION("""COMPUTED_VALUE"""),40)</f>
        <v>40</v>
      </c>
      <c r="I156" s="5">
        <f ca="1">IFERROR(__xludf.DUMMYFUNCTION("""COMPUTED_VALUE"""),40)</f>
        <v>40</v>
      </c>
      <c r="J156" s="5" t="str">
        <f ca="1">IFERROR(__xludf.DUMMYFUNCTION("""COMPUTED_VALUE"""),"96.594%")</f>
        <v>96.594%</v>
      </c>
      <c r="K156" s="5" t="str">
        <f ca="1">IFERROR(__xludf.DUMMYFUNCTION("""COMPUTED_VALUE"""),"Medium")</f>
        <v>Medium</v>
      </c>
      <c r="L156" s="5" t="str">
        <f ca="1">IFERROR(__xludf.DUMMYFUNCTION("""COMPUTED_VALUE"""),"12.056%")</f>
        <v>12.056%</v>
      </c>
      <c r="M156" s="5" t="str">
        <f ca="1">IFERROR(__xludf.DUMMYFUNCTION("""COMPUTED_VALUE"""),"x750")</f>
        <v>x750</v>
      </c>
      <c r="N156" s="5" t="str">
        <f ca="1">IFERROR(__xludf.DUMMYFUNCTION("""COMPUTED_VALUE"""),"0.04/60")</f>
        <v>0.04/60</v>
      </c>
      <c r="O156" s="5" t="str">
        <f ca="1">IFERROR(__xludf.DUMMYFUNCTION("""COMPUTED_VALUE"""),"Yes")</f>
        <v>Yes</v>
      </c>
      <c r="P156" s="5" t="str">
        <f ca="1">IFERROR(__xludf.DUMMYFUNCTION("""COMPUTED_VALUE"""),"Exploding Wild")</f>
        <v>Exploding Wild</v>
      </c>
      <c r="Q156" s="7" t="str">
        <f ca="1">IFERROR(__xludf.DUMMYFUNCTION("""COMPUTED_VALUE"""),"https://gameserver-store-client-area.orbionlimited.com/Home/IntegrationGameLaunch/client-area?moneyType=0&amp;gameName=CoinSplash&amp;platform=desktop&amp;languageCode=eng&amp;currency=EUR")</f>
        <v>https://gameserver-store-client-area.orbionlimited.com/Home/IntegrationGameLaunch/client-area?moneyType=0&amp;gameName=CoinSplash&amp;platform=desktop&amp;languageCode=eng&amp;currency=EUR</v>
      </c>
      <c r="R156" s="5" t="str">
        <f ca="1">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 xml:space="preserve">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S1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6" s="5" t="str">
        <f ca="1">IFERROR(__xludf.DUMMYFUNCTION("""COMPUTED_VALUE"""),"Yes")</f>
        <v>Yes</v>
      </c>
      <c r="U156" s="5" t="str">
        <f ca="1">IFERROR(__xludf.DUMMYFUNCTION("""COMPUTED_VALUE"""),"Yes")</f>
        <v>Yes</v>
      </c>
      <c r="V156" s="5" t="str">
        <f ca="1">IFERROR(__xludf.DUMMYFUNCTION("""COMPUTED_VALUE"""),"Yes")</f>
        <v>Yes</v>
      </c>
      <c r="W156" s="5" t="str">
        <f ca="1">IFERROR(__xludf.DUMMYFUNCTION("""COMPUTED_VALUE"""),"Yes")</f>
        <v>Yes</v>
      </c>
      <c r="X156" s="5" t="str">
        <f ca="1">IFERROR(__xludf.DUMMYFUNCTION("""COMPUTED_VALUE"""),"Yes")</f>
        <v>Yes</v>
      </c>
      <c r="Y156" s="5" t="str">
        <f ca="1">IFERROR(__xludf.DUMMYFUNCTION("""COMPUTED_VALUE"""),"Yes")</f>
        <v>Yes</v>
      </c>
      <c r="Z156" s="5" t="str">
        <f ca="1">IFERROR(__xludf.DUMMYFUNCTION("""COMPUTED_VALUE"""),"Yes")</f>
        <v>Yes</v>
      </c>
      <c r="AA156" s="5" t="str">
        <f ca="1">IFERROR(__xludf.DUMMYFUNCTION("""COMPUTED_VALUE"""),"Yes")</f>
        <v>Yes</v>
      </c>
      <c r="AB156" s="5" t="str">
        <f ca="1">IFERROR(__xludf.DUMMYFUNCTION("""COMPUTED_VALUE"""),"Yes")</f>
        <v>Yes</v>
      </c>
      <c r="AC156" s="5" t="str">
        <f ca="1">IFERROR(__xludf.DUMMYFUNCTION("""COMPUTED_VALUE"""),"Yes")</f>
        <v>Yes</v>
      </c>
      <c r="AD156" s="5" t="str">
        <f ca="1">IFERROR(__xludf.DUMMYFUNCTION("""COMPUTED_VALUE"""),"Yes")</f>
        <v>Yes</v>
      </c>
      <c r="AE156" s="5" t="str">
        <f ca="1">IFERROR(__xludf.DUMMYFUNCTION("""COMPUTED_VALUE"""),"Yes")</f>
        <v>Yes</v>
      </c>
      <c r="AF156" s="5" t="str">
        <f ca="1">IFERROR(__xludf.DUMMYFUNCTION("""COMPUTED_VALUE"""),"Yes")</f>
        <v>Yes</v>
      </c>
      <c r="AG156" s="5" t="str">
        <f ca="1">IFERROR(__xludf.DUMMYFUNCTION("""COMPUTED_VALUE"""),"Yes")</f>
        <v>Yes</v>
      </c>
      <c r="AH156" s="5" t="str">
        <f ca="1">IFERROR(__xludf.DUMMYFUNCTION("""COMPUTED_VALUE"""),"Yes")</f>
        <v>Yes</v>
      </c>
      <c r="AI156" s="5" t="str">
        <f ca="1">IFERROR(__xludf.DUMMYFUNCTION("""COMPUTED_VALUE"""),"Yes")</f>
        <v>Yes</v>
      </c>
      <c r="AJ156" s="5" t="str">
        <f ca="1">IFERROR(__xludf.DUMMYFUNCTION("""COMPUTED_VALUE"""),"Yes")</f>
        <v>Yes</v>
      </c>
      <c r="AK156" s="5" t="str">
        <f ca="1">IFERROR(__xludf.DUMMYFUNCTION("""COMPUTED_VALUE"""),"Yes")</f>
        <v>Yes</v>
      </c>
      <c r="AL156" s="5" t="str">
        <f ca="1">IFERROR(__xludf.DUMMYFUNCTION("""COMPUTED_VALUE"""),"Yes")</f>
        <v>Yes</v>
      </c>
      <c r="AM156" s="5" t="str">
        <f ca="1">IFERROR(__xludf.DUMMYFUNCTION("""COMPUTED_VALUE"""),"Yes")</f>
        <v>Yes</v>
      </c>
      <c r="AN156" s="5" t="str">
        <f ca="1">IFERROR(__xludf.DUMMYFUNCTION("""COMPUTED_VALUE"""),"Yes")</f>
        <v>Yes</v>
      </c>
      <c r="AO156" s="5" t="str">
        <f ca="1">IFERROR(__xludf.DUMMYFUNCTION("""COMPUTED_VALUE"""),"Yes")</f>
        <v>Yes</v>
      </c>
      <c r="AP156" s="5" t="str">
        <f ca="1">IFERROR(__xludf.DUMMYFUNCTION("""COMPUTED_VALUE"""),"Yes")</f>
        <v>Yes</v>
      </c>
      <c r="AQ156" s="5" t="str">
        <f ca="1">IFERROR(__xludf.DUMMYFUNCTION("""COMPUTED_VALUE"""),"Yes")</f>
        <v>Yes</v>
      </c>
      <c r="AR156" s="5" t="str">
        <f ca="1">IFERROR(__xludf.DUMMYFUNCTION("""COMPUTED_VALUE"""),"Yes")</f>
        <v>Yes</v>
      </c>
      <c r="AS156" s="5" t="str">
        <f ca="1">IFERROR(__xludf.DUMMYFUNCTION("""COMPUTED_VALUE"""),"Yes")</f>
        <v>Yes</v>
      </c>
      <c r="AT156" s="5" t="str">
        <f ca="1">IFERROR(__xludf.DUMMYFUNCTION("""COMPUTED_VALUE"""),"No")</f>
        <v>No</v>
      </c>
      <c r="AU156" s="5"/>
    </row>
    <row r="157" spans="1:47" x14ac:dyDescent="0.25">
      <c r="A157" s="5" t="str">
        <f ca="1">IFERROR(__xludf.DUMMYFUNCTION("""COMPUTED_VALUE"""),"Foxi")</f>
        <v>Foxi</v>
      </c>
      <c r="B157" s="5" t="str">
        <f ca="1">IFERROR(__xludf.DUMMYFUNCTION("""COMPUTED_VALUE"""),"Golden Crown Booster")</f>
        <v>Golden Crown Booster</v>
      </c>
      <c r="C157" s="5" t="str">
        <f ca="1">IFERROR(__xludf.DUMMYFUNCTION("""COMPUTED_VALUE"""),"GoldenCrownBooster")</f>
        <v>GoldenCrownBooster</v>
      </c>
      <c r="D157" s="6">
        <f ca="1">IFERROR(__xludf.DUMMYFUNCTION("""COMPUTED_VALUE"""),45791)</f>
        <v>45791</v>
      </c>
      <c r="E157" s="5" t="str">
        <f ca="1">IFERROR(__xludf.DUMMYFUNCTION("""COMPUTED_VALUE"""),"Slot")</f>
        <v>Slot</v>
      </c>
      <c r="F157" s="5">
        <f ca="1">IFERROR(__xludf.DUMMYFUNCTION("""COMPUTED_VALUE"""),38.9)</f>
        <v>38.9</v>
      </c>
      <c r="G157" s="5" t="str">
        <f ca="1">IFERROR(__xludf.DUMMYFUNCTION("""COMPUTED_VALUE"""),"5x3")</f>
        <v>5x3</v>
      </c>
      <c r="H157" s="5">
        <f ca="1">IFERROR(__xludf.DUMMYFUNCTION("""COMPUTED_VALUE"""),10)</f>
        <v>10</v>
      </c>
      <c r="I157" s="5">
        <f ca="1">IFERROR(__xludf.DUMMYFUNCTION("""COMPUTED_VALUE"""),10)</f>
        <v>10</v>
      </c>
      <c r="J157" s="5" t="str">
        <f ca="1">IFERROR(__xludf.DUMMYFUNCTION("""COMPUTED_VALUE"""),"95.962%")</f>
        <v>95.962%</v>
      </c>
      <c r="K157" s="5" t="str">
        <f ca="1">IFERROR(__xludf.DUMMYFUNCTION("""COMPUTED_VALUE"""),"Medium")</f>
        <v>Medium</v>
      </c>
      <c r="L157" s="5" t="str">
        <f ca="1">IFERROR(__xludf.DUMMYFUNCTION("""COMPUTED_VALUE"""),"14.63%")</f>
        <v>14.63%</v>
      </c>
      <c r="M157" s="5" t="str">
        <f ca="1">IFERROR(__xludf.DUMMYFUNCTION("""COMPUTED_VALUE"""),"x1538")</f>
        <v>x1538</v>
      </c>
      <c r="N157" s="5" t="str">
        <f ca="1">IFERROR(__xludf.DUMMYFUNCTION("""COMPUTED_VALUE"""),"0.1/40")</f>
        <v>0.1/40</v>
      </c>
      <c r="O157" s="5" t="str">
        <f ca="1">IFERROR(__xludf.DUMMYFUNCTION("""COMPUTED_VALUE"""),"Yes")</f>
        <v>Yes</v>
      </c>
      <c r="P157" s="5" t="str">
        <f ca="1">IFERROR(__xludf.DUMMYFUNCTION("""COMPUTED_VALUE"""),"Scatter, Expanding Wild, Buy Feature")</f>
        <v>Scatter, Expanding Wild, Buy Feature</v>
      </c>
      <c r="Q157" s="7" t="str">
        <f ca="1">IFERROR(__xludf.DUMMYFUNCTION("""COMPUTED_VALUE"""),"https://gameserver-store-client-area.orbionlimited.com/Home/IntegrationGameLaunch/client-area?moneyType=0&amp;gameName=GoldenCrownBooster&amp;platform=desktop&amp;languageCode=eng&amp;currency=EUR")</f>
        <v>https://gameserver-store-client-area.orbionlimited.com/Home/IntegrationGameLaunch/client-area?moneyType=0&amp;gameName=GoldenCrownBooster&amp;platform=desktop&amp;languageCode=eng&amp;currency=EUR</v>
      </c>
      <c r="R157" s="5" t="str">
        <f ca="1">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S1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7" s="5" t="str">
        <f ca="1">IFERROR(__xludf.DUMMYFUNCTION("""COMPUTED_VALUE"""),"Yes")</f>
        <v>Yes</v>
      </c>
      <c r="U157" s="5" t="str">
        <f ca="1">IFERROR(__xludf.DUMMYFUNCTION("""COMPUTED_VALUE"""),"Yes")</f>
        <v>Yes</v>
      </c>
      <c r="V157" s="5" t="str">
        <f ca="1">IFERROR(__xludf.DUMMYFUNCTION("""COMPUTED_VALUE"""),"Yes")</f>
        <v>Yes</v>
      </c>
      <c r="W157" s="5" t="str">
        <f ca="1">IFERROR(__xludf.DUMMYFUNCTION("""COMPUTED_VALUE"""),"Yes")</f>
        <v>Yes</v>
      </c>
      <c r="X157" s="5" t="str">
        <f ca="1">IFERROR(__xludf.DUMMYFUNCTION("""COMPUTED_VALUE"""),"Yes")</f>
        <v>Yes</v>
      </c>
      <c r="Y157" s="5" t="str">
        <f ca="1">IFERROR(__xludf.DUMMYFUNCTION("""COMPUTED_VALUE"""),"Yes")</f>
        <v>Yes</v>
      </c>
      <c r="Z157" s="5" t="str">
        <f ca="1">IFERROR(__xludf.DUMMYFUNCTION("""COMPUTED_VALUE"""),"Yes")</f>
        <v>Yes</v>
      </c>
      <c r="AA157" s="5" t="str">
        <f ca="1">IFERROR(__xludf.DUMMYFUNCTION("""COMPUTED_VALUE"""),"Yes")</f>
        <v>Yes</v>
      </c>
      <c r="AB157" s="5" t="str">
        <f ca="1">IFERROR(__xludf.DUMMYFUNCTION("""COMPUTED_VALUE"""),"Yes")</f>
        <v>Yes</v>
      </c>
      <c r="AC157" s="5" t="str">
        <f ca="1">IFERROR(__xludf.DUMMYFUNCTION("""COMPUTED_VALUE"""),"Yes")</f>
        <v>Yes</v>
      </c>
      <c r="AD157" s="5" t="str">
        <f ca="1">IFERROR(__xludf.DUMMYFUNCTION("""COMPUTED_VALUE"""),"Yes")</f>
        <v>Yes</v>
      </c>
      <c r="AE157" s="5" t="str">
        <f ca="1">IFERROR(__xludf.DUMMYFUNCTION("""COMPUTED_VALUE"""),"Yes")</f>
        <v>Yes</v>
      </c>
      <c r="AF157" s="5" t="str">
        <f ca="1">IFERROR(__xludf.DUMMYFUNCTION("""COMPUTED_VALUE"""),"Yes")</f>
        <v>Yes</v>
      </c>
      <c r="AG157" s="5" t="str">
        <f ca="1">IFERROR(__xludf.DUMMYFUNCTION("""COMPUTED_VALUE"""),"Yes")</f>
        <v>Yes</v>
      </c>
      <c r="AH157" s="5" t="str">
        <f ca="1">IFERROR(__xludf.DUMMYFUNCTION("""COMPUTED_VALUE"""),"Yes")</f>
        <v>Yes</v>
      </c>
      <c r="AI157" s="5" t="str">
        <f ca="1">IFERROR(__xludf.DUMMYFUNCTION("""COMPUTED_VALUE"""),"Yes")</f>
        <v>Yes</v>
      </c>
      <c r="AJ157" s="5" t="str">
        <f ca="1">IFERROR(__xludf.DUMMYFUNCTION("""COMPUTED_VALUE"""),"Yes")</f>
        <v>Yes</v>
      </c>
      <c r="AK157" s="5" t="str">
        <f ca="1">IFERROR(__xludf.DUMMYFUNCTION("""COMPUTED_VALUE"""),"Yes")</f>
        <v>Yes</v>
      </c>
      <c r="AL157" s="5" t="str">
        <f ca="1">IFERROR(__xludf.DUMMYFUNCTION("""COMPUTED_VALUE"""),"Yes")</f>
        <v>Yes</v>
      </c>
      <c r="AM157" s="5" t="str">
        <f ca="1">IFERROR(__xludf.DUMMYFUNCTION("""COMPUTED_VALUE"""),"Yes")</f>
        <v>Yes</v>
      </c>
      <c r="AN157" s="5" t="str">
        <f ca="1">IFERROR(__xludf.DUMMYFUNCTION("""COMPUTED_VALUE"""),"Yes")</f>
        <v>Yes</v>
      </c>
      <c r="AO157" s="5" t="str">
        <f ca="1">IFERROR(__xludf.DUMMYFUNCTION("""COMPUTED_VALUE"""),"Yes")</f>
        <v>Yes</v>
      </c>
      <c r="AP157" s="5" t="str">
        <f ca="1">IFERROR(__xludf.DUMMYFUNCTION("""COMPUTED_VALUE"""),"Yes")</f>
        <v>Yes</v>
      </c>
      <c r="AQ157" s="5" t="str">
        <f ca="1">IFERROR(__xludf.DUMMYFUNCTION("""COMPUTED_VALUE"""),"Yes")</f>
        <v>Yes</v>
      </c>
      <c r="AR157" s="5" t="str">
        <f ca="1">IFERROR(__xludf.DUMMYFUNCTION("""COMPUTED_VALUE"""),"Yes")</f>
        <v>Yes</v>
      </c>
      <c r="AS157" s="5" t="str">
        <f ca="1">IFERROR(__xludf.DUMMYFUNCTION("""COMPUTED_VALUE"""),"Yes")</f>
        <v>Yes</v>
      </c>
      <c r="AT157" s="5" t="str">
        <f ca="1">IFERROR(__xludf.DUMMYFUNCTION("""COMPUTED_VALUE"""),"No")</f>
        <v>No</v>
      </c>
      <c r="AU157" s="5"/>
    </row>
    <row r="158" spans="1:47" x14ac:dyDescent="0.25">
      <c r="A158" s="5" t="str">
        <f ca="1">IFERROR(__xludf.DUMMYFUNCTION("""COMPUTED_VALUE"""),"Foxi")</f>
        <v>Foxi</v>
      </c>
      <c r="B158" s="5" t="str">
        <f ca="1">IFERROR(__xludf.DUMMYFUNCTION("""COMPUTED_VALUE"""),"Very Hot 5 Booster")</f>
        <v>Very Hot 5 Booster</v>
      </c>
      <c r="C158" s="5" t="str">
        <f ca="1">IFERROR(__xludf.DUMMYFUNCTION("""COMPUTED_VALUE"""),"VeryHot5Booster")</f>
        <v>VeryHot5Booster</v>
      </c>
      <c r="D158" s="6">
        <f ca="1">IFERROR(__xludf.DUMMYFUNCTION("""COMPUTED_VALUE"""),45791)</f>
        <v>45791</v>
      </c>
      <c r="E158" s="5" t="str">
        <f ca="1">IFERROR(__xludf.DUMMYFUNCTION("""COMPUTED_VALUE"""),"Slot")</f>
        <v>Slot</v>
      </c>
      <c r="F158" s="5">
        <f ca="1">IFERROR(__xludf.DUMMYFUNCTION("""COMPUTED_VALUE"""),19.5)</f>
        <v>19.5</v>
      </c>
      <c r="G158" s="5" t="str">
        <f ca="1">IFERROR(__xludf.DUMMYFUNCTION("""COMPUTED_VALUE"""),"5x3")</f>
        <v>5x3</v>
      </c>
      <c r="H158" s="5">
        <f ca="1">IFERROR(__xludf.DUMMYFUNCTION("""COMPUTED_VALUE"""),5)</f>
        <v>5</v>
      </c>
      <c r="I158" s="5">
        <f ca="1">IFERROR(__xludf.DUMMYFUNCTION("""COMPUTED_VALUE"""),5)</f>
        <v>5</v>
      </c>
      <c r="J158" s="5" t="str">
        <f ca="1">IFERROR(__xludf.DUMMYFUNCTION("""COMPUTED_VALUE"""),"96.447%")</f>
        <v>96.447%</v>
      </c>
      <c r="K158" s="5" t="str">
        <f ca="1">IFERROR(__xludf.DUMMYFUNCTION("""COMPUTED_VALUE"""),"Medium")</f>
        <v>Medium</v>
      </c>
      <c r="L158" s="5" t="str">
        <f ca="1">IFERROR(__xludf.DUMMYFUNCTION("""COMPUTED_VALUE"""),"14.51%")</f>
        <v>14.51%</v>
      </c>
      <c r="M158" s="5" t="str">
        <f ca="1">IFERROR(__xludf.DUMMYFUNCTION("""COMPUTED_VALUE"""),"x1222")</f>
        <v>x1222</v>
      </c>
      <c r="N158" s="5" t="str">
        <f ca="1">IFERROR(__xludf.DUMMYFUNCTION("""COMPUTED_VALUE"""),"0.5/30")</f>
        <v>0.5/30</v>
      </c>
      <c r="O158" s="5" t="str">
        <f ca="1">IFERROR(__xludf.DUMMYFUNCTION("""COMPUTED_VALUE"""),"Yes")</f>
        <v>Yes</v>
      </c>
      <c r="P158" s="5" t="str">
        <f ca="1">IFERROR(__xludf.DUMMYFUNCTION("""COMPUTED_VALUE"""),"Scatter, Expanding Wild, Buy Feature")</f>
        <v>Scatter, Expanding Wild, Buy Feature</v>
      </c>
      <c r="Q158" s="7" t="str">
        <f ca="1">IFERROR(__xludf.DUMMYFUNCTION("""COMPUTED_VALUE"""),"https://gameserver-store-client-area.orbionlimited.com/Home/IntegrationGameLaunch/client-area?moneyType=0&amp;gameName=VeryHot5Booster&amp;platform=desktop&amp;languageCode=eng&amp;currency=EUR")</f>
        <v>https://gameserver-store-client-area.orbionlimited.com/Home/IntegrationGameLaunch/client-area?moneyType=0&amp;gameName=VeryHot5Booster&amp;platform=desktop&amp;languageCode=eng&amp;currency=EUR</v>
      </c>
      <c r="R158" s="5" t="str">
        <f ca="1">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S1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8" s="5" t="str">
        <f ca="1">IFERROR(__xludf.DUMMYFUNCTION("""COMPUTED_VALUE"""),"Yes")</f>
        <v>Yes</v>
      </c>
      <c r="U158" s="5" t="str">
        <f ca="1">IFERROR(__xludf.DUMMYFUNCTION("""COMPUTED_VALUE"""),"Yes")</f>
        <v>Yes</v>
      </c>
      <c r="V158" s="5" t="str">
        <f ca="1">IFERROR(__xludf.DUMMYFUNCTION("""COMPUTED_VALUE"""),"Yes")</f>
        <v>Yes</v>
      </c>
      <c r="W158" s="5" t="str">
        <f ca="1">IFERROR(__xludf.DUMMYFUNCTION("""COMPUTED_VALUE"""),"Yes")</f>
        <v>Yes</v>
      </c>
      <c r="X158" s="5" t="str">
        <f ca="1">IFERROR(__xludf.DUMMYFUNCTION("""COMPUTED_VALUE"""),"Yes")</f>
        <v>Yes</v>
      </c>
      <c r="Y158" s="5" t="str">
        <f ca="1">IFERROR(__xludf.DUMMYFUNCTION("""COMPUTED_VALUE"""),"Yes")</f>
        <v>Yes</v>
      </c>
      <c r="Z158" s="5" t="str">
        <f ca="1">IFERROR(__xludf.DUMMYFUNCTION("""COMPUTED_VALUE"""),"Yes")</f>
        <v>Yes</v>
      </c>
      <c r="AA158" s="5" t="str">
        <f ca="1">IFERROR(__xludf.DUMMYFUNCTION("""COMPUTED_VALUE"""),"Yes")</f>
        <v>Yes</v>
      </c>
      <c r="AB158" s="5" t="str">
        <f ca="1">IFERROR(__xludf.DUMMYFUNCTION("""COMPUTED_VALUE"""),"Yes")</f>
        <v>Yes</v>
      </c>
      <c r="AC158" s="5" t="str">
        <f ca="1">IFERROR(__xludf.DUMMYFUNCTION("""COMPUTED_VALUE"""),"Yes")</f>
        <v>Yes</v>
      </c>
      <c r="AD158" s="5" t="str">
        <f ca="1">IFERROR(__xludf.DUMMYFUNCTION("""COMPUTED_VALUE"""),"Yes")</f>
        <v>Yes</v>
      </c>
      <c r="AE158" s="5" t="str">
        <f ca="1">IFERROR(__xludf.DUMMYFUNCTION("""COMPUTED_VALUE"""),"Yes")</f>
        <v>Yes</v>
      </c>
      <c r="AF158" s="5" t="str">
        <f ca="1">IFERROR(__xludf.DUMMYFUNCTION("""COMPUTED_VALUE"""),"Yes")</f>
        <v>Yes</v>
      </c>
      <c r="AG158" s="5" t="str">
        <f ca="1">IFERROR(__xludf.DUMMYFUNCTION("""COMPUTED_VALUE"""),"Yes")</f>
        <v>Yes</v>
      </c>
      <c r="AH158" s="5" t="str">
        <f ca="1">IFERROR(__xludf.DUMMYFUNCTION("""COMPUTED_VALUE"""),"Yes")</f>
        <v>Yes</v>
      </c>
      <c r="AI158" s="5" t="str">
        <f ca="1">IFERROR(__xludf.DUMMYFUNCTION("""COMPUTED_VALUE"""),"Yes")</f>
        <v>Yes</v>
      </c>
      <c r="AJ158" s="5" t="str">
        <f ca="1">IFERROR(__xludf.DUMMYFUNCTION("""COMPUTED_VALUE"""),"Yes")</f>
        <v>Yes</v>
      </c>
      <c r="AK158" s="5" t="str">
        <f ca="1">IFERROR(__xludf.DUMMYFUNCTION("""COMPUTED_VALUE"""),"Yes")</f>
        <v>Yes</v>
      </c>
      <c r="AL158" s="5" t="str">
        <f ca="1">IFERROR(__xludf.DUMMYFUNCTION("""COMPUTED_VALUE"""),"Yes")</f>
        <v>Yes</v>
      </c>
      <c r="AM158" s="5" t="str">
        <f ca="1">IFERROR(__xludf.DUMMYFUNCTION("""COMPUTED_VALUE"""),"Yes")</f>
        <v>Yes</v>
      </c>
      <c r="AN158" s="5" t="str">
        <f ca="1">IFERROR(__xludf.DUMMYFUNCTION("""COMPUTED_VALUE"""),"Yes")</f>
        <v>Yes</v>
      </c>
      <c r="AO158" s="5" t="str">
        <f ca="1">IFERROR(__xludf.DUMMYFUNCTION("""COMPUTED_VALUE"""),"Yes")</f>
        <v>Yes</v>
      </c>
      <c r="AP158" s="5" t="str">
        <f ca="1">IFERROR(__xludf.DUMMYFUNCTION("""COMPUTED_VALUE"""),"Yes")</f>
        <v>Yes</v>
      </c>
      <c r="AQ158" s="5" t="str">
        <f ca="1">IFERROR(__xludf.DUMMYFUNCTION("""COMPUTED_VALUE"""),"Yes")</f>
        <v>Yes</v>
      </c>
      <c r="AR158" s="5" t="str">
        <f ca="1">IFERROR(__xludf.DUMMYFUNCTION("""COMPUTED_VALUE"""),"Yes")</f>
        <v>Yes</v>
      </c>
      <c r="AS158" s="5" t="str">
        <f ca="1">IFERROR(__xludf.DUMMYFUNCTION("""COMPUTED_VALUE"""),"Yes")</f>
        <v>Yes</v>
      </c>
      <c r="AT158" s="5" t="str">
        <f ca="1">IFERROR(__xludf.DUMMYFUNCTION("""COMPUTED_VALUE"""),"No")</f>
        <v>No</v>
      </c>
      <c r="AU158" s="5"/>
    </row>
    <row r="159" spans="1:47" x14ac:dyDescent="0.25">
      <c r="A159" s="5" t="str">
        <f ca="1">IFERROR(__xludf.DUMMYFUNCTION("""COMPUTED_VALUE"""),"Foxi")</f>
        <v>Foxi</v>
      </c>
      <c r="B159" s="5" t="str">
        <f ca="1">IFERROR(__xludf.DUMMYFUNCTION("""COMPUTED_VALUE"""),"Epic Clover 40 Booster")</f>
        <v>Epic Clover 40 Booster</v>
      </c>
      <c r="C159" s="5" t="str">
        <f ca="1">IFERROR(__xludf.DUMMYFUNCTION("""COMPUTED_VALUE"""),"EpicClover40Booster")</f>
        <v>EpicClover40Booster</v>
      </c>
      <c r="D159" s="6">
        <f ca="1">IFERROR(__xludf.DUMMYFUNCTION("""COMPUTED_VALUE"""),45791)</f>
        <v>45791</v>
      </c>
      <c r="E159" s="5" t="str">
        <f ca="1">IFERROR(__xludf.DUMMYFUNCTION("""COMPUTED_VALUE"""),"Slot")</f>
        <v>Slot</v>
      </c>
      <c r="F159" s="5">
        <f ca="1">IFERROR(__xludf.DUMMYFUNCTION("""COMPUTED_VALUE"""),23.8)</f>
        <v>23.8</v>
      </c>
      <c r="G159" s="5" t="str">
        <f ca="1">IFERROR(__xludf.DUMMYFUNCTION("""COMPUTED_VALUE"""),"5x4")</f>
        <v>5x4</v>
      </c>
      <c r="H159" s="5">
        <f ca="1">IFERROR(__xludf.DUMMYFUNCTION("""COMPUTED_VALUE"""),40)</f>
        <v>40</v>
      </c>
      <c r="I159" s="5">
        <f ca="1">IFERROR(__xludf.DUMMYFUNCTION("""COMPUTED_VALUE"""),40)</f>
        <v>40</v>
      </c>
      <c r="J159" s="5" t="str">
        <f ca="1">IFERROR(__xludf.DUMMYFUNCTION("""COMPUTED_VALUE"""),"96.502%")</f>
        <v>96.502%</v>
      </c>
      <c r="K159" s="5" t="str">
        <f ca="1">IFERROR(__xludf.DUMMYFUNCTION("""COMPUTED_VALUE"""),"Medium")</f>
        <v>Medium</v>
      </c>
      <c r="L159" s="5" t="str">
        <f ca="1">IFERROR(__xludf.DUMMYFUNCTION("""COMPUTED_VALUE"""),"11.6%")</f>
        <v>11.6%</v>
      </c>
      <c r="M159" s="5" t="str">
        <f ca="1">IFERROR(__xludf.DUMMYFUNCTION("""COMPUTED_VALUE"""),"x3000")</f>
        <v>x3000</v>
      </c>
      <c r="N159" s="5" t="str">
        <f ca="1">IFERROR(__xludf.DUMMYFUNCTION("""COMPUTED_VALUE"""),"0.4/40")</f>
        <v>0.4/40</v>
      </c>
      <c r="O159" s="5" t="str">
        <f ca="1">IFERROR(__xludf.DUMMYFUNCTION("""COMPUTED_VALUE"""),"Yes")</f>
        <v>Yes</v>
      </c>
      <c r="P159" s="5" t="str">
        <f ca="1">IFERROR(__xludf.DUMMYFUNCTION("""COMPUTED_VALUE"""),"Expanding Wild, Scatter, Buy Feature")</f>
        <v>Expanding Wild, Scatter, Buy Feature</v>
      </c>
      <c r="Q159" s="7" t="str">
        <f ca="1">IFERROR(__xludf.DUMMYFUNCTION("""COMPUTED_VALUE"""),"https://gameserver-store-client-area.orbionlimited.com/Home/IntegrationGameLaunch/client-area?moneyType=0&amp;gameName=EpicClover40Booster&amp;platform=desktop&amp;languageCode=eng&amp;currency=EUR")</f>
        <v>https://gameserver-store-client-area.orbionlimited.com/Home/IntegrationGameLaunch/client-area?moneyType=0&amp;gameName=EpicClover40Booster&amp;platform=desktop&amp;languageCode=eng&amp;currency=EUR</v>
      </c>
      <c r="R159" s="5" t="str">
        <f ca="1">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S1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9" s="5" t="str">
        <f ca="1">IFERROR(__xludf.DUMMYFUNCTION("""COMPUTED_VALUE"""),"Yes")</f>
        <v>Yes</v>
      </c>
      <c r="U159" s="5" t="str">
        <f ca="1">IFERROR(__xludf.DUMMYFUNCTION("""COMPUTED_VALUE"""),"Yes")</f>
        <v>Yes</v>
      </c>
      <c r="V159" s="5" t="str">
        <f ca="1">IFERROR(__xludf.DUMMYFUNCTION("""COMPUTED_VALUE"""),"Yes")</f>
        <v>Yes</v>
      </c>
      <c r="W159" s="5" t="str">
        <f ca="1">IFERROR(__xludf.DUMMYFUNCTION("""COMPUTED_VALUE"""),"Yes")</f>
        <v>Yes</v>
      </c>
      <c r="X159" s="5" t="str">
        <f ca="1">IFERROR(__xludf.DUMMYFUNCTION("""COMPUTED_VALUE"""),"Yes")</f>
        <v>Yes</v>
      </c>
      <c r="Y159" s="5" t="str">
        <f ca="1">IFERROR(__xludf.DUMMYFUNCTION("""COMPUTED_VALUE"""),"Yes")</f>
        <v>Yes</v>
      </c>
      <c r="Z159" s="5" t="str">
        <f ca="1">IFERROR(__xludf.DUMMYFUNCTION("""COMPUTED_VALUE"""),"Yes")</f>
        <v>Yes</v>
      </c>
      <c r="AA159" s="5" t="str">
        <f ca="1">IFERROR(__xludf.DUMMYFUNCTION("""COMPUTED_VALUE"""),"Yes")</f>
        <v>Yes</v>
      </c>
      <c r="AB159" s="5" t="str">
        <f ca="1">IFERROR(__xludf.DUMMYFUNCTION("""COMPUTED_VALUE"""),"Yes")</f>
        <v>Yes</v>
      </c>
      <c r="AC159" s="5" t="str">
        <f ca="1">IFERROR(__xludf.DUMMYFUNCTION("""COMPUTED_VALUE"""),"Yes")</f>
        <v>Yes</v>
      </c>
      <c r="AD159" s="5" t="str">
        <f ca="1">IFERROR(__xludf.DUMMYFUNCTION("""COMPUTED_VALUE"""),"Yes")</f>
        <v>Yes</v>
      </c>
      <c r="AE159" s="5" t="str">
        <f ca="1">IFERROR(__xludf.DUMMYFUNCTION("""COMPUTED_VALUE"""),"Yes")</f>
        <v>Yes</v>
      </c>
      <c r="AF159" s="5" t="str">
        <f ca="1">IFERROR(__xludf.DUMMYFUNCTION("""COMPUTED_VALUE"""),"Yes")</f>
        <v>Yes</v>
      </c>
      <c r="AG159" s="5" t="str">
        <f ca="1">IFERROR(__xludf.DUMMYFUNCTION("""COMPUTED_VALUE"""),"Yes")</f>
        <v>Yes</v>
      </c>
      <c r="AH159" s="5" t="str">
        <f ca="1">IFERROR(__xludf.DUMMYFUNCTION("""COMPUTED_VALUE"""),"Yes")</f>
        <v>Yes</v>
      </c>
      <c r="AI159" s="5" t="str">
        <f ca="1">IFERROR(__xludf.DUMMYFUNCTION("""COMPUTED_VALUE"""),"Yes")</f>
        <v>Yes</v>
      </c>
      <c r="AJ159" s="5" t="str">
        <f ca="1">IFERROR(__xludf.DUMMYFUNCTION("""COMPUTED_VALUE"""),"Yes")</f>
        <v>Yes</v>
      </c>
      <c r="AK159" s="5" t="str">
        <f ca="1">IFERROR(__xludf.DUMMYFUNCTION("""COMPUTED_VALUE"""),"Yes")</f>
        <v>Yes</v>
      </c>
      <c r="AL159" s="5" t="str">
        <f ca="1">IFERROR(__xludf.DUMMYFUNCTION("""COMPUTED_VALUE"""),"Yes")</f>
        <v>Yes</v>
      </c>
      <c r="AM159" s="5" t="str">
        <f ca="1">IFERROR(__xludf.DUMMYFUNCTION("""COMPUTED_VALUE"""),"Yes")</f>
        <v>Yes</v>
      </c>
      <c r="AN159" s="5" t="str">
        <f ca="1">IFERROR(__xludf.DUMMYFUNCTION("""COMPUTED_VALUE"""),"Yes")</f>
        <v>Yes</v>
      </c>
      <c r="AO159" s="5" t="str">
        <f ca="1">IFERROR(__xludf.DUMMYFUNCTION("""COMPUTED_VALUE"""),"Yes")</f>
        <v>Yes</v>
      </c>
      <c r="AP159" s="5" t="str">
        <f ca="1">IFERROR(__xludf.DUMMYFUNCTION("""COMPUTED_VALUE"""),"Yes")</f>
        <v>Yes</v>
      </c>
      <c r="AQ159" s="5" t="str">
        <f ca="1">IFERROR(__xludf.DUMMYFUNCTION("""COMPUTED_VALUE"""),"Yes")</f>
        <v>Yes</v>
      </c>
      <c r="AR159" s="5" t="str">
        <f ca="1">IFERROR(__xludf.DUMMYFUNCTION("""COMPUTED_VALUE"""),"Yes")</f>
        <v>Yes</v>
      </c>
      <c r="AS159" s="5" t="str">
        <f ca="1">IFERROR(__xludf.DUMMYFUNCTION("""COMPUTED_VALUE"""),"Yes")</f>
        <v>Yes</v>
      </c>
      <c r="AT159" s="5" t="str">
        <f ca="1">IFERROR(__xludf.DUMMYFUNCTION("""COMPUTED_VALUE"""),"No")</f>
        <v>No</v>
      </c>
      <c r="AU159" s="5"/>
    </row>
    <row r="160" spans="1:47" x14ac:dyDescent="0.25">
      <c r="A160" s="5" t="str">
        <f ca="1">IFERROR(__xludf.DUMMYFUNCTION("""COMPUTED_VALUE"""),"Foxi")</f>
        <v>Foxi</v>
      </c>
      <c r="B160" s="5" t="str">
        <f ca="1">IFERROR(__xludf.DUMMYFUNCTION("""COMPUTED_VALUE"""),"Golden Crown Extreme")</f>
        <v>Golden Crown Extreme</v>
      </c>
      <c r="C160" s="5" t="str">
        <f ca="1">IFERROR(__xludf.DUMMYFUNCTION("""COMPUTED_VALUE"""),"GoldenCrownExtreme")</f>
        <v>GoldenCrownExtreme</v>
      </c>
      <c r="D160" s="6">
        <f ca="1">IFERROR(__xludf.DUMMYFUNCTION("""COMPUTED_VALUE"""),45805)</f>
        <v>45805</v>
      </c>
      <c r="E160" s="5" t="str">
        <f ca="1">IFERROR(__xludf.DUMMYFUNCTION("""COMPUTED_VALUE"""),"Slot")</f>
        <v>Slot</v>
      </c>
      <c r="F160" s="5">
        <f ca="1">IFERROR(__xludf.DUMMYFUNCTION("""COMPUTED_VALUE"""),36)</f>
        <v>36</v>
      </c>
      <c r="G160" s="5" t="str">
        <f ca="1">IFERROR(__xludf.DUMMYFUNCTION("""COMPUTED_VALUE"""),"5x3")</f>
        <v>5x3</v>
      </c>
      <c r="H160" s="5">
        <f ca="1">IFERROR(__xludf.DUMMYFUNCTION("""COMPUTED_VALUE"""),10)</f>
        <v>10</v>
      </c>
      <c r="I160" s="5">
        <f ca="1">IFERROR(__xludf.DUMMYFUNCTION("""COMPUTED_VALUE"""),10)</f>
        <v>10</v>
      </c>
      <c r="J160" s="5" t="str">
        <f ca="1">IFERROR(__xludf.DUMMYFUNCTION("""COMPUTED_VALUE"""),"96.535%")</f>
        <v>96.535%</v>
      </c>
      <c r="K160" s="5" t="str">
        <f ca="1">IFERROR(__xludf.DUMMYFUNCTION("""COMPUTED_VALUE"""),"Medium")</f>
        <v>Medium</v>
      </c>
      <c r="L160" s="5" t="str">
        <f ca="1">IFERROR(__xludf.DUMMYFUNCTION("""COMPUTED_VALUE"""),"14.28%")</f>
        <v>14.28%</v>
      </c>
      <c r="M160" s="5" t="str">
        <f ca="1">IFERROR(__xludf.DUMMYFUNCTION("""COMPUTED_VALUE"""),"x3076")</f>
        <v>x3076</v>
      </c>
      <c r="N160" s="5" t="str">
        <f ca="1">IFERROR(__xludf.DUMMYFUNCTION("""COMPUTED_VALUE"""),"01/50")</f>
        <v>01/50</v>
      </c>
      <c r="O160" s="5" t="str">
        <f ca="1">IFERROR(__xludf.DUMMYFUNCTION("""COMPUTED_VALUE"""),"Yes")</f>
        <v>Yes</v>
      </c>
      <c r="P160" s="5" t="str">
        <f ca="1">IFERROR(__xludf.DUMMYFUNCTION("""COMPUTED_VALUE"""),"Scatter, Win Multiplier, Expanding Wild")</f>
        <v>Scatter, Win Multiplier, Expanding Wild</v>
      </c>
      <c r="Q160" s="7" t="str">
        <f ca="1">IFERROR(__xludf.DUMMYFUNCTION("""COMPUTED_VALUE"""),"https://gameserver-store-client-area.orbionlimited.com/Home/IntegrationGameLaunch/client-area?moneyType=0&amp;gameName=GoldenCrownExtreme&amp;platform=desktop&amp;languageCode=eng&amp;currency=EUR")</f>
        <v>https://gameserver-store-client-area.orbionlimited.com/Home/IntegrationGameLaunch/client-area?moneyType=0&amp;gameName=GoldenCrownExtreme&amp;platform=desktop&amp;languageCode=eng&amp;currency=EUR</v>
      </c>
      <c r="R160" s="5" t="str">
        <f ca="1">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S1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0" s="5" t="str">
        <f ca="1">IFERROR(__xludf.DUMMYFUNCTION("""COMPUTED_VALUE"""),"Yes")</f>
        <v>Yes</v>
      </c>
      <c r="U160" s="5" t="str">
        <f ca="1">IFERROR(__xludf.DUMMYFUNCTION("""COMPUTED_VALUE"""),"Yes")</f>
        <v>Yes</v>
      </c>
      <c r="V160" s="5" t="str">
        <f ca="1">IFERROR(__xludf.DUMMYFUNCTION("""COMPUTED_VALUE"""),"Yes")</f>
        <v>Yes</v>
      </c>
      <c r="W160" s="5" t="str">
        <f ca="1">IFERROR(__xludf.DUMMYFUNCTION("""COMPUTED_VALUE"""),"Yes")</f>
        <v>Yes</v>
      </c>
      <c r="X160" s="5" t="str">
        <f ca="1">IFERROR(__xludf.DUMMYFUNCTION("""COMPUTED_VALUE"""),"Yes")</f>
        <v>Yes</v>
      </c>
      <c r="Y160" s="5" t="str">
        <f ca="1">IFERROR(__xludf.DUMMYFUNCTION("""COMPUTED_VALUE"""),"Yes")</f>
        <v>Yes</v>
      </c>
      <c r="Z160" s="5" t="str">
        <f ca="1">IFERROR(__xludf.DUMMYFUNCTION("""COMPUTED_VALUE"""),"Yes")</f>
        <v>Yes</v>
      </c>
      <c r="AA160" s="5" t="str">
        <f ca="1">IFERROR(__xludf.DUMMYFUNCTION("""COMPUTED_VALUE"""),"Yes")</f>
        <v>Yes</v>
      </c>
      <c r="AB160" s="5" t="str">
        <f ca="1">IFERROR(__xludf.DUMMYFUNCTION("""COMPUTED_VALUE"""),"Yes")</f>
        <v>Yes</v>
      </c>
      <c r="AC160" s="5" t="str">
        <f ca="1">IFERROR(__xludf.DUMMYFUNCTION("""COMPUTED_VALUE"""),"Yes")</f>
        <v>Yes</v>
      </c>
      <c r="AD160" s="5" t="str">
        <f ca="1">IFERROR(__xludf.DUMMYFUNCTION("""COMPUTED_VALUE"""),"Yes")</f>
        <v>Yes</v>
      </c>
      <c r="AE160" s="5" t="str">
        <f ca="1">IFERROR(__xludf.DUMMYFUNCTION("""COMPUTED_VALUE"""),"Yes")</f>
        <v>Yes</v>
      </c>
      <c r="AF160" s="5" t="str">
        <f ca="1">IFERROR(__xludf.DUMMYFUNCTION("""COMPUTED_VALUE"""),"Yes")</f>
        <v>Yes</v>
      </c>
      <c r="AG160" s="5" t="str">
        <f ca="1">IFERROR(__xludf.DUMMYFUNCTION("""COMPUTED_VALUE"""),"Yes")</f>
        <v>Yes</v>
      </c>
      <c r="AH160" s="5" t="str">
        <f ca="1">IFERROR(__xludf.DUMMYFUNCTION("""COMPUTED_VALUE"""),"Yes")</f>
        <v>Yes</v>
      </c>
      <c r="AI160" s="5" t="str">
        <f ca="1">IFERROR(__xludf.DUMMYFUNCTION("""COMPUTED_VALUE"""),"Yes")</f>
        <v>Yes</v>
      </c>
      <c r="AJ160" s="5" t="str">
        <f ca="1">IFERROR(__xludf.DUMMYFUNCTION("""COMPUTED_VALUE"""),"Yes")</f>
        <v>Yes</v>
      </c>
      <c r="AK160" s="5" t="str">
        <f ca="1">IFERROR(__xludf.DUMMYFUNCTION("""COMPUTED_VALUE"""),"Yes")</f>
        <v>Yes</v>
      </c>
      <c r="AL160" s="5" t="str">
        <f ca="1">IFERROR(__xludf.DUMMYFUNCTION("""COMPUTED_VALUE"""),"Yes")</f>
        <v>Yes</v>
      </c>
      <c r="AM160" s="5" t="str">
        <f ca="1">IFERROR(__xludf.DUMMYFUNCTION("""COMPUTED_VALUE"""),"Yes")</f>
        <v>Yes</v>
      </c>
      <c r="AN160" s="5" t="str">
        <f ca="1">IFERROR(__xludf.DUMMYFUNCTION("""COMPUTED_VALUE"""),"Yes")</f>
        <v>Yes</v>
      </c>
      <c r="AO160" s="5" t="str">
        <f ca="1">IFERROR(__xludf.DUMMYFUNCTION("""COMPUTED_VALUE"""),"Yes")</f>
        <v>Yes</v>
      </c>
      <c r="AP160" s="5" t="str">
        <f ca="1">IFERROR(__xludf.DUMMYFUNCTION("""COMPUTED_VALUE"""),"Yes")</f>
        <v>Yes</v>
      </c>
      <c r="AQ160" s="5" t="str">
        <f ca="1">IFERROR(__xludf.DUMMYFUNCTION("""COMPUTED_VALUE"""),"Yes")</f>
        <v>Yes</v>
      </c>
      <c r="AR160" s="5" t="str">
        <f ca="1">IFERROR(__xludf.DUMMYFUNCTION("""COMPUTED_VALUE"""),"Yes")</f>
        <v>Yes</v>
      </c>
      <c r="AS160" s="5" t="str">
        <f ca="1">IFERROR(__xludf.DUMMYFUNCTION("""COMPUTED_VALUE"""),"Yes")</f>
        <v>Yes</v>
      </c>
      <c r="AT160" s="5" t="str">
        <f ca="1">IFERROR(__xludf.DUMMYFUNCTION("""COMPUTED_VALUE"""),"No")</f>
        <v>No</v>
      </c>
      <c r="AU160" s="5"/>
    </row>
    <row r="161" spans="1:47" x14ac:dyDescent="0.25">
      <c r="A161" s="5" t="str">
        <f ca="1">IFERROR(__xludf.DUMMYFUNCTION("""COMPUTED_VALUE"""),"Foxi")</f>
        <v>Foxi</v>
      </c>
      <c r="B161" s="5" t="str">
        <f ca="1">IFERROR(__xludf.DUMMYFUNCTION("""COMPUTED_VALUE"""),"Wild Sticky Clover")</f>
        <v>Wild Sticky Clover</v>
      </c>
      <c r="C161" s="5" t="str">
        <f ca="1">IFERROR(__xludf.DUMMYFUNCTION("""COMPUTED_VALUE"""),"WildStickyClover")</f>
        <v>WildStickyClover</v>
      </c>
      <c r="D161" s="6">
        <f ca="1">IFERROR(__xludf.DUMMYFUNCTION("""COMPUTED_VALUE"""),45834)</f>
        <v>45834</v>
      </c>
      <c r="E161" s="5" t="str">
        <f ca="1">IFERROR(__xludf.DUMMYFUNCTION("""COMPUTED_VALUE"""),"Slot")</f>
        <v>Slot</v>
      </c>
      <c r="F161" s="5">
        <f ca="1">IFERROR(__xludf.DUMMYFUNCTION("""COMPUTED_VALUE"""),21.1)</f>
        <v>21.1</v>
      </c>
      <c r="G161" s="5" t="str">
        <f ca="1">IFERROR(__xludf.DUMMYFUNCTION("""COMPUTED_VALUE"""),"5x4")</f>
        <v>5x4</v>
      </c>
      <c r="H161" s="5">
        <f ca="1">IFERROR(__xludf.DUMMYFUNCTION("""COMPUTED_VALUE"""),40)</f>
        <v>40</v>
      </c>
      <c r="I161" s="5">
        <f ca="1">IFERROR(__xludf.DUMMYFUNCTION("""COMPUTED_VALUE"""),40)</f>
        <v>40</v>
      </c>
      <c r="J161" s="5" t="str">
        <f ca="1">IFERROR(__xludf.DUMMYFUNCTION("""COMPUTED_VALUE"""),"96.62%")</f>
        <v>96.62%</v>
      </c>
      <c r="K161" s="5" t="str">
        <f ca="1">IFERROR(__xludf.DUMMYFUNCTION("""COMPUTED_VALUE"""),"High")</f>
        <v>High</v>
      </c>
      <c r="L161" s="5" t="str">
        <f ca="1">IFERROR(__xludf.DUMMYFUNCTION("""COMPUTED_VALUE"""),"10.094%")</f>
        <v>10.094%</v>
      </c>
      <c r="M161" s="5" t="str">
        <f ca="1">IFERROR(__xludf.DUMMYFUNCTION("""COMPUTED_VALUE"""),"x4000")</f>
        <v>x4000</v>
      </c>
      <c r="N161" s="5" t="str">
        <f ca="1">IFERROR(__xludf.DUMMYFUNCTION("""COMPUTED_VALUE"""),"0.4/60")</f>
        <v>0.4/60</v>
      </c>
      <c r="O161" s="5" t="str">
        <f ca="1">IFERROR(__xludf.DUMMYFUNCTION("""COMPUTED_VALUE"""),"Yes")</f>
        <v>Yes</v>
      </c>
      <c r="P161" s="5" t="str">
        <f ca="1">IFERROR(__xludf.DUMMYFUNCTION("""COMPUTED_VALUE"""),"Buy Bonus")</f>
        <v>Buy Bonus</v>
      </c>
      <c r="Q161" s="7" t="str">
        <f ca="1">IFERROR(__xludf.DUMMYFUNCTION("""COMPUTED_VALUE"""),"https://gameserver-store-client-area.orbionlimited.com/Home/IntegrationGameLaunch/client-area?moneyType=0&amp;gameName=WildStickyClover&amp;platform=desktop&amp;languageCode=eng&amp;currency=EUR")</f>
        <v>https://gameserver-store-client-area.orbionlimited.com/Home/IntegrationGameLaunch/client-area?moneyType=0&amp;gameName=WildStickyClover&amp;platform=desktop&amp;languageCode=eng&amp;currency=EUR</v>
      </c>
      <c r="R161" s="5" t="str">
        <f ca="1">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S1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1" s="5" t="str">
        <f ca="1">IFERROR(__xludf.DUMMYFUNCTION("""COMPUTED_VALUE"""),"Yes")</f>
        <v>Yes</v>
      </c>
      <c r="U161" s="5" t="str">
        <f ca="1">IFERROR(__xludf.DUMMYFUNCTION("""COMPUTED_VALUE"""),"Yes")</f>
        <v>Yes</v>
      </c>
      <c r="V161" s="5" t="str">
        <f ca="1">IFERROR(__xludf.DUMMYFUNCTION("""COMPUTED_VALUE"""),"Yes")</f>
        <v>Yes</v>
      </c>
      <c r="W161" s="5" t="str">
        <f ca="1">IFERROR(__xludf.DUMMYFUNCTION("""COMPUTED_VALUE"""),"Yes")</f>
        <v>Yes</v>
      </c>
      <c r="X161" s="5" t="str">
        <f ca="1">IFERROR(__xludf.DUMMYFUNCTION("""COMPUTED_VALUE"""),"Yes")</f>
        <v>Yes</v>
      </c>
      <c r="Y161" s="5" t="str">
        <f ca="1">IFERROR(__xludf.DUMMYFUNCTION("""COMPUTED_VALUE"""),"Yes")</f>
        <v>Yes</v>
      </c>
      <c r="Z161" s="5" t="str">
        <f ca="1">IFERROR(__xludf.DUMMYFUNCTION("""COMPUTED_VALUE"""),"Yes")</f>
        <v>Yes</v>
      </c>
      <c r="AA161" s="5" t="str">
        <f ca="1">IFERROR(__xludf.DUMMYFUNCTION("""COMPUTED_VALUE"""),"Yes")</f>
        <v>Yes</v>
      </c>
      <c r="AB161" s="5" t="str">
        <f ca="1">IFERROR(__xludf.DUMMYFUNCTION("""COMPUTED_VALUE"""),"Yes")</f>
        <v>Yes</v>
      </c>
      <c r="AC161" s="5" t="str">
        <f ca="1">IFERROR(__xludf.DUMMYFUNCTION("""COMPUTED_VALUE"""),"Yes")</f>
        <v>Yes</v>
      </c>
      <c r="AD161" s="5" t="str">
        <f ca="1">IFERROR(__xludf.DUMMYFUNCTION("""COMPUTED_VALUE"""),"Yes")</f>
        <v>Yes</v>
      </c>
      <c r="AE161" s="5" t="str">
        <f ca="1">IFERROR(__xludf.DUMMYFUNCTION("""COMPUTED_VALUE"""),"Yes")</f>
        <v>Yes</v>
      </c>
      <c r="AF161" s="5" t="str">
        <f ca="1">IFERROR(__xludf.DUMMYFUNCTION("""COMPUTED_VALUE"""),"Yes")</f>
        <v>Yes</v>
      </c>
      <c r="AG161" s="5" t="str">
        <f ca="1">IFERROR(__xludf.DUMMYFUNCTION("""COMPUTED_VALUE"""),"Yes")</f>
        <v>Yes</v>
      </c>
      <c r="AH161" s="5" t="str">
        <f ca="1">IFERROR(__xludf.DUMMYFUNCTION("""COMPUTED_VALUE"""),"Yes")</f>
        <v>Yes</v>
      </c>
      <c r="AI161" s="5" t="str">
        <f ca="1">IFERROR(__xludf.DUMMYFUNCTION("""COMPUTED_VALUE"""),"Yes")</f>
        <v>Yes</v>
      </c>
      <c r="AJ161" s="5" t="str">
        <f ca="1">IFERROR(__xludf.DUMMYFUNCTION("""COMPUTED_VALUE"""),"Yes")</f>
        <v>Yes</v>
      </c>
      <c r="AK161" s="5" t="str">
        <f ca="1">IFERROR(__xludf.DUMMYFUNCTION("""COMPUTED_VALUE"""),"Yes")</f>
        <v>Yes</v>
      </c>
      <c r="AL161" s="5" t="str">
        <f ca="1">IFERROR(__xludf.DUMMYFUNCTION("""COMPUTED_VALUE"""),"Yes")</f>
        <v>Yes</v>
      </c>
      <c r="AM161" s="5" t="str">
        <f ca="1">IFERROR(__xludf.DUMMYFUNCTION("""COMPUTED_VALUE"""),"Yes")</f>
        <v>Yes</v>
      </c>
      <c r="AN161" s="5" t="str">
        <f ca="1">IFERROR(__xludf.DUMMYFUNCTION("""COMPUTED_VALUE"""),"Yes")</f>
        <v>Yes</v>
      </c>
      <c r="AO161" s="5" t="str">
        <f ca="1">IFERROR(__xludf.DUMMYFUNCTION("""COMPUTED_VALUE"""),"Yes")</f>
        <v>Yes</v>
      </c>
      <c r="AP161" s="5" t="str">
        <f ca="1">IFERROR(__xludf.DUMMYFUNCTION("""COMPUTED_VALUE"""),"Yes")</f>
        <v>Yes</v>
      </c>
      <c r="AQ161" s="5" t="str">
        <f ca="1">IFERROR(__xludf.DUMMYFUNCTION("""COMPUTED_VALUE"""),"Yes")</f>
        <v>Yes</v>
      </c>
      <c r="AR161" s="5" t="str">
        <f ca="1">IFERROR(__xludf.DUMMYFUNCTION("""COMPUTED_VALUE"""),"Yes")</f>
        <v>Yes</v>
      </c>
      <c r="AS161" s="5" t="str">
        <f ca="1">IFERROR(__xludf.DUMMYFUNCTION("""COMPUTED_VALUE"""),"Yes")</f>
        <v>Yes</v>
      </c>
      <c r="AT161" s="5" t="str">
        <f ca="1">IFERROR(__xludf.DUMMYFUNCTION("""COMPUTED_VALUE"""),"No")</f>
        <v>No</v>
      </c>
      <c r="AU161" s="5"/>
    </row>
    <row r="162" spans="1:47" x14ac:dyDescent="0.25">
      <c r="A162" s="5" t="str">
        <f ca="1">IFERROR(__xludf.DUMMYFUNCTION("""COMPUTED_VALUE"""),"Foxi")</f>
        <v>Foxi</v>
      </c>
      <c r="B162" s="5" t="str">
        <f ca="1">IFERROR(__xludf.DUMMYFUNCTION("""COMPUTED_VALUE"""),"XSpins")</f>
        <v>XSpins</v>
      </c>
      <c r="C162" s="5" t="str">
        <f ca="1">IFERROR(__xludf.DUMMYFUNCTION("""COMPUTED_VALUE"""),"XSpins")</f>
        <v>XSpins</v>
      </c>
      <c r="D162" s="6">
        <f ca="1">IFERROR(__xludf.DUMMYFUNCTION("""COMPUTED_VALUE"""),46175)</f>
        <v>46175</v>
      </c>
      <c r="E162" s="5" t="str">
        <f ca="1">IFERROR(__xludf.DUMMYFUNCTION("""COMPUTED_VALUE"""),"Slot")</f>
        <v>Slot</v>
      </c>
      <c r="F162" s="5">
        <f ca="1">IFERROR(__xludf.DUMMYFUNCTION("""COMPUTED_VALUE"""),14.8)</f>
        <v>14.8</v>
      </c>
      <c r="G162" s="5" t="str">
        <f ca="1">IFERROR(__xludf.DUMMYFUNCTION("""COMPUTED_VALUE"""),"/")</f>
        <v>/</v>
      </c>
      <c r="H162" s="5">
        <f ca="1">IFERROR(__xludf.DUMMYFUNCTION("""COMPUTED_VALUE"""),10)</f>
        <v>10</v>
      </c>
      <c r="I162" s="5"/>
      <c r="J162" s="5" t="str">
        <f ca="1">IFERROR(__xludf.DUMMYFUNCTION("""COMPUTED_VALUE"""),"96%")</f>
        <v>96%</v>
      </c>
      <c r="K162" s="5" t="str">
        <f ca="1">IFERROR(__xludf.DUMMYFUNCTION("""COMPUTED_VALUE"""),"High")</f>
        <v>High</v>
      </c>
      <c r="L162" s="5" t="str">
        <f ca="1">IFERROR(__xludf.DUMMYFUNCTION("""COMPUTED_VALUE"""),"87.272%")</f>
        <v>87.272%</v>
      </c>
      <c r="M162" s="5" t="str">
        <f ca="1">IFERROR(__xludf.DUMMYFUNCTION("""COMPUTED_VALUE"""),"x15000")</f>
        <v>x15000</v>
      </c>
      <c r="N162" s="5" t="str">
        <f ca="1">IFERROR(__xludf.DUMMYFUNCTION("""COMPUTED_VALUE"""),"0.05/40")</f>
        <v>0.05/40</v>
      </c>
      <c r="O162" s="5" t="str">
        <f ca="1">IFERROR(__xludf.DUMMYFUNCTION("""COMPUTED_VALUE"""),"No")</f>
        <v>No</v>
      </c>
      <c r="P162" s="5" t="str">
        <f ca="1">IFERROR(__xludf.DUMMYFUNCTION("""COMPUTED_VALUE"""),"Win Multiplier")</f>
        <v>Win Multiplier</v>
      </c>
      <c r="Q162" s="7" t="str">
        <f ca="1">IFERROR(__xludf.DUMMYFUNCTION("""COMPUTED_VALUE"""),"https://gameserver-store-client-area.orbionlimited.com/Home/IntegrationGameLaunch/client-area?moneyType=0&amp;gameName=XSpins&amp;platform=desktop&amp;languageCode=eng&amp;currency=EUR")</f>
        <v>https://gameserver-store-client-area.orbionlimited.com/Home/IntegrationGameLaunch/client-area?moneyType=0&amp;gameName=XSpins&amp;platform=desktop&amp;languageCode=eng&amp;currency=EUR</v>
      </c>
      <c r="R162" s="5" t="str">
        <f ca="1">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S1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2" s="5" t="str">
        <f ca="1">IFERROR(__xludf.DUMMYFUNCTION("""COMPUTED_VALUE"""),"Yes")</f>
        <v>Yes</v>
      </c>
      <c r="U162" s="5" t="str">
        <f ca="1">IFERROR(__xludf.DUMMYFUNCTION("""COMPUTED_VALUE"""),"Yes")</f>
        <v>Yes</v>
      </c>
      <c r="V162" s="5" t="str">
        <f ca="1">IFERROR(__xludf.DUMMYFUNCTION("""COMPUTED_VALUE"""),"Yes")</f>
        <v>Yes</v>
      </c>
      <c r="W162" s="5" t="str">
        <f ca="1">IFERROR(__xludf.DUMMYFUNCTION("""COMPUTED_VALUE"""),"Yes")</f>
        <v>Yes</v>
      </c>
      <c r="X162" s="5" t="str">
        <f ca="1">IFERROR(__xludf.DUMMYFUNCTION("""COMPUTED_VALUE"""),"Yes")</f>
        <v>Yes</v>
      </c>
      <c r="Y162" s="5" t="str">
        <f ca="1">IFERROR(__xludf.DUMMYFUNCTION("""COMPUTED_VALUE"""),"Yes")</f>
        <v>Yes</v>
      </c>
      <c r="Z162" s="5" t="str">
        <f ca="1">IFERROR(__xludf.DUMMYFUNCTION("""COMPUTED_VALUE"""),"Yes")</f>
        <v>Yes</v>
      </c>
      <c r="AA162" s="5" t="str">
        <f ca="1">IFERROR(__xludf.DUMMYFUNCTION("""COMPUTED_VALUE"""),"Yes")</f>
        <v>Yes</v>
      </c>
      <c r="AB162" s="5" t="str">
        <f ca="1">IFERROR(__xludf.DUMMYFUNCTION("""COMPUTED_VALUE"""),"Yes")</f>
        <v>Yes</v>
      </c>
      <c r="AC162" s="5" t="str">
        <f ca="1">IFERROR(__xludf.DUMMYFUNCTION("""COMPUTED_VALUE"""),"Yes")</f>
        <v>Yes</v>
      </c>
      <c r="AD162" s="5" t="str">
        <f ca="1">IFERROR(__xludf.DUMMYFUNCTION("""COMPUTED_VALUE"""),"Yes")</f>
        <v>Yes</v>
      </c>
      <c r="AE162" s="5" t="str">
        <f ca="1">IFERROR(__xludf.DUMMYFUNCTION("""COMPUTED_VALUE"""),"Yes")</f>
        <v>Yes</v>
      </c>
      <c r="AF162" s="5" t="str">
        <f ca="1">IFERROR(__xludf.DUMMYFUNCTION("""COMPUTED_VALUE"""),"Yes")</f>
        <v>Yes</v>
      </c>
      <c r="AG162" s="5" t="str">
        <f ca="1">IFERROR(__xludf.DUMMYFUNCTION("""COMPUTED_VALUE"""),"Yes")</f>
        <v>Yes</v>
      </c>
      <c r="AH162" s="5" t="str">
        <f ca="1">IFERROR(__xludf.DUMMYFUNCTION("""COMPUTED_VALUE"""),"Yes")</f>
        <v>Yes</v>
      </c>
      <c r="AI162" s="5" t="str">
        <f ca="1">IFERROR(__xludf.DUMMYFUNCTION("""COMPUTED_VALUE"""),"Yes")</f>
        <v>Yes</v>
      </c>
      <c r="AJ162" s="5" t="str">
        <f ca="1">IFERROR(__xludf.DUMMYFUNCTION("""COMPUTED_VALUE"""),"Yes")</f>
        <v>Yes</v>
      </c>
      <c r="AK162" s="5" t="str">
        <f ca="1">IFERROR(__xludf.DUMMYFUNCTION("""COMPUTED_VALUE"""),"Yes")</f>
        <v>Yes</v>
      </c>
      <c r="AL162" s="5" t="str">
        <f ca="1">IFERROR(__xludf.DUMMYFUNCTION("""COMPUTED_VALUE"""),"Yes")</f>
        <v>Yes</v>
      </c>
      <c r="AM162" s="5" t="str">
        <f ca="1">IFERROR(__xludf.DUMMYFUNCTION("""COMPUTED_VALUE"""),"Yes")</f>
        <v>Yes</v>
      </c>
      <c r="AN162" s="5" t="str">
        <f ca="1">IFERROR(__xludf.DUMMYFUNCTION("""COMPUTED_VALUE"""),"Yes")</f>
        <v>Yes</v>
      </c>
      <c r="AO162" s="5" t="str">
        <f ca="1">IFERROR(__xludf.DUMMYFUNCTION("""COMPUTED_VALUE"""),"Yes")</f>
        <v>Yes</v>
      </c>
      <c r="AP162" s="5" t="str">
        <f ca="1">IFERROR(__xludf.DUMMYFUNCTION("""COMPUTED_VALUE"""),"Yes")</f>
        <v>Yes</v>
      </c>
      <c r="AQ162" s="5" t="str">
        <f ca="1">IFERROR(__xludf.DUMMYFUNCTION("""COMPUTED_VALUE"""),"Yes")</f>
        <v>Yes</v>
      </c>
      <c r="AR162" s="5" t="str">
        <f ca="1">IFERROR(__xludf.DUMMYFUNCTION("""COMPUTED_VALUE"""),"Yes")</f>
        <v>Yes</v>
      </c>
      <c r="AS162" s="5" t="str">
        <f ca="1">IFERROR(__xludf.DUMMYFUNCTION("""COMPUTED_VALUE"""),"Yes")</f>
        <v>Yes</v>
      </c>
      <c r="AT162" s="5" t="str">
        <f ca="1">IFERROR(__xludf.DUMMYFUNCTION("""COMPUTED_VALUE"""),"No")</f>
        <v>No</v>
      </c>
      <c r="AU162" s="5"/>
    </row>
    <row r="163" spans="1:47" x14ac:dyDescent="0.25">
      <c r="A163" s="5" t="str">
        <f ca="1">IFERROR(__xludf.DUMMYFUNCTION("""COMPUTED_VALUE"""),"Foxi")</f>
        <v>Foxi</v>
      </c>
      <c r="B163" s="5" t="str">
        <f ca="1">IFERROR(__xludf.DUMMYFUNCTION("""COMPUTED_VALUE"""),"Epic Crown 5 Booster")</f>
        <v>Epic Crown 5 Booster</v>
      </c>
      <c r="C163" s="5" t="str">
        <f ca="1">IFERROR(__xludf.DUMMYFUNCTION("""COMPUTED_VALUE"""),"EpicCrown5Booster")</f>
        <v>EpicCrown5Booster</v>
      </c>
      <c r="D163" s="6">
        <f ca="1">IFERROR(__xludf.DUMMYFUNCTION("""COMPUTED_VALUE"""),45827)</f>
        <v>45827</v>
      </c>
      <c r="E163" s="5" t="str">
        <f ca="1">IFERROR(__xludf.DUMMYFUNCTION("""COMPUTED_VALUE"""),"Slot")</f>
        <v>Slot</v>
      </c>
      <c r="F163" s="5">
        <f ca="1">IFERROR(__xludf.DUMMYFUNCTION("""COMPUTED_VALUE"""),24.8)</f>
        <v>24.8</v>
      </c>
      <c r="G163" s="5" t="str">
        <f ca="1">IFERROR(__xludf.DUMMYFUNCTION("""COMPUTED_VALUE"""),"5x3")</f>
        <v>5x3</v>
      </c>
      <c r="H163" s="5">
        <f ca="1">IFERROR(__xludf.DUMMYFUNCTION("""COMPUTED_VALUE"""),5)</f>
        <v>5</v>
      </c>
      <c r="I163" s="5">
        <f ca="1">IFERROR(__xludf.DUMMYFUNCTION("""COMPUTED_VALUE"""),5)</f>
        <v>5</v>
      </c>
      <c r="J163" s="5" t="str">
        <f ca="1">IFERROR(__xludf.DUMMYFUNCTION("""COMPUTED_VALUE"""),"95.962%")</f>
        <v>95.962%</v>
      </c>
      <c r="K163" s="5" t="str">
        <f ca="1">IFERROR(__xludf.DUMMYFUNCTION("""COMPUTED_VALUE"""),"Medium")</f>
        <v>Medium</v>
      </c>
      <c r="L163" s="5" t="str">
        <f ca="1">IFERROR(__xludf.DUMMYFUNCTION("""COMPUTED_VALUE"""),"12.26%")</f>
        <v>12.26%</v>
      </c>
      <c r="M163" s="5" t="str">
        <f ca="1">IFERROR(__xludf.DUMMYFUNCTION("""COMPUTED_VALUE"""),"x2018")</f>
        <v>x2018</v>
      </c>
      <c r="N163" s="5" t="str">
        <f ca="1">IFERROR(__xludf.DUMMYFUNCTION("""COMPUTED_VALUE"""),"0.1/50")</f>
        <v>0.1/50</v>
      </c>
      <c r="O163" s="5" t="str">
        <f ca="1">IFERROR(__xludf.DUMMYFUNCTION("""COMPUTED_VALUE"""),"Yes")</f>
        <v>Yes</v>
      </c>
      <c r="P163" s="5" t="str">
        <f ca="1">IFERROR(__xludf.DUMMYFUNCTION("""COMPUTED_VALUE"""),"Scatter, Expanding Wild, Buy Feature")</f>
        <v>Scatter, Expanding Wild, Buy Feature</v>
      </c>
      <c r="Q163" s="7" t="str">
        <f ca="1">IFERROR(__xludf.DUMMYFUNCTION("""COMPUTED_VALUE"""),"https://gameserver-store-client-area.orbionlimited.com/Home/IntegrationGameLaunch/client-area?moneyType=0&amp;gameName=EpicCrown5Booster&amp;platform=desktop&amp;languageCode=eng&amp;currency=EUR")</f>
        <v>https://gameserver-store-client-area.orbionlimited.com/Home/IntegrationGameLaunch/client-area?moneyType=0&amp;gameName=EpicCrown5Booster&amp;platform=desktop&amp;languageCode=eng&amp;currency=EUR</v>
      </c>
      <c r="R163" s="5" t="str">
        <f ca="1">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S1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163" s="5" t="str">
        <f ca="1">IFERROR(__xludf.DUMMYFUNCTION("""COMPUTED_VALUE"""),"Yes")</f>
        <v>Yes</v>
      </c>
      <c r="U163" s="5" t="str">
        <f ca="1">IFERROR(__xludf.DUMMYFUNCTION("""COMPUTED_VALUE"""),"Yes")</f>
        <v>Yes</v>
      </c>
      <c r="V163" s="5" t="str">
        <f ca="1">IFERROR(__xludf.DUMMYFUNCTION("""COMPUTED_VALUE"""),"Yes")</f>
        <v>Yes</v>
      </c>
      <c r="W163" s="5" t="str">
        <f ca="1">IFERROR(__xludf.DUMMYFUNCTION("""COMPUTED_VALUE"""),"Yes")</f>
        <v>Yes</v>
      </c>
      <c r="X163" s="5" t="str">
        <f ca="1">IFERROR(__xludf.DUMMYFUNCTION("""COMPUTED_VALUE"""),"Yes")</f>
        <v>Yes</v>
      </c>
      <c r="Y163" s="5" t="str">
        <f ca="1">IFERROR(__xludf.DUMMYFUNCTION("""COMPUTED_VALUE"""),"Yes")</f>
        <v>Yes</v>
      </c>
      <c r="Z163" s="5" t="str">
        <f ca="1">IFERROR(__xludf.DUMMYFUNCTION("""COMPUTED_VALUE"""),"Yes")</f>
        <v>Yes</v>
      </c>
      <c r="AA163" s="5" t="str">
        <f ca="1">IFERROR(__xludf.DUMMYFUNCTION("""COMPUTED_VALUE"""),"Yes")</f>
        <v>Yes</v>
      </c>
      <c r="AB163" s="5" t="str">
        <f ca="1">IFERROR(__xludf.DUMMYFUNCTION("""COMPUTED_VALUE"""),"Yes")</f>
        <v>Yes</v>
      </c>
      <c r="AC163" s="5" t="str">
        <f ca="1">IFERROR(__xludf.DUMMYFUNCTION("""COMPUTED_VALUE"""),"Yes")</f>
        <v>Yes</v>
      </c>
      <c r="AD163" s="5" t="str">
        <f ca="1">IFERROR(__xludf.DUMMYFUNCTION("""COMPUTED_VALUE"""),"Yes")</f>
        <v>Yes</v>
      </c>
      <c r="AE163" s="5" t="str">
        <f ca="1">IFERROR(__xludf.DUMMYFUNCTION("""COMPUTED_VALUE"""),"Yes")</f>
        <v>Yes</v>
      </c>
      <c r="AF163" s="5" t="str">
        <f ca="1">IFERROR(__xludf.DUMMYFUNCTION("""COMPUTED_VALUE"""),"Yes")</f>
        <v>Yes</v>
      </c>
      <c r="AG163" s="5" t="str">
        <f ca="1">IFERROR(__xludf.DUMMYFUNCTION("""COMPUTED_VALUE"""),"Yes")</f>
        <v>Yes</v>
      </c>
      <c r="AH163" s="5" t="str">
        <f ca="1">IFERROR(__xludf.DUMMYFUNCTION("""COMPUTED_VALUE"""),"Yes")</f>
        <v>Yes</v>
      </c>
      <c r="AI163" s="5" t="str">
        <f ca="1">IFERROR(__xludf.DUMMYFUNCTION("""COMPUTED_VALUE"""),"Yes")</f>
        <v>Yes</v>
      </c>
      <c r="AJ163" s="5" t="str">
        <f ca="1">IFERROR(__xludf.DUMMYFUNCTION("""COMPUTED_VALUE"""),"Yes")</f>
        <v>Yes</v>
      </c>
      <c r="AK163" s="5" t="str">
        <f ca="1">IFERROR(__xludf.DUMMYFUNCTION("""COMPUTED_VALUE"""),"Yes")</f>
        <v>Yes</v>
      </c>
      <c r="AL163" s="5" t="str">
        <f ca="1">IFERROR(__xludf.DUMMYFUNCTION("""COMPUTED_VALUE"""),"Yes")</f>
        <v>Yes</v>
      </c>
      <c r="AM163" s="5"/>
      <c r="AN163" s="5"/>
      <c r="AO163" s="5"/>
      <c r="AP163" s="5"/>
      <c r="AQ163" s="5" t="str">
        <f ca="1">IFERROR(__xludf.DUMMYFUNCTION("""COMPUTED_VALUE"""),"Yes")</f>
        <v>Yes</v>
      </c>
      <c r="AR163" s="5"/>
      <c r="AS163" s="5"/>
      <c r="AT163" s="5"/>
      <c r="AU163" s="5"/>
    </row>
    <row r="164" spans="1:47" x14ac:dyDescent="0.25">
      <c r="A164" s="5" t="str">
        <f ca="1">IFERROR(__xludf.DUMMYFUNCTION("""COMPUTED_VALUE"""),"Foxi")</f>
        <v>Foxi</v>
      </c>
      <c r="B164" s="5" t="str">
        <f ca="1">IFERROR(__xludf.DUMMYFUNCTION("""COMPUTED_VALUE"""),"Epic Crown 10 Booster")</f>
        <v>Epic Crown 10 Booster</v>
      </c>
      <c r="C164" s="5" t="str">
        <f ca="1">IFERROR(__xludf.DUMMYFUNCTION("""COMPUTED_VALUE"""),"EpicCrown10Booster")</f>
        <v>EpicCrown10Booster</v>
      </c>
      <c r="D164" s="6">
        <f ca="1">IFERROR(__xludf.DUMMYFUNCTION("""COMPUTED_VALUE"""),45819)</f>
        <v>45819</v>
      </c>
      <c r="E164" s="5" t="str">
        <f ca="1">IFERROR(__xludf.DUMMYFUNCTION("""COMPUTED_VALUE"""),"Slot")</f>
        <v>Slot</v>
      </c>
      <c r="F164" s="5">
        <f ca="1">IFERROR(__xludf.DUMMYFUNCTION("""COMPUTED_VALUE"""),24.5)</f>
        <v>24.5</v>
      </c>
      <c r="G164" s="5" t="str">
        <f ca="1">IFERROR(__xludf.DUMMYFUNCTION("""COMPUTED_VALUE"""),"5x3")</f>
        <v>5x3</v>
      </c>
      <c r="H164" s="5">
        <f ca="1">IFERROR(__xludf.DUMMYFUNCTION("""COMPUTED_VALUE"""),10)</f>
        <v>10</v>
      </c>
      <c r="I164" s="5">
        <f ca="1">IFERROR(__xludf.DUMMYFUNCTION("""COMPUTED_VALUE"""),10)</f>
        <v>10</v>
      </c>
      <c r="J164" s="5" t="str">
        <f ca="1">IFERROR(__xludf.DUMMYFUNCTION("""COMPUTED_VALUE"""),"95.96%")</f>
        <v>95.96%</v>
      </c>
      <c r="K164" s="5" t="str">
        <f ca="1">IFERROR(__xludf.DUMMYFUNCTION("""COMPUTED_VALUE"""),"Medium")</f>
        <v>Medium</v>
      </c>
      <c r="L164" s="5" t="str">
        <f ca="1">IFERROR(__xludf.DUMMYFUNCTION("""COMPUTED_VALUE"""),"14.63%")</f>
        <v>14.63%</v>
      </c>
      <c r="M164" s="5" t="str">
        <f ca="1">IFERROR(__xludf.DUMMYFUNCTION("""COMPUTED_VALUE"""),"x1538")</f>
        <v>x1538</v>
      </c>
      <c r="N164" s="5" t="str">
        <f ca="1">IFERROR(__xludf.DUMMYFUNCTION("""COMPUTED_VALUE"""),"01/50")</f>
        <v>01/50</v>
      </c>
      <c r="O164" s="5" t="str">
        <f ca="1">IFERROR(__xludf.DUMMYFUNCTION("""COMPUTED_VALUE"""),"Yes")</f>
        <v>Yes</v>
      </c>
      <c r="P164" s="5" t="str">
        <f ca="1">IFERROR(__xludf.DUMMYFUNCTION("""COMPUTED_VALUE"""),"Buy Feature")</f>
        <v>Buy Feature</v>
      </c>
      <c r="Q164" s="7" t="str">
        <f ca="1">IFERROR(__xludf.DUMMYFUNCTION("""COMPUTED_VALUE"""),"https://gameserver-store-client-area.orbionlimited.com/Home/IntegrationGameLaunch/client-area?moneyType=0&amp;gameName=EpicCrown10Booster&amp;platform=desktop&amp;languageCode=eng&amp;currency=EUR")</f>
        <v>https://gameserver-store-client-area.orbionlimited.com/Home/IntegrationGameLaunch/client-area?moneyType=0&amp;gameName=EpicCrown10Booster&amp;platform=desktop&amp;languageCode=eng&amp;currency=EUR</v>
      </c>
      <c r="R164" s="5" t="str">
        <f ca="1">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S1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164" s="5" t="str">
        <f ca="1">IFERROR(__xludf.DUMMYFUNCTION("""COMPUTED_VALUE"""),"Yes")</f>
        <v>Yes</v>
      </c>
      <c r="U164" s="5" t="str">
        <f ca="1">IFERROR(__xludf.DUMMYFUNCTION("""COMPUTED_VALUE"""),"Yes")</f>
        <v>Yes</v>
      </c>
      <c r="V164" s="5" t="str">
        <f ca="1">IFERROR(__xludf.DUMMYFUNCTION("""COMPUTED_VALUE"""),"Yes")</f>
        <v>Yes</v>
      </c>
      <c r="W164" s="5" t="str">
        <f ca="1">IFERROR(__xludf.DUMMYFUNCTION("""COMPUTED_VALUE"""),"Yes")</f>
        <v>Yes</v>
      </c>
      <c r="X164" s="5" t="str">
        <f ca="1">IFERROR(__xludf.DUMMYFUNCTION("""COMPUTED_VALUE"""),"Yes")</f>
        <v>Yes</v>
      </c>
      <c r="Y164" s="5" t="str">
        <f ca="1">IFERROR(__xludf.DUMMYFUNCTION("""COMPUTED_VALUE"""),"Yes")</f>
        <v>Yes</v>
      </c>
      <c r="Z164" s="5" t="str">
        <f ca="1">IFERROR(__xludf.DUMMYFUNCTION("""COMPUTED_VALUE"""),"Yes")</f>
        <v>Yes</v>
      </c>
      <c r="AA164" s="5" t="str">
        <f ca="1">IFERROR(__xludf.DUMMYFUNCTION("""COMPUTED_VALUE"""),"Yes")</f>
        <v>Yes</v>
      </c>
      <c r="AB164" s="5" t="str">
        <f ca="1">IFERROR(__xludf.DUMMYFUNCTION("""COMPUTED_VALUE"""),"Yes")</f>
        <v>Yes</v>
      </c>
      <c r="AC164" s="5" t="str">
        <f ca="1">IFERROR(__xludf.DUMMYFUNCTION("""COMPUTED_VALUE"""),"Yes")</f>
        <v>Yes</v>
      </c>
      <c r="AD164" s="5" t="str">
        <f ca="1">IFERROR(__xludf.DUMMYFUNCTION("""COMPUTED_VALUE"""),"Yes")</f>
        <v>Yes</v>
      </c>
      <c r="AE164" s="5" t="str">
        <f ca="1">IFERROR(__xludf.DUMMYFUNCTION("""COMPUTED_VALUE"""),"Yes")</f>
        <v>Yes</v>
      </c>
      <c r="AF164" s="5" t="str">
        <f ca="1">IFERROR(__xludf.DUMMYFUNCTION("""COMPUTED_VALUE"""),"Yes")</f>
        <v>Yes</v>
      </c>
      <c r="AG164" s="5" t="str">
        <f ca="1">IFERROR(__xludf.DUMMYFUNCTION("""COMPUTED_VALUE"""),"Yes")</f>
        <v>Yes</v>
      </c>
      <c r="AH164" s="5" t="str">
        <f ca="1">IFERROR(__xludf.DUMMYFUNCTION("""COMPUTED_VALUE"""),"Yes")</f>
        <v>Yes</v>
      </c>
      <c r="AI164" s="5" t="str">
        <f ca="1">IFERROR(__xludf.DUMMYFUNCTION("""COMPUTED_VALUE"""),"Yes")</f>
        <v>Yes</v>
      </c>
      <c r="AJ164" s="5" t="str">
        <f ca="1">IFERROR(__xludf.DUMMYFUNCTION("""COMPUTED_VALUE"""),"Yes")</f>
        <v>Yes</v>
      </c>
      <c r="AK164" s="5" t="str">
        <f ca="1">IFERROR(__xludf.DUMMYFUNCTION("""COMPUTED_VALUE"""),"Yes")</f>
        <v>Yes</v>
      </c>
      <c r="AL164" s="5" t="str">
        <f ca="1">IFERROR(__xludf.DUMMYFUNCTION("""COMPUTED_VALUE"""),"Yes")</f>
        <v>Yes</v>
      </c>
      <c r="AM164" s="5"/>
      <c r="AN164" s="5" t="str">
        <f ca="1">IFERROR(__xludf.DUMMYFUNCTION("""COMPUTED_VALUE"""),"Yes")</f>
        <v>Yes</v>
      </c>
      <c r="AO164" s="5"/>
      <c r="AP164" s="5"/>
      <c r="AQ164" s="5" t="str">
        <f ca="1">IFERROR(__xludf.DUMMYFUNCTION("""COMPUTED_VALUE"""),"Yes")</f>
        <v>Yes</v>
      </c>
      <c r="AR164" s="5"/>
      <c r="AS164" s="5"/>
      <c r="AT164" s="5"/>
      <c r="AU164" s="5"/>
    </row>
    <row r="165" spans="1:47" x14ac:dyDescent="0.25">
      <c r="A165" s="5" t="str">
        <f ca="1">IFERROR(__xludf.DUMMYFUNCTION("""COMPUTED_VALUE"""),"Foxi")</f>
        <v>Foxi</v>
      </c>
      <c r="B165" s="5" t="str">
        <f ca="1">IFERROR(__xludf.DUMMYFUNCTION("""COMPUTED_VALUE"""),"Wild Sunflower")</f>
        <v>Wild Sunflower</v>
      </c>
      <c r="C165" s="5" t="str">
        <f ca="1">IFERROR(__xludf.DUMMYFUNCTION("""COMPUTED_VALUE"""),"WildSunflower")</f>
        <v>WildSunflower</v>
      </c>
      <c r="D165" s="6">
        <f ca="1">IFERROR(__xludf.DUMMYFUNCTION("""COMPUTED_VALUE"""),45911)</f>
        <v>45911</v>
      </c>
      <c r="E165" s="5" t="str">
        <f ca="1">IFERROR(__xludf.DUMMYFUNCTION("""COMPUTED_VALUE"""),"Slot")</f>
        <v>Slot</v>
      </c>
      <c r="F165" s="5">
        <f ca="1">IFERROR(__xludf.DUMMYFUNCTION("""COMPUTED_VALUE"""),50)</f>
        <v>50</v>
      </c>
      <c r="G165" s="5" t="str">
        <f ca="1">IFERROR(__xludf.DUMMYFUNCTION("""COMPUTED_VALUE"""),"5x4")</f>
        <v>5x4</v>
      </c>
      <c r="H165" s="5">
        <f ca="1">IFERROR(__xludf.DUMMYFUNCTION("""COMPUTED_VALUE"""),40)</f>
        <v>40</v>
      </c>
      <c r="I165" s="5">
        <f ca="1">IFERROR(__xludf.DUMMYFUNCTION("""COMPUTED_VALUE"""),40)</f>
        <v>40</v>
      </c>
      <c r="J165" s="5" t="str">
        <f ca="1">IFERROR(__xludf.DUMMYFUNCTION("""COMPUTED_VALUE"""),"96.621%")</f>
        <v>96.621%</v>
      </c>
      <c r="K165" s="5" t="str">
        <f ca="1">IFERROR(__xludf.DUMMYFUNCTION("""COMPUTED_VALUE"""),"Medium")</f>
        <v>Medium</v>
      </c>
      <c r="L165" s="5" t="str">
        <f ca="1">IFERROR(__xludf.DUMMYFUNCTION("""COMPUTED_VALUE"""),"11.144%")</f>
        <v>11.144%</v>
      </c>
      <c r="M165" s="5" t="str">
        <f ca="1">IFERROR(__xludf.DUMMYFUNCTION("""COMPUTED_VALUE"""),"x6000")</f>
        <v>x6000</v>
      </c>
      <c r="N165" s="5" t="str">
        <f ca="1">IFERROR(__xludf.DUMMYFUNCTION("""COMPUTED_VALUE"""),"0.4/40")</f>
        <v>0.4/40</v>
      </c>
      <c r="O165" s="5" t="str">
        <f ca="1">IFERROR(__xludf.DUMMYFUNCTION("""COMPUTED_VALUE"""),"Yes")</f>
        <v>Yes</v>
      </c>
      <c r="P165" s="5" t="str">
        <f ca="1">IFERROR(__xludf.DUMMYFUNCTION("""COMPUTED_VALUE"""),"Buy Bonus")</f>
        <v>Buy Bonus</v>
      </c>
      <c r="Q165" s="7" t="str">
        <f ca="1">IFERROR(__xludf.DUMMYFUNCTION("""COMPUTED_VALUE"""),"https://gameserver-store-client-area.orbionlimited.com/Home/IntegrationGameLaunch/client-area?moneyType=0&amp;gameName=WildSunflower&amp;platform=desktop&amp;languageCode=eng&amp;currency=EUR")</f>
        <v>https://gameserver-store-client-area.orbionlimited.com/Home/IntegrationGameLaunch/client-area?moneyType=0&amp;gameName=WildSunflower&amp;platform=desktop&amp;languageCode=eng&amp;currency=EUR</v>
      </c>
      <c r="R165" s="5" t="str">
        <f ca="1">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S1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5" s="5" t="str">
        <f ca="1">IFERROR(__xludf.DUMMYFUNCTION("""COMPUTED_VALUE"""),"Yes")</f>
        <v>Yes</v>
      </c>
      <c r="U165" s="5" t="str">
        <f ca="1">IFERROR(__xludf.DUMMYFUNCTION("""COMPUTED_VALUE"""),"Yes")</f>
        <v>Yes</v>
      </c>
      <c r="V165" s="5" t="str">
        <f ca="1">IFERROR(__xludf.DUMMYFUNCTION("""COMPUTED_VALUE"""),"Yes")</f>
        <v>Yes</v>
      </c>
      <c r="W165" s="5" t="str">
        <f ca="1">IFERROR(__xludf.DUMMYFUNCTION("""COMPUTED_VALUE"""),"Yes")</f>
        <v>Yes</v>
      </c>
      <c r="X165" s="5" t="str">
        <f ca="1">IFERROR(__xludf.DUMMYFUNCTION("""COMPUTED_VALUE"""),"Yes")</f>
        <v>Yes</v>
      </c>
      <c r="Y165" s="5" t="str">
        <f ca="1">IFERROR(__xludf.DUMMYFUNCTION("""COMPUTED_VALUE"""),"Yes")</f>
        <v>Yes</v>
      </c>
      <c r="Z165" s="5" t="str">
        <f ca="1">IFERROR(__xludf.DUMMYFUNCTION("""COMPUTED_VALUE"""),"Yes")</f>
        <v>Yes</v>
      </c>
      <c r="AA165" s="5" t="str">
        <f ca="1">IFERROR(__xludf.DUMMYFUNCTION("""COMPUTED_VALUE"""),"Yes")</f>
        <v>Yes</v>
      </c>
      <c r="AB165" s="5" t="str">
        <f ca="1">IFERROR(__xludf.DUMMYFUNCTION("""COMPUTED_VALUE"""),"Yes")</f>
        <v>Yes</v>
      </c>
      <c r="AC165" s="5" t="str">
        <f ca="1">IFERROR(__xludf.DUMMYFUNCTION("""COMPUTED_VALUE"""),"Yes")</f>
        <v>Yes</v>
      </c>
      <c r="AD165" s="5" t="str">
        <f ca="1">IFERROR(__xludf.DUMMYFUNCTION("""COMPUTED_VALUE"""),"Yes")</f>
        <v>Yes</v>
      </c>
      <c r="AE165" s="5" t="str">
        <f ca="1">IFERROR(__xludf.DUMMYFUNCTION("""COMPUTED_VALUE"""),"Yes")</f>
        <v>Yes</v>
      </c>
      <c r="AF165" s="5" t="str">
        <f ca="1">IFERROR(__xludf.DUMMYFUNCTION("""COMPUTED_VALUE"""),"Yes")</f>
        <v>Yes</v>
      </c>
      <c r="AG165" s="5" t="str">
        <f ca="1">IFERROR(__xludf.DUMMYFUNCTION("""COMPUTED_VALUE"""),"Yes")</f>
        <v>Yes</v>
      </c>
      <c r="AH165" s="5" t="str">
        <f ca="1">IFERROR(__xludf.DUMMYFUNCTION("""COMPUTED_VALUE"""),"Yes")</f>
        <v>Yes</v>
      </c>
      <c r="AI165" s="5" t="str">
        <f ca="1">IFERROR(__xludf.DUMMYFUNCTION("""COMPUTED_VALUE"""),"Yes")</f>
        <v>Yes</v>
      </c>
      <c r="AJ165" s="5" t="str">
        <f ca="1">IFERROR(__xludf.DUMMYFUNCTION("""COMPUTED_VALUE"""),"Yes")</f>
        <v>Yes</v>
      </c>
      <c r="AK165" s="5" t="str">
        <f ca="1">IFERROR(__xludf.DUMMYFUNCTION("""COMPUTED_VALUE"""),"Yes")</f>
        <v>Yes</v>
      </c>
      <c r="AL165" s="5" t="str">
        <f ca="1">IFERROR(__xludf.DUMMYFUNCTION("""COMPUTED_VALUE"""),"Yes")</f>
        <v>Yes</v>
      </c>
      <c r="AM165" s="5" t="str">
        <f ca="1">IFERROR(__xludf.DUMMYFUNCTION("""COMPUTED_VALUE"""),"Yes")</f>
        <v>Yes</v>
      </c>
      <c r="AN165" s="5" t="str">
        <f ca="1">IFERROR(__xludf.DUMMYFUNCTION("""COMPUTED_VALUE"""),"Yes")</f>
        <v>Yes</v>
      </c>
      <c r="AO165" s="5" t="str">
        <f ca="1">IFERROR(__xludf.DUMMYFUNCTION("""COMPUTED_VALUE"""),"Yes")</f>
        <v>Yes</v>
      </c>
      <c r="AP165" s="5" t="str">
        <f ca="1">IFERROR(__xludf.DUMMYFUNCTION("""COMPUTED_VALUE"""),"Yes")</f>
        <v>Yes</v>
      </c>
      <c r="AQ165" s="5" t="str">
        <f ca="1">IFERROR(__xludf.DUMMYFUNCTION("""COMPUTED_VALUE"""),"Yes")</f>
        <v>Yes</v>
      </c>
      <c r="AR165" s="5" t="str">
        <f ca="1">IFERROR(__xludf.DUMMYFUNCTION("""COMPUTED_VALUE"""),"Yes")</f>
        <v>Yes</v>
      </c>
      <c r="AS165" s="5" t="str">
        <f ca="1">IFERROR(__xludf.DUMMYFUNCTION("""COMPUTED_VALUE"""),"Yes")</f>
        <v>Yes</v>
      </c>
      <c r="AT165" s="5" t="str">
        <f ca="1">IFERROR(__xludf.DUMMYFUNCTION("""COMPUTED_VALUE"""),"No")</f>
        <v>No</v>
      </c>
      <c r="AU165" s="5"/>
    </row>
    <row r="166" spans="1:47" x14ac:dyDescent="0.25">
      <c r="A166" s="5" t="str">
        <f ca="1">IFERROR(__xludf.DUMMYFUNCTION("""COMPUTED_VALUE"""),"Foxi")</f>
        <v>Foxi</v>
      </c>
      <c r="B166" s="5" t="str">
        <f ca="1">IFERROR(__xludf.DUMMYFUNCTION("""COMPUTED_VALUE"""),"Golden Crown Max Booster")</f>
        <v>Golden Crown Max Booster</v>
      </c>
      <c r="C166" s="5" t="str">
        <f ca="1">IFERROR(__xludf.DUMMYFUNCTION("""COMPUTED_VALUE"""),"GoldenCrownMaxBooster")</f>
        <v>GoldenCrownMaxBooster</v>
      </c>
      <c r="D166" s="6">
        <f ca="1">IFERROR(__xludf.DUMMYFUNCTION("""COMPUTED_VALUE"""),45855)</f>
        <v>45855</v>
      </c>
      <c r="E166" s="5" t="str">
        <f ca="1">IFERROR(__xludf.DUMMYFUNCTION("""COMPUTED_VALUE"""),"Slot")</f>
        <v>Slot</v>
      </c>
      <c r="F166" s="5">
        <f ca="1">IFERROR(__xludf.DUMMYFUNCTION("""COMPUTED_VALUE"""),19)</f>
        <v>19</v>
      </c>
      <c r="G166" s="5" t="str">
        <f ca="1">IFERROR(__xludf.DUMMYFUNCTION("""COMPUTED_VALUE"""),"5x4")</f>
        <v>5x4</v>
      </c>
      <c r="H166" s="5">
        <f ca="1">IFERROR(__xludf.DUMMYFUNCTION("""COMPUTED_VALUE"""),40)</f>
        <v>40</v>
      </c>
      <c r="I166" s="5">
        <f ca="1">IFERROR(__xludf.DUMMYFUNCTION("""COMPUTED_VALUE"""),40)</f>
        <v>40</v>
      </c>
      <c r="J166" s="5" t="str">
        <f ca="1">IFERROR(__xludf.DUMMYFUNCTION("""COMPUTED_VALUE"""),"96.483%")</f>
        <v>96.483%</v>
      </c>
      <c r="K166" s="5" t="str">
        <f ca="1">IFERROR(__xludf.DUMMYFUNCTION("""COMPUTED_VALUE"""),"High")</f>
        <v>High</v>
      </c>
      <c r="L166" s="5" t="str">
        <f ca="1">IFERROR(__xludf.DUMMYFUNCTION("""COMPUTED_VALUE"""),"12.5%")</f>
        <v>12.5%</v>
      </c>
      <c r="M166" s="5" t="str">
        <f ca="1">IFERROR(__xludf.DUMMYFUNCTION("""COMPUTED_VALUE"""),"x5000")</f>
        <v>x5000</v>
      </c>
      <c r="N166" s="5" t="str">
        <f ca="1">IFERROR(__xludf.DUMMYFUNCTION("""COMPUTED_VALUE"""),"0.4/40")</f>
        <v>0.4/40</v>
      </c>
      <c r="O166" s="5" t="str">
        <f ca="1">IFERROR(__xludf.DUMMYFUNCTION("""COMPUTED_VALUE"""),"Yes")</f>
        <v>Yes</v>
      </c>
      <c r="P166" s="5" t="str">
        <f ca="1">IFERROR(__xludf.DUMMYFUNCTION("""COMPUTED_VALUE"""),"Buy Feature, Expanding Wild, Scatter")</f>
        <v>Buy Feature, Expanding Wild, Scatter</v>
      </c>
      <c r="Q166" s="7" t="str">
        <f ca="1">IFERROR(__xludf.DUMMYFUNCTION("""COMPUTED_VALUE"""),"https://gameserver-store-client-area.orbionlimited.com/Home/IntegrationGameLaunch/client-area?moneyType=0&amp;gameName=GoldenCrownMaxBooster&amp;platform=desktop&amp;languageCode=eng&amp;currency=EUR")</f>
        <v>https://gameserver-store-client-area.orbionlimited.com/Home/IntegrationGameLaunch/client-area?moneyType=0&amp;gameName=GoldenCrownMaxBooster&amp;platform=desktop&amp;languageCode=eng&amp;currency=EUR</v>
      </c>
      <c r="R166" s="5" t="str">
        <f ca="1">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S1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6" s="5" t="str">
        <f ca="1">IFERROR(__xludf.DUMMYFUNCTION("""COMPUTED_VALUE"""),"Yes")</f>
        <v>Yes</v>
      </c>
      <c r="U166" s="5" t="str">
        <f ca="1">IFERROR(__xludf.DUMMYFUNCTION("""COMPUTED_VALUE"""),"Yes")</f>
        <v>Yes</v>
      </c>
      <c r="V166" s="5" t="str">
        <f ca="1">IFERROR(__xludf.DUMMYFUNCTION("""COMPUTED_VALUE"""),"Yes")</f>
        <v>Yes</v>
      </c>
      <c r="W166" s="5" t="str">
        <f ca="1">IFERROR(__xludf.DUMMYFUNCTION("""COMPUTED_VALUE"""),"Yes")</f>
        <v>Yes</v>
      </c>
      <c r="X166" s="5" t="str">
        <f ca="1">IFERROR(__xludf.DUMMYFUNCTION("""COMPUTED_VALUE"""),"Yes")</f>
        <v>Yes</v>
      </c>
      <c r="Y166" s="5" t="str">
        <f ca="1">IFERROR(__xludf.DUMMYFUNCTION("""COMPUTED_VALUE"""),"Yes")</f>
        <v>Yes</v>
      </c>
      <c r="Z166" s="5" t="str">
        <f ca="1">IFERROR(__xludf.DUMMYFUNCTION("""COMPUTED_VALUE"""),"Yes")</f>
        <v>Yes</v>
      </c>
      <c r="AA166" s="5" t="str">
        <f ca="1">IFERROR(__xludf.DUMMYFUNCTION("""COMPUTED_VALUE"""),"Yes")</f>
        <v>Yes</v>
      </c>
      <c r="AB166" s="5" t="str">
        <f ca="1">IFERROR(__xludf.DUMMYFUNCTION("""COMPUTED_VALUE"""),"Yes")</f>
        <v>Yes</v>
      </c>
      <c r="AC166" s="5" t="str">
        <f ca="1">IFERROR(__xludf.DUMMYFUNCTION("""COMPUTED_VALUE"""),"Yes")</f>
        <v>Yes</v>
      </c>
      <c r="AD166" s="5" t="str">
        <f ca="1">IFERROR(__xludf.DUMMYFUNCTION("""COMPUTED_VALUE"""),"Yes")</f>
        <v>Yes</v>
      </c>
      <c r="AE166" s="5" t="str">
        <f ca="1">IFERROR(__xludf.DUMMYFUNCTION("""COMPUTED_VALUE"""),"Yes")</f>
        <v>Yes</v>
      </c>
      <c r="AF166" s="5" t="str">
        <f ca="1">IFERROR(__xludf.DUMMYFUNCTION("""COMPUTED_VALUE"""),"Yes")</f>
        <v>Yes</v>
      </c>
      <c r="AG166" s="5" t="str">
        <f ca="1">IFERROR(__xludf.DUMMYFUNCTION("""COMPUTED_VALUE"""),"Yes")</f>
        <v>Yes</v>
      </c>
      <c r="AH166" s="5" t="str">
        <f ca="1">IFERROR(__xludf.DUMMYFUNCTION("""COMPUTED_VALUE"""),"Yes")</f>
        <v>Yes</v>
      </c>
      <c r="AI166" s="5" t="str">
        <f ca="1">IFERROR(__xludf.DUMMYFUNCTION("""COMPUTED_VALUE"""),"Yes")</f>
        <v>Yes</v>
      </c>
      <c r="AJ166" s="5" t="str">
        <f ca="1">IFERROR(__xludf.DUMMYFUNCTION("""COMPUTED_VALUE"""),"Yes")</f>
        <v>Yes</v>
      </c>
      <c r="AK166" s="5" t="str">
        <f ca="1">IFERROR(__xludf.DUMMYFUNCTION("""COMPUTED_VALUE"""),"Yes")</f>
        <v>Yes</v>
      </c>
      <c r="AL166" s="5" t="str">
        <f ca="1">IFERROR(__xludf.DUMMYFUNCTION("""COMPUTED_VALUE"""),"Yes")</f>
        <v>Yes</v>
      </c>
      <c r="AM166" s="5" t="str">
        <f ca="1">IFERROR(__xludf.DUMMYFUNCTION("""COMPUTED_VALUE"""),"Yes")</f>
        <v>Yes</v>
      </c>
      <c r="AN166" s="5" t="str">
        <f ca="1">IFERROR(__xludf.DUMMYFUNCTION("""COMPUTED_VALUE"""),"Yes")</f>
        <v>Yes</v>
      </c>
      <c r="AO166" s="5" t="str">
        <f ca="1">IFERROR(__xludf.DUMMYFUNCTION("""COMPUTED_VALUE"""),"Yes")</f>
        <v>Yes</v>
      </c>
      <c r="AP166" s="5" t="str">
        <f ca="1">IFERROR(__xludf.DUMMYFUNCTION("""COMPUTED_VALUE"""),"Yes")</f>
        <v>Yes</v>
      </c>
      <c r="AQ166" s="5" t="str">
        <f ca="1">IFERROR(__xludf.DUMMYFUNCTION("""COMPUTED_VALUE"""),"Yes")</f>
        <v>Yes</v>
      </c>
      <c r="AR166" s="5" t="str">
        <f ca="1">IFERROR(__xludf.DUMMYFUNCTION("""COMPUTED_VALUE"""),"Yes")</f>
        <v>Yes</v>
      </c>
      <c r="AS166" s="5" t="str">
        <f ca="1">IFERROR(__xludf.DUMMYFUNCTION("""COMPUTED_VALUE"""),"Yes")</f>
        <v>Yes</v>
      </c>
      <c r="AT166" s="5" t="str">
        <f ca="1">IFERROR(__xludf.DUMMYFUNCTION("""COMPUTED_VALUE"""),"No")</f>
        <v>No</v>
      </c>
      <c r="AU166" s="5"/>
    </row>
    <row r="167" spans="1:47" x14ac:dyDescent="0.25">
      <c r="A167" s="5" t="str">
        <f ca="1">IFERROR(__xludf.DUMMYFUNCTION("""COMPUTED_VALUE"""),"Foxi")</f>
        <v>Foxi</v>
      </c>
      <c r="B167" s="5" t="str">
        <f ca="1">IFERROR(__xludf.DUMMYFUNCTION("""COMPUTED_VALUE"""),"Very Hot 40 Booster")</f>
        <v>Very Hot 40 Booster</v>
      </c>
      <c r="C167" s="5" t="str">
        <f ca="1">IFERROR(__xludf.DUMMYFUNCTION("""COMPUTED_VALUE"""),"VeryHot40Booster")</f>
        <v>VeryHot40Booster</v>
      </c>
      <c r="D167" s="6">
        <f ca="1">IFERROR(__xludf.DUMMYFUNCTION("""COMPUTED_VALUE"""),45848)</f>
        <v>45848</v>
      </c>
      <c r="E167" s="5" t="str">
        <f ca="1">IFERROR(__xludf.DUMMYFUNCTION("""COMPUTED_VALUE"""),"Slot")</f>
        <v>Slot</v>
      </c>
      <c r="F167" s="5">
        <f ca="1">IFERROR(__xludf.DUMMYFUNCTION("""COMPUTED_VALUE"""),18.5)</f>
        <v>18.5</v>
      </c>
      <c r="G167" s="5" t="str">
        <f ca="1">IFERROR(__xludf.DUMMYFUNCTION("""COMPUTED_VALUE"""),"5x3")</f>
        <v>5x3</v>
      </c>
      <c r="H167" s="5">
        <f ca="1">IFERROR(__xludf.DUMMYFUNCTION("""COMPUTED_VALUE"""),40)</f>
        <v>40</v>
      </c>
      <c r="I167" s="5">
        <f ca="1">IFERROR(__xludf.DUMMYFUNCTION("""COMPUTED_VALUE"""),40)</f>
        <v>40</v>
      </c>
      <c r="J167" s="5" t="str">
        <f ca="1">IFERROR(__xludf.DUMMYFUNCTION("""COMPUTED_VALUE"""),"96.53%")</f>
        <v>96.53%</v>
      </c>
      <c r="K167" s="5" t="str">
        <f ca="1">IFERROR(__xludf.DUMMYFUNCTION("""COMPUTED_VALUE"""),"Low")</f>
        <v>Low</v>
      </c>
      <c r="L167" s="5" t="str">
        <f ca="1">IFERROR(__xludf.DUMMYFUNCTION("""COMPUTED_VALUE"""),"23.38%")</f>
        <v>23.38%</v>
      </c>
      <c r="M167" s="5" t="str">
        <f ca="1">IFERROR(__xludf.DUMMYFUNCTION("""COMPUTED_VALUE"""),"x876.75")</f>
        <v>x876.75</v>
      </c>
      <c r="N167" s="5" t="str">
        <f ca="1">IFERROR(__xludf.DUMMYFUNCTION("""COMPUTED_VALUE"""),"0.4/40")</f>
        <v>0.4/40</v>
      </c>
      <c r="O167" s="5" t="str">
        <f ca="1">IFERROR(__xludf.DUMMYFUNCTION("""COMPUTED_VALUE"""),"Yes")</f>
        <v>Yes</v>
      </c>
      <c r="P167" s="5" t="str">
        <f ca="1">IFERROR(__xludf.DUMMYFUNCTION("""COMPUTED_VALUE"""),"Buy Feature")</f>
        <v>Buy Feature</v>
      </c>
      <c r="Q167" s="7" t="str">
        <f ca="1">IFERROR(__xludf.DUMMYFUNCTION("""COMPUTED_VALUE"""),"https://gameserver-store-client-area.orbionlimited.com/Home/IntegrationGameLaunch/client-area?moneyType=0&amp;gameName=VeryHot40Booster&amp;platform=desktop&amp;languageCode=eng&amp;currency=EUR")</f>
        <v>https://gameserver-store-client-area.orbionlimited.com/Home/IntegrationGameLaunch/client-area?moneyType=0&amp;gameName=VeryHot40Booster&amp;platform=desktop&amp;languageCode=eng&amp;currency=EUR</v>
      </c>
      <c r="R167" s="5" t="str">
        <f ca="1">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S1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7" s="5" t="str">
        <f ca="1">IFERROR(__xludf.DUMMYFUNCTION("""COMPUTED_VALUE"""),"Yes")</f>
        <v>Yes</v>
      </c>
      <c r="U167" s="5" t="str">
        <f ca="1">IFERROR(__xludf.DUMMYFUNCTION("""COMPUTED_VALUE"""),"Yes")</f>
        <v>Yes</v>
      </c>
      <c r="V167" s="5" t="str">
        <f ca="1">IFERROR(__xludf.DUMMYFUNCTION("""COMPUTED_VALUE"""),"Yes")</f>
        <v>Yes</v>
      </c>
      <c r="W167" s="5" t="str">
        <f ca="1">IFERROR(__xludf.DUMMYFUNCTION("""COMPUTED_VALUE"""),"Yes")</f>
        <v>Yes</v>
      </c>
      <c r="X167" s="5" t="str">
        <f ca="1">IFERROR(__xludf.DUMMYFUNCTION("""COMPUTED_VALUE"""),"Yes")</f>
        <v>Yes</v>
      </c>
      <c r="Y167" s="5" t="str">
        <f ca="1">IFERROR(__xludf.DUMMYFUNCTION("""COMPUTED_VALUE"""),"Yes")</f>
        <v>Yes</v>
      </c>
      <c r="Z167" s="5" t="str">
        <f ca="1">IFERROR(__xludf.DUMMYFUNCTION("""COMPUTED_VALUE"""),"Yes")</f>
        <v>Yes</v>
      </c>
      <c r="AA167" s="5" t="str">
        <f ca="1">IFERROR(__xludf.DUMMYFUNCTION("""COMPUTED_VALUE"""),"Yes")</f>
        <v>Yes</v>
      </c>
      <c r="AB167" s="5" t="str">
        <f ca="1">IFERROR(__xludf.DUMMYFUNCTION("""COMPUTED_VALUE"""),"Yes")</f>
        <v>Yes</v>
      </c>
      <c r="AC167" s="5" t="str">
        <f ca="1">IFERROR(__xludf.DUMMYFUNCTION("""COMPUTED_VALUE"""),"Yes")</f>
        <v>Yes</v>
      </c>
      <c r="AD167" s="5" t="str">
        <f ca="1">IFERROR(__xludf.DUMMYFUNCTION("""COMPUTED_VALUE"""),"Yes")</f>
        <v>Yes</v>
      </c>
      <c r="AE167" s="5" t="str">
        <f ca="1">IFERROR(__xludf.DUMMYFUNCTION("""COMPUTED_VALUE"""),"Yes")</f>
        <v>Yes</v>
      </c>
      <c r="AF167" s="5" t="str">
        <f ca="1">IFERROR(__xludf.DUMMYFUNCTION("""COMPUTED_VALUE"""),"Yes")</f>
        <v>Yes</v>
      </c>
      <c r="AG167" s="5" t="str">
        <f ca="1">IFERROR(__xludf.DUMMYFUNCTION("""COMPUTED_VALUE"""),"Yes")</f>
        <v>Yes</v>
      </c>
      <c r="AH167" s="5" t="str">
        <f ca="1">IFERROR(__xludf.DUMMYFUNCTION("""COMPUTED_VALUE"""),"Yes")</f>
        <v>Yes</v>
      </c>
      <c r="AI167" s="5" t="str">
        <f ca="1">IFERROR(__xludf.DUMMYFUNCTION("""COMPUTED_VALUE"""),"Yes")</f>
        <v>Yes</v>
      </c>
      <c r="AJ167" s="5" t="str">
        <f ca="1">IFERROR(__xludf.DUMMYFUNCTION("""COMPUTED_VALUE"""),"Yes")</f>
        <v>Yes</v>
      </c>
      <c r="AK167" s="5" t="str">
        <f ca="1">IFERROR(__xludf.DUMMYFUNCTION("""COMPUTED_VALUE"""),"Yes")</f>
        <v>Yes</v>
      </c>
      <c r="AL167" s="5" t="str">
        <f ca="1">IFERROR(__xludf.DUMMYFUNCTION("""COMPUTED_VALUE"""),"Yes")</f>
        <v>Yes</v>
      </c>
      <c r="AM167" s="5" t="str">
        <f ca="1">IFERROR(__xludf.DUMMYFUNCTION("""COMPUTED_VALUE"""),"Yes")</f>
        <v>Yes</v>
      </c>
      <c r="AN167" s="5" t="str">
        <f ca="1">IFERROR(__xludf.DUMMYFUNCTION("""COMPUTED_VALUE"""),"Yes")</f>
        <v>Yes</v>
      </c>
      <c r="AO167" s="5" t="str">
        <f ca="1">IFERROR(__xludf.DUMMYFUNCTION("""COMPUTED_VALUE"""),"Yes")</f>
        <v>Yes</v>
      </c>
      <c r="AP167" s="5" t="str">
        <f ca="1">IFERROR(__xludf.DUMMYFUNCTION("""COMPUTED_VALUE"""),"Yes")</f>
        <v>Yes</v>
      </c>
      <c r="AQ167" s="5" t="str">
        <f ca="1">IFERROR(__xludf.DUMMYFUNCTION("""COMPUTED_VALUE"""),"Yes")</f>
        <v>Yes</v>
      </c>
      <c r="AR167" s="5" t="str">
        <f ca="1">IFERROR(__xludf.DUMMYFUNCTION("""COMPUTED_VALUE"""),"Yes")</f>
        <v>Yes</v>
      </c>
      <c r="AS167" s="5" t="str">
        <f ca="1">IFERROR(__xludf.DUMMYFUNCTION("""COMPUTED_VALUE"""),"Yes")</f>
        <v>Yes</v>
      </c>
      <c r="AT167" s="5" t="str">
        <f ca="1">IFERROR(__xludf.DUMMYFUNCTION("""COMPUTED_VALUE"""),"No")</f>
        <v>No</v>
      </c>
      <c r="AU167" s="5"/>
    </row>
    <row r="168" spans="1:47" x14ac:dyDescent="0.25">
      <c r="A168" s="5" t="str">
        <f ca="1">IFERROR(__xludf.DUMMYFUNCTION("""COMPUTED_VALUE"""),"Foxi")</f>
        <v>Foxi</v>
      </c>
      <c r="B168" s="5" t="str">
        <f ca="1">IFERROR(__xludf.DUMMYFUNCTION("""COMPUTED_VALUE"""),"Golden Crown 40 Booster")</f>
        <v>Golden Crown 40 Booster</v>
      </c>
      <c r="C168" s="5" t="str">
        <f ca="1">IFERROR(__xludf.DUMMYFUNCTION("""COMPUTED_VALUE"""),"GoldenCrown40Booster")</f>
        <v>GoldenCrown40Booster</v>
      </c>
      <c r="D168" s="6">
        <f ca="1">IFERROR(__xludf.DUMMYFUNCTION("""COMPUTED_VALUE"""),45883)</f>
        <v>45883</v>
      </c>
      <c r="E168" s="5" t="str">
        <f ca="1">IFERROR(__xludf.DUMMYFUNCTION("""COMPUTED_VALUE"""),"Slot")</f>
        <v>Slot</v>
      </c>
      <c r="F168" s="5">
        <f ca="1">IFERROR(__xludf.DUMMYFUNCTION("""COMPUTED_VALUE"""),17.4)</f>
        <v>17.399999999999999</v>
      </c>
      <c r="G168" s="5" t="str">
        <f ca="1">IFERROR(__xludf.DUMMYFUNCTION("""COMPUTED_VALUE"""),"5x3")</f>
        <v>5x3</v>
      </c>
      <c r="H168" s="5">
        <f ca="1">IFERROR(__xludf.DUMMYFUNCTION("""COMPUTED_VALUE"""),40)</f>
        <v>40</v>
      </c>
      <c r="I168" s="5">
        <f ca="1">IFERROR(__xludf.DUMMYFUNCTION("""COMPUTED_VALUE"""),40)</f>
        <v>40</v>
      </c>
      <c r="J168" s="5" t="str">
        <f ca="1">IFERROR(__xludf.DUMMYFUNCTION("""COMPUTED_VALUE"""),"95.962%")</f>
        <v>95.962%</v>
      </c>
      <c r="K168" s="5" t="str">
        <f ca="1">IFERROR(__xludf.DUMMYFUNCTION("""COMPUTED_VALUE"""),"Medium")</f>
        <v>Medium</v>
      </c>
      <c r="L168" s="5" t="str">
        <f ca="1">IFERROR(__xludf.DUMMYFUNCTION("""COMPUTED_VALUE"""),"18.35%")</f>
        <v>18.35%</v>
      </c>
      <c r="M168" s="5" t="str">
        <f ca="1">IFERROR(__xludf.DUMMYFUNCTION("""COMPUTED_VALUE"""),"x1420.25")</f>
        <v>x1420.25</v>
      </c>
      <c r="N168" s="5" t="str">
        <f ca="1">IFERROR(__xludf.DUMMYFUNCTION("""COMPUTED_VALUE"""),"0.4/50")</f>
        <v>0.4/50</v>
      </c>
      <c r="O168" s="5" t="str">
        <f ca="1">IFERROR(__xludf.DUMMYFUNCTION("""COMPUTED_VALUE"""),"Yes")</f>
        <v>Yes</v>
      </c>
      <c r="P168" s="5" t="str">
        <f ca="1">IFERROR(__xludf.DUMMYFUNCTION("""COMPUTED_VALUE"""),"Expanding Wild, Scatter, Buy Feature")</f>
        <v>Expanding Wild, Scatter, Buy Feature</v>
      </c>
      <c r="Q168" s="7" t="str">
        <f ca="1">IFERROR(__xludf.DUMMYFUNCTION("""COMPUTED_VALUE"""),"https://gameserver-store-client-area.orbionlimited.com/Home/IntegrationGameLaunch/client-area?moneyType=0&amp;gameName=GoldenCrown40Booster&amp;platform=desktop&amp;languageCode=eng&amp;currency=EUR")</f>
        <v>https://gameserver-store-client-area.orbionlimited.com/Home/IntegrationGameLaunch/client-area?moneyType=0&amp;gameName=GoldenCrown40Booster&amp;platform=desktop&amp;languageCode=eng&amp;currency=EUR</v>
      </c>
      <c r="R168" s="5" t="str">
        <f ca="1">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S1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8" s="5" t="str">
        <f ca="1">IFERROR(__xludf.DUMMYFUNCTION("""COMPUTED_VALUE"""),"Yes")</f>
        <v>Yes</v>
      </c>
      <c r="U168" s="5" t="str">
        <f ca="1">IFERROR(__xludf.DUMMYFUNCTION("""COMPUTED_VALUE"""),"Yes")</f>
        <v>Yes</v>
      </c>
      <c r="V168" s="5" t="str">
        <f ca="1">IFERROR(__xludf.DUMMYFUNCTION("""COMPUTED_VALUE"""),"Yes")</f>
        <v>Yes</v>
      </c>
      <c r="W168" s="5" t="str">
        <f ca="1">IFERROR(__xludf.DUMMYFUNCTION("""COMPUTED_VALUE"""),"Yes")</f>
        <v>Yes</v>
      </c>
      <c r="X168" s="5" t="str">
        <f ca="1">IFERROR(__xludf.DUMMYFUNCTION("""COMPUTED_VALUE"""),"Yes")</f>
        <v>Yes</v>
      </c>
      <c r="Y168" s="5" t="str">
        <f ca="1">IFERROR(__xludf.DUMMYFUNCTION("""COMPUTED_VALUE"""),"Yes")</f>
        <v>Yes</v>
      </c>
      <c r="Z168" s="5" t="str">
        <f ca="1">IFERROR(__xludf.DUMMYFUNCTION("""COMPUTED_VALUE"""),"Yes")</f>
        <v>Yes</v>
      </c>
      <c r="AA168" s="5" t="str">
        <f ca="1">IFERROR(__xludf.DUMMYFUNCTION("""COMPUTED_VALUE"""),"Yes")</f>
        <v>Yes</v>
      </c>
      <c r="AB168" s="5" t="str">
        <f ca="1">IFERROR(__xludf.DUMMYFUNCTION("""COMPUTED_VALUE"""),"Yes")</f>
        <v>Yes</v>
      </c>
      <c r="AC168" s="5" t="str">
        <f ca="1">IFERROR(__xludf.DUMMYFUNCTION("""COMPUTED_VALUE"""),"Yes")</f>
        <v>Yes</v>
      </c>
      <c r="AD168" s="5" t="str">
        <f ca="1">IFERROR(__xludf.DUMMYFUNCTION("""COMPUTED_VALUE"""),"Yes")</f>
        <v>Yes</v>
      </c>
      <c r="AE168" s="5" t="str">
        <f ca="1">IFERROR(__xludf.DUMMYFUNCTION("""COMPUTED_VALUE"""),"Yes")</f>
        <v>Yes</v>
      </c>
      <c r="AF168" s="5" t="str">
        <f ca="1">IFERROR(__xludf.DUMMYFUNCTION("""COMPUTED_VALUE"""),"Yes")</f>
        <v>Yes</v>
      </c>
      <c r="AG168" s="5" t="str">
        <f ca="1">IFERROR(__xludf.DUMMYFUNCTION("""COMPUTED_VALUE"""),"Yes")</f>
        <v>Yes</v>
      </c>
      <c r="AH168" s="5" t="str">
        <f ca="1">IFERROR(__xludf.DUMMYFUNCTION("""COMPUTED_VALUE"""),"Yes")</f>
        <v>Yes</v>
      </c>
      <c r="AI168" s="5" t="str">
        <f ca="1">IFERROR(__xludf.DUMMYFUNCTION("""COMPUTED_VALUE"""),"Yes")</f>
        <v>Yes</v>
      </c>
      <c r="AJ168" s="5" t="str">
        <f ca="1">IFERROR(__xludf.DUMMYFUNCTION("""COMPUTED_VALUE"""),"Yes")</f>
        <v>Yes</v>
      </c>
      <c r="AK168" s="5" t="str">
        <f ca="1">IFERROR(__xludf.DUMMYFUNCTION("""COMPUTED_VALUE"""),"Yes")</f>
        <v>Yes</v>
      </c>
      <c r="AL168" s="5" t="str">
        <f ca="1">IFERROR(__xludf.DUMMYFUNCTION("""COMPUTED_VALUE"""),"Yes")</f>
        <v>Yes</v>
      </c>
      <c r="AM168" s="5" t="str">
        <f ca="1">IFERROR(__xludf.DUMMYFUNCTION("""COMPUTED_VALUE"""),"Yes")</f>
        <v>Yes</v>
      </c>
      <c r="AN168" s="5" t="str">
        <f ca="1">IFERROR(__xludf.DUMMYFUNCTION("""COMPUTED_VALUE"""),"Yes")</f>
        <v>Yes</v>
      </c>
      <c r="AO168" s="5" t="str">
        <f ca="1">IFERROR(__xludf.DUMMYFUNCTION("""COMPUTED_VALUE"""),"Yes")</f>
        <v>Yes</v>
      </c>
      <c r="AP168" s="5" t="str">
        <f ca="1">IFERROR(__xludf.DUMMYFUNCTION("""COMPUTED_VALUE"""),"Yes")</f>
        <v>Yes</v>
      </c>
      <c r="AQ168" s="5" t="str">
        <f ca="1">IFERROR(__xludf.DUMMYFUNCTION("""COMPUTED_VALUE"""),"Yes")</f>
        <v>Yes</v>
      </c>
      <c r="AR168" s="5" t="str">
        <f ca="1">IFERROR(__xludf.DUMMYFUNCTION("""COMPUTED_VALUE"""),"Yes")</f>
        <v>Yes</v>
      </c>
      <c r="AS168" s="5" t="str">
        <f ca="1">IFERROR(__xludf.DUMMYFUNCTION("""COMPUTED_VALUE"""),"Yes")</f>
        <v>Yes</v>
      </c>
      <c r="AT168" s="5" t="str">
        <f ca="1">IFERROR(__xludf.DUMMYFUNCTION("""COMPUTED_VALUE"""),"No")</f>
        <v>No</v>
      </c>
      <c r="AU168" s="5"/>
    </row>
    <row r="169" spans="1:47" x14ac:dyDescent="0.25">
      <c r="A169" s="5" t="str">
        <f ca="1">IFERROR(__xludf.DUMMYFUNCTION("""COMPUTED_VALUE"""),"Foxi")</f>
        <v>Foxi</v>
      </c>
      <c r="B169" s="5" t="str">
        <f ca="1">IFERROR(__xludf.DUMMYFUNCTION("""COMPUTED_VALUE"""),"Brilliant Heart Booster")</f>
        <v>Brilliant Heart Booster</v>
      </c>
      <c r="C169" s="5" t="str">
        <f ca="1">IFERROR(__xludf.DUMMYFUNCTION("""COMPUTED_VALUE"""),"BrilliantHeartBooster")</f>
        <v>BrilliantHeartBooster</v>
      </c>
      <c r="D169" s="6">
        <f ca="1">IFERROR(__xludf.DUMMYFUNCTION("""COMPUTED_VALUE"""),45904)</f>
        <v>45904</v>
      </c>
      <c r="E169" s="5" t="str">
        <f ca="1">IFERROR(__xludf.DUMMYFUNCTION("""COMPUTED_VALUE"""),"Slot")</f>
        <v>Slot</v>
      </c>
      <c r="F169" s="5">
        <f ca="1">IFERROR(__xludf.DUMMYFUNCTION("""COMPUTED_VALUE"""),25.3)</f>
        <v>25.3</v>
      </c>
      <c r="G169" s="5" t="str">
        <f ca="1">IFERROR(__xludf.DUMMYFUNCTION("""COMPUTED_VALUE"""),"5x4")</f>
        <v>5x4</v>
      </c>
      <c r="H169" s="5">
        <f ca="1">IFERROR(__xludf.DUMMYFUNCTION("""COMPUTED_VALUE"""),40)</f>
        <v>40</v>
      </c>
      <c r="I169" s="5">
        <f ca="1">IFERROR(__xludf.DUMMYFUNCTION("""COMPUTED_VALUE"""),40)</f>
        <v>40</v>
      </c>
      <c r="J169" s="5" t="str">
        <f ca="1">IFERROR(__xludf.DUMMYFUNCTION("""COMPUTED_VALUE"""),"96.483%")</f>
        <v>96.483%</v>
      </c>
      <c r="K169" s="5" t="str">
        <f ca="1">IFERROR(__xludf.DUMMYFUNCTION("""COMPUTED_VALUE"""),"High")</f>
        <v>High</v>
      </c>
      <c r="L169" s="5" t="str">
        <f ca="1">IFERROR(__xludf.DUMMYFUNCTION("""COMPUTED_VALUE"""),"12.5%")</f>
        <v>12.5%</v>
      </c>
      <c r="M169" s="5" t="str">
        <f ca="1">IFERROR(__xludf.DUMMYFUNCTION("""COMPUTED_VALUE"""),"x5000")</f>
        <v>x5000</v>
      </c>
      <c r="N169" s="5" t="str">
        <f ca="1">IFERROR(__xludf.DUMMYFUNCTION("""COMPUTED_VALUE"""),"0.4/60")</f>
        <v>0.4/60</v>
      </c>
      <c r="O169" s="5" t="str">
        <f ca="1">IFERROR(__xludf.DUMMYFUNCTION("""COMPUTED_VALUE"""),"Yes")</f>
        <v>Yes</v>
      </c>
      <c r="P169" s="5" t="str">
        <f ca="1">IFERROR(__xludf.DUMMYFUNCTION("""COMPUTED_VALUE"""),"Buy Feature")</f>
        <v>Buy Feature</v>
      </c>
      <c r="Q169" s="7" t="str">
        <f ca="1">IFERROR(__xludf.DUMMYFUNCTION("""COMPUTED_VALUE"""),"https://gameserver-store-client-area.orbionlimited.com/Home/IntegrationGameLaunch/client-area?moneyType=0&amp;gameName=BrilliantHeartBooster&amp;platform=desktop&amp;languageCode=eng&amp;currency=EUR")</f>
        <v>https://gameserver-store-client-area.orbionlimited.com/Home/IntegrationGameLaunch/client-area?moneyType=0&amp;gameName=BrilliantHeartBooster&amp;platform=desktop&amp;languageCode=eng&amp;currency=EUR</v>
      </c>
      <c r="R169" s="5" t="str">
        <f ca="1">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S1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9" s="5" t="str">
        <f ca="1">IFERROR(__xludf.DUMMYFUNCTION("""COMPUTED_VALUE"""),"Yes")</f>
        <v>Yes</v>
      </c>
      <c r="U169" s="5" t="str">
        <f ca="1">IFERROR(__xludf.DUMMYFUNCTION("""COMPUTED_VALUE"""),"Yes")</f>
        <v>Yes</v>
      </c>
      <c r="V169" s="5" t="str">
        <f ca="1">IFERROR(__xludf.DUMMYFUNCTION("""COMPUTED_VALUE"""),"Yes")</f>
        <v>Yes</v>
      </c>
      <c r="W169" s="5" t="str">
        <f ca="1">IFERROR(__xludf.DUMMYFUNCTION("""COMPUTED_VALUE"""),"Yes")</f>
        <v>Yes</v>
      </c>
      <c r="X169" s="5" t="str">
        <f ca="1">IFERROR(__xludf.DUMMYFUNCTION("""COMPUTED_VALUE"""),"Yes")</f>
        <v>Yes</v>
      </c>
      <c r="Y169" s="5" t="str">
        <f ca="1">IFERROR(__xludf.DUMMYFUNCTION("""COMPUTED_VALUE"""),"Yes")</f>
        <v>Yes</v>
      </c>
      <c r="Z169" s="5" t="str">
        <f ca="1">IFERROR(__xludf.DUMMYFUNCTION("""COMPUTED_VALUE"""),"Yes")</f>
        <v>Yes</v>
      </c>
      <c r="AA169" s="5" t="str">
        <f ca="1">IFERROR(__xludf.DUMMYFUNCTION("""COMPUTED_VALUE"""),"Yes")</f>
        <v>Yes</v>
      </c>
      <c r="AB169" s="5" t="str">
        <f ca="1">IFERROR(__xludf.DUMMYFUNCTION("""COMPUTED_VALUE"""),"Yes")</f>
        <v>Yes</v>
      </c>
      <c r="AC169" s="5" t="str">
        <f ca="1">IFERROR(__xludf.DUMMYFUNCTION("""COMPUTED_VALUE"""),"Yes")</f>
        <v>Yes</v>
      </c>
      <c r="AD169" s="5" t="str">
        <f ca="1">IFERROR(__xludf.DUMMYFUNCTION("""COMPUTED_VALUE"""),"Yes")</f>
        <v>Yes</v>
      </c>
      <c r="AE169" s="5" t="str">
        <f ca="1">IFERROR(__xludf.DUMMYFUNCTION("""COMPUTED_VALUE"""),"Yes")</f>
        <v>Yes</v>
      </c>
      <c r="AF169" s="5" t="str">
        <f ca="1">IFERROR(__xludf.DUMMYFUNCTION("""COMPUTED_VALUE"""),"Yes")</f>
        <v>Yes</v>
      </c>
      <c r="AG169" s="5" t="str">
        <f ca="1">IFERROR(__xludf.DUMMYFUNCTION("""COMPUTED_VALUE"""),"Yes")</f>
        <v>Yes</v>
      </c>
      <c r="AH169" s="5" t="str">
        <f ca="1">IFERROR(__xludf.DUMMYFUNCTION("""COMPUTED_VALUE"""),"Yes")</f>
        <v>Yes</v>
      </c>
      <c r="AI169" s="5" t="str">
        <f ca="1">IFERROR(__xludf.DUMMYFUNCTION("""COMPUTED_VALUE"""),"Yes")</f>
        <v>Yes</v>
      </c>
      <c r="AJ169" s="5" t="str">
        <f ca="1">IFERROR(__xludf.DUMMYFUNCTION("""COMPUTED_VALUE"""),"Yes")</f>
        <v>Yes</v>
      </c>
      <c r="AK169" s="5" t="str">
        <f ca="1">IFERROR(__xludf.DUMMYFUNCTION("""COMPUTED_VALUE"""),"Yes")</f>
        <v>Yes</v>
      </c>
      <c r="AL169" s="5" t="str">
        <f ca="1">IFERROR(__xludf.DUMMYFUNCTION("""COMPUTED_VALUE"""),"Yes")</f>
        <v>Yes</v>
      </c>
      <c r="AM169" s="5" t="str">
        <f ca="1">IFERROR(__xludf.DUMMYFUNCTION("""COMPUTED_VALUE"""),"Yes")</f>
        <v>Yes</v>
      </c>
      <c r="AN169" s="5" t="str">
        <f ca="1">IFERROR(__xludf.DUMMYFUNCTION("""COMPUTED_VALUE"""),"Yes")</f>
        <v>Yes</v>
      </c>
      <c r="AO169" s="5" t="str">
        <f ca="1">IFERROR(__xludf.DUMMYFUNCTION("""COMPUTED_VALUE"""),"Yes")</f>
        <v>Yes</v>
      </c>
      <c r="AP169" s="5" t="str">
        <f ca="1">IFERROR(__xludf.DUMMYFUNCTION("""COMPUTED_VALUE"""),"Yes")</f>
        <v>Yes</v>
      </c>
      <c r="AQ169" s="5" t="str">
        <f ca="1">IFERROR(__xludf.DUMMYFUNCTION("""COMPUTED_VALUE"""),"Yes")</f>
        <v>Yes</v>
      </c>
      <c r="AR169" s="5" t="str">
        <f ca="1">IFERROR(__xludf.DUMMYFUNCTION("""COMPUTED_VALUE"""),"Yes")</f>
        <v>Yes</v>
      </c>
      <c r="AS169" s="5" t="str">
        <f ca="1">IFERROR(__xludf.DUMMYFUNCTION("""COMPUTED_VALUE"""),"Yes")</f>
        <v>Yes</v>
      </c>
      <c r="AT169" s="5" t="str">
        <f ca="1">IFERROR(__xludf.DUMMYFUNCTION("""COMPUTED_VALUE"""),"No")</f>
        <v>No</v>
      </c>
      <c r="AU169" s="5"/>
    </row>
    <row r="170" spans="1:47" x14ac:dyDescent="0.25">
      <c r="A170" s="5" t="str">
        <f ca="1">IFERROR(__xludf.DUMMYFUNCTION("""COMPUTED_VALUE"""),"Foxi")</f>
        <v>Foxi</v>
      </c>
      <c r="B170" s="5" t="str">
        <f ca="1">IFERROR(__xludf.DUMMYFUNCTION("""COMPUTED_VALUE"""),"Epic Clover 100 Booster")</f>
        <v>Epic Clover 100 Booster</v>
      </c>
      <c r="C170" s="5" t="str">
        <f ca="1">IFERROR(__xludf.DUMMYFUNCTION("""COMPUTED_VALUE"""),"EpicClover100Booster")</f>
        <v>EpicClover100Booster</v>
      </c>
      <c r="D170" s="6">
        <f ca="1">IFERROR(__xludf.DUMMYFUNCTION("""COMPUTED_VALUE"""),45876)</f>
        <v>45876</v>
      </c>
      <c r="E170" s="5" t="str">
        <f ca="1">IFERROR(__xludf.DUMMYFUNCTION("""COMPUTED_VALUE"""),"Slot")</f>
        <v>Slot</v>
      </c>
      <c r="F170" s="5">
        <f ca="1">IFERROR(__xludf.DUMMYFUNCTION("""COMPUTED_VALUE"""),25.3)</f>
        <v>25.3</v>
      </c>
      <c r="G170" s="5" t="str">
        <f ca="1">IFERROR(__xludf.DUMMYFUNCTION("""COMPUTED_VALUE"""),"5x4")</f>
        <v>5x4</v>
      </c>
      <c r="H170" s="5">
        <f ca="1">IFERROR(__xludf.DUMMYFUNCTION("""COMPUTED_VALUE"""),100)</f>
        <v>100</v>
      </c>
      <c r="I170" s="5">
        <f ca="1">IFERROR(__xludf.DUMMYFUNCTION("""COMPUTED_VALUE"""),100)</f>
        <v>100</v>
      </c>
      <c r="J170" s="5" t="str">
        <f ca="1">IFERROR(__xludf.DUMMYFUNCTION("""COMPUTED_VALUE"""),"96.502%")</f>
        <v>96.502%</v>
      </c>
      <c r="K170" s="5" t="str">
        <f ca="1">IFERROR(__xludf.DUMMYFUNCTION("""COMPUTED_VALUE"""),"Medium")</f>
        <v>Medium</v>
      </c>
      <c r="L170" s="5" t="str">
        <f ca="1">IFERROR(__xludf.DUMMYFUNCTION("""COMPUTED_VALUE"""),"13.309%")</f>
        <v>13.309%</v>
      </c>
      <c r="M170" s="5" t="str">
        <f ca="1">IFERROR(__xludf.DUMMYFUNCTION("""COMPUTED_VALUE"""),"x3000")</f>
        <v>x3000</v>
      </c>
      <c r="N170" s="5" t="str">
        <f ca="1">IFERROR(__xludf.DUMMYFUNCTION("""COMPUTED_VALUE"""),"1/100")</f>
        <v>1/100</v>
      </c>
      <c r="O170" s="5" t="str">
        <f ca="1">IFERROR(__xludf.DUMMYFUNCTION("""COMPUTED_VALUE"""),"Yes")</f>
        <v>Yes</v>
      </c>
      <c r="P170" s="5" t="str">
        <f ca="1">IFERROR(__xludf.DUMMYFUNCTION("""COMPUTED_VALUE"""),"Expanding Wild, Scatter")</f>
        <v>Expanding Wild, Scatter</v>
      </c>
      <c r="Q170" s="7" t="str">
        <f ca="1">IFERROR(__xludf.DUMMYFUNCTION("""COMPUTED_VALUE"""),"https://gameserver-store-client-area.orbionlimited.com/Home/IntegrationGameLaunch/client-area?moneyType=0&amp;gameName=EpicClover100Booster&amp;platform=desktop&amp;languageCode=eng&amp;currency=EUR")</f>
        <v>https://gameserver-store-client-area.orbionlimited.com/Home/IntegrationGameLaunch/client-area?moneyType=0&amp;gameName=EpicClover100Booster&amp;platform=desktop&amp;languageCode=eng&amp;currency=EUR</v>
      </c>
      <c r="R170" s="5" t="str">
        <f ca="1">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S1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0" s="5" t="str">
        <f ca="1">IFERROR(__xludf.DUMMYFUNCTION("""COMPUTED_VALUE"""),"Yes")</f>
        <v>Yes</v>
      </c>
      <c r="U170" s="5" t="str">
        <f ca="1">IFERROR(__xludf.DUMMYFUNCTION("""COMPUTED_VALUE"""),"Yes")</f>
        <v>Yes</v>
      </c>
      <c r="V170" s="5" t="str">
        <f ca="1">IFERROR(__xludf.DUMMYFUNCTION("""COMPUTED_VALUE"""),"Yes")</f>
        <v>Yes</v>
      </c>
      <c r="W170" s="5" t="str">
        <f ca="1">IFERROR(__xludf.DUMMYFUNCTION("""COMPUTED_VALUE"""),"Yes")</f>
        <v>Yes</v>
      </c>
      <c r="X170" s="5" t="str">
        <f ca="1">IFERROR(__xludf.DUMMYFUNCTION("""COMPUTED_VALUE"""),"Yes")</f>
        <v>Yes</v>
      </c>
      <c r="Y170" s="5" t="str">
        <f ca="1">IFERROR(__xludf.DUMMYFUNCTION("""COMPUTED_VALUE"""),"Yes")</f>
        <v>Yes</v>
      </c>
      <c r="Z170" s="5" t="str">
        <f ca="1">IFERROR(__xludf.DUMMYFUNCTION("""COMPUTED_VALUE"""),"Yes")</f>
        <v>Yes</v>
      </c>
      <c r="AA170" s="5" t="str">
        <f ca="1">IFERROR(__xludf.DUMMYFUNCTION("""COMPUTED_VALUE"""),"Yes")</f>
        <v>Yes</v>
      </c>
      <c r="AB170" s="5" t="str">
        <f ca="1">IFERROR(__xludf.DUMMYFUNCTION("""COMPUTED_VALUE"""),"Yes")</f>
        <v>Yes</v>
      </c>
      <c r="AC170" s="5" t="str">
        <f ca="1">IFERROR(__xludf.DUMMYFUNCTION("""COMPUTED_VALUE"""),"Yes")</f>
        <v>Yes</v>
      </c>
      <c r="AD170" s="5" t="str">
        <f ca="1">IFERROR(__xludf.DUMMYFUNCTION("""COMPUTED_VALUE"""),"Yes")</f>
        <v>Yes</v>
      </c>
      <c r="AE170" s="5" t="str">
        <f ca="1">IFERROR(__xludf.DUMMYFUNCTION("""COMPUTED_VALUE"""),"Yes")</f>
        <v>Yes</v>
      </c>
      <c r="AF170" s="5" t="str">
        <f ca="1">IFERROR(__xludf.DUMMYFUNCTION("""COMPUTED_VALUE"""),"Yes")</f>
        <v>Yes</v>
      </c>
      <c r="AG170" s="5" t="str">
        <f ca="1">IFERROR(__xludf.DUMMYFUNCTION("""COMPUTED_VALUE"""),"Yes")</f>
        <v>Yes</v>
      </c>
      <c r="AH170" s="5" t="str">
        <f ca="1">IFERROR(__xludf.DUMMYFUNCTION("""COMPUTED_VALUE"""),"Yes")</f>
        <v>Yes</v>
      </c>
      <c r="AI170" s="5" t="str">
        <f ca="1">IFERROR(__xludf.DUMMYFUNCTION("""COMPUTED_VALUE"""),"Yes")</f>
        <v>Yes</v>
      </c>
      <c r="AJ170" s="5" t="str">
        <f ca="1">IFERROR(__xludf.DUMMYFUNCTION("""COMPUTED_VALUE"""),"Yes")</f>
        <v>Yes</v>
      </c>
      <c r="AK170" s="5" t="str">
        <f ca="1">IFERROR(__xludf.DUMMYFUNCTION("""COMPUTED_VALUE"""),"Yes")</f>
        <v>Yes</v>
      </c>
      <c r="AL170" s="5" t="str">
        <f ca="1">IFERROR(__xludf.DUMMYFUNCTION("""COMPUTED_VALUE"""),"Yes")</f>
        <v>Yes</v>
      </c>
      <c r="AM170" s="5" t="str">
        <f ca="1">IFERROR(__xludf.DUMMYFUNCTION("""COMPUTED_VALUE"""),"Yes")</f>
        <v>Yes</v>
      </c>
      <c r="AN170" s="5" t="str">
        <f ca="1">IFERROR(__xludf.DUMMYFUNCTION("""COMPUTED_VALUE"""),"Yes")</f>
        <v>Yes</v>
      </c>
      <c r="AO170" s="5" t="str">
        <f ca="1">IFERROR(__xludf.DUMMYFUNCTION("""COMPUTED_VALUE"""),"Yes")</f>
        <v>Yes</v>
      </c>
      <c r="AP170" s="5" t="str">
        <f ca="1">IFERROR(__xludf.DUMMYFUNCTION("""COMPUTED_VALUE"""),"Yes")</f>
        <v>Yes</v>
      </c>
      <c r="AQ170" s="5" t="str">
        <f ca="1">IFERROR(__xludf.DUMMYFUNCTION("""COMPUTED_VALUE"""),"Yes")</f>
        <v>Yes</v>
      </c>
      <c r="AR170" s="5" t="str">
        <f ca="1">IFERROR(__xludf.DUMMYFUNCTION("""COMPUTED_VALUE"""),"Yes")</f>
        <v>Yes</v>
      </c>
      <c r="AS170" s="5" t="str">
        <f ca="1">IFERROR(__xludf.DUMMYFUNCTION("""COMPUTED_VALUE"""),"Yes")</f>
        <v>Yes</v>
      </c>
      <c r="AT170" s="5" t="str">
        <f ca="1">IFERROR(__xludf.DUMMYFUNCTION("""COMPUTED_VALUE"""),"No")</f>
        <v>No</v>
      </c>
      <c r="AU170" s="5"/>
    </row>
    <row r="171" spans="1:47" x14ac:dyDescent="0.25">
      <c r="A171" s="5" t="str">
        <f ca="1">IFERROR(__xludf.DUMMYFUNCTION("""COMPUTED_VALUE"""),"Foxi")</f>
        <v>Foxi</v>
      </c>
      <c r="B171" s="5" t="str">
        <f ca="1">IFERROR(__xludf.DUMMYFUNCTION("""COMPUTED_VALUE"""),"Coin Splash Extreme ")</f>
        <v xml:space="preserve">Coin Splash Extreme </v>
      </c>
      <c r="C171" s="5" t="str">
        <f ca="1">IFERROR(__xludf.DUMMYFUNCTION("""COMPUTED_VALUE"""),"CoinSplashExtreme")</f>
        <v>CoinSplashExtreme</v>
      </c>
      <c r="D171" s="6">
        <f ca="1">IFERROR(__xludf.DUMMYFUNCTION("""COMPUTED_VALUE"""),45939)</f>
        <v>45939</v>
      </c>
      <c r="E171" s="5" t="str">
        <f ca="1">IFERROR(__xludf.DUMMYFUNCTION("""COMPUTED_VALUE"""),"Slot")</f>
        <v>Slot</v>
      </c>
      <c r="F171" s="5">
        <f ca="1">IFERROR(__xludf.DUMMYFUNCTION("""COMPUTED_VALUE"""),16.2)</f>
        <v>16.2</v>
      </c>
      <c r="G171" s="5" t="str">
        <f ca="1">IFERROR(__xludf.DUMMYFUNCTION("""COMPUTED_VALUE"""),"5x4")</f>
        <v>5x4</v>
      </c>
      <c r="H171" s="5">
        <f ca="1">IFERROR(__xludf.DUMMYFUNCTION("""COMPUTED_VALUE"""),40)</f>
        <v>40</v>
      </c>
      <c r="I171" s="5">
        <f ca="1">IFERROR(__xludf.DUMMYFUNCTION("""COMPUTED_VALUE"""),40)</f>
        <v>40</v>
      </c>
      <c r="J171" s="5" t="str">
        <f ca="1">IFERROR(__xludf.DUMMYFUNCTION("""COMPUTED_VALUE"""),"96.558%")</f>
        <v>96.558%</v>
      </c>
      <c r="K171" s="5" t="str">
        <f ca="1">IFERROR(__xludf.DUMMYFUNCTION("""COMPUTED_VALUE"""),"High")</f>
        <v>High</v>
      </c>
      <c r="L171" s="5" t="str">
        <f ca="1">IFERROR(__xludf.DUMMYFUNCTION("""COMPUTED_VALUE"""),"9.965%")</f>
        <v>9.965%</v>
      </c>
      <c r="M171" s="5" t="str">
        <f ca="1">IFERROR(__xludf.DUMMYFUNCTION("""COMPUTED_VALUE"""),"x2000")</f>
        <v>x2000</v>
      </c>
      <c r="N171" s="5" t="str">
        <f ca="1">IFERROR(__xludf.DUMMYFUNCTION("""COMPUTED_VALUE"""),"0.04/40")</f>
        <v>0.04/40</v>
      </c>
      <c r="O171" s="5" t="str">
        <f ca="1">IFERROR(__xludf.DUMMYFUNCTION("""COMPUTED_VALUE"""),"Yes")</f>
        <v>Yes</v>
      </c>
      <c r="P171" s="5" t="str">
        <f ca="1">IFERROR(__xludf.DUMMYFUNCTION("""COMPUTED_VALUE"""),"Exploding Wild")</f>
        <v>Exploding Wild</v>
      </c>
      <c r="Q171" s="7" t="str">
        <f ca="1">IFERROR(__xludf.DUMMYFUNCTION("""COMPUTED_VALUE"""),"https://gameserver-store-client-area.orbionlimited.com/Home/IntegrationGameLaunch/client-area?moneyType=0&amp;gameName=CoinSplashExtreme&amp;platform=desktop&amp;languageCode=eng&amp;currency=EUR")</f>
        <v>https://gameserver-store-client-area.orbionlimited.com/Home/IntegrationGameLaunch/client-area?moneyType=0&amp;gameName=CoinSplashExtreme&amp;platform=desktop&amp;languageCode=eng&amp;currency=EUR</v>
      </c>
      <c r="R171" s="5" t="str">
        <f ca="1">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S1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1" s="5" t="str">
        <f ca="1">IFERROR(__xludf.DUMMYFUNCTION("""COMPUTED_VALUE"""),"Yes")</f>
        <v>Yes</v>
      </c>
      <c r="U171" s="5" t="str">
        <f ca="1">IFERROR(__xludf.DUMMYFUNCTION("""COMPUTED_VALUE"""),"Yes")</f>
        <v>Yes</v>
      </c>
      <c r="V171" s="5" t="str">
        <f ca="1">IFERROR(__xludf.DUMMYFUNCTION("""COMPUTED_VALUE"""),"Yes")</f>
        <v>Yes</v>
      </c>
      <c r="W171" s="5" t="str">
        <f ca="1">IFERROR(__xludf.DUMMYFUNCTION("""COMPUTED_VALUE"""),"Yes")</f>
        <v>Yes</v>
      </c>
      <c r="X171" s="5" t="str">
        <f ca="1">IFERROR(__xludf.DUMMYFUNCTION("""COMPUTED_VALUE"""),"Yes")</f>
        <v>Yes</v>
      </c>
      <c r="Y171" s="5" t="str">
        <f ca="1">IFERROR(__xludf.DUMMYFUNCTION("""COMPUTED_VALUE"""),"Yes")</f>
        <v>Yes</v>
      </c>
      <c r="Z171" s="5" t="str">
        <f ca="1">IFERROR(__xludf.DUMMYFUNCTION("""COMPUTED_VALUE"""),"Yes")</f>
        <v>Yes</v>
      </c>
      <c r="AA171" s="5" t="str">
        <f ca="1">IFERROR(__xludf.DUMMYFUNCTION("""COMPUTED_VALUE"""),"Yes")</f>
        <v>Yes</v>
      </c>
      <c r="AB171" s="5" t="str">
        <f ca="1">IFERROR(__xludf.DUMMYFUNCTION("""COMPUTED_VALUE"""),"Yes")</f>
        <v>Yes</v>
      </c>
      <c r="AC171" s="5" t="str">
        <f ca="1">IFERROR(__xludf.DUMMYFUNCTION("""COMPUTED_VALUE"""),"Yes")</f>
        <v>Yes</v>
      </c>
      <c r="AD171" s="5" t="str">
        <f ca="1">IFERROR(__xludf.DUMMYFUNCTION("""COMPUTED_VALUE"""),"Yes")</f>
        <v>Yes</v>
      </c>
      <c r="AE171" s="5" t="str">
        <f ca="1">IFERROR(__xludf.DUMMYFUNCTION("""COMPUTED_VALUE"""),"Yes")</f>
        <v>Yes</v>
      </c>
      <c r="AF171" s="5" t="str">
        <f ca="1">IFERROR(__xludf.DUMMYFUNCTION("""COMPUTED_VALUE"""),"Yes")</f>
        <v>Yes</v>
      </c>
      <c r="AG171" s="5" t="str">
        <f ca="1">IFERROR(__xludf.DUMMYFUNCTION("""COMPUTED_VALUE"""),"Yes")</f>
        <v>Yes</v>
      </c>
      <c r="AH171" s="5" t="str">
        <f ca="1">IFERROR(__xludf.DUMMYFUNCTION("""COMPUTED_VALUE"""),"Yes")</f>
        <v>Yes</v>
      </c>
      <c r="AI171" s="5" t="str">
        <f ca="1">IFERROR(__xludf.DUMMYFUNCTION("""COMPUTED_VALUE"""),"Yes")</f>
        <v>Yes</v>
      </c>
      <c r="AJ171" s="5" t="str">
        <f ca="1">IFERROR(__xludf.DUMMYFUNCTION("""COMPUTED_VALUE"""),"Yes")</f>
        <v>Yes</v>
      </c>
      <c r="AK171" s="5" t="str">
        <f ca="1">IFERROR(__xludf.DUMMYFUNCTION("""COMPUTED_VALUE"""),"Yes")</f>
        <v>Yes</v>
      </c>
      <c r="AL171" s="5" t="str">
        <f ca="1">IFERROR(__xludf.DUMMYFUNCTION("""COMPUTED_VALUE"""),"Yes")</f>
        <v>Yes</v>
      </c>
      <c r="AM171" s="5" t="str">
        <f ca="1">IFERROR(__xludf.DUMMYFUNCTION("""COMPUTED_VALUE"""),"Yes")</f>
        <v>Yes</v>
      </c>
      <c r="AN171" s="5" t="str">
        <f ca="1">IFERROR(__xludf.DUMMYFUNCTION("""COMPUTED_VALUE"""),"Yes")</f>
        <v>Yes</v>
      </c>
      <c r="AO171" s="5" t="str">
        <f ca="1">IFERROR(__xludf.DUMMYFUNCTION("""COMPUTED_VALUE"""),"Yes")</f>
        <v>Yes</v>
      </c>
      <c r="AP171" s="5" t="str">
        <f ca="1">IFERROR(__xludf.DUMMYFUNCTION("""COMPUTED_VALUE"""),"Yes")</f>
        <v>Yes</v>
      </c>
      <c r="AQ171" s="5" t="str">
        <f ca="1">IFERROR(__xludf.DUMMYFUNCTION("""COMPUTED_VALUE"""),"Yes")</f>
        <v>Yes</v>
      </c>
      <c r="AR171" s="5" t="str">
        <f ca="1">IFERROR(__xludf.DUMMYFUNCTION("""COMPUTED_VALUE"""),"Yes")</f>
        <v>Yes</v>
      </c>
      <c r="AS171" s="5" t="str">
        <f ca="1">IFERROR(__xludf.DUMMYFUNCTION("""COMPUTED_VALUE"""),"Yes")</f>
        <v>Yes</v>
      </c>
      <c r="AT171" s="5" t="str">
        <f ca="1">IFERROR(__xludf.DUMMYFUNCTION("""COMPUTED_VALUE"""),"No")</f>
        <v>No</v>
      </c>
      <c r="AU171" s="5"/>
    </row>
    <row r="172" spans="1:47" x14ac:dyDescent="0.25">
      <c r="A172" s="5" t="str">
        <f ca="1">IFERROR(__xludf.DUMMYFUNCTION("""COMPUTED_VALUE"""),"Foxi")</f>
        <v>Foxi</v>
      </c>
      <c r="B172" s="5" t="str">
        <f ca="1">IFERROR(__xludf.DUMMYFUNCTION("""COMPUTED_VALUE"""),"Hot Clock")</f>
        <v>Hot Clock</v>
      </c>
      <c r="C172" s="5" t="str">
        <f ca="1">IFERROR(__xludf.DUMMYFUNCTION("""COMPUTED_VALUE"""),"HotClock")</f>
        <v>HotClock</v>
      </c>
      <c r="D172" s="6">
        <f ca="1">IFERROR(__xludf.DUMMYFUNCTION("""COMPUTED_VALUE"""),46030)</f>
        <v>46030</v>
      </c>
      <c r="E172" s="5" t="str">
        <f ca="1">IFERROR(__xludf.DUMMYFUNCTION("""COMPUTED_VALUE"""),"Slot")</f>
        <v>Slot</v>
      </c>
      <c r="F172" s="5">
        <f ca="1">IFERROR(__xludf.DUMMYFUNCTION("""COMPUTED_VALUE"""),19.8)</f>
        <v>19.8</v>
      </c>
      <c r="G172" s="5" t="str">
        <f ca="1">IFERROR(__xludf.DUMMYFUNCTION("""COMPUTED_VALUE"""),"5x3")</f>
        <v>5x3</v>
      </c>
      <c r="H172" s="5">
        <f ca="1">IFERROR(__xludf.DUMMYFUNCTION("""COMPUTED_VALUE"""),10)</f>
        <v>10</v>
      </c>
      <c r="I172" s="5">
        <f ca="1">IFERROR(__xludf.DUMMYFUNCTION("""COMPUTED_VALUE"""),10)</f>
        <v>10</v>
      </c>
      <c r="J172" s="5" t="str">
        <f ca="1">IFERROR(__xludf.DUMMYFUNCTION("""COMPUTED_VALUE"""),"96.5%")</f>
        <v>96.5%</v>
      </c>
      <c r="K172" s="5" t="str">
        <f ca="1">IFERROR(__xludf.DUMMYFUNCTION("""COMPUTED_VALUE"""),"Medium")</f>
        <v>Medium</v>
      </c>
      <c r="L172" s="5" t="str">
        <f ca="1">IFERROR(__xludf.DUMMYFUNCTION("""COMPUTED_VALUE"""),"19.232%")</f>
        <v>19.232%</v>
      </c>
      <c r="M172" s="5" t="str">
        <f ca="1">IFERROR(__xludf.DUMMYFUNCTION("""COMPUTED_VALUE"""),"x4076")</f>
        <v>x4076</v>
      </c>
      <c r="N172" s="5" t="str">
        <f ca="1">IFERROR(__xludf.DUMMYFUNCTION("""COMPUTED_VALUE"""),"0.1/50")</f>
        <v>0.1/50</v>
      </c>
      <c r="O172" s="5" t="str">
        <f ca="1">IFERROR(__xludf.DUMMYFUNCTION("""COMPUTED_VALUE"""),"Yes")</f>
        <v>Yes</v>
      </c>
      <c r="P172" s="5"/>
      <c r="Q172" s="7" t="str">
        <f ca="1">IFERROR(__xludf.DUMMYFUNCTION("""COMPUTED_VALUE"""),"https://gameserver-store-client-area.orbionlimited.com/Home/IntegrationGameLaunch/client-area?moneyType=0&amp;gameName=HotClock&amp;platform=desktop&amp;languageCode=eng&amp;currency=EUR")</f>
        <v>https://gameserver-store-client-area.orbionlimited.com/Home/IntegrationGameLaunch/client-area?moneyType=0&amp;gameName=HotClock&amp;platform=desktop&amp;languageCode=eng&amp;currency=EUR</v>
      </c>
      <c r="R172" s="5" t="str">
        <f ca="1">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S1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2" s="5" t="str">
        <f ca="1">IFERROR(__xludf.DUMMYFUNCTION("""COMPUTED_VALUE"""),"Yes")</f>
        <v>Yes</v>
      </c>
      <c r="U172" s="5" t="str">
        <f ca="1">IFERROR(__xludf.DUMMYFUNCTION("""COMPUTED_VALUE"""),"Yes")</f>
        <v>Yes</v>
      </c>
      <c r="V172" s="5" t="str">
        <f ca="1">IFERROR(__xludf.DUMMYFUNCTION("""COMPUTED_VALUE"""),"Yes")</f>
        <v>Yes</v>
      </c>
      <c r="W172" s="5" t="str">
        <f ca="1">IFERROR(__xludf.DUMMYFUNCTION("""COMPUTED_VALUE"""),"Yes")</f>
        <v>Yes</v>
      </c>
      <c r="X172" s="5" t="str">
        <f ca="1">IFERROR(__xludf.DUMMYFUNCTION("""COMPUTED_VALUE"""),"Yes")</f>
        <v>Yes</v>
      </c>
      <c r="Y172" s="5" t="str">
        <f ca="1">IFERROR(__xludf.DUMMYFUNCTION("""COMPUTED_VALUE"""),"Yes")</f>
        <v>Yes</v>
      </c>
      <c r="Z172" s="5" t="str">
        <f ca="1">IFERROR(__xludf.DUMMYFUNCTION("""COMPUTED_VALUE"""),"Yes")</f>
        <v>Yes</v>
      </c>
      <c r="AA172" s="5" t="str">
        <f ca="1">IFERROR(__xludf.DUMMYFUNCTION("""COMPUTED_VALUE"""),"Yes")</f>
        <v>Yes</v>
      </c>
      <c r="AB172" s="5" t="str">
        <f ca="1">IFERROR(__xludf.DUMMYFUNCTION("""COMPUTED_VALUE"""),"Yes")</f>
        <v>Yes</v>
      </c>
      <c r="AC172" s="5" t="str">
        <f ca="1">IFERROR(__xludf.DUMMYFUNCTION("""COMPUTED_VALUE"""),"Yes")</f>
        <v>Yes</v>
      </c>
      <c r="AD172" s="5" t="str">
        <f ca="1">IFERROR(__xludf.DUMMYFUNCTION("""COMPUTED_VALUE"""),"Yes")</f>
        <v>Yes</v>
      </c>
      <c r="AE172" s="5" t="str">
        <f ca="1">IFERROR(__xludf.DUMMYFUNCTION("""COMPUTED_VALUE"""),"Yes")</f>
        <v>Yes</v>
      </c>
      <c r="AF172" s="5" t="str">
        <f ca="1">IFERROR(__xludf.DUMMYFUNCTION("""COMPUTED_VALUE"""),"Yes")</f>
        <v>Yes</v>
      </c>
      <c r="AG172" s="5" t="str">
        <f ca="1">IFERROR(__xludf.DUMMYFUNCTION("""COMPUTED_VALUE"""),"Yes")</f>
        <v>Yes</v>
      </c>
      <c r="AH172" s="5" t="str">
        <f ca="1">IFERROR(__xludf.DUMMYFUNCTION("""COMPUTED_VALUE"""),"Yes")</f>
        <v>Yes</v>
      </c>
      <c r="AI172" s="5" t="str">
        <f ca="1">IFERROR(__xludf.DUMMYFUNCTION("""COMPUTED_VALUE"""),"Yes")</f>
        <v>Yes</v>
      </c>
      <c r="AJ172" s="5" t="str">
        <f ca="1">IFERROR(__xludf.DUMMYFUNCTION("""COMPUTED_VALUE"""),"Yes")</f>
        <v>Yes</v>
      </c>
      <c r="AK172" s="5" t="str">
        <f ca="1">IFERROR(__xludf.DUMMYFUNCTION("""COMPUTED_VALUE"""),"Yes")</f>
        <v>Yes</v>
      </c>
      <c r="AL172" s="5" t="str">
        <f ca="1">IFERROR(__xludf.DUMMYFUNCTION("""COMPUTED_VALUE"""),"Yes")</f>
        <v>Yes</v>
      </c>
      <c r="AM172" s="5" t="str">
        <f ca="1">IFERROR(__xludf.DUMMYFUNCTION("""COMPUTED_VALUE"""),"Yes")</f>
        <v>Yes</v>
      </c>
      <c r="AN172" s="5" t="str">
        <f ca="1">IFERROR(__xludf.DUMMYFUNCTION("""COMPUTED_VALUE"""),"Yes")</f>
        <v>Yes</v>
      </c>
      <c r="AO172" s="5" t="str">
        <f ca="1">IFERROR(__xludf.DUMMYFUNCTION("""COMPUTED_VALUE"""),"Yes")</f>
        <v>Yes</v>
      </c>
      <c r="AP172" s="5" t="str">
        <f ca="1">IFERROR(__xludf.DUMMYFUNCTION("""COMPUTED_VALUE"""),"Yes")</f>
        <v>Yes</v>
      </c>
      <c r="AQ172" s="5" t="str">
        <f ca="1">IFERROR(__xludf.DUMMYFUNCTION("""COMPUTED_VALUE"""),"Yes")</f>
        <v>Yes</v>
      </c>
      <c r="AR172" s="5" t="str">
        <f ca="1">IFERROR(__xludf.DUMMYFUNCTION("""COMPUTED_VALUE"""),"Yes")</f>
        <v>Yes</v>
      </c>
      <c r="AS172" s="5" t="str">
        <f ca="1">IFERROR(__xludf.DUMMYFUNCTION("""COMPUTED_VALUE"""),"Yes")</f>
        <v>Yes</v>
      </c>
      <c r="AT172" s="5" t="str">
        <f ca="1">IFERROR(__xludf.DUMMYFUNCTION("""COMPUTED_VALUE"""),"No")</f>
        <v>No</v>
      </c>
      <c r="AU172" s="5"/>
    </row>
    <row r="173" spans="1:47" x14ac:dyDescent="0.25">
      <c r="A173" s="5" t="str">
        <f ca="1">IFERROR(__xludf.DUMMYFUNCTION("""COMPUTED_VALUE"""),"Foxi")</f>
        <v>Foxi</v>
      </c>
      <c r="B173" s="5" t="str">
        <f ca="1">IFERROR(__xludf.DUMMYFUNCTION("""COMPUTED_VALUE"""),"Fruit Lock 7")</f>
        <v>Fruit Lock 7</v>
      </c>
      <c r="C173" s="5" t="str">
        <f ca="1">IFERROR(__xludf.DUMMYFUNCTION("""COMPUTED_VALUE"""),"FruitLock7")</f>
        <v>FruitLock7</v>
      </c>
      <c r="D173" s="6">
        <f ca="1">IFERROR(__xludf.DUMMYFUNCTION("""COMPUTED_VALUE"""),46037)</f>
        <v>46037</v>
      </c>
      <c r="E173" s="5" t="str">
        <f ca="1">IFERROR(__xludf.DUMMYFUNCTION("""COMPUTED_VALUE"""),"Slot")</f>
        <v>Slot</v>
      </c>
      <c r="F173" s="5">
        <f ca="1">IFERROR(__xludf.DUMMYFUNCTION("""COMPUTED_VALUE"""),16)</f>
        <v>16</v>
      </c>
      <c r="G173" s="5" t="str">
        <f ca="1">IFERROR(__xludf.DUMMYFUNCTION("""COMPUTED_VALUE"""),"5x3")</f>
        <v>5x3</v>
      </c>
      <c r="H173" s="5">
        <f ca="1">IFERROR(__xludf.DUMMYFUNCTION("""COMPUTED_VALUE"""),20)</f>
        <v>20</v>
      </c>
      <c r="I173" s="5">
        <f ca="1">IFERROR(__xludf.DUMMYFUNCTION("""COMPUTED_VALUE"""),20)</f>
        <v>20</v>
      </c>
      <c r="J173" s="5" t="str">
        <f ca="1">IFERROR(__xludf.DUMMYFUNCTION("""COMPUTED_VALUE"""),"96.542%")</f>
        <v>96.542%</v>
      </c>
      <c r="K173" s="5" t="str">
        <f ca="1">IFERROR(__xludf.DUMMYFUNCTION("""COMPUTED_VALUE"""),"High")</f>
        <v>High</v>
      </c>
      <c r="L173" s="5" t="str">
        <f ca="1">IFERROR(__xludf.DUMMYFUNCTION("""COMPUTED_VALUE"""),"9.941%")</f>
        <v>9.941%</v>
      </c>
      <c r="M173" s="5" t="str">
        <f ca="1">IFERROR(__xludf.DUMMYFUNCTION("""COMPUTED_VALUE"""),"x3000")</f>
        <v>x3000</v>
      </c>
      <c r="N173" s="5" t="str">
        <f ca="1">IFERROR(__xludf.DUMMYFUNCTION("""COMPUTED_VALUE"""),"0.2/50")</f>
        <v>0.2/50</v>
      </c>
      <c r="O173" s="5" t="str">
        <f ca="1">IFERROR(__xludf.DUMMYFUNCTION("""COMPUTED_VALUE"""),"Yes")</f>
        <v>Yes</v>
      </c>
      <c r="P173" s="5"/>
      <c r="Q173" s="7" t="str">
        <f ca="1">IFERROR(__xludf.DUMMYFUNCTION("""COMPUTED_VALUE"""),"https://gameserver-store-client-area.orbionlimited.com/Home/IntegrationGameLaunch/client-area?moneyType=0&amp;gameName=FruitLock7&amp;platform=desktop&amp;languageCode=eng&amp;currency=EUR")</f>
        <v>https://gameserver-store-client-area.orbionlimited.com/Home/IntegrationGameLaunch/client-area?moneyType=0&amp;gameName=FruitLock7&amp;platform=desktop&amp;languageCode=eng&amp;currency=EUR</v>
      </c>
      <c r="R173" s="5"/>
      <c r="S1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3" s="5" t="str">
        <f ca="1">IFERROR(__xludf.DUMMYFUNCTION("""COMPUTED_VALUE"""),"Yes")</f>
        <v>Yes</v>
      </c>
      <c r="U173" s="5" t="str">
        <f ca="1">IFERROR(__xludf.DUMMYFUNCTION("""COMPUTED_VALUE"""),"Yes")</f>
        <v>Yes</v>
      </c>
      <c r="V173" s="5" t="str">
        <f ca="1">IFERROR(__xludf.DUMMYFUNCTION("""COMPUTED_VALUE"""),"Yes")</f>
        <v>Yes</v>
      </c>
      <c r="W173" s="5" t="str">
        <f ca="1">IFERROR(__xludf.DUMMYFUNCTION("""COMPUTED_VALUE"""),"Yes")</f>
        <v>Yes</v>
      </c>
      <c r="X173" s="5" t="str">
        <f ca="1">IFERROR(__xludf.DUMMYFUNCTION("""COMPUTED_VALUE"""),"Yes")</f>
        <v>Yes</v>
      </c>
      <c r="Y173" s="5" t="str">
        <f ca="1">IFERROR(__xludf.DUMMYFUNCTION("""COMPUTED_VALUE"""),"Yes")</f>
        <v>Yes</v>
      </c>
      <c r="Z173" s="5" t="str">
        <f ca="1">IFERROR(__xludf.DUMMYFUNCTION("""COMPUTED_VALUE"""),"Yes")</f>
        <v>Yes</v>
      </c>
      <c r="AA173" s="5" t="str">
        <f ca="1">IFERROR(__xludf.DUMMYFUNCTION("""COMPUTED_VALUE"""),"Yes")</f>
        <v>Yes</v>
      </c>
      <c r="AB173" s="5" t="str">
        <f ca="1">IFERROR(__xludf.DUMMYFUNCTION("""COMPUTED_VALUE"""),"Yes")</f>
        <v>Yes</v>
      </c>
      <c r="AC173" s="5" t="str">
        <f ca="1">IFERROR(__xludf.DUMMYFUNCTION("""COMPUTED_VALUE"""),"Yes")</f>
        <v>Yes</v>
      </c>
      <c r="AD173" s="5" t="str">
        <f ca="1">IFERROR(__xludf.DUMMYFUNCTION("""COMPUTED_VALUE"""),"Yes")</f>
        <v>Yes</v>
      </c>
      <c r="AE173" s="5" t="str">
        <f ca="1">IFERROR(__xludf.DUMMYFUNCTION("""COMPUTED_VALUE"""),"Yes")</f>
        <v>Yes</v>
      </c>
      <c r="AF173" s="5" t="str">
        <f ca="1">IFERROR(__xludf.DUMMYFUNCTION("""COMPUTED_VALUE"""),"Yes")</f>
        <v>Yes</v>
      </c>
      <c r="AG173" s="5" t="str">
        <f ca="1">IFERROR(__xludf.DUMMYFUNCTION("""COMPUTED_VALUE"""),"Yes")</f>
        <v>Yes</v>
      </c>
      <c r="AH173" s="5" t="str">
        <f ca="1">IFERROR(__xludf.DUMMYFUNCTION("""COMPUTED_VALUE"""),"Yes")</f>
        <v>Yes</v>
      </c>
      <c r="AI173" s="5" t="str">
        <f ca="1">IFERROR(__xludf.DUMMYFUNCTION("""COMPUTED_VALUE"""),"Yes")</f>
        <v>Yes</v>
      </c>
      <c r="AJ173" s="5" t="str">
        <f ca="1">IFERROR(__xludf.DUMMYFUNCTION("""COMPUTED_VALUE"""),"Yes")</f>
        <v>Yes</v>
      </c>
      <c r="AK173" s="5" t="str">
        <f ca="1">IFERROR(__xludf.DUMMYFUNCTION("""COMPUTED_VALUE"""),"Yes")</f>
        <v>Yes</v>
      </c>
      <c r="AL173" s="5" t="str">
        <f ca="1">IFERROR(__xludf.DUMMYFUNCTION("""COMPUTED_VALUE"""),"Yes")</f>
        <v>Yes</v>
      </c>
      <c r="AM173" s="5" t="str">
        <f ca="1">IFERROR(__xludf.DUMMYFUNCTION("""COMPUTED_VALUE"""),"Yes")</f>
        <v>Yes</v>
      </c>
      <c r="AN173" s="5" t="str">
        <f ca="1">IFERROR(__xludf.DUMMYFUNCTION("""COMPUTED_VALUE"""),"Yes")</f>
        <v>Yes</v>
      </c>
      <c r="AO173" s="5" t="str">
        <f ca="1">IFERROR(__xludf.DUMMYFUNCTION("""COMPUTED_VALUE"""),"Yes")</f>
        <v>Yes</v>
      </c>
      <c r="AP173" s="5" t="str">
        <f ca="1">IFERROR(__xludf.DUMMYFUNCTION("""COMPUTED_VALUE"""),"Yes")</f>
        <v>Yes</v>
      </c>
      <c r="AQ173" s="5" t="str">
        <f ca="1">IFERROR(__xludf.DUMMYFUNCTION("""COMPUTED_VALUE"""),"Yes")</f>
        <v>Yes</v>
      </c>
      <c r="AR173" s="5" t="str">
        <f ca="1">IFERROR(__xludf.DUMMYFUNCTION("""COMPUTED_VALUE"""),"Yes")</f>
        <v>Yes</v>
      </c>
      <c r="AS173" s="5" t="str">
        <f ca="1">IFERROR(__xludf.DUMMYFUNCTION("""COMPUTED_VALUE"""),"Yes")</f>
        <v>Yes</v>
      </c>
      <c r="AT173" s="5" t="str">
        <f ca="1">IFERROR(__xludf.DUMMYFUNCTION("""COMPUTED_VALUE"""),"No")</f>
        <v>No</v>
      </c>
      <c r="AU173" s="5"/>
    </row>
    <row r="174" spans="1:47" x14ac:dyDescent="0.25">
      <c r="A174" s="5" t="str">
        <f ca="1">IFERROR(__xludf.DUMMYFUNCTION("""COMPUTED_VALUE"""),"Foxi")</f>
        <v>Foxi</v>
      </c>
      <c r="B174" s="5" t="str">
        <f ca="1">IFERROR(__xludf.DUMMYFUNCTION("""COMPUTED_VALUE"""),"Golden Crown Halloween")</f>
        <v>Golden Crown Halloween</v>
      </c>
      <c r="C174" s="5" t="str">
        <f ca="1">IFERROR(__xludf.DUMMYFUNCTION("""COMPUTED_VALUE"""),"GoldenCrownHalloween")</f>
        <v>GoldenCrownHalloween</v>
      </c>
      <c r="D174" s="6">
        <f ca="1">IFERROR(__xludf.DUMMYFUNCTION("""COMPUTED_VALUE"""),45918)</f>
        <v>45918</v>
      </c>
      <c r="E174" s="5" t="str">
        <f ca="1">IFERROR(__xludf.DUMMYFUNCTION("""COMPUTED_VALUE"""),"Slot")</f>
        <v>Slot</v>
      </c>
      <c r="F174" s="5">
        <f ca="1">IFERROR(__xludf.DUMMYFUNCTION("""COMPUTED_VALUE"""),21.2)</f>
        <v>21.2</v>
      </c>
      <c r="G174" s="5" t="str">
        <f ca="1">IFERROR(__xludf.DUMMYFUNCTION("""COMPUTED_VALUE"""),"5x3")</f>
        <v>5x3</v>
      </c>
      <c r="H174" s="5">
        <f ca="1">IFERROR(__xludf.DUMMYFUNCTION("""COMPUTED_VALUE"""),10)</f>
        <v>10</v>
      </c>
      <c r="I174" s="5">
        <f ca="1">IFERROR(__xludf.DUMMYFUNCTION("""COMPUTED_VALUE"""),10)</f>
        <v>10</v>
      </c>
      <c r="J174" s="5" t="str">
        <f ca="1">IFERROR(__xludf.DUMMYFUNCTION("""COMPUTED_VALUE"""),"95.962%")</f>
        <v>95.962%</v>
      </c>
      <c r="K174" s="5" t="str">
        <f ca="1">IFERROR(__xludf.DUMMYFUNCTION("""COMPUTED_VALUE"""),"Medium")</f>
        <v>Medium</v>
      </c>
      <c r="L174" s="5" t="str">
        <f ca="1">IFERROR(__xludf.DUMMYFUNCTION("""COMPUTED_VALUE"""),"14.63%")</f>
        <v>14.63%</v>
      </c>
      <c r="M174" s="5" t="str">
        <f ca="1">IFERROR(__xludf.DUMMYFUNCTION("""COMPUTED_VALUE"""),"x1538")</f>
        <v>x1538</v>
      </c>
      <c r="N174" s="5" t="str">
        <f ca="1">IFERROR(__xludf.DUMMYFUNCTION("""COMPUTED_VALUE"""),"0.1/40")</f>
        <v>0.1/40</v>
      </c>
      <c r="O174" s="5" t="str">
        <f ca="1">IFERROR(__xludf.DUMMYFUNCTION("""COMPUTED_VALUE"""),"Yes")</f>
        <v>Yes</v>
      </c>
      <c r="P174" s="5" t="str">
        <f ca="1">IFERROR(__xludf.DUMMYFUNCTION("""COMPUTED_VALUE"""),"Expanding Wild, Scatter")</f>
        <v>Expanding Wild, Scatter</v>
      </c>
      <c r="Q174" s="7" t="str">
        <f ca="1">IFERROR(__xludf.DUMMYFUNCTION("""COMPUTED_VALUE"""),"https://gameserver-store-client-area.orbionlimited.com/Home/IntegrationGameLaunch/client-area?moneyType=0&amp;gameName=GoldenCrownHalloween&amp;platform=desktop&amp;languageCode=eng&amp;currency=EUR")</f>
        <v>https://gameserver-store-client-area.orbionlimited.com/Home/IntegrationGameLaunch/client-area?moneyType=0&amp;gameName=GoldenCrownHalloween&amp;platform=desktop&amp;languageCode=eng&amp;currency=EUR</v>
      </c>
      <c r="R174" s="5" t="str">
        <f ca="1">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S1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4" s="5" t="str">
        <f ca="1">IFERROR(__xludf.DUMMYFUNCTION("""COMPUTED_VALUE"""),"Yes")</f>
        <v>Yes</v>
      </c>
      <c r="U174" s="5" t="str">
        <f ca="1">IFERROR(__xludf.DUMMYFUNCTION("""COMPUTED_VALUE"""),"Yes")</f>
        <v>Yes</v>
      </c>
      <c r="V174" s="5" t="str">
        <f ca="1">IFERROR(__xludf.DUMMYFUNCTION("""COMPUTED_VALUE"""),"Yes")</f>
        <v>Yes</v>
      </c>
      <c r="W174" s="5" t="str">
        <f ca="1">IFERROR(__xludf.DUMMYFUNCTION("""COMPUTED_VALUE"""),"Yes")</f>
        <v>Yes</v>
      </c>
      <c r="X174" s="5" t="str">
        <f ca="1">IFERROR(__xludf.DUMMYFUNCTION("""COMPUTED_VALUE"""),"Yes")</f>
        <v>Yes</v>
      </c>
      <c r="Y174" s="5" t="str">
        <f ca="1">IFERROR(__xludf.DUMMYFUNCTION("""COMPUTED_VALUE"""),"Yes")</f>
        <v>Yes</v>
      </c>
      <c r="Z174" s="5" t="str">
        <f ca="1">IFERROR(__xludf.DUMMYFUNCTION("""COMPUTED_VALUE"""),"Yes")</f>
        <v>Yes</v>
      </c>
      <c r="AA174" s="5" t="str">
        <f ca="1">IFERROR(__xludf.DUMMYFUNCTION("""COMPUTED_VALUE"""),"Yes")</f>
        <v>Yes</v>
      </c>
      <c r="AB174" s="5" t="str">
        <f ca="1">IFERROR(__xludf.DUMMYFUNCTION("""COMPUTED_VALUE"""),"Yes")</f>
        <v>Yes</v>
      </c>
      <c r="AC174" s="5" t="str">
        <f ca="1">IFERROR(__xludf.DUMMYFUNCTION("""COMPUTED_VALUE"""),"Yes")</f>
        <v>Yes</v>
      </c>
      <c r="AD174" s="5" t="str">
        <f ca="1">IFERROR(__xludf.DUMMYFUNCTION("""COMPUTED_VALUE"""),"Yes")</f>
        <v>Yes</v>
      </c>
      <c r="AE174" s="5" t="str">
        <f ca="1">IFERROR(__xludf.DUMMYFUNCTION("""COMPUTED_VALUE"""),"Yes")</f>
        <v>Yes</v>
      </c>
      <c r="AF174" s="5" t="str">
        <f ca="1">IFERROR(__xludf.DUMMYFUNCTION("""COMPUTED_VALUE"""),"Yes")</f>
        <v>Yes</v>
      </c>
      <c r="AG174" s="5" t="str">
        <f ca="1">IFERROR(__xludf.DUMMYFUNCTION("""COMPUTED_VALUE"""),"Yes")</f>
        <v>Yes</v>
      </c>
      <c r="AH174" s="5" t="str">
        <f ca="1">IFERROR(__xludf.DUMMYFUNCTION("""COMPUTED_VALUE"""),"Yes")</f>
        <v>Yes</v>
      </c>
      <c r="AI174" s="5" t="str">
        <f ca="1">IFERROR(__xludf.DUMMYFUNCTION("""COMPUTED_VALUE"""),"Yes")</f>
        <v>Yes</v>
      </c>
      <c r="AJ174" s="5" t="str">
        <f ca="1">IFERROR(__xludf.DUMMYFUNCTION("""COMPUTED_VALUE"""),"Yes")</f>
        <v>Yes</v>
      </c>
      <c r="AK174" s="5" t="str">
        <f ca="1">IFERROR(__xludf.DUMMYFUNCTION("""COMPUTED_VALUE"""),"Yes")</f>
        <v>Yes</v>
      </c>
      <c r="AL174" s="5" t="str">
        <f ca="1">IFERROR(__xludf.DUMMYFUNCTION("""COMPUTED_VALUE"""),"Yes")</f>
        <v>Yes</v>
      </c>
      <c r="AM174" s="5" t="str">
        <f ca="1">IFERROR(__xludf.DUMMYFUNCTION("""COMPUTED_VALUE"""),"Yes")</f>
        <v>Yes</v>
      </c>
      <c r="AN174" s="5" t="str">
        <f ca="1">IFERROR(__xludf.DUMMYFUNCTION("""COMPUTED_VALUE"""),"Yes")</f>
        <v>Yes</v>
      </c>
      <c r="AO174" s="5" t="str">
        <f ca="1">IFERROR(__xludf.DUMMYFUNCTION("""COMPUTED_VALUE"""),"Yes")</f>
        <v>Yes</v>
      </c>
      <c r="AP174" s="5" t="str">
        <f ca="1">IFERROR(__xludf.DUMMYFUNCTION("""COMPUTED_VALUE"""),"Yes")</f>
        <v>Yes</v>
      </c>
      <c r="AQ174" s="5" t="str">
        <f ca="1">IFERROR(__xludf.DUMMYFUNCTION("""COMPUTED_VALUE"""),"Yes")</f>
        <v>Yes</v>
      </c>
      <c r="AR174" s="5" t="str">
        <f ca="1">IFERROR(__xludf.DUMMYFUNCTION("""COMPUTED_VALUE"""),"Yes")</f>
        <v>Yes</v>
      </c>
      <c r="AS174" s="5" t="str">
        <f ca="1">IFERROR(__xludf.DUMMYFUNCTION("""COMPUTED_VALUE"""),"Yes")</f>
        <v>Yes</v>
      </c>
      <c r="AT174" s="5" t="str">
        <f ca="1">IFERROR(__xludf.DUMMYFUNCTION("""COMPUTED_VALUE"""),"No")</f>
        <v>No</v>
      </c>
      <c r="AU174" s="5"/>
    </row>
    <row r="175" spans="1:47" x14ac:dyDescent="0.25">
      <c r="A175" s="5" t="str">
        <f ca="1">IFERROR(__xludf.DUMMYFUNCTION("""COMPUTED_VALUE"""),"Foxi")</f>
        <v>Foxi</v>
      </c>
      <c r="B175" s="5" t="str">
        <f ca="1">IFERROR(__xludf.DUMMYFUNCTION("""COMPUTED_VALUE""")," Wild 27 Halloween")</f>
        <v xml:space="preserve"> Wild 27 Halloween</v>
      </c>
      <c r="C175" s="5" t="str">
        <f ca="1">IFERROR(__xludf.DUMMYFUNCTION("""COMPUTED_VALUE"""),"Wild27Halloween")</f>
        <v>Wild27Halloween</v>
      </c>
      <c r="D175" s="6">
        <f ca="1">IFERROR(__xludf.DUMMYFUNCTION("""COMPUTED_VALUE"""),45925)</f>
        <v>45925</v>
      </c>
      <c r="E175" s="5" t="str">
        <f ca="1">IFERROR(__xludf.DUMMYFUNCTION("""COMPUTED_VALUE"""),"Slot")</f>
        <v>Slot</v>
      </c>
      <c r="F175" s="5">
        <f ca="1">IFERROR(__xludf.DUMMYFUNCTION("""COMPUTED_VALUE"""),8.5)</f>
        <v>8.5</v>
      </c>
      <c r="G175" s="5" t="str">
        <f ca="1">IFERROR(__xludf.DUMMYFUNCTION("""COMPUTED_VALUE"""),"3x3")</f>
        <v>3x3</v>
      </c>
      <c r="H175" s="5">
        <f ca="1">IFERROR(__xludf.DUMMYFUNCTION("""COMPUTED_VALUE"""),27)</f>
        <v>27</v>
      </c>
      <c r="I175" s="5">
        <f ca="1">IFERROR(__xludf.DUMMYFUNCTION("""COMPUTED_VALUE"""),27)</f>
        <v>27</v>
      </c>
      <c r="J175" s="5" t="str">
        <f ca="1">IFERROR(__xludf.DUMMYFUNCTION("""COMPUTED_VALUE"""),"96.24%")</f>
        <v>96.24%</v>
      </c>
      <c r="K175" s="5" t="str">
        <f ca="1">IFERROR(__xludf.DUMMYFUNCTION("""COMPUTED_VALUE"""),"Low")</f>
        <v>Low</v>
      </c>
      <c r="L175" s="5" t="str">
        <f ca="1">IFERROR(__xludf.DUMMYFUNCTION("""COMPUTED_VALUE"""),"6.58%")</f>
        <v>6.58%</v>
      </c>
      <c r="M175" s="5" t="str">
        <f ca="1">IFERROR(__xludf.DUMMYFUNCTION("""COMPUTED_VALUE"""),"x108")</f>
        <v>x108</v>
      </c>
      <c r="N175" s="5" t="str">
        <f ca="1">IFERROR(__xludf.DUMMYFUNCTION("""COMPUTED_VALUE"""),"0.1/40	")</f>
        <v xml:space="preserve">0.1/40	</v>
      </c>
      <c r="O175" s="5" t="str">
        <f ca="1">IFERROR(__xludf.DUMMYFUNCTION("""COMPUTED_VALUE"""),"Yes")</f>
        <v>Yes</v>
      </c>
      <c r="P175" s="5"/>
      <c r="Q175" s="7" t="str">
        <f ca="1">IFERROR(__xludf.DUMMYFUNCTION("""COMPUTED_VALUE"""),"https://gameserver-store-client-area.orbionlimited.com/Home/IntegrationGameLaunch/client-area?moneyType=0&amp;gameName=Wild27Halloween&amp;platform=desktop&amp;languageCode=eng&amp;currency=EUR")</f>
        <v>https://gameserver-store-client-area.orbionlimited.com/Home/IntegrationGameLaunch/client-area?moneyType=0&amp;gameName=Wild27Halloween&amp;platform=desktop&amp;languageCode=eng&amp;currency=EUR</v>
      </c>
      <c r="R175" s="5" t="str">
        <f ca="1">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S1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5" s="5" t="str">
        <f ca="1">IFERROR(__xludf.DUMMYFUNCTION("""COMPUTED_VALUE"""),"Yes")</f>
        <v>Yes</v>
      </c>
      <c r="U175" s="5" t="str">
        <f ca="1">IFERROR(__xludf.DUMMYFUNCTION("""COMPUTED_VALUE"""),"Yes")</f>
        <v>Yes</v>
      </c>
      <c r="V175" s="5" t="str">
        <f ca="1">IFERROR(__xludf.DUMMYFUNCTION("""COMPUTED_VALUE"""),"Yes")</f>
        <v>Yes</v>
      </c>
      <c r="W175" s="5" t="str">
        <f ca="1">IFERROR(__xludf.DUMMYFUNCTION("""COMPUTED_VALUE"""),"Yes")</f>
        <v>Yes</v>
      </c>
      <c r="X175" s="5" t="str">
        <f ca="1">IFERROR(__xludf.DUMMYFUNCTION("""COMPUTED_VALUE"""),"Yes")</f>
        <v>Yes</v>
      </c>
      <c r="Y175" s="5" t="str">
        <f ca="1">IFERROR(__xludf.DUMMYFUNCTION("""COMPUTED_VALUE"""),"Yes")</f>
        <v>Yes</v>
      </c>
      <c r="Z175" s="5" t="str">
        <f ca="1">IFERROR(__xludf.DUMMYFUNCTION("""COMPUTED_VALUE"""),"Yes")</f>
        <v>Yes</v>
      </c>
      <c r="AA175" s="5" t="str">
        <f ca="1">IFERROR(__xludf.DUMMYFUNCTION("""COMPUTED_VALUE"""),"Yes")</f>
        <v>Yes</v>
      </c>
      <c r="AB175" s="5" t="str">
        <f ca="1">IFERROR(__xludf.DUMMYFUNCTION("""COMPUTED_VALUE"""),"Yes")</f>
        <v>Yes</v>
      </c>
      <c r="AC175" s="5" t="str">
        <f ca="1">IFERROR(__xludf.DUMMYFUNCTION("""COMPUTED_VALUE"""),"Yes")</f>
        <v>Yes</v>
      </c>
      <c r="AD175" s="5" t="str">
        <f ca="1">IFERROR(__xludf.DUMMYFUNCTION("""COMPUTED_VALUE"""),"Yes")</f>
        <v>Yes</v>
      </c>
      <c r="AE175" s="5" t="str">
        <f ca="1">IFERROR(__xludf.DUMMYFUNCTION("""COMPUTED_VALUE"""),"Yes")</f>
        <v>Yes</v>
      </c>
      <c r="AF175" s="5" t="str">
        <f ca="1">IFERROR(__xludf.DUMMYFUNCTION("""COMPUTED_VALUE"""),"Yes")</f>
        <v>Yes</v>
      </c>
      <c r="AG175" s="5" t="str">
        <f ca="1">IFERROR(__xludf.DUMMYFUNCTION("""COMPUTED_VALUE"""),"Yes")</f>
        <v>Yes</v>
      </c>
      <c r="AH175" s="5" t="str">
        <f ca="1">IFERROR(__xludf.DUMMYFUNCTION("""COMPUTED_VALUE"""),"Yes")</f>
        <v>Yes</v>
      </c>
      <c r="AI175" s="5" t="str">
        <f ca="1">IFERROR(__xludf.DUMMYFUNCTION("""COMPUTED_VALUE"""),"Yes")</f>
        <v>Yes</v>
      </c>
      <c r="AJ175" s="5" t="str">
        <f ca="1">IFERROR(__xludf.DUMMYFUNCTION("""COMPUTED_VALUE"""),"Yes")</f>
        <v>Yes</v>
      </c>
      <c r="AK175" s="5" t="str">
        <f ca="1">IFERROR(__xludf.DUMMYFUNCTION("""COMPUTED_VALUE"""),"Yes")</f>
        <v>Yes</v>
      </c>
      <c r="AL175" s="5" t="str">
        <f ca="1">IFERROR(__xludf.DUMMYFUNCTION("""COMPUTED_VALUE"""),"Yes")</f>
        <v>Yes</v>
      </c>
      <c r="AM175" s="5" t="str">
        <f ca="1">IFERROR(__xludf.DUMMYFUNCTION("""COMPUTED_VALUE"""),"Yes")</f>
        <v>Yes</v>
      </c>
      <c r="AN175" s="5" t="str">
        <f ca="1">IFERROR(__xludf.DUMMYFUNCTION("""COMPUTED_VALUE"""),"Yes")</f>
        <v>Yes</v>
      </c>
      <c r="AO175" s="5" t="str">
        <f ca="1">IFERROR(__xludf.DUMMYFUNCTION("""COMPUTED_VALUE"""),"Yes")</f>
        <v>Yes</v>
      </c>
      <c r="AP175" s="5" t="str">
        <f ca="1">IFERROR(__xludf.DUMMYFUNCTION("""COMPUTED_VALUE"""),"Yes")</f>
        <v>Yes</v>
      </c>
      <c r="AQ175" s="5" t="str">
        <f ca="1">IFERROR(__xludf.DUMMYFUNCTION("""COMPUTED_VALUE"""),"Yes")</f>
        <v>Yes</v>
      </c>
      <c r="AR175" s="5" t="str">
        <f ca="1">IFERROR(__xludf.DUMMYFUNCTION("""COMPUTED_VALUE"""),"Yes")</f>
        <v>Yes</v>
      </c>
      <c r="AS175" s="5" t="str">
        <f ca="1">IFERROR(__xludf.DUMMYFUNCTION("""COMPUTED_VALUE"""),"Yes")</f>
        <v>Yes</v>
      </c>
      <c r="AT175" s="5" t="str">
        <f ca="1">IFERROR(__xludf.DUMMYFUNCTION("""COMPUTED_VALUE"""),"No")</f>
        <v>No</v>
      </c>
      <c r="AU175" s="5"/>
    </row>
    <row r="176" spans="1:47" x14ac:dyDescent="0.25">
      <c r="A176" s="5" t="str">
        <f ca="1">IFERROR(__xludf.DUMMYFUNCTION("""COMPUTED_VALUE"""),"Foxi")</f>
        <v>Foxi</v>
      </c>
      <c r="B176" s="5" t="str">
        <f ca="1">IFERROR(__xludf.DUMMYFUNCTION("""COMPUTED_VALUE"""),"Wild Joker Hot Booster")</f>
        <v>Wild Joker Hot Booster</v>
      </c>
      <c r="C176" s="5" t="str">
        <f ca="1">IFERROR(__xludf.DUMMYFUNCTION("""COMPUTED_VALUE"""),"WildJokerHotBooster")</f>
        <v>WildJokerHotBooster</v>
      </c>
      <c r="D176" s="6">
        <f ca="1">IFERROR(__xludf.DUMMYFUNCTION("""COMPUTED_VALUE"""),46009)</f>
        <v>46009</v>
      </c>
      <c r="E176" s="5" t="str">
        <f ca="1">IFERROR(__xludf.DUMMYFUNCTION("""COMPUTED_VALUE"""),"Slot")</f>
        <v>Slot</v>
      </c>
      <c r="F176" s="5">
        <f ca="1">IFERROR(__xludf.DUMMYFUNCTION("""COMPUTED_VALUE"""),29.2)</f>
        <v>29.2</v>
      </c>
      <c r="G176" s="5" t="str">
        <f ca="1">IFERROR(__xludf.DUMMYFUNCTION("""COMPUTED_VALUE"""),"5x3")</f>
        <v>5x3</v>
      </c>
      <c r="H176" s="5">
        <f ca="1">IFERROR(__xludf.DUMMYFUNCTION("""COMPUTED_VALUE"""),10)</f>
        <v>10</v>
      </c>
      <c r="I176" s="5">
        <f ca="1">IFERROR(__xludf.DUMMYFUNCTION("""COMPUTED_VALUE"""),10)</f>
        <v>10</v>
      </c>
      <c r="J176" s="5" t="str">
        <f ca="1">IFERROR(__xludf.DUMMYFUNCTION("""COMPUTED_VALUE"""),"96.124%")</f>
        <v>96.124%</v>
      </c>
      <c r="K176" s="5" t="str">
        <f ca="1">IFERROR(__xludf.DUMMYFUNCTION("""COMPUTED_VALUE"""),"Medium")</f>
        <v>Medium</v>
      </c>
      <c r="L176" s="5" t="str">
        <f ca="1">IFERROR(__xludf.DUMMYFUNCTION("""COMPUTED_VALUE"""),"17.809%")</f>
        <v>17.809%</v>
      </c>
      <c r="M176" s="5" t="str">
        <f ca="1">IFERROR(__xludf.DUMMYFUNCTION("""COMPUTED_VALUE"""),"x3092")</f>
        <v>x3092</v>
      </c>
      <c r="N176" s="5" t="str">
        <f ca="1">IFERROR(__xludf.DUMMYFUNCTION("""COMPUTED_VALUE"""),"0.10/40")</f>
        <v>0.10/40</v>
      </c>
      <c r="O176" s="5" t="str">
        <f ca="1">IFERROR(__xludf.DUMMYFUNCTION("""COMPUTED_VALUE"""),"Yes")</f>
        <v>Yes</v>
      </c>
      <c r="P176" s="5" t="str">
        <f ca="1">IFERROR(__xludf.DUMMYFUNCTION("""COMPUTED_VALUE"""),"Buy Feature")</f>
        <v>Buy Feature</v>
      </c>
      <c r="Q176" s="7" t="str">
        <f ca="1">IFERROR(__xludf.DUMMYFUNCTION("""COMPUTED_VALUE"""),"https://gameserver-store-client-area.orbionlimited.com/Home/IntegrationGameLaunch/client-area?moneyType=0&amp;gameName=WildJokerHotBooster&amp;platform=desktop&amp;languageCode=eng&amp;currency=EUR")</f>
        <v>https://gameserver-store-client-area.orbionlimited.com/Home/IntegrationGameLaunch/client-area?moneyType=0&amp;gameName=WildJokerHotBooster&amp;platform=desktop&amp;languageCode=eng&amp;currency=EUR</v>
      </c>
      <c r="R176" s="5"/>
      <c r="S1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6" s="5" t="str">
        <f ca="1">IFERROR(__xludf.DUMMYFUNCTION("""COMPUTED_VALUE"""),"Yes")</f>
        <v>Yes</v>
      </c>
      <c r="U176" s="5" t="str">
        <f ca="1">IFERROR(__xludf.DUMMYFUNCTION("""COMPUTED_VALUE"""),"Yes")</f>
        <v>Yes</v>
      </c>
      <c r="V176" s="5" t="str">
        <f ca="1">IFERROR(__xludf.DUMMYFUNCTION("""COMPUTED_VALUE"""),"Yes")</f>
        <v>Yes</v>
      </c>
      <c r="W176" s="5" t="str">
        <f ca="1">IFERROR(__xludf.DUMMYFUNCTION("""COMPUTED_VALUE"""),"Yes")</f>
        <v>Yes</v>
      </c>
      <c r="X176" s="5" t="str">
        <f ca="1">IFERROR(__xludf.DUMMYFUNCTION("""COMPUTED_VALUE"""),"Yes")</f>
        <v>Yes</v>
      </c>
      <c r="Y176" s="5" t="str">
        <f ca="1">IFERROR(__xludf.DUMMYFUNCTION("""COMPUTED_VALUE"""),"Yes")</f>
        <v>Yes</v>
      </c>
      <c r="Z176" s="5" t="str">
        <f ca="1">IFERROR(__xludf.DUMMYFUNCTION("""COMPUTED_VALUE"""),"Yes")</f>
        <v>Yes</v>
      </c>
      <c r="AA176" s="5" t="str">
        <f ca="1">IFERROR(__xludf.DUMMYFUNCTION("""COMPUTED_VALUE"""),"Yes")</f>
        <v>Yes</v>
      </c>
      <c r="AB176" s="5" t="str">
        <f ca="1">IFERROR(__xludf.DUMMYFUNCTION("""COMPUTED_VALUE"""),"Yes")</f>
        <v>Yes</v>
      </c>
      <c r="AC176" s="5" t="str">
        <f ca="1">IFERROR(__xludf.DUMMYFUNCTION("""COMPUTED_VALUE"""),"Yes")</f>
        <v>Yes</v>
      </c>
      <c r="AD176" s="5" t="str">
        <f ca="1">IFERROR(__xludf.DUMMYFUNCTION("""COMPUTED_VALUE"""),"Yes")</f>
        <v>Yes</v>
      </c>
      <c r="AE176" s="5" t="str">
        <f ca="1">IFERROR(__xludf.DUMMYFUNCTION("""COMPUTED_VALUE"""),"Yes")</f>
        <v>Yes</v>
      </c>
      <c r="AF176" s="5" t="str">
        <f ca="1">IFERROR(__xludf.DUMMYFUNCTION("""COMPUTED_VALUE"""),"Yes")</f>
        <v>Yes</v>
      </c>
      <c r="AG176" s="5" t="str">
        <f ca="1">IFERROR(__xludf.DUMMYFUNCTION("""COMPUTED_VALUE"""),"Yes")</f>
        <v>Yes</v>
      </c>
      <c r="AH176" s="5" t="str">
        <f ca="1">IFERROR(__xludf.DUMMYFUNCTION("""COMPUTED_VALUE"""),"Yes")</f>
        <v>Yes</v>
      </c>
      <c r="AI176" s="5" t="str">
        <f ca="1">IFERROR(__xludf.DUMMYFUNCTION("""COMPUTED_VALUE"""),"Yes")</f>
        <v>Yes</v>
      </c>
      <c r="AJ176" s="5" t="str">
        <f ca="1">IFERROR(__xludf.DUMMYFUNCTION("""COMPUTED_VALUE"""),"Yes")</f>
        <v>Yes</v>
      </c>
      <c r="AK176" s="5" t="str">
        <f ca="1">IFERROR(__xludf.DUMMYFUNCTION("""COMPUTED_VALUE"""),"Yes")</f>
        <v>Yes</v>
      </c>
      <c r="AL176" s="5" t="str">
        <f ca="1">IFERROR(__xludf.DUMMYFUNCTION("""COMPUTED_VALUE"""),"Yes")</f>
        <v>Yes</v>
      </c>
      <c r="AM176" s="5" t="str">
        <f ca="1">IFERROR(__xludf.DUMMYFUNCTION("""COMPUTED_VALUE"""),"Yes")</f>
        <v>Yes</v>
      </c>
      <c r="AN176" s="5" t="str">
        <f ca="1">IFERROR(__xludf.DUMMYFUNCTION("""COMPUTED_VALUE"""),"Yes")</f>
        <v>Yes</v>
      </c>
      <c r="AO176" s="5" t="str">
        <f ca="1">IFERROR(__xludf.DUMMYFUNCTION("""COMPUTED_VALUE"""),"Yes")</f>
        <v>Yes</v>
      </c>
      <c r="AP176" s="5" t="str">
        <f ca="1">IFERROR(__xludf.DUMMYFUNCTION("""COMPUTED_VALUE"""),"Yes")</f>
        <v>Yes</v>
      </c>
      <c r="AQ176" s="5" t="str">
        <f ca="1">IFERROR(__xludf.DUMMYFUNCTION("""COMPUTED_VALUE"""),"Yes")</f>
        <v>Yes</v>
      </c>
      <c r="AR176" s="5" t="str">
        <f ca="1">IFERROR(__xludf.DUMMYFUNCTION("""COMPUTED_VALUE"""),"Yes")</f>
        <v>Yes</v>
      </c>
      <c r="AS176" s="5" t="str">
        <f ca="1">IFERROR(__xludf.DUMMYFUNCTION("""COMPUTED_VALUE"""),"Yes")</f>
        <v>Yes</v>
      </c>
      <c r="AT176" s="5" t="str">
        <f ca="1">IFERROR(__xludf.DUMMYFUNCTION("""COMPUTED_VALUE"""),"No")</f>
        <v>No</v>
      </c>
      <c r="AU176" s="5"/>
    </row>
    <row r="177" spans="1:47" x14ac:dyDescent="0.25">
      <c r="A177" s="5" t="str">
        <f ca="1">IFERROR(__xludf.DUMMYFUNCTION("""COMPUTED_VALUE"""),"Foxi")</f>
        <v>Foxi</v>
      </c>
      <c r="B177" s="5" t="str">
        <f ca="1">IFERROR(__xludf.DUMMYFUNCTION("""COMPUTED_VALUE"""),"Money 5 Booster")</f>
        <v>Money 5 Booster</v>
      </c>
      <c r="C177" s="5" t="str">
        <f ca="1">IFERROR(__xludf.DUMMYFUNCTION("""COMPUTED_VALUE"""),"Money5Booster")</f>
        <v>Money5Booster</v>
      </c>
      <c r="D177" s="6">
        <f ca="1">IFERROR(__xludf.DUMMYFUNCTION("""COMPUTED_VALUE"""),45953)</f>
        <v>45953</v>
      </c>
      <c r="E177" s="5" t="str">
        <f ca="1">IFERROR(__xludf.DUMMYFUNCTION("""COMPUTED_VALUE"""),"Slot")</f>
        <v>Slot</v>
      </c>
      <c r="F177" s="5">
        <f ca="1">IFERROR(__xludf.DUMMYFUNCTION("""COMPUTED_VALUE"""),24)</f>
        <v>24</v>
      </c>
      <c r="G177" s="5" t="str">
        <f ca="1">IFERROR(__xludf.DUMMYFUNCTION("""COMPUTED_VALUE"""),"5x3")</f>
        <v>5x3</v>
      </c>
      <c r="H177" s="5">
        <f ca="1">IFERROR(__xludf.DUMMYFUNCTION("""COMPUTED_VALUE"""),5)</f>
        <v>5</v>
      </c>
      <c r="I177" s="5">
        <f ca="1">IFERROR(__xludf.DUMMYFUNCTION("""COMPUTED_VALUE"""),5)</f>
        <v>5</v>
      </c>
      <c r="J177" s="5" t="str">
        <f ca="1">IFERROR(__xludf.DUMMYFUNCTION("""COMPUTED_VALUE"""),"96.786%")</f>
        <v>96.786%</v>
      </c>
      <c r="K177" s="5" t="str">
        <f ca="1">IFERROR(__xludf.DUMMYFUNCTION("""COMPUTED_VALUE"""),"Medium")</f>
        <v>Medium</v>
      </c>
      <c r="L177" s="5" t="str">
        <f ca="1">IFERROR(__xludf.DUMMYFUNCTION("""COMPUTED_VALUE"""),"14.504%")</f>
        <v>14.504%</v>
      </c>
      <c r="M177" s="5" t="str">
        <f ca="1">IFERROR(__xludf.DUMMYFUNCTION("""COMPUTED_VALUE"""),"x1222")</f>
        <v>x1222</v>
      </c>
      <c r="N177" s="5" t="str">
        <f ca="1">IFERROR(__xludf.DUMMYFUNCTION("""COMPUTED_VALUE"""),"0.05/30")</f>
        <v>0.05/30</v>
      </c>
      <c r="O177" s="5" t="str">
        <f ca="1">IFERROR(__xludf.DUMMYFUNCTION("""COMPUTED_VALUE"""),"Yes")</f>
        <v>Yes</v>
      </c>
      <c r="P177" s="5" t="str">
        <f ca="1">IFERROR(__xludf.DUMMYFUNCTION("""COMPUTED_VALUE"""),"Buy Feature")</f>
        <v>Buy Feature</v>
      </c>
      <c r="Q177" s="7" t="str">
        <f ca="1">IFERROR(__xludf.DUMMYFUNCTION("""COMPUTED_VALUE"""),"https://gameserver-store-client-area.orbionlimited.com/Home/IntegrationGameLaunch/client-area?moneyType=0&amp;gameName=Money5Booster&amp;platform=desktop&amp;languageCode=eng&amp;currency=EUR")</f>
        <v>https://gameserver-store-client-area.orbionlimited.com/Home/IntegrationGameLaunch/client-area?moneyType=0&amp;gameName=Money5Booster&amp;platform=desktop&amp;languageCode=eng&amp;currency=EUR</v>
      </c>
      <c r="R177" s="5" t="str">
        <f ca="1">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S1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7" s="5" t="str">
        <f ca="1">IFERROR(__xludf.DUMMYFUNCTION("""COMPUTED_VALUE"""),"Yes")</f>
        <v>Yes</v>
      </c>
      <c r="U177" s="5" t="str">
        <f ca="1">IFERROR(__xludf.DUMMYFUNCTION("""COMPUTED_VALUE"""),"Yes")</f>
        <v>Yes</v>
      </c>
      <c r="V177" s="5" t="str">
        <f ca="1">IFERROR(__xludf.DUMMYFUNCTION("""COMPUTED_VALUE"""),"Yes")</f>
        <v>Yes</v>
      </c>
      <c r="W177" s="5" t="str">
        <f ca="1">IFERROR(__xludf.DUMMYFUNCTION("""COMPUTED_VALUE"""),"Yes")</f>
        <v>Yes</v>
      </c>
      <c r="X177" s="5" t="str">
        <f ca="1">IFERROR(__xludf.DUMMYFUNCTION("""COMPUTED_VALUE"""),"Yes")</f>
        <v>Yes</v>
      </c>
      <c r="Y177" s="5" t="str">
        <f ca="1">IFERROR(__xludf.DUMMYFUNCTION("""COMPUTED_VALUE"""),"Yes")</f>
        <v>Yes</v>
      </c>
      <c r="Z177" s="5" t="str">
        <f ca="1">IFERROR(__xludf.DUMMYFUNCTION("""COMPUTED_VALUE"""),"Yes")</f>
        <v>Yes</v>
      </c>
      <c r="AA177" s="5" t="str">
        <f ca="1">IFERROR(__xludf.DUMMYFUNCTION("""COMPUTED_VALUE"""),"Yes")</f>
        <v>Yes</v>
      </c>
      <c r="AB177" s="5" t="str">
        <f ca="1">IFERROR(__xludf.DUMMYFUNCTION("""COMPUTED_VALUE"""),"Yes")</f>
        <v>Yes</v>
      </c>
      <c r="AC177" s="5" t="str">
        <f ca="1">IFERROR(__xludf.DUMMYFUNCTION("""COMPUTED_VALUE"""),"Yes")</f>
        <v>Yes</v>
      </c>
      <c r="AD177" s="5" t="str">
        <f ca="1">IFERROR(__xludf.DUMMYFUNCTION("""COMPUTED_VALUE"""),"Yes")</f>
        <v>Yes</v>
      </c>
      <c r="AE177" s="5" t="str">
        <f ca="1">IFERROR(__xludf.DUMMYFUNCTION("""COMPUTED_VALUE"""),"Yes")</f>
        <v>Yes</v>
      </c>
      <c r="AF177" s="5" t="str">
        <f ca="1">IFERROR(__xludf.DUMMYFUNCTION("""COMPUTED_VALUE"""),"Yes")</f>
        <v>Yes</v>
      </c>
      <c r="AG177" s="5" t="str">
        <f ca="1">IFERROR(__xludf.DUMMYFUNCTION("""COMPUTED_VALUE"""),"Yes")</f>
        <v>Yes</v>
      </c>
      <c r="AH177" s="5" t="str">
        <f ca="1">IFERROR(__xludf.DUMMYFUNCTION("""COMPUTED_VALUE"""),"Yes")</f>
        <v>Yes</v>
      </c>
      <c r="AI177" s="5" t="str">
        <f ca="1">IFERROR(__xludf.DUMMYFUNCTION("""COMPUTED_VALUE"""),"Yes")</f>
        <v>Yes</v>
      </c>
      <c r="AJ177" s="5" t="str">
        <f ca="1">IFERROR(__xludf.DUMMYFUNCTION("""COMPUTED_VALUE"""),"Yes")</f>
        <v>Yes</v>
      </c>
      <c r="AK177" s="5" t="str">
        <f ca="1">IFERROR(__xludf.DUMMYFUNCTION("""COMPUTED_VALUE"""),"Yes")</f>
        <v>Yes</v>
      </c>
      <c r="AL177" s="5" t="str">
        <f ca="1">IFERROR(__xludf.DUMMYFUNCTION("""COMPUTED_VALUE"""),"Yes")</f>
        <v>Yes</v>
      </c>
      <c r="AM177" s="5" t="str">
        <f ca="1">IFERROR(__xludf.DUMMYFUNCTION("""COMPUTED_VALUE"""),"Yes")</f>
        <v>Yes</v>
      </c>
      <c r="AN177" s="5" t="str">
        <f ca="1">IFERROR(__xludf.DUMMYFUNCTION("""COMPUTED_VALUE"""),"Yes")</f>
        <v>Yes</v>
      </c>
      <c r="AO177" s="5" t="str">
        <f ca="1">IFERROR(__xludf.DUMMYFUNCTION("""COMPUTED_VALUE"""),"Yes")</f>
        <v>Yes</v>
      </c>
      <c r="AP177" s="5" t="str">
        <f ca="1">IFERROR(__xludf.DUMMYFUNCTION("""COMPUTED_VALUE"""),"Yes")</f>
        <v>Yes</v>
      </c>
      <c r="AQ177" s="5" t="str">
        <f ca="1">IFERROR(__xludf.DUMMYFUNCTION("""COMPUTED_VALUE"""),"Yes")</f>
        <v>Yes</v>
      </c>
      <c r="AR177" s="5" t="str">
        <f ca="1">IFERROR(__xludf.DUMMYFUNCTION("""COMPUTED_VALUE"""),"Yes")</f>
        <v>Yes</v>
      </c>
      <c r="AS177" s="5" t="str">
        <f ca="1">IFERROR(__xludf.DUMMYFUNCTION("""COMPUTED_VALUE"""),"Yes")</f>
        <v>Yes</v>
      </c>
      <c r="AT177" s="5" t="str">
        <f ca="1">IFERROR(__xludf.DUMMYFUNCTION("""COMPUTED_VALUE"""),"No")</f>
        <v>No</v>
      </c>
      <c r="AU177" s="5"/>
    </row>
    <row r="178" spans="1:47" x14ac:dyDescent="0.25">
      <c r="A178" s="5" t="str">
        <f ca="1">IFERROR(__xludf.DUMMYFUNCTION("""COMPUTED_VALUE"""),"Foxi")</f>
        <v>Foxi</v>
      </c>
      <c r="B178" s="5" t="str">
        <f ca="1">IFERROR(__xludf.DUMMYFUNCTION("""COMPUTED_VALUE"""),"Golden Crown Christmas Booster")</f>
        <v>Golden Crown Christmas Booster</v>
      </c>
      <c r="C178" s="5" t="str">
        <f ca="1">IFERROR(__xludf.DUMMYFUNCTION("""COMPUTED_VALUE"""),"GoldenCrownChristmasBooster")</f>
        <v>GoldenCrownChristmasBooster</v>
      </c>
      <c r="D178" s="6">
        <f ca="1">IFERROR(__xludf.DUMMYFUNCTION("""COMPUTED_VALUE"""),45974)</f>
        <v>45974</v>
      </c>
      <c r="E178" s="5" t="str">
        <f ca="1">IFERROR(__xludf.DUMMYFUNCTION("""COMPUTED_VALUE"""),"Slot")</f>
        <v>Slot</v>
      </c>
      <c r="F178" s="5">
        <f ca="1">IFERROR(__xludf.DUMMYFUNCTION("""COMPUTED_VALUE"""),16.6)</f>
        <v>16.600000000000001</v>
      </c>
      <c r="G178" s="5" t="str">
        <f ca="1">IFERROR(__xludf.DUMMYFUNCTION("""COMPUTED_VALUE"""),"5x3")</f>
        <v>5x3</v>
      </c>
      <c r="H178" s="5">
        <f ca="1">IFERROR(__xludf.DUMMYFUNCTION("""COMPUTED_VALUE"""),10)</f>
        <v>10</v>
      </c>
      <c r="I178" s="5">
        <f ca="1">IFERROR(__xludf.DUMMYFUNCTION("""COMPUTED_VALUE"""),10)</f>
        <v>10</v>
      </c>
      <c r="J178" s="5" t="str">
        <f ca="1">IFERROR(__xludf.DUMMYFUNCTION("""COMPUTED_VALUE"""),"95.962%")</f>
        <v>95.962%</v>
      </c>
      <c r="K178" s="5" t="str">
        <f ca="1">IFERROR(__xludf.DUMMYFUNCTION("""COMPUTED_VALUE"""),"Medium")</f>
        <v>Medium</v>
      </c>
      <c r="L178" s="5" t="str">
        <f ca="1">IFERROR(__xludf.DUMMYFUNCTION("""COMPUTED_VALUE"""),"14.634%")</f>
        <v>14.634%</v>
      </c>
      <c r="M178" s="5" t="str">
        <f ca="1">IFERROR(__xludf.DUMMYFUNCTION("""COMPUTED_VALUE"""),"x1538")</f>
        <v>x1538</v>
      </c>
      <c r="N178" s="5" t="str">
        <f ca="1">IFERROR(__xludf.DUMMYFUNCTION("""COMPUTED_VALUE"""),"0.1/40")</f>
        <v>0.1/40</v>
      </c>
      <c r="O178" s="5" t="str">
        <f ca="1">IFERROR(__xludf.DUMMYFUNCTION("""COMPUTED_VALUE"""),"Yes")</f>
        <v>Yes</v>
      </c>
      <c r="P178" s="5" t="str">
        <f ca="1">IFERROR(__xludf.DUMMYFUNCTION("""COMPUTED_VALUE"""),"Buy Feature")</f>
        <v>Buy Feature</v>
      </c>
      <c r="Q178" s="7" t="str">
        <f ca="1">IFERROR(__xludf.DUMMYFUNCTION("""COMPUTED_VALUE"""),"https://gameserver-store-client-area.orbionlimited.com/Home/IntegrationGameLaunch/client-area?moneyType=0&amp;gameName=GoldenCrownChristmasBooster&amp;platform=desktop&amp;languageCode=eng&amp;currency=EUR")</f>
        <v>https://gameserver-store-client-area.orbionlimited.com/Home/IntegrationGameLaunch/client-area?moneyType=0&amp;gameName=GoldenCrownChristmasBooster&amp;platform=desktop&amp;languageCode=eng&amp;currency=EUR</v>
      </c>
      <c r="R178" s="5" t="str">
        <f ca="1">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S1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8" s="5" t="str">
        <f ca="1">IFERROR(__xludf.DUMMYFUNCTION("""COMPUTED_VALUE"""),"Yes")</f>
        <v>Yes</v>
      </c>
      <c r="U178" s="5" t="str">
        <f ca="1">IFERROR(__xludf.DUMMYFUNCTION("""COMPUTED_VALUE"""),"Yes")</f>
        <v>Yes</v>
      </c>
      <c r="V178" s="5" t="str">
        <f ca="1">IFERROR(__xludf.DUMMYFUNCTION("""COMPUTED_VALUE"""),"Yes")</f>
        <v>Yes</v>
      </c>
      <c r="W178" s="5" t="str">
        <f ca="1">IFERROR(__xludf.DUMMYFUNCTION("""COMPUTED_VALUE"""),"Yes")</f>
        <v>Yes</v>
      </c>
      <c r="X178" s="5" t="str">
        <f ca="1">IFERROR(__xludf.DUMMYFUNCTION("""COMPUTED_VALUE"""),"Yes")</f>
        <v>Yes</v>
      </c>
      <c r="Y178" s="5" t="str">
        <f ca="1">IFERROR(__xludf.DUMMYFUNCTION("""COMPUTED_VALUE"""),"Yes")</f>
        <v>Yes</v>
      </c>
      <c r="Z178" s="5" t="str">
        <f ca="1">IFERROR(__xludf.DUMMYFUNCTION("""COMPUTED_VALUE"""),"Yes")</f>
        <v>Yes</v>
      </c>
      <c r="AA178" s="5" t="str">
        <f ca="1">IFERROR(__xludf.DUMMYFUNCTION("""COMPUTED_VALUE"""),"Yes")</f>
        <v>Yes</v>
      </c>
      <c r="AB178" s="5" t="str">
        <f ca="1">IFERROR(__xludf.DUMMYFUNCTION("""COMPUTED_VALUE"""),"Yes")</f>
        <v>Yes</v>
      </c>
      <c r="AC178" s="5" t="str">
        <f ca="1">IFERROR(__xludf.DUMMYFUNCTION("""COMPUTED_VALUE"""),"Yes")</f>
        <v>Yes</v>
      </c>
      <c r="AD178" s="5" t="str">
        <f ca="1">IFERROR(__xludf.DUMMYFUNCTION("""COMPUTED_VALUE"""),"Yes")</f>
        <v>Yes</v>
      </c>
      <c r="AE178" s="5" t="str">
        <f ca="1">IFERROR(__xludf.DUMMYFUNCTION("""COMPUTED_VALUE"""),"Yes")</f>
        <v>Yes</v>
      </c>
      <c r="AF178" s="5" t="str">
        <f ca="1">IFERROR(__xludf.DUMMYFUNCTION("""COMPUTED_VALUE"""),"Yes")</f>
        <v>Yes</v>
      </c>
      <c r="AG178" s="5" t="str">
        <f ca="1">IFERROR(__xludf.DUMMYFUNCTION("""COMPUTED_VALUE"""),"Yes")</f>
        <v>Yes</v>
      </c>
      <c r="AH178" s="5" t="str">
        <f ca="1">IFERROR(__xludf.DUMMYFUNCTION("""COMPUTED_VALUE"""),"Yes")</f>
        <v>Yes</v>
      </c>
      <c r="AI178" s="5" t="str">
        <f ca="1">IFERROR(__xludf.DUMMYFUNCTION("""COMPUTED_VALUE"""),"Yes")</f>
        <v>Yes</v>
      </c>
      <c r="AJ178" s="5" t="str">
        <f ca="1">IFERROR(__xludf.DUMMYFUNCTION("""COMPUTED_VALUE"""),"Yes")</f>
        <v>Yes</v>
      </c>
      <c r="AK178" s="5" t="str">
        <f ca="1">IFERROR(__xludf.DUMMYFUNCTION("""COMPUTED_VALUE"""),"Yes")</f>
        <v>Yes</v>
      </c>
      <c r="AL178" s="5" t="str">
        <f ca="1">IFERROR(__xludf.DUMMYFUNCTION("""COMPUTED_VALUE"""),"Yes")</f>
        <v>Yes</v>
      </c>
      <c r="AM178" s="5" t="str">
        <f ca="1">IFERROR(__xludf.DUMMYFUNCTION("""COMPUTED_VALUE"""),"Yes")</f>
        <v>Yes</v>
      </c>
      <c r="AN178" s="5" t="str">
        <f ca="1">IFERROR(__xludf.DUMMYFUNCTION("""COMPUTED_VALUE"""),"Yes")</f>
        <v>Yes</v>
      </c>
      <c r="AO178" s="5" t="str">
        <f ca="1">IFERROR(__xludf.DUMMYFUNCTION("""COMPUTED_VALUE"""),"Yes")</f>
        <v>Yes</v>
      </c>
      <c r="AP178" s="5" t="str">
        <f ca="1">IFERROR(__xludf.DUMMYFUNCTION("""COMPUTED_VALUE"""),"Yes")</f>
        <v>Yes</v>
      </c>
      <c r="AQ178" s="5" t="str">
        <f ca="1">IFERROR(__xludf.DUMMYFUNCTION("""COMPUTED_VALUE"""),"Yes")</f>
        <v>Yes</v>
      </c>
      <c r="AR178" s="5" t="str">
        <f ca="1">IFERROR(__xludf.DUMMYFUNCTION("""COMPUTED_VALUE"""),"Yes")</f>
        <v>Yes</v>
      </c>
      <c r="AS178" s="5" t="str">
        <f ca="1">IFERROR(__xludf.DUMMYFUNCTION("""COMPUTED_VALUE"""),"Yes")</f>
        <v>Yes</v>
      </c>
      <c r="AT178" s="5" t="str">
        <f ca="1">IFERROR(__xludf.DUMMYFUNCTION("""COMPUTED_VALUE"""),"No")</f>
        <v>No</v>
      </c>
      <c r="AU178" s="5"/>
    </row>
    <row r="179" spans="1:47" x14ac:dyDescent="0.25">
      <c r="A179" s="5" t="str">
        <f ca="1">IFERROR(__xludf.DUMMYFUNCTION("""COMPUTED_VALUE"""),"Foxi")</f>
        <v>Foxi</v>
      </c>
      <c r="B179" s="5" t="str">
        <f ca="1">IFERROR(__xludf.DUMMYFUNCTION("""COMPUTED_VALUE"""),"Bella's World")</f>
        <v>Bella's World</v>
      </c>
      <c r="C179" s="5" t="str">
        <f ca="1">IFERROR(__xludf.DUMMYFUNCTION("""COMPUTED_VALUE"""),"BellasWorld")</f>
        <v>BellasWorld</v>
      </c>
      <c r="D179" s="6">
        <f ca="1">IFERROR(__xludf.DUMMYFUNCTION("""COMPUTED_VALUE"""),45946)</f>
        <v>45946</v>
      </c>
      <c r="E179" s="5" t="str">
        <f ca="1">IFERROR(__xludf.DUMMYFUNCTION("""COMPUTED_VALUE"""),"Slot")</f>
        <v>Slot</v>
      </c>
      <c r="F179" s="5">
        <f ca="1">IFERROR(__xludf.DUMMYFUNCTION("""COMPUTED_VALUE"""),31.9)</f>
        <v>31.9</v>
      </c>
      <c r="G179" s="5" t="str">
        <f ca="1">IFERROR(__xludf.DUMMYFUNCTION("""COMPUTED_VALUE"""),"5x4")</f>
        <v>5x4</v>
      </c>
      <c r="H179" s="5">
        <f ca="1">IFERROR(__xludf.DUMMYFUNCTION("""COMPUTED_VALUE"""),40)</f>
        <v>40</v>
      </c>
      <c r="I179" s="5">
        <f ca="1">IFERROR(__xludf.DUMMYFUNCTION("""COMPUTED_VALUE"""),40)</f>
        <v>40</v>
      </c>
      <c r="J179" s="5" t="str">
        <f ca="1">IFERROR(__xludf.DUMMYFUNCTION("""COMPUTED_VALUE"""),"95.479%")</f>
        <v>95.479%</v>
      </c>
      <c r="K179" s="5" t="str">
        <f ca="1">IFERROR(__xludf.DUMMYFUNCTION("""COMPUTED_VALUE"""),"Medium")</f>
        <v>Medium</v>
      </c>
      <c r="L179" s="5" t="str">
        <f ca="1">IFERROR(__xludf.DUMMYFUNCTION("""COMPUTED_VALUE"""),"14.804%")</f>
        <v>14.804%</v>
      </c>
      <c r="M179" s="5" t="str">
        <f ca="1">IFERROR(__xludf.DUMMYFUNCTION("""COMPUTED_VALUE"""),"x1000")</f>
        <v>x1000</v>
      </c>
      <c r="N179" s="5" t="str">
        <f ca="1">IFERROR(__xludf.DUMMYFUNCTION("""COMPUTED_VALUE"""),"0.4/40")</f>
        <v>0.4/40</v>
      </c>
      <c r="O179" s="5" t="str">
        <f ca="1">IFERROR(__xludf.DUMMYFUNCTION("""COMPUTED_VALUE"""),"Yes")</f>
        <v>Yes</v>
      </c>
      <c r="P179" s="5" t="str">
        <f ca="1">IFERROR(__xludf.DUMMYFUNCTION("""COMPUTED_VALUE"""),"Wild Symbol, Scatter")</f>
        <v>Wild Symbol, Scatter</v>
      </c>
      <c r="Q179" s="7" t="str">
        <f ca="1">IFERROR(__xludf.DUMMYFUNCTION("""COMPUTED_VALUE"""),"https://gameserver-store-client-area.orbionlimited.com/Home/IntegrationGameLaunch/client-area?moneyType=0&amp;gameName=BellasWorld&amp;platform=desktop&amp;languageCode=eng&amp;currency=EUR")</f>
        <v>https://gameserver-store-client-area.orbionlimited.com/Home/IntegrationGameLaunch/client-area?moneyType=0&amp;gameName=BellasWorld&amp;platform=desktop&amp;languageCode=eng&amp;currency=EUR</v>
      </c>
      <c r="R179" s="5" t="str">
        <f ca="1">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S1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9" s="5" t="str">
        <f ca="1">IFERROR(__xludf.DUMMYFUNCTION("""COMPUTED_VALUE"""),"Yes")</f>
        <v>Yes</v>
      </c>
      <c r="U179" s="5" t="str">
        <f ca="1">IFERROR(__xludf.DUMMYFUNCTION("""COMPUTED_VALUE"""),"Yes")</f>
        <v>Yes</v>
      </c>
      <c r="V179" s="5" t="str">
        <f ca="1">IFERROR(__xludf.DUMMYFUNCTION("""COMPUTED_VALUE"""),"Yes")</f>
        <v>Yes</v>
      </c>
      <c r="W179" s="5" t="str">
        <f ca="1">IFERROR(__xludf.DUMMYFUNCTION("""COMPUTED_VALUE"""),"Yes")</f>
        <v>Yes</v>
      </c>
      <c r="X179" s="5" t="str">
        <f ca="1">IFERROR(__xludf.DUMMYFUNCTION("""COMPUTED_VALUE"""),"Yes")</f>
        <v>Yes</v>
      </c>
      <c r="Y179" s="5" t="str">
        <f ca="1">IFERROR(__xludf.DUMMYFUNCTION("""COMPUTED_VALUE"""),"Yes")</f>
        <v>Yes</v>
      </c>
      <c r="Z179" s="5" t="str">
        <f ca="1">IFERROR(__xludf.DUMMYFUNCTION("""COMPUTED_VALUE"""),"Yes")</f>
        <v>Yes</v>
      </c>
      <c r="AA179" s="5" t="str">
        <f ca="1">IFERROR(__xludf.DUMMYFUNCTION("""COMPUTED_VALUE"""),"Yes")</f>
        <v>Yes</v>
      </c>
      <c r="AB179" s="5" t="str">
        <f ca="1">IFERROR(__xludf.DUMMYFUNCTION("""COMPUTED_VALUE"""),"Yes")</f>
        <v>Yes</v>
      </c>
      <c r="AC179" s="5" t="str">
        <f ca="1">IFERROR(__xludf.DUMMYFUNCTION("""COMPUTED_VALUE"""),"Yes")</f>
        <v>Yes</v>
      </c>
      <c r="AD179" s="5" t="str">
        <f ca="1">IFERROR(__xludf.DUMMYFUNCTION("""COMPUTED_VALUE"""),"Yes")</f>
        <v>Yes</v>
      </c>
      <c r="AE179" s="5" t="str">
        <f ca="1">IFERROR(__xludf.DUMMYFUNCTION("""COMPUTED_VALUE"""),"Yes")</f>
        <v>Yes</v>
      </c>
      <c r="AF179" s="5" t="str">
        <f ca="1">IFERROR(__xludf.DUMMYFUNCTION("""COMPUTED_VALUE"""),"Yes")</f>
        <v>Yes</v>
      </c>
      <c r="AG179" s="5" t="str">
        <f ca="1">IFERROR(__xludf.DUMMYFUNCTION("""COMPUTED_VALUE"""),"Yes")</f>
        <v>Yes</v>
      </c>
      <c r="AH179" s="5" t="str">
        <f ca="1">IFERROR(__xludf.DUMMYFUNCTION("""COMPUTED_VALUE"""),"Yes")</f>
        <v>Yes</v>
      </c>
      <c r="AI179" s="5" t="str">
        <f ca="1">IFERROR(__xludf.DUMMYFUNCTION("""COMPUTED_VALUE"""),"Yes")</f>
        <v>Yes</v>
      </c>
      <c r="AJ179" s="5" t="str">
        <f ca="1">IFERROR(__xludf.DUMMYFUNCTION("""COMPUTED_VALUE"""),"Yes")</f>
        <v>Yes</v>
      </c>
      <c r="AK179" s="5" t="str">
        <f ca="1">IFERROR(__xludf.DUMMYFUNCTION("""COMPUTED_VALUE"""),"Yes")</f>
        <v>Yes</v>
      </c>
      <c r="AL179" s="5" t="str">
        <f ca="1">IFERROR(__xludf.DUMMYFUNCTION("""COMPUTED_VALUE"""),"Yes")</f>
        <v>Yes</v>
      </c>
      <c r="AM179" s="5" t="str">
        <f ca="1">IFERROR(__xludf.DUMMYFUNCTION("""COMPUTED_VALUE"""),"Yes")</f>
        <v>Yes</v>
      </c>
      <c r="AN179" s="5" t="str">
        <f ca="1">IFERROR(__xludf.DUMMYFUNCTION("""COMPUTED_VALUE"""),"Yes")</f>
        <v>Yes</v>
      </c>
      <c r="AO179" s="5" t="str">
        <f ca="1">IFERROR(__xludf.DUMMYFUNCTION("""COMPUTED_VALUE"""),"Yes")</f>
        <v>Yes</v>
      </c>
      <c r="AP179" s="5" t="str">
        <f ca="1">IFERROR(__xludf.DUMMYFUNCTION("""COMPUTED_VALUE"""),"Yes")</f>
        <v>Yes</v>
      </c>
      <c r="AQ179" s="5" t="str">
        <f ca="1">IFERROR(__xludf.DUMMYFUNCTION("""COMPUTED_VALUE"""),"Yes")</f>
        <v>Yes</v>
      </c>
      <c r="AR179" s="5" t="str">
        <f ca="1">IFERROR(__xludf.DUMMYFUNCTION("""COMPUTED_VALUE"""),"Yes")</f>
        <v>Yes</v>
      </c>
      <c r="AS179" s="5" t="str">
        <f ca="1">IFERROR(__xludf.DUMMYFUNCTION("""COMPUTED_VALUE"""),"Yes")</f>
        <v>Yes</v>
      </c>
      <c r="AT179" s="5" t="str">
        <f ca="1">IFERROR(__xludf.DUMMYFUNCTION("""COMPUTED_VALUE"""),"No")</f>
        <v>No</v>
      </c>
      <c r="AU179" s="5"/>
    </row>
    <row r="180" spans="1:47" x14ac:dyDescent="0.25">
      <c r="A180" s="5" t="str">
        <f ca="1">IFERROR(__xludf.DUMMYFUNCTION("""COMPUTED_VALUE"""),"Foxi")</f>
        <v>Foxi</v>
      </c>
      <c r="B180" s="5" t="str">
        <f ca="1">IFERROR(__xludf.DUMMYFUNCTION("""COMPUTED_VALUE"""),"Wild 27 Extreme")</f>
        <v>Wild 27 Extreme</v>
      </c>
      <c r="C180" s="5" t="str">
        <f ca="1">IFERROR(__xludf.DUMMYFUNCTION("""COMPUTED_VALUE"""),"Wild27Extreme")</f>
        <v>Wild27Extreme</v>
      </c>
      <c r="D180" s="6">
        <f ca="1">IFERROR(__xludf.DUMMYFUNCTION("""COMPUTED_VALUE"""),45981)</f>
        <v>45981</v>
      </c>
      <c r="E180" s="5" t="str">
        <f ca="1">IFERROR(__xludf.DUMMYFUNCTION("""COMPUTED_VALUE"""),"Slot")</f>
        <v>Slot</v>
      </c>
      <c r="F180" s="5">
        <f ca="1">IFERROR(__xludf.DUMMYFUNCTION("""COMPUTED_VALUE"""),12.62)</f>
        <v>12.62</v>
      </c>
      <c r="G180" s="5" t="str">
        <f ca="1">IFERROR(__xludf.DUMMYFUNCTION("""COMPUTED_VALUE"""),"3x3")</f>
        <v>3x3</v>
      </c>
      <c r="H180" s="5">
        <f ca="1">IFERROR(__xludf.DUMMYFUNCTION("""COMPUTED_VALUE"""),27)</f>
        <v>27</v>
      </c>
      <c r="I180" s="5">
        <f ca="1">IFERROR(__xludf.DUMMYFUNCTION("""COMPUTED_VALUE"""),27)</f>
        <v>27</v>
      </c>
      <c r="J180" s="5" t="str">
        <f ca="1">IFERROR(__xludf.DUMMYFUNCTION("""COMPUTED_VALUE"""),"96.516%")</f>
        <v>96.516%</v>
      </c>
      <c r="K180" s="5" t="str">
        <f ca="1">IFERROR(__xludf.DUMMYFUNCTION("""COMPUTED_VALUE"""),"High")</f>
        <v>High</v>
      </c>
      <c r="L180" s="5" t="str">
        <f ca="1">IFERROR(__xludf.DUMMYFUNCTION("""COMPUTED_VALUE"""),"6.72%")</f>
        <v>6.72%</v>
      </c>
      <c r="M180" s="5" t="str">
        <f ca="1">IFERROR(__xludf.DUMMYFUNCTION("""COMPUTED_VALUE"""),"x3240")</f>
        <v>x3240</v>
      </c>
      <c r="N180" s="5" t="str">
        <f ca="1">IFERROR(__xludf.DUMMYFUNCTION("""COMPUTED_VALUE"""),"0.1/50")</f>
        <v>0.1/50</v>
      </c>
      <c r="O180" s="5" t="str">
        <f ca="1">IFERROR(__xludf.DUMMYFUNCTION("""COMPUTED_VALUE"""),"Yes")</f>
        <v>Yes</v>
      </c>
      <c r="P180" s="5" t="str">
        <f ca="1">IFERROR(__xludf.DUMMYFUNCTION("""COMPUTED_VALUE"""),"Win Multiplier, Wild Symbol")</f>
        <v>Win Multiplier, Wild Symbol</v>
      </c>
      <c r="Q180" s="7" t="str">
        <f ca="1">IFERROR(__xludf.DUMMYFUNCTION("""COMPUTED_VALUE"""),"https://gameserver-store-client-area.orbionlimited.com/Home/IntegrationGameLaunch/client-area?moneyType=0&amp;gameName=Wild27Extreme&amp;platform=desktop&amp;languageCode=eng&amp;currency=EUR")</f>
        <v>https://gameserver-store-client-area.orbionlimited.com/Home/IntegrationGameLaunch/client-area?moneyType=0&amp;gameName=Wild27Extreme&amp;platform=desktop&amp;languageCode=eng&amp;currency=EUR</v>
      </c>
      <c r="R180" s="5" t="str">
        <f ca="1">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S1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0" s="5" t="str">
        <f ca="1">IFERROR(__xludf.DUMMYFUNCTION("""COMPUTED_VALUE"""),"Yes")</f>
        <v>Yes</v>
      </c>
      <c r="U180" s="5" t="str">
        <f ca="1">IFERROR(__xludf.DUMMYFUNCTION("""COMPUTED_VALUE"""),"Yes")</f>
        <v>Yes</v>
      </c>
      <c r="V180" s="5" t="str">
        <f ca="1">IFERROR(__xludf.DUMMYFUNCTION("""COMPUTED_VALUE"""),"Yes")</f>
        <v>Yes</v>
      </c>
      <c r="W180" s="5" t="str">
        <f ca="1">IFERROR(__xludf.DUMMYFUNCTION("""COMPUTED_VALUE"""),"Yes")</f>
        <v>Yes</v>
      </c>
      <c r="X180" s="5" t="str">
        <f ca="1">IFERROR(__xludf.DUMMYFUNCTION("""COMPUTED_VALUE"""),"Yes")</f>
        <v>Yes</v>
      </c>
      <c r="Y180" s="5" t="str">
        <f ca="1">IFERROR(__xludf.DUMMYFUNCTION("""COMPUTED_VALUE"""),"Yes")</f>
        <v>Yes</v>
      </c>
      <c r="Z180" s="5" t="str">
        <f ca="1">IFERROR(__xludf.DUMMYFUNCTION("""COMPUTED_VALUE"""),"Yes")</f>
        <v>Yes</v>
      </c>
      <c r="AA180" s="5" t="str">
        <f ca="1">IFERROR(__xludf.DUMMYFUNCTION("""COMPUTED_VALUE"""),"Yes")</f>
        <v>Yes</v>
      </c>
      <c r="AB180" s="5" t="str">
        <f ca="1">IFERROR(__xludf.DUMMYFUNCTION("""COMPUTED_VALUE"""),"Yes")</f>
        <v>Yes</v>
      </c>
      <c r="AC180" s="5" t="str">
        <f ca="1">IFERROR(__xludf.DUMMYFUNCTION("""COMPUTED_VALUE"""),"Yes")</f>
        <v>Yes</v>
      </c>
      <c r="AD180" s="5" t="str">
        <f ca="1">IFERROR(__xludf.DUMMYFUNCTION("""COMPUTED_VALUE"""),"Yes")</f>
        <v>Yes</v>
      </c>
      <c r="AE180" s="5" t="str">
        <f ca="1">IFERROR(__xludf.DUMMYFUNCTION("""COMPUTED_VALUE"""),"Yes")</f>
        <v>Yes</v>
      </c>
      <c r="AF180" s="5" t="str">
        <f ca="1">IFERROR(__xludf.DUMMYFUNCTION("""COMPUTED_VALUE"""),"Yes")</f>
        <v>Yes</v>
      </c>
      <c r="AG180" s="5" t="str">
        <f ca="1">IFERROR(__xludf.DUMMYFUNCTION("""COMPUTED_VALUE"""),"Yes")</f>
        <v>Yes</v>
      </c>
      <c r="AH180" s="5" t="str">
        <f ca="1">IFERROR(__xludf.DUMMYFUNCTION("""COMPUTED_VALUE"""),"Yes")</f>
        <v>Yes</v>
      </c>
      <c r="AI180" s="5" t="str">
        <f ca="1">IFERROR(__xludf.DUMMYFUNCTION("""COMPUTED_VALUE"""),"Yes")</f>
        <v>Yes</v>
      </c>
      <c r="AJ180" s="5" t="str">
        <f ca="1">IFERROR(__xludf.DUMMYFUNCTION("""COMPUTED_VALUE"""),"Yes")</f>
        <v>Yes</v>
      </c>
      <c r="AK180" s="5" t="str">
        <f ca="1">IFERROR(__xludf.DUMMYFUNCTION("""COMPUTED_VALUE"""),"Yes")</f>
        <v>Yes</v>
      </c>
      <c r="AL180" s="5" t="str">
        <f ca="1">IFERROR(__xludf.DUMMYFUNCTION("""COMPUTED_VALUE"""),"Yes")</f>
        <v>Yes</v>
      </c>
      <c r="AM180" s="5" t="str">
        <f ca="1">IFERROR(__xludf.DUMMYFUNCTION("""COMPUTED_VALUE"""),"Yes")</f>
        <v>Yes</v>
      </c>
      <c r="AN180" s="5" t="str">
        <f ca="1">IFERROR(__xludf.DUMMYFUNCTION("""COMPUTED_VALUE"""),"Yes")</f>
        <v>Yes</v>
      </c>
      <c r="AO180" s="5" t="str">
        <f ca="1">IFERROR(__xludf.DUMMYFUNCTION("""COMPUTED_VALUE"""),"Yes")</f>
        <v>Yes</v>
      </c>
      <c r="AP180" s="5" t="str">
        <f ca="1">IFERROR(__xludf.DUMMYFUNCTION("""COMPUTED_VALUE"""),"Yes")</f>
        <v>Yes</v>
      </c>
      <c r="AQ180" s="5" t="str">
        <f ca="1">IFERROR(__xludf.DUMMYFUNCTION("""COMPUTED_VALUE"""),"Yes")</f>
        <v>Yes</v>
      </c>
      <c r="AR180" s="5" t="str">
        <f ca="1">IFERROR(__xludf.DUMMYFUNCTION("""COMPUTED_VALUE"""),"Yes")</f>
        <v>Yes</v>
      </c>
      <c r="AS180" s="5" t="str">
        <f ca="1">IFERROR(__xludf.DUMMYFUNCTION("""COMPUTED_VALUE"""),"Yes")</f>
        <v>Yes</v>
      </c>
      <c r="AT180" s="5" t="str">
        <f ca="1">IFERROR(__xludf.DUMMYFUNCTION("""COMPUTED_VALUE"""),"No")</f>
        <v>No</v>
      </c>
      <c r="AU180" s="5"/>
    </row>
    <row r="181" spans="1:47" x14ac:dyDescent="0.25">
      <c r="A181" s="5" t="str">
        <f ca="1">IFERROR(__xludf.DUMMYFUNCTION("""COMPUTED_VALUE"""),"Foxi")</f>
        <v>Foxi</v>
      </c>
      <c r="B181" s="5" t="str">
        <f ca="1">IFERROR(__xludf.DUMMYFUNCTION("""COMPUTED_VALUE"""),"Macaco Da Fortuna")</f>
        <v>Macaco Da Fortuna</v>
      </c>
      <c r="C181" s="5" t="str">
        <f ca="1">IFERROR(__xludf.DUMMYFUNCTION("""COMPUTED_VALUE"""),"MacacoDaFortuna")</f>
        <v>MacacoDaFortuna</v>
      </c>
      <c r="D181" s="6">
        <f ca="1">IFERROR(__xludf.DUMMYFUNCTION("""COMPUTED_VALUE"""),46002)</f>
        <v>46002</v>
      </c>
      <c r="E181" s="5" t="str">
        <f ca="1">IFERROR(__xludf.DUMMYFUNCTION("""COMPUTED_VALUE"""),"Slot")</f>
        <v>Slot</v>
      </c>
      <c r="F181" s="5">
        <f ca="1">IFERROR(__xludf.DUMMYFUNCTION("""COMPUTED_VALUE"""),22.3)</f>
        <v>22.3</v>
      </c>
      <c r="G181" s="5" t="str">
        <f ca="1">IFERROR(__xludf.DUMMYFUNCTION("""COMPUTED_VALUE"""),"3x3")</f>
        <v>3x3</v>
      </c>
      <c r="H181" s="5">
        <f ca="1">IFERROR(__xludf.DUMMYFUNCTION("""COMPUTED_VALUE"""),5)</f>
        <v>5</v>
      </c>
      <c r="I181" s="5">
        <f ca="1">IFERROR(__xludf.DUMMYFUNCTION("""COMPUTED_VALUE"""),5)</f>
        <v>5</v>
      </c>
      <c r="J181" s="5" t="str">
        <f ca="1">IFERROR(__xludf.DUMMYFUNCTION("""COMPUTED_VALUE"""),"96.626%")</f>
        <v>96.626%</v>
      </c>
      <c r="K181" s="5" t="str">
        <f ca="1">IFERROR(__xludf.DUMMYFUNCTION("""COMPUTED_VALUE"""),"High")</f>
        <v>High</v>
      </c>
      <c r="L181" s="5" t="str">
        <f ca="1">IFERROR(__xludf.DUMMYFUNCTION("""COMPUTED_VALUE"""),"17.151%")</f>
        <v>17.151%</v>
      </c>
      <c r="M181" s="5" t="str">
        <f ca="1">IFERROR(__xludf.DUMMYFUNCTION("""COMPUTED_VALUE"""),"x7500")</f>
        <v>x7500</v>
      </c>
      <c r="N181" s="5" t="str">
        <f ca="1">IFERROR(__xludf.DUMMYFUNCTION("""COMPUTED_VALUE"""),"0.1/50")</f>
        <v>0.1/50</v>
      </c>
      <c r="O181" s="5"/>
      <c r="P181" s="5" t="str">
        <f ca="1">IFERROR(__xludf.DUMMYFUNCTION("""COMPUTED_VALUE"""),"Bonus Game with Special Symbol, Bonus Game with Multiplier, Wild Symbol, Buy Bonus")</f>
        <v>Bonus Game with Special Symbol, Bonus Game with Multiplier, Wild Symbol, Buy Bonus</v>
      </c>
      <c r="Q181" s="7" t="str">
        <f ca="1">IFERROR(__xludf.DUMMYFUNCTION("""COMPUTED_VALUE"""),"https://gameserver-store-client-area.orbionlimited.com/Home/IntegrationGameLaunch/client-area?moneyType=0&amp;gameName=MacacoDaFortuna&amp;platform=desktop&amp;languageCode=eng&amp;currency=EUR")</f>
        <v>https://gameserver-store-client-area.orbionlimited.com/Home/IntegrationGameLaunch/client-area?moneyType=0&amp;gameName=MacacoDaFortuna&amp;platform=desktop&amp;languageCode=eng&amp;currency=EUR</v>
      </c>
      <c r="R181" s="5" t="str">
        <f ca="1">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S1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1" s="5" t="str">
        <f ca="1">IFERROR(__xludf.DUMMYFUNCTION("""COMPUTED_VALUE"""),"Yes")</f>
        <v>Yes</v>
      </c>
      <c r="U181" s="5" t="str">
        <f ca="1">IFERROR(__xludf.DUMMYFUNCTION("""COMPUTED_VALUE"""),"Yes")</f>
        <v>Yes</v>
      </c>
      <c r="V181" s="5" t="str">
        <f ca="1">IFERROR(__xludf.DUMMYFUNCTION("""COMPUTED_VALUE"""),"Yes")</f>
        <v>Yes</v>
      </c>
      <c r="W181" s="5" t="str">
        <f ca="1">IFERROR(__xludf.DUMMYFUNCTION("""COMPUTED_VALUE"""),"Yes")</f>
        <v>Yes</v>
      </c>
      <c r="X181" s="5" t="str">
        <f ca="1">IFERROR(__xludf.DUMMYFUNCTION("""COMPUTED_VALUE"""),"Yes")</f>
        <v>Yes</v>
      </c>
      <c r="Y181" s="5" t="str">
        <f ca="1">IFERROR(__xludf.DUMMYFUNCTION("""COMPUTED_VALUE"""),"Yes")</f>
        <v>Yes</v>
      </c>
      <c r="Z181" s="5" t="str">
        <f ca="1">IFERROR(__xludf.DUMMYFUNCTION("""COMPUTED_VALUE"""),"Yes")</f>
        <v>Yes</v>
      </c>
      <c r="AA181" s="5" t="str">
        <f ca="1">IFERROR(__xludf.DUMMYFUNCTION("""COMPUTED_VALUE"""),"Yes")</f>
        <v>Yes</v>
      </c>
      <c r="AB181" s="5" t="str">
        <f ca="1">IFERROR(__xludf.DUMMYFUNCTION("""COMPUTED_VALUE"""),"Yes")</f>
        <v>Yes</v>
      </c>
      <c r="AC181" s="5" t="str">
        <f ca="1">IFERROR(__xludf.DUMMYFUNCTION("""COMPUTED_VALUE"""),"Yes")</f>
        <v>Yes</v>
      </c>
      <c r="AD181" s="5" t="str">
        <f ca="1">IFERROR(__xludf.DUMMYFUNCTION("""COMPUTED_VALUE"""),"Yes")</f>
        <v>Yes</v>
      </c>
      <c r="AE181" s="5" t="str">
        <f ca="1">IFERROR(__xludf.DUMMYFUNCTION("""COMPUTED_VALUE"""),"Yes")</f>
        <v>Yes</v>
      </c>
      <c r="AF181" s="5" t="str">
        <f ca="1">IFERROR(__xludf.DUMMYFUNCTION("""COMPUTED_VALUE"""),"Yes")</f>
        <v>Yes</v>
      </c>
      <c r="AG181" s="5" t="str">
        <f ca="1">IFERROR(__xludf.DUMMYFUNCTION("""COMPUTED_VALUE"""),"Yes")</f>
        <v>Yes</v>
      </c>
      <c r="AH181" s="5" t="str">
        <f ca="1">IFERROR(__xludf.DUMMYFUNCTION("""COMPUTED_VALUE"""),"Yes")</f>
        <v>Yes</v>
      </c>
      <c r="AI181" s="5" t="str">
        <f ca="1">IFERROR(__xludf.DUMMYFUNCTION("""COMPUTED_VALUE"""),"Yes")</f>
        <v>Yes</v>
      </c>
      <c r="AJ181" s="5" t="str">
        <f ca="1">IFERROR(__xludf.DUMMYFUNCTION("""COMPUTED_VALUE"""),"Yes")</f>
        <v>Yes</v>
      </c>
      <c r="AK181" s="5" t="str">
        <f ca="1">IFERROR(__xludf.DUMMYFUNCTION("""COMPUTED_VALUE"""),"Yes")</f>
        <v>Yes</v>
      </c>
      <c r="AL181" s="5" t="str">
        <f ca="1">IFERROR(__xludf.DUMMYFUNCTION("""COMPUTED_VALUE"""),"Yes")</f>
        <v>Yes</v>
      </c>
      <c r="AM181" s="5" t="str">
        <f ca="1">IFERROR(__xludf.DUMMYFUNCTION("""COMPUTED_VALUE"""),"Yes")</f>
        <v>Yes</v>
      </c>
      <c r="AN181" s="5" t="str">
        <f ca="1">IFERROR(__xludf.DUMMYFUNCTION("""COMPUTED_VALUE"""),"Yes")</f>
        <v>Yes</v>
      </c>
      <c r="AO181" s="5" t="str">
        <f ca="1">IFERROR(__xludf.DUMMYFUNCTION("""COMPUTED_VALUE"""),"Yes")</f>
        <v>Yes</v>
      </c>
      <c r="AP181" s="5" t="str">
        <f ca="1">IFERROR(__xludf.DUMMYFUNCTION("""COMPUTED_VALUE"""),"Yes")</f>
        <v>Yes</v>
      </c>
      <c r="AQ181" s="5" t="str">
        <f ca="1">IFERROR(__xludf.DUMMYFUNCTION("""COMPUTED_VALUE"""),"Yes")</f>
        <v>Yes</v>
      </c>
      <c r="AR181" s="5" t="str">
        <f ca="1">IFERROR(__xludf.DUMMYFUNCTION("""COMPUTED_VALUE"""),"Yes")</f>
        <v>Yes</v>
      </c>
      <c r="AS181" s="5" t="str">
        <f ca="1">IFERROR(__xludf.DUMMYFUNCTION("""COMPUTED_VALUE"""),"Yes")</f>
        <v>Yes</v>
      </c>
      <c r="AT181" s="5" t="str">
        <f ca="1">IFERROR(__xludf.DUMMYFUNCTION("""COMPUTED_VALUE"""),"No")</f>
        <v>No</v>
      </c>
      <c r="AU181" s="5"/>
    </row>
    <row r="182" spans="1:47" x14ac:dyDescent="0.25">
      <c r="A182" s="5" t="str">
        <f ca="1">IFERROR(__xludf.DUMMYFUNCTION("""COMPUTED_VALUE"""),"Foxi")</f>
        <v>Foxi</v>
      </c>
      <c r="B182" s="5" t="str">
        <f ca="1">IFERROR(__xludf.DUMMYFUNCTION("""COMPUTED_VALUE"""),"Giga Hot 40 Free Spins")</f>
        <v>Giga Hot 40 Free Spins</v>
      </c>
      <c r="C182" s="5" t="str">
        <f ca="1">IFERROR(__xludf.DUMMYFUNCTION("""COMPUTED_VALUE"""),"GigaHot40FreeSpins")</f>
        <v>GigaHot40FreeSpins</v>
      </c>
      <c r="D182" s="6">
        <f ca="1">IFERROR(__xludf.DUMMYFUNCTION("""COMPUTED_VALUE"""),45932)</f>
        <v>45932</v>
      </c>
      <c r="E182" s="5" t="str">
        <f ca="1">IFERROR(__xludf.DUMMYFUNCTION("""COMPUTED_VALUE"""),"Slot")</f>
        <v>Slot</v>
      </c>
      <c r="F182" s="5">
        <f ca="1">IFERROR(__xludf.DUMMYFUNCTION("""COMPUTED_VALUE"""),5.4)</f>
        <v>5.4</v>
      </c>
      <c r="G182" s="5" t="str">
        <f ca="1">IFERROR(__xludf.DUMMYFUNCTION("""COMPUTED_VALUE"""),"5x4")</f>
        <v>5x4</v>
      </c>
      <c r="H182" s="5">
        <f ca="1">IFERROR(__xludf.DUMMYFUNCTION("""COMPUTED_VALUE"""),40)</f>
        <v>40</v>
      </c>
      <c r="I182" s="5">
        <f ca="1">IFERROR(__xludf.DUMMYFUNCTION("""COMPUTED_VALUE"""),40)</f>
        <v>40</v>
      </c>
      <c r="J182" s="5" t="str">
        <f ca="1">IFERROR(__xludf.DUMMYFUNCTION("""COMPUTED_VALUE"""),"96.024%")</f>
        <v>96.024%</v>
      </c>
      <c r="K182" s="5" t="str">
        <f ca="1">IFERROR(__xludf.DUMMYFUNCTION("""COMPUTED_VALUE"""),"Low")</f>
        <v>Low</v>
      </c>
      <c r="L182" s="5" t="str">
        <f ca="1">IFERROR(__xludf.DUMMYFUNCTION("""COMPUTED_VALUE"""),"17.23%")</f>
        <v>17.23%</v>
      </c>
      <c r="M182" s="5" t="str">
        <f ca="1">IFERROR(__xludf.DUMMYFUNCTION("""COMPUTED_VALUE"""),"x1046")</f>
        <v>x1046</v>
      </c>
      <c r="N182" s="5" t="str">
        <f ca="1">IFERROR(__xludf.DUMMYFUNCTION("""COMPUTED_VALUE"""),"0.4/60")</f>
        <v>0.4/60</v>
      </c>
      <c r="O182" s="5" t="str">
        <f ca="1">IFERROR(__xludf.DUMMYFUNCTION("""COMPUTED_VALUE"""),"Yes")</f>
        <v>Yes</v>
      </c>
      <c r="P182" s="5" t="str">
        <f ca="1">IFERROR(__xludf.DUMMYFUNCTION("""COMPUTED_VALUE"""),"Buy Bonus, Bonus Game with Free Spins, Wild Symbol")</f>
        <v>Buy Bonus, Bonus Game with Free Spins, Wild Symbol</v>
      </c>
      <c r="Q182" s="7" t="str">
        <f ca="1">IFERROR(__xludf.DUMMYFUNCTION("""COMPUTED_VALUE"""),"https://gameserver-store-client-area.orbionlimited.com/Home/IntegrationGameLaunch/client-area?moneyType=0&amp;gameName=GigaHot40FreeSpins&amp;platform=desktop&amp;languageCode=eng&amp;currency=EUR")</f>
        <v>https://gameserver-store-client-area.orbionlimited.com/Home/IntegrationGameLaunch/client-area?moneyType=0&amp;gameName=GigaHot40FreeSpins&amp;platform=desktop&amp;languageCode=eng&amp;currency=EUR</v>
      </c>
      <c r="R182" s="5" t="str">
        <f ca="1">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S1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2" s="5" t="str">
        <f ca="1">IFERROR(__xludf.DUMMYFUNCTION("""COMPUTED_VALUE"""),"Yes")</f>
        <v>Yes</v>
      </c>
      <c r="U182" s="5" t="str">
        <f ca="1">IFERROR(__xludf.DUMMYFUNCTION("""COMPUTED_VALUE"""),"Yes")</f>
        <v>Yes</v>
      </c>
      <c r="V182" s="5" t="str">
        <f ca="1">IFERROR(__xludf.DUMMYFUNCTION("""COMPUTED_VALUE"""),"Yes")</f>
        <v>Yes</v>
      </c>
      <c r="W182" s="5" t="str">
        <f ca="1">IFERROR(__xludf.DUMMYFUNCTION("""COMPUTED_VALUE"""),"Yes")</f>
        <v>Yes</v>
      </c>
      <c r="X182" s="5" t="str">
        <f ca="1">IFERROR(__xludf.DUMMYFUNCTION("""COMPUTED_VALUE"""),"Yes")</f>
        <v>Yes</v>
      </c>
      <c r="Y182" s="5" t="str">
        <f ca="1">IFERROR(__xludf.DUMMYFUNCTION("""COMPUTED_VALUE"""),"Yes")</f>
        <v>Yes</v>
      </c>
      <c r="Z182" s="5" t="str">
        <f ca="1">IFERROR(__xludf.DUMMYFUNCTION("""COMPUTED_VALUE"""),"Yes")</f>
        <v>Yes</v>
      </c>
      <c r="AA182" s="5" t="str">
        <f ca="1">IFERROR(__xludf.DUMMYFUNCTION("""COMPUTED_VALUE"""),"Yes")</f>
        <v>Yes</v>
      </c>
      <c r="AB182" s="5" t="str">
        <f ca="1">IFERROR(__xludf.DUMMYFUNCTION("""COMPUTED_VALUE"""),"Yes")</f>
        <v>Yes</v>
      </c>
      <c r="AC182" s="5" t="str">
        <f ca="1">IFERROR(__xludf.DUMMYFUNCTION("""COMPUTED_VALUE"""),"Yes")</f>
        <v>Yes</v>
      </c>
      <c r="AD182" s="5" t="str">
        <f ca="1">IFERROR(__xludf.DUMMYFUNCTION("""COMPUTED_VALUE"""),"Yes")</f>
        <v>Yes</v>
      </c>
      <c r="AE182" s="5" t="str">
        <f ca="1">IFERROR(__xludf.DUMMYFUNCTION("""COMPUTED_VALUE"""),"Yes")</f>
        <v>Yes</v>
      </c>
      <c r="AF182" s="5" t="str">
        <f ca="1">IFERROR(__xludf.DUMMYFUNCTION("""COMPUTED_VALUE"""),"Yes")</f>
        <v>Yes</v>
      </c>
      <c r="AG182" s="5" t="str">
        <f ca="1">IFERROR(__xludf.DUMMYFUNCTION("""COMPUTED_VALUE"""),"Yes")</f>
        <v>Yes</v>
      </c>
      <c r="AH182" s="5" t="str">
        <f ca="1">IFERROR(__xludf.DUMMYFUNCTION("""COMPUTED_VALUE"""),"Yes")</f>
        <v>Yes</v>
      </c>
      <c r="AI182" s="5" t="str">
        <f ca="1">IFERROR(__xludf.DUMMYFUNCTION("""COMPUTED_VALUE"""),"Yes")</f>
        <v>Yes</v>
      </c>
      <c r="AJ182" s="5" t="str">
        <f ca="1">IFERROR(__xludf.DUMMYFUNCTION("""COMPUTED_VALUE"""),"Yes")</f>
        <v>Yes</v>
      </c>
      <c r="AK182" s="5" t="str">
        <f ca="1">IFERROR(__xludf.DUMMYFUNCTION("""COMPUTED_VALUE"""),"Yes")</f>
        <v>Yes</v>
      </c>
      <c r="AL182" s="5" t="str">
        <f ca="1">IFERROR(__xludf.DUMMYFUNCTION("""COMPUTED_VALUE"""),"Yes")</f>
        <v>Yes</v>
      </c>
      <c r="AM182" s="5" t="str">
        <f ca="1">IFERROR(__xludf.DUMMYFUNCTION("""COMPUTED_VALUE"""),"Yes")</f>
        <v>Yes</v>
      </c>
      <c r="AN182" s="5" t="str">
        <f ca="1">IFERROR(__xludf.DUMMYFUNCTION("""COMPUTED_VALUE"""),"Yes")</f>
        <v>Yes</v>
      </c>
      <c r="AO182" s="5" t="str">
        <f ca="1">IFERROR(__xludf.DUMMYFUNCTION("""COMPUTED_VALUE"""),"Yes")</f>
        <v>Yes</v>
      </c>
      <c r="AP182" s="5" t="str">
        <f ca="1">IFERROR(__xludf.DUMMYFUNCTION("""COMPUTED_VALUE"""),"Yes")</f>
        <v>Yes</v>
      </c>
      <c r="AQ182" s="5" t="str">
        <f ca="1">IFERROR(__xludf.DUMMYFUNCTION("""COMPUTED_VALUE"""),"Yes")</f>
        <v>Yes</v>
      </c>
      <c r="AR182" s="5" t="str">
        <f ca="1">IFERROR(__xludf.DUMMYFUNCTION("""COMPUTED_VALUE"""),"Yes")</f>
        <v>Yes</v>
      </c>
      <c r="AS182" s="5" t="str">
        <f ca="1">IFERROR(__xludf.DUMMYFUNCTION("""COMPUTED_VALUE"""),"Yes")</f>
        <v>Yes</v>
      </c>
      <c r="AT182" s="5" t="str">
        <f ca="1">IFERROR(__xludf.DUMMYFUNCTION("""COMPUTED_VALUE"""),"No")</f>
        <v>No</v>
      </c>
      <c r="AU182" s="5"/>
    </row>
    <row r="183" spans="1:47" x14ac:dyDescent="0.25">
      <c r="A183" s="5" t="str">
        <f ca="1">IFERROR(__xludf.DUMMYFUNCTION("""COMPUTED_VALUE"""),"Foxi")</f>
        <v>Foxi</v>
      </c>
      <c r="B183" s="5" t="str">
        <f ca="1">IFERROR(__xludf.DUMMYFUNCTION("""COMPUTED_VALUE"""),"Very Hot 5 Christmas Booster")</f>
        <v>Very Hot 5 Christmas Booster</v>
      </c>
      <c r="C183" s="5" t="str">
        <f ca="1">IFERROR(__xludf.DUMMYFUNCTION("""COMPUTED_VALUE"""),"VeryHot5ChristmasBooster")</f>
        <v>VeryHot5ChristmasBooster</v>
      </c>
      <c r="D183" s="6">
        <f ca="1">IFERROR(__xludf.DUMMYFUNCTION("""COMPUTED_VALUE"""),45967)</f>
        <v>45967</v>
      </c>
      <c r="E183" s="5" t="str">
        <f ca="1">IFERROR(__xludf.DUMMYFUNCTION("""COMPUTED_VALUE"""),"Slot")</f>
        <v>Slot</v>
      </c>
      <c r="F183" s="5">
        <f ca="1">IFERROR(__xludf.DUMMYFUNCTION("""COMPUTED_VALUE"""),19.3)</f>
        <v>19.3</v>
      </c>
      <c r="G183" s="5" t="str">
        <f ca="1">IFERROR(__xludf.DUMMYFUNCTION("""COMPUTED_VALUE"""),"5x3")</f>
        <v>5x3</v>
      </c>
      <c r="H183" s="5">
        <f ca="1">IFERROR(__xludf.DUMMYFUNCTION("""COMPUTED_VALUE"""),5)</f>
        <v>5</v>
      </c>
      <c r="I183" s="5">
        <f ca="1">IFERROR(__xludf.DUMMYFUNCTION("""COMPUTED_VALUE"""),5)</f>
        <v>5</v>
      </c>
      <c r="J183" s="5" t="str">
        <f ca="1">IFERROR(__xludf.DUMMYFUNCTION("""COMPUTED_VALUE"""),"96.447%")</f>
        <v>96.447%</v>
      </c>
      <c r="K183" s="5" t="str">
        <f ca="1">IFERROR(__xludf.DUMMYFUNCTION("""COMPUTED_VALUE"""),"Medium")</f>
        <v>Medium</v>
      </c>
      <c r="L183" s="5" t="str">
        <f ca="1">IFERROR(__xludf.DUMMYFUNCTION("""COMPUTED_VALUE"""),"14.51%")</f>
        <v>14.51%</v>
      </c>
      <c r="M183" s="5" t="str">
        <f ca="1">IFERROR(__xludf.DUMMYFUNCTION("""COMPUTED_VALUE"""),"x1222")</f>
        <v>x1222</v>
      </c>
      <c r="N183" s="5" t="str">
        <f ca="1">IFERROR(__xludf.DUMMYFUNCTION("""COMPUTED_VALUE"""),"0.5/30")</f>
        <v>0.5/30</v>
      </c>
      <c r="O183" s="5" t="str">
        <f ca="1">IFERROR(__xludf.DUMMYFUNCTION("""COMPUTED_VALUE"""),"Yes")</f>
        <v>Yes</v>
      </c>
      <c r="P183" s="5" t="str">
        <f ca="1">IFERROR(__xludf.DUMMYFUNCTION("""COMPUTED_VALUE"""),"Buy Feature")</f>
        <v>Buy Feature</v>
      </c>
      <c r="Q183" s="7" t="str">
        <f ca="1">IFERROR(__xludf.DUMMYFUNCTION("""COMPUTED_VALUE"""),"https://gameserver-store-client-area.orbionlimited.com/Home/IntegrationGameLaunch/client-area?moneyType=0&amp;gameName=VeryHot5ChristmasBooster&amp;platform=desktop&amp;languageCode=eng&amp;currency=EUR")</f>
        <v>https://gameserver-store-client-area.orbionlimited.com/Home/IntegrationGameLaunch/client-area?moneyType=0&amp;gameName=VeryHot5ChristmasBooster&amp;platform=desktop&amp;languageCode=eng&amp;currency=EUR</v>
      </c>
      <c r="R183" s="5" t="str">
        <f ca="1">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S1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3" s="5" t="str">
        <f ca="1">IFERROR(__xludf.DUMMYFUNCTION("""COMPUTED_VALUE"""),"Yes")</f>
        <v>Yes</v>
      </c>
      <c r="U183" s="5" t="str">
        <f ca="1">IFERROR(__xludf.DUMMYFUNCTION("""COMPUTED_VALUE"""),"Yes")</f>
        <v>Yes</v>
      </c>
      <c r="V183" s="5" t="str">
        <f ca="1">IFERROR(__xludf.DUMMYFUNCTION("""COMPUTED_VALUE"""),"Yes")</f>
        <v>Yes</v>
      </c>
      <c r="W183" s="5" t="str">
        <f ca="1">IFERROR(__xludf.DUMMYFUNCTION("""COMPUTED_VALUE"""),"Yes")</f>
        <v>Yes</v>
      </c>
      <c r="X183" s="5" t="str">
        <f ca="1">IFERROR(__xludf.DUMMYFUNCTION("""COMPUTED_VALUE"""),"Yes")</f>
        <v>Yes</v>
      </c>
      <c r="Y183" s="5" t="str">
        <f ca="1">IFERROR(__xludf.DUMMYFUNCTION("""COMPUTED_VALUE"""),"Yes")</f>
        <v>Yes</v>
      </c>
      <c r="Z183" s="5" t="str">
        <f ca="1">IFERROR(__xludf.DUMMYFUNCTION("""COMPUTED_VALUE"""),"Yes")</f>
        <v>Yes</v>
      </c>
      <c r="AA183" s="5" t="str">
        <f ca="1">IFERROR(__xludf.DUMMYFUNCTION("""COMPUTED_VALUE"""),"Yes")</f>
        <v>Yes</v>
      </c>
      <c r="AB183" s="5" t="str">
        <f ca="1">IFERROR(__xludf.DUMMYFUNCTION("""COMPUTED_VALUE"""),"Yes")</f>
        <v>Yes</v>
      </c>
      <c r="AC183" s="5" t="str">
        <f ca="1">IFERROR(__xludf.DUMMYFUNCTION("""COMPUTED_VALUE"""),"Yes")</f>
        <v>Yes</v>
      </c>
      <c r="AD183" s="5" t="str">
        <f ca="1">IFERROR(__xludf.DUMMYFUNCTION("""COMPUTED_VALUE"""),"Yes")</f>
        <v>Yes</v>
      </c>
      <c r="AE183" s="5" t="str">
        <f ca="1">IFERROR(__xludf.DUMMYFUNCTION("""COMPUTED_VALUE"""),"Yes")</f>
        <v>Yes</v>
      </c>
      <c r="AF183" s="5" t="str">
        <f ca="1">IFERROR(__xludf.DUMMYFUNCTION("""COMPUTED_VALUE"""),"Yes")</f>
        <v>Yes</v>
      </c>
      <c r="AG183" s="5" t="str">
        <f ca="1">IFERROR(__xludf.DUMMYFUNCTION("""COMPUTED_VALUE"""),"Yes")</f>
        <v>Yes</v>
      </c>
      <c r="AH183" s="5" t="str">
        <f ca="1">IFERROR(__xludf.DUMMYFUNCTION("""COMPUTED_VALUE"""),"Yes")</f>
        <v>Yes</v>
      </c>
      <c r="AI183" s="5" t="str">
        <f ca="1">IFERROR(__xludf.DUMMYFUNCTION("""COMPUTED_VALUE"""),"Yes")</f>
        <v>Yes</v>
      </c>
      <c r="AJ183" s="5" t="str">
        <f ca="1">IFERROR(__xludf.DUMMYFUNCTION("""COMPUTED_VALUE"""),"Yes")</f>
        <v>Yes</v>
      </c>
      <c r="AK183" s="5" t="str">
        <f ca="1">IFERROR(__xludf.DUMMYFUNCTION("""COMPUTED_VALUE"""),"Yes")</f>
        <v>Yes</v>
      </c>
      <c r="AL183" s="5" t="str">
        <f ca="1">IFERROR(__xludf.DUMMYFUNCTION("""COMPUTED_VALUE"""),"Yes")</f>
        <v>Yes</v>
      </c>
      <c r="AM183" s="5" t="str">
        <f ca="1">IFERROR(__xludf.DUMMYFUNCTION("""COMPUTED_VALUE"""),"Yes")</f>
        <v>Yes</v>
      </c>
      <c r="AN183" s="5" t="str">
        <f ca="1">IFERROR(__xludf.DUMMYFUNCTION("""COMPUTED_VALUE"""),"Yes")</f>
        <v>Yes</v>
      </c>
      <c r="AO183" s="5" t="str">
        <f ca="1">IFERROR(__xludf.DUMMYFUNCTION("""COMPUTED_VALUE"""),"Yes")</f>
        <v>Yes</v>
      </c>
      <c r="AP183" s="5" t="str">
        <f ca="1">IFERROR(__xludf.DUMMYFUNCTION("""COMPUTED_VALUE"""),"Yes")</f>
        <v>Yes</v>
      </c>
      <c r="AQ183" s="5" t="str">
        <f ca="1">IFERROR(__xludf.DUMMYFUNCTION("""COMPUTED_VALUE"""),"Yes")</f>
        <v>Yes</v>
      </c>
      <c r="AR183" s="5" t="str">
        <f ca="1">IFERROR(__xludf.DUMMYFUNCTION("""COMPUTED_VALUE"""),"Yes")</f>
        <v>Yes</v>
      </c>
      <c r="AS183" s="5" t="str">
        <f ca="1">IFERROR(__xludf.DUMMYFUNCTION("""COMPUTED_VALUE"""),"Yes")</f>
        <v>Yes</v>
      </c>
      <c r="AT183" s="5" t="str">
        <f ca="1">IFERROR(__xludf.DUMMYFUNCTION("""COMPUTED_VALUE"""),"No")</f>
        <v>No</v>
      </c>
      <c r="AU183" s="5"/>
    </row>
    <row r="184" spans="1:47" x14ac:dyDescent="0.25">
      <c r="A184" s="5" t="str">
        <f ca="1">IFERROR(__xludf.DUMMYFUNCTION("""COMPUTED_VALUE"""),"Foxi")</f>
        <v>Foxi</v>
      </c>
      <c r="B184" s="5" t="str">
        <f ca="1">IFERROR(__xludf.DUMMYFUNCTION("""COMPUTED_VALUE"""),"Taxi Rush")</f>
        <v>Taxi Rush</v>
      </c>
      <c r="C184" s="5" t="str">
        <f ca="1">IFERROR(__xludf.DUMMYFUNCTION("""COMPUTED_VALUE"""),"TaxiRush")</f>
        <v>TaxiRush</v>
      </c>
      <c r="D184" s="6">
        <f ca="1">IFERROR(__xludf.DUMMYFUNCTION("""COMPUTED_VALUE"""),45988)</f>
        <v>45988</v>
      </c>
      <c r="E184" s="5" t="str">
        <f ca="1">IFERROR(__xludf.DUMMYFUNCTION("""COMPUTED_VALUE"""),"Slot")</f>
        <v>Slot</v>
      </c>
      <c r="F184" s="5">
        <f ca="1">IFERROR(__xludf.DUMMYFUNCTION("""COMPUTED_VALUE"""),34.4)</f>
        <v>34.4</v>
      </c>
      <c r="G184" s="5" t="str">
        <f ca="1">IFERROR(__xludf.DUMMYFUNCTION("""COMPUTED_VALUE"""),"5x4")</f>
        <v>5x4</v>
      </c>
      <c r="H184" s="5">
        <f ca="1">IFERROR(__xludf.DUMMYFUNCTION("""COMPUTED_VALUE"""),20)</f>
        <v>20</v>
      </c>
      <c r="I184" s="5">
        <f ca="1">IFERROR(__xludf.DUMMYFUNCTION("""COMPUTED_VALUE"""),20)</f>
        <v>20</v>
      </c>
      <c r="J184" s="5" t="str">
        <f ca="1">IFERROR(__xludf.DUMMYFUNCTION("""COMPUTED_VALUE"""),"96.393%")</f>
        <v>96.393%</v>
      </c>
      <c r="K184" s="5" t="str">
        <f ca="1">IFERROR(__xludf.DUMMYFUNCTION("""COMPUTED_VALUE"""),"High")</f>
        <v>High</v>
      </c>
      <c r="L184" s="5" t="str">
        <f ca="1">IFERROR(__xludf.DUMMYFUNCTION("""COMPUTED_VALUE"""),"11.685%")</f>
        <v>11.685%</v>
      </c>
      <c r="M184" s="5" t="str">
        <f ca="1">IFERROR(__xludf.DUMMYFUNCTION("""COMPUTED_VALUE"""),"x24000")</f>
        <v>x24000</v>
      </c>
      <c r="N184" s="5" t="str">
        <f ca="1">IFERROR(__xludf.DUMMYFUNCTION("""COMPUTED_VALUE"""),"0.02/50")</f>
        <v>0.02/50</v>
      </c>
      <c r="O184" s="5" t="str">
        <f ca="1">IFERROR(__xludf.DUMMYFUNCTION("""COMPUTED_VALUE"""),"Yes")</f>
        <v>Yes</v>
      </c>
      <c r="P184" s="5" t="str">
        <f ca="1">IFERROR(__xludf.DUMMYFUNCTION("""COMPUTED_VALUE"""),"Win Multiplier, Win Multiplier, Buy Bonus")</f>
        <v>Win Multiplier, Win Multiplier, Buy Bonus</v>
      </c>
      <c r="Q184" s="7" t="str">
        <f ca="1">IFERROR(__xludf.DUMMYFUNCTION("""COMPUTED_VALUE"""),"https://gameserver-store-client-area.orbionlimited.com/Home/IntegrationGameLaunch/client-area?moneyType=0&amp;gameName=TaxiRush&amp;platform=desktop&amp;languageCode=eng&amp;currency=EUR")</f>
        <v>https://gameserver-store-client-area.orbionlimited.com/Home/IntegrationGameLaunch/client-area?moneyType=0&amp;gameName=TaxiRush&amp;platform=desktop&amp;languageCode=eng&amp;currency=EUR</v>
      </c>
      <c r="R184" s="5" t="str">
        <f ca="1">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S1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4" s="5" t="str">
        <f ca="1">IFERROR(__xludf.DUMMYFUNCTION("""COMPUTED_VALUE"""),"Yes")</f>
        <v>Yes</v>
      </c>
      <c r="U184" s="5" t="str">
        <f ca="1">IFERROR(__xludf.DUMMYFUNCTION("""COMPUTED_VALUE"""),"Yes")</f>
        <v>Yes</v>
      </c>
      <c r="V184" s="5" t="str">
        <f ca="1">IFERROR(__xludf.DUMMYFUNCTION("""COMPUTED_VALUE"""),"Yes")</f>
        <v>Yes</v>
      </c>
      <c r="W184" s="5" t="str">
        <f ca="1">IFERROR(__xludf.DUMMYFUNCTION("""COMPUTED_VALUE"""),"Yes")</f>
        <v>Yes</v>
      </c>
      <c r="X184" s="5" t="str">
        <f ca="1">IFERROR(__xludf.DUMMYFUNCTION("""COMPUTED_VALUE"""),"Yes")</f>
        <v>Yes</v>
      </c>
      <c r="Y184" s="5" t="str">
        <f ca="1">IFERROR(__xludf.DUMMYFUNCTION("""COMPUTED_VALUE"""),"Yes")</f>
        <v>Yes</v>
      </c>
      <c r="Z184" s="5" t="str">
        <f ca="1">IFERROR(__xludf.DUMMYFUNCTION("""COMPUTED_VALUE"""),"Yes")</f>
        <v>Yes</v>
      </c>
      <c r="AA184" s="5" t="str">
        <f ca="1">IFERROR(__xludf.DUMMYFUNCTION("""COMPUTED_VALUE"""),"Yes")</f>
        <v>Yes</v>
      </c>
      <c r="AB184" s="5" t="str">
        <f ca="1">IFERROR(__xludf.DUMMYFUNCTION("""COMPUTED_VALUE"""),"Yes")</f>
        <v>Yes</v>
      </c>
      <c r="AC184" s="5" t="str">
        <f ca="1">IFERROR(__xludf.DUMMYFUNCTION("""COMPUTED_VALUE"""),"Yes")</f>
        <v>Yes</v>
      </c>
      <c r="AD184" s="5" t="str">
        <f ca="1">IFERROR(__xludf.DUMMYFUNCTION("""COMPUTED_VALUE"""),"Yes")</f>
        <v>Yes</v>
      </c>
      <c r="AE184" s="5" t="str">
        <f ca="1">IFERROR(__xludf.DUMMYFUNCTION("""COMPUTED_VALUE"""),"Yes")</f>
        <v>Yes</v>
      </c>
      <c r="AF184" s="5" t="str">
        <f ca="1">IFERROR(__xludf.DUMMYFUNCTION("""COMPUTED_VALUE"""),"Yes")</f>
        <v>Yes</v>
      </c>
      <c r="AG184" s="5" t="str">
        <f ca="1">IFERROR(__xludf.DUMMYFUNCTION("""COMPUTED_VALUE"""),"Yes")</f>
        <v>Yes</v>
      </c>
      <c r="AH184" s="5" t="str">
        <f ca="1">IFERROR(__xludf.DUMMYFUNCTION("""COMPUTED_VALUE"""),"Yes")</f>
        <v>Yes</v>
      </c>
      <c r="AI184" s="5" t="str">
        <f ca="1">IFERROR(__xludf.DUMMYFUNCTION("""COMPUTED_VALUE"""),"Yes")</f>
        <v>Yes</v>
      </c>
      <c r="AJ184" s="5" t="str">
        <f ca="1">IFERROR(__xludf.DUMMYFUNCTION("""COMPUTED_VALUE"""),"Yes")</f>
        <v>Yes</v>
      </c>
      <c r="AK184" s="5" t="str">
        <f ca="1">IFERROR(__xludf.DUMMYFUNCTION("""COMPUTED_VALUE"""),"Yes")</f>
        <v>Yes</v>
      </c>
      <c r="AL184" s="5" t="str">
        <f ca="1">IFERROR(__xludf.DUMMYFUNCTION("""COMPUTED_VALUE"""),"Yes")</f>
        <v>Yes</v>
      </c>
      <c r="AM184" s="5" t="str">
        <f ca="1">IFERROR(__xludf.DUMMYFUNCTION("""COMPUTED_VALUE"""),"Yes")</f>
        <v>Yes</v>
      </c>
      <c r="AN184" s="5" t="str">
        <f ca="1">IFERROR(__xludf.DUMMYFUNCTION("""COMPUTED_VALUE"""),"Yes")</f>
        <v>Yes</v>
      </c>
      <c r="AO184" s="5" t="str">
        <f ca="1">IFERROR(__xludf.DUMMYFUNCTION("""COMPUTED_VALUE"""),"Yes")</f>
        <v>Yes</v>
      </c>
      <c r="AP184" s="5" t="str">
        <f ca="1">IFERROR(__xludf.DUMMYFUNCTION("""COMPUTED_VALUE"""),"Yes")</f>
        <v>Yes</v>
      </c>
      <c r="AQ184" s="5" t="str">
        <f ca="1">IFERROR(__xludf.DUMMYFUNCTION("""COMPUTED_VALUE"""),"Yes")</f>
        <v>Yes</v>
      </c>
      <c r="AR184" s="5" t="str">
        <f ca="1">IFERROR(__xludf.DUMMYFUNCTION("""COMPUTED_VALUE"""),"Yes")</f>
        <v>Yes</v>
      </c>
      <c r="AS184" s="5" t="str">
        <f ca="1">IFERROR(__xludf.DUMMYFUNCTION("""COMPUTED_VALUE"""),"Yes")</f>
        <v>Yes</v>
      </c>
      <c r="AT184" s="5" t="str">
        <f ca="1">IFERROR(__xludf.DUMMYFUNCTION("""COMPUTED_VALUE"""),"No")</f>
        <v>No</v>
      </c>
      <c r="AU184" s="5"/>
    </row>
    <row r="185" spans="1:47" x14ac:dyDescent="0.25">
      <c r="A185" s="5" t="str">
        <f ca="1">IFERROR(__xludf.DUMMYFUNCTION("""COMPUTED_VALUE"""),"Foxi")</f>
        <v>Foxi</v>
      </c>
      <c r="B185" s="5" t="str">
        <f ca="1">IFERROR(__xludf.DUMMYFUNCTION("""COMPUTED_VALUE"""),"Wild Hot 40 Hold&amp;Win")</f>
        <v>Wild Hot 40 Hold&amp;Win</v>
      </c>
      <c r="C185" s="5" t="str">
        <f ca="1">IFERROR(__xludf.DUMMYFUNCTION("""COMPUTED_VALUE"""),"WildHot40HoldAndWin")</f>
        <v>WildHot40HoldAndWin</v>
      </c>
      <c r="D185" s="6">
        <f ca="1">IFERROR(__xludf.DUMMYFUNCTION("""COMPUTED_VALUE"""),45995)</f>
        <v>45995</v>
      </c>
      <c r="E185" s="5" t="str">
        <f ca="1">IFERROR(__xludf.DUMMYFUNCTION("""COMPUTED_VALUE"""),"Slot")</f>
        <v>Slot</v>
      </c>
      <c r="F185" s="5">
        <f ca="1">IFERROR(__xludf.DUMMYFUNCTION("""COMPUTED_VALUE"""),21.4)</f>
        <v>21.4</v>
      </c>
      <c r="G185" s="5" t="str">
        <f ca="1">IFERROR(__xludf.DUMMYFUNCTION("""COMPUTED_VALUE"""),"5x4")</f>
        <v>5x4</v>
      </c>
      <c r="H185" s="5">
        <f ca="1">IFERROR(__xludf.DUMMYFUNCTION("""COMPUTED_VALUE"""),40)</f>
        <v>40</v>
      </c>
      <c r="I185" s="5">
        <f ca="1">IFERROR(__xludf.DUMMYFUNCTION("""COMPUTED_VALUE"""),40)</f>
        <v>40</v>
      </c>
      <c r="J185" s="5" t="str">
        <f ca="1">IFERROR(__xludf.DUMMYFUNCTION("""COMPUTED_VALUE"""),"96.584%")</f>
        <v>96.584%</v>
      </c>
      <c r="K185" s="5" t="str">
        <f ca="1">IFERROR(__xludf.DUMMYFUNCTION("""COMPUTED_VALUE"""),"Medium")</f>
        <v>Medium</v>
      </c>
      <c r="L185" s="5" t="str">
        <f ca="1">IFERROR(__xludf.DUMMYFUNCTION("""COMPUTED_VALUE"""),"17.255%")</f>
        <v>17.255%</v>
      </c>
      <c r="M185" s="5" t="str">
        <f ca="1">IFERROR(__xludf.DUMMYFUNCTION("""COMPUTED_VALUE"""),"x1250")</f>
        <v>x1250</v>
      </c>
      <c r="N185" s="5" t="str">
        <f ca="1">IFERROR(__xludf.DUMMYFUNCTION("""COMPUTED_VALUE"""),"0.40/60")</f>
        <v>0.40/60</v>
      </c>
      <c r="O185" s="5" t="str">
        <f ca="1">IFERROR(__xludf.DUMMYFUNCTION("""COMPUTED_VALUE"""),"Yes")</f>
        <v>Yes</v>
      </c>
      <c r="P185" s="5" t="str">
        <f ca="1">IFERROR(__xludf.DUMMYFUNCTION("""COMPUTED_VALUE"""),"Buy Feature, Hold and Win, Wild Symbol, Scatter")</f>
        <v>Buy Feature, Hold and Win, Wild Symbol, Scatter</v>
      </c>
      <c r="Q185" s="7" t="str">
        <f ca="1">IFERROR(__xludf.DUMMYFUNCTION("""COMPUTED_VALUE"""),"https://gameserver-store-client-area.orbionlimited.com/Home/IntegrationGameLaunch/client-area?moneyType=0&amp;gameName=WildHot40HoldAndWin&amp;platform=desktop&amp;languageCode=eng&amp;currency=EUR")</f>
        <v>https://gameserver-store-client-area.orbionlimited.com/Home/IntegrationGameLaunch/client-area?moneyType=0&amp;gameName=WildHot40HoldAndWin&amp;platform=desktop&amp;languageCode=eng&amp;currency=EUR</v>
      </c>
      <c r="R185" s="5" t="str">
        <f ca="1">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S1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5" s="5" t="str">
        <f ca="1">IFERROR(__xludf.DUMMYFUNCTION("""COMPUTED_VALUE"""),"Yes")</f>
        <v>Yes</v>
      </c>
      <c r="U185" s="5" t="str">
        <f ca="1">IFERROR(__xludf.DUMMYFUNCTION("""COMPUTED_VALUE"""),"Yes")</f>
        <v>Yes</v>
      </c>
      <c r="V185" s="5" t="str">
        <f ca="1">IFERROR(__xludf.DUMMYFUNCTION("""COMPUTED_VALUE"""),"Yes")</f>
        <v>Yes</v>
      </c>
      <c r="W185" s="5" t="str">
        <f ca="1">IFERROR(__xludf.DUMMYFUNCTION("""COMPUTED_VALUE"""),"Yes")</f>
        <v>Yes</v>
      </c>
      <c r="X185" s="5" t="str">
        <f ca="1">IFERROR(__xludf.DUMMYFUNCTION("""COMPUTED_VALUE"""),"Yes")</f>
        <v>Yes</v>
      </c>
      <c r="Y185" s="5" t="str">
        <f ca="1">IFERROR(__xludf.DUMMYFUNCTION("""COMPUTED_VALUE"""),"Yes")</f>
        <v>Yes</v>
      </c>
      <c r="Z185" s="5" t="str">
        <f ca="1">IFERROR(__xludf.DUMMYFUNCTION("""COMPUTED_VALUE"""),"Yes")</f>
        <v>Yes</v>
      </c>
      <c r="AA185" s="5" t="str">
        <f ca="1">IFERROR(__xludf.DUMMYFUNCTION("""COMPUTED_VALUE"""),"Yes")</f>
        <v>Yes</v>
      </c>
      <c r="AB185" s="5" t="str">
        <f ca="1">IFERROR(__xludf.DUMMYFUNCTION("""COMPUTED_VALUE"""),"Yes")</f>
        <v>Yes</v>
      </c>
      <c r="AC185" s="5" t="str">
        <f ca="1">IFERROR(__xludf.DUMMYFUNCTION("""COMPUTED_VALUE"""),"Yes")</f>
        <v>Yes</v>
      </c>
      <c r="AD185" s="5" t="str">
        <f ca="1">IFERROR(__xludf.DUMMYFUNCTION("""COMPUTED_VALUE"""),"Yes")</f>
        <v>Yes</v>
      </c>
      <c r="AE185" s="5" t="str">
        <f ca="1">IFERROR(__xludf.DUMMYFUNCTION("""COMPUTED_VALUE"""),"Yes")</f>
        <v>Yes</v>
      </c>
      <c r="AF185" s="5" t="str">
        <f ca="1">IFERROR(__xludf.DUMMYFUNCTION("""COMPUTED_VALUE"""),"Yes")</f>
        <v>Yes</v>
      </c>
      <c r="AG185" s="5" t="str">
        <f ca="1">IFERROR(__xludf.DUMMYFUNCTION("""COMPUTED_VALUE"""),"Yes")</f>
        <v>Yes</v>
      </c>
      <c r="AH185" s="5" t="str">
        <f ca="1">IFERROR(__xludf.DUMMYFUNCTION("""COMPUTED_VALUE"""),"Yes")</f>
        <v>Yes</v>
      </c>
      <c r="AI185" s="5" t="str">
        <f ca="1">IFERROR(__xludf.DUMMYFUNCTION("""COMPUTED_VALUE"""),"Yes")</f>
        <v>Yes</v>
      </c>
      <c r="AJ185" s="5" t="str">
        <f ca="1">IFERROR(__xludf.DUMMYFUNCTION("""COMPUTED_VALUE"""),"Yes")</f>
        <v>Yes</v>
      </c>
      <c r="AK185" s="5" t="str">
        <f ca="1">IFERROR(__xludf.DUMMYFUNCTION("""COMPUTED_VALUE"""),"Yes")</f>
        <v>Yes</v>
      </c>
      <c r="AL185" s="5" t="str">
        <f ca="1">IFERROR(__xludf.DUMMYFUNCTION("""COMPUTED_VALUE"""),"Yes")</f>
        <v>Yes</v>
      </c>
      <c r="AM185" s="5" t="str">
        <f ca="1">IFERROR(__xludf.DUMMYFUNCTION("""COMPUTED_VALUE"""),"Yes")</f>
        <v>Yes</v>
      </c>
      <c r="AN185" s="5" t="str">
        <f ca="1">IFERROR(__xludf.DUMMYFUNCTION("""COMPUTED_VALUE"""),"Yes")</f>
        <v>Yes</v>
      </c>
      <c r="AO185" s="5" t="str">
        <f ca="1">IFERROR(__xludf.DUMMYFUNCTION("""COMPUTED_VALUE"""),"Yes")</f>
        <v>Yes</v>
      </c>
      <c r="AP185" s="5" t="str">
        <f ca="1">IFERROR(__xludf.DUMMYFUNCTION("""COMPUTED_VALUE"""),"Yes")</f>
        <v>Yes</v>
      </c>
      <c r="AQ185" s="5" t="str">
        <f ca="1">IFERROR(__xludf.DUMMYFUNCTION("""COMPUTED_VALUE"""),"Yes")</f>
        <v>Yes</v>
      </c>
      <c r="AR185" s="5" t="str">
        <f ca="1">IFERROR(__xludf.DUMMYFUNCTION("""COMPUTED_VALUE"""),"Yes")</f>
        <v>Yes</v>
      </c>
      <c r="AS185" s="5" t="str">
        <f ca="1">IFERROR(__xludf.DUMMYFUNCTION("""COMPUTED_VALUE"""),"Yes")</f>
        <v>Yes</v>
      </c>
      <c r="AT185" s="5" t="str">
        <f ca="1">IFERROR(__xludf.DUMMYFUNCTION("""COMPUTED_VALUE"""),"No")</f>
        <v>No</v>
      </c>
      <c r="AU185" s="5"/>
    </row>
    <row r="186" spans="1:47" x14ac:dyDescent="0.25">
      <c r="A186" s="5" t="str">
        <f ca="1">IFERROR(__xludf.DUMMYFUNCTION("""COMPUTED_VALUE"""),"Foxi")</f>
        <v>Foxi</v>
      </c>
      <c r="B186" s="5" t="str">
        <f ca="1">IFERROR(__xludf.DUMMYFUNCTION("""COMPUTED_VALUE"""),"Wild Hot 40 Blow Booster")</f>
        <v>Wild Hot 40 Blow Booster</v>
      </c>
      <c r="C186" s="5" t="str">
        <f ca="1">IFERROR(__xludf.DUMMYFUNCTION("""COMPUTED_VALUE"""),"WildHot40BlowBooster")</f>
        <v>WildHot40BlowBooster</v>
      </c>
      <c r="D186" s="6">
        <f ca="1">IFERROR(__xludf.DUMMYFUNCTION("""COMPUTED_VALUE"""),46044)</f>
        <v>46044</v>
      </c>
      <c r="E186" s="5" t="str">
        <f ca="1">IFERROR(__xludf.DUMMYFUNCTION("""COMPUTED_VALUE"""),"Slot")</f>
        <v>Slot</v>
      </c>
      <c r="F186" s="5"/>
      <c r="G186" s="5" t="str">
        <f ca="1">IFERROR(__xludf.DUMMYFUNCTION("""COMPUTED_VALUE"""),"5x4")</f>
        <v>5x4</v>
      </c>
      <c r="H186" s="5">
        <f ca="1">IFERROR(__xludf.DUMMYFUNCTION("""COMPUTED_VALUE"""),40)</f>
        <v>40</v>
      </c>
      <c r="I186" s="5">
        <f ca="1">IFERROR(__xludf.DUMMYFUNCTION("""COMPUTED_VALUE"""),40)</f>
        <v>40</v>
      </c>
      <c r="J186" s="5" t="str">
        <f ca="1">IFERROR(__xludf.DUMMYFUNCTION("""COMPUTED_VALUE"""),"96.269%")</f>
        <v>96.269%</v>
      </c>
      <c r="K186" s="5" t="str">
        <f ca="1">IFERROR(__xludf.DUMMYFUNCTION("""COMPUTED_VALUE"""),"Medium")</f>
        <v>Medium</v>
      </c>
      <c r="L186" s="5" t="str">
        <f ca="1">IFERROR(__xludf.DUMMYFUNCTION("""COMPUTED_VALUE"""),"13.88%")</f>
        <v>13.88%</v>
      </c>
      <c r="M186" s="5" t="str">
        <f ca="1">IFERROR(__xludf.DUMMYFUNCTION("""COMPUTED_VALUE"""),"x1000")</f>
        <v>x1000</v>
      </c>
      <c r="N186" s="5" t="str">
        <f ca="1">IFERROR(__xludf.DUMMYFUNCTION("""COMPUTED_VALUE"""),"0.4/60")</f>
        <v>0.4/60</v>
      </c>
      <c r="O186" s="5" t="str">
        <f ca="1">IFERROR(__xludf.DUMMYFUNCTION("""COMPUTED_VALUE"""),"Yes")</f>
        <v>Yes</v>
      </c>
      <c r="P186" s="5" t="str">
        <f ca="1">IFERROR(__xludf.DUMMYFUNCTION("""COMPUTED_VALUE"""),"Buy Feature, Exploding Wild, Wild Symbol")</f>
        <v>Buy Feature, Exploding Wild, Wild Symbol</v>
      </c>
      <c r="Q186" s="7" t="str">
        <f ca="1">IFERROR(__xludf.DUMMYFUNCTION("""COMPUTED_VALUE"""),"https://gameserver-store-client-area.orbionlimited.com/Home/IntegrationGameLaunch/client-area?moneyType=0&amp;gameName=WildHot40BlowBooster&amp;platform=desktop&amp;languageCode=eng&amp;currency=EUR")</f>
        <v>https://gameserver-store-client-area.orbionlimited.com/Home/IntegrationGameLaunch/client-area?moneyType=0&amp;gameName=WildHot40BlowBooster&amp;platform=desktop&amp;languageCode=eng&amp;currency=EUR</v>
      </c>
      <c r="R186" s="5" t="str">
        <f ca="1">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S1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6" s="5" t="str">
        <f ca="1">IFERROR(__xludf.DUMMYFUNCTION("""COMPUTED_VALUE"""),"Yes")</f>
        <v>Yes</v>
      </c>
      <c r="U186" s="5" t="str">
        <f ca="1">IFERROR(__xludf.DUMMYFUNCTION("""COMPUTED_VALUE"""),"Yes")</f>
        <v>Yes</v>
      </c>
      <c r="V186" s="5" t="str">
        <f ca="1">IFERROR(__xludf.DUMMYFUNCTION("""COMPUTED_VALUE"""),"Yes")</f>
        <v>Yes</v>
      </c>
      <c r="W186" s="5" t="str">
        <f ca="1">IFERROR(__xludf.DUMMYFUNCTION("""COMPUTED_VALUE"""),"Yes")</f>
        <v>Yes</v>
      </c>
      <c r="X186" s="5" t="str">
        <f ca="1">IFERROR(__xludf.DUMMYFUNCTION("""COMPUTED_VALUE"""),"Yes")</f>
        <v>Yes</v>
      </c>
      <c r="Y186" s="5" t="str">
        <f ca="1">IFERROR(__xludf.DUMMYFUNCTION("""COMPUTED_VALUE"""),"Yes")</f>
        <v>Yes</v>
      </c>
      <c r="Z186" s="5" t="str">
        <f ca="1">IFERROR(__xludf.DUMMYFUNCTION("""COMPUTED_VALUE"""),"Yes")</f>
        <v>Yes</v>
      </c>
      <c r="AA186" s="5" t="str">
        <f ca="1">IFERROR(__xludf.DUMMYFUNCTION("""COMPUTED_VALUE"""),"Yes")</f>
        <v>Yes</v>
      </c>
      <c r="AB186" s="5" t="str">
        <f ca="1">IFERROR(__xludf.DUMMYFUNCTION("""COMPUTED_VALUE"""),"Yes")</f>
        <v>Yes</v>
      </c>
      <c r="AC186" s="5" t="str">
        <f ca="1">IFERROR(__xludf.DUMMYFUNCTION("""COMPUTED_VALUE"""),"Yes")</f>
        <v>Yes</v>
      </c>
      <c r="AD186" s="5" t="str">
        <f ca="1">IFERROR(__xludf.DUMMYFUNCTION("""COMPUTED_VALUE"""),"Yes")</f>
        <v>Yes</v>
      </c>
      <c r="AE186" s="5" t="str">
        <f ca="1">IFERROR(__xludf.DUMMYFUNCTION("""COMPUTED_VALUE"""),"Yes")</f>
        <v>Yes</v>
      </c>
      <c r="AF186" s="5" t="str">
        <f ca="1">IFERROR(__xludf.DUMMYFUNCTION("""COMPUTED_VALUE"""),"Yes")</f>
        <v>Yes</v>
      </c>
      <c r="AG186" s="5" t="str">
        <f ca="1">IFERROR(__xludf.DUMMYFUNCTION("""COMPUTED_VALUE"""),"Yes")</f>
        <v>Yes</v>
      </c>
      <c r="AH186" s="5" t="str">
        <f ca="1">IFERROR(__xludf.DUMMYFUNCTION("""COMPUTED_VALUE"""),"Yes")</f>
        <v>Yes</v>
      </c>
      <c r="AI186" s="5" t="str">
        <f ca="1">IFERROR(__xludf.DUMMYFUNCTION("""COMPUTED_VALUE"""),"Yes")</f>
        <v>Yes</v>
      </c>
      <c r="AJ186" s="5" t="str">
        <f ca="1">IFERROR(__xludf.DUMMYFUNCTION("""COMPUTED_VALUE"""),"Yes")</f>
        <v>Yes</v>
      </c>
      <c r="AK186" s="5" t="str">
        <f ca="1">IFERROR(__xludf.DUMMYFUNCTION("""COMPUTED_VALUE"""),"Yes")</f>
        <v>Yes</v>
      </c>
      <c r="AL186" s="5" t="str">
        <f ca="1">IFERROR(__xludf.DUMMYFUNCTION("""COMPUTED_VALUE"""),"Yes")</f>
        <v>Yes</v>
      </c>
      <c r="AM186" s="5" t="str">
        <f ca="1">IFERROR(__xludf.DUMMYFUNCTION("""COMPUTED_VALUE"""),"Yes")</f>
        <v>Yes</v>
      </c>
      <c r="AN186" s="5" t="str">
        <f ca="1">IFERROR(__xludf.DUMMYFUNCTION("""COMPUTED_VALUE"""),"Yes")</f>
        <v>Yes</v>
      </c>
      <c r="AO186" s="5" t="str">
        <f ca="1">IFERROR(__xludf.DUMMYFUNCTION("""COMPUTED_VALUE"""),"Yes")</f>
        <v>Yes</v>
      </c>
      <c r="AP186" s="5" t="str">
        <f ca="1">IFERROR(__xludf.DUMMYFUNCTION("""COMPUTED_VALUE"""),"Yes")</f>
        <v>Yes</v>
      </c>
      <c r="AQ186" s="5" t="str">
        <f ca="1">IFERROR(__xludf.DUMMYFUNCTION("""COMPUTED_VALUE"""),"Yes")</f>
        <v>Yes</v>
      </c>
      <c r="AR186" s="5" t="str">
        <f ca="1">IFERROR(__xludf.DUMMYFUNCTION("""COMPUTED_VALUE"""),"Yes")</f>
        <v>Yes</v>
      </c>
      <c r="AS186" s="5" t="str">
        <f ca="1">IFERROR(__xludf.DUMMYFUNCTION("""COMPUTED_VALUE"""),"Yes")</f>
        <v>Yes</v>
      </c>
      <c r="AT186" s="5" t="str">
        <f ca="1">IFERROR(__xludf.DUMMYFUNCTION("""COMPUTED_VALUE"""),"No")</f>
        <v>No</v>
      </c>
      <c r="AU186" s="5"/>
    </row>
    <row r="187" spans="1:47" x14ac:dyDescent="0.25">
      <c r="A187" s="5" t="str">
        <f ca="1">IFERROR(__xludf.DUMMYFUNCTION("""COMPUTED_VALUE"""),"Foxi")</f>
        <v>Foxi</v>
      </c>
      <c r="B187" s="5" t="str">
        <f ca="1">IFERROR(__xludf.DUMMYFUNCTION("""COMPUTED_VALUE"""),"Star Heat 40")</f>
        <v>Star Heat 40</v>
      </c>
      <c r="C187" s="5" t="str">
        <f ca="1">IFERROR(__xludf.DUMMYFUNCTION("""COMPUTED_VALUE"""),"StarHeat40")</f>
        <v>StarHeat40</v>
      </c>
      <c r="D187" s="6">
        <f ca="1">IFERROR(__xludf.DUMMYFUNCTION("""COMPUTED_VALUE"""),46135)</f>
        <v>46135</v>
      </c>
      <c r="E187" s="5" t="str">
        <f ca="1">IFERROR(__xludf.DUMMYFUNCTION("""COMPUTED_VALUE"""),"Slot")</f>
        <v>Slot</v>
      </c>
      <c r="F187" s="5">
        <f ca="1">IFERROR(__xludf.DUMMYFUNCTION("""COMPUTED_VALUE"""),28)</f>
        <v>28</v>
      </c>
      <c r="G187" s="5" t="str">
        <f ca="1">IFERROR(__xludf.DUMMYFUNCTION("""COMPUTED_VALUE"""),"5x4")</f>
        <v>5x4</v>
      </c>
      <c r="H187" s="5">
        <f ca="1">IFERROR(__xludf.DUMMYFUNCTION("""COMPUTED_VALUE"""),40)</f>
        <v>40</v>
      </c>
      <c r="I187" s="5">
        <f ca="1">IFERROR(__xludf.DUMMYFUNCTION("""COMPUTED_VALUE"""),40)</f>
        <v>40</v>
      </c>
      <c r="J187" s="5" t="str">
        <f ca="1">IFERROR(__xludf.DUMMYFUNCTION("""COMPUTED_VALUE"""),"96.997%")</f>
        <v>96.997%</v>
      </c>
      <c r="K187" s="5" t="str">
        <f ca="1">IFERROR(__xludf.DUMMYFUNCTION("""COMPUTED_VALUE"""),"Low")</f>
        <v>Low</v>
      </c>
      <c r="L187" s="5" t="str">
        <f ca="1">IFERROR(__xludf.DUMMYFUNCTION("""COMPUTED_VALUE"""),"16.768%")</f>
        <v>16.768%</v>
      </c>
      <c r="M187" s="5" t="str">
        <f ca="1">IFERROR(__xludf.DUMMYFUNCTION("""COMPUTED_VALUE"""),"x1000")</f>
        <v>x1000</v>
      </c>
      <c r="N187" s="5" t="str">
        <f ca="1">IFERROR(__xludf.DUMMYFUNCTION("""COMPUTED_VALUE"""),"0.40/60")</f>
        <v>0.40/60</v>
      </c>
      <c r="O187" s="5" t="str">
        <f ca="1">IFERROR(__xludf.DUMMYFUNCTION("""COMPUTED_VALUE"""),"Yes")</f>
        <v>Yes</v>
      </c>
      <c r="P187" s="5" t="str">
        <f ca="1">IFERROR(__xludf.DUMMYFUNCTION("""COMPUTED_VALUE"""),"Wild Symbol")</f>
        <v>Wild Symbol</v>
      </c>
      <c r="Q187" s="7" t="str">
        <f ca="1">IFERROR(__xludf.DUMMYFUNCTION("""COMPUTED_VALUE"""),"https://gameserver-store-client-area.orbionlimited.com/Home/IntegrationGameLaunch/client-area?moneyType=0&amp;gameName=StarHeat40&amp;platform=desktop&amp;languageCode=eng&amp;currency=EUR")</f>
        <v>https://gameserver-store-client-area.orbionlimited.com/Home/IntegrationGameLaunch/client-area?moneyType=0&amp;gameName=StarHeat40&amp;platform=desktop&amp;languageCode=eng&amp;currency=EUR</v>
      </c>
      <c r="R187" s="5" t="str">
        <f ca="1">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S1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7" s="5" t="str">
        <f ca="1">IFERROR(__xludf.DUMMYFUNCTION("""COMPUTED_VALUE"""),"Yes")</f>
        <v>Yes</v>
      </c>
      <c r="U187" s="5" t="str">
        <f ca="1">IFERROR(__xludf.DUMMYFUNCTION("""COMPUTED_VALUE"""),"Yes")</f>
        <v>Yes</v>
      </c>
      <c r="V187" s="5" t="str">
        <f ca="1">IFERROR(__xludf.DUMMYFUNCTION("""COMPUTED_VALUE"""),"Yes")</f>
        <v>Yes</v>
      </c>
      <c r="W187" s="5" t="str">
        <f ca="1">IFERROR(__xludf.DUMMYFUNCTION("""COMPUTED_VALUE"""),"Yes")</f>
        <v>Yes</v>
      </c>
      <c r="X187" s="5" t="str">
        <f ca="1">IFERROR(__xludf.DUMMYFUNCTION("""COMPUTED_VALUE"""),"Yes")</f>
        <v>Yes</v>
      </c>
      <c r="Y187" s="5" t="str">
        <f ca="1">IFERROR(__xludf.DUMMYFUNCTION("""COMPUTED_VALUE"""),"Yes")</f>
        <v>Yes</v>
      </c>
      <c r="Z187" s="5" t="str">
        <f ca="1">IFERROR(__xludf.DUMMYFUNCTION("""COMPUTED_VALUE"""),"Yes")</f>
        <v>Yes</v>
      </c>
      <c r="AA187" s="5" t="str">
        <f ca="1">IFERROR(__xludf.DUMMYFUNCTION("""COMPUTED_VALUE"""),"Yes")</f>
        <v>Yes</v>
      </c>
      <c r="AB187" s="5" t="str">
        <f ca="1">IFERROR(__xludf.DUMMYFUNCTION("""COMPUTED_VALUE"""),"Yes")</f>
        <v>Yes</v>
      </c>
      <c r="AC187" s="5" t="str">
        <f ca="1">IFERROR(__xludf.DUMMYFUNCTION("""COMPUTED_VALUE"""),"Yes")</f>
        <v>Yes</v>
      </c>
      <c r="AD187" s="5" t="str">
        <f ca="1">IFERROR(__xludf.DUMMYFUNCTION("""COMPUTED_VALUE"""),"Yes")</f>
        <v>Yes</v>
      </c>
      <c r="AE187" s="5" t="str">
        <f ca="1">IFERROR(__xludf.DUMMYFUNCTION("""COMPUTED_VALUE"""),"Yes")</f>
        <v>Yes</v>
      </c>
      <c r="AF187" s="5" t="str">
        <f ca="1">IFERROR(__xludf.DUMMYFUNCTION("""COMPUTED_VALUE"""),"Yes")</f>
        <v>Yes</v>
      </c>
      <c r="AG187" s="5" t="str">
        <f ca="1">IFERROR(__xludf.DUMMYFUNCTION("""COMPUTED_VALUE"""),"Yes")</f>
        <v>Yes</v>
      </c>
      <c r="AH187" s="5" t="str">
        <f ca="1">IFERROR(__xludf.DUMMYFUNCTION("""COMPUTED_VALUE"""),"Yes")</f>
        <v>Yes</v>
      </c>
      <c r="AI187" s="5" t="str">
        <f ca="1">IFERROR(__xludf.DUMMYFUNCTION("""COMPUTED_VALUE"""),"Yes")</f>
        <v>Yes</v>
      </c>
      <c r="AJ187" s="5" t="str">
        <f ca="1">IFERROR(__xludf.DUMMYFUNCTION("""COMPUTED_VALUE"""),"Yes")</f>
        <v>Yes</v>
      </c>
      <c r="AK187" s="5" t="str">
        <f ca="1">IFERROR(__xludf.DUMMYFUNCTION("""COMPUTED_VALUE"""),"Yes")</f>
        <v>Yes</v>
      </c>
      <c r="AL187" s="5" t="str">
        <f ca="1">IFERROR(__xludf.DUMMYFUNCTION("""COMPUTED_VALUE"""),"Yes")</f>
        <v>Yes</v>
      </c>
      <c r="AM187" s="5" t="str">
        <f ca="1">IFERROR(__xludf.DUMMYFUNCTION("""COMPUTED_VALUE"""),"Yes")</f>
        <v>Yes</v>
      </c>
      <c r="AN187" s="5" t="str">
        <f ca="1">IFERROR(__xludf.DUMMYFUNCTION("""COMPUTED_VALUE"""),"Yes")</f>
        <v>Yes</v>
      </c>
      <c r="AO187" s="5" t="str">
        <f ca="1">IFERROR(__xludf.DUMMYFUNCTION("""COMPUTED_VALUE"""),"Yes")</f>
        <v>Yes</v>
      </c>
      <c r="AP187" s="5" t="str">
        <f ca="1">IFERROR(__xludf.DUMMYFUNCTION("""COMPUTED_VALUE"""),"Yes")</f>
        <v>Yes</v>
      </c>
      <c r="AQ187" s="5" t="str">
        <f ca="1">IFERROR(__xludf.DUMMYFUNCTION("""COMPUTED_VALUE"""),"Yes")</f>
        <v>Yes</v>
      </c>
      <c r="AR187" s="5" t="str">
        <f ca="1">IFERROR(__xludf.DUMMYFUNCTION("""COMPUTED_VALUE"""),"Yes")</f>
        <v>Yes</v>
      </c>
      <c r="AS187" s="5" t="str">
        <f ca="1">IFERROR(__xludf.DUMMYFUNCTION("""COMPUTED_VALUE"""),"Yes")</f>
        <v>Yes</v>
      </c>
      <c r="AT187" s="5" t="str">
        <f ca="1">IFERROR(__xludf.DUMMYFUNCTION("""COMPUTED_VALUE"""),"No")</f>
        <v>No</v>
      </c>
      <c r="AU187" s="5"/>
    </row>
    <row r="188" spans="1:47" x14ac:dyDescent="0.25">
      <c r="A188" s="5" t="str">
        <f ca="1">IFERROR(__xludf.DUMMYFUNCTION("""COMPUTED_VALUE"""),"Foxi")</f>
        <v>Foxi</v>
      </c>
      <c r="B188" s="5" t="str">
        <f ca="1">IFERROR(__xludf.DUMMYFUNCTION("""COMPUTED_VALUE"""),"Retro 27")</f>
        <v>Retro 27</v>
      </c>
      <c r="C188" s="5" t="str">
        <f ca="1">IFERROR(__xludf.DUMMYFUNCTION("""COMPUTED_VALUE"""),"Retro27")</f>
        <v>Retro27</v>
      </c>
      <c r="D188" s="6">
        <f ca="1">IFERROR(__xludf.DUMMYFUNCTION("""COMPUTED_VALUE"""),46072)</f>
        <v>46072</v>
      </c>
      <c r="E188" s="5" t="str">
        <f ca="1">IFERROR(__xludf.DUMMYFUNCTION("""COMPUTED_VALUE"""),"Slot")</f>
        <v>Slot</v>
      </c>
      <c r="F188" s="5">
        <f ca="1">IFERROR(__xludf.DUMMYFUNCTION("""COMPUTED_VALUE"""),16.1)</f>
        <v>16.100000000000001</v>
      </c>
      <c r="G188" s="5" t="str">
        <f ca="1">IFERROR(__xludf.DUMMYFUNCTION("""COMPUTED_VALUE"""),"3x3")</f>
        <v>3x3</v>
      </c>
      <c r="H188" s="5">
        <f ca="1">IFERROR(__xludf.DUMMYFUNCTION("""COMPUTED_VALUE"""),27)</f>
        <v>27</v>
      </c>
      <c r="I188" s="5">
        <f ca="1">IFERROR(__xludf.DUMMYFUNCTION("""COMPUTED_VALUE"""),27)</f>
        <v>27</v>
      </c>
      <c r="J188" s="5" t="str">
        <f ca="1">IFERROR(__xludf.DUMMYFUNCTION("""COMPUTED_VALUE"""),"96.24%")</f>
        <v>96.24%</v>
      </c>
      <c r="K188" s="5" t="str">
        <f ca="1">IFERROR(__xludf.DUMMYFUNCTION("""COMPUTED_VALUE"""),"Low")</f>
        <v>Low</v>
      </c>
      <c r="L188" s="5" t="str">
        <f ca="1">IFERROR(__xludf.DUMMYFUNCTION("""COMPUTED_VALUE"""),"6.58%")</f>
        <v>6.58%</v>
      </c>
      <c r="M188" s="5" t="str">
        <f ca="1">IFERROR(__xludf.DUMMYFUNCTION("""COMPUTED_VALUE"""),"x108")</f>
        <v>x108</v>
      </c>
      <c r="N188" s="5" t="str">
        <f ca="1">IFERROR(__xludf.DUMMYFUNCTION("""COMPUTED_VALUE"""),"0.1/40")</f>
        <v>0.1/40</v>
      </c>
      <c r="O188" s="5" t="str">
        <f ca="1">IFERROR(__xludf.DUMMYFUNCTION("""COMPUTED_VALUE"""),"Yes")</f>
        <v>Yes</v>
      </c>
      <c r="P188" s="5" t="str">
        <f ca="1">IFERROR(__xludf.DUMMYFUNCTION("""COMPUTED_VALUE"""),"Win Multiplier")</f>
        <v>Win Multiplier</v>
      </c>
      <c r="Q188" s="7" t="str">
        <f ca="1">IFERROR(__xludf.DUMMYFUNCTION("""COMPUTED_VALUE"""),"https://gameserver-store-client-area.orbionlimited.com/Home/IntegrationGameLaunch/client-area?moneyType=0&amp;gameName=Retro27&amp;platform=desktop&amp;languageCode=eng&amp;currency=EUR")</f>
        <v>https://gameserver-store-client-area.orbionlimited.com/Home/IntegrationGameLaunch/client-area?moneyType=0&amp;gameName=Retro27&amp;platform=desktop&amp;languageCode=eng&amp;currency=EUR</v>
      </c>
      <c r="R188" s="5" t="str">
        <f ca="1">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S1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8" s="5" t="str">
        <f ca="1">IFERROR(__xludf.DUMMYFUNCTION("""COMPUTED_VALUE"""),"Yes")</f>
        <v>Yes</v>
      </c>
      <c r="U188" s="5" t="str">
        <f ca="1">IFERROR(__xludf.DUMMYFUNCTION("""COMPUTED_VALUE"""),"Yes")</f>
        <v>Yes</v>
      </c>
      <c r="V188" s="5" t="str">
        <f ca="1">IFERROR(__xludf.DUMMYFUNCTION("""COMPUTED_VALUE"""),"Yes")</f>
        <v>Yes</v>
      </c>
      <c r="W188" s="5" t="str">
        <f ca="1">IFERROR(__xludf.DUMMYFUNCTION("""COMPUTED_VALUE"""),"Yes")</f>
        <v>Yes</v>
      </c>
      <c r="X188" s="5" t="str">
        <f ca="1">IFERROR(__xludf.DUMMYFUNCTION("""COMPUTED_VALUE"""),"Yes")</f>
        <v>Yes</v>
      </c>
      <c r="Y188" s="5" t="str">
        <f ca="1">IFERROR(__xludf.DUMMYFUNCTION("""COMPUTED_VALUE"""),"Yes")</f>
        <v>Yes</v>
      </c>
      <c r="Z188" s="5" t="str">
        <f ca="1">IFERROR(__xludf.DUMMYFUNCTION("""COMPUTED_VALUE"""),"Yes")</f>
        <v>Yes</v>
      </c>
      <c r="AA188" s="5" t="str">
        <f ca="1">IFERROR(__xludf.DUMMYFUNCTION("""COMPUTED_VALUE"""),"Yes")</f>
        <v>Yes</v>
      </c>
      <c r="AB188" s="5" t="str">
        <f ca="1">IFERROR(__xludf.DUMMYFUNCTION("""COMPUTED_VALUE"""),"Yes")</f>
        <v>Yes</v>
      </c>
      <c r="AC188" s="5" t="str">
        <f ca="1">IFERROR(__xludf.DUMMYFUNCTION("""COMPUTED_VALUE"""),"Yes")</f>
        <v>Yes</v>
      </c>
      <c r="AD188" s="5" t="str">
        <f ca="1">IFERROR(__xludf.DUMMYFUNCTION("""COMPUTED_VALUE"""),"Yes")</f>
        <v>Yes</v>
      </c>
      <c r="AE188" s="5" t="str">
        <f ca="1">IFERROR(__xludf.DUMMYFUNCTION("""COMPUTED_VALUE"""),"Yes")</f>
        <v>Yes</v>
      </c>
      <c r="AF188" s="5" t="str">
        <f ca="1">IFERROR(__xludf.DUMMYFUNCTION("""COMPUTED_VALUE"""),"Yes")</f>
        <v>Yes</v>
      </c>
      <c r="AG188" s="5" t="str">
        <f ca="1">IFERROR(__xludf.DUMMYFUNCTION("""COMPUTED_VALUE"""),"Yes")</f>
        <v>Yes</v>
      </c>
      <c r="AH188" s="5" t="str">
        <f ca="1">IFERROR(__xludf.DUMMYFUNCTION("""COMPUTED_VALUE"""),"Yes")</f>
        <v>Yes</v>
      </c>
      <c r="AI188" s="5" t="str">
        <f ca="1">IFERROR(__xludf.DUMMYFUNCTION("""COMPUTED_VALUE"""),"Yes")</f>
        <v>Yes</v>
      </c>
      <c r="AJ188" s="5" t="str">
        <f ca="1">IFERROR(__xludf.DUMMYFUNCTION("""COMPUTED_VALUE"""),"Yes")</f>
        <v>Yes</v>
      </c>
      <c r="AK188" s="5" t="str">
        <f ca="1">IFERROR(__xludf.DUMMYFUNCTION("""COMPUTED_VALUE"""),"Yes")</f>
        <v>Yes</v>
      </c>
      <c r="AL188" s="5" t="str">
        <f ca="1">IFERROR(__xludf.DUMMYFUNCTION("""COMPUTED_VALUE"""),"Yes")</f>
        <v>Yes</v>
      </c>
      <c r="AM188" s="5" t="str">
        <f ca="1">IFERROR(__xludf.DUMMYFUNCTION("""COMPUTED_VALUE"""),"Yes")</f>
        <v>Yes</v>
      </c>
      <c r="AN188" s="5" t="str">
        <f ca="1">IFERROR(__xludf.DUMMYFUNCTION("""COMPUTED_VALUE"""),"Yes")</f>
        <v>Yes</v>
      </c>
      <c r="AO188" s="5" t="str">
        <f ca="1">IFERROR(__xludf.DUMMYFUNCTION("""COMPUTED_VALUE"""),"Yes")</f>
        <v>Yes</v>
      </c>
      <c r="AP188" s="5" t="str">
        <f ca="1">IFERROR(__xludf.DUMMYFUNCTION("""COMPUTED_VALUE"""),"Yes")</f>
        <v>Yes</v>
      </c>
      <c r="AQ188" s="5" t="str">
        <f ca="1">IFERROR(__xludf.DUMMYFUNCTION("""COMPUTED_VALUE"""),"Yes")</f>
        <v>Yes</v>
      </c>
      <c r="AR188" s="5" t="str">
        <f ca="1">IFERROR(__xludf.DUMMYFUNCTION("""COMPUTED_VALUE"""),"Yes")</f>
        <v>Yes</v>
      </c>
      <c r="AS188" s="5" t="str">
        <f ca="1">IFERROR(__xludf.DUMMYFUNCTION("""COMPUTED_VALUE"""),"Yes")</f>
        <v>Yes</v>
      </c>
      <c r="AT188" s="5" t="str">
        <f ca="1">IFERROR(__xludf.DUMMYFUNCTION("""COMPUTED_VALUE"""),"No")</f>
        <v>No</v>
      </c>
      <c r="AU188" s="5"/>
    </row>
    <row r="189" spans="1:47" x14ac:dyDescent="0.25">
      <c r="A189" s="5" t="str">
        <f ca="1">IFERROR(__xludf.DUMMYFUNCTION("""COMPUTED_VALUE"""),"Foxi")</f>
        <v>Foxi</v>
      </c>
      <c r="B189" s="5" t="str">
        <f ca="1">IFERROR(__xludf.DUMMYFUNCTION("""COMPUTED_VALUE"""),"Wild 27 Dice")</f>
        <v>Wild 27 Dice</v>
      </c>
      <c r="C189" s="5" t="str">
        <f ca="1">IFERROR(__xludf.DUMMYFUNCTION("""COMPUTED_VALUE"""),"Wild27Dice")</f>
        <v>Wild27Dice</v>
      </c>
      <c r="D189" s="6">
        <f ca="1">IFERROR(__xludf.DUMMYFUNCTION("""COMPUTED_VALUE"""),46142)</f>
        <v>46142</v>
      </c>
      <c r="E189" s="5" t="str">
        <f ca="1">IFERROR(__xludf.DUMMYFUNCTION("""COMPUTED_VALUE"""),"Dice Slots")</f>
        <v>Dice Slots</v>
      </c>
      <c r="F189" s="5">
        <f ca="1">IFERROR(__xludf.DUMMYFUNCTION("""COMPUTED_VALUE"""),17)</f>
        <v>17</v>
      </c>
      <c r="G189" s="5" t="str">
        <f ca="1">IFERROR(__xludf.DUMMYFUNCTION("""COMPUTED_VALUE"""),"3x3")</f>
        <v>3x3</v>
      </c>
      <c r="H189" s="5">
        <f ca="1">IFERROR(__xludf.DUMMYFUNCTION("""COMPUTED_VALUE"""),27)</f>
        <v>27</v>
      </c>
      <c r="I189" s="5">
        <f ca="1">IFERROR(__xludf.DUMMYFUNCTION("""COMPUTED_VALUE"""),27)</f>
        <v>27</v>
      </c>
      <c r="J189" s="5" t="str">
        <f ca="1">IFERROR(__xludf.DUMMYFUNCTION("""COMPUTED_VALUE"""),"96.24%")</f>
        <v>96.24%</v>
      </c>
      <c r="K189" s="5" t="str">
        <f ca="1">IFERROR(__xludf.DUMMYFUNCTION("""COMPUTED_VALUE"""),"Low")</f>
        <v>Low</v>
      </c>
      <c r="L189" s="5" t="str">
        <f ca="1">IFERROR(__xludf.DUMMYFUNCTION("""COMPUTED_VALUE"""),"6.58%")</f>
        <v>6.58%</v>
      </c>
      <c r="M189" s="5" t="str">
        <f ca="1">IFERROR(__xludf.DUMMYFUNCTION("""COMPUTED_VALUE"""),"x108")</f>
        <v>x108</v>
      </c>
      <c r="N189" s="5" t="str">
        <f ca="1">IFERROR(__xludf.DUMMYFUNCTION("""COMPUTED_VALUE"""),"0.1/40")</f>
        <v>0.1/40</v>
      </c>
      <c r="O189" s="5" t="str">
        <f ca="1">IFERROR(__xludf.DUMMYFUNCTION("""COMPUTED_VALUE"""),"Yes")</f>
        <v>Yes</v>
      </c>
      <c r="P189" s="5" t="str">
        <f ca="1">IFERROR(__xludf.DUMMYFUNCTION("""COMPUTED_VALUE"""),"Win Multiplier")</f>
        <v>Win Multiplier</v>
      </c>
      <c r="Q189" s="7" t="str">
        <f ca="1">IFERROR(__xludf.DUMMYFUNCTION("""COMPUTED_VALUE"""),"https://gameserver-store-client-area.orbionlimited.com/Home/IntegrationGameLaunch/client-area?moneyType=0&amp;gameName=Wild27Dice&amp;platform=desktop&amp;languageCode=eng&amp;currency=EUR")</f>
        <v>https://gameserver-store-client-area.orbionlimited.com/Home/IntegrationGameLaunch/client-area?moneyType=0&amp;gameName=Wild27Dice&amp;platform=desktop&amp;languageCode=eng&amp;currency=EUR</v>
      </c>
      <c r="R189" s="5"/>
      <c r="S1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9" s="5" t="str">
        <f ca="1">IFERROR(__xludf.DUMMYFUNCTION("""COMPUTED_VALUE"""),"Yes")</f>
        <v>Yes</v>
      </c>
      <c r="U189" s="5" t="str">
        <f ca="1">IFERROR(__xludf.DUMMYFUNCTION("""COMPUTED_VALUE"""),"Yes")</f>
        <v>Yes</v>
      </c>
      <c r="V189" s="5" t="str">
        <f ca="1">IFERROR(__xludf.DUMMYFUNCTION("""COMPUTED_VALUE"""),"Yes")</f>
        <v>Yes</v>
      </c>
      <c r="W189" s="5" t="str">
        <f ca="1">IFERROR(__xludf.DUMMYFUNCTION("""COMPUTED_VALUE"""),"Yes")</f>
        <v>Yes</v>
      </c>
      <c r="X189" s="5" t="str">
        <f ca="1">IFERROR(__xludf.DUMMYFUNCTION("""COMPUTED_VALUE"""),"Yes")</f>
        <v>Yes</v>
      </c>
      <c r="Y189" s="5" t="str">
        <f ca="1">IFERROR(__xludf.DUMMYFUNCTION("""COMPUTED_VALUE"""),"Yes")</f>
        <v>Yes</v>
      </c>
      <c r="Z189" s="5" t="str">
        <f ca="1">IFERROR(__xludf.DUMMYFUNCTION("""COMPUTED_VALUE"""),"Yes")</f>
        <v>Yes</v>
      </c>
      <c r="AA189" s="5" t="str">
        <f ca="1">IFERROR(__xludf.DUMMYFUNCTION("""COMPUTED_VALUE"""),"Yes")</f>
        <v>Yes</v>
      </c>
      <c r="AB189" s="5" t="str">
        <f ca="1">IFERROR(__xludf.DUMMYFUNCTION("""COMPUTED_VALUE"""),"Yes")</f>
        <v>Yes</v>
      </c>
      <c r="AC189" s="5" t="str">
        <f ca="1">IFERROR(__xludf.DUMMYFUNCTION("""COMPUTED_VALUE"""),"Yes")</f>
        <v>Yes</v>
      </c>
      <c r="AD189" s="5" t="str">
        <f ca="1">IFERROR(__xludf.DUMMYFUNCTION("""COMPUTED_VALUE"""),"Yes")</f>
        <v>Yes</v>
      </c>
      <c r="AE189" s="5" t="str">
        <f ca="1">IFERROR(__xludf.DUMMYFUNCTION("""COMPUTED_VALUE"""),"Yes")</f>
        <v>Yes</v>
      </c>
      <c r="AF189" s="5" t="str">
        <f ca="1">IFERROR(__xludf.DUMMYFUNCTION("""COMPUTED_VALUE"""),"Yes")</f>
        <v>Yes</v>
      </c>
      <c r="AG189" s="5" t="str">
        <f ca="1">IFERROR(__xludf.DUMMYFUNCTION("""COMPUTED_VALUE"""),"Yes")</f>
        <v>Yes</v>
      </c>
      <c r="AH189" s="5" t="str">
        <f ca="1">IFERROR(__xludf.DUMMYFUNCTION("""COMPUTED_VALUE"""),"Yes")</f>
        <v>Yes</v>
      </c>
      <c r="AI189" s="5" t="str">
        <f ca="1">IFERROR(__xludf.DUMMYFUNCTION("""COMPUTED_VALUE"""),"Yes")</f>
        <v>Yes</v>
      </c>
      <c r="AJ189" s="5" t="str">
        <f ca="1">IFERROR(__xludf.DUMMYFUNCTION("""COMPUTED_VALUE"""),"Yes")</f>
        <v>Yes</v>
      </c>
      <c r="AK189" s="5" t="str">
        <f ca="1">IFERROR(__xludf.DUMMYFUNCTION("""COMPUTED_VALUE"""),"Yes")</f>
        <v>Yes</v>
      </c>
      <c r="AL189" s="5" t="str">
        <f ca="1">IFERROR(__xludf.DUMMYFUNCTION("""COMPUTED_VALUE"""),"Yes")</f>
        <v>Yes</v>
      </c>
      <c r="AM189" s="5" t="str">
        <f ca="1">IFERROR(__xludf.DUMMYFUNCTION("""COMPUTED_VALUE"""),"Yes")</f>
        <v>Yes</v>
      </c>
      <c r="AN189" s="5" t="str">
        <f ca="1">IFERROR(__xludf.DUMMYFUNCTION("""COMPUTED_VALUE"""),"Yes")</f>
        <v>Yes</v>
      </c>
      <c r="AO189" s="5" t="str">
        <f ca="1">IFERROR(__xludf.DUMMYFUNCTION("""COMPUTED_VALUE"""),"Yes")</f>
        <v>Yes</v>
      </c>
      <c r="AP189" s="5" t="str">
        <f ca="1">IFERROR(__xludf.DUMMYFUNCTION("""COMPUTED_VALUE"""),"Yes")</f>
        <v>Yes</v>
      </c>
      <c r="AQ189" s="5" t="str">
        <f ca="1">IFERROR(__xludf.DUMMYFUNCTION("""COMPUTED_VALUE"""),"Yes")</f>
        <v>Yes</v>
      </c>
      <c r="AR189" s="5" t="str">
        <f ca="1">IFERROR(__xludf.DUMMYFUNCTION("""COMPUTED_VALUE"""),"Yes")</f>
        <v>Yes</v>
      </c>
      <c r="AS189" s="5" t="str">
        <f ca="1">IFERROR(__xludf.DUMMYFUNCTION("""COMPUTED_VALUE"""),"Yes")</f>
        <v>Yes</v>
      </c>
      <c r="AT189" s="5" t="str">
        <f ca="1">IFERROR(__xludf.DUMMYFUNCTION("""COMPUTED_VALUE"""),"No")</f>
        <v>No</v>
      </c>
      <c r="AU189" s="5"/>
    </row>
    <row r="190" spans="1:47" x14ac:dyDescent="0.25">
      <c r="A190" s="5" t="str">
        <f ca="1">IFERROR(__xludf.DUMMYFUNCTION("""COMPUTED_VALUE"""),"Foxi")</f>
        <v>Foxi</v>
      </c>
      <c r="B190" s="5" t="str">
        <f ca="1">IFERROR(__xludf.DUMMYFUNCTION("""COMPUTED_VALUE"""),"Coin Splash Dice")</f>
        <v>Coin Splash Dice</v>
      </c>
      <c r="C190" s="5" t="str">
        <f ca="1">IFERROR(__xludf.DUMMYFUNCTION("""COMPUTED_VALUE"""),"CoinSplashDice")</f>
        <v>CoinSplashDice</v>
      </c>
      <c r="D190" s="6">
        <f ca="1">IFERROR(__xludf.DUMMYFUNCTION("""COMPUTED_VALUE"""),46056)</f>
        <v>46056</v>
      </c>
      <c r="E190" s="5" t="str">
        <f ca="1">IFERROR(__xludf.DUMMYFUNCTION("""COMPUTED_VALUE"""),"Dice Slots")</f>
        <v>Dice Slots</v>
      </c>
      <c r="F190" s="5">
        <f ca="1">IFERROR(__xludf.DUMMYFUNCTION("""COMPUTED_VALUE"""),14.8)</f>
        <v>14.8</v>
      </c>
      <c r="G190" s="5" t="str">
        <f ca="1">IFERROR(__xludf.DUMMYFUNCTION("""COMPUTED_VALUE"""),"5x4")</f>
        <v>5x4</v>
      </c>
      <c r="H190" s="5">
        <f ca="1">IFERROR(__xludf.DUMMYFUNCTION("""COMPUTED_VALUE"""),40)</f>
        <v>40</v>
      </c>
      <c r="I190" s="5">
        <f ca="1">IFERROR(__xludf.DUMMYFUNCTION("""COMPUTED_VALUE"""),40)</f>
        <v>40</v>
      </c>
      <c r="J190" s="5" t="str">
        <f ca="1">IFERROR(__xludf.DUMMYFUNCTION("""COMPUTED_VALUE"""),"96.594%")</f>
        <v>96.594%</v>
      </c>
      <c r="K190" s="5" t="str">
        <f ca="1">IFERROR(__xludf.DUMMYFUNCTION("""COMPUTED_VALUE"""),"Medium")</f>
        <v>Medium</v>
      </c>
      <c r="L190" s="5" t="str">
        <f ca="1">IFERROR(__xludf.DUMMYFUNCTION("""COMPUTED_VALUE"""),"12.056%")</f>
        <v>12.056%</v>
      </c>
      <c r="M190" s="5" t="str">
        <f ca="1">IFERROR(__xludf.DUMMYFUNCTION("""COMPUTED_VALUE"""),"x750")</f>
        <v>x750</v>
      </c>
      <c r="N190" s="5" t="str">
        <f ca="1">IFERROR(__xludf.DUMMYFUNCTION("""COMPUTED_VALUE"""),"0.04/60")</f>
        <v>0.04/60</v>
      </c>
      <c r="O190" s="5" t="str">
        <f ca="1">IFERROR(__xludf.DUMMYFUNCTION("""COMPUTED_VALUE"""),"Yes")</f>
        <v>Yes</v>
      </c>
      <c r="P190" s="5" t="str">
        <f ca="1">IFERROR(__xludf.DUMMYFUNCTION("""COMPUTED_VALUE"""),"Exploding Wild")</f>
        <v>Exploding Wild</v>
      </c>
      <c r="Q190" s="7" t="str">
        <f ca="1">IFERROR(__xludf.DUMMYFUNCTION("""COMPUTED_VALUE"""),"https://gameserver-store-client-area.orbionlimited.com/Home/IntegrationGameLaunch/client-area?moneyType=0&amp;gameName=CoinSplashDice&amp;platform=desktop&amp;languageCode=eng&amp;currency=EUR")</f>
        <v>https://gameserver-store-client-area.orbionlimited.com/Home/IntegrationGameLaunch/client-area?moneyType=0&amp;gameName=CoinSplashDice&amp;platform=desktop&amp;languageCode=eng&amp;currency=EUR</v>
      </c>
      <c r="R190" s="5" t="str">
        <f ca="1">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S1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0" s="5" t="str">
        <f ca="1">IFERROR(__xludf.DUMMYFUNCTION("""COMPUTED_VALUE"""),"Yes")</f>
        <v>Yes</v>
      </c>
      <c r="U190" s="5" t="str">
        <f ca="1">IFERROR(__xludf.DUMMYFUNCTION("""COMPUTED_VALUE"""),"Yes")</f>
        <v>Yes</v>
      </c>
      <c r="V190" s="5" t="str">
        <f ca="1">IFERROR(__xludf.DUMMYFUNCTION("""COMPUTED_VALUE"""),"Yes")</f>
        <v>Yes</v>
      </c>
      <c r="W190" s="5" t="str">
        <f ca="1">IFERROR(__xludf.DUMMYFUNCTION("""COMPUTED_VALUE"""),"Yes")</f>
        <v>Yes</v>
      </c>
      <c r="X190" s="5" t="str">
        <f ca="1">IFERROR(__xludf.DUMMYFUNCTION("""COMPUTED_VALUE"""),"Yes")</f>
        <v>Yes</v>
      </c>
      <c r="Y190" s="5" t="str">
        <f ca="1">IFERROR(__xludf.DUMMYFUNCTION("""COMPUTED_VALUE"""),"Yes")</f>
        <v>Yes</v>
      </c>
      <c r="Z190" s="5" t="str">
        <f ca="1">IFERROR(__xludf.DUMMYFUNCTION("""COMPUTED_VALUE"""),"Yes")</f>
        <v>Yes</v>
      </c>
      <c r="AA190" s="5" t="str">
        <f ca="1">IFERROR(__xludf.DUMMYFUNCTION("""COMPUTED_VALUE"""),"Yes")</f>
        <v>Yes</v>
      </c>
      <c r="AB190" s="5" t="str">
        <f ca="1">IFERROR(__xludf.DUMMYFUNCTION("""COMPUTED_VALUE"""),"Yes")</f>
        <v>Yes</v>
      </c>
      <c r="AC190" s="5" t="str">
        <f ca="1">IFERROR(__xludf.DUMMYFUNCTION("""COMPUTED_VALUE"""),"Yes")</f>
        <v>Yes</v>
      </c>
      <c r="AD190" s="5" t="str">
        <f ca="1">IFERROR(__xludf.DUMMYFUNCTION("""COMPUTED_VALUE"""),"Yes")</f>
        <v>Yes</v>
      </c>
      <c r="AE190" s="5" t="str">
        <f ca="1">IFERROR(__xludf.DUMMYFUNCTION("""COMPUTED_VALUE"""),"Yes")</f>
        <v>Yes</v>
      </c>
      <c r="AF190" s="5" t="str">
        <f ca="1">IFERROR(__xludf.DUMMYFUNCTION("""COMPUTED_VALUE"""),"Yes")</f>
        <v>Yes</v>
      </c>
      <c r="AG190" s="5" t="str">
        <f ca="1">IFERROR(__xludf.DUMMYFUNCTION("""COMPUTED_VALUE"""),"Yes")</f>
        <v>Yes</v>
      </c>
      <c r="AH190" s="5" t="str">
        <f ca="1">IFERROR(__xludf.DUMMYFUNCTION("""COMPUTED_VALUE"""),"Yes")</f>
        <v>Yes</v>
      </c>
      <c r="AI190" s="5" t="str">
        <f ca="1">IFERROR(__xludf.DUMMYFUNCTION("""COMPUTED_VALUE"""),"Yes")</f>
        <v>Yes</v>
      </c>
      <c r="AJ190" s="5" t="str">
        <f ca="1">IFERROR(__xludf.DUMMYFUNCTION("""COMPUTED_VALUE"""),"Yes")</f>
        <v>Yes</v>
      </c>
      <c r="AK190" s="5" t="str">
        <f ca="1">IFERROR(__xludf.DUMMYFUNCTION("""COMPUTED_VALUE"""),"Yes")</f>
        <v>Yes</v>
      </c>
      <c r="AL190" s="5" t="str">
        <f ca="1">IFERROR(__xludf.DUMMYFUNCTION("""COMPUTED_VALUE"""),"Yes")</f>
        <v>Yes</v>
      </c>
      <c r="AM190" s="5" t="str">
        <f ca="1">IFERROR(__xludf.DUMMYFUNCTION("""COMPUTED_VALUE"""),"Yes")</f>
        <v>Yes</v>
      </c>
      <c r="AN190" s="5" t="str">
        <f ca="1">IFERROR(__xludf.DUMMYFUNCTION("""COMPUTED_VALUE"""),"Yes")</f>
        <v>Yes</v>
      </c>
      <c r="AO190" s="5" t="str">
        <f ca="1">IFERROR(__xludf.DUMMYFUNCTION("""COMPUTED_VALUE"""),"Yes")</f>
        <v>Yes</v>
      </c>
      <c r="AP190" s="5" t="str">
        <f ca="1">IFERROR(__xludf.DUMMYFUNCTION("""COMPUTED_VALUE"""),"Yes")</f>
        <v>Yes</v>
      </c>
      <c r="AQ190" s="5" t="str">
        <f ca="1">IFERROR(__xludf.DUMMYFUNCTION("""COMPUTED_VALUE"""),"Yes")</f>
        <v>Yes</v>
      </c>
      <c r="AR190" s="5" t="str">
        <f ca="1">IFERROR(__xludf.DUMMYFUNCTION("""COMPUTED_VALUE"""),"Yes")</f>
        <v>Yes</v>
      </c>
      <c r="AS190" s="5" t="str">
        <f ca="1">IFERROR(__xludf.DUMMYFUNCTION("""COMPUTED_VALUE"""),"Yes")</f>
        <v>Yes</v>
      </c>
      <c r="AT190" s="5" t="str">
        <f ca="1">IFERROR(__xludf.DUMMYFUNCTION("""COMPUTED_VALUE"""),"No")</f>
        <v>No</v>
      </c>
      <c r="AU190" s="5"/>
    </row>
    <row r="191" spans="1:47" x14ac:dyDescent="0.25">
      <c r="A191" s="5" t="str">
        <f ca="1">IFERROR(__xludf.DUMMYFUNCTION("""COMPUTED_VALUE"""),"Foxi")</f>
        <v>Foxi</v>
      </c>
      <c r="B191" s="5" t="str">
        <f ca="1">IFERROR(__xludf.DUMMYFUNCTION("""COMPUTED_VALUE"""),"Wild Hot 40 Deluxe")</f>
        <v>Wild Hot 40 Deluxe</v>
      </c>
      <c r="C191" s="5" t="str">
        <f ca="1">IFERROR(__xludf.DUMMYFUNCTION("""COMPUTED_VALUE"""),"WildHot40Deluxe")</f>
        <v>WildHot40Deluxe</v>
      </c>
      <c r="D191" s="6">
        <f ca="1">IFERROR(__xludf.DUMMYFUNCTION("""COMPUTED_VALUE"""),46161)</f>
        <v>46161</v>
      </c>
      <c r="E191" s="5" t="str">
        <f ca="1">IFERROR(__xludf.DUMMYFUNCTION("""COMPUTED_VALUE"""),"Slot")</f>
        <v>Slot</v>
      </c>
      <c r="F191" s="5">
        <f ca="1">IFERROR(__xludf.DUMMYFUNCTION("""COMPUTED_VALUE"""),16)</f>
        <v>16</v>
      </c>
      <c r="G191" s="5" t="str">
        <f ca="1">IFERROR(__xludf.DUMMYFUNCTION("""COMPUTED_VALUE"""),"5x4")</f>
        <v>5x4</v>
      </c>
      <c r="H191" s="5">
        <f ca="1">IFERROR(__xludf.DUMMYFUNCTION("""COMPUTED_VALUE"""),40)</f>
        <v>40</v>
      </c>
      <c r="I191" s="5">
        <f ca="1">IFERROR(__xludf.DUMMYFUNCTION("""COMPUTED_VALUE"""),40)</f>
        <v>40</v>
      </c>
      <c r="J191" s="5" t="str">
        <f ca="1">IFERROR(__xludf.DUMMYFUNCTION("""COMPUTED_VALUE"""),"96.584%")</f>
        <v>96.584%</v>
      </c>
      <c r="K191" s="5" t="str">
        <f ca="1">IFERROR(__xludf.DUMMYFUNCTION("""COMPUTED_VALUE"""),"Medium")</f>
        <v>Medium</v>
      </c>
      <c r="L191" s="5" t="str">
        <f ca="1">IFERROR(__xludf.DUMMYFUNCTION("""COMPUTED_VALUE"""),"16.725%")</f>
        <v>16.725%</v>
      </c>
      <c r="M191" s="5" t="str">
        <f ca="1">IFERROR(__xludf.DUMMYFUNCTION("""COMPUTED_VALUE"""),"x1000")</f>
        <v>x1000</v>
      </c>
      <c r="N191" s="5" t="str">
        <f ca="1">IFERROR(__xludf.DUMMYFUNCTION("""COMPUTED_VALUE"""),"0.40/60")</f>
        <v>0.40/60</v>
      </c>
      <c r="O191" s="5" t="str">
        <f ca="1">IFERROR(__xludf.DUMMYFUNCTION("""COMPUTED_VALUE"""),"Yes")</f>
        <v>Yes</v>
      </c>
      <c r="P191" s="5" t="str">
        <f ca="1">IFERROR(__xludf.DUMMYFUNCTION("""COMPUTED_VALUE"""),"Wild Symbol, Scatter")</f>
        <v>Wild Symbol, Scatter</v>
      </c>
      <c r="Q191" s="7" t="str">
        <f ca="1">IFERROR(__xludf.DUMMYFUNCTION("""COMPUTED_VALUE"""),"https://gameserver-store-client-area.orbionlimited.com/Home/IntegrationGameLaunch/client-area?moneyType=0&amp;gameName=WildHot40Deluxe&amp;platform=desktop&amp;languageCode=eng&amp;currency=EUR")</f>
        <v>https://gameserver-store-client-area.orbionlimited.com/Home/IntegrationGameLaunch/client-area?moneyType=0&amp;gameName=WildHot40Deluxe&amp;platform=desktop&amp;languageCode=eng&amp;currency=EUR</v>
      </c>
      <c r="R191" s="5" t="str">
        <f ca="1">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S1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1" s="5" t="str">
        <f ca="1">IFERROR(__xludf.DUMMYFUNCTION("""COMPUTED_VALUE"""),"Yes")</f>
        <v>Yes</v>
      </c>
      <c r="U191" s="5" t="str">
        <f ca="1">IFERROR(__xludf.DUMMYFUNCTION("""COMPUTED_VALUE"""),"Yes")</f>
        <v>Yes</v>
      </c>
      <c r="V191" s="5" t="str">
        <f ca="1">IFERROR(__xludf.DUMMYFUNCTION("""COMPUTED_VALUE"""),"Yes")</f>
        <v>Yes</v>
      </c>
      <c r="W191" s="5" t="str">
        <f ca="1">IFERROR(__xludf.DUMMYFUNCTION("""COMPUTED_VALUE"""),"Yes")</f>
        <v>Yes</v>
      </c>
      <c r="X191" s="5" t="str">
        <f ca="1">IFERROR(__xludf.DUMMYFUNCTION("""COMPUTED_VALUE"""),"Yes")</f>
        <v>Yes</v>
      </c>
      <c r="Y191" s="5" t="str">
        <f ca="1">IFERROR(__xludf.DUMMYFUNCTION("""COMPUTED_VALUE"""),"Yes")</f>
        <v>Yes</v>
      </c>
      <c r="Z191" s="5" t="str">
        <f ca="1">IFERROR(__xludf.DUMMYFUNCTION("""COMPUTED_VALUE"""),"Yes")</f>
        <v>Yes</v>
      </c>
      <c r="AA191" s="5" t="str">
        <f ca="1">IFERROR(__xludf.DUMMYFUNCTION("""COMPUTED_VALUE"""),"Yes")</f>
        <v>Yes</v>
      </c>
      <c r="AB191" s="5" t="str">
        <f ca="1">IFERROR(__xludf.DUMMYFUNCTION("""COMPUTED_VALUE"""),"Yes")</f>
        <v>Yes</v>
      </c>
      <c r="AC191" s="5" t="str">
        <f ca="1">IFERROR(__xludf.DUMMYFUNCTION("""COMPUTED_VALUE"""),"Yes")</f>
        <v>Yes</v>
      </c>
      <c r="AD191" s="5" t="str">
        <f ca="1">IFERROR(__xludf.DUMMYFUNCTION("""COMPUTED_VALUE"""),"Yes")</f>
        <v>Yes</v>
      </c>
      <c r="AE191" s="5" t="str">
        <f ca="1">IFERROR(__xludf.DUMMYFUNCTION("""COMPUTED_VALUE"""),"Yes")</f>
        <v>Yes</v>
      </c>
      <c r="AF191" s="5" t="str">
        <f ca="1">IFERROR(__xludf.DUMMYFUNCTION("""COMPUTED_VALUE"""),"Yes")</f>
        <v>Yes</v>
      </c>
      <c r="AG191" s="5" t="str">
        <f ca="1">IFERROR(__xludf.DUMMYFUNCTION("""COMPUTED_VALUE"""),"Yes")</f>
        <v>Yes</v>
      </c>
      <c r="AH191" s="5" t="str">
        <f ca="1">IFERROR(__xludf.DUMMYFUNCTION("""COMPUTED_VALUE"""),"Yes")</f>
        <v>Yes</v>
      </c>
      <c r="AI191" s="5" t="str">
        <f ca="1">IFERROR(__xludf.DUMMYFUNCTION("""COMPUTED_VALUE"""),"Yes")</f>
        <v>Yes</v>
      </c>
      <c r="AJ191" s="5" t="str">
        <f ca="1">IFERROR(__xludf.DUMMYFUNCTION("""COMPUTED_VALUE"""),"Yes")</f>
        <v>Yes</v>
      </c>
      <c r="AK191" s="5" t="str">
        <f ca="1">IFERROR(__xludf.DUMMYFUNCTION("""COMPUTED_VALUE"""),"Yes")</f>
        <v>Yes</v>
      </c>
      <c r="AL191" s="5" t="str">
        <f ca="1">IFERROR(__xludf.DUMMYFUNCTION("""COMPUTED_VALUE"""),"Yes")</f>
        <v>Yes</v>
      </c>
      <c r="AM191" s="5" t="str">
        <f ca="1">IFERROR(__xludf.DUMMYFUNCTION("""COMPUTED_VALUE"""),"Yes")</f>
        <v>Yes</v>
      </c>
      <c r="AN191" s="5" t="str">
        <f ca="1">IFERROR(__xludf.DUMMYFUNCTION("""COMPUTED_VALUE"""),"Yes")</f>
        <v>Yes</v>
      </c>
      <c r="AO191" s="5" t="str">
        <f ca="1">IFERROR(__xludf.DUMMYFUNCTION("""COMPUTED_VALUE"""),"Yes")</f>
        <v>Yes</v>
      </c>
      <c r="AP191" s="5" t="str">
        <f ca="1">IFERROR(__xludf.DUMMYFUNCTION("""COMPUTED_VALUE"""),"Yes")</f>
        <v>Yes</v>
      </c>
      <c r="AQ191" s="5" t="str">
        <f ca="1">IFERROR(__xludf.DUMMYFUNCTION("""COMPUTED_VALUE"""),"Yes")</f>
        <v>Yes</v>
      </c>
      <c r="AR191" s="5" t="str">
        <f ca="1">IFERROR(__xludf.DUMMYFUNCTION("""COMPUTED_VALUE"""),"Yes")</f>
        <v>Yes</v>
      </c>
      <c r="AS191" s="5" t="str">
        <f ca="1">IFERROR(__xludf.DUMMYFUNCTION("""COMPUTED_VALUE"""),"Yes")</f>
        <v>Yes</v>
      </c>
      <c r="AT191" s="5" t="str">
        <f ca="1">IFERROR(__xludf.DUMMYFUNCTION("""COMPUTED_VALUE"""),"No")</f>
        <v>No</v>
      </c>
      <c r="AU191" s="5"/>
    </row>
    <row r="192" spans="1:47" x14ac:dyDescent="0.25">
      <c r="A192" s="5" t="str">
        <f ca="1">IFERROR(__xludf.DUMMYFUNCTION("""COMPUTED_VALUE"""),"Foxi")</f>
        <v>Foxi</v>
      </c>
      <c r="B192" s="5" t="str">
        <f ca="1">IFERROR(__xludf.DUMMYFUNCTION("""COMPUTED_VALUE"""),"Bonus Epic Crown Dice")</f>
        <v>Bonus Epic Crown Dice</v>
      </c>
      <c r="C192" s="5" t="str">
        <f ca="1">IFERROR(__xludf.DUMMYFUNCTION("""COMPUTED_VALUE"""),"BonusEpicCrownDice")</f>
        <v>BonusEpicCrownDice</v>
      </c>
      <c r="D192" s="6">
        <f ca="1">IFERROR(__xludf.DUMMYFUNCTION("""COMPUTED_VALUE"""),46112)</f>
        <v>46112</v>
      </c>
      <c r="E192" s="5" t="str">
        <f ca="1">IFERROR(__xludf.DUMMYFUNCTION("""COMPUTED_VALUE"""),"Dice Slots")</f>
        <v>Dice Slots</v>
      </c>
      <c r="F192" s="5">
        <f ca="1">IFERROR(__xludf.DUMMYFUNCTION("""COMPUTED_VALUE"""),18)</f>
        <v>18</v>
      </c>
      <c r="G192" s="5" t="str">
        <f ca="1">IFERROR(__xludf.DUMMYFUNCTION("""COMPUTED_VALUE"""),"5x3")</f>
        <v>5x3</v>
      </c>
      <c r="H192" s="5">
        <f ca="1">IFERROR(__xludf.DUMMYFUNCTION("""COMPUTED_VALUE"""),10)</f>
        <v>10</v>
      </c>
      <c r="I192" s="5">
        <f ca="1">IFERROR(__xludf.DUMMYFUNCTION("""COMPUTED_VALUE"""),10)</f>
        <v>10</v>
      </c>
      <c r="J192" s="5" t="str">
        <f ca="1">IFERROR(__xludf.DUMMYFUNCTION("""COMPUTED_VALUE"""),"96.533%")</f>
        <v>96.533%</v>
      </c>
      <c r="K192" s="5" t="str">
        <f ca="1">IFERROR(__xludf.DUMMYFUNCTION("""COMPUTED_VALUE"""),"High")</f>
        <v>High</v>
      </c>
      <c r="L192" s="5" t="str">
        <f ca="1">IFERROR(__xludf.DUMMYFUNCTION("""COMPUTED_VALUE"""),"10.61%")</f>
        <v>10.61%</v>
      </c>
      <c r="M192" s="5" t="str">
        <f ca="1">IFERROR(__xludf.DUMMYFUNCTION("""COMPUTED_VALUE"""),"x20108")</f>
        <v>x20108</v>
      </c>
      <c r="N192" s="5" t="str">
        <f ca="1">IFERROR(__xludf.DUMMYFUNCTION("""COMPUTED_VALUE"""),"0.1/40")</f>
        <v>0.1/40</v>
      </c>
      <c r="O192" s="5" t="str">
        <f ca="1">IFERROR(__xludf.DUMMYFUNCTION("""COMPUTED_VALUE"""),"Yes")</f>
        <v>Yes</v>
      </c>
      <c r="P192" s="5" t="str">
        <f ca="1">IFERROR(__xludf.DUMMYFUNCTION("""COMPUTED_VALUE"""),"Buy Bonus, Extralines, Bonus Game with Free Spins, Expanding Wild")</f>
        <v>Buy Bonus, Extralines, Bonus Game with Free Spins, Expanding Wild</v>
      </c>
      <c r="Q192" s="7" t="str">
        <f ca="1">IFERROR(__xludf.DUMMYFUNCTION("""COMPUTED_VALUE"""),"https://gameserver-store-client-area.orbionlimited.com/Home/IntegrationGameLaunch/client-area?moneyType=0&amp;gameName=BonusEpicCrownDice&amp;platform=desktop&amp;languageCode=eng&amp;currency=EUR")</f>
        <v>https://gameserver-store-client-area.orbionlimited.com/Home/IntegrationGameLaunch/client-area?moneyType=0&amp;gameName=BonusEpicCrownDice&amp;platform=desktop&amp;languageCode=eng&amp;currency=EUR</v>
      </c>
      <c r="R192" s="5" t="str">
        <f ca="1">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 xml:space="preserve">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S1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2" s="5" t="str">
        <f ca="1">IFERROR(__xludf.DUMMYFUNCTION("""COMPUTED_VALUE"""),"Yes")</f>
        <v>Yes</v>
      </c>
      <c r="U192" s="5" t="str">
        <f ca="1">IFERROR(__xludf.DUMMYFUNCTION("""COMPUTED_VALUE"""),"Yes")</f>
        <v>Yes</v>
      </c>
      <c r="V192" s="5" t="str">
        <f ca="1">IFERROR(__xludf.DUMMYFUNCTION("""COMPUTED_VALUE"""),"Yes")</f>
        <v>Yes</v>
      </c>
      <c r="W192" s="5" t="str">
        <f ca="1">IFERROR(__xludf.DUMMYFUNCTION("""COMPUTED_VALUE"""),"Yes")</f>
        <v>Yes</v>
      </c>
      <c r="X192" s="5" t="str">
        <f ca="1">IFERROR(__xludf.DUMMYFUNCTION("""COMPUTED_VALUE"""),"Yes")</f>
        <v>Yes</v>
      </c>
      <c r="Y192" s="5" t="str">
        <f ca="1">IFERROR(__xludf.DUMMYFUNCTION("""COMPUTED_VALUE"""),"Yes")</f>
        <v>Yes</v>
      </c>
      <c r="Z192" s="5" t="str">
        <f ca="1">IFERROR(__xludf.DUMMYFUNCTION("""COMPUTED_VALUE"""),"Yes")</f>
        <v>Yes</v>
      </c>
      <c r="AA192" s="5" t="str">
        <f ca="1">IFERROR(__xludf.DUMMYFUNCTION("""COMPUTED_VALUE"""),"Yes")</f>
        <v>Yes</v>
      </c>
      <c r="AB192" s="5" t="str">
        <f ca="1">IFERROR(__xludf.DUMMYFUNCTION("""COMPUTED_VALUE"""),"Yes")</f>
        <v>Yes</v>
      </c>
      <c r="AC192" s="5" t="str">
        <f ca="1">IFERROR(__xludf.DUMMYFUNCTION("""COMPUTED_VALUE"""),"Yes")</f>
        <v>Yes</v>
      </c>
      <c r="AD192" s="5" t="str">
        <f ca="1">IFERROR(__xludf.DUMMYFUNCTION("""COMPUTED_VALUE"""),"Yes")</f>
        <v>Yes</v>
      </c>
      <c r="AE192" s="5" t="str">
        <f ca="1">IFERROR(__xludf.DUMMYFUNCTION("""COMPUTED_VALUE"""),"Yes")</f>
        <v>Yes</v>
      </c>
      <c r="AF192" s="5" t="str">
        <f ca="1">IFERROR(__xludf.DUMMYFUNCTION("""COMPUTED_VALUE"""),"Yes")</f>
        <v>Yes</v>
      </c>
      <c r="AG192" s="5" t="str">
        <f ca="1">IFERROR(__xludf.DUMMYFUNCTION("""COMPUTED_VALUE"""),"Yes")</f>
        <v>Yes</v>
      </c>
      <c r="AH192" s="5" t="str">
        <f ca="1">IFERROR(__xludf.DUMMYFUNCTION("""COMPUTED_VALUE"""),"Yes")</f>
        <v>Yes</v>
      </c>
      <c r="AI192" s="5" t="str">
        <f ca="1">IFERROR(__xludf.DUMMYFUNCTION("""COMPUTED_VALUE"""),"Yes")</f>
        <v>Yes</v>
      </c>
      <c r="AJ192" s="5" t="str">
        <f ca="1">IFERROR(__xludf.DUMMYFUNCTION("""COMPUTED_VALUE"""),"Yes")</f>
        <v>Yes</v>
      </c>
      <c r="AK192" s="5" t="str">
        <f ca="1">IFERROR(__xludf.DUMMYFUNCTION("""COMPUTED_VALUE"""),"Yes")</f>
        <v>Yes</v>
      </c>
      <c r="AL192" s="5" t="str">
        <f ca="1">IFERROR(__xludf.DUMMYFUNCTION("""COMPUTED_VALUE"""),"Yes")</f>
        <v>Yes</v>
      </c>
      <c r="AM192" s="5" t="str">
        <f ca="1">IFERROR(__xludf.DUMMYFUNCTION("""COMPUTED_VALUE"""),"Yes")</f>
        <v>Yes</v>
      </c>
      <c r="AN192" s="5" t="str">
        <f ca="1">IFERROR(__xludf.DUMMYFUNCTION("""COMPUTED_VALUE"""),"Yes")</f>
        <v>Yes</v>
      </c>
      <c r="AO192" s="5" t="str">
        <f ca="1">IFERROR(__xludf.DUMMYFUNCTION("""COMPUTED_VALUE"""),"Yes")</f>
        <v>Yes</v>
      </c>
      <c r="AP192" s="5" t="str">
        <f ca="1">IFERROR(__xludf.DUMMYFUNCTION("""COMPUTED_VALUE"""),"Yes")</f>
        <v>Yes</v>
      </c>
      <c r="AQ192" s="5" t="str">
        <f ca="1">IFERROR(__xludf.DUMMYFUNCTION("""COMPUTED_VALUE"""),"Yes")</f>
        <v>Yes</v>
      </c>
      <c r="AR192" s="5" t="str">
        <f ca="1">IFERROR(__xludf.DUMMYFUNCTION("""COMPUTED_VALUE"""),"Yes")</f>
        <v>Yes</v>
      </c>
      <c r="AS192" s="5" t="str">
        <f ca="1">IFERROR(__xludf.DUMMYFUNCTION("""COMPUTED_VALUE"""),"Yes")</f>
        <v>Yes</v>
      </c>
      <c r="AT192" s="5" t="str">
        <f ca="1">IFERROR(__xludf.DUMMYFUNCTION("""COMPUTED_VALUE"""),"No")</f>
        <v>No</v>
      </c>
      <c r="AU192" s="5"/>
    </row>
    <row r="193" spans="1:47" x14ac:dyDescent="0.25">
      <c r="A193" s="5" t="str">
        <f ca="1">IFERROR(__xludf.DUMMYFUNCTION("""COMPUTED_VALUE"""),"Foxi")</f>
        <v>Foxi</v>
      </c>
      <c r="B193" s="5" t="str">
        <f ca="1">IFERROR(__xludf.DUMMYFUNCTION("""COMPUTED_VALUE"""),"Golden Crown Hold&amp;Win")</f>
        <v>Golden Crown Hold&amp;Win</v>
      </c>
      <c r="C193" s="5" t="str">
        <f ca="1">IFERROR(__xludf.DUMMYFUNCTION("""COMPUTED_VALUE"""),"GoldenCrownHoldAndWin")</f>
        <v>GoldenCrownHoldAndWin</v>
      </c>
      <c r="D193" s="6">
        <f ca="1">IFERROR(__xludf.DUMMYFUNCTION("""COMPUTED_VALUE"""),46126)</f>
        <v>46126</v>
      </c>
      <c r="E193" s="5" t="str">
        <f ca="1">IFERROR(__xludf.DUMMYFUNCTION("""COMPUTED_VALUE"""),"Slot")</f>
        <v>Slot</v>
      </c>
      <c r="F193" s="5">
        <f ca="1">IFERROR(__xludf.DUMMYFUNCTION("""COMPUTED_VALUE"""),39)</f>
        <v>39</v>
      </c>
      <c r="G193" s="5" t="str">
        <f ca="1">IFERROR(__xludf.DUMMYFUNCTION("""COMPUTED_VALUE"""),"5x3")</f>
        <v>5x3</v>
      </c>
      <c r="H193" s="5">
        <f ca="1">IFERROR(__xludf.DUMMYFUNCTION("""COMPUTED_VALUE"""),10)</f>
        <v>10</v>
      </c>
      <c r="I193" s="5">
        <f ca="1">IFERROR(__xludf.DUMMYFUNCTION("""COMPUTED_VALUE"""),10)</f>
        <v>10</v>
      </c>
      <c r="J193" s="5" t="str">
        <f ca="1">IFERROR(__xludf.DUMMYFUNCTION("""COMPUTED_VALUE"""),"95.962%")</f>
        <v>95.962%</v>
      </c>
      <c r="K193" s="5" t="str">
        <f ca="1">IFERROR(__xludf.DUMMYFUNCTION("""COMPUTED_VALUE"""),"Medium")</f>
        <v>Medium</v>
      </c>
      <c r="L193" s="5" t="str">
        <f ca="1">IFERROR(__xludf.DUMMYFUNCTION("""COMPUTED_VALUE"""),"14.63%")</f>
        <v>14.63%</v>
      </c>
      <c r="M193" s="5" t="str">
        <f ca="1">IFERROR(__xludf.DUMMYFUNCTION("""COMPUTED_VALUE"""),"x1538")</f>
        <v>x1538</v>
      </c>
      <c r="N193" s="5" t="str">
        <f ca="1">IFERROR(__xludf.DUMMYFUNCTION("""COMPUTED_VALUE"""),"0.1/40")</f>
        <v>0.1/40</v>
      </c>
      <c r="O193" s="5" t="str">
        <f ca="1">IFERROR(__xludf.DUMMYFUNCTION("""COMPUTED_VALUE"""),"Yes")</f>
        <v>Yes</v>
      </c>
      <c r="P193" s="5" t="str">
        <f ca="1">IFERROR(__xludf.DUMMYFUNCTION("""COMPUTED_VALUE"""),"Scatter, Expanding Wild, Hold and Win, Buy Bonus")</f>
        <v>Scatter, Expanding Wild, Hold and Win, Buy Bonus</v>
      </c>
      <c r="Q193" s="7" t="str">
        <f ca="1">IFERROR(__xludf.DUMMYFUNCTION("""COMPUTED_VALUE"""),"https://gameserver-store-client-area.orbionlimited.com/Home/IntegrationGameLaunch/client-area?moneyType=0&amp;gameName=GoldenCrownHoldAndWin&amp;platform=desktop&amp;languageCode=eng&amp;currency=EUR")</f>
        <v>https://gameserver-store-client-area.orbionlimited.com/Home/IntegrationGameLaunch/client-area?moneyType=0&amp;gameName=GoldenCrownHoldAndWin&amp;platform=desktop&amp;languageCode=eng&amp;currency=EUR</v>
      </c>
      <c r="R193" s="5" t="str">
        <f ca="1">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S1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3" s="5" t="str">
        <f ca="1">IFERROR(__xludf.DUMMYFUNCTION("""COMPUTED_VALUE"""),"Yes")</f>
        <v>Yes</v>
      </c>
      <c r="U193" s="5" t="str">
        <f ca="1">IFERROR(__xludf.DUMMYFUNCTION("""COMPUTED_VALUE"""),"Yes")</f>
        <v>Yes</v>
      </c>
      <c r="V193" s="5" t="str">
        <f ca="1">IFERROR(__xludf.DUMMYFUNCTION("""COMPUTED_VALUE"""),"Yes")</f>
        <v>Yes</v>
      </c>
      <c r="W193" s="5" t="str">
        <f ca="1">IFERROR(__xludf.DUMMYFUNCTION("""COMPUTED_VALUE"""),"Yes")</f>
        <v>Yes</v>
      </c>
      <c r="X193" s="5" t="str">
        <f ca="1">IFERROR(__xludf.DUMMYFUNCTION("""COMPUTED_VALUE"""),"Yes")</f>
        <v>Yes</v>
      </c>
      <c r="Y193" s="5" t="str">
        <f ca="1">IFERROR(__xludf.DUMMYFUNCTION("""COMPUTED_VALUE"""),"Yes")</f>
        <v>Yes</v>
      </c>
      <c r="Z193" s="5" t="str">
        <f ca="1">IFERROR(__xludf.DUMMYFUNCTION("""COMPUTED_VALUE"""),"Yes")</f>
        <v>Yes</v>
      </c>
      <c r="AA193" s="5" t="str">
        <f ca="1">IFERROR(__xludf.DUMMYFUNCTION("""COMPUTED_VALUE"""),"Yes")</f>
        <v>Yes</v>
      </c>
      <c r="AB193" s="5" t="str">
        <f ca="1">IFERROR(__xludf.DUMMYFUNCTION("""COMPUTED_VALUE"""),"Yes")</f>
        <v>Yes</v>
      </c>
      <c r="AC193" s="5" t="str">
        <f ca="1">IFERROR(__xludf.DUMMYFUNCTION("""COMPUTED_VALUE"""),"Yes")</f>
        <v>Yes</v>
      </c>
      <c r="AD193" s="5" t="str">
        <f ca="1">IFERROR(__xludf.DUMMYFUNCTION("""COMPUTED_VALUE"""),"Yes")</f>
        <v>Yes</v>
      </c>
      <c r="AE193" s="5" t="str">
        <f ca="1">IFERROR(__xludf.DUMMYFUNCTION("""COMPUTED_VALUE"""),"Yes")</f>
        <v>Yes</v>
      </c>
      <c r="AF193" s="5" t="str">
        <f ca="1">IFERROR(__xludf.DUMMYFUNCTION("""COMPUTED_VALUE"""),"Yes")</f>
        <v>Yes</v>
      </c>
      <c r="AG193" s="5" t="str">
        <f ca="1">IFERROR(__xludf.DUMMYFUNCTION("""COMPUTED_VALUE"""),"Yes")</f>
        <v>Yes</v>
      </c>
      <c r="AH193" s="5" t="str">
        <f ca="1">IFERROR(__xludf.DUMMYFUNCTION("""COMPUTED_VALUE"""),"Yes")</f>
        <v>Yes</v>
      </c>
      <c r="AI193" s="5" t="str">
        <f ca="1">IFERROR(__xludf.DUMMYFUNCTION("""COMPUTED_VALUE"""),"Yes")</f>
        <v>Yes</v>
      </c>
      <c r="AJ193" s="5" t="str">
        <f ca="1">IFERROR(__xludf.DUMMYFUNCTION("""COMPUTED_VALUE"""),"Yes")</f>
        <v>Yes</v>
      </c>
      <c r="AK193" s="5" t="str">
        <f ca="1">IFERROR(__xludf.DUMMYFUNCTION("""COMPUTED_VALUE"""),"Yes")</f>
        <v>Yes</v>
      </c>
      <c r="AL193" s="5" t="str">
        <f ca="1">IFERROR(__xludf.DUMMYFUNCTION("""COMPUTED_VALUE"""),"Yes")</f>
        <v>Yes</v>
      </c>
      <c r="AM193" s="5" t="str">
        <f ca="1">IFERROR(__xludf.DUMMYFUNCTION("""COMPUTED_VALUE"""),"Yes")</f>
        <v>Yes</v>
      </c>
      <c r="AN193" s="5" t="str">
        <f ca="1">IFERROR(__xludf.DUMMYFUNCTION("""COMPUTED_VALUE"""),"Yes")</f>
        <v>Yes</v>
      </c>
      <c r="AO193" s="5" t="str">
        <f ca="1">IFERROR(__xludf.DUMMYFUNCTION("""COMPUTED_VALUE"""),"Yes")</f>
        <v>Yes</v>
      </c>
      <c r="AP193" s="5" t="str">
        <f ca="1">IFERROR(__xludf.DUMMYFUNCTION("""COMPUTED_VALUE"""),"Yes")</f>
        <v>Yes</v>
      </c>
      <c r="AQ193" s="5" t="str">
        <f ca="1">IFERROR(__xludf.DUMMYFUNCTION("""COMPUTED_VALUE"""),"Yes")</f>
        <v>Yes</v>
      </c>
      <c r="AR193" s="5" t="str">
        <f ca="1">IFERROR(__xludf.DUMMYFUNCTION("""COMPUTED_VALUE"""),"Yes")</f>
        <v>Yes</v>
      </c>
      <c r="AS193" s="5" t="str">
        <f ca="1">IFERROR(__xludf.DUMMYFUNCTION("""COMPUTED_VALUE"""),"Yes")</f>
        <v>Yes</v>
      </c>
      <c r="AT193" s="5" t="str">
        <f ca="1">IFERROR(__xludf.DUMMYFUNCTION("""COMPUTED_VALUE"""),"No")</f>
        <v>No</v>
      </c>
      <c r="AU193" s="5"/>
    </row>
    <row r="194" spans="1:47" x14ac:dyDescent="0.25">
      <c r="A194" s="5" t="str">
        <f ca="1">IFERROR(__xludf.DUMMYFUNCTION("""COMPUTED_VALUE"""),"Foxi")</f>
        <v>Foxi</v>
      </c>
      <c r="B194" s="5" t="str">
        <f ca="1">IFERROR(__xludf.DUMMYFUNCTION("""COMPUTED_VALUE"""),"Golden Diamonds 5 Extreme")</f>
        <v>Golden Diamonds 5 Extreme</v>
      </c>
      <c r="C194" s="5" t="str">
        <f ca="1">IFERROR(__xludf.DUMMYFUNCTION("""COMPUTED_VALUE"""),"GoldenDiamonds5Extreme")</f>
        <v>GoldenDiamonds5Extreme</v>
      </c>
      <c r="D194" s="6">
        <f ca="1">IFERROR(__xludf.DUMMYFUNCTION("""COMPUTED_VALUE"""),46098)</f>
        <v>46098</v>
      </c>
      <c r="E194" s="5" t="str">
        <f ca="1">IFERROR(__xludf.DUMMYFUNCTION("""COMPUTED_VALUE"""),"Slot")</f>
        <v>Slot</v>
      </c>
      <c r="F194" s="5">
        <f ca="1">IFERROR(__xludf.DUMMYFUNCTION("""COMPUTED_VALUE"""),22.36)</f>
        <v>22.36</v>
      </c>
      <c r="G194" s="5" t="str">
        <f ca="1">IFERROR(__xludf.DUMMYFUNCTION("""COMPUTED_VALUE"""),"5x3")</f>
        <v>5x3</v>
      </c>
      <c r="H194" s="5">
        <f ca="1">IFERROR(__xludf.DUMMYFUNCTION("""COMPUTED_VALUE"""),5)</f>
        <v>5</v>
      </c>
      <c r="I194" s="5">
        <f ca="1">IFERROR(__xludf.DUMMYFUNCTION("""COMPUTED_VALUE"""),5)</f>
        <v>5</v>
      </c>
      <c r="J194" s="5" t="str">
        <f ca="1">IFERROR(__xludf.DUMMYFUNCTION("""COMPUTED_VALUE"""),"96.453%")</f>
        <v>96.453%</v>
      </c>
      <c r="K194" s="5" t="str">
        <f ca="1">IFERROR(__xludf.DUMMYFUNCTION("""COMPUTED_VALUE"""),"Medium")</f>
        <v>Medium</v>
      </c>
      <c r="L194" s="5" t="str">
        <f ca="1">IFERROR(__xludf.DUMMYFUNCTION("""COMPUTED_VALUE"""),"14.234%")</f>
        <v>14.234%</v>
      </c>
      <c r="M194" s="5" t="str">
        <f ca="1">IFERROR(__xludf.DUMMYFUNCTION("""COMPUTED_VALUE"""),"x2624")</f>
        <v>x2624</v>
      </c>
      <c r="N194" s="5" t="str">
        <f ca="1">IFERROR(__xludf.DUMMYFUNCTION("""COMPUTED_VALUE"""),"0.1/50")</f>
        <v>0.1/50</v>
      </c>
      <c r="O194" s="5" t="str">
        <f ca="1">IFERROR(__xludf.DUMMYFUNCTION("""COMPUTED_VALUE"""),"Yes")</f>
        <v>Yes</v>
      </c>
      <c r="P194" s="5" t="str">
        <f ca="1">IFERROR(__xludf.DUMMYFUNCTION("""COMPUTED_VALUE"""),"Wild Symbol, Wild Multiplier, Scatter")</f>
        <v>Wild Symbol, Wild Multiplier, Scatter</v>
      </c>
      <c r="Q194" s="7" t="str">
        <f ca="1">IFERROR(__xludf.DUMMYFUNCTION("""COMPUTED_VALUE"""),"https://gameserver-store-client-area.orbionlimited.com/Home/IntegrationGameLaunch/client-area?moneyType=0&amp;gameName=GoldenDiamonds5Extreme&amp;platform=desktop&amp;languageCode=eng&amp;currency=EUR")</f>
        <v>https://gameserver-store-client-area.orbionlimited.com/Home/IntegrationGameLaunch/client-area?moneyType=0&amp;gameName=GoldenDiamonds5Extreme&amp;platform=desktop&amp;languageCode=eng&amp;currency=EUR</v>
      </c>
      <c r="R194" s="5" t="str">
        <f ca="1">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S1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4" s="5" t="str">
        <f ca="1">IFERROR(__xludf.DUMMYFUNCTION("""COMPUTED_VALUE"""),"Yes")</f>
        <v>Yes</v>
      </c>
      <c r="U194" s="5" t="str">
        <f ca="1">IFERROR(__xludf.DUMMYFUNCTION("""COMPUTED_VALUE"""),"Yes")</f>
        <v>Yes</v>
      </c>
      <c r="V194" s="5" t="str">
        <f ca="1">IFERROR(__xludf.DUMMYFUNCTION("""COMPUTED_VALUE"""),"Yes")</f>
        <v>Yes</v>
      </c>
      <c r="W194" s="5" t="str">
        <f ca="1">IFERROR(__xludf.DUMMYFUNCTION("""COMPUTED_VALUE"""),"Yes")</f>
        <v>Yes</v>
      </c>
      <c r="X194" s="5" t="str">
        <f ca="1">IFERROR(__xludf.DUMMYFUNCTION("""COMPUTED_VALUE"""),"Yes")</f>
        <v>Yes</v>
      </c>
      <c r="Y194" s="5" t="str">
        <f ca="1">IFERROR(__xludf.DUMMYFUNCTION("""COMPUTED_VALUE"""),"Yes")</f>
        <v>Yes</v>
      </c>
      <c r="Z194" s="5" t="str">
        <f ca="1">IFERROR(__xludf.DUMMYFUNCTION("""COMPUTED_VALUE"""),"Yes")</f>
        <v>Yes</v>
      </c>
      <c r="AA194" s="5" t="str">
        <f ca="1">IFERROR(__xludf.DUMMYFUNCTION("""COMPUTED_VALUE"""),"Yes")</f>
        <v>Yes</v>
      </c>
      <c r="AB194" s="5" t="str">
        <f ca="1">IFERROR(__xludf.DUMMYFUNCTION("""COMPUTED_VALUE"""),"Yes")</f>
        <v>Yes</v>
      </c>
      <c r="AC194" s="5" t="str">
        <f ca="1">IFERROR(__xludf.DUMMYFUNCTION("""COMPUTED_VALUE"""),"Yes")</f>
        <v>Yes</v>
      </c>
      <c r="AD194" s="5" t="str">
        <f ca="1">IFERROR(__xludf.DUMMYFUNCTION("""COMPUTED_VALUE"""),"Yes")</f>
        <v>Yes</v>
      </c>
      <c r="AE194" s="5" t="str">
        <f ca="1">IFERROR(__xludf.DUMMYFUNCTION("""COMPUTED_VALUE"""),"Yes")</f>
        <v>Yes</v>
      </c>
      <c r="AF194" s="5" t="str">
        <f ca="1">IFERROR(__xludf.DUMMYFUNCTION("""COMPUTED_VALUE"""),"Yes")</f>
        <v>Yes</v>
      </c>
      <c r="AG194" s="5" t="str">
        <f ca="1">IFERROR(__xludf.DUMMYFUNCTION("""COMPUTED_VALUE"""),"Yes")</f>
        <v>Yes</v>
      </c>
      <c r="AH194" s="5" t="str">
        <f ca="1">IFERROR(__xludf.DUMMYFUNCTION("""COMPUTED_VALUE"""),"Yes")</f>
        <v>Yes</v>
      </c>
      <c r="AI194" s="5" t="str">
        <f ca="1">IFERROR(__xludf.DUMMYFUNCTION("""COMPUTED_VALUE"""),"Yes")</f>
        <v>Yes</v>
      </c>
      <c r="AJ194" s="5" t="str">
        <f ca="1">IFERROR(__xludf.DUMMYFUNCTION("""COMPUTED_VALUE"""),"Yes")</f>
        <v>Yes</v>
      </c>
      <c r="AK194" s="5" t="str">
        <f ca="1">IFERROR(__xludf.DUMMYFUNCTION("""COMPUTED_VALUE"""),"Yes")</f>
        <v>Yes</v>
      </c>
      <c r="AL194" s="5" t="str">
        <f ca="1">IFERROR(__xludf.DUMMYFUNCTION("""COMPUTED_VALUE"""),"Yes")</f>
        <v>Yes</v>
      </c>
      <c r="AM194" s="5" t="str">
        <f ca="1">IFERROR(__xludf.DUMMYFUNCTION("""COMPUTED_VALUE"""),"Yes")</f>
        <v>Yes</v>
      </c>
      <c r="AN194" s="5" t="str">
        <f ca="1">IFERROR(__xludf.DUMMYFUNCTION("""COMPUTED_VALUE"""),"Yes")</f>
        <v>Yes</v>
      </c>
      <c r="AO194" s="5" t="str">
        <f ca="1">IFERROR(__xludf.DUMMYFUNCTION("""COMPUTED_VALUE"""),"Yes")</f>
        <v>Yes</v>
      </c>
      <c r="AP194" s="5" t="str">
        <f ca="1">IFERROR(__xludf.DUMMYFUNCTION("""COMPUTED_VALUE"""),"Yes")</f>
        <v>Yes</v>
      </c>
      <c r="AQ194" s="5" t="str">
        <f ca="1">IFERROR(__xludf.DUMMYFUNCTION("""COMPUTED_VALUE"""),"Yes")</f>
        <v>Yes</v>
      </c>
      <c r="AR194" s="5" t="str">
        <f ca="1">IFERROR(__xludf.DUMMYFUNCTION("""COMPUTED_VALUE"""),"Yes")</f>
        <v>Yes</v>
      </c>
      <c r="AS194" s="5" t="str">
        <f ca="1">IFERROR(__xludf.DUMMYFUNCTION("""COMPUTED_VALUE"""),"Yes")</f>
        <v>Yes</v>
      </c>
      <c r="AT194" s="5" t="str">
        <f ca="1">IFERROR(__xludf.DUMMYFUNCTION("""COMPUTED_VALUE"""),"No")</f>
        <v>No</v>
      </c>
      <c r="AU194" s="5"/>
    </row>
    <row r="195" spans="1:47" x14ac:dyDescent="0.25">
      <c r="A195" s="5" t="str">
        <f ca="1">IFERROR(__xludf.DUMMYFUNCTION("""COMPUTED_VALUE"""),"Foxi")</f>
        <v>Foxi</v>
      </c>
      <c r="B195" s="5" t="str">
        <f ca="1">IFERROR(__xludf.DUMMYFUNCTION("""COMPUTED_VALUE"""),"Golden Diamonds 10 Extreme")</f>
        <v>Golden Diamonds 10 Extreme</v>
      </c>
      <c r="C195" s="5" t="str">
        <f ca="1">IFERROR(__xludf.DUMMYFUNCTION("""COMPUTED_VALUE"""),"GoldenDiamonds10Extreme")</f>
        <v>GoldenDiamonds10Extreme</v>
      </c>
      <c r="D195" s="6">
        <f ca="1">IFERROR(__xludf.DUMMYFUNCTION("""COMPUTED_VALUE"""),46261)</f>
        <v>46261</v>
      </c>
      <c r="E195" s="5" t="str">
        <f ca="1">IFERROR(__xludf.DUMMYFUNCTION("""COMPUTED_VALUE"""),"Slot")</f>
        <v>Slot</v>
      </c>
      <c r="F195" s="5">
        <f ca="1">IFERROR(__xludf.DUMMYFUNCTION("""COMPUTED_VALUE"""),21.31)</f>
        <v>21.31</v>
      </c>
      <c r="G195" s="5" t="str">
        <f ca="1">IFERROR(__xludf.DUMMYFUNCTION("""COMPUTED_VALUE"""),"5x3")</f>
        <v>5x3</v>
      </c>
      <c r="H195" s="5">
        <f ca="1">IFERROR(__xludf.DUMMYFUNCTION("""COMPUTED_VALUE"""),10)</f>
        <v>10</v>
      </c>
      <c r="I195" s="5">
        <f ca="1">IFERROR(__xludf.DUMMYFUNCTION("""COMPUTED_VALUE"""),10)</f>
        <v>10</v>
      </c>
      <c r="J195" s="5" t="str">
        <f ca="1">IFERROR(__xludf.DUMMYFUNCTION("""COMPUTED_VALUE"""),"96.453%")</f>
        <v>96.453%</v>
      </c>
      <c r="K195" s="5" t="str">
        <f ca="1">IFERROR(__xludf.DUMMYFUNCTION("""COMPUTED_VALUE"""),"Medium")</f>
        <v>Medium</v>
      </c>
      <c r="L195" s="5" t="str">
        <f ca="1">IFERROR(__xludf.DUMMYFUNCTION("""COMPUTED_VALUE"""),"17.364%")</f>
        <v>17.364%</v>
      </c>
      <c r="M195" s="5" t="str">
        <f ca="1">IFERROR(__xludf.DUMMYFUNCTION("""COMPUTED_VALUE"""),"x2210")</f>
        <v>x2210</v>
      </c>
      <c r="N195" s="5" t="str">
        <f ca="1">IFERROR(__xludf.DUMMYFUNCTION("""COMPUTED_VALUE"""),"0.1/50")</f>
        <v>0.1/50</v>
      </c>
      <c r="O195" s="5" t="str">
        <f ca="1">IFERROR(__xludf.DUMMYFUNCTION("""COMPUTED_VALUE"""),"Yes")</f>
        <v>Yes</v>
      </c>
      <c r="P195" s="5" t="str">
        <f ca="1">IFERROR(__xludf.DUMMYFUNCTION("""COMPUTED_VALUE"""),"Wild Symbol, Wild Multiplier")</f>
        <v>Wild Symbol, Wild Multiplier</v>
      </c>
      <c r="Q195" s="7" t="str">
        <f ca="1">IFERROR(__xludf.DUMMYFUNCTION("""COMPUTED_VALUE"""),"https://gameserver-store-client-area.orbionlimited.com/Home/IntegrationGameLaunch/client-area?moneyType=0&amp;gameName=GoldenDiamonds10Extreme&amp;platform=desktop&amp;languageCode=eng&amp;currency=EUR")</f>
        <v>https://gameserver-store-client-area.orbionlimited.com/Home/IntegrationGameLaunch/client-area?moneyType=0&amp;gameName=GoldenDiamonds10Extreme&amp;platform=desktop&amp;languageCode=eng&amp;currency=EUR</v>
      </c>
      <c r="R195" s="5" t="str">
        <f ca="1">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S1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5" s="5" t="str">
        <f ca="1">IFERROR(__xludf.DUMMYFUNCTION("""COMPUTED_VALUE"""),"Yes")</f>
        <v>Yes</v>
      </c>
      <c r="U195" s="5" t="str">
        <f ca="1">IFERROR(__xludf.DUMMYFUNCTION("""COMPUTED_VALUE"""),"Yes")</f>
        <v>Yes</v>
      </c>
      <c r="V195" s="5" t="str">
        <f ca="1">IFERROR(__xludf.DUMMYFUNCTION("""COMPUTED_VALUE"""),"Yes")</f>
        <v>Yes</v>
      </c>
      <c r="W195" s="5" t="str">
        <f ca="1">IFERROR(__xludf.DUMMYFUNCTION("""COMPUTED_VALUE"""),"Yes")</f>
        <v>Yes</v>
      </c>
      <c r="X195" s="5" t="str">
        <f ca="1">IFERROR(__xludf.DUMMYFUNCTION("""COMPUTED_VALUE"""),"Yes")</f>
        <v>Yes</v>
      </c>
      <c r="Y195" s="5" t="str">
        <f ca="1">IFERROR(__xludf.DUMMYFUNCTION("""COMPUTED_VALUE"""),"Yes")</f>
        <v>Yes</v>
      </c>
      <c r="Z195" s="5" t="str">
        <f ca="1">IFERROR(__xludf.DUMMYFUNCTION("""COMPUTED_VALUE"""),"Yes")</f>
        <v>Yes</v>
      </c>
      <c r="AA195" s="5" t="str">
        <f ca="1">IFERROR(__xludf.DUMMYFUNCTION("""COMPUTED_VALUE"""),"Yes")</f>
        <v>Yes</v>
      </c>
      <c r="AB195" s="5" t="str">
        <f ca="1">IFERROR(__xludf.DUMMYFUNCTION("""COMPUTED_VALUE"""),"Yes")</f>
        <v>Yes</v>
      </c>
      <c r="AC195" s="5" t="str">
        <f ca="1">IFERROR(__xludf.DUMMYFUNCTION("""COMPUTED_VALUE"""),"Yes")</f>
        <v>Yes</v>
      </c>
      <c r="AD195" s="5" t="str">
        <f ca="1">IFERROR(__xludf.DUMMYFUNCTION("""COMPUTED_VALUE"""),"Yes")</f>
        <v>Yes</v>
      </c>
      <c r="AE195" s="5" t="str">
        <f ca="1">IFERROR(__xludf.DUMMYFUNCTION("""COMPUTED_VALUE"""),"Yes")</f>
        <v>Yes</v>
      </c>
      <c r="AF195" s="5" t="str">
        <f ca="1">IFERROR(__xludf.DUMMYFUNCTION("""COMPUTED_VALUE"""),"Yes")</f>
        <v>Yes</v>
      </c>
      <c r="AG195" s="5" t="str">
        <f ca="1">IFERROR(__xludf.DUMMYFUNCTION("""COMPUTED_VALUE"""),"Yes")</f>
        <v>Yes</v>
      </c>
      <c r="AH195" s="5" t="str">
        <f ca="1">IFERROR(__xludf.DUMMYFUNCTION("""COMPUTED_VALUE"""),"Yes")</f>
        <v>Yes</v>
      </c>
      <c r="AI195" s="5" t="str">
        <f ca="1">IFERROR(__xludf.DUMMYFUNCTION("""COMPUTED_VALUE"""),"Yes")</f>
        <v>Yes</v>
      </c>
      <c r="AJ195" s="5" t="str">
        <f ca="1">IFERROR(__xludf.DUMMYFUNCTION("""COMPUTED_VALUE"""),"Yes")</f>
        <v>Yes</v>
      </c>
      <c r="AK195" s="5" t="str">
        <f ca="1">IFERROR(__xludf.DUMMYFUNCTION("""COMPUTED_VALUE"""),"Yes")</f>
        <v>Yes</v>
      </c>
      <c r="AL195" s="5" t="str">
        <f ca="1">IFERROR(__xludf.DUMMYFUNCTION("""COMPUTED_VALUE"""),"Yes")</f>
        <v>Yes</v>
      </c>
      <c r="AM195" s="5" t="str">
        <f ca="1">IFERROR(__xludf.DUMMYFUNCTION("""COMPUTED_VALUE"""),"Yes")</f>
        <v>Yes</v>
      </c>
      <c r="AN195" s="5" t="str">
        <f ca="1">IFERROR(__xludf.DUMMYFUNCTION("""COMPUTED_VALUE"""),"Yes")</f>
        <v>Yes</v>
      </c>
      <c r="AO195" s="5" t="str">
        <f ca="1">IFERROR(__xludf.DUMMYFUNCTION("""COMPUTED_VALUE"""),"Yes")</f>
        <v>Yes</v>
      </c>
      <c r="AP195" s="5" t="str">
        <f ca="1">IFERROR(__xludf.DUMMYFUNCTION("""COMPUTED_VALUE"""),"Yes")</f>
        <v>Yes</v>
      </c>
      <c r="AQ195" s="5" t="str">
        <f ca="1">IFERROR(__xludf.DUMMYFUNCTION("""COMPUTED_VALUE"""),"Yes")</f>
        <v>Yes</v>
      </c>
      <c r="AR195" s="5" t="str">
        <f ca="1">IFERROR(__xludf.DUMMYFUNCTION("""COMPUTED_VALUE"""),"Yes")</f>
        <v>Yes</v>
      </c>
      <c r="AS195" s="5" t="str">
        <f ca="1">IFERROR(__xludf.DUMMYFUNCTION("""COMPUTED_VALUE"""),"Yes")</f>
        <v>Yes</v>
      </c>
      <c r="AT195" s="5" t="str">
        <f ca="1">IFERROR(__xludf.DUMMYFUNCTION("""COMPUTED_VALUE"""),"No")</f>
        <v>No</v>
      </c>
      <c r="AU195" s="5"/>
    </row>
    <row r="196" spans="1:47" x14ac:dyDescent="0.25">
      <c r="A196" s="5" t="str">
        <f ca="1">IFERROR(__xludf.DUMMYFUNCTION("""COMPUTED_VALUE"""),"Foxi")</f>
        <v>Foxi</v>
      </c>
      <c r="B196" s="5" t="str">
        <f ca="1">IFERROR(__xludf.DUMMYFUNCTION("""COMPUTED_VALUE"""),"Golden Diamonds 20 Extreme")</f>
        <v>Golden Diamonds 20 Extreme</v>
      </c>
      <c r="C196" s="5" t="str">
        <f ca="1">IFERROR(__xludf.DUMMYFUNCTION("""COMPUTED_VALUE"""),"GoldenDiamonds20Extreme")</f>
        <v>GoldenDiamonds20Extreme</v>
      </c>
      <c r="D196" s="6">
        <f ca="1">IFERROR(__xludf.DUMMYFUNCTION("""COMPUTED_VALUE"""),46119)</f>
        <v>46119</v>
      </c>
      <c r="E196" s="5" t="str">
        <f ca="1">IFERROR(__xludf.DUMMYFUNCTION("""COMPUTED_VALUE"""),"Slot")</f>
        <v>Slot</v>
      </c>
      <c r="F196" s="5">
        <f ca="1">IFERROR(__xludf.DUMMYFUNCTION("""COMPUTED_VALUE"""),21.3)</f>
        <v>21.3</v>
      </c>
      <c r="G196" s="5" t="str">
        <f ca="1">IFERROR(__xludf.DUMMYFUNCTION("""COMPUTED_VALUE"""),"5x3")</f>
        <v>5x3</v>
      </c>
      <c r="H196" s="5">
        <f ca="1">IFERROR(__xludf.DUMMYFUNCTION("""COMPUTED_VALUE"""),20)</f>
        <v>20</v>
      </c>
      <c r="I196" s="5">
        <f ca="1">IFERROR(__xludf.DUMMYFUNCTION("""COMPUTED_VALUE"""),20)</f>
        <v>20</v>
      </c>
      <c r="J196" s="5" t="str">
        <f ca="1">IFERROR(__xludf.DUMMYFUNCTION("""COMPUTED_VALUE"""),"96.453%")</f>
        <v>96.453%</v>
      </c>
      <c r="K196" s="5" t="str">
        <f ca="1">IFERROR(__xludf.DUMMYFUNCTION("""COMPUTED_VALUE"""),"Low")</f>
        <v>Low</v>
      </c>
      <c r="L196" s="5" t="str">
        <f ca="1">IFERROR(__xludf.DUMMYFUNCTION("""COMPUTED_VALUE"""),"21.192%")</f>
        <v>21.192%</v>
      </c>
      <c r="M196" s="5" t="str">
        <f ca="1">IFERROR(__xludf.DUMMYFUNCTION("""COMPUTED_VALUE"""),"x2765")</f>
        <v>x2765</v>
      </c>
      <c r="N196" s="5" t="str">
        <f ca="1">IFERROR(__xludf.DUMMYFUNCTION("""COMPUTED_VALUE"""),"0.2/50")</f>
        <v>0.2/50</v>
      </c>
      <c r="O196" s="5" t="str">
        <f ca="1">IFERROR(__xludf.DUMMYFUNCTION("""COMPUTED_VALUE"""),"Yes")</f>
        <v>Yes</v>
      </c>
      <c r="P196" s="5" t="str">
        <f ca="1">IFERROR(__xludf.DUMMYFUNCTION("""COMPUTED_VALUE"""),"Wild Symbol, Wild Multiplier")</f>
        <v>Wild Symbol, Wild Multiplier</v>
      </c>
      <c r="Q196" s="7" t="str">
        <f ca="1">IFERROR(__xludf.DUMMYFUNCTION("""COMPUTED_VALUE"""),"https://gameserver-store-client-area.orbionlimited.com/Home/IntegrationGameLaunch/client-area?moneyType=0&amp;gameName=GoldenDiamonds20Extreme&amp;platform=desktop&amp;languageCode=eng&amp;currency=EUR")</f>
        <v>https://gameserver-store-client-area.orbionlimited.com/Home/IntegrationGameLaunch/client-area?moneyType=0&amp;gameName=GoldenDiamonds20Extreme&amp;platform=desktop&amp;languageCode=eng&amp;currency=EUR</v>
      </c>
      <c r="R196" s="5" t="str">
        <f ca="1">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S1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6" s="5" t="str">
        <f ca="1">IFERROR(__xludf.DUMMYFUNCTION("""COMPUTED_VALUE"""),"Yes")</f>
        <v>Yes</v>
      </c>
      <c r="U196" s="5" t="str">
        <f ca="1">IFERROR(__xludf.DUMMYFUNCTION("""COMPUTED_VALUE"""),"Yes")</f>
        <v>Yes</v>
      </c>
      <c r="V196" s="5" t="str">
        <f ca="1">IFERROR(__xludf.DUMMYFUNCTION("""COMPUTED_VALUE"""),"Yes")</f>
        <v>Yes</v>
      </c>
      <c r="W196" s="5" t="str">
        <f ca="1">IFERROR(__xludf.DUMMYFUNCTION("""COMPUTED_VALUE"""),"Yes")</f>
        <v>Yes</v>
      </c>
      <c r="X196" s="5" t="str">
        <f ca="1">IFERROR(__xludf.DUMMYFUNCTION("""COMPUTED_VALUE"""),"Yes")</f>
        <v>Yes</v>
      </c>
      <c r="Y196" s="5" t="str">
        <f ca="1">IFERROR(__xludf.DUMMYFUNCTION("""COMPUTED_VALUE"""),"Yes")</f>
        <v>Yes</v>
      </c>
      <c r="Z196" s="5" t="str">
        <f ca="1">IFERROR(__xludf.DUMMYFUNCTION("""COMPUTED_VALUE"""),"Yes")</f>
        <v>Yes</v>
      </c>
      <c r="AA196" s="5" t="str">
        <f ca="1">IFERROR(__xludf.DUMMYFUNCTION("""COMPUTED_VALUE"""),"Yes")</f>
        <v>Yes</v>
      </c>
      <c r="AB196" s="5" t="str">
        <f ca="1">IFERROR(__xludf.DUMMYFUNCTION("""COMPUTED_VALUE"""),"Yes")</f>
        <v>Yes</v>
      </c>
      <c r="AC196" s="5" t="str">
        <f ca="1">IFERROR(__xludf.DUMMYFUNCTION("""COMPUTED_VALUE"""),"Yes")</f>
        <v>Yes</v>
      </c>
      <c r="AD196" s="5" t="str">
        <f ca="1">IFERROR(__xludf.DUMMYFUNCTION("""COMPUTED_VALUE"""),"Yes")</f>
        <v>Yes</v>
      </c>
      <c r="AE196" s="5" t="str">
        <f ca="1">IFERROR(__xludf.DUMMYFUNCTION("""COMPUTED_VALUE"""),"Yes")</f>
        <v>Yes</v>
      </c>
      <c r="AF196" s="5" t="str">
        <f ca="1">IFERROR(__xludf.DUMMYFUNCTION("""COMPUTED_VALUE"""),"Yes")</f>
        <v>Yes</v>
      </c>
      <c r="AG196" s="5" t="str">
        <f ca="1">IFERROR(__xludf.DUMMYFUNCTION("""COMPUTED_VALUE"""),"Yes")</f>
        <v>Yes</v>
      </c>
      <c r="AH196" s="5" t="str">
        <f ca="1">IFERROR(__xludf.DUMMYFUNCTION("""COMPUTED_VALUE"""),"Yes")</f>
        <v>Yes</v>
      </c>
      <c r="AI196" s="5" t="str">
        <f ca="1">IFERROR(__xludf.DUMMYFUNCTION("""COMPUTED_VALUE"""),"Yes")</f>
        <v>Yes</v>
      </c>
      <c r="AJ196" s="5" t="str">
        <f ca="1">IFERROR(__xludf.DUMMYFUNCTION("""COMPUTED_VALUE"""),"Yes")</f>
        <v>Yes</v>
      </c>
      <c r="AK196" s="5" t="str">
        <f ca="1">IFERROR(__xludf.DUMMYFUNCTION("""COMPUTED_VALUE"""),"Yes")</f>
        <v>Yes</v>
      </c>
      <c r="AL196" s="5" t="str">
        <f ca="1">IFERROR(__xludf.DUMMYFUNCTION("""COMPUTED_VALUE"""),"Yes")</f>
        <v>Yes</v>
      </c>
      <c r="AM196" s="5" t="str">
        <f ca="1">IFERROR(__xludf.DUMMYFUNCTION("""COMPUTED_VALUE"""),"Yes")</f>
        <v>Yes</v>
      </c>
      <c r="AN196" s="5" t="str">
        <f ca="1">IFERROR(__xludf.DUMMYFUNCTION("""COMPUTED_VALUE"""),"Yes")</f>
        <v>Yes</v>
      </c>
      <c r="AO196" s="5" t="str">
        <f ca="1">IFERROR(__xludf.DUMMYFUNCTION("""COMPUTED_VALUE"""),"Yes")</f>
        <v>Yes</v>
      </c>
      <c r="AP196" s="5" t="str">
        <f ca="1">IFERROR(__xludf.DUMMYFUNCTION("""COMPUTED_VALUE"""),"Yes")</f>
        <v>Yes</v>
      </c>
      <c r="AQ196" s="5" t="str">
        <f ca="1">IFERROR(__xludf.DUMMYFUNCTION("""COMPUTED_VALUE"""),"Yes")</f>
        <v>Yes</v>
      </c>
      <c r="AR196" s="5" t="str">
        <f ca="1">IFERROR(__xludf.DUMMYFUNCTION("""COMPUTED_VALUE"""),"Yes")</f>
        <v>Yes</v>
      </c>
      <c r="AS196" s="5" t="str">
        <f ca="1">IFERROR(__xludf.DUMMYFUNCTION("""COMPUTED_VALUE"""),"Yes")</f>
        <v>Yes</v>
      </c>
      <c r="AT196" s="5" t="str">
        <f ca="1">IFERROR(__xludf.DUMMYFUNCTION("""COMPUTED_VALUE"""),"No")</f>
        <v>No</v>
      </c>
      <c r="AU196" s="5"/>
    </row>
    <row r="197" spans="1:47" x14ac:dyDescent="0.25">
      <c r="A197" s="5" t="str">
        <f ca="1">IFERROR(__xludf.DUMMYFUNCTION("""COMPUTED_VALUE"""),"Foxi")</f>
        <v>Foxi</v>
      </c>
      <c r="B197" s="5" t="str">
        <f ca="1">IFERROR(__xludf.DUMMYFUNCTION("""COMPUTED_VALUE"""),"Golden Diamonds 40 Extreme")</f>
        <v>Golden Diamonds 40 Extreme</v>
      </c>
      <c r="C197" s="5" t="str">
        <f ca="1">IFERROR(__xludf.DUMMYFUNCTION("""COMPUTED_VALUE"""),"GoldenDiamonds40Extreme")</f>
        <v>GoldenDiamonds40Extreme</v>
      </c>
      <c r="D197" s="6">
        <f ca="1">IFERROR(__xludf.DUMMYFUNCTION("""COMPUTED_VALUE"""),46198)</f>
        <v>46198</v>
      </c>
      <c r="E197" s="5" t="str">
        <f ca="1">IFERROR(__xludf.DUMMYFUNCTION("""COMPUTED_VALUE"""),"Slot")</f>
        <v>Slot</v>
      </c>
      <c r="F197" s="5">
        <f ca="1">IFERROR(__xludf.DUMMYFUNCTION("""COMPUTED_VALUE"""),18.4)</f>
        <v>18.399999999999999</v>
      </c>
      <c r="G197" s="5" t="str">
        <f ca="1">IFERROR(__xludf.DUMMYFUNCTION("""COMPUTED_VALUE"""),"5x3")</f>
        <v>5x3</v>
      </c>
      <c r="H197" s="5">
        <f ca="1">IFERROR(__xludf.DUMMYFUNCTION("""COMPUTED_VALUE"""),40)</f>
        <v>40</v>
      </c>
      <c r="I197" s="5">
        <f ca="1">IFERROR(__xludf.DUMMYFUNCTION("""COMPUTED_VALUE"""),40)</f>
        <v>40</v>
      </c>
      <c r="J197" s="5" t="str">
        <f ca="1">IFERROR(__xludf.DUMMYFUNCTION("""COMPUTED_VALUE"""),"96.453%")</f>
        <v>96.453%</v>
      </c>
      <c r="K197" s="5" t="str">
        <f ca="1">IFERROR(__xludf.DUMMYFUNCTION("""COMPUTED_VALUE"""),"Low")</f>
        <v>Low</v>
      </c>
      <c r="L197" s="5" t="str">
        <f ca="1">IFERROR(__xludf.DUMMYFUNCTION("""COMPUTED_VALUE"""),"22.711%")</f>
        <v>22.711%</v>
      </c>
      <c r="M197" s="5" t="str">
        <f ca="1">IFERROR(__xludf.DUMMYFUNCTION("""COMPUTED_VALUE"""),"x1993")</f>
        <v>x1993</v>
      </c>
      <c r="N197" s="5" t="str">
        <f ca="1">IFERROR(__xludf.DUMMYFUNCTION("""COMPUTED_VALUE"""),"0.4/40")</f>
        <v>0.4/40</v>
      </c>
      <c r="O197" s="5" t="str">
        <f ca="1">IFERROR(__xludf.DUMMYFUNCTION("""COMPUTED_VALUE"""),"Yes")</f>
        <v>Yes</v>
      </c>
      <c r="P197" s="5" t="str">
        <f ca="1">IFERROR(__xludf.DUMMYFUNCTION("""COMPUTED_VALUE"""),"Wild Symbol, Wild Multiplier")</f>
        <v>Wild Symbol, Wild Multiplier</v>
      </c>
      <c r="Q197" s="7" t="str">
        <f ca="1">IFERROR(__xludf.DUMMYFUNCTION("""COMPUTED_VALUE"""),"https://gameserver-store-client-area.orbionlimited.com/Home/IntegrationGameLaunch/client-area?moneyType=0&amp;gameName=GoldenDiamonds40Extreme&amp;platform=desktop&amp;languageCode=eng&amp;currency=EUR")</f>
        <v>https://gameserver-store-client-area.orbionlimited.com/Home/IntegrationGameLaunch/client-area?moneyType=0&amp;gameName=GoldenDiamonds40Extreme&amp;platform=desktop&amp;languageCode=eng&amp;currency=EUR</v>
      </c>
      <c r="R197" s="5" t="str">
        <f ca="1">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S1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7" s="5" t="str">
        <f ca="1">IFERROR(__xludf.DUMMYFUNCTION("""COMPUTED_VALUE"""),"Yes")</f>
        <v>Yes</v>
      </c>
      <c r="U197" s="5" t="str">
        <f ca="1">IFERROR(__xludf.DUMMYFUNCTION("""COMPUTED_VALUE"""),"Yes")</f>
        <v>Yes</v>
      </c>
      <c r="V197" s="5" t="str">
        <f ca="1">IFERROR(__xludf.DUMMYFUNCTION("""COMPUTED_VALUE"""),"Yes")</f>
        <v>Yes</v>
      </c>
      <c r="W197" s="5" t="str">
        <f ca="1">IFERROR(__xludf.DUMMYFUNCTION("""COMPUTED_VALUE"""),"Yes")</f>
        <v>Yes</v>
      </c>
      <c r="X197" s="5" t="str">
        <f ca="1">IFERROR(__xludf.DUMMYFUNCTION("""COMPUTED_VALUE"""),"Yes")</f>
        <v>Yes</v>
      </c>
      <c r="Y197" s="5" t="str">
        <f ca="1">IFERROR(__xludf.DUMMYFUNCTION("""COMPUTED_VALUE"""),"Yes")</f>
        <v>Yes</v>
      </c>
      <c r="Z197" s="5" t="str">
        <f ca="1">IFERROR(__xludf.DUMMYFUNCTION("""COMPUTED_VALUE"""),"Yes")</f>
        <v>Yes</v>
      </c>
      <c r="AA197" s="5" t="str">
        <f ca="1">IFERROR(__xludf.DUMMYFUNCTION("""COMPUTED_VALUE"""),"Yes")</f>
        <v>Yes</v>
      </c>
      <c r="AB197" s="5" t="str">
        <f ca="1">IFERROR(__xludf.DUMMYFUNCTION("""COMPUTED_VALUE"""),"Yes")</f>
        <v>Yes</v>
      </c>
      <c r="AC197" s="5" t="str">
        <f ca="1">IFERROR(__xludf.DUMMYFUNCTION("""COMPUTED_VALUE"""),"Yes")</f>
        <v>Yes</v>
      </c>
      <c r="AD197" s="5" t="str">
        <f ca="1">IFERROR(__xludf.DUMMYFUNCTION("""COMPUTED_VALUE"""),"Yes")</f>
        <v>Yes</v>
      </c>
      <c r="AE197" s="5" t="str">
        <f ca="1">IFERROR(__xludf.DUMMYFUNCTION("""COMPUTED_VALUE"""),"Yes")</f>
        <v>Yes</v>
      </c>
      <c r="AF197" s="5" t="str">
        <f ca="1">IFERROR(__xludf.DUMMYFUNCTION("""COMPUTED_VALUE"""),"Yes")</f>
        <v>Yes</v>
      </c>
      <c r="AG197" s="5" t="str">
        <f ca="1">IFERROR(__xludf.DUMMYFUNCTION("""COMPUTED_VALUE"""),"Yes")</f>
        <v>Yes</v>
      </c>
      <c r="AH197" s="5" t="str">
        <f ca="1">IFERROR(__xludf.DUMMYFUNCTION("""COMPUTED_VALUE"""),"Yes")</f>
        <v>Yes</v>
      </c>
      <c r="AI197" s="5" t="str">
        <f ca="1">IFERROR(__xludf.DUMMYFUNCTION("""COMPUTED_VALUE"""),"Yes")</f>
        <v>Yes</v>
      </c>
      <c r="AJ197" s="5" t="str">
        <f ca="1">IFERROR(__xludf.DUMMYFUNCTION("""COMPUTED_VALUE"""),"Yes")</f>
        <v>Yes</v>
      </c>
      <c r="AK197" s="5" t="str">
        <f ca="1">IFERROR(__xludf.DUMMYFUNCTION("""COMPUTED_VALUE"""),"Yes")</f>
        <v>Yes</v>
      </c>
      <c r="AL197" s="5" t="str">
        <f ca="1">IFERROR(__xludf.DUMMYFUNCTION("""COMPUTED_VALUE"""),"Yes")</f>
        <v>Yes</v>
      </c>
      <c r="AM197" s="5" t="str">
        <f ca="1">IFERROR(__xludf.DUMMYFUNCTION("""COMPUTED_VALUE"""),"Yes")</f>
        <v>Yes</v>
      </c>
      <c r="AN197" s="5" t="str">
        <f ca="1">IFERROR(__xludf.DUMMYFUNCTION("""COMPUTED_VALUE"""),"Yes")</f>
        <v>Yes</v>
      </c>
      <c r="AO197" s="5" t="str">
        <f ca="1">IFERROR(__xludf.DUMMYFUNCTION("""COMPUTED_VALUE"""),"Yes")</f>
        <v>Yes</v>
      </c>
      <c r="AP197" s="5" t="str">
        <f ca="1">IFERROR(__xludf.DUMMYFUNCTION("""COMPUTED_VALUE"""),"Yes")</f>
        <v>Yes</v>
      </c>
      <c r="AQ197" s="5" t="str">
        <f ca="1">IFERROR(__xludf.DUMMYFUNCTION("""COMPUTED_VALUE"""),"Yes")</f>
        <v>Yes</v>
      </c>
      <c r="AR197" s="5" t="str">
        <f ca="1">IFERROR(__xludf.DUMMYFUNCTION("""COMPUTED_VALUE"""),"Yes")</f>
        <v>Yes</v>
      </c>
      <c r="AS197" s="5" t="str">
        <f ca="1">IFERROR(__xludf.DUMMYFUNCTION("""COMPUTED_VALUE"""),"Yes")</f>
        <v>Yes</v>
      </c>
      <c r="AT197" s="5" t="str">
        <f ca="1">IFERROR(__xludf.DUMMYFUNCTION("""COMPUTED_VALUE"""),"No")</f>
        <v>No</v>
      </c>
      <c r="AU197" s="5"/>
    </row>
    <row r="198" spans="1:47" x14ac:dyDescent="0.25">
      <c r="A198" s="5" t="str">
        <f ca="1">IFERROR(__xludf.DUMMYFUNCTION("""COMPUTED_VALUE"""),"Foxi")</f>
        <v>Foxi</v>
      </c>
      <c r="B198" s="5" t="str">
        <f ca="1">IFERROR(__xludf.DUMMYFUNCTION("""COMPUTED_VALUE"""),"Very Hot 5 Extreme Booster")</f>
        <v>Very Hot 5 Extreme Booster</v>
      </c>
      <c r="C198" s="5" t="str">
        <f ca="1">IFERROR(__xludf.DUMMYFUNCTION("""COMPUTED_VALUE"""),"VeryHot5ExtremeBooster")</f>
        <v>VeryHot5ExtremeBooster</v>
      </c>
      <c r="D198" s="6">
        <f ca="1">IFERROR(__xludf.DUMMYFUNCTION("""COMPUTED_VALUE"""),46079)</f>
        <v>46079</v>
      </c>
      <c r="E198" s="5" t="str">
        <f ca="1">IFERROR(__xludf.DUMMYFUNCTION("""COMPUTED_VALUE"""),"Slot")</f>
        <v>Slot</v>
      </c>
      <c r="F198" s="5">
        <f ca="1">IFERROR(__xludf.DUMMYFUNCTION("""COMPUTED_VALUE"""),17.25)</f>
        <v>17.25</v>
      </c>
      <c r="G198" s="5" t="str">
        <f ca="1">IFERROR(__xludf.DUMMYFUNCTION("""COMPUTED_VALUE"""),"5x3")</f>
        <v>5x3</v>
      </c>
      <c r="H198" s="5">
        <f ca="1">IFERROR(__xludf.DUMMYFUNCTION("""COMPUTED_VALUE"""),5)</f>
        <v>5</v>
      </c>
      <c r="I198" s="5">
        <f ca="1">IFERROR(__xludf.DUMMYFUNCTION("""COMPUTED_VALUE"""),5)</f>
        <v>5</v>
      </c>
      <c r="J198" s="5" t="str">
        <f ca="1">IFERROR(__xludf.DUMMYFUNCTION("""COMPUTED_VALUE"""),"96.453%")</f>
        <v>96.453%</v>
      </c>
      <c r="K198" s="5" t="str">
        <f ca="1">IFERROR(__xludf.DUMMYFUNCTION("""COMPUTED_VALUE"""),"Medium")</f>
        <v>Medium</v>
      </c>
      <c r="L198" s="5" t="str">
        <f ca="1">IFERROR(__xludf.DUMMYFUNCTION("""COMPUTED_VALUE"""),"14.234%")</f>
        <v>14.234%</v>
      </c>
      <c r="M198" s="5" t="str">
        <f ca="1">IFERROR(__xludf.DUMMYFUNCTION("""COMPUTED_VALUE"""),"x2624")</f>
        <v>x2624</v>
      </c>
      <c r="N198" s="5" t="str">
        <f ca="1">IFERROR(__xludf.DUMMYFUNCTION("""COMPUTED_VALUE"""),"0.1/50")</f>
        <v>0.1/50</v>
      </c>
      <c r="O198" s="5" t="str">
        <f ca="1">IFERROR(__xludf.DUMMYFUNCTION("""COMPUTED_VALUE"""),"Yes")</f>
        <v>Yes</v>
      </c>
      <c r="P198" s="5" t="str">
        <f ca="1">IFERROR(__xludf.DUMMYFUNCTION("""COMPUTED_VALUE"""),"Wild Symbol, Wild Multiplier")</f>
        <v>Wild Symbol, Wild Multiplier</v>
      </c>
      <c r="Q198" s="7" t="str">
        <f ca="1">IFERROR(__xludf.DUMMYFUNCTION("""COMPUTED_VALUE"""),"https://gameserver-store-client-area.orbionlimited.com/Home/IntegrationGameLaunch/client-area?moneyType=0&amp;gameName=VeryHot5ExtremeBooster&amp;platform=desktop&amp;languageCode=eng&amp;currency=EUR")</f>
        <v>https://gameserver-store-client-area.orbionlimited.com/Home/IntegrationGameLaunch/client-area?moneyType=0&amp;gameName=VeryHot5ExtremeBooster&amp;platform=desktop&amp;languageCode=eng&amp;currency=EUR</v>
      </c>
      <c r="R198" s="5" t="str">
        <f ca="1">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 xml:space="preserve">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S1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8" s="5" t="str">
        <f ca="1">IFERROR(__xludf.DUMMYFUNCTION("""COMPUTED_VALUE"""),"Yes")</f>
        <v>Yes</v>
      </c>
      <c r="U198" s="5" t="str">
        <f ca="1">IFERROR(__xludf.DUMMYFUNCTION("""COMPUTED_VALUE"""),"Yes")</f>
        <v>Yes</v>
      </c>
      <c r="V198" s="5" t="str">
        <f ca="1">IFERROR(__xludf.DUMMYFUNCTION("""COMPUTED_VALUE"""),"Yes")</f>
        <v>Yes</v>
      </c>
      <c r="W198" s="5" t="str">
        <f ca="1">IFERROR(__xludf.DUMMYFUNCTION("""COMPUTED_VALUE"""),"Yes")</f>
        <v>Yes</v>
      </c>
      <c r="X198" s="5" t="str">
        <f ca="1">IFERROR(__xludf.DUMMYFUNCTION("""COMPUTED_VALUE"""),"Yes")</f>
        <v>Yes</v>
      </c>
      <c r="Y198" s="5" t="str">
        <f ca="1">IFERROR(__xludf.DUMMYFUNCTION("""COMPUTED_VALUE"""),"Yes")</f>
        <v>Yes</v>
      </c>
      <c r="Z198" s="5" t="str">
        <f ca="1">IFERROR(__xludf.DUMMYFUNCTION("""COMPUTED_VALUE"""),"Yes")</f>
        <v>Yes</v>
      </c>
      <c r="AA198" s="5" t="str">
        <f ca="1">IFERROR(__xludf.DUMMYFUNCTION("""COMPUTED_VALUE"""),"Yes")</f>
        <v>Yes</v>
      </c>
      <c r="AB198" s="5" t="str">
        <f ca="1">IFERROR(__xludf.DUMMYFUNCTION("""COMPUTED_VALUE"""),"Yes")</f>
        <v>Yes</v>
      </c>
      <c r="AC198" s="5" t="str">
        <f ca="1">IFERROR(__xludf.DUMMYFUNCTION("""COMPUTED_VALUE"""),"Yes")</f>
        <v>Yes</v>
      </c>
      <c r="AD198" s="5" t="str">
        <f ca="1">IFERROR(__xludf.DUMMYFUNCTION("""COMPUTED_VALUE"""),"Yes")</f>
        <v>Yes</v>
      </c>
      <c r="AE198" s="5" t="str">
        <f ca="1">IFERROR(__xludf.DUMMYFUNCTION("""COMPUTED_VALUE"""),"Yes")</f>
        <v>Yes</v>
      </c>
      <c r="AF198" s="5" t="str">
        <f ca="1">IFERROR(__xludf.DUMMYFUNCTION("""COMPUTED_VALUE"""),"Yes")</f>
        <v>Yes</v>
      </c>
      <c r="AG198" s="5" t="str">
        <f ca="1">IFERROR(__xludf.DUMMYFUNCTION("""COMPUTED_VALUE"""),"Yes")</f>
        <v>Yes</v>
      </c>
      <c r="AH198" s="5" t="str">
        <f ca="1">IFERROR(__xludf.DUMMYFUNCTION("""COMPUTED_VALUE"""),"Yes")</f>
        <v>Yes</v>
      </c>
      <c r="AI198" s="5" t="str">
        <f ca="1">IFERROR(__xludf.DUMMYFUNCTION("""COMPUTED_VALUE"""),"Yes")</f>
        <v>Yes</v>
      </c>
      <c r="AJ198" s="5" t="str">
        <f ca="1">IFERROR(__xludf.DUMMYFUNCTION("""COMPUTED_VALUE"""),"Yes")</f>
        <v>Yes</v>
      </c>
      <c r="AK198" s="5" t="str">
        <f ca="1">IFERROR(__xludf.DUMMYFUNCTION("""COMPUTED_VALUE"""),"Yes")</f>
        <v>Yes</v>
      </c>
      <c r="AL198" s="5" t="str">
        <f ca="1">IFERROR(__xludf.DUMMYFUNCTION("""COMPUTED_VALUE"""),"Yes")</f>
        <v>Yes</v>
      </c>
      <c r="AM198" s="5" t="str">
        <f ca="1">IFERROR(__xludf.DUMMYFUNCTION("""COMPUTED_VALUE"""),"Yes")</f>
        <v>Yes</v>
      </c>
      <c r="AN198" s="5" t="str">
        <f ca="1">IFERROR(__xludf.DUMMYFUNCTION("""COMPUTED_VALUE"""),"Yes")</f>
        <v>Yes</v>
      </c>
      <c r="AO198" s="5" t="str">
        <f ca="1">IFERROR(__xludf.DUMMYFUNCTION("""COMPUTED_VALUE"""),"Yes")</f>
        <v>Yes</v>
      </c>
      <c r="AP198" s="5" t="str">
        <f ca="1">IFERROR(__xludf.DUMMYFUNCTION("""COMPUTED_VALUE"""),"Yes")</f>
        <v>Yes</v>
      </c>
      <c r="AQ198" s="5" t="str">
        <f ca="1">IFERROR(__xludf.DUMMYFUNCTION("""COMPUTED_VALUE"""),"Yes")</f>
        <v>Yes</v>
      </c>
      <c r="AR198" s="5" t="str">
        <f ca="1">IFERROR(__xludf.DUMMYFUNCTION("""COMPUTED_VALUE"""),"Yes")</f>
        <v>Yes</v>
      </c>
      <c r="AS198" s="5" t="str">
        <f ca="1">IFERROR(__xludf.DUMMYFUNCTION("""COMPUTED_VALUE"""),"Yes")</f>
        <v>Yes</v>
      </c>
      <c r="AT198" s="5" t="str">
        <f ca="1">IFERROR(__xludf.DUMMYFUNCTION("""COMPUTED_VALUE"""),"No")</f>
        <v>No</v>
      </c>
      <c r="AU198" s="5"/>
    </row>
    <row r="199" spans="1:47" x14ac:dyDescent="0.25">
      <c r="A199" s="5" t="str">
        <f ca="1">IFERROR(__xludf.DUMMYFUNCTION("""COMPUTED_VALUE"""),"Foxi")</f>
        <v>Foxi</v>
      </c>
      <c r="B199" s="5" t="str">
        <f ca="1">IFERROR(__xludf.DUMMYFUNCTION("""COMPUTED_VALUE"""),"Locked Hearts 10")</f>
        <v>Locked Hearts 10</v>
      </c>
      <c r="C199" s="5" t="str">
        <f ca="1">IFERROR(__xludf.DUMMYFUNCTION("""COMPUTED_VALUE"""),"LockedHearts10")</f>
        <v>LockedHearts10</v>
      </c>
      <c r="D199" s="6">
        <f ca="1">IFERROR(__xludf.DUMMYFUNCTION("""COMPUTED_VALUE"""),46065)</f>
        <v>46065</v>
      </c>
      <c r="E199" s="5" t="str">
        <f ca="1">IFERROR(__xludf.DUMMYFUNCTION("""COMPUTED_VALUE"""),"Slot")</f>
        <v>Slot</v>
      </c>
      <c r="F199" s="5">
        <f ca="1">IFERROR(__xludf.DUMMYFUNCTION("""COMPUTED_VALUE"""),18.4)</f>
        <v>18.399999999999999</v>
      </c>
      <c r="G199" s="5" t="str">
        <f ca="1">IFERROR(__xludf.DUMMYFUNCTION("""COMPUTED_VALUE"""),"5x3")</f>
        <v>5x3</v>
      </c>
      <c r="H199" s="5">
        <f ca="1">IFERROR(__xludf.DUMMYFUNCTION("""COMPUTED_VALUE"""),10)</f>
        <v>10</v>
      </c>
      <c r="I199" s="5">
        <f ca="1">IFERROR(__xludf.DUMMYFUNCTION("""COMPUTED_VALUE"""),10)</f>
        <v>10</v>
      </c>
      <c r="J199" s="5" t="str">
        <f ca="1">IFERROR(__xludf.DUMMYFUNCTION("""COMPUTED_VALUE"""),"96.572%")</f>
        <v>96.572%</v>
      </c>
      <c r="K199" s="5" t="str">
        <f ca="1">IFERROR(__xludf.DUMMYFUNCTION("""COMPUTED_VALUE"""),"High")</f>
        <v>High</v>
      </c>
      <c r="L199" s="5" t="str">
        <f ca="1">IFERROR(__xludf.DUMMYFUNCTION("""COMPUTED_VALUE"""),"11.072%")</f>
        <v>11.072%</v>
      </c>
      <c r="M199" s="5" t="str">
        <f ca="1">IFERROR(__xludf.DUMMYFUNCTION("""COMPUTED_VALUE"""),"x4000")</f>
        <v>x4000</v>
      </c>
      <c r="N199" s="5" t="str">
        <f ca="1">IFERROR(__xludf.DUMMYFUNCTION("""COMPUTED_VALUE"""),"0.1/50")</f>
        <v>0.1/50</v>
      </c>
      <c r="O199" s="5" t="str">
        <f ca="1">IFERROR(__xludf.DUMMYFUNCTION("""COMPUTED_VALUE"""),"Yes")</f>
        <v>Yes</v>
      </c>
      <c r="P199" s="5" t="str">
        <f ca="1">IFERROR(__xludf.DUMMYFUNCTION("""COMPUTED_VALUE"""),"Expanding Wild, Buy Bonus, Bonus Game with Free Spins, Bonus Game with Sticky Wild, Sticky Wild")</f>
        <v>Expanding Wild, Buy Bonus, Bonus Game with Free Spins, Bonus Game with Sticky Wild, Sticky Wild</v>
      </c>
      <c r="Q199" s="7" t="str">
        <f ca="1">IFERROR(__xludf.DUMMYFUNCTION("""COMPUTED_VALUE"""),"https://gameserver-store-client-area.orbionlimited.com/Home/IntegrationGameLaunch/client-area?moneyType=0&amp;gameName=LockedHearts10&amp;platform=desktop&amp;languageCode=eng&amp;currency=EUR")</f>
        <v>https://gameserver-store-client-area.orbionlimited.com/Home/IntegrationGameLaunch/client-area?moneyType=0&amp;gameName=LockedHearts10&amp;platform=desktop&amp;languageCode=eng&amp;currency=EUR</v>
      </c>
      <c r="R199" s="5" t="str">
        <f ca="1">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S1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9" s="5" t="str">
        <f ca="1">IFERROR(__xludf.DUMMYFUNCTION("""COMPUTED_VALUE"""),"Yes")</f>
        <v>Yes</v>
      </c>
      <c r="U199" s="5" t="str">
        <f ca="1">IFERROR(__xludf.DUMMYFUNCTION("""COMPUTED_VALUE"""),"Yes")</f>
        <v>Yes</v>
      </c>
      <c r="V199" s="5" t="str">
        <f ca="1">IFERROR(__xludf.DUMMYFUNCTION("""COMPUTED_VALUE"""),"Yes")</f>
        <v>Yes</v>
      </c>
      <c r="W199" s="5" t="str">
        <f ca="1">IFERROR(__xludf.DUMMYFUNCTION("""COMPUTED_VALUE"""),"Yes")</f>
        <v>Yes</v>
      </c>
      <c r="X199" s="5" t="str">
        <f ca="1">IFERROR(__xludf.DUMMYFUNCTION("""COMPUTED_VALUE"""),"Yes")</f>
        <v>Yes</v>
      </c>
      <c r="Y199" s="5" t="str">
        <f ca="1">IFERROR(__xludf.DUMMYFUNCTION("""COMPUTED_VALUE"""),"Yes")</f>
        <v>Yes</v>
      </c>
      <c r="Z199" s="5" t="str">
        <f ca="1">IFERROR(__xludf.DUMMYFUNCTION("""COMPUTED_VALUE"""),"Yes")</f>
        <v>Yes</v>
      </c>
      <c r="AA199" s="5" t="str">
        <f ca="1">IFERROR(__xludf.DUMMYFUNCTION("""COMPUTED_VALUE"""),"Yes")</f>
        <v>Yes</v>
      </c>
      <c r="AB199" s="5" t="str">
        <f ca="1">IFERROR(__xludf.DUMMYFUNCTION("""COMPUTED_VALUE"""),"Yes")</f>
        <v>Yes</v>
      </c>
      <c r="AC199" s="5" t="str">
        <f ca="1">IFERROR(__xludf.DUMMYFUNCTION("""COMPUTED_VALUE"""),"Yes")</f>
        <v>Yes</v>
      </c>
      <c r="AD199" s="5" t="str">
        <f ca="1">IFERROR(__xludf.DUMMYFUNCTION("""COMPUTED_VALUE"""),"Yes")</f>
        <v>Yes</v>
      </c>
      <c r="AE199" s="5" t="str">
        <f ca="1">IFERROR(__xludf.DUMMYFUNCTION("""COMPUTED_VALUE"""),"Yes")</f>
        <v>Yes</v>
      </c>
      <c r="AF199" s="5" t="str">
        <f ca="1">IFERROR(__xludf.DUMMYFUNCTION("""COMPUTED_VALUE"""),"Yes")</f>
        <v>Yes</v>
      </c>
      <c r="AG199" s="5" t="str">
        <f ca="1">IFERROR(__xludf.DUMMYFUNCTION("""COMPUTED_VALUE"""),"Yes")</f>
        <v>Yes</v>
      </c>
      <c r="AH199" s="5" t="str">
        <f ca="1">IFERROR(__xludf.DUMMYFUNCTION("""COMPUTED_VALUE"""),"Yes")</f>
        <v>Yes</v>
      </c>
      <c r="AI199" s="5" t="str">
        <f ca="1">IFERROR(__xludf.DUMMYFUNCTION("""COMPUTED_VALUE"""),"Yes")</f>
        <v>Yes</v>
      </c>
      <c r="AJ199" s="5" t="str">
        <f ca="1">IFERROR(__xludf.DUMMYFUNCTION("""COMPUTED_VALUE"""),"Yes")</f>
        <v>Yes</v>
      </c>
      <c r="AK199" s="5" t="str">
        <f ca="1">IFERROR(__xludf.DUMMYFUNCTION("""COMPUTED_VALUE"""),"Yes")</f>
        <v>Yes</v>
      </c>
      <c r="AL199" s="5" t="str">
        <f ca="1">IFERROR(__xludf.DUMMYFUNCTION("""COMPUTED_VALUE"""),"Yes")</f>
        <v>Yes</v>
      </c>
      <c r="AM199" s="5" t="str">
        <f ca="1">IFERROR(__xludf.DUMMYFUNCTION("""COMPUTED_VALUE"""),"Yes")</f>
        <v>Yes</v>
      </c>
      <c r="AN199" s="5" t="str">
        <f ca="1">IFERROR(__xludf.DUMMYFUNCTION("""COMPUTED_VALUE"""),"Yes")</f>
        <v>Yes</v>
      </c>
      <c r="AO199" s="5" t="str">
        <f ca="1">IFERROR(__xludf.DUMMYFUNCTION("""COMPUTED_VALUE"""),"Yes")</f>
        <v>Yes</v>
      </c>
      <c r="AP199" s="5" t="str">
        <f ca="1">IFERROR(__xludf.DUMMYFUNCTION("""COMPUTED_VALUE"""),"Yes")</f>
        <v>Yes</v>
      </c>
      <c r="AQ199" s="5" t="str">
        <f ca="1">IFERROR(__xludf.DUMMYFUNCTION("""COMPUTED_VALUE"""),"Yes")</f>
        <v>Yes</v>
      </c>
      <c r="AR199" s="5" t="str">
        <f ca="1">IFERROR(__xludf.DUMMYFUNCTION("""COMPUTED_VALUE"""),"Yes")</f>
        <v>Yes</v>
      </c>
      <c r="AS199" s="5" t="str">
        <f ca="1">IFERROR(__xludf.DUMMYFUNCTION("""COMPUTED_VALUE"""),"Yes")</f>
        <v>Yes</v>
      </c>
      <c r="AT199" s="5" t="str">
        <f ca="1">IFERROR(__xludf.DUMMYFUNCTION("""COMPUTED_VALUE"""),"No")</f>
        <v>No</v>
      </c>
      <c r="AU199" s="5"/>
    </row>
    <row r="200" spans="1:47" x14ac:dyDescent="0.25">
      <c r="A200" s="5" t="str">
        <f ca="1">IFERROR(__xludf.DUMMYFUNCTION("""COMPUTED_VALUE"""),"Foxi")</f>
        <v>Foxi</v>
      </c>
      <c r="B200" s="5" t="str">
        <f ca="1">IFERROR(__xludf.DUMMYFUNCTION("""COMPUTED_VALUE"""),"Locked Hearts 5")</f>
        <v>Locked Hearts 5</v>
      </c>
      <c r="C200" s="5" t="str">
        <f ca="1">IFERROR(__xludf.DUMMYFUNCTION("""COMPUTED_VALUE"""),"LockedHearts5")</f>
        <v>LockedHearts5</v>
      </c>
      <c r="D200" s="6">
        <f ca="1">IFERROR(__xludf.DUMMYFUNCTION("""COMPUTED_VALUE"""),46121)</f>
        <v>46121</v>
      </c>
      <c r="E200" s="5" t="str">
        <f ca="1">IFERROR(__xludf.DUMMYFUNCTION("""COMPUTED_VALUE"""),"Slot")</f>
        <v>Slot</v>
      </c>
      <c r="F200" s="5">
        <f ca="1">IFERROR(__xludf.DUMMYFUNCTION("""COMPUTED_VALUE"""),18.4)</f>
        <v>18.399999999999999</v>
      </c>
      <c r="G200" s="5" t="str">
        <f ca="1">IFERROR(__xludf.DUMMYFUNCTION("""COMPUTED_VALUE"""),"5x3")</f>
        <v>5x3</v>
      </c>
      <c r="H200" s="5">
        <f ca="1">IFERROR(__xludf.DUMMYFUNCTION("""COMPUTED_VALUE"""),5)</f>
        <v>5</v>
      </c>
      <c r="I200" s="5">
        <f ca="1">IFERROR(__xludf.DUMMYFUNCTION("""COMPUTED_VALUE"""),5)</f>
        <v>5</v>
      </c>
      <c r="J200" s="5" t="str">
        <f ca="1">IFERROR(__xludf.DUMMYFUNCTION("""COMPUTED_VALUE"""),"96.572%")</f>
        <v>96.572%</v>
      </c>
      <c r="K200" s="5" t="str">
        <f ca="1">IFERROR(__xludf.DUMMYFUNCTION("""COMPUTED_VALUE"""),"High")</f>
        <v>High</v>
      </c>
      <c r="L200" s="5" t="str">
        <f ca="1">IFERROR(__xludf.DUMMYFUNCTION("""COMPUTED_VALUE"""),"9.27%")</f>
        <v>9.27%</v>
      </c>
      <c r="M200" s="5" t="str">
        <f ca="1">IFERROR(__xludf.DUMMYFUNCTION("""COMPUTED_VALUE"""),"x4000")</f>
        <v>x4000</v>
      </c>
      <c r="N200" s="5" t="str">
        <f ca="1">IFERROR(__xludf.DUMMYFUNCTION("""COMPUTED_VALUE"""),"0.1/50")</f>
        <v>0.1/50</v>
      </c>
      <c r="O200" s="5" t="str">
        <f ca="1">IFERROR(__xludf.DUMMYFUNCTION("""COMPUTED_VALUE"""),"Yes")</f>
        <v>Yes</v>
      </c>
      <c r="P200" s="5" t="str">
        <f ca="1">IFERROR(__xludf.DUMMYFUNCTION("""COMPUTED_VALUE"""),"Expanding Wild, Sticky Wild, Bonus Game with Sticky Wild, Bonus Game with Free Spins, Buy Bonus")</f>
        <v>Expanding Wild, Sticky Wild, Bonus Game with Sticky Wild, Bonus Game with Free Spins, Buy Bonus</v>
      </c>
      <c r="Q200" s="7" t="str">
        <f ca="1">IFERROR(__xludf.DUMMYFUNCTION("""COMPUTED_VALUE"""),"https://gameserver-store-client-area.orbionlimited.com/Home/IntegrationGameLaunch/client-area?moneyType=0&amp;gameName=LockedHearts5&amp;platform=desktop&amp;languageCode=eng&amp;currency=EUR")</f>
        <v>https://gameserver-store-client-area.orbionlimited.com/Home/IntegrationGameLaunch/client-area?moneyType=0&amp;gameName=LockedHearts5&amp;platform=desktop&amp;languageCode=eng&amp;currency=EUR</v>
      </c>
      <c r="R200" s="5" t="str">
        <f ca="1">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S2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0" s="5" t="str">
        <f ca="1">IFERROR(__xludf.DUMMYFUNCTION("""COMPUTED_VALUE"""),"Yes")</f>
        <v>Yes</v>
      </c>
      <c r="U200" s="5" t="str">
        <f ca="1">IFERROR(__xludf.DUMMYFUNCTION("""COMPUTED_VALUE"""),"Yes")</f>
        <v>Yes</v>
      </c>
      <c r="V200" s="5" t="str">
        <f ca="1">IFERROR(__xludf.DUMMYFUNCTION("""COMPUTED_VALUE"""),"Yes")</f>
        <v>Yes</v>
      </c>
      <c r="W200" s="5" t="str">
        <f ca="1">IFERROR(__xludf.DUMMYFUNCTION("""COMPUTED_VALUE"""),"Yes")</f>
        <v>Yes</v>
      </c>
      <c r="X200" s="5" t="str">
        <f ca="1">IFERROR(__xludf.DUMMYFUNCTION("""COMPUTED_VALUE"""),"Yes")</f>
        <v>Yes</v>
      </c>
      <c r="Y200" s="5" t="str">
        <f ca="1">IFERROR(__xludf.DUMMYFUNCTION("""COMPUTED_VALUE"""),"Yes")</f>
        <v>Yes</v>
      </c>
      <c r="Z200" s="5" t="str">
        <f ca="1">IFERROR(__xludf.DUMMYFUNCTION("""COMPUTED_VALUE"""),"Yes")</f>
        <v>Yes</v>
      </c>
      <c r="AA200" s="5" t="str">
        <f ca="1">IFERROR(__xludf.DUMMYFUNCTION("""COMPUTED_VALUE"""),"Yes")</f>
        <v>Yes</v>
      </c>
      <c r="AB200" s="5" t="str">
        <f ca="1">IFERROR(__xludf.DUMMYFUNCTION("""COMPUTED_VALUE"""),"Yes")</f>
        <v>Yes</v>
      </c>
      <c r="AC200" s="5" t="str">
        <f ca="1">IFERROR(__xludf.DUMMYFUNCTION("""COMPUTED_VALUE"""),"Yes")</f>
        <v>Yes</v>
      </c>
      <c r="AD200" s="5" t="str">
        <f ca="1">IFERROR(__xludf.DUMMYFUNCTION("""COMPUTED_VALUE"""),"Yes")</f>
        <v>Yes</v>
      </c>
      <c r="AE200" s="5" t="str">
        <f ca="1">IFERROR(__xludf.DUMMYFUNCTION("""COMPUTED_VALUE"""),"Yes")</f>
        <v>Yes</v>
      </c>
      <c r="AF200" s="5" t="str">
        <f ca="1">IFERROR(__xludf.DUMMYFUNCTION("""COMPUTED_VALUE"""),"Yes")</f>
        <v>Yes</v>
      </c>
      <c r="AG200" s="5" t="str">
        <f ca="1">IFERROR(__xludf.DUMMYFUNCTION("""COMPUTED_VALUE"""),"Yes")</f>
        <v>Yes</v>
      </c>
      <c r="AH200" s="5" t="str">
        <f ca="1">IFERROR(__xludf.DUMMYFUNCTION("""COMPUTED_VALUE"""),"Yes")</f>
        <v>Yes</v>
      </c>
      <c r="AI200" s="5" t="str">
        <f ca="1">IFERROR(__xludf.DUMMYFUNCTION("""COMPUTED_VALUE"""),"Yes")</f>
        <v>Yes</v>
      </c>
      <c r="AJ200" s="5" t="str">
        <f ca="1">IFERROR(__xludf.DUMMYFUNCTION("""COMPUTED_VALUE"""),"Yes")</f>
        <v>Yes</v>
      </c>
      <c r="AK200" s="5" t="str">
        <f ca="1">IFERROR(__xludf.DUMMYFUNCTION("""COMPUTED_VALUE"""),"Yes")</f>
        <v>Yes</v>
      </c>
      <c r="AL200" s="5" t="str">
        <f ca="1">IFERROR(__xludf.DUMMYFUNCTION("""COMPUTED_VALUE"""),"Yes")</f>
        <v>Yes</v>
      </c>
      <c r="AM200" s="5" t="str">
        <f ca="1">IFERROR(__xludf.DUMMYFUNCTION("""COMPUTED_VALUE"""),"Yes")</f>
        <v>Yes</v>
      </c>
      <c r="AN200" s="5" t="str">
        <f ca="1">IFERROR(__xludf.DUMMYFUNCTION("""COMPUTED_VALUE"""),"Yes")</f>
        <v>Yes</v>
      </c>
      <c r="AO200" s="5" t="str">
        <f ca="1">IFERROR(__xludf.DUMMYFUNCTION("""COMPUTED_VALUE"""),"Yes")</f>
        <v>Yes</v>
      </c>
      <c r="AP200" s="5" t="str">
        <f ca="1">IFERROR(__xludf.DUMMYFUNCTION("""COMPUTED_VALUE"""),"Yes")</f>
        <v>Yes</v>
      </c>
      <c r="AQ200" s="5" t="str">
        <f ca="1">IFERROR(__xludf.DUMMYFUNCTION("""COMPUTED_VALUE"""),"Yes")</f>
        <v>Yes</v>
      </c>
      <c r="AR200" s="5" t="str">
        <f ca="1">IFERROR(__xludf.DUMMYFUNCTION("""COMPUTED_VALUE"""),"Yes")</f>
        <v>Yes</v>
      </c>
      <c r="AS200" s="5" t="str">
        <f ca="1">IFERROR(__xludf.DUMMYFUNCTION("""COMPUTED_VALUE"""),"Yes")</f>
        <v>Yes</v>
      </c>
      <c r="AT200" s="5" t="str">
        <f ca="1">IFERROR(__xludf.DUMMYFUNCTION("""COMPUTED_VALUE"""),"No")</f>
        <v>No</v>
      </c>
      <c r="AU200" s="5"/>
    </row>
    <row r="201" spans="1:47" x14ac:dyDescent="0.25">
      <c r="A201" s="5" t="str">
        <f ca="1">IFERROR(__xludf.DUMMYFUNCTION("""COMPUTED_VALUE"""),"Foxi")</f>
        <v>Foxi</v>
      </c>
      <c r="B201" s="5" t="str">
        <f ca="1">IFERROR(__xludf.DUMMYFUNCTION("""COMPUTED_VALUE"""),"Locked Hearts 20")</f>
        <v>Locked Hearts 20</v>
      </c>
      <c r="C201" s="5" t="str">
        <f ca="1">IFERROR(__xludf.DUMMYFUNCTION("""COMPUTED_VALUE"""),"LockedHearts20")</f>
        <v>LockedHearts20</v>
      </c>
      <c r="D201" s="6">
        <f ca="1">IFERROR(__xludf.DUMMYFUNCTION("""COMPUTED_VALUE"""),46107)</f>
        <v>46107</v>
      </c>
      <c r="E201" s="5" t="str">
        <f ca="1">IFERROR(__xludf.DUMMYFUNCTION("""COMPUTED_VALUE"""),"Slot")</f>
        <v>Slot</v>
      </c>
      <c r="F201" s="5">
        <f ca="1">IFERROR(__xludf.DUMMYFUNCTION("""COMPUTED_VALUE"""),18.4)</f>
        <v>18.399999999999999</v>
      </c>
      <c r="G201" s="5" t="str">
        <f ca="1">IFERROR(__xludf.DUMMYFUNCTION("""COMPUTED_VALUE"""),"5x3")</f>
        <v>5x3</v>
      </c>
      <c r="H201" s="5">
        <f ca="1">IFERROR(__xludf.DUMMYFUNCTION("""COMPUTED_VALUE"""),20)</f>
        <v>20</v>
      </c>
      <c r="I201" s="5">
        <f ca="1">IFERROR(__xludf.DUMMYFUNCTION("""COMPUTED_VALUE"""),20)</f>
        <v>20</v>
      </c>
      <c r="J201" s="5" t="str">
        <f ca="1">IFERROR(__xludf.DUMMYFUNCTION("""COMPUTED_VALUE"""),"96.572%")</f>
        <v>96.572%</v>
      </c>
      <c r="K201" s="5" t="str">
        <f ca="1">IFERROR(__xludf.DUMMYFUNCTION("""COMPUTED_VALUE"""),"High")</f>
        <v>High</v>
      </c>
      <c r="L201" s="5" t="str">
        <f ca="1">IFERROR(__xludf.DUMMYFUNCTION("""COMPUTED_VALUE"""),"13.371%")</f>
        <v>13.371%</v>
      </c>
      <c r="M201" s="5" t="str">
        <f ca="1">IFERROR(__xludf.DUMMYFUNCTION("""COMPUTED_VALUE"""),"x4000")</f>
        <v>x4000</v>
      </c>
      <c r="N201" s="5" t="str">
        <f ca="1">IFERROR(__xludf.DUMMYFUNCTION("""COMPUTED_VALUE"""),"0.2/50")</f>
        <v>0.2/50</v>
      </c>
      <c r="O201" s="5" t="str">
        <f ca="1">IFERROR(__xludf.DUMMYFUNCTION("""COMPUTED_VALUE"""),"Yes")</f>
        <v>Yes</v>
      </c>
      <c r="P201" s="5" t="str">
        <f ca="1">IFERROR(__xludf.DUMMYFUNCTION("""COMPUTED_VALUE"""),"Expanding Wild, Sticky Wild, Bonus Game with Special Symbol, Buy Bonus, Bonus Game with Free Spins")</f>
        <v>Expanding Wild, Sticky Wild, Bonus Game with Special Symbol, Buy Bonus, Bonus Game with Free Spins</v>
      </c>
      <c r="Q201" s="7" t="str">
        <f ca="1">IFERROR(__xludf.DUMMYFUNCTION("""COMPUTED_VALUE"""),"https://gameserver-store-client-area.orbionlimited.com/Home/IntegrationGameLaunch/client-area?moneyType=0&amp;gameName=LockedHearts20&amp;platform=desktop&amp;languageCode=eng&amp;currency=EUR")</f>
        <v>https://gameserver-store-client-area.orbionlimited.com/Home/IntegrationGameLaunch/client-area?moneyType=0&amp;gameName=LockedHearts20&amp;platform=desktop&amp;languageCode=eng&amp;currency=EUR</v>
      </c>
      <c r="R201" s="5" t="str">
        <f ca="1">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S2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1" s="5" t="str">
        <f ca="1">IFERROR(__xludf.DUMMYFUNCTION("""COMPUTED_VALUE"""),"Yes")</f>
        <v>Yes</v>
      </c>
      <c r="U201" s="5" t="str">
        <f ca="1">IFERROR(__xludf.DUMMYFUNCTION("""COMPUTED_VALUE"""),"Yes")</f>
        <v>Yes</v>
      </c>
      <c r="V201" s="5" t="str">
        <f ca="1">IFERROR(__xludf.DUMMYFUNCTION("""COMPUTED_VALUE"""),"Yes")</f>
        <v>Yes</v>
      </c>
      <c r="W201" s="5" t="str">
        <f ca="1">IFERROR(__xludf.DUMMYFUNCTION("""COMPUTED_VALUE"""),"Yes")</f>
        <v>Yes</v>
      </c>
      <c r="X201" s="5" t="str">
        <f ca="1">IFERROR(__xludf.DUMMYFUNCTION("""COMPUTED_VALUE"""),"Yes")</f>
        <v>Yes</v>
      </c>
      <c r="Y201" s="5" t="str">
        <f ca="1">IFERROR(__xludf.DUMMYFUNCTION("""COMPUTED_VALUE"""),"Yes")</f>
        <v>Yes</v>
      </c>
      <c r="Z201" s="5" t="str">
        <f ca="1">IFERROR(__xludf.DUMMYFUNCTION("""COMPUTED_VALUE"""),"Yes")</f>
        <v>Yes</v>
      </c>
      <c r="AA201" s="5" t="str">
        <f ca="1">IFERROR(__xludf.DUMMYFUNCTION("""COMPUTED_VALUE"""),"Yes")</f>
        <v>Yes</v>
      </c>
      <c r="AB201" s="5" t="str">
        <f ca="1">IFERROR(__xludf.DUMMYFUNCTION("""COMPUTED_VALUE"""),"Yes")</f>
        <v>Yes</v>
      </c>
      <c r="AC201" s="5" t="str">
        <f ca="1">IFERROR(__xludf.DUMMYFUNCTION("""COMPUTED_VALUE"""),"Yes")</f>
        <v>Yes</v>
      </c>
      <c r="AD201" s="5" t="str">
        <f ca="1">IFERROR(__xludf.DUMMYFUNCTION("""COMPUTED_VALUE"""),"Yes")</f>
        <v>Yes</v>
      </c>
      <c r="AE201" s="5" t="str">
        <f ca="1">IFERROR(__xludf.DUMMYFUNCTION("""COMPUTED_VALUE"""),"Yes")</f>
        <v>Yes</v>
      </c>
      <c r="AF201" s="5" t="str">
        <f ca="1">IFERROR(__xludf.DUMMYFUNCTION("""COMPUTED_VALUE"""),"Yes")</f>
        <v>Yes</v>
      </c>
      <c r="AG201" s="5" t="str">
        <f ca="1">IFERROR(__xludf.DUMMYFUNCTION("""COMPUTED_VALUE"""),"Yes")</f>
        <v>Yes</v>
      </c>
      <c r="AH201" s="5" t="str">
        <f ca="1">IFERROR(__xludf.DUMMYFUNCTION("""COMPUTED_VALUE"""),"Yes")</f>
        <v>Yes</v>
      </c>
      <c r="AI201" s="5" t="str">
        <f ca="1">IFERROR(__xludf.DUMMYFUNCTION("""COMPUTED_VALUE"""),"Yes")</f>
        <v>Yes</v>
      </c>
      <c r="AJ201" s="5" t="str">
        <f ca="1">IFERROR(__xludf.DUMMYFUNCTION("""COMPUTED_VALUE"""),"Yes")</f>
        <v>Yes</v>
      </c>
      <c r="AK201" s="5" t="str">
        <f ca="1">IFERROR(__xludf.DUMMYFUNCTION("""COMPUTED_VALUE"""),"Yes")</f>
        <v>Yes</v>
      </c>
      <c r="AL201" s="5" t="str">
        <f ca="1">IFERROR(__xludf.DUMMYFUNCTION("""COMPUTED_VALUE"""),"Yes")</f>
        <v>Yes</v>
      </c>
      <c r="AM201" s="5" t="str">
        <f ca="1">IFERROR(__xludf.DUMMYFUNCTION("""COMPUTED_VALUE"""),"Yes")</f>
        <v>Yes</v>
      </c>
      <c r="AN201" s="5" t="str">
        <f ca="1">IFERROR(__xludf.DUMMYFUNCTION("""COMPUTED_VALUE"""),"Yes")</f>
        <v>Yes</v>
      </c>
      <c r="AO201" s="5" t="str">
        <f ca="1">IFERROR(__xludf.DUMMYFUNCTION("""COMPUTED_VALUE"""),"Yes")</f>
        <v>Yes</v>
      </c>
      <c r="AP201" s="5" t="str">
        <f ca="1">IFERROR(__xludf.DUMMYFUNCTION("""COMPUTED_VALUE"""),"Yes")</f>
        <v>Yes</v>
      </c>
      <c r="AQ201" s="5" t="str">
        <f ca="1">IFERROR(__xludf.DUMMYFUNCTION("""COMPUTED_VALUE"""),"Yes")</f>
        <v>Yes</v>
      </c>
      <c r="AR201" s="5" t="str">
        <f ca="1">IFERROR(__xludf.DUMMYFUNCTION("""COMPUTED_VALUE"""),"Yes")</f>
        <v>Yes</v>
      </c>
      <c r="AS201" s="5" t="str">
        <f ca="1">IFERROR(__xludf.DUMMYFUNCTION("""COMPUTED_VALUE"""),"Yes")</f>
        <v>Yes</v>
      </c>
      <c r="AT201" s="5" t="str">
        <f ca="1">IFERROR(__xludf.DUMMYFUNCTION("""COMPUTED_VALUE"""),"No")</f>
        <v>No</v>
      </c>
      <c r="AU201" s="5"/>
    </row>
    <row r="202" spans="1:47" x14ac:dyDescent="0.25">
      <c r="A202" s="5" t="str">
        <f ca="1">IFERROR(__xludf.DUMMYFUNCTION("""COMPUTED_VALUE"""),"Foxi")</f>
        <v>Foxi</v>
      </c>
      <c r="B202" s="5" t="str">
        <f ca="1">IFERROR(__xludf.DUMMYFUNCTION("""COMPUTED_VALUE"""),"Locked Hearts 40")</f>
        <v>Locked Hearts 40</v>
      </c>
      <c r="C202" s="5" t="str">
        <f ca="1">IFERROR(__xludf.DUMMYFUNCTION("""COMPUTED_VALUE"""),"LockedHearts40")</f>
        <v>LockedHearts40</v>
      </c>
      <c r="D202" s="6">
        <f ca="1">IFERROR(__xludf.DUMMYFUNCTION("""COMPUTED_VALUE"""),46163)</f>
        <v>46163</v>
      </c>
      <c r="E202" s="5" t="str">
        <f ca="1">IFERROR(__xludf.DUMMYFUNCTION("""COMPUTED_VALUE"""),"Slot")</f>
        <v>Slot</v>
      </c>
      <c r="F202" s="5">
        <f ca="1">IFERROR(__xludf.DUMMYFUNCTION("""COMPUTED_VALUE"""),18.4)</f>
        <v>18.399999999999999</v>
      </c>
      <c r="G202" s="5" t="str">
        <f ca="1">IFERROR(__xludf.DUMMYFUNCTION("""COMPUTED_VALUE"""),"5x3")</f>
        <v>5x3</v>
      </c>
      <c r="H202" s="5">
        <f ca="1">IFERROR(__xludf.DUMMYFUNCTION("""COMPUTED_VALUE"""),40)</f>
        <v>40</v>
      </c>
      <c r="I202" s="5">
        <f ca="1">IFERROR(__xludf.DUMMYFUNCTION("""COMPUTED_VALUE"""),40)</f>
        <v>40</v>
      </c>
      <c r="J202" s="5" t="str">
        <f ca="1">IFERROR(__xludf.DUMMYFUNCTION("""COMPUTED_VALUE"""),"96.572%")</f>
        <v>96.572%</v>
      </c>
      <c r="K202" s="5" t="str">
        <f ca="1">IFERROR(__xludf.DUMMYFUNCTION("""COMPUTED_VALUE"""),"High")</f>
        <v>High</v>
      </c>
      <c r="L202" s="5" t="str">
        <f ca="1">IFERROR(__xludf.DUMMYFUNCTION("""COMPUTED_VALUE"""),"14.394%")</f>
        <v>14.394%</v>
      </c>
      <c r="M202" s="5" t="str">
        <f ca="1">IFERROR(__xludf.DUMMYFUNCTION("""COMPUTED_VALUE"""),"x4000")</f>
        <v>x4000</v>
      </c>
      <c r="N202" s="5" t="str">
        <f ca="1">IFERROR(__xludf.DUMMYFUNCTION("""COMPUTED_VALUE"""),"0.4/40")</f>
        <v>0.4/40</v>
      </c>
      <c r="O202" s="5" t="str">
        <f ca="1">IFERROR(__xludf.DUMMYFUNCTION("""COMPUTED_VALUE"""),"Yes")</f>
        <v>Yes</v>
      </c>
      <c r="P202" s="5" t="str">
        <f ca="1">IFERROR(__xludf.DUMMYFUNCTION("""COMPUTED_VALUE"""),"Expanding Wild, Sticky Wild, Bonus Game with Sticky Wild, Buy Bonus, Bonus Game with Free Spins")</f>
        <v>Expanding Wild, Sticky Wild, Bonus Game with Sticky Wild, Buy Bonus, Bonus Game with Free Spins</v>
      </c>
      <c r="Q202" s="7" t="str">
        <f ca="1">IFERROR(__xludf.DUMMYFUNCTION("""COMPUTED_VALUE"""),"https://gameserver-store-client-area.orbionlimited.com/Home/IntegrationGameLaunch/client-area?moneyType=0&amp;gameName=LockedHearts40&amp;platform=desktop&amp;languageCode=eng&amp;currency=EUR")</f>
        <v>https://gameserver-store-client-area.orbionlimited.com/Home/IntegrationGameLaunch/client-area?moneyType=0&amp;gameName=LockedHearts40&amp;platform=desktop&amp;languageCode=eng&amp;currency=EUR</v>
      </c>
      <c r="R202" s="5" t="str">
        <f ca="1">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S2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2" s="5" t="str">
        <f ca="1">IFERROR(__xludf.DUMMYFUNCTION("""COMPUTED_VALUE"""),"Yes")</f>
        <v>Yes</v>
      </c>
      <c r="U202" s="5" t="str">
        <f ca="1">IFERROR(__xludf.DUMMYFUNCTION("""COMPUTED_VALUE"""),"Yes")</f>
        <v>Yes</v>
      </c>
      <c r="V202" s="5" t="str">
        <f ca="1">IFERROR(__xludf.DUMMYFUNCTION("""COMPUTED_VALUE"""),"Yes")</f>
        <v>Yes</v>
      </c>
      <c r="W202" s="5" t="str">
        <f ca="1">IFERROR(__xludf.DUMMYFUNCTION("""COMPUTED_VALUE"""),"Yes")</f>
        <v>Yes</v>
      </c>
      <c r="X202" s="5" t="str">
        <f ca="1">IFERROR(__xludf.DUMMYFUNCTION("""COMPUTED_VALUE"""),"Yes")</f>
        <v>Yes</v>
      </c>
      <c r="Y202" s="5" t="str">
        <f ca="1">IFERROR(__xludf.DUMMYFUNCTION("""COMPUTED_VALUE"""),"Yes")</f>
        <v>Yes</v>
      </c>
      <c r="Z202" s="5" t="str">
        <f ca="1">IFERROR(__xludf.DUMMYFUNCTION("""COMPUTED_VALUE"""),"Yes")</f>
        <v>Yes</v>
      </c>
      <c r="AA202" s="5" t="str">
        <f ca="1">IFERROR(__xludf.DUMMYFUNCTION("""COMPUTED_VALUE"""),"Yes")</f>
        <v>Yes</v>
      </c>
      <c r="AB202" s="5" t="str">
        <f ca="1">IFERROR(__xludf.DUMMYFUNCTION("""COMPUTED_VALUE"""),"Yes")</f>
        <v>Yes</v>
      </c>
      <c r="AC202" s="5" t="str">
        <f ca="1">IFERROR(__xludf.DUMMYFUNCTION("""COMPUTED_VALUE"""),"Yes")</f>
        <v>Yes</v>
      </c>
      <c r="AD202" s="5" t="str">
        <f ca="1">IFERROR(__xludf.DUMMYFUNCTION("""COMPUTED_VALUE"""),"Yes")</f>
        <v>Yes</v>
      </c>
      <c r="AE202" s="5" t="str">
        <f ca="1">IFERROR(__xludf.DUMMYFUNCTION("""COMPUTED_VALUE"""),"Yes")</f>
        <v>Yes</v>
      </c>
      <c r="AF202" s="5" t="str">
        <f ca="1">IFERROR(__xludf.DUMMYFUNCTION("""COMPUTED_VALUE"""),"Yes")</f>
        <v>Yes</v>
      </c>
      <c r="AG202" s="5" t="str">
        <f ca="1">IFERROR(__xludf.DUMMYFUNCTION("""COMPUTED_VALUE"""),"Yes")</f>
        <v>Yes</v>
      </c>
      <c r="AH202" s="5" t="str">
        <f ca="1">IFERROR(__xludf.DUMMYFUNCTION("""COMPUTED_VALUE"""),"Yes")</f>
        <v>Yes</v>
      </c>
      <c r="AI202" s="5" t="str">
        <f ca="1">IFERROR(__xludf.DUMMYFUNCTION("""COMPUTED_VALUE"""),"Yes")</f>
        <v>Yes</v>
      </c>
      <c r="AJ202" s="5" t="str">
        <f ca="1">IFERROR(__xludf.DUMMYFUNCTION("""COMPUTED_VALUE"""),"Yes")</f>
        <v>Yes</v>
      </c>
      <c r="AK202" s="5" t="str">
        <f ca="1">IFERROR(__xludf.DUMMYFUNCTION("""COMPUTED_VALUE"""),"Yes")</f>
        <v>Yes</v>
      </c>
      <c r="AL202" s="5" t="str">
        <f ca="1">IFERROR(__xludf.DUMMYFUNCTION("""COMPUTED_VALUE"""),"Yes")</f>
        <v>Yes</v>
      </c>
      <c r="AM202" s="5" t="str">
        <f ca="1">IFERROR(__xludf.DUMMYFUNCTION("""COMPUTED_VALUE"""),"Yes")</f>
        <v>Yes</v>
      </c>
      <c r="AN202" s="5" t="str">
        <f ca="1">IFERROR(__xludf.DUMMYFUNCTION("""COMPUTED_VALUE"""),"Yes")</f>
        <v>Yes</v>
      </c>
      <c r="AO202" s="5" t="str">
        <f ca="1">IFERROR(__xludf.DUMMYFUNCTION("""COMPUTED_VALUE"""),"Yes")</f>
        <v>Yes</v>
      </c>
      <c r="AP202" s="5" t="str">
        <f ca="1">IFERROR(__xludf.DUMMYFUNCTION("""COMPUTED_VALUE"""),"Yes")</f>
        <v>Yes</v>
      </c>
      <c r="AQ202" s="5" t="str">
        <f ca="1">IFERROR(__xludf.DUMMYFUNCTION("""COMPUTED_VALUE"""),"Yes")</f>
        <v>Yes</v>
      </c>
      <c r="AR202" s="5" t="str">
        <f ca="1">IFERROR(__xludf.DUMMYFUNCTION("""COMPUTED_VALUE"""),"Yes")</f>
        <v>Yes</v>
      </c>
      <c r="AS202" s="5" t="str">
        <f ca="1">IFERROR(__xludf.DUMMYFUNCTION("""COMPUTED_VALUE"""),"Yes")</f>
        <v>Yes</v>
      </c>
      <c r="AT202" s="5" t="str">
        <f ca="1">IFERROR(__xludf.DUMMYFUNCTION("""COMPUTED_VALUE"""),"No")</f>
        <v>No</v>
      </c>
      <c r="AU202" s="5"/>
    </row>
    <row r="203" spans="1:47" x14ac:dyDescent="0.25">
      <c r="A203" s="5" t="str">
        <f ca="1">IFERROR(__xludf.DUMMYFUNCTION("""COMPUTED_VALUE"""),"Foxi")</f>
        <v>Foxi</v>
      </c>
      <c r="B203" s="5" t="str">
        <f ca="1">IFERROR(__xludf.DUMMYFUNCTION("""COMPUTED_VALUE"""),"Winning Clover 5 Hold and Win")</f>
        <v>Winning Clover 5 Hold and Win</v>
      </c>
      <c r="C203" s="5" t="str">
        <f ca="1">IFERROR(__xludf.DUMMYFUNCTION("""COMPUTED_VALUE"""),"WinningClover5HoldAndWin")</f>
        <v>WinningClover5HoldAndWin</v>
      </c>
      <c r="D203" s="6">
        <f ca="1">IFERROR(__xludf.DUMMYFUNCTION("""COMPUTED_VALUE"""),46084)</f>
        <v>46084</v>
      </c>
      <c r="E203" s="5" t="str">
        <f ca="1">IFERROR(__xludf.DUMMYFUNCTION("""COMPUTED_VALUE"""),"Slot")</f>
        <v>Slot</v>
      </c>
      <c r="F203" s="5">
        <f ca="1">IFERROR(__xludf.DUMMYFUNCTION("""COMPUTED_VALUE"""),25.43)</f>
        <v>25.43</v>
      </c>
      <c r="G203" s="5" t="str">
        <f ca="1">IFERROR(__xludf.DUMMYFUNCTION("""COMPUTED_VALUE"""),"5x3")</f>
        <v>5x3</v>
      </c>
      <c r="H203" s="5">
        <f ca="1">IFERROR(__xludf.DUMMYFUNCTION("""COMPUTED_VALUE"""),5)</f>
        <v>5</v>
      </c>
      <c r="I203" s="5">
        <f ca="1">IFERROR(__xludf.DUMMYFUNCTION("""COMPUTED_VALUE"""),5)</f>
        <v>5</v>
      </c>
      <c r="J203" s="5" t="str">
        <f ca="1">IFERROR(__xludf.DUMMYFUNCTION("""COMPUTED_VALUE"""),"96.447%")</f>
        <v>96.447%</v>
      </c>
      <c r="K203" s="5" t="str">
        <f ca="1">IFERROR(__xludf.DUMMYFUNCTION("""COMPUTED_VALUE"""),"Medium")</f>
        <v>Medium</v>
      </c>
      <c r="L203" s="5" t="str">
        <f ca="1">IFERROR(__xludf.DUMMYFUNCTION("""COMPUTED_VALUE"""),"15.053%")</f>
        <v>15.053%</v>
      </c>
      <c r="M203" s="5" t="str">
        <f ca="1">IFERROR(__xludf.DUMMYFUNCTION("""COMPUTED_VALUE"""),"x1662")</f>
        <v>x1662</v>
      </c>
      <c r="N203" s="5" t="str">
        <f ca="1">IFERROR(__xludf.DUMMYFUNCTION("""COMPUTED_VALUE"""),"0.1/50")</f>
        <v>0.1/50</v>
      </c>
      <c r="O203" s="5" t="str">
        <f ca="1">IFERROR(__xludf.DUMMYFUNCTION("""COMPUTED_VALUE"""),"Yes")</f>
        <v>Yes</v>
      </c>
      <c r="P203" s="5" t="str">
        <f ca="1">IFERROR(__xludf.DUMMYFUNCTION("""COMPUTED_VALUE"""),"Scatter, Expanding Wild")</f>
        <v>Scatter, Expanding Wild</v>
      </c>
      <c r="Q203" s="7" t="str">
        <f ca="1">IFERROR(__xludf.DUMMYFUNCTION("""COMPUTED_VALUE"""),"https://gameserver-store-client-area.orbionlimited.com/Home/IntegrationGameLaunch/client-area?moneyType=0&amp;gameName=WinningClover5HoldAndWin&amp;platform=desktop&amp;languageCode=eng&amp;currency=EUR")</f>
        <v>https://gameserver-store-client-area.orbionlimited.com/Home/IntegrationGameLaunch/client-area?moneyType=0&amp;gameName=WinningClover5HoldAndWin&amp;platform=desktop&amp;languageCode=eng&amp;currency=EUR</v>
      </c>
      <c r="R203" s="5" t="str">
        <f ca="1">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S2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3" s="5" t="str">
        <f ca="1">IFERROR(__xludf.DUMMYFUNCTION("""COMPUTED_VALUE"""),"Yes")</f>
        <v>Yes</v>
      </c>
      <c r="U203" s="5" t="str">
        <f ca="1">IFERROR(__xludf.DUMMYFUNCTION("""COMPUTED_VALUE"""),"Yes")</f>
        <v>Yes</v>
      </c>
      <c r="V203" s="5" t="str">
        <f ca="1">IFERROR(__xludf.DUMMYFUNCTION("""COMPUTED_VALUE"""),"Yes")</f>
        <v>Yes</v>
      </c>
      <c r="W203" s="5" t="str">
        <f ca="1">IFERROR(__xludf.DUMMYFUNCTION("""COMPUTED_VALUE"""),"Yes")</f>
        <v>Yes</v>
      </c>
      <c r="X203" s="5" t="str">
        <f ca="1">IFERROR(__xludf.DUMMYFUNCTION("""COMPUTED_VALUE"""),"Yes")</f>
        <v>Yes</v>
      </c>
      <c r="Y203" s="5" t="str">
        <f ca="1">IFERROR(__xludf.DUMMYFUNCTION("""COMPUTED_VALUE"""),"Yes")</f>
        <v>Yes</v>
      </c>
      <c r="Z203" s="5" t="str">
        <f ca="1">IFERROR(__xludf.DUMMYFUNCTION("""COMPUTED_VALUE"""),"Yes")</f>
        <v>Yes</v>
      </c>
      <c r="AA203" s="5" t="str">
        <f ca="1">IFERROR(__xludf.DUMMYFUNCTION("""COMPUTED_VALUE"""),"Yes")</f>
        <v>Yes</v>
      </c>
      <c r="AB203" s="5" t="str">
        <f ca="1">IFERROR(__xludf.DUMMYFUNCTION("""COMPUTED_VALUE"""),"Yes")</f>
        <v>Yes</v>
      </c>
      <c r="AC203" s="5" t="str">
        <f ca="1">IFERROR(__xludf.DUMMYFUNCTION("""COMPUTED_VALUE"""),"Yes")</f>
        <v>Yes</v>
      </c>
      <c r="AD203" s="5" t="str">
        <f ca="1">IFERROR(__xludf.DUMMYFUNCTION("""COMPUTED_VALUE"""),"Yes")</f>
        <v>Yes</v>
      </c>
      <c r="AE203" s="5" t="str">
        <f ca="1">IFERROR(__xludf.DUMMYFUNCTION("""COMPUTED_VALUE"""),"Yes")</f>
        <v>Yes</v>
      </c>
      <c r="AF203" s="5" t="str">
        <f ca="1">IFERROR(__xludf.DUMMYFUNCTION("""COMPUTED_VALUE"""),"Yes")</f>
        <v>Yes</v>
      </c>
      <c r="AG203" s="5" t="str">
        <f ca="1">IFERROR(__xludf.DUMMYFUNCTION("""COMPUTED_VALUE"""),"Yes")</f>
        <v>Yes</v>
      </c>
      <c r="AH203" s="5" t="str">
        <f ca="1">IFERROR(__xludf.DUMMYFUNCTION("""COMPUTED_VALUE"""),"Yes")</f>
        <v>Yes</v>
      </c>
      <c r="AI203" s="5" t="str">
        <f ca="1">IFERROR(__xludf.DUMMYFUNCTION("""COMPUTED_VALUE"""),"Yes")</f>
        <v>Yes</v>
      </c>
      <c r="AJ203" s="5" t="str">
        <f ca="1">IFERROR(__xludf.DUMMYFUNCTION("""COMPUTED_VALUE"""),"Yes")</f>
        <v>Yes</v>
      </c>
      <c r="AK203" s="5" t="str">
        <f ca="1">IFERROR(__xludf.DUMMYFUNCTION("""COMPUTED_VALUE"""),"Yes")</f>
        <v>Yes</v>
      </c>
      <c r="AL203" s="5" t="str">
        <f ca="1">IFERROR(__xludf.DUMMYFUNCTION("""COMPUTED_VALUE"""),"Yes")</f>
        <v>Yes</v>
      </c>
      <c r="AM203" s="5" t="str">
        <f ca="1">IFERROR(__xludf.DUMMYFUNCTION("""COMPUTED_VALUE"""),"Yes")</f>
        <v>Yes</v>
      </c>
      <c r="AN203" s="5" t="str">
        <f ca="1">IFERROR(__xludf.DUMMYFUNCTION("""COMPUTED_VALUE"""),"Yes")</f>
        <v>Yes</v>
      </c>
      <c r="AO203" s="5" t="str">
        <f ca="1">IFERROR(__xludf.DUMMYFUNCTION("""COMPUTED_VALUE"""),"Yes")</f>
        <v>Yes</v>
      </c>
      <c r="AP203" s="5" t="str">
        <f ca="1">IFERROR(__xludf.DUMMYFUNCTION("""COMPUTED_VALUE"""),"Yes")</f>
        <v>Yes</v>
      </c>
      <c r="AQ203" s="5" t="str">
        <f ca="1">IFERROR(__xludf.DUMMYFUNCTION("""COMPUTED_VALUE"""),"Yes")</f>
        <v>Yes</v>
      </c>
      <c r="AR203" s="5" t="str">
        <f ca="1">IFERROR(__xludf.DUMMYFUNCTION("""COMPUTED_VALUE"""),"Yes")</f>
        <v>Yes</v>
      </c>
      <c r="AS203" s="5" t="str">
        <f ca="1">IFERROR(__xludf.DUMMYFUNCTION("""COMPUTED_VALUE"""),"Yes")</f>
        <v>Yes</v>
      </c>
      <c r="AT203" s="5" t="str">
        <f ca="1">IFERROR(__xludf.DUMMYFUNCTION("""COMPUTED_VALUE"""),"No")</f>
        <v>No</v>
      </c>
      <c r="AU203" s="5"/>
    </row>
    <row r="204" spans="1:47" x14ac:dyDescent="0.25">
      <c r="A204" s="5" t="str">
        <f ca="1">IFERROR(__xludf.DUMMYFUNCTION("""COMPUTED_VALUE"""),"Foxi")</f>
        <v>Foxi</v>
      </c>
      <c r="B204" s="5" t="str">
        <f ca="1">IFERROR(__xludf.DUMMYFUNCTION("""COMPUTED_VALUE"""),"Clovers And Diamonds 5")</f>
        <v>Clovers And Diamonds 5</v>
      </c>
      <c r="C204" s="5" t="str">
        <f ca="1">IFERROR(__xludf.DUMMYFUNCTION("""COMPUTED_VALUE"""),"CloversAndDiamonds5")</f>
        <v>CloversAndDiamonds5</v>
      </c>
      <c r="D204" s="6">
        <f ca="1">IFERROR(__xludf.DUMMYFUNCTION("""COMPUTED_VALUE"""),46093)</f>
        <v>46093</v>
      </c>
      <c r="E204" s="5" t="str">
        <f ca="1">IFERROR(__xludf.DUMMYFUNCTION("""COMPUTED_VALUE"""),"Slot")</f>
        <v>Slot</v>
      </c>
      <c r="F204" s="5">
        <f ca="1">IFERROR(__xludf.DUMMYFUNCTION("""COMPUTED_VALUE"""),42.4)</f>
        <v>42.4</v>
      </c>
      <c r="G204" s="5" t="str">
        <f ca="1">IFERROR(__xludf.DUMMYFUNCTION("""COMPUTED_VALUE"""),"5x3")</f>
        <v>5x3</v>
      </c>
      <c r="H204" s="5">
        <f ca="1">IFERROR(__xludf.DUMMYFUNCTION("""COMPUTED_VALUE"""),5)</f>
        <v>5</v>
      </c>
      <c r="I204" s="5">
        <f ca="1">IFERROR(__xludf.DUMMYFUNCTION("""COMPUTED_VALUE"""),5)</f>
        <v>5</v>
      </c>
      <c r="J204" s="5" t="str">
        <f ca="1">IFERROR(__xludf.DUMMYFUNCTION("""COMPUTED_VALUE"""),"96.53%")</f>
        <v>96.53%</v>
      </c>
      <c r="K204" s="5" t="str">
        <f ca="1">IFERROR(__xludf.DUMMYFUNCTION("""COMPUTED_VALUE"""),"High")</f>
        <v>High</v>
      </c>
      <c r="L204" s="5" t="str">
        <f ca="1">IFERROR(__xludf.DUMMYFUNCTION("""COMPUTED_VALUE"""),"13.146%")</f>
        <v>13.146%</v>
      </c>
      <c r="M204" s="5" t="str">
        <f ca="1">IFERROR(__xludf.DUMMYFUNCTION("""COMPUTED_VALUE"""),"x5000")</f>
        <v>x5000</v>
      </c>
      <c r="N204" s="5" t="str">
        <f ca="1">IFERROR(__xludf.DUMMYFUNCTION("""COMPUTED_VALUE"""),"0.05/30")</f>
        <v>0.05/30</v>
      </c>
      <c r="O204" s="5" t="str">
        <f ca="1">IFERROR(__xludf.DUMMYFUNCTION("""COMPUTED_VALUE"""),"Yes")</f>
        <v>Yes</v>
      </c>
      <c r="P204" s="5" t="str">
        <f ca="1">IFERROR(__xludf.DUMMYFUNCTION("""COMPUTED_VALUE"""),"Scatter, Wild Multiplier, Expanding Wild")</f>
        <v>Scatter, Wild Multiplier, Expanding Wild</v>
      </c>
      <c r="Q204" s="7" t="str">
        <f ca="1">IFERROR(__xludf.DUMMYFUNCTION("""COMPUTED_VALUE"""),"https://gameserver-store-client-area.orbionlimited.com/Home/IntegrationGameLaunch/client-area?moneyType=0&amp;gameName=CloversAndDiamonds5&amp;platform=desktop&amp;languageCode=eng&amp;currency=EUR")</f>
        <v>https://gameserver-store-client-area.orbionlimited.com/Home/IntegrationGameLaunch/client-area?moneyType=0&amp;gameName=CloversAndDiamonds5&amp;platform=desktop&amp;languageCode=eng&amp;currency=EUR</v>
      </c>
      <c r="R204" s="5" t="str">
        <f ca="1">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 xml:space="preserve">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S2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4" s="5" t="str">
        <f ca="1">IFERROR(__xludf.DUMMYFUNCTION("""COMPUTED_VALUE"""),"Yes")</f>
        <v>Yes</v>
      </c>
      <c r="U204" s="5" t="str">
        <f ca="1">IFERROR(__xludf.DUMMYFUNCTION("""COMPUTED_VALUE"""),"Yes")</f>
        <v>Yes</v>
      </c>
      <c r="V204" s="5" t="str">
        <f ca="1">IFERROR(__xludf.DUMMYFUNCTION("""COMPUTED_VALUE"""),"Yes")</f>
        <v>Yes</v>
      </c>
      <c r="W204" s="5" t="str">
        <f ca="1">IFERROR(__xludf.DUMMYFUNCTION("""COMPUTED_VALUE"""),"Yes")</f>
        <v>Yes</v>
      </c>
      <c r="X204" s="5" t="str">
        <f ca="1">IFERROR(__xludf.DUMMYFUNCTION("""COMPUTED_VALUE"""),"Yes")</f>
        <v>Yes</v>
      </c>
      <c r="Y204" s="5" t="str">
        <f ca="1">IFERROR(__xludf.DUMMYFUNCTION("""COMPUTED_VALUE"""),"Yes")</f>
        <v>Yes</v>
      </c>
      <c r="Z204" s="5" t="str">
        <f ca="1">IFERROR(__xludf.DUMMYFUNCTION("""COMPUTED_VALUE"""),"Yes")</f>
        <v>Yes</v>
      </c>
      <c r="AA204" s="5" t="str">
        <f ca="1">IFERROR(__xludf.DUMMYFUNCTION("""COMPUTED_VALUE"""),"Yes")</f>
        <v>Yes</v>
      </c>
      <c r="AB204" s="5" t="str">
        <f ca="1">IFERROR(__xludf.DUMMYFUNCTION("""COMPUTED_VALUE"""),"Yes")</f>
        <v>Yes</v>
      </c>
      <c r="AC204" s="5" t="str">
        <f ca="1">IFERROR(__xludf.DUMMYFUNCTION("""COMPUTED_VALUE"""),"Yes")</f>
        <v>Yes</v>
      </c>
      <c r="AD204" s="5" t="str">
        <f ca="1">IFERROR(__xludf.DUMMYFUNCTION("""COMPUTED_VALUE"""),"Yes")</f>
        <v>Yes</v>
      </c>
      <c r="AE204" s="5" t="str">
        <f ca="1">IFERROR(__xludf.DUMMYFUNCTION("""COMPUTED_VALUE"""),"Yes")</f>
        <v>Yes</v>
      </c>
      <c r="AF204" s="5" t="str">
        <f ca="1">IFERROR(__xludf.DUMMYFUNCTION("""COMPUTED_VALUE"""),"Yes")</f>
        <v>Yes</v>
      </c>
      <c r="AG204" s="5" t="str">
        <f ca="1">IFERROR(__xludf.DUMMYFUNCTION("""COMPUTED_VALUE"""),"Yes")</f>
        <v>Yes</v>
      </c>
      <c r="AH204" s="5" t="str">
        <f ca="1">IFERROR(__xludf.DUMMYFUNCTION("""COMPUTED_VALUE"""),"Yes")</f>
        <v>Yes</v>
      </c>
      <c r="AI204" s="5" t="str">
        <f ca="1">IFERROR(__xludf.DUMMYFUNCTION("""COMPUTED_VALUE"""),"Yes")</f>
        <v>Yes</v>
      </c>
      <c r="AJ204" s="5" t="str">
        <f ca="1">IFERROR(__xludf.DUMMYFUNCTION("""COMPUTED_VALUE"""),"Yes")</f>
        <v>Yes</v>
      </c>
      <c r="AK204" s="5" t="str">
        <f ca="1">IFERROR(__xludf.DUMMYFUNCTION("""COMPUTED_VALUE"""),"Yes")</f>
        <v>Yes</v>
      </c>
      <c r="AL204" s="5" t="str">
        <f ca="1">IFERROR(__xludf.DUMMYFUNCTION("""COMPUTED_VALUE"""),"Yes")</f>
        <v>Yes</v>
      </c>
      <c r="AM204" s="5" t="str">
        <f ca="1">IFERROR(__xludf.DUMMYFUNCTION("""COMPUTED_VALUE"""),"Yes")</f>
        <v>Yes</v>
      </c>
      <c r="AN204" s="5" t="str">
        <f ca="1">IFERROR(__xludf.DUMMYFUNCTION("""COMPUTED_VALUE"""),"Yes")</f>
        <v>Yes</v>
      </c>
      <c r="AO204" s="5" t="str">
        <f ca="1">IFERROR(__xludf.DUMMYFUNCTION("""COMPUTED_VALUE"""),"Yes")</f>
        <v>Yes</v>
      </c>
      <c r="AP204" s="5" t="str">
        <f ca="1">IFERROR(__xludf.DUMMYFUNCTION("""COMPUTED_VALUE"""),"Yes")</f>
        <v>Yes</v>
      </c>
      <c r="AQ204" s="5" t="str">
        <f ca="1">IFERROR(__xludf.DUMMYFUNCTION("""COMPUTED_VALUE"""),"Yes")</f>
        <v>Yes</v>
      </c>
      <c r="AR204" s="5" t="str">
        <f ca="1">IFERROR(__xludf.DUMMYFUNCTION("""COMPUTED_VALUE"""),"Yes")</f>
        <v>Yes</v>
      </c>
      <c r="AS204" s="5" t="str">
        <f ca="1">IFERROR(__xludf.DUMMYFUNCTION("""COMPUTED_VALUE"""),"Yes")</f>
        <v>Yes</v>
      </c>
      <c r="AT204" s="5" t="str">
        <f ca="1">IFERROR(__xludf.DUMMYFUNCTION("""COMPUTED_VALUE"""),"No")</f>
        <v>No</v>
      </c>
      <c r="AU204" s="5"/>
    </row>
    <row r="205" spans="1:47" x14ac:dyDescent="0.25">
      <c r="A205" s="5" t="str">
        <f ca="1">IFERROR(__xludf.DUMMYFUNCTION("""COMPUTED_VALUE"""),"Foxi")</f>
        <v>Foxi</v>
      </c>
      <c r="B205" s="5" t="str">
        <f ca="1">IFERROR(__xludf.DUMMYFUNCTION("""COMPUTED_VALUE"""),"Epic Dice 100 Booster")</f>
        <v>Epic Dice 100 Booster</v>
      </c>
      <c r="C205" s="5" t="str">
        <f ca="1">IFERROR(__xludf.DUMMYFUNCTION("""COMPUTED_VALUE"""),"EpicDice100Booster")</f>
        <v>EpicDice100Booster</v>
      </c>
      <c r="D205" s="6">
        <f ca="1">IFERROR(__xludf.DUMMYFUNCTION("""COMPUTED_VALUE"""),46205)</f>
        <v>46205</v>
      </c>
      <c r="E205" s="5" t="str">
        <f ca="1">IFERROR(__xludf.DUMMYFUNCTION("""COMPUTED_VALUE"""),"Slot")</f>
        <v>Slot</v>
      </c>
      <c r="F205" s="5">
        <f ca="1">IFERROR(__xludf.DUMMYFUNCTION("""COMPUTED_VALUE"""),26.6)</f>
        <v>26.6</v>
      </c>
      <c r="G205" s="5" t="str">
        <f ca="1">IFERROR(__xludf.DUMMYFUNCTION("""COMPUTED_VALUE"""),"5x4")</f>
        <v>5x4</v>
      </c>
      <c r="H205" s="5">
        <f ca="1">IFERROR(__xludf.DUMMYFUNCTION("""COMPUTED_VALUE"""),100)</f>
        <v>100</v>
      </c>
      <c r="I205" s="5">
        <f ca="1">IFERROR(__xludf.DUMMYFUNCTION("""COMPUTED_VALUE"""),100)</f>
        <v>100</v>
      </c>
      <c r="J205" s="5" t="str">
        <f ca="1">IFERROR(__xludf.DUMMYFUNCTION("""COMPUTED_VALUE"""),"96.502%")</f>
        <v>96.502%</v>
      </c>
      <c r="K205" s="5" t="str">
        <f ca="1">IFERROR(__xludf.DUMMYFUNCTION("""COMPUTED_VALUE"""),"Medium")</f>
        <v>Medium</v>
      </c>
      <c r="L205" s="5" t="str">
        <f ca="1">IFERROR(__xludf.DUMMYFUNCTION("""COMPUTED_VALUE"""),"13.309%")</f>
        <v>13.309%</v>
      </c>
      <c r="M205" s="5" t="str">
        <f ca="1">IFERROR(__xludf.DUMMYFUNCTION("""COMPUTED_VALUE"""),"x3000")</f>
        <v>x3000</v>
      </c>
      <c r="N205" s="5" t="str">
        <f ca="1">IFERROR(__xludf.DUMMYFUNCTION("""COMPUTED_VALUE"""),"1/100")</f>
        <v>1/100</v>
      </c>
      <c r="O205" s="5" t="str">
        <f ca="1">IFERROR(__xludf.DUMMYFUNCTION("""COMPUTED_VALUE"""),"Yes")</f>
        <v>Yes</v>
      </c>
      <c r="P205" s="5" t="str">
        <f ca="1">IFERROR(__xludf.DUMMYFUNCTION("""COMPUTED_VALUE"""),"Scatter, Expanding Wild")</f>
        <v>Scatter, Expanding Wild</v>
      </c>
      <c r="Q205" s="7" t="str">
        <f ca="1">IFERROR(__xludf.DUMMYFUNCTION("""COMPUTED_VALUE"""),"https://gameserver-store-client-area.orbionlimited.com/Home/IntegrationGameLaunch/client-area?moneyType=0&amp;gameName=EpicDice100Booster&amp;platform=desktop&amp;languageCode=eng&amp;currency=EUR")</f>
        <v>https://gameserver-store-client-area.orbionlimited.com/Home/IntegrationGameLaunch/client-area?moneyType=0&amp;gameName=EpicDice100Booster&amp;platform=desktop&amp;languageCode=eng&amp;currency=EUR</v>
      </c>
      <c r="R205" s="5" t="str">
        <f ca="1">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S2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5" s="5" t="str">
        <f ca="1">IFERROR(__xludf.DUMMYFUNCTION("""COMPUTED_VALUE"""),"Yes")</f>
        <v>Yes</v>
      </c>
      <c r="U205" s="5" t="str">
        <f ca="1">IFERROR(__xludf.DUMMYFUNCTION("""COMPUTED_VALUE"""),"Yes")</f>
        <v>Yes</v>
      </c>
      <c r="V205" s="5" t="str">
        <f ca="1">IFERROR(__xludf.DUMMYFUNCTION("""COMPUTED_VALUE"""),"Yes")</f>
        <v>Yes</v>
      </c>
      <c r="W205" s="5" t="str">
        <f ca="1">IFERROR(__xludf.DUMMYFUNCTION("""COMPUTED_VALUE"""),"Yes")</f>
        <v>Yes</v>
      </c>
      <c r="X205" s="5" t="str">
        <f ca="1">IFERROR(__xludf.DUMMYFUNCTION("""COMPUTED_VALUE"""),"Yes")</f>
        <v>Yes</v>
      </c>
      <c r="Y205" s="5" t="str">
        <f ca="1">IFERROR(__xludf.DUMMYFUNCTION("""COMPUTED_VALUE"""),"Yes")</f>
        <v>Yes</v>
      </c>
      <c r="Z205" s="5" t="str">
        <f ca="1">IFERROR(__xludf.DUMMYFUNCTION("""COMPUTED_VALUE"""),"Yes")</f>
        <v>Yes</v>
      </c>
      <c r="AA205" s="5" t="str">
        <f ca="1">IFERROR(__xludf.DUMMYFUNCTION("""COMPUTED_VALUE"""),"Yes")</f>
        <v>Yes</v>
      </c>
      <c r="AB205" s="5" t="str">
        <f ca="1">IFERROR(__xludf.DUMMYFUNCTION("""COMPUTED_VALUE"""),"Yes")</f>
        <v>Yes</v>
      </c>
      <c r="AC205" s="5" t="str">
        <f ca="1">IFERROR(__xludf.DUMMYFUNCTION("""COMPUTED_VALUE"""),"Yes")</f>
        <v>Yes</v>
      </c>
      <c r="AD205" s="5" t="str">
        <f ca="1">IFERROR(__xludf.DUMMYFUNCTION("""COMPUTED_VALUE"""),"Yes")</f>
        <v>Yes</v>
      </c>
      <c r="AE205" s="5" t="str">
        <f ca="1">IFERROR(__xludf.DUMMYFUNCTION("""COMPUTED_VALUE"""),"Yes")</f>
        <v>Yes</v>
      </c>
      <c r="AF205" s="5" t="str">
        <f ca="1">IFERROR(__xludf.DUMMYFUNCTION("""COMPUTED_VALUE"""),"Yes")</f>
        <v>Yes</v>
      </c>
      <c r="AG205" s="5" t="str">
        <f ca="1">IFERROR(__xludf.DUMMYFUNCTION("""COMPUTED_VALUE"""),"Yes")</f>
        <v>Yes</v>
      </c>
      <c r="AH205" s="5" t="str">
        <f ca="1">IFERROR(__xludf.DUMMYFUNCTION("""COMPUTED_VALUE"""),"Yes")</f>
        <v>Yes</v>
      </c>
      <c r="AI205" s="5" t="str">
        <f ca="1">IFERROR(__xludf.DUMMYFUNCTION("""COMPUTED_VALUE"""),"Yes")</f>
        <v>Yes</v>
      </c>
      <c r="AJ205" s="5" t="str">
        <f ca="1">IFERROR(__xludf.DUMMYFUNCTION("""COMPUTED_VALUE"""),"Yes")</f>
        <v>Yes</v>
      </c>
      <c r="AK205" s="5" t="str">
        <f ca="1">IFERROR(__xludf.DUMMYFUNCTION("""COMPUTED_VALUE"""),"Yes")</f>
        <v>Yes</v>
      </c>
      <c r="AL205" s="5" t="str">
        <f ca="1">IFERROR(__xludf.DUMMYFUNCTION("""COMPUTED_VALUE"""),"Yes")</f>
        <v>Yes</v>
      </c>
      <c r="AM205" s="5" t="str">
        <f ca="1">IFERROR(__xludf.DUMMYFUNCTION("""COMPUTED_VALUE"""),"Yes")</f>
        <v>Yes</v>
      </c>
      <c r="AN205" s="5" t="str">
        <f ca="1">IFERROR(__xludf.DUMMYFUNCTION("""COMPUTED_VALUE"""),"Yes")</f>
        <v>Yes</v>
      </c>
      <c r="AO205" s="5" t="str">
        <f ca="1">IFERROR(__xludf.DUMMYFUNCTION("""COMPUTED_VALUE"""),"Yes")</f>
        <v>Yes</v>
      </c>
      <c r="AP205" s="5" t="str">
        <f ca="1">IFERROR(__xludf.DUMMYFUNCTION("""COMPUTED_VALUE"""),"Yes")</f>
        <v>Yes</v>
      </c>
      <c r="AQ205" s="5" t="str">
        <f ca="1">IFERROR(__xludf.DUMMYFUNCTION("""COMPUTED_VALUE"""),"Yes")</f>
        <v>Yes</v>
      </c>
      <c r="AR205" s="5" t="str">
        <f ca="1">IFERROR(__xludf.DUMMYFUNCTION("""COMPUTED_VALUE"""),"Yes")</f>
        <v>Yes</v>
      </c>
      <c r="AS205" s="5" t="str">
        <f ca="1">IFERROR(__xludf.DUMMYFUNCTION("""COMPUTED_VALUE"""),"Yes")</f>
        <v>Yes</v>
      </c>
      <c r="AT205" s="5" t="str">
        <f ca="1">IFERROR(__xludf.DUMMYFUNCTION("""COMPUTED_VALUE"""),"No")</f>
        <v>No</v>
      </c>
      <c r="AU205" s="5"/>
    </row>
    <row r="206" spans="1:47" x14ac:dyDescent="0.25">
      <c r="A206" s="5" t="str">
        <f ca="1">IFERROR(__xludf.DUMMYFUNCTION("""COMPUTED_VALUE"""),"Foxi")</f>
        <v>Foxi</v>
      </c>
      <c r="B206" s="5" t="str">
        <f ca="1">IFERROR(__xludf.DUMMYFUNCTION("""COMPUTED_VALUE"""),"Very Hot 40 Extreme Booster")</f>
        <v>Very Hot 40 Extreme Booster</v>
      </c>
      <c r="C206" s="5" t="str">
        <f ca="1">IFERROR(__xludf.DUMMYFUNCTION("""COMPUTED_VALUE"""),"VeryHot40ExtremeBooster")</f>
        <v>VeryHot40ExtremeBooster</v>
      </c>
      <c r="D206" s="6">
        <f ca="1">IFERROR(__xludf.DUMMYFUNCTION("""COMPUTED_VALUE"""),46231)</f>
        <v>46231</v>
      </c>
      <c r="E206" s="5" t="str">
        <f ca="1">IFERROR(__xludf.DUMMYFUNCTION("""COMPUTED_VALUE"""),"Slot")</f>
        <v>Slot</v>
      </c>
      <c r="F206" s="5">
        <f ca="1">IFERROR(__xludf.DUMMYFUNCTION("""COMPUTED_VALUE"""),36.2)</f>
        <v>36.200000000000003</v>
      </c>
      <c r="G206" s="5" t="str">
        <f ca="1">IFERROR(__xludf.DUMMYFUNCTION("""COMPUTED_VALUE"""),"5x3")</f>
        <v>5x3</v>
      </c>
      <c r="H206" s="5">
        <f ca="1">IFERROR(__xludf.DUMMYFUNCTION("""COMPUTED_VALUE"""),40)</f>
        <v>40</v>
      </c>
      <c r="I206" s="5">
        <f ca="1">IFERROR(__xludf.DUMMYFUNCTION("""COMPUTED_VALUE"""),40)</f>
        <v>40</v>
      </c>
      <c r="J206" s="5" t="str">
        <f ca="1">IFERROR(__xludf.DUMMYFUNCTION("""COMPUTED_VALUE"""),"96.453%")</f>
        <v>96.453%</v>
      </c>
      <c r="K206" s="5" t="str">
        <f ca="1">IFERROR(__xludf.DUMMYFUNCTION("""COMPUTED_VALUE"""),"Low")</f>
        <v>Low</v>
      </c>
      <c r="L206" s="5" t="str">
        <f ca="1">IFERROR(__xludf.DUMMYFUNCTION("""COMPUTED_VALUE"""),"22.711%")</f>
        <v>22.711%</v>
      </c>
      <c r="M206" s="5" t="str">
        <f ca="1">IFERROR(__xludf.DUMMYFUNCTION("""COMPUTED_VALUE"""),"x1993")</f>
        <v>x1993</v>
      </c>
      <c r="N206" s="5" t="str">
        <f ca="1">IFERROR(__xludf.DUMMYFUNCTION("""COMPUTED_VALUE"""),"0.12/ 80")</f>
        <v>0.12/ 80</v>
      </c>
      <c r="O206" s="5" t="str">
        <f ca="1">IFERROR(__xludf.DUMMYFUNCTION("""COMPUTED_VALUE"""),"Yes")</f>
        <v>Yes</v>
      </c>
      <c r="P206" s="5" t="str">
        <f ca="1">IFERROR(__xludf.DUMMYFUNCTION("""COMPUTED_VALUE"""),"Buy Feature, Win Multiplier, Wild Symbol")</f>
        <v>Buy Feature, Win Multiplier, Wild Symbol</v>
      </c>
      <c r="Q206" s="7" t="str">
        <f ca="1">IFERROR(__xludf.DUMMYFUNCTION("""COMPUTED_VALUE"""),"https://gameserver-store-client-area.orbionlimited.com/Home/IntegrationGameLaunch/client-area?moneyType=0&amp;gameName=VeryHot40ExtremeBooster&amp;platform=desktop&amp;languageCode=eng&amp;currency=EUR")</f>
        <v>https://gameserver-store-client-area.orbionlimited.com/Home/IntegrationGameLaunch/client-area?moneyType=0&amp;gameName=VeryHot40ExtremeBooster&amp;platform=desktop&amp;languageCode=eng&amp;currency=EUR</v>
      </c>
      <c r="R206" s="5" t="str">
        <f ca="1">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 xml:space="preserve">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S2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6" s="5" t="str">
        <f ca="1">IFERROR(__xludf.DUMMYFUNCTION("""COMPUTED_VALUE"""),"Yes")</f>
        <v>Yes</v>
      </c>
      <c r="U206" s="5" t="str">
        <f ca="1">IFERROR(__xludf.DUMMYFUNCTION("""COMPUTED_VALUE"""),"Yes")</f>
        <v>Yes</v>
      </c>
      <c r="V206" s="5" t="str">
        <f ca="1">IFERROR(__xludf.DUMMYFUNCTION("""COMPUTED_VALUE"""),"Yes")</f>
        <v>Yes</v>
      </c>
      <c r="W206" s="5" t="str">
        <f ca="1">IFERROR(__xludf.DUMMYFUNCTION("""COMPUTED_VALUE"""),"Yes")</f>
        <v>Yes</v>
      </c>
      <c r="X206" s="5" t="str">
        <f ca="1">IFERROR(__xludf.DUMMYFUNCTION("""COMPUTED_VALUE"""),"Yes")</f>
        <v>Yes</v>
      </c>
      <c r="Y206" s="5" t="str">
        <f ca="1">IFERROR(__xludf.DUMMYFUNCTION("""COMPUTED_VALUE"""),"Yes")</f>
        <v>Yes</v>
      </c>
      <c r="Z206" s="5" t="str">
        <f ca="1">IFERROR(__xludf.DUMMYFUNCTION("""COMPUTED_VALUE"""),"Yes")</f>
        <v>Yes</v>
      </c>
      <c r="AA206" s="5" t="str">
        <f ca="1">IFERROR(__xludf.DUMMYFUNCTION("""COMPUTED_VALUE"""),"Yes")</f>
        <v>Yes</v>
      </c>
      <c r="AB206" s="5" t="str">
        <f ca="1">IFERROR(__xludf.DUMMYFUNCTION("""COMPUTED_VALUE"""),"Yes")</f>
        <v>Yes</v>
      </c>
      <c r="AC206" s="5" t="str">
        <f ca="1">IFERROR(__xludf.DUMMYFUNCTION("""COMPUTED_VALUE"""),"Yes")</f>
        <v>Yes</v>
      </c>
      <c r="AD206" s="5" t="str">
        <f ca="1">IFERROR(__xludf.DUMMYFUNCTION("""COMPUTED_VALUE"""),"Yes")</f>
        <v>Yes</v>
      </c>
      <c r="AE206" s="5" t="str">
        <f ca="1">IFERROR(__xludf.DUMMYFUNCTION("""COMPUTED_VALUE"""),"Yes")</f>
        <v>Yes</v>
      </c>
      <c r="AF206" s="5" t="str">
        <f ca="1">IFERROR(__xludf.DUMMYFUNCTION("""COMPUTED_VALUE"""),"Yes")</f>
        <v>Yes</v>
      </c>
      <c r="AG206" s="5" t="str">
        <f ca="1">IFERROR(__xludf.DUMMYFUNCTION("""COMPUTED_VALUE"""),"Yes")</f>
        <v>Yes</v>
      </c>
      <c r="AH206" s="5" t="str">
        <f ca="1">IFERROR(__xludf.DUMMYFUNCTION("""COMPUTED_VALUE"""),"Yes")</f>
        <v>Yes</v>
      </c>
      <c r="AI206" s="5" t="str">
        <f ca="1">IFERROR(__xludf.DUMMYFUNCTION("""COMPUTED_VALUE"""),"Yes")</f>
        <v>Yes</v>
      </c>
      <c r="AJ206" s="5" t="str">
        <f ca="1">IFERROR(__xludf.DUMMYFUNCTION("""COMPUTED_VALUE"""),"Yes")</f>
        <v>Yes</v>
      </c>
      <c r="AK206" s="5" t="str">
        <f ca="1">IFERROR(__xludf.DUMMYFUNCTION("""COMPUTED_VALUE"""),"Yes")</f>
        <v>Yes</v>
      </c>
      <c r="AL206" s="5" t="str">
        <f ca="1">IFERROR(__xludf.DUMMYFUNCTION("""COMPUTED_VALUE"""),"Yes")</f>
        <v>Yes</v>
      </c>
      <c r="AM206" s="5" t="str">
        <f ca="1">IFERROR(__xludf.DUMMYFUNCTION("""COMPUTED_VALUE"""),"Yes")</f>
        <v>Yes</v>
      </c>
      <c r="AN206" s="5" t="str">
        <f ca="1">IFERROR(__xludf.DUMMYFUNCTION("""COMPUTED_VALUE"""),"Yes")</f>
        <v>Yes</v>
      </c>
      <c r="AO206" s="5" t="str">
        <f ca="1">IFERROR(__xludf.DUMMYFUNCTION("""COMPUTED_VALUE"""),"Yes")</f>
        <v>Yes</v>
      </c>
      <c r="AP206" s="5" t="str">
        <f ca="1">IFERROR(__xludf.DUMMYFUNCTION("""COMPUTED_VALUE"""),"Yes")</f>
        <v>Yes</v>
      </c>
      <c r="AQ206" s="5" t="str">
        <f ca="1">IFERROR(__xludf.DUMMYFUNCTION("""COMPUTED_VALUE"""),"Yes")</f>
        <v>Yes</v>
      </c>
      <c r="AR206" s="5" t="str">
        <f ca="1">IFERROR(__xludf.DUMMYFUNCTION("""COMPUTED_VALUE"""),"Yes")</f>
        <v>Yes</v>
      </c>
      <c r="AS206" s="5" t="str">
        <f ca="1">IFERROR(__xludf.DUMMYFUNCTION("""COMPUTED_VALUE"""),"Yes")</f>
        <v>Yes</v>
      </c>
      <c r="AT206" s="5" t="str">
        <f ca="1">IFERROR(__xludf.DUMMYFUNCTION("""COMPUTED_VALUE"""),"No")</f>
        <v>No</v>
      </c>
      <c r="AU206" s="5"/>
    </row>
    <row r="207" spans="1:47" x14ac:dyDescent="0.25">
      <c r="A207" s="5" t="str">
        <f ca="1">IFERROR(__xludf.DUMMYFUNCTION("""COMPUTED_VALUE"""),"Foxi")</f>
        <v>Foxi</v>
      </c>
      <c r="B207" s="5" t="str">
        <f ca="1">IFERROR(__xludf.DUMMYFUNCTION("""COMPUTED_VALUE"""),"Fortune of Wu Kong")</f>
        <v>Fortune of Wu Kong</v>
      </c>
      <c r="C207" s="5" t="str">
        <f ca="1">IFERROR(__xludf.DUMMYFUNCTION("""COMPUTED_VALUE"""),"FortuneOfWuKong")</f>
        <v>FortuneOfWuKong</v>
      </c>
      <c r="D207" s="6">
        <f ca="1">IFERROR(__xludf.DUMMYFUNCTION("""COMPUTED_VALUE"""),46191)</f>
        <v>46191</v>
      </c>
      <c r="E207" s="5" t="str">
        <f ca="1">IFERROR(__xludf.DUMMYFUNCTION("""COMPUTED_VALUE"""),"Slot")</f>
        <v>Slot</v>
      </c>
      <c r="F207" s="5">
        <f ca="1">IFERROR(__xludf.DUMMYFUNCTION("""COMPUTED_VALUE"""),22.1)</f>
        <v>22.1</v>
      </c>
      <c r="G207" s="5" t="str">
        <f ca="1">IFERROR(__xludf.DUMMYFUNCTION("""COMPUTED_VALUE"""),"3x3")</f>
        <v>3x3</v>
      </c>
      <c r="H207" s="5">
        <f ca="1">IFERROR(__xludf.DUMMYFUNCTION("""COMPUTED_VALUE"""),5)</f>
        <v>5</v>
      </c>
      <c r="I207" s="5">
        <f ca="1">IFERROR(__xludf.DUMMYFUNCTION("""COMPUTED_VALUE"""),5)</f>
        <v>5</v>
      </c>
      <c r="J207" s="5" t="str">
        <f ca="1">IFERROR(__xludf.DUMMYFUNCTION("""COMPUTED_VALUE"""),"96.53%")</f>
        <v>96.53%</v>
      </c>
      <c r="K207" s="5" t="str">
        <f ca="1">IFERROR(__xludf.DUMMYFUNCTION("""COMPUTED_VALUE"""),"High")</f>
        <v>High</v>
      </c>
      <c r="L207" s="5" t="str">
        <f ca="1">IFERROR(__xludf.DUMMYFUNCTION("""COMPUTED_VALUE"""),"14.086%")</f>
        <v>14.086%</v>
      </c>
      <c r="M207" s="5" t="str">
        <f ca="1">IFERROR(__xludf.DUMMYFUNCTION("""COMPUTED_VALUE"""),"x5000")</f>
        <v>x5000</v>
      </c>
      <c r="N207" s="5" t="str">
        <f ca="1">IFERROR(__xludf.DUMMYFUNCTION("""COMPUTED_VALUE"""),"0.1/50")</f>
        <v>0.1/50</v>
      </c>
      <c r="O207" s="5" t="str">
        <f ca="1">IFERROR(__xludf.DUMMYFUNCTION("""COMPUTED_VALUE"""),"No")</f>
        <v>No</v>
      </c>
      <c r="P207" s="5" t="str">
        <f ca="1">IFERROR(__xludf.DUMMYFUNCTION("""COMPUTED_VALUE"""),"Bonus Game with Special Symbol, Bonus Game with Multiplier, Wild Symbol, Buy Bonus")</f>
        <v>Bonus Game with Special Symbol, Bonus Game with Multiplier, Wild Symbol, Buy Bonus</v>
      </c>
      <c r="Q207" s="7" t="str">
        <f ca="1">IFERROR(__xludf.DUMMYFUNCTION("""COMPUTED_VALUE"""),"https://gameserver-store-client-area.orbionlimited.com/Home/IntegrationGameLaunch/client-area?moneyType=0&amp;gameName=FortuneOfWuKong&amp;platform=desktop&amp;languageCode=eng&amp;currency=EUR")</f>
        <v>https://gameserver-store-client-area.orbionlimited.com/Home/IntegrationGameLaunch/client-area?moneyType=0&amp;gameName=FortuneOfWuKong&amp;platform=desktop&amp;languageCode=eng&amp;currency=EUR</v>
      </c>
      <c r="R207" s="5" t="str">
        <f ca="1">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 xml:space="preserve">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S2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7" s="5" t="str">
        <f ca="1">IFERROR(__xludf.DUMMYFUNCTION("""COMPUTED_VALUE"""),"Yes")</f>
        <v>Yes</v>
      </c>
      <c r="U207" s="5" t="str">
        <f ca="1">IFERROR(__xludf.DUMMYFUNCTION("""COMPUTED_VALUE"""),"Yes")</f>
        <v>Yes</v>
      </c>
      <c r="V207" s="5" t="str">
        <f ca="1">IFERROR(__xludf.DUMMYFUNCTION("""COMPUTED_VALUE"""),"Yes")</f>
        <v>Yes</v>
      </c>
      <c r="W207" s="5" t="str">
        <f ca="1">IFERROR(__xludf.DUMMYFUNCTION("""COMPUTED_VALUE"""),"Yes")</f>
        <v>Yes</v>
      </c>
      <c r="X207" s="5" t="str">
        <f ca="1">IFERROR(__xludf.DUMMYFUNCTION("""COMPUTED_VALUE"""),"Yes")</f>
        <v>Yes</v>
      </c>
      <c r="Y207" s="5" t="str">
        <f ca="1">IFERROR(__xludf.DUMMYFUNCTION("""COMPUTED_VALUE"""),"Yes")</f>
        <v>Yes</v>
      </c>
      <c r="Z207" s="5" t="str">
        <f ca="1">IFERROR(__xludf.DUMMYFUNCTION("""COMPUTED_VALUE"""),"Yes")</f>
        <v>Yes</v>
      </c>
      <c r="AA207" s="5" t="str">
        <f ca="1">IFERROR(__xludf.DUMMYFUNCTION("""COMPUTED_VALUE"""),"Yes")</f>
        <v>Yes</v>
      </c>
      <c r="AB207" s="5" t="str">
        <f ca="1">IFERROR(__xludf.DUMMYFUNCTION("""COMPUTED_VALUE"""),"Yes")</f>
        <v>Yes</v>
      </c>
      <c r="AC207" s="5" t="str">
        <f ca="1">IFERROR(__xludf.DUMMYFUNCTION("""COMPUTED_VALUE"""),"Yes")</f>
        <v>Yes</v>
      </c>
      <c r="AD207" s="5" t="str">
        <f ca="1">IFERROR(__xludf.DUMMYFUNCTION("""COMPUTED_VALUE"""),"Yes")</f>
        <v>Yes</v>
      </c>
      <c r="AE207" s="5" t="str">
        <f ca="1">IFERROR(__xludf.DUMMYFUNCTION("""COMPUTED_VALUE"""),"Yes")</f>
        <v>Yes</v>
      </c>
      <c r="AF207" s="5" t="str">
        <f ca="1">IFERROR(__xludf.DUMMYFUNCTION("""COMPUTED_VALUE"""),"Yes")</f>
        <v>Yes</v>
      </c>
      <c r="AG207" s="5" t="str">
        <f ca="1">IFERROR(__xludf.DUMMYFUNCTION("""COMPUTED_VALUE"""),"Yes")</f>
        <v>Yes</v>
      </c>
      <c r="AH207" s="5" t="str">
        <f ca="1">IFERROR(__xludf.DUMMYFUNCTION("""COMPUTED_VALUE"""),"Yes")</f>
        <v>Yes</v>
      </c>
      <c r="AI207" s="5" t="str">
        <f ca="1">IFERROR(__xludf.DUMMYFUNCTION("""COMPUTED_VALUE"""),"Yes")</f>
        <v>Yes</v>
      </c>
      <c r="AJ207" s="5" t="str">
        <f ca="1">IFERROR(__xludf.DUMMYFUNCTION("""COMPUTED_VALUE"""),"Yes")</f>
        <v>Yes</v>
      </c>
      <c r="AK207" s="5" t="str">
        <f ca="1">IFERROR(__xludf.DUMMYFUNCTION("""COMPUTED_VALUE"""),"Yes")</f>
        <v>Yes</v>
      </c>
      <c r="AL207" s="5" t="str">
        <f ca="1">IFERROR(__xludf.DUMMYFUNCTION("""COMPUTED_VALUE"""),"Yes")</f>
        <v>Yes</v>
      </c>
      <c r="AM207" s="5" t="str">
        <f ca="1">IFERROR(__xludf.DUMMYFUNCTION("""COMPUTED_VALUE"""),"Yes")</f>
        <v>Yes</v>
      </c>
      <c r="AN207" s="5" t="str">
        <f ca="1">IFERROR(__xludf.DUMMYFUNCTION("""COMPUTED_VALUE"""),"Yes")</f>
        <v>Yes</v>
      </c>
      <c r="AO207" s="5" t="str">
        <f ca="1">IFERROR(__xludf.DUMMYFUNCTION("""COMPUTED_VALUE"""),"Yes")</f>
        <v>Yes</v>
      </c>
      <c r="AP207" s="5" t="str">
        <f ca="1">IFERROR(__xludf.DUMMYFUNCTION("""COMPUTED_VALUE"""),"Yes")</f>
        <v>Yes</v>
      </c>
      <c r="AQ207" s="5" t="str">
        <f ca="1">IFERROR(__xludf.DUMMYFUNCTION("""COMPUTED_VALUE"""),"Yes")</f>
        <v>Yes</v>
      </c>
      <c r="AR207" s="5" t="str">
        <f ca="1">IFERROR(__xludf.DUMMYFUNCTION("""COMPUTED_VALUE"""),"Yes")</f>
        <v>Yes</v>
      </c>
      <c r="AS207" s="5" t="str">
        <f ca="1">IFERROR(__xludf.DUMMYFUNCTION("""COMPUTED_VALUE"""),"Yes")</f>
        <v>Yes</v>
      </c>
      <c r="AT207" s="5" t="str">
        <f ca="1">IFERROR(__xludf.DUMMYFUNCTION("""COMPUTED_VALUE"""),"No")</f>
        <v>No</v>
      </c>
      <c r="AU207" s="5"/>
    </row>
    <row r="208" spans="1:47" x14ac:dyDescent="0.25">
      <c r="A208" s="5" t="str">
        <f ca="1">IFERROR(__xludf.DUMMYFUNCTION("""COMPUTED_VALUE"""),"Foxi")</f>
        <v>Foxi</v>
      </c>
      <c r="B208" s="5" t="str">
        <f ca="1">IFERROR(__xludf.DUMMYFUNCTION("""COMPUTED_VALUE"""),"Clovers And Diamonds 10")</f>
        <v>Clovers And Diamonds 10</v>
      </c>
      <c r="C208" s="5" t="str">
        <f ca="1">IFERROR(__xludf.DUMMYFUNCTION("""COMPUTED_VALUE"""),"CloversAndDiamonds10")</f>
        <v>CloversAndDiamonds10</v>
      </c>
      <c r="D208" s="6">
        <f ca="1">IFERROR(__xludf.DUMMYFUNCTION("""COMPUTED_VALUE"""),46147)</f>
        <v>46147</v>
      </c>
      <c r="E208" s="5" t="str">
        <f ca="1">IFERROR(__xludf.DUMMYFUNCTION("""COMPUTED_VALUE"""),"Slot")</f>
        <v>Slot</v>
      </c>
      <c r="F208" s="5">
        <f ca="1">IFERROR(__xludf.DUMMYFUNCTION("""COMPUTED_VALUE"""),42.4)</f>
        <v>42.4</v>
      </c>
      <c r="G208" s="5" t="str">
        <f ca="1">IFERROR(__xludf.DUMMYFUNCTION("""COMPUTED_VALUE"""),"5x3")</f>
        <v>5x3</v>
      </c>
      <c r="H208" s="5">
        <f ca="1">IFERROR(__xludf.DUMMYFUNCTION("""COMPUTED_VALUE"""),10)</f>
        <v>10</v>
      </c>
      <c r="I208" s="5">
        <f ca="1">IFERROR(__xludf.DUMMYFUNCTION("""COMPUTED_VALUE"""),10)</f>
        <v>10</v>
      </c>
      <c r="J208" s="5" t="str">
        <f ca="1">IFERROR(__xludf.DUMMYFUNCTION("""COMPUTED_VALUE"""),"96.566%")</f>
        <v>96.566%</v>
      </c>
      <c r="K208" s="5" t="str">
        <f ca="1">IFERROR(__xludf.DUMMYFUNCTION("""COMPUTED_VALUE"""),"Medium")</f>
        <v>Medium</v>
      </c>
      <c r="L208" s="5" t="str">
        <f ca="1">IFERROR(__xludf.DUMMYFUNCTION("""COMPUTED_VALUE"""),"16.732%")</f>
        <v>16.732%</v>
      </c>
      <c r="M208" s="5" t="str">
        <f ca="1">IFERROR(__xludf.DUMMYFUNCTION("""COMPUTED_VALUE"""),"x5000")</f>
        <v>x5000</v>
      </c>
      <c r="N208" s="5" t="str">
        <f ca="1">IFERROR(__xludf.DUMMYFUNCTION("""COMPUTED_VALUE"""),"0.1 / 50")</f>
        <v>0.1 / 50</v>
      </c>
      <c r="O208" s="5" t="str">
        <f ca="1">IFERROR(__xludf.DUMMYFUNCTION("""COMPUTED_VALUE"""),"Yes")</f>
        <v>Yes</v>
      </c>
      <c r="P208" s="5" t="str">
        <f ca="1">IFERROR(__xludf.DUMMYFUNCTION("""COMPUTED_VALUE"""),"Wild Multiplier")</f>
        <v>Wild Multiplier</v>
      </c>
      <c r="Q208" s="7" t="str">
        <f ca="1">IFERROR(__xludf.DUMMYFUNCTION("""COMPUTED_VALUE"""),"https://gameserver-store-client-area.orbionlimited.com/Home/IntegrationGameLaunch/client-area?moneyType=0&amp;gameName=CloversAndDiamonds10&amp;platform=desktop&amp;languageCode=eng&amp;currency=EUR")</f>
        <v>https://gameserver-store-client-area.orbionlimited.com/Home/IntegrationGameLaunch/client-area?moneyType=0&amp;gameName=CloversAndDiamonds10&amp;platform=desktop&amp;languageCode=eng&amp;currency=EUR</v>
      </c>
      <c r="R208" s="5" t="str">
        <f ca="1">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 xml:space="preserve">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S2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8" s="5" t="str">
        <f ca="1">IFERROR(__xludf.DUMMYFUNCTION("""COMPUTED_VALUE"""),"Yes")</f>
        <v>Yes</v>
      </c>
      <c r="U208" s="5" t="str">
        <f ca="1">IFERROR(__xludf.DUMMYFUNCTION("""COMPUTED_VALUE"""),"Yes")</f>
        <v>Yes</v>
      </c>
      <c r="V208" s="5" t="str">
        <f ca="1">IFERROR(__xludf.DUMMYFUNCTION("""COMPUTED_VALUE"""),"Yes")</f>
        <v>Yes</v>
      </c>
      <c r="W208" s="5" t="str">
        <f ca="1">IFERROR(__xludf.DUMMYFUNCTION("""COMPUTED_VALUE"""),"Yes")</f>
        <v>Yes</v>
      </c>
      <c r="X208" s="5" t="str">
        <f ca="1">IFERROR(__xludf.DUMMYFUNCTION("""COMPUTED_VALUE"""),"Yes")</f>
        <v>Yes</v>
      </c>
      <c r="Y208" s="5" t="str">
        <f ca="1">IFERROR(__xludf.DUMMYFUNCTION("""COMPUTED_VALUE"""),"Yes")</f>
        <v>Yes</v>
      </c>
      <c r="Z208" s="5" t="str">
        <f ca="1">IFERROR(__xludf.DUMMYFUNCTION("""COMPUTED_VALUE"""),"Yes")</f>
        <v>Yes</v>
      </c>
      <c r="AA208" s="5" t="str">
        <f ca="1">IFERROR(__xludf.DUMMYFUNCTION("""COMPUTED_VALUE"""),"Yes")</f>
        <v>Yes</v>
      </c>
      <c r="AB208" s="5" t="str">
        <f ca="1">IFERROR(__xludf.DUMMYFUNCTION("""COMPUTED_VALUE"""),"Yes")</f>
        <v>Yes</v>
      </c>
      <c r="AC208" s="5" t="str">
        <f ca="1">IFERROR(__xludf.DUMMYFUNCTION("""COMPUTED_VALUE"""),"Yes")</f>
        <v>Yes</v>
      </c>
      <c r="AD208" s="5" t="str">
        <f ca="1">IFERROR(__xludf.DUMMYFUNCTION("""COMPUTED_VALUE"""),"Yes")</f>
        <v>Yes</v>
      </c>
      <c r="AE208" s="5" t="str">
        <f ca="1">IFERROR(__xludf.DUMMYFUNCTION("""COMPUTED_VALUE"""),"Yes")</f>
        <v>Yes</v>
      </c>
      <c r="AF208" s="5" t="str">
        <f ca="1">IFERROR(__xludf.DUMMYFUNCTION("""COMPUTED_VALUE"""),"Yes")</f>
        <v>Yes</v>
      </c>
      <c r="AG208" s="5" t="str">
        <f ca="1">IFERROR(__xludf.DUMMYFUNCTION("""COMPUTED_VALUE"""),"Yes")</f>
        <v>Yes</v>
      </c>
      <c r="AH208" s="5" t="str">
        <f ca="1">IFERROR(__xludf.DUMMYFUNCTION("""COMPUTED_VALUE"""),"Yes")</f>
        <v>Yes</v>
      </c>
      <c r="AI208" s="5" t="str">
        <f ca="1">IFERROR(__xludf.DUMMYFUNCTION("""COMPUTED_VALUE"""),"Yes")</f>
        <v>Yes</v>
      </c>
      <c r="AJ208" s="5" t="str">
        <f ca="1">IFERROR(__xludf.DUMMYFUNCTION("""COMPUTED_VALUE"""),"Yes")</f>
        <v>Yes</v>
      </c>
      <c r="AK208" s="5" t="str">
        <f ca="1">IFERROR(__xludf.DUMMYFUNCTION("""COMPUTED_VALUE"""),"Yes")</f>
        <v>Yes</v>
      </c>
      <c r="AL208" s="5" t="str">
        <f ca="1">IFERROR(__xludf.DUMMYFUNCTION("""COMPUTED_VALUE"""),"Yes")</f>
        <v>Yes</v>
      </c>
      <c r="AM208" s="5" t="str">
        <f ca="1">IFERROR(__xludf.DUMMYFUNCTION("""COMPUTED_VALUE"""),"Yes")</f>
        <v>Yes</v>
      </c>
      <c r="AN208" s="5" t="str">
        <f ca="1">IFERROR(__xludf.DUMMYFUNCTION("""COMPUTED_VALUE"""),"Yes")</f>
        <v>Yes</v>
      </c>
      <c r="AO208" s="5" t="str">
        <f ca="1">IFERROR(__xludf.DUMMYFUNCTION("""COMPUTED_VALUE"""),"Yes")</f>
        <v>Yes</v>
      </c>
      <c r="AP208" s="5" t="str">
        <f ca="1">IFERROR(__xludf.DUMMYFUNCTION("""COMPUTED_VALUE"""),"Yes")</f>
        <v>Yes</v>
      </c>
      <c r="AQ208" s="5" t="str">
        <f ca="1">IFERROR(__xludf.DUMMYFUNCTION("""COMPUTED_VALUE"""),"Yes")</f>
        <v>Yes</v>
      </c>
      <c r="AR208" s="5" t="str">
        <f ca="1">IFERROR(__xludf.DUMMYFUNCTION("""COMPUTED_VALUE"""),"Yes")</f>
        <v>Yes</v>
      </c>
      <c r="AS208" s="5" t="str">
        <f ca="1">IFERROR(__xludf.DUMMYFUNCTION("""COMPUTED_VALUE"""),"Yes")</f>
        <v>Yes</v>
      </c>
      <c r="AT208" s="5" t="str">
        <f ca="1">IFERROR(__xludf.DUMMYFUNCTION("""COMPUTED_VALUE"""),"No")</f>
        <v>No</v>
      </c>
      <c r="AU208" s="5"/>
    </row>
    <row r="209" spans="1:47" x14ac:dyDescent="0.25">
      <c r="A209" s="5" t="str">
        <f ca="1">IFERROR(__xludf.DUMMYFUNCTION("""COMPUTED_VALUE"""),"Foxi")</f>
        <v>Foxi</v>
      </c>
      <c r="B209" s="5" t="str">
        <f ca="1">IFERROR(__xludf.DUMMYFUNCTION("""COMPUTED_VALUE"""),"Clovers And Diamonds 20")</f>
        <v>Clovers And Diamonds 20</v>
      </c>
      <c r="C209" s="5" t="str">
        <f ca="1">IFERROR(__xludf.DUMMYFUNCTION("""COMPUTED_VALUE"""),"CloversAndDiamonds20")</f>
        <v>CloversAndDiamonds20</v>
      </c>
      <c r="D209" s="6">
        <f ca="1">IFERROR(__xludf.DUMMYFUNCTION("""COMPUTED_VALUE"""),46219)</f>
        <v>46219</v>
      </c>
      <c r="E209" s="5" t="str">
        <f ca="1">IFERROR(__xludf.DUMMYFUNCTION("""COMPUTED_VALUE"""),"Slot")</f>
        <v>Slot</v>
      </c>
      <c r="F209" s="5">
        <f ca="1">IFERROR(__xludf.DUMMYFUNCTION("""COMPUTED_VALUE"""),42.4)</f>
        <v>42.4</v>
      </c>
      <c r="G209" s="5" t="str">
        <f ca="1">IFERROR(__xludf.DUMMYFUNCTION("""COMPUTED_VALUE"""),"5x3")</f>
        <v>5x3</v>
      </c>
      <c r="H209" s="5">
        <f ca="1">IFERROR(__xludf.DUMMYFUNCTION("""COMPUTED_VALUE"""),20)</f>
        <v>20</v>
      </c>
      <c r="I209" s="5">
        <f ca="1">IFERROR(__xludf.DUMMYFUNCTION("""COMPUTED_VALUE"""),20)</f>
        <v>20</v>
      </c>
      <c r="J209" s="5" t="str">
        <f ca="1">IFERROR(__xludf.DUMMYFUNCTION("""COMPUTED_VALUE"""),"96.564%")</f>
        <v>96.564%</v>
      </c>
      <c r="K209" s="5" t="str">
        <f ca="1">IFERROR(__xludf.DUMMYFUNCTION("""COMPUTED_VALUE"""),"Medium")</f>
        <v>Medium</v>
      </c>
      <c r="L209" s="5" t="str">
        <f ca="1">IFERROR(__xludf.DUMMYFUNCTION("""COMPUTED_VALUE"""),"20.941%")</f>
        <v>20.941%</v>
      </c>
      <c r="M209" s="5" t="str">
        <f ca="1">IFERROR(__xludf.DUMMYFUNCTION("""COMPUTED_VALUE"""),"x5000")</f>
        <v>x5000</v>
      </c>
      <c r="N209" s="5" t="str">
        <f ca="1">IFERROR(__xludf.DUMMYFUNCTION("""COMPUTED_VALUE"""),"0.2/50")</f>
        <v>0.2/50</v>
      </c>
      <c r="O209" s="5" t="str">
        <f ca="1">IFERROR(__xludf.DUMMYFUNCTION("""COMPUTED_VALUE"""),"Yes")</f>
        <v>Yes</v>
      </c>
      <c r="P209" s="5" t="str">
        <f ca="1">IFERROR(__xludf.DUMMYFUNCTION("""COMPUTED_VALUE"""),"Wild Multiplier, Wild Symbol")</f>
        <v>Wild Multiplier, Wild Symbol</v>
      </c>
      <c r="Q209" s="7" t="str">
        <f ca="1">IFERROR(__xludf.DUMMYFUNCTION("""COMPUTED_VALUE"""),"https://gameserver-store-client-area.orbionlimited.com/Home/IntegrationGameLaunch/client-area?moneyType=0&amp;gameName=CloversAndDiamonds20&amp;platform=desktop&amp;languageCode=eng&amp;currency=EUR")</f>
        <v>https://gameserver-store-client-area.orbionlimited.com/Home/IntegrationGameLaunch/client-area?moneyType=0&amp;gameName=CloversAndDiamonds20&amp;platform=desktop&amp;languageCode=eng&amp;currency=EUR</v>
      </c>
      <c r="R209" s="5" t="str">
        <f ca="1">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S2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9" s="5" t="str">
        <f ca="1">IFERROR(__xludf.DUMMYFUNCTION("""COMPUTED_VALUE"""),"Yes")</f>
        <v>Yes</v>
      </c>
      <c r="U209" s="5" t="str">
        <f ca="1">IFERROR(__xludf.DUMMYFUNCTION("""COMPUTED_VALUE"""),"Yes")</f>
        <v>Yes</v>
      </c>
      <c r="V209" s="5" t="str">
        <f ca="1">IFERROR(__xludf.DUMMYFUNCTION("""COMPUTED_VALUE"""),"Yes")</f>
        <v>Yes</v>
      </c>
      <c r="W209" s="5" t="str">
        <f ca="1">IFERROR(__xludf.DUMMYFUNCTION("""COMPUTED_VALUE"""),"Yes")</f>
        <v>Yes</v>
      </c>
      <c r="X209" s="5" t="str">
        <f ca="1">IFERROR(__xludf.DUMMYFUNCTION("""COMPUTED_VALUE"""),"Yes")</f>
        <v>Yes</v>
      </c>
      <c r="Y209" s="5" t="str">
        <f ca="1">IFERROR(__xludf.DUMMYFUNCTION("""COMPUTED_VALUE"""),"Yes")</f>
        <v>Yes</v>
      </c>
      <c r="Z209" s="5" t="str">
        <f ca="1">IFERROR(__xludf.DUMMYFUNCTION("""COMPUTED_VALUE"""),"Yes")</f>
        <v>Yes</v>
      </c>
      <c r="AA209" s="5" t="str">
        <f ca="1">IFERROR(__xludf.DUMMYFUNCTION("""COMPUTED_VALUE"""),"Yes")</f>
        <v>Yes</v>
      </c>
      <c r="AB209" s="5" t="str">
        <f ca="1">IFERROR(__xludf.DUMMYFUNCTION("""COMPUTED_VALUE"""),"Yes")</f>
        <v>Yes</v>
      </c>
      <c r="AC209" s="5" t="str">
        <f ca="1">IFERROR(__xludf.DUMMYFUNCTION("""COMPUTED_VALUE"""),"Yes")</f>
        <v>Yes</v>
      </c>
      <c r="AD209" s="5" t="str">
        <f ca="1">IFERROR(__xludf.DUMMYFUNCTION("""COMPUTED_VALUE"""),"Yes")</f>
        <v>Yes</v>
      </c>
      <c r="AE209" s="5" t="str">
        <f ca="1">IFERROR(__xludf.DUMMYFUNCTION("""COMPUTED_VALUE"""),"Yes")</f>
        <v>Yes</v>
      </c>
      <c r="AF209" s="5" t="str">
        <f ca="1">IFERROR(__xludf.DUMMYFUNCTION("""COMPUTED_VALUE"""),"Yes")</f>
        <v>Yes</v>
      </c>
      <c r="AG209" s="5" t="str">
        <f ca="1">IFERROR(__xludf.DUMMYFUNCTION("""COMPUTED_VALUE"""),"Yes")</f>
        <v>Yes</v>
      </c>
      <c r="AH209" s="5" t="str">
        <f ca="1">IFERROR(__xludf.DUMMYFUNCTION("""COMPUTED_VALUE"""),"Yes")</f>
        <v>Yes</v>
      </c>
      <c r="AI209" s="5" t="str">
        <f ca="1">IFERROR(__xludf.DUMMYFUNCTION("""COMPUTED_VALUE"""),"Yes")</f>
        <v>Yes</v>
      </c>
      <c r="AJ209" s="5" t="str">
        <f ca="1">IFERROR(__xludf.DUMMYFUNCTION("""COMPUTED_VALUE"""),"Yes")</f>
        <v>Yes</v>
      </c>
      <c r="AK209" s="5" t="str">
        <f ca="1">IFERROR(__xludf.DUMMYFUNCTION("""COMPUTED_VALUE"""),"Yes")</f>
        <v>Yes</v>
      </c>
      <c r="AL209" s="5" t="str">
        <f ca="1">IFERROR(__xludf.DUMMYFUNCTION("""COMPUTED_VALUE"""),"Yes")</f>
        <v>Yes</v>
      </c>
      <c r="AM209" s="5" t="str">
        <f ca="1">IFERROR(__xludf.DUMMYFUNCTION("""COMPUTED_VALUE"""),"Yes")</f>
        <v>Yes</v>
      </c>
      <c r="AN209" s="5" t="str">
        <f ca="1">IFERROR(__xludf.DUMMYFUNCTION("""COMPUTED_VALUE"""),"Yes")</f>
        <v>Yes</v>
      </c>
      <c r="AO209" s="5" t="str">
        <f ca="1">IFERROR(__xludf.DUMMYFUNCTION("""COMPUTED_VALUE"""),"Yes")</f>
        <v>Yes</v>
      </c>
      <c r="AP209" s="5" t="str">
        <f ca="1">IFERROR(__xludf.DUMMYFUNCTION("""COMPUTED_VALUE"""),"Yes")</f>
        <v>Yes</v>
      </c>
      <c r="AQ209" s="5" t="str">
        <f ca="1">IFERROR(__xludf.DUMMYFUNCTION("""COMPUTED_VALUE"""),"Yes")</f>
        <v>Yes</v>
      </c>
      <c r="AR209" s="5" t="str">
        <f ca="1">IFERROR(__xludf.DUMMYFUNCTION("""COMPUTED_VALUE"""),"Yes")</f>
        <v>Yes</v>
      </c>
      <c r="AS209" s="5" t="str">
        <f ca="1">IFERROR(__xludf.DUMMYFUNCTION("""COMPUTED_VALUE"""),"Yes")</f>
        <v>Yes</v>
      </c>
      <c r="AT209" s="5" t="str">
        <f ca="1">IFERROR(__xludf.DUMMYFUNCTION("""COMPUTED_VALUE"""),"No")</f>
        <v>No</v>
      </c>
      <c r="AU209" s="5"/>
    </row>
    <row r="210" spans="1:47" x14ac:dyDescent="0.25">
      <c r="A210" s="5" t="str">
        <f ca="1">IFERROR(__xludf.DUMMYFUNCTION("""COMPUTED_VALUE"""),"Foxi")</f>
        <v>Foxi</v>
      </c>
      <c r="B210" s="5" t="str">
        <f ca="1">IFERROR(__xludf.DUMMYFUNCTION("""COMPUTED_VALUE"""),"Royalgarden Queen")</f>
        <v>Royalgarden Queen</v>
      </c>
      <c r="C210" s="5" t="str">
        <f ca="1">IFERROR(__xludf.DUMMYFUNCTION("""COMPUTED_VALUE"""),"RoyalgardenQueen")</f>
        <v>RoyalgardenQueen</v>
      </c>
      <c r="D210" s="6">
        <f ca="1">IFERROR(__xludf.DUMMYFUNCTION("""COMPUTED_VALUE"""),46184)</f>
        <v>46184</v>
      </c>
      <c r="E210" s="5" t="str">
        <f ca="1">IFERROR(__xludf.DUMMYFUNCTION("""COMPUTED_VALUE"""),"Slot")</f>
        <v>Slot</v>
      </c>
      <c r="F210" s="5">
        <f ca="1">IFERROR(__xludf.DUMMYFUNCTION("""COMPUTED_VALUE"""),25)</f>
        <v>25</v>
      </c>
      <c r="G210" s="5" t="str">
        <f ca="1">IFERROR(__xludf.DUMMYFUNCTION("""COMPUTED_VALUE"""),"5x4")</f>
        <v>5x4</v>
      </c>
      <c r="H210" s="5">
        <f ca="1">IFERROR(__xludf.DUMMYFUNCTION("""COMPUTED_VALUE"""),40)</f>
        <v>40</v>
      </c>
      <c r="I210" s="5">
        <f ca="1">IFERROR(__xludf.DUMMYFUNCTION("""COMPUTED_VALUE"""),40)</f>
        <v>40</v>
      </c>
      <c r="J210" s="5" t="str">
        <f ca="1">IFERROR(__xludf.DUMMYFUNCTION("""COMPUTED_VALUE"""),"96.382%")</f>
        <v>96.382%</v>
      </c>
      <c r="K210" s="5" t="str">
        <f ca="1">IFERROR(__xludf.DUMMYFUNCTION("""COMPUTED_VALUE"""),"Medium")</f>
        <v>Medium</v>
      </c>
      <c r="L210" s="5" t="str">
        <f ca="1">IFERROR(__xludf.DUMMYFUNCTION("""COMPUTED_VALUE"""),"14.632%")</f>
        <v>14.632%</v>
      </c>
      <c r="M210" s="5" t="str">
        <f ca="1">IFERROR(__xludf.DUMMYFUNCTION("""COMPUTED_VALUE"""),"x1000")</f>
        <v>x1000</v>
      </c>
      <c r="N210" s="5" t="str">
        <f ca="1">IFERROR(__xludf.DUMMYFUNCTION("""COMPUTED_VALUE"""),"0.4/40")</f>
        <v>0.4/40</v>
      </c>
      <c r="O210" s="5" t="str">
        <f ca="1">IFERROR(__xludf.DUMMYFUNCTION("""COMPUTED_VALUE"""),"Yes")</f>
        <v>Yes</v>
      </c>
      <c r="P210" s="5" t="str">
        <f ca="1">IFERROR(__xludf.DUMMYFUNCTION("""COMPUTED_VALUE"""),"Scatter, Wild Symbol")</f>
        <v>Scatter, Wild Symbol</v>
      </c>
      <c r="Q210" s="7" t="str">
        <f ca="1">IFERROR(__xludf.DUMMYFUNCTION("""COMPUTED_VALUE"""),"https://gameserver-store-client-area.orbionlimited.com/Home/IntegrationGameLaunch/client-area?moneyType=0&amp;gameName=RoyalgardenQueen&amp;platform=desktop&amp;languageCode=eng&amp;currency=EUR")</f>
        <v>https://gameserver-store-client-area.orbionlimited.com/Home/IntegrationGameLaunch/client-area?moneyType=0&amp;gameName=RoyalgardenQueen&amp;platform=desktop&amp;languageCode=eng&amp;currency=EUR</v>
      </c>
      <c r="R210" s="5" t="str">
        <f ca="1">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 xml:space="preserve">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S2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0" s="5" t="str">
        <f ca="1">IFERROR(__xludf.DUMMYFUNCTION("""COMPUTED_VALUE"""),"Yes")</f>
        <v>Yes</v>
      </c>
      <c r="U210" s="5" t="str">
        <f ca="1">IFERROR(__xludf.DUMMYFUNCTION("""COMPUTED_VALUE"""),"Yes")</f>
        <v>Yes</v>
      </c>
      <c r="V210" s="5" t="str">
        <f ca="1">IFERROR(__xludf.DUMMYFUNCTION("""COMPUTED_VALUE"""),"Yes")</f>
        <v>Yes</v>
      </c>
      <c r="W210" s="5" t="str">
        <f ca="1">IFERROR(__xludf.DUMMYFUNCTION("""COMPUTED_VALUE"""),"Yes")</f>
        <v>Yes</v>
      </c>
      <c r="X210" s="5" t="str">
        <f ca="1">IFERROR(__xludf.DUMMYFUNCTION("""COMPUTED_VALUE"""),"Yes")</f>
        <v>Yes</v>
      </c>
      <c r="Y210" s="5" t="str">
        <f ca="1">IFERROR(__xludf.DUMMYFUNCTION("""COMPUTED_VALUE"""),"Yes")</f>
        <v>Yes</v>
      </c>
      <c r="Z210" s="5" t="str">
        <f ca="1">IFERROR(__xludf.DUMMYFUNCTION("""COMPUTED_VALUE"""),"Yes")</f>
        <v>Yes</v>
      </c>
      <c r="AA210" s="5" t="str">
        <f ca="1">IFERROR(__xludf.DUMMYFUNCTION("""COMPUTED_VALUE"""),"Yes")</f>
        <v>Yes</v>
      </c>
      <c r="AB210" s="5" t="str">
        <f ca="1">IFERROR(__xludf.DUMMYFUNCTION("""COMPUTED_VALUE"""),"Yes")</f>
        <v>Yes</v>
      </c>
      <c r="AC210" s="5" t="str">
        <f ca="1">IFERROR(__xludf.DUMMYFUNCTION("""COMPUTED_VALUE"""),"Yes")</f>
        <v>Yes</v>
      </c>
      <c r="AD210" s="5" t="str">
        <f ca="1">IFERROR(__xludf.DUMMYFUNCTION("""COMPUTED_VALUE"""),"Yes")</f>
        <v>Yes</v>
      </c>
      <c r="AE210" s="5" t="str">
        <f ca="1">IFERROR(__xludf.DUMMYFUNCTION("""COMPUTED_VALUE"""),"Yes")</f>
        <v>Yes</v>
      </c>
      <c r="AF210" s="5" t="str">
        <f ca="1">IFERROR(__xludf.DUMMYFUNCTION("""COMPUTED_VALUE"""),"Yes")</f>
        <v>Yes</v>
      </c>
      <c r="AG210" s="5" t="str">
        <f ca="1">IFERROR(__xludf.DUMMYFUNCTION("""COMPUTED_VALUE"""),"Yes")</f>
        <v>Yes</v>
      </c>
      <c r="AH210" s="5" t="str">
        <f ca="1">IFERROR(__xludf.DUMMYFUNCTION("""COMPUTED_VALUE"""),"Yes")</f>
        <v>Yes</v>
      </c>
      <c r="AI210" s="5" t="str">
        <f ca="1">IFERROR(__xludf.DUMMYFUNCTION("""COMPUTED_VALUE"""),"Yes")</f>
        <v>Yes</v>
      </c>
      <c r="AJ210" s="5" t="str">
        <f ca="1">IFERROR(__xludf.DUMMYFUNCTION("""COMPUTED_VALUE"""),"Yes")</f>
        <v>Yes</v>
      </c>
      <c r="AK210" s="5" t="str">
        <f ca="1">IFERROR(__xludf.DUMMYFUNCTION("""COMPUTED_VALUE"""),"Yes")</f>
        <v>Yes</v>
      </c>
      <c r="AL210" s="5" t="str">
        <f ca="1">IFERROR(__xludf.DUMMYFUNCTION("""COMPUTED_VALUE"""),"Yes")</f>
        <v>Yes</v>
      </c>
      <c r="AM210" s="5" t="str">
        <f ca="1">IFERROR(__xludf.DUMMYFUNCTION("""COMPUTED_VALUE"""),"Yes")</f>
        <v>Yes</v>
      </c>
      <c r="AN210" s="5" t="str">
        <f ca="1">IFERROR(__xludf.DUMMYFUNCTION("""COMPUTED_VALUE"""),"Yes")</f>
        <v>Yes</v>
      </c>
      <c r="AO210" s="5" t="str">
        <f ca="1">IFERROR(__xludf.DUMMYFUNCTION("""COMPUTED_VALUE"""),"Yes")</f>
        <v>Yes</v>
      </c>
      <c r="AP210" s="5" t="str">
        <f ca="1">IFERROR(__xludf.DUMMYFUNCTION("""COMPUTED_VALUE"""),"Yes")</f>
        <v>Yes</v>
      </c>
      <c r="AQ210" s="5" t="str">
        <f ca="1">IFERROR(__xludf.DUMMYFUNCTION("""COMPUTED_VALUE"""),"Yes")</f>
        <v>Yes</v>
      </c>
      <c r="AR210" s="5" t="str">
        <f ca="1">IFERROR(__xludf.DUMMYFUNCTION("""COMPUTED_VALUE"""),"Yes")</f>
        <v>Yes</v>
      </c>
      <c r="AS210" s="5" t="str">
        <f ca="1">IFERROR(__xludf.DUMMYFUNCTION("""COMPUTED_VALUE"""),"Yes")</f>
        <v>Yes</v>
      </c>
      <c r="AT210" s="5" t="str">
        <f ca="1">IFERROR(__xludf.DUMMYFUNCTION("""COMPUTED_VALUE"""),"No")</f>
        <v>No</v>
      </c>
      <c r="AU210" s="5"/>
    </row>
    <row r="211" spans="1:47" x14ac:dyDescent="0.25">
      <c r="A211" s="5" t="str">
        <f ca="1">IFERROR(__xludf.DUMMYFUNCTION("""COMPUTED_VALUE"""),"Foxi")</f>
        <v>Foxi</v>
      </c>
      <c r="B211" s="5" t="str">
        <f ca="1">IFERROR(__xludf.DUMMYFUNCTION("""COMPUTED_VALUE"""),"Multihot Pot")</f>
        <v>Multihot Pot</v>
      </c>
      <c r="C211" s="5" t="str">
        <f ca="1">IFERROR(__xludf.DUMMYFUNCTION("""COMPUTED_VALUE"""),"MultihotPot")</f>
        <v>MultihotPot</v>
      </c>
      <c r="D211" s="6">
        <f ca="1">IFERROR(__xludf.DUMMYFUNCTION("""COMPUTED_VALUE"""),46226)</f>
        <v>46226</v>
      </c>
      <c r="E211" s="5" t="str">
        <f ca="1">IFERROR(__xludf.DUMMYFUNCTION("""COMPUTED_VALUE"""),"Slot")</f>
        <v>Slot</v>
      </c>
      <c r="F211" s="5">
        <f ca="1">IFERROR(__xludf.DUMMYFUNCTION("""COMPUTED_VALUE"""),15.9)</f>
        <v>15.9</v>
      </c>
      <c r="G211" s="5" t="str">
        <f ca="1">IFERROR(__xludf.DUMMYFUNCTION("""COMPUTED_VALUE"""),"5x3")</f>
        <v>5x3</v>
      </c>
      <c r="H211" s="5">
        <f ca="1">IFERROR(__xludf.DUMMYFUNCTION("""COMPUTED_VALUE"""),10)</f>
        <v>10</v>
      </c>
      <c r="I211" s="5">
        <f ca="1">IFERROR(__xludf.DUMMYFUNCTION("""COMPUTED_VALUE"""),10)</f>
        <v>10</v>
      </c>
      <c r="J211" s="5" t="str">
        <f ca="1">IFERROR(__xludf.DUMMYFUNCTION("""COMPUTED_VALUE"""),"96.5%")</f>
        <v>96.5%</v>
      </c>
      <c r="K211" s="5" t="str">
        <f ca="1">IFERROR(__xludf.DUMMYFUNCTION("""COMPUTED_VALUE"""),"High")</f>
        <v>High</v>
      </c>
      <c r="L211" s="5" t="str">
        <f ca="1">IFERROR(__xludf.DUMMYFUNCTION("""COMPUTED_VALUE"""),"11.268%")</f>
        <v>11.268%</v>
      </c>
      <c r="M211" s="5" t="str">
        <f ca="1">IFERROR(__xludf.DUMMYFUNCTION("""COMPUTED_VALUE"""),"x3000")</f>
        <v>x3000</v>
      </c>
      <c r="N211" s="5" t="str">
        <f ca="1">IFERROR(__xludf.DUMMYFUNCTION("""COMPUTED_VALUE"""),"0.1/50")</f>
        <v>0.1/50</v>
      </c>
      <c r="O211" s="5" t="str">
        <f ca="1">IFERROR(__xludf.DUMMYFUNCTION("""COMPUTED_VALUE"""),"Yes")</f>
        <v>Yes</v>
      </c>
      <c r="P211" s="5" t="str">
        <f ca="1">IFERROR(__xludf.DUMMYFUNCTION("""COMPUTED_VALUE"""),"Variable RTP, Wild Multiplier, Expanding Wild")</f>
        <v>Variable RTP, Wild Multiplier, Expanding Wild</v>
      </c>
      <c r="Q211" s="7" t="str">
        <f ca="1">IFERROR(__xludf.DUMMYFUNCTION("""COMPUTED_VALUE"""),"https://gameserver-store-client-area.orbionlimited.com/Home/IntegrationGameLaunch/client-area?moneyType=0&amp;gameName=MultihotPot&amp;platform=desktop&amp;languageCode=eng&amp;currency=EUR")</f>
        <v>https://gameserver-store-client-area.orbionlimited.com/Home/IntegrationGameLaunch/client-area?moneyType=0&amp;gameName=MultihotPot&amp;platform=desktop&amp;languageCode=eng&amp;currency=EUR</v>
      </c>
      <c r="R211" s="5" t="str">
        <f ca="1">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 xml:space="preserve">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S2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11" s="5" t="str">
        <f ca="1">IFERROR(__xludf.DUMMYFUNCTION("""COMPUTED_VALUE"""),"Yes")</f>
        <v>Yes</v>
      </c>
      <c r="U211" s="5" t="str">
        <f ca="1">IFERROR(__xludf.DUMMYFUNCTION("""COMPUTED_VALUE"""),"Yes")</f>
        <v>Yes</v>
      </c>
      <c r="V211" s="5" t="str">
        <f ca="1">IFERROR(__xludf.DUMMYFUNCTION("""COMPUTED_VALUE"""),"Yes")</f>
        <v>Yes</v>
      </c>
      <c r="W211" s="5" t="str">
        <f ca="1">IFERROR(__xludf.DUMMYFUNCTION("""COMPUTED_VALUE"""),"Yes")</f>
        <v>Yes</v>
      </c>
      <c r="X211" s="5" t="str">
        <f ca="1">IFERROR(__xludf.DUMMYFUNCTION("""COMPUTED_VALUE"""),"Yes")</f>
        <v>Yes</v>
      </c>
      <c r="Y211" s="5" t="str">
        <f ca="1">IFERROR(__xludf.DUMMYFUNCTION("""COMPUTED_VALUE"""),"Yes")</f>
        <v>Yes</v>
      </c>
      <c r="Z211" s="5" t="str">
        <f ca="1">IFERROR(__xludf.DUMMYFUNCTION("""COMPUTED_VALUE"""),"Yes")</f>
        <v>Yes</v>
      </c>
      <c r="AA211" s="5" t="str">
        <f ca="1">IFERROR(__xludf.DUMMYFUNCTION("""COMPUTED_VALUE"""),"Yes")</f>
        <v>Yes</v>
      </c>
      <c r="AB211" s="5" t="str">
        <f ca="1">IFERROR(__xludf.DUMMYFUNCTION("""COMPUTED_VALUE"""),"Yes")</f>
        <v>Yes</v>
      </c>
      <c r="AC211" s="5" t="str">
        <f ca="1">IFERROR(__xludf.DUMMYFUNCTION("""COMPUTED_VALUE"""),"Yes")</f>
        <v>Yes</v>
      </c>
      <c r="AD211" s="5" t="str">
        <f ca="1">IFERROR(__xludf.DUMMYFUNCTION("""COMPUTED_VALUE"""),"Yes")</f>
        <v>Yes</v>
      </c>
      <c r="AE211" s="5" t="str">
        <f ca="1">IFERROR(__xludf.DUMMYFUNCTION("""COMPUTED_VALUE"""),"Yes")</f>
        <v>Yes</v>
      </c>
      <c r="AF211" s="5" t="str">
        <f ca="1">IFERROR(__xludf.DUMMYFUNCTION("""COMPUTED_VALUE"""),"Yes")</f>
        <v>Yes</v>
      </c>
      <c r="AG211" s="5" t="str">
        <f ca="1">IFERROR(__xludf.DUMMYFUNCTION("""COMPUTED_VALUE"""),"Yes")</f>
        <v>Yes</v>
      </c>
      <c r="AH211" s="5" t="str">
        <f ca="1">IFERROR(__xludf.DUMMYFUNCTION("""COMPUTED_VALUE"""),"Yes")</f>
        <v>Yes</v>
      </c>
      <c r="AI211" s="5" t="str">
        <f ca="1">IFERROR(__xludf.DUMMYFUNCTION("""COMPUTED_VALUE"""),"Yes")</f>
        <v>Yes</v>
      </c>
      <c r="AJ211" s="5" t="str">
        <f ca="1">IFERROR(__xludf.DUMMYFUNCTION("""COMPUTED_VALUE"""),"Yes")</f>
        <v>Yes</v>
      </c>
      <c r="AK211" s="5" t="str">
        <f ca="1">IFERROR(__xludf.DUMMYFUNCTION("""COMPUTED_VALUE"""),"Yes")</f>
        <v>Yes</v>
      </c>
      <c r="AL211" s="5" t="str">
        <f ca="1">IFERROR(__xludf.DUMMYFUNCTION("""COMPUTED_VALUE"""),"Yes")</f>
        <v>Yes</v>
      </c>
      <c r="AM211" s="5" t="str">
        <f ca="1">IFERROR(__xludf.DUMMYFUNCTION("""COMPUTED_VALUE"""),"Yes")</f>
        <v>Yes</v>
      </c>
      <c r="AN211" s="5" t="str">
        <f ca="1">IFERROR(__xludf.DUMMYFUNCTION("""COMPUTED_VALUE"""),"Yes")</f>
        <v>Yes</v>
      </c>
      <c r="AO211" s="5" t="str">
        <f ca="1">IFERROR(__xludf.DUMMYFUNCTION("""COMPUTED_VALUE"""),"Yes")</f>
        <v>Yes</v>
      </c>
      <c r="AP211" s="5" t="str">
        <f ca="1">IFERROR(__xludf.DUMMYFUNCTION("""COMPUTED_VALUE"""),"Yes")</f>
        <v>Yes</v>
      </c>
      <c r="AQ211" s="5" t="str">
        <f ca="1">IFERROR(__xludf.DUMMYFUNCTION("""COMPUTED_VALUE"""),"Yes")</f>
        <v>Yes</v>
      </c>
      <c r="AR211" s="5" t="str">
        <f ca="1">IFERROR(__xludf.DUMMYFUNCTION("""COMPUTED_VALUE"""),"Yes")</f>
        <v>Yes</v>
      </c>
      <c r="AS211" s="5" t="str">
        <f ca="1">IFERROR(__xludf.DUMMYFUNCTION("""COMPUTED_VALUE"""),"Yes")</f>
        <v>Yes</v>
      </c>
      <c r="AT211" s="5" t="str">
        <f ca="1">IFERROR(__xludf.DUMMYFUNCTION("""COMPUTED_VALUE"""),"Yes")</f>
        <v>Yes</v>
      </c>
      <c r="AU211" s="5"/>
    </row>
    <row r="212" spans="1:47" x14ac:dyDescent="0.25">
      <c r="A212" s="5" t="str">
        <f ca="1">IFERROR(__xludf.DUMMYFUNCTION("""COMPUTED_VALUE"""),"Foxi")</f>
        <v>Foxi</v>
      </c>
      <c r="B212" s="5" t="str">
        <f ca="1">IFERROR(__xludf.DUMMYFUNCTION("""COMPUTED_VALUE"""),"Bonus Epic Wild Extralines")</f>
        <v>Bonus Epic Wild Extralines</v>
      </c>
      <c r="C212" s="5" t="str">
        <f ca="1">IFERROR(__xludf.DUMMYFUNCTION("""COMPUTED_VALUE"""),"BonusEpicWildExtralines")</f>
        <v>BonusEpicWildExtralines</v>
      </c>
      <c r="D212" s="6">
        <f ca="1">IFERROR(__xludf.DUMMYFUNCTION("""COMPUTED_VALUE"""),46211)</f>
        <v>46211</v>
      </c>
      <c r="E212" s="5" t="str">
        <f ca="1">IFERROR(__xludf.DUMMYFUNCTION("""COMPUTED_VALUE"""),"Slot")</f>
        <v>Slot</v>
      </c>
      <c r="F212" s="5">
        <f ca="1">IFERROR(__xludf.DUMMYFUNCTION("""COMPUTED_VALUE"""),26.7)</f>
        <v>26.7</v>
      </c>
      <c r="G212" s="5" t="str">
        <f ca="1">IFERROR(__xludf.DUMMYFUNCTION("""COMPUTED_VALUE"""),"3x3")</f>
        <v>3x3</v>
      </c>
      <c r="H212" s="5">
        <f ca="1">IFERROR(__xludf.DUMMYFUNCTION("""COMPUTED_VALUE"""),5)</f>
        <v>5</v>
      </c>
      <c r="I212" s="5">
        <f ca="1">IFERROR(__xludf.DUMMYFUNCTION("""COMPUTED_VALUE"""),5)</f>
        <v>5</v>
      </c>
      <c r="J212" s="5" t="str">
        <f ca="1">IFERROR(__xludf.DUMMYFUNCTION("""COMPUTED_VALUE"""),"96.474%")</f>
        <v>96.474%</v>
      </c>
      <c r="K212" s="5" t="str">
        <f ca="1">IFERROR(__xludf.DUMMYFUNCTION("""COMPUTED_VALUE"""),"Medium")</f>
        <v>Medium</v>
      </c>
      <c r="L212" s="5" t="str">
        <f ca="1">IFERROR(__xludf.DUMMYFUNCTION("""COMPUTED_VALUE"""),"5.11%")</f>
        <v>5.11%</v>
      </c>
      <c r="M212" s="5" t="str">
        <f ca="1">IFERROR(__xludf.DUMMYFUNCTION("""COMPUTED_VALUE"""),"x2940")</f>
        <v>x2940</v>
      </c>
      <c r="N212" s="5" t="str">
        <f ca="1">IFERROR(__xludf.DUMMYFUNCTION("""COMPUTED_VALUE"""),"0.1/50")</f>
        <v>0.1/50</v>
      </c>
      <c r="O212" s="5" t="str">
        <f ca="1">IFERROR(__xludf.DUMMYFUNCTION("""COMPUTED_VALUE"""),"Yes")</f>
        <v>Yes</v>
      </c>
      <c r="P212" s="5" t="str">
        <f ca="1">IFERROR(__xludf.DUMMYFUNCTION("""COMPUTED_VALUE"""),"Extralines, Wild Symbol, Bonus Game with Free Spins, Buy Bonus")</f>
        <v>Extralines, Wild Symbol, Bonus Game with Free Spins, Buy Bonus</v>
      </c>
      <c r="Q212" s="7" t="str">
        <f ca="1">IFERROR(__xludf.DUMMYFUNCTION("""COMPUTED_VALUE"""),"https://gameserver-store-client-area.orbionlimited.com/Home/IntegrationGameLaunch/client-area?moneyType=0&amp;gameName=BonusEpicWildExtralines&amp;platform=desktop&amp;languageCode=eng&amp;currency=EUR")</f>
        <v>https://gameserver-store-client-area.orbionlimited.com/Home/IntegrationGameLaunch/client-area?moneyType=0&amp;gameName=BonusEpicWildExtralines&amp;platform=desktop&amp;languageCode=eng&amp;currency=EUR</v>
      </c>
      <c r="R212" s="5" t="str">
        <f ca="1">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S2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2" s="5" t="str">
        <f ca="1">IFERROR(__xludf.DUMMYFUNCTION("""COMPUTED_VALUE"""),"Yes")</f>
        <v>Yes</v>
      </c>
      <c r="U212" s="5" t="str">
        <f ca="1">IFERROR(__xludf.DUMMYFUNCTION("""COMPUTED_VALUE"""),"Yes")</f>
        <v>Yes</v>
      </c>
      <c r="V212" s="5" t="str">
        <f ca="1">IFERROR(__xludf.DUMMYFUNCTION("""COMPUTED_VALUE"""),"Yes")</f>
        <v>Yes</v>
      </c>
      <c r="W212" s="5" t="str">
        <f ca="1">IFERROR(__xludf.DUMMYFUNCTION("""COMPUTED_VALUE"""),"Yes")</f>
        <v>Yes</v>
      </c>
      <c r="X212" s="5" t="str">
        <f ca="1">IFERROR(__xludf.DUMMYFUNCTION("""COMPUTED_VALUE"""),"Yes")</f>
        <v>Yes</v>
      </c>
      <c r="Y212" s="5" t="str">
        <f ca="1">IFERROR(__xludf.DUMMYFUNCTION("""COMPUTED_VALUE"""),"Yes")</f>
        <v>Yes</v>
      </c>
      <c r="Z212" s="5" t="str">
        <f ca="1">IFERROR(__xludf.DUMMYFUNCTION("""COMPUTED_VALUE"""),"Yes")</f>
        <v>Yes</v>
      </c>
      <c r="AA212" s="5" t="str">
        <f ca="1">IFERROR(__xludf.DUMMYFUNCTION("""COMPUTED_VALUE"""),"Yes")</f>
        <v>Yes</v>
      </c>
      <c r="AB212" s="5" t="str">
        <f ca="1">IFERROR(__xludf.DUMMYFUNCTION("""COMPUTED_VALUE"""),"Yes")</f>
        <v>Yes</v>
      </c>
      <c r="AC212" s="5" t="str">
        <f ca="1">IFERROR(__xludf.DUMMYFUNCTION("""COMPUTED_VALUE"""),"Yes")</f>
        <v>Yes</v>
      </c>
      <c r="AD212" s="5" t="str">
        <f ca="1">IFERROR(__xludf.DUMMYFUNCTION("""COMPUTED_VALUE"""),"Yes")</f>
        <v>Yes</v>
      </c>
      <c r="AE212" s="5" t="str">
        <f ca="1">IFERROR(__xludf.DUMMYFUNCTION("""COMPUTED_VALUE"""),"Yes")</f>
        <v>Yes</v>
      </c>
      <c r="AF212" s="5" t="str">
        <f ca="1">IFERROR(__xludf.DUMMYFUNCTION("""COMPUTED_VALUE"""),"Yes")</f>
        <v>Yes</v>
      </c>
      <c r="AG212" s="5" t="str">
        <f ca="1">IFERROR(__xludf.DUMMYFUNCTION("""COMPUTED_VALUE"""),"Yes")</f>
        <v>Yes</v>
      </c>
      <c r="AH212" s="5" t="str">
        <f ca="1">IFERROR(__xludf.DUMMYFUNCTION("""COMPUTED_VALUE"""),"Yes")</f>
        <v>Yes</v>
      </c>
      <c r="AI212" s="5" t="str">
        <f ca="1">IFERROR(__xludf.DUMMYFUNCTION("""COMPUTED_VALUE"""),"Yes")</f>
        <v>Yes</v>
      </c>
      <c r="AJ212" s="5" t="str">
        <f ca="1">IFERROR(__xludf.DUMMYFUNCTION("""COMPUTED_VALUE"""),"Yes")</f>
        <v>Yes</v>
      </c>
      <c r="AK212" s="5" t="str">
        <f ca="1">IFERROR(__xludf.DUMMYFUNCTION("""COMPUTED_VALUE"""),"Yes")</f>
        <v>Yes</v>
      </c>
      <c r="AL212" s="5" t="str">
        <f ca="1">IFERROR(__xludf.DUMMYFUNCTION("""COMPUTED_VALUE"""),"Yes")</f>
        <v>Yes</v>
      </c>
      <c r="AM212" s="5" t="str">
        <f ca="1">IFERROR(__xludf.DUMMYFUNCTION("""COMPUTED_VALUE"""),"Yes")</f>
        <v>Yes</v>
      </c>
      <c r="AN212" s="5" t="str">
        <f ca="1">IFERROR(__xludf.DUMMYFUNCTION("""COMPUTED_VALUE"""),"Yes")</f>
        <v>Yes</v>
      </c>
      <c r="AO212" s="5" t="str">
        <f ca="1">IFERROR(__xludf.DUMMYFUNCTION("""COMPUTED_VALUE"""),"Yes")</f>
        <v>Yes</v>
      </c>
      <c r="AP212" s="5" t="str">
        <f ca="1">IFERROR(__xludf.DUMMYFUNCTION("""COMPUTED_VALUE"""),"Yes")</f>
        <v>Yes</v>
      </c>
      <c r="AQ212" s="5" t="str">
        <f ca="1">IFERROR(__xludf.DUMMYFUNCTION("""COMPUTED_VALUE"""),"Yes")</f>
        <v>Yes</v>
      </c>
      <c r="AR212" s="5" t="str">
        <f ca="1">IFERROR(__xludf.DUMMYFUNCTION("""COMPUTED_VALUE"""),"Yes")</f>
        <v>Yes</v>
      </c>
      <c r="AS212" s="5" t="str">
        <f ca="1">IFERROR(__xludf.DUMMYFUNCTION("""COMPUTED_VALUE"""),"Yes")</f>
        <v>Yes</v>
      </c>
      <c r="AT212" s="5" t="str">
        <f ca="1">IFERROR(__xludf.DUMMYFUNCTION("""COMPUTED_VALUE"""),"No")</f>
        <v>No</v>
      </c>
      <c r="AU212" s="5"/>
    </row>
    <row r="213" spans="1:47" x14ac:dyDescent="0.25">
      <c r="D213" s="6"/>
    </row>
    <row r="214" spans="1:47" x14ac:dyDescent="0.25">
      <c r="D214" s="6"/>
    </row>
    <row r="215" spans="1:47" x14ac:dyDescent="0.25">
      <c r="D215" s="6"/>
    </row>
    <row r="216" spans="1:47" x14ac:dyDescent="0.25">
      <c r="D216" s="6"/>
    </row>
    <row r="217" spans="1:47" x14ac:dyDescent="0.25">
      <c r="D217" s="6"/>
    </row>
    <row r="218" spans="1:47" x14ac:dyDescent="0.25">
      <c r="D218" s="6"/>
    </row>
    <row r="219" spans="1:47" x14ac:dyDescent="0.25">
      <c r="D219" s="6"/>
    </row>
    <row r="220" spans="1:47" x14ac:dyDescent="0.25">
      <c r="D220" s="6"/>
    </row>
    <row r="221" spans="1:47" x14ac:dyDescent="0.25">
      <c r="D221" s="6"/>
    </row>
    <row r="222" spans="1:47" x14ac:dyDescent="0.25">
      <c r="D222" s="6"/>
    </row>
    <row r="223" spans="1:47" x14ac:dyDescent="0.25">
      <c r="D223" s="6"/>
    </row>
    <row r="224" spans="1:47"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gameserver-store-client-area.orbionlimited.com/Home/IntegrationGameLaunch/client-area?moneyType=0&amp;gameName=Postman&amp;platform=desktop&amp;languageCode=eng&amp;currency=EUR" xr:uid="{00000000-0004-0000-0100-000000000000}"/>
    <hyperlink ref="Q4" r:id="rId2" display="https://gameserver-store-client-area.orbionlimited.com/Home/IntegrationGameLaunch/client-area?moneyType=0&amp;gameName=DeepJungle&amp;platform=desktop&amp;languageCode=eng&amp;currency=EUR" xr:uid="{00000000-0004-0000-0100-000001000000}"/>
    <hyperlink ref="Q5" r:id="rId3" display="https://gameserver-store-client-area.orbionlimited.com/Home/IntegrationGameLaunch/client-area?moneyType=0&amp;gameName=Wizard&amp;platform=desktop&amp;languageCode=eng&amp;currency=EUR" xr:uid="{00000000-0004-0000-0100-000002000000}"/>
    <hyperlink ref="Q6" r:id="rId4" display="https://gameserver-store-client-area.orbionlimited.com/Home/IntegrationGameLaunch/client-area?moneyType=0&amp;gameName=FruitsAndStars&amp;platform=desktop&amp;languageCode=eng&amp;currency=EUR" xr:uid="{00000000-0004-0000-0100-000003000000}"/>
    <hyperlink ref="Q7" r:id="rId5" display="https://gameserver-store-client-area.orbionlimited.com/Home/IntegrationGameLaunch/client-area?moneyType=0&amp;gameName=WildWest&amp;platform=desktop&amp;languageCode=eng&amp;currency=EUR" xr:uid="{00000000-0004-0000-0100-000004000000}"/>
    <hyperlink ref="Q8" r:id="rId6" display="https://gameserver-store-client-area.orbionlimited.com/Home/IntegrationGameLaunch/client-area?moneyType=0&amp;gameName=Pyramid&amp;platform=desktop&amp;languageCode=eng&amp;currency=EUR" xr:uid="{00000000-0004-0000-0100-000005000000}"/>
    <hyperlink ref="Q9" r:id="rId7" display="https://gameserver-store-client-area.orbionlimited.com/Home/IntegrationGameLaunch/client-area?moneyType=0&amp;gameName=JollyPoker&amp;platform=desktop&amp;languageCode=eng&amp;currency=EUR" xr:uid="{00000000-0004-0000-0100-000006000000}"/>
    <hyperlink ref="Q10" r:id="rId8" display="https://gameserver-store-client-area.orbionlimited.com/Home/IntegrationGameLaunch/client-area?moneyType=0&amp;gameName=JuicyHot&amp;platform=desktop&amp;languageCode=eng&amp;currency=EUR" xr:uid="{00000000-0004-0000-0100-000007000000}"/>
    <hyperlink ref="Q11" r:id="rId9" display="https://gameserver-store-client-area.orbionlimited.com/Home/IntegrationGameLaunch/client-area?moneyType=0&amp;gameName=HotStars&amp;platform=desktop&amp;languageCode=eng&amp;currency=EUR" xr:uid="{00000000-0004-0000-0100-000008000000}"/>
    <hyperlink ref="Q12" r:id="rId10" display="https://gameserver-store-client-area.orbionlimited.com/Home/IntegrationGameLaunch/client-area?moneyType=0&amp;gameName=BookOfSpells&amp;platform=desktop&amp;languageCode=eng&amp;currency=EUR" xr:uid="{00000000-0004-0000-0100-000009000000}"/>
    <hyperlink ref="Q13" r:id="rId11" display="https://gameserver-store-client-area.orbionlimited.com/Home/IntegrationGameLaunch/client-area?moneyType=0&amp;gameName=MegaHot&amp;platform=desktop&amp;languageCode=eng&amp;currency=EUR" xr:uid="{00000000-0004-0000-0100-00000A000000}"/>
    <hyperlink ref="Q14" r:id="rId12" display="https://gameserver-store-client-area.orbionlimited.com/Home/IntegrationGameLaunch/client-area?moneyType=0&amp;gameName=TurboHot40&amp;platform=desktop&amp;languageCode=eng&amp;currency=EUR" xr:uid="{00000000-0004-0000-0100-00000B000000}"/>
    <hyperlink ref="Q15" r:id="rId13" display="https://gameserver-store-client-area.orbionlimited.com/Home/IntegrationGameLaunch/client-area?moneyType=0&amp;gameName=CrystalsOfMagic&amp;platform=desktop&amp;languageCode=eng&amp;currency=EUR" xr:uid="{00000000-0004-0000-0100-00000C000000}"/>
    <hyperlink ref="Q16" r:id="rId14" display="https://gameserver-store-client-area.orbionlimited.com/Home/IntegrationGameLaunch/client-area?moneyType=0&amp;gameName=BookOfBruno&amp;platform=desktop&amp;languageCode=eng&amp;currency=EUR" xr:uid="{00000000-0004-0000-0100-00000D000000}"/>
    <hyperlink ref="Q17" r:id="rId15" display="https://gameserver-store-client-area.orbionlimited.com/Home/IntegrationGameLaunch/client-area?moneyType=0&amp;gameName=TropicalHot&amp;platform=desktop&amp;languageCode=eng&amp;currency=EUR" xr:uid="{00000000-0004-0000-0100-00000E000000}"/>
    <hyperlink ref="Q18" r:id="rId16" display="https://gameserver-store-client-area.orbionlimited.com/Home/IntegrationGameLaunch/client-area?moneyType=0&amp;gameName=Monsters&amp;platform=desktop&amp;languageCode=eng&amp;currency=EUR" xr:uid="{00000000-0004-0000-0100-00000F000000}"/>
    <hyperlink ref="Q19" r:id="rId17" display="https://gameserver-store-client-area.orbionlimited.com/Home/IntegrationGameLaunch/client-area?moneyType=0&amp;gameName=ForestFruits&amp;platform=desktop&amp;languageCode=eng&amp;currency=EUR" xr:uid="{00000000-0004-0000-0100-000010000000}"/>
    <hyperlink ref="Q20" r:id="rId18" display="https://gameserver-store-client-area.orbionlimited.com/Home/IntegrationGameLaunch/client-area?moneyType=0&amp;gameName=VikingGold&amp;platform=desktop&amp;languageCode=eng&amp;currency=EUR" xr:uid="{00000000-0004-0000-0100-000011000000}"/>
    <hyperlink ref="Q21" r:id="rId19" display="https://gameserver-store-client-area.orbionlimited.com/Home/IntegrationGameLaunch/client-area?moneyType=0&amp;gameName=StarGems&amp;platform=desktop&amp;languageCode=eng&amp;currency=EUR" xr:uid="{00000000-0004-0000-0100-000012000000}"/>
    <hyperlink ref="Q22" r:id="rId20" display="https://gameserver-store-client-area.orbionlimited.com/Home/IntegrationGameLaunch/client-area?moneyType=0&amp;gameName=TemplarsQuest&amp;platform=desktop&amp;languageCode=eng&amp;currency=EUR" xr:uid="{00000000-0004-0000-0100-000013000000}"/>
    <hyperlink ref="Q23" r:id="rId21" display="https://gameserver-store-client-area.orbionlimited.com/Home/IntegrationGameLaunch/client-area?moneyType=0&amp;gameName=SpaceGuardians&amp;platform=desktop&amp;languageCode=eng&amp;currency=EUR" xr:uid="{00000000-0004-0000-0100-000014000000}"/>
    <hyperlink ref="Q24" r:id="rId22" display="https://gameserver-store-client-area.orbionlimited.com/Home/IntegrationGameLaunch/client-area?moneyType=0&amp;gameName=Starlight&amp;platform=desktop&amp;languageCode=eng&amp;currency=EUR" xr:uid="{00000000-0004-0000-0100-000015000000}"/>
    <hyperlink ref="Q25" r:id="rId23" display="https://gameserver-store-client-area.orbionlimited.com/Home/IntegrationGameLaunch/client-area?moneyType=0&amp;gameName=TripleHot&amp;platform=desktop&amp;languageCode=eng&amp;currency=EUR" xr:uid="{00000000-0004-0000-0100-000016000000}"/>
    <hyperlink ref="Q26" r:id="rId24" display="https://gameserver-store-client-area.orbionlimited.com/Home/IntegrationGameLaunch/client-area?moneyType=0&amp;gameName=CrystalHot40&amp;platform=desktop&amp;languageCode=eng&amp;currency=EUR" xr:uid="{00000000-0004-0000-0100-000017000000}"/>
    <hyperlink ref="Q27" r:id="rId25" display="https://gameserver-store-client-area.orbionlimited.com/Home/IntegrationGameLaunch/client-area?moneyType=0&amp;gameName=TurboDice40&amp;platform=desktop&amp;languageCode=eng&amp;currency=EUR" xr:uid="{00000000-0004-0000-0100-000018000000}"/>
    <hyperlink ref="Q28" r:id="rId26" display="https://gameserver-store-client-area.orbionlimited.com/Home/IntegrationGameLaunch/client-area?moneyType=0&amp;gameName=TripleDice&amp;platform=desktop&amp;languageCode=eng&amp;currency=EUR" xr:uid="{00000000-0004-0000-0100-000019000000}"/>
    <hyperlink ref="Q29" r:id="rId27" display="https://gameserver-store-client-area.orbionlimited.com/Home/IntegrationGameLaunch/client-area?moneyType=0&amp;gameName=KatanasOfTime&amp;platform=desktop&amp;languageCode=eng&amp;currency=EUR" xr:uid="{00000000-0004-0000-0100-00001A000000}"/>
    <hyperlink ref="Q30" r:id="rId28" display="https://gameserver-store-client-area.orbionlimited.com/Home/IntegrationGameLaunch/client-area?moneyType=0&amp;gameName=Retro7Hot&amp;platform=desktop&amp;languageCode=eng&amp;currency=EUR" xr:uid="{00000000-0004-0000-0100-00001B000000}"/>
    <hyperlink ref="Q31" r:id="rId29" display="https://gameserver-store-client-area.orbionlimited.com/Home/IntegrationGameLaunch/client-area?moneyType=0&amp;gameName=StarRunner&amp;platform=desktop&amp;languageCode=eng&amp;currency=EUR" xr:uid="{00000000-0004-0000-0100-00001C000000}"/>
    <hyperlink ref="Q32" r:id="rId30" display="https://gameserver-store-client-area.orbionlimited.com/Home/IntegrationGameLaunch/client-area?moneyType=0&amp;gameName=AlohaCharm&amp;platform=desktop&amp;languageCode=eng&amp;currency=EUR" xr:uid="{00000000-0004-0000-0100-00001D000000}"/>
    <hyperlink ref="Q33" r:id="rId31" display="https://gameserver-store-client-area.orbionlimited.com/Home/IntegrationGameLaunch/client-area?moneyType=0&amp;gameName=FruitsAndStars40&amp;platform=desktop&amp;languageCode=eng&amp;currency=EUR" xr:uid="{00000000-0004-0000-0100-00001E000000}"/>
    <hyperlink ref="Q34" r:id="rId32" display="https://gameserver-store-client-area.orbionlimited.com/Home/IntegrationGameLaunch/client-area?moneyType=0&amp;gameName=TwinklingHot5&amp;platform=desktop&amp;languageCode=eng&amp;currency=EUR" xr:uid="{00000000-0004-0000-0100-00001F000000}"/>
    <hyperlink ref="Q35" r:id="rId33" display="https://gameserver-store-client-area.orbionlimited.com/Home/IntegrationGameLaunch/client-area?moneyType=0&amp;gameName=DiceOfSpells&amp;platform=desktop&amp;languageCode=eng&amp;currency=EUR" xr:uid="{00000000-0004-0000-0100-000020000000}"/>
    <hyperlink ref="Q36" r:id="rId34" display="https://gameserver-store-client-area.orbionlimited.com/Home/IntegrationGameLaunch/client-area?moneyType=0&amp;gameName=CubesAndStars&amp;platform=desktop&amp;languageCode=eng&amp;currency=EUR" xr:uid="{00000000-0004-0000-0100-000021000000}"/>
    <hyperlink ref="Q37" r:id="rId35" display="https://gameserver-store-client-area.orbionlimited.com/Home/IntegrationGameLaunch/client-area?moneyType=0&amp;gameName=TwinklingHot40&amp;platform=desktop&amp;languageCode=eng&amp;currency=EUR" xr:uid="{00000000-0004-0000-0100-000022000000}"/>
    <hyperlink ref="Q38" r:id="rId36" display="https://gameserver-store-client-area.orbionlimited.com/Home/IntegrationGameLaunch/client-area?moneyType=0&amp;gameName=BookOfSpellsDeluxe&amp;platform=desktop&amp;languageCode=eng&amp;currency=EUR" xr:uid="{00000000-0004-0000-0100-000023000000}"/>
    <hyperlink ref="Q39" r:id="rId37" display="https://gameserver-store-client-area.orbionlimited.com/Home/IntegrationGameLaunch/client-area?moneyType=0&amp;gameName=JazzyFruits&amp;platform=desktop&amp;languageCode=eng&amp;currency=EUR" xr:uid="{00000000-0004-0000-0100-000024000000}"/>
    <hyperlink ref="Q40" r:id="rId38" display="https://gameserver-store-client-area.orbionlimited.com/Home/IntegrationGameLaunch/client-area?moneyType=0&amp;gameName=CrystalHot80&amp;platform=desktop&amp;languageCode=eng&amp;currency=EUR" xr:uid="{00000000-0004-0000-0100-000025000000}"/>
    <hyperlink ref="Q41" r:id="rId39" display="https://gameserver-store-client-area.orbionlimited.com/Home/IntegrationGameLaunch/client-area?moneyType=0&amp;gameName=CrystalHot40Deluxe&amp;platform=desktop&amp;languageCode=eng&amp;currency=EUR" xr:uid="{00000000-0004-0000-0100-000026000000}"/>
    <hyperlink ref="Q42" r:id="rId40" display="https://gameserver-store-client-area.orbionlimited.com/Home/IntegrationGameLaunch/client-area?moneyType=0&amp;gameName=WildHot40&amp;platform=desktop&amp;languageCode=eng&amp;currency=EUR" xr:uid="{00000000-0004-0000-0100-000027000000}"/>
    <hyperlink ref="Q43" r:id="rId41" display="https://gameserver-store-client-area.orbionlimited.com/Home/IntegrationGameLaunch/client-area?moneyType=0&amp;gameName=DolphinsShine&amp;platform=desktop&amp;languageCode=eng&amp;currency=EUR" xr:uid="{00000000-0004-0000-0100-000028000000}"/>
    <hyperlink ref="Q44" r:id="rId42" display="https://gameserver-store-client-area.orbionlimited.com/Home/IntegrationGameLaunch/client-area?moneyType=0&amp;gameName=GoldenCrown&amp;platform=desktop&amp;languageCode=eng&amp;currency=EUR" xr:uid="{00000000-0004-0000-0100-000029000000}"/>
    <hyperlink ref="Q45" r:id="rId43" display="https://gameserver-store-client-area.orbionlimited.com/Home/IntegrationGameLaunch/client-area?moneyType=0&amp;gameName=MysteryJokerHot&amp;platform=desktop&amp;languageCode=eng&amp;currency=EUR" xr:uid="{00000000-0004-0000-0100-00002A000000}"/>
    <hyperlink ref="Q46" r:id="rId44" display="https://gameserver-store-client-area.orbionlimited.com/Home/IntegrationGameLaunch/client-area?moneyType=0&amp;gameName=CrystalJokerHot&amp;platform=desktop&amp;languageCode=eng&amp;currency=EUR" xr:uid="{00000000-0004-0000-0100-00002B000000}"/>
    <hyperlink ref="Q47" r:id="rId45" display="https://gameserver-store-client-area.orbionlimited.com/Home/IntegrationGameLaunch/client-area?moneyType=0&amp;gameName=FruityJokerHot&amp;platform=desktop&amp;languageCode=eng&amp;currency=EUR" xr:uid="{00000000-0004-0000-0100-00002C000000}"/>
    <hyperlink ref="Q48" r:id="rId46" display="https://gameserver-store-client-area.orbionlimited.com/Home/IntegrationGameLaunch/client-area?moneyType=0&amp;gameName=WildKingdom&amp;platform=desktop&amp;languageCode=eng&amp;currency=EUR" xr:uid="{00000000-0004-0000-0100-00002D000000}"/>
    <hyperlink ref="Q49" r:id="rId47" display="https://gameserver-store-client-area.orbionlimited.com/Home/IntegrationGameLaunch/client-area?moneyType=0&amp;gameName=BookOfLuxorDouble&amp;platform=desktop&amp;languageCode=eng&amp;currency=EUR" xr:uid="{00000000-0004-0000-0100-00002E000000}"/>
    <hyperlink ref="Q50" r:id="rId48" display="https://gameserver-store-client-area.orbionlimited.com/Home/IntegrationGameLaunch/client-area?moneyType=0&amp;gameName=MegaCubesDeluxe&amp;platform=desktop&amp;languageCode=eng&amp;currency=EUR" xr:uid="{00000000-0004-0000-0100-00002F000000}"/>
    <hyperlink ref="Q51" r:id="rId49" display="https://gameserver-store-client-area.orbionlimited.com/Home/IntegrationGameLaunch/client-area?moneyType=0&amp;gameName=LollasWorld&amp;platform=desktop&amp;languageCode=eng&amp;currency=EUR" xr:uid="{00000000-0004-0000-0100-000030000000}"/>
    <hyperlink ref="Q52" r:id="rId50" display="https://gameserver-store-client-area.orbionlimited.com/Home/IntegrationGameLaunch/client-area?moneyType=0&amp;gameName=VeryHot5&amp;platform=desktop&amp;languageCode=eng&amp;currency=EUR" xr:uid="{00000000-0004-0000-0100-000031000000}"/>
    <hyperlink ref="Q53" r:id="rId51" display="https://gameserver-store-client-area.orbionlimited.com/Home/IntegrationGameLaunch/client-area?moneyType=0&amp;gameName=VeryHot40&amp;platform=desktop&amp;languageCode=eng&amp;currency=EUR" xr:uid="{00000000-0004-0000-0100-000032000000}"/>
    <hyperlink ref="Q54" r:id="rId52" display="https://gameserver-store-client-area.orbionlimited.com/Home/IntegrationGameLaunch/client-area?moneyType=0&amp;gameName=JewelsBeat&amp;platform=desktop&amp;languageCode=eng&amp;currency=EUR" xr:uid="{00000000-0004-0000-0100-000033000000}"/>
    <hyperlink ref="Q55" r:id="rId53" display="https://gameserver-store-client-area.orbionlimited.com/Home/IntegrationGameLaunch/client-area?moneyType=0&amp;gameName=HeatingIce&amp;platform=desktop&amp;languageCode=eng&amp;currency=EUR" xr:uid="{00000000-0004-0000-0100-000034000000}"/>
    <hyperlink ref="Q56" r:id="rId54" display="https://gameserver-store-client-area.orbionlimited.com/Home/IntegrationGameLaunch/client-area?moneyType=0&amp;gameName=HeatingIceDeluxe&amp;platform=desktop&amp;languageCode=eng&amp;currency=EUR" xr:uid="{00000000-0004-0000-0100-000035000000}"/>
    <hyperlink ref="Q57" r:id="rId55" display="https://gameserver-store-client-area.orbionlimited.com/Home/IntegrationGameLaunch/client-area?moneyType=0&amp;gameName=FluoDice5&amp;platform=desktop&amp;languageCode=eng&amp;currency=EUR" xr:uid="{00000000-0004-0000-0100-000036000000}"/>
    <hyperlink ref="Q58" r:id="rId56" display="https://gameserver-store-client-area.orbionlimited.com/Home/IntegrationGameLaunch/client-area?moneyType=0&amp;gameName=FluoHot5&amp;platform=desktop&amp;languageCode=eng&amp;currency=EUR" xr:uid="{00000000-0004-0000-0100-000037000000}"/>
    <hyperlink ref="Q59" r:id="rId57" display="https://gameserver-store-client-area.orbionlimited.com/Home/IntegrationGameLaunch/client-area?moneyType=0&amp;gameName=HeatingDice&amp;platform=desktop&amp;languageCode=eng&amp;currency=EUR" xr:uid="{00000000-0004-0000-0100-000038000000}"/>
    <hyperlink ref="Q60" r:id="rId58" display="https://gameserver-store-client-area.orbionlimited.com/Home/IntegrationGameLaunch/client-area?moneyType=0&amp;gameName=CrystalJewels&amp;platform=desktop&amp;languageCode=eng&amp;currency=EUR" xr:uid="{00000000-0004-0000-0100-000039000000}"/>
    <hyperlink ref="Q61" r:id="rId59" display="https://gameserver-store-client-area.orbionlimited.com/Home/IntegrationGameLaunch/client-area?moneyType=0&amp;gameName=TwinklingHot80&amp;platform=desktop&amp;languageCode=eng&amp;currency=EUR" xr:uid="{00000000-0004-0000-0100-00003A000000}"/>
    <hyperlink ref="Q62" r:id="rId60" display="https://gameserver-store-client-area.orbionlimited.com/Home/IntegrationGameLaunch/client-area?moneyType=0&amp;gameName=LuckyBrilliants&amp;platform=desktop&amp;languageCode=eng&amp;currency=EUR" xr:uid="{00000000-0004-0000-0100-00003B000000}"/>
    <hyperlink ref="Q63" r:id="rId61" display="https://gameserver-store-client-area.orbionlimited.com/Home/IntegrationGameLaunch/client-area?moneyType=0&amp;gameName=CrystalHot40Free&amp;platform=desktop&amp;languageCode=eng&amp;currency=EUR" xr:uid="{00000000-0004-0000-0100-00003C000000}"/>
    <hyperlink ref="Q64" r:id="rId62" display="https://gameserver-store-client-area.orbionlimited.com/Home/IntegrationGameLaunch/client-area?moneyType=0&amp;gameName=ElGrandeToro&amp;platform=desktop&amp;languageCode=eng&amp;currency=EUR" xr:uid="{00000000-0004-0000-0100-00003D000000}"/>
    <hyperlink ref="Q65" r:id="rId63" display="https://gameserver-store-client-area.orbionlimited.com/Home/IntegrationGameLaunch/client-area?moneyType=0&amp;gameName=WinningStars&amp;platform=desktop&amp;languageCode=eng&amp;currency=EUR" xr:uid="{00000000-0004-0000-0100-00003E000000}"/>
    <hyperlink ref="Q66" r:id="rId64" display="https://gameserver-store-client-area.orbionlimited.com/Home/IntegrationGameLaunch/client-area?moneyType=0&amp;gameName=CrystalHot100&amp;platform=desktop&amp;languageCode=eng&amp;currency=EUR" xr:uid="{00000000-0004-0000-0100-00003F000000}"/>
    <hyperlink ref="Q67" r:id="rId65" display="https://gameserver-store-client-area.orbionlimited.com/Home/IntegrationGameLaunch/client-area?moneyType=0&amp;gameName=TurboHot80&amp;platform=desktop&amp;languageCode=eng&amp;currency=EUR" xr:uid="{00000000-0004-0000-0100-000040000000}"/>
    <hyperlink ref="Q68" r:id="rId66" display="https://gameserver-store-client-area.orbionlimited.com/Home/IntegrationGameLaunch/client-area?moneyType=0&amp;gameName=SevenClassicHot&amp;platform=desktop&amp;languageCode=eng&amp;currency=EUR" xr:uid="{00000000-0004-0000-0100-000041000000}"/>
    <hyperlink ref="Q69" r:id="rId67" display="https://gameserver-store-client-area.orbionlimited.com/Home/IntegrationGameLaunch/client-area?moneyType=0&amp;gameName=TurboHot100&amp;platform=desktop&amp;languageCode=eng&amp;currency=EUR" xr:uid="{00000000-0004-0000-0100-000042000000}"/>
    <hyperlink ref="Q70" r:id="rId68" display="https://gameserver-store-client-area.orbionlimited.com/Home/IntegrationGameLaunch/client-area?moneyType=0&amp;gameName=BonusBells&amp;platform=desktop&amp;languageCode=eng&amp;currency=EUR" xr:uid="{00000000-0004-0000-0100-000043000000}"/>
    <hyperlink ref="Q71" r:id="rId69" display="https://gameserver-store-client-area.orbionlimited.com/Home/IntegrationGameLaunch/client-area?moneyType=0&amp;gameName=FruityHot&amp;platform=desktop&amp;languageCode=eng&amp;currency=EUR" xr:uid="{00000000-0004-0000-0100-000044000000}"/>
    <hyperlink ref="Q72" r:id="rId70" display="https://gameserver-store-client-area.orbionlimited.com/Home/IntegrationGameLaunch/client-area?moneyType=0&amp;gameName=EyeOfTut&amp;platform=desktop&amp;languageCode=eng&amp;currency=EUR" xr:uid="{00000000-0004-0000-0100-000045000000}"/>
    <hyperlink ref="Q73" r:id="rId71" display="https://gameserver-store-client-area.orbionlimited.com/Home/IntegrationGameLaunch/client-area?moneyType=0&amp;gameName=FruityWin40&amp;platform=desktop&amp;languageCode=eng&amp;currency=EUR" xr:uid="{00000000-0004-0000-0100-000046000000}"/>
    <hyperlink ref="Q74" r:id="rId72" display="https://gameserver-store-client-area.orbionlimited.com/Home/IntegrationGameLaunch/client-area?moneyType=0&amp;gameName=VeryHot20&amp;platform=desktop&amp;languageCode=eng&amp;currency=EUR" xr:uid="{00000000-0004-0000-0100-000047000000}"/>
    <hyperlink ref="Q75" r:id="rId73" display="https://gameserver-store-client-area.orbionlimited.com/Home/IntegrationGameLaunch/client-area?moneyType=0&amp;gameName=KingOfThunder&amp;platform=desktop&amp;languageCode=eng&amp;currency=EUR" xr:uid="{00000000-0004-0000-0100-000048000000}"/>
    <hyperlink ref="Q76" r:id="rId74" display="https://gameserver-store-client-area.orbionlimited.com/Home/IntegrationGameLaunch/client-area?moneyType=0&amp;gameName=BookOfSpells2&amp;platform=desktop&amp;languageCode=eng&amp;currency=EUR" xr:uid="{00000000-0004-0000-0100-000049000000}"/>
    <hyperlink ref="Q77" r:id="rId75" display="https://gameserver-store-client-area.orbionlimited.com/Home/IntegrationGameLaunch/client-area?moneyType=0&amp;gameName=CrystalHot40Max&amp;platform=desktop&amp;languageCode=eng&amp;currency=EUR" xr:uid="{00000000-0004-0000-0100-00004A000000}"/>
    <hyperlink ref="Q78" r:id="rId76" display="https://gameserver-store-client-area.orbionlimited.com/Home/IntegrationGameLaunch/client-area?moneyType=0&amp;gameName=FruityWin20&amp;platform=desktop&amp;languageCode=eng&amp;currency=EUR" xr:uid="{00000000-0004-0000-0100-00004B000000}"/>
    <hyperlink ref="Q79" r:id="rId77" display="https://gameserver-store-client-area.orbionlimited.com/Home/IntegrationGameLaunch/client-area?moneyType=0&amp;gameName=FruityHot5&amp;platform=desktop&amp;languageCode=eng&amp;currency=EUR" xr:uid="{00000000-0004-0000-0100-00004C000000}"/>
    <hyperlink ref="Q80" r:id="rId78" display="https://gameserver-store-client-area.orbionlimited.com/Home/IntegrationGameLaunch/client-area?moneyType=0&amp;gameName=GigaHot40&amp;platform=desktop&amp;languageCode=eng&amp;currency=EUR" xr:uid="{00000000-0004-0000-0100-00004D000000}"/>
    <hyperlink ref="Q81" r:id="rId79" display="https://gameserver-store-client-area.orbionlimited.com/Home/IntegrationGameLaunch/client-area?moneyType=0&amp;gameName=FruityFace&amp;platform=desktop&amp;languageCode=eng&amp;currency=EUR" xr:uid="{00000000-0004-0000-0100-00004E000000}"/>
    <hyperlink ref="Q82" r:id="rId80" display="https://gameserver-store-client-area.orbionlimited.com/Home/IntegrationGameLaunch/client-area?moneyType=0&amp;gameName=ClassicLuckySpin&amp;platform=desktop&amp;languageCode=eng&amp;currency=EUR" xr:uid="{00000000-0004-0000-0100-00004F000000}"/>
    <hyperlink ref="Q83" r:id="rId81" display="https://gameserver-store-client-area.orbionlimited.com/Home/IntegrationGameLaunch/client-area?moneyType=0&amp;gameName=WildJokerHot&amp;platform=desktop&amp;languageCode=eng&amp;currency=EUR" xr:uid="{00000000-0004-0000-0100-000050000000}"/>
    <hyperlink ref="Q84" r:id="rId82" display="https://gameserver-store-client-area.orbionlimited.com/Home/IntegrationGameLaunch/client-area?moneyType=0&amp;gameName=HeatingFruits&amp;platform=desktop&amp;languageCode=eng&amp;currency=EUR" xr:uid="{00000000-0004-0000-0100-000051000000}"/>
    <hyperlink ref="Q85" r:id="rId83" display="https://gameserver-store-client-area.orbionlimited.com/Home/IntegrationGameLaunch/client-area?moneyType=0&amp;gameName=PowerOfTheGreat&amp;platform=desktop&amp;languageCode=eng&amp;currency=EUR" xr:uid="{00000000-0004-0000-0100-000052000000}"/>
    <hyperlink ref="Q86" r:id="rId84" display="https://gameserver-store-client-area.orbionlimited.com/Home/IntegrationGameLaunch/client-area?moneyType=0&amp;gameName=VeryHot40Dice&amp;platform=desktop&amp;languageCode=eng&amp;currency=EUR" xr:uid="{00000000-0004-0000-0100-000053000000}"/>
    <hyperlink ref="Q87" r:id="rId85" display="https://gameserver-store-client-area.orbionlimited.com/Home/IntegrationGameLaunch/client-area?moneyType=0&amp;gameName=WildLuckyClover&amp;platform=desktop&amp;languageCode=eng&amp;currency=EUR" xr:uid="{00000000-0004-0000-0100-000054000000}"/>
    <hyperlink ref="Q88" r:id="rId86" display="https://gameserver-store-client-area.orbionlimited.com/Home/IntegrationGameLaunch/client-area?moneyType=0&amp;gameName=FruitsAndStars20Deluxe&amp;platform=desktop&amp;languageCode=eng&amp;currency=EUR" xr:uid="{00000000-0004-0000-0100-000055000000}"/>
    <hyperlink ref="Q89" r:id="rId87" display="https://gameserver-store-client-area.orbionlimited.com/Home/IntegrationGameLaunch/client-area?moneyType=0&amp;gameName=VeryHot40Respin&amp;platform=desktop&amp;languageCode=eng&amp;currency=EUR" xr:uid="{00000000-0004-0000-0100-000056000000}"/>
    <hyperlink ref="Q90" r:id="rId88" display="https://gameserver-store-client-area.orbionlimited.com/Home/IntegrationGameLaunch/client-area?moneyType=0&amp;gameName=AfricanTreasure&amp;platform=desktop&amp;languageCode=eng&amp;currency=EUR" xr:uid="{00000000-0004-0000-0100-000057000000}"/>
    <hyperlink ref="Q91" r:id="rId89" display="https://gameserver-store-client-area.orbionlimited.com/Home/IntegrationGameLaunch/client-area?moneyType=0&amp;gameName=WildHot40Blow&amp;platform=desktop&amp;languageCode=eng&amp;currency=EUR" xr:uid="{00000000-0004-0000-0100-000058000000}"/>
    <hyperlink ref="Q92" r:id="rId90" display="https://gameserver-store-client-area.orbionlimited.com/Home/IntegrationGameLaunch/client-area?moneyType=0&amp;gameName=GoldenExplosion&amp;platform=desktop&amp;languageCode=eng&amp;currency=EUR" xr:uid="{00000000-0004-0000-0100-000059000000}"/>
    <hyperlink ref="Q93" r:id="rId91" display="https://gameserver-store-client-area.orbionlimited.com/Home/IntegrationGameLaunch/client-area?moneyType=0&amp;gameName=VeryHot5Extreme&amp;platform=desktop&amp;languageCode=eng&amp;currency=EUR" xr:uid="{00000000-0004-0000-0100-00005A000000}"/>
    <hyperlink ref="Q94" r:id="rId92" display="https://gameserver-store-client-area.orbionlimited.com/Home/IntegrationGameLaunch/client-area?moneyType=0&amp;gameName=PixelHot40&amp;platform=desktop&amp;languageCode=eng&amp;currency=EUR" xr:uid="{00000000-0004-0000-0100-00005B000000}"/>
    <hyperlink ref="Q95" r:id="rId93" display="https://gameserver-store-client-area.orbionlimited.com/Home/IntegrationGameLaunch/client-area?moneyType=0&amp;gameName=EpicFire40&amp;platform=desktop&amp;languageCode=eng&amp;currency=EUR" xr:uid="{00000000-0004-0000-0100-00005C000000}"/>
    <hyperlink ref="Q96" r:id="rId94" display="https://gameserver-store-client-area.orbionlimited.com/Home/IntegrationGameLaunch/client-area?moneyType=0&amp;gameName=GoldenCrown40&amp;platform=desktop&amp;languageCode=eng&amp;currency=EUR" xr:uid="{00000000-0004-0000-0100-00005D000000}"/>
    <hyperlink ref="Q97" r:id="rId95" display="https://gameserver-store-client-area.orbionlimited.com/Home/IntegrationGameLaunch/client-area?moneyType=0&amp;gameName=Wild27&amp;platform=desktop&amp;languageCode=eng&amp;currency=EUR" xr:uid="{00000000-0004-0000-0100-00005E000000}"/>
    <hyperlink ref="Q98" r:id="rId96" display="https://gameserver-store-client-area.orbionlimited.com/Home/IntegrationGameLaunch/client-area?moneyType=0&amp;gameName=WildHot40FreeSpins&amp;platform=desktop&amp;languageCode=eng&amp;currency=EUR" xr:uid="{00000000-0004-0000-0100-00005F000000}"/>
    <hyperlink ref="Q99" r:id="rId97" display="https://gameserver-store-client-area.orbionlimited.com/Home/IntegrationGameLaunch/client-area?moneyType=0&amp;gameName=EpicClover40&amp;platform=desktop&amp;languageCode=eng&amp;currency=EUR" xr:uid="{00000000-0004-0000-0100-000060000000}"/>
    <hyperlink ref="Q100" r:id="rId98" display="https://gameserver-store-client-area.orbionlimited.com/Home/IntegrationGameLaunch/client-area?moneyType=0&amp;gameName=WildLuckyClover2&amp;platform=desktop&amp;languageCode=eng&amp;currency=EUR" xr:uid="{00000000-0004-0000-0100-000061000000}"/>
    <hyperlink ref="Q101" r:id="rId99" display="https://gameserver-store-client-area.orbionlimited.com/Home/IntegrationGameLaunch/client-area?moneyType=0&amp;gameName=EpicCrown10&amp;platform=desktop&amp;languageCode=eng&amp;currency=EUR" xr:uid="{00000000-0004-0000-0100-000062000000}"/>
    <hyperlink ref="Q102" r:id="rId100" display="https://gameserver-store-client-area.orbionlimited.com/Home/IntegrationGameLaunch/client-area?moneyType=0&amp;gameName=JokerTripleDouble&amp;platform=desktop&amp;languageCode=eng&amp;currency=EUR" xr:uid="{00000000-0004-0000-0100-000063000000}"/>
    <hyperlink ref="Q103" r:id="rId101" display="https://gameserver-store-client-area.orbionlimited.com/Home/IntegrationGameLaunch/client-area?moneyType=0&amp;gameName=KettysFashionWorld&amp;platform=desktop&amp;languageCode=eng&amp;currency=EUR" xr:uid="{00000000-0004-0000-0100-000064000000}"/>
    <hyperlink ref="Q104" r:id="rId102" display="https://gameserver-store-client-area.orbionlimited.com/Home/IntegrationGameLaunch/client-area?moneyType=0&amp;gameName=RetroFire&amp;platform=desktop&amp;languageCode=eng&amp;currency=EUR" xr:uid="{00000000-0004-0000-0100-000065000000}"/>
    <hyperlink ref="Q105" r:id="rId103" display="https://gameserver-store-client-area.orbionlimited.com/Home/IntegrationGameLaunch/client-area?moneyType=0&amp;gameName=Money5&amp;platform=desktop&amp;languageCode=eng&amp;currency=EUR" xr:uid="{00000000-0004-0000-0100-000066000000}"/>
    <hyperlink ref="Q106" r:id="rId104" display="https://gameserver-store-client-area.orbionlimited.com/Home/IntegrationGameLaunch/client-area?moneyType=0&amp;gameName=EpicCrown5&amp;platform=desktop&amp;languageCode=eng&amp;currency=EUR" xr:uid="{00000000-0004-0000-0100-000067000000}"/>
    <hyperlink ref="Q107" r:id="rId105" display="https://gameserver-store-client-area.orbionlimited.com/Home/IntegrationGameLaunch/client-area?moneyType=0&amp;gameName=DeadNight&amp;platform=desktop&amp;languageCode=eng&amp;currency=EUR" xr:uid="{00000000-0004-0000-0100-000068000000}"/>
    <hyperlink ref="Q108" r:id="rId106" display="https://gameserver-store-client-area.orbionlimited.com/Home/IntegrationGameLaunch/client-area?moneyType=0&amp;gameName=WinningClover5&amp;platform=desktop&amp;languageCode=eng&amp;currency=EUR" xr:uid="{00000000-0004-0000-0100-000069000000}"/>
    <hyperlink ref="Q109" r:id="rId107" display="https://gameserver-store-client-area.orbionlimited.com/Home/IntegrationGameLaunch/client-area?moneyType=0&amp;gameName=TurboFire&amp;platform=desktop&amp;languageCode=eng&amp;currency=EUR" xr:uid="{00000000-0004-0000-0100-00006A000000}"/>
    <hyperlink ref="Q110" r:id="rId108" display="https://gameserver-store-client-area.orbionlimited.com/Home/IntegrationGameLaunch/client-area?moneyType=0&amp;gameName=WinningClover5Extreme&amp;platform=desktop&amp;languageCode=eng&amp;currency=EUR" xr:uid="{00000000-0004-0000-0100-00006B000000}"/>
    <hyperlink ref="Q111" r:id="rId109" display="https://gameserver-store-client-area.orbionlimited.com/Home/IntegrationGameLaunch/client-area?moneyType=0&amp;gameName=WildHot40Dice&amp;platform=desktop&amp;languageCode=eng&amp;currency=EUR" xr:uid="{00000000-0004-0000-0100-00006C000000}"/>
    <hyperlink ref="Q112" r:id="rId110" display="https://gameserver-store-client-area.orbionlimited.com/Home/IntegrationGameLaunch/client-area?moneyType=0&amp;gameName=WildHot40BlowDice&amp;platform=desktop&amp;languageCode=eng&amp;currency=EUR" xr:uid="{00000000-0004-0000-0100-00006D000000}"/>
    <hyperlink ref="Q113" r:id="rId111" display="https://gameserver-store-client-area.orbionlimited.com/Home/IntegrationGameLaunch/client-area?moneyType=0&amp;gameName=FashionNight&amp;platform=desktop&amp;languageCode=eng&amp;currency=EUR" xr:uid="{00000000-0004-0000-0100-00006E000000}"/>
    <hyperlink ref="Q114" r:id="rId112" display="https://gameserver-store-client-area.orbionlimited.com/Home/IntegrationGameLaunch/client-area?moneyType=0&amp;gameName=MayansBattle&amp;platform=desktop&amp;languageCode=eng&amp;currency=EUR" xr:uid="{00000000-0004-0000-0100-00006F000000}"/>
    <hyperlink ref="Q115" r:id="rId113" display="https://gameserver-store-client-area.orbionlimited.com/Home/IntegrationGameLaunch/client-area?moneyType=0&amp;gameName=WildCraps&amp;platform=desktop&amp;languageCode=eng&amp;currency=EUR" xr:uid="{00000000-0004-0000-0100-000070000000}"/>
    <hyperlink ref="Q116" r:id="rId114" display="https://gameserver-store-client-area.orbionlimited.com/Home/IntegrationGameLaunch/client-area?moneyType=0&amp;gameName=MrFirstCryptonium&amp;platform=desktop&amp;languageCode=eng&amp;currency=EUR" xr:uid="{00000000-0004-0000-0100-000071000000}"/>
    <hyperlink ref="Q117" r:id="rId115" display="https://gameserver-store-client-area.orbionlimited.com/Home/IntegrationGameLaunch/client-area?moneyType=0&amp;gameName=SantasPresents&amp;platform=desktop&amp;languageCode=eng&amp;currency=EUR" xr:uid="{00000000-0004-0000-0100-000072000000}"/>
    <hyperlink ref="Q118" r:id="rId116" display="https://gameserver-store-client-area.orbionlimited.com/Home/IntegrationGameLaunch/client-area?moneyType=0&amp;gameName=ChilliRespin&amp;platform=desktop&amp;languageCode=eng&amp;currency=EUR" xr:uid="{00000000-0004-0000-0100-000073000000}"/>
    <hyperlink ref="Q119" r:id="rId117" display="https://gameserver-store-client-area.orbionlimited.com/Home/IntegrationGameLaunch/client-area?moneyType=0&amp;gameName=BonusEpicCrown&amp;platform=desktop&amp;languageCode=eng&amp;currency=EUR" xr:uid="{00000000-0004-0000-0100-000074000000}"/>
    <hyperlink ref="Q120" r:id="rId118" display="https://gameserver-store-client-area.orbionlimited.com/Home/IntegrationGameLaunch/client-area?moneyType=0&amp;gameName=EpicClover100&amp;platform=desktop&amp;languageCode=eng&amp;currency=EUR" xr:uid="{00000000-0004-0000-0100-000075000000}"/>
    <hyperlink ref="Q121" r:id="rId119" display="https://gameserver-store-client-area.orbionlimited.com/Home/IntegrationGameLaunch/client-area?moneyType=0&amp;gameName=AmazingJoker&amp;platform=desktop&amp;languageCode=eng&amp;currency=EUR" xr:uid="{00000000-0004-0000-0100-000076000000}"/>
    <hyperlink ref="Q122" r:id="rId120" display="https://gameserver-store-client-area.orbionlimited.com/Home/IntegrationGameLaunch/client-area?moneyType=0&amp;gameName=TripleFieldsOfLuck&amp;platform=desktop&amp;languageCode=eng&amp;currency=EUR" xr:uid="{00000000-0004-0000-0100-000077000000}"/>
    <hyperlink ref="Q123" r:id="rId121" display="https://gameserver-store-client-area.orbionlimited.com/Home/IntegrationGameLaunch/client-area?moneyType=0&amp;gameName=Wild81&amp;platform=desktop&amp;languageCode=eng&amp;currency=EUR" xr:uid="{00000000-0004-0000-0100-000078000000}"/>
    <hyperlink ref="Q124" r:id="rId122" display="https://gameserver-store-client-area.orbionlimited.com/Home/IntegrationGameLaunch/client-area?moneyType=0&amp;gameName=MysticJungle&amp;platform=desktop&amp;languageCode=eng&amp;currency=EUR" xr:uid="{00000000-0004-0000-0100-000079000000}"/>
    <hyperlink ref="Q125" r:id="rId123" display="https://gameserver-store-client-area.orbionlimited.com/Home/IntegrationGameLaunch/client-area?moneyType=0&amp;gameName=WildLuckyDice&amp;platform=desktop&amp;languageCode=eng&amp;currency=EUR" xr:uid="{00000000-0004-0000-0100-00007A000000}"/>
    <hyperlink ref="Q126" r:id="rId124" display="https://gameserver-store-client-area.orbionlimited.com/Home/IntegrationGameLaunch/client-area?moneyType=0&amp;gameName=EggspandingRush&amp;platform=desktop&amp;languageCode=eng&amp;currency=EUR" xr:uid="{00000000-0004-0000-0100-00007B000000}"/>
    <hyperlink ref="Q127" r:id="rId125" display="https://gameserver-store-client-area.orbionlimited.com/Home/IntegrationGameLaunch/client-area?moneyType=0&amp;gameName=VintageFruits40&amp;platform=desktop&amp;languageCode=eng&amp;currency=EUR" xr:uid="{00000000-0004-0000-0100-00007C000000}"/>
    <hyperlink ref="Q128" r:id="rId126" display="https://gameserver-store-client-area.orbionlimited.com/Home/IntegrationGameLaunch/client-area?moneyType=0&amp;gameName=SummerRush&amp;platform=desktop&amp;languageCode=eng&amp;currency=EUR" xr:uid="{00000000-0004-0000-0100-00007D000000}"/>
    <hyperlink ref="Q129" r:id="rId127" display="https://gameserver-store-client-area.orbionlimited.com/Home/IntegrationGameLaunch/client-area?moneyType=0&amp;gameName=FootballVictory&amp;platform=desktop&amp;languageCode=eng&amp;currency=EUR" xr:uid="{00000000-0004-0000-0100-00007E000000}"/>
    <hyperlink ref="Q130" r:id="rId128" display="https://gameserver-store-client-area.orbionlimited.com/Home/IntegrationGameLaunch/client-area?moneyType=0&amp;gameName=WildSunburst&amp;platform=desktop&amp;languageCode=eng&amp;currency=EUR" xr:uid="{00000000-0004-0000-0100-00007F000000}"/>
    <hyperlink ref="Q131" r:id="rId129" display="https://gameserver-store-client-area.orbionlimited.com/Home/IntegrationGameLaunch/client-area?moneyType=0&amp;gameName=ToxicHaze&amp;platform=desktop&amp;languageCode=eng&amp;currency=EUR" xr:uid="{00000000-0004-0000-0100-000080000000}"/>
    <hyperlink ref="Q132" r:id="rId130" display="https://gameserver-store-client-area.orbionlimited.com/Home/IntegrationGameLaunch/client-area?moneyType=0&amp;gameName=MegaHot10&amp;platform=desktop&amp;languageCode=eng&amp;currency=EUR" xr:uid="{00000000-0004-0000-0100-000081000000}"/>
    <hyperlink ref="Q133" r:id="rId131" display="https://gameserver-store-client-area.orbionlimited.com/Home/IntegrationGameLaunch/client-area?moneyType=0&amp;gameName=WildHeat40&amp;platform=desktop&amp;languageCode=eng&amp;currency=EUR" xr:uid="{00000000-0004-0000-0100-000082000000}"/>
    <hyperlink ref="Q134" r:id="rId132" display="https://gameserver-store-client-area.orbionlimited.com/Home/IntegrationGameLaunch/client-area?moneyType=0&amp;gameName=BlowFruits40&amp;platform=desktop&amp;languageCode=eng&amp;currency=EUR" xr:uid="{00000000-0004-0000-0100-000083000000}"/>
    <hyperlink ref="Q135" r:id="rId133" display="https://gameserver-store-client-area.orbionlimited.com/Home/IntegrationGameLaunch/client-area?moneyType=0&amp;gameName=AgeOfRome&amp;platform=desktop&amp;languageCode=eng&amp;currency=EUR" xr:uid="{00000000-0004-0000-0100-000084000000}"/>
    <hyperlink ref="Q136" r:id="rId134" display="https://gameserver-store-client-area.orbionlimited.com/Home/IntegrationGameLaunch/client-area?moneyType=0&amp;gameName=FruityForce40&amp;platform=desktop&amp;languageCode=eng&amp;currency=EUR" xr:uid="{00000000-0004-0000-0100-000085000000}"/>
    <hyperlink ref="Q137" r:id="rId135" display="https://gameserver-store-client-area.orbionlimited.com/Home/IntegrationGameLaunch/client-area?moneyType=0&amp;gameName=BonusCrown&amp;platform=desktop&amp;languageCode=eng&amp;currency=EUR" xr:uid="{00000000-0004-0000-0100-000086000000}"/>
    <hyperlink ref="Q138" r:id="rId136" display="https://gameserver-store-client-area.orbionlimited.com/Home/IntegrationGameLaunch/client-area?moneyType=0&amp;gameName=AquaFlame&amp;platform=desktop&amp;languageCode=eng&amp;currency=EUR" xr:uid="{00000000-0004-0000-0100-000087000000}"/>
    <hyperlink ref="Q139" r:id="rId137" display="https://gameserver-store-client-area.orbionlimited.com/Home/IntegrationGameLaunch/client-area?moneyType=0&amp;gameName=CrownOfSecret&amp;platform=desktop&amp;languageCode=eng&amp;currency=EUR" xr:uid="{00000000-0004-0000-0100-000088000000}"/>
    <hyperlink ref="Q140" r:id="rId138" display="https://gameserver-store-client-area.orbionlimited.com/Home/IntegrationGameLaunch/client-area?moneyType=0&amp;gameName=VeryHot40Extreme&amp;platform=desktop&amp;languageCode=eng&amp;currency=EUR" xr:uid="{00000000-0004-0000-0100-000089000000}"/>
    <hyperlink ref="Q141" r:id="rId139" display="https://gameserver-store-client-area.orbionlimited.com/Home/IntegrationGameLaunch/client-area?moneyType=0&amp;gameName=SpecialFruits&amp;platform=desktop&amp;languageCode=eng&amp;currency=EUR" xr:uid="{00000000-0004-0000-0100-00008A000000}"/>
    <hyperlink ref="Q142" r:id="rId140" display="https://gameserver-store-client-area.orbionlimited.com/Home/IntegrationGameLaunch/client-area?moneyType=0&amp;gameName=TurboStars10&amp;platform=desktop&amp;languageCode=eng&amp;currency=EUR" xr:uid="{00000000-0004-0000-0100-00008B000000}"/>
    <hyperlink ref="Q143" r:id="rId141" display="https://gameserver-store-client-area.orbionlimited.com/Home/IntegrationGameLaunch/client-area?moneyType=0&amp;gameName=TurboStars40&amp;platform=desktop&amp;languageCode=eng&amp;currency=EUR" xr:uid="{00000000-0004-0000-0100-00008C000000}"/>
    <hyperlink ref="Q144" r:id="rId142" display="https://gameserver-store-client-area.orbionlimited.com/Home/IntegrationGameLaunch/client-area?moneyType=0&amp;gameName=TurboStars20&amp;platform=desktop&amp;languageCode=eng&amp;currency=EUR" xr:uid="{00000000-0004-0000-0100-00008D000000}"/>
    <hyperlink ref="Q145" r:id="rId143" display="https://gameserver-store-client-area.orbionlimited.com/Home/IntegrationGameLaunch/client-area?moneyType=0&amp;gameName=EpicDice100&amp;platform=desktop&amp;languageCode=eng&amp;currency=EUR" xr:uid="{00000000-0004-0000-0100-00008E000000}"/>
    <hyperlink ref="Q146" r:id="rId144" display="https://gameserver-store-client-area.orbionlimited.com/Home/IntegrationGameLaunch/client-area?moneyType=0&amp;gameName=MegaHot20&amp;platform=desktop&amp;languageCode=eng&amp;currency=EUR" xr:uid="{00000000-0004-0000-0100-00008F000000}"/>
    <hyperlink ref="Q147" r:id="rId145" display="https://gameserver-store-client-area.orbionlimited.com/Home/IntegrationGameLaunch/client-area?moneyType=0&amp;gameName=CloversAndStars&amp;platform=desktop&amp;languageCode=eng&amp;currency=EUR" xr:uid="{00000000-0004-0000-0100-000090000000}"/>
    <hyperlink ref="Q148" r:id="rId146" display="https://gameserver-store-client-area.orbionlimited.com/Home/IntegrationGameLaunch/client-area?moneyType=0&amp;gameName=FortuneParrot&amp;platform=desktop&amp;languageCode=eng&amp;currency=EUR" xr:uid="{00000000-0004-0000-0100-000091000000}"/>
    <hyperlink ref="Q149" r:id="rId147" display="https://gameserver-store-client-area.orbionlimited.com/Home/IntegrationGameLaunch/client-area?moneyType=0&amp;gameName=GoldenCrownMax&amp;platform=desktop&amp;languageCode=eng&amp;currency=EUR" xr:uid="{00000000-0004-0000-0100-000092000000}"/>
    <hyperlink ref="Q150" r:id="rId148" display="https://gameserver-store-client-area.orbionlimited.com/Home/IntegrationGameLaunch/client-area?moneyType=0&amp;gameName=CrownsAndStars&amp;platform=desktop&amp;languageCode=eng&amp;currency=EUR" xr:uid="{00000000-0004-0000-0100-000093000000}"/>
    <hyperlink ref="Q152" r:id="rId149" display="https://gameserver-store-client-area.orbionlimited.com/Home/IntegrationGameLaunch/client-area?moneyType=0&amp;gameName=TopHot5&amp;platform=desktop&amp;languageCode=eng&amp;currency=EUR" xr:uid="{00000000-0004-0000-0100-000094000000}"/>
    <hyperlink ref="Q153" r:id="rId150" display="https://gameserver-store-client-area.orbionlimited.com/Home/IntegrationGameLaunch/client-area?moneyType=0&amp;gameName=Wild5&amp;platform=desktop&amp;languageCode=eng&amp;currency=EUR" xr:uid="{00000000-0004-0000-0100-000095000000}"/>
    <hyperlink ref="Q154" r:id="rId151" display="https://gameserver-store-client-area.orbionlimited.com/Home/IntegrationGameLaunch/client-area?moneyType=0&amp;gameName=BrilliantHeart&amp;platform=desktop&amp;languageCode=eng&amp;currency=EUR" xr:uid="{00000000-0004-0000-0100-000096000000}"/>
    <hyperlink ref="Q155" r:id="rId152" display="https://gameserver-store-client-area.orbionlimited.com/Home/IntegrationGameLaunch/client-area?moneyType=0&amp;gameName=LuckySheriff&amp;platform=desktop&amp;languageCode=eng&amp;currency=EUR" xr:uid="{00000000-0004-0000-0100-000097000000}"/>
    <hyperlink ref="Q156" r:id="rId153" display="https://gameserver-store-client-area.orbionlimited.com/Home/IntegrationGameLaunch/client-area?moneyType=0&amp;gameName=CoinSplash&amp;platform=desktop&amp;languageCode=eng&amp;currency=EUR" xr:uid="{00000000-0004-0000-0100-000098000000}"/>
    <hyperlink ref="Q157" r:id="rId154" display="https://gameserver-store-client-area.orbionlimited.com/Home/IntegrationGameLaunch/client-area?moneyType=0&amp;gameName=GoldenCrownBooster&amp;platform=desktop&amp;languageCode=eng&amp;currency=EUR" xr:uid="{00000000-0004-0000-0100-000099000000}"/>
    <hyperlink ref="Q158" r:id="rId155" display="https://gameserver-store-client-area.orbionlimited.com/Home/IntegrationGameLaunch/client-area?moneyType=0&amp;gameName=VeryHot5Booster&amp;platform=desktop&amp;languageCode=eng&amp;currency=EUR" xr:uid="{00000000-0004-0000-0100-00009A000000}"/>
    <hyperlink ref="Q159" r:id="rId156" display="https://gameserver-store-client-area.orbionlimited.com/Home/IntegrationGameLaunch/client-area?moneyType=0&amp;gameName=EpicClover40Booster&amp;platform=desktop&amp;languageCode=eng&amp;currency=EUR" xr:uid="{00000000-0004-0000-0100-00009B000000}"/>
    <hyperlink ref="Q160" r:id="rId157" display="https://gameserver-store-client-area.orbionlimited.com/Home/IntegrationGameLaunch/client-area?moneyType=0&amp;gameName=GoldenCrownExtreme&amp;platform=desktop&amp;languageCode=eng&amp;currency=EUR" xr:uid="{00000000-0004-0000-0100-00009C000000}"/>
    <hyperlink ref="Q161" r:id="rId158" display="https://gameserver-store-client-area.orbionlimited.com/Home/IntegrationGameLaunch/client-area?moneyType=0&amp;gameName=WildStickyClover&amp;platform=desktop&amp;languageCode=eng&amp;currency=EUR" xr:uid="{00000000-0004-0000-0100-00009D000000}"/>
    <hyperlink ref="Q162" r:id="rId159" display="https://gameserver-store-client-area.orbionlimited.com/Home/IntegrationGameLaunch/client-area?moneyType=0&amp;gameName=XSpins&amp;platform=desktop&amp;languageCode=eng&amp;currency=EUR" xr:uid="{00000000-0004-0000-0100-00009E000000}"/>
    <hyperlink ref="Q163" r:id="rId160" display="https://gameserver-store-client-area.orbionlimited.com/Home/IntegrationGameLaunch/client-area?moneyType=0&amp;gameName=EpicCrown5Booster&amp;platform=desktop&amp;languageCode=eng&amp;currency=EUR" xr:uid="{00000000-0004-0000-0100-00009F000000}"/>
    <hyperlink ref="Q164" r:id="rId161" display="https://gameserver-store-client-area.orbionlimited.com/Home/IntegrationGameLaunch/client-area?moneyType=0&amp;gameName=EpicCrown10Booster&amp;platform=desktop&amp;languageCode=eng&amp;currency=EUR" xr:uid="{00000000-0004-0000-0100-0000A0000000}"/>
    <hyperlink ref="Q165" r:id="rId162" display="https://gameserver-store-client-area.orbionlimited.com/Home/IntegrationGameLaunch/client-area?moneyType=0&amp;gameName=WildSunflower&amp;platform=desktop&amp;languageCode=eng&amp;currency=EUR" xr:uid="{00000000-0004-0000-0100-0000A1000000}"/>
    <hyperlink ref="Q166" r:id="rId163" display="https://gameserver-store-client-area.orbionlimited.com/Home/IntegrationGameLaunch/client-area?moneyType=0&amp;gameName=GoldenCrownMaxBooster&amp;platform=desktop&amp;languageCode=eng&amp;currency=EUR" xr:uid="{00000000-0004-0000-0100-0000A2000000}"/>
    <hyperlink ref="Q167" r:id="rId164" display="https://gameserver-store-client-area.orbionlimited.com/Home/IntegrationGameLaunch/client-area?moneyType=0&amp;gameName=VeryHot40Booster&amp;platform=desktop&amp;languageCode=eng&amp;currency=EUR" xr:uid="{00000000-0004-0000-0100-0000A3000000}"/>
    <hyperlink ref="Q168" r:id="rId165" display="https://gameserver-store-client-area.orbionlimited.com/Home/IntegrationGameLaunch/client-area?moneyType=0&amp;gameName=GoldenCrown40Booster&amp;platform=desktop&amp;languageCode=eng&amp;currency=EUR" xr:uid="{00000000-0004-0000-0100-0000A4000000}"/>
    <hyperlink ref="Q169" r:id="rId166" display="https://gameserver-store-client-area.orbionlimited.com/Home/IntegrationGameLaunch/client-area?moneyType=0&amp;gameName=BrilliantHeartBooster&amp;platform=desktop&amp;languageCode=eng&amp;currency=EUR" xr:uid="{00000000-0004-0000-0100-0000A5000000}"/>
    <hyperlink ref="Q170" r:id="rId167" display="https://gameserver-store-client-area.orbionlimited.com/Home/IntegrationGameLaunch/client-area?moneyType=0&amp;gameName=EpicClover100Booster&amp;platform=desktop&amp;languageCode=eng&amp;currency=EUR" xr:uid="{00000000-0004-0000-0100-0000A6000000}"/>
    <hyperlink ref="Q171" r:id="rId168" display="https://gameserver-store-client-area.orbionlimited.com/Home/IntegrationGameLaunch/client-area?moneyType=0&amp;gameName=CoinSplashExtreme&amp;platform=desktop&amp;languageCode=eng&amp;currency=EUR" xr:uid="{00000000-0004-0000-0100-0000A7000000}"/>
    <hyperlink ref="Q172" r:id="rId169" display="https://gameserver-store-client-area.orbionlimited.com/Home/IntegrationGameLaunch/client-area?moneyType=0&amp;gameName=HotClock&amp;platform=desktop&amp;languageCode=eng&amp;currency=EUR" xr:uid="{00000000-0004-0000-0100-0000A8000000}"/>
    <hyperlink ref="Q173" r:id="rId170" display="https://gameserver-store-client-area.orbionlimited.com/Home/IntegrationGameLaunch/client-area?moneyType=0&amp;gameName=FruitLock7&amp;platform=desktop&amp;languageCode=eng&amp;currency=EUR" xr:uid="{00000000-0004-0000-0100-0000A9000000}"/>
    <hyperlink ref="Q174" r:id="rId171" display="https://gameserver-store-client-area.orbionlimited.com/Home/IntegrationGameLaunch/client-area?moneyType=0&amp;gameName=GoldenCrownHalloween&amp;platform=desktop&amp;languageCode=eng&amp;currency=EUR" xr:uid="{00000000-0004-0000-0100-0000AA000000}"/>
    <hyperlink ref="Q175" r:id="rId172" display="https://gameserver-store-client-area.orbionlimited.com/Home/IntegrationGameLaunch/client-area?moneyType=0&amp;gameName=Wild27Halloween&amp;platform=desktop&amp;languageCode=eng&amp;currency=EUR" xr:uid="{00000000-0004-0000-0100-0000AB000000}"/>
    <hyperlink ref="Q176" r:id="rId173" display="https://gameserver-store-client-area.orbionlimited.com/Home/IntegrationGameLaunch/client-area?moneyType=0&amp;gameName=WildJokerHotBooster&amp;platform=desktop&amp;languageCode=eng&amp;currency=EUR" xr:uid="{00000000-0004-0000-0100-0000AC000000}"/>
    <hyperlink ref="Q177" r:id="rId174" display="https://gameserver-store-client-area.orbionlimited.com/Home/IntegrationGameLaunch/client-area?moneyType=0&amp;gameName=Money5Booster&amp;platform=desktop&amp;languageCode=eng&amp;currency=EUR" xr:uid="{00000000-0004-0000-0100-0000AD000000}"/>
    <hyperlink ref="Q178" r:id="rId175" display="https://gameserver-store-client-area.orbionlimited.com/Home/IntegrationGameLaunch/client-area?moneyType=0&amp;gameName=GoldenCrownChristmasBooster&amp;platform=desktop&amp;languageCode=eng&amp;currency=EUR" xr:uid="{00000000-0004-0000-0100-0000AE000000}"/>
    <hyperlink ref="Q179" r:id="rId176" display="https://gameserver-store-client-area.orbionlimited.com/Home/IntegrationGameLaunch/client-area?moneyType=0&amp;gameName=BellasWorld&amp;platform=desktop&amp;languageCode=eng&amp;currency=EUR" xr:uid="{00000000-0004-0000-0100-0000AF000000}"/>
    <hyperlink ref="Q180" r:id="rId177" display="https://gameserver-store-client-area.orbionlimited.com/Home/IntegrationGameLaunch/client-area?moneyType=0&amp;gameName=Wild27Extreme&amp;platform=desktop&amp;languageCode=eng&amp;currency=EUR" xr:uid="{00000000-0004-0000-0100-0000B0000000}"/>
    <hyperlink ref="Q181" r:id="rId178" display="https://gameserver-store-client-area.orbionlimited.com/Home/IntegrationGameLaunch/client-area?moneyType=0&amp;gameName=MacacoDaFortuna&amp;platform=desktop&amp;languageCode=eng&amp;currency=EUR" xr:uid="{00000000-0004-0000-0100-0000B1000000}"/>
    <hyperlink ref="Q182" r:id="rId179" display="https://gameserver-store-client-area.orbionlimited.com/Home/IntegrationGameLaunch/client-area?moneyType=0&amp;gameName=GigaHot40FreeSpins&amp;platform=desktop&amp;languageCode=eng&amp;currency=EUR" xr:uid="{00000000-0004-0000-0100-0000B2000000}"/>
    <hyperlink ref="Q183" r:id="rId180" display="https://gameserver-store-client-area.orbionlimited.com/Home/IntegrationGameLaunch/client-area?moneyType=0&amp;gameName=VeryHot5ChristmasBooster&amp;platform=desktop&amp;languageCode=eng&amp;currency=EUR" xr:uid="{00000000-0004-0000-0100-0000B3000000}"/>
    <hyperlink ref="Q184" r:id="rId181" display="https://gameserver-store-client-area.orbionlimited.com/Home/IntegrationGameLaunch/client-area?moneyType=0&amp;gameName=TaxiRush&amp;platform=desktop&amp;languageCode=eng&amp;currency=EUR" xr:uid="{00000000-0004-0000-0100-0000B4000000}"/>
    <hyperlink ref="Q185" r:id="rId182" display="https://gameserver-store-client-area.orbionlimited.com/Home/IntegrationGameLaunch/client-area?moneyType=0&amp;gameName=WildHot40HoldAndWin&amp;platform=desktop&amp;languageCode=eng&amp;currency=EUR" xr:uid="{00000000-0004-0000-0100-0000B5000000}"/>
    <hyperlink ref="Q186" r:id="rId183" display="https://gameserver-store-client-area.orbionlimited.com/Home/IntegrationGameLaunch/client-area?moneyType=0&amp;gameName=WildHot40BlowBooster&amp;platform=desktop&amp;languageCode=eng&amp;currency=EUR" xr:uid="{00000000-0004-0000-0100-0000B6000000}"/>
    <hyperlink ref="Q187" r:id="rId184" display="https://gameserver-store-client-area.orbionlimited.com/Home/IntegrationGameLaunch/client-area?moneyType=0&amp;gameName=StarHeat40&amp;platform=desktop&amp;languageCode=eng&amp;currency=EUR" xr:uid="{00000000-0004-0000-0100-0000B7000000}"/>
    <hyperlink ref="Q188" r:id="rId185" display="https://gameserver-store-client-area.orbionlimited.com/Home/IntegrationGameLaunch/client-area?moneyType=0&amp;gameName=Retro27&amp;platform=desktop&amp;languageCode=eng&amp;currency=EUR" xr:uid="{00000000-0004-0000-0100-0000B8000000}"/>
    <hyperlink ref="Q189" r:id="rId186" display="https://gameserver-store-client-area.orbionlimited.com/Home/IntegrationGameLaunch/client-area?moneyType=0&amp;gameName=Wild27Dice&amp;platform=desktop&amp;languageCode=eng&amp;currency=EUR" xr:uid="{00000000-0004-0000-0100-0000B9000000}"/>
    <hyperlink ref="Q190" r:id="rId187" display="https://gameserver-store-client-area.orbionlimited.com/Home/IntegrationGameLaunch/client-area?moneyType=0&amp;gameName=CoinSplashDice&amp;platform=desktop&amp;languageCode=eng&amp;currency=EUR" xr:uid="{00000000-0004-0000-0100-0000BA000000}"/>
    <hyperlink ref="Q191" r:id="rId188" display="https://gameserver-store-client-area.orbionlimited.com/Home/IntegrationGameLaunch/client-area?moneyType=0&amp;gameName=WildHot40Deluxe&amp;platform=desktop&amp;languageCode=eng&amp;currency=EUR" xr:uid="{00000000-0004-0000-0100-0000BB000000}"/>
    <hyperlink ref="Q192" r:id="rId189" display="https://gameserver-store-client-area.orbionlimited.com/Home/IntegrationGameLaunch/client-area?moneyType=0&amp;gameName=BonusEpicCrownDice&amp;platform=desktop&amp;languageCode=eng&amp;currency=EUR" xr:uid="{00000000-0004-0000-0100-0000BC000000}"/>
    <hyperlink ref="Q193" r:id="rId190" display="https://gameserver-store-client-area.orbionlimited.com/Home/IntegrationGameLaunch/client-area?moneyType=0&amp;gameName=GoldenCrownHoldAndWin&amp;platform=desktop&amp;languageCode=eng&amp;currency=EUR" xr:uid="{00000000-0004-0000-0100-0000BD000000}"/>
    <hyperlink ref="Q194" r:id="rId191" display="https://gameserver-store-client-area.orbionlimited.com/Home/IntegrationGameLaunch/client-area?moneyType=0&amp;gameName=GoldenDiamonds5Extreme&amp;platform=desktop&amp;languageCode=eng&amp;currency=EUR" xr:uid="{00000000-0004-0000-0100-0000BE000000}"/>
    <hyperlink ref="Q195" r:id="rId192" display="https://gameserver-store-client-area.orbionlimited.com/Home/IntegrationGameLaunch/client-area?moneyType=0&amp;gameName=GoldenDiamonds10Extreme&amp;platform=desktop&amp;languageCode=eng&amp;currency=EUR" xr:uid="{00000000-0004-0000-0100-0000BF000000}"/>
    <hyperlink ref="Q196" r:id="rId193" display="https://gameserver-store-client-area.orbionlimited.com/Home/IntegrationGameLaunch/client-area?moneyType=0&amp;gameName=GoldenDiamonds20Extreme&amp;platform=desktop&amp;languageCode=eng&amp;currency=EUR" xr:uid="{00000000-0004-0000-0100-0000C0000000}"/>
    <hyperlink ref="Q197" r:id="rId194" display="https://gameserver-store-client-area.orbionlimited.com/Home/IntegrationGameLaunch/client-area?moneyType=0&amp;gameName=GoldenDiamonds40Extreme&amp;platform=desktop&amp;languageCode=eng&amp;currency=EUR" xr:uid="{00000000-0004-0000-0100-0000C1000000}"/>
    <hyperlink ref="Q198" r:id="rId195" display="https://gameserver-store-client-area.orbionlimited.com/Home/IntegrationGameLaunch/client-area?moneyType=0&amp;gameName=VeryHot5ExtremeBooster&amp;platform=desktop&amp;languageCode=eng&amp;currency=EUR" xr:uid="{00000000-0004-0000-0100-0000C2000000}"/>
    <hyperlink ref="Q199" r:id="rId196" display="https://gameserver-store-client-area.orbionlimited.com/Home/IntegrationGameLaunch/client-area?moneyType=0&amp;gameName=LockedHearts10&amp;platform=desktop&amp;languageCode=eng&amp;currency=EUR" xr:uid="{00000000-0004-0000-0100-0000C3000000}"/>
    <hyperlink ref="Q200" r:id="rId197" display="https://gameserver-store-client-area.orbionlimited.com/Home/IntegrationGameLaunch/client-area?moneyType=0&amp;gameName=LockedHearts5&amp;platform=desktop&amp;languageCode=eng&amp;currency=EUR" xr:uid="{00000000-0004-0000-0100-0000C4000000}"/>
    <hyperlink ref="Q201" r:id="rId198" display="https://gameserver-store-client-area.orbionlimited.com/Home/IntegrationGameLaunch/client-area?moneyType=0&amp;gameName=LockedHearts20&amp;platform=desktop&amp;languageCode=eng&amp;currency=EUR" xr:uid="{00000000-0004-0000-0100-0000C5000000}"/>
    <hyperlink ref="Q202" r:id="rId199" display="https://gameserver-store-client-area.orbionlimited.com/Home/IntegrationGameLaunch/client-area?moneyType=0&amp;gameName=LockedHearts40&amp;platform=desktop&amp;languageCode=eng&amp;currency=EUR" xr:uid="{00000000-0004-0000-0100-0000C6000000}"/>
    <hyperlink ref="Q203" r:id="rId200" display="https://gameserver-store-client-area.orbionlimited.com/Home/IntegrationGameLaunch/client-area?moneyType=0&amp;gameName=WinningClover5HoldAndWin&amp;platform=desktop&amp;languageCode=eng&amp;currency=EUR" xr:uid="{00000000-0004-0000-0100-0000C7000000}"/>
    <hyperlink ref="Q204" r:id="rId201" display="https://gameserver-store-client-area.orbionlimited.com/Home/IntegrationGameLaunch/client-area?moneyType=0&amp;gameName=CloversAndDiamonds5&amp;platform=desktop&amp;languageCode=eng&amp;currency=EUR" xr:uid="{00000000-0004-0000-0100-0000C8000000}"/>
    <hyperlink ref="Q205" r:id="rId202" display="https://gameserver-store-client-area.orbionlimited.com/Home/IntegrationGameLaunch/client-area?moneyType=0&amp;gameName=EpicDice100Booster&amp;platform=desktop&amp;languageCode=eng&amp;currency=EUR" xr:uid="{00000000-0004-0000-0100-0000C9000000}"/>
    <hyperlink ref="Q206" r:id="rId203" display="https://gameserver-store-client-area.orbionlimited.com/Home/IntegrationGameLaunch/client-area?moneyType=0&amp;gameName=VeryHot40ExtremeBooster&amp;platform=desktop&amp;languageCode=eng&amp;currency=EUR" xr:uid="{00000000-0004-0000-0100-0000CA000000}"/>
    <hyperlink ref="Q207" r:id="rId204" display="https://gameserver-store-client-area.orbionlimited.com/Home/IntegrationGameLaunch/client-area?moneyType=0&amp;gameName=FortuneOfWuKong&amp;platform=desktop&amp;languageCode=eng&amp;currency=EUR" xr:uid="{00000000-0004-0000-0100-0000CB000000}"/>
    <hyperlink ref="Q208" r:id="rId205" display="https://gameserver-store-client-area.orbionlimited.com/Home/IntegrationGameLaunch/client-area?moneyType=0&amp;gameName=CloversAndDiamonds10&amp;platform=desktop&amp;languageCode=eng&amp;currency=EUR" xr:uid="{00000000-0004-0000-0100-0000CC000000}"/>
    <hyperlink ref="Q209" r:id="rId206" display="https://gameserver-store-client-area.orbionlimited.com/Home/IntegrationGameLaunch/client-area?moneyType=0&amp;gameName=CloversAndDiamonds20&amp;platform=desktop&amp;languageCode=eng&amp;currency=EUR" xr:uid="{00000000-0004-0000-0100-0000CD000000}"/>
    <hyperlink ref="Q210" r:id="rId207" display="https://gameserver-store-client-area.orbionlimited.com/Home/IntegrationGameLaunch/client-area?moneyType=0&amp;gameName=RoyalgardenQueen&amp;platform=desktop&amp;languageCode=eng&amp;currency=EUR" xr:uid="{00000000-0004-0000-0100-0000CE000000}"/>
    <hyperlink ref="Q211" r:id="rId208" display="https://gameserver-store-client-area.orbionlimited.com/Home/IntegrationGameLaunch/client-area?moneyType=0&amp;gameName=MultihotPot&amp;platform=desktop&amp;languageCode=eng&amp;currency=EUR" xr:uid="{00000000-0004-0000-0100-0000CF000000}"/>
    <hyperlink ref="Q212" r:id="rId209" display="https://gameserver-store-client-area.orbionlimited.com/Home/IntegrationGameLaunch/client-area?moneyType=0&amp;gameName=BonusEpicWildExtralines&amp;platform=desktop&amp;languageCode=eng&amp;currency=EUR" xr:uid="{00000000-0004-0000-0100-0000D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Y1000"/>
  <sheetViews>
    <sheetView workbookViewId="0"/>
  </sheetViews>
  <sheetFormatPr defaultColWidth="12.6640625" defaultRowHeight="15.75" customHeight="1" x14ac:dyDescent="0.25"/>
  <cols>
    <col min="1" max="1" width="109.44140625" customWidth="1"/>
  </cols>
  <sheetData>
    <row r="1" spans="1:51" x14ac:dyDescent="0.25">
      <c r="A1" s="5" t="str">
        <f ca="1">IFERROR(__xludf.DUMMYFUNCTION("LET(
  lang_headers, FILTER(GameLanguages_report!E1:AY1, GameLanguages_report!E1:AY1 &lt;&gt; """"),
  num_cols, COLUMNS(lang_headers),
  cista_imena, ARRAYFORMULA(TRIM(AllGames_Languages!C:C)),
  kodovi, ARRAYFORMULA(TRIM(AllGames_Languages!D:D)),
  spojeni"&amp;"_jezici, ARRAYFORMULA(cista_imena &amp; ""("""""" &amp; kodovi &amp; """""")""),
  lang_formatted, MAP(lang_headers, LAMBDA(h, 
    IFERROR(
      XLOOKUP(TRIM(h), cista_imena, spojeni_jezici), 
      h
    )
  )),
  data_matrix, FILTER(CHOOSECOLS(GameLanguages"&amp;"_report!B2:ZZ1000, SEQUENCE(1, num_cols, 4)), GameLanguages_report!B2:B1000 &lt;&gt; """"),
  rezultat, BYROW(data_matrix, LAMBDA(r, 
    TEXTJOIN("", "", TRUE, IFERROR(FILTER(lang_formatted, r = ""Yes""), """"))
  )),
  VSTACK(""Language Code"", rezultat"&amp;")
)"),"Language Code")</f>
        <v>Language Code</v>
      </c>
      <c r="B1" s="5" t="str">
        <f ca="1">IFERROR(__xludf.DUMMYFUNCTION("IMPORTRANGE(""1iIk9u9HQ83iAw4ulm0-s1vE4I7bYk_TJ6A2oaHlopcU"", ""GameLanguages!A:BZ"")"),"#")</f>
        <v>#</v>
      </c>
      <c r="C1" s="5" t="str">
        <f ca="1">IFERROR(__xludf.DUMMYFUNCTION("""COMPUTED_VALUE"""),"ID")</f>
        <v>ID</v>
      </c>
      <c r="D1" s="5" t="str">
        <f ca="1">IFERROR(__xludf.DUMMYFUNCTION("""COMPUTED_VALUE"""),"GameID")</f>
        <v>GameID</v>
      </c>
      <c r="E1" s="5" t="str">
        <f ca="1">IFERROR(__xludf.DUMMYFUNCTION("""COMPUTED_VALUE"""),"English")</f>
        <v>English</v>
      </c>
      <c r="F1" s="5" t="str">
        <f ca="1">IFERROR(__xludf.DUMMYFUNCTION("""COMPUTED_VALUE"""),"Serbian")</f>
        <v>Serbian</v>
      </c>
      <c r="G1" s="5" t="str">
        <f ca="1">IFERROR(__xludf.DUMMYFUNCTION("""COMPUTED_VALUE"""),"Montenegrian")</f>
        <v>Montenegrian</v>
      </c>
      <c r="H1" s="5" t="str">
        <f ca="1">IFERROR(__xludf.DUMMYFUNCTION("""COMPUTED_VALUE"""),"Bulgarian")</f>
        <v>Bulgarian</v>
      </c>
      <c r="I1" s="5" t="str">
        <f ca="1">IFERROR(__xludf.DUMMYFUNCTION("""COMPUTED_VALUE"""),"Spanish")</f>
        <v>Spanish</v>
      </c>
      <c r="J1" s="5" t="str">
        <f ca="1">IFERROR(__xludf.DUMMYFUNCTION("""COMPUTED_VALUE"""),"Portuguese")</f>
        <v>Portuguese</v>
      </c>
      <c r="K1" s="5" t="str">
        <f ca="1">IFERROR(__xludf.DUMMYFUNCTION("""COMPUTED_VALUE"""),"Italian")</f>
        <v>Italian</v>
      </c>
      <c r="L1" s="5" t="str">
        <f ca="1">IFERROR(__xludf.DUMMYFUNCTION("""COMPUTED_VALUE"""),"Romanian")</f>
        <v>Romanian</v>
      </c>
      <c r="M1" s="5" t="str">
        <f ca="1">IFERROR(__xludf.DUMMYFUNCTION("""COMPUTED_VALUE"""),"Croatian")</f>
        <v>Croatian</v>
      </c>
      <c r="N1" s="5" t="str">
        <f ca="1">IFERROR(__xludf.DUMMYFUNCTION("""COMPUTED_VALUE"""),"French")</f>
        <v>French</v>
      </c>
      <c r="O1" s="5" t="str">
        <f ca="1">IFERROR(__xludf.DUMMYFUNCTION("""COMPUTED_VALUE"""),"German")</f>
        <v>German</v>
      </c>
      <c r="P1" s="5" t="str">
        <f ca="1">IFERROR(__xludf.DUMMYFUNCTION("""COMPUTED_VALUE"""),"Dutch")</f>
        <v>Dutch</v>
      </c>
      <c r="Q1" s="5" t="str">
        <f ca="1">IFERROR(__xludf.DUMMYFUNCTION("""COMPUTED_VALUE"""),"Turkish")</f>
        <v>Turkish</v>
      </c>
      <c r="R1" s="5" t="str">
        <f ca="1">IFERROR(__xludf.DUMMYFUNCTION("""COMPUTED_VALUE"""),"Greek")</f>
        <v>Greek</v>
      </c>
      <c r="S1" s="5" t="str">
        <f ca="1">IFERROR(__xludf.DUMMYFUNCTION("""COMPUTED_VALUE"""),"Russian")</f>
        <v>Russian</v>
      </c>
      <c r="T1" s="5" t="str">
        <f ca="1">IFERROR(__xludf.DUMMYFUNCTION("""COMPUTED_VALUE"""),"Czech")</f>
        <v>Czech</v>
      </c>
      <c r="U1" s="5" t="str">
        <f ca="1">IFERROR(__xludf.DUMMYFUNCTION("""COMPUTED_VALUE"""),"Hungarian")</f>
        <v>Hungarian</v>
      </c>
      <c r="V1" s="5" t="str">
        <f ca="1">IFERROR(__xludf.DUMMYFUNCTION("""COMPUTED_VALUE"""),"N. Macedonian")</f>
        <v>N. Macedonian</v>
      </c>
      <c r="W1" s="5" t="str">
        <f ca="1">IFERROR(__xludf.DUMMYFUNCTION("""COMPUTED_VALUE"""),"Finnish")</f>
        <v>Finnish</v>
      </c>
      <c r="X1" s="5" t="str">
        <f ca="1">IFERROR(__xludf.DUMMYFUNCTION("""COMPUTED_VALUE"""),"Armenian")</f>
        <v>Armenian</v>
      </c>
      <c r="Y1" s="5" t="str">
        <f ca="1">IFERROR(__xludf.DUMMYFUNCTION("""COMPUTED_VALUE"""),"Social English")</f>
        <v>Social English</v>
      </c>
      <c r="Z1" s="5" t="str">
        <f ca="1">IFERROR(__xludf.DUMMYFUNCTION("""COMPUTED_VALUE"""),"Amharic")</f>
        <v>Amharic</v>
      </c>
      <c r="AA1" s="5" t="str">
        <f ca="1">IFERROR(__xludf.DUMMYFUNCTION("""COMPUTED_VALUE"""),"Swahili")</f>
        <v>Swahili</v>
      </c>
      <c r="AB1" s="5" t="str">
        <f ca="1">IFERROR(__xludf.DUMMYFUNCTION("""COMPUTED_VALUE"""),"Polish")</f>
        <v>Polish</v>
      </c>
      <c r="AC1" s="5" t="str">
        <f ca="1">IFERROR(__xludf.DUMMYFUNCTION("""COMPUTED_VALUE"""),"Latvian")</f>
        <v>Latvian</v>
      </c>
      <c r="AD1" s="5" t="str">
        <f ca="1">IFERROR(__xludf.DUMMYFUNCTION("""COMPUTED_VALUE"""),"Lithuanian")</f>
        <v>Lithuanian</v>
      </c>
      <c r="AE1" s="5" t="str">
        <f ca="1">IFERROR(__xludf.DUMMYFUNCTION("""COMPUTED_VALUE"""),"Slovak")</f>
        <v>Slovak</v>
      </c>
      <c r="AF1" s="5" t="str">
        <f ca="1">IFERROR(__xludf.DUMMYFUNCTION("""COMPUTED_VALUE"""),"Ukrainian")</f>
        <v>Ukrainian</v>
      </c>
      <c r="AG1" s="5" t="str">
        <f ca="1">IFERROR(__xludf.DUMMYFUNCTION("""COMPUTED_VALUE"""),"Filipino")</f>
        <v>Filipino</v>
      </c>
      <c r="AH1" s="5" t="str">
        <f ca="1">IFERROR(__xludf.DUMMYFUNCTION("""COMPUTED_VALUE"""),"Chinese")</f>
        <v>Chinese</v>
      </c>
      <c r="AI1" s="5" t="str">
        <f ca="1">IFERROR(__xludf.DUMMYFUNCTION("""COMPUTED_VALUE"""),"Traditional Chinese")</f>
        <v>Traditional Chinese</v>
      </c>
      <c r="AJ1" s="5" t="str">
        <f ca="1">IFERROR(__xludf.DUMMYFUNCTION("""COMPUTED_VALUE"""),"Japanese")</f>
        <v>Japanese</v>
      </c>
      <c r="AK1" s="5" t="str">
        <f ca="1">IFERROR(__xludf.DUMMYFUNCTION("""COMPUTED_VALUE"""),"Korean")</f>
        <v>Korean</v>
      </c>
      <c r="AL1" s="5" t="str">
        <f ca="1">IFERROR(__xludf.DUMMYFUNCTION("""COMPUTED_VALUE"""),"Bosnian")</f>
        <v>Bosnian</v>
      </c>
      <c r="AM1" s="5"/>
      <c r="AN1" s="5"/>
      <c r="AO1" s="5"/>
      <c r="AP1" s="5"/>
      <c r="AQ1" s="5"/>
      <c r="AR1" s="5"/>
      <c r="AS1" s="5"/>
      <c r="AT1" s="5"/>
      <c r="AU1" s="5"/>
      <c r="AV1" s="5"/>
      <c r="AW1" s="5"/>
      <c r="AX1" s="5"/>
      <c r="AY1" s="5"/>
    </row>
    <row r="2" spans="1:51" x14ac:dyDescent="0.25">
      <c r="A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2" s="5">
        <f ca="1">IFERROR(__xludf.DUMMYFUNCTION("""COMPUTED_VALUE"""),1)</f>
        <v>1</v>
      </c>
      <c r="C2" s="5">
        <f ca="1">IFERROR(__xludf.DUMMYFUNCTION("""COMPUTED_VALUE"""),0)</f>
        <v>0</v>
      </c>
      <c r="D2" s="5" t="str">
        <f ca="1">IFERROR(__xludf.DUMMYFUNCTION("""COMPUTED_VALUE"""),"Postman")</f>
        <v>Postman</v>
      </c>
      <c r="E2" s="5" t="str">
        <f ca="1">IFERROR(__xludf.DUMMYFUNCTION("""COMPUTED_VALUE"""),"Yes")</f>
        <v>Yes</v>
      </c>
      <c r="F2" s="5" t="str">
        <f ca="1">IFERROR(__xludf.DUMMYFUNCTION("""COMPUTED_VALUE"""),"Yes")</f>
        <v>Yes</v>
      </c>
      <c r="G2" s="5" t="str">
        <f ca="1">IFERROR(__xludf.DUMMYFUNCTION("""COMPUTED_VALUE"""),"Yes")</f>
        <v>Yes</v>
      </c>
      <c r="H2" s="5" t="str">
        <f ca="1">IFERROR(__xludf.DUMMYFUNCTION("""COMPUTED_VALUE"""),"Yes")</f>
        <v>Yes</v>
      </c>
      <c r="I2" s="5" t="str">
        <f ca="1">IFERROR(__xludf.DUMMYFUNCTION("""COMPUTED_VALUE"""),"Yes")</f>
        <v>Yes</v>
      </c>
      <c r="J2" s="5" t="str">
        <f ca="1">IFERROR(__xludf.DUMMYFUNCTION("""COMPUTED_VALUE"""),"Yes")</f>
        <v>Yes</v>
      </c>
      <c r="K2" s="5" t="str">
        <f ca="1">IFERROR(__xludf.DUMMYFUNCTION("""COMPUTED_VALUE"""),"Yes")</f>
        <v>Yes</v>
      </c>
      <c r="L2" s="5" t="str">
        <f ca="1">IFERROR(__xludf.DUMMYFUNCTION("""COMPUTED_VALUE"""),"Yes")</f>
        <v>Yes</v>
      </c>
      <c r="M2" s="5" t="str">
        <f ca="1">IFERROR(__xludf.DUMMYFUNCTION("""COMPUTED_VALUE"""),"Yes")</f>
        <v>Yes</v>
      </c>
      <c r="N2" s="5" t="str">
        <f ca="1">IFERROR(__xludf.DUMMYFUNCTION("""COMPUTED_VALUE"""),"Yes")</f>
        <v>Yes</v>
      </c>
      <c r="O2" s="5" t="str">
        <f ca="1">IFERROR(__xludf.DUMMYFUNCTION("""COMPUTED_VALUE"""),"Yes")</f>
        <v>Yes</v>
      </c>
      <c r="P2" s="5" t="str">
        <f ca="1">IFERROR(__xludf.DUMMYFUNCTION("""COMPUTED_VALUE"""),"Yes")</f>
        <v>Yes</v>
      </c>
      <c r="Q2" s="5" t="str">
        <f ca="1">IFERROR(__xludf.DUMMYFUNCTION("""COMPUTED_VALUE"""),"Yes")</f>
        <v>Yes</v>
      </c>
      <c r="R2" s="5" t="str">
        <f ca="1">IFERROR(__xludf.DUMMYFUNCTION("""COMPUTED_VALUE"""),"Yes")</f>
        <v>Yes</v>
      </c>
      <c r="S2" s="5" t="str">
        <f ca="1">IFERROR(__xludf.DUMMYFUNCTION("""COMPUTED_VALUE"""),"Yes")</f>
        <v>Yes</v>
      </c>
      <c r="T2" s="5" t="str">
        <f ca="1">IFERROR(__xludf.DUMMYFUNCTION("""COMPUTED_VALUE"""),"Yes")</f>
        <v>Yes</v>
      </c>
      <c r="U2" s="5" t="str">
        <f ca="1">IFERROR(__xludf.DUMMYFUNCTION("""COMPUTED_VALUE"""),"Yes")</f>
        <v>Yes</v>
      </c>
      <c r="V2" s="5" t="str">
        <f ca="1">IFERROR(__xludf.DUMMYFUNCTION("""COMPUTED_VALUE"""),"Yes")</f>
        <v>Yes</v>
      </c>
      <c r="W2" s="5" t="str">
        <f ca="1">IFERROR(__xludf.DUMMYFUNCTION("""COMPUTED_VALUE"""),"Yes")</f>
        <v>Yes</v>
      </c>
      <c r="X2" s="5" t="str">
        <f ca="1">IFERROR(__xludf.DUMMYFUNCTION("""COMPUTED_VALUE"""),"Yes")</f>
        <v>Yes</v>
      </c>
      <c r="Y2" s="5" t="str">
        <f ca="1">IFERROR(__xludf.DUMMYFUNCTION("""COMPUTED_VALUE"""),"Yes")</f>
        <v>Yes</v>
      </c>
      <c r="Z2" s="5" t="str">
        <f ca="1">IFERROR(__xludf.DUMMYFUNCTION("""COMPUTED_VALUE"""),"Yes")</f>
        <v>Yes</v>
      </c>
      <c r="AA2" s="5" t="str">
        <f ca="1">IFERROR(__xludf.DUMMYFUNCTION("""COMPUTED_VALUE"""),"Yes")</f>
        <v>Yes</v>
      </c>
      <c r="AB2" s="5" t="str">
        <f ca="1">IFERROR(__xludf.DUMMYFUNCTION("""COMPUTED_VALUE"""),"Yes")</f>
        <v>Yes</v>
      </c>
      <c r="AC2" s="5" t="str">
        <f ca="1">IFERROR(__xludf.DUMMYFUNCTION("""COMPUTED_VALUE"""),"Yes")</f>
        <v>Yes</v>
      </c>
      <c r="AD2" s="5" t="str">
        <f ca="1">IFERROR(__xludf.DUMMYFUNCTION("""COMPUTED_VALUE"""),"Yes")</f>
        <v>Yes</v>
      </c>
      <c r="AE2" s="5" t="str">
        <f ca="1">IFERROR(__xludf.DUMMYFUNCTION("""COMPUTED_VALUE"""),"Yes")</f>
        <v>Yes</v>
      </c>
      <c r="AF2" s="5" t="str">
        <f ca="1">IFERROR(__xludf.DUMMYFUNCTION("""COMPUTED_VALUE"""),"Yes")</f>
        <v>Yes</v>
      </c>
      <c r="AG2" s="5" t="str">
        <f ca="1">IFERROR(__xludf.DUMMYFUNCTION("""COMPUTED_VALUE"""),"Yes")</f>
        <v>Yes</v>
      </c>
      <c r="AH2" s="5" t="str">
        <f ca="1">IFERROR(__xludf.DUMMYFUNCTION("""COMPUTED_VALUE"""),"No")</f>
        <v>No</v>
      </c>
      <c r="AI2" s="5" t="str">
        <f ca="1">IFERROR(__xludf.DUMMYFUNCTION("""COMPUTED_VALUE"""),"No")</f>
        <v>No</v>
      </c>
      <c r="AJ2" s="5" t="str">
        <f ca="1">IFERROR(__xludf.DUMMYFUNCTION("""COMPUTED_VALUE"""),"No")</f>
        <v>No</v>
      </c>
      <c r="AK2" s="5" t="str">
        <f ca="1">IFERROR(__xludf.DUMMYFUNCTION("""COMPUTED_VALUE"""),"No")</f>
        <v>No</v>
      </c>
      <c r="AL2" s="5" t="str">
        <f ca="1">IFERROR(__xludf.DUMMYFUNCTION("""COMPUTED_VALUE"""),"No")</f>
        <v>No</v>
      </c>
      <c r="AM2" s="5"/>
      <c r="AN2" s="5"/>
      <c r="AO2" s="5"/>
      <c r="AP2" s="5"/>
      <c r="AQ2" s="5"/>
      <c r="AR2" s="5"/>
      <c r="AS2" s="5"/>
      <c r="AT2" s="5"/>
      <c r="AU2" s="5"/>
      <c r="AV2" s="5"/>
      <c r="AW2" s="5"/>
      <c r="AX2" s="5"/>
      <c r="AY2" s="5"/>
    </row>
    <row r="3" spans="1:51" x14ac:dyDescent="0.25">
      <c r="A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 s="5">
        <f ca="1">IFERROR(__xludf.DUMMYFUNCTION("""COMPUTED_VALUE"""),2)</f>
        <v>2</v>
      </c>
      <c r="C3" s="5">
        <f ca="1">IFERROR(__xludf.DUMMYFUNCTION("""COMPUTED_VALUE"""),1)</f>
        <v>1</v>
      </c>
      <c r="D3" s="5" t="str">
        <f ca="1">IFERROR(__xludf.DUMMYFUNCTION("""COMPUTED_VALUE"""),"DeepJungle")</f>
        <v>DeepJungle</v>
      </c>
      <c r="E3" s="5" t="str">
        <f ca="1">IFERROR(__xludf.DUMMYFUNCTION("""COMPUTED_VALUE"""),"Yes")</f>
        <v>Yes</v>
      </c>
      <c r="F3" s="5" t="str">
        <f ca="1">IFERROR(__xludf.DUMMYFUNCTION("""COMPUTED_VALUE"""),"Yes")</f>
        <v>Yes</v>
      </c>
      <c r="G3" s="5" t="str">
        <f ca="1">IFERROR(__xludf.DUMMYFUNCTION("""COMPUTED_VALUE"""),"Yes")</f>
        <v>Yes</v>
      </c>
      <c r="H3" s="5" t="str">
        <f ca="1">IFERROR(__xludf.DUMMYFUNCTION("""COMPUTED_VALUE"""),"Yes")</f>
        <v>Yes</v>
      </c>
      <c r="I3" s="5" t="str">
        <f ca="1">IFERROR(__xludf.DUMMYFUNCTION("""COMPUTED_VALUE"""),"Yes")</f>
        <v>Yes</v>
      </c>
      <c r="J3" s="5" t="str">
        <f ca="1">IFERROR(__xludf.DUMMYFUNCTION("""COMPUTED_VALUE"""),"Yes")</f>
        <v>Yes</v>
      </c>
      <c r="K3" s="5" t="str">
        <f ca="1">IFERROR(__xludf.DUMMYFUNCTION("""COMPUTED_VALUE"""),"Yes")</f>
        <v>Yes</v>
      </c>
      <c r="L3" s="5" t="str">
        <f ca="1">IFERROR(__xludf.DUMMYFUNCTION("""COMPUTED_VALUE"""),"Yes")</f>
        <v>Yes</v>
      </c>
      <c r="M3" s="5" t="str">
        <f ca="1">IFERROR(__xludf.DUMMYFUNCTION("""COMPUTED_VALUE"""),"Yes")</f>
        <v>Yes</v>
      </c>
      <c r="N3" s="5" t="str">
        <f ca="1">IFERROR(__xludf.DUMMYFUNCTION("""COMPUTED_VALUE"""),"Yes")</f>
        <v>Yes</v>
      </c>
      <c r="O3" s="5" t="str">
        <f ca="1">IFERROR(__xludf.DUMMYFUNCTION("""COMPUTED_VALUE"""),"Yes")</f>
        <v>Yes</v>
      </c>
      <c r="P3" s="5" t="str">
        <f ca="1">IFERROR(__xludf.DUMMYFUNCTION("""COMPUTED_VALUE"""),"Yes")</f>
        <v>Yes</v>
      </c>
      <c r="Q3" s="5" t="str">
        <f ca="1">IFERROR(__xludf.DUMMYFUNCTION("""COMPUTED_VALUE"""),"Yes")</f>
        <v>Yes</v>
      </c>
      <c r="R3" s="5" t="str">
        <f ca="1">IFERROR(__xludf.DUMMYFUNCTION("""COMPUTED_VALUE"""),"Yes")</f>
        <v>Yes</v>
      </c>
      <c r="S3" s="5" t="str">
        <f ca="1">IFERROR(__xludf.DUMMYFUNCTION("""COMPUTED_VALUE"""),"Yes")</f>
        <v>Yes</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IFERROR(__xludf.DUMMYFUNCTION("""COMPUTED_VALUE"""),"No")</f>
        <v>No</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IFERROR(__xludf.DUMMYFUNCTION("""COMPUTED_VALUE"""),"No")</f>
        <v>No</v>
      </c>
      <c r="AF3" s="5" t="str">
        <f ca="1">IFERROR(__xludf.DUMMYFUNCTION("""COMPUTED_VALUE"""),"Yes")</f>
        <v>Yes</v>
      </c>
      <c r="AG3" s="5" t="str">
        <f ca="1">IFERROR(__xludf.DUMMYFUNCTION("""COMPUTED_VALUE"""),"No")</f>
        <v>No</v>
      </c>
      <c r="AH3" s="5" t="str">
        <f ca="1">IFERROR(__xludf.DUMMYFUNCTION("""COMPUTED_VALUE"""),"No")</f>
        <v>No</v>
      </c>
      <c r="AI3" s="5" t="str">
        <f ca="1">IFERROR(__xludf.DUMMYFUNCTION("""COMPUTED_VALUE"""),"No")</f>
        <v>No</v>
      </c>
      <c r="AJ3" s="5" t="str">
        <f ca="1">IFERROR(__xludf.DUMMYFUNCTION("""COMPUTED_VALUE"""),"No")</f>
        <v>No</v>
      </c>
      <c r="AK3" s="5" t="str">
        <f ca="1">IFERROR(__xludf.DUMMYFUNCTION("""COMPUTED_VALUE"""),"No")</f>
        <v>No</v>
      </c>
      <c r="AL3" s="5" t="str">
        <f ca="1">IFERROR(__xludf.DUMMYFUNCTION("""COMPUTED_VALUE"""),"No")</f>
        <v>No</v>
      </c>
      <c r="AM3" s="5"/>
      <c r="AN3" s="5"/>
      <c r="AO3" s="5"/>
      <c r="AP3" s="5"/>
      <c r="AQ3" s="5"/>
      <c r="AR3" s="5"/>
      <c r="AS3" s="5"/>
      <c r="AT3" s="5"/>
      <c r="AU3" s="5"/>
      <c r="AV3" s="5"/>
      <c r="AW3" s="5"/>
      <c r="AX3" s="5"/>
      <c r="AY3" s="5"/>
    </row>
    <row r="4" spans="1:51" x14ac:dyDescent="0.25">
      <c r="A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 s="5">
        <f ca="1">IFERROR(__xludf.DUMMYFUNCTION("""COMPUTED_VALUE"""),3)</f>
        <v>3</v>
      </c>
      <c r="C4" s="5">
        <f ca="1">IFERROR(__xludf.DUMMYFUNCTION("""COMPUTED_VALUE"""),2)</f>
        <v>2</v>
      </c>
      <c r="D4" s="5" t="str">
        <f ca="1">IFERROR(__xludf.DUMMYFUNCTION("""COMPUTED_VALUE"""),"Wizard")</f>
        <v>Wizard</v>
      </c>
      <c r="E4" s="5" t="str">
        <f ca="1">IFERROR(__xludf.DUMMYFUNCTION("""COMPUTED_VALUE"""),"Yes")</f>
        <v>Yes</v>
      </c>
      <c r="F4" s="5" t="str">
        <f ca="1">IFERROR(__xludf.DUMMYFUNCTION("""COMPUTED_VALUE"""),"Yes")</f>
        <v>Yes</v>
      </c>
      <c r="G4" s="5" t="str">
        <f ca="1">IFERROR(__xludf.DUMMYFUNCTION("""COMPUTED_VALUE"""),"Yes")</f>
        <v>Yes</v>
      </c>
      <c r="H4" s="5" t="str">
        <f ca="1">IFERROR(__xludf.DUMMYFUNCTION("""COMPUTED_VALUE"""),"Yes")</f>
        <v>Yes</v>
      </c>
      <c r="I4" s="5" t="str">
        <f ca="1">IFERROR(__xludf.DUMMYFUNCTION("""COMPUTED_VALUE"""),"Yes")</f>
        <v>Yes</v>
      </c>
      <c r="J4" s="5" t="str">
        <f ca="1">IFERROR(__xludf.DUMMYFUNCTION("""COMPUTED_VALUE"""),"Yes")</f>
        <v>Yes</v>
      </c>
      <c r="K4" s="5" t="str">
        <f ca="1">IFERROR(__xludf.DUMMYFUNCTION("""COMPUTED_VALUE"""),"Yes")</f>
        <v>Yes</v>
      </c>
      <c r="L4" s="5" t="str">
        <f ca="1">IFERROR(__xludf.DUMMYFUNCTION("""COMPUTED_VALUE"""),"Yes")</f>
        <v>Yes</v>
      </c>
      <c r="M4" s="5" t="str">
        <f ca="1">IFERROR(__xludf.DUMMYFUNCTION("""COMPUTED_VALUE"""),"Yes")</f>
        <v>Yes</v>
      </c>
      <c r="N4" s="5" t="str">
        <f ca="1">IFERROR(__xludf.DUMMYFUNCTION("""COMPUTED_VALUE"""),"Yes")</f>
        <v>Yes</v>
      </c>
      <c r="O4" s="5" t="str">
        <f ca="1">IFERROR(__xludf.DUMMYFUNCTION("""COMPUTED_VALUE"""),"Yes")</f>
        <v>Yes</v>
      </c>
      <c r="P4" s="5" t="str">
        <f ca="1">IFERROR(__xludf.DUMMYFUNCTION("""COMPUTED_VALUE"""),"Yes")</f>
        <v>Yes</v>
      </c>
      <c r="Q4" s="5" t="str">
        <f ca="1">IFERROR(__xludf.DUMMYFUNCTION("""COMPUTED_VALUE"""),"Yes")</f>
        <v>Yes</v>
      </c>
      <c r="R4" s="5" t="str">
        <f ca="1">IFERROR(__xludf.DUMMYFUNCTION("""COMPUTED_VALUE"""),"Yes")</f>
        <v>Yes</v>
      </c>
      <c r="S4" s="5" t="str">
        <f ca="1">IFERROR(__xludf.DUMMYFUNCTION("""COMPUTED_VALUE"""),"Yes")</f>
        <v>Yes</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IFERROR(__xludf.DUMMYFUNCTION("""COMPUTED_VALUE"""),"No")</f>
        <v>No</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IFERROR(__xludf.DUMMYFUNCTION("""COMPUTED_VALUE"""),"No")</f>
        <v>No</v>
      </c>
      <c r="AF4" s="5" t="str">
        <f ca="1">IFERROR(__xludf.DUMMYFUNCTION("""COMPUTED_VALUE"""),"Yes")</f>
        <v>Yes</v>
      </c>
      <c r="AG4" s="5" t="str">
        <f ca="1">IFERROR(__xludf.DUMMYFUNCTION("""COMPUTED_VALUE"""),"No")</f>
        <v>No</v>
      </c>
      <c r="AH4" s="5" t="str">
        <f ca="1">IFERROR(__xludf.DUMMYFUNCTION("""COMPUTED_VALUE"""),"No")</f>
        <v>No</v>
      </c>
      <c r="AI4" s="5" t="str">
        <f ca="1">IFERROR(__xludf.DUMMYFUNCTION("""COMPUTED_VALUE"""),"No")</f>
        <v>No</v>
      </c>
      <c r="AJ4" s="5" t="str">
        <f ca="1">IFERROR(__xludf.DUMMYFUNCTION("""COMPUTED_VALUE"""),"No")</f>
        <v>No</v>
      </c>
      <c r="AK4" s="5" t="str">
        <f ca="1">IFERROR(__xludf.DUMMYFUNCTION("""COMPUTED_VALUE"""),"No")</f>
        <v>No</v>
      </c>
      <c r="AL4" s="5" t="str">
        <f ca="1">IFERROR(__xludf.DUMMYFUNCTION("""COMPUTED_VALUE"""),"No")</f>
        <v>No</v>
      </c>
      <c r="AM4" s="5"/>
      <c r="AN4" s="5"/>
      <c r="AO4" s="5"/>
      <c r="AP4" s="5"/>
      <c r="AQ4" s="5"/>
      <c r="AR4" s="5"/>
      <c r="AS4" s="5"/>
      <c r="AT4" s="5"/>
      <c r="AU4" s="5"/>
      <c r="AV4" s="5"/>
      <c r="AW4" s="5"/>
      <c r="AX4" s="5"/>
      <c r="AY4" s="5"/>
    </row>
    <row r="5" spans="1:51" x14ac:dyDescent="0.25">
      <c r="A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 s="5">
        <f ca="1">IFERROR(__xludf.DUMMYFUNCTION("""COMPUTED_VALUE"""),4)</f>
        <v>4</v>
      </c>
      <c r="C5" s="5">
        <f ca="1">IFERROR(__xludf.DUMMYFUNCTION("""COMPUTED_VALUE"""),3)</f>
        <v>3</v>
      </c>
      <c r="D5" s="5" t="str">
        <f ca="1">IFERROR(__xludf.DUMMYFUNCTION("""COMPUTED_VALUE"""),"FruitsAndStars")</f>
        <v>FruitsAndStars</v>
      </c>
      <c r="E5" s="5" t="str">
        <f ca="1">IFERROR(__xludf.DUMMYFUNCTION("""COMPUTED_VALUE"""),"Yes")</f>
        <v>Yes</v>
      </c>
      <c r="F5" s="5" t="str">
        <f ca="1">IFERROR(__xludf.DUMMYFUNCTION("""COMPUTED_VALUE"""),"Yes")</f>
        <v>Yes</v>
      </c>
      <c r="G5" s="5" t="str">
        <f ca="1">IFERROR(__xludf.DUMMYFUNCTION("""COMPUTED_VALUE"""),"Yes")</f>
        <v>Yes</v>
      </c>
      <c r="H5" s="5" t="str">
        <f ca="1">IFERROR(__xludf.DUMMYFUNCTION("""COMPUTED_VALUE"""),"Yes")</f>
        <v>Yes</v>
      </c>
      <c r="I5" s="5" t="str">
        <f ca="1">IFERROR(__xludf.DUMMYFUNCTION("""COMPUTED_VALUE"""),"Yes")</f>
        <v>Yes</v>
      </c>
      <c r="J5" s="5" t="str">
        <f ca="1">IFERROR(__xludf.DUMMYFUNCTION("""COMPUTED_VALUE"""),"Yes")</f>
        <v>Yes</v>
      </c>
      <c r="K5" s="5" t="str">
        <f ca="1">IFERROR(__xludf.DUMMYFUNCTION("""COMPUTED_VALUE"""),"Yes")</f>
        <v>Yes</v>
      </c>
      <c r="L5" s="5" t="str">
        <f ca="1">IFERROR(__xludf.DUMMYFUNCTION("""COMPUTED_VALUE"""),"Yes")</f>
        <v>Yes</v>
      </c>
      <c r="M5" s="5" t="str">
        <f ca="1">IFERROR(__xludf.DUMMYFUNCTION("""COMPUTED_VALUE"""),"Yes")</f>
        <v>Yes</v>
      </c>
      <c r="N5" s="5" t="str">
        <f ca="1">IFERROR(__xludf.DUMMYFUNCTION("""COMPUTED_VALUE"""),"Yes")</f>
        <v>Yes</v>
      </c>
      <c r="O5" s="5" t="str">
        <f ca="1">IFERROR(__xludf.DUMMYFUNCTION("""COMPUTED_VALUE"""),"Yes")</f>
        <v>Yes</v>
      </c>
      <c r="P5" s="5" t="str">
        <f ca="1">IFERROR(__xludf.DUMMYFUNCTION("""COMPUTED_VALUE"""),"Yes")</f>
        <v>Yes</v>
      </c>
      <c r="Q5" s="5" t="str">
        <f ca="1">IFERROR(__xludf.DUMMYFUNCTION("""COMPUTED_VALUE"""),"Yes")</f>
        <v>Yes</v>
      </c>
      <c r="R5" s="5" t="str">
        <f ca="1">IFERROR(__xludf.DUMMYFUNCTION("""COMPUTED_VALUE"""),"Yes")</f>
        <v>Yes</v>
      </c>
      <c r="S5" s="5" t="str">
        <f ca="1">IFERROR(__xludf.DUMMYFUNCTION("""COMPUTED_VALUE"""),"Yes")</f>
        <v>Yes</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IFERROR(__xludf.DUMMYFUNCTION("""COMPUTED_VALUE"""),"No")</f>
        <v>No</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IFERROR(__xludf.DUMMYFUNCTION("""COMPUTED_VALUE"""),"No")</f>
        <v>No</v>
      </c>
      <c r="AF5" s="5" t="str">
        <f ca="1">IFERROR(__xludf.DUMMYFUNCTION("""COMPUTED_VALUE"""),"Yes")</f>
        <v>Yes</v>
      </c>
      <c r="AG5" s="5" t="str">
        <f ca="1">IFERROR(__xludf.DUMMYFUNCTION("""COMPUTED_VALUE"""),"No")</f>
        <v>No</v>
      </c>
      <c r="AH5" s="5" t="str">
        <f ca="1">IFERROR(__xludf.DUMMYFUNCTION("""COMPUTED_VALUE"""),"No")</f>
        <v>No</v>
      </c>
      <c r="AI5" s="5" t="str">
        <f ca="1">IFERROR(__xludf.DUMMYFUNCTION("""COMPUTED_VALUE"""),"No")</f>
        <v>No</v>
      </c>
      <c r="AJ5" s="5" t="str">
        <f ca="1">IFERROR(__xludf.DUMMYFUNCTION("""COMPUTED_VALUE"""),"No")</f>
        <v>No</v>
      </c>
      <c r="AK5" s="5" t="str">
        <f ca="1">IFERROR(__xludf.DUMMYFUNCTION("""COMPUTED_VALUE"""),"No")</f>
        <v>No</v>
      </c>
      <c r="AL5" s="5" t="str">
        <f ca="1">IFERROR(__xludf.DUMMYFUNCTION("""COMPUTED_VALUE"""),"No")</f>
        <v>No</v>
      </c>
      <c r="AM5" s="5"/>
      <c r="AN5" s="5"/>
      <c r="AO5" s="5"/>
      <c r="AP5" s="5"/>
      <c r="AQ5" s="5"/>
      <c r="AR5" s="5"/>
      <c r="AS5" s="5"/>
      <c r="AT5" s="5"/>
      <c r="AU5" s="5"/>
      <c r="AV5" s="5"/>
      <c r="AW5" s="5"/>
      <c r="AX5" s="5"/>
      <c r="AY5" s="5"/>
    </row>
    <row r="6" spans="1:51" x14ac:dyDescent="0.25">
      <c r="A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6" s="5">
        <f ca="1">IFERROR(__xludf.DUMMYFUNCTION("""COMPUTED_VALUE"""),5)</f>
        <v>5</v>
      </c>
      <c r="C6" s="5">
        <f ca="1">IFERROR(__xludf.DUMMYFUNCTION("""COMPUTED_VALUE"""),4)</f>
        <v>4</v>
      </c>
      <c r="D6" s="5" t="str">
        <f ca="1">IFERROR(__xludf.DUMMYFUNCTION("""COMPUTED_VALUE"""),"VegasHot")</f>
        <v>VegasHot</v>
      </c>
      <c r="E6" s="5" t="str">
        <f ca="1">IFERROR(__xludf.DUMMYFUNCTION("""COMPUTED_VALUE"""),"Yes")</f>
        <v>Yes</v>
      </c>
      <c r="F6" s="5" t="str">
        <f ca="1">IFERROR(__xludf.DUMMYFUNCTION("""COMPUTED_VALUE"""),"Yes")</f>
        <v>Yes</v>
      </c>
      <c r="G6" s="5" t="str">
        <f ca="1">IFERROR(__xludf.DUMMYFUNCTION("""COMPUTED_VALUE"""),"Yes")</f>
        <v>Yes</v>
      </c>
      <c r="H6" s="5" t="str">
        <f ca="1">IFERROR(__xludf.DUMMYFUNCTION("""COMPUTED_VALUE"""),"Yes")</f>
        <v>Yes</v>
      </c>
      <c r="I6" s="5" t="str">
        <f ca="1">IFERROR(__xludf.DUMMYFUNCTION("""COMPUTED_VALUE"""),"Yes")</f>
        <v>Yes</v>
      </c>
      <c r="J6" s="5" t="str">
        <f ca="1">IFERROR(__xludf.DUMMYFUNCTION("""COMPUTED_VALUE"""),"Yes")</f>
        <v>Yes</v>
      </c>
      <c r="K6" s="5" t="str">
        <f ca="1">IFERROR(__xludf.DUMMYFUNCTION("""COMPUTED_VALUE"""),"Yes")</f>
        <v>Yes</v>
      </c>
      <c r="L6" s="5" t="str">
        <f ca="1">IFERROR(__xludf.DUMMYFUNCTION("""COMPUTED_VALUE"""),"Yes")</f>
        <v>Yes</v>
      </c>
      <c r="M6" s="5" t="str">
        <f ca="1">IFERROR(__xludf.DUMMYFUNCTION("""COMPUTED_VALUE"""),"Yes")</f>
        <v>Yes</v>
      </c>
      <c r="N6" s="5" t="str">
        <f ca="1">IFERROR(__xludf.DUMMYFUNCTION("""COMPUTED_VALUE"""),"Yes")</f>
        <v>Yes</v>
      </c>
      <c r="O6" s="5" t="str">
        <f ca="1">IFERROR(__xludf.DUMMYFUNCTION("""COMPUTED_VALUE"""),"Yes")</f>
        <v>Yes</v>
      </c>
      <c r="P6" s="5" t="str">
        <f ca="1">IFERROR(__xludf.DUMMYFUNCTION("""COMPUTED_VALUE"""),"Yes")</f>
        <v>Yes</v>
      </c>
      <c r="Q6" s="5" t="str">
        <f ca="1">IFERROR(__xludf.DUMMYFUNCTION("""COMPUTED_VALUE"""),"Yes")</f>
        <v>Yes</v>
      </c>
      <c r="R6" s="5" t="str">
        <f ca="1">IFERROR(__xludf.DUMMYFUNCTION("""COMPUTED_VALUE"""),"Yes")</f>
        <v>Yes</v>
      </c>
      <c r="S6" s="5" t="str">
        <f ca="1">IFERROR(__xludf.DUMMYFUNCTION("""COMPUTED_VALUE"""),"Yes")</f>
        <v>Yes</v>
      </c>
      <c r="T6" s="5" t="str">
        <f ca="1">IFERROR(__xludf.DUMMYFUNCTION("""COMPUTED_VALUE"""),"Yes")</f>
        <v>Yes</v>
      </c>
      <c r="U6" s="5" t="str">
        <f ca="1">IFERROR(__xludf.DUMMYFUNCTION("""COMPUTED_VALUE"""),"Yes")</f>
        <v>Yes</v>
      </c>
      <c r="V6" s="5" t="str">
        <f ca="1">IFERROR(__xludf.DUMMYFUNCTION("""COMPUTED_VALUE"""),"Yes")</f>
        <v>Yes</v>
      </c>
      <c r="W6" s="5" t="str">
        <f ca="1">IFERROR(__xludf.DUMMYFUNCTION("""COMPUTED_VALUE"""),"Yes")</f>
        <v>Yes</v>
      </c>
      <c r="X6" s="5" t="str">
        <f ca="1">IFERROR(__xludf.DUMMYFUNCTION("""COMPUTED_VALUE"""),"Yes")</f>
        <v>Yes</v>
      </c>
      <c r="Y6" s="5"/>
      <c r="Z6" s="5"/>
      <c r="AA6" s="5"/>
      <c r="AB6" s="5"/>
      <c r="AC6" s="5" t="str">
        <f ca="1">IFERROR(__xludf.DUMMYFUNCTION("""COMPUTED_VALUE"""),"Yes")</f>
        <v>Yes</v>
      </c>
      <c r="AD6" s="5"/>
      <c r="AE6" s="5"/>
      <c r="AF6" s="5"/>
      <c r="AG6" s="5"/>
      <c r="AH6" s="5"/>
      <c r="AI6" s="5"/>
      <c r="AJ6" s="5"/>
      <c r="AK6" s="5"/>
      <c r="AL6" s="5"/>
      <c r="AM6" s="5"/>
      <c r="AN6" s="5"/>
      <c r="AO6" s="5"/>
      <c r="AP6" s="5"/>
      <c r="AQ6" s="5"/>
      <c r="AR6" s="5"/>
      <c r="AS6" s="5"/>
      <c r="AT6" s="5"/>
      <c r="AU6" s="5"/>
      <c r="AV6" s="5"/>
      <c r="AW6" s="5"/>
      <c r="AX6" s="5"/>
      <c r="AY6" s="5"/>
    </row>
    <row r="7" spans="1:51" x14ac:dyDescent="0.25">
      <c r="A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 s="5">
        <f ca="1">IFERROR(__xludf.DUMMYFUNCTION("""COMPUTED_VALUE"""),6)</f>
        <v>6</v>
      </c>
      <c r="C7" s="5">
        <f ca="1">IFERROR(__xludf.DUMMYFUNCTION("""COMPUTED_VALUE"""),5)</f>
        <v>5</v>
      </c>
      <c r="D7" s="5" t="str">
        <f ca="1">IFERROR(__xludf.DUMMYFUNCTION("""COMPUTED_VALUE"""),"FenixPlay")</f>
        <v>FenixPlay</v>
      </c>
      <c r="E7" s="5" t="str">
        <f ca="1">IFERROR(__xludf.DUMMYFUNCTION("""COMPUTED_VALUE"""),"Yes")</f>
        <v>Yes</v>
      </c>
      <c r="F7" s="5" t="str">
        <f ca="1">IFERROR(__xludf.DUMMYFUNCTION("""COMPUTED_VALUE"""),"Yes")</f>
        <v>Yes</v>
      </c>
      <c r="G7" s="5" t="str">
        <f ca="1">IFERROR(__xludf.DUMMYFUNCTION("""COMPUTED_VALUE"""),"Yes")</f>
        <v>Yes</v>
      </c>
      <c r="H7" s="5" t="str">
        <f ca="1">IFERROR(__xludf.DUMMYFUNCTION("""COMPUTED_VALUE"""),"Yes")</f>
        <v>Yes</v>
      </c>
      <c r="I7" s="5" t="str">
        <f ca="1">IFERROR(__xludf.DUMMYFUNCTION("""COMPUTED_VALUE"""),"Yes")</f>
        <v>Yes</v>
      </c>
      <c r="J7" s="5" t="str">
        <f ca="1">IFERROR(__xludf.DUMMYFUNCTION("""COMPUTED_VALUE"""),"Yes")</f>
        <v>Yes</v>
      </c>
      <c r="K7" s="5" t="str">
        <f ca="1">IFERROR(__xludf.DUMMYFUNCTION("""COMPUTED_VALUE"""),"Yes")</f>
        <v>Yes</v>
      </c>
      <c r="L7" s="5" t="str">
        <f ca="1">IFERROR(__xludf.DUMMYFUNCTION("""COMPUTED_VALUE"""),"Yes")</f>
        <v>Yes</v>
      </c>
      <c r="M7" s="5" t="str">
        <f ca="1">IFERROR(__xludf.DUMMYFUNCTION("""COMPUTED_VALUE"""),"Yes")</f>
        <v>Yes</v>
      </c>
      <c r="N7" s="5" t="str">
        <f ca="1">IFERROR(__xludf.DUMMYFUNCTION("""COMPUTED_VALUE"""),"Yes")</f>
        <v>Yes</v>
      </c>
      <c r="O7" s="5" t="str">
        <f ca="1">IFERROR(__xludf.DUMMYFUNCTION("""COMPUTED_VALUE"""),"Yes")</f>
        <v>Yes</v>
      </c>
      <c r="P7" s="5" t="str">
        <f ca="1">IFERROR(__xludf.DUMMYFUNCTION("""COMPUTED_VALUE"""),"Yes")</f>
        <v>Yes</v>
      </c>
      <c r="Q7" s="5" t="str">
        <f ca="1">IFERROR(__xludf.DUMMYFUNCTION("""COMPUTED_VALUE"""),"Yes")</f>
        <v>Yes</v>
      </c>
      <c r="R7" s="5" t="str">
        <f ca="1">IFERROR(__xludf.DUMMYFUNCTION("""COMPUTED_VALUE"""),"Yes")</f>
        <v>Yes</v>
      </c>
      <c r="S7" s="5" t="str">
        <f ca="1">IFERROR(__xludf.DUMMYFUNCTION("""COMPUTED_VALUE"""),"Yes")</f>
        <v>Yes</v>
      </c>
      <c r="T7" s="5" t="str">
        <f ca="1">IFERROR(__xludf.DUMMYFUNCTION("""COMPUTED_VALUE"""),"Yes")</f>
        <v>Yes</v>
      </c>
      <c r="U7" s="5" t="str">
        <f ca="1">IFERROR(__xludf.DUMMYFUNCTION("""COMPUTED_VALUE"""),"Yes")</f>
        <v>Yes</v>
      </c>
      <c r="V7" s="5" t="str">
        <f ca="1">IFERROR(__xludf.DUMMYFUNCTION("""COMPUTED_VALUE"""),"Yes")</f>
        <v>Yes</v>
      </c>
      <c r="W7" s="5" t="str">
        <f ca="1">IFERROR(__xludf.DUMMYFUNCTION("""COMPUTED_VALUE"""),"Yes")</f>
        <v>Yes</v>
      </c>
      <c r="X7" s="5" t="str">
        <f ca="1">IFERROR(__xludf.DUMMYFUNCTION("""COMPUTED_VALUE"""),"Yes")</f>
        <v>Yes</v>
      </c>
      <c r="Y7" s="5"/>
      <c r="Z7" s="5"/>
      <c r="AA7" s="5"/>
      <c r="AB7" s="5"/>
      <c r="AC7" s="5" t="str">
        <f ca="1">IFERROR(__xludf.DUMMYFUNCTION("""COMPUTED_VALUE"""),"Yes")</f>
        <v>Yes</v>
      </c>
      <c r="AD7" s="5"/>
      <c r="AE7" s="5"/>
      <c r="AF7" s="5"/>
      <c r="AG7" s="5"/>
      <c r="AH7" s="5"/>
      <c r="AI7" s="5"/>
      <c r="AJ7" s="5"/>
      <c r="AK7" s="5"/>
      <c r="AL7" s="5"/>
      <c r="AM7" s="5"/>
      <c r="AN7" s="5"/>
      <c r="AO7" s="5"/>
      <c r="AP7" s="5"/>
      <c r="AQ7" s="5"/>
      <c r="AR7" s="5"/>
      <c r="AS7" s="5"/>
      <c r="AT7" s="5"/>
      <c r="AU7" s="5"/>
      <c r="AV7" s="5"/>
      <c r="AW7" s="5"/>
      <c r="AX7" s="5"/>
      <c r="AY7" s="5"/>
    </row>
    <row r="8" spans="1:51" x14ac:dyDescent="0.25">
      <c r="A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 s="5">
        <f ca="1">IFERROR(__xludf.DUMMYFUNCTION("""COMPUTED_VALUE"""),7)</f>
        <v>7</v>
      </c>
      <c r="C8" s="5">
        <f ca="1">IFERROR(__xludf.DUMMYFUNCTION("""COMPUTED_VALUE"""),6)</f>
        <v>6</v>
      </c>
      <c r="D8" s="5" t="str">
        <f ca="1">IFERROR(__xludf.DUMMYFUNCTION("""COMPUTED_VALUE"""),"HotParty")</f>
        <v>HotParty</v>
      </c>
      <c r="E8" s="5" t="str">
        <f ca="1">IFERROR(__xludf.DUMMYFUNCTION("""COMPUTED_VALUE"""),"Yes")</f>
        <v>Yes</v>
      </c>
      <c r="F8" s="5" t="str">
        <f ca="1">IFERROR(__xludf.DUMMYFUNCTION("""COMPUTED_VALUE"""),"Yes")</f>
        <v>Yes</v>
      </c>
      <c r="G8" s="5" t="str">
        <f ca="1">IFERROR(__xludf.DUMMYFUNCTION("""COMPUTED_VALUE"""),"Yes")</f>
        <v>Yes</v>
      </c>
      <c r="H8" s="5" t="str">
        <f ca="1">IFERROR(__xludf.DUMMYFUNCTION("""COMPUTED_VALUE"""),"Yes")</f>
        <v>Yes</v>
      </c>
      <c r="I8" s="5" t="str">
        <f ca="1">IFERROR(__xludf.DUMMYFUNCTION("""COMPUTED_VALUE"""),"Yes")</f>
        <v>Yes</v>
      </c>
      <c r="J8" s="5" t="str">
        <f ca="1">IFERROR(__xludf.DUMMYFUNCTION("""COMPUTED_VALUE"""),"Yes")</f>
        <v>Yes</v>
      </c>
      <c r="K8" s="5" t="str">
        <f ca="1">IFERROR(__xludf.DUMMYFUNCTION("""COMPUTED_VALUE"""),"Yes")</f>
        <v>Yes</v>
      </c>
      <c r="L8" s="5" t="str">
        <f ca="1">IFERROR(__xludf.DUMMYFUNCTION("""COMPUTED_VALUE"""),"Yes")</f>
        <v>Yes</v>
      </c>
      <c r="M8" s="5" t="str">
        <f ca="1">IFERROR(__xludf.DUMMYFUNCTION("""COMPUTED_VALUE"""),"Yes")</f>
        <v>Yes</v>
      </c>
      <c r="N8" s="5" t="str">
        <f ca="1">IFERROR(__xludf.DUMMYFUNCTION("""COMPUTED_VALUE"""),"Yes")</f>
        <v>Yes</v>
      </c>
      <c r="O8" s="5" t="str">
        <f ca="1">IFERROR(__xludf.DUMMYFUNCTION("""COMPUTED_VALUE"""),"Yes")</f>
        <v>Yes</v>
      </c>
      <c r="P8" s="5" t="str">
        <f ca="1">IFERROR(__xludf.DUMMYFUNCTION("""COMPUTED_VALUE"""),"Yes")</f>
        <v>Yes</v>
      </c>
      <c r="Q8" s="5" t="str">
        <f ca="1">IFERROR(__xludf.DUMMYFUNCTION("""COMPUTED_VALUE"""),"Yes")</f>
        <v>Yes</v>
      </c>
      <c r="R8" s="5" t="str">
        <f ca="1">IFERROR(__xludf.DUMMYFUNCTION("""COMPUTED_VALUE"""),"Yes")</f>
        <v>Yes</v>
      </c>
      <c r="S8" s="5" t="str">
        <f ca="1">IFERROR(__xludf.DUMMYFUNCTION("""COMPUTED_VALUE"""),"Yes")</f>
        <v>Yes</v>
      </c>
      <c r="T8" s="5" t="str">
        <f ca="1">IFERROR(__xludf.DUMMYFUNCTION("""COMPUTED_VALUE"""),"Yes")</f>
        <v>Yes</v>
      </c>
      <c r="U8" s="5" t="str">
        <f ca="1">IFERROR(__xludf.DUMMYFUNCTION("""COMPUTED_VALUE"""),"Yes")</f>
        <v>Yes</v>
      </c>
      <c r="V8" s="5" t="str">
        <f ca="1">IFERROR(__xludf.DUMMYFUNCTION("""COMPUTED_VALUE"""),"Yes")</f>
        <v>Yes</v>
      </c>
      <c r="W8" s="5" t="str">
        <f ca="1">IFERROR(__xludf.DUMMYFUNCTION("""COMPUTED_VALUE"""),"Yes")</f>
        <v>Yes</v>
      </c>
      <c r="X8" s="5" t="str">
        <f ca="1">IFERROR(__xludf.DUMMYFUNCTION("""COMPUTED_VALUE"""),"Yes")</f>
        <v>Yes</v>
      </c>
      <c r="Y8" s="5"/>
      <c r="Z8" s="5"/>
      <c r="AA8" s="5"/>
      <c r="AB8" s="5"/>
      <c r="AC8" s="5" t="str">
        <f ca="1">IFERROR(__xludf.DUMMYFUNCTION("""COMPUTED_VALUE"""),"Yes")</f>
        <v>Yes</v>
      </c>
      <c r="AD8" s="5"/>
      <c r="AE8" s="5"/>
      <c r="AF8" s="5"/>
      <c r="AG8" s="5"/>
      <c r="AH8" s="5"/>
      <c r="AI8" s="5"/>
      <c r="AJ8" s="5"/>
      <c r="AK8" s="5"/>
      <c r="AL8" s="5"/>
      <c r="AM8" s="5"/>
      <c r="AN8" s="5"/>
      <c r="AO8" s="5"/>
      <c r="AP8" s="5"/>
      <c r="AQ8" s="5"/>
      <c r="AR8" s="5"/>
      <c r="AS8" s="5"/>
      <c r="AT8" s="5"/>
      <c r="AU8" s="5"/>
      <c r="AV8" s="5"/>
      <c r="AW8" s="5"/>
      <c r="AX8" s="5"/>
      <c r="AY8" s="5"/>
    </row>
    <row r="9" spans="1:51" x14ac:dyDescent="0.25">
      <c r="A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9" s="5">
        <f ca="1">IFERROR(__xludf.DUMMYFUNCTION("""COMPUTED_VALUE"""),8)</f>
        <v>8</v>
      </c>
      <c r="C9" s="5">
        <f ca="1">IFERROR(__xludf.DUMMYFUNCTION("""COMPUTED_VALUE"""),7)</f>
        <v>7</v>
      </c>
      <c r="D9" s="5" t="str">
        <f ca="1">IFERROR(__xludf.DUMMYFUNCTION("""COMPUTED_VALUE"""),"CaptainShark")</f>
        <v>CaptainShark</v>
      </c>
      <c r="E9" s="5" t="str">
        <f ca="1">IFERROR(__xludf.DUMMYFUNCTION("""COMPUTED_VALUE"""),"Yes")</f>
        <v>Yes</v>
      </c>
      <c r="F9" s="5" t="str">
        <f ca="1">IFERROR(__xludf.DUMMYFUNCTION("""COMPUTED_VALUE"""),"Yes")</f>
        <v>Yes</v>
      </c>
      <c r="G9" s="5" t="str">
        <f ca="1">IFERROR(__xludf.DUMMYFUNCTION("""COMPUTED_VALUE"""),"Yes")</f>
        <v>Yes</v>
      </c>
      <c r="H9" s="5" t="str">
        <f ca="1">IFERROR(__xludf.DUMMYFUNCTION("""COMPUTED_VALUE"""),"Yes")</f>
        <v>Yes</v>
      </c>
      <c r="I9" s="5" t="str">
        <f ca="1">IFERROR(__xludf.DUMMYFUNCTION("""COMPUTED_VALUE"""),"Yes")</f>
        <v>Yes</v>
      </c>
      <c r="J9" s="5" t="str">
        <f ca="1">IFERROR(__xludf.DUMMYFUNCTION("""COMPUTED_VALUE"""),"Yes")</f>
        <v>Yes</v>
      </c>
      <c r="K9" s="5" t="str">
        <f ca="1">IFERROR(__xludf.DUMMYFUNCTION("""COMPUTED_VALUE"""),"Yes")</f>
        <v>Yes</v>
      </c>
      <c r="L9" s="5" t="str">
        <f ca="1">IFERROR(__xludf.DUMMYFUNCTION("""COMPUTED_VALUE"""),"Yes")</f>
        <v>Yes</v>
      </c>
      <c r="M9" s="5" t="str">
        <f ca="1">IFERROR(__xludf.DUMMYFUNCTION("""COMPUTED_VALUE"""),"Yes")</f>
        <v>Yes</v>
      </c>
      <c r="N9" s="5" t="str">
        <f ca="1">IFERROR(__xludf.DUMMYFUNCTION("""COMPUTED_VALUE"""),"Yes")</f>
        <v>Yes</v>
      </c>
      <c r="O9" s="5" t="str">
        <f ca="1">IFERROR(__xludf.DUMMYFUNCTION("""COMPUTED_VALUE"""),"Yes")</f>
        <v>Yes</v>
      </c>
      <c r="P9" s="5" t="str">
        <f ca="1">IFERROR(__xludf.DUMMYFUNCTION("""COMPUTED_VALUE"""),"Yes")</f>
        <v>Yes</v>
      </c>
      <c r="Q9" s="5" t="str">
        <f ca="1">IFERROR(__xludf.DUMMYFUNCTION("""COMPUTED_VALUE"""),"Yes")</f>
        <v>Yes</v>
      </c>
      <c r="R9" s="5" t="str">
        <f ca="1">IFERROR(__xludf.DUMMYFUNCTION("""COMPUTED_VALUE"""),"Yes")</f>
        <v>Yes</v>
      </c>
      <c r="S9" s="5" t="str">
        <f ca="1">IFERROR(__xludf.DUMMYFUNCTION("""COMPUTED_VALUE"""),"Yes")</f>
        <v>Yes</v>
      </c>
      <c r="T9" s="5" t="str">
        <f ca="1">IFERROR(__xludf.DUMMYFUNCTION("""COMPUTED_VALUE"""),"Yes")</f>
        <v>Yes</v>
      </c>
      <c r="U9" s="5" t="str">
        <f ca="1">IFERROR(__xludf.DUMMYFUNCTION("""COMPUTED_VALUE"""),"Yes")</f>
        <v>Yes</v>
      </c>
      <c r="V9" s="5" t="str">
        <f ca="1">IFERROR(__xludf.DUMMYFUNCTION("""COMPUTED_VALUE"""),"Yes")</f>
        <v>Yes</v>
      </c>
      <c r="W9" s="5" t="str">
        <f ca="1">IFERROR(__xludf.DUMMYFUNCTION("""COMPUTED_VALUE"""),"Yes")</f>
        <v>Yes</v>
      </c>
      <c r="X9" s="5" t="str">
        <f ca="1">IFERROR(__xludf.DUMMYFUNCTION("""COMPUTED_VALUE"""),"Yes")</f>
        <v>Yes</v>
      </c>
      <c r="Y9" s="5"/>
      <c r="Z9" s="5"/>
      <c r="AA9" s="5"/>
      <c r="AB9" s="5"/>
      <c r="AC9" s="5" t="str">
        <f ca="1">IFERROR(__xludf.DUMMYFUNCTION("""COMPUTED_VALUE"""),"Yes")</f>
        <v>Yes</v>
      </c>
      <c r="AD9" s="5"/>
      <c r="AE9" s="5"/>
      <c r="AF9" s="5"/>
      <c r="AG9" s="5"/>
      <c r="AH9" s="5"/>
      <c r="AI9" s="5"/>
      <c r="AJ9" s="5"/>
      <c r="AK9" s="5"/>
      <c r="AL9" s="5"/>
      <c r="AM9" s="5"/>
      <c r="AN9" s="5"/>
      <c r="AO9" s="5"/>
      <c r="AP9" s="5"/>
      <c r="AQ9" s="5"/>
      <c r="AR9" s="5"/>
      <c r="AS9" s="5"/>
      <c r="AT9" s="5"/>
      <c r="AU9" s="5"/>
      <c r="AV9" s="5"/>
      <c r="AW9" s="5"/>
      <c r="AX9" s="5"/>
      <c r="AY9" s="5"/>
    </row>
    <row r="10" spans="1:51" x14ac:dyDescent="0.25">
      <c r="A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0" s="5">
        <f ca="1">IFERROR(__xludf.DUMMYFUNCTION("""COMPUTED_VALUE"""),9)</f>
        <v>9</v>
      </c>
      <c r="C10" s="5">
        <f ca="1">IFERROR(__xludf.DUMMYFUNCTION("""COMPUTED_VALUE"""),8)</f>
        <v>8</v>
      </c>
      <c r="D10" s="5" t="str">
        <f ca="1">IFERROR(__xludf.DUMMYFUNCTION("""COMPUTED_VALUE"""),"MagicTarget")</f>
        <v>MagicTarget</v>
      </c>
      <c r="E10" s="5" t="str">
        <f ca="1">IFERROR(__xludf.DUMMYFUNCTION("""COMPUTED_VALUE"""),"Yes")</f>
        <v>Yes</v>
      </c>
      <c r="F10" s="5" t="str">
        <f ca="1">IFERROR(__xludf.DUMMYFUNCTION("""COMPUTED_VALUE"""),"Yes")</f>
        <v>Yes</v>
      </c>
      <c r="G10" s="5" t="str">
        <f ca="1">IFERROR(__xludf.DUMMYFUNCTION("""COMPUTED_VALUE"""),"Yes")</f>
        <v>Yes</v>
      </c>
      <c r="H10" s="5" t="str">
        <f ca="1">IFERROR(__xludf.DUMMYFUNCTION("""COMPUTED_VALUE"""),"Yes")</f>
        <v>Yes</v>
      </c>
      <c r="I10" s="5" t="str">
        <f ca="1">IFERROR(__xludf.DUMMYFUNCTION("""COMPUTED_VALUE"""),"Yes")</f>
        <v>Yes</v>
      </c>
      <c r="J10" s="5" t="str">
        <f ca="1">IFERROR(__xludf.DUMMYFUNCTION("""COMPUTED_VALUE"""),"Yes")</f>
        <v>Yes</v>
      </c>
      <c r="K10" s="5" t="str">
        <f ca="1">IFERROR(__xludf.DUMMYFUNCTION("""COMPUTED_VALUE"""),"Yes")</f>
        <v>Yes</v>
      </c>
      <c r="L10" s="5" t="str">
        <f ca="1">IFERROR(__xludf.DUMMYFUNCTION("""COMPUTED_VALUE"""),"Yes")</f>
        <v>Yes</v>
      </c>
      <c r="M10" s="5" t="str">
        <f ca="1">IFERROR(__xludf.DUMMYFUNCTION("""COMPUTED_VALUE"""),"Yes")</f>
        <v>Yes</v>
      </c>
      <c r="N10" s="5" t="str">
        <f ca="1">IFERROR(__xludf.DUMMYFUNCTION("""COMPUTED_VALUE"""),"Yes")</f>
        <v>Yes</v>
      </c>
      <c r="O10" s="5" t="str">
        <f ca="1">IFERROR(__xludf.DUMMYFUNCTION("""COMPUTED_VALUE"""),"Yes")</f>
        <v>Yes</v>
      </c>
      <c r="P10" s="5" t="str">
        <f ca="1">IFERROR(__xludf.DUMMYFUNCTION("""COMPUTED_VALUE"""),"Yes")</f>
        <v>Yes</v>
      </c>
      <c r="Q10" s="5" t="str">
        <f ca="1">IFERROR(__xludf.DUMMYFUNCTION("""COMPUTED_VALUE"""),"Yes")</f>
        <v>Yes</v>
      </c>
      <c r="R10" s="5" t="str">
        <f ca="1">IFERROR(__xludf.DUMMYFUNCTION("""COMPUTED_VALUE"""),"Yes")</f>
        <v>Yes</v>
      </c>
      <c r="S10" s="5" t="str">
        <f ca="1">IFERROR(__xludf.DUMMYFUNCTION("""COMPUTED_VALUE"""),"Yes")</f>
        <v>Yes</v>
      </c>
      <c r="T10" s="5" t="str">
        <f ca="1">IFERROR(__xludf.DUMMYFUNCTION("""COMPUTED_VALUE"""),"Yes")</f>
        <v>Yes</v>
      </c>
      <c r="U10" s="5" t="str">
        <f ca="1">IFERROR(__xludf.DUMMYFUNCTION("""COMPUTED_VALUE"""),"Yes")</f>
        <v>Yes</v>
      </c>
      <c r="V10" s="5" t="str">
        <f ca="1">IFERROR(__xludf.DUMMYFUNCTION("""COMPUTED_VALUE"""),"Yes")</f>
        <v>Yes</v>
      </c>
      <c r="W10" s="5" t="str">
        <f ca="1">IFERROR(__xludf.DUMMYFUNCTION("""COMPUTED_VALUE"""),"Yes")</f>
        <v>Yes</v>
      </c>
      <c r="X10" s="5" t="str">
        <f ca="1">IFERROR(__xludf.DUMMYFUNCTION("""COMPUTED_VALUE"""),"Yes")</f>
        <v>Yes</v>
      </c>
      <c r="Y10" s="5"/>
      <c r="Z10" s="5"/>
      <c r="AA10" s="5"/>
      <c r="AB10" s="5"/>
      <c r="AC10" s="5" t="str">
        <f ca="1">IFERROR(__xludf.DUMMYFUNCTION("""COMPUTED_VALUE"""),"Yes")</f>
        <v>Yes</v>
      </c>
      <c r="AD10" s="5"/>
      <c r="AE10" s="5"/>
      <c r="AF10" s="5"/>
      <c r="AG10" s="5"/>
      <c r="AH10" s="5"/>
      <c r="AI10" s="5"/>
      <c r="AJ10" s="5"/>
      <c r="AK10" s="5"/>
      <c r="AL10" s="5"/>
      <c r="AM10" s="5"/>
      <c r="AN10" s="5"/>
      <c r="AO10" s="5"/>
      <c r="AP10" s="5"/>
      <c r="AQ10" s="5"/>
      <c r="AR10" s="5"/>
      <c r="AS10" s="5"/>
      <c r="AT10" s="5"/>
      <c r="AU10" s="5"/>
      <c r="AV10" s="5"/>
      <c r="AW10" s="5"/>
      <c r="AX10" s="5"/>
      <c r="AY10" s="5"/>
    </row>
    <row r="11" spans="1:51" x14ac:dyDescent="0.25">
      <c r="A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1" s="5">
        <f ca="1">IFERROR(__xludf.DUMMYFUNCTION("""COMPUTED_VALUE"""),10)</f>
        <v>10</v>
      </c>
      <c r="C11" s="5">
        <f ca="1">IFERROR(__xludf.DUMMYFUNCTION("""COMPUTED_VALUE"""),9)</f>
        <v>9</v>
      </c>
      <c r="D11" s="5" t="str">
        <f ca="1">IFERROR(__xludf.DUMMYFUNCTION("""COMPUTED_VALUE"""),"MagicOfTheRing")</f>
        <v>MagicOfTheRing</v>
      </c>
      <c r="E11" s="5" t="str">
        <f ca="1">IFERROR(__xludf.DUMMYFUNCTION("""COMPUTED_VALUE"""),"Yes")</f>
        <v>Yes</v>
      </c>
      <c r="F11" s="5" t="str">
        <f ca="1">IFERROR(__xludf.DUMMYFUNCTION("""COMPUTED_VALUE"""),"Yes")</f>
        <v>Yes</v>
      </c>
      <c r="G11" s="5" t="str">
        <f ca="1">IFERROR(__xludf.DUMMYFUNCTION("""COMPUTED_VALUE"""),"Yes")</f>
        <v>Yes</v>
      </c>
      <c r="H11" s="5" t="str">
        <f ca="1">IFERROR(__xludf.DUMMYFUNCTION("""COMPUTED_VALUE"""),"Yes")</f>
        <v>Yes</v>
      </c>
      <c r="I11" s="5" t="str">
        <f ca="1">IFERROR(__xludf.DUMMYFUNCTION("""COMPUTED_VALUE"""),"Yes")</f>
        <v>Yes</v>
      </c>
      <c r="J11" s="5" t="str">
        <f ca="1">IFERROR(__xludf.DUMMYFUNCTION("""COMPUTED_VALUE"""),"Yes")</f>
        <v>Yes</v>
      </c>
      <c r="K11" s="5" t="str">
        <f ca="1">IFERROR(__xludf.DUMMYFUNCTION("""COMPUTED_VALUE"""),"Yes")</f>
        <v>Yes</v>
      </c>
      <c r="L11" s="5" t="str">
        <f ca="1">IFERROR(__xludf.DUMMYFUNCTION("""COMPUTED_VALUE"""),"Yes")</f>
        <v>Yes</v>
      </c>
      <c r="M11" s="5" t="str">
        <f ca="1">IFERROR(__xludf.DUMMYFUNCTION("""COMPUTED_VALUE"""),"Yes")</f>
        <v>Yes</v>
      </c>
      <c r="N11" s="5" t="str">
        <f ca="1">IFERROR(__xludf.DUMMYFUNCTION("""COMPUTED_VALUE"""),"Yes")</f>
        <v>Yes</v>
      </c>
      <c r="O11" s="5" t="str">
        <f ca="1">IFERROR(__xludf.DUMMYFUNCTION("""COMPUTED_VALUE"""),"Yes")</f>
        <v>Yes</v>
      </c>
      <c r="P11" s="5" t="str">
        <f ca="1">IFERROR(__xludf.DUMMYFUNCTION("""COMPUTED_VALUE"""),"Yes")</f>
        <v>Yes</v>
      </c>
      <c r="Q11" s="5" t="str">
        <f ca="1">IFERROR(__xludf.DUMMYFUNCTION("""COMPUTED_VALUE"""),"Yes")</f>
        <v>Yes</v>
      </c>
      <c r="R11" s="5" t="str">
        <f ca="1">IFERROR(__xludf.DUMMYFUNCTION("""COMPUTED_VALUE"""),"Yes")</f>
        <v>Yes</v>
      </c>
      <c r="S11" s="5" t="str">
        <f ca="1">IFERROR(__xludf.DUMMYFUNCTION("""COMPUTED_VALUE"""),"Yes")</f>
        <v>Yes</v>
      </c>
      <c r="T11" s="5" t="str">
        <f ca="1">IFERROR(__xludf.DUMMYFUNCTION("""COMPUTED_VALUE"""),"Yes")</f>
        <v>Yes</v>
      </c>
      <c r="U11" s="5" t="str">
        <f ca="1">IFERROR(__xludf.DUMMYFUNCTION("""COMPUTED_VALUE"""),"Yes")</f>
        <v>Yes</v>
      </c>
      <c r="V11" s="5" t="str">
        <f ca="1">IFERROR(__xludf.DUMMYFUNCTION("""COMPUTED_VALUE"""),"Yes")</f>
        <v>Yes</v>
      </c>
      <c r="W11" s="5" t="str">
        <f ca="1">IFERROR(__xludf.DUMMYFUNCTION("""COMPUTED_VALUE"""),"Yes")</f>
        <v>Yes</v>
      </c>
      <c r="X11" s="5" t="str">
        <f ca="1">IFERROR(__xludf.DUMMYFUNCTION("""COMPUTED_VALUE"""),"Yes")</f>
        <v>Yes</v>
      </c>
      <c r="Y11" s="5"/>
      <c r="Z11" s="5"/>
      <c r="AA11" s="5"/>
      <c r="AB11" s="5"/>
      <c r="AC11" s="5" t="str">
        <f ca="1">IFERROR(__xludf.DUMMYFUNCTION("""COMPUTED_VALUE"""),"Yes")</f>
        <v>Yes</v>
      </c>
      <c r="AD11" s="5"/>
      <c r="AE11" s="5"/>
      <c r="AF11" s="5"/>
      <c r="AG11" s="5"/>
      <c r="AH11" s="5"/>
      <c r="AI11" s="5"/>
      <c r="AJ11" s="5"/>
      <c r="AK11" s="5"/>
      <c r="AL11" s="5"/>
      <c r="AM11" s="5"/>
      <c r="AN11" s="5"/>
      <c r="AO11" s="5"/>
      <c r="AP11" s="5"/>
      <c r="AQ11" s="5"/>
      <c r="AR11" s="5"/>
      <c r="AS11" s="5"/>
      <c r="AT11" s="5"/>
      <c r="AU11" s="5"/>
      <c r="AV11" s="5"/>
      <c r="AW11" s="5"/>
      <c r="AX11" s="5"/>
      <c r="AY11" s="5"/>
    </row>
    <row r="12" spans="1:51" x14ac:dyDescent="0.25">
      <c r="A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 s="5">
        <f ca="1">IFERROR(__xludf.DUMMYFUNCTION("""COMPUTED_VALUE"""),11)</f>
        <v>11</v>
      </c>
      <c r="C12" s="5">
        <f ca="1">IFERROR(__xludf.DUMMYFUNCTION("""COMPUTED_VALUE"""),10)</f>
        <v>10</v>
      </c>
      <c r="D12" s="5" t="str">
        <f ca="1">IFERROR(__xludf.DUMMYFUNCTION("""COMPUTED_VALUE"""),"Hot777")</f>
        <v>Hot777</v>
      </c>
      <c r="E12" s="5" t="str">
        <f ca="1">IFERROR(__xludf.DUMMYFUNCTION("""COMPUTED_VALUE"""),"Yes")</f>
        <v>Yes</v>
      </c>
      <c r="F12" s="5" t="str">
        <f ca="1">IFERROR(__xludf.DUMMYFUNCTION("""COMPUTED_VALUE"""),"Yes")</f>
        <v>Yes</v>
      </c>
      <c r="G12" s="5" t="str">
        <f ca="1">IFERROR(__xludf.DUMMYFUNCTION("""COMPUTED_VALUE"""),"Yes")</f>
        <v>Yes</v>
      </c>
      <c r="H12" s="5" t="str">
        <f ca="1">IFERROR(__xludf.DUMMYFUNCTION("""COMPUTED_VALUE"""),"Yes")</f>
        <v>Yes</v>
      </c>
      <c r="I12" s="5" t="str">
        <f ca="1">IFERROR(__xludf.DUMMYFUNCTION("""COMPUTED_VALUE"""),"Yes")</f>
        <v>Yes</v>
      </c>
      <c r="J12" s="5" t="str">
        <f ca="1">IFERROR(__xludf.DUMMYFUNCTION("""COMPUTED_VALUE"""),"Yes")</f>
        <v>Yes</v>
      </c>
      <c r="K12" s="5" t="str">
        <f ca="1">IFERROR(__xludf.DUMMYFUNCTION("""COMPUTED_VALUE"""),"Yes")</f>
        <v>Yes</v>
      </c>
      <c r="L12" s="5" t="str">
        <f ca="1">IFERROR(__xludf.DUMMYFUNCTION("""COMPUTED_VALUE"""),"Yes")</f>
        <v>Yes</v>
      </c>
      <c r="M12" s="5" t="str">
        <f ca="1">IFERROR(__xludf.DUMMYFUNCTION("""COMPUTED_VALUE"""),"Yes")</f>
        <v>Yes</v>
      </c>
      <c r="N12" s="5" t="str">
        <f ca="1">IFERROR(__xludf.DUMMYFUNCTION("""COMPUTED_VALUE"""),"Yes")</f>
        <v>Yes</v>
      </c>
      <c r="O12" s="5" t="str">
        <f ca="1">IFERROR(__xludf.DUMMYFUNCTION("""COMPUTED_VALUE"""),"Yes")</f>
        <v>Yes</v>
      </c>
      <c r="P12" s="5" t="str">
        <f ca="1">IFERROR(__xludf.DUMMYFUNCTION("""COMPUTED_VALUE"""),"Yes")</f>
        <v>Yes</v>
      </c>
      <c r="Q12" s="5" t="str">
        <f ca="1">IFERROR(__xludf.DUMMYFUNCTION("""COMPUTED_VALUE"""),"Yes")</f>
        <v>Yes</v>
      </c>
      <c r="R12" s="5" t="str">
        <f ca="1">IFERROR(__xludf.DUMMYFUNCTION("""COMPUTED_VALUE"""),"Yes")</f>
        <v>Yes</v>
      </c>
      <c r="S12" s="5" t="str">
        <f ca="1">IFERROR(__xludf.DUMMYFUNCTION("""COMPUTED_VALUE"""),"Yes")</f>
        <v>Yes</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IFERROR(__xludf.DUMMYFUNCTION("""COMPUTED_VALUE"""),"Yes")</f>
        <v>Yes</v>
      </c>
      <c r="X12" s="5" t="str">
        <f ca="1">IFERROR(__xludf.DUMMYFUNCTION("""COMPUTED_VALUE"""),"Yes")</f>
        <v>Yes</v>
      </c>
      <c r="Y12" s="5"/>
      <c r="Z12" s="5"/>
      <c r="AA12" s="5"/>
      <c r="AB12" s="5"/>
      <c r="AC12" s="5" t="str">
        <f ca="1">IFERROR(__xludf.DUMMYFUNCTION("""COMPUTED_VALUE"""),"Yes")</f>
        <v>Yes</v>
      </c>
      <c r="AD12" s="5"/>
      <c r="AE12" s="5"/>
      <c r="AF12" s="5"/>
      <c r="AG12" s="5"/>
      <c r="AH12" s="5"/>
      <c r="AI12" s="5"/>
      <c r="AJ12" s="5"/>
      <c r="AK12" s="5"/>
      <c r="AL12" s="5"/>
      <c r="AM12" s="5"/>
      <c r="AN12" s="5"/>
      <c r="AO12" s="5"/>
      <c r="AP12" s="5"/>
      <c r="AQ12" s="5"/>
      <c r="AR12" s="5"/>
      <c r="AS12" s="5"/>
      <c r="AT12" s="5"/>
      <c r="AU12" s="5"/>
      <c r="AV12" s="5"/>
      <c r="AW12" s="5"/>
      <c r="AX12" s="5"/>
      <c r="AY12" s="5"/>
    </row>
    <row r="13" spans="1:51" x14ac:dyDescent="0.25">
      <c r="A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3" s="5">
        <f ca="1">IFERROR(__xludf.DUMMYFUNCTION("""COMPUTED_VALUE"""),12)</f>
        <v>12</v>
      </c>
      <c r="C13" s="5">
        <f ca="1">IFERROR(__xludf.DUMMYFUNCTION("""COMPUTED_VALUE"""),11)</f>
        <v>11</v>
      </c>
      <c r="D13" s="5" t="str">
        <f ca="1">IFERROR(__xludf.DUMMYFUNCTION("""COMPUTED_VALUE"""),"MagicFruits")</f>
        <v>MagicFruits</v>
      </c>
      <c r="E13" s="5" t="str">
        <f ca="1">IFERROR(__xludf.DUMMYFUNCTION("""COMPUTED_VALUE"""),"Yes")</f>
        <v>Yes</v>
      </c>
      <c r="F13" s="5" t="str">
        <f ca="1">IFERROR(__xludf.DUMMYFUNCTION("""COMPUTED_VALUE"""),"Yes")</f>
        <v>Yes</v>
      </c>
      <c r="G13" s="5" t="str">
        <f ca="1">IFERROR(__xludf.DUMMYFUNCTION("""COMPUTED_VALUE"""),"Yes")</f>
        <v>Yes</v>
      </c>
      <c r="H13" s="5" t="str">
        <f ca="1">IFERROR(__xludf.DUMMYFUNCTION("""COMPUTED_VALUE"""),"Yes")</f>
        <v>Yes</v>
      </c>
      <c r="I13" s="5" t="str">
        <f ca="1">IFERROR(__xludf.DUMMYFUNCTION("""COMPUTED_VALUE"""),"Yes")</f>
        <v>Yes</v>
      </c>
      <c r="J13" s="5" t="str">
        <f ca="1">IFERROR(__xludf.DUMMYFUNCTION("""COMPUTED_VALUE"""),"Yes")</f>
        <v>Yes</v>
      </c>
      <c r="K13" s="5" t="str">
        <f ca="1">IFERROR(__xludf.DUMMYFUNCTION("""COMPUTED_VALUE"""),"Yes")</f>
        <v>Yes</v>
      </c>
      <c r="L13" s="5" t="str">
        <f ca="1">IFERROR(__xludf.DUMMYFUNCTION("""COMPUTED_VALUE"""),"Yes")</f>
        <v>Yes</v>
      </c>
      <c r="M13" s="5" t="str">
        <f ca="1">IFERROR(__xludf.DUMMYFUNCTION("""COMPUTED_VALUE"""),"Yes")</f>
        <v>Yes</v>
      </c>
      <c r="N13" s="5" t="str">
        <f ca="1">IFERROR(__xludf.DUMMYFUNCTION("""COMPUTED_VALUE"""),"Yes")</f>
        <v>Yes</v>
      </c>
      <c r="O13" s="5" t="str">
        <f ca="1">IFERROR(__xludf.DUMMYFUNCTION("""COMPUTED_VALUE"""),"Yes")</f>
        <v>Yes</v>
      </c>
      <c r="P13" s="5" t="str">
        <f ca="1">IFERROR(__xludf.DUMMYFUNCTION("""COMPUTED_VALUE"""),"Yes")</f>
        <v>Yes</v>
      </c>
      <c r="Q13" s="5" t="str">
        <f ca="1">IFERROR(__xludf.DUMMYFUNCTION("""COMPUTED_VALUE"""),"Yes")</f>
        <v>Yes</v>
      </c>
      <c r="R13" s="5" t="str">
        <f ca="1">IFERROR(__xludf.DUMMYFUNCTION("""COMPUTED_VALUE"""),"Yes")</f>
        <v>Yes</v>
      </c>
      <c r="S13" s="5" t="str">
        <f ca="1">IFERROR(__xludf.DUMMYFUNCTION("""COMPUTED_VALUE"""),"Yes")</f>
        <v>Yes</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IFERROR(__xludf.DUMMYFUNCTION("""COMPUTED_VALUE"""),"Yes")</f>
        <v>Yes</v>
      </c>
      <c r="X13" s="5" t="str">
        <f ca="1">IFERROR(__xludf.DUMMYFUNCTION("""COMPUTED_VALUE"""),"Yes")</f>
        <v>Yes</v>
      </c>
      <c r="Y13" s="5"/>
      <c r="Z13" s="5"/>
      <c r="AA13" s="5"/>
      <c r="AB13" s="5"/>
      <c r="AC13" s="5" t="str">
        <f ca="1">IFERROR(__xludf.DUMMYFUNCTION("""COMPUTED_VALUE"""),"Yes")</f>
        <v>Yes</v>
      </c>
      <c r="AD13" s="5"/>
      <c r="AE13" s="5"/>
      <c r="AF13" s="5"/>
      <c r="AG13" s="5"/>
      <c r="AH13" s="5"/>
      <c r="AI13" s="5"/>
      <c r="AJ13" s="5"/>
      <c r="AK13" s="5"/>
      <c r="AL13" s="5"/>
      <c r="AM13" s="5"/>
      <c r="AN13" s="5"/>
      <c r="AO13" s="5"/>
      <c r="AP13" s="5"/>
      <c r="AQ13" s="5"/>
      <c r="AR13" s="5"/>
      <c r="AS13" s="5"/>
      <c r="AT13" s="5"/>
      <c r="AU13" s="5"/>
      <c r="AV13" s="5"/>
      <c r="AW13" s="5"/>
      <c r="AX13" s="5"/>
      <c r="AY13" s="5"/>
    </row>
    <row r="14" spans="1:51" x14ac:dyDescent="0.25">
      <c r="A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 s="5">
        <f ca="1">IFERROR(__xludf.DUMMYFUNCTION("""COMPUTED_VALUE"""),13)</f>
        <v>13</v>
      </c>
      <c r="C14" s="5">
        <f ca="1">IFERROR(__xludf.DUMMYFUNCTION("""COMPUTED_VALUE"""),12)</f>
        <v>12</v>
      </c>
      <c r="D14" s="5" t="str">
        <f ca="1">IFERROR(__xludf.DUMMYFUNCTION("""COMPUTED_VALUE"""),"Spellbook")</f>
        <v>Spellbook</v>
      </c>
      <c r="E14" s="5" t="str">
        <f ca="1">IFERROR(__xludf.DUMMYFUNCTION("""COMPUTED_VALUE"""),"Yes")</f>
        <v>Yes</v>
      </c>
      <c r="F14" s="5" t="str">
        <f ca="1">IFERROR(__xludf.DUMMYFUNCTION("""COMPUTED_VALUE"""),"Yes")</f>
        <v>Yes</v>
      </c>
      <c r="G14" s="5" t="str">
        <f ca="1">IFERROR(__xludf.DUMMYFUNCTION("""COMPUTED_VALUE"""),"Yes")</f>
        <v>Yes</v>
      </c>
      <c r="H14" s="5" t="str">
        <f ca="1">IFERROR(__xludf.DUMMYFUNCTION("""COMPUTED_VALUE"""),"Yes")</f>
        <v>Yes</v>
      </c>
      <c r="I14" s="5" t="str">
        <f ca="1">IFERROR(__xludf.DUMMYFUNCTION("""COMPUTED_VALUE"""),"Yes")</f>
        <v>Yes</v>
      </c>
      <c r="J14" s="5" t="str">
        <f ca="1">IFERROR(__xludf.DUMMYFUNCTION("""COMPUTED_VALUE"""),"Yes")</f>
        <v>Yes</v>
      </c>
      <c r="K14" s="5" t="str">
        <f ca="1">IFERROR(__xludf.DUMMYFUNCTION("""COMPUTED_VALUE"""),"Yes")</f>
        <v>Yes</v>
      </c>
      <c r="L14" s="5" t="str">
        <f ca="1">IFERROR(__xludf.DUMMYFUNCTION("""COMPUTED_VALUE"""),"Yes")</f>
        <v>Yes</v>
      </c>
      <c r="M14" s="5" t="str">
        <f ca="1">IFERROR(__xludf.DUMMYFUNCTION("""COMPUTED_VALUE"""),"Yes")</f>
        <v>Yes</v>
      </c>
      <c r="N14" s="5" t="str">
        <f ca="1">IFERROR(__xludf.DUMMYFUNCTION("""COMPUTED_VALUE"""),"Yes")</f>
        <v>Yes</v>
      </c>
      <c r="O14" s="5" t="str">
        <f ca="1">IFERROR(__xludf.DUMMYFUNCTION("""COMPUTED_VALUE"""),"Yes")</f>
        <v>Yes</v>
      </c>
      <c r="P14" s="5" t="str">
        <f ca="1">IFERROR(__xludf.DUMMYFUNCTION("""COMPUTED_VALUE"""),"Yes")</f>
        <v>Yes</v>
      </c>
      <c r="Q14" s="5" t="str">
        <f ca="1">IFERROR(__xludf.DUMMYFUNCTION("""COMPUTED_VALUE"""),"Yes")</f>
        <v>Yes</v>
      </c>
      <c r="R14" s="5" t="str">
        <f ca="1">IFERROR(__xludf.DUMMYFUNCTION("""COMPUTED_VALUE"""),"Yes")</f>
        <v>Yes</v>
      </c>
      <c r="S14" s="5" t="str">
        <f ca="1">IFERROR(__xludf.DUMMYFUNCTION("""COMPUTED_VALUE"""),"Yes")</f>
        <v>Yes</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IFERROR(__xludf.DUMMYFUNCTION("""COMPUTED_VALUE"""),"No")</f>
        <v>No</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IFERROR(__xludf.DUMMYFUNCTION("""COMPUTED_VALUE"""),"No")</f>
        <v>No</v>
      </c>
      <c r="AF14" s="5" t="str">
        <f ca="1">IFERROR(__xludf.DUMMYFUNCTION("""COMPUTED_VALUE"""),"Yes")</f>
        <v>Yes</v>
      </c>
      <c r="AG14" s="5" t="str">
        <f ca="1">IFERROR(__xludf.DUMMYFUNCTION("""COMPUTED_VALUE"""),"No")</f>
        <v>No</v>
      </c>
      <c r="AH14" s="5" t="str">
        <f ca="1">IFERROR(__xludf.DUMMYFUNCTION("""COMPUTED_VALUE"""),"No")</f>
        <v>No</v>
      </c>
      <c r="AI14" s="5" t="str">
        <f ca="1">IFERROR(__xludf.DUMMYFUNCTION("""COMPUTED_VALUE"""),"No")</f>
        <v>No</v>
      </c>
      <c r="AJ14" s="5" t="str">
        <f ca="1">IFERROR(__xludf.DUMMYFUNCTION("""COMPUTED_VALUE"""),"No")</f>
        <v>No</v>
      </c>
      <c r="AK14" s="5" t="str">
        <f ca="1">IFERROR(__xludf.DUMMYFUNCTION("""COMPUTED_VALUE"""),"No")</f>
        <v>No</v>
      </c>
      <c r="AL14" s="5" t="str">
        <f ca="1">IFERROR(__xludf.DUMMYFUNCTION("""COMPUTED_VALUE"""),"No")</f>
        <v>No</v>
      </c>
      <c r="AM14" s="5"/>
      <c r="AN14" s="5"/>
      <c r="AO14" s="5"/>
      <c r="AP14" s="5"/>
      <c r="AQ14" s="5"/>
      <c r="AR14" s="5"/>
      <c r="AS14" s="5"/>
      <c r="AT14" s="5"/>
      <c r="AU14" s="5"/>
      <c r="AV14" s="5"/>
      <c r="AW14" s="5"/>
      <c r="AX14" s="5"/>
      <c r="AY14" s="5"/>
    </row>
    <row r="15" spans="1:51" x14ac:dyDescent="0.25">
      <c r="A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 s="5">
        <f ca="1">IFERROR(__xludf.DUMMYFUNCTION("""COMPUTED_VALUE"""),14)</f>
        <v>14</v>
      </c>
      <c r="C15" s="5">
        <f ca="1">IFERROR(__xludf.DUMMYFUNCTION("""COMPUTED_VALUE"""),13)</f>
        <v>13</v>
      </c>
      <c r="D15" s="5" t="str">
        <f ca="1">IFERROR(__xludf.DUMMYFUNCTION("""COMPUTED_VALUE"""),"WildWest")</f>
        <v>WildWest</v>
      </c>
      <c r="E15" s="5" t="str">
        <f ca="1">IFERROR(__xludf.DUMMYFUNCTION("""COMPUTED_VALUE"""),"Yes")</f>
        <v>Yes</v>
      </c>
      <c r="F15" s="5" t="str">
        <f ca="1">IFERROR(__xludf.DUMMYFUNCTION("""COMPUTED_VALUE"""),"Yes")</f>
        <v>Yes</v>
      </c>
      <c r="G15" s="5" t="str">
        <f ca="1">IFERROR(__xludf.DUMMYFUNCTION("""COMPUTED_VALUE"""),"Yes")</f>
        <v>Yes</v>
      </c>
      <c r="H15" s="5" t="str">
        <f ca="1">IFERROR(__xludf.DUMMYFUNCTION("""COMPUTED_VALUE"""),"Yes")</f>
        <v>Yes</v>
      </c>
      <c r="I15" s="5" t="str">
        <f ca="1">IFERROR(__xludf.DUMMYFUNCTION("""COMPUTED_VALUE"""),"Yes")</f>
        <v>Yes</v>
      </c>
      <c r="J15" s="5" t="str">
        <f ca="1">IFERROR(__xludf.DUMMYFUNCTION("""COMPUTED_VALUE"""),"Yes")</f>
        <v>Yes</v>
      </c>
      <c r="K15" s="5" t="str">
        <f ca="1">IFERROR(__xludf.DUMMYFUNCTION("""COMPUTED_VALUE"""),"Yes")</f>
        <v>Yes</v>
      </c>
      <c r="L15" s="5" t="str">
        <f ca="1">IFERROR(__xludf.DUMMYFUNCTION("""COMPUTED_VALUE"""),"Yes")</f>
        <v>Yes</v>
      </c>
      <c r="M15" s="5" t="str">
        <f ca="1">IFERROR(__xludf.DUMMYFUNCTION("""COMPUTED_VALUE"""),"Yes")</f>
        <v>Yes</v>
      </c>
      <c r="N15" s="5" t="str">
        <f ca="1">IFERROR(__xludf.DUMMYFUNCTION("""COMPUTED_VALUE"""),"Yes")</f>
        <v>Yes</v>
      </c>
      <c r="O15" s="5" t="str">
        <f ca="1">IFERROR(__xludf.DUMMYFUNCTION("""COMPUTED_VALUE"""),"Yes")</f>
        <v>Yes</v>
      </c>
      <c r="P15" s="5" t="str">
        <f ca="1">IFERROR(__xludf.DUMMYFUNCTION("""COMPUTED_VALUE"""),"Yes")</f>
        <v>Yes</v>
      </c>
      <c r="Q15" s="5" t="str">
        <f ca="1">IFERROR(__xludf.DUMMYFUNCTION("""COMPUTED_VALUE"""),"Yes")</f>
        <v>Yes</v>
      </c>
      <c r="R15" s="5" t="str">
        <f ca="1">IFERROR(__xludf.DUMMYFUNCTION("""COMPUTED_VALUE"""),"Yes")</f>
        <v>Yes</v>
      </c>
      <c r="S15" s="5" t="str">
        <f ca="1">IFERROR(__xludf.DUMMYFUNCTION("""COMPUTED_VALUE"""),"Yes")</f>
        <v>Yes</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IFERROR(__xludf.DUMMYFUNCTION("""COMPUTED_VALUE"""),"No")</f>
        <v>No</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IFERROR(__xludf.DUMMYFUNCTION("""COMPUTED_VALUE"""),"No")</f>
        <v>No</v>
      </c>
      <c r="AF15" s="5" t="str">
        <f ca="1">IFERROR(__xludf.DUMMYFUNCTION("""COMPUTED_VALUE"""),"Yes")</f>
        <v>Yes</v>
      </c>
      <c r="AG15" s="5" t="str">
        <f ca="1">IFERROR(__xludf.DUMMYFUNCTION("""COMPUTED_VALUE"""),"No")</f>
        <v>No</v>
      </c>
      <c r="AH15" s="5" t="str">
        <f ca="1">IFERROR(__xludf.DUMMYFUNCTION("""COMPUTED_VALUE"""),"No")</f>
        <v>No</v>
      </c>
      <c r="AI15" s="5" t="str">
        <f ca="1">IFERROR(__xludf.DUMMYFUNCTION("""COMPUTED_VALUE"""),"No")</f>
        <v>No</v>
      </c>
      <c r="AJ15" s="5" t="str">
        <f ca="1">IFERROR(__xludf.DUMMYFUNCTION("""COMPUTED_VALUE"""),"No")</f>
        <v>No</v>
      </c>
      <c r="AK15" s="5" t="str">
        <f ca="1">IFERROR(__xludf.DUMMYFUNCTION("""COMPUTED_VALUE"""),"No")</f>
        <v>No</v>
      </c>
      <c r="AL15" s="5" t="str">
        <f ca="1">IFERROR(__xludf.DUMMYFUNCTION("""COMPUTED_VALUE"""),"No")</f>
        <v>No</v>
      </c>
      <c r="AM15" s="5"/>
      <c r="AN15" s="5"/>
      <c r="AO15" s="5"/>
      <c r="AP15" s="5"/>
      <c r="AQ15" s="5"/>
      <c r="AR15" s="5"/>
      <c r="AS15" s="5"/>
      <c r="AT15" s="5"/>
      <c r="AU15" s="5"/>
      <c r="AV15" s="5"/>
      <c r="AW15" s="5"/>
      <c r="AX15" s="5"/>
      <c r="AY15" s="5"/>
    </row>
    <row r="16" spans="1:51" x14ac:dyDescent="0.25">
      <c r="A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6" s="5">
        <f ca="1">IFERROR(__xludf.DUMMYFUNCTION("""COMPUTED_VALUE"""),15)</f>
        <v>15</v>
      </c>
      <c r="C16" s="5">
        <f ca="1">IFERROR(__xludf.DUMMYFUNCTION("""COMPUTED_VALUE"""),14)</f>
        <v>14</v>
      </c>
      <c r="D16" s="5" t="str">
        <f ca="1">IFERROR(__xludf.DUMMYFUNCTION("""COMPUTED_VALUE"""),"RollingDices81")</f>
        <v>RollingDices81</v>
      </c>
      <c r="E16" s="5" t="str">
        <f ca="1">IFERROR(__xludf.DUMMYFUNCTION("""COMPUTED_VALUE"""),"Yes")</f>
        <v>Yes</v>
      </c>
      <c r="F16" s="5" t="str">
        <f ca="1">IFERROR(__xludf.DUMMYFUNCTION("""COMPUTED_VALUE"""),"Yes")</f>
        <v>Yes</v>
      </c>
      <c r="G16" s="5" t="str">
        <f ca="1">IFERROR(__xludf.DUMMYFUNCTION("""COMPUTED_VALUE"""),"Yes")</f>
        <v>Yes</v>
      </c>
      <c r="H16" s="5" t="str">
        <f ca="1">IFERROR(__xludf.DUMMYFUNCTION("""COMPUTED_VALUE"""),"Yes")</f>
        <v>Yes</v>
      </c>
      <c r="I16" s="5" t="str">
        <f ca="1">IFERROR(__xludf.DUMMYFUNCTION("""COMPUTED_VALUE"""),"Yes")</f>
        <v>Yes</v>
      </c>
      <c r="J16" s="5" t="str">
        <f ca="1">IFERROR(__xludf.DUMMYFUNCTION("""COMPUTED_VALUE"""),"Yes")</f>
        <v>Yes</v>
      </c>
      <c r="K16" s="5" t="str">
        <f ca="1">IFERROR(__xludf.DUMMYFUNCTION("""COMPUTED_VALUE"""),"Yes")</f>
        <v>Yes</v>
      </c>
      <c r="L16" s="5" t="str">
        <f ca="1">IFERROR(__xludf.DUMMYFUNCTION("""COMPUTED_VALUE"""),"Yes")</f>
        <v>Yes</v>
      </c>
      <c r="M16" s="5" t="str">
        <f ca="1">IFERROR(__xludf.DUMMYFUNCTION("""COMPUTED_VALUE"""),"Yes")</f>
        <v>Yes</v>
      </c>
      <c r="N16" s="5" t="str">
        <f ca="1">IFERROR(__xludf.DUMMYFUNCTION("""COMPUTED_VALUE"""),"Yes")</f>
        <v>Yes</v>
      </c>
      <c r="O16" s="5" t="str">
        <f ca="1">IFERROR(__xludf.DUMMYFUNCTION("""COMPUTED_VALUE"""),"Yes")</f>
        <v>Yes</v>
      </c>
      <c r="P16" s="5" t="str">
        <f ca="1">IFERROR(__xludf.DUMMYFUNCTION("""COMPUTED_VALUE"""),"Yes")</f>
        <v>Yes</v>
      </c>
      <c r="Q16" s="5" t="str">
        <f ca="1">IFERROR(__xludf.DUMMYFUNCTION("""COMPUTED_VALUE"""),"Yes")</f>
        <v>Yes</v>
      </c>
      <c r="R16" s="5" t="str">
        <f ca="1">IFERROR(__xludf.DUMMYFUNCTION("""COMPUTED_VALUE"""),"Yes")</f>
        <v>Yes</v>
      </c>
      <c r="S16" s="5" t="str">
        <f ca="1">IFERROR(__xludf.DUMMYFUNCTION("""COMPUTED_VALUE"""),"Yes")</f>
        <v>Yes</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IFERROR(__xludf.DUMMYFUNCTION("""COMPUTED_VALUE"""),"Yes")</f>
        <v>Yes</v>
      </c>
      <c r="X16" s="5" t="str">
        <f ca="1">IFERROR(__xludf.DUMMYFUNCTION("""COMPUTED_VALUE"""),"Yes")</f>
        <v>Yes</v>
      </c>
      <c r="Y16" s="5"/>
      <c r="Z16" s="5"/>
      <c r="AA16" s="5"/>
      <c r="AB16" s="5"/>
      <c r="AC16" s="5" t="str">
        <f ca="1">IFERROR(__xludf.DUMMYFUNCTION("""COMPUTED_VALUE"""),"Yes")</f>
        <v>Yes</v>
      </c>
      <c r="AD16" s="5"/>
      <c r="AE16" s="5"/>
      <c r="AF16" s="5"/>
      <c r="AG16" s="5"/>
      <c r="AH16" s="5"/>
      <c r="AI16" s="5"/>
      <c r="AJ16" s="5"/>
      <c r="AK16" s="5"/>
      <c r="AL16" s="5"/>
      <c r="AM16" s="5"/>
      <c r="AN16" s="5"/>
      <c r="AO16" s="5"/>
      <c r="AP16" s="5"/>
      <c r="AQ16" s="5"/>
      <c r="AR16" s="5"/>
      <c r="AS16" s="5"/>
      <c r="AT16" s="5"/>
      <c r="AU16" s="5"/>
      <c r="AV16" s="5"/>
      <c r="AW16" s="5"/>
      <c r="AX16" s="5"/>
      <c r="AY16" s="5"/>
    </row>
    <row r="17" spans="1:51" x14ac:dyDescent="0.25">
      <c r="A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 s="5">
        <f ca="1">IFERROR(__xludf.DUMMYFUNCTION("""COMPUTED_VALUE"""),16)</f>
        <v>16</v>
      </c>
      <c r="C17" s="5">
        <f ca="1">IFERROR(__xludf.DUMMYFUNCTION("""COMPUTED_VALUE"""),15)</f>
        <v>15</v>
      </c>
      <c r="D17" s="5" t="str">
        <f ca="1">IFERROR(__xludf.DUMMYFUNCTION("""COMPUTED_VALUE"""),"Pyramid")</f>
        <v>Pyramid</v>
      </c>
      <c r="E17" s="5" t="str">
        <f ca="1">IFERROR(__xludf.DUMMYFUNCTION("""COMPUTED_VALUE"""),"Yes")</f>
        <v>Yes</v>
      </c>
      <c r="F17" s="5" t="str">
        <f ca="1">IFERROR(__xludf.DUMMYFUNCTION("""COMPUTED_VALUE"""),"Yes")</f>
        <v>Yes</v>
      </c>
      <c r="G17" s="5" t="str">
        <f ca="1">IFERROR(__xludf.DUMMYFUNCTION("""COMPUTED_VALUE"""),"Yes")</f>
        <v>Yes</v>
      </c>
      <c r="H17" s="5" t="str">
        <f ca="1">IFERROR(__xludf.DUMMYFUNCTION("""COMPUTED_VALUE"""),"Yes")</f>
        <v>Yes</v>
      </c>
      <c r="I17" s="5" t="str">
        <f ca="1">IFERROR(__xludf.DUMMYFUNCTION("""COMPUTED_VALUE"""),"Yes")</f>
        <v>Yes</v>
      </c>
      <c r="J17" s="5" t="str">
        <f ca="1">IFERROR(__xludf.DUMMYFUNCTION("""COMPUTED_VALUE"""),"Yes")</f>
        <v>Yes</v>
      </c>
      <c r="K17" s="5" t="str">
        <f ca="1">IFERROR(__xludf.DUMMYFUNCTION("""COMPUTED_VALUE"""),"Yes")</f>
        <v>Yes</v>
      </c>
      <c r="L17" s="5" t="str">
        <f ca="1">IFERROR(__xludf.DUMMYFUNCTION("""COMPUTED_VALUE"""),"Yes")</f>
        <v>Yes</v>
      </c>
      <c r="M17" s="5" t="str">
        <f ca="1">IFERROR(__xludf.DUMMYFUNCTION("""COMPUTED_VALUE"""),"Yes")</f>
        <v>Yes</v>
      </c>
      <c r="N17" s="5" t="str">
        <f ca="1">IFERROR(__xludf.DUMMYFUNCTION("""COMPUTED_VALUE"""),"Yes")</f>
        <v>Yes</v>
      </c>
      <c r="O17" s="5" t="str">
        <f ca="1">IFERROR(__xludf.DUMMYFUNCTION("""COMPUTED_VALUE"""),"Yes")</f>
        <v>Yes</v>
      </c>
      <c r="P17" s="5" t="str">
        <f ca="1">IFERROR(__xludf.DUMMYFUNCTION("""COMPUTED_VALUE"""),"Yes")</f>
        <v>Yes</v>
      </c>
      <c r="Q17" s="5" t="str">
        <f ca="1">IFERROR(__xludf.DUMMYFUNCTION("""COMPUTED_VALUE"""),"Yes")</f>
        <v>Yes</v>
      </c>
      <c r="R17" s="5" t="str">
        <f ca="1">IFERROR(__xludf.DUMMYFUNCTION("""COMPUTED_VALUE"""),"Yes")</f>
        <v>Yes</v>
      </c>
      <c r="S17" s="5" t="str">
        <f ca="1">IFERROR(__xludf.DUMMYFUNCTION("""COMPUTED_VALUE"""),"Yes")</f>
        <v>Yes</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IFERROR(__xludf.DUMMYFUNCTION("""COMPUTED_VALUE"""),"No")</f>
        <v>No</v>
      </c>
      <c r="AA17" s="5" t="str">
        <f ca="1">IFERROR(__xludf.DUMMYFUNCTION("""COMPUTED_VALUE"""),"Yes")</f>
        <v>Yes</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IFERROR(__xludf.DUMMYFUNCTION("""COMPUTED_VALUE"""),"No")</f>
        <v>No</v>
      </c>
      <c r="AF17" s="5" t="str">
        <f ca="1">IFERROR(__xludf.DUMMYFUNCTION("""COMPUTED_VALUE"""),"Yes")</f>
        <v>Yes</v>
      </c>
      <c r="AG17" s="5" t="str">
        <f ca="1">IFERROR(__xludf.DUMMYFUNCTION("""COMPUTED_VALUE"""),"No")</f>
        <v>No</v>
      </c>
      <c r="AH17" s="5" t="str">
        <f ca="1">IFERROR(__xludf.DUMMYFUNCTION("""COMPUTED_VALUE"""),"No")</f>
        <v>No</v>
      </c>
      <c r="AI17" s="5" t="str">
        <f ca="1">IFERROR(__xludf.DUMMYFUNCTION("""COMPUTED_VALUE"""),"No")</f>
        <v>No</v>
      </c>
      <c r="AJ17" s="5" t="str">
        <f ca="1">IFERROR(__xludf.DUMMYFUNCTION("""COMPUTED_VALUE"""),"No")</f>
        <v>No</v>
      </c>
      <c r="AK17" s="5" t="str">
        <f ca="1">IFERROR(__xludf.DUMMYFUNCTION("""COMPUTED_VALUE"""),"No")</f>
        <v>No</v>
      </c>
      <c r="AL17" s="5" t="str">
        <f ca="1">IFERROR(__xludf.DUMMYFUNCTION("""COMPUTED_VALUE"""),"No")</f>
        <v>No</v>
      </c>
      <c r="AM17" s="5"/>
      <c r="AN17" s="5"/>
      <c r="AO17" s="5"/>
      <c r="AP17" s="5"/>
      <c r="AQ17" s="5"/>
      <c r="AR17" s="5"/>
      <c r="AS17" s="5"/>
      <c r="AT17" s="5"/>
      <c r="AU17" s="5"/>
      <c r="AV17" s="5"/>
      <c r="AW17" s="5"/>
      <c r="AX17" s="5"/>
      <c r="AY17" s="5"/>
    </row>
    <row r="18" spans="1:51" x14ac:dyDescent="0.25">
      <c r="A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 s="5">
        <f ca="1">IFERROR(__xludf.DUMMYFUNCTION("""COMPUTED_VALUE"""),17)</f>
        <v>17</v>
      </c>
      <c r="C18" s="5">
        <f ca="1">IFERROR(__xludf.DUMMYFUNCTION("""COMPUTED_VALUE"""),16)</f>
        <v>16</v>
      </c>
      <c r="D18" s="5" t="str">
        <f ca="1">IFERROR(__xludf.DUMMYFUNCTION("""COMPUTED_VALUE"""),"Roulette")</f>
        <v>Roulette</v>
      </c>
      <c r="E18" s="5" t="str">
        <f ca="1">IFERROR(__xludf.DUMMYFUNCTION("""COMPUTED_VALUE"""),"Yes")</f>
        <v>Yes</v>
      </c>
      <c r="F18" s="5" t="str">
        <f ca="1">IFERROR(__xludf.DUMMYFUNCTION("""COMPUTED_VALUE"""),"Yes")</f>
        <v>Yes</v>
      </c>
      <c r="G18" s="5" t="str">
        <f ca="1">IFERROR(__xludf.DUMMYFUNCTION("""COMPUTED_VALUE"""),"Yes")</f>
        <v>Yes</v>
      </c>
      <c r="H18" s="5" t="str">
        <f ca="1">IFERROR(__xludf.DUMMYFUNCTION("""COMPUTED_VALUE"""),"Yes")</f>
        <v>Yes</v>
      </c>
      <c r="I18" s="5" t="str">
        <f ca="1">IFERROR(__xludf.DUMMYFUNCTION("""COMPUTED_VALUE"""),"Yes")</f>
        <v>Yes</v>
      </c>
      <c r="J18" s="5" t="str">
        <f ca="1">IFERROR(__xludf.DUMMYFUNCTION("""COMPUTED_VALUE"""),"Yes")</f>
        <v>Yes</v>
      </c>
      <c r="K18" s="5" t="str">
        <f ca="1">IFERROR(__xludf.DUMMYFUNCTION("""COMPUTED_VALUE"""),"Yes")</f>
        <v>Yes</v>
      </c>
      <c r="L18" s="5" t="str">
        <f ca="1">IFERROR(__xludf.DUMMYFUNCTION("""COMPUTED_VALUE"""),"Yes")</f>
        <v>Yes</v>
      </c>
      <c r="M18" s="5" t="str">
        <f ca="1">IFERROR(__xludf.DUMMYFUNCTION("""COMPUTED_VALUE"""),"Yes")</f>
        <v>Yes</v>
      </c>
      <c r="N18" s="5" t="str">
        <f ca="1">IFERROR(__xludf.DUMMYFUNCTION("""COMPUTED_VALUE"""),"Yes")</f>
        <v>Yes</v>
      </c>
      <c r="O18" s="5" t="str">
        <f ca="1">IFERROR(__xludf.DUMMYFUNCTION("""COMPUTED_VALUE"""),"Yes")</f>
        <v>Yes</v>
      </c>
      <c r="P18" s="5" t="str">
        <f ca="1">IFERROR(__xludf.DUMMYFUNCTION("""COMPUTED_VALUE"""),"Yes")</f>
        <v>Yes</v>
      </c>
      <c r="Q18" s="5" t="str">
        <f ca="1">IFERROR(__xludf.DUMMYFUNCTION("""COMPUTED_VALUE"""),"Yes")</f>
        <v>Yes</v>
      </c>
      <c r="R18" s="5" t="str">
        <f ca="1">IFERROR(__xludf.DUMMYFUNCTION("""COMPUTED_VALUE"""),"Yes")</f>
        <v>Yes</v>
      </c>
      <c r="S18" s="5" t="str">
        <f ca="1">IFERROR(__xludf.DUMMYFUNCTION("""COMPUTED_VALUE"""),"Yes")</f>
        <v>Yes</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IFERROR(__xludf.DUMMYFUNCTION("""COMPUTED_VALUE"""),"No")</f>
        <v>No</v>
      </c>
      <c r="AA18" s="5" t="str">
        <f ca="1">IFERROR(__xludf.DUMMYFUNCTION("""COMPUTED_VALUE"""),"Yes")</f>
        <v>Yes</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IFERROR(__xludf.DUMMYFUNCTION("""COMPUTED_VALUE"""),"No")</f>
        <v>No</v>
      </c>
      <c r="AF18" s="5" t="str">
        <f ca="1">IFERROR(__xludf.DUMMYFUNCTION("""COMPUTED_VALUE"""),"Yes")</f>
        <v>Yes</v>
      </c>
      <c r="AG18" s="5" t="str">
        <f ca="1">IFERROR(__xludf.DUMMYFUNCTION("""COMPUTED_VALUE"""),"No")</f>
        <v>No</v>
      </c>
      <c r="AH18" s="5" t="str">
        <f ca="1">IFERROR(__xludf.DUMMYFUNCTION("""COMPUTED_VALUE"""),"No")</f>
        <v>No</v>
      </c>
      <c r="AI18" s="5" t="str">
        <f ca="1">IFERROR(__xludf.DUMMYFUNCTION("""COMPUTED_VALUE"""),"No")</f>
        <v>No</v>
      </c>
      <c r="AJ18" s="5" t="str">
        <f ca="1">IFERROR(__xludf.DUMMYFUNCTION("""COMPUTED_VALUE"""),"No")</f>
        <v>No</v>
      </c>
      <c r="AK18" s="5" t="str">
        <f ca="1">IFERROR(__xludf.DUMMYFUNCTION("""COMPUTED_VALUE"""),"No")</f>
        <v>No</v>
      </c>
      <c r="AL18" s="5" t="str">
        <f ca="1">IFERROR(__xludf.DUMMYFUNCTION("""COMPUTED_VALUE"""),"No")</f>
        <v>No</v>
      </c>
      <c r="AM18" s="5"/>
      <c r="AN18" s="5"/>
      <c r="AO18" s="5"/>
      <c r="AP18" s="5"/>
      <c r="AQ18" s="5"/>
      <c r="AR18" s="5"/>
      <c r="AS18" s="5"/>
      <c r="AT18" s="5"/>
      <c r="AU18" s="5"/>
      <c r="AV18" s="5"/>
      <c r="AW18" s="5"/>
      <c r="AX18" s="5"/>
      <c r="AY18" s="5"/>
    </row>
    <row r="19" spans="1:51" x14ac:dyDescent="0.25">
      <c r="A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 s="5">
        <f ca="1">IFERROR(__xludf.DUMMYFUNCTION("""COMPUTED_VALUE"""),18)</f>
        <v>18</v>
      </c>
      <c r="C19" s="5">
        <f ca="1">IFERROR(__xludf.DUMMYFUNCTION("""COMPUTED_VALUE"""),17)</f>
        <v>17</v>
      </c>
      <c r="D19" s="5" t="str">
        <f ca="1">IFERROR(__xludf.DUMMYFUNCTION("""COMPUTED_VALUE"""),"JollyPoker")</f>
        <v>JollyPoker</v>
      </c>
      <c r="E19" s="5" t="str">
        <f ca="1">IFERROR(__xludf.DUMMYFUNCTION("""COMPUTED_VALUE"""),"Yes")</f>
        <v>Yes</v>
      </c>
      <c r="F19" s="5" t="str">
        <f ca="1">IFERROR(__xludf.DUMMYFUNCTION("""COMPUTED_VALUE"""),"Yes")</f>
        <v>Yes</v>
      </c>
      <c r="G19" s="5" t="str">
        <f ca="1">IFERROR(__xludf.DUMMYFUNCTION("""COMPUTED_VALUE"""),"Yes")</f>
        <v>Yes</v>
      </c>
      <c r="H19" s="5" t="str">
        <f ca="1">IFERROR(__xludf.DUMMYFUNCTION("""COMPUTED_VALUE"""),"Yes")</f>
        <v>Yes</v>
      </c>
      <c r="I19" s="5" t="str">
        <f ca="1">IFERROR(__xludf.DUMMYFUNCTION("""COMPUTED_VALUE"""),"Yes")</f>
        <v>Yes</v>
      </c>
      <c r="J19" s="5" t="str">
        <f ca="1">IFERROR(__xludf.DUMMYFUNCTION("""COMPUTED_VALUE"""),"Yes")</f>
        <v>Yes</v>
      </c>
      <c r="K19" s="5" t="str">
        <f ca="1">IFERROR(__xludf.DUMMYFUNCTION("""COMPUTED_VALUE"""),"Yes")</f>
        <v>Yes</v>
      </c>
      <c r="L19" s="5" t="str">
        <f ca="1">IFERROR(__xludf.DUMMYFUNCTION("""COMPUTED_VALUE"""),"Yes")</f>
        <v>Yes</v>
      </c>
      <c r="M19" s="5" t="str">
        <f ca="1">IFERROR(__xludf.DUMMYFUNCTION("""COMPUTED_VALUE"""),"Yes")</f>
        <v>Yes</v>
      </c>
      <c r="N19" s="5" t="str">
        <f ca="1">IFERROR(__xludf.DUMMYFUNCTION("""COMPUTED_VALUE"""),"Yes")</f>
        <v>Yes</v>
      </c>
      <c r="O19" s="5" t="str">
        <f ca="1">IFERROR(__xludf.DUMMYFUNCTION("""COMPUTED_VALUE"""),"Yes")</f>
        <v>Yes</v>
      </c>
      <c r="P19" s="5" t="str">
        <f ca="1">IFERROR(__xludf.DUMMYFUNCTION("""COMPUTED_VALUE"""),"Yes")</f>
        <v>Yes</v>
      </c>
      <c r="Q19" s="5" t="str">
        <f ca="1">IFERROR(__xludf.DUMMYFUNCTION("""COMPUTED_VALUE"""),"Yes")</f>
        <v>Yes</v>
      </c>
      <c r="R19" s="5" t="str">
        <f ca="1">IFERROR(__xludf.DUMMYFUNCTION("""COMPUTED_VALUE"""),"Yes")</f>
        <v>Yes</v>
      </c>
      <c r="S19" s="5" t="str">
        <f ca="1">IFERROR(__xludf.DUMMYFUNCTION("""COMPUTED_VALUE"""),"Yes")</f>
        <v>Yes</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IFERROR(__xludf.DUMMYFUNCTION("""COMPUTED_VALUE"""),"No")</f>
        <v>No</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IFERROR(__xludf.DUMMYFUNCTION("""COMPUTED_VALUE"""),"No")</f>
        <v>No</v>
      </c>
      <c r="AF19" s="5" t="str">
        <f ca="1">IFERROR(__xludf.DUMMYFUNCTION("""COMPUTED_VALUE"""),"Yes")</f>
        <v>Yes</v>
      </c>
      <c r="AG19" s="5" t="str">
        <f ca="1">IFERROR(__xludf.DUMMYFUNCTION("""COMPUTED_VALUE"""),"No")</f>
        <v>No</v>
      </c>
      <c r="AH19" s="5" t="str">
        <f ca="1">IFERROR(__xludf.DUMMYFUNCTION("""COMPUTED_VALUE"""),"No")</f>
        <v>No</v>
      </c>
      <c r="AI19" s="5" t="str">
        <f ca="1">IFERROR(__xludf.DUMMYFUNCTION("""COMPUTED_VALUE"""),"No")</f>
        <v>No</v>
      </c>
      <c r="AJ19" s="5" t="str">
        <f ca="1">IFERROR(__xludf.DUMMYFUNCTION("""COMPUTED_VALUE"""),"No")</f>
        <v>No</v>
      </c>
      <c r="AK19" s="5" t="str">
        <f ca="1">IFERROR(__xludf.DUMMYFUNCTION("""COMPUTED_VALUE"""),"No")</f>
        <v>No</v>
      </c>
      <c r="AL19" s="5" t="str">
        <f ca="1">IFERROR(__xludf.DUMMYFUNCTION("""COMPUTED_VALUE"""),"No")</f>
        <v>No</v>
      </c>
      <c r="AM19" s="5"/>
      <c r="AN19" s="5"/>
      <c r="AO19" s="5"/>
      <c r="AP19" s="5"/>
      <c r="AQ19" s="5"/>
      <c r="AR19" s="5"/>
      <c r="AS19" s="5"/>
      <c r="AT19" s="5"/>
      <c r="AU19" s="5"/>
      <c r="AV19" s="5"/>
      <c r="AW19" s="5"/>
      <c r="AX19" s="5"/>
      <c r="AY19" s="5"/>
    </row>
    <row r="20" spans="1:51" x14ac:dyDescent="0.25">
      <c r="A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 s="5">
        <f ca="1">IFERROR(__xludf.DUMMYFUNCTION("""COMPUTED_VALUE"""),19)</f>
        <v>19</v>
      </c>
      <c r="C20" s="5">
        <f ca="1">IFERROR(__xludf.DUMMYFUNCTION("""COMPUTED_VALUE"""),18)</f>
        <v>18</v>
      </c>
      <c r="D20" s="5" t="str">
        <f ca="1">IFERROR(__xludf.DUMMYFUNCTION("""COMPUTED_VALUE"""),"Alpinist")</f>
        <v>Alpinist</v>
      </c>
      <c r="E20" s="5" t="str">
        <f ca="1">IFERROR(__xludf.DUMMYFUNCTION("""COMPUTED_VALUE"""),"Yes")</f>
        <v>Yes</v>
      </c>
      <c r="F20" s="5" t="str">
        <f ca="1">IFERROR(__xludf.DUMMYFUNCTION("""COMPUTED_VALUE"""),"Yes")</f>
        <v>Yes</v>
      </c>
      <c r="G20" s="5" t="str">
        <f ca="1">IFERROR(__xludf.DUMMYFUNCTION("""COMPUTED_VALUE"""),"Yes")</f>
        <v>Yes</v>
      </c>
      <c r="H20" s="5" t="str">
        <f ca="1">IFERROR(__xludf.DUMMYFUNCTION("""COMPUTED_VALUE"""),"Yes")</f>
        <v>Yes</v>
      </c>
      <c r="I20" s="5" t="str">
        <f ca="1">IFERROR(__xludf.DUMMYFUNCTION("""COMPUTED_VALUE"""),"Yes")</f>
        <v>Yes</v>
      </c>
      <c r="J20" s="5" t="str">
        <f ca="1">IFERROR(__xludf.DUMMYFUNCTION("""COMPUTED_VALUE"""),"Yes")</f>
        <v>Yes</v>
      </c>
      <c r="K20" s="5" t="str">
        <f ca="1">IFERROR(__xludf.DUMMYFUNCTION("""COMPUTED_VALUE"""),"Yes")</f>
        <v>Yes</v>
      </c>
      <c r="L20" s="5" t="str">
        <f ca="1">IFERROR(__xludf.DUMMYFUNCTION("""COMPUTED_VALUE"""),"Yes")</f>
        <v>Yes</v>
      </c>
      <c r="M20" s="5" t="str">
        <f ca="1">IFERROR(__xludf.DUMMYFUNCTION("""COMPUTED_VALUE"""),"Yes")</f>
        <v>Yes</v>
      </c>
      <c r="N20" s="5" t="str">
        <f ca="1">IFERROR(__xludf.DUMMYFUNCTION("""COMPUTED_VALUE"""),"Yes")</f>
        <v>Yes</v>
      </c>
      <c r="O20" s="5" t="str">
        <f ca="1">IFERROR(__xludf.DUMMYFUNCTION("""COMPUTED_VALUE"""),"Yes")</f>
        <v>Yes</v>
      </c>
      <c r="P20" s="5" t="str">
        <f ca="1">IFERROR(__xludf.DUMMYFUNCTION("""COMPUTED_VALUE"""),"Yes")</f>
        <v>Yes</v>
      </c>
      <c r="Q20" s="5" t="str">
        <f ca="1">IFERROR(__xludf.DUMMYFUNCTION("""COMPUTED_VALUE"""),"Yes")</f>
        <v>Yes</v>
      </c>
      <c r="R20" s="5" t="str">
        <f ca="1">IFERROR(__xludf.DUMMYFUNCTION("""COMPUTED_VALUE"""),"Yes")</f>
        <v>Yes</v>
      </c>
      <c r="S20" s="5" t="str">
        <f ca="1">IFERROR(__xludf.DUMMYFUNCTION("""COMPUTED_VALUE"""),"Yes")</f>
        <v>Yes</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IFERROR(__xludf.DUMMYFUNCTION("""COMPUTED_VALUE"""),"No")</f>
        <v>No</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IFERROR(__xludf.DUMMYFUNCTION("""COMPUTED_VALUE"""),"No")</f>
        <v>No</v>
      </c>
      <c r="AF20" s="5" t="str">
        <f ca="1">IFERROR(__xludf.DUMMYFUNCTION("""COMPUTED_VALUE"""),"Yes")</f>
        <v>Yes</v>
      </c>
      <c r="AG20" s="5" t="str">
        <f ca="1">IFERROR(__xludf.DUMMYFUNCTION("""COMPUTED_VALUE"""),"No")</f>
        <v>No</v>
      </c>
      <c r="AH20" s="5" t="str">
        <f ca="1">IFERROR(__xludf.DUMMYFUNCTION("""COMPUTED_VALUE"""),"No")</f>
        <v>No</v>
      </c>
      <c r="AI20" s="5" t="str">
        <f ca="1">IFERROR(__xludf.DUMMYFUNCTION("""COMPUTED_VALUE"""),"No")</f>
        <v>No</v>
      </c>
      <c r="AJ20" s="5" t="str">
        <f ca="1">IFERROR(__xludf.DUMMYFUNCTION("""COMPUTED_VALUE"""),"No")</f>
        <v>No</v>
      </c>
      <c r="AK20" s="5" t="str">
        <f ca="1">IFERROR(__xludf.DUMMYFUNCTION("""COMPUTED_VALUE"""),"No")</f>
        <v>No</v>
      </c>
      <c r="AL20" s="5" t="str">
        <f ca="1">IFERROR(__xludf.DUMMYFUNCTION("""COMPUTED_VALUE"""),"No")</f>
        <v>No</v>
      </c>
      <c r="AM20" s="5"/>
      <c r="AN20" s="5"/>
      <c r="AO20" s="5"/>
      <c r="AP20" s="5"/>
      <c r="AQ20" s="5"/>
      <c r="AR20" s="5"/>
      <c r="AS20" s="5"/>
      <c r="AT20" s="5"/>
      <c r="AU20" s="5"/>
      <c r="AV20" s="5"/>
      <c r="AW20" s="5"/>
      <c r="AX20" s="5"/>
      <c r="AY20" s="5"/>
    </row>
    <row r="21" spans="1:51" x14ac:dyDescent="0.25">
      <c r="A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 s="5">
        <f ca="1">IFERROR(__xludf.DUMMYFUNCTION("""COMPUTED_VALUE"""),20)</f>
        <v>20</v>
      </c>
      <c r="C21" s="5">
        <f ca="1">IFERROR(__xludf.DUMMYFUNCTION("""COMPUTED_VALUE"""),19)</f>
        <v>19</v>
      </c>
      <c r="D21" s="5" t="str">
        <f ca="1">IFERROR(__xludf.DUMMYFUNCTION("""COMPUTED_VALUE"""),"Diamonds")</f>
        <v>Diamonds</v>
      </c>
      <c r="E21" s="5" t="str">
        <f ca="1">IFERROR(__xludf.DUMMYFUNCTION("""COMPUTED_VALUE"""),"Yes")</f>
        <v>Yes</v>
      </c>
      <c r="F21" s="5" t="str">
        <f ca="1">IFERROR(__xludf.DUMMYFUNCTION("""COMPUTED_VALUE"""),"Yes")</f>
        <v>Yes</v>
      </c>
      <c r="G21" s="5" t="str">
        <f ca="1">IFERROR(__xludf.DUMMYFUNCTION("""COMPUTED_VALUE"""),"Yes")</f>
        <v>Yes</v>
      </c>
      <c r="H21" s="5" t="str">
        <f ca="1">IFERROR(__xludf.DUMMYFUNCTION("""COMPUTED_VALUE"""),"Yes")</f>
        <v>Yes</v>
      </c>
      <c r="I21" s="5" t="str">
        <f ca="1">IFERROR(__xludf.DUMMYFUNCTION("""COMPUTED_VALUE"""),"Yes")</f>
        <v>Yes</v>
      </c>
      <c r="J21" s="5" t="str">
        <f ca="1">IFERROR(__xludf.DUMMYFUNCTION("""COMPUTED_VALUE"""),"Yes")</f>
        <v>Yes</v>
      </c>
      <c r="K21" s="5" t="str">
        <f ca="1">IFERROR(__xludf.DUMMYFUNCTION("""COMPUTED_VALUE"""),"Yes")</f>
        <v>Yes</v>
      </c>
      <c r="L21" s="5" t="str">
        <f ca="1">IFERROR(__xludf.DUMMYFUNCTION("""COMPUTED_VALUE"""),"Yes")</f>
        <v>Yes</v>
      </c>
      <c r="M21" s="5" t="str">
        <f ca="1">IFERROR(__xludf.DUMMYFUNCTION("""COMPUTED_VALUE"""),"Yes")</f>
        <v>Yes</v>
      </c>
      <c r="N21" s="5" t="str">
        <f ca="1">IFERROR(__xludf.DUMMYFUNCTION("""COMPUTED_VALUE"""),"Yes")</f>
        <v>Yes</v>
      </c>
      <c r="O21" s="5" t="str">
        <f ca="1">IFERROR(__xludf.DUMMYFUNCTION("""COMPUTED_VALUE"""),"Yes")</f>
        <v>Yes</v>
      </c>
      <c r="P21" s="5" t="str">
        <f ca="1">IFERROR(__xludf.DUMMYFUNCTION("""COMPUTED_VALUE"""),"Yes")</f>
        <v>Yes</v>
      </c>
      <c r="Q21" s="5" t="str">
        <f ca="1">IFERROR(__xludf.DUMMYFUNCTION("""COMPUTED_VALUE"""),"Yes")</f>
        <v>Yes</v>
      </c>
      <c r="R21" s="5" t="str">
        <f ca="1">IFERROR(__xludf.DUMMYFUNCTION("""COMPUTED_VALUE"""),"Yes")</f>
        <v>Yes</v>
      </c>
      <c r="S21" s="5" t="str">
        <f ca="1">IFERROR(__xludf.DUMMYFUNCTION("""COMPUTED_VALUE"""),"Yes")</f>
        <v>Yes</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IFERROR(__xludf.DUMMYFUNCTION("""COMPUTED_VALUE"""),"No")</f>
        <v>No</v>
      </c>
      <c r="AA21" s="5" t="str">
        <f ca="1">IFERROR(__xludf.DUMMYFUNCTION("""COMPUTED_VALUE"""),"Yes")</f>
        <v>Yes</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IFERROR(__xludf.DUMMYFUNCTION("""COMPUTED_VALUE"""),"No")</f>
        <v>No</v>
      </c>
      <c r="AF21" s="5" t="str">
        <f ca="1">IFERROR(__xludf.DUMMYFUNCTION("""COMPUTED_VALUE"""),"Yes")</f>
        <v>Yes</v>
      </c>
      <c r="AG21" s="5" t="str">
        <f ca="1">IFERROR(__xludf.DUMMYFUNCTION("""COMPUTED_VALUE"""),"No")</f>
        <v>No</v>
      </c>
      <c r="AH21" s="5" t="str">
        <f ca="1">IFERROR(__xludf.DUMMYFUNCTION("""COMPUTED_VALUE"""),"No")</f>
        <v>No</v>
      </c>
      <c r="AI21" s="5" t="str">
        <f ca="1">IFERROR(__xludf.DUMMYFUNCTION("""COMPUTED_VALUE"""),"No")</f>
        <v>No</v>
      </c>
      <c r="AJ21" s="5" t="str">
        <f ca="1">IFERROR(__xludf.DUMMYFUNCTION("""COMPUTED_VALUE"""),"No")</f>
        <v>No</v>
      </c>
      <c r="AK21" s="5" t="str">
        <f ca="1">IFERROR(__xludf.DUMMYFUNCTION("""COMPUTED_VALUE"""),"No")</f>
        <v>No</v>
      </c>
      <c r="AL21" s="5" t="str">
        <f ca="1">IFERROR(__xludf.DUMMYFUNCTION("""COMPUTED_VALUE"""),"No")</f>
        <v>No</v>
      </c>
      <c r="AM21" s="5"/>
      <c r="AN21" s="5"/>
      <c r="AO21" s="5"/>
      <c r="AP21" s="5"/>
      <c r="AQ21" s="5"/>
      <c r="AR21" s="5"/>
      <c r="AS21" s="5"/>
      <c r="AT21" s="5"/>
      <c r="AU21" s="5"/>
      <c r="AV21" s="5"/>
      <c r="AW21" s="5"/>
      <c r="AX21" s="5"/>
      <c r="AY21" s="5"/>
    </row>
    <row r="22" spans="1:51" x14ac:dyDescent="0.25">
      <c r="A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 s="5">
        <f ca="1">IFERROR(__xludf.DUMMYFUNCTION("""COMPUTED_VALUE"""),21)</f>
        <v>21</v>
      </c>
      <c r="C22" s="5">
        <f ca="1">IFERROR(__xludf.DUMMYFUNCTION("""COMPUTED_VALUE"""),20)</f>
        <v>20</v>
      </c>
      <c r="D22" s="5" t="str">
        <f ca="1">IFERROR(__xludf.DUMMYFUNCTION("""COMPUTED_VALUE"""),"JuicyHot")</f>
        <v>JuicyHot</v>
      </c>
      <c r="E22" s="5" t="str">
        <f ca="1">IFERROR(__xludf.DUMMYFUNCTION("""COMPUTED_VALUE"""),"Yes")</f>
        <v>Yes</v>
      </c>
      <c r="F22" s="5" t="str">
        <f ca="1">IFERROR(__xludf.DUMMYFUNCTION("""COMPUTED_VALUE"""),"Yes")</f>
        <v>Yes</v>
      </c>
      <c r="G22" s="5" t="str">
        <f ca="1">IFERROR(__xludf.DUMMYFUNCTION("""COMPUTED_VALUE"""),"Yes")</f>
        <v>Yes</v>
      </c>
      <c r="H22" s="5" t="str">
        <f ca="1">IFERROR(__xludf.DUMMYFUNCTION("""COMPUTED_VALUE"""),"Yes")</f>
        <v>Yes</v>
      </c>
      <c r="I22" s="5" t="str">
        <f ca="1">IFERROR(__xludf.DUMMYFUNCTION("""COMPUTED_VALUE"""),"Yes")</f>
        <v>Yes</v>
      </c>
      <c r="J22" s="5" t="str">
        <f ca="1">IFERROR(__xludf.DUMMYFUNCTION("""COMPUTED_VALUE"""),"Yes")</f>
        <v>Yes</v>
      </c>
      <c r="K22" s="5" t="str">
        <f ca="1">IFERROR(__xludf.DUMMYFUNCTION("""COMPUTED_VALUE"""),"Yes")</f>
        <v>Yes</v>
      </c>
      <c r="L22" s="5" t="str">
        <f ca="1">IFERROR(__xludf.DUMMYFUNCTION("""COMPUTED_VALUE"""),"Yes")</f>
        <v>Yes</v>
      </c>
      <c r="M22" s="5" t="str">
        <f ca="1">IFERROR(__xludf.DUMMYFUNCTION("""COMPUTED_VALUE"""),"Yes")</f>
        <v>Yes</v>
      </c>
      <c r="N22" s="5" t="str">
        <f ca="1">IFERROR(__xludf.DUMMYFUNCTION("""COMPUTED_VALUE"""),"Yes")</f>
        <v>Yes</v>
      </c>
      <c r="O22" s="5" t="str">
        <f ca="1">IFERROR(__xludf.DUMMYFUNCTION("""COMPUTED_VALUE"""),"Yes")</f>
        <v>Yes</v>
      </c>
      <c r="P22" s="5" t="str">
        <f ca="1">IFERROR(__xludf.DUMMYFUNCTION("""COMPUTED_VALUE"""),"Yes")</f>
        <v>Yes</v>
      </c>
      <c r="Q22" s="5" t="str">
        <f ca="1">IFERROR(__xludf.DUMMYFUNCTION("""COMPUTED_VALUE"""),"Yes")</f>
        <v>Yes</v>
      </c>
      <c r="R22" s="5" t="str">
        <f ca="1">IFERROR(__xludf.DUMMYFUNCTION("""COMPUTED_VALUE"""),"Yes")</f>
        <v>Yes</v>
      </c>
      <c r="S22" s="5" t="str">
        <f ca="1">IFERROR(__xludf.DUMMYFUNCTION("""COMPUTED_VALUE"""),"Yes")</f>
        <v>Yes</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IFERROR(__xludf.DUMMYFUNCTION("""COMPUTED_VALUE"""),"No")</f>
        <v>No</v>
      </c>
      <c r="AA22" s="5" t="str">
        <f ca="1">IFERROR(__xludf.DUMMYFUNCTION("""COMPUTED_VALUE"""),"Yes")</f>
        <v>Yes</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IFERROR(__xludf.DUMMYFUNCTION("""COMPUTED_VALUE"""),"No")</f>
        <v>No</v>
      </c>
      <c r="AF22" s="5" t="str">
        <f ca="1">IFERROR(__xludf.DUMMYFUNCTION("""COMPUTED_VALUE"""),"Yes")</f>
        <v>Yes</v>
      </c>
      <c r="AG22" s="5" t="str">
        <f ca="1">IFERROR(__xludf.DUMMYFUNCTION("""COMPUTED_VALUE"""),"No")</f>
        <v>No</v>
      </c>
      <c r="AH22" s="5" t="str">
        <f ca="1">IFERROR(__xludf.DUMMYFUNCTION("""COMPUTED_VALUE"""),"No")</f>
        <v>No</v>
      </c>
      <c r="AI22" s="5" t="str">
        <f ca="1">IFERROR(__xludf.DUMMYFUNCTION("""COMPUTED_VALUE"""),"No")</f>
        <v>No</v>
      </c>
      <c r="AJ22" s="5" t="str">
        <f ca="1">IFERROR(__xludf.DUMMYFUNCTION("""COMPUTED_VALUE"""),"No")</f>
        <v>No</v>
      </c>
      <c r="AK22" s="5" t="str">
        <f ca="1">IFERROR(__xludf.DUMMYFUNCTION("""COMPUTED_VALUE"""),"No")</f>
        <v>No</v>
      </c>
      <c r="AL22" s="5" t="str">
        <f ca="1">IFERROR(__xludf.DUMMYFUNCTION("""COMPUTED_VALUE"""),"No")</f>
        <v>No</v>
      </c>
      <c r="AM22" s="5"/>
      <c r="AN22" s="5"/>
      <c r="AO22" s="5"/>
      <c r="AP22" s="5"/>
      <c r="AQ22" s="5"/>
      <c r="AR22" s="5"/>
      <c r="AS22" s="5"/>
      <c r="AT22" s="5"/>
      <c r="AU22" s="5"/>
      <c r="AV22" s="5"/>
      <c r="AW22" s="5"/>
      <c r="AX22" s="5"/>
      <c r="AY22" s="5"/>
    </row>
    <row r="23" spans="1:51" x14ac:dyDescent="0.25">
      <c r="A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 s="5">
        <f ca="1">IFERROR(__xludf.DUMMYFUNCTION("""COMPUTED_VALUE"""),22)</f>
        <v>22</v>
      </c>
      <c r="C23" s="5">
        <f ca="1">IFERROR(__xludf.DUMMYFUNCTION("""COMPUTED_VALUE"""),21)</f>
        <v>21</v>
      </c>
      <c r="D23" s="5" t="str">
        <f ca="1">IFERROR(__xludf.DUMMYFUNCTION("""COMPUTED_VALUE"""),"HotStars")</f>
        <v>HotStars</v>
      </c>
      <c r="E23" s="5" t="str">
        <f ca="1">IFERROR(__xludf.DUMMYFUNCTION("""COMPUTED_VALUE"""),"Yes")</f>
        <v>Yes</v>
      </c>
      <c r="F23" s="5" t="str">
        <f ca="1">IFERROR(__xludf.DUMMYFUNCTION("""COMPUTED_VALUE"""),"Yes")</f>
        <v>Yes</v>
      </c>
      <c r="G23" s="5" t="str">
        <f ca="1">IFERROR(__xludf.DUMMYFUNCTION("""COMPUTED_VALUE"""),"Yes")</f>
        <v>Yes</v>
      </c>
      <c r="H23" s="5" t="str">
        <f ca="1">IFERROR(__xludf.DUMMYFUNCTION("""COMPUTED_VALUE"""),"Yes")</f>
        <v>Yes</v>
      </c>
      <c r="I23" s="5" t="str">
        <f ca="1">IFERROR(__xludf.DUMMYFUNCTION("""COMPUTED_VALUE"""),"Yes")</f>
        <v>Yes</v>
      </c>
      <c r="J23" s="5" t="str">
        <f ca="1">IFERROR(__xludf.DUMMYFUNCTION("""COMPUTED_VALUE"""),"Yes")</f>
        <v>Yes</v>
      </c>
      <c r="K23" s="5" t="str">
        <f ca="1">IFERROR(__xludf.DUMMYFUNCTION("""COMPUTED_VALUE"""),"Yes")</f>
        <v>Yes</v>
      </c>
      <c r="L23" s="5" t="str">
        <f ca="1">IFERROR(__xludf.DUMMYFUNCTION("""COMPUTED_VALUE"""),"Yes")</f>
        <v>Yes</v>
      </c>
      <c r="M23" s="5" t="str">
        <f ca="1">IFERROR(__xludf.DUMMYFUNCTION("""COMPUTED_VALUE"""),"Yes")</f>
        <v>Yes</v>
      </c>
      <c r="N23" s="5" t="str">
        <f ca="1">IFERROR(__xludf.DUMMYFUNCTION("""COMPUTED_VALUE"""),"Yes")</f>
        <v>Yes</v>
      </c>
      <c r="O23" s="5" t="str">
        <f ca="1">IFERROR(__xludf.DUMMYFUNCTION("""COMPUTED_VALUE"""),"Yes")</f>
        <v>Yes</v>
      </c>
      <c r="P23" s="5" t="str">
        <f ca="1">IFERROR(__xludf.DUMMYFUNCTION("""COMPUTED_VALUE"""),"Yes")</f>
        <v>Yes</v>
      </c>
      <c r="Q23" s="5" t="str">
        <f ca="1">IFERROR(__xludf.DUMMYFUNCTION("""COMPUTED_VALUE"""),"Yes")</f>
        <v>Yes</v>
      </c>
      <c r="R23" s="5" t="str">
        <f ca="1">IFERROR(__xludf.DUMMYFUNCTION("""COMPUTED_VALUE"""),"Yes")</f>
        <v>Yes</v>
      </c>
      <c r="S23" s="5" t="str">
        <f ca="1">IFERROR(__xludf.DUMMYFUNCTION("""COMPUTED_VALUE"""),"Yes")</f>
        <v>Yes</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IFERROR(__xludf.DUMMYFUNCTION("""COMPUTED_VALUE"""),"No")</f>
        <v>No</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IFERROR(__xludf.DUMMYFUNCTION("""COMPUTED_VALUE"""),"No")</f>
        <v>No</v>
      </c>
      <c r="AF23" s="5" t="str">
        <f ca="1">IFERROR(__xludf.DUMMYFUNCTION("""COMPUTED_VALUE"""),"Yes")</f>
        <v>Yes</v>
      </c>
      <c r="AG23" s="5" t="str">
        <f ca="1">IFERROR(__xludf.DUMMYFUNCTION("""COMPUTED_VALUE"""),"No")</f>
        <v>No</v>
      </c>
      <c r="AH23" s="5" t="str">
        <f ca="1">IFERROR(__xludf.DUMMYFUNCTION("""COMPUTED_VALUE"""),"No")</f>
        <v>No</v>
      </c>
      <c r="AI23" s="5" t="str">
        <f ca="1">IFERROR(__xludf.DUMMYFUNCTION("""COMPUTED_VALUE"""),"No")</f>
        <v>No</v>
      </c>
      <c r="AJ23" s="5" t="str">
        <f ca="1">IFERROR(__xludf.DUMMYFUNCTION("""COMPUTED_VALUE"""),"No")</f>
        <v>No</v>
      </c>
      <c r="AK23" s="5" t="str">
        <f ca="1">IFERROR(__xludf.DUMMYFUNCTION("""COMPUTED_VALUE"""),"No")</f>
        <v>No</v>
      </c>
      <c r="AL23" s="5" t="str">
        <f ca="1">IFERROR(__xludf.DUMMYFUNCTION("""COMPUTED_VALUE"""),"No")</f>
        <v>No</v>
      </c>
      <c r="AM23" s="5"/>
      <c r="AN23" s="5"/>
      <c r="AO23" s="5"/>
      <c r="AP23" s="5"/>
      <c r="AQ23" s="5"/>
      <c r="AR23" s="5"/>
      <c r="AS23" s="5"/>
      <c r="AT23" s="5"/>
      <c r="AU23" s="5"/>
      <c r="AV23" s="5"/>
      <c r="AW23" s="5"/>
      <c r="AX23" s="5"/>
      <c r="AY23" s="5"/>
    </row>
    <row r="24" spans="1:51" x14ac:dyDescent="0.25">
      <c r="A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 s="5">
        <f ca="1">IFERROR(__xludf.DUMMYFUNCTION("""COMPUTED_VALUE"""),23)</f>
        <v>23</v>
      </c>
      <c r="C24" s="5">
        <f ca="1">IFERROR(__xludf.DUMMYFUNCTION("""COMPUTED_VALUE"""),22)</f>
        <v>22</v>
      </c>
      <c r="D24" s="5" t="str">
        <f ca="1">IFERROR(__xludf.DUMMYFUNCTION("""COMPUTED_VALUE"""),"TripleCrown")</f>
        <v>TripleCrown</v>
      </c>
      <c r="E24" s="5" t="str">
        <f ca="1">IFERROR(__xludf.DUMMYFUNCTION("""COMPUTED_VALUE"""),"Yes")</f>
        <v>Yes</v>
      </c>
      <c r="F24" s="5" t="str">
        <f ca="1">IFERROR(__xludf.DUMMYFUNCTION("""COMPUTED_VALUE"""),"Yes")</f>
        <v>Yes</v>
      </c>
      <c r="G24" s="5" t="str">
        <f ca="1">IFERROR(__xludf.DUMMYFUNCTION("""COMPUTED_VALUE"""),"Yes")</f>
        <v>Yes</v>
      </c>
      <c r="H24" s="5" t="str">
        <f ca="1">IFERROR(__xludf.DUMMYFUNCTION("""COMPUTED_VALUE"""),"Yes")</f>
        <v>Yes</v>
      </c>
      <c r="I24" s="5" t="str">
        <f ca="1">IFERROR(__xludf.DUMMYFUNCTION("""COMPUTED_VALUE"""),"Yes")</f>
        <v>Yes</v>
      </c>
      <c r="J24" s="5" t="str">
        <f ca="1">IFERROR(__xludf.DUMMYFUNCTION("""COMPUTED_VALUE"""),"Yes")</f>
        <v>Yes</v>
      </c>
      <c r="K24" s="5" t="str">
        <f ca="1">IFERROR(__xludf.DUMMYFUNCTION("""COMPUTED_VALUE"""),"Yes")</f>
        <v>Yes</v>
      </c>
      <c r="L24" s="5" t="str">
        <f ca="1">IFERROR(__xludf.DUMMYFUNCTION("""COMPUTED_VALUE"""),"Yes")</f>
        <v>Yes</v>
      </c>
      <c r="M24" s="5" t="str">
        <f ca="1">IFERROR(__xludf.DUMMYFUNCTION("""COMPUTED_VALUE"""),"Yes")</f>
        <v>Yes</v>
      </c>
      <c r="N24" s="5" t="str">
        <f ca="1">IFERROR(__xludf.DUMMYFUNCTION("""COMPUTED_VALUE"""),"Yes")</f>
        <v>Yes</v>
      </c>
      <c r="O24" s="5" t="str">
        <f ca="1">IFERROR(__xludf.DUMMYFUNCTION("""COMPUTED_VALUE"""),"Yes")</f>
        <v>Yes</v>
      </c>
      <c r="P24" s="5" t="str">
        <f ca="1">IFERROR(__xludf.DUMMYFUNCTION("""COMPUTED_VALUE"""),"Yes")</f>
        <v>Yes</v>
      </c>
      <c r="Q24" s="5" t="str">
        <f ca="1">IFERROR(__xludf.DUMMYFUNCTION("""COMPUTED_VALUE"""),"Yes")</f>
        <v>Yes</v>
      </c>
      <c r="R24" s="5" t="str">
        <f ca="1">IFERROR(__xludf.DUMMYFUNCTION("""COMPUTED_VALUE"""),"Yes")</f>
        <v>Yes</v>
      </c>
      <c r="S24" s="5" t="str">
        <f ca="1">IFERROR(__xludf.DUMMYFUNCTION("""COMPUTED_VALUE"""),"Yes")</f>
        <v>Yes</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IFERROR(__xludf.DUMMYFUNCTION("""COMPUTED_VALUE"""),"Yes")</f>
        <v>Yes</v>
      </c>
      <c r="X24" s="5" t="str">
        <f ca="1">IFERROR(__xludf.DUMMYFUNCTION("""COMPUTED_VALUE"""),"Yes")</f>
        <v>Yes</v>
      </c>
      <c r="Y24" s="5"/>
      <c r="Z24" s="5"/>
      <c r="AA24" s="5"/>
      <c r="AB24" s="5"/>
      <c r="AC24" s="5" t="str">
        <f ca="1">IFERROR(__xludf.DUMMYFUNCTION("""COMPUTED_VALUE"""),"Yes")</f>
        <v>Yes</v>
      </c>
      <c r="AD24" s="5"/>
      <c r="AE24" s="5"/>
      <c r="AF24" s="5"/>
      <c r="AG24" s="5"/>
      <c r="AH24" s="5"/>
      <c r="AI24" s="5"/>
      <c r="AJ24" s="5"/>
      <c r="AK24" s="5"/>
      <c r="AL24" s="5"/>
      <c r="AM24" s="5"/>
      <c r="AN24" s="5"/>
      <c r="AO24" s="5"/>
      <c r="AP24" s="5"/>
      <c r="AQ24" s="5"/>
      <c r="AR24" s="5"/>
      <c r="AS24" s="5"/>
      <c r="AT24" s="5"/>
      <c r="AU24" s="5"/>
      <c r="AV24" s="5"/>
      <c r="AW24" s="5"/>
      <c r="AX24" s="5"/>
      <c r="AY24" s="5"/>
    </row>
    <row r="25" spans="1:51" x14ac:dyDescent="0.25">
      <c r="A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 s="5">
        <f ca="1">IFERROR(__xludf.DUMMYFUNCTION("""COMPUTED_VALUE"""),24)</f>
        <v>24</v>
      </c>
      <c r="C25" s="5">
        <f ca="1">IFERROR(__xludf.DUMMYFUNCTION("""COMPUTED_VALUE"""),23)</f>
        <v>23</v>
      </c>
      <c r="D25" s="5" t="str">
        <f ca="1">IFERROR(__xludf.DUMMYFUNCTION("""COMPUTED_VALUE"""),"BookOfSpells")</f>
        <v>BookOfSpells</v>
      </c>
      <c r="E25" s="5" t="str">
        <f ca="1">IFERROR(__xludf.DUMMYFUNCTION("""COMPUTED_VALUE"""),"Yes")</f>
        <v>Yes</v>
      </c>
      <c r="F25" s="5" t="str">
        <f ca="1">IFERROR(__xludf.DUMMYFUNCTION("""COMPUTED_VALUE"""),"Yes")</f>
        <v>Yes</v>
      </c>
      <c r="G25" s="5" t="str">
        <f ca="1">IFERROR(__xludf.DUMMYFUNCTION("""COMPUTED_VALUE"""),"Yes")</f>
        <v>Yes</v>
      </c>
      <c r="H25" s="5" t="str">
        <f ca="1">IFERROR(__xludf.DUMMYFUNCTION("""COMPUTED_VALUE"""),"Yes")</f>
        <v>Yes</v>
      </c>
      <c r="I25" s="5" t="str">
        <f ca="1">IFERROR(__xludf.DUMMYFUNCTION("""COMPUTED_VALUE"""),"Yes")</f>
        <v>Yes</v>
      </c>
      <c r="J25" s="5" t="str">
        <f ca="1">IFERROR(__xludf.DUMMYFUNCTION("""COMPUTED_VALUE"""),"Yes")</f>
        <v>Yes</v>
      </c>
      <c r="K25" s="5" t="str">
        <f ca="1">IFERROR(__xludf.DUMMYFUNCTION("""COMPUTED_VALUE"""),"Yes")</f>
        <v>Yes</v>
      </c>
      <c r="L25" s="5" t="str">
        <f ca="1">IFERROR(__xludf.DUMMYFUNCTION("""COMPUTED_VALUE"""),"Yes")</f>
        <v>Yes</v>
      </c>
      <c r="M25" s="5" t="str">
        <f ca="1">IFERROR(__xludf.DUMMYFUNCTION("""COMPUTED_VALUE"""),"Yes")</f>
        <v>Yes</v>
      </c>
      <c r="N25" s="5" t="str">
        <f ca="1">IFERROR(__xludf.DUMMYFUNCTION("""COMPUTED_VALUE"""),"Yes")</f>
        <v>Yes</v>
      </c>
      <c r="O25" s="5" t="str">
        <f ca="1">IFERROR(__xludf.DUMMYFUNCTION("""COMPUTED_VALUE"""),"Yes")</f>
        <v>Yes</v>
      </c>
      <c r="P25" s="5" t="str">
        <f ca="1">IFERROR(__xludf.DUMMYFUNCTION("""COMPUTED_VALUE"""),"Yes")</f>
        <v>Yes</v>
      </c>
      <c r="Q25" s="5" t="str">
        <f ca="1">IFERROR(__xludf.DUMMYFUNCTION("""COMPUTED_VALUE"""),"Yes")</f>
        <v>Yes</v>
      </c>
      <c r="R25" s="5" t="str">
        <f ca="1">IFERROR(__xludf.DUMMYFUNCTION("""COMPUTED_VALUE"""),"Yes")</f>
        <v>Yes</v>
      </c>
      <c r="S25" s="5" t="str">
        <f ca="1">IFERROR(__xludf.DUMMYFUNCTION("""COMPUTED_VALUE"""),"Yes")</f>
        <v>Yes</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IFERROR(__xludf.DUMMYFUNCTION("""COMPUTED_VALUE"""),"No")</f>
        <v>No</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IFERROR(__xludf.DUMMYFUNCTION("""COMPUTED_VALUE"""),"No")</f>
        <v>No</v>
      </c>
      <c r="AF25" s="5" t="str">
        <f ca="1">IFERROR(__xludf.DUMMYFUNCTION("""COMPUTED_VALUE"""),"Yes")</f>
        <v>Yes</v>
      </c>
      <c r="AG25" s="5" t="str">
        <f ca="1">IFERROR(__xludf.DUMMYFUNCTION("""COMPUTED_VALUE"""),"No")</f>
        <v>No</v>
      </c>
      <c r="AH25" s="5" t="str">
        <f ca="1">IFERROR(__xludf.DUMMYFUNCTION("""COMPUTED_VALUE"""),"No")</f>
        <v>No</v>
      </c>
      <c r="AI25" s="5" t="str">
        <f ca="1">IFERROR(__xludf.DUMMYFUNCTION("""COMPUTED_VALUE"""),"No")</f>
        <v>No</v>
      </c>
      <c r="AJ25" s="5" t="str">
        <f ca="1">IFERROR(__xludf.DUMMYFUNCTION("""COMPUTED_VALUE"""),"No")</f>
        <v>No</v>
      </c>
      <c r="AK25" s="5" t="str">
        <f ca="1">IFERROR(__xludf.DUMMYFUNCTION("""COMPUTED_VALUE"""),"No")</f>
        <v>No</v>
      </c>
      <c r="AL25" s="5" t="str">
        <f ca="1">IFERROR(__xludf.DUMMYFUNCTION("""COMPUTED_VALUE"""),"No")</f>
        <v>No</v>
      </c>
      <c r="AM25" s="5"/>
      <c r="AN25" s="5"/>
      <c r="AO25" s="5"/>
      <c r="AP25" s="5"/>
      <c r="AQ25" s="5"/>
      <c r="AR25" s="5"/>
      <c r="AS25" s="5"/>
      <c r="AT25" s="5"/>
      <c r="AU25" s="5"/>
      <c r="AV25" s="5"/>
      <c r="AW25" s="5"/>
      <c r="AX25" s="5"/>
      <c r="AY25" s="5"/>
    </row>
    <row r="26" spans="1:51" x14ac:dyDescent="0.25">
      <c r="A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 s="5">
        <f ca="1">IFERROR(__xludf.DUMMYFUNCTION("""COMPUTED_VALUE"""),25)</f>
        <v>25</v>
      </c>
      <c r="C26" s="5">
        <f ca="1">IFERROR(__xludf.DUMMYFUNCTION("""COMPUTED_VALUE"""),24)</f>
        <v>24</v>
      </c>
      <c r="D26" s="5" t="str">
        <f ca="1">IFERROR(__xludf.DUMMYFUNCTION("""COMPUTED_VALUE"""),"MegaHot")</f>
        <v>MegaHot</v>
      </c>
      <c r="E26" s="5" t="str">
        <f ca="1">IFERROR(__xludf.DUMMYFUNCTION("""COMPUTED_VALUE"""),"Yes")</f>
        <v>Yes</v>
      </c>
      <c r="F26" s="5" t="str">
        <f ca="1">IFERROR(__xludf.DUMMYFUNCTION("""COMPUTED_VALUE"""),"Yes")</f>
        <v>Yes</v>
      </c>
      <c r="G26" s="5" t="str">
        <f ca="1">IFERROR(__xludf.DUMMYFUNCTION("""COMPUTED_VALUE"""),"Yes")</f>
        <v>Yes</v>
      </c>
      <c r="H26" s="5" t="str">
        <f ca="1">IFERROR(__xludf.DUMMYFUNCTION("""COMPUTED_VALUE"""),"Yes")</f>
        <v>Yes</v>
      </c>
      <c r="I26" s="5" t="str">
        <f ca="1">IFERROR(__xludf.DUMMYFUNCTION("""COMPUTED_VALUE"""),"Yes")</f>
        <v>Yes</v>
      </c>
      <c r="J26" s="5" t="str">
        <f ca="1">IFERROR(__xludf.DUMMYFUNCTION("""COMPUTED_VALUE"""),"Yes")</f>
        <v>Yes</v>
      </c>
      <c r="K26" s="5" t="str">
        <f ca="1">IFERROR(__xludf.DUMMYFUNCTION("""COMPUTED_VALUE"""),"Yes")</f>
        <v>Yes</v>
      </c>
      <c r="L26" s="5" t="str">
        <f ca="1">IFERROR(__xludf.DUMMYFUNCTION("""COMPUTED_VALUE"""),"Yes")</f>
        <v>Yes</v>
      </c>
      <c r="M26" s="5" t="str">
        <f ca="1">IFERROR(__xludf.DUMMYFUNCTION("""COMPUTED_VALUE"""),"Yes")</f>
        <v>Yes</v>
      </c>
      <c r="N26" s="5" t="str">
        <f ca="1">IFERROR(__xludf.DUMMYFUNCTION("""COMPUTED_VALUE"""),"Yes")</f>
        <v>Yes</v>
      </c>
      <c r="O26" s="5" t="str">
        <f ca="1">IFERROR(__xludf.DUMMYFUNCTION("""COMPUTED_VALUE"""),"Yes")</f>
        <v>Yes</v>
      </c>
      <c r="P26" s="5" t="str">
        <f ca="1">IFERROR(__xludf.DUMMYFUNCTION("""COMPUTED_VALUE"""),"Yes")</f>
        <v>Yes</v>
      </c>
      <c r="Q26" s="5" t="str">
        <f ca="1">IFERROR(__xludf.DUMMYFUNCTION("""COMPUTED_VALUE"""),"Yes")</f>
        <v>Yes</v>
      </c>
      <c r="R26" s="5" t="str">
        <f ca="1">IFERROR(__xludf.DUMMYFUNCTION("""COMPUTED_VALUE"""),"Yes")</f>
        <v>Yes</v>
      </c>
      <c r="S26" s="5" t="str">
        <f ca="1">IFERROR(__xludf.DUMMYFUNCTION("""COMPUTED_VALUE"""),"Yes")</f>
        <v>Yes</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IFERROR(__xludf.DUMMYFUNCTION("""COMPUTED_VALUE"""),"Yes")</f>
        <v>Yes</v>
      </c>
      <c r="X26" s="5" t="str">
        <f ca="1">IFERROR(__xludf.DUMMYFUNCTION("""COMPUTED_VALUE"""),"Yes")</f>
        <v>Yes</v>
      </c>
      <c r="Y26" s="5" t="str">
        <f ca="1">IFERROR(__xludf.DUMMYFUNCTION("""COMPUTED_VALUE"""),"Yes")</f>
        <v>Yes</v>
      </c>
      <c r="Z26" s="5" t="str">
        <f ca="1">IFERROR(__xludf.DUMMYFUNCTION("""COMPUTED_VALUE"""),"No")</f>
        <v>No</v>
      </c>
      <c r="AA26" s="5" t="str">
        <f ca="1">IFERROR(__xludf.DUMMYFUNCTION("""COMPUTED_VALUE"""),"Yes")</f>
        <v>Yes</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IFERROR(__xludf.DUMMYFUNCTION("""COMPUTED_VALUE"""),"No")</f>
        <v>No</v>
      </c>
      <c r="AF26" s="5" t="str">
        <f ca="1">IFERROR(__xludf.DUMMYFUNCTION("""COMPUTED_VALUE"""),"Yes")</f>
        <v>Yes</v>
      </c>
      <c r="AG26" s="5" t="str">
        <f ca="1">IFERROR(__xludf.DUMMYFUNCTION("""COMPUTED_VALUE"""),"No")</f>
        <v>No</v>
      </c>
      <c r="AH26" s="5" t="str">
        <f ca="1">IFERROR(__xludf.DUMMYFUNCTION("""COMPUTED_VALUE"""),"No")</f>
        <v>No</v>
      </c>
      <c r="AI26" s="5" t="str">
        <f ca="1">IFERROR(__xludf.DUMMYFUNCTION("""COMPUTED_VALUE"""),"No")</f>
        <v>No</v>
      </c>
      <c r="AJ26" s="5" t="str">
        <f ca="1">IFERROR(__xludf.DUMMYFUNCTION("""COMPUTED_VALUE"""),"No")</f>
        <v>No</v>
      </c>
      <c r="AK26" s="5" t="str">
        <f ca="1">IFERROR(__xludf.DUMMYFUNCTION("""COMPUTED_VALUE"""),"No")</f>
        <v>No</v>
      </c>
      <c r="AL26" s="5" t="str">
        <f ca="1">IFERROR(__xludf.DUMMYFUNCTION("""COMPUTED_VALUE"""),"No")</f>
        <v>No</v>
      </c>
      <c r="AM26" s="5"/>
      <c r="AN26" s="5"/>
      <c r="AO26" s="5"/>
      <c r="AP26" s="5"/>
      <c r="AQ26" s="5"/>
      <c r="AR26" s="5"/>
      <c r="AS26" s="5"/>
      <c r="AT26" s="5"/>
      <c r="AU26" s="5"/>
      <c r="AV26" s="5"/>
      <c r="AW26" s="5"/>
      <c r="AX26" s="5"/>
      <c r="AY26" s="5"/>
    </row>
    <row r="27" spans="1:51" x14ac:dyDescent="0.25">
      <c r="A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7" s="5">
        <f ca="1">IFERROR(__xludf.DUMMYFUNCTION("""COMPUTED_VALUE"""),26)</f>
        <v>26</v>
      </c>
      <c r="C27" s="5">
        <f ca="1">IFERROR(__xludf.DUMMYFUNCTION("""COMPUTED_VALUE"""),25)</f>
        <v>25</v>
      </c>
      <c r="D27" s="5" t="str">
        <f ca="1">IFERROR(__xludf.DUMMYFUNCTION("""COMPUTED_VALUE"""),"LiveEuropeanRoulette")</f>
        <v>LiveEuropeanRoulette</v>
      </c>
      <c r="E27" s="5" t="str">
        <f ca="1">IFERROR(__xludf.DUMMYFUNCTION("""COMPUTED_VALUE"""),"Yes")</f>
        <v>Yes</v>
      </c>
      <c r="F27" s="5" t="str">
        <f ca="1">IFERROR(__xludf.DUMMYFUNCTION("""COMPUTED_VALUE"""),"Yes")</f>
        <v>Yes</v>
      </c>
      <c r="G27" s="5" t="str">
        <f ca="1">IFERROR(__xludf.DUMMYFUNCTION("""COMPUTED_VALUE"""),"Yes")</f>
        <v>Yes</v>
      </c>
      <c r="H27" s="5" t="str">
        <f ca="1">IFERROR(__xludf.DUMMYFUNCTION("""COMPUTED_VALUE"""),"Yes")</f>
        <v>Yes</v>
      </c>
      <c r="I27" s="5" t="str">
        <f ca="1">IFERROR(__xludf.DUMMYFUNCTION("""COMPUTED_VALUE"""),"Yes")</f>
        <v>Yes</v>
      </c>
      <c r="J27" s="5" t="str">
        <f ca="1">IFERROR(__xludf.DUMMYFUNCTION("""COMPUTED_VALUE"""),"Yes")</f>
        <v>Yes</v>
      </c>
      <c r="K27" s="5" t="str">
        <f ca="1">IFERROR(__xludf.DUMMYFUNCTION("""COMPUTED_VALUE"""),"Yes")</f>
        <v>Yes</v>
      </c>
      <c r="L27" s="5" t="str">
        <f ca="1">IFERROR(__xludf.DUMMYFUNCTION("""COMPUTED_VALUE"""),"Yes")</f>
        <v>Yes</v>
      </c>
      <c r="M27" s="5" t="str">
        <f ca="1">IFERROR(__xludf.DUMMYFUNCTION("""COMPUTED_VALUE"""),"Yes")</f>
        <v>Yes</v>
      </c>
      <c r="N27" s="5" t="str">
        <f ca="1">IFERROR(__xludf.DUMMYFUNCTION("""COMPUTED_VALUE"""),"Yes")</f>
        <v>Yes</v>
      </c>
      <c r="O27" s="5" t="str">
        <f ca="1">IFERROR(__xludf.DUMMYFUNCTION("""COMPUTED_VALUE"""),"Yes")</f>
        <v>Yes</v>
      </c>
      <c r="P27" s="5" t="str">
        <f ca="1">IFERROR(__xludf.DUMMYFUNCTION("""COMPUTED_VALUE"""),"Yes")</f>
        <v>Yes</v>
      </c>
      <c r="Q27" s="5" t="str">
        <f ca="1">IFERROR(__xludf.DUMMYFUNCTION("""COMPUTED_VALUE"""),"Yes")</f>
        <v>Yes</v>
      </c>
      <c r="R27" s="5" t="str">
        <f ca="1">IFERROR(__xludf.DUMMYFUNCTION("""COMPUTED_VALUE"""),"Yes")</f>
        <v>Yes</v>
      </c>
      <c r="S27" s="5" t="str">
        <f ca="1">IFERROR(__xludf.DUMMYFUNCTION("""COMPUTED_VALUE"""),"Yes")</f>
        <v>Yes</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IFERROR(__xludf.DUMMYFUNCTION("""COMPUTED_VALUE"""),"Yes")</f>
        <v>Yes</v>
      </c>
      <c r="X27" s="5" t="str">
        <f ca="1">IFERROR(__xludf.DUMMYFUNCTION("""COMPUTED_VALUE"""),"Yes")</f>
        <v>Yes</v>
      </c>
      <c r="Y27" s="5"/>
      <c r="Z27" s="5"/>
      <c r="AA27" s="5"/>
      <c r="AB27" s="5"/>
      <c r="AC27" s="5" t="str">
        <f ca="1">IFERROR(__xludf.DUMMYFUNCTION("""COMPUTED_VALUE"""),"Yes")</f>
        <v>Yes</v>
      </c>
      <c r="AD27" s="5"/>
      <c r="AE27" s="5"/>
      <c r="AF27" s="5"/>
      <c r="AG27" s="5"/>
      <c r="AH27" s="5"/>
      <c r="AI27" s="5"/>
      <c r="AJ27" s="5"/>
      <c r="AK27" s="5"/>
      <c r="AL27" s="5"/>
      <c r="AM27" s="5"/>
      <c r="AN27" s="5"/>
      <c r="AO27" s="5"/>
      <c r="AP27" s="5"/>
      <c r="AQ27" s="5"/>
      <c r="AR27" s="5"/>
      <c r="AS27" s="5"/>
      <c r="AT27" s="5"/>
      <c r="AU27" s="5"/>
      <c r="AV27" s="5"/>
      <c r="AW27" s="5"/>
      <c r="AX27" s="5"/>
      <c r="AY27" s="5"/>
    </row>
    <row r="28" spans="1:51" x14ac:dyDescent="0.25">
      <c r="A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8" s="5">
        <f ca="1">IFERROR(__xludf.DUMMYFUNCTION("""COMPUTED_VALUE"""),27)</f>
        <v>27</v>
      </c>
      <c r="C28" s="5">
        <f ca="1">IFERROR(__xludf.DUMMYFUNCTION("""COMPUTED_VALUE"""),26)</f>
        <v>26</v>
      </c>
      <c r="D28" s="5" t="str">
        <f ca="1">IFERROR(__xludf.DUMMYFUNCTION("""COMPUTED_VALUE"""),"LiveAmericanRoulette")</f>
        <v>LiveAmericanRoulette</v>
      </c>
      <c r="E28" s="5" t="str">
        <f ca="1">IFERROR(__xludf.DUMMYFUNCTION("""COMPUTED_VALUE"""),"Yes")</f>
        <v>Yes</v>
      </c>
      <c r="F28" s="5" t="str">
        <f ca="1">IFERROR(__xludf.DUMMYFUNCTION("""COMPUTED_VALUE"""),"Yes")</f>
        <v>Yes</v>
      </c>
      <c r="G28" s="5" t="str">
        <f ca="1">IFERROR(__xludf.DUMMYFUNCTION("""COMPUTED_VALUE"""),"Yes")</f>
        <v>Yes</v>
      </c>
      <c r="H28" s="5" t="str">
        <f ca="1">IFERROR(__xludf.DUMMYFUNCTION("""COMPUTED_VALUE"""),"Yes")</f>
        <v>Yes</v>
      </c>
      <c r="I28" s="5" t="str">
        <f ca="1">IFERROR(__xludf.DUMMYFUNCTION("""COMPUTED_VALUE"""),"Yes")</f>
        <v>Yes</v>
      </c>
      <c r="J28" s="5" t="str">
        <f ca="1">IFERROR(__xludf.DUMMYFUNCTION("""COMPUTED_VALUE"""),"Yes")</f>
        <v>Yes</v>
      </c>
      <c r="K28" s="5" t="str">
        <f ca="1">IFERROR(__xludf.DUMMYFUNCTION("""COMPUTED_VALUE"""),"Yes")</f>
        <v>Yes</v>
      </c>
      <c r="L28" s="5" t="str">
        <f ca="1">IFERROR(__xludf.DUMMYFUNCTION("""COMPUTED_VALUE"""),"Yes")</f>
        <v>Yes</v>
      </c>
      <c r="M28" s="5" t="str">
        <f ca="1">IFERROR(__xludf.DUMMYFUNCTION("""COMPUTED_VALUE"""),"Yes")</f>
        <v>Yes</v>
      </c>
      <c r="N28" s="5" t="str">
        <f ca="1">IFERROR(__xludf.DUMMYFUNCTION("""COMPUTED_VALUE"""),"Yes")</f>
        <v>Yes</v>
      </c>
      <c r="O28" s="5" t="str">
        <f ca="1">IFERROR(__xludf.DUMMYFUNCTION("""COMPUTED_VALUE"""),"Yes")</f>
        <v>Yes</v>
      </c>
      <c r="P28" s="5" t="str">
        <f ca="1">IFERROR(__xludf.DUMMYFUNCTION("""COMPUTED_VALUE"""),"Yes")</f>
        <v>Yes</v>
      </c>
      <c r="Q28" s="5" t="str">
        <f ca="1">IFERROR(__xludf.DUMMYFUNCTION("""COMPUTED_VALUE"""),"Yes")</f>
        <v>Yes</v>
      </c>
      <c r="R28" s="5" t="str">
        <f ca="1">IFERROR(__xludf.DUMMYFUNCTION("""COMPUTED_VALUE"""),"Yes")</f>
        <v>Yes</v>
      </c>
      <c r="S28" s="5" t="str">
        <f ca="1">IFERROR(__xludf.DUMMYFUNCTION("""COMPUTED_VALUE"""),"Yes")</f>
        <v>Yes</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IFERROR(__xludf.DUMMYFUNCTION("""COMPUTED_VALUE"""),"Yes")</f>
        <v>Yes</v>
      </c>
      <c r="X28" s="5" t="str">
        <f ca="1">IFERROR(__xludf.DUMMYFUNCTION("""COMPUTED_VALUE"""),"Yes")</f>
        <v>Yes</v>
      </c>
      <c r="Y28" s="5"/>
      <c r="Z28" s="5"/>
      <c r="AA28" s="5"/>
      <c r="AB28" s="5"/>
      <c r="AC28" s="5" t="str">
        <f ca="1">IFERROR(__xludf.DUMMYFUNCTION("""COMPUTED_VALUE"""),"Yes")</f>
        <v>Yes</v>
      </c>
      <c r="AD28" s="5"/>
      <c r="AE28" s="5"/>
      <c r="AF28" s="5"/>
      <c r="AG28" s="5"/>
      <c r="AH28" s="5"/>
      <c r="AI28" s="5"/>
      <c r="AJ28" s="5"/>
      <c r="AK28" s="5"/>
      <c r="AL28" s="5"/>
      <c r="AM28" s="5"/>
      <c r="AN28" s="5"/>
      <c r="AO28" s="5"/>
      <c r="AP28" s="5"/>
      <c r="AQ28" s="5"/>
      <c r="AR28" s="5"/>
      <c r="AS28" s="5"/>
      <c r="AT28" s="5"/>
      <c r="AU28" s="5"/>
      <c r="AV28" s="5"/>
      <c r="AW28" s="5"/>
      <c r="AX28" s="5"/>
      <c r="AY28" s="5"/>
    </row>
    <row r="29" spans="1:51" x14ac:dyDescent="0.25">
      <c r="A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 s="5">
        <f ca="1">IFERROR(__xludf.DUMMYFUNCTION("""COMPUTED_VALUE"""),28)</f>
        <v>28</v>
      </c>
      <c r="C29" s="5">
        <f ca="1">IFERROR(__xludf.DUMMYFUNCTION("""COMPUTED_VALUE"""),27)</f>
        <v>27</v>
      </c>
      <c r="D29" s="5" t="str">
        <f ca="1">IFERROR(__xludf.DUMMYFUNCTION("""COMPUTED_VALUE"""),"BurningIce")</f>
        <v>BurningIce</v>
      </c>
      <c r="E29" s="5" t="str">
        <f ca="1">IFERROR(__xludf.DUMMYFUNCTION("""COMPUTED_VALUE"""),"Yes")</f>
        <v>Yes</v>
      </c>
      <c r="F29" s="5" t="str">
        <f ca="1">IFERROR(__xludf.DUMMYFUNCTION("""COMPUTED_VALUE"""),"Yes")</f>
        <v>Yes</v>
      </c>
      <c r="G29" s="5" t="str">
        <f ca="1">IFERROR(__xludf.DUMMYFUNCTION("""COMPUTED_VALUE"""),"Yes")</f>
        <v>Yes</v>
      </c>
      <c r="H29" s="5" t="str">
        <f ca="1">IFERROR(__xludf.DUMMYFUNCTION("""COMPUTED_VALUE"""),"Yes")</f>
        <v>Yes</v>
      </c>
      <c r="I29" s="5" t="str">
        <f ca="1">IFERROR(__xludf.DUMMYFUNCTION("""COMPUTED_VALUE"""),"Yes")</f>
        <v>Yes</v>
      </c>
      <c r="J29" s="5" t="str">
        <f ca="1">IFERROR(__xludf.DUMMYFUNCTION("""COMPUTED_VALUE"""),"Yes")</f>
        <v>Yes</v>
      </c>
      <c r="K29" s="5" t="str">
        <f ca="1">IFERROR(__xludf.DUMMYFUNCTION("""COMPUTED_VALUE"""),"Yes")</f>
        <v>Yes</v>
      </c>
      <c r="L29" s="5" t="str">
        <f ca="1">IFERROR(__xludf.DUMMYFUNCTION("""COMPUTED_VALUE"""),"Yes")</f>
        <v>Yes</v>
      </c>
      <c r="M29" s="5" t="str">
        <f ca="1">IFERROR(__xludf.DUMMYFUNCTION("""COMPUTED_VALUE"""),"Yes")</f>
        <v>Yes</v>
      </c>
      <c r="N29" s="5" t="str">
        <f ca="1">IFERROR(__xludf.DUMMYFUNCTION("""COMPUTED_VALUE"""),"Yes")</f>
        <v>Yes</v>
      </c>
      <c r="O29" s="5" t="str">
        <f ca="1">IFERROR(__xludf.DUMMYFUNCTION("""COMPUTED_VALUE"""),"Yes")</f>
        <v>Yes</v>
      </c>
      <c r="P29" s="5" t="str">
        <f ca="1">IFERROR(__xludf.DUMMYFUNCTION("""COMPUTED_VALUE"""),"Yes")</f>
        <v>Yes</v>
      </c>
      <c r="Q29" s="5" t="str">
        <f ca="1">IFERROR(__xludf.DUMMYFUNCTION("""COMPUTED_VALUE"""),"Yes")</f>
        <v>Yes</v>
      </c>
      <c r="R29" s="5" t="str">
        <f ca="1">IFERROR(__xludf.DUMMYFUNCTION("""COMPUTED_VALUE"""),"Yes")</f>
        <v>Yes</v>
      </c>
      <c r="S29" s="5" t="str">
        <f ca="1">IFERROR(__xludf.DUMMYFUNCTION("""COMPUTED_VALUE"""),"Yes")</f>
        <v>Yes</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IFERROR(__xludf.DUMMYFUNCTION("""COMPUTED_VALUE"""),"No")</f>
        <v>No</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IFERROR(__xludf.DUMMYFUNCTION("""COMPUTED_VALUE"""),"No")</f>
        <v>No</v>
      </c>
      <c r="AF29" s="5" t="str">
        <f ca="1">IFERROR(__xludf.DUMMYFUNCTION("""COMPUTED_VALUE"""),"Yes")</f>
        <v>Yes</v>
      </c>
      <c r="AG29" s="5" t="str">
        <f ca="1">IFERROR(__xludf.DUMMYFUNCTION("""COMPUTED_VALUE"""),"No")</f>
        <v>No</v>
      </c>
      <c r="AH29" s="5" t="str">
        <f ca="1">IFERROR(__xludf.DUMMYFUNCTION("""COMPUTED_VALUE"""),"No")</f>
        <v>No</v>
      </c>
      <c r="AI29" s="5" t="str">
        <f ca="1">IFERROR(__xludf.DUMMYFUNCTION("""COMPUTED_VALUE"""),"No")</f>
        <v>No</v>
      </c>
      <c r="AJ29" s="5" t="str">
        <f ca="1">IFERROR(__xludf.DUMMYFUNCTION("""COMPUTED_VALUE"""),"No")</f>
        <v>No</v>
      </c>
      <c r="AK29" s="5" t="str">
        <f ca="1">IFERROR(__xludf.DUMMYFUNCTION("""COMPUTED_VALUE"""),"No")</f>
        <v>No</v>
      </c>
      <c r="AL29" s="5" t="str">
        <f ca="1">IFERROR(__xludf.DUMMYFUNCTION("""COMPUTED_VALUE"""),"No")</f>
        <v>No</v>
      </c>
      <c r="AM29" s="5"/>
      <c r="AN29" s="5"/>
      <c r="AO29" s="5"/>
      <c r="AP29" s="5"/>
      <c r="AQ29" s="5"/>
      <c r="AR29" s="5"/>
      <c r="AS29" s="5"/>
      <c r="AT29" s="5"/>
      <c r="AU29" s="5"/>
      <c r="AV29" s="5"/>
      <c r="AW29" s="5"/>
      <c r="AX29" s="5"/>
      <c r="AY29" s="5"/>
    </row>
    <row r="30" spans="1:51" x14ac:dyDescent="0.25">
      <c r="A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 s="5">
        <f ca="1">IFERROR(__xludf.DUMMYFUNCTION("""COMPUTED_VALUE"""),29)</f>
        <v>29</v>
      </c>
      <c r="C30" s="5">
        <f ca="1">IFERROR(__xludf.DUMMYFUNCTION("""COMPUTED_VALUE"""),28)</f>
        <v>28</v>
      </c>
      <c r="D30" s="5" t="str">
        <f ca="1">IFERROR(__xludf.DUMMYFUNCTION("""COMPUTED_VALUE"""),"TurboHot40")</f>
        <v>TurboHot40</v>
      </c>
      <c r="E30" s="5" t="str">
        <f ca="1">IFERROR(__xludf.DUMMYFUNCTION("""COMPUTED_VALUE"""),"Yes")</f>
        <v>Yes</v>
      </c>
      <c r="F30" s="5" t="str">
        <f ca="1">IFERROR(__xludf.DUMMYFUNCTION("""COMPUTED_VALUE"""),"Yes")</f>
        <v>Yes</v>
      </c>
      <c r="G30" s="5" t="str">
        <f ca="1">IFERROR(__xludf.DUMMYFUNCTION("""COMPUTED_VALUE"""),"Yes")</f>
        <v>Yes</v>
      </c>
      <c r="H30" s="5" t="str">
        <f ca="1">IFERROR(__xludf.DUMMYFUNCTION("""COMPUTED_VALUE"""),"Yes")</f>
        <v>Yes</v>
      </c>
      <c r="I30" s="5" t="str">
        <f ca="1">IFERROR(__xludf.DUMMYFUNCTION("""COMPUTED_VALUE"""),"Yes")</f>
        <v>Yes</v>
      </c>
      <c r="J30" s="5" t="str">
        <f ca="1">IFERROR(__xludf.DUMMYFUNCTION("""COMPUTED_VALUE"""),"Yes")</f>
        <v>Yes</v>
      </c>
      <c r="K30" s="5" t="str">
        <f ca="1">IFERROR(__xludf.DUMMYFUNCTION("""COMPUTED_VALUE"""),"Yes")</f>
        <v>Yes</v>
      </c>
      <c r="L30" s="5" t="str">
        <f ca="1">IFERROR(__xludf.DUMMYFUNCTION("""COMPUTED_VALUE"""),"Yes")</f>
        <v>Yes</v>
      </c>
      <c r="M30" s="5" t="str">
        <f ca="1">IFERROR(__xludf.DUMMYFUNCTION("""COMPUTED_VALUE"""),"Yes")</f>
        <v>Yes</v>
      </c>
      <c r="N30" s="5" t="str">
        <f ca="1">IFERROR(__xludf.DUMMYFUNCTION("""COMPUTED_VALUE"""),"Yes")</f>
        <v>Yes</v>
      </c>
      <c r="O30" s="5" t="str">
        <f ca="1">IFERROR(__xludf.DUMMYFUNCTION("""COMPUTED_VALUE"""),"Yes")</f>
        <v>Yes</v>
      </c>
      <c r="P30" s="5" t="str">
        <f ca="1">IFERROR(__xludf.DUMMYFUNCTION("""COMPUTED_VALUE"""),"Yes")</f>
        <v>Yes</v>
      </c>
      <c r="Q30" s="5" t="str">
        <f ca="1">IFERROR(__xludf.DUMMYFUNCTION("""COMPUTED_VALUE"""),"Yes")</f>
        <v>Yes</v>
      </c>
      <c r="R30" s="5" t="str">
        <f ca="1">IFERROR(__xludf.DUMMYFUNCTION("""COMPUTED_VALUE"""),"Yes")</f>
        <v>Yes</v>
      </c>
      <c r="S30" s="5" t="str">
        <f ca="1">IFERROR(__xludf.DUMMYFUNCTION("""COMPUTED_VALUE"""),"Yes")</f>
        <v>Yes</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IFERROR(__xludf.DUMMYFUNCTION("""COMPUTED_VALUE"""),"No")</f>
        <v>No</v>
      </c>
      <c r="AA30" s="5" t="str">
        <f ca="1">IFERROR(__xludf.DUMMYFUNCTION("""COMPUTED_VALUE"""),"Yes")</f>
        <v>Yes</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IFERROR(__xludf.DUMMYFUNCTION("""COMPUTED_VALUE"""),"No")</f>
        <v>No</v>
      </c>
      <c r="AF30" s="5" t="str">
        <f ca="1">IFERROR(__xludf.DUMMYFUNCTION("""COMPUTED_VALUE"""),"Yes")</f>
        <v>Yes</v>
      </c>
      <c r="AG30" s="5" t="str">
        <f ca="1">IFERROR(__xludf.DUMMYFUNCTION("""COMPUTED_VALUE"""),"No")</f>
        <v>No</v>
      </c>
      <c r="AH30" s="5" t="str">
        <f ca="1">IFERROR(__xludf.DUMMYFUNCTION("""COMPUTED_VALUE"""),"No")</f>
        <v>No</v>
      </c>
      <c r="AI30" s="5" t="str">
        <f ca="1">IFERROR(__xludf.DUMMYFUNCTION("""COMPUTED_VALUE"""),"No")</f>
        <v>No</v>
      </c>
      <c r="AJ30" s="5" t="str">
        <f ca="1">IFERROR(__xludf.DUMMYFUNCTION("""COMPUTED_VALUE"""),"No")</f>
        <v>No</v>
      </c>
      <c r="AK30" s="5" t="str">
        <f ca="1">IFERROR(__xludf.DUMMYFUNCTION("""COMPUTED_VALUE"""),"No")</f>
        <v>No</v>
      </c>
      <c r="AL30" s="5" t="str">
        <f ca="1">IFERROR(__xludf.DUMMYFUNCTION("""COMPUTED_VALUE"""),"No")</f>
        <v>No</v>
      </c>
      <c r="AM30" s="5"/>
      <c r="AN30" s="5"/>
      <c r="AO30" s="5"/>
      <c r="AP30" s="5"/>
      <c r="AQ30" s="5"/>
      <c r="AR30" s="5"/>
      <c r="AS30" s="5"/>
      <c r="AT30" s="5"/>
      <c r="AU30" s="5"/>
      <c r="AV30" s="5"/>
      <c r="AW30" s="5"/>
      <c r="AX30" s="5"/>
      <c r="AY30" s="5"/>
    </row>
    <row r="31" spans="1:51" x14ac:dyDescent="0.25">
      <c r="A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 s="5">
        <f ca="1">IFERROR(__xludf.DUMMYFUNCTION("""COMPUTED_VALUE"""),30)</f>
        <v>30</v>
      </c>
      <c r="C31" s="5">
        <f ca="1">IFERROR(__xludf.DUMMYFUNCTION("""COMPUTED_VALUE"""),29)</f>
        <v>29</v>
      </c>
      <c r="D31" s="5" t="str">
        <f ca="1">IFERROR(__xludf.DUMMYFUNCTION("""COMPUTED_VALUE"""),"CrystalsOfMagic")</f>
        <v>CrystalsOfMagic</v>
      </c>
      <c r="E31" s="5" t="str">
        <f ca="1">IFERROR(__xludf.DUMMYFUNCTION("""COMPUTED_VALUE"""),"Yes")</f>
        <v>Yes</v>
      </c>
      <c r="F31" s="5" t="str">
        <f ca="1">IFERROR(__xludf.DUMMYFUNCTION("""COMPUTED_VALUE"""),"Yes")</f>
        <v>Yes</v>
      </c>
      <c r="G31" s="5" t="str">
        <f ca="1">IFERROR(__xludf.DUMMYFUNCTION("""COMPUTED_VALUE"""),"Yes")</f>
        <v>Yes</v>
      </c>
      <c r="H31" s="5" t="str">
        <f ca="1">IFERROR(__xludf.DUMMYFUNCTION("""COMPUTED_VALUE"""),"Yes")</f>
        <v>Yes</v>
      </c>
      <c r="I31" s="5" t="str">
        <f ca="1">IFERROR(__xludf.DUMMYFUNCTION("""COMPUTED_VALUE"""),"Yes")</f>
        <v>Yes</v>
      </c>
      <c r="J31" s="5" t="str">
        <f ca="1">IFERROR(__xludf.DUMMYFUNCTION("""COMPUTED_VALUE"""),"Yes")</f>
        <v>Yes</v>
      </c>
      <c r="K31" s="5" t="str">
        <f ca="1">IFERROR(__xludf.DUMMYFUNCTION("""COMPUTED_VALUE"""),"Yes")</f>
        <v>Yes</v>
      </c>
      <c r="L31" s="5" t="str">
        <f ca="1">IFERROR(__xludf.DUMMYFUNCTION("""COMPUTED_VALUE"""),"Yes")</f>
        <v>Yes</v>
      </c>
      <c r="M31" s="5" t="str">
        <f ca="1">IFERROR(__xludf.DUMMYFUNCTION("""COMPUTED_VALUE"""),"Yes")</f>
        <v>Yes</v>
      </c>
      <c r="N31" s="5" t="str">
        <f ca="1">IFERROR(__xludf.DUMMYFUNCTION("""COMPUTED_VALUE"""),"Yes")</f>
        <v>Yes</v>
      </c>
      <c r="O31" s="5" t="str">
        <f ca="1">IFERROR(__xludf.DUMMYFUNCTION("""COMPUTED_VALUE"""),"Yes")</f>
        <v>Yes</v>
      </c>
      <c r="P31" s="5" t="str">
        <f ca="1">IFERROR(__xludf.DUMMYFUNCTION("""COMPUTED_VALUE"""),"Yes")</f>
        <v>Yes</v>
      </c>
      <c r="Q31" s="5" t="str">
        <f ca="1">IFERROR(__xludf.DUMMYFUNCTION("""COMPUTED_VALUE"""),"Yes")</f>
        <v>Yes</v>
      </c>
      <c r="R31" s="5" t="str">
        <f ca="1">IFERROR(__xludf.DUMMYFUNCTION("""COMPUTED_VALUE"""),"Yes")</f>
        <v>Yes</v>
      </c>
      <c r="S31" s="5" t="str">
        <f ca="1">IFERROR(__xludf.DUMMYFUNCTION("""COMPUTED_VALUE"""),"Yes")</f>
        <v>Yes</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IFERROR(__xludf.DUMMYFUNCTION("""COMPUTED_VALUE"""),"No")</f>
        <v>No</v>
      </c>
      <c r="AA31" s="5" t="str">
        <f ca="1">IFERROR(__xludf.DUMMYFUNCTION("""COMPUTED_VALUE"""),"Yes")</f>
        <v>Yes</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IFERROR(__xludf.DUMMYFUNCTION("""COMPUTED_VALUE"""),"No")</f>
        <v>No</v>
      </c>
      <c r="AF31" s="5" t="str">
        <f ca="1">IFERROR(__xludf.DUMMYFUNCTION("""COMPUTED_VALUE"""),"Yes")</f>
        <v>Yes</v>
      </c>
      <c r="AG31" s="5" t="str">
        <f ca="1">IFERROR(__xludf.DUMMYFUNCTION("""COMPUTED_VALUE"""),"No")</f>
        <v>No</v>
      </c>
      <c r="AH31" s="5" t="str">
        <f ca="1">IFERROR(__xludf.DUMMYFUNCTION("""COMPUTED_VALUE"""),"No")</f>
        <v>No</v>
      </c>
      <c r="AI31" s="5" t="str">
        <f ca="1">IFERROR(__xludf.DUMMYFUNCTION("""COMPUTED_VALUE"""),"No")</f>
        <v>No</v>
      </c>
      <c r="AJ31" s="5" t="str">
        <f ca="1">IFERROR(__xludf.DUMMYFUNCTION("""COMPUTED_VALUE"""),"No")</f>
        <v>No</v>
      </c>
      <c r="AK31" s="5" t="str">
        <f ca="1">IFERROR(__xludf.DUMMYFUNCTION("""COMPUTED_VALUE"""),"No")</f>
        <v>No</v>
      </c>
      <c r="AL31" s="5" t="str">
        <f ca="1">IFERROR(__xludf.DUMMYFUNCTION("""COMPUTED_VALUE"""),"No")</f>
        <v>No</v>
      </c>
      <c r="AM31" s="5"/>
      <c r="AN31" s="5"/>
      <c r="AO31" s="5"/>
      <c r="AP31" s="5"/>
      <c r="AQ31" s="5"/>
      <c r="AR31" s="5"/>
      <c r="AS31" s="5"/>
      <c r="AT31" s="5"/>
      <c r="AU31" s="5"/>
      <c r="AV31" s="5"/>
      <c r="AW31" s="5"/>
      <c r="AX31" s="5"/>
      <c r="AY31" s="5"/>
    </row>
    <row r="32" spans="1:51" x14ac:dyDescent="0.25">
      <c r="A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 s="5">
        <f ca="1">IFERROR(__xludf.DUMMYFUNCTION("""COMPUTED_VALUE"""),31)</f>
        <v>31</v>
      </c>
      <c r="C32" s="5">
        <f ca="1">IFERROR(__xludf.DUMMYFUNCTION("""COMPUTED_VALUE"""),30)</f>
        <v>30</v>
      </c>
      <c r="D32" s="5" t="str">
        <f ca="1">IFERROR(__xludf.DUMMYFUNCTION("""COMPUTED_VALUE"""),"Pirates")</f>
        <v>Pirates</v>
      </c>
      <c r="E32" s="5" t="str">
        <f ca="1">IFERROR(__xludf.DUMMYFUNCTION("""COMPUTED_VALUE"""),"Yes")</f>
        <v>Yes</v>
      </c>
      <c r="F32" s="5" t="str">
        <f ca="1">IFERROR(__xludf.DUMMYFUNCTION("""COMPUTED_VALUE"""),"Yes")</f>
        <v>Yes</v>
      </c>
      <c r="G32" s="5" t="str">
        <f ca="1">IFERROR(__xludf.DUMMYFUNCTION("""COMPUTED_VALUE"""),"Yes")</f>
        <v>Yes</v>
      </c>
      <c r="H32" s="5" t="str">
        <f ca="1">IFERROR(__xludf.DUMMYFUNCTION("""COMPUTED_VALUE"""),"Yes")</f>
        <v>Yes</v>
      </c>
      <c r="I32" s="5" t="str">
        <f ca="1">IFERROR(__xludf.DUMMYFUNCTION("""COMPUTED_VALUE"""),"Yes")</f>
        <v>Yes</v>
      </c>
      <c r="J32" s="5" t="str">
        <f ca="1">IFERROR(__xludf.DUMMYFUNCTION("""COMPUTED_VALUE"""),"Yes")</f>
        <v>Yes</v>
      </c>
      <c r="K32" s="5" t="str">
        <f ca="1">IFERROR(__xludf.DUMMYFUNCTION("""COMPUTED_VALUE"""),"Yes")</f>
        <v>Yes</v>
      </c>
      <c r="L32" s="5" t="str">
        <f ca="1">IFERROR(__xludf.DUMMYFUNCTION("""COMPUTED_VALUE"""),"Yes")</f>
        <v>Yes</v>
      </c>
      <c r="M32" s="5" t="str">
        <f ca="1">IFERROR(__xludf.DUMMYFUNCTION("""COMPUTED_VALUE"""),"Yes")</f>
        <v>Yes</v>
      </c>
      <c r="N32" s="5" t="str">
        <f ca="1">IFERROR(__xludf.DUMMYFUNCTION("""COMPUTED_VALUE"""),"Yes")</f>
        <v>Yes</v>
      </c>
      <c r="O32" s="5" t="str">
        <f ca="1">IFERROR(__xludf.DUMMYFUNCTION("""COMPUTED_VALUE"""),"Yes")</f>
        <v>Yes</v>
      </c>
      <c r="P32" s="5" t="str">
        <f ca="1">IFERROR(__xludf.DUMMYFUNCTION("""COMPUTED_VALUE"""),"Yes")</f>
        <v>Yes</v>
      </c>
      <c r="Q32" s="5" t="str">
        <f ca="1">IFERROR(__xludf.DUMMYFUNCTION("""COMPUTED_VALUE"""),"Yes")</f>
        <v>Yes</v>
      </c>
      <c r="R32" s="5" t="str">
        <f ca="1">IFERROR(__xludf.DUMMYFUNCTION("""COMPUTED_VALUE"""),"Yes")</f>
        <v>Yes</v>
      </c>
      <c r="S32" s="5" t="str">
        <f ca="1">IFERROR(__xludf.DUMMYFUNCTION("""COMPUTED_VALUE"""),"Yes")</f>
        <v>Yes</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IFERROR(__xludf.DUMMYFUNCTION("""COMPUTED_VALUE"""),"No")</f>
        <v>No</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IFERROR(__xludf.DUMMYFUNCTION("""COMPUTED_VALUE"""),"No")</f>
        <v>No</v>
      </c>
      <c r="AF32" s="5" t="str">
        <f ca="1">IFERROR(__xludf.DUMMYFUNCTION("""COMPUTED_VALUE"""),"Yes")</f>
        <v>Yes</v>
      </c>
      <c r="AG32" s="5" t="str">
        <f ca="1">IFERROR(__xludf.DUMMYFUNCTION("""COMPUTED_VALUE"""),"No")</f>
        <v>No</v>
      </c>
      <c r="AH32" s="5" t="str">
        <f ca="1">IFERROR(__xludf.DUMMYFUNCTION("""COMPUTED_VALUE"""),"No")</f>
        <v>No</v>
      </c>
      <c r="AI32" s="5" t="str">
        <f ca="1">IFERROR(__xludf.DUMMYFUNCTION("""COMPUTED_VALUE"""),"No")</f>
        <v>No</v>
      </c>
      <c r="AJ32" s="5" t="str">
        <f ca="1">IFERROR(__xludf.DUMMYFUNCTION("""COMPUTED_VALUE"""),"No")</f>
        <v>No</v>
      </c>
      <c r="AK32" s="5" t="str">
        <f ca="1">IFERROR(__xludf.DUMMYFUNCTION("""COMPUTED_VALUE"""),"No")</f>
        <v>No</v>
      </c>
      <c r="AL32" s="5" t="str">
        <f ca="1">IFERROR(__xludf.DUMMYFUNCTION("""COMPUTED_VALUE"""),"No")</f>
        <v>No</v>
      </c>
      <c r="AM32" s="5"/>
      <c r="AN32" s="5"/>
      <c r="AO32" s="5"/>
      <c r="AP32" s="5"/>
      <c r="AQ32" s="5"/>
      <c r="AR32" s="5"/>
      <c r="AS32" s="5"/>
      <c r="AT32" s="5"/>
      <c r="AU32" s="5"/>
      <c r="AV32" s="5"/>
      <c r="AW32" s="5"/>
      <c r="AX32" s="5"/>
      <c r="AY32" s="5"/>
    </row>
    <row r="33" spans="1:51" x14ac:dyDescent="0.25">
      <c r="A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3" s="5">
        <f ca="1">IFERROR(__xludf.DUMMYFUNCTION("""COMPUTED_VALUE"""),32)</f>
        <v>32</v>
      </c>
      <c r="C33" s="5">
        <f ca="1">IFERROR(__xludf.DUMMYFUNCTION("""COMPUTED_VALUE"""),31)</f>
        <v>31</v>
      </c>
      <c r="D33" s="5" t="str">
        <f ca="1">IFERROR(__xludf.DUMMYFUNCTION("""COMPUTED_VALUE"""),"BookOfBruno")</f>
        <v>BookOfBruno</v>
      </c>
      <c r="E33" s="5" t="str">
        <f ca="1">IFERROR(__xludf.DUMMYFUNCTION("""COMPUTED_VALUE"""),"Yes")</f>
        <v>Yes</v>
      </c>
      <c r="F33" s="5" t="str">
        <f ca="1">IFERROR(__xludf.DUMMYFUNCTION("""COMPUTED_VALUE"""),"Yes")</f>
        <v>Yes</v>
      </c>
      <c r="G33" s="5" t="str">
        <f ca="1">IFERROR(__xludf.DUMMYFUNCTION("""COMPUTED_VALUE"""),"Yes")</f>
        <v>Yes</v>
      </c>
      <c r="H33" s="5" t="str">
        <f ca="1">IFERROR(__xludf.DUMMYFUNCTION("""COMPUTED_VALUE"""),"Yes")</f>
        <v>Yes</v>
      </c>
      <c r="I33" s="5" t="str">
        <f ca="1">IFERROR(__xludf.DUMMYFUNCTION("""COMPUTED_VALUE"""),"Yes")</f>
        <v>Yes</v>
      </c>
      <c r="J33" s="5" t="str">
        <f ca="1">IFERROR(__xludf.DUMMYFUNCTION("""COMPUTED_VALUE"""),"Yes")</f>
        <v>Yes</v>
      </c>
      <c r="K33" s="5" t="str">
        <f ca="1">IFERROR(__xludf.DUMMYFUNCTION("""COMPUTED_VALUE"""),"Yes")</f>
        <v>Yes</v>
      </c>
      <c r="L33" s="5" t="str">
        <f ca="1">IFERROR(__xludf.DUMMYFUNCTION("""COMPUTED_VALUE"""),"Yes")</f>
        <v>Yes</v>
      </c>
      <c r="M33" s="5" t="str">
        <f ca="1">IFERROR(__xludf.DUMMYFUNCTION("""COMPUTED_VALUE"""),"Yes")</f>
        <v>Yes</v>
      </c>
      <c r="N33" s="5" t="str">
        <f ca="1">IFERROR(__xludf.DUMMYFUNCTION("""COMPUTED_VALUE"""),"Yes")</f>
        <v>Yes</v>
      </c>
      <c r="O33" s="5" t="str">
        <f ca="1">IFERROR(__xludf.DUMMYFUNCTION("""COMPUTED_VALUE"""),"Yes")</f>
        <v>Yes</v>
      </c>
      <c r="P33" s="5" t="str">
        <f ca="1">IFERROR(__xludf.DUMMYFUNCTION("""COMPUTED_VALUE"""),"Yes")</f>
        <v>Yes</v>
      </c>
      <c r="Q33" s="5" t="str">
        <f ca="1">IFERROR(__xludf.DUMMYFUNCTION("""COMPUTED_VALUE"""),"Yes")</f>
        <v>Yes</v>
      </c>
      <c r="R33" s="5" t="str">
        <f ca="1">IFERROR(__xludf.DUMMYFUNCTION("""COMPUTED_VALUE"""),"Yes")</f>
        <v>Yes</v>
      </c>
      <c r="S33" s="5" t="str">
        <f ca="1">IFERROR(__xludf.DUMMYFUNCTION("""COMPUTED_VALUE"""),"Yes")</f>
        <v>Yes</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IFERROR(__xludf.DUMMYFUNCTION("""COMPUTED_VALUE"""),"No")</f>
        <v>No</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IFERROR(__xludf.DUMMYFUNCTION("""COMPUTED_VALUE"""),"No")</f>
        <v>No</v>
      </c>
      <c r="AF33" s="5" t="str">
        <f ca="1">IFERROR(__xludf.DUMMYFUNCTION("""COMPUTED_VALUE"""),"Yes")</f>
        <v>Yes</v>
      </c>
      <c r="AG33" s="5" t="str">
        <f ca="1">IFERROR(__xludf.DUMMYFUNCTION("""COMPUTED_VALUE"""),"No")</f>
        <v>No</v>
      </c>
      <c r="AH33" s="5" t="str">
        <f ca="1">IFERROR(__xludf.DUMMYFUNCTION("""COMPUTED_VALUE"""),"No")</f>
        <v>No</v>
      </c>
      <c r="AI33" s="5" t="str">
        <f ca="1">IFERROR(__xludf.DUMMYFUNCTION("""COMPUTED_VALUE"""),"No")</f>
        <v>No</v>
      </c>
      <c r="AJ33" s="5" t="str">
        <f ca="1">IFERROR(__xludf.DUMMYFUNCTION("""COMPUTED_VALUE"""),"No")</f>
        <v>No</v>
      </c>
      <c r="AK33" s="5" t="str">
        <f ca="1">IFERROR(__xludf.DUMMYFUNCTION("""COMPUTED_VALUE"""),"No")</f>
        <v>No</v>
      </c>
      <c r="AL33" s="5" t="str">
        <f ca="1">IFERROR(__xludf.DUMMYFUNCTION("""COMPUTED_VALUE"""),"No")</f>
        <v>No</v>
      </c>
      <c r="AM33" s="5"/>
      <c r="AN33" s="5"/>
      <c r="AO33" s="5"/>
      <c r="AP33" s="5"/>
      <c r="AQ33" s="5"/>
      <c r="AR33" s="5"/>
      <c r="AS33" s="5"/>
      <c r="AT33" s="5"/>
      <c r="AU33" s="5"/>
      <c r="AV33" s="5"/>
      <c r="AW33" s="5"/>
      <c r="AX33" s="5"/>
      <c r="AY33" s="5"/>
    </row>
    <row r="34" spans="1:51" x14ac:dyDescent="0.25">
      <c r="A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 s="5">
        <f ca="1">IFERROR(__xludf.DUMMYFUNCTION("""COMPUTED_VALUE"""),33)</f>
        <v>33</v>
      </c>
      <c r="C34" s="5">
        <f ca="1">IFERROR(__xludf.DUMMYFUNCTION("""COMPUTED_VALUE"""),32)</f>
        <v>32</v>
      </c>
      <c r="D34" s="5" t="str">
        <f ca="1">IFERROR(__xludf.DUMMYFUNCTION("""COMPUTED_VALUE"""),"TropicalHot")</f>
        <v>TropicalHot</v>
      </c>
      <c r="E34" s="5" t="str">
        <f ca="1">IFERROR(__xludf.DUMMYFUNCTION("""COMPUTED_VALUE"""),"Yes")</f>
        <v>Yes</v>
      </c>
      <c r="F34" s="5" t="str">
        <f ca="1">IFERROR(__xludf.DUMMYFUNCTION("""COMPUTED_VALUE"""),"Yes")</f>
        <v>Yes</v>
      </c>
      <c r="G34" s="5" t="str">
        <f ca="1">IFERROR(__xludf.DUMMYFUNCTION("""COMPUTED_VALUE"""),"Yes")</f>
        <v>Yes</v>
      </c>
      <c r="H34" s="5" t="str">
        <f ca="1">IFERROR(__xludf.DUMMYFUNCTION("""COMPUTED_VALUE"""),"Yes")</f>
        <v>Yes</v>
      </c>
      <c r="I34" s="5" t="str">
        <f ca="1">IFERROR(__xludf.DUMMYFUNCTION("""COMPUTED_VALUE"""),"Yes")</f>
        <v>Yes</v>
      </c>
      <c r="J34" s="5" t="str">
        <f ca="1">IFERROR(__xludf.DUMMYFUNCTION("""COMPUTED_VALUE"""),"Yes")</f>
        <v>Yes</v>
      </c>
      <c r="K34" s="5" t="str">
        <f ca="1">IFERROR(__xludf.DUMMYFUNCTION("""COMPUTED_VALUE"""),"Yes")</f>
        <v>Yes</v>
      </c>
      <c r="L34" s="5" t="str">
        <f ca="1">IFERROR(__xludf.DUMMYFUNCTION("""COMPUTED_VALUE"""),"Yes")</f>
        <v>Yes</v>
      </c>
      <c r="M34" s="5" t="str">
        <f ca="1">IFERROR(__xludf.DUMMYFUNCTION("""COMPUTED_VALUE"""),"Yes")</f>
        <v>Yes</v>
      </c>
      <c r="N34" s="5" t="str">
        <f ca="1">IFERROR(__xludf.DUMMYFUNCTION("""COMPUTED_VALUE"""),"Yes")</f>
        <v>Yes</v>
      </c>
      <c r="O34" s="5" t="str">
        <f ca="1">IFERROR(__xludf.DUMMYFUNCTION("""COMPUTED_VALUE"""),"Yes")</f>
        <v>Yes</v>
      </c>
      <c r="P34" s="5" t="str">
        <f ca="1">IFERROR(__xludf.DUMMYFUNCTION("""COMPUTED_VALUE"""),"Yes")</f>
        <v>Yes</v>
      </c>
      <c r="Q34" s="5" t="str">
        <f ca="1">IFERROR(__xludf.DUMMYFUNCTION("""COMPUTED_VALUE"""),"Yes")</f>
        <v>Yes</v>
      </c>
      <c r="R34" s="5" t="str">
        <f ca="1">IFERROR(__xludf.DUMMYFUNCTION("""COMPUTED_VALUE"""),"Yes")</f>
        <v>Yes</v>
      </c>
      <c r="S34" s="5" t="str">
        <f ca="1">IFERROR(__xludf.DUMMYFUNCTION("""COMPUTED_VALUE"""),"Yes")</f>
        <v>Yes</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IFERROR(__xludf.DUMMYFUNCTION("""COMPUTED_VALUE"""),"No")</f>
        <v>No</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IFERROR(__xludf.DUMMYFUNCTION("""COMPUTED_VALUE"""),"No")</f>
        <v>No</v>
      </c>
      <c r="AF34" s="5" t="str">
        <f ca="1">IFERROR(__xludf.DUMMYFUNCTION("""COMPUTED_VALUE"""),"Yes")</f>
        <v>Yes</v>
      </c>
      <c r="AG34" s="5" t="str">
        <f ca="1">IFERROR(__xludf.DUMMYFUNCTION("""COMPUTED_VALUE"""),"No")</f>
        <v>No</v>
      </c>
      <c r="AH34" s="5" t="str">
        <f ca="1">IFERROR(__xludf.DUMMYFUNCTION("""COMPUTED_VALUE"""),"No")</f>
        <v>No</v>
      </c>
      <c r="AI34" s="5" t="str">
        <f ca="1">IFERROR(__xludf.DUMMYFUNCTION("""COMPUTED_VALUE"""),"No")</f>
        <v>No</v>
      </c>
      <c r="AJ34" s="5" t="str">
        <f ca="1">IFERROR(__xludf.DUMMYFUNCTION("""COMPUTED_VALUE"""),"No")</f>
        <v>No</v>
      </c>
      <c r="AK34" s="5" t="str">
        <f ca="1">IFERROR(__xludf.DUMMYFUNCTION("""COMPUTED_VALUE"""),"No")</f>
        <v>No</v>
      </c>
      <c r="AL34" s="5" t="str">
        <f ca="1">IFERROR(__xludf.DUMMYFUNCTION("""COMPUTED_VALUE"""),"No")</f>
        <v>No</v>
      </c>
      <c r="AM34" s="5"/>
      <c r="AN34" s="5"/>
      <c r="AO34" s="5"/>
      <c r="AP34" s="5"/>
      <c r="AQ34" s="5"/>
      <c r="AR34" s="5"/>
      <c r="AS34" s="5"/>
      <c r="AT34" s="5"/>
      <c r="AU34" s="5"/>
      <c r="AV34" s="5"/>
      <c r="AW34" s="5"/>
      <c r="AX34" s="5"/>
      <c r="AY34" s="5"/>
    </row>
    <row r="35" spans="1:51" x14ac:dyDescent="0.25">
      <c r="A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 s="5">
        <f ca="1">IFERROR(__xludf.DUMMYFUNCTION("""COMPUTED_VALUE"""),34)</f>
        <v>34</v>
      </c>
      <c r="C35" s="5">
        <f ca="1">IFERROR(__xludf.DUMMYFUNCTION("""COMPUTED_VALUE"""),33)</f>
        <v>33</v>
      </c>
      <c r="D35" s="5" t="str">
        <f ca="1">IFERROR(__xludf.DUMMYFUNCTION("""COMPUTED_VALUE"""),"Monsters")</f>
        <v>Monsters</v>
      </c>
      <c r="E35" s="5" t="str">
        <f ca="1">IFERROR(__xludf.DUMMYFUNCTION("""COMPUTED_VALUE"""),"Yes")</f>
        <v>Yes</v>
      </c>
      <c r="F35" s="5" t="str">
        <f ca="1">IFERROR(__xludf.DUMMYFUNCTION("""COMPUTED_VALUE"""),"Yes")</f>
        <v>Yes</v>
      </c>
      <c r="G35" s="5" t="str">
        <f ca="1">IFERROR(__xludf.DUMMYFUNCTION("""COMPUTED_VALUE"""),"Yes")</f>
        <v>Yes</v>
      </c>
      <c r="H35" s="5" t="str">
        <f ca="1">IFERROR(__xludf.DUMMYFUNCTION("""COMPUTED_VALUE"""),"Yes")</f>
        <v>Yes</v>
      </c>
      <c r="I35" s="5" t="str">
        <f ca="1">IFERROR(__xludf.DUMMYFUNCTION("""COMPUTED_VALUE"""),"Yes")</f>
        <v>Yes</v>
      </c>
      <c r="J35" s="5" t="str">
        <f ca="1">IFERROR(__xludf.DUMMYFUNCTION("""COMPUTED_VALUE"""),"Yes")</f>
        <v>Yes</v>
      </c>
      <c r="K35" s="5" t="str">
        <f ca="1">IFERROR(__xludf.DUMMYFUNCTION("""COMPUTED_VALUE"""),"Yes")</f>
        <v>Yes</v>
      </c>
      <c r="L35" s="5" t="str">
        <f ca="1">IFERROR(__xludf.DUMMYFUNCTION("""COMPUTED_VALUE"""),"Yes")</f>
        <v>Yes</v>
      </c>
      <c r="M35" s="5" t="str">
        <f ca="1">IFERROR(__xludf.DUMMYFUNCTION("""COMPUTED_VALUE"""),"Yes")</f>
        <v>Yes</v>
      </c>
      <c r="N35" s="5" t="str">
        <f ca="1">IFERROR(__xludf.DUMMYFUNCTION("""COMPUTED_VALUE"""),"Yes")</f>
        <v>Yes</v>
      </c>
      <c r="O35" s="5" t="str">
        <f ca="1">IFERROR(__xludf.DUMMYFUNCTION("""COMPUTED_VALUE"""),"Yes")</f>
        <v>Yes</v>
      </c>
      <c r="P35" s="5" t="str">
        <f ca="1">IFERROR(__xludf.DUMMYFUNCTION("""COMPUTED_VALUE"""),"Yes")</f>
        <v>Yes</v>
      </c>
      <c r="Q35" s="5" t="str">
        <f ca="1">IFERROR(__xludf.DUMMYFUNCTION("""COMPUTED_VALUE"""),"Yes")</f>
        <v>Yes</v>
      </c>
      <c r="R35" s="5" t="str">
        <f ca="1">IFERROR(__xludf.DUMMYFUNCTION("""COMPUTED_VALUE"""),"Yes")</f>
        <v>Yes</v>
      </c>
      <c r="S35" s="5" t="str">
        <f ca="1">IFERROR(__xludf.DUMMYFUNCTION("""COMPUTED_VALUE"""),"Yes")</f>
        <v>Yes</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IFERROR(__xludf.DUMMYFUNCTION("""COMPUTED_VALUE"""),"No")</f>
        <v>No</v>
      </c>
      <c r="AA35" s="5" t="str">
        <f ca="1">IFERROR(__xludf.DUMMYFUNCTION("""COMPUTED_VALUE"""),"Yes")</f>
        <v>Yes</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IFERROR(__xludf.DUMMYFUNCTION("""COMPUTED_VALUE"""),"No")</f>
        <v>No</v>
      </c>
      <c r="AF35" s="5" t="str">
        <f ca="1">IFERROR(__xludf.DUMMYFUNCTION("""COMPUTED_VALUE"""),"Yes")</f>
        <v>Yes</v>
      </c>
      <c r="AG35" s="5" t="str">
        <f ca="1">IFERROR(__xludf.DUMMYFUNCTION("""COMPUTED_VALUE"""),"No")</f>
        <v>No</v>
      </c>
      <c r="AH35" s="5" t="str">
        <f ca="1">IFERROR(__xludf.DUMMYFUNCTION("""COMPUTED_VALUE"""),"No")</f>
        <v>No</v>
      </c>
      <c r="AI35" s="5" t="str">
        <f ca="1">IFERROR(__xludf.DUMMYFUNCTION("""COMPUTED_VALUE"""),"No")</f>
        <v>No</v>
      </c>
      <c r="AJ35" s="5" t="str">
        <f ca="1">IFERROR(__xludf.DUMMYFUNCTION("""COMPUTED_VALUE"""),"No")</f>
        <v>No</v>
      </c>
      <c r="AK35" s="5" t="str">
        <f ca="1">IFERROR(__xludf.DUMMYFUNCTION("""COMPUTED_VALUE"""),"No")</f>
        <v>No</v>
      </c>
      <c r="AL35" s="5" t="str">
        <f ca="1">IFERROR(__xludf.DUMMYFUNCTION("""COMPUTED_VALUE"""),"No")</f>
        <v>No</v>
      </c>
      <c r="AM35" s="5"/>
      <c r="AN35" s="5"/>
      <c r="AO35" s="5"/>
      <c r="AP35" s="5"/>
      <c r="AQ35" s="5"/>
      <c r="AR35" s="5"/>
      <c r="AS35" s="5"/>
      <c r="AT35" s="5"/>
      <c r="AU35" s="5"/>
      <c r="AV35" s="5"/>
      <c r="AW35" s="5"/>
      <c r="AX35" s="5"/>
      <c r="AY35" s="5"/>
    </row>
    <row r="36" spans="1:51" x14ac:dyDescent="0.25">
      <c r="A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 s="5">
        <f ca="1">IFERROR(__xludf.DUMMYFUNCTION("""COMPUTED_VALUE"""),35)</f>
        <v>35</v>
      </c>
      <c r="C36" s="5">
        <f ca="1">IFERROR(__xludf.DUMMYFUNCTION("""COMPUTED_VALUE"""),34)</f>
        <v>34</v>
      </c>
      <c r="D36" s="5" t="str">
        <f ca="1">IFERROR(__xludf.DUMMYFUNCTION("""COMPUTED_VALUE"""),"ForestFruits")</f>
        <v>ForestFruits</v>
      </c>
      <c r="E36" s="5" t="str">
        <f ca="1">IFERROR(__xludf.DUMMYFUNCTION("""COMPUTED_VALUE"""),"Yes")</f>
        <v>Yes</v>
      </c>
      <c r="F36" s="5" t="str">
        <f ca="1">IFERROR(__xludf.DUMMYFUNCTION("""COMPUTED_VALUE"""),"Yes")</f>
        <v>Yes</v>
      </c>
      <c r="G36" s="5" t="str">
        <f ca="1">IFERROR(__xludf.DUMMYFUNCTION("""COMPUTED_VALUE"""),"Yes")</f>
        <v>Yes</v>
      </c>
      <c r="H36" s="5" t="str">
        <f ca="1">IFERROR(__xludf.DUMMYFUNCTION("""COMPUTED_VALUE"""),"Yes")</f>
        <v>Yes</v>
      </c>
      <c r="I36" s="5" t="str">
        <f ca="1">IFERROR(__xludf.DUMMYFUNCTION("""COMPUTED_VALUE"""),"Yes")</f>
        <v>Yes</v>
      </c>
      <c r="J36" s="5" t="str">
        <f ca="1">IFERROR(__xludf.DUMMYFUNCTION("""COMPUTED_VALUE"""),"Yes")</f>
        <v>Yes</v>
      </c>
      <c r="K36" s="5" t="str">
        <f ca="1">IFERROR(__xludf.DUMMYFUNCTION("""COMPUTED_VALUE"""),"Yes")</f>
        <v>Yes</v>
      </c>
      <c r="L36" s="5" t="str">
        <f ca="1">IFERROR(__xludf.DUMMYFUNCTION("""COMPUTED_VALUE"""),"Yes")</f>
        <v>Yes</v>
      </c>
      <c r="M36" s="5" t="str">
        <f ca="1">IFERROR(__xludf.DUMMYFUNCTION("""COMPUTED_VALUE"""),"Yes")</f>
        <v>Yes</v>
      </c>
      <c r="N36" s="5" t="str">
        <f ca="1">IFERROR(__xludf.DUMMYFUNCTION("""COMPUTED_VALUE"""),"Yes")</f>
        <v>Yes</v>
      </c>
      <c r="O36" s="5" t="str">
        <f ca="1">IFERROR(__xludf.DUMMYFUNCTION("""COMPUTED_VALUE"""),"Yes")</f>
        <v>Yes</v>
      </c>
      <c r="P36" s="5" t="str">
        <f ca="1">IFERROR(__xludf.DUMMYFUNCTION("""COMPUTED_VALUE"""),"Yes")</f>
        <v>Yes</v>
      </c>
      <c r="Q36" s="5" t="str">
        <f ca="1">IFERROR(__xludf.DUMMYFUNCTION("""COMPUTED_VALUE"""),"Yes")</f>
        <v>Yes</v>
      </c>
      <c r="R36" s="5" t="str">
        <f ca="1">IFERROR(__xludf.DUMMYFUNCTION("""COMPUTED_VALUE"""),"Yes")</f>
        <v>Yes</v>
      </c>
      <c r="S36" s="5" t="str">
        <f ca="1">IFERROR(__xludf.DUMMYFUNCTION("""COMPUTED_VALUE"""),"Yes")</f>
        <v>Yes</v>
      </c>
      <c r="T36" s="5" t="str">
        <f ca="1">IFERROR(__xludf.DUMMYFUNCTION("""COMPUTED_VALUE"""),"Yes")</f>
        <v>Yes</v>
      </c>
      <c r="U36" s="5" t="str">
        <f ca="1">IFERROR(__xludf.DUMMYFUNCTION("""COMPUTED_VALUE"""),"Yes")</f>
        <v>Yes</v>
      </c>
      <c r="V36" s="5" t="str">
        <f ca="1">IFERROR(__xludf.DUMMYFUNCTION("""COMPUTED_VALUE"""),"Yes")</f>
        <v>Yes</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IFERROR(__xludf.DUMMYFUNCTION("""COMPUTED_VALUE"""),"No")</f>
        <v>No</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IFERROR(__xludf.DUMMYFUNCTION("""COMPUTED_VALUE"""),"No")</f>
        <v>No</v>
      </c>
      <c r="AF36" s="5" t="str">
        <f ca="1">IFERROR(__xludf.DUMMYFUNCTION("""COMPUTED_VALUE"""),"Yes")</f>
        <v>Yes</v>
      </c>
      <c r="AG36" s="5" t="str">
        <f ca="1">IFERROR(__xludf.DUMMYFUNCTION("""COMPUTED_VALUE"""),"No")</f>
        <v>No</v>
      </c>
      <c r="AH36" s="5" t="str">
        <f ca="1">IFERROR(__xludf.DUMMYFUNCTION("""COMPUTED_VALUE"""),"No")</f>
        <v>No</v>
      </c>
      <c r="AI36" s="5" t="str">
        <f ca="1">IFERROR(__xludf.DUMMYFUNCTION("""COMPUTED_VALUE"""),"No")</f>
        <v>No</v>
      </c>
      <c r="AJ36" s="5" t="str">
        <f ca="1">IFERROR(__xludf.DUMMYFUNCTION("""COMPUTED_VALUE"""),"No")</f>
        <v>No</v>
      </c>
      <c r="AK36" s="5" t="str">
        <f ca="1">IFERROR(__xludf.DUMMYFUNCTION("""COMPUTED_VALUE"""),"No")</f>
        <v>No</v>
      </c>
      <c r="AL36" s="5" t="str">
        <f ca="1">IFERROR(__xludf.DUMMYFUNCTION("""COMPUTED_VALUE"""),"No")</f>
        <v>No</v>
      </c>
      <c r="AM36" s="5"/>
      <c r="AN36" s="5"/>
      <c r="AO36" s="5"/>
      <c r="AP36" s="5"/>
      <c r="AQ36" s="5"/>
      <c r="AR36" s="5"/>
      <c r="AS36" s="5"/>
      <c r="AT36" s="5"/>
      <c r="AU36" s="5"/>
      <c r="AV36" s="5"/>
      <c r="AW36" s="5"/>
      <c r="AX36" s="5"/>
      <c r="AY36" s="5"/>
    </row>
    <row r="37" spans="1:51" x14ac:dyDescent="0.25">
      <c r="A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7" s="5">
        <f ca="1">IFERROR(__xludf.DUMMYFUNCTION("""COMPUTED_VALUE"""),36)</f>
        <v>36</v>
      </c>
      <c r="C37" s="5">
        <f ca="1">IFERROR(__xludf.DUMMYFUNCTION("""COMPUTED_VALUE"""),35)</f>
        <v>35</v>
      </c>
      <c r="D37" s="5" t="str">
        <f ca="1">IFERROR(__xludf.DUMMYFUNCTION("""COMPUTED_VALUE"""),"VikingGold")</f>
        <v>VikingGold</v>
      </c>
      <c r="E37" s="5" t="str">
        <f ca="1">IFERROR(__xludf.DUMMYFUNCTION("""COMPUTED_VALUE"""),"Yes")</f>
        <v>Yes</v>
      </c>
      <c r="F37" s="5" t="str">
        <f ca="1">IFERROR(__xludf.DUMMYFUNCTION("""COMPUTED_VALUE"""),"Yes")</f>
        <v>Yes</v>
      </c>
      <c r="G37" s="5" t="str">
        <f ca="1">IFERROR(__xludf.DUMMYFUNCTION("""COMPUTED_VALUE"""),"Yes")</f>
        <v>Yes</v>
      </c>
      <c r="H37" s="5" t="str">
        <f ca="1">IFERROR(__xludf.DUMMYFUNCTION("""COMPUTED_VALUE"""),"Yes")</f>
        <v>Yes</v>
      </c>
      <c r="I37" s="5" t="str">
        <f ca="1">IFERROR(__xludf.DUMMYFUNCTION("""COMPUTED_VALUE"""),"Yes")</f>
        <v>Yes</v>
      </c>
      <c r="J37" s="5" t="str">
        <f ca="1">IFERROR(__xludf.DUMMYFUNCTION("""COMPUTED_VALUE"""),"Yes")</f>
        <v>Yes</v>
      </c>
      <c r="K37" s="5" t="str">
        <f ca="1">IFERROR(__xludf.DUMMYFUNCTION("""COMPUTED_VALUE"""),"Yes")</f>
        <v>Yes</v>
      </c>
      <c r="L37" s="5" t="str">
        <f ca="1">IFERROR(__xludf.DUMMYFUNCTION("""COMPUTED_VALUE"""),"Yes")</f>
        <v>Yes</v>
      </c>
      <c r="M37" s="5" t="str">
        <f ca="1">IFERROR(__xludf.DUMMYFUNCTION("""COMPUTED_VALUE"""),"Yes")</f>
        <v>Yes</v>
      </c>
      <c r="N37" s="5" t="str">
        <f ca="1">IFERROR(__xludf.DUMMYFUNCTION("""COMPUTED_VALUE"""),"Yes")</f>
        <v>Yes</v>
      </c>
      <c r="O37" s="5" t="str">
        <f ca="1">IFERROR(__xludf.DUMMYFUNCTION("""COMPUTED_VALUE"""),"Yes")</f>
        <v>Yes</v>
      </c>
      <c r="P37" s="5" t="str">
        <f ca="1">IFERROR(__xludf.DUMMYFUNCTION("""COMPUTED_VALUE"""),"Yes")</f>
        <v>Yes</v>
      </c>
      <c r="Q37" s="5" t="str">
        <f ca="1">IFERROR(__xludf.DUMMYFUNCTION("""COMPUTED_VALUE"""),"Yes")</f>
        <v>Yes</v>
      </c>
      <c r="R37" s="5" t="str">
        <f ca="1">IFERROR(__xludf.DUMMYFUNCTION("""COMPUTED_VALUE"""),"Yes")</f>
        <v>Yes</v>
      </c>
      <c r="S37" s="5" t="str">
        <f ca="1">IFERROR(__xludf.DUMMYFUNCTION("""COMPUTED_VALUE"""),"Yes")</f>
        <v>Yes</v>
      </c>
      <c r="T37" s="5" t="str">
        <f ca="1">IFERROR(__xludf.DUMMYFUNCTION("""COMPUTED_VALUE"""),"Yes")</f>
        <v>Yes</v>
      </c>
      <c r="U37" s="5" t="str">
        <f ca="1">IFERROR(__xludf.DUMMYFUNCTION("""COMPUTED_VALUE"""),"Yes")</f>
        <v>Yes</v>
      </c>
      <c r="V37" s="5" t="str">
        <f ca="1">IFERROR(__xludf.DUMMYFUNCTION("""COMPUTED_VALUE"""),"Yes")</f>
        <v>Yes</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IFERROR(__xludf.DUMMYFUNCTION("""COMPUTED_VALUE"""),"No")</f>
        <v>No</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IFERROR(__xludf.DUMMYFUNCTION("""COMPUTED_VALUE"""),"No")</f>
        <v>No</v>
      </c>
      <c r="AF37" s="5" t="str">
        <f ca="1">IFERROR(__xludf.DUMMYFUNCTION("""COMPUTED_VALUE"""),"Yes")</f>
        <v>Yes</v>
      </c>
      <c r="AG37" s="5" t="str">
        <f ca="1">IFERROR(__xludf.DUMMYFUNCTION("""COMPUTED_VALUE"""),"No")</f>
        <v>No</v>
      </c>
      <c r="AH37" s="5" t="str">
        <f ca="1">IFERROR(__xludf.DUMMYFUNCTION("""COMPUTED_VALUE"""),"No")</f>
        <v>No</v>
      </c>
      <c r="AI37" s="5" t="str">
        <f ca="1">IFERROR(__xludf.DUMMYFUNCTION("""COMPUTED_VALUE"""),"No")</f>
        <v>No</v>
      </c>
      <c r="AJ37" s="5" t="str">
        <f ca="1">IFERROR(__xludf.DUMMYFUNCTION("""COMPUTED_VALUE"""),"No")</f>
        <v>No</v>
      </c>
      <c r="AK37" s="5" t="str">
        <f ca="1">IFERROR(__xludf.DUMMYFUNCTION("""COMPUTED_VALUE"""),"No")</f>
        <v>No</v>
      </c>
      <c r="AL37" s="5" t="str">
        <f ca="1">IFERROR(__xludf.DUMMYFUNCTION("""COMPUTED_VALUE"""),"No")</f>
        <v>No</v>
      </c>
      <c r="AM37" s="5"/>
      <c r="AN37" s="5"/>
      <c r="AO37" s="5"/>
      <c r="AP37" s="5"/>
      <c r="AQ37" s="5"/>
      <c r="AR37" s="5"/>
      <c r="AS37" s="5"/>
      <c r="AT37" s="5"/>
      <c r="AU37" s="5"/>
      <c r="AV37" s="5"/>
      <c r="AW37" s="5"/>
      <c r="AX37" s="5"/>
      <c r="AY37" s="5"/>
    </row>
    <row r="38" spans="1:51" x14ac:dyDescent="0.25">
      <c r="A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8" s="5">
        <f ca="1">IFERROR(__xludf.DUMMYFUNCTION("""COMPUTED_VALUE"""),37)</f>
        <v>37</v>
      </c>
      <c r="C38" s="5">
        <f ca="1">IFERROR(__xludf.DUMMYFUNCTION("""COMPUTED_VALUE"""),36)</f>
        <v>36</v>
      </c>
      <c r="D38" s="5" t="str">
        <f ca="1">IFERROR(__xludf.DUMMYFUNCTION("""COMPUTED_VALUE"""),"StarGems")</f>
        <v>StarGems</v>
      </c>
      <c r="E38" s="5" t="str">
        <f ca="1">IFERROR(__xludf.DUMMYFUNCTION("""COMPUTED_VALUE"""),"Yes")</f>
        <v>Yes</v>
      </c>
      <c r="F38" s="5" t="str">
        <f ca="1">IFERROR(__xludf.DUMMYFUNCTION("""COMPUTED_VALUE"""),"Yes")</f>
        <v>Yes</v>
      </c>
      <c r="G38" s="5" t="str">
        <f ca="1">IFERROR(__xludf.DUMMYFUNCTION("""COMPUTED_VALUE"""),"Yes")</f>
        <v>Yes</v>
      </c>
      <c r="H38" s="5" t="str">
        <f ca="1">IFERROR(__xludf.DUMMYFUNCTION("""COMPUTED_VALUE"""),"Yes")</f>
        <v>Yes</v>
      </c>
      <c r="I38" s="5" t="str">
        <f ca="1">IFERROR(__xludf.DUMMYFUNCTION("""COMPUTED_VALUE"""),"Yes")</f>
        <v>Yes</v>
      </c>
      <c r="J38" s="5" t="str">
        <f ca="1">IFERROR(__xludf.DUMMYFUNCTION("""COMPUTED_VALUE"""),"Yes")</f>
        <v>Yes</v>
      </c>
      <c r="K38" s="5" t="str">
        <f ca="1">IFERROR(__xludf.DUMMYFUNCTION("""COMPUTED_VALUE"""),"Yes")</f>
        <v>Yes</v>
      </c>
      <c r="L38" s="5" t="str">
        <f ca="1">IFERROR(__xludf.DUMMYFUNCTION("""COMPUTED_VALUE"""),"Yes")</f>
        <v>Yes</v>
      </c>
      <c r="M38" s="5" t="str">
        <f ca="1">IFERROR(__xludf.DUMMYFUNCTION("""COMPUTED_VALUE"""),"Yes")</f>
        <v>Yes</v>
      </c>
      <c r="N38" s="5" t="str">
        <f ca="1">IFERROR(__xludf.DUMMYFUNCTION("""COMPUTED_VALUE"""),"Yes")</f>
        <v>Yes</v>
      </c>
      <c r="O38" s="5" t="str">
        <f ca="1">IFERROR(__xludf.DUMMYFUNCTION("""COMPUTED_VALUE"""),"Yes")</f>
        <v>Yes</v>
      </c>
      <c r="P38" s="5" t="str">
        <f ca="1">IFERROR(__xludf.DUMMYFUNCTION("""COMPUTED_VALUE"""),"Yes")</f>
        <v>Yes</v>
      </c>
      <c r="Q38" s="5" t="str">
        <f ca="1">IFERROR(__xludf.DUMMYFUNCTION("""COMPUTED_VALUE"""),"Yes")</f>
        <v>Yes</v>
      </c>
      <c r="R38" s="5" t="str">
        <f ca="1">IFERROR(__xludf.DUMMYFUNCTION("""COMPUTED_VALUE"""),"Yes")</f>
        <v>Yes</v>
      </c>
      <c r="S38" s="5" t="str">
        <f ca="1">IFERROR(__xludf.DUMMYFUNCTION("""COMPUTED_VALUE"""),"Yes")</f>
        <v>Yes</v>
      </c>
      <c r="T38" s="5" t="str">
        <f ca="1">IFERROR(__xludf.DUMMYFUNCTION("""COMPUTED_VALUE"""),"Yes")</f>
        <v>Yes</v>
      </c>
      <c r="U38" s="5" t="str">
        <f ca="1">IFERROR(__xludf.DUMMYFUNCTION("""COMPUTED_VALUE"""),"Yes")</f>
        <v>Yes</v>
      </c>
      <c r="V38" s="5" t="str">
        <f ca="1">IFERROR(__xludf.DUMMYFUNCTION("""COMPUTED_VALUE"""),"Yes")</f>
        <v>Yes</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IFERROR(__xludf.DUMMYFUNCTION("""COMPUTED_VALUE"""),"No")</f>
        <v>No</v>
      </c>
      <c r="AA38" s="5" t="str">
        <f ca="1">IFERROR(__xludf.DUMMYFUNCTION("""COMPUTED_VALUE"""),"Yes")</f>
        <v>Yes</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IFERROR(__xludf.DUMMYFUNCTION("""COMPUTED_VALUE"""),"No")</f>
        <v>No</v>
      </c>
      <c r="AF38" s="5" t="str">
        <f ca="1">IFERROR(__xludf.DUMMYFUNCTION("""COMPUTED_VALUE"""),"Yes")</f>
        <v>Yes</v>
      </c>
      <c r="AG38" s="5" t="str">
        <f ca="1">IFERROR(__xludf.DUMMYFUNCTION("""COMPUTED_VALUE"""),"No")</f>
        <v>No</v>
      </c>
      <c r="AH38" s="5" t="str">
        <f ca="1">IFERROR(__xludf.DUMMYFUNCTION("""COMPUTED_VALUE"""),"No")</f>
        <v>No</v>
      </c>
      <c r="AI38" s="5" t="str">
        <f ca="1">IFERROR(__xludf.DUMMYFUNCTION("""COMPUTED_VALUE"""),"No")</f>
        <v>No</v>
      </c>
      <c r="AJ38" s="5" t="str">
        <f ca="1">IFERROR(__xludf.DUMMYFUNCTION("""COMPUTED_VALUE"""),"No")</f>
        <v>No</v>
      </c>
      <c r="AK38" s="5" t="str">
        <f ca="1">IFERROR(__xludf.DUMMYFUNCTION("""COMPUTED_VALUE"""),"No")</f>
        <v>No</v>
      </c>
      <c r="AL38" s="5" t="str">
        <f ca="1">IFERROR(__xludf.DUMMYFUNCTION("""COMPUTED_VALUE"""),"No")</f>
        <v>No</v>
      </c>
      <c r="AM38" s="5"/>
      <c r="AN38" s="5"/>
      <c r="AO38" s="5"/>
      <c r="AP38" s="5"/>
      <c r="AQ38" s="5"/>
      <c r="AR38" s="5"/>
      <c r="AS38" s="5"/>
      <c r="AT38" s="5"/>
      <c r="AU38" s="5"/>
      <c r="AV38" s="5"/>
      <c r="AW38" s="5"/>
      <c r="AX38" s="5"/>
      <c r="AY38" s="5"/>
    </row>
    <row r="39" spans="1:51" x14ac:dyDescent="0.25">
      <c r="A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9" s="5">
        <f ca="1">IFERROR(__xludf.DUMMYFUNCTION("""COMPUTED_VALUE"""),38)</f>
        <v>38</v>
      </c>
      <c r="C39" s="5">
        <f ca="1">IFERROR(__xludf.DUMMYFUNCTION("""COMPUTED_VALUE"""),37)</f>
        <v>37</v>
      </c>
      <c r="D39" s="5" t="str">
        <f ca="1">IFERROR(__xludf.DUMMYFUNCTION("""COMPUTED_VALUE"""),"BookOfSpellsV2")</f>
        <v>BookOfSpellsV2</v>
      </c>
      <c r="E39" s="5" t="str">
        <f ca="1">IFERROR(__xludf.DUMMYFUNCTION("""COMPUTED_VALUE"""),"Yes")</f>
        <v>Yes</v>
      </c>
      <c r="F39" s="5" t="str">
        <f ca="1">IFERROR(__xludf.DUMMYFUNCTION("""COMPUTED_VALUE"""),"Yes")</f>
        <v>Yes</v>
      </c>
      <c r="G39" s="5" t="str">
        <f ca="1">IFERROR(__xludf.DUMMYFUNCTION("""COMPUTED_VALUE"""),"Yes")</f>
        <v>Yes</v>
      </c>
      <c r="H39" s="5" t="str">
        <f ca="1">IFERROR(__xludf.DUMMYFUNCTION("""COMPUTED_VALUE"""),"Yes")</f>
        <v>Yes</v>
      </c>
      <c r="I39" s="5" t="str">
        <f ca="1">IFERROR(__xludf.DUMMYFUNCTION("""COMPUTED_VALUE"""),"Yes")</f>
        <v>Yes</v>
      </c>
      <c r="J39" s="5" t="str">
        <f ca="1">IFERROR(__xludf.DUMMYFUNCTION("""COMPUTED_VALUE"""),"Yes")</f>
        <v>Yes</v>
      </c>
      <c r="K39" s="5" t="str">
        <f ca="1">IFERROR(__xludf.DUMMYFUNCTION("""COMPUTED_VALUE"""),"Yes")</f>
        <v>Yes</v>
      </c>
      <c r="L39" s="5" t="str">
        <f ca="1">IFERROR(__xludf.DUMMYFUNCTION("""COMPUTED_VALUE"""),"Yes")</f>
        <v>Yes</v>
      </c>
      <c r="M39" s="5" t="str">
        <f ca="1">IFERROR(__xludf.DUMMYFUNCTION("""COMPUTED_VALUE"""),"Yes")</f>
        <v>Yes</v>
      </c>
      <c r="N39" s="5" t="str">
        <f ca="1">IFERROR(__xludf.DUMMYFUNCTION("""COMPUTED_VALUE"""),"Yes")</f>
        <v>Yes</v>
      </c>
      <c r="O39" s="5" t="str">
        <f ca="1">IFERROR(__xludf.DUMMYFUNCTION("""COMPUTED_VALUE"""),"Yes")</f>
        <v>Yes</v>
      </c>
      <c r="P39" s="5" t="str">
        <f ca="1">IFERROR(__xludf.DUMMYFUNCTION("""COMPUTED_VALUE"""),"Yes")</f>
        <v>Yes</v>
      </c>
      <c r="Q39" s="5" t="str">
        <f ca="1">IFERROR(__xludf.DUMMYFUNCTION("""COMPUTED_VALUE"""),"Yes")</f>
        <v>Yes</v>
      </c>
      <c r="R39" s="5" t="str">
        <f ca="1">IFERROR(__xludf.DUMMYFUNCTION("""COMPUTED_VALUE"""),"Yes")</f>
        <v>Yes</v>
      </c>
      <c r="S39" s="5" t="str">
        <f ca="1">IFERROR(__xludf.DUMMYFUNCTION("""COMPUTED_VALUE"""),"Yes")</f>
        <v>Yes</v>
      </c>
      <c r="T39" s="5" t="str">
        <f ca="1">IFERROR(__xludf.DUMMYFUNCTION("""COMPUTED_VALUE"""),"Yes")</f>
        <v>Yes</v>
      </c>
      <c r="U39" s="5" t="str">
        <f ca="1">IFERROR(__xludf.DUMMYFUNCTION("""COMPUTED_VALUE"""),"Yes")</f>
        <v>Yes</v>
      </c>
      <c r="V39" s="5" t="str">
        <f ca="1">IFERROR(__xludf.DUMMYFUNCTION("""COMPUTED_VALUE"""),"Yes")</f>
        <v>Yes</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IFERROR(__xludf.DUMMYFUNCTION("""COMPUTED_VALUE"""),"No")</f>
        <v>No</v>
      </c>
      <c r="AA39" s="5" t="str">
        <f ca="1">IFERROR(__xludf.DUMMYFUNCTION("""COMPUTED_VALUE"""),"Yes")</f>
        <v>Yes</v>
      </c>
      <c r="AB39" s="5" t="str">
        <f ca="1">IFERROR(__xludf.DUMMYFUNCTION("""COMPUTED_VALUE"""),"Yes")</f>
        <v>Yes</v>
      </c>
      <c r="AC39" s="5" t="str">
        <f ca="1">IFERROR(__xludf.DUMMYFUNCTION("""COMPUTED_VALUE"""),"Yes")</f>
        <v>Yes</v>
      </c>
      <c r="AD39" s="5" t="str">
        <f ca="1">IFERROR(__xludf.DUMMYFUNCTION("""COMPUTED_VALUE"""),"Yes")</f>
        <v>Yes</v>
      </c>
      <c r="AE39" s="5" t="str">
        <f ca="1">IFERROR(__xludf.DUMMYFUNCTION("""COMPUTED_VALUE"""),"No")</f>
        <v>No</v>
      </c>
      <c r="AF39" s="5" t="str">
        <f ca="1">IFERROR(__xludf.DUMMYFUNCTION("""COMPUTED_VALUE"""),"Yes")</f>
        <v>Yes</v>
      </c>
      <c r="AG39" s="5" t="str">
        <f ca="1">IFERROR(__xludf.DUMMYFUNCTION("""COMPUTED_VALUE"""),"No")</f>
        <v>No</v>
      </c>
      <c r="AH39" s="5" t="str">
        <f ca="1">IFERROR(__xludf.DUMMYFUNCTION("""COMPUTED_VALUE"""),"No")</f>
        <v>No</v>
      </c>
      <c r="AI39" s="5" t="str">
        <f ca="1">IFERROR(__xludf.DUMMYFUNCTION("""COMPUTED_VALUE"""),"No")</f>
        <v>No</v>
      </c>
      <c r="AJ39" s="5" t="str">
        <f ca="1">IFERROR(__xludf.DUMMYFUNCTION("""COMPUTED_VALUE"""),"No")</f>
        <v>No</v>
      </c>
      <c r="AK39" s="5" t="str">
        <f ca="1">IFERROR(__xludf.DUMMYFUNCTION("""COMPUTED_VALUE"""),"No")</f>
        <v>No</v>
      </c>
      <c r="AL39" s="5" t="str">
        <f ca="1">IFERROR(__xludf.DUMMYFUNCTION("""COMPUTED_VALUE"""),"No")</f>
        <v>No</v>
      </c>
      <c r="AM39" s="5"/>
      <c r="AN39" s="5"/>
      <c r="AO39" s="5"/>
      <c r="AP39" s="5"/>
      <c r="AQ39" s="5"/>
      <c r="AR39" s="5"/>
      <c r="AS39" s="5"/>
      <c r="AT39" s="5"/>
      <c r="AU39" s="5"/>
      <c r="AV39" s="5"/>
      <c r="AW39" s="5"/>
      <c r="AX39" s="5"/>
      <c r="AY39" s="5"/>
    </row>
    <row r="40" spans="1:51" x14ac:dyDescent="0.25">
      <c r="A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 s="5">
        <f ca="1">IFERROR(__xludf.DUMMYFUNCTION("""COMPUTED_VALUE"""),39)</f>
        <v>39</v>
      </c>
      <c r="C40" s="5">
        <f ca="1">IFERROR(__xludf.DUMMYFUNCTION("""COMPUTED_VALUE"""),38)</f>
        <v>38</v>
      </c>
      <c r="D40" s="5" t="str">
        <f ca="1">IFERROR(__xludf.DUMMYFUNCTION("""COMPUTED_VALUE"""),"TemplarsQuest")</f>
        <v>TemplarsQuest</v>
      </c>
      <c r="E40" s="5" t="str">
        <f ca="1">IFERROR(__xludf.DUMMYFUNCTION("""COMPUTED_VALUE"""),"Yes")</f>
        <v>Yes</v>
      </c>
      <c r="F40" s="5" t="str">
        <f ca="1">IFERROR(__xludf.DUMMYFUNCTION("""COMPUTED_VALUE"""),"Yes")</f>
        <v>Yes</v>
      </c>
      <c r="G40" s="5" t="str">
        <f ca="1">IFERROR(__xludf.DUMMYFUNCTION("""COMPUTED_VALUE"""),"Yes")</f>
        <v>Yes</v>
      </c>
      <c r="H40" s="5" t="str">
        <f ca="1">IFERROR(__xludf.DUMMYFUNCTION("""COMPUTED_VALUE"""),"Yes")</f>
        <v>Yes</v>
      </c>
      <c r="I40" s="5" t="str">
        <f ca="1">IFERROR(__xludf.DUMMYFUNCTION("""COMPUTED_VALUE"""),"Yes")</f>
        <v>Yes</v>
      </c>
      <c r="J40" s="5" t="str">
        <f ca="1">IFERROR(__xludf.DUMMYFUNCTION("""COMPUTED_VALUE"""),"Yes")</f>
        <v>Yes</v>
      </c>
      <c r="K40" s="5" t="str">
        <f ca="1">IFERROR(__xludf.DUMMYFUNCTION("""COMPUTED_VALUE"""),"Yes")</f>
        <v>Yes</v>
      </c>
      <c r="L40" s="5" t="str">
        <f ca="1">IFERROR(__xludf.DUMMYFUNCTION("""COMPUTED_VALUE"""),"Yes")</f>
        <v>Yes</v>
      </c>
      <c r="M40" s="5" t="str">
        <f ca="1">IFERROR(__xludf.DUMMYFUNCTION("""COMPUTED_VALUE"""),"Yes")</f>
        <v>Yes</v>
      </c>
      <c r="N40" s="5" t="str">
        <f ca="1">IFERROR(__xludf.DUMMYFUNCTION("""COMPUTED_VALUE"""),"Yes")</f>
        <v>Yes</v>
      </c>
      <c r="O40" s="5" t="str">
        <f ca="1">IFERROR(__xludf.DUMMYFUNCTION("""COMPUTED_VALUE"""),"Yes")</f>
        <v>Yes</v>
      </c>
      <c r="P40" s="5" t="str">
        <f ca="1">IFERROR(__xludf.DUMMYFUNCTION("""COMPUTED_VALUE"""),"Yes")</f>
        <v>Yes</v>
      </c>
      <c r="Q40" s="5" t="str">
        <f ca="1">IFERROR(__xludf.DUMMYFUNCTION("""COMPUTED_VALUE"""),"Yes")</f>
        <v>Yes</v>
      </c>
      <c r="R40" s="5" t="str">
        <f ca="1">IFERROR(__xludf.DUMMYFUNCTION("""COMPUTED_VALUE"""),"Yes")</f>
        <v>Yes</v>
      </c>
      <c r="S40" s="5" t="str">
        <f ca="1">IFERROR(__xludf.DUMMYFUNCTION("""COMPUTED_VALUE"""),"Yes")</f>
        <v>Yes</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IFERROR(__xludf.DUMMYFUNCTION("""COMPUTED_VALUE"""),"No")</f>
        <v>No</v>
      </c>
      <c r="AA40" s="5" t="str">
        <f ca="1">IFERROR(__xludf.DUMMYFUNCTION("""COMPUTED_VALUE"""),"Yes")</f>
        <v>Yes</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IFERROR(__xludf.DUMMYFUNCTION("""COMPUTED_VALUE"""),"No")</f>
        <v>No</v>
      </c>
      <c r="AF40" s="5" t="str">
        <f ca="1">IFERROR(__xludf.DUMMYFUNCTION("""COMPUTED_VALUE"""),"Yes")</f>
        <v>Yes</v>
      </c>
      <c r="AG40" s="5" t="str">
        <f ca="1">IFERROR(__xludf.DUMMYFUNCTION("""COMPUTED_VALUE"""),"No")</f>
        <v>No</v>
      </c>
      <c r="AH40" s="5" t="str">
        <f ca="1">IFERROR(__xludf.DUMMYFUNCTION("""COMPUTED_VALUE"""),"No")</f>
        <v>No</v>
      </c>
      <c r="AI40" s="5" t="str">
        <f ca="1">IFERROR(__xludf.DUMMYFUNCTION("""COMPUTED_VALUE"""),"No")</f>
        <v>No</v>
      </c>
      <c r="AJ40" s="5" t="str">
        <f ca="1">IFERROR(__xludf.DUMMYFUNCTION("""COMPUTED_VALUE"""),"No")</f>
        <v>No</v>
      </c>
      <c r="AK40" s="5" t="str">
        <f ca="1">IFERROR(__xludf.DUMMYFUNCTION("""COMPUTED_VALUE"""),"No")</f>
        <v>No</v>
      </c>
      <c r="AL40" s="5" t="str">
        <f ca="1">IFERROR(__xludf.DUMMYFUNCTION("""COMPUTED_VALUE"""),"No")</f>
        <v>No</v>
      </c>
      <c r="AM40" s="5"/>
      <c r="AN40" s="5"/>
      <c r="AO40" s="5"/>
      <c r="AP40" s="5"/>
      <c r="AQ40" s="5"/>
      <c r="AR40" s="5"/>
      <c r="AS40" s="5"/>
      <c r="AT40" s="5"/>
      <c r="AU40" s="5"/>
      <c r="AV40" s="5"/>
      <c r="AW40" s="5"/>
      <c r="AX40" s="5"/>
      <c r="AY40" s="5"/>
    </row>
    <row r="41" spans="1:51" x14ac:dyDescent="0.25">
      <c r="A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1" s="5">
        <f ca="1">IFERROR(__xludf.DUMMYFUNCTION("""COMPUTED_VALUE"""),40)</f>
        <v>40</v>
      </c>
      <c r="C41" s="5">
        <f ca="1">IFERROR(__xludf.DUMMYFUNCTION("""COMPUTED_VALUE"""),39)</f>
        <v>39</v>
      </c>
      <c r="D41" s="5" t="str">
        <f ca="1">IFERROR(__xludf.DUMMYFUNCTION("""COMPUTED_VALUE"""),"SpaceGuardians")</f>
        <v>SpaceGuardians</v>
      </c>
      <c r="E41" s="5" t="str">
        <f ca="1">IFERROR(__xludf.DUMMYFUNCTION("""COMPUTED_VALUE"""),"Yes")</f>
        <v>Yes</v>
      </c>
      <c r="F41" s="5" t="str">
        <f ca="1">IFERROR(__xludf.DUMMYFUNCTION("""COMPUTED_VALUE"""),"Yes")</f>
        <v>Yes</v>
      </c>
      <c r="G41" s="5" t="str">
        <f ca="1">IFERROR(__xludf.DUMMYFUNCTION("""COMPUTED_VALUE"""),"Yes")</f>
        <v>Yes</v>
      </c>
      <c r="H41" s="5" t="str">
        <f ca="1">IFERROR(__xludf.DUMMYFUNCTION("""COMPUTED_VALUE"""),"Yes")</f>
        <v>Yes</v>
      </c>
      <c r="I41" s="5" t="str">
        <f ca="1">IFERROR(__xludf.DUMMYFUNCTION("""COMPUTED_VALUE"""),"Yes")</f>
        <v>Yes</v>
      </c>
      <c r="J41" s="5" t="str">
        <f ca="1">IFERROR(__xludf.DUMMYFUNCTION("""COMPUTED_VALUE"""),"Yes")</f>
        <v>Yes</v>
      </c>
      <c r="K41" s="5" t="str">
        <f ca="1">IFERROR(__xludf.DUMMYFUNCTION("""COMPUTED_VALUE"""),"Yes")</f>
        <v>Yes</v>
      </c>
      <c r="L41" s="5" t="str">
        <f ca="1">IFERROR(__xludf.DUMMYFUNCTION("""COMPUTED_VALUE"""),"Yes")</f>
        <v>Yes</v>
      </c>
      <c r="M41" s="5" t="str">
        <f ca="1">IFERROR(__xludf.DUMMYFUNCTION("""COMPUTED_VALUE"""),"Yes")</f>
        <v>Yes</v>
      </c>
      <c r="N41" s="5" t="str">
        <f ca="1">IFERROR(__xludf.DUMMYFUNCTION("""COMPUTED_VALUE"""),"Yes")</f>
        <v>Yes</v>
      </c>
      <c r="O41" s="5" t="str">
        <f ca="1">IFERROR(__xludf.DUMMYFUNCTION("""COMPUTED_VALUE"""),"Yes")</f>
        <v>Yes</v>
      </c>
      <c r="P41" s="5" t="str">
        <f ca="1">IFERROR(__xludf.DUMMYFUNCTION("""COMPUTED_VALUE"""),"Yes")</f>
        <v>Yes</v>
      </c>
      <c r="Q41" s="5" t="str">
        <f ca="1">IFERROR(__xludf.DUMMYFUNCTION("""COMPUTED_VALUE"""),"Yes")</f>
        <v>Yes</v>
      </c>
      <c r="R41" s="5" t="str">
        <f ca="1">IFERROR(__xludf.DUMMYFUNCTION("""COMPUTED_VALUE"""),"Yes")</f>
        <v>Yes</v>
      </c>
      <c r="S41" s="5" t="str">
        <f ca="1">IFERROR(__xludf.DUMMYFUNCTION("""COMPUTED_VALUE"""),"Yes")</f>
        <v>Yes</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IFERROR(__xludf.DUMMYFUNCTION("""COMPUTED_VALUE"""),"No")</f>
        <v>No</v>
      </c>
      <c r="AA41" s="5" t="str">
        <f ca="1">IFERROR(__xludf.DUMMYFUNCTION("""COMPUTED_VALUE"""),"Yes")</f>
        <v>Yes</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IFERROR(__xludf.DUMMYFUNCTION("""COMPUTED_VALUE"""),"No")</f>
        <v>No</v>
      </c>
      <c r="AF41" s="5" t="str">
        <f ca="1">IFERROR(__xludf.DUMMYFUNCTION("""COMPUTED_VALUE"""),"Yes")</f>
        <v>Yes</v>
      </c>
      <c r="AG41" s="5" t="str">
        <f ca="1">IFERROR(__xludf.DUMMYFUNCTION("""COMPUTED_VALUE"""),"No")</f>
        <v>No</v>
      </c>
      <c r="AH41" s="5" t="str">
        <f ca="1">IFERROR(__xludf.DUMMYFUNCTION("""COMPUTED_VALUE"""),"No")</f>
        <v>No</v>
      </c>
      <c r="AI41" s="5" t="str">
        <f ca="1">IFERROR(__xludf.DUMMYFUNCTION("""COMPUTED_VALUE"""),"No")</f>
        <v>No</v>
      </c>
      <c r="AJ41" s="5" t="str">
        <f ca="1">IFERROR(__xludf.DUMMYFUNCTION("""COMPUTED_VALUE"""),"No")</f>
        <v>No</v>
      </c>
      <c r="AK41" s="5" t="str">
        <f ca="1">IFERROR(__xludf.DUMMYFUNCTION("""COMPUTED_VALUE"""),"No")</f>
        <v>No</v>
      </c>
      <c r="AL41" s="5" t="str">
        <f ca="1">IFERROR(__xludf.DUMMYFUNCTION("""COMPUTED_VALUE"""),"No")</f>
        <v>No</v>
      </c>
      <c r="AM41" s="5"/>
      <c r="AN41" s="5"/>
      <c r="AO41" s="5"/>
      <c r="AP41" s="5"/>
      <c r="AQ41" s="5"/>
      <c r="AR41" s="5"/>
      <c r="AS41" s="5"/>
      <c r="AT41" s="5"/>
      <c r="AU41" s="5"/>
      <c r="AV41" s="5"/>
      <c r="AW41" s="5"/>
      <c r="AX41" s="5"/>
      <c r="AY41" s="5"/>
    </row>
    <row r="42" spans="1:51" x14ac:dyDescent="0.25">
      <c r="A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 s="5">
        <f ca="1">IFERROR(__xludf.DUMMYFUNCTION("""COMPUTED_VALUE"""),41)</f>
        <v>41</v>
      </c>
      <c r="C42" s="5">
        <f ca="1">IFERROR(__xludf.DUMMYFUNCTION("""COMPUTED_VALUE"""),40)</f>
        <v>40</v>
      </c>
      <c r="D42" s="5" t="str">
        <f ca="1">IFERROR(__xludf.DUMMYFUNCTION("""COMPUTED_VALUE"""),"NeonHot5")</f>
        <v>NeonHot5</v>
      </c>
      <c r="E42" s="5" t="str">
        <f ca="1">IFERROR(__xludf.DUMMYFUNCTION("""COMPUTED_VALUE"""),"Yes")</f>
        <v>Yes</v>
      </c>
      <c r="F42" s="5" t="str">
        <f ca="1">IFERROR(__xludf.DUMMYFUNCTION("""COMPUTED_VALUE"""),"Yes")</f>
        <v>Yes</v>
      </c>
      <c r="G42" s="5" t="str">
        <f ca="1">IFERROR(__xludf.DUMMYFUNCTION("""COMPUTED_VALUE"""),"Yes")</f>
        <v>Yes</v>
      </c>
      <c r="H42" s="5" t="str">
        <f ca="1">IFERROR(__xludf.DUMMYFUNCTION("""COMPUTED_VALUE"""),"Yes")</f>
        <v>Yes</v>
      </c>
      <c r="I42" s="5" t="str">
        <f ca="1">IFERROR(__xludf.DUMMYFUNCTION("""COMPUTED_VALUE"""),"Yes")</f>
        <v>Yes</v>
      </c>
      <c r="J42" s="5" t="str">
        <f ca="1">IFERROR(__xludf.DUMMYFUNCTION("""COMPUTED_VALUE"""),"Yes")</f>
        <v>Yes</v>
      </c>
      <c r="K42" s="5" t="str">
        <f ca="1">IFERROR(__xludf.DUMMYFUNCTION("""COMPUTED_VALUE"""),"Yes")</f>
        <v>Yes</v>
      </c>
      <c r="L42" s="5" t="str">
        <f ca="1">IFERROR(__xludf.DUMMYFUNCTION("""COMPUTED_VALUE"""),"Yes")</f>
        <v>Yes</v>
      </c>
      <c r="M42" s="5" t="str">
        <f ca="1">IFERROR(__xludf.DUMMYFUNCTION("""COMPUTED_VALUE"""),"Yes")</f>
        <v>Yes</v>
      </c>
      <c r="N42" s="5" t="str">
        <f ca="1">IFERROR(__xludf.DUMMYFUNCTION("""COMPUTED_VALUE"""),"Yes")</f>
        <v>Yes</v>
      </c>
      <c r="O42" s="5" t="str">
        <f ca="1">IFERROR(__xludf.DUMMYFUNCTION("""COMPUTED_VALUE"""),"Yes")</f>
        <v>Yes</v>
      </c>
      <c r="P42" s="5" t="str">
        <f ca="1">IFERROR(__xludf.DUMMYFUNCTION("""COMPUTED_VALUE"""),"Yes")</f>
        <v>Yes</v>
      </c>
      <c r="Q42" s="5" t="str">
        <f ca="1">IFERROR(__xludf.DUMMYFUNCTION("""COMPUTED_VALUE"""),"Yes")</f>
        <v>Yes</v>
      </c>
      <c r="R42" s="5" t="str">
        <f ca="1">IFERROR(__xludf.DUMMYFUNCTION("""COMPUTED_VALUE"""),"Yes")</f>
        <v>Yes</v>
      </c>
      <c r="S42" s="5" t="str">
        <f ca="1">IFERROR(__xludf.DUMMYFUNCTION("""COMPUTED_VALUE"""),"Yes")</f>
        <v>Yes</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IFERROR(__xludf.DUMMYFUNCTION("""COMPUTED_VALUE"""),"No")</f>
        <v>No</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IFERROR(__xludf.DUMMYFUNCTION("""COMPUTED_VALUE"""),"No")</f>
        <v>No</v>
      </c>
      <c r="AF42" s="5" t="str">
        <f ca="1">IFERROR(__xludf.DUMMYFUNCTION("""COMPUTED_VALUE"""),"Yes")</f>
        <v>Yes</v>
      </c>
      <c r="AG42" s="5" t="str">
        <f ca="1">IFERROR(__xludf.DUMMYFUNCTION("""COMPUTED_VALUE"""),"No")</f>
        <v>No</v>
      </c>
      <c r="AH42" s="5" t="str">
        <f ca="1">IFERROR(__xludf.DUMMYFUNCTION("""COMPUTED_VALUE"""),"No")</f>
        <v>No</v>
      </c>
      <c r="AI42" s="5" t="str">
        <f ca="1">IFERROR(__xludf.DUMMYFUNCTION("""COMPUTED_VALUE"""),"No")</f>
        <v>No</v>
      </c>
      <c r="AJ42" s="5" t="str">
        <f ca="1">IFERROR(__xludf.DUMMYFUNCTION("""COMPUTED_VALUE"""),"No")</f>
        <v>No</v>
      </c>
      <c r="AK42" s="5" t="str">
        <f ca="1">IFERROR(__xludf.DUMMYFUNCTION("""COMPUTED_VALUE"""),"No")</f>
        <v>No</v>
      </c>
      <c r="AL42" s="5" t="str">
        <f ca="1">IFERROR(__xludf.DUMMYFUNCTION("""COMPUTED_VALUE"""),"No")</f>
        <v>No</v>
      </c>
      <c r="AM42" s="5"/>
      <c r="AN42" s="5"/>
      <c r="AO42" s="5"/>
      <c r="AP42" s="5"/>
      <c r="AQ42" s="5"/>
      <c r="AR42" s="5"/>
      <c r="AS42" s="5"/>
      <c r="AT42" s="5"/>
      <c r="AU42" s="5"/>
      <c r="AV42" s="5"/>
      <c r="AW42" s="5"/>
      <c r="AX42" s="5"/>
      <c r="AY42" s="5"/>
    </row>
    <row r="43" spans="1:51" x14ac:dyDescent="0.25">
      <c r="A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 s="5">
        <f ca="1">IFERROR(__xludf.DUMMYFUNCTION("""COMPUTED_VALUE"""),42)</f>
        <v>42</v>
      </c>
      <c r="C43" s="5">
        <f ca="1">IFERROR(__xludf.DUMMYFUNCTION("""COMPUTED_VALUE"""),41)</f>
        <v>41</v>
      </c>
      <c r="D43" s="5" t="str">
        <f ca="1">IFERROR(__xludf.DUMMYFUNCTION("""COMPUTED_VALUE"""),"Starlight")</f>
        <v>Starlight</v>
      </c>
      <c r="E43" s="5" t="str">
        <f ca="1">IFERROR(__xludf.DUMMYFUNCTION("""COMPUTED_VALUE"""),"Yes")</f>
        <v>Yes</v>
      </c>
      <c r="F43" s="5" t="str">
        <f ca="1">IFERROR(__xludf.DUMMYFUNCTION("""COMPUTED_VALUE"""),"Yes")</f>
        <v>Yes</v>
      </c>
      <c r="G43" s="5" t="str">
        <f ca="1">IFERROR(__xludf.DUMMYFUNCTION("""COMPUTED_VALUE"""),"Yes")</f>
        <v>Yes</v>
      </c>
      <c r="H43" s="5" t="str">
        <f ca="1">IFERROR(__xludf.DUMMYFUNCTION("""COMPUTED_VALUE"""),"Yes")</f>
        <v>Yes</v>
      </c>
      <c r="I43" s="5" t="str">
        <f ca="1">IFERROR(__xludf.DUMMYFUNCTION("""COMPUTED_VALUE"""),"Yes")</f>
        <v>Yes</v>
      </c>
      <c r="J43" s="5" t="str">
        <f ca="1">IFERROR(__xludf.DUMMYFUNCTION("""COMPUTED_VALUE"""),"Yes")</f>
        <v>Yes</v>
      </c>
      <c r="K43" s="5" t="str">
        <f ca="1">IFERROR(__xludf.DUMMYFUNCTION("""COMPUTED_VALUE"""),"Yes")</f>
        <v>Yes</v>
      </c>
      <c r="L43" s="5" t="str">
        <f ca="1">IFERROR(__xludf.DUMMYFUNCTION("""COMPUTED_VALUE"""),"Yes")</f>
        <v>Yes</v>
      </c>
      <c r="M43" s="5" t="str">
        <f ca="1">IFERROR(__xludf.DUMMYFUNCTION("""COMPUTED_VALUE"""),"Yes")</f>
        <v>Yes</v>
      </c>
      <c r="N43" s="5" t="str">
        <f ca="1">IFERROR(__xludf.DUMMYFUNCTION("""COMPUTED_VALUE"""),"Yes")</f>
        <v>Yes</v>
      </c>
      <c r="O43" s="5" t="str">
        <f ca="1">IFERROR(__xludf.DUMMYFUNCTION("""COMPUTED_VALUE"""),"Yes")</f>
        <v>Yes</v>
      </c>
      <c r="P43" s="5" t="str">
        <f ca="1">IFERROR(__xludf.DUMMYFUNCTION("""COMPUTED_VALUE"""),"Yes")</f>
        <v>Yes</v>
      </c>
      <c r="Q43" s="5" t="str">
        <f ca="1">IFERROR(__xludf.DUMMYFUNCTION("""COMPUTED_VALUE"""),"Yes")</f>
        <v>Yes</v>
      </c>
      <c r="R43" s="5" t="str">
        <f ca="1">IFERROR(__xludf.DUMMYFUNCTION("""COMPUTED_VALUE"""),"Yes")</f>
        <v>Yes</v>
      </c>
      <c r="S43" s="5" t="str">
        <f ca="1">IFERROR(__xludf.DUMMYFUNCTION("""COMPUTED_VALUE"""),"Yes")</f>
        <v>Yes</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IFERROR(__xludf.DUMMYFUNCTION("""COMPUTED_VALUE"""),"No")</f>
        <v>No</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IFERROR(__xludf.DUMMYFUNCTION("""COMPUTED_VALUE"""),"No")</f>
        <v>No</v>
      </c>
      <c r="AF43" s="5" t="str">
        <f ca="1">IFERROR(__xludf.DUMMYFUNCTION("""COMPUTED_VALUE"""),"Yes")</f>
        <v>Yes</v>
      </c>
      <c r="AG43" s="5" t="str">
        <f ca="1">IFERROR(__xludf.DUMMYFUNCTION("""COMPUTED_VALUE"""),"No")</f>
        <v>No</v>
      </c>
      <c r="AH43" s="5" t="str">
        <f ca="1">IFERROR(__xludf.DUMMYFUNCTION("""COMPUTED_VALUE"""),"No")</f>
        <v>No</v>
      </c>
      <c r="AI43" s="5" t="str">
        <f ca="1">IFERROR(__xludf.DUMMYFUNCTION("""COMPUTED_VALUE"""),"No")</f>
        <v>No</v>
      </c>
      <c r="AJ43" s="5" t="str">
        <f ca="1">IFERROR(__xludf.DUMMYFUNCTION("""COMPUTED_VALUE"""),"No")</f>
        <v>No</v>
      </c>
      <c r="AK43" s="5" t="str">
        <f ca="1">IFERROR(__xludf.DUMMYFUNCTION("""COMPUTED_VALUE"""),"No")</f>
        <v>No</v>
      </c>
      <c r="AL43" s="5" t="str">
        <f ca="1">IFERROR(__xludf.DUMMYFUNCTION("""COMPUTED_VALUE"""),"No")</f>
        <v>No</v>
      </c>
      <c r="AM43" s="5"/>
      <c r="AN43" s="5"/>
      <c r="AO43" s="5"/>
      <c r="AP43" s="5"/>
      <c r="AQ43" s="5"/>
      <c r="AR43" s="5"/>
      <c r="AS43" s="5"/>
      <c r="AT43" s="5"/>
      <c r="AU43" s="5"/>
      <c r="AV43" s="5"/>
      <c r="AW43" s="5"/>
      <c r="AX43" s="5"/>
      <c r="AY43" s="5"/>
    </row>
    <row r="44" spans="1:51" x14ac:dyDescent="0.25">
      <c r="A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4" s="5">
        <f ca="1">IFERROR(__xludf.DUMMYFUNCTION("""COMPUTED_VALUE"""),43)</f>
        <v>43</v>
      </c>
      <c r="C44" s="5">
        <f ca="1">IFERROR(__xludf.DUMMYFUNCTION("""COMPUTED_VALUE"""),42)</f>
        <v>42</v>
      </c>
      <c r="D44" s="5" t="str">
        <f ca="1">IFERROR(__xludf.DUMMYFUNCTION("""COMPUTED_VALUE"""),"TripleHot")</f>
        <v>TripleHot</v>
      </c>
      <c r="E44" s="5" t="str">
        <f ca="1">IFERROR(__xludf.DUMMYFUNCTION("""COMPUTED_VALUE"""),"Yes")</f>
        <v>Yes</v>
      </c>
      <c r="F44" s="5" t="str">
        <f ca="1">IFERROR(__xludf.DUMMYFUNCTION("""COMPUTED_VALUE"""),"Yes")</f>
        <v>Yes</v>
      </c>
      <c r="G44" s="5" t="str">
        <f ca="1">IFERROR(__xludf.DUMMYFUNCTION("""COMPUTED_VALUE"""),"Yes")</f>
        <v>Yes</v>
      </c>
      <c r="H44" s="5" t="str">
        <f ca="1">IFERROR(__xludf.DUMMYFUNCTION("""COMPUTED_VALUE"""),"Yes")</f>
        <v>Yes</v>
      </c>
      <c r="I44" s="5" t="str">
        <f ca="1">IFERROR(__xludf.DUMMYFUNCTION("""COMPUTED_VALUE"""),"Yes")</f>
        <v>Yes</v>
      </c>
      <c r="J44" s="5" t="str">
        <f ca="1">IFERROR(__xludf.DUMMYFUNCTION("""COMPUTED_VALUE"""),"Yes")</f>
        <v>Yes</v>
      </c>
      <c r="K44" s="5" t="str">
        <f ca="1">IFERROR(__xludf.DUMMYFUNCTION("""COMPUTED_VALUE"""),"Yes")</f>
        <v>Yes</v>
      </c>
      <c r="L44" s="5" t="str">
        <f ca="1">IFERROR(__xludf.DUMMYFUNCTION("""COMPUTED_VALUE"""),"Yes")</f>
        <v>Yes</v>
      </c>
      <c r="M44" s="5" t="str">
        <f ca="1">IFERROR(__xludf.DUMMYFUNCTION("""COMPUTED_VALUE"""),"Yes")</f>
        <v>Yes</v>
      </c>
      <c r="N44" s="5" t="str">
        <f ca="1">IFERROR(__xludf.DUMMYFUNCTION("""COMPUTED_VALUE"""),"Yes")</f>
        <v>Yes</v>
      </c>
      <c r="O44" s="5" t="str">
        <f ca="1">IFERROR(__xludf.DUMMYFUNCTION("""COMPUTED_VALUE"""),"Yes")</f>
        <v>Yes</v>
      </c>
      <c r="P44" s="5" t="str">
        <f ca="1">IFERROR(__xludf.DUMMYFUNCTION("""COMPUTED_VALUE"""),"Yes")</f>
        <v>Yes</v>
      </c>
      <c r="Q44" s="5" t="str">
        <f ca="1">IFERROR(__xludf.DUMMYFUNCTION("""COMPUTED_VALUE"""),"Yes")</f>
        <v>Yes</v>
      </c>
      <c r="R44" s="5" t="str">
        <f ca="1">IFERROR(__xludf.DUMMYFUNCTION("""COMPUTED_VALUE"""),"Yes")</f>
        <v>Yes</v>
      </c>
      <c r="S44" s="5" t="str">
        <f ca="1">IFERROR(__xludf.DUMMYFUNCTION("""COMPUTED_VALUE"""),"Yes")</f>
        <v>Yes</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IFERROR(__xludf.DUMMYFUNCTION("""COMPUTED_VALUE"""),"No")</f>
        <v>No</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IFERROR(__xludf.DUMMYFUNCTION("""COMPUTED_VALUE"""),"No")</f>
        <v>No</v>
      </c>
      <c r="AF44" s="5" t="str">
        <f ca="1">IFERROR(__xludf.DUMMYFUNCTION("""COMPUTED_VALUE"""),"Yes")</f>
        <v>Yes</v>
      </c>
      <c r="AG44" s="5" t="str">
        <f ca="1">IFERROR(__xludf.DUMMYFUNCTION("""COMPUTED_VALUE"""),"No")</f>
        <v>No</v>
      </c>
      <c r="AH44" s="5" t="str">
        <f ca="1">IFERROR(__xludf.DUMMYFUNCTION("""COMPUTED_VALUE"""),"No")</f>
        <v>No</v>
      </c>
      <c r="AI44" s="5" t="str">
        <f ca="1">IFERROR(__xludf.DUMMYFUNCTION("""COMPUTED_VALUE"""),"No")</f>
        <v>No</v>
      </c>
      <c r="AJ44" s="5" t="str">
        <f ca="1">IFERROR(__xludf.DUMMYFUNCTION("""COMPUTED_VALUE"""),"No")</f>
        <v>No</v>
      </c>
      <c r="AK44" s="5" t="str">
        <f ca="1">IFERROR(__xludf.DUMMYFUNCTION("""COMPUTED_VALUE"""),"No")</f>
        <v>No</v>
      </c>
      <c r="AL44" s="5" t="str">
        <f ca="1">IFERROR(__xludf.DUMMYFUNCTION("""COMPUTED_VALUE"""),"No")</f>
        <v>No</v>
      </c>
      <c r="AM44" s="5"/>
      <c r="AN44" s="5"/>
      <c r="AO44" s="5"/>
      <c r="AP44" s="5"/>
      <c r="AQ44" s="5"/>
      <c r="AR44" s="5"/>
      <c r="AS44" s="5"/>
      <c r="AT44" s="5"/>
      <c r="AU44" s="5"/>
      <c r="AV44" s="5"/>
      <c r="AW44" s="5"/>
      <c r="AX44" s="5"/>
      <c r="AY44" s="5"/>
    </row>
    <row r="45" spans="1:51" x14ac:dyDescent="0.25">
      <c r="A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5" s="5">
        <f ca="1">IFERROR(__xludf.DUMMYFUNCTION("""COMPUTED_VALUE"""),44)</f>
        <v>44</v>
      </c>
      <c r="C45" s="5">
        <f ca="1">IFERROR(__xludf.DUMMYFUNCTION("""COMPUTED_VALUE"""),43)</f>
        <v>43</v>
      </c>
      <c r="D45" s="5" t="str">
        <f ca="1">IFERROR(__xludf.DUMMYFUNCTION("""COMPUTED_VALUE"""),"CrystalHot40")</f>
        <v>CrystalHot40</v>
      </c>
      <c r="E45" s="5" t="str">
        <f ca="1">IFERROR(__xludf.DUMMYFUNCTION("""COMPUTED_VALUE"""),"Yes")</f>
        <v>Yes</v>
      </c>
      <c r="F45" s="5" t="str">
        <f ca="1">IFERROR(__xludf.DUMMYFUNCTION("""COMPUTED_VALUE"""),"Yes")</f>
        <v>Yes</v>
      </c>
      <c r="G45" s="5" t="str">
        <f ca="1">IFERROR(__xludf.DUMMYFUNCTION("""COMPUTED_VALUE"""),"Yes")</f>
        <v>Yes</v>
      </c>
      <c r="H45" s="5" t="str">
        <f ca="1">IFERROR(__xludf.DUMMYFUNCTION("""COMPUTED_VALUE"""),"Yes")</f>
        <v>Yes</v>
      </c>
      <c r="I45" s="5" t="str">
        <f ca="1">IFERROR(__xludf.DUMMYFUNCTION("""COMPUTED_VALUE"""),"Yes")</f>
        <v>Yes</v>
      </c>
      <c r="J45" s="5" t="str">
        <f ca="1">IFERROR(__xludf.DUMMYFUNCTION("""COMPUTED_VALUE"""),"Yes")</f>
        <v>Yes</v>
      </c>
      <c r="K45" s="5" t="str">
        <f ca="1">IFERROR(__xludf.DUMMYFUNCTION("""COMPUTED_VALUE"""),"Yes")</f>
        <v>Yes</v>
      </c>
      <c r="L45" s="5" t="str">
        <f ca="1">IFERROR(__xludf.DUMMYFUNCTION("""COMPUTED_VALUE"""),"Yes")</f>
        <v>Yes</v>
      </c>
      <c r="M45" s="5" t="str">
        <f ca="1">IFERROR(__xludf.DUMMYFUNCTION("""COMPUTED_VALUE"""),"Yes")</f>
        <v>Yes</v>
      </c>
      <c r="N45" s="5" t="str">
        <f ca="1">IFERROR(__xludf.DUMMYFUNCTION("""COMPUTED_VALUE"""),"Yes")</f>
        <v>Yes</v>
      </c>
      <c r="O45" s="5" t="str">
        <f ca="1">IFERROR(__xludf.DUMMYFUNCTION("""COMPUTED_VALUE"""),"Yes")</f>
        <v>Yes</v>
      </c>
      <c r="P45" s="5" t="str">
        <f ca="1">IFERROR(__xludf.DUMMYFUNCTION("""COMPUTED_VALUE"""),"Yes")</f>
        <v>Yes</v>
      </c>
      <c r="Q45" s="5" t="str">
        <f ca="1">IFERROR(__xludf.DUMMYFUNCTION("""COMPUTED_VALUE"""),"Yes")</f>
        <v>Yes</v>
      </c>
      <c r="R45" s="5" t="str">
        <f ca="1">IFERROR(__xludf.DUMMYFUNCTION("""COMPUTED_VALUE"""),"Yes")</f>
        <v>Yes</v>
      </c>
      <c r="S45" s="5" t="str">
        <f ca="1">IFERROR(__xludf.DUMMYFUNCTION("""COMPUTED_VALUE"""),"Yes")</f>
        <v>Yes</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IFERROR(__xludf.DUMMYFUNCTION("""COMPUTED_VALUE"""),"No")</f>
        <v>No</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IFERROR(__xludf.DUMMYFUNCTION("""COMPUTED_VALUE"""),"No")</f>
        <v>No</v>
      </c>
      <c r="AF45" s="5" t="str">
        <f ca="1">IFERROR(__xludf.DUMMYFUNCTION("""COMPUTED_VALUE"""),"Yes")</f>
        <v>Yes</v>
      </c>
      <c r="AG45" s="5" t="str">
        <f ca="1">IFERROR(__xludf.DUMMYFUNCTION("""COMPUTED_VALUE"""),"No")</f>
        <v>No</v>
      </c>
      <c r="AH45" s="5" t="str">
        <f ca="1">IFERROR(__xludf.DUMMYFUNCTION("""COMPUTED_VALUE"""),"No")</f>
        <v>No</v>
      </c>
      <c r="AI45" s="5" t="str">
        <f ca="1">IFERROR(__xludf.DUMMYFUNCTION("""COMPUTED_VALUE"""),"No")</f>
        <v>No</v>
      </c>
      <c r="AJ45" s="5" t="str">
        <f ca="1">IFERROR(__xludf.DUMMYFUNCTION("""COMPUTED_VALUE"""),"No")</f>
        <v>No</v>
      </c>
      <c r="AK45" s="5" t="str">
        <f ca="1">IFERROR(__xludf.DUMMYFUNCTION("""COMPUTED_VALUE"""),"No")</f>
        <v>No</v>
      </c>
      <c r="AL45" s="5" t="str">
        <f ca="1">IFERROR(__xludf.DUMMYFUNCTION("""COMPUTED_VALUE"""),"No")</f>
        <v>No</v>
      </c>
      <c r="AM45" s="5"/>
      <c r="AN45" s="5"/>
      <c r="AO45" s="5"/>
      <c r="AP45" s="5"/>
      <c r="AQ45" s="5"/>
      <c r="AR45" s="5"/>
      <c r="AS45" s="5"/>
      <c r="AT45" s="5"/>
      <c r="AU45" s="5"/>
      <c r="AV45" s="5"/>
      <c r="AW45" s="5"/>
      <c r="AX45" s="5"/>
      <c r="AY45" s="5"/>
    </row>
    <row r="46" spans="1:51" x14ac:dyDescent="0.25">
      <c r="A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6" s="5">
        <f ca="1">IFERROR(__xludf.DUMMYFUNCTION("""COMPUTED_VALUE"""),45)</f>
        <v>45</v>
      </c>
      <c r="C46" s="5">
        <f ca="1">IFERROR(__xludf.DUMMYFUNCTION("""COMPUTED_VALUE"""),44)</f>
        <v>44</v>
      </c>
      <c r="D46" s="5" t="str">
        <f ca="1">IFERROR(__xludf.DUMMYFUNCTION("""COMPUTED_VALUE"""),"BurningIceDeluxe")</f>
        <v>BurningIceDeluxe</v>
      </c>
      <c r="E46" s="5" t="str">
        <f ca="1">IFERROR(__xludf.DUMMYFUNCTION("""COMPUTED_VALUE"""),"Yes")</f>
        <v>Yes</v>
      </c>
      <c r="F46" s="5" t="str">
        <f ca="1">IFERROR(__xludf.DUMMYFUNCTION("""COMPUTED_VALUE"""),"Yes")</f>
        <v>Yes</v>
      </c>
      <c r="G46" s="5" t="str">
        <f ca="1">IFERROR(__xludf.DUMMYFUNCTION("""COMPUTED_VALUE"""),"Yes")</f>
        <v>Yes</v>
      </c>
      <c r="H46" s="5" t="str">
        <f ca="1">IFERROR(__xludf.DUMMYFUNCTION("""COMPUTED_VALUE"""),"Yes")</f>
        <v>Yes</v>
      </c>
      <c r="I46" s="5" t="str">
        <f ca="1">IFERROR(__xludf.DUMMYFUNCTION("""COMPUTED_VALUE"""),"Yes")</f>
        <v>Yes</v>
      </c>
      <c r="J46" s="5" t="str">
        <f ca="1">IFERROR(__xludf.DUMMYFUNCTION("""COMPUTED_VALUE"""),"Yes")</f>
        <v>Yes</v>
      </c>
      <c r="K46" s="5" t="str">
        <f ca="1">IFERROR(__xludf.DUMMYFUNCTION("""COMPUTED_VALUE"""),"Yes")</f>
        <v>Yes</v>
      </c>
      <c r="L46" s="5" t="str">
        <f ca="1">IFERROR(__xludf.DUMMYFUNCTION("""COMPUTED_VALUE"""),"Yes")</f>
        <v>Yes</v>
      </c>
      <c r="M46" s="5" t="str">
        <f ca="1">IFERROR(__xludf.DUMMYFUNCTION("""COMPUTED_VALUE"""),"Yes")</f>
        <v>Yes</v>
      </c>
      <c r="N46" s="5" t="str">
        <f ca="1">IFERROR(__xludf.DUMMYFUNCTION("""COMPUTED_VALUE"""),"Yes")</f>
        <v>Yes</v>
      </c>
      <c r="O46" s="5" t="str">
        <f ca="1">IFERROR(__xludf.DUMMYFUNCTION("""COMPUTED_VALUE"""),"Yes")</f>
        <v>Yes</v>
      </c>
      <c r="P46" s="5" t="str">
        <f ca="1">IFERROR(__xludf.DUMMYFUNCTION("""COMPUTED_VALUE"""),"Yes")</f>
        <v>Yes</v>
      </c>
      <c r="Q46" s="5" t="str">
        <f ca="1">IFERROR(__xludf.DUMMYFUNCTION("""COMPUTED_VALUE"""),"Yes")</f>
        <v>Yes</v>
      </c>
      <c r="R46" s="5" t="str">
        <f ca="1">IFERROR(__xludf.DUMMYFUNCTION("""COMPUTED_VALUE"""),"Yes")</f>
        <v>Yes</v>
      </c>
      <c r="S46" s="5" t="str">
        <f ca="1">IFERROR(__xludf.DUMMYFUNCTION("""COMPUTED_VALUE"""),"Yes")</f>
        <v>Yes</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IFERROR(__xludf.DUMMYFUNCTION("""COMPUTED_VALUE"""),"No")</f>
        <v>No</v>
      </c>
      <c r="AA46" s="5" t="str">
        <f ca="1">IFERROR(__xludf.DUMMYFUNCTION("""COMPUTED_VALUE"""),"Yes")</f>
        <v>Yes</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IFERROR(__xludf.DUMMYFUNCTION("""COMPUTED_VALUE"""),"No")</f>
        <v>No</v>
      </c>
      <c r="AF46" s="5" t="str">
        <f ca="1">IFERROR(__xludf.DUMMYFUNCTION("""COMPUTED_VALUE"""),"Yes")</f>
        <v>Yes</v>
      </c>
      <c r="AG46" s="5" t="str">
        <f ca="1">IFERROR(__xludf.DUMMYFUNCTION("""COMPUTED_VALUE"""),"No")</f>
        <v>No</v>
      </c>
      <c r="AH46" s="5" t="str">
        <f ca="1">IFERROR(__xludf.DUMMYFUNCTION("""COMPUTED_VALUE"""),"No")</f>
        <v>No</v>
      </c>
      <c r="AI46" s="5" t="str">
        <f ca="1">IFERROR(__xludf.DUMMYFUNCTION("""COMPUTED_VALUE"""),"No")</f>
        <v>No</v>
      </c>
      <c r="AJ46" s="5" t="str">
        <f ca="1">IFERROR(__xludf.DUMMYFUNCTION("""COMPUTED_VALUE"""),"No")</f>
        <v>No</v>
      </c>
      <c r="AK46" s="5" t="str">
        <f ca="1">IFERROR(__xludf.DUMMYFUNCTION("""COMPUTED_VALUE"""),"No")</f>
        <v>No</v>
      </c>
      <c r="AL46" s="5" t="str">
        <f ca="1">IFERROR(__xludf.DUMMYFUNCTION("""COMPUTED_VALUE"""),"No")</f>
        <v>No</v>
      </c>
      <c r="AM46" s="5"/>
      <c r="AN46" s="5"/>
      <c r="AO46" s="5"/>
      <c r="AP46" s="5"/>
      <c r="AQ46" s="5"/>
      <c r="AR46" s="5"/>
      <c r="AS46" s="5"/>
      <c r="AT46" s="5"/>
      <c r="AU46" s="5"/>
      <c r="AV46" s="5"/>
      <c r="AW46" s="5"/>
      <c r="AX46" s="5"/>
      <c r="AY46" s="5"/>
    </row>
    <row r="47" spans="1:51" x14ac:dyDescent="0.25">
      <c r="A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47" s="5">
        <f ca="1">IFERROR(__xludf.DUMMYFUNCTION("""COMPUTED_VALUE"""),46)</f>
        <v>46</v>
      </c>
      <c r="C47" s="5">
        <f ca="1">IFERROR(__xludf.DUMMYFUNCTION("""COMPUTED_VALUE"""),45)</f>
        <v>45</v>
      </c>
      <c r="D47" s="5" t="str">
        <f ca="1">IFERROR(__xludf.DUMMYFUNCTION("""COMPUTED_VALUE"""),"NeonDice5")</f>
        <v>NeonDice5</v>
      </c>
      <c r="E47" s="5" t="str">
        <f ca="1">IFERROR(__xludf.DUMMYFUNCTION("""COMPUTED_VALUE"""),"Yes")</f>
        <v>Yes</v>
      </c>
      <c r="F47" s="5" t="str">
        <f ca="1">IFERROR(__xludf.DUMMYFUNCTION("""COMPUTED_VALUE"""),"Yes")</f>
        <v>Yes</v>
      </c>
      <c r="G47" s="5" t="str">
        <f ca="1">IFERROR(__xludf.DUMMYFUNCTION("""COMPUTED_VALUE"""),"Yes")</f>
        <v>Yes</v>
      </c>
      <c r="H47" s="5" t="str">
        <f ca="1">IFERROR(__xludf.DUMMYFUNCTION("""COMPUTED_VALUE"""),"Yes")</f>
        <v>Yes</v>
      </c>
      <c r="I47" s="5" t="str">
        <f ca="1">IFERROR(__xludf.DUMMYFUNCTION("""COMPUTED_VALUE"""),"Yes")</f>
        <v>Yes</v>
      </c>
      <c r="J47" s="5" t="str">
        <f ca="1">IFERROR(__xludf.DUMMYFUNCTION("""COMPUTED_VALUE"""),"Yes")</f>
        <v>Yes</v>
      </c>
      <c r="K47" s="5" t="str">
        <f ca="1">IFERROR(__xludf.DUMMYFUNCTION("""COMPUTED_VALUE"""),"Yes")</f>
        <v>Yes</v>
      </c>
      <c r="L47" s="5" t="str">
        <f ca="1">IFERROR(__xludf.DUMMYFUNCTION("""COMPUTED_VALUE"""),"Yes")</f>
        <v>Yes</v>
      </c>
      <c r="M47" s="5" t="str">
        <f ca="1">IFERROR(__xludf.DUMMYFUNCTION("""COMPUTED_VALUE"""),"Yes")</f>
        <v>Yes</v>
      </c>
      <c r="N47" s="5" t="str">
        <f ca="1">IFERROR(__xludf.DUMMYFUNCTION("""COMPUTED_VALUE"""),"Yes")</f>
        <v>Yes</v>
      </c>
      <c r="O47" s="5" t="str">
        <f ca="1">IFERROR(__xludf.DUMMYFUNCTION("""COMPUTED_VALUE"""),"Yes")</f>
        <v>Yes</v>
      </c>
      <c r="P47" s="5" t="str">
        <f ca="1">IFERROR(__xludf.DUMMYFUNCTION("""COMPUTED_VALUE"""),"Yes")</f>
        <v>Yes</v>
      </c>
      <c r="Q47" s="5" t="str">
        <f ca="1">IFERROR(__xludf.DUMMYFUNCTION("""COMPUTED_VALUE"""),"Yes")</f>
        <v>Yes</v>
      </c>
      <c r="R47" s="5" t="str">
        <f ca="1">IFERROR(__xludf.DUMMYFUNCTION("""COMPUTED_VALUE"""),"Yes")</f>
        <v>Yes</v>
      </c>
      <c r="S47" s="5" t="str">
        <f ca="1">IFERROR(__xludf.DUMMYFUNCTION("""COMPUTED_VALUE"""),"Yes")</f>
        <v>Yes</v>
      </c>
      <c r="T47" s="5" t="str">
        <f ca="1">IFERROR(__xludf.DUMMYFUNCTION("""COMPUTED_VALUE"""),"Yes")</f>
        <v>Yes</v>
      </c>
      <c r="U47" s="5" t="str">
        <f ca="1">IFERROR(__xludf.DUMMYFUNCTION("""COMPUTED_VALUE"""),"Yes")</f>
        <v>Yes</v>
      </c>
      <c r="V47" s="5" t="str">
        <f ca="1">IFERROR(__xludf.DUMMYFUNCTION("""COMPUTED_VALUE"""),"Yes")</f>
        <v>Yes</v>
      </c>
      <c r="W47" s="5" t="str">
        <f ca="1">IFERROR(__xludf.DUMMYFUNCTION("""COMPUTED_VALUE"""),"Yes")</f>
        <v>Yes</v>
      </c>
      <c r="X47" s="5" t="str">
        <f ca="1">IFERROR(__xludf.DUMMYFUNCTION("""COMPUTED_VALUE"""),"Yes")</f>
        <v>Yes</v>
      </c>
      <c r="Y47" s="5"/>
      <c r="Z47" s="5"/>
      <c r="AA47" s="5"/>
      <c r="AB47" s="5"/>
      <c r="AC47" s="5" t="str">
        <f ca="1">IFERROR(__xludf.DUMMYFUNCTION("""COMPUTED_VALUE"""),"Yes")</f>
        <v>Yes</v>
      </c>
      <c r="AD47" s="5"/>
      <c r="AE47" s="5"/>
      <c r="AF47" s="5"/>
      <c r="AG47" s="5"/>
      <c r="AH47" s="5"/>
      <c r="AI47" s="5"/>
      <c r="AJ47" s="5"/>
      <c r="AK47" s="5"/>
      <c r="AL47" s="5"/>
      <c r="AM47" s="5"/>
      <c r="AN47" s="5"/>
      <c r="AO47" s="5"/>
      <c r="AP47" s="5"/>
      <c r="AQ47" s="5"/>
      <c r="AR47" s="5"/>
      <c r="AS47" s="5"/>
      <c r="AT47" s="5"/>
      <c r="AU47" s="5"/>
      <c r="AV47" s="5"/>
      <c r="AW47" s="5"/>
      <c r="AX47" s="5"/>
      <c r="AY47" s="5"/>
    </row>
    <row r="48" spans="1:51" x14ac:dyDescent="0.25">
      <c r="A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8" s="5">
        <f ca="1">IFERROR(__xludf.DUMMYFUNCTION("""COMPUTED_VALUE"""),47)</f>
        <v>47</v>
      </c>
      <c r="C48" s="5">
        <f ca="1">IFERROR(__xludf.DUMMYFUNCTION("""COMPUTED_VALUE"""),46)</f>
        <v>46</v>
      </c>
      <c r="D48" s="5" t="str">
        <f ca="1">IFERROR(__xludf.DUMMYFUNCTION("""COMPUTED_VALUE"""),"TurboDice40")</f>
        <v>TurboDice40</v>
      </c>
      <c r="E48" s="5" t="str">
        <f ca="1">IFERROR(__xludf.DUMMYFUNCTION("""COMPUTED_VALUE"""),"Yes")</f>
        <v>Yes</v>
      </c>
      <c r="F48" s="5" t="str">
        <f ca="1">IFERROR(__xludf.DUMMYFUNCTION("""COMPUTED_VALUE"""),"Yes")</f>
        <v>Yes</v>
      </c>
      <c r="G48" s="5" t="str">
        <f ca="1">IFERROR(__xludf.DUMMYFUNCTION("""COMPUTED_VALUE"""),"Yes")</f>
        <v>Yes</v>
      </c>
      <c r="H48" s="5" t="str">
        <f ca="1">IFERROR(__xludf.DUMMYFUNCTION("""COMPUTED_VALUE"""),"Yes")</f>
        <v>Yes</v>
      </c>
      <c r="I48" s="5" t="str">
        <f ca="1">IFERROR(__xludf.DUMMYFUNCTION("""COMPUTED_VALUE"""),"Yes")</f>
        <v>Yes</v>
      </c>
      <c r="J48" s="5" t="str">
        <f ca="1">IFERROR(__xludf.DUMMYFUNCTION("""COMPUTED_VALUE"""),"Yes")</f>
        <v>Yes</v>
      </c>
      <c r="K48" s="5" t="str">
        <f ca="1">IFERROR(__xludf.DUMMYFUNCTION("""COMPUTED_VALUE"""),"Yes")</f>
        <v>Yes</v>
      </c>
      <c r="L48" s="5" t="str">
        <f ca="1">IFERROR(__xludf.DUMMYFUNCTION("""COMPUTED_VALUE"""),"Yes")</f>
        <v>Yes</v>
      </c>
      <c r="M48" s="5" t="str">
        <f ca="1">IFERROR(__xludf.DUMMYFUNCTION("""COMPUTED_VALUE"""),"Yes")</f>
        <v>Yes</v>
      </c>
      <c r="N48" s="5" t="str">
        <f ca="1">IFERROR(__xludf.DUMMYFUNCTION("""COMPUTED_VALUE"""),"Yes")</f>
        <v>Yes</v>
      </c>
      <c r="O48" s="5" t="str">
        <f ca="1">IFERROR(__xludf.DUMMYFUNCTION("""COMPUTED_VALUE"""),"Yes")</f>
        <v>Yes</v>
      </c>
      <c r="P48" s="5" t="str">
        <f ca="1">IFERROR(__xludf.DUMMYFUNCTION("""COMPUTED_VALUE"""),"Yes")</f>
        <v>Yes</v>
      </c>
      <c r="Q48" s="5" t="str">
        <f ca="1">IFERROR(__xludf.DUMMYFUNCTION("""COMPUTED_VALUE"""),"Yes")</f>
        <v>Yes</v>
      </c>
      <c r="R48" s="5" t="str">
        <f ca="1">IFERROR(__xludf.DUMMYFUNCTION("""COMPUTED_VALUE"""),"Yes")</f>
        <v>Yes</v>
      </c>
      <c r="S48" s="5" t="str">
        <f ca="1">IFERROR(__xludf.DUMMYFUNCTION("""COMPUTED_VALUE"""),"Yes")</f>
        <v>Yes</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IFERROR(__xludf.DUMMYFUNCTION("""COMPUTED_VALUE"""),"No")</f>
        <v>No</v>
      </c>
      <c r="AA48" s="5" t="str">
        <f ca="1">IFERROR(__xludf.DUMMYFUNCTION("""COMPUTED_VALUE"""),"Yes")</f>
        <v>Yes</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IFERROR(__xludf.DUMMYFUNCTION("""COMPUTED_VALUE"""),"No")</f>
        <v>No</v>
      </c>
      <c r="AF48" s="5" t="str">
        <f ca="1">IFERROR(__xludf.DUMMYFUNCTION("""COMPUTED_VALUE"""),"Yes")</f>
        <v>Yes</v>
      </c>
      <c r="AG48" s="5" t="str">
        <f ca="1">IFERROR(__xludf.DUMMYFUNCTION("""COMPUTED_VALUE"""),"No")</f>
        <v>No</v>
      </c>
      <c r="AH48" s="5" t="str">
        <f ca="1">IFERROR(__xludf.DUMMYFUNCTION("""COMPUTED_VALUE"""),"No")</f>
        <v>No</v>
      </c>
      <c r="AI48" s="5" t="str">
        <f ca="1">IFERROR(__xludf.DUMMYFUNCTION("""COMPUTED_VALUE"""),"No")</f>
        <v>No</v>
      </c>
      <c r="AJ48" s="5" t="str">
        <f ca="1">IFERROR(__xludf.DUMMYFUNCTION("""COMPUTED_VALUE"""),"No")</f>
        <v>No</v>
      </c>
      <c r="AK48" s="5" t="str">
        <f ca="1">IFERROR(__xludf.DUMMYFUNCTION("""COMPUTED_VALUE"""),"No")</f>
        <v>No</v>
      </c>
      <c r="AL48" s="5" t="str">
        <f ca="1">IFERROR(__xludf.DUMMYFUNCTION("""COMPUTED_VALUE"""),"No")</f>
        <v>No</v>
      </c>
      <c r="AM48" s="5"/>
      <c r="AN48" s="5"/>
      <c r="AO48" s="5"/>
      <c r="AP48" s="5"/>
      <c r="AQ48" s="5"/>
      <c r="AR48" s="5"/>
      <c r="AS48" s="5"/>
      <c r="AT48" s="5"/>
      <c r="AU48" s="5"/>
      <c r="AV48" s="5"/>
      <c r="AW48" s="5"/>
      <c r="AX48" s="5"/>
      <c r="AY48" s="5"/>
    </row>
    <row r="49" spans="1:51" x14ac:dyDescent="0.25">
      <c r="A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9" s="5">
        <f ca="1">IFERROR(__xludf.DUMMYFUNCTION("""COMPUTED_VALUE"""),48)</f>
        <v>48</v>
      </c>
      <c r="C49" s="5">
        <f ca="1">IFERROR(__xludf.DUMMYFUNCTION("""COMPUTED_VALUE"""),47)</f>
        <v>47</v>
      </c>
      <c r="D49" s="5" t="str">
        <f ca="1">IFERROR(__xludf.DUMMYFUNCTION("""COMPUTED_VALUE"""),"TripleDice")</f>
        <v>TripleDice</v>
      </c>
      <c r="E49" s="5" t="str">
        <f ca="1">IFERROR(__xludf.DUMMYFUNCTION("""COMPUTED_VALUE"""),"Yes")</f>
        <v>Yes</v>
      </c>
      <c r="F49" s="5" t="str">
        <f ca="1">IFERROR(__xludf.DUMMYFUNCTION("""COMPUTED_VALUE"""),"Yes")</f>
        <v>Yes</v>
      </c>
      <c r="G49" s="5" t="str">
        <f ca="1">IFERROR(__xludf.DUMMYFUNCTION("""COMPUTED_VALUE"""),"Yes")</f>
        <v>Yes</v>
      </c>
      <c r="H49" s="5" t="str">
        <f ca="1">IFERROR(__xludf.DUMMYFUNCTION("""COMPUTED_VALUE"""),"Yes")</f>
        <v>Yes</v>
      </c>
      <c r="I49" s="5" t="str">
        <f ca="1">IFERROR(__xludf.DUMMYFUNCTION("""COMPUTED_VALUE"""),"Yes")</f>
        <v>Yes</v>
      </c>
      <c r="J49" s="5" t="str">
        <f ca="1">IFERROR(__xludf.DUMMYFUNCTION("""COMPUTED_VALUE"""),"Yes")</f>
        <v>Yes</v>
      </c>
      <c r="K49" s="5" t="str">
        <f ca="1">IFERROR(__xludf.DUMMYFUNCTION("""COMPUTED_VALUE"""),"Yes")</f>
        <v>Yes</v>
      </c>
      <c r="L49" s="5" t="str">
        <f ca="1">IFERROR(__xludf.DUMMYFUNCTION("""COMPUTED_VALUE"""),"Yes")</f>
        <v>Yes</v>
      </c>
      <c r="M49" s="5" t="str">
        <f ca="1">IFERROR(__xludf.DUMMYFUNCTION("""COMPUTED_VALUE"""),"Yes")</f>
        <v>Yes</v>
      </c>
      <c r="N49" s="5" t="str">
        <f ca="1">IFERROR(__xludf.DUMMYFUNCTION("""COMPUTED_VALUE"""),"Yes")</f>
        <v>Yes</v>
      </c>
      <c r="O49" s="5" t="str">
        <f ca="1">IFERROR(__xludf.DUMMYFUNCTION("""COMPUTED_VALUE"""),"Yes")</f>
        <v>Yes</v>
      </c>
      <c r="P49" s="5" t="str">
        <f ca="1">IFERROR(__xludf.DUMMYFUNCTION("""COMPUTED_VALUE"""),"Yes")</f>
        <v>Yes</v>
      </c>
      <c r="Q49" s="5" t="str">
        <f ca="1">IFERROR(__xludf.DUMMYFUNCTION("""COMPUTED_VALUE"""),"Yes")</f>
        <v>Yes</v>
      </c>
      <c r="R49" s="5" t="str">
        <f ca="1">IFERROR(__xludf.DUMMYFUNCTION("""COMPUTED_VALUE"""),"Yes")</f>
        <v>Yes</v>
      </c>
      <c r="S49" s="5" t="str">
        <f ca="1">IFERROR(__xludf.DUMMYFUNCTION("""COMPUTED_VALUE"""),"Yes")</f>
        <v>Yes</v>
      </c>
      <c r="T49" s="5" t="str">
        <f ca="1">IFERROR(__xludf.DUMMYFUNCTION("""COMPUTED_VALUE"""),"Yes")</f>
        <v>Yes</v>
      </c>
      <c r="U49" s="5" t="str">
        <f ca="1">IFERROR(__xludf.DUMMYFUNCTION("""COMPUTED_VALUE"""),"Yes")</f>
        <v>Yes</v>
      </c>
      <c r="V49" s="5" t="str">
        <f ca="1">IFERROR(__xludf.DUMMYFUNCTION("""COMPUTED_VALUE"""),"Yes")</f>
        <v>Yes</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IFERROR(__xludf.DUMMYFUNCTION("""COMPUTED_VALUE"""),"No")</f>
        <v>No</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IFERROR(__xludf.DUMMYFUNCTION("""COMPUTED_VALUE"""),"No")</f>
        <v>No</v>
      </c>
      <c r="AF49" s="5" t="str">
        <f ca="1">IFERROR(__xludf.DUMMYFUNCTION("""COMPUTED_VALUE"""),"Yes")</f>
        <v>Yes</v>
      </c>
      <c r="AG49" s="5" t="str">
        <f ca="1">IFERROR(__xludf.DUMMYFUNCTION("""COMPUTED_VALUE"""),"No")</f>
        <v>No</v>
      </c>
      <c r="AH49" s="5" t="str">
        <f ca="1">IFERROR(__xludf.DUMMYFUNCTION("""COMPUTED_VALUE"""),"No")</f>
        <v>No</v>
      </c>
      <c r="AI49" s="5" t="str">
        <f ca="1">IFERROR(__xludf.DUMMYFUNCTION("""COMPUTED_VALUE"""),"No")</f>
        <v>No</v>
      </c>
      <c r="AJ49" s="5" t="str">
        <f ca="1">IFERROR(__xludf.DUMMYFUNCTION("""COMPUTED_VALUE"""),"No")</f>
        <v>No</v>
      </c>
      <c r="AK49" s="5" t="str">
        <f ca="1">IFERROR(__xludf.DUMMYFUNCTION("""COMPUTED_VALUE"""),"No")</f>
        <v>No</v>
      </c>
      <c r="AL49" s="5" t="str">
        <f ca="1">IFERROR(__xludf.DUMMYFUNCTION("""COMPUTED_VALUE"""),"No")</f>
        <v>No</v>
      </c>
      <c r="AM49" s="5"/>
      <c r="AN49" s="5"/>
      <c r="AO49" s="5"/>
      <c r="AP49" s="5"/>
      <c r="AQ49" s="5"/>
      <c r="AR49" s="5"/>
      <c r="AS49" s="5"/>
      <c r="AT49" s="5"/>
      <c r="AU49" s="5"/>
      <c r="AV49" s="5"/>
      <c r="AW49" s="5"/>
      <c r="AX49" s="5"/>
      <c r="AY49" s="5"/>
    </row>
    <row r="50" spans="1:51" x14ac:dyDescent="0.25">
      <c r="A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0" s="5">
        <f ca="1">IFERROR(__xludf.DUMMYFUNCTION("""COMPUTED_VALUE"""),49)</f>
        <v>49</v>
      </c>
      <c r="C50" s="5">
        <f ca="1">IFERROR(__xludf.DUMMYFUNCTION("""COMPUTED_VALUE"""),48)</f>
        <v>48</v>
      </c>
      <c r="D50" s="5" t="str">
        <f ca="1">IFERROR(__xludf.DUMMYFUNCTION("""COMPUTED_VALUE"""),"FlashingDice")</f>
        <v>FlashingDice</v>
      </c>
      <c r="E50" s="5" t="str">
        <f ca="1">IFERROR(__xludf.DUMMYFUNCTION("""COMPUTED_VALUE"""),"Yes")</f>
        <v>Yes</v>
      </c>
      <c r="F50" s="5" t="str">
        <f ca="1">IFERROR(__xludf.DUMMYFUNCTION("""COMPUTED_VALUE"""),"Yes")</f>
        <v>Yes</v>
      </c>
      <c r="G50" s="5" t="str">
        <f ca="1">IFERROR(__xludf.DUMMYFUNCTION("""COMPUTED_VALUE"""),"Yes")</f>
        <v>Yes</v>
      </c>
      <c r="H50" s="5" t="str">
        <f ca="1">IFERROR(__xludf.DUMMYFUNCTION("""COMPUTED_VALUE"""),"Yes")</f>
        <v>Yes</v>
      </c>
      <c r="I50" s="5" t="str">
        <f ca="1">IFERROR(__xludf.DUMMYFUNCTION("""COMPUTED_VALUE"""),"Yes")</f>
        <v>Yes</v>
      </c>
      <c r="J50" s="5" t="str">
        <f ca="1">IFERROR(__xludf.DUMMYFUNCTION("""COMPUTED_VALUE"""),"Yes")</f>
        <v>Yes</v>
      </c>
      <c r="K50" s="5" t="str">
        <f ca="1">IFERROR(__xludf.DUMMYFUNCTION("""COMPUTED_VALUE"""),"Yes")</f>
        <v>Yes</v>
      </c>
      <c r="L50" s="5" t="str">
        <f ca="1">IFERROR(__xludf.DUMMYFUNCTION("""COMPUTED_VALUE"""),"Yes")</f>
        <v>Yes</v>
      </c>
      <c r="M50" s="5" t="str">
        <f ca="1">IFERROR(__xludf.DUMMYFUNCTION("""COMPUTED_VALUE"""),"Yes")</f>
        <v>Yes</v>
      </c>
      <c r="N50" s="5" t="str">
        <f ca="1">IFERROR(__xludf.DUMMYFUNCTION("""COMPUTED_VALUE"""),"Yes")</f>
        <v>Yes</v>
      </c>
      <c r="O50" s="5" t="str">
        <f ca="1">IFERROR(__xludf.DUMMYFUNCTION("""COMPUTED_VALUE"""),"Yes")</f>
        <v>Yes</v>
      </c>
      <c r="P50" s="5" t="str">
        <f ca="1">IFERROR(__xludf.DUMMYFUNCTION("""COMPUTED_VALUE"""),"Yes")</f>
        <v>Yes</v>
      </c>
      <c r="Q50" s="5" t="str">
        <f ca="1">IFERROR(__xludf.DUMMYFUNCTION("""COMPUTED_VALUE"""),"Yes")</f>
        <v>Yes</v>
      </c>
      <c r="R50" s="5" t="str">
        <f ca="1">IFERROR(__xludf.DUMMYFUNCTION("""COMPUTED_VALUE"""),"Yes")</f>
        <v>Yes</v>
      </c>
      <c r="S50" s="5" t="str">
        <f ca="1">IFERROR(__xludf.DUMMYFUNCTION("""COMPUTED_VALUE"""),"Yes")</f>
        <v>Yes</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IFERROR(__xludf.DUMMYFUNCTION("""COMPUTED_VALUE"""),"No")</f>
        <v>No</v>
      </c>
      <c r="AA50" s="5" t="str">
        <f ca="1">IFERROR(__xludf.DUMMYFUNCTION("""COMPUTED_VALUE"""),"Yes")</f>
        <v>Yes</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IFERROR(__xludf.DUMMYFUNCTION("""COMPUTED_VALUE"""),"No")</f>
        <v>No</v>
      </c>
      <c r="AF50" s="5" t="str">
        <f ca="1">IFERROR(__xludf.DUMMYFUNCTION("""COMPUTED_VALUE"""),"Yes")</f>
        <v>Yes</v>
      </c>
      <c r="AG50" s="5" t="str">
        <f ca="1">IFERROR(__xludf.DUMMYFUNCTION("""COMPUTED_VALUE"""),"No")</f>
        <v>No</v>
      </c>
      <c r="AH50" s="5" t="str">
        <f ca="1">IFERROR(__xludf.DUMMYFUNCTION("""COMPUTED_VALUE"""),"No")</f>
        <v>No</v>
      </c>
      <c r="AI50" s="5" t="str">
        <f ca="1">IFERROR(__xludf.DUMMYFUNCTION("""COMPUTED_VALUE"""),"No")</f>
        <v>No</v>
      </c>
      <c r="AJ50" s="5" t="str">
        <f ca="1">IFERROR(__xludf.DUMMYFUNCTION("""COMPUTED_VALUE"""),"No")</f>
        <v>No</v>
      </c>
      <c r="AK50" s="5" t="str">
        <f ca="1">IFERROR(__xludf.DUMMYFUNCTION("""COMPUTED_VALUE"""),"No")</f>
        <v>No</v>
      </c>
      <c r="AL50" s="5" t="str">
        <f ca="1">IFERROR(__xludf.DUMMYFUNCTION("""COMPUTED_VALUE"""),"No")</f>
        <v>No</v>
      </c>
      <c r="AM50" s="5"/>
      <c r="AN50" s="5"/>
      <c r="AO50" s="5"/>
      <c r="AP50" s="5"/>
      <c r="AQ50" s="5"/>
      <c r="AR50" s="5"/>
      <c r="AS50" s="5"/>
      <c r="AT50" s="5"/>
      <c r="AU50" s="5"/>
      <c r="AV50" s="5"/>
      <c r="AW50" s="5"/>
      <c r="AX50" s="5"/>
      <c r="AY50" s="5"/>
    </row>
    <row r="51" spans="1:51" x14ac:dyDescent="0.25">
      <c r="A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1" s="5">
        <f ca="1">IFERROR(__xludf.DUMMYFUNCTION("""COMPUTED_VALUE"""),50)</f>
        <v>50</v>
      </c>
      <c r="C51" s="5">
        <f ca="1">IFERROR(__xludf.DUMMYFUNCTION("""COMPUTED_VALUE"""),49)</f>
        <v>49</v>
      </c>
      <c r="D51" s="5" t="str">
        <f ca="1">IFERROR(__xludf.DUMMYFUNCTION("""COMPUTED_VALUE"""),"SpinCards")</f>
        <v>SpinCards</v>
      </c>
      <c r="E51" s="5" t="str">
        <f ca="1">IFERROR(__xludf.DUMMYFUNCTION("""COMPUTED_VALUE"""),"Yes")</f>
        <v>Yes</v>
      </c>
      <c r="F51" s="5" t="str">
        <f ca="1">IFERROR(__xludf.DUMMYFUNCTION("""COMPUTED_VALUE"""),"Yes")</f>
        <v>Yes</v>
      </c>
      <c r="G51" s="5" t="str">
        <f ca="1">IFERROR(__xludf.DUMMYFUNCTION("""COMPUTED_VALUE"""),"Yes")</f>
        <v>Yes</v>
      </c>
      <c r="H51" s="5" t="str">
        <f ca="1">IFERROR(__xludf.DUMMYFUNCTION("""COMPUTED_VALUE"""),"Yes")</f>
        <v>Yes</v>
      </c>
      <c r="I51" s="5" t="str">
        <f ca="1">IFERROR(__xludf.DUMMYFUNCTION("""COMPUTED_VALUE"""),"Yes")</f>
        <v>Yes</v>
      </c>
      <c r="J51" s="5" t="str">
        <f ca="1">IFERROR(__xludf.DUMMYFUNCTION("""COMPUTED_VALUE"""),"Yes")</f>
        <v>Yes</v>
      </c>
      <c r="K51" s="5" t="str">
        <f ca="1">IFERROR(__xludf.DUMMYFUNCTION("""COMPUTED_VALUE"""),"Yes")</f>
        <v>Yes</v>
      </c>
      <c r="L51" s="5" t="str">
        <f ca="1">IFERROR(__xludf.DUMMYFUNCTION("""COMPUTED_VALUE"""),"Yes")</f>
        <v>Yes</v>
      </c>
      <c r="M51" s="5" t="str">
        <f ca="1">IFERROR(__xludf.DUMMYFUNCTION("""COMPUTED_VALUE"""),"Yes")</f>
        <v>Yes</v>
      </c>
      <c r="N51" s="5" t="str">
        <f ca="1">IFERROR(__xludf.DUMMYFUNCTION("""COMPUTED_VALUE"""),"Yes")</f>
        <v>Yes</v>
      </c>
      <c r="O51" s="5" t="str">
        <f ca="1">IFERROR(__xludf.DUMMYFUNCTION("""COMPUTED_VALUE"""),"Yes")</f>
        <v>Yes</v>
      </c>
      <c r="P51" s="5" t="str">
        <f ca="1">IFERROR(__xludf.DUMMYFUNCTION("""COMPUTED_VALUE"""),"Yes")</f>
        <v>Yes</v>
      </c>
      <c r="Q51" s="5" t="str">
        <f ca="1">IFERROR(__xludf.DUMMYFUNCTION("""COMPUTED_VALUE"""),"Yes")</f>
        <v>Yes</v>
      </c>
      <c r="R51" s="5" t="str">
        <f ca="1">IFERROR(__xludf.DUMMYFUNCTION("""COMPUTED_VALUE"""),"Yes")</f>
        <v>Yes</v>
      </c>
      <c r="S51" s="5" t="str">
        <f ca="1">IFERROR(__xludf.DUMMYFUNCTION("""COMPUTED_VALUE"""),"Yes")</f>
        <v>Yes</v>
      </c>
      <c r="T51" s="5" t="str">
        <f ca="1">IFERROR(__xludf.DUMMYFUNCTION("""COMPUTED_VALUE"""),"Yes")</f>
        <v>Yes</v>
      </c>
      <c r="U51" s="5" t="str">
        <f ca="1">IFERROR(__xludf.DUMMYFUNCTION("""COMPUTED_VALUE"""),"Yes")</f>
        <v>Yes</v>
      </c>
      <c r="V51" s="5" t="str">
        <f ca="1">IFERROR(__xludf.DUMMYFUNCTION("""COMPUTED_VALUE"""),"Yes")</f>
        <v>Yes</v>
      </c>
      <c r="W51" s="5" t="str">
        <f ca="1">IFERROR(__xludf.DUMMYFUNCTION("""COMPUTED_VALUE"""),"Yes")</f>
        <v>Yes</v>
      </c>
      <c r="X51" s="5" t="str">
        <f ca="1">IFERROR(__xludf.DUMMYFUNCTION("""COMPUTED_VALUE"""),"Yes")</f>
        <v>Yes</v>
      </c>
      <c r="Y51" s="5"/>
      <c r="Z51" s="5"/>
      <c r="AA51" s="5"/>
      <c r="AB51" s="5"/>
      <c r="AC51" s="5" t="str">
        <f ca="1">IFERROR(__xludf.DUMMYFUNCTION("""COMPUTED_VALUE"""),"Yes")</f>
        <v>Yes</v>
      </c>
      <c r="AD51" s="5"/>
      <c r="AE51" s="5"/>
      <c r="AF51" s="5"/>
      <c r="AG51" s="5"/>
      <c r="AH51" s="5"/>
      <c r="AI51" s="5"/>
      <c r="AJ51" s="5"/>
      <c r="AK51" s="5"/>
      <c r="AL51" s="5"/>
      <c r="AM51" s="5"/>
      <c r="AN51" s="5"/>
      <c r="AO51" s="5"/>
      <c r="AP51" s="5"/>
      <c r="AQ51" s="5"/>
      <c r="AR51" s="5"/>
      <c r="AS51" s="5"/>
      <c r="AT51" s="5"/>
      <c r="AU51" s="5"/>
      <c r="AV51" s="5"/>
      <c r="AW51" s="5"/>
      <c r="AX51" s="5"/>
      <c r="AY51" s="5"/>
    </row>
    <row r="52" spans="1:51" x14ac:dyDescent="0.25">
      <c r="A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2" s="5">
        <f ca="1">IFERROR(__xludf.DUMMYFUNCTION("""COMPUTED_VALUE"""),51)</f>
        <v>51</v>
      </c>
      <c r="C52" s="5">
        <f ca="1">IFERROR(__xludf.DUMMYFUNCTION("""COMPUTED_VALUE"""),50)</f>
        <v>50</v>
      </c>
      <c r="D52" s="5" t="str">
        <f ca="1">IFERROR(__xludf.DUMMYFUNCTION("""COMPUTED_VALUE"""),"LuckyTwister")</f>
        <v>LuckyTwister</v>
      </c>
      <c r="E52" s="5" t="str">
        <f ca="1">IFERROR(__xludf.DUMMYFUNCTION("""COMPUTED_VALUE"""),"Yes")</f>
        <v>Yes</v>
      </c>
      <c r="F52" s="5" t="str">
        <f ca="1">IFERROR(__xludf.DUMMYFUNCTION("""COMPUTED_VALUE"""),"Yes")</f>
        <v>Yes</v>
      </c>
      <c r="G52" s="5" t="str">
        <f ca="1">IFERROR(__xludf.DUMMYFUNCTION("""COMPUTED_VALUE"""),"Yes")</f>
        <v>Yes</v>
      </c>
      <c r="H52" s="5" t="str">
        <f ca="1">IFERROR(__xludf.DUMMYFUNCTION("""COMPUTED_VALUE"""),"Yes")</f>
        <v>Yes</v>
      </c>
      <c r="I52" s="5" t="str">
        <f ca="1">IFERROR(__xludf.DUMMYFUNCTION("""COMPUTED_VALUE"""),"Yes")</f>
        <v>Yes</v>
      </c>
      <c r="J52" s="5" t="str">
        <f ca="1">IFERROR(__xludf.DUMMYFUNCTION("""COMPUTED_VALUE"""),"Yes")</f>
        <v>Yes</v>
      </c>
      <c r="K52" s="5" t="str">
        <f ca="1">IFERROR(__xludf.DUMMYFUNCTION("""COMPUTED_VALUE"""),"Yes")</f>
        <v>Yes</v>
      </c>
      <c r="L52" s="5" t="str">
        <f ca="1">IFERROR(__xludf.DUMMYFUNCTION("""COMPUTED_VALUE"""),"Yes")</f>
        <v>Yes</v>
      </c>
      <c r="M52" s="5" t="str">
        <f ca="1">IFERROR(__xludf.DUMMYFUNCTION("""COMPUTED_VALUE"""),"Yes")</f>
        <v>Yes</v>
      </c>
      <c r="N52" s="5" t="str">
        <f ca="1">IFERROR(__xludf.DUMMYFUNCTION("""COMPUTED_VALUE"""),"Yes")</f>
        <v>Yes</v>
      </c>
      <c r="O52" s="5" t="str">
        <f ca="1">IFERROR(__xludf.DUMMYFUNCTION("""COMPUTED_VALUE"""),"Yes")</f>
        <v>Yes</v>
      </c>
      <c r="P52" s="5" t="str">
        <f ca="1">IFERROR(__xludf.DUMMYFUNCTION("""COMPUTED_VALUE"""),"Yes")</f>
        <v>Yes</v>
      </c>
      <c r="Q52" s="5" t="str">
        <f ca="1">IFERROR(__xludf.DUMMYFUNCTION("""COMPUTED_VALUE"""),"Yes")</f>
        <v>Yes</v>
      </c>
      <c r="R52" s="5" t="str">
        <f ca="1">IFERROR(__xludf.DUMMYFUNCTION("""COMPUTED_VALUE"""),"Yes")</f>
        <v>Yes</v>
      </c>
      <c r="S52" s="5" t="str">
        <f ca="1">IFERROR(__xludf.DUMMYFUNCTION("""COMPUTED_VALUE"""),"Yes")</f>
        <v>Yes</v>
      </c>
      <c r="T52" s="5" t="str">
        <f ca="1">IFERROR(__xludf.DUMMYFUNCTION("""COMPUTED_VALUE"""),"Yes")</f>
        <v>Yes</v>
      </c>
      <c r="U52" s="5" t="str">
        <f ca="1">IFERROR(__xludf.DUMMYFUNCTION("""COMPUTED_VALUE"""),"Yes")</f>
        <v>Yes</v>
      </c>
      <c r="V52" s="5" t="str">
        <f ca="1">IFERROR(__xludf.DUMMYFUNCTION("""COMPUTED_VALUE"""),"Yes")</f>
        <v>Yes</v>
      </c>
      <c r="W52" s="5" t="str">
        <f ca="1">IFERROR(__xludf.DUMMYFUNCTION("""COMPUTED_VALUE"""),"Yes")</f>
        <v>Yes</v>
      </c>
      <c r="X52" s="5" t="str">
        <f ca="1">IFERROR(__xludf.DUMMYFUNCTION("""COMPUTED_VALUE"""),"Yes")</f>
        <v>Yes</v>
      </c>
      <c r="Y52" s="5"/>
      <c r="Z52" s="5"/>
      <c r="AA52" s="5"/>
      <c r="AB52" s="5"/>
      <c r="AC52" s="5" t="str">
        <f ca="1">IFERROR(__xludf.DUMMYFUNCTION("""COMPUTED_VALUE"""),"Yes")</f>
        <v>Yes</v>
      </c>
      <c r="AD52" s="5"/>
      <c r="AE52" s="5"/>
      <c r="AF52" s="5"/>
      <c r="AG52" s="5"/>
      <c r="AH52" s="5"/>
      <c r="AI52" s="5"/>
      <c r="AJ52" s="5"/>
      <c r="AK52" s="5"/>
      <c r="AL52" s="5"/>
      <c r="AM52" s="5"/>
      <c r="AN52" s="5"/>
      <c r="AO52" s="5"/>
      <c r="AP52" s="5"/>
      <c r="AQ52" s="5"/>
      <c r="AR52" s="5"/>
      <c r="AS52" s="5"/>
      <c r="AT52" s="5"/>
      <c r="AU52" s="5"/>
      <c r="AV52" s="5"/>
      <c r="AW52" s="5"/>
      <c r="AX52" s="5"/>
      <c r="AY52" s="5"/>
    </row>
    <row r="53" spans="1:51" x14ac:dyDescent="0.25">
      <c r="A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 s="5">
        <f ca="1">IFERROR(__xludf.DUMMYFUNCTION("""COMPUTED_VALUE"""),52)</f>
        <v>52</v>
      </c>
      <c r="C53" s="5">
        <f ca="1">IFERROR(__xludf.DUMMYFUNCTION("""COMPUTED_VALUE"""),51)</f>
        <v>51</v>
      </c>
      <c r="D53" s="5" t="str">
        <f ca="1">IFERROR(__xludf.DUMMYFUNCTION("""COMPUTED_VALUE"""),"KatanasOfTime")</f>
        <v>KatanasOfTime</v>
      </c>
      <c r="E53" s="5" t="str">
        <f ca="1">IFERROR(__xludf.DUMMYFUNCTION("""COMPUTED_VALUE"""),"Yes")</f>
        <v>Yes</v>
      </c>
      <c r="F53" s="5" t="str">
        <f ca="1">IFERROR(__xludf.DUMMYFUNCTION("""COMPUTED_VALUE"""),"Yes")</f>
        <v>Yes</v>
      </c>
      <c r="G53" s="5" t="str">
        <f ca="1">IFERROR(__xludf.DUMMYFUNCTION("""COMPUTED_VALUE"""),"Yes")</f>
        <v>Yes</v>
      </c>
      <c r="H53" s="5" t="str">
        <f ca="1">IFERROR(__xludf.DUMMYFUNCTION("""COMPUTED_VALUE"""),"Yes")</f>
        <v>Yes</v>
      </c>
      <c r="I53" s="5" t="str">
        <f ca="1">IFERROR(__xludf.DUMMYFUNCTION("""COMPUTED_VALUE"""),"Yes")</f>
        <v>Yes</v>
      </c>
      <c r="J53" s="5" t="str">
        <f ca="1">IFERROR(__xludf.DUMMYFUNCTION("""COMPUTED_VALUE"""),"Yes")</f>
        <v>Yes</v>
      </c>
      <c r="K53" s="5" t="str">
        <f ca="1">IFERROR(__xludf.DUMMYFUNCTION("""COMPUTED_VALUE"""),"Yes")</f>
        <v>Yes</v>
      </c>
      <c r="L53" s="5" t="str">
        <f ca="1">IFERROR(__xludf.DUMMYFUNCTION("""COMPUTED_VALUE"""),"Yes")</f>
        <v>Yes</v>
      </c>
      <c r="M53" s="5" t="str">
        <f ca="1">IFERROR(__xludf.DUMMYFUNCTION("""COMPUTED_VALUE"""),"Yes")</f>
        <v>Yes</v>
      </c>
      <c r="N53" s="5" t="str">
        <f ca="1">IFERROR(__xludf.DUMMYFUNCTION("""COMPUTED_VALUE"""),"Yes")</f>
        <v>Yes</v>
      </c>
      <c r="O53" s="5" t="str">
        <f ca="1">IFERROR(__xludf.DUMMYFUNCTION("""COMPUTED_VALUE"""),"Yes")</f>
        <v>Yes</v>
      </c>
      <c r="P53" s="5" t="str">
        <f ca="1">IFERROR(__xludf.DUMMYFUNCTION("""COMPUTED_VALUE"""),"Yes")</f>
        <v>Yes</v>
      </c>
      <c r="Q53" s="5" t="str">
        <f ca="1">IFERROR(__xludf.DUMMYFUNCTION("""COMPUTED_VALUE"""),"Yes")</f>
        <v>Yes</v>
      </c>
      <c r="R53" s="5" t="str">
        <f ca="1">IFERROR(__xludf.DUMMYFUNCTION("""COMPUTED_VALUE"""),"Yes")</f>
        <v>Yes</v>
      </c>
      <c r="S53" s="5" t="str">
        <f ca="1">IFERROR(__xludf.DUMMYFUNCTION("""COMPUTED_VALUE"""),"Yes")</f>
        <v>Yes</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IFERROR(__xludf.DUMMYFUNCTION("""COMPUTED_VALUE"""),"No")</f>
        <v>No</v>
      </c>
      <c r="AA53" s="5" t="str">
        <f ca="1">IFERROR(__xludf.DUMMYFUNCTION("""COMPUTED_VALUE"""),"Yes")</f>
        <v>Yes</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IFERROR(__xludf.DUMMYFUNCTION("""COMPUTED_VALUE"""),"No")</f>
        <v>No</v>
      </c>
      <c r="AF53" s="5" t="str">
        <f ca="1">IFERROR(__xludf.DUMMYFUNCTION("""COMPUTED_VALUE"""),"Yes")</f>
        <v>Yes</v>
      </c>
      <c r="AG53" s="5" t="str">
        <f ca="1">IFERROR(__xludf.DUMMYFUNCTION("""COMPUTED_VALUE"""),"No")</f>
        <v>No</v>
      </c>
      <c r="AH53" s="5" t="str">
        <f ca="1">IFERROR(__xludf.DUMMYFUNCTION("""COMPUTED_VALUE"""),"No")</f>
        <v>No</v>
      </c>
      <c r="AI53" s="5" t="str">
        <f ca="1">IFERROR(__xludf.DUMMYFUNCTION("""COMPUTED_VALUE"""),"No")</f>
        <v>No</v>
      </c>
      <c r="AJ53" s="5" t="str">
        <f ca="1">IFERROR(__xludf.DUMMYFUNCTION("""COMPUTED_VALUE"""),"No")</f>
        <v>No</v>
      </c>
      <c r="AK53" s="5" t="str">
        <f ca="1">IFERROR(__xludf.DUMMYFUNCTION("""COMPUTED_VALUE"""),"No")</f>
        <v>No</v>
      </c>
      <c r="AL53" s="5" t="str">
        <f ca="1">IFERROR(__xludf.DUMMYFUNCTION("""COMPUTED_VALUE"""),"No")</f>
        <v>No</v>
      </c>
      <c r="AM53" s="5"/>
      <c r="AN53" s="5"/>
      <c r="AO53" s="5"/>
      <c r="AP53" s="5"/>
      <c r="AQ53" s="5"/>
      <c r="AR53" s="5"/>
      <c r="AS53" s="5"/>
      <c r="AT53" s="5"/>
      <c r="AU53" s="5"/>
      <c r="AV53" s="5"/>
      <c r="AW53" s="5"/>
      <c r="AX53" s="5"/>
      <c r="AY53" s="5"/>
    </row>
    <row r="54" spans="1:51" x14ac:dyDescent="0.25">
      <c r="A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 s="5">
        <f ca="1">IFERROR(__xludf.DUMMYFUNCTION("""COMPUTED_VALUE"""),53)</f>
        <v>53</v>
      </c>
      <c r="C54" s="5">
        <f ca="1">IFERROR(__xludf.DUMMYFUNCTION("""COMPUTED_VALUE"""),52)</f>
        <v>52</v>
      </c>
      <c r="D54" s="5" t="str">
        <f ca="1">IFERROR(__xludf.DUMMYFUNCTION("""COMPUTED_VALUE"""),"Retro7Hot")</f>
        <v>Retro7Hot</v>
      </c>
      <c r="E54" s="5" t="str">
        <f ca="1">IFERROR(__xludf.DUMMYFUNCTION("""COMPUTED_VALUE"""),"Yes")</f>
        <v>Yes</v>
      </c>
      <c r="F54" s="5" t="str">
        <f ca="1">IFERROR(__xludf.DUMMYFUNCTION("""COMPUTED_VALUE"""),"Yes")</f>
        <v>Yes</v>
      </c>
      <c r="G54" s="5" t="str">
        <f ca="1">IFERROR(__xludf.DUMMYFUNCTION("""COMPUTED_VALUE"""),"Yes")</f>
        <v>Yes</v>
      </c>
      <c r="H54" s="5" t="str">
        <f ca="1">IFERROR(__xludf.DUMMYFUNCTION("""COMPUTED_VALUE"""),"Yes")</f>
        <v>Yes</v>
      </c>
      <c r="I54" s="5" t="str">
        <f ca="1">IFERROR(__xludf.DUMMYFUNCTION("""COMPUTED_VALUE"""),"Yes")</f>
        <v>Yes</v>
      </c>
      <c r="J54" s="5" t="str">
        <f ca="1">IFERROR(__xludf.DUMMYFUNCTION("""COMPUTED_VALUE"""),"Yes")</f>
        <v>Yes</v>
      </c>
      <c r="K54" s="5" t="str">
        <f ca="1">IFERROR(__xludf.DUMMYFUNCTION("""COMPUTED_VALUE"""),"Yes")</f>
        <v>Yes</v>
      </c>
      <c r="L54" s="5" t="str">
        <f ca="1">IFERROR(__xludf.DUMMYFUNCTION("""COMPUTED_VALUE"""),"Yes")</f>
        <v>Yes</v>
      </c>
      <c r="M54" s="5" t="str">
        <f ca="1">IFERROR(__xludf.DUMMYFUNCTION("""COMPUTED_VALUE"""),"Yes")</f>
        <v>Yes</v>
      </c>
      <c r="N54" s="5" t="str">
        <f ca="1">IFERROR(__xludf.DUMMYFUNCTION("""COMPUTED_VALUE"""),"Yes")</f>
        <v>Yes</v>
      </c>
      <c r="O54" s="5" t="str">
        <f ca="1">IFERROR(__xludf.DUMMYFUNCTION("""COMPUTED_VALUE"""),"Yes")</f>
        <v>Yes</v>
      </c>
      <c r="P54" s="5" t="str">
        <f ca="1">IFERROR(__xludf.DUMMYFUNCTION("""COMPUTED_VALUE"""),"Yes")</f>
        <v>Yes</v>
      </c>
      <c r="Q54" s="5" t="str">
        <f ca="1">IFERROR(__xludf.DUMMYFUNCTION("""COMPUTED_VALUE"""),"Yes")</f>
        <v>Yes</v>
      </c>
      <c r="R54" s="5" t="str">
        <f ca="1">IFERROR(__xludf.DUMMYFUNCTION("""COMPUTED_VALUE"""),"Yes")</f>
        <v>Yes</v>
      </c>
      <c r="S54" s="5" t="str">
        <f ca="1">IFERROR(__xludf.DUMMYFUNCTION("""COMPUTED_VALUE"""),"Yes")</f>
        <v>Yes</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IFERROR(__xludf.DUMMYFUNCTION("""COMPUTED_VALUE"""),"Yes")</f>
        <v>Yes</v>
      </c>
      <c r="X54" s="5" t="str">
        <f ca="1">IFERROR(__xludf.DUMMYFUNCTION("""COMPUTED_VALUE"""),"Yes")</f>
        <v>Yes</v>
      </c>
      <c r="Y54" s="5" t="str">
        <f ca="1">IFERROR(__xludf.DUMMYFUNCTION("""COMPUTED_VALUE"""),"Yes")</f>
        <v>Yes</v>
      </c>
      <c r="Z54" s="5" t="str">
        <f ca="1">IFERROR(__xludf.DUMMYFUNCTION("""COMPUTED_VALUE"""),"No")</f>
        <v>No</v>
      </c>
      <c r="AA54" s="5" t="str">
        <f ca="1">IFERROR(__xludf.DUMMYFUNCTION("""COMPUTED_VALUE"""),"Yes")</f>
        <v>Yes</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IFERROR(__xludf.DUMMYFUNCTION("""COMPUTED_VALUE"""),"No")</f>
        <v>No</v>
      </c>
      <c r="AF54" s="5" t="str">
        <f ca="1">IFERROR(__xludf.DUMMYFUNCTION("""COMPUTED_VALUE"""),"Yes")</f>
        <v>Yes</v>
      </c>
      <c r="AG54" s="5" t="str">
        <f ca="1">IFERROR(__xludf.DUMMYFUNCTION("""COMPUTED_VALUE"""),"No")</f>
        <v>No</v>
      </c>
      <c r="AH54" s="5" t="str">
        <f ca="1">IFERROR(__xludf.DUMMYFUNCTION("""COMPUTED_VALUE"""),"No")</f>
        <v>No</v>
      </c>
      <c r="AI54" s="5" t="str">
        <f ca="1">IFERROR(__xludf.DUMMYFUNCTION("""COMPUTED_VALUE"""),"No")</f>
        <v>No</v>
      </c>
      <c r="AJ54" s="5" t="str">
        <f ca="1">IFERROR(__xludf.DUMMYFUNCTION("""COMPUTED_VALUE"""),"No")</f>
        <v>No</v>
      </c>
      <c r="AK54" s="5" t="str">
        <f ca="1">IFERROR(__xludf.DUMMYFUNCTION("""COMPUTED_VALUE"""),"No")</f>
        <v>No</v>
      </c>
      <c r="AL54" s="5" t="str">
        <f ca="1">IFERROR(__xludf.DUMMYFUNCTION("""COMPUTED_VALUE"""),"No")</f>
        <v>No</v>
      </c>
      <c r="AM54" s="5"/>
      <c r="AN54" s="5"/>
      <c r="AO54" s="5"/>
      <c r="AP54" s="5"/>
      <c r="AQ54" s="5"/>
      <c r="AR54" s="5"/>
      <c r="AS54" s="5"/>
      <c r="AT54" s="5"/>
      <c r="AU54" s="5"/>
      <c r="AV54" s="5"/>
      <c r="AW54" s="5"/>
      <c r="AX54" s="5"/>
      <c r="AY54" s="5"/>
    </row>
    <row r="55" spans="1:51" x14ac:dyDescent="0.25">
      <c r="A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 s="5">
        <f ca="1">IFERROR(__xludf.DUMMYFUNCTION("""COMPUTED_VALUE"""),54)</f>
        <v>54</v>
      </c>
      <c r="C55" s="5">
        <f ca="1">IFERROR(__xludf.DUMMYFUNCTION("""COMPUTED_VALUE"""),53)</f>
        <v>53</v>
      </c>
      <c r="D55" s="5" t="str">
        <f ca="1">IFERROR(__xludf.DUMMYFUNCTION("""COMPUTED_VALUE"""),"VipRoulette")</f>
        <v>VipRoulette</v>
      </c>
      <c r="E55" s="5" t="str">
        <f ca="1">IFERROR(__xludf.DUMMYFUNCTION("""COMPUTED_VALUE"""),"Yes")</f>
        <v>Yes</v>
      </c>
      <c r="F55" s="5" t="str">
        <f ca="1">IFERROR(__xludf.DUMMYFUNCTION("""COMPUTED_VALUE"""),"Yes")</f>
        <v>Yes</v>
      </c>
      <c r="G55" s="5" t="str">
        <f ca="1">IFERROR(__xludf.DUMMYFUNCTION("""COMPUTED_VALUE"""),"Yes")</f>
        <v>Yes</v>
      </c>
      <c r="H55" s="5" t="str">
        <f ca="1">IFERROR(__xludf.DUMMYFUNCTION("""COMPUTED_VALUE"""),"Yes")</f>
        <v>Yes</v>
      </c>
      <c r="I55" s="5" t="str">
        <f ca="1">IFERROR(__xludf.DUMMYFUNCTION("""COMPUTED_VALUE"""),"Yes")</f>
        <v>Yes</v>
      </c>
      <c r="J55" s="5" t="str">
        <f ca="1">IFERROR(__xludf.DUMMYFUNCTION("""COMPUTED_VALUE"""),"Yes")</f>
        <v>Yes</v>
      </c>
      <c r="K55" s="5" t="str">
        <f ca="1">IFERROR(__xludf.DUMMYFUNCTION("""COMPUTED_VALUE"""),"Yes")</f>
        <v>Yes</v>
      </c>
      <c r="L55" s="5" t="str">
        <f ca="1">IFERROR(__xludf.DUMMYFUNCTION("""COMPUTED_VALUE"""),"Yes")</f>
        <v>Yes</v>
      </c>
      <c r="M55" s="5" t="str">
        <f ca="1">IFERROR(__xludf.DUMMYFUNCTION("""COMPUTED_VALUE"""),"Yes")</f>
        <v>Yes</v>
      </c>
      <c r="N55" s="5" t="str">
        <f ca="1">IFERROR(__xludf.DUMMYFUNCTION("""COMPUTED_VALUE"""),"Yes")</f>
        <v>Yes</v>
      </c>
      <c r="O55" s="5" t="str">
        <f ca="1">IFERROR(__xludf.DUMMYFUNCTION("""COMPUTED_VALUE"""),"Yes")</f>
        <v>Yes</v>
      </c>
      <c r="P55" s="5" t="str">
        <f ca="1">IFERROR(__xludf.DUMMYFUNCTION("""COMPUTED_VALUE"""),"Yes")</f>
        <v>Yes</v>
      </c>
      <c r="Q55" s="5" t="str">
        <f ca="1">IFERROR(__xludf.DUMMYFUNCTION("""COMPUTED_VALUE"""),"Yes")</f>
        <v>Yes</v>
      </c>
      <c r="R55" s="5" t="str">
        <f ca="1">IFERROR(__xludf.DUMMYFUNCTION("""COMPUTED_VALUE"""),"Yes")</f>
        <v>Yes</v>
      </c>
      <c r="S55" s="5" t="str">
        <f ca="1">IFERROR(__xludf.DUMMYFUNCTION("""COMPUTED_VALUE"""),"Yes")</f>
        <v>Yes</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IFERROR(__xludf.DUMMYFUNCTION("""COMPUTED_VALUE"""),"No")</f>
        <v>No</v>
      </c>
      <c r="AA55" s="5" t="str">
        <f ca="1">IFERROR(__xludf.DUMMYFUNCTION("""COMPUTED_VALUE"""),"Yes")</f>
        <v>Yes</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IFERROR(__xludf.DUMMYFUNCTION("""COMPUTED_VALUE"""),"No")</f>
        <v>No</v>
      </c>
      <c r="AF55" s="5" t="str">
        <f ca="1">IFERROR(__xludf.DUMMYFUNCTION("""COMPUTED_VALUE"""),"Yes")</f>
        <v>Yes</v>
      </c>
      <c r="AG55" s="5" t="str">
        <f ca="1">IFERROR(__xludf.DUMMYFUNCTION("""COMPUTED_VALUE"""),"No")</f>
        <v>No</v>
      </c>
      <c r="AH55" s="5" t="str">
        <f ca="1">IFERROR(__xludf.DUMMYFUNCTION("""COMPUTED_VALUE"""),"No")</f>
        <v>No</v>
      </c>
      <c r="AI55" s="5" t="str">
        <f ca="1">IFERROR(__xludf.DUMMYFUNCTION("""COMPUTED_VALUE"""),"No")</f>
        <v>No</v>
      </c>
      <c r="AJ55" s="5" t="str">
        <f ca="1">IFERROR(__xludf.DUMMYFUNCTION("""COMPUTED_VALUE"""),"No")</f>
        <v>No</v>
      </c>
      <c r="AK55" s="5" t="str">
        <f ca="1">IFERROR(__xludf.DUMMYFUNCTION("""COMPUTED_VALUE"""),"No")</f>
        <v>No</v>
      </c>
      <c r="AL55" s="5" t="str">
        <f ca="1">IFERROR(__xludf.DUMMYFUNCTION("""COMPUTED_VALUE"""),"No")</f>
        <v>No</v>
      </c>
      <c r="AM55" s="5"/>
      <c r="AN55" s="5"/>
      <c r="AO55" s="5"/>
      <c r="AP55" s="5"/>
      <c r="AQ55" s="5"/>
      <c r="AR55" s="5"/>
      <c r="AS55" s="5"/>
      <c r="AT55" s="5"/>
      <c r="AU55" s="5"/>
      <c r="AV55" s="5"/>
      <c r="AW55" s="5"/>
      <c r="AX55" s="5"/>
      <c r="AY55" s="5"/>
    </row>
    <row r="56" spans="1:51" x14ac:dyDescent="0.25">
      <c r="A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6" s="5">
        <f ca="1">IFERROR(__xludf.DUMMYFUNCTION("""COMPUTED_VALUE"""),55)</f>
        <v>55</v>
      </c>
      <c r="C56" s="5">
        <f ca="1">IFERROR(__xludf.DUMMYFUNCTION("""COMPUTED_VALUE"""),54)</f>
        <v>54</v>
      </c>
      <c r="D56" s="5" t="str">
        <f ca="1">IFERROR(__xludf.DUMMYFUNCTION("""COMPUTED_VALUE"""),"StarRunner")</f>
        <v>StarRunner</v>
      </c>
      <c r="E56" s="5" t="str">
        <f ca="1">IFERROR(__xludf.DUMMYFUNCTION("""COMPUTED_VALUE"""),"Yes")</f>
        <v>Yes</v>
      </c>
      <c r="F56" s="5" t="str">
        <f ca="1">IFERROR(__xludf.DUMMYFUNCTION("""COMPUTED_VALUE"""),"Yes")</f>
        <v>Yes</v>
      </c>
      <c r="G56" s="5" t="str">
        <f ca="1">IFERROR(__xludf.DUMMYFUNCTION("""COMPUTED_VALUE"""),"Yes")</f>
        <v>Yes</v>
      </c>
      <c r="H56" s="5" t="str">
        <f ca="1">IFERROR(__xludf.DUMMYFUNCTION("""COMPUTED_VALUE"""),"Yes")</f>
        <v>Yes</v>
      </c>
      <c r="I56" s="5" t="str">
        <f ca="1">IFERROR(__xludf.DUMMYFUNCTION("""COMPUTED_VALUE"""),"Yes")</f>
        <v>Yes</v>
      </c>
      <c r="J56" s="5" t="str">
        <f ca="1">IFERROR(__xludf.DUMMYFUNCTION("""COMPUTED_VALUE"""),"Yes")</f>
        <v>Yes</v>
      </c>
      <c r="K56" s="5" t="str">
        <f ca="1">IFERROR(__xludf.DUMMYFUNCTION("""COMPUTED_VALUE"""),"Yes")</f>
        <v>Yes</v>
      </c>
      <c r="L56" s="5" t="str">
        <f ca="1">IFERROR(__xludf.DUMMYFUNCTION("""COMPUTED_VALUE"""),"Yes")</f>
        <v>Yes</v>
      </c>
      <c r="M56" s="5" t="str">
        <f ca="1">IFERROR(__xludf.DUMMYFUNCTION("""COMPUTED_VALUE"""),"Yes")</f>
        <v>Yes</v>
      </c>
      <c r="N56" s="5" t="str">
        <f ca="1">IFERROR(__xludf.DUMMYFUNCTION("""COMPUTED_VALUE"""),"Yes")</f>
        <v>Yes</v>
      </c>
      <c r="O56" s="5" t="str">
        <f ca="1">IFERROR(__xludf.DUMMYFUNCTION("""COMPUTED_VALUE"""),"Yes")</f>
        <v>Yes</v>
      </c>
      <c r="P56" s="5" t="str">
        <f ca="1">IFERROR(__xludf.DUMMYFUNCTION("""COMPUTED_VALUE"""),"Yes")</f>
        <v>Yes</v>
      </c>
      <c r="Q56" s="5" t="str">
        <f ca="1">IFERROR(__xludf.DUMMYFUNCTION("""COMPUTED_VALUE"""),"Yes")</f>
        <v>Yes</v>
      </c>
      <c r="R56" s="5" t="str">
        <f ca="1">IFERROR(__xludf.DUMMYFUNCTION("""COMPUTED_VALUE"""),"Yes")</f>
        <v>Yes</v>
      </c>
      <c r="S56" s="5" t="str">
        <f ca="1">IFERROR(__xludf.DUMMYFUNCTION("""COMPUTED_VALUE"""),"Yes")</f>
        <v>Yes</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IFERROR(__xludf.DUMMYFUNCTION("""COMPUTED_VALUE"""),"No")</f>
        <v>No</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IFERROR(__xludf.DUMMYFUNCTION("""COMPUTED_VALUE"""),"No")</f>
        <v>No</v>
      </c>
      <c r="AF56" s="5" t="str">
        <f ca="1">IFERROR(__xludf.DUMMYFUNCTION("""COMPUTED_VALUE"""),"Yes")</f>
        <v>Yes</v>
      </c>
      <c r="AG56" s="5" t="str">
        <f ca="1">IFERROR(__xludf.DUMMYFUNCTION("""COMPUTED_VALUE"""),"No")</f>
        <v>No</v>
      </c>
      <c r="AH56" s="5" t="str">
        <f ca="1">IFERROR(__xludf.DUMMYFUNCTION("""COMPUTED_VALUE"""),"No")</f>
        <v>No</v>
      </c>
      <c r="AI56" s="5" t="str">
        <f ca="1">IFERROR(__xludf.DUMMYFUNCTION("""COMPUTED_VALUE"""),"No")</f>
        <v>No</v>
      </c>
      <c r="AJ56" s="5" t="str">
        <f ca="1">IFERROR(__xludf.DUMMYFUNCTION("""COMPUTED_VALUE"""),"No")</f>
        <v>No</v>
      </c>
      <c r="AK56" s="5" t="str">
        <f ca="1">IFERROR(__xludf.DUMMYFUNCTION("""COMPUTED_VALUE"""),"No")</f>
        <v>No</v>
      </c>
      <c r="AL56" s="5" t="str">
        <f ca="1">IFERROR(__xludf.DUMMYFUNCTION("""COMPUTED_VALUE"""),"No")</f>
        <v>No</v>
      </c>
      <c r="AM56" s="5"/>
      <c r="AN56" s="5"/>
      <c r="AO56" s="5"/>
      <c r="AP56" s="5"/>
      <c r="AQ56" s="5"/>
      <c r="AR56" s="5"/>
      <c r="AS56" s="5"/>
      <c r="AT56" s="5"/>
      <c r="AU56" s="5"/>
      <c r="AV56" s="5"/>
      <c r="AW56" s="5"/>
      <c r="AX56" s="5"/>
      <c r="AY56" s="5"/>
    </row>
    <row r="57" spans="1:51" x14ac:dyDescent="0.25">
      <c r="A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7" s="5">
        <f ca="1">IFERROR(__xludf.DUMMYFUNCTION("""COMPUTED_VALUE"""),56)</f>
        <v>56</v>
      </c>
      <c r="C57" s="5">
        <f ca="1">IFERROR(__xludf.DUMMYFUNCTION("""COMPUTED_VALUE"""),55)</f>
        <v>55</v>
      </c>
      <c r="D57" s="5" t="str">
        <f ca="1">IFERROR(__xludf.DUMMYFUNCTION("""COMPUTED_VALUE"""),"AlohaCharm")</f>
        <v>AlohaCharm</v>
      </c>
      <c r="E57" s="5" t="str">
        <f ca="1">IFERROR(__xludf.DUMMYFUNCTION("""COMPUTED_VALUE"""),"Yes")</f>
        <v>Yes</v>
      </c>
      <c r="F57" s="5" t="str">
        <f ca="1">IFERROR(__xludf.DUMMYFUNCTION("""COMPUTED_VALUE"""),"Yes")</f>
        <v>Yes</v>
      </c>
      <c r="G57" s="5" t="str">
        <f ca="1">IFERROR(__xludf.DUMMYFUNCTION("""COMPUTED_VALUE"""),"Yes")</f>
        <v>Yes</v>
      </c>
      <c r="H57" s="5" t="str">
        <f ca="1">IFERROR(__xludf.DUMMYFUNCTION("""COMPUTED_VALUE"""),"Yes")</f>
        <v>Yes</v>
      </c>
      <c r="I57" s="5" t="str">
        <f ca="1">IFERROR(__xludf.DUMMYFUNCTION("""COMPUTED_VALUE"""),"Yes")</f>
        <v>Yes</v>
      </c>
      <c r="J57" s="5" t="str">
        <f ca="1">IFERROR(__xludf.DUMMYFUNCTION("""COMPUTED_VALUE"""),"Yes")</f>
        <v>Yes</v>
      </c>
      <c r="K57" s="5" t="str">
        <f ca="1">IFERROR(__xludf.DUMMYFUNCTION("""COMPUTED_VALUE"""),"Yes")</f>
        <v>Yes</v>
      </c>
      <c r="L57" s="5" t="str">
        <f ca="1">IFERROR(__xludf.DUMMYFUNCTION("""COMPUTED_VALUE"""),"Yes")</f>
        <v>Yes</v>
      </c>
      <c r="M57" s="5" t="str">
        <f ca="1">IFERROR(__xludf.DUMMYFUNCTION("""COMPUTED_VALUE"""),"Yes")</f>
        <v>Yes</v>
      </c>
      <c r="N57" s="5" t="str">
        <f ca="1">IFERROR(__xludf.DUMMYFUNCTION("""COMPUTED_VALUE"""),"Yes")</f>
        <v>Yes</v>
      </c>
      <c r="O57" s="5" t="str">
        <f ca="1">IFERROR(__xludf.DUMMYFUNCTION("""COMPUTED_VALUE"""),"Yes")</f>
        <v>Yes</v>
      </c>
      <c r="P57" s="5" t="str">
        <f ca="1">IFERROR(__xludf.DUMMYFUNCTION("""COMPUTED_VALUE"""),"Yes")</f>
        <v>Yes</v>
      </c>
      <c r="Q57" s="5" t="str">
        <f ca="1">IFERROR(__xludf.DUMMYFUNCTION("""COMPUTED_VALUE"""),"Yes")</f>
        <v>Yes</v>
      </c>
      <c r="R57" s="5" t="str">
        <f ca="1">IFERROR(__xludf.DUMMYFUNCTION("""COMPUTED_VALUE"""),"Yes")</f>
        <v>Yes</v>
      </c>
      <c r="S57" s="5" t="str">
        <f ca="1">IFERROR(__xludf.DUMMYFUNCTION("""COMPUTED_VALUE"""),"Yes")</f>
        <v>Yes</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IFERROR(__xludf.DUMMYFUNCTION("""COMPUTED_VALUE"""),"No")</f>
        <v>No</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IFERROR(__xludf.DUMMYFUNCTION("""COMPUTED_VALUE"""),"No")</f>
        <v>No</v>
      </c>
      <c r="AF57" s="5" t="str">
        <f ca="1">IFERROR(__xludf.DUMMYFUNCTION("""COMPUTED_VALUE"""),"Yes")</f>
        <v>Yes</v>
      </c>
      <c r="AG57" s="5" t="str">
        <f ca="1">IFERROR(__xludf.DUMMYFUNCTION("""COMPUTED_VALUE"""),"No")</f>
        <v>No</v>
      </c>
      <c r="AH57" s="5" t="str">
        <f ca="1">IFERROR(__xludf.DUMMYFUNCTION("""COMPUTED_VALUE"""),"No")</f>
        <v>No</v>
      </c>
      <c r="AI57" s="5" t="str">
        <f ca="1">IFERROR(__xludf.DUMMYFUNCTION("""COMPUTED_VALUE"""),"No")</f>
        <v>No</v>
      </c>
      <c r="AJ57" s="5" t="str">
        <f ca="1">IFERROR(__xludf.DUMMYFUNCTION("""COMPUTED_VALUE"""),"No")</f>
        <v>No</v>
      </c>
      <c r="AK57" s="5" t="str">
        <f ca="1">IFERROR(__xludf.DUMMYFUNCTION("""COMPUTED_VALUE"""),"No")</f>
        <v>No</v>
      </c>
      <c r="AL57" s="5" t="str">
        <f ca="1">IFERROR(__xludf.DUMMYFUNCTION("""COMPUTED_VALUE"""),"No")</f>
        <v>No</v>
      </c>
      <c r="AM57" s="5"/>
      <c r="AN57" s="5"/>
      <c r="AO57" s="5"/>
      <c r="AP57" s="5"/>
      <c r="AQ57" s="5"/>
      <c r="AR57" s="5"/>
      <c r="AS57" s="5"/>
      <c r="AT57" s="5"/>
      <c r="AU57" s="5"/>
      <c r="AV57" s="5"/>
      <c r="AW57" s="5"/>
      <c r="AX57" s="5"/>
      <c r="AY57" s="5"/>
    </row>
    <row r="58" spans="1:51" x14ac:dyDescent="0.25">
      <c r="A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 s="5">
        <f ca="1">IFERROR(__xludf.DUMMYFUNCTION("""COMPUTED_VALUE"""),57)</f>
        <v>57</v>
      </c>
      <c r="C58" s="5">
        <f ca="1">IFERROR(__xludf.DUMMYFUNCTION("""COMPUTED_VALUE"""),56)</f>
        <v>56</v>
      </c>
      <c r="D58" s="5" t="str">
        <f ca="1">IFERROR(__xludf.DUMMYFUNCTION("""COMPUTED_VALUE"""),"LuxRoulette")</f>
        <v>LuxRoulette</v>
      </c>
      <c r="E58" s="5" t="str">
        <f ca="1">IFERROR(__xludf.DUMMYFUNCTION("""COMPUTED_VALUE"""),"Yes")</f>
        <v>Yes</v>
      </c>
      <c r="F58" s="5" t="str">
        <f ca="1">IFERROR(__xludf.DUMMYFUNCTION("""COMPUTED_VALUE"""),"Yes")</f>
        <v>Yes</v>
      </c>
      <c r="G58" s="5" t="str">
        <f ca="1">IFERROR(__xludf.DUMMYFUNCTION("""COMPUTED_VALUE"""),"Yes")</f>
        <v>Yes</v>
      </c>
      <c r="H58" s="5" t="str">
        <f ca="1">IFERROR(__xludf.DUMMYFUNCTION("""COMPUTED_VALUE"""),"Yes")</f>
        <v>Yes</v>
      </c>
      <c r="I58" s="5" t="str">
        <f ca="1">IFERROR(__xludf.DUMMYFUNCTION("""COMPUTED_VALUE"""),"Yes")</f>
        <v>Yes</v>
      </c>
      <c r="J58" s="5" t="str">
        <f ca="1">IFERROR(__xludf.DUMMYFUNCTION("""COMPUTED_VALUE"""),"Yes")</f>
        <v>Yes</v>
      </c>
      <c r="K58" s="5" t="str">
        <f ca="1">IFERROR(__xludf.DUMMYFUNCTION("""COMPUTED_VALUE"""),"Yes")</f>
        <v>Yes</v>
      </c>
      <c r="L58" s="5" t="str">
        <f ca="1">IFERROR(__xludf.DUMMYFUNCTION("""COMPUTED_VALUE"""),"Yes")</f>
        <v>Yes</v>
      </c>
      <c r="M58" s="5" t="str">
        <f ca="1">IFERROR(__xludf.DUMMYFUNCTION("""COMPUTED_VALUE"""),"Yes")</f>
        <v>Yes</v>
      </c>
      <c r="N58" s="5" t="str">
        <f ca="1">IFERROR(__xludf.DUMMYFUNCTION("""COMPUTED_VALUE"""),"Yes")</f>
        <v>Yes</v>
      </c>
      <c r="O58" s="5" t="str">
        <f ca="1">IFERROR(__xludf.DUMMYFUNCTION("""COMPUTED_VALUE"""),"Yes")</f>
        <v>Yes</v>
      </c>
      <c r="P58" s="5" t="str">
        <f ca="1">IFERROR(__xludf.DUMMYFUNCTION("""COMPUTED_VALUE"""),"Yes")</f>
        <v>Yes</v>
      </c>
      <c r="Q58" s="5" t="str">
        <f ca="1">IFERROR(__xludf.DUMMYFUNCTION("""COMPUTED_VALUE"""),"Yes")</f>
        <v>Yes</v>
      </c>
      <c r="R58" s="5" t="str">
        <f ca="1">IFERROR(__xludf.DUMMYFUNCTION("""COMPUTED_VALUE"""),"Yes")</f>
        <v>Yes</v>
      </c>
      <c r="S58" s="5" t="str">
        <f ca="1">IFERROR(__xludf.DUMMYFUNCTION("""COMPUTED_VALUE"""),"Yes")</f>
        <v>Yes</v>
      </c>
      <c r="T58" s="5" t="str">
        <f ca="1">IFERROR(__xludf.DUMMYFUNCTION("""COMPUTED_VALUE"""),"Yes")</f>
        <v>Yes</v>
      </c>
      <c r="U58" s="5" t="str">
        <f ca="1">IFERROR(__xludf.DUMMYFUNCTION("""COMPUTED_VALUE"""),"Yes")</f>
        <v>Yes</v>
      </c>
      <c r="V58" s="5" t="str">
        <f ca="1">IFERROR(__xludf.DUMMYFUNCTION("""COMPUTED_VALUE"""),"Yes")</f>
        <v>Yes</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IFERROR(__xludf.DUMMYFUNCTION("""COMPUTED_VALUE"""),"No")</f>
        <v>No</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IFERROR(__xludf.DUMMYFUNCTION("""COMPUTED_VALUE"""),"No")</f>
        <v>No</v>
      </c>
      <c r="AF58" s="5" t="str">
        <f ca="1">IFERROR(__xludf.DUMMYFUNCTION("""COMPUTED_VALUE"""),"Yes")</f>
        <v>Yes</v>
      </c>
      <c r="AG58" s="5" t="str">
        <f ca="1">IFERROR(__xludf.DUMMYFUNCTION("""COMPUTED_VALUE"""),"No")</f>
        <v>No</v>
      </c>
      <c r="AH58" s="5" t="str">
        <f ca="1">IFERROR(__xludf.DUMMYFUNCTION("""COMPUTED_VALUE"""),"No")</f>
        <v>No</v>
      </c>
      <c r="AI58" s="5" t="str">
        <f ca="1">IFERROR(__xludf.DUMMYFUNCTION("""COMPUTED_VALUE"""),"No")</f>
        <v>No</v>
      </c>
      <c r="AJ58" s="5" t="str">
        <f ca="1">IFERROR(__xludf.DUMMYFUNCTION("""COMPUTED_VALUE"""),"No")</f>
        <v>No</v>
      </c>
      <c r="AK58" s="5" t="str">
        <f ca="1">IFERROR(__xludf.DUMMYFUNCTION("""COMPUTED_VALUE"""),"No")</f>
        <v>No</v>
      </c>
      <c r="AL58" s="5" t="str">
        <f ca="1">IFERROR(__xludf.DUMMYFUNCTION("""COMPUTED_VALUE"""),"No")</f>
        <v>No</v>
      </c>
      <c r="AM58" s="5"/>
      <c r="AN58" s="5"/>
      <c r="AO58" s="5"/>
      <c r="AP58" s="5"/>
      <c r="AQ58" s="5"/>
      <c r="AR58" s="5"/>
      <c r="AS58" s="5"/>
      <c r="AT58" s="5"/>
      <c r="AU58" s="5"/>
      <c r="AV58" s="5"/>
      <c r="AW58" s="5"/>
      <c r="AX58" s="5"/>
      <c r="AY58" s="5"/>
    </row>
    <row r="59" spans="1:51" x14ac:dyDescent="0.25">
      <c r="A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 s="5">
        <f ca="1">IFERROR(__xludf.DUMMYFUNCTION("""COMPUTED_VALUE"""),58)</f>
        <v>58</v>
      </c>
      <c r="C59" s="5">
        <f ca="1">IFERROR(__xludf.DUMMYFUNCTION("""COMPUTED_VALUE"""),57)</f>
        <v>57</v>
      </c>
      <c r="D59" s="5" t="str">
        <f ca="1">IFERROR(__xludf.DUMMYFUNCTION("""COMPUTED_VALUE"""),"FruitsAndStars40")</f>
        <v>FruitsAndStars40</v>
      </c>
      <c r="E59" s="5" t="str">
        <f ca="1">IFERROR(__xludf.DUMMYFUNCTION("""COMPUTED_VALUE"""),"Yes")</f>
        <v>Yes</v>
      </c>
      <c r="F59" s="5" t="str">
        <f ca="1">IFERROR(__xludf.DUMMYFUNCTION("""COMPUTED_VALUE"""),"Yes")</f>
        <v>Yes</v>
      </c>
      <c r="G59" s="5" t="str">
        <f ca="1">IFERROR(__xludf.DUMMYFUNCTION("""COMPUTED_VALUE"""),"Yes")</f>
        <v>Yes</v>
      </c>
      <c r="H59" s="5" t="str">
        <f ca="1">IFERROR(__xludf.DUMMYFUNCTION("""COMPUTED_VALUE"""),"Yes")</f>
        <v>Yes</v>
      </c>
      <c r="I59" s="5" t="str">
        <f ca="1">IFERROR(__xludf.DUMMYFUNCTION("""COMPUTED_VALUE"""),"Yes")</f>
        <v>Yes</v>
      </c>
      <c r="J59" s="5" t="str">
        <f ca="1">IFERROR(__xludf.DUMMYFUNCTION("""COMPUTED_VALUE"""),"Yes")</f>
        <v>Yes</v>
      </c>
      <c r="K59" s="5" t="str">
        <f ca="1">IFERROR(__xludf.DUMMYFUNCTION("""COMPUTED_VALUE"""),"Yes")</f>
        <v>Yes</v>
      </c>
      <c r="L59" s="5" t="str">
        <f ca="1">IFERROR(__xludf.DUMMYFUNCTION("""COMPUTED_VALUE"""),"Yes")</f>
        <v>Yes</v>
      </c>
      <c r="M59" s="5" t="str">
        <f ca="1">IFERROR(__xludf.DUMMYFUNCTION("""COMPUTED_VALUE"""),"Yes")</f>
        <v>Yes</v>
      </c>
      <c r="N59" s="5" t="str">
        <f ca="1">IFERROR(__xludf.DUMMYFUNCTION("""COMPUTED_VALUE"""),"Yes")</f>
        <v>Yes</v>
      </c>
      <c r="O59" s="5" t="str">
        <f ca="1">IFERROR(__xludf.DUMMYFUNCTION("""COMPUTED_VALUE"""),"Yes")</f>
        <v>Yes</v>
      </c>
      <c r="P59" s="5" t="str">
        <f ca="1">IFERROR(__xludf.DUMMYFUNCTION("""COMPUTED_VALUE"""),"Yes")</f>
        <v>Yes</v>
      </c>
      <c r="Q59" s="5" t="str">
        <f ca="1">IFERROR(__xludf.DUMMYFUNCTION("""COMPUTED_VALUE"""),"Yes")</f>
        <v>Yes</v>
      </c>
      <c r="R59" s="5" t="str">
        <f ca="1">IFERROR(__xludf.DUMMYFUNCTION("""COMPUTED_VALUE"""),"Yes")</f>
        <v>Yes</v>
      </c>
      <c r="S59" s="5" t="str">
        <f ca="1">IFERROR(__xludf.DUMMYFUNCTION("""COMPUTED_VALUE"""),"Yes")</f>
        <v>Yes</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IFERROR(__xludf.DUMMYFUNCTION("""COMPUTED_VALUE"""),"No")</f>
        <v>No</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IFERROR(__xludf.DUMMYFUNCTION("""COMPUTED_VALUE"""),"No")</f>
        <v>No</v>
      </c>
      <c r="AF59" s="5" t="str">
        <f ca="1">IFERROR(__xludf.DUMMYFUNCTION("""COMPUTED_VALUE"""),"Yes")</f>
        <v>Yes</v>
      </c>
      <c r="AG59" s="5" t="str">
        <f ca="1">IFERROR(__xludf.DUMMYFUNCTION("""COMPUTED_VALUE"""),"No")</f>
        <v>No</v>
      </c>
      <c r="AH59" s="5" t="str">
        <f ca="1">IFERROR(__xludf.DUMMYFUNCTION("""COMPUTED_VALUE"""),"No")</f>
        <v>No</v>
      </c>
      <c r="AI59" s="5" t="str">
        <f ca="1">IFERROR(__xludf.DUMMYFUNCTION("""COMPUTED_VALUE"""),"No")</f>
        <v>No</v>
      </c>
      <c r="AJ59" s="5" t="str">
        <f ca="1">IFERROR(__xludf.DUMMYFUNCTION("""COMPUTED_VALUE"""),"No")</f>
        <v>No</v>
      </c>
      <c r="AK59" s="5" t="str">
        <f ca="1">IFERROR(__xludf.DUMMYFUNCTION("""COMPUTED_VALUE"""),"No")</f>
        <v>No</v>
      </c>
      <c r="AL59" s="5" t="str">
        <f ca="1">IFERROR(__xludf.DUMMYFUNCTION("""COMPUTED_VALUE"""),"No")</f>
        <v>No</v>
      </c>
      <c r="AM59" s="5"/>
      <c r="AN59" s="5"/>
      <c r="AO59" s="5"/>
      <c r="AP59" s="5"/>
      <c r="AQ59" s="5"/>
      <c r="AR59" s="5"/>
      <c r="AS59" s="5"/>
      <c r="AT59" s="5"/>
      <c r="AU59" s="5"/>
      <c r="AV59" s="5"/>
      <c r="AW59" s="5"/>
      <c r="AX59" s="5"/>
      <c r="AY59" s="5"/>
    </row>
    <row r="60" spans="1:51" x14ac:dyDescent="0.25">
      <c r="A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 s="5">
        <f ca="1">IFERROR(__xludf.DUMMYFUNCTION("""COMPUTED_VALUE"""),59)</f>
        <v>59</v>
      </c>
      <c r="C60" s="5">
        <f ca="1">IFERROR(__xludf.DUMMYFUNCTION("""COMPUTED_VALUE"""),58)</f>
        <v>58</v>
      </c>
      <c r="D60" s="5" t="str">
        <f ca="1">IFERROR(__xludf.DUMMYFUNCTION("""COMPUTED_VALUE"""),"TwinklingHot5")</f>
        <v>TwinklingHot5</v>
      </c>
      <c r="E60" s="5" t="str">
        <f ca="1">IFERROR(__xludf.DUMMYFUNCTION("""COMPUTED_VALUE"""),"Yes")</f>
        <v>Yes</v>
      </c>
      <c r="F60" s="5" t="str">
        <f ca="1">IFERROR(__xludf.DUMMYFUNCTION("""COMPUTED_VALUE"""),"Yes")</f>
        <v>Yes</v>
      </c>
      <c r="G60" s="5" t="str">
        <f ca="1">IFERROR(__xludf.DUMMYFUNCTION("""COMPUTED_VALUE"""),"Yes")</f>
        <v>Yes</v>
      </c>
      <c r="H60" s="5" t="str">
        <f ca="1">IFERROR(__xludf.DUMMYFUNCTION("""COMPUTED_VALUE"""),"Yes")</f>
        <v>Yes</v>
      </c>
      <c r="I60" s="5" t="str">
        <f ca="1">IFERROR(__xludf.DUMMYFUNCTION("""COMPUTED_VALUE"""),"Yes")</f>
        <v>Yes</v>
      </c>
      <c r="J60" s="5" t="str">
        <f ca="1">IFERROR(__xludf.DUMMYFUNCTION("""COMPUTED_VALUE"""),"Yes")</f>
        <v>Yes</v>
      </c>
      <c r="K60" s="5" t="str">
        <f ca="1">IFERROR(__xludf.DUMMYFUNCTION("""COMPUTED_VALUE"""),"Yes")</f>
        <v>Yes</v>
      </c>
      <c r="L60" s="5" t="str">
        <f ca="1">IFERROR(__xludf.DUMMYFUNCTION("""COMPUTED_VALUE"""),"Yes")</f>
        <v>Yes</v>
      </c>
      <c r="M60" s="5" t="str">
        <f ca="1">IFERROR(__xludf.DUMMYFUNCTION("""COMPUTED_VALUE"""),"Yes")</f>
        <v>Yes</v>
      </c>
      <c r="N60" s="5" t="str">
        <f ca="1">IFERROR(__xludf.DUMMYFUNCTION("""COMPUTED_VALUE"""),"Yes")</f>
        <v>Yes</v>
      </c>
      <c r="O60" s="5" t="str">
        <f ca="1">IFERROR(__xludf.DUMMYFUNCTION("""COMPUTED_VALUE"""),"Yes")</f>
        <v>Yes</v>
      </c>
      <c r="P60" s="5" t="str">
        <f ca="1">IFERROR(__xludf.DUMMYFUNCTION("""COMPUTED_VALUE"""),"Yes")</f>
        <v>Yes</v>
      </c>
      <c r="Q60" s="5" t="str">
        <f ca="1">IFERROR(__xludf.DUMMYFUNCTION("""COMPUTED_VALUE"""),"Yes")</f>
        <v>Yes</v>
      </c>
      <c r="R60" s="5" t="str">
        <f ca="1">IFERROR(__xludf.DUMMYFUNCTION("""COMPUTED_VALUE"""),"Yes")</f>
        <v>Yes</v>
      </c>
      <c r="S60" s="5" t="str">
        <f ca="1">IFERROR(__xludf.DUMMYFUNCTION("""COMPUTED_VALUE"""),"Yes")</f>
        <v>Yes</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IFERROR(__xludf.DUMMYFUNCTION("""COMPUTED_VALUE"""),"No")</f>
        <v>No</v>
      </c>
      <c r="AA60" s="5" t="str">
        <f ca="1">IFERROR(__xludf.DUMMYFUNCTION("""COMPUTED_VALUE"""),"Yes")</f>
        <v>Yes</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IFERROR(__xludf.DUMMYFUNCTION("""COMPUTED_VALUE"""),"No")</f>
        <v>No</v>
      </c>
      <c r="AF60" s="5" t="str">
        <f ca="1">IFERROR(__xludf.DUMMYFUNCTION("""COMPUTED_VALUE"""),"Yes")</f>
        <v>Yes</v>
      </c>
      <c r="AG60" s="5" t="str">
        <f ca="1">IFERROR(__xludf.DUMMYFUNCTION("""COMPUTED_VALUE"""),"No")</f>
        <v>No</v>
      </c>
      <c r="AH60" s="5" t="str">
        <f ca="1">IFERROR(__xludf.DUMMYFUNCTION("""COMPUTED_VALUE"""),"No")</f>
        <v>No</v>
      </c>
      <c r="AI60" s="5" t="str">
        <f ca="1">IFERROR(__xludf.DUMMYFUNCTION("""COMPUTED_VALUE"""),"No")</f>
        <v>No</v>
      </c>
      <c r="AJ60" s="5" t="str">
        <f ca="1">IFERROR(__xludf.DUMMYFUNCTION("""COMPUTED_VALUE"""),"No")</f>
        <v>No</v>
      </c>
      <c r="AK60" s="5" t="str">
        <f ca="1">IFERROR(__xludf.DUMMYFUNCTION("""COMPUTED_VALUE"""),"No")</f>
        <v>No</v>
      </c>
      <c r="AL60" s="5" t="str">
        <f ca="1">IFERROR(__xludf.DUMMYFUNCTION("""COMPUTED_VALUE"""),"No")</f>
        <v>No</v>
      </c>
      <c r="AM60" s="5"/>
      <c r="AN60" s="5"/>
      <c r="AO60" s="5"/>
      <c r="AP60" s="5"/>
      <c r="AQ60" s="5"/>
      <c r="AR60" s="5"/>
      <c r="AS60" s="5"/>
      <c r="AT60" s="5"/>
      <c r="AU60" s="5"/>
      <c r="AV60" s="5"/>
      <c r="AW60" s="5"/>
      <c r="AX60" s="5"/>
      <c r="AY60" s="5"/>
    </row>
    <row r="61" spans="1:51" x14ac:dyDescent="0.25">
      <c r="A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 s="5">
        <f ca="1">IFERROR(__xludf.DUMMYFUNCTION("""COMPUTED_VALUE"""),60)</f>
        <v>60</v>
      </c>
      <c r="C61" s="5">
        <f ca="1">IFERROR(__xludf.DUMMYFUNCTION("""COMPUTED_VALUE"""),59)</f>
        <v>59</v>
      </c>
      <c r="D61" s="5" t="str">
        <f ca="1">IFERROR(__xludf.DUMMYFUNCTION("""COMPUTED_VALUE"""),"DiceOfSpells")</f>
        <v>DiceOfSpells</v>
      </c>
      <c r="E61" s="5" t="str">
        <f ca="1">IFERROR(__xludf.DUMMYFUNCTION("""COMPUTED_VALUE"""),"Yes")</f>
        <v>Yes</v>
      </c>
      <c r="F61" s="5" t="str">
        <f ca="1">IFERROR(__xludf.DUMMYFUNCTION("""COMPUTED_VALUE"""),"Yes")</f>
        <v>Yes</v>
      </c>
      <c r="G61" s="5" t="str">
        <f ca="1">IFERROR(__xludf.DUMMYFUNCTION("""COMPUTED_VALUE"""),"Yes")</f>
        <v>Yes</v>
      </c>
      <c r="H61" s="5" t="str">
        <f ca="1">IFERROR(__xludf.DUMMYFUNCTION("""COMPUTED_VALUE"""),"Yes")</f>
        <v>Yes</v>
      </c>
      <c r="I61" s="5" t="str">
        <f ca="1">IFERROR(__xludf.DUMMYFUNCTION("""COMPUTED_VALUE"""),"Yes")</f>
        <v>Yes</v>
      </c>
      <c r="J61" s="5" t="str">
        <f ca="1">IFERROR(__xludf.DUMMYFUNCTION("""COMPUTED_VALUE"""),"Yes")</f>
        <v>Yes</v>
      </c>
      <c r="K61" s="5" t="str">
        <f ca="1">IFERROR(__xludf.DUMMYFUNCTION("""COMPUTED_VALUE"""),"Yes")</f>
        <v>Yes</v>
      </c>
      <c r="L61" s="5" t="str">
        <f ca="1">IFERROR(__xludf.DUMMYFUNCTION("""COMPUTED_VALUE"""),"Yes")</f>
        <v>Yes</v>
      </c>
      <c r="M61" s="5" t="str">
        <f ca="1">IFERROR(__xludf.DUMMYFUNCTION("""COMPUTED_VALUE"""),"Yes")</f>
        <v>Yes</v>
      </c>
      <c r="N61" s="5" t="str">
        <f ca="1">IFERROR(__xludf.DUMMYFUNCTION("""COMPUTED_VALUE"""),"Yes")</f>
        <v>Yes</v>
      </c>
      <c r="O61" s="5" t="str">
        <f ca="1">IFERROR(__xludf.DUMMYFUNCTION("""COMPUTED_VALUE"""),"Yes")</f>
        <v>Yes</v>
      </c>
      <c r="P61" s="5" t="str">
        <f ca="1">IFERROR(__xludf.DUMMYFUNCTION("""COMPUTED_VALUE"""),"Yes")</f>
        <v>Yes</v>
      </c>
      <c r="Q61" s="5" t="str">
        <f ca="1">IFERROR(__xludf.DUMMYFUNCTION("""COMPUTED_VALUE"""),"Yes")</f>
        <v>Yes</v>
      </c>
      <c r="R61" s="5" t="str">
        <f ca="1">IFERROR(__xludf.DUMMYFUNCTION("""COMPUTED_VALUE"""),"Yes")</f>
        <v>Yes</v>
      </c>
      <c r="S61" s="5" t="str">
        <f ca="1">IFERROR(__xludf.DUMMYFUNCTION("""COMPUTED_VALUE"""),"Yes")</f>
        <v>Yes</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IFERROR(__xludf.DUMMYFUNCTION("""COMPUTED_VALUE"""),"Yes")</f>
        <v>Yes</v>
      </c>
      <c r="X61" s="5" t="str">
        <f ca="1">IFERROR(__xludf.DUMMYFUNCTION("""COMPUTED_VALUE"""),"Yes")</f>
        <v>Yes</v>
      </c>
      <c r="Y61" s="5" t="str">
        <f ca="1">IFERROR(__xludf.DUMMYFUNCTION("""COMPUTED_VALUE"""),"Yes")</f>
        <v>Yes</v>
      </c>
      <c r="Z61" s="5" t="str">
        <f ca="1">IFERROR(__xludf.DUMMYFUNCTION("""COMPUTED_VALUE"""),"No")</f>
        <v>No</v>
      </c>
      <c r="AA61" s="5" t="str">
        <f ca="1">IFERROR(__xludf.DUMMYFUNCTION("""COMPUTED_VALUE"""),"Yes")</f>
        <v>Yes</v>
      </c>
      <c r="AB61" s="5" t="str">
        <f ca="1">IFERROR(__xludf.DUMMYFUNCTION("""COMPUTED_VALUE"""),"Yes")</f>
        <v>Yes</v>
      </c>
      <c r="AC61" s="5" t="str">
        <f ca="1">IFERROR(__xludf.DUMMYFUNCTION("""COMPUTED_VALUE"""),"Yes")</f>
        <v>Yes</v>
      </c>
      <c r="AD61" s="5" t="str">
        <f ca="1">IFERROR(__xludf.DUMMYFUNCTION("""COMPUTED_VALUE"""),"Yes")</f>
        <v>Yes</v>
      </c>
      <c r="AE61" s="5" t="str">
        <f ca="1">IFERROR(__xludf.DUMMYFUNCTION("""COMPUTED_VALUE"""),"No")</f>
        <v>No</v>
      </c>
      <c r="AF61" s="5" t="str">
        <f ca="1">IFERROR(__xludf.DUMMYFUNCTION("""COMPUTED_VALUE"""),"Yes")</f>
        <v>Yes</v>
      </c>
      <c r="AG61" s="5" t="str">
        <f ca="1">IFERROR(__xludf.DUMMYFUNCTION("""COMPUTED_VALUE"""),"No")</f>
        <v>No</v>
      </c>
      <c r="AH61" s="5" t="str">
        <f ca="1">IFERROR(__xludf.DUMMYFUNCTION("""COMPUTED_VALUE"""),"No")</f>
        <v>No</v>
      </c>
      <c r="AI61" s="5" t="str">
        <f ca="1">IFERROR(__xludf.DUMMYFUNCTION("""COMPUTED_VALUE"""),"No")</f>
        <v>No</v>
      </c>
      <c r="AJ61" s="5" t="str">
        <f ca="1">IFERROR(__xludf.DUMMYFUNCTION("""COMPUTED_VALUE"""),"No")</f>
        <v>No</v>
      </c>
      <c r="AK61" s="5" t="str">
        <f ca="1">IFERROR(__xludf.DUMMYFUNCTION("""COMPUTED_VALUE"""),"No")</f>
        <v>No</v>
      </c>
      <c r="AL61" s="5" t="str">
        <f ca="1">IFERROR(__xludf.DUMMYFUNCTION("""COMPUTED_VALUE"""),"No")</f>
        <v>No</v>
      </c>
      <c r="AM61" s="5"/>
      <c r="AN61" s="5"/>
      <c r="AO61" s="5"/>
      <c r="AP61" s="5"/>
      <c r="AQ61" s="5"/>
      <c r="AR61" s="5"/>
      <c r="AS61" s="5"/>
      <c r="AT61" s="5"/>
      <c r="AU61" s="5"/>
      <c r="AV61" s="5"/>
      <c r="AW61" s="5"/>
      <c r="AX61" s="5"/>
      <c r="AY61" s="5"/>
    </row>
    <row r="62" spans="1:51" x14ac:dyDescent="0.25">
      <c r="A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 s="5">
        <f ca="1">IFERROR(__xludf.DUMMYFUNCTION("""COMPUTED_VALUE"""),61)</f>
        <v>61</v>
      </c>
      <c r="C62" s="5">
        <f ca="1">IFERROR(__xludf.DUMMYFUNCTION("""COMPUTED_VALUE"""),60)</f>
        <v>60</v>
      </c>
      <c r="D62" s="5" t="str">
        <f ca="1">IFERROR(__xludf.DUMMYFUNCTION("""COMPUTED_VALUE"""),"CubesAndStars")</f>
        <v>CubesAndStars</v>
      </c>
      <c r="E62" s="5" t="str">
        <f ca="1">IFERROR(__xludf.DUMMYFUNCTION("""COMPUTED_VALUE"""),"Yes")</f>
        <v>Yes</v>
      </c>
      <c r="F62" s="5" t="str">
        <f ca="1">IFERROR(__xludf.DUMMYFUNCTION("""COMPUTED_VALUE"""),"Yes")</f>
        <v>Yes</v>
      </c>
      <c r="G62" s="5" t="str">
        <f ca="1">IFERROR(__xludf.DUMMYFUNCTION("""COMPUTED_VALUE"""),"Yes")</f>
        <v>Yes</v>
      </c>
      <c r="H62" s="5" t="str">
        <f ca="1">IFERROR(__xludf.DUMMYFUNCTION("""COMPUTED_VALUE"""),"Yes")</f>
        <v>Yes</v>
      </c>
      <c r="I62" s="5" t="str">
        <f ca="1">IFERROR(__xludf.DUMMYFUNCTION("""COMPUTED_VALUE"""),"Yes")</f>
        <v>Yes</v>
      </c>
      <c r="J62" s="5" t="str">
        <f ca="1">IFERROR(__xludf.DUMMYFUNCTION("""COMPUTED_VALUE"""),"Yes")</f>
        <v>Yes</v>
      </c>
      <c r="K62" s="5" t="str">
        <f ca="1">IFERROR(__xludf.DUMMYFUNCTION("""COMPUTED_VALUE"""),"Yes")</f>
        <v>Yes</v>
      </c>
      <c r="L62" s="5" t="str">
        <f ca="1">IFERROR(__xludf.DUMMYFUNCTION("""COMPUTED_VALUE"""),"Yes")</f>
        <v>Yes</v>
      </c>
      <c r="M62" s="5" t="str">
        <f ca="1">IFERROR(__xludf.DUMMYFUNCTION("""COMPUTED_VALUE"""),"Yes")</f>
        <v>Yes</v>
      </c>
      <c r="N62" s="5" t="str">
        <f ca="1">IFERROR(__xludf.DUMMYFUNCTION("""COMPUTED_VALUE"""),"Yes")</f>
        <v>Yes</v>
      </c>
      <c r="O62" s="5" t="str">
        <f ca="1">IFERROR(__xludf.DUMMYFUNCTION("""COMPUTED_VALUE"""),"Yes")</f>
        <v>Yes</v>
      </c>
      <c r="P62" s="5" t="str">
        <f ca="1">IFERROR(__xludf.DUMMYFUNCTION("""COMPUTED_VALUE"""),"Yes")</f>
        <v>Yes</v>
      </c>
      <c r="Q62" s="5" t="str">
        <f ca="1">IFERROR(__xludf.DUMMYFUNCTION("""COMPUTED_VALUE"""),"Yes")</f>
        <v>Yes</v>
      </c>
      <c r="R62" s="5" t="str">
        <f ca="1">IFERROR(__xludf.DUMMYFUNCTION("""COMPUTED_VALUE"""),"Yes")</f>
        <v>Yes</v>
      </c>
      <c r="S62" s="5" t="str">
        <f ca="1">IFERROR(__xludf.DUMMYFUNCTION("""COMPUTED_VALUE"""),"Yes")</f>
        <v>Yes</v>
      </c>
      <c r="T62" s="5" t="str">
        <f ca="1">IFERROR(__xludf.DUMMYFUNCTION("""COMPUTED_VALUE"""),"Yes")</f>
        <v>Yes</v>
      </c>
      <c r="U62" s="5" t="str">
        <f ca="1">IFERROR(__xludf.DUMMYFUNCTION("""COMPUTED_VALUE"""),"Yes")</f>
        <v>Yes</v>
      </c>
      <c r="V62" s="5" t="str">
        <f ca="1">IFERROR(__xludf.DUMMYFUNCTION("""COMPUTED_VALUE"""),"Yes")</f>
        <v>Yes</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IFERROR(__xludf.DUMMYFUNCTION("""COMPUTED_VALUE"""),"No")</f>
        <v>No</v>
      </c>
      <c r="AA62" s="5" t="str">
        <f ca="1">IFERROR(__xludf.DUMMYFUNCTION("""COMPUTED_VALUE"""),"Yes")</f>
        <v>Yes</v>
      </c>
      <c r="AB62" s="5" t="str">
        <f ca="1">IFERROR(__xludf.DUMMYFUNCTION("""COMPUTED_VALUE"""),"Yes")</f>
        <v>Yes</v>
      </c>
      <c r="AC62" s="5" t="str">
        <f ca="1">IFERROR(__xludf.DUMMYFUNCTION("""COMPUTED_VALUE"""),"Yes")</f>
        <v>Yes</v>
      </c>
      <c r="AD62" s="5" t="str">
        <f ca="1">IFERROR(__xludf.DUMMYFUNCTION("""COMPUTED_VALUE"""),"Yes")</f>
        <v>Yes</v>
      </c>
      <c r="AE62" s="5" t="str">
        <f ca="1">IFERROR(__xludf.DUMMYFUNCTION("""COMPUTED_VALUE"""),"No")</f>
        <v>No</v>
      </c>
      <c r="AF62" s="5" t="str">
        <f ca="1">IFERROR(__xludf.DUMMYFUNCTION("""COMPUTED_VALUE"""),"Yes")</f>
        <v>Yes</v>
      </c>
      <c r="AG62" s="5" t="str">
        <f ca="1">IFERROR(__xludf.DUMMYFUNCTION("""COMPUTED_VALUE"""),"No")</f>
        <v>No</v>
      </c>
      <c r="AH62" s="5" t="str">
        <f ca="1">IFERROR(__xludf.DUMMYFUNCTION("""COMPUTED_VALUE"""),"No")</f>
        <v>No</v>
      </c>
      <c r="AI62" s="5" t="str">
        <f ca="1">IFERROR(__xludf.DUMMYFUNCTION("""COMPUTED_VALUE"""),"No")</f>
        <v>No</v>
      </c>
      <c r="AJ62" s="5" t="str">
        <f ca="1">IFERROR(__xludf.DUMMYFUNCTION("""COMPUTED_VALUE"""),"No")</f>
        <v>No</v>
      </c>
      <c r="AK62" s="5" t="str">
        <f ca="1">IFERROR(__xludf.DUMMYFUNCTION("""COMPUTED_VALUE"""),"No")</f>
        <v>No</v>
      </c>
      <c r="AL62" s="5" t="str">
        <f ca="1">IFERROR(__xludf.DUMMYFUNCTION("""COMPUTED_VALUE"""),"No")</f>
        <v>No</v>
      </c>
      <c r="AM62" s="5"/>
      <c r="AN62" s="5"/>
      <c r="AO62" s="5"/>
      <c r="AP62" s="5"/>
      <c r="AQ62" s="5"/>
      <c r="AR62" s="5"/>
      <c r="AS62" s="5"/>
      <c r="AT62" s="5"/>
      <c r="AU62" s="5"/>
      <c r="AV62" s="5"/>
      <c r="AW62" s="5"/>
      <c r="AX62" s="5"/>
      <c r="AY62" s="5"/>
    </row>
    <row r="63" spans="1:51" x14ac:dyDescent="0.25">
      <c r="A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3" s="5">
        <f ca="1">IFERROR(__xludf.DUMMYFUNCTION("""COMPUTED_VALUE"""),62)</f>
        <v>62</v>
      </c>
      <c r="C63" s="5">
        <f ca="1">IFERROR(__xludf.DUMMYFUNCTION("""COMPUTED_VALUE"""),61)</f>
        <v>61</v>
      </c>
      <c r="D63" s="5" t="str">
        <f ca="1">IFERROR(__xludf.DUMMYFUNCTION("""COMPUTED_VALUE"""),"TwinklingHot40")</f>
        <v>TwinklingHot40</v>
      </c>
      <c r="E63" s="5" t="str">
        <f ca="1">IFERROR(__xludf.DUMMYFUNCTION("""COMPUTED_VALUE"""),"Yes")</f>
        <v>Yes</v>
      </c>
      <c r="F63" s="5" t="str">
        <f ca="1">IFERROR(__xludf.DUMMYFUNCTION("""COMPUTED_VALUE"""),"Yes")</f>
        <v>Yes</v>
      </c>
      <c r="G63" s="5" t="str">
        <f ca="1">IFERROR(__xludf.DUMMYFUNCTION("""COMPUTED_VALUE"""),"Yes")</f>
        <v>Yes</v>
      </c>
      <c r="H63" s="5" t="str">
        <f ca="1">IFERROR(__xludf.DUMMYFUNCTION("""COMPUTED_VALUE"""),"Yes")</f>
        <v>Yes</v>
      </c>
      <c r="I63" s="5" t="str">
        <f ca="1">IFERROR(__xludf.DUMMYFUNCTION("""COMPUTED_VALUE"""),"Yes")</f>
        <v>Yes</v>
      </c>
      <c r="J63" s="5" t="str">
        <f ca="1">IFERROR(__xludf.DUMMYFUNCTION("""COMPUTED_VALUE"""),"Yes")</f>
        <v>Yes</v>
      </c>
      <c r="K63" s="5" t="str">
        <f ca="1">IFERROR(__xludf.DUMMYFUNCTION("""COMPUTED_VALUE"""),"Yes")</f>
        <v>Yes</v>
      </c>
      <c r="L63" s="5" t="str">
        <f ca="1">IFERROR(__xludf.DUMMYFUNCTION("""COMPUTED_VALUE"""),"Yes")</f>
        <v>Yes</v>
      </c>
      <c r="M63" s="5" t="str">
        <f ca="1">IFERROR(__xludf.DUMMYFUNCTION("""COMPUTED_VALUE"""),"Yes")</f>
        <v>Yes</v>
      </c>
      <c r="N63" s="5" t="str">
        <f ca="1">IFERROR(__xludf.DUMMYFUNCTION("""COMPUTED_VALUE"""),"Yes")</f>
        <v>Yes</v>
      </c>
      <c r="O63" s="5" t="str">
        <f ca="1">IFERROR(__xludf.DUMMYFUNCTION("""COMPUTED_VALUE"""),"Yes")</f>
        <v>Yes</v>
      </c>
      <c r="P63" s="5" t="str">
        <f ca="1">IFERROR(__xludf.DUMMYFUNCTION("""COMPUTED_VALUE"""),"Yes")</f>
        <v>Yes</v>
      </c>
      <c r="Q63" s="5" t="str">
        <f ca="1">IFERROR(__xludf.DUMMYFUNCTION("""COMPUTED_VALUE"""),"Yes")</f>
        <v>Yes</v>
      </c>
      <c r="R63" s="5" t="str">
        <f ca="1">IFERROR(__xludf.DUMMYFUNCTION("""COMPUTED_VALUE"""),"Yes")</f>
        <v>Yes</v>
      </c>
      <c r="S63" s="5" t="str">
        <f ca="1">IFERROR(__xludf.DUMMYFUNCTION("""COMPUTED_VALUE"""),"Yes")</f>
        <v>Yes</v>
      </c>
      <c r="T63" s="5" t="str">
        <f ca="1">IFERROR(__xludf.DUMMYFUNCTION("""COMPUTED_VALUE"""),"Yes")</f>
        <v>Yes</v>
      </c>
      <c r="U63" s="5" t="str">
        <f ca="1">IFERROR(__xludf.DUMMYFUNCTION("""COMPUTED_VALUE"""),"Yes")</f>
        <v>Yes</v>
      </c>
      <c r="V63" s="5" t="str">
        <f ca="1">IFERROR(__xludf.DUMMYFUNCTION("""COMPUTED_VALUE"""),"Yes")</f>
        <v>Yes</v>
      </c>
      <c r="W63" s="5" t="str">
        <f ca="1">IFERROR(__xludf.DUMMYFUNCTION("""COMPUTED_VALUE"""),"Yes")</f>
        <v>Yes</v>
      </c>
      <c r="X63" s="5" t="str">
        <f ca="1">IFERROR(__xludf.DUMMYFUNCTION("""COMPUTED_VALUE"""),"Yes")</f>
        <v>Yes</v>
      </c>
      <c r="Y63" s="5" t="str">
        <f ca="1">IFERROR(__xludf.DUMMYFUNCTION("""COMPUTED_VALUE"""),"Yes")</f>
        <v>Yes</v>
      </c>
      <c r="Z63" s="5" t="str">
        <f ca="1">IFERROR(__xludf.DUMMYFUNCTION("""COMPUTED_VALUE"""),"No")</f>
        <v>No</v>
      </c>
      <c r="AA63" s="5" t="str">
        <f ca="1">IFERROR(__xludf.DUMMYFUNCTION("""COMPUTED_VALUE"""),"Yes")</f>
        <v>Yes</v>
      </c>
      <c r="AB63" s="5" t="str">
        <f ca="1">IFERROR(__xludf.DUMMYFUNCTION("""COMPUTED_VALUE"""),"Yes")</f>
        <v>Yes</v>
      </c>
      <c r="AC63" s="5" t="str">
        <f ca="1">IFERROR(__xludf.DUMMYFUNCTION("""COMPUTED_VALUE"""),"Yes")</f>
        <v>Yes</v>
      </c>
      <c r="AD63" s="5" t="str">
        <f ca="1">IFERROR(__xludf.DUMMYFUNCTION("""COMPUTED_VALUE"""),"Yes")</f>
        <v>Yes</v>
      </c>
      <c r="AE63" s="5" t="str">
        <f ca="1">IFERROR(__xludf.DUMMYFUNCTION("""COMPUTED_VALUE"""),"No")</f>
        <v>No</v>
      </c>
      <c r="AF63" s="5" t="str">
        <f ca="1">IFERROR(__xludf.DUMMYFUNCTION("""COMPUTED_VALUE"""),"Yes")</f>
        <v>Yes</v>
      </c>
      <c r="AG63" s="5" t="str">
        <f ca="1">IFERROR(__xludf.DUMMYFUNCTION("""COMPUTED_VALUE"""),"No")</f>
        <v>No</v>
      </c>
      <c r="AH63" s="5" t="str">
        <f ca="1">IFERROR(__xludf.DUMMYFUNCTION("""COMPUTED_VALUE"""),"No")</f>
        <v>No</v>
      </c>
      <c r="AI63" s="5" t="str">
        <f ca="1">IFERROR(__xludf.DUMMYFUNCTION("""COMPUTED_VALUE"""),"No")</f>
        <v>No</v>
      </c>
      <c r="AJ63" s="5" t="str">
        <f ca="1">IFERROR(__xludf.DUMMYFUNCTION("""COMPUTED_VALUE"""),"No")</f>
        <v>No</v>
      </c>
      <c r="AK63" s="5" t="str">
        <f ca="1">IFERROR(__xludf.DUMMYFUNCTION("""COMPUTED_VALUE"""),"No")</f>
        <v>No</v>
      </c>
      <c r="AL63" s="5" t="str">
        <f ca="1">IFERROR(__xludf.DUMMYFUNCTION("""COMPUTED_VALUE"""),"No")</f>
        <v>No</v>
      </c>
      <c r="AM63" s="5"/>
      <c r="AN63" s="5"/>
      <c r="AO63" s="5"/>
      <c r="AP63" s="5"/>
      <c r="AQ63" s="5"/>
      <c r="AR63" s="5"/>
      <c r="AS63" s="5"/>
      <c r="AT63" s="5"/>
      <c r="AU63" s="5"/>
      <c r="AV63" s="5"/>
      <c r="AW63" s="5"/>
      <c r="AX63" s="5"/>
      <c r="AY63" s="5"/>
    </row>
    <row r="64" spans="1:51" x14ac:dyDescent="0.25">
      <c r="A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4" s="5">
        <f ca="1">IFERROR(__xludf.DUMMYFUNCTION("""COMPUTED_VALUE"""),63)</f>
        <v>63</v>
      </c>
      <c r="C64" s="5">
        <f ca="1">IFERROR(__xludf.DUMMYFUNCTION("""COMPUTED_VALUE"""),62)</f>
        <v>62</v>
      </c>
      <c r="D64" s="5" t="str">
        <f ca="1">IFERROR(__xludf.DUMMYFUNCTION("""COMPUTED_VALUE"""),"BookOfSpellsDeluxe")</f>
        <v>BookOfSpellsDeluxe</v>
      </c>
      <c r="E64" s="5" t="str">
        <f ca="1">IFERROR(__xludf.DUMMYFUNCTION("""COMPUTED_VALUE"""),"Yes")</f>
        <v>Yes</v>
      </c>
      <c r="F64" s="5" t="str">
        <f ca="1">IFERROR(__xludf.DUMMYFUNCTION("""COMPUTED_VALUE"""),"Yes")</f>
        <v>Yes</v>
      </c>
      <c r="G64" s="5" t="str">
        <f ca="1">IFERROR(__xludf.DUMMYFUNCTION("""COMPUTED_VALUE"""),"Yes")</f>
        <v>Yes</v>
      </c>
      <c r="H64" s="5" t="str">
        <f ca="1">IFERROR(__xludf.DUMMYFUNCTION("""COMPUTED_VALUE"""),"Yes")</f>
        <v>Yes</v>
      </c>
      <c r="I64" s="5" t="str">
        <f ca="1">IFERROR(__xludf.DUMMYFUNCTION("""COMPUTED_VALUE"""),"Yes")</f>
        <v>Yes</v>
      </c>
      <c r="J64" s="5" t="str">
        <f ca="1">IFERROR(__xludf.DUMMYFUNCTION("""COMPUTED_VALUE"""),"Yes")</f>
        <v>Yes</v>
      </c>
      <c r="K64" s="5" t="str">
        <f ca="1">IFERROR(__xludf.DUMMYFUNCTION("""COMPUTED_VALUE"""),"Yes")</f>
        <v>Yes</v>
      </c>
      <c r="L64" s="5" t="str">
        <f ca="1">IFERROR(__xludf.DUMMYFUNCTION("""COMPUTED_VALUE"""),"Yes")</f>
        <v>Yes</v>
      </c>
      <c r="M64" s="5" t="str">
        <f ca="1">IFERROR(__xludf.DUMMYFUNCTION("""COMPUTED_VALUE"""),"Yes")</f>
        <v>Yes</v>
      </c>
      <c r="N64" s="5" t="str">
        <f ca="1">IFERROR(__xludf.DUMMYFUNCTION("""COMPUTED_VALUE"""),"Yes")</f>
        <v>Yes</v>
      </c>
      <c r="O64" s="5" t="str">
        <f ca="1">IFERROR(__xludf.DUMMYFUNCTION("""COMPUTED_VALUE"""),"Yes")</f>
        <v>Yes</v>
      </c>
      <c r="P64" s="5" t="str">
        <f ca="1">IFERROR(__xludf.DUMMYFUNCTION("""COMPUTED_VALUE"""),"Yes")</f>
        <v>Yes</v>
      </c>
      <c r="Q64" s="5" t="str">
        <f ca="1">IFERROR(__xludf.DUMMYFUNCTION("""COMPUTED_VALUE"""),"Yes")</f>
        <v>Yes</v>
      </c>
      <c r="R64" s="5" t="str">
        <f ca="1">IFERROR(__xludf.DUMMYFUNCTION("""COMPUTED_VALUE"""),"Yes")</f>
        <v>Yes</v>
      </c>
      <c r="S64" s="5" t="str">
        <f ca="1">IFERROR(__xludf.DUMMYFUNCTION("""COMPUTED_VALUE"""),"Yes")</f>
        <v>Yes</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IFERROR(__xludf.DUMMYFUNCTION("""COMPUTED_VALUE"""),"Yes")</f>
        <v>Yes</v>
      </c>
      <c r="X64" s="5" t="str">
        <f ca="1">IFERROR(__xludf.DUMMYFUNCTION("""COMPUTED_VALUE"""),"Yes")</f>
        <v>Yes</v>
      </c>
      <c r="Y64" s="5" t="str">
        <f ca="1">IFERROR(__xludf.DUMMYFUNCTION("""COMPUTED_VALUE"""),"Yes")</f>
        <v>Yes</v>
      </c>
      <c r="Z64" s="5" t="str">
        <f ca="1">IFERROR(__xludf.DUMMYFUNCTION("""COMPUTED_VALUE"""),"No")</f>
        <v>No</v>
      </c>
      <c r="AA64" s="5" t="str">
        <f ca="1">IFERROR(__xludf.DUMMYFUNCTION("""COMPUTED_VALUE"""),"Yes")</f>
        <v>Yes</v>
      </c>
      <c r="AB64" s="5" t="str">
        <f ca="1">IFERROR(__xludf.DUMMYFUNCTION("""COMPUTED_VALUE"""),"Yes")</f>
        <v>Yes</v>
      </c>
      <c r="AC64" s="5" t="str">
        <f ca="1">IFERROR(__xludf.DUMMYFUNCTION("""COMPUTED_VALUE"""),"Yes")</f>
        <v>Yes</v>
      </c>
      <c r="AD64" s="5" t="str">
        <f ca="1">IFERROR(__xludf.DUMMYFUNCTION("""COMPUTED_VALUE"""),"Yes")</f>
        <v>Yes</v>
      </c>
      <c r="AE64" s="5" t="str">
        <f ca="1">IFERROR(__xludf.DUMMYFUNCTION("""COMPUTED_VALUE"""),"No")</f>
        <v>No</v>
      </c>
      <c r="AF64" s="5" t="str">
        <f ca="1">IFERROR(__xludf.DUMMYFUNCTION("""COMPUTED_VALUE"""),"Yes")</f>
        <v>Yes</v>
      </c>
      <c r="AG64" s="5" t="str">
        <f ca="1">IFERROR(__xludf.DUMMYFUNCTION("""COMPUTED_VALUE"""),"No")</f>
        <v>No</v>
      </c>
      <c r="AH64" s="5" t="str">
        <f ca="1">IFERROR(__xludf.DUMMYFUNCTION("""COMPUTED_VALUE"""),"No")</f>
        <v>No</v>
      </c>
      <c r="AI64" s="5" t="str">
        <f ca="1">IFERROR(__xludf.DUMMYFUNCTION("""COMPUTED_VALUE"""),"No")</f>
        <v>No</v>
      </c>
      <c r="AJ64" s="5" t="str">
        <f ca="1">IFERROR(__xludf.DUMMYFUNCTION("""COMPUTED_VALUE"""),"No")</f>
        <v>No</v>
      </c>
      <c r="AK64" s="5" t="str">
        <f ca="1">IFERROR(__xludf.DUMMYFUNCTION("""COMPUTED_VALUE"""),"No")</f>
        <v>No</v>
      </c>
      <c r="AL64" s="5" t="str">
        <f ca="1">IFERROR(__xludf.DUMMYFUNCTION("""COMPUTED_VALUE"""),"No")</f>
        <v>No</v>
      </c>
      <c r="AM64" s="5"/>
      <c r="AN64" s="5"/>
      <c r="AO64" s="5"/>
      <c r="AP64" s="5"/>
      <c r="AQ64" s="5"/>
      <c r="AR64" s="5"/>
      <c r="AS64" s="5"/>
      <c r="AT64" s="5"/>
      <c r="AU64" s="5"/>
      <c r="AV64" s="5"/>
      <c r="AW64" s="5"/>
      <c r="AX64" s="5"/>
      <c r="AY64" s="5"/>
    </row>
    <row r="65" spans="1:51" x14ac:dyDescent="0.25">
      <c r="A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5" s="5">
        <f ca="1">IFERROR(__xludf.DUMMYFUNCTION("""COMPUTED_VALUE"""),64)</f>
        <v>64</v>
      </c>
      <c r="C65" s="5">
        <f ca="1">IFERROR(__xludf.DUMMYFUNCTION("""COMPUTED_VALUE"""),63)</f>
        <v>63</v>
      </c>
      <c r="D65" s="5" t="str">
        <f ca="1">IFERROR(__xludf.DUMMYFUNCTION("""COMPUTED_VALUE"""),"JazzyFruits")</f>
        <v>JazzyFruits</v>
      </c>
      <c r="E65" s="5" t="str">
        <f ca="1">IFERROR(__xludf.DUMMYFUNCTION("""COMPUTED_VALUE"""),"Yes")</f>
        <v>Yes</v>
      </c>
      <c r="F65" s="5" t="str">
        <f ca="1">IFERROR(__xludf.DUMMYFUNCTION("""COMPUTED_VALUE"""),"Yes")</f>
        <v>Yes</v>
      </c>
      <c r="G65" s="5" t="str">
        <f ca="1">IFERROR(__xludf.DUMMYFUNCTION("""COMPUTED_VALUE"""),"Yes")</f>
        <v>Yes</v>
      </c>
      <c r="H65" s="5" t="str">
        <f ca="1">IFERROR(__xludf.DUMMYFUNCTION("""COMPUTED_VALUE"""),"Yes")</f>
        <v>Yes</v>
      </c>
      <c r="I65" s="5" t="str">
        <f ca="1">IFERROR(__xludf.DUMMYFUNCTION("""COMPUTED_VALUE"""),"Yes")</f>
        <v>Yes</v>
      </c>
      <c r="J65" s="5" t="str">
        <f ca="1">IFERROR(__xludf.DUMMYFUNCTION("""COMPUTED_VALUE"""),"Yes")</f>
        <v>Yes</v>
      </c>
      <c r="K65" s="5" t="str">
        <f ca="1">IFERROR(__xludf.DUMMYFUNCTION("""COMPUTED_VALUE"""),"Yes")</f>
        <v>Yes</v>
      </c>
      <c r="L65" s="5" t="str">
        <f ca="1">IFERROR(__xludf.DUMMYFUNCTION("""COMPUTED_VALUE"""),"Yes")</f>
        <v>Yes</v>
      </c>
      <c r="M65" s="5" t="str">
        <f ca="1">IFERROR(__xludf.DUMMYFUNCTION("""COMPUTED_VALUE"""),"Yes")</f>
        <v>Yes</v>
      </c>
      <c r="N65" s="5" t="str">
        <f ca="1">IFERROR(__xludf.DUMMYFUNCTION("""COMPUTED_VALUE"""),"Yes")</f>
        <v>Yes</v>
      </c>
      <c r="O65" s="5" t="str">
        <f ca="1">IFERROR(__xludf.DUMMYFUNCTION("""COMPUTED_VALUE"""),"Yes")</f>
        <v>Yes</v>
      </c>
      <c r="P65" s="5" t="str">
        <f ca="1">IFERROR(__xludf.DUMMYFUNCTION("""COMPUTED_VALUE"""),"Yes")</f>
        <v>Yes</v>
      </c>
      <c r="Q65" s="5" t="str">
        <f ca="1">IFERROR(__xludf.DUMMYFUNCTION("""COMPUTED_VALUE"""),"Yes")</f>
        <v>Yes</v>
      </c>
      <c r="R65" s="5" t="str">
        <f ca="1">IFERROR(__xludf.DUMMYFUNCTION("""COMPUTED_VALUE"""),"Yes")</f>
        <v>Yes</v>
      </c>
      <c r="S65" s="5" t="str">
        <f ca="1">IFERROR(__xludf.DUMMYFUNCTION("""COMPUTED_VALUE"""),"Yes")</f>
        <v>Yes</v>
      </c>
      <c r="T65" s="5" t="str">
        <f ca="1">IFERROR(__xludf.DUMMYFUNCTION("""COMPUTED_VALUE"""),"Yes")</f>
        <v>Yes</v>
      </c>
      <c r="U65" s="5" t="str">
        <f ca="1">IFERROR(__xludf.DUMMYFUNCTION("""COMPUTED_VALUE"""),"Yes")</f>
        <v>Yes</v>
      </c>
      <c r="V65" s="5" t="str">
        <f ca="1">IFERROR(__xludf.DUMMYFUNCTION("""COMPUTED_VALUE"""),"Yes")</f>
        <v>Yes</v>
      </c>
      <c r="W65" s="5" t="str">
        <f ca="1">IFERROR(__xludf.DUMMYFUNCTION("""COMPUTED_VALUE"""),"Yes")</f>
        <v>Yes</v>
      </c>
      <c r="X65" s="5" t="str">
        <f ca="1">IFERROR(__xludf.DUMMYFUNCTION("""COMPUTED_VALUE"""),"Yes")</f>
        <v>Yes</v>
      </c>
      <c r="Y65" s="5" t="str">
        <f ca="1">IFERROR(__xludf.DUMMYFUNCTION("""COMPUTED_VALUE"""),"Yes")</f>
        <v>Yes</v>
      </c>
      <c r="Z65" s="5" t="str">
        <f ca="1">IFERROR(__xludf.DUMMYFUNCTION("""COMPUTED_VALUE"""),"No")</f>
        <v>No</v>
      </c>
      <c r="AA65" s="5" t="str">
        <f ca="1">IFERROR(__xludf.DUMMYFUNCTION("""COMPUTED_VALUE"""),"Yes")</f>
        <v>Yes</v>
      </c>
      <c r="AB65" s="5" t="str">
        <f ca="1">IFERROR(__xludf.DUMMYFUNCTION("""COMPUTED_VALUE"""),"Yes")</f>
        <v>Yes</v>
      </c>
      <c r="AC65" s="5" t="str">
        <f ca="1">IFERROR(__xludf.DUMMYFUNCTION("""COMPUTED_VALUE"""),"Yes")</f>
        <v>Yes</v>
      </c>
      <c r="AD65" s="5" t="str">
        <f ca="1">IFERROR(__xludf.DUMMYFUNCTION("""COMPUTED_VALUE"""),"Yes")</f>
        <v>Yes</v>
      </c>
      <c r="AE65" s="5" t="str">
        <f ca="1">IFERROR(__xludf.DUMMYFUNCTION("""COMPUTED_VALUE"""),"No")</f>
        <v>No</v>
      </c>
      <c r="AF65" s="5" t="str">
        <f ca="1">IFERROR(__xludf.DUMMYFUNCTION("""COMPUTED_VALUE"""),"Yes")</f>
        <v>Yes</v>
      </c>
      <c r="AG65" s="5" t="str">
        <f ca="1">IFERROR(__xludf.DUMMYFUNCTION("""COMPUTED_VALUE"""),"No")</f>
        <v>No</v>
      </c>
      <c r="AH65" s="5" t="str">
        <f ca="1">IFERROR(__xludf.DUMMYFUNCTION("""COMPUTED_VALUE"""),"No")</f>
        <v>No</v>
      </c>
      <c r="AI65" s="5" t="str">
        <f ca="1">IFERROR(__xludf.DUMMYFUNCTION("""COMPUTED_VALUE"""),"No")</f>
        <v>No</v>
      </c>
      <c r="AJ65" s="5" t="str">
        <f ca="1">IFERROR(__xludf.DUMMYFUNCTION("""COMPUTED_VALUE"""),"No")</f>
        <v>No</v>
      </c>
      <c r="AK65" s="5" t="str">
        <f ca="1">IFERROR(__xludf.DUMMYFUNCTION("""COMPUTED_VALUE"""),"No")</f>
        <v>No</v>
      </c>
      <c r="AL65" s="5" t="str">
        <f ca="1">IFERROR(__xludf.DUMMYFUNCTION("""COMPUTED_VALUE"""),"No")</f>
        <v>No</v>
      </c>
      <c r="AM65" s="5"/>
      <c r="AN65" s="5"/>
      <c r="AO65" s="5"/>
      <c r="AP65" s="5"/>
      <c r="AQ65" s="5"/>
      <c r="AR65" s="5"/>
      <c r="AS65" s="5"/>
      <c r="AT65" s="5"/>
      <c r="AU65" s="5"/>
      <c r="AV65" s="5"/>
      <c r="AW65" s="5"/>
      <c r="AX65" s="5"/>
      <c r="AY65" s="5"/>
    </row>
    <row r="66" spans="1:51" x14ac:dyDescent="0.25">
      <c r="A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 s="5">
        <f ca="1">IFERROR(__xludf.DUMMYFUNCTION("""COMPUTED_VALUE"""),65)</f>
        <v>65</v>
      </c>
      <c r="C66" s="5">
        <f ca="1">IFERROR(__xludf.DUMMYFUNCTION("""COMPUTED_VALUE"""),64)</f>
        <v>64</v>
      </c>
      <c r="D66" s="5" t="str">
        <f ca="1">IFERROR(__xludf.DUMMYFUNCTION("""COMPUTED_VALUE"""),"CrystalHot80")</f>
        <v>CrystalHot80</v>
      </c>
      <c r="E66" s="5" t="str">
        <f ca="1">IFERROR(__xludf.DUMMYFUNCTION("""COMPUTED_VALUE"""),"Yes")</f>
        <v>Yes</v>
      </c>
      <c r="F66" s="5" t="str">
        <f ca="1">IFERROR(__xludf.DUMMYFUNCTION("""COMPUTED_VALUE"""),"Yes")</f>
        <v>Yes</v>
      </c>
      <c r="G66" s="5" t="str">
        <f ca="1">IFERROR(__xludf.DUMMYFUNCTION("""COMPUTED_VALUE"""),"Yes")</f>
        <v>Yes</v>
      </c>
      <c r="H66" s="5" t="str">
        <f ca="1">IFERROR(__xludf.DUMMYFUNCTION("""COMPUTED_VALUE"""),"Yes")</f>
        <v>Yes</v>
      </c>
      <c r="I66" s="5" t="str">
        <f ca="1">IFERROR(__xludf.DUMMYFUNCTION("""COMPUTED_VALUE"""),"Yes")</f>
        <v>Yes</v>
      </c>
      <c r="J66" s="5" t="str">
        <f ca="1">IFERROR(__xludf.DUMMYFUNCTION("""COMPUTED_VALUE"""),"Yes")</f>
        <v>Yes</v>
      </c>
      <c r="K66" s="5" t="str">
        <f ca="1">IFERROR(__xludf.DUMMYFUNCTION("""COMPUTED_VALUE"""),"Yes")</f>
        <v>Yes</v>
      </c>
      <c r="L66" s="5" t="str">
        <f ca="1">IFERROR(__xludf.DUMMYFUNCTION("""COMPUTED_VALUE"""),"Yes")</f>
        <v>Yes</v>
      </c>
      <c r="M66" s="5" t="str">
        <f ca="1">IFERROR(__xludf.DUMMYFUNCTION("""COMPUTED_VALUE"""),"Yes")</f>
        <v>Yes</v>
      </c>
      <c r="N66" s="5" t="str">
        <f ca="1">IFERROR(__xludf.DUMMYFUNCTION("""COMPUTED_VALUE"""),"Yes")</f>
        <v>Yes</v>
      </c>
      <c r="O66" s="5" t="str">
        <f ca="1">IFERROR(__xludf.DUMMYFUNCTION("""COMPUTED_VALUE"""),"Yes")</f>
        <v>Yes</v>
      </c>
      <c r="P66" s="5" t="str">
        <f ca="1">IFERROR(__xludf.DUMMYFUNCTION("""COMPUTED_VALUE"""),"Yes")</f>
        <v>Yes</v>
      </c>
      <c r="Q66" s="5" t="str">
        <f ca="1">IFERROR(__xludf.DUMMYFUNCTION("""COMPUTED_VALUE"""),"Yes")</f>
        <v>Yes</v>
      </c>
      <c r="R66" s="5" t="str">
        <f ca="1">IFERROR(__xludf.DUMMYFUNCTION("""COMPUTED_VALUE"""),"Yes")</f>
        <v>Yes</v>
      </c>
      <c r="S66" s="5" t="str">
        <f ca="1">IFERROR(__xludf.DUMMYFUNCTION("""COMPUTED_VALUE"""),"Yes")</f>
        <v>Yes</v>
      </c>
      <c r="T66" s="5" t="str">
        <f ca="1">IFERROR(__xludf.DUMMYFUNCTION("""COMPUTED_VALUE"""),"Yes")</f>
        <v>Yes</v>
      </c>
      <c r="U66" s="5" t="str">
        <f ca="1">IFERROR(__xludf.DUMMYFUNCTION("""COMPUTED_VALUE"""),"Yes")</f>
        <v>Yes</v>
      </c>
      <c r="V66" s="5" t="str">
        <f ca="1">IFERROR(__xludf.DUMMYFUNCTION("""COMPUTED_VALUE"""),"Yes")</f>
        <v>Yes</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IFERROR(__xludf.DUMMYFUNCTION("""COMPUTED_VALUE"""),"No")</f>
        <v>No</v>
      </c>
      <c r="AA66" s="5" t="str">
        <f ca="1">IFERROR(__xludf.DUMMYFUNCTION("""COMPUTED_VALUE"""),"Yes")</f>
        <v>Yes</v>
      </c>
      <c r="AB66" s="5" t="str">
        <f ca="1">IFERROR(__xludf.DUMMYFUNCTION("""COMPUTED_VALUE"""),"Yes")</f>
        <v>Yes</v>
      </c>
      <c r="AC66" s="5" t="str">
        <f ca="1">IFERROR(__xludf.DUMMYFUNCTION("""COMPUTED_VALUE"""),"Yes")</f>
        <v>Yes</v>
      </c>
      <c r="AD66" s="5" t="str">
        <f ca="1">IFERROR(__xludf.DUMMYFUNCTION("""COMPUTED_VALUE"""),"Yes")</f>
        <v>Yes</v>
      </c>
      <c r="AE66" s="5" t="str">
        <f ca="1">IFERROR(__xludf.DUMMYFUNCTION("""COMPUTED_VALUE"""),"No")</f>
        <v>No</v>
      </c>
      <c r="AF66" s="5" t="str">
        <f ca="1">IFERROR(__xludf.DUMMYFUNCTION("""COMPUTED_VALUE"""),"Yes")</f>
        <v>Yes</v>
      </c>
      <c r="AG66" s="5" t="str">
        <f ca="1">IFERROR(__xludf.DUMMYFUNCTION("""COMPUTED_VALUE"""),"No")</f>
        <v>No</v>
      </c>
      <c r="AH66" s="5" t="str">
        <f ca="1">IFERROR(__xludf.DUMMYFUNCTION("""COMPUTED_VALUE"""),"No")</f>
        <v>No</v>
      </c>
      <c r="AI66" s="5" t="str">
        <f ca="1">IFERROR(__xludf.DUMMYFUNCTION("""COMPUTED_VALUE"""),"No")</f>
        <v>No</v>
      </c>
      <c r="AJ66" s="5" t="str">
        <f ca="1">IFERROR(__xludf.DUMMYFUNCTION("""COMPUTED_VALUE"""),"No")</f>
        <v>No</v>
      </c>
      <c r="AK66" s="5" t="str">
        <f ca="1">IFERROR(__xludf.DUMMYFUNCTION("""COMPUTED_VALUE"""),"No")</f>
        <v>No</v>
      </c>
      <c r="AL66" s="5" t="str">
        <f ca="1">IFERROR(__xludf.DUMMYFUNCTION("""COMPUTED_VALUE"""),"No")</f>
        <v>No</v>
      </c>
      <c r="AM66" s="5"/>
      <c r="AN66" s="5"/>
      <c r="AO66" s="5"/>
      <c r="AP66" s="5"/>
      <c r="AQ66" s="5"/>
      <c r="AR66" s="5"/>
      <c r="AS66" s="5"/>
      <c r="AT66" s="5"/>
      <c r="AU66" s="5"/>
      <c r="AV66" s="5"/>
      <c r="AW66" s="5"/>
      <c r="AX66" s="5"/>
      <c r="AY66" s="5"/>
    </row>
    <row r="67" spans="1:51" x14ac:dyDescent="0.25">
      <c r="A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 s="5">
        <f ca="1">IFERROR(__xludf.DUMMYFUNCTION("""COMPUTED_VALUE"""),66)</f>
        <v>66</v>
      </c>
      <c r="C67" s="5">
        <f ca="1">IFERROR(__xludf.DUMMYFUNCTION("""COMPUTED_VALUE"""),65)</f>
        <v>65</v>
      </c>
      <c r="D67" s="5" t="str">
        <f ca="1">IFERROR(__xludf.DUMMYFUNCTION("""COMPUTED_VALUE"""),"CrystalHot40Gd")</f>
        <v>CrystalHot40Gd</v>
      </c>
      <c r="E67" s="5" t="str">
        <f ca="1">IFERROR(__xludf.DUMMYFUNCTION("""COMPUTED_VALUE"""),"Yes")</f>
        <v>Yes</v>
      </c>
      <c r="F67" s="5" t="str">
        <f ca="1">IFERROR(__xludf.DUMMYFUNCTION("""COMPUTED_VALUE"""),"Yes")</f>
        <v>Yes</v>
      </c>
      <c r="G67" s="5" t="str">
        <f ca="1">IFERROR(__xludf.DUMMYFUNCTION("""COMPUTED_VALUE"""),"Yes")</f>
        <v>Yes</v>
      </c>
      <c r="H67" s="5" t="str">
        <f ca="1">IFERROR(__xludf.DUMMYFUNCTION("""COMPUTED_VALUE"""),"Yes")</f>
        <v>Yes</v>
      </c>
      <c r="I67" s="5" t="str">
        <f ca="1">IFERROR(__xludf.DUMMYFUNCTION("""COMPUTED_VALUE"""),"Yes")</f>
        <v>Yes</v>
      </c>
      <c r="J67" s="5" t="str">
        <f ca="1">IFERROR(__xludf.DUMMYFUNCTION("""COMPUTED_VALUE"""),"Yes")</f>
        <v>Yes</v>
      </c>
      <c r="K67" s="5" t="str">
        <f ca="1">IFERROR(__xludf.DUMMYFUNCTION("""COMPUTED_VALUE"""),"Yes")</f>
        <v>Yes</v>
      </c>
      <c r="L67" s="5" t="str">
        <f ca="1">IFERROR(__xludf.DUMMYFUNCTION("""COMPUTED_VALUE"""),"Yes")</f>
        <v>Yes</v>
      </c>
      <c r="M67" s="5" t="str">
        <f ca="1">IFERROR(__xludf.DUMMYFUNCTION("""COMPUTED_VALUE"""),"Yes")</f>
        <v>Yes</v>
      </c>
      <c r="N67" s="5" t="str">
        <f ca="1">IFERROR(__xludf.DUMMYFUNCTION("""COMPUTED_VALUE"""),"Yes")</f>
        <v>Yes</v>
      </c>
      <c r="O67" s="5" t="str">
        <f ca="1">IFERROR(__xludf.DUMMYFUNCTION("""COMPUTED_VALUE"""),"Yes")</f>
        <v>Yes</v>
      </c>
      <c r="P67" s="5" t="str">
        <f ca="1">IFERROR(__xludf.DUMMYFUNCTION("""COMPUTED_VALUE"""),"Yes")</f>
        <v>Yes</v>
      </c>
      <c r="Q67" s="5" t="str">
        <f ca="1">IFERROR(__xludf.DUMMYFUNCTION("""COMPUTED_VALUE"""),"Yes")</f>
        <v>Yes</v>
      </c>
      <c r="R67" s="5" t="str">
        <f ca="1">IFERROR(__xludf.DUMMYFUNCTION("""COMPUTED_VALUE"""),"Yes")</f>
        <v>Yes</v>
      </c>
      <c r="S67" s="5" t="str">
        <f ca="1">IFERROR(__xludf.DUMMYFUNCTION("""COMPUTED_VALUE"""),"Yes")</f>
        <v>Yes</v>
      </c>
      <c r="T67" s="5" t="str">
        <f ca="1">IFERROR(__xludf.DUMMYFUNCTION("""COMPUTED_VALUE"""),"Yes")</f>
        <v>Yes</v>
      </c>
      <c r="U67" s="5" t="str">
        <f ca="1">IFERROR(__xludf.DUMMYFUNCTION("""COMPUTED_VALUE"""),"Yes")</f>
        <v>Yes</v>
      </c>
      <c r="V67" s="5" t="str">
        <f ca="1">IFERROR(__xludf.DUMMYFUNCTION("""COMPUTED_VALUE"""),"Yes")</f>
        <v>Yes</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IFERROR(__xludf.DUMMYFUNCTION("""COMPUTED_VALUE"""),"No")</f>
        <v>No</v>
      </c>
      <c r="AA67" s="5" t="str">
        <f ca="1">IFERROR(__xludf.DUMMYFUNCTION("""COMPUTED_VALUE"""),"Yes")</f>
        <v>Yes</v>
      </c>
      <c r="AB67" s="5" t="str">
        <f ca="1">IFERROR(__xludf.DUMMYFUNCTION("""COMPUTED_VALUE"""),"Yes")</f>
        <v>Yes</v>
      </c>
      <c r="AC67" s="5" t="str">
        <f ca="1">IFERROR(__xludf.DUMMYFUNCTION("""COMPUTED_VALUE"""),"Yes")</f>
        <v>Yes</v>
      </c>
      <c r="AD67" s="5" t="str">
        <f ca="1">IFERROR(__xludf.DUMMYFUNCTION("""COMPUTED_VALUE"""),"Yes")</f>
        <v>Yes</v>
      </c>
      <c r="AE67" s="5" t="str">
        <f ca="1">IFERROR(__xludf.DUMMYFUNCTION("""COMPUTED_VALUE"""),"No")</f>
        <v>No</v>
      </c>
      <c r="AF67" s="5" t="str">
        <f ca="1">IFERROR(__xludf.DUMMYFUNCTION("""COMPUTED_VALUE"""),"Yes")</f>
        <v>Yes</v>
      </c>
      <c r="AG67" s="5" t="str">
        <f ca="1">IFERROR(__xludf.DUMMYFUNCTION("""COMPUTED_VALUE"""),"No")</f>
        <v>No</v>
      </c>
      <c r="AH67" s="5" t="str">
        <f ca="1">IFERROR(__xludf.DUMMYFUNCTION("""COMPUTED_VALUE"""),"No")</f>
        <v>No</v>
      </c>
      <c r="AI67" s="5" t="str">
        <f ca="1">IFERROR(__xludf.DUMMYFUNCTION("""COMPUTED_VALUE"""),"No")</f>
        <v>No</v>
      </c>
      <c r="AJ67" s="5" t="str">
        <f ca="1">IFERROR(__xludf.DUMMYFUNCTION("""COMPUTED_VALUE"""),"No")</f>
        <v>No</v>
      </c>
      <c r="AK67" s="5" t="str">
        <f ca="1">IFERROR(__xludf.DUMMYFUNCTION("""COMPUTED_VALUE"""),"No")</f>
        <v>No</v>
      </c>
      <c r="AL67" s="5" t="str">
        <f ca="1">IFERROR(__xludf.DUMMYFUNCTION("""COMPUTED_VALUE"""),"No")</f>
        <v>No</v>
      </c>
      <c r="AM67" s="5"/>
      <c r="AN67" s="5"/>
      <c r="AO67" s="5"/>
      <c r="AP67" s="5"/>
      <c r="AQ67" s="5"/>
      <c r="AR67" s="5"/>
      <c r="AS67" s="5"/>
      <c r="AT67" s="5"/>
      <c r="AU67" s="5"/>
      <c r="AV67" s="5"/>
      <c r="AW67" s="5"/>
      <c r="AX67" s="5"/>
      <c r="AY67" s="5"/>
    </row>
    <row r="68" spans="1:51" x14ac:dyDescent="0.25">
      <c r="A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8" s="5">
        <f ca="1">IFERROR(__xludf.DUMMYFUNCTION("""COMPUTED_VALUE"""),67)</f>
        <v>67</v>
      </c>
      <c r="C68" s="5">
        <f ca="1">IFERROR(__xludf.DUMMYFUNCTION("""COMPUTED_VALUE"""),66)</f>
        <v>66</v>
      </c>
      <c r="D68" s="5" t="str">
        <f ca="1">IFERROR(__xludf.DUMMYFUNCTION("""COMPUTED_VALUE"""),"CrystalHot40Deluxe")</f>
        <v>CrystalHot40Deluxe</v>
      </c>
      <c r="E68" s="5" t="str">
        <f ca="1">IFERROR(__xludf.DUMMYFUNCTION("""COMPUTED_VALUE"""),"Yes")</f>
        <v>Yes</v>
      </c>
      <c r="F68" s="5" t="str">
        <f ca="1">IFERROR(__xludf.DUMMYFUNCTION("""COMPUTED_VALUE"""),"Yes")</f>
        <v>Yes</v>
      </c>
      <c r="G68" s="5" t="str">
        <f ca="1">IFERROR(__xludf.DUMMYFUNCTION("""COMPUTED_VALUE"""),"Yes")</f>
        <v>Yes</v>
      </c>
      <c r="H68" s="5" t="str">
        <f ca="1">IFERROR(__xludf.DUMMYFUNCTION("""COMPUTED_VALUE"""),"Yes")</f>
        <v>Yes</v>
      </c>
      <c r="I68" s="5" t="str">
        <f ca="1">IFERROR(__xludf.DUMMYFUNCTION("""COMPUTED_VALUE"""),"Yes")</f>
        <v>Yes</v>
      </c>
      <c r="J68" s="5" t="str">
        <f ca="1">IFERROR(__xludf.DUMMYFUNCTION("""COMPUTED_VALUE"""),"Yes")</f>
        <v>Yes</v>
      </c>
      <c r="K68" s="5" t="str">
        <f ca="1">IFERROR(__xludf.DUMMYFUNCTION("""COMPUTED_VALUE"""),"Yes")</f>
        <v>Yes</v>
      </c>
      <c r="L68" s="5" t="str">
        <f ca="1">IFERROR(__xludf.DUMMYFUNCTION("""COMPUTED_VALUE"""),"Yes")</f>
        <v>Yes</v>
      </c>
      <c r="M68" s="5" t="str">
        <f ca="1">IFERROR(__xludf.DUMMYFUNCTION("""COMPUTED_VALUE"""),"Yes")</f>
        <v>Yes</v>
      </c>
      <c r="N68" s="5" t="str">
        <f ca="1">IFERROR(__xludf.DUMMYFUNCTION("""COMPUTED_VALUE"""),"Yes")</f>
        <v>Yes</v>
      </c>
      <c r="O68" s="5" t="str">
        <f ca="1">IFERROR(__xludf.DUMMYFUNCTION("""COMPUTED_VALUE"""),"Yes")</f>
        <v>Yes</v>
      </c>
      <c r="P68" s="5" t="str">
        <f ca="1">IFERROR(__xludf.DUMMYFUNCTION("""COMPUTED_VALUE"""),"Yes")</f>
        <v>Yes</v>
      </c>
      <c r="Q68" s="5" t="str">
        <f ca="1">IFERROR(__xludf.DUMMYFUNCTION("""COMPUTED_VALUE"""),"Yes")</f>
        <v>Yes</v>
      </c>
      <c r="R68" s="5" t="str">
        <f ca="1">IFERROR(__xludf.DUMMYFUNCTION("""COMPUTED_VALUE"""),"Yes")</f>
        <v>Yes</v>
      </c>
      <c r="S68" s="5" t="str">
        <f ca="1">IFERROR(__xludf.DUMMYFUNCTION("""COMPUTED_VALUE"""),"Yes")</f>
        <v>Yes</v>
      </c>
      <c r="T68" s="5" t="str">
        <f ca="1">IFERROR(__xludf.DUMMYFUNCTION("""COMPUTED_VALUE"""),"Yes")</f>
        <v>Yes</v>
      </c>
      <c r="U68" s="5" t="str">
        <f ca="1">IFERROR(__xludf.DUMMYFUNCTION("""COMPUTED_VALUE"""),"Yes")</f>
        <v>Yes</v>
      </c>
      <c r="V68" s="5" t="str">
        <f ca="1">IFERROR(__xludf.DUMMYFUNCTION("""COMPUTED_VALUE"""),"Yes")</f>
        <v>Yes</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IFERROR(__xludf.DUMMYFUNCTION("""COMPUTED_VALUE"""),"No")</f>
        <v>No</v>
      </c>
      <c r="AA68" s="5" t="str">
        <f ca="1">IFERROR(__xludf.DUMMYFUNCTION("""COMPUTED_VALUE"""),"Yes")</f>
        <v>Yes</v>
      </c>
      <c r="AB68" s="5" t="str">
        <f ca="1">IFERROR(__xludf.DUMMYFUNCTION("""COMPUTED_VALUE"""),"Yes")</f>
        <v>Yes</v>
      </c>
      <c r="AC68" s="5" t="str">
        <f ca="1">IFERROR(__xludf.DUMMYFUNCTION("""COMPUTED_VALUE"""),"Yes")</f>
        <v>Yes</v>
      </c>
      <c r="AD68" s="5" t="str">
        <f ca="1">IFERROR(__xludf.DUMMYFUNCTION("""COMPUTED_VALUE"""),"Yes")</f>
        <v>Yes</v>
      </c>
      <c r="AE68" s="5" t="str">
        <f ca="1">IFERROR(__xludf.DUMMYFUNCTION("""COMPUTED_VALUE"""),"No")</f>
        <v>No</v>
      </c>
      <c r="AF68" s="5" t="str">
        <f ca="1">IFERROR(__xludf.DUMMYFUNCTION("""COMPUTED_VALUE"""),"Yes")</f>
        <v>Yes</v>
      </c>
      <c r="AG68" s="5" t="str">
        <f ca="1">IFERROR(__xludf.DUMMYFUNCTION("""COMPUTED_VALUE"""),"No")</f>
        <v>No</v>
      </c>
      <c r="AH68" s="5" t="str">
        <f ca="1">IFERROR(__xludf.DUMMYFUNCTION("""COMPUTED_VALUE"""),"No")</f>
        <v>No</v>
      </c>
      <c r="AI68" s="5" t="str">
        <f ca="1">IFERROR(__xludf.DUMMYFUNCTION("""COMPUTED_VALUE"""),"No")</f>
        <v>No</v>
      </c>
      <c r="AJ68" s="5" t="str">
        <f ca="1">IFERROR(__xludf.DUMMYFUNCTION("""COMPUTED_VALUE"""),"No")</f>
        <v>No</v>
      </c>
      <c r="AK68" s="5" t="str">
        <f ca="1">IFERROR(__xludf.DUMMYFUNCTION("""COMPUTED_VALUE"""),"No")</f>
        <v>No</v>
      </c>
      <c r="AL68" s="5" t="str">
        <f ca="1">IFERROR(__xludf.DUMMYFUNCTION("""COMPUTED_VALUE"""),"No")</f>
        <v>No</v>
      </c>
      <c r="AM68" s="5"/>
      <c r="AN68" s="5"/>
      <c r="AO68" s="5"/>
      <c r="AP68" s="5"/>
      <c r="AQ68" s="5"/>
      <c r="AR68" s="5"/>
      <c r="AS68" s="5"/>
      <c r="AT68" s="5"/>
      <c r="AU68" s="5"/>
      <c r="AV68" s="5"/>
      <c r="AW68" s="5"/>
      <c r="AX68" s="5"/>
      <c r="AY68" s="5"/>
    </row>
    <row r="69" spans="1:51" x14ac:dyDescent="0.25">
      <c r="A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9" s="5">
        <f ca="1">IFERROR(__xludf.DUMMYFUNCTION("""COMPUTED_VALUE"""),68)</f>
        <v>68</v>
      </c>
      <c r="C69" s="5">
        <f ca="1">IFERROR(__xludf.DUMMYFUNCTION("""COMPUTED_VALUE"""),67)</f>
        <v>67</v>
      </c>
      <c r="D69" s="5" t="str">
        <f ca="1">IFERROR(__xludf.DUMMYFUNCTION("""COMPUTED_VALUE"""),"LiveFaziRoulette")</f>
        <v>LiveFaziRoulette</v>
      </c>
      <c r="E69" s="5" t="str">
        <f ca="1">IFERROR(__xludf.DUMMYFUNCTION("""COMPUTED_VALUE"""),"Yes")</f>
        <v>Yes</v>
      </c>
      <c r="F69" s="5" t="str">
        <f ca="1">IFERROR(__xludf.DUMMYFUNCTION("""COMPUTED_VALUE"""),"Yes")</f>
        <v>Yes</v>
      </c>
      <c r="G69" s="5" t="str">
        <f ca="1">IFERROR(__xludf.DUMMYFUNCTION("""COMPUTED_VALUE"""),"Yes")</f>
        <v>Yes</v>
      </c>
      <c r="H69" s="5" t="str">
        <f ca="1">IFERROR(__xludf.DUMMYFUNCTION("""COMPUTED_VALUE"""),"Yes")</f>
        <v>Yes</v>
      </c>
      <c r="I69" s="5" t="str">
        <f ca="1">IFERROR(__xludf.DUMMYFUNCTION("""COMPUTED_VALUE"""),"Yes")</f>
        <v>Yes</v>
      </c>
      <c r="J69" s="5" t="str">
        <f ca="1">IFERROR(__xludf.DUMMYFUNCTION("""COMPUTED_VALUE"""),"Yes")</f>
        <v>Yes</v>
      </c>
      <c r="K69" s="5" t="str">
        <f ca="1">IFERROR(__xludf.DUMMYFUNCTION("""COMPUTED_VALUE"""),"Yes")</f>
        <v>Yes</v>
      </c>
      <c r="L69" s="5" t="str">
        <f ca="1">IFERROR(__xludf.DUMMYFUNCTION("""COMPUTED_VALUE"""),"Yes")</f>
        <v>Yes</v>
      </c>
      <c r="M69" s="5" t="str">
        <f ca="1">IFERROR(__xludf.DUMMYFUNCTION("""COMPUTED_VALUE"""),"Yes")</f>
        <v>Yes</v>
      </c>
      <c r="N69" s="5" t="str">
        <f ca="1">IFERROR(__xludf.DUMMYFUNCTION("""COMPUTED_VALUE"""),"Yes")</f>
        <v>Yes</v>
      </c>
      <c r="O69" s="5" t="str">
        <f ca="1">IFERROR(__xludf.DUMMYFUNCTION("""COMPUTED_VALUE"""),"Yes")</f>
        <v>Yes</v>
      </c>
      <c r="P69" s="5" t="str">
        <f ca="1">IFERROR(__xludf.DUMMYFUNCTION("""COMPUTED_VALUE"""),"Yes")</f>
        <v>Yes</v>
      </c>
      <c r="Q69" s="5" t="str">
        <f ca="1">IFERROR(__xludf.DUMMYFUNCTION("""COMPUTED_VALUE"""),"Yes")</f>
        <v>Yes</v>
      </c>
      <c r="R69" s="5" t="str">
        <f ca="1">IFERROR(__xludf.DUMMYFUNCTION("""COMPUTED_VALUE"""),"Yes")</f>
        <v>Yes</v>
      </c>
      <c r="S69" s="5" t="str">
        <f ca="1">IFERROR(__xludf.DUMMYFUNCTION("""COMPUTED_VALUE"""),"Yes")</f>
        <v>Yes</v>
      </c>
      <c r="T69" s="5" t="str">
        <f ca="1">IFERROR(__xludf.DUMMYFUNCTION("""COMPUTED_VALUE"""),"Yes")</f>
        <v>Yes</v>
      </c>
      <c r="U69" s="5" t="str">
        <f ca="1">IFERROR(__xludf.DUMMYFUNCTION("""COMPUTED_VALUE"""),"Yes")</f>
        <v>Yes</v>
      </c>
      <c r="V69" s="5" t="str">
        <f ca="1">IFERROR(__xludf.DUMMYFUNCTION("""COMPUTED_VALUE"""),"Yes")</f>
        <v>Yes</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IFERROR(__xludf.DUMMYFUNCTION("""COMPUTED_VALUE"""),"No")</f>
        <v>No</v>
      </c>
      <c r="AA69" s="5" t="str">
        <f ca="1">IFERROR(__xludf.DUMMYFUNCTION("""COMPUTED_VALUE"""),"Yes")</f>
        <v>Yes</v>
      </c>
      <c r="AB69" s="5" t="str">
        <f ca="1">IFERROR(__xludf.DUMMYFUNCTION("""COMPUTED_VALUE"""),"Yes")</f>
        <v>Yes</v>
      </c>
      <c r="AC69" s="5" t="str">
        <f ca="1">IFERROR(__xludf.DUMMYFUNCTION("""COMPUTED_VALUE"""),"Yes")</f>
        <v>Yes</v>
      </c>
      <c r="AD69" s="5" t="str">
        <f ca="1">IFERROR(__xludf.DUMMYFUNCTION("""COMPUTED_VALUE"""),"Yes")</f>
        <v>Yes</v>
      </c>
      <c r="AE69" s="5" t="str">
        <f ca="1">IFERROR(__xludf.DUMMYFUNCTION("""COMPUTED_VALUE"""),"No")</f>
        <v>No</v>
      </c>
      <c r="AF69" s="5" t="str">
        <f ca="1">IFERROR(__xludf.DUMMYFUNCTION("""COMPUTED_VALUE"""),"Yes")</f>
        <v>Yes</v>
      </c>
      <c r="AG69" s="5" t="str">
        <f ca="1">IFERROR(__xludf.DUMMYFUNCTION("""COMPUTED_VALUE"""),"No")</f>
        <v>No</v>
      </c>
      <c r="AH69" s="5" t="str">
        <f ca="1">IFERROR(__xludf.DUMMYFUNCTION("""COMPUTED_VALUE"""),"No")</f>
        <v>No</v>
      </c>
      <c r="AI69" s="5" t="str">
        <f ca="1">IFERROR(__xludf.DUMMYFUNCTION("""COMPUTED_VALUE"""),"No")</f>
        <v>No</v>
      </c>
      <c r="AJ69" s="5" t="str">
        <f ca="1">IFERROR(__xludf.DUMMYFUNCTION("""COMPUTED_VALUE"""),"No")</f>
        <v>No</v>
      </c>
      <c r="AK69" s="5" t="str">
        <f ca="1">IFERROR(__xludf.DUMMYFUNCTION("""COMPUTED_VALUE"""),"No")</f>
        <v>No</v>
      </c>
      <c r="AL69" s="5" t="str">
        <f ca="1">IFERROR(__xludf.DUMMYFUNCTION("""COMPUTED_VALUE"""),"No")</f>
        <v>No</v>
      </c>
      <c r="AM69" s="5"/>
      <c r="AN69" s="5"/>
      <c r="AO69" s="5"/>
      <c r="AP69" s="5"/>
      <c r="AQ69" s="5"/>
      <c r="AR69" s="5"/>
      <c r="AS69" s="5"/>
      <c r="AT69" s="5"/>
      <c r="AU69" s="5"/>
      <c r="AV69" s="5"/>
      <c r="AW69" s="5"/>
      <c r="AX69" s="5"/>
      <c r="AY69" s="5"/>
    </row>
    <row r="70" spans="1:51" x14ac:dyDescent="0.25">
      <c r="A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0" s="5">
        <f ca="1">IFERROR(__xludf.DUMMYFUNCTION("""COMPUTED_VALUE"""),69)</f>
        <v>69</v>
      </c>
      <c r="C70" s="5">
        <f ca="1">IFERROR(__xludf.DUMMYFUNCTION("""COMPUTED_VALUE"""),68)</f>
        <v>68</v>
      </c>
      <c r="D70" s="5" t="str">
        <f ca="1">IFERROR(__xludf.DUMMYFUNCTION("""COMPUTED_VALUE"""),"GoldenClover")</f>
        <v>GoldenClover</v>
      </c>
      <c r="E70" s="5" t="str">
        <f ca="1">IFERROR(__xludf.DUMMYFUNCTION("""COMPUTED_VALUE"""),"Yes")</f>
        <v>Yes</v>
      </c>
      <c r="F70" s="5" t="str">
        <f ca="1">IFERROR(__xludf.DUMMYFUNCTION("""COMPUTED_VALUE"""),"Yes")</f>
        <v>Yes</v>
      </c>
      <c r="G70" s="5" t="str">
        <f ca="1">IFERROR(__xludf.DUMMYFUNCTION("""COMPUTED_VALUE"""),"Yes")</f>
        <v>Yes</v>
      </c>
      <c r="H70" s="5" t="str">
        <f ca="1">IFERROR(__xludf.DUMMYFUNCTION("""COMPUTED_VALUE"""),"Yes")</f>
        <v>Yes</v>
      </c>
      <c r="I70" s="5" t="str">
        <f ca="1">IFERROR(__xludf.DUMMYFUNCTION("""COMPUTED_VALUE"""),"Yes")</f>
        <v>Yes</v>
      </c>
      <c r="J70" s="5" t="str">
        <f ca="1">IFERROR(__xludf.DUMMYFUNCTION("""COMPUTED_VALUE"""),"Yes")</f>
        <v>Yes</v>
      </c>
      <c r="K70" s="5" t="str">
        <f ca="1">IFERROR(__xludf.DUMMYFUNCTION("""COMPUTED_VALUE"""),"Yes")</f>
        <v>Yes</v>
      </c>
      <c r="L70" s="5" t="str">
        <f ca="1">IFERROR(__xludf.DUMMYFUNCTION("""COMPUTED_VALUE"""),"Yes")</f>
        <v>Yes</v>
      </c>
      <c r="M70" s="5" t="str">
        <f ca="1">IFERROR(__xludf.DUMMYFUNCTION("""COMPUTED_VALUE"""),"Yes")</f>
        <v>Yes</v>
      </c>
      <c r="N70" s="5" t="str">
        <f ca="1">IFERROR(__xludf.DUMMYFUNCTION("""COMPUTED_VALUE"""),"Yes")</f>
        <v>Yes</v>
      </c>
      <c r="O70" s="5" t="str">
        <f ca="1">IFERROR(__xludf.DUMMYFUNCTION("""COMPUTED_VALUE"""),"Yes")</f>
        <v>Yes</v>
      </c>
      <c r="P70" s="5" t="str">
        <f ca="1">IFERROR(__xludf.DUMMYFUNCTION("""COMPUTED_VALUE"""),"Yes")</f>
        <v>Yes</v>
      </c>
      <c r="Q70" s="5" t="str">
        <f ca="1">IFERROR(__xludf.DUMMYFUNCTION("""COMPUTED_VALUE"""),"Yes")</f>
        <v>Yes</v>
      </c>
      <c r="R70" s="5" t="str">
        <f ca="1">IFERROR(__xludf.DUMMYFUNCTION("""COMPUTED_VALUE"""),"Yes")</f>
        <v>Yes</v>
      </c>
      <c r="S70" s="5" t="str">
        <f ca="1">IFERROR(__xludf.DUMMYFUNCTION("""COMPUTED_VALUE"""),"Yes")</f>
        <v>Yes</v>
      </c>
      <c r="T70" s="5" t="str">
        <f ca="1">IFERROR(__xludf.DUMMYFUNCTION("""COMPUTED_VALUE"""),"Yes")</f>
        <v>Yes</v>
      </c>
      <c r="U70" s="5" t="str">
        <f ca="1">IFERROR(__xludf.DUMMYFUNCTION("""COMPUTED_VALUE"""),"Yes")</f>
        <v>Yes</v>
      </c>
      <c r="V70" s="5" t="str">
        <f ca="1">IFERROR(__xludf.DUMMYFUNCTION("""COMPUTED_VALUE"""),"Yes")</f>
        <v>Yes</v>
      </c>
      <c r="W70" s="5" t="str">
        <f ca="1">IFERROR(__xludf.DUMMYFUNCTION("""COMPUTED_VALUE"""),"Yes")</f>
        <v>Yes</v>
      </c>
      <c r="X70" s="5" t="str">
        <f ca="1">IFERROR(__xludf.DUMMYFUNCTION("""COMPUTED_VALUE"""),"Yes")</f>
        <v>Yes</v>
      </c>
      <c r="Y70" s="5"/>
      <c r="Z70" s="5"/>
      <c r="AA70" s="5"/>
      <c r="AB70" s="5"/>
      <c r="AC70" s="5" t="str">
        <f ca="1">IFERROR(__xludf.DUMMYFUNCTION("""COMPUTED_VALUE"""),"Yes")</f>
        <v>Yes</v>
      </c>
      <c r="AD70" s="5"/>
      <c r="AE70" s="5"/>
      <c r="AF70" s="5"/>
      <c r="AG70" s="5"/>
      <c r="AH70" s="5"/>
      <c r="AI70" s="5"/>
      <c r="AJ70" s="5"/>
      <c r="AK70" s="5"/>
      <c r="AL70" s="5"/>
      <c r="AM70" s="5"/>
      <c r="AN70" s="5"/>
      <c r="AO70" s="5"/>
      <c r="AP70" s="5"/>
      <c r="AQ70" s="5"/>
      <c r="AR70" s="5"/>
      <c r="AS70" s="5"/>
      <c r="AT70" s="5"/>
      <c r="AU70" s="5"/>
      <c r="AV70" s="5"/>
      <c r="AW70" s="5"/>
      <c r="AX70" s="5"/>
      <c r="AY70" s="5"/>
    </row>
    <row r="71" spans="1:51" x14ac:dyDescent="0.25">
      <c r="A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1" s="5">
        <f ca="1">IFERROR(__xludf.DUMMYFUNCTION("""COMPUTED_VALUE"""),70)</f>
        <v>70</v>
      </c>
      <c r="C71" s="5">
        <f ca="1">IFERROR(__xludf.DUMMYFUNCTION("""COMPUTED_VALUE"""),69)</f>
        <v>69</v>
      </c>
      <c r="D71" s="5" t="str">
        <f ca="1">IFERROR(__xludf.DUMMYFUNCTION("""COMPUTED_VALUE"""),"CrystalHot40Gd2")</f>
        <v>CrystalHot40Gd2</v>
      </c>
      <c r="E71" s="5" t="str">
        <f ca="1">IFERROR(__xludf.DUMMYFUNCTION("""COMPUTED_VALUE"""),"Yes")</f>
        <v>Yes</v>
      </c>
      <c r="F71" s="5" t="str">
        <f ca="1">IFERROR(__xludf.DUMMYFUNCTION("""COMPUTED_VALUE"""),"Yes")</f>
        <v>Yes</v>
      </c>
      <c r="G71" s="5" t="str">
        <f ca="1">IFERROR(__xludf.DUMMYFUNCTION("""COMPUTED_VALUE"""),"Yes")</f>
        <v>Yes</v>
      </c>
      <c r="H71" s="5" t="str">
        <f ca="1">IFERROR(__xludf.DUMMYFUNCTION("""COMPUTED_VALUE"""),"Yes")</f>
        <v>Yes</v>
      </c>
      <c r="I71" s="5" t="str">
        <f ca="1">IFERROR(__xludf.DUMMYFUNCTION("""COMPUTED_VALUE"""),"Yes")</f>
        <v>Yes</v>
      </c>
      <c r="J71" s="5" t="str">
        <f ca="1">IFERROR(__xludf.DUMMYFUNCTION("""COMPUTED_VALUE"""),"Yes")</f>
        <v>Yes</v>
      </c>
      <c r="K71" s="5" t="str">
        <f ca="1">IFERROR(__xludf.DUMMYFUNCTION("""COMPUTED_VALUE"""),"Yes")</f>
        <v>Yes</v>
      </c>
      <c r="L71" s="5" t="str">
        <f ca="1">IFERROR(__xludf.DUMMYFUNCTION("""COMPUTED_VALUE"""),"Yes")</f>
        <v>Yes</v>
      </c>
      <c r="M71" s="5" t="str">
        <f ca="1">IFERROR(__xludf.DUMMYFUNCTION("""COMPUTED_VALUE"""),"Yes")</f>
        <v>Yes</v>
      </c>
      <c r="N71" s="5" t="str">
        <f ca="1">IFERROR(__xludf.DUMMYFUNCTION("""COMPUTED_VALUE"""),"Yes")</f>
        <v>Yes</v>
      </c>
      <c r="O71" s="5" t="str">
        <f ca="1">IFERROR(__xludf.DUMMYFUNCTION("""COMPUTED_VALUE"""),"Yes")</f>
        <v>Yes</v>
      </c>
      <c r="P71" s="5" t="str">
        <f ca="1">IFERROR(__xludf.DUMMYFUNCTION("""COMPUTED_VALUE"""),"Yes")</f>
        <v>Yes</v>
      </c>
      <c r="Q71" s="5" t="str">
        <f ca="1">IFERROR(__xludf.DUMMYFUNCTION("""COMPUTED_VALUE"""),"Yes")</f>
        <v>Yes</v>
      </c>
      <c r="R71" s="5" t="str">
        <f ca="1">IFERROR(__xludf.DUMMYFUNCTION("""COMPUTED_VALUE"""),"Yes")</f>
        <v>Yes</v>
      </c>
      <c r="S71" s="5" t="str">
        <f ca="1">IFERROR(__xludf.DUMMYFUNCTION("""COMPUTED_VALUE"""),"Yes")</f>
        <v>Yes</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IFERROR(__xludf.DUMMYFUNCTION("""COMPUTED_VALUE"""),"Yes")</f>
        <v>Yes</v>
      </c>
      <c r="X71" s="5" t="str">
        <f ca="1">IFERROR(__xludf.DUMMYFUNCTION("""COMPUTED_VALUE"""),"Yes")</f>
        <v>Yes</v>
      </c>
      <c r="Y71" s="5" t="str">
        <f ca="1">IFERROR(__xludf.DUMMYFUNCTION("""COMPUTED_VALUE"""),"Yes")</f>
        <v>Yes</v>
      </c>
      <c r="Z71" s="5" t="str">
        <f ca="1">IFERROR(__xludf.DUMMYFUNCTION("""COMPUTED_VALUE"""),"No")</f>
        <v>No</v>
      </c>
      <c r="AA71" s="5" t="str">
        <f ca="1">IFERROR(__xludf.DUMMYFUNCTION("""COMPUTED_VALUE"""),"Yes")</f>
        <v>Yes</v>
      </c>
      <c r="AB71" s="5" t="str">
        <f ca="1">IFERROR(__xludf.DUMMYFUNCTION("""COMPUTED_VALUE"""),"Yes")</f>
        <v>Yes</v>
      </c>
      <c r="AC71" s="5" t="str">
        <f ca="1">IFERROR(__xludf.DUMMYFUNCTION("""COMPUTED_VALUE"""),"Yes")</f>
        <v>Yes</v>
      </c>
      <c r="AD71" s="5" t="str">
        <f ca="1">IFERROR(__xludf.DUMMYFUNCTION("""COMPUTED_VALUE"""),"Yes")</f>
        <v>Yes</v>
      </c>
      <c r="AE71" s="5" t="str">
        <f ca="1">IFERROR(__xludf.DUMMYFUNCTION("""COMPUTED_VALUE"""),"No")</f>
        <v>No</v>
      </c>
      <c r="AF71" s="5" t="str">
        <f ca="1">IFERROR(__xludf.DUMMYFUNCTION("""COMPUTED_VALUE"""),"Yes")</f>
        <v>Yes</v>
      </c>
      <c r="AG71" s="5" t="str">
        <f ca="1">IFERROR(__xludf.DUMMYFUNCTION("""COMPUTED_VALUE"""),"No")</f>
        <v>No</v>
      </c>
      <c r="AH71" s="5" t="str">
        <f ca="1">IFERROR(__xludf.DUMMYFUNCTION("""COMPUTED_VALUE"""),"No")</f>
        <v>No</v>
      </c>
      <c r="AI71" s="5" t="str">
        <f ca="1">IFERROR(__xludf.DUMMYFUNCTION("""COMPUTED_VALUE"""),"No")</f>
        <v>No</v>
      </c>
      <c r="AJ71" s="5" t="str">
        <f ca="1">IFERROR(__xludf.DUMMYFUNCTION("""COMPUTED_VALUE"""),"No")</f>
        <v>No</v>
      </c>
      <c r="AK71" s="5" t="str">
        <f ca="1">IFERROR(__xludf.DUMMYFUNCTION("""COMPUTED_VALUE"""),"No")</f>
        <v>No</v>
      </c>
      <c r="AL71" s="5" t="str">
        <f ca="1">IFERROR(__xludf.DUMMYFUNCTION("""COMPUTED_VALUE"""),"No")</f>
        <v>No</v>
      </c>
      <c r="AM71" s="5"/>
      <c r="AN71" s="5"/>
      <c r="AO71" s="5"/>
      <c r="AP71" s="5"/>
      <c r="AQ71" s="5"/>
      <c r="AR71" s="5"/>
      <c r="AS71" s="5"/>
      <c r="AT71" s="5"/>
      <c r="AU71" s="5"/>
      <c r="AV71" s="5"/>
      <c r="AW71" s="5"/>
      <c r="AX71" s="5"/>
      <c r="AY71" s="5"/>
    </row>
    <row r="72" spans="1:51" x14ac:dyDescent="0.25">
      <c r="A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2" s="5">
        <f ca="1">IFERROR(__xludf.DUMMYFUNCTION("""COMPUTED_VALUE"""),71)</f>
        <v>71</v>
      </c>
      <c r="C72" s="5">
        <f ca="1">IFERROR(__xludf.DUMMYFUNCTION("""COMPUTED_VALUE"""),70)</f>
        <v>70</v>
      </c>
      <c r="D72" s="5" t="str">
        <f ca="1">IFERROR(__xludf.DUMMYFUNCTION("""COMPUTED_VALUE"""),"CrystalWin")</f>
        <v>CrystalWin</v>
      </c>
      <c r="E72" s="5" t="str">
        <f ca="1">IFERROR(__xludf.DUMMYFUNCTION("""COMPUTED_VALUE"""),"Yes")</f>
        <v>Yes</v>
      </c>
      <c r="F72" s="5" t="str">
        <f ca="1">IFERROR(__xludf.DUMMYFUNCTION("""COMPUTED_VALUE"""),"Yes")</f>
        <v>Yes</v>
      </c>
      <c r="G72" s="5" t="str">
        <f ca="1">IFERROR(__xludf.DUMMYFUNCTION("""COMPUTED_VALUE"""),"Yes")</f>
        <v>Yes</v>
      </c>
      <c r="H72" s="5" t="str">
        <f ca="1">IFERROR(__xludf.DUMMYFUNCTION("""COMPUTED_VALUE"""),"Yes")</f>
        <v>Yes</v>
      </c>
      <c r="I72" s="5" t="str">
        <f ca="1">IFERROR(__xludf.DUMMYFUNCTION("""COMPUTED_VALUE"""),"Yes")</f>
        <v>Yes</v>
      </c>
      <c r="J72" s="5" t="str">
        <f ca="1">IFERROR(__xludf.DUMMYFUNCTION("""COMPUTED_VALUE"""),"Yes")</f>
        <v>Yes</v>
      </c>
      <c r="K72" s="5" t="str">
        <f ca="1">IFERROR(__xludf.DUMMYFUNCTION("""COMPUTED_VALUE"""),"Yes")</f>
        <v>Yes</v>
      </c>
      <c r="L72" s="5" t="str">
        <f ca="1">IFERROR(__xludf.DUMMYFUNCTION("""COMPUTED_VALUE"""),"Yes")</f>
        <v>Yes</v>
      </c>
      <c r="M72" s="5" t="str">
        <f ca="1">IFERROR(__xludf.DUMMYFUNCTION("""COMPUTED_VALUE"""),"Yes")</f>
        <v>Yes</v>
      </c>
      <c r="N72" s="5" t="str">
        <f ca="1">IFERROR(__xludf.DUMMYFUNCTION("""COMPUTED_VALUE"""),"Yes")</f>
        <v>Yes</v>
      </c>
      <c r="O72" s="5" t="str">
        <f ca="1">IFERROR(__xludf.DUMMYFUNCTION("""COMPUTED_VALUE"""),"Yes")</f>
        <v>Yes</v>
      </c>
      <c r="P72" s="5" t="str">
        <f ca="1">IFERROR(__xludf.DUMMYFUNCTION("""COMPUTED_VALUE"""),"Yes")</f>
        <v>Yes</v>
      </c>
      <c r="Q72" s="5" t="str">
        <f ca="1">IFERROR(__xludf.DUMMYFUNCTION("""COMPUTED_VALUE"""),"Yes")</f>
        <v>Yes</v>
      </c>
      <c r="R72" s="5" t="str">
        <f ca="1">IFERROR(__xludf.DUMMYFUNCTION("""COMPUTED_VALUE"""),"Yes")</f>
        <v>Yes</v>
      </c>
      <c r="S72" s="5" t="str">
        <f ca="1">IFERROR(__xludf.DUMMYFUNCTION("""COMPUTED_VALUE"""),"Yes")</f>
        <v>Yes</v>
      </c>
      <c r="T72" s="5" t="str">
        <f ca="1">IFERROR(__xludf.DUMMYFUNCTION("""COMPUTED_VALUE"""),"Yes")</f>
        <v>Yes</v>
      </c>
      <c r="U72" s="5" t="str">
        <f ca="1">IFERROR(__xludf.DUMMYFUNCTION("""COMPUTED_VALUE"""),"Yes")</f>
        <v>Yes</v>
      </c>
      <c r="V72" s="5" t="str">
        <f ca="1">IFERROR(__xludf.DUMMYFUNCTION("""COMPUTED_VALUE"""),"Yes")</f>
        <v>Yes</v>
      </c>
      <c r="W72" s="5" t="str">
        <f ca="1">IFERROR(__xludf.DUMMYFUNCTION("""COMPUTED_VALUE"""),"Yes")</f>
        <v>Yes</v>
      </c>
      <c r="X72" s="5" t="str">
        <f ca="1">IFERROR(__xludf.DUMMYFUNCTION("""COMPUTED_VALUE"""),"Yes")</f>
        <v>Yes</v>
      </c>
      <c r="Y72" s="5" t="str">
        <f ca="1">IFERROR(__xludf.DUMMYFUNCTION("""COMPUTED_VALUE"""),"Yes")</f>
        <v>Yes</v>
      </c>
      <c r="Z72" s="5" t="str">
        <f ca="1">IFERROR(__xludf.DUMMYFUNCTION("""COMPUTED_VALUE"""),"No")</f>
        <v>No</v>
      </c>
      <c r="AA72" s="5" t="str">
        <f ca="1">IFERROR(__xludf.DUMMYFUNCTION("""COMPUTED_VALUE"""),"Yes")</f>
        <v>Yes</v>
      </c>
      <c r="AB72" s="5" t="str">
        <f ca="1">IFERROR(__xludf.DUMMYFUNCTION("""COMPUTED_VALUE"""),"Yes")</f>
        <v>Yes</v>
      </c>
      <c r="AC72" s="5" t="str">
        <f ca="1">IFERROR(__xludf.DUMMYFUNCTION("""COMPUTED_VALUE"""),"Yes")</f>
        <v>Yes</v>
      </c>
      <c r="AD72" s="5" t="str">
        <f ca="1">IFERROR(__xludf.DUMMYFUNCTION("""COMPUTED_VALUE"""),"Yes")</f>
        <v>Yes</v>
      </c>
      <c r="AE72" s="5" t="str">
        <f ca="1">IFERROR(__xludf.DUMMYFUNCTION("""COMPUTED_VALUE"""),"No")</f>
        <v>No</v>
      </c>
      <c r="AF72" s="5" t="str">
        <f ca="1">IFERROR(__xludf.DUMMYFUNCTION("""COMPUTED_VALUE"""),"Yes")</f>
        <v>Yes</v>
      </c>
      <c r="AG72" s="5" t="str">
        <f ca="1">IFERROR(__xludf.DUMMYFUNCTION("""COMPUTED_VALUE"""),"No")</f>
        <v>No</v>
      </c>
      <c r="AH72" s="5" t="str">
        <f ca="1">IFERROR(__xludf.DUMMYFUNCTION("""COMPUTED_VALUE"""),"No")</f>
        <v>No</v>
      </c>
      <c r="AI72" s="5" t="str">
        <f ca="1">IFERROR(__xludf.DUMMYFUNCTION("""COMPUTED_VALUE"""),"No")</f>
        <v>No</v>
      </c>
      <c r="AJ72" s="5" t="str">
        <f ca="1">IFERROR(__xludf.DUMMYFUNCTION("""COMPUTED_VALUE"""),"No")</f>
        <v>No</v>
      </c>
      <c r="AK72" s="5" t="str">
        <f ca="1">IFERROR(__xludf.DUMMYFUNCTION("""COMPUTED_VALUE"""),"No")</f>
        <v>No</v>
      </c>
      <c r="AL72" s="5" t="str">
        <f ca="1">IFERROR(__xludf.DUMMYFUNCTION("""COMPUTED_VALUE"""),"No")</f>
        <v>No</v>
      </c>
      <c r="AM72" s="5"/>
      <c r="AN72" s="5"/>
      <c r="AO72" s="5"/>
      <c r="AP72" s="5"/>
      <c r="AQ72" s="5"/>
      <c r="AR72" s="5"/>
      <c r="AS72" s="5"/>
      <c r="AT72" s="5"/>
      <c r="AU72" s="5"/>
      <c r="AV72" s="5"/>
      <c r="AW72" s="5"/>
      <c r="AX72" s="5"/>
      <c r="AY72" s="5"/>
    </row>
    <row r="73" spans="1:51" x14ac:dyDescent="0.25">
      <c r="A7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73" s="5">
        <f ca="1">IFERROR(__xludf.DUMMYFUNCTION("""COMPUTED_VALUE"""),72)</f>
        <v>72</v>
      </c>
      <c r="C73" s="5">
        <f ca="1">IFERROR(__xludf.DUMMYFUNCTION("""COMPUTED_VALUE"""),71)</f>
        <v>71</v>
      </c>
      <c r="D73" s="5" t="str">
        <f ca="1">IFERROR(__xludf.DUMMYFUNCTION("""COMPUTED_VALUE"""),"UnicornVegasDice")</f>
        <v>UnicornVegasDice</v>
      </c>
      <c r="E73" s="5" t="str">
        <f ca="1">IFERROR(__xludf.DUMMYFUNCTION("""COMPUTED_VALUE"""),"Yes")</f>
        <v>Yes</v>
      </c>
      <c r="F73" s="5" t="str">
        <f ca="1">IFERROR(__xludf.DUMMYFUNCTION("""COMPUTED_VALUE"""),"Yes")</f>
        <v>Yes</v>
      </c>
      <c r="G73" s="5" t="str">
        <f ca="1">IFERROR(__xludf.DUMMYFUNCTION("""COMPUTED_VALUE"""),"Yes")</f>
        <v>Yes</v>
      </c>
      <c r="H73" s="5" t="str">
        <f ca="1">IFERROR(__xludf.DUMMYFUNCTION("""COMPUTED_VALUE"""),"No")</f>
        <v>No</v>
      </c>
      <c r="I73" s="5" t="str">
        <f ca="1">IFERROR(__xludf.DUMMYFUNCTION("""COMPUTED_VALUE"""),"No")</f>
        <v>No</v>
      </c>
      <c r="J73" s="5" t="str">
        <f ca="1">IFERROR(__xludf.DUMMYFUNCTION("""COMPUTED_VALUE"""),"No")</f>
        <v>No</v>
      </c>
      <c r="K73" s="5" t="str">
        <f ca="1">IFERROR(__xludf.DUMMYFUNCTION("""COMPUTED_VALUE"""),"No")</f>
        <v>No</v>
      </c>
      <c r="L73" s="5" t="str">
        <f ca="1">IFERROR(__xludf.DUMMYFUNCTION("""COMPUTED_VALUE"""),"No")</f>
        <v>No</v>
      </c>
      <c r="M73" s="5" t="str">
        <f ca="1">IFERROR(__xludf.DUMMYFUNCTION("""COMPUTED_VALUE"""),"Yes")</f>
        <v>Yes</v>
      </c>
      <c r="N73" s="5" t="str">
        <f ca="1">IFERROR(__xludf.DUMMYFUNCTION("""COMPUTED_VALUE"""),"Yes")</f>
        <v>Yes</v>
      </c>
      <c r="O73" s="5" t="str">
        <f ca="1">IFERROR(__xludf.DUMMYFUNCTION("""COMPUTED_VALUE"""),"Yes")</f>
        <v>Yes</v>
      </c>
      <c r="P73" s="5" t="str">
        <f ca="1">IFERROR(__xludf.DUMMYFUNCTION("""COMPUTED_VALUE"""),"Yes")</f>
        <v>Yes</v>
      </c>
      <c r="Q73" s="5" t="str">
        <f ca="1">IFERROR(__xludf.DUMMYFUNCTION("""COMPUTED_VALUE"""),"Yes")</f>
        <v>Yes</v>
      </c>
      <c r="R73" s="5" t="str">
        <f ca="1">IFERROR(__xludf.DUMMYFUNCTION("""COMPUTED_VALUE"""),"No")</f>
        <v>No</v>
      </c>
      <c r="S73" s="5" t="str">
        <f ca="1">IFERROR(__xludf.DUMMYFUNCTION("""COMPUTED_VALUE"""),"Yes")</f>
        <v>Yes</v>
      </c>
      <c r="T73" s="5" t="str">
        <f ca="1">IFERROR(__xludf.DUMMYFUNCTION("""COMPUTED_VALUE"""),"No")</f>
        <v>No</v>
      </c>
      <c r="U73" s="5" t="str">
        <f ca="1">IFERROR(__xludf.DUMMYFUNCTION("""COMPUTED_VALUE"""),"No")</f>
        <v>No</v>
      </c>
      <c r="V73" s="5" t="str">
        <f ca="1">IFERROR(__xludf.DUMMYFUNCTION("""COMPUTED_VALUE"""),"No")</f>
        <v>No</v>
      </c>
      <c r="W73" s="5" t="str">
        <f ca="1">IFERROR(__xludf.DUMMYFUNCTION("""COMPUTED_VALUE"""),"No")</f>
        <v>No</v>
      </c>
      <c r="X73" s="5" t="str">
        <f ca="1">IFERROR(__xludf.DUMMYFUNCTION("""COMPUTED_VALUE"""),"No")</f>
        <v>No</v>
      </c>
      <c r="Y73" s="5"/>
      <c r="Z73" s="5"/>
      <c r="AA73" s="5" t="str">
        <f ca="1">IFERROR(__xludf.DUMMYFUNCTION("""COMPUTED_VALUE"""),"No")</f>
        <v>No</v>
      </c>
      <c r="AB73" s="5"/>
      <c r="AC73" s="5" t="str">
        <f ca="1">IFERROR(__xludf.DUMMYFUNCTION("""COMPUTED_VALUE"""),"No")</f>
        <v>No</v>
      </c>
      <c r="AD73" s="5"/>
      <c r="AE73" s="5"/>
      <c r="AF73" s="5" t="str">
        <f ca="1">IFERROR(__xludf.DUMMYFUNCTION("""COMPUTED_VALUE"""),"No")</f>
        <v>No</v>
      </c>
      <c r="AG73" s="5"/>
      <c r="AH73" s="5"/>
      <c r="AI73" s="5"/>
      <c r="AJ73" s="5"/>
      <c r="AK73" s="5"/>
      <c r="AL73" s="5" t="str">
        <f ca="1">IFERROR(__xludf.DUMMYFUNCTION("""COMPUTED_VALUE"""),"No")</f>
        <v>No</v>
      </c>
      <c r="AM73" s="5"/>
      <c r="AN73" s="5"/>
      <c r="AO73" s="5"/>
      <c r="AP73" s="5"/>
      <c r="AQ73" s="5"/>
      <c r="AR73" s="5"/>
      <c r="AS73" s="5"/>
      <c r="AT73" s="5"/>
      <c r="AU73" s="5"/>
      <c r="AV73" s="5"/>
      <c r="AW73" s="5"/>
      <c r="AX73" s="5"/>
      <c r="AY73" s="5"/>
    </row>
    <row r="74" spans="1:51" x14ac:dyDescent="0.25">
      <c r="A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4" s="5">
        <f ca="1">IFERROR(__xludf.DUMMYFUNCTION("""COMPUTED_VALUE"""),73)</f>
        <v>73</v>
      </c>
      <c r="C74" s="5">
        <f ca="1">IFERROR(__xludf.DUMMYFUNCTION("""COMPUTED_VALUE"""),72)</f>
        <v>72</v>
      </c>
      <c r="D74" s="5" t="str">
        <f ca="1">IFERROR(__xludf.DUMMYFUNCTION("""COMPUTED_VALUE"""),"BookOfMayanGold")</f>
        <v>BookOfMayanGold</v>
      </c>
      <c r="E74" s="5" t="str">
        <f ca="1">IFERROR(__xludf.DUMMYFUNCTION("""COMPUTED_VALUE"""),"Yes")</f>
        <v>Yes</v>
      </c>
      <c r="F74" s="5" t="str">
        <f ca="1">IFERROR(__xludf.DUMMYFUNCTION("""COMPUTED_VALUE"""),"Yes")</f>
        <v>Yes</v>
      </c>
      <c r="G74" s="5" t="str">
        <f ca="1">IFERROR(__xludf.DUMMYFUNCTION("""COMPUTED_VALUE"""),"Yes")</f>
        <v>Yes</v>
      </c>
      <c r="H74" s="5" t="str">
        <f ca="1">IFERROR(__xludf.DUMMYFUNCTION("""COMPUTED_VALUE"""),"Yes")</f>
        <v>Yes</v>
      </c>
      <c r="I74" s="5" t="str">
        <f ca="1">IFERROR(__xludf.DUMMYFUNCTION("""COMPUTED_VALUE"""),"Yes")</f>
        <v>Yes</v>
      </c>
      <c r="J74" s="5" t="str">
        <f ca="1">IFERROR(__xludf.DUMMYFUNCTION("""COMPUTED_VALUE"""),"Yes")</f>
        <v>Yes</v>
      </c>
      <c r="K74" s="5" t="str">
        <f ca="1">IFERROR(__xludf.DUMMYFUNCTION("""COMPUTED_VALUE"""),"Yes")</f>
        <v>Yes</v>
      </c>
      <c r="L74" s="5" t="str">
        <f ca="1">IFERROR(__xludf.DUMMYFUNCTION("""COMPUTED_VALUE"""),"Yes")</f>
        <v>Yes</v>
      </c>
      <c r="M74" s="5" t="str">
        <f ca="1">IFERROR(__xludf.DUMMYFUNCTION("""COMPUTED_VALUE"""),"Yes")</f>
        <v>Yes</v>
      </c>
      <c r="N74" s="5" t="str">
        <f ca="1">IFERROR(__xludf.DUMMYFUNCTION("""COMPUTED_VALUE"""),"Yes")</f>
        <v>Yes</v>
      </c>
      <c r="O74" s="5" t="str">
        <f ca="1">IFERROR(__xludf.DUMMYFUNCTION("""COMPUTED_VALUE"""),"Yes")</f>
        <v>Yes</v>
      </c>
      <c r="P74" s="5" t="str">
        <f ca="1">IFERROR(__xludf.DUMMYFUNCTION("""COMPUTED_VALUE"""),"Yes")</f>
        <v>Yes</v>
      </c>
      <c r="Q74" s="5" t="str">
        <f ca="1">IFERROR(__xludf.DUMMYFUNCTION("""COMPUTED_VALUE"""),"Yes")</f>
        <v>Yes</v>
      </c>
      <c r="R74" s="5" t="str">
        <f ca="1">IFERROR(__xludf.DUMMYFUNCTION("""COMPUTED_VALUE"""),"Yes")</f>
        <v>Yes</v>
      </c>
      <c r="S74" s="5" t="str">
        <f ca="1">IFERROR(__xludf.DUMMYFUNCTION("""COMPUTED_VALUE"""),"Yes")</f>
        <v>Yes</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IFERROR(__xludf.DUMMYFUNCTION("""COMPUTED_VALUE"""),"Yes")</f>
        <v>Yes</v>
      </c>
      <c r="X74" s="5" t="str">
        <f ca="1">IFERROR(__xludf.DUMMYFUNCTION("""COMPUTED_VALUE"""),"Yes")</f>
        <v>Yes</v>
      </c>
      <c r="Y74" s="5" t="str">
        <f ca="1">IFERROR(__xludf.DUMMYFUNCTION("""COMPUTED_VALUE"""),"Yes")</f>
        <v>Yes</v>
      </c>
      <c r="Z74" s="5" t="str">
        <f ca="1">IFERROR(__xludf.DUMMYFUNCTION("""COMPUTED_VALUE"""),"No")</f>
        <v>No</v>
      </c>
      <c r="AA74" s="5" t="str">
        <f ca="1">IFERROR(__xludf.DUMMYFUNCTION("""COMPUTED_VALUE"""),"Yes")</f>
        <v>Yes</v>
      </c>
      <c r="AB74" s="5" t="str">
        <f ca="1">IFERROR(__xludf.DUMMYFUNCTION("""COMPUTED_VALUE"""),"Yes")</f>
        <v>Yes</v>
      </c>
      <c r="AC74" s="5" t="str">
        <f ca="1">IFERROR(__xludf.DUMMYFUNCTION("""COMPUTED_VALUE"""),"Yes")</f>
        <v>Yes</v>
      </c>
      <c r="AD74" s="5" t="str">
        <f ca="1">IFERROR(__xludf.DUMMYFUNCTION("""COMPUTED_VALUE"""),"Yes")</f>
        <v>Yes</v>
      </c>
      <c r="AE74" s="5" t="str">
        <f ca="1">IFERROR(__xludf.DUMMYFUNCTION("""COMPUTED_VALUE"""),"No")</f>
        <v>No</v>
      </c>
      <c r="AF74" s="5" t="str">
        <f ca="1">IFERROR(__xludf.DUMMYFUNCTION("""COMPUTED_VALUE"""),"Yes")</f>
        <v>Yes</v>
      </c>
      <c r="AG74" s="5" t="str">
        <f ca="1">IFERROR(__xludf.DUMMYFUNCTION("""COMPUTED_VALUE"""),"No")</f>
        <v>No</v>
      </c>
      <c r="AH74" s="5" t="str">
        <f ca="1">IFERROR(__xludf.DUMMYFUNCTION("""COMPUTED_VALUE"""),"No")</f>
        <v>No</v>
      </c>
      <c r="AI74" s="5" t="str">
        <f ca="1">IFERROR(__xludf.DUMMYFUNCTION("""COMPUTED_VALUE"""),"No")</f>
        <v>No</v>
      </c>
      <c r="AJ74" s="5" t="str">
        <f ca="1">IFERROR(__xludf.DUMMYFUNCTION("""COMPUTED_VALUE"""),"No")</f>
        <v>No</v>
      </c>
      <c r="AK74" s="5" t="str">
        <f ca="1">IFERROR(__xludf.DUMMYFUNCTION("""COMPUTED_VALUE"""),"No")</f>
        <v>No</v>
      </c>
      <c r="AL74" s="5" t="str">
        <f ca="1">IFERROR(__xludf.DUMMYFUNCTION("""COMPUTED_VALUE"""),"No")</f>
        <v>No</v>
      </c>
      <c r="AM74" s="5"/>
      <c r="AN74" s="5"/>
      <c r="AO74" s="5"/>
      <c r="AP74" s="5"/>
      <c r="AQ74" s="5"/>
      <c r="AR74" s="5"/>
      <c r="AS74" s="5"/>
      <c r="AT74" s="5"/>
      <c r="AU74" s="5"/>
      <c r="AV74" s="5"/>
      <c r="AW74" s="5"/>
      <c r="AX74" s="5"/>
      <c r="AY74" s="5"/>
    </row>
    <row r="75" spans="1:51" x14ac:dyDescent="0.25">
      <c r="A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5" s="5">
        <f ca="1">IFERROR(__xludf.DUMMYFUNCTION("""COMPUTED_VALUE"""),74)</f>
        <v>74</v>
      </c>
      <c r="C75" s="5">
        <f ca="1">IFERROR(__xludf.DUMMYFUNCTION("""COMPUTED_VALUE"""),73)</f>
        <v>73</v>
      </c>
      <c r="D75" s="5" t="str">
        <f ca="1">IFERROR(__xludf.DUMMYFUNCTION("""COMPUTED_VALUE"""),"BurstingHot5")</f>
        <v>BurstingHot5</v>
      </c>
      <c r="E75" s="5" t="str">
        <f ca="1">IFERROR(__xludf.DUMMYFUNCTION("""COMPUTED_VALUE"""),"Yes")</f>
        <v>Yes</v>
      </c>
      <c r="F75" s="5" t="str">
        <f ca="1">IFERROR(__xludf.DUMMYFUNCTION("""COMPUTED_VALUE"""),"Yes")</f>
        <v>Yes</v>
      </c>
      <c r="G75" s="5" t="str">
        <f ca="1">IFERROR(__xludf.DUMMYFUNCTION("""COMPUTED_VALUE"""),"Yes")</f>
        <v>Yes</v>
      </c>
      <c r="H75" s="5" t="str">
        <f ca="1">IFERROR(__xludf.DUMMYFUNCTION("""COMPUTED_VALUE"""),"Yes")</f>
        <v>Yes</v>
      </c>
      <c r="I75" s="5" t="str">
        <f ca="1">IFERROR(__xludf.DUMMYFUNCTION("""COMPUTED_VALUE"""),"Yes")</f>
        <v>Yes</v>
      </c>
      <c r="J75" s="5" t="str">
        <f ca="1">IFERROR(__xludf.DUMMYFUNCTION("""COMPUTED_VALUE"""),"Yes")</f>
        <v>Yes</v>
      </c>
      <c r="K75" s="5" t="str">
        <f ca="1">IFERROR(__xludf.DUMMYFUNCTION("""COMPUTED_VALUE"""),"Yes")</f>
        <v>Yes</v>
      </c>
      <c r="L75" s="5" t="str">
        <f ca="1">IFERROR(__xludf.DUMMYFUNCTION("""COMPUTED_VALUE"""),"Yes")</f>
        <v>Yes</v>
      </c>
      <c r="M75" s="5" t="str">
        <f ca="1">IFERROR(__xludf.DUMMYFUNCTION("""COMPUTED_VALUE"""),"Yes")</f>
        <v>Yes</v>
      </c>
      <c r="N75" s="5" t="str">
        <f ca="1">IFERROR(__xludf.DUMMYFUNCTION("""COMPUTED_VALUE"""),"Yes")</f>
        <v>Yes</v>
      </c>
      <c r="O75" s="5" t="str">
        <f ca="1">IFERROR(__xludf.DUMMYFUNCTION("""COMPUTED_VALUE"""),"Yes")</f>
        <v>Yes</v>
      </c>
      <c r="P75" s="5" t="str">
        <f ca="1">IFERROR(__xludf.DUMMYFUNCTION("""COMPUTED_VALUE"""),"Yes")</f>
        <v>Yes</v>
      </c>
      <c r="Q75" s="5" t="str">
        <f ca="1">IFERROR(__xludf.DUMMYFUNCTION("""COMPUTED_VALUE"""),"Yes")</f>
        <v>Yes</v>
      </c>
      <c r="R75" s="5" t="str">
        <f ca="1">IFERROR(__xludf.DUMMYFUNCTION("""COMPUTED_VALUE"""),"Yes")</f>
        <v>Yes</v>
      </c>
      <c r="S75" s="5" t="str">
        <f ca="1">IFERROR(__xludf.DUMMYFUNCTION("""COMPUTED_VALUE"""),"Yes")</f>
        <v>Yes</v>
      </c>
      <c r="T75" s="5" t="str">
        <f ca="1">IFERROR(__xludf.DUMMYFUNCTION("""COMPUTED_VALUE"""),"Yes")</f>
        <v>Yes</v>
      </c>
      <c r="U75" s="5" t="str">
        <f ca="1">IFERROR(__xludf.DUMMYFUNCTION("""COMPUTED_VALUE"""),"Yes")</f>
        <v>Yes</v>
      </c>
      <c r="V75" s="5" t="str">
        <f ca="1">IFERROR(__xludf.DUMMYFUNCTION("""COMPUTED_VALUE"""),"Yes")</f>
        <v>Yes</v>
      </c>
      <c r="W75" s="5" t="str">
        <f ca="1">IFERROR(__xludf.DUMMYFUNCTION("""COMPUTED_VALUE"""),"Yes")</f>
        <v>Yes</v>
      </c>
      <c r="X75" s="5" t="str">
        <f ca="1">IFERROR(__xludf.DUMMYFUNCTION("""COMPUTED_VALUE"""),"Yes")</f>
        <v>Yes</v>
      </c>
      <c r="Y75" s="5" t="str">
        <f ca="1">IFERROR(__xludf.DUMMYFUNCTION("""COMPUTED_VALUE"""),"Yes")</f>
        <v>Yes</v>
      </c>
      <c r="Z75" s="5" t="str">
        <f ca="1">IFERROR(__xludf.DUMMYFUNCTION("""COMPUTED_VALUE"""),"No")</f>
        <v>No</v>
      </c>
      <c r="AA75" s="5" t="str">
        <f ca="1">IFERROR(__xludf.DUMMYFUNCTION("""COMPUTED_VALUE"""),"Yes")</f>
        <v>Yes</v>
      </c>
      <c r="AB75" s="5" t="str">
        <f ca="1">IFERROR(__xludf.DUMMYFUNCTION("""COMPUTED_VALUE"""),"Yes")</f>
        <v>Yes</v>
      </c>
      <c r="AC75" s="5" t="str">
        <f ca="1">IFERROR(__xludf.DUMMYFUNCTION("""COMPUTED_VALUE"""),"Yes")</f>
        <v>Yes</v>
      </c>
      <c r="AD75" s="5" t="str">
        <f ca="1">IFERROR(__xludf.DUMMYFUNCTION("""COMPUTED_VALUE"""),"Yes")</f>
        <v>Yes</v>
      </c>
      <c r="AE75" s="5" t="str">
        <f ca="1">IFERROR(__xludf.DUMMYFUNCTION("""COMPUTED_VALUE"""),"No")</f>
        <v>No</v>
      </c>
      <c r="AF75" s="5" t="str">
        <f ca="1">IFERROR(__xludf.DUMMYFUNCTION("""COMPUTED_VALUE"""),"Yes")</f>
        <v>Yes</v>
      </c>
      <c r="AG75" s="5" t="str">
        <f ca="1">IFERROR(__xludf.DUMMYFUNCTION("""COMPUTED_VALUE"""),"No")</f>
        <v>No</v>
      </c>
      <c r="AH75" s="5" t="str">
        <f ca="1">IFERROR(__xludf.DUMMYFUNCTION("""COMPUTED_VALUE"""),"No")</f>
        <v>No</v>
      </c>
      <c r="AI75" s="5" t="str">
        <f ca="1">IFERROR(__xludf.DUMMYFUNCTION("""COMPUTED_VALUE"""),"No")</f>
        <v>No</v>
      </c>
      <c r="AJ75" s="5" t="str">
        <f ca="1">IFERROR(__xludf.DUMMYFUNCTION("""COMPUTED_VALUE"""),"No")</f>
        <v>No</v>
      </c>
      <c r="AK75" s="5" t="str">
        <f ca="1">IFERROR(__xludf.DUMMYFUNCTION("""COMPUTED_VALUE"""),"No")</f>
        <v>No</v>
      </c>
      <c r="AL75" s="5" t="str">
        <f ca="1">IFERROR(__xludf.DUMMYFUNCTION("""COMPUTED_VALUE"""),"No")</f>
        <v>No</v>
      </c>
      <c r="AM75" s="5"/>
      <c r="AN75" s="5"/>
      <c r="AO75" s="5"/>
      <c r="AP75" s="5"/>
      <c r="AQ75" s="5"/>
      <c r="AR75" s="5"/>
      <c r="AS75" s="5"/>
      <c r="AT75" s="5"/>
      <c r="AU75" s="5"/>
      <c r="AV75" s="5"/>
      <c r="AW75" s="5"/>
      <c r="AX75" s="5"/>
      <c r="AY75" s="5"/>
    </row>
    <row r="76" spans="1:51" x14ac:dyDescent="0.25">
      <c r="A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6" s="5">
        <f ca="1">IFERROR(__xludf.DUMMYFUNCTION("""COMPUTED_VALUE"""),75)</f>
        <v>75</v>
      </c>
      <c r="C76" s="5">
        <f ca="1">IFERROR(__xludf.DUMMYFUNCTION("""COMPUTED_VALUE"""),74)</f>
        <v>74</v>
      </c>
      <c r="D76" s="5" t="str">
        <f ca="1">IFERROR(__xludf.DUMMYFUNCTION("""COMPUTED_VALUE"""),"WildHot40")</f>
        <v>WildHot40</v>
      </c>
      <c r="E76" s="5" t="str">
        <f ca="1">IFERROR(__xludf.DUMMYFUNCTION("""COMPUTED_VALUE"""),"Yes")</f>
        <v>Yes</v>
      </c>
      <c r="F76" s="5" t="str">
        <f ca="1">IFERROR(__xludf.DUMMYFUNCTION("""COMPUTED_VALUE"""),"Yes")</f>
        <v>Yes</v>
      </c>
      <c r="G76" s="5" t="str">
        <f ca="1">IFERROR(__xludf.DUMMYFUNCTION("""COMPUTED_VALUE"""),"Yes")</f>
        <v>Yes</v>
      </c>
      <c r="H76" s="5" t="str">
        <f ca="1">IFERROR(__xludf.DUMMYFUNCTION("""COMPUTED_VALUE"""),"Yes")</f>
        <v>Yes</v>
      </c>
      <c r="I76" s="5" t="str">
        <f ca="1">IFERROR(__xludf.DUMMYFUNCTION("""COMPUTED_VALUE"""),"Yes")</f>
        <v>Yes</v>
      </c>
      <c r="J76" s="5" t="str">
        <f ca="1">IFERROR(__xludf.DUMMYFUNCTION("""COMPUTED_VALUE"""),"Yes")</f>
        <v>Yes</v>
      </c>
      <c r="K76" s="5" t="str">
        <f ca="1">IFERROR(__xludf.DUMMYFUNCTION("""COMPUTED_VALUE"""),"Yes")</f>
        <v>Yes</v>
      </c>
      <c r="L76" s="5" t="str">
        <f ca="1">IFERROR(__xludf.DUMMYFUNCTION("""COMPUTED_VALUE"""),"Yes")</f>
        <v>Yes</v>
      </c>
      <c r="M76" s="5" t="str">
        <f ca="1">IFERROR(__xludf.DUMMYFUNCTION("""COMPUTED_VALUE"""),"Yes")</f>
        <v>Yes</v>
      </c>
      <c r="N76" s="5" t="str">
        <f ca="1">IFERROR(__xludf.DUMMYFUNCTION("""COMPUTED_VALUE"""),"Yes")</f>
        <v>Yes</v>
      </c>
      <c r="O76" s="5" t="str">
        <f ca="1">IFERROR(__xludf.DUMMYFUNCTION("""COMPUTED_VALUE"""),"Yes")</f>
        <v>Yes</v>
      </c>
      <c r="P76" s="5" t="str">
        <f ca="1">IFERROR(__xludf.DUMMYFUNCTION("""COMPUTED_VALUE"""),"Yes")</f>
        <v>Yes</v>
      </c>
      <c r="Q76" s="5" t="str">
        <f ca="1">IFERROR(__xludf.DUMMYFUNCTION("""COMPUTED_VALUE"""),"Yes")</f>
        <v>Yes</v>
      </c>
      <c r="R76" s="5" t="str">
        <f ca="1">IFERROR(__xludf.DUMMYFUNCTION("""COMPUTED_VALUE"""),"Yes")</f>
        <v>Yes</v>
      </c>
      <c r="S76" s="5" t="str">
        <f ca="1">IFERROR(__xludf.DUMMYFUNCTION("""COMPUTED_VALUE"""),"Yes")</f>
        <v>Yes</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IFERROR(__xludf.DUMMYFUNCTION("""COMPUTED_VALUE"""),"Yes")</f>
        <v>Yes</v>
      </c>
      <c r="X76" s="5" t="str">
        <f ca="1">IFERROR(__xludf.DUMMYFUNCTION("""COMPUTED_VALUE"""),"Yes")</f>
        <v>Yes</v>
      </c>
      <c r="Y76" s="5" t="str">
        <f ca="1">IFERROR(__xludf.DUMMYFUNCTION("""COMPUTED_VALUE"""),"Yes")</f>
        <v>Yes</v>
      </c>
      <c r="Z76" s="5" t="str">
        <f ca="1">IFERROR(__xludf.DUMMYFUNCTION("""COMPUTED_VALUE"""),"No")</f>
        <v>No</v>
      </c>
      <c r="AA76" s="5" t="str">
        <f ca="1">IFERROR(__xludf.DUMMYFUNCTION("""COMPUTED_VALUE"""),"Yes")</f>
        <v>Yes</v>
      </c>
      <c r="AB76" s="5" t="str">
        <f ca="1">IFERROR(__xludf.DUMMYFUNCTION("""COMPUTED_VALUE"""),"Yes")</f>
        <v>Yes</v>
      </c>
      <c r="AC76" s="5" t="str">
        <f ca="1">IFERROR(__xludf.DUMMYFUNCTION("""COMPUTED_VALUE"""),"Yes")</f>
        <v>Yes</v>
      </c>
      <c r="AD76" s="5" t="str">
        <f ca="1">IFERROR(__xludf.DUMMYFUNCTION("""COMPUTED_VALUE"""),"Yes")</f>
        <v>Yes</v>
      </c>
      <c r="AE76" s="5" t="str">
        <f ca="1">IFERROR(__xludf.DUMMYFUNCTION("""COMPUTED_VALUE"""),"No")</f>
        <v>No</v>
      </c>
      <c r="AF76" s="5" t="str">
        <f ca="1">IFERROR(__xludf.DUMMYFUNCTION("""COMPUTED_VALUE"""),"Yes")</f>
        <v>Yes</v>
      </c>
      <c r="AG76" s="5" t="str">
        <f ca="1">IFERROR(__xludf.DUMMYFUNCTION("""COMPUTED_VALUE"""),"No")</f>
        <v>No</v>
      </c>
      <c r="AH76" s="5" t="str">
        <f ca="1">IFERROR(__xludf.DUMMYFUNCTION("""COMPUTED_VALUE"""),"No")</f>
        <v>No</v>
      </c>
      <c r="AI76" s="5" t="str">
        <f ca="1">IFERROR(__xludf.DUMMYFUNCTION("""COMPUTED_VALUE"""),"No")</f>
        <v>No</v>
      </c>
      <c r="AJ76" s="5" t="str">
        <f ca="1">IFERROR(__xludf.DUMMYFUNCTION("""COMPUTED_VALUE"""),"No")</f>
        <v>No</v>
      </c>
      <c r="AK76" s="5" t="str">
        <f ca="1">IFERROR(__xludf.DUMMYFUNCTION("""COMPUTED_VALUE"""),"No")</f>
        <v>No</v>
      </c>
      <c r="AL76" s="5" t="str">
        <f ca="1">IFERROR(__xludf.DUMMYFUNCTION("""COMPUTED_VALUE"""),"No")</f>
        <v>No</v>
      </c>
      <c r="AM76" s="5"/>
      <c r="AN76" s="5"/>
      <c r="AO76" s="5"/>
      <c r="AP76" s="5"/>
      <c r="AQ76" s="5"/>
      <c r="AR76" s="5"/>
      <c r="AS76" s="5"/>
      <c r="AT76" s="5"/>
      <c r="AU76" s="5"/>
      <c r="AV76" s="5"/>
      <c r="AW76" s="5"/>
      <c r="AX76" s="5"/>
      <c r="AY76" s="5"/>
    </row>
    <row r="77" spans="1:51" x14ac:dyDescent="0.25">
      <c r="A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7" s="5">
        <f ca="1">IFERROR(__xludf.DUMMYFUNCTION("""COMPUTED_VALUE"""),76)</f>
        <v>76</v>
      </c>
      <c r="C77" s="5">
        <f ca="1">IFERROR(__xludf.DUMMYFUNCTION("""COMPUTED_VALUE"""),75)</f>
        <v>75</v>
      </c>
      <c r="D77" s="5" t="str">
        <f ca="1">IFERROR(__xludf.DUMMYFUNCTION("""COMPUTED_VALUE"""),"BurningIceGd")</f>
        <v>BurningIceGd</v>
      </c>
      <c r="E77" s="5" t="str">
        <f ca="1">IFERROR(__xludf.DUMMYFUNCTION("""COMPUTED_VALUE"""),"Yes")</f>
        <v>Yes</v>
      </c>
      <c r="F77" s="5" t="str">
        <f ca="1">IFERROR(__xludf.DUMMYFUNCTION("""COMPUTED_VALUE"""),"Yes")</f>
        <v>Yes</v>
      </c>
      <c r="G77" s="5" t="str">
        <f ca="1">IFERROR(__xludf.DUMMYFUNCTION("""COMPUTED_VALUE"""),"Yes")</f>
        <v>Yes</v>
      </c>
      <c r="H77" s="5" t="str">
        <f ca="1">IFERROR(__xludf.DUMMYFUNCTION("""COMPUTED_VALUE"""),"Yes")</f>
        <v>Yes</v>
      </c>
      <c r="I77" s="5" t="str">
        <f ca="1">IFERROR(__xludf.DUMMYFUNCTION("""COMPUTED_VALUE"""),"Yes")</f>
        <v>Yes</v>
      </c>
      <c r="J77" s="5" t="str">
        <f ca="1">IFERROR(__xludf.DUMMYFUNCTION("""COMPUTED_VALUE"""),"Yes")</f>
        <v>Yes</v>
      </c>
      <c r="K77" s="5" t="str">
        <f ca="1">IFERROR(__xludf.DUMMYFUNCTION("""COMPUTED_VALUE"""),"Yes")</f>
        <v>Yes</v>
      </c>
      <c r="L77" s="5" t="str">
        <f ca="1">IFERROR(__xludf.DUMMYFUNCTION("""COMPUTED_VALUE"""),"Yes")</f>
        <v>Yes</v>
      </c>
      <c r="M77" s="5" t="str">
        <f ca="1">IFERROR(__xludf.DUMMYFUNCTION("""COMPUTED_VALUE"""),"Yes")</f>
        <v>Yes</v>
      </c>
      <c r="N77" s="5" t="str">
        <f ca="1">IFERROR(__xludf.DUMMYFUNCTION("""COMPUTED_VALUE"""),"Yes")</f>
        <v>Yes</v>
      </c>
      <c r="O77" s="5" t="str">
        <f ca="1">IFERROR(__xludf.DUMMYFUNCTION("""COMPUTED_VALUE"""),"Yes")</f>
        <v>Yes</v>
      </c>
      <c r="P77" s="5" t="str">
        <f ca="1">IFERROR(__xludf.DUMMYFUNCTION("""COMPUTED_VALUE"""),"Yes")</f>
        <v>Yes</v>
      </c>
      <c r="Q77" s="5" t="str">
        <f ca="1">IFERROR(__xludf.DUMMYFUNCTION("""COMPUTED_VALUE"""),"Yes")</f>
        <v>Yes</v>
      </c>
      <c r="R77" s="5" t="str">
        <f ca="1">IFERROR(__xludf.DUMMYFUNCTION("""COMPUTED_VALUE"""),"Yes")</f>
        <v>Yes</v>
      </c>
      <c r="S77" s="5" t="str">
        <f ca="1">IFERROR(__xludf.DUMMYFUNCTION("""COMPUTED_VALUE"""),"Yes")</f>
        <v>Yes</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IFERROR(__xludf.DUMMYFUNCTION("""COMPUTED_VALUE"""),"Yes")</f>
        <v>Yes</v>
      </c>
      <c r="X77" s="5" t="str">
        <f ca="1">IFERROR(__xludf.DUMMYFUNCTION("""COMPUTED_VALUE"""),"Yes")</f>
        <v>Yes</v>
      </c>
      <c r="Y77" s="5" t="str">
        <f ca="1">IFERROR(__xludf.DUMMYFUNCTION("""COMPUTED_VALUE"""),"Yes")</f>
        <v>Yes</v>
      </c>
      <c r="Z77" s="5" t="str">
        <f ca="1">IFERROR(__xludf.DUMMYFUNCTION("""COMPUTED_VALUE"""),"No")</f>
        <v>No</v>
      </c>
      <c r="AA77" s="5" t="str">
        <f ca="1">IFERROR(__xludf.DUMMYFUNCTION("""COMPUTED_VALUE"""),"Yes")</f>
        <v>Yes</v>
      </c>
      <c r="AB77" s="5" t="str">
        <f ca="1">IFERROR(__xludf.DUMMYFUNCTION("""COMPUTED_VALUE"""),"Yes")</f>
        <v>Yes</v>
      </c>
      <c r="AC77" s="5" t="str">
        <f ca="1">IFERROR(__xludf.DUMMYFUNCTION("""COMPUTED_VALUE"""),"Yes")</f>
        <v>Yes</v>
      </c>
      <c r="AD77" s="5" t="str">
        <f ca="1">IFERROR(__xludf.DUMMYFUNCTION("""COMPUTED_VALUE"""),"Yes")</f>
        <v>Yes</v>
      </c>
      <c r="AE77" s="5" t="str">
        <f ca="1">IFERROR(__xludf.DUMMYFUNCTION("""COMPUTED_VALUE"""),"No")</f>
        <v>No</v>
      </c>
      <c r="AF77" s="5" t="str">
        <f ca="1">IFERROR(__xludf.DUMMYFUNCTION("""COMPUTED_VALUE"""),"Yes")</f>
        <v>Yes</v>
      </c>
      <c r="AG77" s="5" t="str">
        <f ca="1">IFERROR(__xludf.DUMMYFUNCTION("""COMPUTED_VALUE"""),"No")</f>
        <v>No</v>
      </c>
      <c r="AH77" s="5" t="str">
        <f ca="1">IFERROR(__xludf.DUMMYFUNCTION("""COMPUTED_VALUE"""),"No")</f>
        <v>No</v>
      </c>
      <c r="AI77" s="5" t="str">
        <f ca="1">IFERROR(__xludf.DUMMYFUNCTION("""COMPUTED_VALUE"""),"No")</f>
        <v>No</v>
      </c>
      <c r="AJ77" s="5" t="str">
        <f ca="1">IFERROR(__xludf.DUMMYFUNCTION("""COMPUTED_VALUE"""),"No")</f>
        <v>No</v>
      </c>
      <c r="AK77" s="5" t="str">
        <f ca="1">IFERROR(__xludf.DUMMYFUNCTION("""COMPUTED_VALUE"""),"No")</f>
        <v>No</v>
      </c>
      <c r="AL77" s="5" t="str">
        <f ca="1">IFERROR(__xludf.DUMMYFUNCTION("""COMPUTED_VALUE"""),"No")</f>
        <v>No</v>
      </c>
      <c r="AM77" s="5"/>
      <c r="AN77" s="5"/>
      <c r="AO77" s="5"/>
      <c r="AP77" s="5"/>
      <c r="AQ77" s="5"/>
      <c r="AR77" s="5"/>
      <c r="AS77" s="5"/>
      <c r="AT77" s="5"/>
      <c r="AU77" s="5"/>
      <c r="AV77" s="5"/>
      <c r="AW77" s="5"/>
      <c r="AX77" s="5"/>
      <c r="AY77" s="5"/>
    </row>
    <row r="78" spans="1:51" x14ac:dyDescent="0.25">
      <c r="A78" s="5" t="str">
        <f ca="1">IFERROR(__xludf.DUMMYFUNCTION("""COMPUTED_VALUE"""),"English(""eng"")")</f>
        <v>English("eng")</v>
      </c>
      <c r="B78" s="5">
        <f ca="1">IFERROR(__xludf.DUMMYFUNCTION("""COMPUTED_VALUE"""),77)</f>
        <v>77</v>
      </c>
      <c r="C78" s="5">
        <f ca="1">IFERROR(__xludf.DUMMYFUNCTION("""COMPUTED_VALUE"""),76)</f>
        <v>76</v>
      </c>
      <c r="D78" s="5" t="str">
        <f ca="1">IFERROR(__xludf.DUMMYFUNCTION("""COMPUTED_VALUE"""),"UnicornReelDice")</f>
        <v>UnicornReelDice</v>
      </c>
      <c r="E78" s="5" t="str">
        <f ca="1">IFERROR(__xludf.DUMMYFUNCTION("""COMPUTED_VALUE"""),"Yes")</f>
        <v>Yes</v>
      </c>
      <c r="F78" s="5" t="str">
        <f ca="1">IFERROR(__xludf.DUMMYFUNCTION("""COMPUTED_VALUE"""),"No")</f>
        <v>No</v>
      </c>
      <c r="G78" s="5" t="str">
        <f ca="1">IFERROR(__xludf.DUMMYFUNCTION("""COMPUTED_VALUE"""),"No")</f>
        <v>No</v>
      </c>
      <c r="H78" s="5" t="str">
        <f ca="1">IFERROR(__xludf.DUMMYFUNCTION("""COMPUTED_VALUE"""),"No")</f>
        <v>No</v>
      </c>
      <c r="I78" s="5" t="str">
        <f ca="1">IFERROR(__xludf.DUMMYFUNCTION("""COMPUTED_VALUE"""),"No")</f>
        <v>No</v>
      </c>
      <c r="J78" s="5" t="str">
        <f ca="1">IFERROR(__xludf.DUMMYFUNCTION("""COMPUTED_VALUE"""),"No")</f>
        <v>No</v>
      </c>
      <c r="K78" s="5" t="str">
        <f ca="1">IFERROR(__xludf.DUMMYFUNCTION("""COMPUTED_VALUE"""),"No")</f>
        <v>No</v>
      </c>
      <c r="L78" s="5" t="str">
        <f ca="1">IFERROR(__xludf.DUMMYFUNCTION("""COMPUTED_VALUE"""),"No")</f>
        <v>No</v>
      </c>
      <c r="M78" s="5" t="str">
        <f ca="1">IFERROR(__xludf.DUMMYFUNCTION("""COMPUTED_VALUE"""),"No")</f>
        <v>No</v>
      </c>
      <c r="N78" s="5" t="str">
        <f ca="1">IFERROR(__xludf.DUMMYFUNCTION("""COMPUTED_VALUE"""),"No")</f>
        <v>No</v>
      </c>
      <c r="O78" s="5" t="str">
        <f ca="1">IFERROR(__xludf.DUMMYFUNCTION("""COMPUTED_VALUE"""),"No")</f>
        <v>No</v>
      </c>
      <c r="P78" s="5" t="str">
        <f ca="1">IFERROR(__xludf.DUMMYFUNCTION("""COMPUTED_VALUE"""),"No")</f>
        <v>No</v>
      </c>
      <c r="Q78" s="5" t="str">
        <f ca="1">IFERROR(__xludf.DUMMYFUNCTION("""COMPUTED_VALUE"""),"No")</f>
        <v>No</v>
      </c>
      <c r="R78" s="5" t="str">
        <f ca="1">IFERROR(__xludf.DUMMYFUNCTION("""COMPUTED_VALUE"""),"No")</f>
        <v>No</v>
      </c>
      <c r="S78" s="5" t="str">
        <f ca="1">IFERROR(__xludf.DUMMYFUNCTION("""COMPUTED_VALUE"""),"No")</f>
        <v>No</v>
      </c>
      <c r="T78" s="5" t="str">
        <f ca="1">IFERROR(__xludf.DUMMYFUNCTION("""COMPUTED_VALUE"""),"No")</f>
        <v>No</v>
      </c>
      <c r="U78" s="5" t="str">
        <f ca="1">IFERROR(__xludf.DUMMYFUNCTION("""COMPUTED_VALUE"""),"No")</f>
        <v>No</v>
      </c>
      <c r="V78" s="5" t="str">
        <f ca="1">IFERROR(__xludf.DUMMYFUNCTION("""COMPUTED_VALUE"""),"No")</f>
        <v>No</v>
      </c>
      <c r="W78" s="5" t="str">
        <f ca="1">IFERROR(__xludf.DUMMYFUNCTION("""COMPUTED_VALUE"""),"No")</f>
        <v>No</v>
      </c>
      <c r="X78" s="5" t="str">
        <f ca="1">IFERROR(__xludf.DUMMYFUNCTION("""COMPUTED_VALUE"""),"No")</f>
        <v>No</v>
      </c>
      <c r="Y78" s="5" t="str">
        <f ca="1">IFERROR(__xludf.DUMMYFUNCTION("""COMPUTED_VALUE"""),"No")</f>
        <v>No</v>
      </c>
      <c r="Z78" s="5" t="str">
        <f ca="1">IFERROR(__xludf.DUMMYFUNCTION("""COMPUTED_VALUE"""),"No")</f>
        <v>No</v>
      </c>
      <c r="AA78" s="5" t="str">
        <f ca="1">IFERROR(__xludf.DUMMYFUNCTION("""COMPUTED_VALUE"""),"No")</f>
        <v>No</v>
      </c>
      <c r="AB78" s="5" t="str">
        <f ca="1">IFERROR(__xludf.DUMMYFUNCTION("""COMPUTED_VALUE"""),"No")</f>
        <v>No</v>
      </c>
      <c r="AC78" s="5" t="str">
        <f ca="1">IFERROR(__xludf.DUMMYFUNCTION("""COMPUTED_VALUE"""),"No")</f>
        <v>No</v>
      </c>
      <c r="AD78" s="5" t="str">
        <f ca="1">IFERROR(__xludf.DUMMYFUNCTION("""COMPUTED_VALUE"""),"No")</f>
        <v>No</v>
      </c>
      <c r="AE78" s="5" t="str">
        <f ca="1">IFERROR(__xludf.DUMMYFUNCTION("""COMPUTED_VALUE"""),"No")</f>
        <v>No</v>
      </c>
      <c r="AF78" s="5" t="str">
        <f ca="1">IFERROR(__xludf.DUMMYFUNCTION("""COMPUTED_VALUE"""),"No")</f>
        <v>No</v>
      </c>
      <c r="AG78" s="5" t="str">
        <f ca="1">IFERROR(__xludf.DUMMYFUNCTION("""COMPUTED_VALUE"""),"No")</f>
        <v>No</v>
      </c>
      <c r="AH78" s="5" t="str">
        <f ca="1">IFERROR(__xludf.DUMMYFUNCTION("""COMPUTED_VALUE"""),"No")</f>
        <v>No</v>
      </c>
      <c r="AI78" s="5" t="str">
        <f ca="1">IFERROR(__xludf.DUMMYFUNCTION("""COMPUTED_VALUE"""),"No")</f>
        <v>No</v>
      </c>
      <c r="AJ78" s="5" t="str">
        <f ca="1">IFERROR(__xludf.DUMMYFUNCTION("""COMPUTED_VALUE"""),"No")</f>
        <v>No</v>
      </c>
      <c r="AK78" s="5" t="str">
        <f ca="1">IFERROR(__xludf.DUMMYFUNCTION("""COMPUTED_VALUE"""),"No")</f>
        <v>No</v>
      </c>
      <c r="AL78" s="5" t="str">
        <f ca="1">IFERROR(__xludf.DUMMYFUNCTION("""COMPUTED_VALUE"""),"No")</f>
        <v>No</v>
      </c>
      <c r="AM78" s="5"/>
      <c r="AN78" s="5"/>
      <c r="AO78" s="5"/>
      <c r="AP78" s="5"/>
      <c r="AQ78" s="5"/>
      <c r="AR78" s="5"/>
      <c r="AS78" s="5"/>
      <c r="AT78" s="5"/>
      <c r="AU78" s="5"/>
      <c r="AV78" s="5"/>
      <c r="AW78" s="5"/>
      <c r="AX78" s="5"/>
      <c r="AY78" s="5"/>
    </row>
    <row r="79" spans="1:51" x14ac:dyDescent="0.25">
      <c r="A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9" s="5">
        <f ca="1">IFERROR(__xludf.DUMMYFUNCTION("""COMPUTED_VALUE"""),78)</f>
        <v>78</v>
      </c>
      <c r="C79" s="5">
        <f ca="1">IFERROR(__xludf.DUMMYFUNCTION("""COMPUTED_VALUE"""),77)</f>
        <v>77</v>
      </c>
      <c r="D79" s="5" t="str">
        <f ca="1">IFERROR(__xludf.DUMMYFUNCTION("""COMPUTED_VALUE"""),"BurstingHot40")</f>
        <v>BurstingHot40</v>
      </c>
      <c r="E79" s="5" t="str">
        <f ca="1">IFERROR(__xludf.DUMMYFUNCTION("""COMPUTED_VALUE"""),"Yes")</f>
        <v>Yes</v>
      </c>
      <c r="F79" s="5" t="str">
        <f ca="1">IFERROR(__xludf.DUMMYFUNCTION("""COMPUTED_VALUE"""),"Yes")</f>
        <v>Yes</v>
      </c>
      <c r="G79" s="5" t="str">
        <f ca="1">IFERROR(__xludf.DUMMYFUNCTION("""COMPUTED_VALUE"""),"Yes")</f>
        <v>Yes</v>
      </c>
      <c r="H79" s="5" t="str">
        <f ca="1">IFERROR(__xludf.DUMMYFUNCTION("""COMPUTED_VALUE"""),"Yes")</f>
        <v>Yes</v>
      </c>
      <c r="I79" s="5" t="str">
        <f ca="1">IFERROR(__xludf.DUMMYFUNCTION("""COMPUTED_VALUE"""),"Yes")</f>
        <v>Yes</v>
      </c>
      <c r="J79" s="5" t="str">
        <f ca="1">IFERROR(__xludf.DUMMYFUNCTION("""COMPUTED_VALUE"""),"Yes")</f>
        <v>Yes</v>
      </c>
      <c r="K79" s="5" t="str">
        <f ca="1">IFERROR(__xludf.DUMMYFUNCTION("""COMPUTED_VALUE"""),"Yes")</f>
        <v>Yes</v>
      </c>
      <c r="L79" s="5" t="str">
        <f ca="1">IFERROR(__xludf.DUMMYFUNCTION("""COMPUTED_VALUE"""),"Yes")</f>
        <v>Yes</v>
      </c>
      <c r="M79" s="5" t="str">
        <f ca="1">IFERROR(__xludf.DUMMYFUNCTION("""COMPUTED_VALUE"""),"Yes")</f>
        <v>Yes</v>
      </c>
      <c r="N79" s="5" t="str">
        <f ca="1">IFERROR(__xludf.DUMMYFUNCTION("""COMPUTED_VALUE"""),"Yes")</f>
        <v>Yes</v>
      </c>
      <c r="O79" s="5" t="str">
        <f ca="1">IFERROR(__xludf.DUMMYFUNCTION("""COMPUTED_VALUE"""),"Yes")</f>
        <v>Yes</v>
      </c>
      <c r="P79" s="5" t="str">
        <f ca="1">IFERROR(__xludf.DUMMYFUNCTION("""COMPUTED_VALUE"""),"Yes")</f>
        <v>Yes</v>
      </c>
      <c r="Q79" s="5" t="str">
        <f ca="1">IFERROR(__xludf.DUMMYFUNCTION("""COMPUTED_VALUE"""),"Yes")</f>
        <v>Yes</v>
      </c>
      <c r="R79" s="5" t="str">
        <f ca="1">IFERROR(__xludf.DUMMYFUNCTION("""COMPUTED_VALUE"""),"Yes")</f>
        <v>Yes</v>
      </c>
      <c r="S79" s="5" t="str">
        <f ca="1">IFERROR(__xludf.DUMMYFUNCTION("""COMPUTED_VALUE"""),"Yes")</f>
        <v>Yes</v>
      </c>
      <c r="T79" s="5" t="str">
        <f ca="1">IFERROR(__xludf.DUMMYFUNCTION("""COMPUTED_VALUE"""),"Yes")</f>
        <v>Yes</v>
      </c>
      <c r="U79" s="5" t="str">
        <f ca="1">IFERROR(__xludf.DUMMYFUNCTION("""COMPUTED_VALUE"""),"Yes")</f>
        <v>Yes</v>
      </c>
      <c r="V79" s="5" t="str">
        <f ca="1">IFERROR(__xludf.DUMMYFUNCTION("""COMPUTED_VALUE"""),"Yes")</f>
        <v>Yes</v>
      </c>
      <c r="W79" s="5" t="str">
        <f ca="1">IFERROR(__xludf.DUMMYFUNCTION("""COMPUTED_VALUE"""),"Yes")</f>
        <v>Yes</v>
      </c>
      <c r="X79" s="5" t="str">
        <f ca="1">IFERROR(__xludf.DUMMYFUNCTION("""COMPUTED_VALUE"""),"Yes")</f>
        <v>Yes</v>
      </c>
      <c r="Y79" s="5" t="str">
        <f ca="1">IFERROR(__xludf.DUMMYFUNCTION("""COMPUTED_VALUE"""),"Yes")</f>
        <v>Yes</v>
      </c>
      <c r="Z79" s="5" t="str">
        <f ca="1">IFERROR(__xludf.DUMMYFUNCTION("""COMPUTED_VALUE"""),"No")</f>
        <v>No</v>
      </c>
      <c r="AA79" s="5" t="str">
        <f ca="1">IFERROR(__xludf.DUMMYFUNCTION("""COMPUTED_VALUE"""),"Yes")</f>
        <v>Yes</v>
      </c>
      <c r="AB79" s="5" t="str">
        <f ca="1">IFERROR(__xludf.DUMMYFUNCTION("""COMPUTED_VALUE"""),"Yes")</f>
        <v>Yes</v>
      </c>
      <c r="AC79" s="5" t="str">
        <f ca="1">IFERROR(__xludf.DUMMYFUNCTION("""COMPUTED_VALUE"""),"Yes")</f>
        <v>Yes</v>
      </c>
      <c r="AD79" s="5" t="str">
        <f ca="1">IFERROR(__xludf.DUMMYFUNCTION("""COMPUTED_VALUE"""),"Yes")</f>
        <v>Yes</v>
      </c>
      <c r="AE79" s="5" t="str">
        <f ca="1">IFERROR(__xludf.DUMMYFUNCTION("""COMPUTED_VALUE"""),"No")</f>
        <v>No</v>
      </c>
      <c r="AF79" s="5" t="str">
        <f ca="1">IFERROR(__xludf.DUMMYFUNCTION("""COMPUTED_VALUE"""),"Yes")</f>
        <v>Yes</v>
      </c>
      <c r="AG79" s="5" t="str">
        <f ca="1">IFERROR(__xludf.DUMMYFUNCTION("""COMPUTED_VALUE"""),"No")</f>
        <v>No</v>
      </c>
      <c r="AH79" s="5" t="str">
        <f ca="1">IFERROR(__xludf.DUMMYFUNCTION("""COMPUTED_VALUE"""),"No")</f>
        <v>No</v>
      </c>
      <c r="AI79" s="5" t="str">
        <f ca="1">IFERROR(__xludf.DUMMYFUNCTION("""COMPUTED_VALUE"""),"No")</f>
        <v>No</v>
      </c>
      <c r="AJ79" s="5" t="str">
        <f ca="1">IFERROR(__xludf.DUMMYFUNCTION("""COMPUTED_VALUE"""),"No")</f>
        <v>No</v>
      </c>
      <c r="AK79" s="5" t="str">
        <f ca="1">IFERROR(__xludf.DUMMYFUNCTION("""COMPUTED_VALUE"""),"No")</f>
        <v>No</v>
      </c>
      <c r="AL79" s="5" t="str">
        <f ca="1">IFERROR(__xludf.DUMMYFUNCTION("""COMPUTED_VALUE"""),"No")</f>
        <v>No</v>
      </c>
      <c r="AM79" s="5"/>
      <c r="AN79" s="5"/>
      <c r="AO79" s="5"/>
      <c r="AP79" s="5"/>
      <c r="AQ79" s="5"/>
      <c r="AR79" s="5"/>
      <c r="AS79" s="5"/>
      <c r="AT79" s="5"/>
      <c r="AU79" s="5"/>
      <c r="AV79" s="5"/>
      <c r="AW79" s="5"/>
      <c r="AX79" s="5"/>
      <c r="AY79" s="5"/>
    </row>
    <row r="80" spans="1:51" x14ac:dyDescent="0.25">
      <c r="A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0" s="5">
        <f ca="1">IFERROR(__xludf.DUMMYFUNCTION("""COMPUTED_VALUE"""),79)</f>
        <v>79</v>
      </c>
      <c r="C80" s="5">
        <f ca="1">IFERROR(__xludf.DUMMYFUNCTION("""COMPUTED_VALUE"""),78)</f>
        <v>78</v>
      </c>
      <c r="D80" s="5" t="str">
        <f ca="1">IFERROR(__xludf.DUMMYFUNCTION("""COMPUTED_VALUE"""),"BuffaloFortune")</f>
        <v>BuffaloFortune</v>
      </c>
      <c r="E80" s="5" t="str">
        <f ca="1">IFERROR(__xludf.DUMMYFUNCTION("""COMPUTED_VALUE"""),"Yes")</f>
        <v>Yes</v>
      </c>
      <c r="F80" s="5" t="str">
        <f ca="1">IFERROR(__xludf.DUMMYFUNCTION("""COMPUTED_VALUE"""),"Yes")</f>
        <v>Yes</v>
      </c>
      <c r="G80" s="5" t="str">
        <f ca="1">IFERROR(__xludf.DUMMYFUNCTION("""COMPUTED_VALUE"""),"Yes")</f>
        <v>Yes</v>
      </c>
      <c r="H80" s="5" t="str">
        <f ca="1">IFERROR(__xludf.DUMMYFUNCTION("""COMPUTED_VALUE"""),"Yes")</f>
        <v>Yes</v>
      </c>
      <c r="I80" s="5" t="str">
        <f ca="1">IFERROR(__xludf.DUMMYFUNCTION("""COMPUTED_VALUE"""),"Yes")</f>
        <v>Yes</v>
      </c>
      <c r="J80" s="5" t="str">
        <f ca="1">IFERROR(__xludf.DUMMYFUNCTION("""COMPUTED_VALUE"""),"Yes")</f>
        <v>Yes</v>
      </c>
      <c r="K80" s="5" t="str">
        <f ca="1">IFERROR(__xludf.DUMMYFUNCTION("""COMPUTED_VALUE"""),"Yes")</f>
        <v>Yes</v>
      </c>
      <c r="L80" s="5" t="str">
        <f ca="1">IFERROR(__xludf.DUMMYFUNCTION("""COMPUTED_VALUE"""),"Yes")</f>
        <v>Yes</v>
      </c>
      <c r="M80" s="5" t="str">
        <f ca="1">IFERROR(__xludf.DUMMYFUNCTION("""COMPUTED_VALUE"""),"Yes")</f>
        <v>Yes</v>
      </c>
      <c r="N80" s="5" t="str">
        <f ca="1">IFERROR(__xludf.DUMMYFUNCTION("""COMPUTED_VALUE"""),"Yes")</f>
        <v>Yes</v>
      </c>
      <c r="O80" s="5" t="str">
        <f ca="1">IFERROR(__xludf.DUMMYFUNCTION("""COMPUTED_VALUE"""),"Yes")</f>
        <v>Yes</v>
      </c>
      <c r="P80" s="5" t="str">
        <f ca="1">IFERROR(__xludf.DUMMYFUNCTION("""COMPUTED_VALUE"""),"Yes")</f>
        <v>Yes</v>
      </c>
      <c r="Q80" s="5" t="str">
        <f ca="1">IFERROR(__xludf.DUMMYFUNCTION("""COMPUTED_VALUE"""),"Yes")</f>
        <v>Yes</v>
      </c>
      <c r="R80" s="5" t="str">
        <f ca="1">IFERROR(__xludf.DUMMYFUNCTION("""COMPUTED_VALUE"""),"Yes")</f>
        <v>Yes</v>
      </c>
      <c r="S80" s="5" t="str">
        <f ca="1">IFERROR(__xludf.DUMMYFUNCTION("""COMPUTED_VALUE"""),"Yes")</f>
        <v>Yes</v>
      </c>
      <c r="T80" s="5" t="str">
        <f ca="1">IFERROR(__xludf.DUMMYFUNCTION("""COMPUTED_VALUE"""),"Yes")</f>
        <v>Yes</v>
      </c>
      <c r="U80" s="5" t="str">
        <f ca="1">IFERROR(__xludf.DUMMYFUNCTION("""COMPUTED_VALUE"""),"Yes")</f>
        <v>Yes</v>
      </c>
      <c r="V80" s="5" t="str">
        <f ca="1">IFERROR(__xludf.DUMMYFUNCTION("""COMPUTED_VALUE"""),"Yes")</f>
        <v>Yes</v>
      </c>
      <c r="W80" s="5" t="str">
        <f ca="1">IFERROR(__xludf.DUMMYFUNCTION("""COMPUTED_VALUE"""),"Yes")</f>
        <v>Yes</v>
      </c>
      <c r="X80" s="5" t="str">
        <f ca="1">IFERROR(__xludf.DUMMYFUNCTION("""COMPUTED_VALUE"""),"Yes")</f>
        <v>Yes</v>
      </c>
      <c r="Y80" s="5"/>
      <c r="Z80" s="5"/>
      <c r="AA80" s="5"/>
      <c r="AB80" s="5"/>
      <c r="AC80" s="5" t="str">
        <f ca="1">IFERROR(__xludf.DUMMYFUNCTION("""COMPUTED_VALUE"""),"Yes")</f>
        <v>Yes</v>
      </c>
      <c r="AD80" s="5"/>
      <c r="AE80" s="5"/>
      <c r="AF80" s="5"/>
      <c r="AG80" s="5"/>
      <c r="AH80" s="5"/>
      <c r="AI80" s="5"/>
      <c r="AJ80" s="5"/>
      <c r="AK80" s="5"/>
      <c r="AL80" s="5"/>
      <c r="AM80" s="5"/>
      <c r="AN80" s="5"/>
      <c r="AO80" s="5"/>
      <c r="AP80" s="5"/>
      <c r="AQ80" s="5"/>
      <c r="AR80" s="5"/>
      <c r="AS80" s="5"/>
      <c r="AT80" s="5"/>
      <c r="AU80" s="5"/>
      <c r="AV80" s="5"/>
      <c r="AW80" s="5"/>
      <c r="AX80" s="5"/>
      <c r="AY80" s="5"/>
    </row>
    <row r="81" spans="1:51" x14ac:dyDescent="0.25">
      <c r="A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1" s="5">
        <f ca="1">IFERROR(__xludf.DUMMYFUNCTION("""COMPUTED_VALUE"""),80)</f>
        <v>80</v>
      </c>
      <c r="C81" s="5">
        <f ca="1">IFERROR(__xludf.DUMMYFUNCTION("""COMPUTED_VALUE"""),79)</f>
        <v>79</v>
      </c>
      <c r="D81" s="5" t="str">
        <f ca="1">IFERROR(__xludf.DUMMYFUNCTION("""COMPUTED_VALUE"""),"DolphinsShine")</f>
        <v>DolphinsShine</v>
      </c>
      <c r="E81" s="5" t="str">
        <f ca="1">IFERROR(__xludf.DUMMYFUNCTION("""COMPUTED_VALUE"""),"Yes")</f>
        <v>Yes</v>
      </c>
      <c r="F81" s="5" t="str">
        <f ca="1">IFERROR(__xludf.DUMMYFUNCTION("""COMPUTED_VALUE"""),"Yes")</f>
        <v>Yes</v>
      </c>
      <c r="G81" s="5" t="str">
        <f ca="1">IFERROR(__xludf.DUMMYFUNCTION("""COMPUTED_VALUE"""),"Yes")</f>
        <v>Yes</v>
      </c>
      <c r="H81" s="5" t="str">
        <f ca="1">IFERROR(__xludf.DUMMYFUNCTION("""COMPUTED_VALUE"""),"Yes")</f>
        <v>Yes</v>
      </c>
      <c r="I81" s="5" t="str">
        <f ca="1">IFERROR(__xludf.DUMMYFUNCTION("""COMPUTED_VALUE"""),"Yes")</f>
        <v>Yes</v>
      </c>
      <c r="J81" s="5" t="str">
        <f ca="1">IFERROR(__xludf.DUMMYFUNCTION("""COMPUTED_VALUE"""),"Yes")</f>
        <v>Yes</v>
      </c>
      <c r="K81" s="5" t="str">
        <f ca="1">IFERROR(__xludf.DUMMYFUNCTION("""COMPUTED_VALUE"""),"Yes")</f>
        <v>Yes</v>
      </c>
      <c r="L81" s="5" t="str">
        <f ca="1">IFERROR(__xludf.DUMMYFUNCTION("""COMPUTED_VALUE"""),"Yes")</f>
        <v>Yes</v>
      </c>
      <c r="M81" s="5" t="str">
        <f ca="1">IFERROR(__xludf.DUMMYFUNCTION("""COMPUTED_VALUE"""),"Yes")</f>
        <v>Yes</v>
      </c>
      <c r="N81" s="5" t="str">
        <f ca="1">IFERROR(__xludf.DUMMYFUNCTION("""COMPUTED_VALUE"""),"Yes")</f>
        <v>Yes</v>
      </c>
      <c r="O81" s="5" t="str">
        <f ca="1">IFERROR(__xludf.DUMMYFUNCTION("""COMPUTED_VALUE"""),"Yes")</f>
        <v>Yes</v>
      </c>
      <c r="P81" s="5" t="str">
        <f ca="1">IFERROR(__xludf.DUMMYFUNCTION("""COMPUTED_VALUE"""),"Yes")</f>
        <v>Yes</v>
      </c>
      <c r="Q81" s="5" t="str">
        <f ca="1">IFERROR(__xludf.DUMMYFUNCTION("""COMPUTED_VALUE"""),"Yes")</f>
        <v>Yes</v>
      </c>
      <c r="R81" s="5" t="str">
        <f ca="1">IFERROR(__xludf.DUMMYFUNCTION("""COMPUTED_VALUE"""),"Yes")</f>
        <v>Yes</v>
      </c>
      <c r="S81" s="5" t="str">
        <f ca="1">IFERROR(__xludf.DUMMYFUNCTION("""COMPUTED_VALUE"""),"Yes")</f>
        <v>Yes</v>
      </c>
      <c r="T81" s="5" t="str">
        <f ca="1">IFERROR(__xludf.DUMMYFUNCTION("""COMPUTED_VALUE"""),"Yes")</f>
        <v>Yes</v>
      </c>
      <c r="U81" s="5" t="str">
        <f ca="1">IFERROR(__xludf.DUMMYFUNCTION("""COMPUTED_VALUE"""),"Yes")</f>
        <v>Yes</v>
      </c>
      <c r="V81" s="5" t="str">
        <f ca="1">IFERROR(__xludf.DUMMYFUNCTION("""COMPUTED_VALUE"""),"Yes")</f>
        <v>Yes</v>
      </c>
      <c r="W81" s="5" t="str">
        <f ca="1">IFERROR(__xludf.DUMMYFUNCTION("""COMPUTED_VALUE"""),"Yes")</f>
        <v>Yes</v>
      </c>
      <c r="X81" s="5" t="str">
        <f ca="1">IFERROR(__xludf.DUMMYFUNCTION("""COMPUTED_VALUE"""),"Yes")</f>
        <v>Yes</v>
      </c>
      <c r="Y81" s="5" t="str">
        <f ca="1">IFERROR(__xludf.DUMMYFUNCTION("""COMPUTED_VALUE"""),"Yes")</f>
        <v>Yes</v>
      </c>
      <c r="Z81" s="5" t="str">
        <f ca="1">IFERROR(__xludf.DUMMYFUNCTION("""COMPUTED_VALUE"""),"No")</f>
        <v>No</v>
      </c>
      <c r="AA81" s="5" t="str">
        <f ca="1">IFERROR(__xludf.DUMMYFUNCTION("""COMPUTED_VALUE"""),"Yes")</f>
        <v>Yes</v>
      </c>
      <c r="AB81" s="5" t="str">
        <f ca="1">IFERROR(__xludf.DUMMYFUNCTION("""COMPUTED_VALUE"""),"Yes")</f>
        <v>Yes</v>
      </c>
      <c r="AC81" s="5" t="str">
        <f ca="1">IFERROR(__xludf.DUMMYFUNCTION("""COMPUTED_VALUE"""),"Yes")</f>
        <v>Yes</v>
      </c>
      <c r="AD81" s="5" t="str">
        <f ca="1">IFERROR(__xludf.DUMMYFUNCTION("""COMPUTED_VALUE"""),"Yes")</f>
        <v>Yes</v>
      </c>
      <c r="AE81" s="5" t="str">
        <f ca="1">IFERROR(__xludf.DUMMYFUNCTION("""COMPUTED_VALUE"""),"No")</f>
        <v>No</v>
      </c>
      <c r="AF81" s="5" t="str">
        <f ca="1">IFERROR(__xludf.DUMMYFUNCTION("""COMPUTED_VALUE"""),"Yes")</f>
        <v>Yes</v>
      </c>
      <c r="AG81" s="5" t="str">
        <f ca="1">IFERROR(__xludf.DUMMYFUNCTION("""COMPUTED_VALUE"""),"No")</f>
        <v>No</v>
      </c>
      <c r="AH81" s="5" t="str">
        <f ca="1">IFERROR(__xludf.DUMMYFUNCTION("""COMPUTED_VALUE"""),"No")</f>
        <v>No</v>
      </c>
      <c r="AI81" s="5" t="str">
        <f ca="1">IFERROR(__xludf.DUMMYFUNCTION("""COMPUTED_VALUE"""),"No")</f>
        <v>No</v>
      </c>
      <c r="AJ81" s="5" t="str">
        <f ca="1">IFERROR(__xludf.DUMMYFUNCTION("""COMPUTED_VALUE"""),"No")</f>
        <v>No</v>
      </c>
      <c r="AK81" s="5" t="str">
        <f ca="1">IFERROR(__xludf.DUMMYFUNCTION("""COMPUTED_VALUE"""),"No")</f>
        <v>No</v>
      </c>
      <c r="AL81" s="5" t="str">
        <f ca="1">IFERROR(__xludf.DUMMYFUNCTION("""COMPUTED_VALUE"""),"No")</f>
        <v>No</v>
      </c>
      <c r="AM81" s="5"/>
      <c r="AN81" s="5"/>
      <c r="AO81" s="5"/>
      <c r="AP81" s="5"/>
      <c r="AQ81" s="5"/>
      <c r="AR81" s="5"/>
      <c r="AS81" s="5"/>
      <c r="AT81" s="5"/>
      <c r="AU81" s="5"/>
      <c r="AV81" s="5"/>
      <c r="AW81" s="5"/>
      <c r="AX81" s="5"/>
      <c r="AY81" s="5"/>
    </row>
    <row r="82" spans="1:51" x14ac:dyDescent="0.25">
      <c r="A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2" s="5">
        <f ca="1">IFERROR(__xludf.DUMMYFUNCTION("""COMPUTED_VALUE"""),81)</f>
        <v>81</v>
      </c>
      <c r="C82" s="5">
        <f ca="1">IFERROR(__xludf.DUMMYFUNCTION("""COMPUTED_VALUE"""),80)</f>
        <v>80</v>
      </c>
      <c r="D82" s="5" t="str">
        <f ca="1">IFERROR(__xludf.DUMMYFUNCTION("""COMPUTED_VALUE"""),"GoldenCrown")</f>
        <v>GoldenCrown</v>
      </c>
      <c r="E82" s="5" t="str">
        <f ca="1">IFERROR(__xludf.DUMMYFUNCTION("""COMPUTED_VALUE"""),"Yes")</f>
        <v>Yes</v>
      </c>
      <c r="F82" s="5" t="str">
        <f ca="1">IFERROR(__xludf.DUMMYFUNCTION("""COMPUTED_VALUE"""),"Yes")</f>
        <v>Yes</v>
      </c>
      <c r="G82" s="5" t="str">
        <f ca="1">IFERROR(__xludf.DUMMYFUNCTION("""COMPUTED_VALUE"""),"Yes")</f>
        <v>Yes</v>
      </c>
      <c r="H82" s="5" t="str">
        <f ca="1">IFERROR(__xludf.DUMMYFUNCTION("""COMPUTED_VALUE"""),"Yes")</f>
        <v>Yes</v>
      </c>
      <c r="I82" s="5" t="str">
        <f ca="1">IFERROR(__xludf.DUMMYFUNCTION("""COMPUTED_VALUE"""),"Yes")</f>
        <v>Yes</v>
      </c>
      <c r="J82" s="5" t="str">
        <f ca="1">IFERROR(__xludf.DUMMYFUNCTION("""COMPUTED_VALUE"""),"Yes")</f>
        <v>Yes</v>
      </c>
      <c r="K82" s="5" t="str">
        <f ca="1">IFERROR(__xludf.DUMMYFUNCTION("""COMPUTED_VALUE"""),"Yes")</f>
        <v>Yes</v>
      </c>
      <c r="L82" s="5" t="str">
        <f ca="1">IFERROR(__xludf.DUMMYFUNCTION("""COMPUTED_VALUE"""),"Yes")</f>
        <v>Yes</v>
      </c>
      <c r="M82" s="5" t="str">
        <f ca="1">IFERROR(__xludf.DUMMYFUNCTION("""COMPUTED_VALUE"""),"Yes")</f>
        <v>Yes</v>
      </c>
      <c r="N82" s="5" t="str">
        <f ca="1">IFERROR(__xludf.DUMMYFUNCTION("""COMPUTED_VALUE"""),"Yes")</f>
        <v>Yes</v>
      </c>
      <c r="O82" s="5" t="str">
        <f ca="1">IFERROR(__xludf.DUMMYFUNCTION("""COMPUTED_VALUE"""),"Yes")</f>
        <v>Yes</v>
      </c>
      <c r="P82" s="5" t="str">
        <f ca="1">IFERROR(__xludf.DUMMYFUNCTION("""COMPUTED_VALUE"""),"Yes")</f>
        <v>Yes</v>
      </c>
      <c r="Q82" s="5" t="str">
        <f ca="1">IFERROR(__xludf.DUMMYFUNCTION("""COMPUTED_VALUE"""),"Yes")</f>
        <v>Yes</v>
      </c>
      <c r="R82" s="5" t="str">
        <f ca="1">IFERROR(__xludf.DUMMYFUNCTION("""COMPUTED_VALUE"""),"Yes")</f>
        <v>Yes</v>
      </c>
      <c r="S82" s="5" t="str">
        <f ca="1">IFERROR(__xludf.DUMMYFUNCTION("""COMPUTED_VALUE"""),"Yes")</f>
        <v>Yes</v>
      </c>
      <c r="T82" s="5" t="str">
        <f ca="1">IFERROR(__xludf.DUMMYFUNCTION("""COMPUTED_VALUE"""),"Yes")</f>
        <v>Yes</v>
      </c>
      <c r="U82" s="5" t="str">
        <f ca="1">IFERROR(__xludf.DUMMYFUNCTION("""COMPUTED_VALUE"""),"Yes")</f>
        <v>Yes</v>
      </c>
      <c r="V82" s="5" t="str">
        <f ca="1">IFERROR(__xludf.DUMMYFUNCTION("""COMPUTED_VALUE"""),"Yes")</f>
        <v>Yes</v>
      </c>
      <c r="W82" s="5" t="str">
        <f ca="1">IFERROR(__xludf.DUMMYFUNCTION("""COMPUTED_VALUE"""),"Yes")</f>
        <v>Yes</v>
      </c>
      <c r="X82" s="5" t="str">
        <f ca="1">IFERROR(__xludf.DUMMYFUNCTION("""COMPUTED_VALUE"""),"Yes")</f>
        <v>Yes</v>
      </c>
      <c r="Y82" s="5" t="str">
        <f ca="1">IFERROR(__xludf.DUMMYFUNCTION("""COMPUTED_VALUE"""),"Yes")</f>
        <v>Yes</v>
      </c>
      <c r="Z82" s="5" t="str">
        <f ca="1">IFERROR(__xludf.DUMMYFUNCTION("""COMPUTED_VALUE"""),"No")</f>
        <v>No</v>
      </c>
      <c r="AA82" s="5" t="str">
        <f ca="1">IFERROR(__xludf.DUMMYFUNCTION("""COMPUTED_VALUE"""),"Yes")</f>
        <v>Yes</v>
      </c>
      <c r="AB82" s="5" t="str">
        <f ca="1">IFERROR(__xludf.DUMMYFUNCTION("""COMPUTED_VALUE"""),"Yes")</f>
        <v>Yes</v>
      </c>
      <c r="AC82" s="5" t="str">
        <f ca="1">IFERROR(__xludf.DUMMYFUNCTION("""COMPUTED_VALUE"""),"Yes")</f>
        <v>Yes</v>
      </c>
      <c r="AD82" s="5" t="str">
        <f ca="1">IFERROR(__xludf.DUMMYFUNCTION("""COMPUTED_VALUE"""),"Yes")</f>
        <v>Yes</v>
      </c>
      <c r="AE82" s="5" t="str">
        <f ca="1">IFERROR(__xludf.DUMMYFUNCTION("""COMPUTED_VALUE"""),"No")</f>
        <v>No</v>
      </c>
      <c r="AF82" s="5" t="str">
        <f ca="1">IFERROR(__xludf.DUMMYFUNCTION("""COMPUTED_VALUE"""),"Yes")</f>
        <v>Yes</v>
      </c>
      <c r="AG82" s="5" t="str">
        <f ca="1">IFERROR(__xludf.DUMMYFUNCTION("""COMPUTED_VALUE"""),"No")</f>
        <v>No</v>
      </c>
      <c r="AH82" s="5" t="str">
        <f ca="1">IFERROR(__xludf.DUMMYFUNCTION("""COMPUTED_VALUE"""),"No")</f>
        <v>No</v>
      </c>
      <c r="AI82" s="5" t="str">
        <f ca="1">IFERROR(__xludf.DUMMYFUNCTION("""COMPUTED_VALUE"""),"No")</f>
        <v>No</v>
      </c>
      <c r="AJ82" s="5" t="str">
        <f ca="1">IFERROR(__xludf.DUMMYFUNCTION("""COMPUTED_VALUE"""),"No")</f>
        <v>No</v>
      </c>
      <c r="AK82" s="5" t="str">
        <f ca="1">IFERROR(__xludf.DUMMYFUNCTION("""COMPUTED_VALUE"""),"No")</f>
        <v>No</v>
      </c>
      <c r="AL82" s="5" t="str">
        <f ca="1">IFERROR(__xludf.DUMMYFUNCTION("""COMPUTED_VALUE"""),"No")</f>
        <v>No</v>
      </c>
      <c r="AM82" s="5"/>
      <c r="AN82" s="5"/>
      <c r="AO82" s="5"/>
      <c r="AP82" s="5"/>
      <c r="AQ82" s="5"/>
      <c r="AR82" s="5"/>
      <c r="AS82" s="5"/>
      <c r="AT82" s="5"/>
      <c r="AU82" s="5"/>
      <c r="AV82" s="5"/>
      <c r="AW82" s="5"/>
      <c r="AX82" s="5"/>
      <c r="AY82" s="5"/>
    </row>
    <row r="83" spans="1:51" x14ac:dyDescent="0.25">
      <c r="A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3" s="5">
        <f ca="1">IFERROR(__xludf.DUMMYFUNCTION("""COMPUTED_VALUE"""),82)</f>
        <v>82</v>
      </c>
      <c r="C83" s="5">
        <f ca="1">IFERROR(__xludf.DUMMYFUNCTION("""COMPUTED_VALUE"""),81)</f>
        <v>81</v>
      </c>
      <c r="D83" s="5" t="str">
        <f ca="1">IFERROR(__xludf.DUMMYFUNCTION("""COMPUTED_VALUE"""),"CrystalHot401X")</f>
        <v>CrystalHot401X</v>
      </c>
      <c r="E83" s="5" t="str">
        <f ca="1">IFERROR(__xludf.DUMMYFUNCTION("""COMPUTED_VALUE"""),"Yes")</f>
        <v>Yes</v>
      </c>
      <c r="F83" s="5" t="str">
        <f ca="1">IFERROR(__xludf.DUMMYFUNCTION("""COMPUTED_VALUE"""),"Yes")</f>
        <v>Yes</v>
      </c>
      <c r="G83" s="5" t="str">
        <f ca="1">IFERROR(__xludf.DUMMYFUNCTION("""COMPUTED_VALUE"""),"Yes")</f>
        <v>Yes</v>
      </c>
      <c r="H83" s="5" t="str">
        <f ca="1">IFERROR(__xludf.DUMMYFUNCTION("""COMPUTED_VALUE"""),"Yes")</f>
        <v>Yes</v>
      </c>
      <c r="I83" s="5" t="str">
        <f ca="1">IFERROR(__xludf.DUMMYFUNCTION("""COMPUTED_VALUE"""),"Yes")</f>
        <v>Yes</v>
      </c>
      <c r="J83" s="5" t="str">
        <f ca="1">IFERROR(__xludf.DUMMYFUNCTION("""COMPUTED_VALUE"""),"Yes")</f>
        <v>Yes</v>
      </c>
      <c r="K83" s="5" t="str">
        <f ca="1">IFERROR(__xludf.DUMMYFUNCTION("""COMPUTED_VALUE"""),"Yes")</f>
        <v>Yes</v>
      </c>
      <c r="L83" s="5" t="str">
        <f ca="1">IFERROR(__xludf.DUMMYFUNCTION("""COMPUTED_VALUE"""),"Yes")</f>
        <v>Yes</v>
      </c>
      <c r="M83" s="5" t="str">
        <f ca="1">IFERROR(__xludf.DUMMYFUNCTION("""COMPUTED_VALUE"""),"Yes")</f>
        <v>Yes</v>
      </c>
      <c r="N83" s="5" t="str">
        <f ca="1">IFERROR(__xludf.DUMMYFUNCTION("""COMPUTED_VALUE"""),"Yes")</f>
        <v>Yes</v>
      </c>
      <c r="O83" s="5" t="str">
        <f ca="1">IFERROR(__xludf.DUMMYFUNCTION("""COMPUTED_VALUE"""),"Yes")</f>
        <v>Yes</v>
      </c>
      <c r="P83" s="5" t="str">
        <f ca="1">IFERROR(__xludf.DUMMYFUNCTION("""COMPUTED_VALUE"""),"Yes")</f>
        <v>Yes</v>
      </c>
      <c r="Q83" s="5" t="str">
        <f ca="1">IFERROR(__xludf.DUMMYFUNCTION("""COMPUTED_VALUE"""),"Yes")</f>
        <v>Yes</v>
      </c>
      <c r="R83" s="5" t="str">
        <f ca="1">IFERROR(__xludf.DUMMYFUNCTION("""COMPUTED_VALUE"""),"Yes")</f>
        <v>Yes</v>
      </c>
      <c r="S83" s="5" t="str">
        <f ca="1">IFERROR(__xludf.DUMMYFUNCTION("""COMPUTED_VALUE"""),"Yes")</f>
        <v>Yes</v>
      </c>
      <c r="T83" s="5" t="str">
        <f ca="1">IFERROR(__xludf.DUMMYFUNCTION("""COMPUTED_VALUE"""),"Yes")</f>
        <v>Yes</v>
      </c>
      <c r="U83" s="5" t="str">
        <f ca="1">IFERROR(__xludf.DUMMYFUNCTION("""COMPUTED_VALUE"""),"Yes")</f>
        <v>Yes</v>
      </c>
      <c r="V83" s="5" t="str">
        <f ca="1">IFERROR(__xludf.DUMMYFUNCTION("""COMPUTED_VALUE"""),"Yes")</f>
        <v>Yes</v>
      </c>
      <c r="W83" s="5" t="str">
        <f ca="1">IFERROR(__xludf.DUMMYFUNCTION("""COMPUTED_VALUE"""),"Yes")</f>
        <v>Yes</v>
      </c>
      <c r="X83" s="5" t="str">
        <f ca="1">IFERROR(__xludf.DUMMYFUNCTION("""COMPUTED_VALUE"""),"Yes")</f>
        <v>Yes</v>
      </c>
      <c r="Y83" s="5" t="str">
        <f ca="1">IFERROR(__xludf.DUMMYFUNCTION("""COMPUTED_VALUE"""),"Yes")</f>
        <v>Yes</v>
      </c>
      <c r="Z83" s="5" t="str">
        <f ca="1">IFERROR(__xludf.DUMMYFUNCTION("""COMPUTED_VALUE"""),"No")</f>
        <v>No</v>
      </c>
      <c r="AA83" s="5" t="str">
        <f ca="1">IFERROR(__xludf.DUMMYFUNCTION("""COMPUTED_VALUE"""),"Yes")</f>
        <v>Yes</v>
      </c>
      <c r="AB83" s="5" t="str">
        <f ca="1">IFERROR(__xludf.DUMMYFUNCTION("""COMPUTED_VALUE"""),"Yes")</f>
        <v>Yes</v>
      </c>
      <c r="AC83" s="5" t="str">
        <f ca="1">IFERROR(__xludf.DUMMYFUNCTION("""COMPUTED_VALUE"""),"Yes")</f>
        <v>Yes</v>
      </c>
      <c r="AD83" s="5" t="str">
        <f ca="1">IFERROR(__xludf.DUMMYFUNCTION("""COMPUTED_VALUE"""),"Yes")</f>
        <v>Yes</v>
      </c>
      <c r="AE83" s="5" t="str">
        <f ca="1">IFERROR(__xludf.DUMMYFUNCTION("""COMPUTED_VALUE"""),"No")</f>
        <v>No</v>
      </c>
      <c r="AF83" s="5" t="str">
        <f ca="1">IFERROR(__xludf.DUMMYFUNCTION("""COMPUTED_VALUE"""),"Yes")</f>
        <v>Yes</v>
      </c>
      <c r="AG83" s="5" t="str">
        <f ca="1">IFERROR(__xludf.DUMMYFUNCTION("""COMPUTED_VALUE"""),"No")</f>
        <v>No</v>
      </c>
      <c r="AH83" s="5" t="str">
        <f ca="1">IFERROR(__xludf.DUMMYFUNCTION("""COMPUTED_VALUE"""),"No")</f>
        <v>No</v>
      </c>
      <c r="AI83" s="5" t="str">
        <f ca="1">IFERROR(__xludf.DUMMYFUNCTION("""COMPUTED_VALUE"""),"No")</f>
        <v>No</v>
      </c>
      <c r="AJ83" s="5" t="str">
        <f ca="1">IFERROR(__xludf.DUMMYFUNCTION("""COMPUTED_VALUE"""),"No")</f>
        <v>No</v>
      </c>
      <c r="AK83" s="5" t="str">
        <f ca="1">IFERROR(__xludf.DUMMYFUNCTION("""COMPUTED_VALUE"""),"No")</f>
        <v>No</v>
      </c>
      <c r="AL83" s="5" t="str">
        <f ca="1">IFERROR(__xludf.DUMMYFUNCTION("""COMPUTED_VALUE"""),"No")</f>
        <v>No</v>
      </c>
      <c r="AM83" s="5"/>
      <c r="AN83" s="5"/>
      <c r="AO83" s="5"/>
      <c r="AP83" s="5"/>
      <c r="AQ83" s="5"/>
      <c r="AR83" s="5"/>
      <c r="AS83" s="5"/>
      <c r="AT83" s="5"/>
      <c r="AU83" s="5"/>
      <c r="AV83" s="5"/>
      <c r="AW83" s="5"/>
      <c r="AX83" s="5"/>
      <c r="AY83" s="5"/>
    </row>
    <row r="84" spans="1:51" x14ac:dyDescent="0.25">
      <c r="A84"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4" s="5">
        <f ca="1">IFERROR(__xludf.DUMMYFUNCTION("""COMPUTED_VALUE"""),83)</f>
        <v>83</v>
      </c>
      <c r="C84" s="5">
        <f ca="1">IFERROR(__xludf.DUMMYFUNCTION("""COMPUTED_VALUE"""),82)</f>
        <v>82</v>
      </c>
      <c r="D84" s="5" t="str">
        <f ca="1">IFERROR(__xludf.DUMMYFUNCTION("""COMPUTED_VALUE"""),"WildClover40")</f>
        <v>WildClover40</v>
      </c>
      <c r="E84" s="5" t="str">
        <f ca="1">IFERROR(__xludf.DUMMYFUNCTION("""COMPUTED_VALUE"""),"Yes")</f>
        <v>Yes</v>
      </c>
      <c r="F84" s="5" t="str">
        <f ca="1">IFERROR(__xludf.DUMMYFUNCTION("""COMPUTED_VALUE"""),"Yes")</f>
        <v>Yes</v>
      </c>
      <c r="G84" s="5" t="str">
        <f ca="1">IFERROR(__xludf.DUMMYFUNCTION("""COMPUTED_VALUE"""),"No")</f>
        <v>No</v>
      </c>
      <c r="H84" s="5" t="str">
        <f ca="1">IFERROR(__xludf.DUMMYFUNCTION("""COMPUTED_VALUE"""),"Yes")</f>
        <v>Yes</v>
      </c>
      <c r="I84" s="5" t="str">
        <f ca="1">IFERROR(__xludf.DUMMYFUNCTION("""COMPUTED_VALUE"""),"Yes")</f>
        <v>Yes</v>
      </c>
      <c r="J84" s="5" t="str">
        <f ca="1">IFERROR(__xludf.DUMMYFUNCTION("""COMPUTED_VALUE"""),"Yes")</f>
        <v>Yes</v>
      </c>
      <c r="K84" s="5" t="str">
        <f ca="1">IFERROR(__xludf.DUMMYFUNCTION("""COMPUTED_VALUE"""),"Yes")</f>
        <v>Yes</v>
      </c>
      <c r="L84" s="5" t="str">
        <f ca="1">IFERROR(__xludf.DUMMYFUNCTION("""COMPUTED_VALUE"""),"Yes")</f>
        <v>Yes</v>
      </c>
      <c r="M84" s="5" t="str">
        <f ca="1">IFERROR(__xludf.DUMMYFUNCTION("""COMPUTED_VALUE"""),"Yes")</f>
        <v>Yes</v>
      </c>
      <c r="N84" s="5" t="str">
        <f ca="1">IFERROR(__xludf.DUMMYFUNCTION("""COMPUTED_VALUE"""),"Yes")</f>
        <v>Yes</v>
      </c>
      <c r="O84" s="5" t="str">
        <f ca="1">IFERROR(__xludf.DUMMYFUNCTION("""COMPUTED_VALUE"""),"Yes")</f>
        <v>Yes</v>
      </c>
      <c r="P84" s="5" t="str">
        <f ca="1">IFERROR(__xludf.DUMMYFUNCTION("""COMPUTED_VALUE"""),"Yes")</f>
        <v>Yes</v>
      </c>
      <c r="Q84" s="5" t="str">
        <f ca="1">IFERROR(__xludf.DUMMYFUNCTION("""COMPUTED_VALUE"""),"Yes")</f>
        <v>Yes</v>
      </c>
      <c r="R84" s="5" t="str">
        <f ca="1">IFERROR(__xludf.DUMMYFUNCTION("""COMPUTED_VALUE"""),"Yes")</f>
        <v>Yes</v>
      </c>
      <c r="S84" s="5" t="str">
        <f ca="1">IFERROR(__xludf.DUMMYFUNCTION("""COMPUTED_VALUE"""),"Yes")</f>
        <v>Yes</v>
      </c>
      <c r="T84" s="5" t="str">
        <f ca="1">IFERROR(__xludf.DUMMYFUNCTION("""COMPUTED_VALUE"""),"No")</f>
        <v>No</v>
      </c>
      <c r="U84" s="5" t="str">
        <f ca="1">IFERROR(__xludf.DUMMYFUNCTION("""COMPUTED_VALUE"""),"No")</f>
        <v>No</v>
      </c>
      <c r="V84" s="5" t="str">
        <f ca="1">IFERROR(__xludf.DUMMYFUNCTION("""COMPUTED_VALUE"""),"No")</f>
        <v>No</v>
      </c>
      <c r="W84" s="5" t="str">
        <f ca="1">IFERROR(__xludf.DUMMYFUNCTION("""COMPUTED_VALUE"""),"No")</f>
        <v>No</v>
      </c>
      <c r="X84" s="5" t="str">
        <f ca="1">IFERROR(__xludf.DUMMYFUNCTION("""COMPUTED_VALUE"""),"No")</f>
        <v>No</v>
      </c>
      <c r="Y84" s="5" t="str">
        <f ca="1">IFERROR(__xludf.DUMMYFUNCTION("""COMPUTED_VALUE"""),"No")</f>
        <v>No</v>
      </c>
      <c r="Z84" s="5" t="str">
        <f ca="1">IFERROR(__xludf.DUMMYFUNCTION("""COMPUTED_VALUE"""),"No")</f>
        <v>No</v>
      </c>
      <c r="AA84" s="5" t="str">
        <f ca="1">IFERROR(__xludf.DUMMYFUNCTION("""COMPUTED_VALUE"""),"No")</f>
        <v>No</v>
      </c>
      <c r="AB84" s="5" t="str">
        <f ca="1">IFERROR(__xludf.DUMMYFUNCTION("""COMPUTED_VALUE"""),"No")</f>
        <v>No</v>
      </c>
      <c r="AC84" s="5" t="str">
        <f ca="1">IFERROR(__xludf.DUMMYFUNCTION("""COMPUTED_VALUE"""),"No")</f>
        <v>No</v>
      </c>
      <c r="AD84" s="5" t="str">
        <f ca="1">IFERROR(__xludf.DUMMYFUNCTION("""COMPUTED_VALUE"""),"No")</f>
        <v>No</v>
      </c>
      <c r="AE84" s="5" t="str">
        <f ca="1">IFERROR(__xludf.DUMMYFUNCTION("""COMPUTED_VALUE"""),"No")</f>
        <v>No</v>
      </c>
      <c r="AF84" s="5" t="str">
        <f ca="1">IFERROR(__xludf.DUMMYFUNCTION("""COMPUTED_VALUE"""),"Yes")</f>
        <v>Yes</v>
      </c>
      <c r="AG84" s="5" t="str">
        <f ca="1">IFERROR(__xludf.DUMMYFUNCTION("""COMPUTED_VALUE"""),"No")</f>
        <v>No</v>
      </c>
      <c r="AH84" s="5" t="str">
        <f ca="1">IFERROR(__xludf.DUMMYFUNCTION("""COMPUTED_VALUE"""),"Yes")</f>
        <v>Yes</v>
      </c>
      <c r="AI84" s="5" t="str">
        <f ca="1">IFERROR(__xludf.DUMMYFUNCTION("""COMPUTED_VALUE"""),"No")</f>
        <v>No</v>
      </c>
      <c r="AJ84" s="5" t="str">
        <f ca="1">IFERROR(__xludf.DUMMYFUNCTION("""COMPUTED_VALUE"""),"No")</f>
        <v>No</v>
      </c>
      <c r="AK84" s="5" t="str">
        <f ca="1">IFERROR(__xludf.DUMMYFUNCTION("""COMPUTED_VALUE"""),"No")</f>
        <v>No</v>
      </c>
      <c r="AL84" s="5" t="str">
        <f ca="1">IFERROR(__xludf.DUMMYFUNCTION("""COMPUTED_VALUE"""),"No")</f>
        <v>No</v>
      </c>
      <c r="AM84" s="5"/>
      <c r="AN84" s="5"/>
      <c r="AO84" s="5"/>
      <c r="AP84" s="5"/>
      <c r="AQ84" s="5"/>
      <c r="AR84" s="5"/>
      <c r="AS84" s="5"/>
      <c r="AT84" s="5"/>
      <c r="AU84" s="5"/>
      <c r="AV84" s="5"/>
      <c r="AW84" s="5"/>
      <c r="AX84" s="5"/>
      <c r="AY84" s="5"/>
    </row>
    <row r="85" spans="1:51" x14ac:dyDescent="0.25">
      <c r="A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5" s="5">
        <f ca="1">IFERROR(__xludf.DUMMYFUNCTION("""COMPUTED_VALUE"""),84)</f>
        <v>84</v>
      </c>
      <c r="C85" s="5">
        <f ca="1">IFERROR(__xludf.DUMMYFUNCTION("""COMPUTED_VALUE"""),83)</f>
        <v>83</v>
      </c>
      <c r="D85" s="5" t="str">
        <f ca="1">IFERROR(__xludf.DUMMYFUNCTION("""COMPUTED_VALUE"""),"MysteryJokerHot")</f>
        <v>MysteryJokerHot</v>
      </c>
      <c r="E85" s="5" t="str">
        <f ca="1">IFERROR(__xludf.DUMMYFUNCTION("""COMPUTED_VALUE"""),"Yes")</f>
        <v>Yes</v>
      </c>
      <c r="F85" s="5" t="str">
        <f ca="1">IFERROR(__xludf.DUMMYFUNCTION("""COMPUTED_VALUE"""),"Yes")</f>
        <v>Yes</v>
      </c>
      <c r="G85" s="5" t="str">
        <f ca="1">IFERROR(__xludf.DUMMYFUNCTION("""COMPUTED_VALUE"""),"Yes")</f>
        <v>Yes</v>
      </c>
      <c r="H85" s="5" t="str">
        <f ca="1">IFERROR(__xludf.DUMMYFUNCTION("""COMPUTED_VALUE"""),"Yes")</f>
        <v>Yes</v>
      </c>
      <c r="I85" s="5" t="str">
        <f ca="1">IFERROR(__xludf.DUMMYFUNCTION("""COMPUTED_VALUE"""),"Yes")</f>
        <v>Yes</v>
      </c>
      <c r="J85" s="5" t="str">
        <f ca="1">IFERROR(__xludf.DUMMYFUNCTION("""COMPUTED_VALUE"""),"Yes")</f>
        <v>Yes</v>
      </c>
      <c r="K85" s="5" t="str">
        <f ca="1">IFERROR(__xludf.DUMMYFUNCTION("""COMPUTED_VALUE"""),"Yes")</f>
        <v>Yes</v>
      </c>
      <c r="L85" s="5" t="str">
        <f ca="1">IFERROR(__xludf.DUMMYFUNCTION("""COMPUTED_VALUE"""),"Yes")</f>
        <v>Yes</v>
      </c>
      <c r="M85" s="5" t="str">
        <f ca="1">IFERROR(__xludf.DUMMYFUNCTION("""COMPUTED_VALUE"""),"Yes")</f>
        <v>Yes</v>
      </c>
      <c r="N85" s="5" t="str">
        <f ca="1">IFERROR(__xludf.DUMMYFUNCTION("""COMPUTED_VALUE"""),"Yes")</f>
        <v>Yes</v>
      </c>
      <c r="O85" s="5" t="str">
        <f ca="1">IFERROR(__xludf.DUMMYFUNCTION("""COMPUTED_VALUE"""),"Yes")</f>
        <v>Yes</v>
      </c>
      <c r="P85" s="5" t="str">
        <f ca="1">IFERROR(__xludf.DUMMYFUNCTION("""COMPUTED_VALUE"""),"Yes")</f>
        <v>Yes</v>
      </c>
      <c r="Q85" s="5" t="str">
        <f ca="1">IFERROR(__xludf.DUMMYFUNCTION("""COMPUTED_VALUE"""),"Yes")</f>
        <v>Yes</v>
      </c>
      <c r="R85" s="5" t="str">
        <f ca="1">IFERROR(__xludf.DUMMYFUNCTION("""COMPUTED_VALUE"""),"Yes")</f>
        <v>Yes</v>
      </c>
      <c r="S85" s="5" t="str">
        <f ca="1">IFERROR(__xludf.DUMMYFUNCTION("""COMPUTED_VALUE"""),"Yes")</f>
        <v>Yes</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IFERROR(__xludf.DUMMYFUNCTION("""COMPUTED_VALUE"""),"Yes")</f>
        <v>Yes</v>
      </c>
      <c r="X85" s="5" t="str">
        <f ca="1">IFERROR(__xludf.DUMMYFUNCTION("""COMPUTED_VALUE"""),"Yes")</f>
        <v>Yes</v>
      </c>
      <c r="Y85" s="5" t="str">
        <f ca="1">IFERROR(__xludf.DUMMYFUNCTION("""COMPUTED_VALUE"""),"Yes")</f>
        <v>Yes</v>
      </c>
      <c r="Z85" s="5" t="str">
        <f ca="1">IFERROR(__xludf.DUMMYFUNCTION("""COMPUTED_VALUE"""),"No")</f>
        <v>No</v>
      </c>
      <c r="AA85" s="5" t="str">
        <f ca="1">IFERROR(__xludf.DUMMYFUNCTION("""COMPUTED_VALUE"""),"Yes")</f>
        <v>Yes</v>
      </c>
      <c r="AB85" s="5" t="str">
        <f ca="1">IFERROR(__xludf.DUMMYFUNCTION("""COMPUTED_VALUE"""),"Yes")</f>
        <v>Yes</v>
      </c>
      <c r="AC85" s="5" t="str">
        <f ca="1">IFERROR(__xludf.DUMMYFUNCTION("""COMPUTED_VALUE"""),"Yes")</f>
        <v>Yes</v>
      </c>
      <c r="AD85" s="5" t="str">
        <f ca="1">IFERROR(__xludf.DUMMYFUNCTION("""COMPUTED_VALUE"""),"Yes")</f>
        <v>Yes</v>
      </c>
      <c r="AE85" s="5" t="str">
        <f ca="1">IFERROR(__xludf.DUMMYFUNCTION("""COMPUTED_VALUE"""),"No")</f>
        <v>No</v>
      </c>
      <c r="AF85" s="5" t="str">
        <f ca="1">IFERROR(__xludf.DUMMYFUNCTION("""COMPUTED_VALUE"""),"Yes")</f>
        <v>Yes</v>
      </c>
      <c r="AG85" s="5" t="str">
        <f ca="1">IFERROR(__xludf.DUMMYFUNCTION("""COMPUTED_VALUE"""),"No")</f>
        <v>No</v>
      </c>
      <c r="AH85" s="5" t="str">
        <f ca="1">IFERROR(__xludf.DUMMYFUNCTION("""COMPUTED_VALUE"""),"No")</f>
        <v>No</v>
      </c>
      <c r="AI85" s="5" t="str">
        <f ca="1">IFERROR(__xludf.DUMMYFUNCTION("""COMPUTED_VALUE"""),"No")</f>
        <v>No</v>
      </c>
      <c r="AJ85" s="5" t="str">
        <f ca="1">IFERROR(__xludf.DUMMYFUNCTION("""COMPUTED_VALUE"""),"No")</f>
        <v>No</v>
      </c>
      <c r="AK85" s="5" t="str">
        <f ca="1">IFERROR(__xludf.DUMMYFUNCTION("""COMPUTED_VALUE"""),"No")</f>
        <v>No</v>
      </c>
      <c r="AL85" s="5" t="str">
        <f ca="1">IFERROR(__xludf.DUMMYFUNCTION("""COMPUTED_VALUE"""),"No")</f>
        <v>No</v>
      </c>
      <c r="AM85" s="5"/>
      <c r="AN85" s="5"/>
      <c r="AO85" s="5"/>
      <c r="AP85" s="5"/>
      <c r="AQ85" s="5"/>
      <c r="AR85" s="5"/>
      <c r="AS85" s="5"/>
      <c r="AT85" s="5"/>
      <c r="AU85" s="5"/>
      <c r="AV85" s="5"/>
      <c r="AW85" s="5"/>
      <c r="AX85" s="5"/>
      <c r="AY85" s="5"/>
    </row>
    <row r="86" spans="1:51" x14ac:dyDescent="0.25">
      <c r="A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6" s="5">
        <f ca="1">IFERROR(__xludf.DUMMYFUNCTION("""COMPUTED_VALUE"""),85)</f>
        <v>85</v>
      </c>
      <c r="C86" s="5">
        <f ca="1">IFERROR(__xludf.DUMMYFUNCTION("""COMPUTED_VALUE"""),84)</f>
        <v>84</v>
      </c>
      <c r="D86" s="5" t="str">
        <f ca="1">IFERROR(__xludf.DUMMYFUNCTION("""COMPUTED_VALUE"""),"CrystalJokerHot")</f>
        <v>CrystalJokerHot</v>
      </c>
      <c r="E86" s="5" t="str">
        <f ca="1">IFERROR(__xludf.DUMMYFUNCTION("""COMPUTED_VALUE"""),"Yes")</f>
        <v>Yes</v>
      </c>
      <c r="F86" s="5" t="str">
        <f ca="1">IFERROR(__xludf.DUMMYFUNCTION("""COMPUTED_VALUE"""),"Yes")</f>
        <v>Yes</v>
      </c>
      <c r="G86" s="5" t="str">
        <f ca="1">IFERROR(__xludf.DUMMYFUNCTION("""COMPUTED_VALUE"""),"Yes")</f>
        <v>Yes</v>
      </c>
      <c r="H86" s="5" t="str">
        <f ca="1">IFERROR(__xludf.DUMMYFUNCTION("""COMPUTED_VALUE"""),"Yes")</f>
        <v>Yes</v>
      </c>
      <c r="I86" s="5" t="str">
        <f ca="1">IFERROR(__xludf.DUMMYFUNCTION("""COMPUTED_VALUE"""),"Yes")</f>
        <v>Yes</v>
      </c>
      <c r="J86" s="5" t="str">
        <f ca="1">IFERROR(__xludf.DUMMYFUNCTION("""COMPUTED_VALUE"""),"Yes")</f>
        <v>Yes</v>
      </c>
      <c r="K86" s="5" t="str">
        <f ca="1">IFERROR(__xludf.DUMMYFUNCTION("""COMPUTED_VALUE"""),"Yes")</f>
        <v>Yes</v>
      </c>
      <c r="L86" s="5" t="str">
        <f ca="1">IFERROR(__xludf.DUMMYFUNCTION("""COMPUTED_VALUE"""),"Yes")</f>
        <v>Yes</v>
      </c>
      <c r="M86" s="5" t="str">
        <f ca="1">IFERROR(__xludf.DUMMYFUNCTION("""COMPUTED_VALUE"""),"Yes")</f>
        <v>Yes</v>
      </c>
      <c r="N86" s="5" t="str">
        <f ca="1">IFERROR(__xludf.DUMMYFUNCTION("""COMPUTED_VALUE"""),"Yes")</f>
        <v>Yes</v>
      </c>
      <c r="O86" s="5" t="str">
        <f ca="1">IFERROR(__xludf.DUMMYFUNCTION("""COMPUTED_VALUE"""),"Yes")</f>
        <v>Yes</v>
      </c>
      <c r="P86" s="5" t="str">
        <f ca="1">IFERROR(__xludf.DUMMYFUNCTION("""COMPUTED_VALUE"""),"Yes")</f>
        <v>Yes</v>
      </c>
      <c r="Q86" s="5" t="str">
        <f ca="1">IFERROR(__xludf.DUMMYFUNCTION("""COMPUTED_VALUE"""),"Yes")</f>
        <v>Yes</v>
      </c>
      <c r="R86" s="5" t="str">
        <f ca="1">IFERROR(__xludf.DUMMYFUNCTION("""COMPUTED_VALUE"""),"Yes")</f>
        <v>Yes</v>
      </c>
      <c r="S86" s="5" t="str">
        <f ca="1">IFERROR(__xludf.DUMMYFUNCTION("""COMPUTED_VALUE"""),"Yes")</f>
        <v>Yes</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IFERROR(__xludf.DUMMYFUNCTION("""COMPUTED_VALUE"""),"Yes")</f>
        <v>Yes</v>
      </c>
      <c r="X86" s="5" t="str">
        <f ca="1">IFERROR(__xludf.DUMMYFUNCTION("""COMPUTED_VALUE"""),"Yes")</f>
        <v>Yes</v>
      </c>
      <c r="Y86" s="5" t="str">
        <f ca="1">IFERROR(__xludf.DUMMYFUNCTION("""COMPUTED_VALUE"""),"Yes")</f>
        <v>Yes</v>
      </c>
      <c r="Z86" s="5" t="str">
        <f ca="1">IFERROR(__xludf.DUMMYFUNCTION("""COMPUTED_VALUE"""),"No")</f>
        <v>No</v>
      </c>
      <c r="AA86" s="5" t="str">
        <f ca="1">IFERROR(__xludf.DUMMYFUNCTION("""COMPUTED_VALUE"""),"Yes")</f>
        <v>Yes</v>
      </c>
      <c r="AB86" s="5" t="str">
        <f ca="1">IFERROR(__xludf.DUMMYFUNCTION("""COMPUTED_VALUE"""),"Yes")</f>
        <v>Yes</v>
      </c>
      <c r="AC86" s="5" t="str">
        <f ca="1">IFERROR(__xludf.DUMMYFUNCTION("""COMPUTED_VALUE"""),"Yes")</f>
        <v>Yes</v>
      </c>
      <c r="AD86" s="5" t="str">
        <f ca="1">IFERROR(__xludf.DUMMYFUNCTION("""COMPUTED_VALUE"""),"Yes")</f>
        <v>Yes</v>
      </c>
      <c r="AE86" s="5" t="str">
        <f ca="1">IFERROR(__xludf.DUMMYFUNCTION("""COMPUTED_VALUE"""),"No")</f>
        <v>No</v>
      </c>
      <c r="AF86" s="5" t="str">
        <f ca="1">IFERROR(__xludf.DUMMYFUNCTION("""COMPUTED_VALUE"""),"Yes")</f>
        <v>Yes</v>
      </c>
      <c r="AG86" s="5" t="str">
        <f ca="1">IFERROR(__xludf.DUMMYFUNCTION("""COMPUTED_VALUE"""),"No")</f>
        <v>No</v>
      </c>
      <c r="AH86" s="5" t="str">
        <f ca="1">IFERROR(__xludf.DUMMYFUNCTION("""COMPUTED_VALUE"""),"No")</f>
        <v>No</v>
      </c>
      <c r="AI86" s="5" t="str">
        <f ca="1">IFERROR(__xludf.DUMMYFUNCTION("""COMPUTED_VALUE"""),"No")</f>
        <v>No</v>
      </c>
      <c r="AJ86" s="5" t="str">
        <f ca="1">IFERROR(__xludf.DUMMYFUNCTION("""COMPUTED_VALUE"""),"No")</f>
        <v>No</v>
      </c>
      <c r="AK86" s="5" t="str">
        <f ca="1">IFERROR(__xludf.DUMMYFUNCTION("""COMPUTED_VALUE"""),"No")</f>
        <v>No</v>
      </c>
      <c r="AL86" s="5" t="str">
        <f ca="1">IFERROR(__xludf.DUMMYFUNCTION("""COMPUTED_VALUE"""),"No")</f>
        <v>No</v>
      </c>
      <c r="AM86" s="5"/>
      <c r="AN86" s="5"/>
      <c r="AO86" s="5"/>
      <c r="AP86" s="5"/>
      <c r="AQ86" s="5"/>
      <c r="AR86" s="5"/>
      <c r="AS86" s="5"/>
      <c r="AT86" s="5"/>
      <c r="AU86" s="5"/>
      <c r="AV86" s="5"/>
      <c r="AW86" s="5"/>
      <c r="AX86" s="5"/>
      <c r="AY86" s="5"/>
    </row>
    <row r="87" spans="1:51" x14ac:dyDescent="0.25">
      <c r="A8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87" s="5">
        <f ca="1">IFERROR(__xludf.DUMMYFUNCTION("""COMPUTED_VALUE"""),86)</f>
        <v>86</v>
      </c>
      <c r="C87" s="5">
        <f ca="1">IFERROR(__xludf.DUMMYFUNCTION("""COMPUTED_VALUE"""),85)</f>
        <v>85</v>
      </c>
      <c r="D87" s="5" t="str">
        <f ca="1">IFERROR(__xludf.DUMMYFUNCTION("""COMPUTED_VALUE"""),"UnicornFruitIsland")</f>
        <v>UnicornFruitIsland</v>
      </c>
      <c r="E87" s="5" t="str">
        <f ca="1">IFERROR(__xludf.DUMMYFUNCTION("""COMPUTED_VALUE"""),"Yes")</f>
        <v>Yes</v>
      </c>
      <c r="F87" s="5" t="str">
        <f ca="1">IFERROR(__xludf.DUMMYFUNCTION("""COMPUTED_VALUE"""),"Yes")</f>
        <v>Yes</v>
      </c>
      <c r="G87" s="5" t="str">
        <f ca="1">IFERROR(__xludf.DUMMYFUNCTION("""COMPUTED_VALUE"""),"Yes")</f>
        <v>Yes</v>
      </c>
      <c r="H87" s="5" t="str">
        <f ca="1">IFERROR(__xludf.DUMMYFUNCTION("""COMPUTED_VALUE"""),"No")</f>
        <v>No</v>
      </c>
      <c r="I87" s="5" t="str">
        <f ca="1">IFERROR(__xludf.DUMMYFUNCTION("""COMPUTED_VALUE"""),"No")</f>
        <v>No</v>
      </c>
      <c r="J87" s="5" t="str">
        <f ca="1">IFERROR(__xludf.DUMMYFUNCTION("""COMPUTED_VALUE"""),"No")</f>
        <v>No</v>
      </c>
      <c r="K87" s="5" t="str">
        <f ca="1">IFERROR(__xludf.DUMMYFUNCTION("""COMPUTED_VALUE"""),"No")</f>
        <v>No</v>
      </c>
      <c r="L87" s="5" t="str">
        <f ca="1">IFERROR(__xludf.DUMMYFUNCTION("""COMPUTED_VALUE"""),"No")</f>
        <v>No</v>
      </c>
      <c r="M87" s="5" t="str">
        <f ca="1">IFERROR(__xludf.DUMMYFUNCTION("""COMPUTED_VALUE"""),"Yes")</f>
        <v>Yes</v>
      </c>
      <c r="N87" s="5" t="str">
        <f ca="1">IFERROR(__xludf.DUMMYFUNCTION("""COMPUTED_VALUE"""),"Yes")</f>
        <v>Yes</v>
      </c>
      <c r="O87" s="5" t="str">
        <f ca="1">IFERROR(__xludf.DUMMYFUNCTION("""COMPUTED_VALUE"""),"Yes")</f>
        <v>Yes</v>
      </c>
      <c r="P87" s="5" t="str">
        <f ca="1">IFERROR(__xludf.DUMMYFUNCTION("""COMPUTED_VALUE"""),"Yes")</f>
        <v>Yes</v>
      </c>
      <c r="Q87" s="5" t="str">
        <f ca="1">IFERROR(__xludf.DUMMYFUNCTION("""COMPUTED_VALUE"""),"Yes")</f>
        <v>Yes</v>
      </c>
      <c r="R87" s="5" t="str">
        <f ca="1">IFERROR(__xludf.DUMMYFUNCTION("""COMPUTED_VALUE"""),"No")</f>
        <v>No</v>
      </c>
      <c r="S87" s="5" t="str">
        <f ca="1">IFERROR(__xludf.DUMMYFUNCTION("""COMPUTED_VALUE"""),"Yes")</f>
        <v>Yes</v>
      </c>
      <c r="T87" s="5" t="str">
        <f ca="1">IFERROR(__xludf.DUMMYFUNCTION("""COMPUTED_VALUE"""),"No")</f>
        <v>No</v>
      </c>
      <c r="U87" s="5" t="str">
        <f ca="1">IFERROR(__xludf.DUMMYFUNCTION("""COMPUTED_VALUE"""),"No")</f>
        <v>No</v>
      </c>
      <c r="V87" s="5" t="str">
        <f ca="1">IFERROR(__xludf.DUMMYFUNCTION("""COMPUTED_VALUE"""),"No")</f>
        <v>No</v>
      </c>
      <c r="W87" s="5" t="str">
        <f ca="1">IFERROR(__xludf.DUMMYFUNCTION("""COMPUTED_VALUE"""),"No")</f>
        <v>No</v>
      </c>
      <c r="X87" s="5" t="str">
        <f ca="1">IFERROR(__xludf.DUMMYFUNCTION("""COMPUTED_VALUE"""),"No")</f>
        <v>No</v>
      </c>
      <c r="Y87" s="5"/>
      <c r="Z87" s="5"/>
      <c r="AA87" s="5"/>
      <c r="AB87" s="5"/>
      <c r="AC87" s="5" t="str">
        <f ca="1">IFERROR(__xludf.DUMMYFUNCTION("""COMPUTED_VALUE"""),"No")</f>
        <v>No</v>
      </c>
      <c r="AD87" s="5"/>
      <c r="AE87" s="5"/>
      <c r="AF87" s="5"/>
      <c r="AG87" s="5"/>
      <c r="AH87" s="5"/>
      <c r="AI87" s="5"/>
      <c r="AJ87" s="5"/>
      <c r="AK87" s="5"/>
      <c r="AL87" s="5"/>
      <c r="AM87" s="5"/>
      <c r="AN87" s="5"/>
      <c r="AO87" s="5"/>
      <c r="AP87" s="5"/>
      <c r="AQ87" s="5"/>
      <c r="AR87" s="5"/>
      <c r="AS87" s="5"/>
      <c r="AT87" s="5"/>
      <c r="AU87" s="5"/>
      <c r="AV87" s="5"/>
      <c r="AW87" s="5"/>
      <c r="AX87" s="5"/>
      <c r="AY87" s="5"/>
    </row>
    <row r="88" spans="1:51" x14ac:dyDescent="0.25">
      <c r="A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8" s="5">
        <f ca="1">IFERROR(__xludf.DUMMYFUNCTION("""COMPUTED_VALUE"""),87)</f>
        <v>87</v>
      </c>
      <c r="C88" s="5">
        <f ca="1">IFERROR(__xludf.DUMMYFUNCTION("""COMPUTED_VALUE"""),86)</f>
        <v>86</v>
      </c>
      <c r="D88" s="5" t="str">
        <f ca="1">IFERROR(__xludf.DUMMYFUNCTION("""COMPUTED_VALUE"""),"FruityJokerHot")</f>
        <v>FruityJokerHot</v>
      </c>
      <c r="E88" s="5" t="str">
        <f ca="1">IFERROR(__xludf.DUMMYFUNCTION("""COMPUTED_VALUE"""),"Yes")</f>
        <v>Yes</v>
      </c>
      <c r="F88" s="5" t="str">
        <f ca="1">IFERROR(__xludf.DUMMYFUNCTION("""COMPUTED_VALUE"""),"Yes")</f>
        <v>Yes</v>
      </c>
      <c r="G88" s="5" t="str">
        <f ca="1">IFERROR(__xludf.DUMMYFUNCTION("""COMPUTED_VALUE"""),"Yes")</f>
        <v>Yes</v>
      </c>
      <c r="H88" s="5" t="str">
        <f ca="1">IFERROR(__xludf.DUMMYFUNCTION("""COMPUTED_VALUE"""),"Yes")</f>
        <v>Yes</v>
      </c>
      <c r="I88" s="5" t="str">
        <f ca="1">IFERROR(__xludf.DUMMYFUNCTION("""COMPUTED_VALUE"""),"Yes")</f>
        <v>Yes</v>
      </c>
      <c r="J88" s="5" t="str">
        <f ca="1">IFERROR(__xludf.DUMMYFUNCTION("""COMPUTED_VALUE"""),"Yes")</f>
        <v>Yes</v>
      </c>
      <c r="K88" s="5" t="str">
        <f ca="1">IFERROR(__xludf.DUMMYFUNCTION("""COMPUTED_VALUE"""),"Yes")</f>
        <v>Yes</v>
      </c>
      <c r="L88" s="5" t="str">
        <f ca="1">IFERROR(__xludf.DUMMYFUNCTION("""COMPUTED_VALUE"""),"Yes")</f>
        <v>Yes</v>
      </c>
      <c r="M88" s="5" t="str">
        <f ca="1">IFERROR(__xludf.DUMMYFUNCTION("""COMPUTED_VALUE"""),"Yes")</f>
        <v>Yes</v>
      </c>
      <c r="N88" s="5" t="str">
        <f ca="1">IFERROR(__xludf.DUMMYFUNCTION("""COMPUTED_VALUE"""),"Yes")</f>
        <v>Yes</v>
      </c>
      <c r="O88" s="5" t="str">
        <f ca="1">IFERROR(__xludf.DUMMYFUNCTION("""COMPUTED_VALUE"""),"Yes")</f>
        <v>Yes</v>
      </c>
      <c r="P88" s="5" t="str">
        <f ca="1">IFERROR(__xludf.DUMMYFUNCTION("""COMPUTED_VALUE"""),"Yes")</f>
        <v>Yes</v>
      </c>
      <c r="Q88" s="5" t="str">
        <f ca="1">IFERROR(__xludf.DUMMYFUNCTION("""COMPUTED_VALUE"""),"Yes")</f>
        <v>Yes</v>
      </c>
      <c r="R88" s="5" t="str">
        <f ca="1">IFERROR(__xludf.DUMMYFUNCTION("""COMPUTED_VALUE"""),"Yes")</f>
        <v>Yes</v>
      </c>
      <c r="S88" s="5" t="str">
        <f ca="1">IFERROR(__xludf.DUMMYFUNCTION("""COMPUTED_VALUE"""),"Yes")</f>
        <v>Yes</v>
      </c>
      <c r="T88" s="5" t="str">
        <f ca="1">IFERROR(__xludf.DUMMYFUNCTION("""COMPUTED_VALUE"""),"Yes")</f>
        <v>Yes</v>
      </c>
      <c r="U88" s="5" t="str">
        <f ca="1">IFERROR(__xludf.DUMMYFUNCTION("""COMPUTED_VALUE"""),"Yes")</f>
        <v>Yes</v>
      </c>
      <c r="V88" s="5" t="str">
        <f ca="1">IFERROR(__xludf.DUMMYFUNCTION("""COMPUTED_VALUE"""),"Yes")</f>
        <v>Yes</v>
      </c>
      <c r="W88" s="5" t="str">
        <f ca="1">IFERROR(__xludf.DUMMYFUNCTION("""COMPUTED_VALUE"""),"Yes")</f>
        <v>Yes</v>
      </c>
      <c r="X88" s="5" t="str">
        <f ca="1">IFERROR(__xludf.DUMMYFUNCTION("""COMPUTED_VALUE"""),"Yes")</f>
        <v>Yes</v>
      </c>
      <c r="Y88" s="5" t="str">
        <f ca="1">IFERROR(__xludf.DUMMYFUNCTION("""COMPUTED_VALUE"""),"Yes")</f>
        <v>Yes</v>
      </c>
      <c r="Z88" s="5" t="str">
        <f ca="1">IFERROR(__xludf.DUMMYFUNCTION("""COMPUTED_VALUE"""),"No")</f>
        <v>No</v>
      </c>
      <c r="AA88" s="5" t="str">
        <f ca="1">IFERROR(__xludf.DUMMYFUNCTION("""COMPUTED_VALUE"""),"Yes")</f>
        <v>Yes</v>
      </c>
      <c r="AB88" s="5" t="str">
        <f ca="1">IFERROR(__xludf.DUMMYFUNCTION("""COMPUTED_VALUE"""),"Yes")</f>
        <v>Yes</v>
      </c>
      <c r="AC88" s="5" t="str">
        <f ca="1">IFERROR(__xludf.DUMMYFUNCTION("""COMPUTED_VALUE"""),"Yes")</f>
        <v>Yes</v>
      </c>
      <c r="AD88" s="5" t="str">
        <f ca="1">IFERROR(__xludf.DUMMYFUNCTION("""COMPUTED_VALUE"""),"Yes")</f>
        <v>Yes</v>
      </c>
      <c r="AE88" s="5" t="str">
        <f ca="1">IFERROR(__xludf.DUMMYFUNCTION("""COMPUTED_VALUE"""),"No")</f>
        <v>No</v>
      </c>
      <c r="AF88" s="5" t="str">
        <f ca="1">IFERROR(__xludf.DUMMYFUNCTION("""COMPUTED_VALUE"""),"Yes")</f>
        <v>Yes</v>
      </c>
      <c r="AG88" s="5" t="str">
        <f ca="1">IFERROR(__xludf.DUMMYFUNCTION("""COMPUTED_VALUE"""),"No")</f>
        <v>No</v>
      </c>
      <c r="AH88" s="5" t="str">
        <f ca="1">IFERROR(__xludf.DUMMYFUNCTION("""COMPUTED_VALUE"""),"No")</f>
        <v>No</v>
      </c>
      <c r="AI88" s="5" t="str">
        <f ca="1">IFERROR(__xludf.DUMMYFUNCTION("""COMPUTED_VALUE"""),"No")</f>
        <v>No</v>
      </c>
      <c r="AJ88" s="5" t="str">
        <f ca="1">IFERROR(__xludf.DUMMYFUNCTION("""COMPUTED_VALUE"""),"No")</f>
        <v>No</v>
      </c>
      <c r="AK88" s="5" t="str">
        <f ca="1">IFERROR(__xludf.DUMMYFUNCTION("""COMPUTED_VALUE"""),"No")</f>
        <v>No</v>
      </c>
      <c r="AL88" s="5" t="str">
        <f ca="1">IFERROR(__xludf.DUMMYFUNCTION("""COMPUTED_VALUE"""),"No")</f>
        <v>No</v>
      </c>
      <c r="AM88" s="5"/>
      <c r="AN88" s="5"/>
      <c r="AO88" s="5"/>
      <c r="AP88" s="5"/>
      <c r="AQ88" s="5"/>
      <c r="AR88" s="5"/>
      <c r="AS88" s="5"/>
      <c r="AT88" s="5"/>
      <c r="AU88" s="5"/>
      <c r="AV88" s="5"/>
      <c r="AW88" s="5"/>
      <c r="AX88" s="5"/>
      <c r="AY88" s="5"/>
    </row>
    <row r="89" spans="1:51" x14ac:dyDescent="0.25">
      <c r="A8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89" s="5">
        <f ca="1">IFERROR(__xludf.DUMMYFUNCTION("""COMPUTED_VALUE"""),88)</f>
        <v>88</v>
      </c>
      <c r="C89" s="5">
        <f ca="1">IFERROR(__xludf.DUMMYFUNCTION("""COMPUTED_VALUE"""),87)</f>
        <v>87</v>
      </c>
      <c r="D89" s="5" t="str">
        <f ca="1">IFERROR(__xludf.DUMMYFUNCTION("""COMPUTED_VALUE"""),"UnicornWildParadise")</f>
        <v>UnicornWildParadise</v>
      </c>
      <c r="E89" s="5" t="str">
        <f ca="1">IFERROR(__xludf.DUMMYFUNCTION("""COMPUTED_VALUE"""),"Yes")</f>
        <v>Yes</v>
      </c>
      <c r="F89" s="5" t="str">
        <f ca="1">IFERROR(__xludf.DUMMYFUNCTION("""COMPUTED_VALUE"""),"Yes")</f>
        <v>Yes</v>
      </c>
      <c r="G89" s="5" t="str">
        <f ca="1">IFERROR(__xludf.DUMMYFUNCTION("""COMPUTED_VALUE"""),"Yes")</f>
        <v>Yes</v>
      </c>
      <c r="H89" s="5" t="str">
        <f ca="1">IFERROR(__xludf.DUMMYFUNCTION("""COMPUTED_VALUE"""),"No")</f>
        <v>No</v>
      </c>
      <c r="I89" s="5" t="str">
        <f ca="1">IFERROR(__xludf.DUMMYFUNCTION("""COMPUTED_VALUE"""),"No")</f>
        <v>No</v>
      </c>
      <c r="J89" s="5" t="str">
        <f ca="1">IFERROR(__xludf.DUMMYFUNCTION("""COMPUTED_VALUE"""),"No")</f>
        <v>No</v>
      </c>
      <c r="K89" s="5" t="str">
        <f ca="1">IFERROR(__xludf.DUMMYFUNCTION("""COMPUTED_VALUE"""),"No")</f>
        <v>No</v>
      </c>
      <c r="L89" s="5" t="str">
        <f ca="1">IFERROR(__xludf.DUMMYFUNCTION("""COMPUTED_VALUE"""),"No")</f>
        <v>No</v>
      </c>
      <c r="M89" s="5" t="str">
        <f ca="1">IFERROR(__xludf.DUMMYFUNCTION("""COMPUTED_VALUE"""),"Yes")</f>
        <v>Yes</v>
      </c>
      <c r="N89" s="5" t="str">
        <f ca="1">IFERROR(__xludf.DUMMYFUNCTION("""COMPUTED_VALUE"""),"Yes")</f>
        <v>Yes</v>
      </c>
      <c r="O89" s="5" t="str">
        <f ca="1">IFERROR(__xludf.DUMMYFUNCTION("""COMPUTED_VALUE"""),"Yes")</f>
        <v>Yes</v>
      </c>
      <c r="P89" s="5" t="str">
        <f ca="1">IFERROR(__xludf.DUMMYFUNCTION("""COMPUTED_VALUE"""),"Yes")</f>
        <v>Yes</v>
      </c>
      <c r="Q89" s="5" t="str">
        <f ca="1">IFERROR(__xludf.DUMMYFUNCTION("""COMPUTED_VALUE"""),"Yes")</f>
        <v>Yes</v>
      </c>
      <c r="R89" s="5" t="str">
        <f ca="1">IFERROR(__xludf.DUMMYFUNCTION("""COMPUTED_VALUE"""),"No")</f>
        <v>No</v>
      </c>
      <c r="S89" s="5" t="str">
        <f ca="1">IFERROR(__xludf.DUMMYFUNCTION("""COMPUTED_VALUE"""),"Yes")</f>
        <v>Yes</v>
      </c>
      <c r="T89" s="5" t="str">
        <f ca="1">IFERROR(__xludf.DUMMYFUNCTION("""COMPUTED_VALUE"""),"No")</f>
        <v>No</v>
      </c>
      <c r="U89" s="5" t="str">
        <f ca="1">IFERROR(__xludf.DUMMYFUNCTION("""COMPUTED_VALUE"""),"No")</f>
        <v>No</v>
      </c>
      <c r="V89" s="5" t="str">
        <f ca="1">IFERROR(__xludf.DUMMYFUNCTION("""COMPUTED_VALUE"""),"No")</f>
        <v>No</v>
      </c>
      <c r="W89" s="5" t="str">
        <f ca="1">IFERROR(__xludf.DUMMYFUNCTION("""COMPUTED_VALUE"""),"No")</f>
        <v>No</v>
      </c>
      <c r="X89" s="5" t="str">
        <f ca="1">IFERROR(__xludf.DUMMYFUNCTION("""COMPUTED_VALUE"""),"No")</f>
        <v>No</v>
      </c>
      <c r="Y89" s="5"/>
      <c r="Z89" s="5"/>
      <c r="AA89" s="5"/>
      <c r="AB89" s="5"/>
      <c r="AC89" s="5" t="str">
        <f ca="1">IFERROR(__xludf.DUMMYFUNCTION("""COMPUTED_VALUE"""),"No")</f>
        <v>No</v>
      </c>
      <c r="AD89" s="5"/>
      <c r="AE89" s="5"/>
      <c r="AF89" s="5"/>
      <c r="AG89" s="5"/>
      <c r="AH89" s="5"/>
      <c r="AI89" s="5"/>
      <c r="AJ89" s="5"/>
      <c r="AK89" s="5"/>
      <c r="AL89" s="5"/>
      <c r="AM89" s="5"/>
      <c r="AN89" s="5"/>
      <c r="AO89" s="5"/>
      <c r="AP89" s="5"/>
      <c r="AQ89" s="5"/>
      <c r="AR89" s="5"/>
      <c r="AS89" s="5"/>
      <c r="AT89" s="5"/>
      <c r="AU89" s="5"/>
      <c r="AV89" s="5"/>
      <c r="AW89" s="5"/>
      <c r="AX89" s="5"/>
      <c r="AY89" s="5"/>
    </row>
    <row r="90" spans="1:51" x14ac:dyDescent="0.25">
      <c r="A9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0" s="5">
        <f ca="1">IFERROR(__xludf.DUMMYFUNCTION("""COMPUTED_VALUE"""),89)</f>
        <v>89</v>
      </c>
      <c r="C90" s="5">
        <f ca="1">IFERROR(__xludf.DUMMYFUNCTION("""COMPUTED_VALUE"""),88)</f>
        <v>88</v>
      </c>
      <c r="D90" s="5" t="str">
        <f ca="1">IFERROR(__xludf.DUMMYFUNCTION("""COMPUTED_VALUE"""),"UnicornRainbowSevens")</f>
        <v>UnicornRainbowSevens</v>
      </c>
      <c r="E90" s="5" t="str">
        <f ca="1">IFERROR(__xludf.DUMMYFUNCTION("""COMPUTED_VALUE"""),"Yes")</f>
        <v>Yes</v>
      </c>
      <c r="F90" s="5" t="str">
        <f ca="1">IFERROR(__xludf.DUMMYFUNCTION("""COMPUTED_VALUE"""),"Yes")</f>
        <v>Yes</v>
      </c>
      <c r="G90" s="5" t="str">
        <f ca="1">IFERROR(__xludf.DUMMYFUNCTION("""COMPUTED_VALUE"""),"Yes")</f>
        <v>Yes</v>
      </c>
      <c r="H90" s="5" t="str">
        <f ca="1">IFERROR(__xludf.DUMMYFUNCTION("""COMPUTED_VALUE"""),"No")</f>
        <v>No</v>
      </c>
      <c r="I90" s="5" t="str">
        <f ca="1">IFERROR(__xludf.DUMMYFUNCTION("""COMPUTED_VALUE"""),"No")</f>
        <v>No</v>
      </c>
      <c r="J90" s="5" t="str">
        <f ca="1">IFERROR(__xludf.DUMMYFUNCTION("""COMPUTED_VALUE"""),"No")</f>
        <v>No</v>
      </c>
      <c r="K90" s="5" t="str">
        <f ca="1">IFERROR(__xludf.DUMMYFUNCTION("""COMPUTED_VALUE"""),"No")</f>
        <v>No</v>
      </c>
      <c r="L90" s="5" t="str">
        <f ca="1">IFERROR(__xludf.DUMMYFUNCTION("""COMPUTED_VALUE"""),"No")</f>
        <v>No</v>
      </c>
      <c r="M90" s="5" t="str">
        <f ca="1">IFERROR(__xludf.DUMMYFUNCTION("""COMPUTED_VALUE"""),"Yes")</f>
        <v>Yes</v>
      </c>
      <c r="N90" s="5" t="str">
        <f ca="1">IFERROR(__xludf.DUMMYFUNCTION("""COMPUTED_VALUE"""),"Yes")</f>
        <v>Yes</v>
      </c>
      <c r="O90" s="5" t="str">
        <f ca="1">IFERROR(__xludf.DUMMYFUNCTION("""COMPUTED_VALUE"""),"Yes")</f>
        <v>Yes</v>
      </c>
      <c r="P90" s="5" t="str">
        <f ca="1">IFERROR(__xludf.DUMMYFUNCTION("""COMPUTED_VALUE"""),"Yes")</f>
        <v>Yes</v>
      </c>
      <c r="Q90" s="5" t="str">
        <f ca="1">IFERROR(__xludf.DUMMYFUNCTION("""COMPUTED_VALUE"""),"Yes")</f>
        <v>Yes</v>
      </c>
      <c r="R90" s="5" t="str">
        <f ca="1">IFERROR(__xludf.DUMMYFUNCTION("""COMPUTED_VALUE"""),"No")</f>
        <v>No</v>
      </c>
      <c r="S90" s="5" t="str">
        <f ca="1">IFERROR(__xludf.DUMMYFUNCTION("""COMPUTED_VALUE"""),"Yes")</f>
        <v>Yes</v>
      </c>
      <c r="T90" s="5" t="str">
        <f ca="1">IFERROR(__xludf.DUMMYFUNCTION("""COMPUTED_VALUE"""),"No")</f>
        <v>No</v>
      </c>
      <c r="U90" s="5" t="str">
        <f ca="1">IFERROR(__xludf.DUMMYFUNCTION("""COMPUTED_VALUE"""),"No")</f>
        <v>No</v>
      </c>
      <c r="V90" s="5" t="str">
        <f ca="1">IFERROR(__xludf.DUMMYFUNCTION("""COMPUTED_VALUE"""),"No")</f>
        <v>No</v>
      </c>
      <c r="W90" s="5" t="str">
        <f ca="1">IFERROR(__xludf.DUMMYFUNCTION("""COMPUTED_VALUE"""),"No")</f>
        <v>No</v>
      </c>
      <c r="X90" s="5" t="str">
        <f ca="1">IFERROR(__xludf.DUMMYFUNCTION("""COMPUTED_VALUE"""),"No")</f>
        <v>No</v>
      </c>
      <c r="Y90" s="5"/>
      <c r="Z90" s="5"/>
      <c r="AA90" s="5"/>
      <c r="AB90" s="5"/>
      <c r="AC90" s="5" t="str">
        <f ca="1">IFERROR(__xludf.DUMMYFUNCTION("""COMPUTED_VALUE"""),"No")</f>
        <v>No</v>
      </c>
      <c r="AD90" s="5"/>
      <c r="AE90" s="5"/>
      <c r="AF90" s="5"/>
      <c r="AG90" s="5"/>
      <c r="AH90" s="5"/>
      <c r="AI90" s="5"/>
      <c r="AJ90" s="5"/>
      <c r="AK90" s="5"/>
      <c r="AL90" s="5"/>
      <c r="AM90" s="5"/>
      <c r="AN90" s="5"/>
      <c r="AO90" s="5"/>
      <c r="AP90" s="5"/>
      <c r="AQ90" s="5"/>
      <c r="AR90" s="5"/>
      <c r="AS90" s="5"/>
      <c r="AT90" s="5"/>
      <c r="AU90" s="5"/>
      <c r="AV90" s="5"/>
      <c r="AW90" s="5"/>
      <c r="AX90" s="5"/>
      <c r="AY90" s="5"/>
    </row>
    <row r="91" spans="1:51" x14ac:dyDescent="0.25">
      <c r="A9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1" s="5">
        <f ca="1">IFERROR(__xludf.DUMMYFUNCTION("""COMPUTED_VALUE"""),90)</f>
        <v>90</v>
      </c>
      <c r="C91" s="5">
        <f ca="1">IFERROR(__xludf.DUMMYFUNCTION("""COMPUTED_VALUE"""),89)</f>
        <v>89</v>
      </c>
      <c r="D91" s="5" t="str">
        <f ca="1">IFERROR(__xludf.DUMMYFUNCTION("""COMPUTED_VALUE"""),"UnicornHavanaDice")</f>
        <v>UnicornHavanaDice</v>
      </c>
      <c r="E91" s="5" t="str">
        <f ca="1">IFERROR(__xludf.DUMMYFUNCTION("""COMPUTED_VALUE"""),"Yes")</f>
        <v>Yes</v>
      </c>
      <c r="F91" s="5" t="str">
        <f ca="1">IFERROR(__xludf.DUMMYFUNCTION("""COMPUTED_VALUE"""),"Yes")</f>
        <v>Yes</v>
      </c>
      <c r="G91" s="5" t="str">
        <f ca="1">IFERROR(__xludf.DUMMYFUNCTION("""COMPUTED_VALUE"""),"Yes")</f>
        <v>Yes</v>
      </c>
      <c r="H91" s="5" t="str">
        <f ca="1">IFERROR(__xludf.DUMMYFUNCTION("""COMPUTED_VALUE"""),"No")</f>
        <v>No</v>
      </c>
      <c r="I91" s="5" t="str">
        <f ca="1">IFERROR(__xludf.DUMMYFUNCTION("""COMPUTED_VALUE"""),"No")</f>
        <v>No</v>
      </c>
      <c r="J91" s="5" t="str">
        <f ca="1">IFERROR(__xludf.DUMMYFUNCTION("""COMPUTED_VALUE"""),"No")</f>
        <v>No</v>
      </c>
      <c r="K91" s="5" t="str">
        <f ca="1">IFERROR(__xludf.DUMMYFUNCTION("""COMPUTED_VALUE"""),"No")</f>
        <v>No</v>
      </c>
      <c r="L91" s="5" t="str">
        <f ca="1">IFERROR(__xludf.DUMMYFUNCTION("""COMPUTED_VALUE"""),"No")</f>
        <v>No</v>
      </c>
      <c r="M91" s="5" t="str">
        <f ca="1">IFERROR(__xludf.DUMMYFUNCTION("""COMPUTED_VALUE"""),"Yes")</f>
        <v>Yes</v>
      </c>
      <c r="N91" s="5" t="str">
        <f ca="1">IFERROR(__xludf.DUMMYFUNCTION("""COMPUTED_VALUE"""),"Yes")</f>
        <v>Yes</v>
      </c>
      <c r="O91" s="5" t="str">
        <f ca="1">IFERROR(__xludf.DUMMYFUNCTION("""COMPUTED_VALUE"""),"Yes")</f>
        <v>Yes</v>
      </c>
      <c r="P91" s="5" t="str">
        <f ca="1">IFERROR(__xludf.DUMMYFUNCTION("""COMPUTED_VALUE"""),"Yes")</f>
        <v>Yes</v>
      </c>
      <c r="Q91" s="5" t="str">
        <f ca="1">IFERROR(__xludf.DUMMYFUNCTION("""COMPUTED_VALUE"""),"Yes")</f>
        <v>Yes</v>
      </c>
      <c r="R91" s="5" t="str">
        <f ca="1">IFERROR(__xludf.DUMMYFUNCTION("""COMPUTED_VALUE"""),"No")</f>
        <v>No</v>
      </c>
      <c r="S91" s="5" t="str">
        <f ca="1">IFERROR(__xludf.DUMMYFUNCTION("""COMPUTED_VALUE"""),"Yes")</f>
        <v>Yes</v>
      </c>
      <c r="T91" s="5" t="str">
        <f ca="1">IFERROR(__xludf.DUMMYFUNCTION("""COMPUTED_VALUE"""),"No")</f>
        <v>No</v>
      </c>
      <c r="U91" s="5" t="str">
        <f ca="1">IFERROR(__xludf.DUMMYFUNCTION("""COMPUTED_VALUE"""),"No")</f>
        <v>No</v>
      </c>
      <c r="V91" s="5" t="str">
        <f ca="1">IFERROR(__xludf.DUMMYFUNCTION("""COMPUTED_VALUE"""),"No")</f>
        <v>No</v>
      </c>
      <c r="W91" s="5" t="str">
        <f ca="1">IFERROR(__xludf.DUMMYFUNCTION("""COMPUTED_VALUE"""),"No")</f>
        <v>No</v>
      </c>
      <c r="X91" s="5" t="str">
        <f ca="1">IFERROR(__xludf.DUMMYFUNCTION("""COMPUTED_VALUE"""),"No")</f>
        <v>No</v>
      </c>
      <c r="Y91" s="5"/>
      <c r="Z91" s="5"/>
      <c r="AA91" s="5"/>
      <c r="AB91" s="5"/>
      <c r="AC91" s="5" t="str">
        <f ca="1">IFERROR(__xludf.DUMMYFUNCTION("""COMPUTED_VALUE"""),"No")</f>
        <v>No</v>
      </c>
      <c r="AD91" s="5"/>
      <c r="AE91" s="5"/>
      <c r="AF91" s="5"/>
      <c r="AG91" s="5"/>
      <c r="AH91" s="5"/>
      <c r="AI91" s="5"/>
      <c r="AJ91" s="5"/>
      <c r="AK91" s="5"/>
      <c r="AL91" s="5"/>
      <c r="AM91" s="5"/>
      <c r="AN91" s="5"/>
      <c r="AO91" s="5"/>
      <c r="AP91" s="5"/>
      <c r="AQ91" s="5"/>
      <c r="AR91" s="5"/>
      <c r="AS91" s="5"/>
      <c r="AT91" s="5"/>
      <c r="AU91" s="5"/>
      <c r="AV91" s="5"/>
      <c r="AW91" s="5"/>
      <c r="AX91" s="5"/>
      <c r="AY91" s="5"/>
    </row>
    <row r="92" spans="1:51" x14ac:dyDescent="0.25">
      <c r="A9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2" s="5">
        <f ca="1">IFERROR(__xludf.DUMMYFUNCTION("""COMPUTED_VALUE"""),91)</f>
        <v>91</v>
      </c>
      <c r="C92" s="5">
        <f ca="1">IFERROR(__xludf.DUMMYFUNCTION("""COMPUTED_VALUE"""),90)</f>
        <v>90</v>
      </c>
      <c r="D92" s="5" t="str">
        <f ca="1">IFERROR(__xludf.DUMMYFUNCTION("""COMPUTED_VALUE"""),"MayanCoins")</f>
        <v>MayanCoins</v>
      </c>
      <c r="E92" s="5" t="str">
        <f ca="1">IFERROR(__xludf.DUMMYFUNCTION("""COMPUTED_VALUE"""),"Yes")</f>
        <v>Yes</v>
      </c>
      <c r="F92" s="5" t="str">
        <f ca="1">IFERROR(__xludf.DUMMYFUNCTION("""COMPUTED_VALUE"""),"Yes")</f>
        <v>Yes</v>
      </c>
      <c r="G92" s="5" t="str">
        <f ca="1">IFERROR(__xludf.DUMMYFUNCTION("""COMPUTED_VALUE"""),"No")</f>
        <v>No</v>
      </c>
      <c r="H92" s="5" t="str">
        <f ca="1">IFERROR(__xludf.DUMMYFUNCTION("""COMPUTED_VALUE"""),"Yes")</f>
        <v>Yes</v>
      </c>
      <c r="I92" s="5" t="str">
        <f ca="1">IFERROR(__xludf.DUMMYFUNCTION("""COMPUTED_VALUE"""),"Yes")</f>
        <v>Yes</v>
      </c>
      <c r="J92" s="5" t="str">
        <f ca="1">IFERROR(__xludf.DUMMYFUNCTION("""COMPUTED_VALUE"""),"Yes")</f>
        <v>Yes</v>
      </c>
      <c r="K92" s="5" t="str">
        <f ca="1">IFERROR(__xludf.DUMMYFUNCTION("""COMPUTED_VALUE"""),"Yes")</f>
        <v>Yes</v>
      </c>
      <c r="L92" s="5" t="str">
        <f ca="1">IFERROR(__xludf.DUMMYFUNCTION("""COMPUTED_VALUE"""),"Yes")</f>
        <v>Yes</v>
      </c>
      <c r="M92" s="5" t="str">
        <f ca="1">IFERROR(__xludf.DUMMYFUNCTION("""COMPUTED_VALUE"""),"Yes")</f>
        <v>Yes</v>
      </c>
      <c r="N92" s="5" t="str">
        <f ca="1">IFERROR(__xludf.DUMMYFUNCTION("""COMPUTED_VALUE"""),"Yes")</f>
        <v>Yes</v>
      </c>
      <c r="O92" s="5" t="str">
        <f ca="1">IFERROR(__xludf.DUMMYFUNCTION("""COMPUTED_VALUE"""),"Yes")</f>
        <v>Yes</v>
      </c>
      <c r="P92" s="5" t="str">
        <f ca="1">IFERROR(__xludf.DUMMYFUNCTION("""COMPUTED_VALUE"""),"Yes")</f>
        <v>Yes</v>
      </c>
      <c r="Q92" s="5" t="str">
        <f ca="1">IFERROR(__xludf.DUMMYFUNCTION("""COMPUTED_VALUE"""),"Yes")</f>
        <v>Yes</v>
      </c>
      <c r="R92" s="5" t="str">
        <f ca="1">IFERROR(__xludf.DUMMYFUNCTION("""COMPUTED_VALUE"""),"Yes")</f>
        <v>Yes</v>
      </c>
      <c r="S92" s="5" t="str">
        <f ca="1">IFERROR(__xludf.DUMMYFUNCTION("""COMPUTED_VALUE"""),"Yes")</f>
        <v>Yes</v>
      </c>
      <c r="T92" s="5" t="str">
        <f ca="1">IFERROR(__xludf.DUMMYFUNCTION("""COMPUTED_VALUE"""),"No")</f>
        <v>No</v>
      </c>
      <c r="U92" s="5" t="str">
        <f ca="1">IFERROR(__xludf.DUMMYFUNCTION("""COMPUTED_VALUE"""),"No")</f>
        <v>No</v>
      </c>
      <c r="V92" s="5" t="str">
        <f ca="1">IFERROR(__xludf.DUMMYFUNCTION("""COMPUTED_VALUE"""),"No")</f>
        <v>No</v>
      </c>
      <c r="W92" s="5" t="str">
        <f ca="1">IFERROR(__xludf.DUMMYFUNCTION("""COMPUTED_VALUE"""),"No")</f>
        <v>No</v>
      </c>
      <c r="X92" s="5" t="str">
        <f ca="1">IFERROR(__xludf.DUMMYFUNCTION("""COMPUTED_VALUE"""),"No")</f>
        <v>No</v>
      </c>
      <c r="Y92" s="5" t="str">
        <f ca="1">IFERROR(__xludf.DUMMYFUNCTION("""COMPUTED_VALUE"""),"No")</f>
        <v>No</v>
      </c>
      <c r="Z92" s="5" t="str">
        <f ca="1">IFERROR(__xludf.DUMMYFUNCTION("""COMPUTED_VALUE"""),"No")</f>
        <v>No</v>
      </c>
      <c r="AA92" s="5" t="str">
        <f ca="1">IFERROR(__xludf.DUMMYFUNCTION("""COMPUTED_VALUE"""),"No")</f>
        <v>No</v>
      </c>
      <c r="AB92" s="5" t="str">
        <f ca="1">IFERROR(__xludf.DUMMYFUNCTION("""COMPUTED_VALUE"""),"No")</f>
        <v>No</v>
      </c>
      <c r="AC92" s="5" t="str">
        <f ca="1">IFERROR(__xludf.DUMMYFUNCTION("""COMPUTED_VALUE"""),"No")</f>
        <v>No</v>
      </c>
      <c r="AD92" s="5" t="str">
        <f ca="1">IFERROR(__xludf.DUMMYFUNCTION("""COMPUTED_VALUE"""),"No")</f>
        <v>No</v>
      </c>
      <c r="AE92" s="5" t="str">
        <f ca="1">IFERROR(__xludf.DUMMYFUNCTION("""COMPUTED_VALUE"""),"No")</f>
        <v>No</v>
      </c>
      <c r="AF92" s="5" t="str">
        <f ca="1">IFERROR(__xludf.DUMMYFUNCTION("""COMPUTED_VALUE"""),"Yes")</f>
        <v>Yes</v>
      </c>
      <c r="AG92" s="5" t="str">
        <f ca="1">IFERROR(__xludf.DUMMYFUNCTION("""COMPUTED_VALUE"""),"No")</f>
        <v>No</v>
      </c>
      <c r="AH92" s="5" t="str">
        <f ca="1">IFERROR(__xludf.DUMMYFUNCTION("""COMPUTED_VALUE"""),"Yes")</f>
        <v>Yes</v>
      </c>
      <c r="AI92" s="5" t="str">
        <f ca="1">IFERROR(__xludf.DUMMYFUNCTION("""COMPUTED_VALUE"""),"No")</f>
        <v>No</v>
      </c>
      <c r="AJ92" s="5" t="str">
        <f ca="1">IFERROR(__xludf.DUMMYFUNCTION("""COMPUTED_VALUE"""),"No")</f>
        <v>No</v>
      </c>
      <c r="AK92" s="5" t="str">
        <f ca="1">IFERROR(__xludf.DUMMYFUNCTION("""COMPUTED_VALUE"""),"No")</f>
        <v>No</v>
      </c>
      <c r="AL92" s="5" t="str">
        <f ca="1">IFERROR(__xludf.DUMMYFUNCTION("""COMPUTED_VALUE"""),"No")</f>
        <v>No</v>
      </c>
      <c r="AM92" s="5"/>
      <c r="AN92" s="5"/>
      <c r="AO92" s="5"/>
      <c r="AP92" s="5"/>
      <c r="AQ92" s="5"/>
      <c r="AR92" s="5"/>
      <c r="AS92" s="5"/>
      <c r="AT92" s="5"/>
      <c r="AU92" s="5"/>
      <c r="AV92" s="5"/>
      <c r="AW92" s="5"/>
      <c r="AX92" s="5"/>
      <c r="AY92" s="5"/>
    </row>
    <row r="93" spans="1:51" x14ac:dyDescent="0.25">
      <c r="A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 Chinese(""zho/chi"")")</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 Chinese("zho/chi")</v>
      </c>
      <c r="B93" s="5">
        <f ca="1">IFERROR(__xludf.DUMMYFUNCTION("""COMPUTED_VALUE"""),92)</f>
        <v>92</v>
      </c>
      <c r="C93" s="5">
        <f ca="1">IFERROR(__xludf.DUMMYFUNCTION("""COMPUTED_VALUE"""),91)</f>
        <v>91</v>
      </c>
      <c r="D93" s="5" t="str">
        <f ca="1">IFERROR(__xludf.DUMMYFUNCTION("""COMPUTED_VALUE"""),"FireClover5")</f>
        <v>FireClover5</v>
      </c>
      <c r="E93" s="5" t="str">
        <f ca="1">IFERROR(__xludf.DUMMYFUNCTION("""COMPUTED_VALUE"""),"Yes")</f>
        <v>Yes</v>
      </c>
      <c r="F93" s="5" t="str">
        <f ca="1">IFERROR(__xludf.DUMMYFUNCTION("""COMPUTED_VALUE"""),"Yes")</f>
        <v>Yes</v>
      </c>
      <c r="G93" s="5" t="str">
        <f ca="1">IFERROR(__xludf.DUMMYFUNCTION("""COMPUTED_VALUE"""),"Yes")</f>
        <v>Yes</v>
      </c>
      <c r="H93" s="5" t="str">
        <f ca="1">IFERROR(__xludf.DUMMYFUNCTION("""COMPUTED_VALUE"""),"Yes")</f>
        <v>Yes</v>
      </c>
      <c r="I93" s="5" t="str">
        <f ca="1">IFERROR(__xludf.DUMMYFUNCTION("""COMPUTED_VALUE"""),"Yes")</f>
        <v>Yes</v>
      </c>
      <c r="J93" s="5" t="str">
        <f ca="1">IFERROR(__xludf.DUMMYFUNCTION("""COMPUTED_VALUE"""),"Yes")</f>
        <v>Yes</v>
      </c>
      <c r="K93" s="5" t="str">
        <f ca="1">IFERROR(__xludf.DUMMYFUNCTION("""COMPUTED_VALUE"""),"Yes")</f>
        <v>Yes</v>
      </c>
      <c r="L93" s="5" t="str">
        <f ca="1">IFERROR(__xludf.DUMMYFUNCTION("""COMPUTED_VALUE"""),"Yes")</f>
        <v>Yes</v>
      </c>
      <c r="M93" s="5" t="str">
        <f ca="1">IFERROR(__xludf.DUMMYFUNCTION("""COMPUTED_VALUE"""),"Yes")</f>
        <v>Yes</v>
      </c>
      <c r="N93" s="5" t="str">
        <f ca="1">IFERROR(__xludf.DUMMYFUNCTION("""COMPUTED_VALUE"""),"Yes")</f>
        <v>Yes</v>
      </c>
      <c r="O93" s="5" t="str">
        <f ca="1">IFERROR(__xludf.DUMMYFUNCTION("""COMPUTED_VALUE"""),"Yes")</f>
        <v>Yes</v>
      </c>
      <c r="P93" s="5" t="str">
        <f ca="1">IFERROR(__xludf.DUMMYFUNCTION("""COMPUTED_VALUE"""),"Yes")</f>
        <v>Yes</v>
      </c>
      <c r="Q93" s="5" t="str">
        <f ca="1">IFERROR(__xludf.DUMMYFUNCTION("""COMPUTED_VALUE"""),"Yes")</f>
        <v>Yes</v>
      </c>
      <c r="R93" s="5" t="str">
        <f ca="1">IFERROR(__xludf.DUMMYFUNCTION("""COMPUTED_VALUE"""),"Yes")</f>
        <v>Yes</v>
      </c>
      <c r="S93" s="5" t="str">
        <f ca="1">IFERROR(__xludf.DUMMYFUNCTION("""COMPUTED_VALUE"""),"Yes")</f>
        <v>Yes</v>
      </c>
      <c r="T93" s="5" t="str">
        <f ca="1">IFERROR(__xludf.DUMMYFUNCTION("""COMPUTED_VALUE"""),"Yes")</f>
        <v>Yes</v>
      </c>
      <c r="U93" s="5" t="str">
        <f ca="1">IFERROR(__xludf.DUMMYFUNCTION("""COMPUTED_VALUE"""),"Yes")</f>
        <v>Yes</v>
      </c>
      <c r="V93" s="5" t="str">
        <f ca="1">IFERROR(__xludf.DUMMYFUNCTION("""COMPUTED_VALUE"""),"Yes")</f>
        <v>Yes</v>
      </c>
      <c r="W93" s="5" t="str">
        <f ca="1">IFERROR(__xludf.DUMMYFUNCTION("""COMPUTED_VALUE"""),"Yes")</f>
        <v>Yes</v>
      </c>
      <c r="X93" s="5" t="str">
        <f ca="1">IFERROR(__xludf.DUMMYFUNCTION("""COMPUTED_VALUE"""),"Yes")</f>
        <v>Yes</v>
      </c>
      <c r="Y93" s="5"/>
      <c r="Z93" s="5"/>
      <c r="AA93" s="5"/>
      <c r="AB93" s="5"/>
      <c r="AC93" s="5" t="str">
        <f ca="1">IFERROR(__xludf.DUMMYFUNCTION("""COMPUTED_VALUE"""),"Yes")</f>
        <v>Yes</v>
      </c>
      <c r="AD93" s="5"/>
      <c r="AE93" s="5"/>
      <c r="AF93" s="5" t="str">
        <f ca="1">IFERROR(__xludf.DUMMYFUNCTION("""COMPUTED_VALUE"""),"Yes")</f>
        <v>Yes</v>
      </c>
      <c r="AG93" s="5"/>
      <c r="AH93" s="5" t="str">
        <f ca="1">IFERROR(__xludf.DUMMYFUNCTION("""COMPUTED_VALUE"""),"Yes")</f>
        <v>Yes</v>
      </c>
      <c r="AI93" s="5"/>
      <c r="AJ93" s="5"/>
      <c r="AK93" s="5"/>
      <c r="AL93" s="5"/>
      <c r="AM93" s="5"/>
      <c r="AN93" s="5"/>
      <c r="AO93" s="5"/>
      <c r="AP93" s="5"/>
      <c r="AQ93" s="5"/>
      <c r="AR93" s="5"/>
      <c r="AS93" s="5"/>
      <c r="AT93" s="5"/>
      <c r="AU93" s="5"/>
      <c r="AV93" s="5"/>
      <c r="AW93" s="5"/>
      <c r="AX93" s="5"/>
      <c r="AY93" s="5"/>
    </row>
    <row r="94" spans="1:51" x14ac:dyDescent="0.25">
      <c r="A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94" s="5">
        <f ca="1">IFERROR(__xludf.DUMMYFUNCTION("""COMPUTED_VALUE"""),93)</f>
        <v>93</v>
      </c>
      <c r="C94" s="5">
        <f ca="1">IFERROR(__xludf.DUMMYFUNCTION("""COMPUTED_VALUE"""),92)</f>
        <v>92</v>
      </c>
      <c r="D94" s="5" t="str">
        <f ca="1">IFERROR(__xludf.DUMMYFUNCTION("""COMPUTED_VALUE"""),"CrystalHotAdmiral")</f>
        <v>CrystalHotAdmiral</v>
      </c>
      <c r="E94" s="5" t="str">
        <f ca="1">IFERROR(__xludf.DUMMYFUNCTION("""COMPUTED_VALUE"""),"Yes")</f>
        <v>Yes</v>
      </c>
      <c r="F94" s="5" t="str">
        <f ca="1">IFERROR(__xludf.DUMMYFUNCTION("""COMPUTED_VALUE"""),"Yes")</f>
        <v>Yes</v>
      </c>
      <c r="G94" s="5" t="str">
        <f ca="1">IFERROR(__xludf.DUMMYFUNCTION("""COMPUTED_VALUE"""),"Yes")</f>
        <v>Yes</v>
      </c>
      <c r="H94" s="5" t="str">
        <f ca="1">IFERROR(__xludf.DUMMYFUNCTION("""COMPUTED_VALUE"""),"Yes")</f>
        <v>Yes</v>
      </c>
      <c r="I94" s="5" t="str">
        <f ca="1">IFERROR(__xludf.DUMMYFUNCTION("""COMPUTED_VALUE"""),"Yes")</f>
        <v>Yes</v>
      </c>
      <c r="J94" s="5" t="str">
        <f ca="1">IFERROR(__xludf.DUMMYFUNCTION("""COMPUTED_VALUE"""),"Yes")</f>
        <v>Yes</v>
      </c>
      <c r="K94" s="5" t="str">
        <f ca="1">IFERROR(__xludf.DUMMYFUNCTION("""COMPUTED_VALUE"""),"Yes")</f>
        <v>Yes</v>
      </c>
      <c r="L94" s="5" t="str">
        <f ca="1">IFERROR(__xludf.DUMMYFUNCTION("""COMPUTED_VALUE"""),"Yes")</f>
        <v>Yes</v>
      </c>
      <c r="M94" s="5" t="str">
        <f ca="1">IFERROR(__xludf.DUMMYFUNCTION("""COMPUTED_VALUE"""),"Yes")</f>
        <v>Yes</v>
      </c>
      <c r="N94" s="5" t="str">
        <f ca="1">IFERROR(__xludf.DUMMYFUNCTION("""COMPUTED_VALUE"""),"Yes")</f>
        <v>Yes</v>
      </c>
      <c r="O94" s="5" t="str">
        <f ca="1">IFERROR(__xludf.DUMMYFUNCTION("""COMPUTED_VALUE"""),"Yes")</f>
        <v>Yes</v>
      </c>
      <c r="P94" s="5" t="str">
        <f ca="1">IFERROR(__xludf.DUMMYFUNCTION("""COMPUTED_VALUE"""),"Yes")</f>
        <v>Yes</v>
      </c>
      <c r="Q94" s="5" t="str">
        <f ca="1">IFERROR(__xludf.DUMMYFUNCTION("""COMPUTED_VALUE"""),"Yes")</f>
        <v>Yes</v>
      </c>
      <c r="R94" s="5" t="str">
        <f ca="1">IFERROR(__xludf.DUMMYFUNCTION("""COMPUTED_VALUE"""),"Yes")</f>
        <v>Yes</v>
      </c>
      <c r="S94" s="5" t="str">
        <f ca="1">IFERROR(__xludf.DUMMYFUNCTION("""COMPUTED_VALUE"""),"Yes")</f>
        <v>Yes</v>
      </c>
      <c r="T94" s="5" t="str">
        <f ca="1">IFERROR(__xludf.DUMMYFUNCTION("""COMPUTED_VALUE"""),"Yes")</f>
        <v>Yes</v>
      </c>
      <c r="U94" s="5" t="str">
        <f ca="1">IFERROR(__xludf.DUMMYFUNCTION("""COMPUTED_VALUE"""),"Yes")</f>
        <v>Yes</v>
      </c>
      <c r="V94" s="5" t="str">
        <f ca="1">IFERROR(__xludf.DUMMYFUNCTION("""COMPUTED_VALUE"""),"Yes")</f>
        <v>Yes</v>
      </c>
      <c r="W94" s="5" t="str">
        <f ca="1">IFERROR(__xludf.DUMMYFUNCTION("""COMPUTED_VALUE"""),"Yes")</f>
        <v>Yes</v>
      </c>
      <c r="X94" s="5" t="str">
        <f ca="1">IFERROR(__xludf.DUMMYFUNCTION("""COMPUTED_VALUE"""),"Yes")</f>
        <v>Yes</v>
      </c>
      <c r="Y94" s="5" t="str">
        <f ca="1">IFERROR(__xludf.DUMMYFUNCTION("""COMPUTED_VALUE"""),"Yes")</f>
        <v>Yes</v>
      </c>
      <c r="Z94" s="5" t="str">
        <f ca="1">IFERROR(__xludf.DUMMYFUNCTION("""COMPUTED_VALUE"""),"No")</f>
        <v>No</v>
      </c>
      <c r="AA94" s="5" t="str">
        <f ca="1">IFERROR(__xludf.DUMMYFUNCTION("""COMPUTED_VALUE"""),"Yes")</f>
        <v>Yes</v>
      </c>
      <c r="AB94" s="5" t="str">
        <f ca="1">IFERROR(__xludf.DUMMYFUNCTION("""COMPUTED_VALUE"""),"Yes")</f>
        <v>Yes</v>
      </c>
      <c r="AC94" s="5" t="str">
        <f ca="1">IFERROR(__xludf.DUMMYFUNCTION("""COMPUTED_VALUE"""),"Yes")</f>
        <v>Yes</v>
      </c>
      <c r="AD94" s="5" t="str">
        <f ca="1">IFERROR(__xludf.DUMMYFUNCTION("""COMPUTED_VALUE"""),"Yes")</f>
        <v>Yes</v>
      </c>
      <c r="AE94" s="5" t="str">
        <f ca="1">IFERROR(__xludf.DUMMYFUNCTION("""COMPUTED_VALUE"""),"No")</f>
        <v>No</v>
      </c>
      <c r="AF94" s="5" t="str">
        <f ca="1">IFERROR(__xludf.DUMMYFUNCTION("""COMPUTED_VALUE"""),"Yes")</f>
        <v>Yes</v>
      </c>
      <c r="AG94" s="5" t="str">
        <f ca="1">IFERROR(__xludf.DUMMYFUNCTION("""COMPUTED_VALUE"""),"No")</f>
        <v>No</v>
      </c>
      <c r="AH94" s="5" t="str">
        <f ca="1">IFERROR(__xludf.DUMMYFUNCTION("""COMPUTED_VALUE"""),"No")</f>
        <v>No</v>
      </c>
      <c r="AI94" s="5" t="str">
        <f ca="1">IFERROR(__xludf.DUMMYFUNCTION("""COMPUTED_VALUE"""),"No")</f>
        <v>No</v>
      </c>
      <c r="AJ94" s="5" t="str">
        <f ca="1">IFERROR(__xludf.DUMMYFUNCTION("""COMPUTED_VALUE"""),"No")</f>
        <v>No</v>
      </c>
      <c r="AK94" s="5" t="str">
        <f ca="1">IFERROR(__xludf.DUMMYFUNCTION("""COMPUTED_VALUE"""),"No")</f>
        <v>No</v>
      </c>
      <c r="AL94" s="5" t="str">
        <f ca="1">IFERROR(__xludf.DUMMYFUNCTION("""COMPUTED_VALUE"""),"No")</f>
        <v>No</v>
      </c>
      <c r="AM94" s="5"/>
      <c r="AN94" s="5"/>
      <c r="AO94" s="5"/>
      <c r="AP94" s="5"/>
      <c r="AQ94" s="5"/>
      <c r="AR94" s="5"/>
      <c r="AS94" s="5"/>
      <c r="AT94" s="5"/>
      <c r="AU94" s="5"/>
      <c r="AV94" s="5"/>
      <c r="AW94" s="5"/>
      <c r="AX94" s="5"/>
      <c r="AY94" s="5"/>
    </row>
    <row r="95" spans="1:51" x14ac:dyDescent="0.25">
      <c r="A95"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5" s="5">
        <f ca="1">IFERROR(__xludf.DUMMYFUNCTION("""COMPUTED_VALUE"""),94)</f>
        <v>94</v>
      </c>
      <c r="C95" s="5">
        <f ca="1">IFERROR(__xludf.DUMMYFUNCTION("""COMPUTED_VALUE"""),93)</f>
        <v>93</v>
      </c>
      <c r="D95" s="5" t="str">
        <f ca="1">IFERROR(__xludf.DUMMYFUNCTION("""COMPUTED_VALUE"""),"WildCrown10")</f>
        <v>WildCrown10</v>
      </c>
      <c r="E95" s="5" t="str">
        <f ca="1">IFERROR(__xludf.DUMMYFUNCTION("""COMPUTED_VALUE"""),"Yes")</f>
        <v>Yes</v>
      </c>
      <c r="F95" s="5" t="str">
        <f ca="1">IFERROR(__xludf.DUMMYFUNCTION("""COMPUTED_VALUE"""),"Yes")</f>
        <v>Yes</v>
      </c>
      <c r="G95" s="5" t="str">
        <f ca="1">IFERROR(__xludf.DUMMYFUNCTION("""COMPUTED_VALUE"""),"No")</f>
        <v>No</v>
      </c>
      <c r="H95" s="5" t="str">
        <f ca="1">IFERROR(__xludf.DUMMYFUNCTION("""COMPUTED_VALUE"""),"Yes")</f>
        <v>Yes</v>
      </c>
      <c r="I95" s="5" t="str">
        <f ca="1">IFERROR(__xludf.DUMMYFUNCTION("""COMPUTED_VALUE"""),"Yes")</f>
        <v>Yes</v>
      </c>
      <c r="J95" s="5" t="str">
        <f ca="1">IFERROR(__xludf.DUMMYFUNCTION("""COMPUTED_VALUE"""),"Yes")</f>
        <v>Yes</v>
      </c>
      <c r="K95" s="5" t="str">
        <f ca="1">IFERROR(__xludf.DUMMYFUNCTION("""COMPUTED_VALUE"""),"Yes")</f>
        <v>Yes</v>
      </c>
      <c r="L95" s="5" t="str">
        <f ca="1">IFERROR(__xludf.DUMMYFUNCTION("""COMPUTED_VALUE"""),"Yes")</f>
        <v>Yes</v>
      </c>
      <c r="M95" s="5" t="str">
        <f ca="1">IFERROR(__xludf.DUMMYFUNCTION("""COMPUTED_VALUE"""),"Yes")</f>
        <v>Yes</v>
      </c>
      <c r="N95" s="5" t="str">
        <f ca="1">IFERROR(__xludf.DUMMYFUNCTION("""COMPUTED_VALUE"""),"Yes")</f>
        <v>Yes</v>
      </c>
      <c r="O95" s="5" t="str">
        <f ca="1">IFERROR(__xludf.DUMMYFUNCTION("""COMPUTED_VALUE"""),"Yes")</f>
        <v>Yes</v>
      </c>
      <c r="P95" s="5" t="str">
        <f ca="1">IFERROR(__xludf.DUMMYFUNCTION("""COMPUTED_VALUE"""),"Yes")</f>
        <v>Yes</v>
      </c>
      <c r="Q95" s="5" t="str">
        <f ca="1">IFERROR(__xludf.DUMMYFUNCTION("""COMPUTED_VALUE"""),"Yes")</f>
        <v>Yes</v>
      </c>
      <c r="R95" s="5" t="str">
        <f ca="1">IFERROR(__xludf.DUMMYFUNCTION("""COMPUTED_VALUE"""),"Yes")</f>
        <v>Yes</v>
      </c>
      <c r="S95" s="5" t="str">
        <f ca="1">IFERROR(__xludf.DUMMYFUNCTION("""COMPUTED_VALUE"""),"Yes")</f>
        <v>Yes</v>
      </c>
      <c r="T95" s="5" t="str">
        <f ca="1">IFERROR(__xludf.DUMMYFUNCTION("""COMPUTED_VALUE"""),"No")</f>
        <v>No</v>
      </c>
      <c r="U95" s="5" t="str">
        <f ca="1">IFERROR(__xludf.DUMMYFUNCTION("""COMPUTED_VALUE"""),"No")</f>
        <v>No</v>
      </c>
      <c r="V95" s="5" t="str">
        <f ca="1">IFERROR(__xludf.DUMMYFUNCTION("""COMPUTED_VALUE"""),"No")</f>
        <v>No</v>
      </c>
      <c r="W95" s="5" t="str">
        <f ca="1">IFERROR(__xludf.DUMMYFUNCTION("""COMPUTED_VALUE"""),"No")</f>
        <v>No</v>
      </c>
      <c r="X95" s="5" t="str">
        <f ca="1">IFERROR(__xludf.DUMMYFUNCTION("""COMPUTED_VALUE"""),"No")</f>
        <v>No</v>
      </c>
      <c r="Y95" s="5" t="str">
        <f ca="1">IFERROR(__xludf.DUMMYFUNCTION("""COMPUTED_VALUE"""),"No")</f>
        <v>No</v>
      </c>
      <c r="Z95" s="5" t="str">
        <f ca="1">IFERROR(__xludf.DUMMYFUNCTION("""COMPUTED_VALUE"""),"No")</f>
        <v>No</v>
      </c>
      <c r="AA95" s="5" t="str">
        <f ca="1">IFERROR(__xludf.DUMMYFUNCTION("""COMPUTED_VALUE"""),"No")</f>
        <v>No</v>
      </c>
      <c r="AB95" s="5" t="str">
        <f ca="1">IFERROR(__xludf.DUMMYFUNCTION("""COMPUTED_VALUE"""),"No")</f>
        <v>No</v>
      </c>
      <c r="AC95" s="5" t="str">
        <f ca="1">IFERROR(__xludf.DUMMYFUNCTION("""COMPUTED_VALUE"""),"No")</f>
        <v>No</v>
      </c>
      <c r="AD95" s="5" t="str">
        <f ca="1">IFERROR(__xludf.DUMMYFUNCTION("""COMPUTED_VALUE"""),"No")</f>
        <v>No</v>
      </c>
      <c r="AE95" s="5" t="str">
        <f ca="1">IFERROR(__xludf.DUMMYFUNCTION("""COMPUTED_VALUE"""),"No")</f>
        <v>No</v>
      </c>
      <c r="AF95" s="5" t="str">
        <f ca="1">IFERROR(__xludf.DUMMYFUNCTION("""COMPUTED_VALUE"""),"Yes")</f>
        <v>Yes</v>
      </c>
      <c r="AG95" s="5" t="str">
        <f ca="1">IFERROR(__xludf.DUMMYFUNCTION("""COMPUTED_VALUE"""),"No")</f>
        <v>No</v>
      </c>
      <c r="AH95" s="5" t="str">
        <f ca="1">IFERROR(__xludf.DUMMYFUNCTION("""COMPUTED_VALUE"""),"Yes")</f>
        <v>Yes</v>
      </c>
      <c r="AI95" s="5" t="str">
        <f ca="1">IFERROR(__xludf.DUMMYFUNCTION("""COMPUTED_VALUE"""),"No")</f>
        <v>No</v>
      </c>
      <c r="AJ95" s="5" t="str">
        <f ca="1">IFERROR(__xludf.DUMMYFUNCTION("""COMPUTED_VALUE"""),"No")</f>
        <v>No</v>
      </c>
      <c r="AK95" s="5" t="str">
        <f ca="1">IFERROR(__xludf.DUMMYFUNCTION("""COMPUTED_VALUE"""),"No")</f>
        <v>No</v>
      </c>
      <c r="AL95" s="5" t="str">
        <f ca="1">IFERROR(__xludf.DUMMYFUNCTION("""COMPUTED_VALUE"""),"No")</f>
        <v>No</v>
      </c>
      <c r="AM95" s="5"/>
      <c r="AN95" s="5"/>
      <c r="AO95" s="5"/>
      <c r="AP95" s="5"/>
      <c r="AQ95" s="5"/>
      <c r="AR95" s="5"/>
      <c r="AS95" s="5"/>
      <c r="AT95" s="5"/>
      <c r="AU95" s="5"/>
      <c r="AV95" s="5"/>
      <c r="AW95" s="5"/>
      <c r="AX95" s="5"/>
      <c r="AY95" s="5"/>
    </row>
    <row r="96" spans="1:51" x14ac:dyDescent="0.25">
      <c r="A9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6" s="5">
        <f ca="1">IFERROR(__xludf.DUMMYFUNCTION("""COMPUTED_VALUE"""),95)</f>
        <v>95</v>
      </c>
      <c r="C96" s="5">
        <f ca="1">IFERROR(__xludf.DUMMYFUNCTION("""COMPUTED_VALUE"""),94)</f>
        <v>94</v>
      </c>
      <c r="D96" s="5" t="str">
        <f ca="1">IFERROR(__xludf.DUMMYFUNCTION("""COMPUTED_VALUE"""),"UnicornCasinoFruits")</f>
        <v>UnicornCasinoFruits</v>
      </c>
      <c r="E96" s="5" t="str">
        <f ca="1">IFERROR(__xludf.DUMMYFUNCTION("""COMPUTED_VALUE"""),"Yes")</f>
        <v>Yes</v>
      </c>
      <c r="F96" s="5" t="str">
        <f ca="1">IFERROR(__xludf.DUMMYFUNCTION("""COMPUTED_VALUE"""),"Yes")</f>
        <v>Yes</v>
      </c>
      <c r="G96" s="5" t="str">
        <f ca="1">IFERROR(__xludf.DUMMYFUNCTION("""COMPUTED_VALUE"""),"Yes")</f>
        <v>Yes</v>
      </c>
      <c r="H96" s="5" t="str">
        <f ca="1">IFERROR(__xludf.DUMMYFUNCTION("""COMPUTED_VALUE"""),"No")</f>
        <v>No</v>
      </c>
      <c r="I96" s="5" t="str">
        <f ca="1">IFERROR(__xludf.DUMMYFUNCTION("""COMPUTED_VALUE"""),"No")</f>
        <v>No</v>
      </c>
      <c r="J96" s="5" t="str">
        <f ca="1">IFERROR(__xludf.DUMMYFUNCTION("""COMPUTED_VALUE"""),"No")</f>
        <v>No</v>
      </c>
      <c r="K96" s="5" t="str">
        <f ca="1">IFERROR(__xludf.DUMMYFUNCTION("""COMPUTED_VALUE"""),"No")</f>
        <v>No</v>
      </c>
      <c r="L96" s="5" t="str">
        <f ca="1">IFERROR(__xludf.DUMMYFUNCTION("""COMPUTED_VALUE"""),"No")</f>
        <v>No</v>
      </c>
      <c r="M96" s="5" t="str">
        <f ca="1">IFERROR(__xludf.DUMMYFUNCTION("""COMPUTED_VALUE"""),"Yes")</f>
        <v>Yes</v>
      </c>
      <c r="N96" s="5" t="str">
        <f ca="1">IFERROR(__xludf.DUMMYFUNCTION("""COMPUTED_VALUE"""),"Yes")</f>
        <v>Yes</v>
      </c>
      <c r="O96" s="5" t="str">
        <f ca="1">IFERROR(__xludf.DUMMYFUNCTION("""COMPUTED_VALUE"""),"Yes")</f>
        <v>Yes</v>
      </c>
      <c r="P96" s="5" t="str">
        <f ca="1">IFERROR(__xludf.DUMMYFUNCTION("""COMPUTED_VALUE"""),"Yes")</f>
        <v>Yes</v>
      </c>
      <c r="Q96" s="5" t="str">
        <f ca="1">IFERROR(__xludf.DUMMYFUNCTION("""COMPUTED_VALUE"""),"Yes")</f>
        <v>Yes</v>
      </c>
      <c r="R96" s="5" t="str">
        <f ca="1">IFERROR(__xludf.DUMMYFUNCTION("""COMPUTED_VALUE"""),"No")</f>
        <v>No</v>
      </c>
      <c r="S96" s="5" t="str">
        <f ca="1">IFERROR(__xludf.DUMMYFUNCTION("""COMPUTED_VALUE"""),"Yes")</f>
        <v>Yes</v>
      </c>
      <c r="T96" s="5" t="str">
        <f ca="1">IFERROR(__xludf.DUMMYFUNCTION("""COMPUTED_VALUE"""),"No")</f>
        <v>No</v>
      </c>
      <c r="U96" s="5" t="str">
        <f ca="1">IFERROR(__xludf.DUMMYFUNCTION("""COMPUTED_VALUE"""),"No")</f>
        <v>No</v>
      </c>
      <c r="V96" s="5" t="str">
        <f ca="1">IFERROR(__xludf.DUMMYFUNCTION("""COMPUTED_VALUE"""),"No")</f>
        <v>No</v>
      </c>
      <c r="W96" s="5" t="str">
        <f ca="1">IFERROR(__xludf.DUMMYFUNCTION("""COMPUTED_VALUE"""),"No")</f>
        <v>No</v>
      </c>
      <c r="X96" s="5" t="str">
        <f ca="1">IFERROR(__xludf.DUMMYFUNCTION("""COMPUTED_VALUE"""),"No")</f>
        <v>No</v>
      </c>
      <c r="Y96" s="5"/>
      <c r="Z96" s="5"/>
      <c r="AA96" s="5"/>
      <c r="AB96" s="5"/>
      <c r="AC96" s="5" t="str">
        <f ca="1">IFERROR(__xludf.DUMMYFUNCTION("""COMPUTED_VALUE"""),"No")</f>
        <v>No</v>
      </c>
      <c r="AD96" s="5"/>
      <c r="AE96" s="5"/>
      <c r="AF96" s="5"/>
      <c r="AG96" s="5"/>
      <c r="AH96" s="5"/>
      <c r="AI96" s="5"/>
      <c r="AJ96" s="5"/>
      <c r="AK96" s="5"/>
      <c r="AL96" s="5"/>
      <c r="AM96" s="5"/>
      <c r="AN96" s="5"/>
      <c r="AO96" s="5"/>
      <c r="AP96" s="5"/>
      <c r="AQ96" s="5"/>
      <c r="AR96" s="5"/>
      <c r="AS96" s="5"/>
      <c r="AT96" s="5"/>
      <c r="AU96" s="5"/>
      <c r="AV96" s="5"/>
      <c r="AW96" s="5"/>
      <c r="AX96" s="5"/>
      <c r="AY96" s="5"/>
    </row>
    <row r="97" spans="1:51" x14ac:dyDescent="0.25">
      <c r="A9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7" s="5">
        <f ca="1">IFERROR(__xludf.DUMMYFUNCTION("""COMPUTED_VALUE"""),96)</f>
        <v>96</v>
      </c>
      <c r="C97" s="5">
        <f ca="1">IFERROR(__xludf.DUMMYFUNCTION("""COMPUTED_VALUE"""),95)</f>
        <v>95</v>
      </c>
      <c r="D97" s="5" t="str">
        <f ca="1">IFERROR(__xludf.DUMMYFUNCTION("""COMPUTED_VALUE"""),"UnicornTheCrownFruit")</f>
        <v>UnicornTheCrownFruit</v>
      </c>
      <c r="E97" s="5" t="str">
        <f ca="1">IFERROR(__xludf.DUMMYFUNCTION("""COMPUTED_VALUE"""),"Yes")</f>
        <v>Yes</v>
      </c>
      <c r="F97" s="5" t="str">
        <f ca="1">IFERROR(__xludf.DUMMYFUNCTION("""COMPUTED_VALUE"""),"Yes")</f>
        <v>Yes</v>
      </c>
      <c r="G97" s="5" t="str">
        <f ca="1">IFERROR(__xludf.DUMMYFUNCTION("""COMPUTED_VALUE"""),"Yes")</f>
        <v>Yes</v>
      </c>
      <c r="H97" s="5" t="str">
        <f ca="1">IFERROR(__xludf.DUMMYFUNCTION("""COMPUTED_VALUE"""),"No")</f>
        <v>No</v>
      </c>
      <c r="I97" s="5" t="str">
        <f ca="1">IFERROR(__xludf.DUMMYFUNCTION("""COMPUTED_VALUE"""),"No")</f>
        <v>No</v>
      </c>
      <c r="J97" s="5" t="str">
        <f ca="1">IFERROR(__xludf.DUMMYFUNCTION("""COMPUTED_VALUE"""),"No")</f>
        <v>No</v>
      </c>
      <c r="K97" s="5" t="str">
        <f ca="1">IFERROR(__xludf.DUMMYFUNCTION("""COMPUTED_VALUE"""),"No")</f>
        <v>No</v>
      </c>
      <c r="L97" s="5" t="str">
        <f ca="1">IFERROR(__xludf.DUMMYFUNCTION("""COMPUTED_VALUE"""),"No")</f>
        <v>No</v>
      </c>
      <c r="M97" s="5" t="str">
        <f ca="1">IFERROR(__xludf.DUMMYFUNCTION("""COMPUTED_VALUE"""),"Yes")</f>
        <v>Yes</v>
      </c>
      <c r="N97" s="5" t="str">
        <f ca="1">IFERROR(__xludf.DUMMYFUNCTION("""COMPUTED_VALUE"""),"Yes")</f>
        <v>Yes</v>
      </c>
      <c r="O97" s="5" t="str">
        <f ca="1">IFERROR(__xludf.DUMMYFUNCTION("""COMPUTED_VALUE"""),"Yes")</f>
        <v>Yes</v>
      </c>
      <c r="P97" s="5" t="str">
        <f ca="1">IFERROR(__xludf.DUMMYFUNCTION("""COMPUTED_VALUE"""),"Yes")</f>
        <v>Yes</v>
      </c>
      <c r="Q97" s="5" t="str">
        <f ca="1">IFERROR(__xludf.DUMMYFUNCTION("""COMPUTED_VALUE"""),"Yes")</f>
        <v>Yes</v>
      </c>
      <c r="R97" s="5" t="str">
        <f ca="1">IFERROR(__xludf.DUMMYFUNCTION("""COMPUTED_VALUE"""),"No")</f>
        <v>No</v>
      </c>
      <c r="S97" s="5" t="str">
        <f ca="1">IFERROR(__xludf.DUMMYFUNCTION("""COMPUTED_VALUE"""),"Yes")</f>
        <v>Yes</v>
      </c>
      <c r="T97" s="5" t="str">
        <f ca="1">IFERROR(__xludf.DUMMYFUNCTION("""COMPUTED_VALUE"""),"No")</f>
        <v>No</v>
      </c>
      <c r="U97" s="5" t="str">
        <f ca="1">IFERROR(__xludf.DUMMYFUNCTION("""COMPUTED_VALUE"""),"No")</f>
        <v>No</v>
      </c>
      <c r="V97" s="5" t="str">
        <f ca="1">IFERROR(__xludf.DUMMYFUNCTION("""COMPUTED_VALUE"""),"No")</f>
        <v>No</v>
      </c>
      <c r="W97" s="5" t="str">
        <f ca="1">IFERROR(__xludf.DUMMYFUNCTION("""COMPUTED_VALUE"""),"No")</f>
        <v>No</v>
      </c>
      <c r="X97" s="5" t="str">
        <f ca="1">IFERROR(__xludf.DUMMYFUNCTION("""COMPUTED_VALUE"""),"No")</f>
        <v>No</v>
      </c>
      <c r="Y97" s="5"/>
      <c r="Z97" s="5"/>
      <c r="AA97" s="5"/>
      <c r="AB97" s="5"/>
      <c r="AC97" s="5" t="str">
        <f ca="1">IFERROR(__xludf.DUMMYFUNCTION("""COMPUTED_VALUE"""),"No")</f>
        <v>No</v>
      </c>
      <c r="AD97" s="5"/>
      <c r="AE97" s="5"/>
      <c r="AF97" s="5"/>
      <c r="AG97" s="5"/>
      <c r="AH97" s="5"/>
      <c r="AI97" s="5"/>
      <c r="AJ97" s="5"/>
      <c r="AK97" s="5"/>
      <c r="AL97" s="5"/>
      <c r="AM97" s="5"/>
      <c r="AN97" s="5"/>
      <c r="AO97" s="5"/>
      <c r="AP97" s="5"/>
      <c r="AQ97" s="5"/>
      <c r="AR97" s="5"/>
      <c r="AS97" s="5"/>
      <c r="AT97" s="5"/>
      <c r="AU97" s="5"/>
      <c r="AV97" s="5"/>
      <c r="AW97" s="5"/>
      <c r="AX97" s="5"/>
      <c r="AY97" s="5"/>
    </row>
    <row r="98" spans="1:51" x14ac:dyDescent="0.25">
      <c r="A98"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8" s="5">
        <f ca="1">IFERROR(__xludf.DUMMYFUNCTION("""COMPUTED_VALUE"""),97)</f>
        <v>97</v>
      </c>
      <c r="C98" s="5">
        <f ca="1">IFERROR(__xludf.DUMMYFUNCTION("""COMPUTED_VALUE"""),96)</f>
        <v>96</v>
      </c>
      <c r="D98" s="5" t="str">
        <f ca="1">IFERROR(__xludf.DUMMYFUNCTION("""COMPUTED_VALUE"""),"WildCloverDice40")</f>
        <v>WildCloverDice40</v>
      </c>
      <c r="E98" s="5" t="str">
        <f ca="1">IFERROR(__xludf.DUMMYFUNCTION("""COMPUTED_VALUE"""),"Yes")</f>
        <v>Yes</v>
      </c>
      <c r="F98" s="5" t="str">
        <f ca="1">IFERROR(__xludf.DUMMYFUNCTION("""COMPUTED_VALUE"""),"Yes")</f>
        <v>Yes</v>
      </c>
      <c r="G98" s="5" t="str">
        <f ca="1">IFERROR(__xludf.DUMMYFUNCTION("""COMPUTED_VALUE"""),"No")</f>
        <v>No</v>
      </c>
      <c r="H98" s="5" t="str">
        <f ca="1">IFERROR(__xludf.DUMMYFUNCTION("""COMPUTED_VALUE"""),"Yes")</f>
        <v>Yes</v>
      </c>
      <c r="I98" s="5" t="str">
        <f ca="1">IFERROR(__xludf.DUMMYFUNCTION("""COMPUTED_VALUE"""),"Yes")</f>
        <v>Yes</v>
      </c>
      <c r="J98" s="5" t="str">
        <f ca="1">IFERROR(__xludf.DUMMYFUNCTION("""COMPUTED_VALUE"""),"Yes")</f>
        <v>Yes</v>
      </c>
      <c r="K98" s="5" t="str">
        <f ca="1">IFERROR(__xludf.DUMMYFUNCTION("""COMPUTED_VALUE"""),"Yes")</f>
        <v>Yes</v>
      </c>
      <c r="L98" s="5" t="str">
        <f ca="1">IFERROR(__xludf.DUMMYFUNCTION("""COMPUTED_VALUE"""),"Yes")</f>
        <v>Yes</v>
      </c>
      <c r="M98" s="5" t="str">
        <f ca="1">IFERROR(__xludf.DUMMYFUNCTION("""COMPUTED_VALUE"""),"Yes")</f>
        <v>Yes</v>
      </c>
      <c r="N98" s="5" t="str">
        <f ca="1">IFERROR(__xludf.DUMMYFUNCTION("""COMPUTED_VALUE"""),"Yes")</f>
        <v>Yes</v>
      </c>
      <c r="O98" s="5" t="str">
        <f ca="1">IFERROR(__xludf.DUMMYFUNCTION("""COMPUTED_VALUE"""),"Yes")</f>
        <v>Yes</v>
      </c>
      <c r="P98" s="5" t="str">
        <f ca="1">IFERROR(__xludf.DUMMYFUNCTION("""COMPUTED_VALUE"""),"Yes")</f>
        <v>Yes</v>
      </c>
      <c r="Q98" s="5" t="str">
        <f ca="1">IFERROR(__xludf.DUMMYFUNCTION("""COMPUTED_VALUE"""),"Yes")</f>
        <v>Yes</v>
      </c>
      <c r="R98" s="5" t="str">
        <f ca="1">IFERROR(__xludf.DUMMYFUNCTION("""COMPUTED_VALUE"""),"Yes")</f>
        <v>Yes</v>
      </c>
      <c r="S98" s="5" t="str">
        <f ca="1">IFERROR(__xludf.DUMMYFUNCTION("""COMPUTED_VALUE"""),"Yes")</f>
        <v>Yes</v>
      </c>
      <c r="T98" s="5" t="str">
        <f ca="1">IFERROR(__xludf.DUMMYFUNCTION("""COMPUTED_VALUE"""),"No")</f>
        <v>No</v>
      </c>
      <c r="U98" s="5" t="str">
        <f ca="1">IFERROR(__xludf.DUMMYFUNCTION("""COMPUTED_VALUE"""),"No")</f>
        <v>No</v>
      </c>
      <c r="V98" s="5" t="str">
        <f ca="1">IFERROR(__xludf.DUMMYFUNCTION("""COMPUTED_VALUE"""),"No")</f>
        <v>No</v>
      </c>
      <c r="W98" s="5" t="str">
        <f ca="1">IFERROR(__xludf.DUMMYFUNCTION("""COMPUTED_VALUE"""),"No")</f>
        <v>No</v>
      </c>
      <c r="X98" s="5" t="str">
        <f ca="1">IFERROR(__xludf.DUMMYFUNCTION("""COMPUTED_VALUE"""),"No")</f>
        <v>No</v>
      </c>
      <c r="Y98" s="5" t="str">
        <f ca="1">IFERROR(__xludf.DUMMYFUNCTION("""COMPUTED_VALUE"""),"No")</f>
        <v>No</v>
      </c>
      <c r="Z98" s="5" t="str">
        <f ca="1">IFERROR(__xludf.DUMMYFUNCTION("""COMPUTED_VALUE"""),"No")</f>
        <v>No</v>
      </c>
      <c r="AA98" s="5" t="str">
        <f ca="1">IFERROR(__xludf.DUMMYFUNCTION("""COMPUTED_VALUE"""),"No")</f>
        <v>No</v>
      </c>
      <c r="AB98" s="5" t="str">
        <f ca="1">IFERROR(__xludf.DUMMYFUNCTION("""COMPUTED_VALUE"""),"No")</f>
        <v>No</v>
      </c>
      <c r="AC98" s="5" t="str">
        <f ca="1">IFERROR(__xludf.DUMMYFUNCTION("""COMPUTED_VALUE"""),"No")</f>
        <v>No</v>
      </c>
      <c r="AD98" s="5" t="str">
        <f ca="1">IFERROR(__xludf.DUMMYFUNCTION("""COMPUTED_VALUE"""),"No")</f>
        <v>No</v>
      </c>
      <c r="AE98" s="5" t="str">
        <f ca="1">IFERROR(__xludf.DUMMYFUNCTION("""COMPUTED_VALUE"""),"No")</f>
        <v>No</v>
      </c>
      <c r="AF98" s="5" t="str">
        <f ca="1">IFERROR(__xludf.DUMMYFUNCTION("""COMPUTED_VALUE"""),"Yes")</f>
        <v>Yes</v>
      </c>
      <c r="AG98" s="5" t="str">
        <f ca="1">IFERROR(__xludf.DUMMYFUNCTION("""COMPUTED_VALUE"""),"No")</f>
        <v>No</v>
      </c>
      <c r="AH98" s="5" t="str">
        <f ca="1">IFERROR(__xludf.DUMMYFUNCTION("""COMPUTED_VALUE"""),"Yes")</f>
        <v>Yes</v>
      </c>
      <c r="AI98" s="5" t="str">
        <f ca="1">IFERROR(__xludf.DUMMYFUNCTION("""COMPUTED_VALUE"""),"No")</f>
        <v>No</v>
      </c>
      <c r="AJ98" s="5" t="str">
        <f ca="1">IFERROR(__xludf.DUMMYFUNCTION("""COMPUTED_VALUE"""),"No")</f>
        <v>No</v>
      </c>
      <c r="AK98" s="5" t="str">
        <f ca="1">IFERROR(__xludf.DUMMYFUNCTION("""COMPUTED_VALUE"""),"No")</f>
        <v>No</v>
      </c>
      <c r="AL98" s="5" t="str">
        <f ca="1">IFERROR(__xludf.DUMMYFUNCTION("""COMPUTED_VALUE"""),"No")</f>
        <v>No</v>
      </c>
      <c r="AM98" s="5"/>
      <c r="AN98" s="5"/>
      <c r="AO98" s="5"/>
      <c r="AP98" s="5"/>
      <c r="AQ98" s="5"/>
      <c r="AR98" s="5"/>
      <c r="AS98" s="5"/>
      <c r="AT98" s="5"/>
      <c r="AU98" s="5"/>
      <c r="AV98" s="5"/>
      <c r="AW98" s="5"/>
      <c r="AX98" s="5"/>
      <c r="AY98" s="5"/>
    </row>
    <row r="99" spans="1:51" x14ac:dyDescent="0.25">
      <c r="A9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9" s="5">
        <f ca="1">IFERROR(__xludf.DUMMYFUNCTION("""COMPUTED_VALUE"""),98)</f>
        <v>98</v>
      </c>
      <c r="C99" s="5">
        <f ca="1">IFERROR(__xludf.DUMMYFUNCTION("""COMPUTED_VALUE"""),97)</f>
        <v>97</v>
      </c>
      <c r="D99" s="5" t="str">
        <f ca="1">IFERROR(__xludf.DUMMYFUNCTION("""COMPUTED_VALUE"""),"UnicornTwentyFruits")</f>
        <v>UnicornTwentyFruits</v>
      </c>
      <c r="E99" s="5" t="str">
        <f ca="1">IFERROR(__xludf.DUMMYFUNCTION("""COMPUTED_VALUE"""),"Yes")</f>
        <v>Yes</v>
      </c>
      <c r="F99" s="5" t="str">
        <f ca="1">IFERROR(__xludf.DUMMYFUNCTION("""COMPUTED_VALUE"""),"Yes")</f>
        <v>Yes</v>
      </c>
      <c r="G99" s="5" t="str">
        <f ca="1">IFERROR(__xludf.DUMMYFUNCTION("""COMPUTED_VALUE"""),"Yes")</f>
        <v>Yes</v>
      </c>
      <c r="H99" s="5" t="str">
        <f ca="1">IFERROR(__xludf.DUMMYFUNCTION("""COMPUTED_VALUE"""),"No")</f>
        <v>No</v>
      </c>
      <c r="I99" s="5" t="str">
        <f ca="1">IFERROR(__xludf.DUMMYFUNCTION("""COMPUTED_VALUE"""),"No")</f>
        <v>No</v>
      </c>
      <c r="J99" s="5" t="str">
        <f ca="1">IFERROR(__xludf.DUMMYFUNCTION("""COMPUTED_VALUE"""),"No")</f>
        <v>No</v>
      </c>
      <c r="K99" s="5" t="str">
        <f ca="1">IFERROR(__xludf.DUMMYFUNCTION("""COMPUTED_VALUE"""),"No")</f>
        <v>No</v>
      </c>
      <c r="L99" s="5" t="str">
        <f ca="1">IFERROR(__xludf.DUMMYFUNCTION("""COMPUTED_VALUE"""),"No")</f>
        <v>No</v>
      </c>
      <c r="M99" s="5" t="str">
        <f ca="1">IFERROR(__xludf.DUMMYFUNCTION("""COMPUTED_VALUE"""),"Yes")</f>
        <v>Yes</v>
      </c>
      <c r="N99" s="5" t="str">
        <f ca="1">IFERROR(__xludf.DUMMYFUNCTION("""COMPUTED_VALUE"""),"Yes")</f>
        <v>Yes</v>
      </c>
      <c r="O99" s="5" t="str">
        <f ca="1">IFERROR(__xludf.DUMMYFUNCTION("""COMPUTED_VALUE"""),"Yes")</f>
        <v>Yes</v>
      </c>
      <c r="P99" s="5" t="str">
        <f ca="1">IFERROR(__xludf.DUMMYFUNCTION("""COMPUTED_VALUE"""),"Yes")</f>
        <v>Yes</v>
      </c>
      <c r="Q99" s="5" t="str">
        <f ca="1">IFERROR(__xludf.DUMMYFUNCTION("""COMPUTED_VALUE"""),"Yes")</f>
        <v>Yes</v>
      </c>
      <c r="R99" s="5" t="str">
        <f ca="1">IFERROR(__xludf.DUMMYFUNCTION("""COMPUTED_VALUE"""),"No")</f>
        <v>No</v>
      </c>
      <c r="S99" s="5" t="str">
        <f ca="1">IFERROR(__xludf.DUMMYFUNCTION("""COMPUTED_VALUE"""),"Yes")</f>
        <v>Yes</v>
      </c>
      <c r="T99" s="5" t="str">
        <f ca="1">IFERROR(__xludf.DUMMYFUNCTION("""COMPUTED_VALUE"""),"No")</f>
        <v>No</v>
      </c>
      <c r="U99" s="5" t="str">
        <f ca="1">IFERROR(__xludf.DUMMYFUNCTION("""COMPUTED_VALUE"""),"No")</f>
        <v>No</v>
      </c>
      <c r="V99" s="5" t="str">
        <f ca="1">IFERROR(__xludf.DUMMYFUNCTION("""COMPUTED_VALUE"""),"No")</f>
        <v>No</v>
      </c>
      <c r="W99" s="5" t="str">
        <f ca="1">IFERROR(__xludf.DUMMYFUNCTION("""COMPUTED_VALUE"""),"No")</f>
        <v>No</v>
      </c>
      <c r="X99" s="5" t="str">
        <f ca="1">IFERROR(__xludf.DUMMYFUNCTION("""COMPUTED_VALUE"""),"No")</f>
        <v>No</v>
      </c>
      <c r="Y99" s="5"/>
      <c r="Z99" s="5"/>
      <c r="AA99" s="5"/>
      <c r="AB99" s="5"/>
      <c r="AC99" s="5" t="str">
        <f ca="1">IFERROR(__xludf.DUMMYFUNCTION("""COMPUTED_VALUE"""),"No")</f>
        <v>No</v>
      </c>
      <c r="AD99" s="5"/>
      <c r="AE99" s="5"/>
      <c r="AF99" s="5"/>
      <c r="AG99" s="5"/>
      <c r="AH99" s="5"/>
      <c r="AI99" s="5"/>
      <c r="AJ99" s="5"/>
      <c r="AK99" s="5"/>
      <c r="AL99" s="5"/>
      <c r="AM99" s="5"/>
      <c r="AN99" s="5"/>
      <c r="AO99" s="5"/>
      <c r="AP99" s="5"/>
      <c r="AQ99" s="5"/>
      <c r="AR99" s="5"/>
      <c r="AS99" s="5"/>
      <c r="AT99" s="5"/>
      <c r="AU99" s="5"/>
      <c r="AV99" s="5"/>
      <c r="AW99" s="5"/>
      <c r="AX99" s="5"/>
      <c r="AY99" s="5"/>
    </row>
    <row r="100" spans="1:51" x14ac:dyDescent="0.25">
      <c r="A10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00" s="5">
        <f ca="1">IFERROR(__xludf.DUMMYFUNCTION("""COMPUTED_VALUE"""),99)</f>
        <v>99</v>
      </c>
      <c r="C100" s="5">
        <f ca="1">IFERROR(__xludf.DUMMYFUNCTION("""COMPUTED_VALUE"""),98)</f>
        <v>98</v>
      </c>
      <c r="D100" s="5" t="str">
        <f ca="1">IFERROR(__xludf.DUMMYFUNCTION("""COMPUTED_VALUE"""),"UnicornTwentyDice")</f>
        <v>UnicornTwentyDice</v>
      </c>
      <c r="E100" s="5" t="str">
        <f ca="1">IFERROR(__xludf.DUMMYFUNCTION("""COMPUTED_VALUE"""),"Yes")</f>
        <v>Yes</v>
      </c>
      <c r="F100" s="5" t="str">
        <f ca="1">IFERROR(__xludf.DUMMYFUNCTION("""COMPUTED_VALUE"""),"Yes")</f>
        <v>Yes</v>
      </c>
      <c r="G100" s="5" t="str">
        <f ca="1">IFERROR(__xludf.DUMMYFUNCTION("""COMPUTED_VALUE"""),"Yes")</f>
        <v>Yes</v>
      </c>
      <c r="H100" s="5" t="str">
        <f ca="1">IFERROR(__xludf.DUMMYFUNCTION("""COMPUTED_VALUE"""),"No")</f>
        <v>No</v>
      </c>
      <c r="I100" s="5" t="str">
        <f ca="1">IFERROR(__xludf.DUMMYFUNCTION("""COMPUTED_VALUE"""),"No")</f>
        <v>No</v>
      </c>
      <c r="J100" s="5" t="str">
        <f ca="1">IFERROR(__xludf.DUMMYFUNCTION("""COMPUTED_VALUE"""),"No")</f>
        <v>No</v>
      </c>
      <c r="K100" s="5" t="str">
        <f ca="1">IFERROR(__xludf.DUMMYFUNCTION("""COMPUTED_VALUE"""),"No")</f>
        <v>No</v>
      </c>
      <c r="L100" s="5" t="str">
        <f ca="1">IFERROR(__xludf.DUMMYFUNCTION("""COMPUTED_VALUE"""),"No")</f>
        <v>No</v>
      </c>
      <c r="M100" s="5" t="str">
        <f ca="1">IFERROR(__xludf.DUMMYFUNCTION("""COMPUTED_VALUE"""),"Yes")</f>
        <v>Yes</v>
      </c>
      <c r="N100" s="5" t="str">
        <f ca="1">IFERROR(__xludf.DUMMYFUNCTION("""COMPUTED_VALUE"""),"Yes")</f>
        <v>Yes</v>
      </c>
      <c r="O100" s="5" t="str">
        <f ca="1">IFERROR(__xludf.DUMMYFUNCTION("""COMPUTED_VALUE"""),"Yes")</f>
        <v>Yes</v>
      </c>
      <c r="P100" s="5" t="str">
        <f ca="1">IFERROR(__xludf.DUMMYFUNCTION("""COMPUTED_VALUE"""),"Yes")</f>
        <v>Yes</v>
      </c>
      <c r="Q100" s="5" t="str">
        <f ca="1">IFERROR(__xludf.DUMMYFUNCTION("""COMPUTED_VALUE"""),"Yes")</f>
        <v>Yes</v>
      </c>
      <c r="R100" s="5" t="str">
        <f ca="1">IFERROR(__xludf.DUMMYFUNCTION("""COMPUTED_VALUE"""),"No")</f>
        <v>No</v>
      </c>
      <c r="S100" s="5" t="str">
        <f ca="1">IFERROR(__xludf.DUMMYFUNCTION("""COMPUTED_VALUE"""),"Yes")</f>
        <v>Yes</v>
      </c>
      <c r="T100" s="5" t="str">
        <f ca="1">IFERROR(__xludf.DUMMYFUNCTION("""COMPUTED_VALUE"""),"No")</f>
        <v>No</v>
      </c>
      <c r="U100" s="5" t="str">
        <f ca="1">IFERROR(__xludf.DUMMYFUNCTION("""COMPUTED_VALUE"""),"No")</f>
        <v>No</v>
      </c>
      <c r="V100" s="5" t="str">
        <f ca="1">IFERROR(__xludf.DUMMYFUNCTION("""COMPUTED_VALUE"""),"No")</f>
        <v>No</v>
      </c>
      <c r="W100" s="5" t="str">
        <f ca="1">IFERROR(__xludf.DUMMYFUNCTION("""COMPUTED_VALUE"""),"No")</f>
        <v>No</v>
      </c>
      <c r="X100" s="5" t="str">
        <f ca="1">IFERROR(__xludf.DUMMYFUNCTION("""COMPUTED_VALUE"""),"No")</f>
        <v>No</v>
      </c>
      <c r="Y100" s="5"/>
      <c r="Z100" s="5"/>
      <c r="AA100" s="5"/>
      <c r="AB100" s="5"/>
      <c r="AC100" s="5" t="str">
        <f ca="1">IFERROR(__xludf.DUMMYFUNCTION("""COMPUTED_VALUE"""),"No")</f>
        <v>No</v>
      </c>
      <c r="AD100" s="5"/>
      <c r="AE100" s="5"/>
      <c r="AF100" s="5"/>
      <c r="AG100" s="5"/>
      <c r="AH100" s="5"/>
      <c r="AI100" s="5"/>
      <c r="AJ100" s="5"/>
      <c r="AK100" s="5"/>
      <c r="AL100" s="5"/>
      <c r="AM100" s="5"/>
      <c r="AN100" s="5"/>
      <c r="AO100" s="5"/>
      <c r="AP100" s="5"/>
      <c r="AQ100" s="5"/>
      <c r="AR100" s="5"/>
      <c r="AS100" s="5"/>
      <c r="AT100" s="5"/>
      <c r="AU100" s="5"/>
      <c r="AV100" s="5"/>
      <c r="AW100" s="5"/>
      <c r="AX100" s="5"/>
      <c r="AY100" s="5"/>
    </row>
    <row r="101" spans="1:51" x14ac:dyDescent="0.25">
      <c r="A101"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1" s="5">
        <f ca="1">IFERROR(__xludf.DUMMYFUNCTION("""COMPUTED_VALUE"""),100)</f>
        <v>100</v>
      </c>
      <c r="C101" s="5">
        <f ca="1">IFERROR(__xludf.DUMMYFUNCTION("""COMPUTED_VALUE"""),99)</f>
        <v>99</v>
      </c>
      <c r="D101" s="5" t="str">
        <f ca="1">IFERROR(__xludf.DUMMYFUNCTION("""COMPUTED_VALUE"""),"FireCloverDice5")</f>
        <v>FireCloverDice5</v>
      </c>
      <c r="E101" s="5" t="str">
        <f ca="1">IFERROR(__xludf.DUMMYFUNCTION("""COMPUTED_VALUE"""),"Yes")</f>
        <v>Yes</v>
      </c>
      <c r="F101" s="5" t="str">
        <f ca="1">IFERROR(__xludf.DUMMYFUNCTION("""COMPUTED_VALUE"""),"Yes")</f>
        <v>Yes</v>
      </c>
      <c r="G101" s="5" t="str">
        <f ca="1">IFERROR(__xludf.DUMMYFUNCTION("""COMPUTED_VALUE"""),"No")</f>
        <v>No</v>
      </c>
      <c r="H101" s="5" t="str">
        <f ca="1">IFERROR(__xludf.DUMMYFUNCTION("""COMPUTED_VALUE"""),"Yes")</f>
        <v>Yes</v>
      </c>
      <c r="I101" s="5" t="str">
        <f ca="1">IFERROR(__xludf.DUMMYFUNCTION("""COMPUTED_VALUE"""),"Yes")</f>
        <v>Yes</v>
      </c>
      <c r="J101" s="5" t="str">
        <f ca="1">IFERROR(__xludf.DUMMYFUNCTION("""COMPUTED_VALUE"""),"Yes")</f>
        <v>Yes</v>
      </c>
      <c r="K101" s="5" t="str">
        <f ca="1">IFERROR(__xludf.DUMMYFUNCTION("""COMPUTED_VALUE"""),"Yes")</f>
        <v>Yes</v>
      </c>
      <c r="L101" s="5" t="str">
        <f ca="1">IFERROR(__xludf.DUMMYFUNCTION("""COMPUTED_VALUE"""),"Yes")</f>
        <v>Yes</v>
      </c>
      <c r="M101" s="5" t="str">
        <f ca="1">IFERROR(__xludf.DUMMYFUNCTION("""COMPUTED_VALUE"""),"Yes")</f>
        <v>Yes</v>
      </c>
      <c r="N101" s="5" t="str">
        <f ca="1">IFERROR(__xludf.DUMMYFUNCTION("""COMPUTED_VALUE"""),"Yes")</f>
        <v>Yes</v>
      </c>
      <c r="O101" s="5" t="str">
        <f ca="1">IFERROR(__xludf.DUMMYFUNCTION("""COMPUTED_VALUE"""),"Yes")</f>
        <v>Yes</v>
      </c>
      <c r="P101" s="5" t="str">
        <f ca="1">IFERROR(__xludf.DUMMYFUNCTION("""COMPUTED_VALUE"""),"Yes")</f>
        <v>Yes</v>
      </c>
      <c r="Q101" s="5" t="str">
        <f ca="1">IFERROR(__xludf.DUMMYFUNCTION("""COMPUTED_VALUE"""),"Yes")</f>
        <v>Yes</v>
      </c>
      <c r="R101" s="5" t="str">
        <f ca="1">IFERROR(__xludf.DUMMYFUNCTION("""COMPUTED_VALUE"""),"Yes")</f>
        <v>Yes</v>
      </c>
      <c r="S101" s="5" t="str">
        <f ca="1">IFERROR(__xludf.DUMMYFUNCTION("""COMPUTED_VALUE"""),"Yes")</f>
        <v>Yes</v>
      </c>
      <c r="T101" s="5" t="str">
        <f ca="1">IFERROR(__xludf.DUMMYFUNCTION("""COMPUTED_VALUE"""),"No")</f>
        <v>No</v>
      </c>
      <c r="U101" s="5" t="str">
        <f ca="1">IFERROR(__xludf.DUMMYFUNCTION("""COMPUTED_VALUE"""),"No")</f>
        <v>No</v>
      </c>
      <c r="V101" s="5" t="str">
        <f ca="1">IFERROR(__xludf.DUMMYFUNCTION("""COMPUTED_VALUE"""),"No")</f>
        <v>No</v>
      </c>
      <c r="W101" s="5" t="str">
        <f ca="1">IFERROR(__xludf.DUMMYFUNCTION("""COMPUTED_VALUE"""),"No")</f>
        <v>No</v>
      </c>
      <c r="X101" s="5" t="str">
        <f ca="1">IFERROR(__xludf.DUMMYFUNCTION("""COMPUTED_VALUE"""),"No")</f>
        <v>No</v>
      </c>
      <c r="Y101" s="5" t="str">
        <f ca="1">IFERROR(__xludf.DUMMYFUNCTION("""COMPUTED_VALUE"""),"No")</f>
        <v>No</v>
      </c>
      <c r="Z101" s="5" t="str">
        <f ca="1">IFERROR(__xludf.DUMMYFUNCTION("""COMPUTED_VALUE"""),"No")</f>
        <v>No</v>
      </c>
      <c r="AA101" s="5" t="str">
        <f ca="1">IFERROR(__xludf.DUMMYFUNCTION("""COMPUTED_VALUE"""),"No")</f>
        <v>No</v>
      </c>
      <c r="AB101" s="5" t="str">
        <f ca="1">IFERROR(__xludf.DUMMYFUNCTION("""COMPUTED_VALUE"""),"No")</f>
        <v>No</v>
      </c>
      <c r="AC101" s="5" t="str">
        <f ca="1">IFERROR(__xludf.DUMMYFUNCTION("""COMPUTED_VALUE"""),"No")</f>
        <v>No</v>
      </c>
      <c r="AD101" s="5" t="str">
        <f ca="1">IFERROR(__xludf.DUMMYFUNCTION("""COMPUTED_VALUE"""),"No")</f>
        <v>No</v>
      </c>
      <c r="AE101" s="5" t="str">
        <f ca="1">IFERROR(__xludf.DUMMYFUNCTION("""COMPUTED_VALUE"""),"No")</f>
        <v>No</v>
      </c>
      <c r="AF101" s="5" t="str">
        <f ca="1">IFERROR(__xludf.DUMMYFUNCTION("""COMPUTED_VALUE"""),"Yes")</f>
        <v>Yes</v>
      </c>
      <c r="AG101" s="5" t="str">
        <f ca="1">IFERROR(__xludf.DUMMYFUNCTION("""COMPUTED_VALUE"""),"No")</f>
        <v>No</v>
      </c>
      <c r="AH101" s="5" t="str">
        <f ca="1">IFERROR(__xludf.DUMMYFUNCTION("""COMPUTED_VALUE"""),"Yes")</f>
        <v>Yes</v>
      </c>
      <c r="AI101" s="5" t="str">
        <f ca="1">IFERROR(__xludf.DUMMYFUNCTION("""COMPUTED_VALUE"""),"No")</f>
        <v>No</v>
      </c>
      <c r="AJ101" s="5" t="str">
        <f ca="1">IFERROR(__xludf.DUMMYFUNCTION("""COMPUTED_VALUE"""),"No")</f>
        <v>No</v>
      </c>
      <c r="AK101" s="5" t="str">
        <f ca="1">IFERROR(__xludf.DUMMYFUNCTION("""COMPUTED_VALUE"""),"No")</f>
        <v>No</v>
      </c>
      <c r="AL101" s="5" t="str">
        <f ca="1">IFERROR(__xludf.DUMMYFUNCTION("""COMPUTED_VALUE"""),"No")</f>
        <v>No</v>
      </c>
      <c r="AM101" s="5"/>
      <c r="AN101" s="5"/>
      <c r="AO101" s="5"/>
      <c r="AP101" s="5"/>
      <c r="AQ101" s="5"/>
      <c r="AR101" s="5"/>
      <c r="AS101" s="5"/>
      <c r="AT101" s="5"/>
      <c r="AU101" s="5"/>
      <c r="AV101" s="5"/>
      <c r="AW101" s="5"/>
      <c r="AX101" s="5"/>
      <c r="AY101" s="5"/>
    </row>
    <row r="102" spans="1:51" x14ac:dyDescent="0.25">
      <c r="A1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2" s="5">
        <f ca="1">IFERROR(__xludf.DUMMYFUNCTION("""COMPUTED_VALUE"""),101)</f>
        <v>101</v>
      </c>
      <c r="C102" s="5">
        <f ca="1">IFERROR(__xludf.DUMMYFUNCTION("""COMPUTED_VALUE"""),100)</f>
        <v>100</v>
      </c>
      <c r="D102" s="5" t="str">
        <f ca="1">IFERROR(__xludf.DUMMYFUNCTION("""COMPUTED_VALUE"""),"WildKingdom")</f>
        <v>WildKingdom</v>
      </c>
      <c r="E102" s="5" t="str">
        <f ca="1">IFERROR(__xludf.DUMMYFUNCTION("""COMPUTED_VALUE"""),"Yes")</f>
        <v>Yes</v>
      </c>
      <c r="F102" s="5" t="str">
        <f ca="1">IFERROR(__xludf.DUMMYFUNCTION("""COMPUTED_VALUE"""),"Yes")</f>
        <v>Yes</v>
      </c>
      <c r="G102" s="5" t="str">
        <f ca="1">IFERROR(__xludf.DUMMYFUNCTION("""COMPUTED_VALUE"""),"Yes")</f>
        <v>Yes</v>
      </c>
      <c r="H102" s="5" t="str">
        <f ca="1">IFERROR(__xludf.DUMMYFUNCTION("""COMPUTED_VALUE"""),"Yes")</f>
        <v>Yes</v>
      </c>
      <c r="I102" s="5" t="str">
        <f ca="1">IFERROR(__xludf.DUMMYFUNCTION("""COMPUTED_VALUE"""),"Yes")</f>
        <v>Yes</v>
      </c>
      <c r="J102" s="5" t="str">
        <f ca="1">IFERROR(__xludf.DUMMYFUNCTION("""COMPUTED_VALUE"""),"Yes")</f>
        <v>Yes</v>
      </c>
      <c r="K102" s="5" t="str">
        <f ca="1">IFERROR(__xludf.DUMMYFUNCTION("""COMPUTED_VALUE"""),"Yes")</f>
        <v>Yes</v>
      </c>
      <c r="L102" s="5" t="str">
        <f ca="1">IFERROR(__xludf.DUMMYFUNCTION("""COMPUTED_VALUE"""),"Yes")</f>
        <v>Yes</v>
      </c>
      <c r="M102" s="5" t="str">
        <f ca="1">IFERROR(__xludf.DUMMYFUNCTION("""COMPUTED_VALUE"""),"Yes")</f>
        <v>Yes</v>
      </c>
      <c r="N102" s="5" t="str">
        <f ca="1">IFERROR(__xludf.DUMMYFUNCTION("""COMPUTED_VALUE"""),"Yes")</f>
        <v>Yes</v>
      </c>
      <c r="O102" s="5" t="str">
        <f ca="1">IFERROR(__xludf.DUMMYFUNCTION("""COMPUTED_VALUE"""),"Yes")</f>
        <v>Yes</v>
      </c>
      <c r="P102" s="5" t="str">
        <f ca="1">IFERROR(__xludf.DUMMYFUNCTION("""COMPUTED_VALUE"""),"Yes")</f>
        <v>Yes</v>
      </c>
      <c r="Q102" s="5" t="str">
        <f ca="1">IFERROR(__xludf.DUMMYFUNCTION("""COMPUTED_VALUE"""),"Yes")</f>
        <v>Yes</v>
      </c>
      <c r="R102" s="5" t="str">
        <f ca="1">IFERROR(__xludf.DUMMYFUNCTION("""COMPUTED_VALUE"""),"Yes")</f>
        <v>Yes</v>
      </c>
      <c r="S102" s="5" t="str">
        <f ca="1">IFERROR(__xludf.DUMMYFUNCTION("""COMPUTED_VALUE"""),"Yes")</f>
        <v>Yes</v>
      </c>
      <c r="T102" s="5" t="str">
        <f ca="1">IFERROR(__xludf.DUMMYFUNCTION("""COMPUTED_VALUE"""),"Yes")</f>
        <v>Yes</v>
      </c>
      <c r="U102" s="5" t="str">
        <f ca="1">IFERROR(__xludf.DUMMYFUNCTION("""COMPUTED_VALUE"""),"Yes")</f>
        <v>Yes</v>
      </c>
      <c r="V102" s="5" t="str">
        <f ca="1">IFERROR(__xludf.DUMMYFUNCTION("""COMPUTED_VALUE"""),"Yes")</f>
        <v>Yes</v>
      </c>
      <c r="W102" s="5" t="str">
        <f ca="1">IFERROR(__xludf.DUMMYFUNCTION("""COMPUTED_VALUE"""),"Yes")</f>
        <v>Yes</v>
      </c>
      <c r="X102" s="5" t="str">
        <f ca="1">IFERROR(__xludf.DUMMYFUNCTION("""COMPUTED_VALUE"""),"Yes")</f>
        <v>Yes</v>
      </c>
      <c r="Y102" s="5" t="str">
        <f ca="1">IFERROR(__xludf.DUMMYFUNCTION("""COMPUTED_VALUE"""),"Yes")</f>
        <v>Yes</v>
      </c>
      <c r="Z102" s="5" t="str">
        <f ca="1">IFERROR(__xludf.DUMMYFUNCTION("""COMPUTED_VALUE"""),"No")</f>
        <v>No</v>
      </c>
      <c r="AA102" s="5" t="str">
        <f ca="1">IFERROR(__xludf.DUMMYFUNCTION("""COMPUTED_VALUE"""),"Yes")</f>
        <v>Yes</v>
      </c>
      <c r="AB102" s="5" t="str">
        <f ca="1">IFERROR(__xludf.DUMMYFUNCTION("""COMPUTED_VALUE"""),"Yes")</f>
        <v>Yes</v>
      </c>
      <c r="AC102" s="5" t="str">
        <f ca="1">IFERROR(__xludf.DUMMYFUNCTION("""COMPUTED_VALUE"""),"Yes")</f>
        <v>Yes</v>
      </c>
      <c r="AD102" s="5" t="str">
        <f ca="1">IFERROR(__xludf.DUMMYFUNCTION("""COMPUTED_VALUE"""),"Yes")</f>
        <v>Yes</v>
      </c>
      <c r="AE102" s="5" t="str">
        <f ca="1">IFERROR(__xludf.DUMMYFUNCTION("""COMPUTED_VALUE"""),"No")</f>
        <v>No</v>
      </c>
      <c r="AF102" s="5" t="str">
        <f ca="1">IFERROR(__xludf.DUMMYFUNCTION("""COMPUTED_VALUE"""),"Yes")</f>
        <v>Yes</v>
      </c>
      <c r="AG102" s="5" t="str">
        <f ca="1">IFERROR(__xludf.DUMMYFUNCTION("""COMPUTED_VALUE"""),"No")</f>
        <v>No</v>
      </c>
      <c r="AH102" s="5" t="str">
        <f ca="1">IFERROR(__xludf.DUMMYFUNCTION("""COMPUTED_VALUE"""),"No")</f>
        <v>No</v>
      </c>
      <c r="AI102" s="5" t="str">
        <f ca="1">IFERROR(__xludf.DUMMYFUNCTION("""COMPUTED_VALUE"""),"No")</f>
        <v>No</v>
      </c>
      <c r="AJ102" s="5" t="str">
        <f ca="1">IFERROR(__xludf.DUMMYFUNCTION("""COMPUTED_VALUE"""),"No")</f>
        <v>No</v>
      </c>
      <c r="AK102" s="5" t="str">
        <f ca="1">IFERROR(__xludf.DUMMYFUNCTION("""COMPUTED_VALUE"""),"No")</f>
        <v>No</v>
      </c>
      <c r="AL102" s="5" t="str">
        <f ca="1">IFERROR(__xludf.DUMMYFUNCTION("""COMPUTED_VALUE"""),"No")</f>
        <v>No</v>
      </c>
      <c r="AM102" s="5"/>
      <c r="AN102" s="5"/>
      <c r="AO102" s="5"/>
      <c r="AP102" s="5"/>
      <c r="AQ102" s="5"/>
      <c r="AR102" s="5"/>
      <c r="AS102" s="5"/>
      <c r="AT102" s="5"/>
      <c r="AU102" s="5"/>
      <c r="AV102" s="5"/>
      <c r="AW102" s="5"/>
      <c r="AX102" s="5"/>
      <c r="AY102" s="5"/>
    </row>
    <row r="103" spans="1:51" x14ac:dyDescent="0.25">
      <c r="A1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3" s="5">
        <f ca="1">IFERROR(__xludf.DUMMYFUNCTION("""COMPUTED_VALUE"""),102)</f>
        <v>102</v>
      </c>
      <c r="C103" s="5">
        <f ca="1">IFERROR(__xludf.DUMMYFUNCTION("""COMPUTED_VALUE"""),101)</f>
        <v>101</v>
      </c>
      <c r="D103" s="5" t="str">
        <f ca="1">IFERROR(__xludf.DUMMYFUNCTION("""COMPUTED_VALUE"""),"BookOfLuxorDouble")</f>
        <v>BookOfLuxorDouble</v>
      </c>
      <c r="E103" s="5" t="str">
        <f ca="1">IFERROR(__xludf.DUMMYFUNCTION("""COMPUTED_VALUE"""),"Yes")</f>
        <v>Yes</v>
      </c>
      <c r="F103" s="5" t="str">
        <f ca="1">IFERROR(__xludf.DUMMYFUNCTION("""COMPUTED_VALUE"""),"Yes")</f>
        <v>Yes</v>
      </c>
      <c r="G103" s="5" t="str">
        <f ca="1">IFERROR(__xludf.DUMMYFUNCTION("""COMPUTED_VALUE"""),"Yes")</f>
        <v>Yes</v>
      </c>
      <c r="H103" s="5" t="str">
        <f ca="1">IFERROR(__xludf.DUMMYFUNCTION("""COMPUTED_VALUE"""),"Yes")</f>
        <v>Yes</v>
      </c>
      <c r="I103" s="5" t="str">
        <f ca="1">IFERROR(__xludf.DUMMYFUNCTION("""COMPUTED_VALUE"""),"Yes")</f>
        <v>Yes</v>
      </c>
      <c r="J103" s="5" t="str">
        <f ca="1">IFERROR(__xludf.DUMMYFUNCTION("""COMPUTED_VALUE"""),"Yes")</f>
        <v>Yes</v>
      </c>
      <c r="K103" s="5" t="str">
        <f ca="1">IFERROR(__xludf.DUMMYFUNCTION("""COMPUTED_VALUE"""),"Yes")</f>
        <v>Yes</v>
      </c>
      <c r="L103" s="5" t="str">
        <f ca="1">IFERROR(__xludf.DUMMYFUNCTION("""COMPUTED_VALUE"""),"Yes")</f>
        <v>Yes</v>
      </c>
      <c r="M103" s="5" t="str">
        <f ca="1">IFERROR(__xludf.DUMMYFUNCTION("""COMPUTED_VALUE"""),"Yes")</f>
        <v>Yes</v>
      </c>
      <c r="N103" s="5" t="str">
        <f ca="1">IFERROR(__xludf.DUMMYFUNCTION("""COMPUTED_VALUE"""),"Yes")</f>
        <v>Yes</v>
      </c>
      <c r="O103" s="5" t="str">
        <f ca="1">IFERROR(__xludf.DUMMYFUNCTION("""COMPUTED_VALUE"""),"Yes")</f>
        <v>Yes</v>
      </c>
      <c r="P103" s="5" t="str">
        <f ca="1">IFERROR(__xludf.DUMMYFUNCTION("""COMPUTED_VALUE"""),"Yes")</f>
        <v>Yes</v>
      </c>
      <c r="Q103" s="5" t="str">
        <f ca="1">IFERROR(__xludf.DUMMYFUNCTION("""COMPUTED_VALUE"""),"Yes")</f>
        <v>Yes</v>
      </c>
      <c r="R103" s="5" t="str">
        <f ca="1">IFERROR(__xludf.DUMMYFUNCTION("""COMPUTED_VALUE"""),"Yes")</f>
        <v>Yes</v>
      </c>
      <c r="S103" s="5" t="str">
        <f ca="1">IFERROR(__xludf.DUMMYFUNCTION("""COMPUTED_VALUE"""),"Yes")</f>
        <v>Yes</v>
      </c>
      <c r="T103" s="5" t="str">
        <f ca="1">IFERROR(__xludf.DUMMYFUNCTION("""COMPUTED_VALUE"""),"Yes")</f>
        <v>Yes</v>
      </c>
      <c r="U103" s="5" t="str">
        <f ca="1">IFERROR(__xludf.DUMMYFUNCTION("""COMPUTED_VALUE"""),"Yes")</f>
        <v>Yes</v>
      </c>
      <c r="V103" s="5" t="str">
        <f ca="1">IFERROR(__xludf.DUMMYFUNCTION("""COMPUTED_VALUE"""),"Yes")</f>
        <v>Yes</v>
      </c>
      <c r="W103" s="5" t="str">
        <f ca="1">IFERROR(__xludf.DUMMYFUNCTION("""COMPUTED_VALUE"""),"Yes")</f>
        <v>Yes</v>
      </c>
      <c r="X103" s="5" t="str">
        <f ca="1">IFERROR(__xludf.DUMMYFUNCTION("""COMPUTED_VALUE"""),"Yes")</f>
        <v>Yes</v>
      </c>
      <c r="Y103" s="5" t="str">
        <f ca="1">IFERROR(__xludf.DUMMYFUNCTION("""COMPUTED_VALUE"""),"Yes")</f>
        <v>Yes</v>
      </c>
      <c r="Z103" s="5" t="str">
        <f ca="1">IFERROR(__xludf.DUMMYFUNCTION("""COMPUTED_VALUE"""),"No")</f>
        <v>No</v>
      </c>
      <c r="AA103" s="5" t="str">
        <f ca="1">IFERROR(__xludf.DUMMYFUNCTION("""COMPUTED_VALUE"""),"Yes")</f>
        <v>Yes</v>
      </c>
      <c r="AB103" s="5" t="str">
        <f ca="1">IFERROR(__xludf.DUMMYFUNCTION("""COMPUTED_VALUE"""),"Yes")</f>
        <v>Yes</v>
      </c>
      <c r="AC103" s="5" t="str">
        <f ca="1">IFERROR(__xludf.DUMMYFUNCTION("""COMPUTED_VALUE"""),"Yes")</f>
        <v>Yes</v>
      </c>
      <c r="AD103" s="5" t="str">
        <f ca="1">IFERROR(__xludf.DUMMYFUNCTION("""COMPUTED_VALUE"""),"Yes")</f>
        <v>Yes</v>
      </c>
      <c r="AE103" s="5" t="str">
        <f ca="1">IFERROR(__xludf.DUMMYFUNCTION("""COMPUTED_VALUE"""),"No")</f>
        <v>No</v>
      </c>
      <c r="AF103" s="5" t="str">
        <f ca="1">IFERROR(__xludf.DUMMYFUNCTION("""COMPUTED_VALUE"""),"Yes")</f>
        <v>Yes</v>
      </c>
      <c r="AG103" s="5" t="str">
        <f ca="1">IFERROR(__xludf.DUMMYFUNCTION("""COMPUTED_VALUE"""),"No")</f>
        <v>No</v>
      </c>
      <c r="AH103" s="5" t="str">
        <f ca="1">IFERROR(__xludf.DUMMYFUNCTION("""COMPUTED_VALUE"""),"No")</f>
        <v>No</v>
      </c>
      <c r="AI103" s="5" t="str">
        <f ca="1">IFERROR(__xludf.DUMMYFUNCTION("""COMPUTED_VALUE"""),"No")</f>
        <v>No</v>
      </c>
      <c r="AJ103" s="5" t="str">
        <f ca="1">IFERROR(__xludf.DUMMYFUNCTION("""COMPUTED_VALUE"""),"No")</f>
        <v>No</v>
      </c>
      <c r="AK103" s="5" t="str">
        <f ca="1">IFERROR(__xludf.DUMMYFUNCTION("""COMPUTED_VALUE"""),"No")</f>
        <v>No</v>
      </c>
      <c r="AL103" s="5" t="str">
        <f ca="1">IFERROR(__xludf.DUMMYFUNCTION("""COMPUTED_VALUE"""),"No")</f>
        <v>No</v>
      </c>
      <c r="AM103" s="5"/>
      <c r="AN103" s="5"/>
      <c r="AO103" s="5"/>
      <c r="AP103" s="5"/>
      <c r="AQ103" s="5"/>
      <c r="AR103" s="5"/>
      <c r="AS103" s="5"/>
      <c r="AT103" s="5"/>
      <c r="AU103" s="5"/>
      <c r="AV103" s="5"/>
      <c r="AW103" s="5"/>
      <c r="AX103" s="5"/>
      <c r="AY103" s="5"/>
    </row>
    <row r="104" spans="1:51" x14ac:dyDescent="0.25">
      <c r="A1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4" s="5">
        <f ca="1">IFERROR(__xludf.DUMMYFUNCTION("""COMPUTED_VALUE"""),103)</f>
        <v>103</v>
      </c>
      <c r="C104" s="5">
        <f ca="1">IFERROR(__xludf.DUMMYFUNCTION("""COMPUTED_VALUE"""),102)</f>
        <v>102</v>
      </c>
      <c r="D104" s="5" t="str">
        <f ca="1">IFERROR(__xludf.DUMMYFUNCTION("""COMPUTED_VALUE"""),"MegaCubesDeluxe")</f>
        <v>MegaCubesDeluxe</v>
      </c>
      <c r="E104" s="5" t="str">
        <f ca="1">IFERROR(__xludf.DUMMYFUNCTION("""COMPUTED_VALUE"""),"Yes")</f>
        <v>Yes</v>
      </c>
      <c r="F104" s="5" t="str">
        <f ca="1">IFERROR(__xludf.DUMMYFUNCTION("""COMPUTED_VALUE"""),"Yes")</f>
        <v>Yes</v>
      </c>
      <c r="G104" s="5" t="str">
        <f ca="1">IFERROR(__xludf.DUMMYFUNCTION("""COMPUTED_VALUE"""),"Yes")</f>
        <v>Yes</v>
      </c>
      <c r="H104" s="5" t="str">
        <f ca="1">IFERROR(__xludf.DUMMYFUNCTION("""COMPUTED_VALUE"""),"Yes")</f>
        <v>Yes</v>
      </c>
      <c r="I104" s="5" t="str">
        <f ca="1">IFERROR(__xludf.DUMMYFUNCTION("""COMPUTED_VALUE"""),"Yes")</f>
        <v>Yes</v>
      </c>
      <c r="J104" s="5" t="str">
        <f ca="1">IFERROR(__xludf.DUMMYFUNCTION("""COMPUTED_VALUE"""),"Yes")</f>
        <v>Yes</v>
      </c>
      <c r="K104" s="5" t="str">
        <f ca="1">IFERROR(__xludf.DUMMYFUNCTION("""COMPUTED_VALUE"""),"Yes")</f>
        <v>Yes</v>
      </c>
      <c r="L104" s="5" t="str">
        <f ca="1">IFERROR(__xludf.DUMMYFUNCTION("""COMPUTED_VALUE"""),"Yes")</f>
        <v>Yes</v>
      </c>
      <c r="M104" s="5" t="str">
        <f ca="1">IFERROR(__xludf.DUMMYFUNCTION("""COMPUTED_VALUE"""),"Yes")</f>
        <v>Yes</v>
      </c>
      <c r="N104" s="5" t="str">
        <f ca="1">IFERROR(__xludf.DUMMYFUNCTION("""COMPUTED_VALUE"""),"Yes")</f>
        <v>Yes</v>
      </c>
      <c r="O104" s="5" t="str">
        <f ca="1">IFERROR(__xludf.DUMMYFUNCTION("""COMPUTED_VALUE"""),"Yes")</f>
        <v>Yes</v>
      </c>
      <c r="P104" s="5" t="str">
        <f ca="1">IFERROR(__xludf.DUMMYFUNCTION("""COMPUTED_VALUE"""),"Yes")</f>
        <v>Yes</v>
      </c>
      <c r="Q104" s="5" t="str">
        <f ca="1">IFERROR(__xludf.DUMMYFUNCTION("""COMPUTED_VALUE"""),"Yes")</f>
        <v>Yes</v>
      </c>
      <c r="R104" s="5" t="str">
        <f ca="1">IFERROR(__xludf.DUMMYFUNCTION("""COMPUTED_VALUE"""),"Yes")</f>
        <v>Yes</v>
      </c>
      <c r="S104" s="5" t="str">
        <f ca="1">IFERROR(__xludf.DUMMYFUNCTION("""COMPUTED_VALUE"""),"Yes")</f>
        <v>Yes</v>
      </c>
      <c r="T104" s="5" t="str">
        <f ca="1">IFERROR(__xludf.DUMMYFUNCTION("""COMPUTED_VALUE"""),"Yes")</f>
        <v>Yes</v>
      </c>
      <c r="U104" s="5" t="str">
        <f ca="1">IFERROR(__xludf.DUMMYFUNCTION("""COMPUTED_VALUE"""),"Yes")</f>
        <v>Yes</v>
      </c>
      <c r="V104" s="5" t="str">
        <f ca="1">IFERROR(__xludf.DUMMYFUNCTION("""COMPUTED_VALUE"""),"Yes")</f>
        <v>Yes</v>
      </c>
      <c r="W104" s="5" t="str">
        <f ca="1">IFERROR(__xludf.DUMMYFUNCTION("""COMPUTED_VALUE"""),"Yes")</f>
        <v>Yes</v>
      </c>
      <c r="X104" s="5" t="str">
        <f ca="1">IFERROR(__xludf.DUMMYFUNCTION("""COMPUTED_VALUE"""),"Yes")</f>
        <v>Yes</v>
      </c>
      <c r="Y104" s="5" t="str">
        <f ca="1">IFERROR(__xludf.DUMMYFUNCTION("""COMPUTED_VALUE"""),"Yes")</f>
        <v>Yes</v>
      </c>
      <c r="Z104" s="5" t="str">
        <f ca="1">IFERROR(__xludf.DUMMYFUNCTION("""COMPUTED_VALUE"""),"No")</f>
        <v>No</v>
      </c>
      <c r="AA104" s="5" t="str">
        <f ca="1">IFERROR(__xludf.DUMMYFUNCTION("""COMPUTED_VALUE"""),"Yes")</f>
        <v>Yes</v>
      </c>
      <c r="AB104" s="5" t="str">
        <f ca="1">IFERROR(__xludf.DUMMYFUNCTION("""COMPUTED_VALUE"""),"Yes")</f>
        <v>Yes</v>
      </c>
      <c r="AC104" s="5" t="str">
        <f ca="1">IFERROR(__xludf.DUMMYFUNCTION("""COMPUTED_VALUE"""),"Yes")</f>
        <v>Yes</v>
      </c>
      <c r="AD104" s="5" t="str">
        <f ca="1">IFERROR(__xludf.DUMMYFUNCTION("""COMPUTED_VALUE"""),"Yes")</f>
        <v>Yes</v>
      </c>
      <c r="AE104" s="5" t="str">
        <f ca="1">IFERROR(__xludf.DUMMYFUNCTION("""COMPUTED_VALUE"""),"No")</f>
        <v>No</v>
      </c>
      <c r="AF104" s="5" t="str">
        <f ca="1">IFERROR(__xludf.DUMMYFUNCTION("""COMPUTED_VALUE"""),"Yes")</f>
        <v>Yes</v>
      </c>
      <c r="AG104" s="5" t="str">
        <f ca="1">IFERROR(__xludf.DUMMYFUNCTION("""COMPUTED_VALUE"""),"No")</f>
        <v>No</v>
      </c>
      <c r="AH104" s="5" t="str">
        <f ca="1">IFERROR(__xludf.DUMMYFUNCTION("""COMPUTED_VALUE"""),"No")</f>
        <v>No</v>
      </c>
      <c r="AI104" s="5" t="str">
        <f ca="1">IFERROR(__xludf.DUMMYFUNCTION("""COMPUTED_VALUE"""),"No")</f>
        <v>No</v>
      </c>
      <c r="AJ104" s="5" t="str">
        <f ca="1">IFERROR(__xludf.DUMMYFUNCTION("""COMPUTED_VALUE"""),"No")</f>
        <v>No</v>
      </c>
      <c r="AK104" s="5" t="str">
        <f ca="1">IFERROR(__xludf.DUMMYFUNCTION("""COMPUTED_VALUE"""),"No")</f>
        <v>No</v>
      </c>
      <c r="AL104" s="5" t="str">
        <f ca="1">IFERROR(__xludf.DUMMYFUNCTION("""COMPUTED_VALUE"""),"No")</f>
        <v>No</v>
      </c>
      <c r="AM104" s="5"/>
      <c r="AN104" s="5"/>
      <c r="AO104" s="5"/>
      <c r="AP104" s="5"/>
      <c r="AQ104" s="5"/>
      <c r="AR104" s="5"/>
      <c r="AS104" s="5"/>
      <c r="AT104" s="5"/>
      <c r="AU104" s="5"/>
      <c r="AV104" s="5"/>
      <c r="AW104" s="5"/>
      <c r="AX104" s="5"/>
      <c r="AY104" s="5"/>
    </row>
    <row r="105" spans="1:51" x14ac:dyDescent="0.25">
      <c r="A1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5" s="5">
        <f ca="1">IFERROR(__xludf.DUMMYFUNCTION("""COMPUTED_VALUE"""),104)</f>
        <v>104</v>
      </c>
      <c r="C105" s="5">
        <f ca="1">IFERROR(__xludf.DUMMYFUNCTION("""COMPUTED_VALUE"""),103)</f>
        <v>103</v>
      </c>
      <c r="D105" s="5" t="str">
        <f ca="1">IFERROR(__xludf.DUMMYFUNCTION("""COMPUTED_VALUE"""),"LollasWorld")</f>
        <v>LollasWorld</v>
      </c>
      <c r="E105" s="5" t="str">
        <f ca="1">IFERROR(__xludf.DUMMYFUNCTION("""COMPUTED_VALUE"""),"Yes")</f>
        <v>Yes</v>
      </c>
      <c r="F105" s="5" t="str">
        <f ca="1">IFERROR(__xludf.DUMMYFUNCTION("""COMPUTED_VALUE"""),"Yes")</f>
        <v>Yes</v>
      </c>
      <c r="G105" s="5" t="str">
        <f ca="1">IFERROR(__xludf.DUMMYFUNCTION("""COMPUTED_VALUE"""),"Yes")</f>
        <v>Yes</v>
      </c>
      <c r="H105" s="5" t="str">
        <f ca="1">IFERROR(__xludf.DUMMYFUNCTION("""COMPUTED_VALUE"""),"Yes")</f>
        <v>Yes</v>
      </c>
      <c r="I105" s="5" t="str">
        <f ca="1">IFERROR(__xludf.DUMMYFUNCTION("""COMPUTED_VALUE"""),"Yes")</f>
        <v>Yes</v>
      </c>
      <c r="J105" s="5" t="str">
        <f ca="1">IFERROR(__xludf.DUMMYFUNCTION("""COMPUTED_VALUE"""),"Yes")</f>
        <v>Yes</v>
      </c>
      <c r="K105" s="5" t="str">
        <f ca="1">IFERROR(__xludf.DUMMYFUNCTION("""COMPUTED_VALUE"""),"Yes")</f>
        <v>Yes</v>
      </c>
      <c r="L105" s="5" t="str">
        <f ca="1">IFERROR(__xludf.DUMMYFUNCTION("""COMPUTED_VALUE"""),"Yes")</f>
        <v>Yes</v>
      </c>
      <c r="M105" s="5" t="str">
        <f ca="1">IFERROR(__xludf.DUMMYFUNCTION("""COMPUTED_VALUE"""),"Yes")</f>
        <v>Yes</v>
      </c>
      <c r="N105" s="5" t="str">
        <f ca="1">IFERROR(__xludf.DUMMYFUNCTION("""COMPUTED_VALUE"""),"Yes")</f>
        <v>Yes</v>
      </c>
      <c r="O105" s="5" t="str">
        <f ca="1">IFERROR(__xludf.DUMMYFUNCTION("""COMPUTED_VALUE"""),"Yes")</f>
        <v>Yes</v>
      </c>
      <c r="P105" s="5" t="str">
        <f ca="1">IFERROR(__xludf.DUMMYFUNCTION("""COMPUTED_VALUE"""),"Yes")</f>
        <v>Yes</v>
      </c>
      <c r="Q105" s="5" t="str">
        <f ca="1">IFERROR(__xludf.DUMMYFUNCTION("""COMPUTED_VALUE"""),"Yes")</f>
        <v>Yes</v>
      </c>
      <c r="R105" s="5" t="str">
        <f ca="1">IFERROR(__xludf.DUMMYFUNCTION("""COMPUTED_VALUE"""),"Yes")</f>
        <v>Yes</v>
      </c>
      <c r="S105" s="5" t="str">
        <f ca="1">IFERROR(__xludf.DUMMYFUNCTION("""COMPUTED_VALUE"""),"Yes")</f>
        <v>Yes</v>
      </c>
      <c r="T105" s="5" t="str">
        <f ca="1">IFERROR(__xludf.DUMMYFUNCTION("""COMPUTED_VALUE"""),"Yes")</f>
        <v>Yes</v>
      </c>
      <c r="U105" s="5" t="str">
        <f ca="1">IFERROR(__xludf.DUMMYFUNCTION("""COMPUTED_VALUE"""),"Yes")</f>
        <v>Yes</v>
      </c>
      <c r="V105" s="5" t="str">
        <f ca="1">IFERROR(__xludf.DUMMYFUNCTION("""COMPUTED_VALUE"""),"Yes")</f>
        <v>Yes</v>
      </c>
      <c r="W105" s="5" t="str">
        <f ca="1">IFERROR(__xludf.DUMMYFUNCTION("""COMPUTED_VALUE"""),"Yes")</f>
        <v>Yes</v>
      </c>
      <c r="X105" s="5" t="str">
        <f ca="1">IFERROR(__xludf.DUMMYFUNCTION("""COMPUTED_VALUE"""),"Yes")</f>
        <v>Yes</v>
      </c>
      <c r="Y105" s="5" t="str">
        <f ca="1">IFERROR(__xludf.DUMMYFUNCTION("""COMPUTED_VALUE"""),"Yes")</f>
        <v>Yes</v>
      </c>
      <c r="Z105" s="5" t="str">
        <f ca="1">IFERROR(__xludf.DUMMYFUNCTION("""COMPUTED_VALUE"""),"No")</f>
        <v>No</v>
      </c>
      <c r="AA105" s="5" t="str">
        <f ca="1">IFERROR(__xludf.DUMMYFUNCTION("""COMPUTED_VALUE"""),"Yes")</f>
        <v>Yes</v>
      </c>
      <c r="AB105" s="5" t="str">
        <f ca="1">IFERROR(__xludf.DUMMYFUNCTION("""COMPUTED_VALUE"""),"Yes")</f>
        <v>Yes</v>
      </c>
      <c r="AC105" s="5" t="str">
        <f ca="1">IFERROR(__xludf.DUMMYFUNCTION("""COMPUTED_VALUE"""),"Yes")</f>
        <v>Yes</v>
      </c>
      <c r="AD105" s="5" t="str">
        <f ca="1">IFERROR(__xludf.DUMMYFUNCTION("""COMPUTED_VALUE"""),"Yes")</f>
        <v>Yes</v>
      </c>
      <c r="AE105" s="5" t="str">
        <f ca="1">IFERROR(__xludf.DUMMYFUNCTION("""COMPUTED_VALUE"""),"No")</f>
        <v>No</v>
      </c>
      <c r="AF105" s="5" t="str">
        <f ca="1">IFERROR(__xludf.DUMMYFUNCTION("""COMPUTED_VALUE"""),"Yes")</f>
        <v>Yes</v>
      </c>
      <c r="AG105" s="5" t="str">
        <f ca="1">IFERROR(__xludf.DUMMYFUNCTION("""COMPUTED_VALUE"""),"No")</f>
        <v>No</v>
      </c>
      <c r="AH105" s="5" t="str">
        <f ca="1">IFERROR(__xludf.DUMMYFUNCTION("""COMPUTED_VALUE"""),"No")</f>
        <v>No</v>
      </c>
      <c r="AI105" s="5" t="str">
        <f ca="1">IFERROR(__xludf.DUMMYFUNCTION("""COMPUTED_VALUE"""),"No")</f>
        <v>No</v>
      </c>
      <c r="AJ105" s="5" t="str">
        <f ca="1">IFERROR(__xludf.DUMMYFUNCTION("""COMPUTED_VALUE"""),"No")</f>
        <v>No</v>
      </c>
      <c r="AK105" s="5" t="str">
        <f ca="1">IFERROR(__xludf.DUMMYFUNCTION("""COMPUTED_VALUE"""),"No")</f>
        <v>No</v>
      </c>
      <c r="AL105" s="5" t="str">
        <f ca="1">IFERROR(__xludf.DUMMYFUNCTION("""COMPUTED_VALUE"""),"No")</f>
        <v>No</v>
      </c>
      <c r="AM105" s="5"/>
      <c r="AN105" s="5"/>
      <c r="AO105" s="5"/>
      <c r="AP105" s="5"/>
      <c r="AQ105" s="5"/>
      <c r="AR105" s="5"/>
      <c r="AS105" s="5"/>
      <c r="AT105" s="5"/>
      <c r="AU105" s="5"/>
      <c r="AV105" s="5"/>
      <c r="AW105" s="5"/>
      <c r="AX105" s="5"/>
      <c r="AY105" s="5"/>
    </row>
    <row r="106" spans="1:51" x14ac:dyDescent="0.25">
      <c r="A106"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6" s="5">
        <f ca="1">IFERROR(__xludf.DUMMYFUNCTION("""COMPUTED_VALUE"""),105)</f>
        <v>105</v>
      </c>
      <c r="C106" s="5">
        <f ca="1">IFERROR(__xludf.DUMMYFUNCTION("""COMPUTED_VALUE"""),104)</f>
        <v>104</v>
      </c>
      <c r="D106" s="5" t="str">
        <f ca="1">IFERROR(__xludf.DUMMYFUNCTION("""COMPUTED_VALUE"""),"FireClover40")</f>
        <v>FireClover40</v>
      </c>
      <c r="E106" s="5" t="str">
        <f ca="1">IFERROR(__xludf.DUMMYFUNCTION("""COMPUTED_VALUE"""),"Yes")</f>
        <v>Yes</v>
      </c>
      <c r="F106" s="5" t="str">
        <f ca="1">IFERROR(__xludf.DUMMYFUNCTION("""COMPUTED_VALUE"""),"Yes")</f>
        <v>Yes</v>
      </c>
      <c r="G106" s="5" t="str">
        <f ca="1">IFERROR(__xludf.DUMMYFUNCTION("""COMPUTED_VALUE"""),"No")</f>
        <v>No</v>
      </c>
      <c r="H106" s="5" t="str">
        <f ca="1">IFERROR(__xludf.DUMMYFUNCTION("""COMPUTED_VALUE"""),"Yes")</f>
        <v>Yes</v>
      </c>
      <c r="I106" s="5" t="str">
        <f ca="1">IFERROR(__xludf.DUMMYFUNCTION("""COMPUTED_VALUE"""),"Yes")</f>
        <v>Yes</v>
      </c>
      <c r="J106" s="5" t="str">
        <f ca="1">IFERROR(__xludf.DUMMYFUNCTION("""COMPUTED_VALUE"""),"Yes")</f>
        <v>Yes</v>
      </c>
      <c r="K106" s="5" t="str">
        <f ca="1">IFERROR(__xludf.DUMMYFUNCTION("""COMPUTED_VALUE"""),"Yes")</f>
        <v>Yes</v>
      </c>
      <c r="L106" s="5" t="str">
        <f ca="1">IFERROR(__xludf.DUMMYFUNCTION("""COMPUTED_VALUE"""),"Yes")</f>
        <v>Yes</v>
      </c>
      <c r="M106" s="5" t="str">
        <f ca="1">IFERROR(__xludf.DUMMYFUNCTION("""COMPUTED_VALUE"""),"Yes")</f>
        <v>Yes</v>
      </c>
      <c r="N106" s="5" t="str">
        <f ca="1">IFERROR(__xludf.DUMMYFUNCTION("""COMPUTED_VALUE"""),"Yes")</f>
        <v>Yes</v>
      </c>
      <c r="O106" s="5" t="str">
        <f ca="1">IFERROR(__xludf.DUMMYFUNCTION("""COMPUTED_VALUE"""),"Yes")</f>
        <v>Yes</v>
      </c>
      <c r="P106" s="5" t="str">
        <f ca="1">IFERROR(__xludf.DUMMYFUNCTION("""COMPUTED_VALUE"""),"Yes")</f>
        <v>Yes</v>
      </c>
      <c r="Q106" s="5" t="str">
        <f ca="1">IFERROR(__xludf.DUMMYFUNCTION("""COMPUTED_VALUE"""),"Yes")</f>
        <v>Yes</v>
      </c>
      <c r="R106" s="5" t="str">
        <f ca="1">IFERROR(__xludf.DUMMYFUNCTION("""COMPUTED_VALUE"""),"Yes")</f>
        <v>Yes</v>
      </c>
      <c r="S106" s="5" t="str">
        <f ca="1">IFERROR(__xludf.DUMMYFUNCTION("""COMPUTED_VALUE"""),"Yes")</f>
        <v>Yes</v>
      </c>
      <c r="T106" s="5" t="str">
        <f ca="1">IFERROR(__xludf.DUMMYFUNCTION("""COMPUTED_VALUE"""),"No")</f>
        <v>No</v>
      </c>
      <c r="U106" s="5" t="str">
        <f ca="1">IFERROR(__xludf.DUMMYFUNCTION("""COMPUTED_VALUE"""),"No")</f>
        <v>No</v>
      </c>
      <c r="V106" s="5" t="str">
        <f ca="1">IFERROR(__xludf.DUMMYFUNCTION("""COMPUTED_VALUE"""),"No")</f>
        <v>No</v>
      </c>
      <c r="W106" s="5" t="str">
        <f ca="1">IFERROR(__xludf.DUMMYFUNCTION("""COMPUTED_VALUE"""),"No")</f>
        <v>No</v>
      </c>
      <c r="X106" s="5" t="str">
        <f ca="1">IFERROR(__xludf.DUMMYFUNCTION("""COMPUTED_VALUE"""),"No")</f>
        <v>No</v>
      </c>
      <c r="Y106" s="5" t="str">
        <f ca="1">IFERROR(__xludf.DUMMYFUNCTION("""COMPUTED_VALUE"""),"No")</f>
        <v>No</v>
      </c>
      <c r="Z106" s="5" t="str">
        <f ca="1">IFERROR(__xludf.DUMMYFUNCTION("""COMPUTED_VALUE"""),"No")</f>
        <v>No</v>
      </c>
      <c r="AA106" s="5" t="str">
        <f ca="1">IFERROR(__xludf.DUMMYFUNCTION("""COMPUTED_VALUE"""),"No")</f>
        <v>No</v>
      </c>
      <c r="AB106" s="5" t="str">
        <f ca="1">IFERROR(__xludf.DUMMYFUNCTION("""COMPUTED_VALUE"""),"No")</f>
        <v>No</v>
      </c>
      <c r="AC106" s="5" t="str">
        <f ca="1">IFERROR(__xludf.DUMMYFUNCTION("""COMPUTED_VALUE"""),"No")</f>
        <v>No</v>
      </c>
      <c r="AD106" s="5" t="str">
        <f ca="1">IFERROR(__xludf.DUMMYFUNCTION("""COMPUTED_VALUE"""),"No")</f>
        <v>No</v>
      </c>
      <c r="AE106" s="5" t="str">
        <f ca="1">IFERROR(__xludf.DUMMYFUNCTION("""COMPUTED_VALUE"""),"No")</f>
        <v>No</v>
      </c>
      <c r="AF106" s="5" t="str">
        <f ca="1">IFERROR(__xludf.DUMMYFUNCTION("""COMPUTED_VALUE"""),"Yes")</f>
        <v>Yes</v>
      </c>
      <c r="AG106" s="5" t="str">
        <f ca="1">IFERROR(__xludf.DUMMYFUNCTION("""COMPUTED_VALUE"""),"No")</f>
        <v>No</v>
      </c>
      <c r="AH106" s="5" t="str">
        <f ca="1">IFERROR(__xludf.DUMMYFUNCTION("""COMPUTED_VALUE"""),"Yes")</f>
        <v>Yes</v>
      </c>
      <c r="AI106" s="5" t="str">
        <f ca="1">IFERROR(__xludf.DUMMYFUNCTION("""COMPUTED_VALUE"""),"No")</f>
        <v>No</v>
      </c>
      <c r="AJ106" s="5" t="str">
        <f ca="1">IFERROR(__xludf.DUMMYFUNCTION("""COMPUTED_VALUE"""),"No")</f>
        <v>No</v>
      </c>
      <c r="AK106" s="5" t="str">
        <f ca="1">IFERROR(__xludf.DUMMYFUNCTION("""COMPUTED_VALUE"""),"No")</f>
        <v>No</v>
      </c>
      <c r="AL106" s="5" t="str">
        <f ca="1">IFERROR(__xludf.DUMMYFUNCTION("""COMPUTED_VALUE"""),"No")</f>
        <v>No</v>
      </c>
      <c r="AM106" s="5"/>
      <c r="AN106" s="5"/>
      <c r="AO106" s="5"/>
      <c r="AP106" s="5"/>
      <c r="AQ106" s="5"/>
      <c r="AR106" s="5"/>
      <c r="AS106" s="5"/>
      <c r="AT106" s="5"/>
      <c r="AU106" s="5"/>
      <c r="AV106" s="5"/>
      <c r="AW106" s="5"/>
      <c r="AX106" s="5"/>
      <c r="AY106" s="5"/>
    </row>
    <row r="107" spans="1:51" x14ac:dyDescent="0.25">
      <c r="A1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7" s="5">
        <f ca="1">IFERROR(__xludf.DUMMYFUNCTION("""COMPUTED_VALUE"""),106)</f>
        <v>106</v>
      </c>
      <c r="C107" s="5">
        <f ca="1">IFERROR(__xludf.DUMMYFUNCTION("""COMPUTED_VALUE"""),105)</f>
        <v>105</v>
      </c>
      <c r="D107" s="5" t="str">
        <f ca="1">IFERROR(__xludf.DUMMYFUNCTION("""COMPUTED_VALUE"""),"VeryHot5")</f>
        <v>VeryHot5</v>
      </c>
      <c r="E107" s="5" t="str">
        <f ca="1">IFERROR(__xludf.DUMMYFUNCTION("""COMPUTED_VALUE"""),"Yes")</f>
        <v>Yes</v>
      </c>
      <c r="F107" s="5" t="str">
        <f ca="1">IFERROR(__xludf.DUMMYFUNCTION("""COMPUTED_VALUE"""),"Yes")</f>
        <v>Yes</v>
      </c>
      <c r="G107" s="5" t="str">
        <f ca="1">IFERROR(__xludf.DUMMYFUNCTION("""COMPUTED_VALUE"""),"Yes")</f>
        <v>Yes</v>
      </c>
      <c r="H107" s="5" t="str">
        <f ca="1">IFERROR(__xludf.DUMMYFUNCTION("""COMPUTED_VALUE"""),"Yes")</f>
        <v>Yes</v>
      </c>
      <c r="I107" s="5" t="str">
        <f ca="1">IFERROR(__xludf.DUMMYFUNCTION("""COMPUTED_VALUE"""),"Yes")</f>
        <v>Yes</v>
      </c>
      <c r="J107" s="5" t="str">
        <f ca="1">IFERROR(__xludf.DUMMYFUNCTION("""COMPUTED_VALUE"""),"Yes")</f>
        <v>Yes</v>
      </c>
      <c r="K107" s="5" t="str">
        <f ca="1">IFERROR(__xludf.DUMMYFUNCTION("""COMPUTED_VALUE"""),"Yes")</f>
        <v>Yes</v>
      </c>
      <c r="L107" s="5" t="str">
        <f ca="1">IFERROR(__xludf.DUMMYFUNCTION("""COMPUTED_VALUE"""),"Yes")</f>
        <v>Yes</v>
      </c>
      <c r="M107" s="5" t="str">
        <f ca="1">IFERROR(__xludf.DUMMYFUNCTION("""COMPUTED_VALUE"""),"Yes")</f>
        <v>Yes</v>
      </c>
      <c r="N107" s="5" t="str">
        <f ca="1">IFERROR(__xludf.DUMMYFUNCTION("""COMPUTED_VALUE"""),"Yes")</f>
        <v>Yes</v>
      </c>
      <c r="O107" s="5" t="str">
        <f ca="1">IFERROR(__xludf.DUMMYFUNCTION("""COMPUTED_VALUE"""),"Yes")</f>
        <v>Yes</v>
      </c>
      <c r="P107" s="5" t="str">
        <f ca="1">IFERROR(__xludf.DUMMYFUNCTION("""COMPUTED_VALUE"""),"Yes")</f>
        <v>Yes</v>
      </c>
      <c r="Q107" s="5" t="str">
        <f ca="1">IFERROR(__xludf.DUMMYFUNCTION("""COMPUTED_VALUE"""),"Yes")</f>
        <v>Yes</v>
      </c>
      <c r="R107" s="5" t="str">
        <f ca="1">IFERROR(__xludf.DUMMYFUNCTION("""COMPUTED_VALUE"""),"Yes")</f>
        <v>Yes</v>
      </c>
      <c r="S107" s="5" t="str">
        <f ca="1">IFERROR(__xludf.DUMMYFUNCTION("""COMPUTED_VALUE"""),"Yes")</f>
        <v>Yes</v>
      </c>
      <c r="T107" s="5" t="str">
        <f ca="1">IFERROR(__xludf.DUMMYFUNCTION("""COMPUTED_VALUE"""),"Yes")</f>
        <v>Yes</v>
      </c>
      <c r="U107" s="5" t="str">
        <f ca="1">IFERROR(__xludf.DUMMYFUNCTION("""COMPUTED_VALUE"""),"Yes")</f>
        <v>Yes</v>
      </c>
      <c r="V107" s="5" t="str">
        <f ca="1">IFERROR(__xludf.DUMMYFUNCTION("""COMPUTED_VALUE"""),"Yes")</f>
        <v>Yes</v>
      </c>
      <c r="W107" s="5" t="str">
        <f ca="1">IFERROR(__xludf.DUMMYFUNCTION("""COMPUTED_VALUE"""),"Yes")</f>
        <v>Yes</v>
      </c>
      <c r="X107" s="5" t="str">
        <f ca="1">IFERROR(__xludf.DUMMYFUNCTION("""COMPUTED_VALUE"""),"Yes")</f>
        <v>Yes</v>
      </c>
      <c r="Y107" s="5" t="str">
        <f ca="1">IFERROR(__xludf.DUMMYFUNCTION("""COMPUTED_VALUE"""),"Yes")</f>
        <v>Yes</v>
      </c>
      <c r="Z107" s="5" t="str">
        <f ca="1">IFERROR(__xludf.DUMMYFUNCTION("""COMPUTED_VALUE"""),"No")</f>
        <v>No</v>
      </c>
      <c r="AA107" s="5" t="str">
        <f ca="1">IFERROR(__xludf.DUMMYFUNCTION("""COMPUTED_VALUE"""),"Yes")</f>
        <v>Yes</v>
      </c>
      <c r="AB107" s="5" t="str">
        <f ca="1">IFERROR(__xludf.DUMMYFUNCTION("""COMPUTED_VALUE"""),"Yes")</f>
        <v>Yes</v>
      </c>
      <c r="AC107" s="5" t="str">
        <f ca="1">IFERROR(__xludf.DUMMYFUNCTION("""COMPUTED_VALUE"""),"Yes")</f>
        <v>Yes</v>
      </c>
      <c r="AD107" s="5" t="str">
        <f ca="1">IFERROR(__xludf.DUMMYFUNCTION("""COMPUTED_VALUE"""),"Yes")</f>
        <v>Yes</v>
      </c>
      <c r="AE107" s="5" t="str">
        <f ca="1">IFERROR(__xludf.DUMMYFUNCTION("""COMPUTED_VALUE"""),"No")</f>
        <v>No</v>
      </c>
      <c r="AF107" s="5" t="str">
        <f ca="1">IFERROR(__xludf.DUMMYFUNCTION("""COMPUTED_VALUE"""),"Yes")</f>
        <v>Yes</v>
      </c>
      <c r="AG107" s="5" t="str">
        <f ca="1">IFERROR(__xludf.DUMMYFUNCTION("""COMPUTED_VALUE"""),"No")</f>
        <v>No</v>
      </c>
      <c r="AH107" s="5" t="str">
        <f ca="1">IFERROR(__xludf.DUMMYFUNCTION("""COMPUTED_VALUE"""),"No")</f>
        <v>No</v>
      </c>
      <c r="AI107" s="5" t="str">
        <f ca="1">IFERROR(__xludf.DUMMYFUNCTION("""COMPUTED_VALUE"""),"No")</f>
        <v>No</v>
      </c>
      <c r="AJ107" s="5" t="str">
        <f ca="1">IFERROR(__xludf.DUMMYFUNCTION("""COMPUTED_VALUE"""),"No")</f>
        <v>No</v>
      </c>
      <c r="AK107" s="5" t="str">
        <f ca="1">IFERROR(__xludf.DUMMYFUNCTION("""COMPUTED_VALUE"""),"No")</f>
        <v>No</v>
      </c>
      <c r="AL107" s="5" t="str">
        <f ca="1">IFERROR(__xludf.DUMMYFUNCTION("""COMPUTED_VALUE"""),"No")</f>
        <v>No</v>
      </c>
      <c r="AM107" s="5"/>
      <c r="AN107" s="5"/>
      <c r="AO107" s="5"/>
      <c r="AP107" s="5"/>
      <c r="AQ107" s="5"/>
      <c r="AR107" s="5"/>
      <c r="AS107" s="5"/>
      <c r="AT107" s="5"/>
      <c r="AU107" s="5"/>
      <c r="AV107" s="5"/>
      <c r="AW107" s="5"/>
      <c r="AX107" s="5"/>
      <c r="AY107" s="5"/>
    </row>
    <row r="108" spans="1:51" x14ac:dyDescent="0.25">
      <c r="A1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8" s="5">
        <f ca="1">IFERROR(__xludf.DUMMYFUNCTION("""COMPUTED_VALUE"""),107)</f>
        <v>107</v>
      </c>
      <c r="C108" s="5">
        <f ca="1">IFERROR(__xludf.DUMMYFUNCTION("""COMPUTED_VALUE"""),106)</f>
        <v>106</v>
      </c>
      <c r="D108" s="5" t="str">
        <f ca="1">IFERROR(__xludf.DUMMYFUNCTION("""COMPUTED_VALUE"""),"VeryHot40")</f>
        <v>VeryHot40</v>
      </c>
      <c r="E108" s="5" t="str">
        <f ca="1">IFERROR(__xludf.DUMMYFUNCTION("""COMPUTED_VALUE"""),"Yes")</f>
        <v>Yes</v>
      </c>
      <c r="F108" s="5" t="str">
        <f ca="1">IFERROR(__xludf.DUMMYFUNCTION("""COMPUTED_VALUE"""),"Yes")</f>
        <v>Yes</v>
      </c>
      <c r="G108" s="5" t="str">
        <f ca="1">IFERROR(__xludf.DUMMYFUNCTION("""COMPUTED_VALUE"""),"Yes")</f>
        <v>Yes</v>
      </c>
      <c r="H108" s="5" t="str">
        <f ca="1">IFERROR(__xludf.DUMMYFUNCTION("""COMPUTED_VALUE"""),"Yes")</f>
        <v>Yes</v>
      </c>
      <c r="I108" s="5" t="str">
        <f ca="1">IFERROR(__xludf.DUMMYFUNCTION("""COMPUTED_VALUE"""),"Yes")</f>
        <v>Yes</v>
      </c>
      <c r="J108" s="5" t="str">
        <f ca="1">IFERROR(__xludf.DUMMYFUNCTION("""COMPUTED_VALUE"""),"Yes")</f>
        <v>Yes</v>
      </c>
      <c r="K108" s="5" t="str">
        <f ca="1">IFERROR(__xludf.DUMMYFUNCTION("""COMPUTED_VALUE"""),"Yes")</f>
        <v>Yes</v>
      </c>
      <c r="L108" s="5" t="str">
        <f ca="1">IFERROR(__xludf.DUMMYFUNCTION("""COMPUTED_VALUE"""),"Yes")</f>
        <v>Yes</v>
      </c>
      <c r="M108" s="5" t="str">
        <f ca="1">IFERROR(__xludf.DUMMYFUNCTION("""COMPUTED_VALUE"""),"Yes")</f>
        <v>Yes</v>
      </c>
      <c r="N108" s="5" t="str">
        <f ca="1">IFERROR(__xludf.DUMMYFUNCTION("""COMPUTED_VALUE"""),"Yes")</f>
        <v>Yes</v>
      </c>
      <c r="O108" s="5" t="str">
        <f ca="1">IFERROR(__xludf.DUMMYFUNCTION("""COMPUTED_VALUE"""),"Yes")</f>
        <v>Yes</v>
      </c>
      <c r="P108" s="5" t="str">
        <f ca="1">IFERROR(__xludf.DUMMYFUNCTION("""COMPUTED_VALUE"""),"Yes")</f>
        <v>Yes</v>
      </c>
      <c r="Q108" s="5" t="str">
        <f ca="1">IFERROR(__xludf.DUMMYFUNCTION("""COMPUTED_VALUE"""),"Yes")</f>
        <v>Yes</v>
      </c>
      <c r="R108" s="5" t="str">
        <f ca="1">IFERROR(__xludf.DUMMYFUNCTION("""COMPUTED_VALUE"""),"Yes")</f>
        <v>Yes</v>
      </c>
      <c r="S108" s="5" t="str">
        <f ca="1">IFERROR(__xludf.DUMMYFUNCTION("""COMPUTED_VALUE"""),"Yes")</f>
        <v>Yes</v>
      </c>
      <c r="T108" s="5" t="str">
        <f ca="1">IFERROR(__xludf.DUMMYFUNCTION("""COMPUTED_VALUE"""),"Yes")</f>
        <v>Yes</v>
      </c>
      <c r="U108" s="5" t="str">
        <f ca="1">IFERROR(__xludf.DUMMYFUNCTION("""COMPUTED_VALUE"""),"Yes")</f>
        <v>Yes</v>
      </c>
      <c r="V108" s="5" t="str">
        <f ca="1">IFERROR(__xludf.DUMMYFUNCTION("""COMPUTED_VALUE"""),"Yes")</f>
        <v>Yes</v>
      </c>
      <c r="W108" s="5" t="str">
        <f ca="1">IFERROR(__xludf.DUMMYFUNCTION("""COMPUTED_VALUE"""),"Yes")</f>
        <v>Yes</v>
      </c>
      <c r="X108" s="5" t="str">
        <f ca="1">IFERROR(__xludf.DUMMYFUNCTION("""COMPUTED_VALUE"""),"Yes")</f>
        <v>Yes</v>
      </c>
      <c r="Y108" s="5" t="str">
        <f ca="1">IFERROR(__xludf.DUMMYFUNCTION("""COMPUTED_VALUE"""),"Yes")</f>
        <v>Yes</v>
      </c>
      <c r="Z108" s="5" t="str">
        <f ca="1">IFERROR(__xludf.DUMMYFUNCTION("""COMPUTED_VALUE"""),"No")</f>
        <v>No</v>
      </c>
      <c r="AA108" s="5" t="str">
        <f ca="1">IFERROR(__xludf.DUMMYFUNCTION("""COMPUTED_VALUE"""),"Yes")</f>
        <v>Yes</v>
      </c>
      <c r="AB108" s="5" t="str">
        <f ca="1">IFERROR(__xludf.DUMMYFUNCTION("""COMPUTED_VALUE"""),"Yes")</f>
        <v>Yes</v>
      </c>
      <c r="AC108" s="5" t="str">
        <f ca="1">IFERROR(__xludf.DUMMYFUNCTION("""COMPUTED_VALUE"""),"Yes")</f>
        <v>Yes</v>
      </c>
      <c r="AD108" s="5" t="str">
        <f ca="1">IFERROR(__xludf.DUMMYFUNCTION("""COMPUTED_VALUE"""),"Yes")</f>
        <v>Yes</v>
      </c>
      <c r="AE108" s="5" t="str">
        <f ca="1">IFERROR(__xludf.DUMMYFUNCTION("""COMPUTED_VALUE"""),"No")</f>
        <v>No</v>
      </c>
      <c r="AF108" s="5" t="str">
        <f ca="1">IFERROR(__xludf.DUMMYFUNCTION("""COMPUTED_VALUE"""),"Yes")</f>
        <v>Yes</v>
      </c>
      <c r="AG108" s="5" t="str">
        <f ca="1">IFERROR(__xludf.DUMMYFUNCTION("""COMPUTED_VALUE"""),"No")</f>
        <v>No</v>
      </c>
      <c r="AH108" s="5" t="str">
        <f ca="1">IFERROR(__xludf.DUMMYFUNCTION("""COMPUTED_VALUE"""),"No")</f>
        <v>No</v>
      </c>
      <c r="AI108" s="5" t="str">
        <f ca="1">IFERROR(__xludf.DUMMYFUNCTION("""COMPUTED_VALUE"""),"No")</f>
        <v>No</v>
      </c>
      <c r="AJ108" s="5" t="str">
        <f ca="1">IFERROR(__xludf.DUMMYFUNCTION("""COMPUTED_VALUE"""),"No")</f>
        <v>No</v>
      </c>
      <c r="AK108" s="5" t="str">
        <f ca="1">IFERROR(__xludf.DUMMYFUNCTION("""COMPUTED_VALUE"""),"No")</f>
        <v>No</v>
      </c>
      <c r="AL108" s="5" t="str">
        <f ca="1">IFERROR(__xludf.DUMMYFUNCTION("""COMPUTED_VALUE"""),"No")</f>
        <v>No</v>
      </c>
      <c r="AM108" s="5"/>
      <c r="AN108" s="5"/>
      <c r="AO108" s="5"/>
      <c r="AP108" s="5"/>
      <c r="AQ108" s="5"/>
      <c r="AR108" s="5"/>
      <c r="AS108" s="5"/>
      <c r="AT108" s="5"/>
      <c r="AU108" s="5"/>
      <c r="AV108" s="5"/>
      <c r="AW108" s="5"/>
      <c r="AX108" s="5"/>
      <c r="AY108" s="5"/>
    </row>
    <row r="109" spans="1:51" x14ac:dyDescent="0.25">
      <c r="A1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9" s="5">
        <f ca="1">IFERROR(__xludf.DUMMYFUNCTION("""COMPUTED_VALUE"""),108)</f>
        <v>108</v>
      </c>
      <c r="C109" s="5">
        <f ca="1">IFERROR(__xludf.DUMMYFUNCTION("""COMPUTED_VALUE"""),107)</f>
        <v>107</v>
      </c>
      <c r="D109" s="5" t="str">
        <f ca="1">IFERROR(__xludf.DUMMYFUNCTION("""COMPUTED_VALUE"""),"JewelsBeat")</f>
        <v>JewelsBeat</v>
      </c>
      <c r="E109" s="5" t="str">
        <f ca="1">IFERROR(__xludf.DUMMYFUNCTION("""COMPUTED_VALUE"""),"Yes")</f>
        <v>Yes</v>
      </c>
      <c r="F109" s="5" t="str">
        <f ca="1">IFERROR(__xludf.DUMMYFUNCTION("""COMPUTED_VALUE"""),"Yes")</f>
        <v>Yes</v>
      </c>
      <c r="G109" s="5" t="str">
        <f ca="1">IFERROR(__xludf.DUMMYFUNCTION("""COMPUTED_VALUE"""),"Yes")</f>
        <v>Yes</v>
      </c>
      <c r="H109" s="5" t="str">
        <f ca="1">IFERROR(__xludf.DUMMYFUNCTION("""COMPUTED_VALUE"""),"Yes")</f>
        <v>Yes</v>
      </c>
      <c r="I109" s="5" t="str">
        <f ca="1">IFERROR(__xludf.DUMMYFUNCTION("""COMPUTED_VALUE"""),"Yes")</f>
        <v>Yes</v>
      </c>
      <c r="J109" s="5" t="str">
        <f ca="1">IFERROR(__xludf.DUMMYFUNCTION("""COMPUTED_VALUE"""),"Yes")</f>
        <v>Yes</v>
      </c>
      <c r="K109" s="5" t="str">
        <f ca="1">IFERROR(__xludf.DUMMYFUNCTION("""COMPUTED_VALUE"""),"Yes")</f>
        <v>Yes</v>
      </c>
      <c r="L109" s="5" t="str">
        <f ca="1">IFERROR(__xludf.DUMMYFUNCTION("""COMPUTED_VALUE"""),"Yes")</f>
        <v>Yes</v>
      </c>
      <c r="M109" s="5" t="str">
        <f ca="1">IFERROR(__xludf.DUMMYFUNCTION("""COMPUTED_VALUE"""),"Yes")</f>
        <v>Yes</v>
      </c>
      <c r="N109" s="5" t="str">
        <f ca="1">IFERROR(__xludf.DUMMYFUNCTION("""COMPUTED_VALUE"""),"Yes")</f>
        <v>Yes</v>
      </c>
      <c r="O109" s="5" t="str">
        <f ca="1">IFERROR(__xludf.DUMMYFUNCTION("""COMPUTED_VALUE"""),"Yes")</f>
        <v>Yes</v>
      </c>
      <c r="P109" s="5" t="str">
        <f ca="1">IFERROR(__xludf.DUMMYFUNCTION("""COMPUTED_VALUE"""),"Yes")</f>
        <v>Yes</v>
      </c>
      <c r="Q109" s="5" t="str">
        <f ca="1">IFERROR(__xludf.DUMMYFUNCTION("""COMPUTED_VALUE"""),"Yes")</f>
        <v>Yes</v>
      </c>
      <c r="R109" s="5" t="str">
        <f ca="1">IFERROR(__xludf.DUMMYFUNCTION("""COMPUTED_VALUE"""),"Yes")</f>
        <v>Yes</v>
      </c>
      <c r="S109" s="5" t="str">
        <f ca="1">IFERROR(__xludf.DUMMYFUNCTION("""COMPUTED_VALUE"""),"Yes")</f>
        <v>Yes</v>
      </c>
      <c r="T109" s="5" t="str">
        <f ca="1">IFERROR(__xludf.DUMMYFUNCTION("""COMPUTED_VALUE"""),"Yes")</f>
        <v>Yes</v>
      </c>
      <c r="U109" s="5" t="str">
        <f ca="1">IFERROR(__xludf.DUMMYFUNCTION("""COMPUTED_VALUE"""),"Yes")</f>
        <v>Yes</v>
      </c>
      <c r="V109" s="5" t="str">
        <f ca="1">IFERROR(__xludf.DUMMYFUNCTION("""COMPUTED_VALUE"""),"Yes")</f>
        <v>Yes</v>
      </c>
      <c r="W109" s="5" t="str">
        <f ca="1">IFERROR(__xludf.DUMMYFUNCTION("""COMPUTED_VALUE"""),"Yes")</f>
        <v>Yes</v>
      </c>
      <c r="X109" s="5" t="str">
        <f ca="1">IFERROR(__xludf.DUMMYFUNCTION("""COMPUTED_VALUE"""),"Yes")</f>
        <v>Yes</v>
      </c>
      <c r="Y109" s="5" t="str">
        <f ca="1">IFERROR(__xludf.DUMMYFUNCTION("""COMPUTED_VALUE"""),"Yes")</f>
        <v>Yes</v>
      </c>
      <c r="Z109" s="5" t="str">
        <f ca="1">IFERROR(__xludf.DUMMYFUNCTION("""COMPUTED_VALUE"""),"No")</f>
        <v>No</v>
      </c>
      <c r="AA109" s="5" t="str">
        <f ca="1">IFERROR(__xludf.DUMMYFUNCTION("""COMPUTED_VALUE"""),"Yes")</f>
        <v>Yes</v>
      </c>
      <c r="AB109" s="5" t="str">
        <f ca="1">IFERROR(__xludf.DUMMYFUNCTION("""COMPUTED_VALUE"""),"Yes")</f>
        <v>Yes</v>
      </c>
      <c r="AC109" s="5" t="str">
        <f ca="1">IFERROR(__xludf.DUMMYFUNCTION("""COMPUTED_VALUE"""),"Yes")</f>
        <v>Yes</v>
      </c>
      <c r="AD109" s="5" t="str">
        <f ca="1">IFERROR(__xludf.DUMMYFUNCTION("""COMPUTED_VALUE"""),"Yes")</f>
        <v>Yes</v>
      </c>
      <c r="AE109" s="5" t="str">
        <f ca="1">IFERROR(__xludf.DUMMYFUNCTION("""COMPUTED_VALUE"""),"No")</f>
        <v>No</v>
      </c>
      <c r="AF109" s="5" t="str">
        <f ca="1">IFERROR(__xludf.DUMMYFUNCTION("""COMPUTED_VALUE"""),"Yes")</f>
        <v>Yes</v>
      </c>
      <c r="AG109" s="5" t="str">
        <f ca="1">IFERROR(__xludf.DUMMYFUNCTION("""COMPUTED_VALUE"""),"No")</f>
        <v>No</v>
      </c>
      <c r="AH109" s="5" t="str">
        <f ca="1">IFERROR(__xludf.DUMMYFUNCTION("""COMPUTED_VALUE"""),"No")</f>
        <v>No</v>
      </c>
      <c r="AI109" s="5" t="str">
        <f ca="1">IFERROR(__xludf.DUMMYFUNCTION("""COMPUTED_VALUE"""),"No")</f>
        <v>No</v>
      </c>
      <c r="AJ109" s="5" t="str">
        <f ca="1">IFERROR(__xludf.DUMMYFUNCTION("""COMPUTED_VALUE"""),"No")</f>
        <v>No</v>
      </c>
      <c r="AK109" s="5" t="str">
        <f ca="1">IFERROR(__xludf.DUMMYFUNCTION("""COMPUTED_VALUE"""),"No")</f>
        <v>No</v>
      </c>
      <c r="AL109" s="5" t="str">
        <f ca="1">IFERROR(__xludf.DUMMYFUNCTION("""COMPUTED_VALUE"""),"No")</f>
        <v>No</v>
      </c>
      <c r="AM109" s="5"/>
      <c r="AN109" s="5"/>
      <c r="AO109" s="5"/>
      <c r="AP109" s="5"/>
      <c r="AQ109" s="5"/>
      <c r="AR109" s="5"/>
      <c r="AS109" s="5"/>
      <c r="AT109" s="5"/>
      <c r="AU109" s="5"/>
      <c r="AV109" s="5"/>
      <c r="AW109" s="5"/>
      <c r="AX109" s="5"/>
      <c r="AY109" s="5"/>
    </row>
    <row r="110" spans="1:51" x14ac:dyDescent="0.25">
      <c r="A1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0" s="5">
        <f ca="1">IFERROR(__xludf.DUMMYFUNCTION("""COMPUTED_VALUE"""),109)</f>
        <v>109</v>
      </c>
      <c r="C110" s="5">
        <f ca="1">IFERROR(__xludf.DUMMYFUNCTION("""COMPUTED_VALUE"""),108)</f>
        <v>108</v>
      </c>
      <c r="D110" s="5" t="str">
        <f ca="1">IFERROR(__xludf.DUMMYFUNCTION("""COMPUTED_VALUE"""),"HeatingIce")</f>
        <v>HeatingIce</v>
      </c>
      <c r="E110" s="5" t="str">
        <f ca="1">IFERROR(__xludf.DUMMYFUNCTION("""COMPUTED_VALUE"""),"Yes")</f>
        <v>Yes</v>
      </c>
      <c r="F110" s="5" t="str">
        <f ca="1">IFERROR(__xludf.DUMMYFUNCTION("""COMPUTED_VALUE"""),"Yes")</f>
        <v>Yes</v>
      </c>
      <c r="G110" s="5" t="str">
        <f ca="1">IFERROR(__xludf.DUMMYFUNCTION("""COMPUTED_VALUE"""),"Yes")</f>
        <v>Yes</v>
      </c>
      <c r="H110" s="5" t="str">
        <f ca="1">IFERROR(__xludf.DUMMYFUNCTION("""COMPUTED_VALUE"""),"Yes")</f>
        <v>Yes</v>
      </c>
      <c r="I110" s="5" t="str">
        <f ca="1">IFERROR(__xludf.DUMMYFUNCTION("""COMPUTED_VALUE"""),"Yes")</f>
        <v>Yes</v>
      </c>
      <c r="J110" s="5" t="str">
        <f ca="1">IFERROR(__xludf.DUMMYFUNCTION("""COMPUTED_VALUE"""),"Yes")</f>
        <v>Yes</v>
      </c>
      <c r="K110" s="5" t="str">
        <f ca="1">IFERROR(__xludf.DUMMYFUNCTION("""COMPUTED_VALUE"""),"Yes")</f>
        <v>Yes</v>
      </c>
      <c r="L110" s="5" t="str">
        <f ca="1">IFERROR(__xludf.DUMMYFUNCTION("""COMPUTED_VALUE"""),"Yes")</f>
        <v>Yes</v>
      </c>
      <c r="M110" s="5" t="str">
        <f ca="1">IFERROR(__xludf.DUMMYFUNCTION("""COMPUTED_VALUE"""),"Yes")</f>
        <v>Yes</v>
      </c>
      <c r="N110" s="5" t="str">
        <f ca="1">IFERROR(__xludf.DUMMYFUNCTION("""COMPUTED_VALUE"""),"Yes")</f>
        <v>Yes</v>
      </c>
      <c r="O110" s="5" t="str">
        <f ca="1">IFERROR(__xludf.DUMMYFUNCTION("""COMPUTED_VALUE"""),"Yes")</f>
        <v>Yes</v>
      </c>
      <c r="P110" s="5" t="str">
        <f ca="1">IFERROR(__xludf.DUMMYFUNCTION("""COMPUTED_VALUE"""),"Yes")</f>
        <v>Yes</v>
      </c>
      <c r="Q110" s="5" t="str">
        <f ca="1">IFERROR(__xludf.DUMMYFUNCTION("""COMPUTED_VALUE"""),"Yes")</f>
        <v>Yes</v>
      </c>
      <c r="R110" s="5" t="str">
        <f ca="1">IFERROR(__xludf.DUMMYFUNCTION("""COMPUTED_VALUE"""),"Yes")</f>
        <v>Yes</v>
      </c>
      <c r="S110" s="5" t="str">
        <f ca="1">IFERROR(__xludf.DUMMYFUNCTION("""COMPUTED_VALUE"""),"Yes")</f>
        <v>Yes</v>
      </c>
      <c r="T110" s="5" t="str">
        <f ca="1">IFERROR(__xludf.DUMMYFUNCTION("""COMPUTED_VALUE"""),"Yes")</f>
        <v>Yes</v>
      </c>
      <c r="U110" s="5" t="str">
        <f ca="1">IFERROR(__xludf.DUMMYFUNCTION("""COMPUTED_VALUE"""),"Yes")</f>
        <v>Yes</v>
      </c>
      <c r="V110" s="5" t="str">
        <f ca="1">IFERROR(__xludf.DUMMYFUNCTION("""COMPUTED_VALUE"""),"Yes")</f>
        <v>Yes</v>
      </c>
      <c r="W110" s="5" t="str">
        <f ca="1">IFERROR(__xludf.DUMMYFUNCTION("""COMPUTED_VALUE"""),"Yes")</f>
        <v>Yes</v>
      </c>
      <c r="X110" s="5" t="str">
        <f ca="1">IFERROR(__xludf.DUMMYFUNCTION("""COMPUTED_VALUE"""),"Yes")</f>
        <v>Yes</v>
      </c>
      <c r="Y110" s="5" t="str">
        <f ca="1">IFERROR(__xludf.DUMMYFUNCTION("""COMPUTED_VALUE"""),"Yes")</f>
        <v>Yes</v>
      </c>
      <c r="Z110" s="5" t="str">
        <f ca="1">IFERROR(__xludf.DUMMYFUNCTION("""COMPUTED_VALUE"""),"No")</f>
        <v>No</v>
      </c>
      <c r="AA110" s="5" t="str">
        <f ca="1">IFERROR(__xludf.DUMMYFUNCTION("""COMPUTED_VALUE"""),"Yes")</f>
        <v>Yes</v>
      </c>
      <c r="AB110" s="5" t="str">
        <f ca="1">IFERROR(__xludf.DUMMYFUNCTION("""COMPUTED_VALUE"""),"Yes")</f>
        <v>Yes</v>
      </c>
      <c r="AC110" s="5" t="str">
        <f ca="1">IFERROR(__xludf.DUMMYFUNCTION("""COMPUTED_VALUE"""),"Yes")</f>
        <v>Yes</v>
      </c>
      <c r="AD110" s="5" t="str">
        <f ca="1">IFERROR(__xludf.DUMMYFUNCTION("""COMPUTED_VALUE"""),"Yes")</f>
        <v>Yes</v>
      </c>
      <c r="AE110" s="5" t="str">
        <f ca="1">IFERROR(__xludf.DUMMYFUNCTION("""COMPUTED_VALUE"""),"No")</f>
        <v>No</v>
      </c>
      <c r="AF110" s="5" t="str">
        <f ca="1">IFERROR(__xludf.DUMMYFUNCTION("""COMPUTED_VALUE"""),"Yes")</f>
        <v>Yes</v>
      </c>
      <c r="AG110" s="5" t="str">
        <f ca="1">IFERROR(__xludf.DUMMYFUNCTION("""COMPUTED_VALUE"""),"No")</f>
        <v>No</v>
      </c>
      <c r="AH110" s="5" t="str">
        <f ca="1">IFERROR(__xludf.DUMMYFUNCTION("""COMPUTED_VALUE"""),"No")</f>
        <v>No</v>
      </c>
      <c r="AI110" s="5" t="str">
        <f ca="1">IFERROR(__xludf.DUMMYFUNCTION("""COMPUTED_VALUE"""),"No")</f>
        <v>No</v>
      </c>
      <c r="AJ110" s="5" t="str">
        <f ca="1">IFERROR(__xludf.DUMMYFUNCTION("""COMPUTED_VALUE"""),"No")</f>
        <v>No</v>
      </c>
      <c r="AK110" s="5" t="str">
        <f ca="1">IFERROR(__xludf.DUMMYFUNCTION("""COMPUTED_VALUE"""),"No")</f>
        <v>No</v>
      </c>
      <c r="AL110" s="5" t="str">
        <f ca="1">IFERROR(__xludf.DUMMYFUNCTION("""COMPUTED_VALUE"""),"No")</f>
        <v>No</v>
      </c>
      <c r="AM110" s="5"/>
      <c r="AN110" s="5"/>
      <c r="AO110" s="5"/>
      <c r="AP110" s="5"/>
      <c r="AQ110" s="5"/>
      <c r="AR110" s="5"/>
      <c r="AS110" s="5"/>
      <c r="AT110" s="5"/>
      <c r="AU110" s="5"/>
      <c r="AV110" s="5"/>
      <c r="AW110" s="5"/>
      <c r="AX110" s="5"/>
      <c r="AY110" s="5"/>
    </row>
    <row r="111" spans="1:51" x14ac:dyDescent="0.25">
      <c r="A1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1" s="5">
        <f ca="1">IFERROR(__xludf.DUMMYFUNCTION("""COMPUTED_VALUE"""),110)</f>
        <v>110</v>
      </c>
      <c r="C111" s="5">
        <f ca="1">IFERROR(__xludf.DUMMYFUNCTION("""COMPUTED_VALUE"""),109)</f>
        <v>109</v>
      </c>
      <c r="D111" s="5" t="str">
        <f ca="1">IFERROR(__xludf.DUMMYFUNCTION("""COMPUTED_VALUE"""),"HeatingIceDeluxe")</f>
        <v>HeatingIceDeluxe</v>
      </c>
      <c r="E111" s="5" t="str">
        <f ca="1">IFERROR(__xludf.DUMMYFUNCTION("""COMPUTED_VALUE"""),"Yes")</f>
        <v>Yes</v>
      </c>
      <c r="F111" s="5" t="str">
        <f ca="1">IFERROR(__xludf.DUMMYFUNCTION("""COMPUTED_VALUE"""),"Yes")</f>
        <v>Yes</v>
      </c>
      <c r="G111" s="5" t="str">
        <f ca="1">IFERROR(__xludf.DUMMYFUNCTION("""COMPUTED_VALUE"""),"Yes")</f>
        <v>Yes</v>
      </c>
      <c r="H111" s="5" t="str">
        <f ca="1">IFERROR(__xludf.DUMMYFUNCTION("""COMPUTED_VALUE"""),"Yes")</f>
        <v>Yes</v>
      </c>
      <c r="I111" s="5" t="str">
        <f ca="1">IFERROR(__xludf.DUMMYFUNCTION("""COMPUTED_VALUE"""),"Yes")</f>
        <v>Yes</v>
      </c>
      <c r="J111" s="5" t="str">
        <f ca="1">IFERROR(__xludf.DUMMYFUNCTION("""COMPUTED_VALUE"""),"Yes")</f>
        <v>Yes</v>
      </c>
      <c r="K111" s="5" t="str">
        <f ca="1">IFERROR(__xludf.DUMMYFUNCTION("""COMPUTED_VALUE"""),"Yes")</f>
        <v>Yes</v>
      </c>
      <c r="L111" s="5" t="str">
        <f ca="1">IFERROR(__xludf.DUMMYFUNCTION("""COMPUTED_VALUE"""),"Yes")</f>
        <v>Yes</v>
      </c>
      <c r="M111" s="5" t="str">
        <f ca="1">IFERROR(__xludf.DUMMYFUNCTION("""COMPUTED_VALUE"""),"Yes")</f>
        <v>Yes</v>
      </c>
      <c r="N111" s="5" t="str">
        <f ca="1">IFERROR(__xludf.DUMMYFUNCTION("""COMPUTED_VALUE"""),"Yes")</f>
        <v>Yes</v>
      </c>
      <c r="O111" s="5" t="str">
        <f ca="1">IFERROR(__xludf.DUMMYFUNCTION("""COMPUTED_VALUE"""),"Yes")</f>
        <v>Yes</v>
      </c>
      <c r="P111" s="5" t="str">
        <f ca="1">IFERROR(__xludf.DUMMYFUNCTION("""COMPUTED_VALUE"""),"Yes")</f>
        <v>Yes</v>
      </c>
      <c r="Q111" s="5" t="str">
        <f ca="1">IFERROR(__xludf.DUMMYFUNCTION("""COMPUTED_VALUE"""),"Yes")</f>
        <v>Yes</v>
      </c>
      <c r="R111" s="5" t="str">
        <f ca="1">IFERROR(__xludf.DUMMYFUNCTION("""COMPUTED_VALUE"""),"Yes")</f>
        <v>Yes</v>
      </c>
      <c r="S111" s="5" t="str">
        <f ca="1">IFERROR(__xludf.DUMMYFUNCTION("""COMPUTED_VALUE"""),"Yes")</f>
        <v>Yes</v>
      </c>
      <c r="T111" s="5" t="str">
        <f ca="1">IFERROR(__xludf.DUMMYFUNCTION("""COMPUTED_VALUE"""),"Yes")</f>
        <v>Yes</v>
      </c>
      <c r="U111" s="5" t="str">
        <f ca="1">IFERROR(__xludf.DUMMYFUNCTION("""COMPUTED_VALUE"""),"Yes")</f>
        <v>Yes</v>
      </c>
      <c r="V111" s="5" t="str">
        <f ca="1">IFERROR(__xludf.DUMMYFUNCTION("""COMPUTED_VALUE"""),"Yes")</f>
        <v>Yes</v>
      </c>
      <c r="W111" s="5" t="str">
        <f ca="1">IFERROR(__xludf.DUMMYFUNCTION("""COMPUTED_VALUE"""),"Yes")</f>
        <v>Yes</v>
      </c>
      <c r="X111" s="5" t="str">
        <f ca="1">IFERROR(__xludf.DUMMYFUNCTION("""COMPUTED_VALUE"""),"Yes")</f>
        <v>Yes</v>
      </c>
      <c r="Y111" s="5" t="str">
        <f ca="1">IFERROR(__xludf.DUMMYFUNCTION("""COMPUTED_VALUE"""),"Yes")</f>
        <v>Yes</v>
      </c>
      <c r="Z111" s="5" t="str">
        <f ca="1">IFERROR(__xludf.DUMMYFUNCTION("""COMPUTED_VALUE"""),"No")</f>
        <v>No</v>
      </c>
      <c r="AA111" s="5" t="str">
        <f ca="1">IFERROR(__xludf.DUMMYFUNCTION("""COMPUTED_VALUE"""),"Yes")</f>
        <v>Yes</v>
      </c>
      <c r="AB111" s="5" t="str">
        <f ca="1">IFERROR(__xludf.DUMMYFUNCTION("""COMPUTED_VALUE"""),"Yes")</f>
        <v>Yes</v>
      </c>
      <c r="AC111" s="5" t="str">
        <f ca="1">IFERROR(__xludf.DUMMYFUNCTION("""COMPUTED_VALUE"""),"Yes")</f>
        <v>Yes</v>
      </c>
      <c r="AD111" s="5" t="str">
        <f ca="1">IFERROR(__xludf.DUMMYFUNCTION("""COMPUTED_VALUE"""),"Yes")</f>
        <v>Yes</v>
      </c>
      <c r="AE111" s="5" t="str">
        <f ca="1">IFERROR(__xludf.DUMMYFUNCTION("""COMPUTED_VALUE"""),"No")</f>
        <v>No</v>
      </c>
      <c r="AF111" s="5" t="str">
        <f ca="1">IFERROR(__xludf.DUMMYFUNCTION("""COMPUTED_VALUE"""),"Yes")</f>
        <v>Yes</v>
      </c>
      <c r="AG111" s="5" t="str">
        <f ca="1">IFERROR(__xludf.DUMMYFUNCTION("""COMPUTED_VALUE"""),"No")</f>
        <v>No</v>
      </c>
      <c r="AH111" s="5" t="str">
        <f ca="1">IFERROR(__xludf.DUMMYFUNCTION("""COMPUTED_VALUE"""),"No")</f>
        <v>No</v>
      </c>
      <c r="AI111" s="5" t="str">
        <f ca="1">IFERROR(__xludf.DUMMYFUNCTION("""COMPUTED_VALUE"""),"No")</f>
        <v>No</v>
      </c>
      <c r="AJ111" s="5" t="str">
        <f ca="1">IFERROR(__xludf.DUMMYFUNCTION("""COMPUTED_VALUE"""),"No")</f>
        <v>No</v>
      </c>
      <c r="AK111" s="5" t="str">
        <f ca="1">IFERROR(__xludf.DUMMYFUNCTION("""COMPUTED_VALUE"""),"No")</f>
        <v>No</v>
      </c>
      <c r="AL111" s="5" t="str">
        <f ca="1">IFERROR(__xludf.DUMMYFUNCTION("""COMPUTED_VALUE"""),"No")</f>
        <v>No</v>
      </c>
      <c r="AM111" s="5"/>
      <c r="AN111" s="5"/>
      <c r="AO111" s="5"/>
      <c r="AP111" s="5"/>
      <c r="AQ111" s="5"/>
      <c r="AR111" s="5"/>
      <c r="AS111" s="5"/>
      <c r="AT111" s="5"/>
      <c r="AU111" s="5"/>
      <c r="AV111" s="5"/>
      <c r="AW111" s="5"/>
      <c r="AX111" s="5"/>
      <c r="AY111" s="5"/>
    </row>
    <row r="112" spans="1:51" x14ac:dyDescent="0.25">
      <c r="A1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2" s="5">
        <f ca="1">IFERROR(__xludf.DUMMYFUNCTION("""COMPUTED_VALUE"""),111)</f>
        <v>111</v>
      </c>
      <c r="C112" s="5">
        <f ca="1">IFERROR(__xludf.DUMMYFUNCTION("""COMPUTED_VALUE"""),110)</f>
        <v>110</v>
      </c>
      <c r="D112" s="5" t="str">
        <f ca="1">IFERROR(__xludf.DUMMYFUNCTION("""COMPUTED_VALUE"""),"FluoDice5")</f>
        <v>FluoDice5</v>
      </c>
      <c r="E112" s="5" t="str">
        <f ca="1">IFERROR(__xludf.DUMMYFUNCTION("""COMPUTED_VALUE"""),"Yes")</f>
        <v>Yes</v>
      </c>
      <c r="F112" s="5" t="str">
        <f ca="1">IFERROR(__xludf.DUMMYFUNCTION("""COMPUTED_VALUE"""),"Yes")</f>
        <v>Yes</v>
      </c>
      <c r="G112" s="5" t="str">
        <f ca="1">IFERROR(__xludf.DUMMYFUNCTION("""COMPUTED_VALUE"""),"Yes")</f>
        <v>Yes</v>
      </c>
      <c r="H112" s="5" t="str">
        <f ca="1">IFERROR(__xludf.DUMMYFUNCTION("""COMPUTED_VALUE"""),"Yes")</f>
        <v>Yes</v>
      </c>
      <c r="I112" s="5" t="str">
        <f ca="1">IFERROR(__xludf.DUMMYFUNCTION("""COMPUTED_VALUE"""),"Yes")</f>
        <v>Yes</v>
      </c>
      <c r="J112" s="5" t="str">
        <f ca="1">IFERROR(__xludf.DUMMYFUNCTION("""COMPUTED_VALUE"""),"Yes")</f>
        <v>Yes</v>
      </c>
      <c r="K112" s="5" t="str">
        <f ca="1">IFERROR(__xludf.DUMMYFUNCTION("""COMPUTED_VALUE"""),"Yes")</f>
        <v>Yes</v>
      </c>
      <c r="L112" s="5" t="str">
        <f ca="1">IFERROR(__xludf.DUMMYFUNCTION("""COMPUTED_VALUE"""),"Yes")</f>
        <v>Yes</v>
      </c>
      <c r="M112" s="5" t="str">
        <f ca="1">IFERROR(__xludf.DUMMYFUNCTION("""COMPUTED_VALUE"""),"Yes")</f>
        <v>Yes</v>
      </c>
      <c r="N112" s="5" t="str">
        <f ca="1">IFERROR(__xludf.DUMMYFUNCTION("""COMPUTED_VALUE"""),"Yes")</f>
        <v>Yes</v>
      </c>
      <c r="O112" s="5" t="str">
        <f ca="1">IFERROR(__xludf.DUMMYFUNCTION("""COMPUTED_VALUE"""),"Yes")</f>
        <v>Yes</v>
      </c>
      <c r="P112" s="5" t="str">
        <f ca="1">IFERROR(__xludf.DUMMYFUNCTION("""COMPUTED_VALUE"""),"Yes")</f>
        <v>Yes</v>
      </c>
      <c r="Q112" s="5" t="str">
        <f ca="1">IFERROR(__xludf.DUMMYFUNCTION("""COMPUTED_VALUE"""),"Yes")</f>
        <v>Yes</v>
      </c>
      <c r="R112" s="5" t="str">
        <f ca="1">IFERROR(__xludf.DUMMYFUNCTION("""COMPUTED_VALUE"""),"Yes")</f>
        <v>Yes</v>
      </c>
      <c r="S112" s="5" t="str">
        <f ca="1">IFERROR(__xludf.DUMMYFUNCTION("""COMPUTED_VALUE"""),"Yes")</f>
        <v>Yes</v>
      </c>
      <c r="T112" s="5" t="str">
        <f ca="1">IFERROR(__xludf.DUMMYFUNCTION("""COMPUTED_VALUE"""),"Yes")</f>
        <v>Yes</v>
      </c>
      <c r="U112" s="5" t="str">
        <f ca="1">IFERROR(__xludf.DUMMYFUNCTION("""COMPUTED_VALUE"""),"Yes")</f>
        <v>Yes</v>
      </c>
      <c r="V112" s="5" t="str">
        <f ca="1">IFERROR(__xludf.DUMMYFUNCTION("""COMPUTED_VALUE"""),"Yes")</f>
        <v>Yes</v>
      </c>
      <c r="W112" s="5" t="str">
        <f ca="1">IFERROR(__xludf.DUMMYFUNCTION("""COMPUTED_VALUE"""),"Yes")</f>
        <v>Yes</v>
      </c>
      <c r="X112" s="5" t="str">
        <f ca="1">IFERROR(__xludf.DUMMYFUNCTION("""COMPUTED_VALUE"""),"Yes")</f>
        <v>Yes</v>
      </c>
      <c r="Y112" s="5" t="str">
        <f ca="1">IFERROR(__xludf.DUMMYFUNCTION("""COMPUTED_VALUE"""),"Yes")</f>
        <v>Yes</v>
      </c>
      <c r="Z112" s="5" t="str">
        <f ca="1">IFERROR(__xludf.DUMMYFUNCTION("""COMPUTED_VALUE"""),"No")</f>
        <v>No</v>
      </c>
      <c r="AA112" s="5" t="str">
        <f ca="1">IFERROR(__xludf.DUMMYFUNCTION("""COMPUTED_VALUE"""),"Yes")</f>
        <v>Yes</v>
      </c>
      <c r="AB112" s="5" t="str">
        <f ca="1">IFERROR(__xludf.DUMMYFUNCTION("""COMPUTED_VALUE"""),"Yes")</f>
        <v>Yes</v>
      </c>
      <c r="AC112" s="5" t="str">
        <f ca="1">IFERROR(__xludf.DUMMYFUNCTION("""COMPUTED_VALUE"""),"Yes")</f>
        <v>Yes</v>
      </c>
      <c r="AD112" s="5" t="str">
        <f ca="1">IFERROR(__xludf.DUMMYFUNCTION("""COMPUTED_VALUE"""),"Yes")</f>
        <v>Yes</v>
      </c>
      <c r="AE112" s="5" t="str">
        <f ca="1">IFERROR(__xludf.DUMMYFUNCTION("""COMPUTED_VALUE"""),"No")</f>
        <v>No</v>
      </c>
      <c r="AF112" s="5" t="str">
        <f ca="1">IFERROR(__xludf.DUMMYFUNCTION("""COMPUTED_VALUE"""),"Yes")</f>
        <v>Yes</v>
      </c>
      <c r="AG112" s="5" t="str">
        <f ca="1">IFERROR(__xludf.DUMMYFUNCTION("""COMPUTED_VALUE"""),"No")</f>
        <v>No</v>
      </c>
      <c r="AH112" s="5" t="str">
        <f ca="1">IFERROR(__xludf.DUMMYFUNCTION("""COMPUTED_VALUE"""),"No")</f>
        <v>No</v>
      </c>
      <c r="AI112" s="5" t="str">
        <f ca="1">IFERROR(__xludf.DUMMYFUNCTION("""COMPUTED_VALUE"""),"No")</f>
        <v>No</v>
      </c>
      <c r="AJ112" s="5" t="str">
        <f ca="1">IFERROR(__xludf.DUMMYFUNCTION("""COMPUTED_VALUE"""),"No")</f>
        <v>No</v>
      </c>
      <c r="AK112" s="5" t="str">
        <f ca="1">IFERROR(__xludf.DUMMYFUNCTION("""COMPUTED_VALUE"""),"No")</f>
        <v>No</v>
      </c>
      <c r="AL112" s="5" t="str">
        <f ca="1">IFERROR(__xludf.DUMMYFUNCTION("""COMPUTED_VALUE"""),"No")</f>
        <v>No</v>
      </c>
      <c r="AM112" s="5"/>
      <c r="AN112" s="5"/>
      <c r="AO112" s="5"/>
      <c r="AP112" s="5"/>
      <c r="AQ112" s="5"/>
      <c r="AR112" s="5"/>
      <c r="AS112" s="5"/>
      <c r="AT112" s="5"/>
      <c r="AU112" s="5"/>
      <c r="AV112" s="5"/>
      <c r="AW112" s="5"/>
      <c r="AX112" s="5"/>
      <c r="AY112" s="5"/>
    </row>
    <row r="113" spans="1:51" x14ac:dyDescent="0.25">
      <c r="A1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3" s="5">
        <f ca="1">IFERROR(__xludf.DUMMYFUNCTION("""COMPUTED_VALUE"""),112)</f>
        <v>112</v>
      </c>
      <c r="C113" s="5">
        <f ca="1">IFERROR(__xludf.DUMMYFUNCTION("""COMPUTED_VALUE"""),111)</f>
        <v>111</v>
      </c>
      <c r="D113" s="5" t="str">
        <f ca="1">IFERROR(__xludf.DUMMYFUNCTION("""COMPUTED_VALUE"""),"FluoHot5")</f>
        <v>FluoHot5</v>
      </c>
      <c r="E113" s="5" t="str">
        <f ca="1">IFERROR(__xludf.DUMMYFUNCTION("""COMPUTED_VALUE"""),"Yes")</f>
        <v>Yes</v>
      </c>
      <c r="F113" s="5" t="str">
        <f ca="1">IFERROR(__xludf.DUMMYFUNCTION("""COMPUTED_VALUE"""),"Yes")</f>
        <v>Yes</v>
      </c>
      <c r="G113" s="5" t="str">
        <f ca="1">IFERROR(__xludf.DUMMYFUNCTION("""COMPUTED_VALUE"""),"Yes")</f>
        <v>Yes</v>
      </c>
      <c r="H113" s="5" t="str">
        <f ca="1">IFERROR(__xludf.DUMMYFUNCTION("""COMPUTED_VALUE"""),"Yes")</f>
        <v>Yes</v>
      </c>
      <c r="I113" s="5" t="str">
        <f ca="1">IFERROR(__xludf.DUMMYFUNCTION("""COMPUTED_VALUE"""),"Yes")</f>
        <v>Yes</v>
      </c>
      <c r="J113" s="5" t="str">
        <f ca="1">IFERROR(__xludf.DUMMYFUNCTION("""COMPUTED_VALUE"""),"Yes")</f>
        <v>Yes</v>
      </c>
      <c r="K113" s="5" t="str">
        <f ca="1">IFERROR(__xludf.DUMMYFUNCTION("""COMPUTED_VALUE"""),"Yes")</f>
        <v>Yes</v>
      </c>
      <c r="L113" s="5" t="str">
        <f ca="1">IFERROR(__xludf.DUMMYFUNCTION("""COMPUTED_VALUE"""),"Yes")</f>
        <v>Yes</v>
      </c>
      <c r="M113" s="5" t="str">
        <f ca="1">IFERROR(__xludf.DUMMYFUNCTION("""COMPUTED_VALUE"""),"Yes")</f>
        <v>Yes</v>
      </c>
      <c r="N113" s="5" t="str">
        <f ca="1">IFERROR(__xludf.DUMMYFUNCTION("""COMPUTED_VALUE"""),"Yes")</f>
        <v>Yes</v>
      </c>
      <c r="O113" s="5" t="str">
        <f ca="1">IFERROR(__xludf.DUMMYFUNCTION("""COMPUTED_VALUE"""),"Yes")</f>
        <v>Yes</v>
      </c>
      <c r="P113" s="5" t="str">
        <f ca="1">IFERROR(__xludf.DUMMYFUNCTION("""COMPUTED_VALUE"""),"Yes")</f>
        <v>Yes</v>
      </c>
      <c r="Q113" s="5" t="str">
        <f ca="1">IFERROR(__xludf.DUMMYFUNCTION("""COMPUTED_VALUE"""),"Yes")</f>
        <v>Yes</v>
      </c>
      <c r="R113" s="5" t="str">
        <f ca="1">IFERROR(__xludf.DUMMYFUNCTION("""COMPUTED_VALUE"""),"Yes")</f>
        <v>Yes</v>
      </c>
      <c r="S113" s="5" t="str">
        <f ca="1">IFERROR(__xludf.DUMMYFUNCTION("""COMPUTED_VALUE"""),"Yes")</f>
        <v>Yes</v>
      </c>
      <c r="T113" s="5" t="str">
        <f ca="1">IFERROR(__xludf.DUMMYFUNCTION("""COMPUTED_VALUE"""),"Yes")</f>
        <v>Yes</v>
      </c>
      <c r="U113" s="5" t="str">
        <f ca="1">IFERROR(__xludf.DUMMYFUNCTION("""COMPUTED_VALUE"""),"Yes")</f>
        <v>Yes</v>
      </c>
      <c r="V113" s="5" t="str">
        <f ca="1">IFERROR(__xludf.DUMMYFUNCTION("""COMPUTED_VALUE"""),"Yes")</f>
        <v>Yes</v>
      </c>
      <c r="W113" s="5" t="str">
        <f ca="1">IFERROR(__xludf.DUMMYFUNCTION("""COMPUTED_VALUE"""),"Yes")</f>
        <v>Yes</v>
      </c>
      <c r="X113" s="5" t="str">
        <f ca="1">IFERROR(__xludf.DUMMYFUNCTION("""COMPUTED_VALUE"""),"Yes")</f>
        <v>Yes</v>
      </c>
      <c r="Y113" s="5" t="str">
        <f ca="1">IFERROR(__xludf.DUMMYFUNCTION("""COMPUTED_VALUE"""),"Yes")</f>
        <v>Yes</v>
      </c>
      <c r="Z113" s="5" t="str">
        <f ca="1">IFERROR(__xludf.DUMMYFUNCTION("""COMPUTED_VALUE"""),"No")</f>
        <v>No</v>
      </c>
      <c r="AA113" s="5" t="str">
        <f ca="1">IFERROR(__xludf.DUMMYFUNCTION("""COMPUTED_VALUE"""),"Yes")</f>
        <v>Yes</v>
      </c>
      <c r="AB113" s="5" t="str">
        <f ca="1">IFERROR(__xludf.DUMMYFUNCTION("""COMPUTED_VALUE"""),"Yes")</f>
        <v>Yes</v>
      </c>
      <c r="AC113" s="5" t="str">
        <f ca="1">IFERROR(__xludf.DUMMYFUNCTION("""COMPUTED_VALUE"""),"Yes")</f>
        <v>Yes</v>
      </c>
      <c r="AD113" s="5" t="str">
        <f ca="1">IFERROR(__xludf.DUMMYFUNCTION("""COMPUTED_VALUE"""),"Yes")</f>
        <v>Yes</v>
      </c>
      <c r="AE113" s="5" t="str">
        <f ca="1">IFERROR(__xludf.DUMMYFUNCTION("""COMPUTED_VALUE"""),"No")</f>
        <v>No</v>
      </c>
      <c r="AF113" s="5" t="str">
        <f ca="1">IFERROR(__xludf.DUMMYFUNCTION("""COMPUTED_VALUE"""),"Yes")</f>
        <v>Yes</v>
      </c>
      <c r="AG113" s="5" t="str">
        <f ca="1">IFERROR(__xludf.DUMMYFUNCTION("""COMPUTED_VALUE"""),"No")</f>
        <v>No</v>
      </c>
      <c r="AH113" s="5" t="str">
        <f ca="1">IFERROR(__xludf.DUMMYFUNCTION("""COMPUTED_VALUE"""),"No")</f>
        <v>No</v>
      </c>
      <c r="AI113" s="5" t="str">
        <f ca="1">IFERROR(__xludf.DUMMYFUNCTION("""COMPUTED_VALUE"""),"No")</f>
        <v>No</v>
      </c>
      <c r="AJ113" s="5" t="str">
        <f ca="1">IFERROR(__xludf.DUMMYFUNCTION("""COMPUTED_VALUE"""),"No")</f>
        <v>No</v>
      </c>
      <c r="AK113" s="5" t="str">
        <f ca="1">IFERROR(__xludf.DUMMYFUNCTION("""COMPUTED_VALUE"""),"No")</f>
        <v>No</v>
      </c>
      <c r="AL113" s="5" t="str">
        <f ca="1">IFERROR(__xludf.DUMMYFUNCTION("""COMPUTED_VALUE"""),"No")</f>
        <v>No</v>
      </c>
      <c r="AM113" s="5"/>
      <c r="AN113" s="5"/>
      <c r="AO113" s="5"/>
      <c r="AP113" s="5"/>
      <c r="AQ113" s="5"/>
      <c r="AR113" s="5"/>
      <c r="AS113" s="5"/>
      <c r="AT113" s="5"/>
      <c r="AU113" s="5"/>
      <c r="AV113" s="5"/>
      <c r="AW113" s="5"/>
      <c r="AX113" s="5"/>
      <c r="AY113" s="5"/>
    </row>
    <row r="114" spans="1:51" x14ac:dyDescent="0.25">
      <c r="A1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4" s="5">
        <f ca="1">IFERROR(__xludf.DUMMYFUNCTION("""COMPUTED_VALUE"""),113)</f>
        <v>113</v>
      </c>
      <c r="C114" s="5">
        <f ca="1">IFERROR(__xludf.DUMMYFUNCTION("""COMPUTED_VALUE"""),112)</f>
        <v>112</v>
      </c>
      <c r="D114" s="5" t="str">
        <f ca="1">IFERROR(__xludf.DUMMYFUNCTION("""COMPUTED_VALUE"""),"HeatingDice")</f>
        <v>HeatingDice</v>
      </c>
      <c r="E114" s="5" t="str">
        <f ca="1">IFERROR(__xludf.DUMMYFUNCTION("""COMPUTED_VALUE"""),"Yes")</f>
        <v>Yes</v>
      </c>
      <c r="F114" s="5" t="str">
        <f ca="1">IFERROR(__xludf.DUMMYFUNCTION("""COMPUTED_VALUE"""),"Yes")</f>
        <v>Yes</v>
      </c>
      <c r="G114" s="5" t="str">
        <f ca="1">IFERROR(__xludf.DUMMYFUNCTION("""COMPUTED_VALUE"""),"Yes")</f>
        <v>Yes</v>
      </c>
      <c r="H114" s="5" t="str">
        <f ca="1">IFERROR(__xludf.DUMMYFUNCTION("""COMPUTED_VALUE"""),"Yes")</f>
        <v>Yes</v>
      </c>
      <c r="I114" s="5" t="str">
        <f ca="1">IFERROR(__xludf.DUMMYFUNCTION("""COMPUTED_VALUE"""),"Yes")</f>
        <v>Yes</v>
      </c>
      <c r="J114" s="5" t="str">
        <f ca="1">IFERROR(__xludf.DUMMYFUNCTION("""COMPUTED_VALUE"""),"Yes")</f>
        <v>Yes</v>
      </c>
      <c r="K114" s="5" t="str">
        <f ca="1">IFERROR(__xludf.DUMMYFUNCTION("""COMPUTED_VALUE"""),"Yes")</f>
        <v>Yes</v>
      </c>
      <c r="L114" s="5" t="str">
        <f ca="1">IFERROR(__xludf.DUMMYFUNCTION("""COMPUTED_VALUE"""),"Yes")</f>
        <v>Yes</v>
      </c>
      <c r="M114" s="5" t="str">
        <f ca="1">IFERROR(__xludf.DUMMYFUNCTION("""COMPUTED_VALUE"""),"Yes")</f>
        <v>Yes</v>
      </c>
      <c r="N114" s="5" t="str">
        <f ca="1">IFERROR(__xludf.DUMMYFUNCTION("""COMPUTED_VALUE"""),"Yes")</f>
        <v>Yes</v>
      </c>
      <c r="O114" s="5" t="str">
        <f ca="1">IFERROR(__xludf.DUMMYFUNCTION("""COMPUTED_VALUE"""),"Yes")</f>
        <v>Yes</v>
      </c>
      <c r="P114" s="5" t="str">
        <f ca="1">IFERROR(__xludf.DUMMYFUNCTION("""COMPUTED_VALUE"""),"Yes")</f>
        <v>Yes</v>
      </c>
      <c r="Q114" s="5" t="str">
        <f ca="1">IFERROR(__xludf.DUMMYFUNCTION("""COMPUTED_VALUE"""),"Yes")</f>
        <v>Yes</v>
      </c>
      <c r="R114" s="5" t="str">
        <f ca="1">IFERROR(__xludf.DUMMYFUNCTION("""COMPUTED_VALUE"""),"Yes")</f>
        <v>Yes</v>
      </c>
      <c r="S114" s="5" t="str">
        <f ca="1">IFERROR(__xludf.DUMMYFUNCTION("""COMPUTED_VALUE"""),"Yes")</f>
        <v>Yes</v>
      </c>
      <c r="T114" s="5" t="str">
        <f ca="1">IFERROR(__xludf.DUMMYFUNCTION("""COMPUTED_VALUE"""),"Yes")</f>
        <v>Yes</v>
      </c>
      <c r="U114" s="5" t="str">
        <f ca="1">IFERROR(__xludf.DUMMYFUNCTION("""COMPUTED_VALUE"""),"Yes")</f>
        <v>Yes</v>
      </c>
      <c r="V114" s="5" t="str">
        <f ca="1">IFERROR(__xludf.DUMMYFUNCTION("""COMPUTED_VALUE"""),"Yes")</f>
        <v>Yes</v>
      </c>
      <c r="W114" s="5" t="str">
        <f ca="1">IFERROR(__xludf.DUMMYFUNCTION("""COMPUTED_VALUE"""),"Yes")</f>
        <v>Yes</v>
      </c>
      <c r="X114" s="5" t="str">
        <f ca="1">IFERROR(__xludf.DUMMYFUNCTION("""COMPUTED_VALUE"""),"Yes")</f>
        <v>Yes</v>
      </c>
      <c r="Y114" s="5" t="str">
        <f ca="1">IFERROR(__xludf.DUMMYFUNCTION("""COMPUTED_VALUE"""),"Yes")</f>
        <v>Yes</v>
      </c>
      <c r="Z114" s="5" t="str">
        <f ca="1">IFERROR(__xludf.DUMMYFUNCTION("""COMPUTED_VALUE"""),"No")</f>
        <v>No</v>
      </c>
      <c r="AA114" s="5" t="str">
        <f ca="1">IFERROR(__xludf.DUMMYFUNCTION("""COMPUTED_VALUE"""),"Yes")</f>
        <v>Yes</v>
      </c>
      <c r="AB114" s="5" t="str">
        <f ca="1">IFERROR(__xludf.DUMMYFUNCTION("""COMPUTED_VALUE"""),"Yes")</f>
        <v>Yes</v>
      </c>
      <c r="AC114" s="5" t="str">
        <f ca="1">IFERROR(__xludf.DUMMYFUNCTION("""COMPUTED_VALUE"""),"Yes")</f>
        <v>Yes</v>
      </c>
      <c r="AD114" s="5" t="str">
        <f ca="1">IFERROR(__xludf.DUMMYFUNCTION("""COMPUTED_VALUE"""),"Yes")</f>
        <v>Yes</v>
      </c>
      <c r="AE114" s="5" t="str">
        <f ca="1">IFERROR(__xludf.DUMMYFUNCTION("""COMPUTED_VALUE"""),"No")</f>
        <v>No</v>
      </c>
      <c r="AF114" s="5" t="str">
        <f ca="1">IFERROR(__xludf.DUMMYFUNCTION("""COMPUTED_VALUE"""),"Yes")</f>
        <v>Yes</v>
      </c>
      <c r="AG114" s="5" t="str">
        <f ca="1">IFERROR(__xludf.DUMMYFUNCTION("""COMPUTED_VALUE"""),"No")</f>
        <v>No</v>
      </c>
      <c r="AH114" s="5" t="str">
        <f ca="1">IFERROR(__xludf.DUMMYFUNCTION("""COMPUTED_VALUE"""),"No")</f>
        <v>No</v>
      </c>
      <c r="AI114" s="5" t="str">
        <f ca="1">IFERROR(__xludf.DUMMYFUNCTION("""COMPUTED_VALUE"""),"No")</f>
        <v>No</v>
      </c>
      <c r="AJ114" s="5" t="str">
        <f ca="1">IFERROR(__xludf.DUMMYFUNCTION("""COMPUTED_VALUE"""),"No")</f>
        <v>No</v>
      </c>
      <c r="AK114" s="5" t="str">
        <f ca="1">IFERROR(__xludf.DUMMYFUNCTION("""COMPUTED_VALUE"""),"No")</f>
        <v>No</v>
      </c>
      <c r="AL114" s="5" t="str">
        <f ca="1">IFERROR(__xludf.DUMMYFUNCTION("""COMPUTED_VALUE"""),"No")</f>
        <v>No</v>
      </c>
      <c r="AM114" s="5"/>
      <c r="AN114" s="5"/>
      <c r="AO114" s="5"/>
      <c r="AP114" s="5"/>
      <c r="AQ114" s="5"/>
      <c r="AR114" s="5"/>
      <c r="AS114" s="5"/>
      <c r="AT114" s="5"/>
      <c r="AU114" s="5"/>
      <c r="AV114" s="5"/>
      <c r="AW114" s="5"/>
      <c r="AX114" s="5"/>
      <c r="AY114" s="5"/>
    </row>
    <row r="115" spans="1:51" x14ac:dyDescent="0.25">
      <c r="A1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5" s="5">
        <f ca="1">IFERROR(__xludf.DUMMYFUNCTION("""COMPUTED_VALUE"""),114)</f>
        <v>114</v>
      </c>
      <c r="C115" s="5">
        <f ca="1">IFERROR(__xludf.DUMMYFUNCTION("""COMPUTED_VALUE"""),113)</f>
        <v>113</v>
      </c>
      <c r="D115" s="5" t="str">
        <f ca="1">IFERROR(__xludf.DUMMYFUNCTION("""COMPUTED_VALUE"""),"CrystalJewels")</f>
        <v>CrystalJewels</v>
      </c>
      <c r="E115" s="5" t="str">
        <f ca="1">IFERROR(__xludf.DUMMYFUNCTION("""COMPUTED_VALUE"""),"Yes")</f>
        <v>Yes</v>
      </c>
      <c r="F115" s="5" t="str">
        <f ca="1">IFERROR(__xludf.DUMMYFUNCTION("""COMPUTED_VALUE"""),"Yes")</f>
        <v>Yes</v>
      </c>
      <c r="G115" s="5" t="str">
        <f ca="1">IFERROR(__xludf.DUMMYFUNCTION("""COMPUTED_VALUE"""),"Yes")</f>
        <v>Yes</v>
      </c>
      <c r="H115" s="5" t="str">
        <f ca="1">IFERROR(__xludf.DUMMYFUNCTION("""COMPUTED_VALUE"""),"Yes")</f>
        <v>Yes</v>
      </c>
      <c r="I115" s="5" t="str">
        <f ca="1">IFERROR(__xludf.DUMMYFUNCTION("""COMPUTED_VALUE"""),"Yes")</f>
        <v>Yes</v>
      </c>
      <c r="J115" s="5" t="str">
        <f ca="1">IFERROR(__xludf.DUMMYFUNCTION("""COMPUTED_VALUE"""),"Yes")</f>
        <v>Yes</v>
      </c>
      <c r="K115" s="5" t="str">
        <f ca="1">IFERROR(__xludf.DUMMYFUNCTION("""COMPUTED_VALUE"""),"Yes")</f>
        <v>Yes</v>
      </c>
      <c r="L115" s="5" t="str">
        <f ca="1">IFERROR(__xludf.DUMMYFUNCTION("""COMPUTED_VALUE"""),"Yes")</f>
        <v>Yes</v>
      </c>
      <c r="M115" s="5" t="str">
        <f ca="1">IFERROR(__xludf.DUMMYFUNCTION("""COMPUTED_VALUE"""),"Yes")</f>
        <v>Yes</v>
      </c>
      <c r="N115" s="5" t="str">
        <f ca="1">IFERROR(__xludf.DUMMYFUNCTION("""COMPUTED_VALUE"""),"Yes")</f>
        <v>Yes</v>
      </c>
      <c r="O115" s="5" t="str">
        <f ca="1">IFERROR(__xludf.DUMMYFUNCTION("""COMPUTED_VALUE"""),"Yes")</f>
        <v>Yes</v>
      </c>
      <c r="P115" s="5" t="str">
        <f ca="1">IFERROR(__xludf.DUMMYFUNCTION("""COMPUTED_VALUE"""),"Yes")</f>
        <v>Yes</v>
      </c>
      <c r="Q115" s="5" t="str">
        <f ca="1">IFERROR(__xludf.DUMMYFUNCTION("""COMPUTED_VALUE"""),"Yes")</f>
        <v>Yes</v>
      </c>
      <c r="R115" s="5" t="str">
        <f ca="1">IFERROR(__xludf.DUMMYFUNCTION("""COMPUTED_VALUE"""),"Yes")</f>
        <v>Yes</v>
      </c>
      <c r="S115" s="5" t="str">
        <f ca="1">IFERROR(__xludf.DUMMYFUNCTION("""COMPUTED_VALUE"""),"Yes")</f>
        <v>Yes</v>
      </c>
      <c r="T115" s="5" t="str">
        <f ca="1">IFERROR(__xludf.DUMMYFUNCTION("""COMPUTED_VALUE"""),"Yes")</f>
        <v>Yes</v>
      </c>
      <c r="U115" s="5" t="str">
        <f ca="1">IFERROR(__xludf.DUMMYFUNCTION("""COMPUTED_VALUE"""),"Yes")</f>
        <v>Yes</v>
      </c>
      <c r="V115" s="5" t="str">
        <f ca="1">IFERROR(__xludf.DUMMYFUNCTION("""COMPUTED_VALUE"""),"Yes")</f>
        <v>Yes</v>
      </c>
      <c r="W115" s="5" t="str">
        <f ca="1">IFERROR(__xludf.DUMMYFUNCTION("""COMPUTED_VALUE"""),"Yes")</f>
        <v>Yes</v>
      </c>
      <c r="X115" s="5" t="str">
        <f ca="1">IFERROR(__xludf.DUMMYFUNCTION("""COMPUTED_VALUE"""),"Yes")</f>
        <v>Yes</v>
      </c>
      <c r="Y115" s="5" t="str">
        <f ca="1">IFERROR(__xludf.DUMMYFUNCTION("""COMPUTED_VALUE"""),"Yes")</f>
        <v>Yes</v>
      </c>
      <c r="Z115" s="5" t="str">
        <f ca="1">IFERROR(__xludf.DUMMYFUNCTION("""COMPUTED_VALUE"""),"No")</f>
        <v>No</v>
      </c>
      <c r="AA115" s="5" t="str">
        <f ca="1">IFERROR(__xludf.DUMMYFUNCTION("""COMPUTED_VALUE"""),"Yes")</f>
        <v>Yes</v>
      </c>
      <c r="AB115" s="5" t="str">
        <f ca="1">IFERROR(__xludf.DUMMYFUNCTION("""COMPUTED_VALUE"""),"Yes")</f>
        <v>Yes</v>
      </c>
      <c r="AC115" s="5" t="str">
        <f ca="1">IFERROR(__xludf.DUMMYFUNCTION("""COMPUTED_VALUE"""),"Yes")</f>
        <v>Yes</v>
      </c>
      <c r="AD115" s="5" t="str">
        <f ca="1">IFERROR(__xludf.DUMMYFUNCTION("""COMPUTED_VALUE"""),"Yes")</f>
        <v>Yes</v>
      </c>
      <c r="AE115" s="5" t="str">
        <f ca="1">IFERROR(__xludf.DUMMYFUNCTION("""COMPUTED_VALUE"""),"No")</f>
        <v>No</v>
      </c>
      <c r="AF115" s="5" t="str">
        <f ca="1">IFERROR(__xludf.DUMMYFUNCTION("""COMPUTED_VALUE"""),"Yes")</f>
        <v>Yes</v>
      </c>
      <c r="AG115" s="5" t="str">
        <f ca="1">IFERROR(__xludf.DUMMYFUNCTION("""COMPUTED_VALUE"""),"No")</f>
        <v>No</v>
      </c>
      <c r="AH115" s="5" t="str">
        <f ca="1">IFERROR(__xludf.DUMMYFUNCTION("""COMPUTED_VALUE"""),"No")</f>
        <v>No</v>
      </c>
      <c r="AI115" s="5" t="str">
        <f ca="1">IFERROR(__xludf.DUMMYFUNCTION("""COMPUTED_VALUE"""),"No")</f>
        <v>No</v>
      </c>
      <c r="AJ115" s="5" t="str">
        <f ca="1">IFERROR(__xludf.DUMMYFUNCTION("""COMPUTED_VALUE"""),"No")</f>
        <v>No</v>
      </c>
      <c r="AK115" s="5" t="str">
        <f ca="1">IFERROR(__xludf.DUMMYFUNCTION("""COMPUTED_VALUE"""),"No")</f>
        <v>No</v>
      </c>
      <c r="AL115" s="5" t="str">
        <f ca="1">IFERROR(__xludf.DUMMYFUNCTION("""COMPUTED_VALUE"""),"No")</f>
        <v>No</v>
      </c>
      <c r="AM115" s="5"/>
      <c r="AN115" s="5"/>
      <c r="AO115" s="5"/>
      <c r="AP115" s="5"/>
      <c r="AQ115" s="5"/>
      <c r="AR115" s="5"/>
      <c r="AS115" s="5"/>
      <c r="AT115" s="5"/>
      <c r="AU115" s="5"/>
      <c r="AV115" s="5"/>
      <c r="AW115" s="5"/>
      <c r="AX115" s="5"/>
      <c r="AY115" s="5"/>
    </row>
    <row r="116" spans="1:51" x14ac:dyDescent="0.25">
      <c r="A116" s="5" t="str">
        <f ca="1">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16" s="5">
        <f ca="1">IFERROR(__xludf.DUMMYFUNCTION("""COMPUTED_VALUE"""),115)</f>
        <v>115</v>
      </c>
      <c r="C116" s="5">
        <f ca="1">IFERROR(__xludf.DUMMYFUNCTION("""COMPUTED_VALUE"""),114)</f>
        <v>114</v>
      </c>
      <c r="D116" s="5" t="str">
        <f ca="1">IFERROR(__xludf.DUMMYFUNCTION("""COMPUTED_VALUE"""),"WildClover506")</f>
        <v>WildClover506</v>
      </c>
      <c r="E116" s="5" t="str">
        <f ca="1">IFERROR(__xludf.DUMMYFUNCTION("""COMPUTED_VALUE"""),"Yes")</f>
        <v>Yes</v>
      </c>
      <c r="F116" s="5" t="str">
        <f ca="1">IFERROR(__xludf.DUMMYFUNCTION("""COMPUTED_VALUE"""),"Yes")</f>
        <v>Yes</v>
      </c>
      <c r="G116" s="5" t="str">
        <f ca="1">IFERROR(__xludf.DUMMYFUNCTION("""COMPUTED_VALUE"""),"No")</f>
        <v>No</v>
      </c>
      <c r="H116" s="5" t="str">
        <f ca="1">IFERROR(__xludf.DUMMYFUNCTION("""COMPUTED_VALUE"""),"Yes")</f>
        <v>Yes</v>
      </c>
      <c r="I116" s="5" t="str">
        <f ca="1">IFERROR(__xludf.DUMMYFUNCTION("""COMPUTED_VALUE"""),"Yes")</f>
        <v>Yes</v>
      </c>
      <c r="J116" s="5" t="str">
        <f ca="1">IFERROR(__xludf.DUMMYFUNCTION("""COMPUTED_VALUE"""),"Yes")</f>
        <v>Yes</v>
      </c>
      <c r="K116" s="5" t="str">
        <f ca="1">IFERROR(__xludf.DUMMYFUNCTION("""COMPUTED_VALUE"""),"Yes")</f>
        <v>Yes</v>
      </c>
      <c r="L116" s="5" t="str">
        <f ca="1">IFERROR(__xludf.DUMMYFUNCTION("""COMPUTED_VALUE"""),"Yes")</f>
        <v>Yes</v>
      </c>
      <c r="M116" s="5" t="str">
        <f ca="1">IFERROR(__xludf.DUMMYFUNCTION("""COMPUTED_VALUE"""),"Yes")</f>
        <v>Yes</v>
      </c>
      <c r="N116" s="5" t="str">
        <f ca="1">IFERROR(__xludf.DUMMYFUNCTION("""COMPUTED_VALUE"""),"Yes")</f>
        <v>Yes</v>
      </c>
      <c r="O116" s="5" t="str">
        <f ca="1">IFERROR(__xludf.DUMMYFUNCTION("""COMPUTED_VALUE"""),"Yes")</f>
        <v>Yes</v>
      </c>
      <c r="P116" s="5" t="str">
        <f ca="1">IFERROR(__xludf.DUMMYFUNCTION("""COMPUTED_VALUE"""),"Yes")</f>
        <v>Yes</v>
      </c>
      <c r="Q116" s="5" t="str">
        <f ca="1">IFERROR(__xludf.DUMMYFUNCTION("""COMPUTED_VALUE"""),"No")</f>
        <v>No</v>
      </c>
      <c r="R116" s="5" t="str">
        <f ca="1">IFERROR(__xludf.DUMMYFUNCTION("""COMPUTED_VALUE"""),"No")</f>
        <v>No</v>
      </c>
      <c r="S116" s="5" t="str">
        <f ca="1">IFERROR(__xludf.DUMMYFUNCTION("""COMPUTED_VALUE"""),"Yes")</f>
        <v>Yes</v>
      </c>
      <c r="T116" s="5" t="str">
        <f ca="1">IFERROR(__xludf.DUMMYFUNCTION("""COMPUTED_VALUE"""),"No")</f>
        <v>No</v>
      </c>
      <c r="U116" s="5" t="str">
        <f ca="1">IFERROR(__xludf.DUMMYFUNCTION("""COMPUTED_VALUE"""),"No")</f>
        <v>No</v>
      </c>
      <c r="V116" s="5" t="str">
        <f ca="1">IFERROR(__xludf.DUMMYFUNCTION("""COMPUTED_VALUE"""),"No")</f>
        <v>No</v>
      </c>
      <c r="W116" s="5" t="str">
        <f ca="1">IFERROR(__xludf.DUMMYFUNCTION("""COMPUTED_VALUE"""),"No")</f>
        <v>No</v>
      </c>
      <c r="X116" s="5" t="str">
        <f ca="1">IFERROR(__xludf.DUMMYFUNCTION("""COMPUTED_VALUE"""),"No")</f>
        <v>No</v>
      </c>
      <c r="Y116" s="5" t="str">
        <f ca="1">IFERROR(__xludf.DUMMYFUNCTION("""COMPUTED_VALUE"""),"No")</f>
        <v>No</v>
      </c>
      <c r="Z116" s="5" t="str">
        <f ca="1">IFERROR(__xludf.DUMMYFUNCTION("""COMPUTED_VALUE"""),"No")</f>
        <v>No</v>
      </c>
      <c r="AA116" s="5" t="str">
        <f ca="1">IFERROR(__xludf.DUMMYFUNCTION("""COMPUTED_VALUE"""),"No")</f>
        <v>No</v>
      </c>
      <c r="AB116" s="5" t="str">
        <f ca="1">IFERROR(__xludf.DUMMYFUNCTION("""COMPUTED_VALUE"""),"No")</f>
        <v>No</v>
      </c>
      <c r="AC116" s="5" t="str">
        <f ca="1">IFERROR(__xludf.DUMMYFUNCTION("""COMPUTED_VALUE"""),"No")</f>
        <v>No</v>
      </c>
      <c r="AD116" s="5" t="str">
        <f ca="1">IFERROR(__xludf.DUMMYFUNCTION("""COMPUTED_VALUE"""),"No")</f>
        <v>No</v>
      </c>
      <c r="AE116" s="5" t="str">
        <f ca="1">IFERROR(__xludf.DUMMYFUNCTION("""COMPUTED_VALUE"""),"No")</f>
        <v>No</v>
      </c>
      <c r="AF116" s="5" t="str">
        <f ca="1">IFERROR(__xludf.DUMMYFUNCTION("""COMPUTED_VALUE"""),"Yes")</f>
        <v>Yes</v>
      </c>
      <c r="AG116" s="5" t="str">
        <f ca="1">IFERROR(__xludf.DUMMYFUNCTION("""COMPUTED_VALUE"""),"No")</f>
        <v>No</v>
      </c>
      <c r="AH116" s="5" t="str">
        <f ca="1">IFERROR(__xludf.DUMMYFUNCTION("""COMPUTED_VALUE"""),"Yes")</f>
        <v>Yes</v>
      </c>
      <c r="AI116" s="5" t="str">
        <f ca="1">IFERROR(__xludf.DUMMYFUNCTION("""COMPUTED_VALUE"""),"No")</f>
        <v>No</v>
      </c>
      <c r="AJ116" s="5" t="str">
        <f ca="1">IFERROR(__xludf.DUMMYFUNCTION("""COMPUTED_VALUE"""),"No")</f>
        <v>No</v>
      </c>
      <c r="AK116" s="5" t="str">
        <f ca="1">IFERROR(__xludf.DUMMYFUNCTION("""COMPUTED_VALUE"""),"No")</f>
        <v>No</v>
      </c>
      <c r="AL116" s="5" t="str">
        <f ca="1">IFERROR(__xludf.DUMMYFUNCTION("""COMPUTED_VALUE"""),"No")</f>
        <v>No</v>
      </c>
      <c r="AM116" s="5"/>
      <c r="AN116" s="5"/>
      <c r="AO116" s="5"/>
      <c r="AP116" s="5"/>
      <c r="AQ116" s="5"/>
      <c r="AR116" s="5"/>
      <c r="AS116" s="5"/>
      <c r="AT116" s="5"/>
      <c r="AU116" s="5"/>
      <c r="AV116" s="5"/>
      <c r="AW116" s="5"/>
      <c r="AX116" s="5"/>
      <c r="AY116" s="5"/>
    </row>
    <row r="117" spans="1:51" x14ac:dyDescent="0.25">
      <c r="A1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7" s="5">
        <f ca="1">IFERROR(__xludf.DUMMYFUNCTION("""COMPUTED_VALUE"""),116)</f>
        <v>116</v>
      </c>
      <c r="C117" s="5">
        <f ca="1">IFERROR(__xludf.DUMMYFUNCTION("""COMPUTED_VALUE"""),115)</f>
        <v>115</v>
      </c>
      <c r="D117" s="5" t="str">
        <f ca="1">IFERROR(__xludf.DUMMYFUNCTION("""COMPUTED_VALUE"""),"TwinklingHot80")</f>
        <v>TwinklingHot80</v>
      </c>
      <c r="E117" s="5" t="str">
        <f ca="1">IFERROR(__xludf.DUMMYFUNCTION("""COMPUTED_VALUE"""),"Yes")</f>
        <v>Yes</v>
      </c>
      <c r="F117" s="5" t="str">
        <f ca="1">IFERROR(__xludf.DUMMYFUNCTION("""COMPUTED_VALUE"""),"Yes")</f>
        <v>Yes</v>
      </c>
      <c r="G117" s="5" t="str">
        <f ca="1">IFERROR(__xludf.DUMMYFUNCTION("""COMPUTED_VALUE"""),"Yes")</f>
        <v>Yes</v>
      </c>
      <c r="H117" s="5" t="str">
        <f ca="1">IFERROR(__xludf.DUMMYFUNCTION("""COMPUTED_VALUE"""),"Yes")</f>
        <v>Yes</v>
      </c>
      <c r="I117" s="5" t="str">
        <f ca="1">IFERROR(__xludf.DUMMYFUNCTION("""COMPUTED_VALUE"""),"Yes")</f>
        <v>Yes</v>
      </c>
      <c r="J117" s="5" t="str">
        <f ca="1">IFERROR(__xludf.DUMMYFUNCTION("""COMPUTED_VALUE"""),"Yes")</f>
        <v>Yes</v>
      </c>
      <c r="K117" s="5" t="str">
        <f ca="1">IFERROR(__xludf.DUMMYFUNCTION("""COMPUTED_VALUE"""),"Yes")</f>
        <v>Yes</v>
      </c>
      <c r="L117" s="5" t="str">
        <f ca="1">IFERROR(__xludf.DUMMYFUNCTION("""COMPUTED_VALUE"""),"Yes")</f>
        <v>Yes</v>
      </c>
      <c r="M117" s="5" t="str">
        <f ca="1">IFERROR(__xludf.DUMMYFUNCTION("""COMPUTED_VALUE"""),"Yes")</f>
        <v>Yes</v>
      </c>
      <c r="N117" s="5" t="str">
        <f ca="1">IFERROR(__xludf.DUMMYFUNCTION("""COMPUTED_VALUE"""),"Yes")</f>
        <v>Yes</v>
      </c>
      <c r="O117" s="5" t="str">
        <f ca="1">IFERROR(__xludf.DUMMYFUNCTION("""COMPUTED_VALUE"""),"Yes")</f>
        <v>Yes</v>
      </c>
      <c r="P117" s="5" t="str">
        <f ca="1">IFERROR(__xludf.DUMMYFUNCTION("""COMPUTED_VALUE"""),"Yes")</f>
        <v>Yes</v>
      </c>
      <c r="Q117" s="5" t="str">
        <f ca="1">IFERROR(__xludf.DUMMYFUNCTION("""COMPUTED_VALUE"""),"Yes")</f>
        <v>Yes</v>
      </c>
      <c r="R117" s="5" t="str">
        <f ca="1">IFERROR(__xludf.DUMMYFUNCTION("""COMPUTED_VALUE"""),"Yes")</f>
        <v>Yes</v>
      </c>
      <c r="S117" s="5" t="str">
        <f ca="1">IFERROR(__xludf.DUMMYFUNCTION("""COMPUTED_VALUE"""),"Yes")</f>
        <v>Yes</v>
      </c>
      <c r="T117" s="5" t="str">
        <f ca="1">IFERROR(__xludf.DUMMYFUNCTION("""COMPUTED_VALUE"""),"Yes")</f>
        <v>Yes</v>
      </c>
      <c r="U117" s="5" t="str">
        <f ca="1">IFERROR(__xludf.DUMMYFUNCTION("""COMPUTED_VALUE"""),"Yes")</f>
        <v>Yes</v>
      </c>
      <c r="V117" s="5" t="str">
        <f ca="1">IFERROR(__xludf.DUMMYFUNCTION("""COMPUTED_VALUE"""),"Yes")</f>
        <v>Yes</v>
      </c>
      <c r="W117" s="5" t="str">
        <f ca="1">IFERROR(__xludf.DUMMYFUNCTION("""COMPUTED_VALUE"""),"Yes")</f>
        <v>Yes</v>
      </c>
      <c r="X117" s="5" t="str">
        <f ca="1">IFERROR(__xludf.DUMMYFUNCTION("""COMPUTED_VALUE"""),"Yes")</f>
        <v>Yes</v>
      </c>
      <c r="Y117" s="5" t="str">
        <f ca="1">IFERROR(__xludf.DUMMYFUNCTION("""COMPUTED_VALUE"""),"Yes")</f>
        <v>Yes</v>
      </c>
      <c r="Z117" s="5" t="str">
        <f ca="1">IFERROR(__xludf.DUMMYFUNCTION("""COMPUTED_VALUE"""),"No")</f>
        <v>No</v>
      </c>
      <c r="AA117" s="5" t="str">
        <f ca="1">IFERROR(__xludf.DUMMYFUNCTION("""COMPUTED_VALUE"""),"Yes")</f>
        <v>Yes</v>
      </c>
      <c r="AB117" s="5" t="str">
        <f ca="1">IFERROR(__xludf.DUMMYFUNCTION("""COMPUTED_VALUE"""),"Yes")</f>
        <v>Yes</v>
      </c>
      <c r="AC117" s="5" t="str">
        <f ca="1">IFERROR(__xludf.DUMMYFUNCTION("""COMPUTED_VALUE"""),"Yes")</f>
        <v>Yes</v>
      </c>
      <c r="AD117" s="5" t="str">
        <f ca="1">IFERROR(__xludf.DUMMYFUNCTION("""COMPUTED_VALUE"""),"Yes")</f>
        <v>Yes</v>
      </c>
      <c r="AE117" s="5" t="str">
        <f ca="1">IFERROR(__xludf.DUMMYFUNCTION("""COMPUTED_VALUE"""),"No")</f>
        <v>No</v>
      </c>
      <c r="AF117" s="5" t="str">
        <f ca="1">IFERROR(__xludf.DUMMYFUNCTION("""COMPUTED_VALUE"""),"Yes")</f>
        <v>Yes</v>
      </c>
      <c r="AG117" s="5" t="str">
        <f ca="1">IFERROR(__xludf.DUMMYFUNCTION("""COMPUTED_VALUE"""),"No")</f>
        <v>No</v>
      </c>
      <c r="AH117" s="5" t="str">
        <f ca="1">IFERROR(__xludf.DUMMYFUNCTION("""COMPUTED_VALUE"""),"No")</f>
        <v>No</v>
      </c>
      <c r="AI117" s="5" t="str">
        <f ca="1">IFERROR(__xludf.DUMMYFUNCTION("""COMPUTED_VALUE"""),"No")</f>
        <v>No</v>
      </c>
      <c r="AJ117" s="5" t="str">
        <f ca="1">IFERROR(__xludf.DUMMYFUNCTION("""COMPUTED_VALUE"""),"No")</f>
        <v>No</v>
      </c>
      <c r="AK117" s="5" t="str">
        <f ca="1">IFERROR(__xludf.DUMMYFUNCTION("""COMPUTED_VALUE"""),"No")</f>
        <v>No</v>
      </c>
      <c r="AL117" s="5" t="str">
        <f ca="1">IFERROR(__xludf.DUMMYFUNCTION("""COMPUTED_VALUE"""),"No")</f>
        <v>No</v>
      </c>
      <c r="AM117" s="5"/>
      <c r="AN117" s="5"/>
      <c r="AO117" s="5"/>
      <c r="AP117" s="5"/>
      <c r="AQ117" s="5"/>
      <c r="AR117" s="5"/>
      <c r="AS117" s="5"/>
      <c r="AT117" s="5"/>
      <c r="AU117" s="5"/>
      <c r="AV117" s="5"/>
      <c r="AW117" s="5"/>
      <c r="AX117" s="5"/>
      <c r="AY117" s="5"/>
    </row>
    <row r="118" spans="1:51" x14ac:dyDescent="0.25">
      <c r="A11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18" s="5">
        <f ca="1">IFERROR(__xludf.DUMMYFUNCTION("""COMPUTED_VALUE"""),117)</f>
        <v>117</v>
      </c>
      <c r="C118" s="5">
        <f ca="1">IFERROR(__xludf.DUMMYFUNCTION("""COMPUTED_VALUE"""),116)</f>
        <v>116</v>
      </c>
      <c r="D118" s="5" t="str">
        <f ca="1">IFERROR(__xludf.DUMMYFUNCTION("""COMPUTED_VALUE"""),"UnicornIslandRespins")</f>
        <v>UnicornIslandRespins</v>
      </c>
      <c r="E118" s="5" t="str">
        <f ca="1">IFERROR(__xludf.DUMMYFUNCTION("""COMPUTED_VALUE"""),"Yes")</f>
        <v>Yes</v>
      </c>
      <c r="F118" s="5" t="str">
        <f ca="1">IFERROR(__xludf.DUMMYFUNCTION("""COMPUTED_VALUE"""),"Yes")</f>
        <v>Yes</v>
      </c>
      <c r="G118" s="5" t="str">
        <f ca="1">IFERROR(__xludf.DUMMYFUNCTION("""COMPUTED_VALUE"""),"Yes")</f>
        <v>Yes</v>
      </c>
      <c r="H118" s="5" t="str">
        <f ca="1">IFERROR(__xludf.DUMMYFUNCTION("""COMPUTED_VALUE"""),"No")</f>
        <v>No</v>
      </c>
      <c r="I118" s="5" t="str">
        <f ca="1">IFERROR(__xludf.DUMMYFUNCTION("""COMPUTED_VALUE"""),"No")</f>
        <v>No</v>
      </c>
      <c r="J118" s="5" t="str">
        <f ca="1">IFERROR(__xludf.DUMMYFUNCTION("""COMPUTED_VALUE"""),"No")</f>
        <v>No</v>
      </c>
      <c r="K118" s="5" t="str">
        <f ca="1">IFERROR(__xludf.DUMMYFUNCTION("""COMPUTED_VALUE"""),"No")</f>
        <v>No</v>
      </c>
      <c r="L118" s="5" t="str">
        <f ca="1">IFERROR(__xludf.DUMMYFUNCTION("""COMPUTED_VALUE"""),"No")</f>
        <v>No</v>
      </c>
      <c r="M118" s="5" t="str">
        <f ca="1">IFERROR(__xludf.DUMMYFUNCTION("""COMPUTED_VALUE"""),"Yes")</f>
        <v>Yes</v>
      </c>
      <c r="N118" s="5" t="str">
        <f ca="1">IFERROR(__xludf.DUMMYFUNCTION("""COMPUTED_VALUE"""),"Yes")</f>
        <v>Yes</v>
      </c>
      <c r="O118" s="5" t="str">
        <f ca="1">IFERROR(__xludf.DUMMYFUNCTION("""COMPUTED_VALUE"""),"Yes")</f>
        <v>Yes</v>
      </c>
      <c r="P118" s="5" t="str">
        <f ca="1">IFERROR(__xludf.DUMMYFUNCTION("""COMPUTED_VALUE"""),"Yes")</f>
        <v>Yes</v>
      </c>
      <c r="Q118" s="5" t="str">
        <f ca="1">IFERROR(__xludf.DUMMYFUNCTION("""COMPUTED_VALUE"""),"Yes")</f>
        <v>Yes</v>
      </c>
      <c r="R118" s="5" t="str">
        <f ca="1">IFERROR(__xludf.DUMMYFUNCTION("""COMPUTED_VALUE"""),"No")</f>
        <v>No</v>
      </c>
      <c r="S118" s="5" t="str">
        <f ca="1">IFERROR(__xludf.DUMMYFUNCTION("""COMPUTED_VALUE"""),"Yes")</f>
        <v>Yes</v>
      </c>
      <c r="T118" s="5" t="str">
        <f ca="1">IFERROR(__xludf.DUMMYFUNCTION("""COMPUTED_VALUE"""),"No")</f>
        <v>No</v>
      </c>
      <c r="U118" s="5" t="str">
        <f ca="1">IFERROR(__xludf.DUMMYFUNCTION("""COMPUTED_VALUE"""),"No")</f>
        <v>No</v>
      </c>
      <c r="V118" s="5" t="str">
        <f ca="1">IFERROR(__xludf.DUMMYFUNCTION("""COMPUTED_VALUE"""),"No")</f>
        <v>No</v>
      </c>
      <c r="W118" s="5" t="str">
        <f ca="1">IFERROR(__xludf.DUMMYFUNCTION("""COMPUTED_VALUE"""),"No")</f>
        <v>No</v>
      </c>
      <c r="X118" s="5" t="str">
        <f ca="1">IFERROR(__xludf.DUMMYFUNCTION("""COMPUTED_VALUE"""),"No")</f>
        <v>No</v>
      </c>
      <c r="Y118" s="5"/>
      <c r="Z118" s="5"/>
      <c r="AA118" s="5"/>
      <c r="AB118" s="5"/>
      <c r="AC118" s="5" t="str">
        <f ca="1">IFERROR(__xludf.DUMMYFUNCTION("""COMPUTED_VALUE"""),"No")</f>
        <v>No</v>
      </c>
      <c r="AD118" s="5"/>
      <c r="AE118" s="5"/>
      <c r="AF118" s="5"/>
      <c r="AG118" s="5"/>
      <c r="AH118" s="5"/>
      <c r="AI118" s="5"/>
      <c r="AJ118" s="5"/>
      <c r="AK118" s="5"/>
      <c r="AL118" s="5"/>
      <c r="AM118" s="5"/>
      <c r="AN118" s="5"/>
      <c r="AO118" s="5"/>
      <c r="AP118" s="5"/>
      <c r="AQ118" s="5"/>
      <c r="AR118" s="5"/>
      <c r="AS118" s="5"/>
      <c r="AT118" s="5"/>
      <c r="AU118" s="5"/>
      <c r="AV118" s="5"/>
      <c r="AW118" s="5"/>
      <c r="AX118" s="5"/>
      <c r="AY118" s="5"/>
    </row>
    <row r="119" spans="1:51" x14ac:dyDescent="0.25">
      <c r="A11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19" s="5">
        <f ca="1">IFERROR(__xludf.DUMMYFUNCTION("""COMPUTED_VALUE"""),118)</f>
        <v>118</v>
      </c>
      <c r="C119" s="5">
        <f ca="1">IFERROR(__xludf.DUMMYFUNCTION("""COMPUTED_VALUE"""),117)</f>
        <v>117</v>
      </c>
      <c r="D119" s="5" t="str">
        <f ca="1">IFERROR(__xludf.DUMMYFUNCTION("""COMPUTED_VALUE"""),"UnicornDiceRespins")</f>
        <v>UnicornDiceRespins</v>
      </c>
      <c r="E119" s="5" t="str">
        <f ca="1">IFERROR(__xludf.DUMMYFUNCTION("""COMPUTED_VALUE"""),"Yes")</f>
        <v>Yes</v>
      </c>
      <c r="F119" s="5" t="str">
        <f ca="1">IFERROR(__xludf.DUMMYFUNCTION("""COMPUTED_VALUE"""),"Yes")</f>
        <v>Yes</v>
      </c>
      <c r="G119" s="5" t="str">
        <f ca="1">IFERROR(__xludf.DUMMYFUNCTION("""COMPUTED_VALUE"""),"Yes")</f>
        <v>Yes</v>
      </c>
      <c r="H119" s="5" t="str">
        <f ca="1">IFERROR(__xludf.DUMMYFUNCTION("""COMPUTED_VALUE"""),"No")</f>
        <v>No</v>
      </c>
      <c r="I119" s="5" t="str">
        <f ca="1">IFERROR(__xludf.DUMMYFUNCTION("""COMPUTED_VALUE"""),"No")</f>
        <v>No</v>
      </c>
      <c r="J119" s="5" t="str">
        <f ca="1">IFERROR(__xludf.DUMMYFUNCTION("""COMPUTED_VALUE"""),"No")</f>
        <v>No</v>
      </c>
      <c r="K119" s="5" t="str">
        <f ca="1">IFERROR(__xludf.DUMMYFUNCTION("""COMPUTED_VALUE"""),"No")</f>
        <v>No</v>
      </c>
      <c r="L119" s="5" t="str">
        <f ca="1">IFERROR(__xludf.DUMMYFUNCTION("""COMPUTED_VALUE"""),"No")</f>
        <v>No</v>
      </c>
      <c r="M119" s="5" t="str">
        <f ca="1">IFERROR(__xludf.DUMMYFUNCTION("""COMPUTED_VALUE"""),"Yes")</f>
        <v>Yes</v>
      </c>
      <c r="N119" s="5" t="str">
        <f ca="1">IFERROR(__xludf.DUMMYFUNCTION("""COMPUTED_VALUE"""),"Yes")</f>
        <v>Yes</v>
      </c>
      <c r="O119" s="5" t="str">
        <f ca="1">IFERROR(__xludf.DUMMYFUNCTION("""COMPUTED_VALUE"""),"Yes")</f>
        <v>Yes</v>
      </c>
      <c r="P119" s="5" t="str">
        <f ca="1">IFERROR(__xludf.DUMMYFUNCTION("""COMPUTED_VALUE"""),"Yes")</f>
        <v>Yes</v>
      </c>
      <c r="Q119" s="5" t="str">
        <f ca="1">IFERROR(__xludf.DUMMYFUNCTION("""COMPUTED_VALUE"""),"Yes")</f>
        <v>Yes</v>
      </c>
      <c r="R119" s="5" t="str">
        <f ca="1">IFERROR(__xludf.DUMMYFUNCTION("""COMPUTED_VALUE"""),"No")</f>
        <v>No</v>
      </c>
      <c r="S119" s="5" t="str">
        <f ca="1">IFERROR(__xludf.DUMMYFUNCTION("""COMPUTED_VALUE"""),"Yes")</f>
        <v>Yes</v>
      </c>
      <c r="T119" s="5" t="str">
        <f ca="1">IFERROR(__xludf.DUMMYFUNCTION("""COMPUTED_VALUE"""),"No")</f>
        <v>No</v>
      </c>
      <c r="U119" s="5" t="str">
        <f ca="1">IFERROR(__xludf.DUMMYFUNCTION("""COMPUTED_VALUE"""),"No")</f>
        <v>No</v>
      </c>
      <c r="V119" s="5" t="str">
        <f ca="1">IFERROR(__xludf.DUMMYFUNCTION("""COMPUTED_VALUE"""),"No")</f>
        <v>No</v>
      </c>
      <c r="W119" s="5" t="str">
        <f ca="1">IFERROR(__xludf.DUMMYFUNCTION("""COMPUTED_VALUE"""),"No")</f>
        <v>No</v>
      </c>
      <c r="X119" s="5" t="str">
        <f ca="1">IFERROR(__xludf.DUMMYFUNCTION("""COMPUTED_VALUE"""),"No")</f>
        <v>No</v>
      </c>
      <c r="Y119" s="5"/>
      <c r="Z119" s="5"/>
      <c r="AA119" s="5"/>
      <c r="AB119" s="5"/>
      <c r="AC119" s="5" t="str">
        <f ca="1">IFERROR(__xludf.DUMMYFUNCTION("""COMPUTED_VALUE"""),"No")</f>
        <v>No</v>
      </c>
      <c r="AD119" s="5"/>
      <c r="AE119" s="5"/>
      <c r="AF119" s="5"/>
      <c r="AG119" s="5"/>
      <c r="AH119" s="5"/>
      <c r="AI119" s="5"/>
      <c r="AJ119" s="5"/>
      <c r="AK119" s="5"/>
      <c r="AL119" s="5"/>
      <c r="AM119" s="5"/>
      <c r="AN119" s="5"/>
      <c r="AO119" s="5"/>
      <c r="AP119" s="5"/>
      <c r="AQ119" s="5"/>
      <c r="AR119" s="5"/>
      <c r="AS119" s="5"/>
      <c r="AT119" s="5"/>
      <c r="AU119" s="5"/>
      <c r="AV119" s="5"/>
      <c r="AW119" s="5"/>
      <c r="AX119" s="5"/>
      <c r="AY119" s="5"/>
    </row>
    <row r="120" spans="1:51" x14ac:dyDescent="0.25">
      <c r="A120" s="5" t="str">
        <f ca="1">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20" s="5">
        <f ca="1">IFERROR(__xludf.DUMMYFUNCTION("""COMPUTED_VALUE"""),119)</f>
        <v>119</v>
      </c>
      <c r="C120" s="5">
        <f ca="1">IFERROR(__xludf.DUMMYFUNCTION("""COMPUTED_VALUE"""),118)</f>
        <v>118</v>
      </c>
      <c r="D120" s="5" t="str">
        <f ca="1">IFERROR(__xludf.DUMMYFUNCTION("""COMPUTED_VALUE"""),"LostBook")</f>
        <v>LostBook</v>
      </c>
      <c r="E120" s="5" t="str">
        <f ca="1">IFERROR(__xludf.DUMMYFUNCTION("""COMPUTED_VALUE"""),"Yes")</f>
        <v>Yes</v>
      </c>
      <c r="F120" s="5" t="str">
        <f ca="1">IFERROR(__xludf.DUMMYFUNCTION("""COMPUTED_VALUE"""),"Yes")</f>
        <v>Yes</v>
      </c>
      <c r="G120" s="5" t="str">
        <f ca="1">IFERROR(__xludf.DUMMYFUNCTION("""COMPUTED_VALUE"""),"No")</f>
        <v>No</v>
      </c>
      <c r="H120" s="5" t="str">
        <f ca="1">IFERROR(__xludf.DUMMYFUNCTION("""COMPUTED_VALUE"""),"Yes")</f>
        <v>Yes</v>
      </c>
      <c r="I120" s="5" t="str">
        <f ca="1">IFERROR(__xludf.DUMMYFUNCTION("""COMPUTED_VALUE"""),"Yes")</f>
        <v>Yes</v>
      </c>
      <c r="J120" s="5" t="str">
        <f ca="1">IFERROR(__xludf.DUMMYFUNCTION("""COMPUTED_VALUE"""),"Yes")</f>
        <v>Yes</v>
      </c>
      <c r="K120" s="5" t="str">
        <f ca="1">IFERROR(__xludf.DUMMYFUNCTION("""COMPUTED_VALUE"""),"Yes")</f>
        <v>Yes</v>
      </c>
      <c r="L120" s="5" t="str">
        <f ca="1">IFERROR(__xludf.DUMMYFUNCTION("""COMPUTED_VALUE"""),"Yes")</f>
        <v>Yes</v>
      </c>
      <c r="M120" s="5" t="str">
        <f ca="1">IFERROR(__xludf.DUMMYFUNCTION("""COMPUTED_VALUE"""),"Yes")</f>
        <v>Yes</v>
      </c>
      <c r="N120" s="5" t="str">
        <f ca="1">IFERROR(__xludf.DUMMYFUNCTION("""COMPUTED_VALUE"""),"Yes")</f>
        <v>Yes</v>
      </c>
      <c r="O120" s="5" t="str">
        <f ca="1">IFERROR(__xludf.DUMMYFUNCTION("""COMPUTED_VALUE"""),"Yes")</f>
        <v>Yes</v>
      </c>
      <c r="P120" s="5" t="str">
        <f ca="1">IFERROR(__xludf.DUMMYFUNCTION("""COMPUTED_VALUE"""),"Yes")</f>
        <v>Yes</v>
      </c>
      <c r="Q120" s="5" t="str">
        <f ca="1">IFERROR(__xludf.DUMMYFUNCTION("""COMPUTED_VALUE"""),"No")</f>
        <v>No</v>
      </c>
      <c r="R120" s="5" t="str">
        <f ca="1">IFERROR(__xludf.DUMMYFUNCTION("""COMPUTED_VALUE"""),"No")</f>
        <v>No</v>
      </c>
      <c r="S120" s="5" t="str">
        <f ca="1">IFERROR(__xludf.DUMMYFUNCTION("""COMPUTED_VALUE"""),"Yes")</f>
        <v>Yes</v>
      </c>
      <c r="T120" s="5" t="str">
        <f ca="1">IFERROR(__xludf.DUMMYFUNCTION("""COMPUTED_VALUE"""),"No")</f>
        <v>No</v>
      </c>
      <c r="U120" s="5" t="str">
        <f ca="1">IFERROR(__xludf.DUMMYFUNCTION("""COMPUTED_VALUE"""),"No")</f>
        <v>No</v>
      </c>
      <c r="V120" s="5" t="str">
        <f ca="1">IFERROR(__xludf.DUMMYFUNCTION("""COMPUTED_VALUE"""),"No")</f>
        <v>No</v>
      </c>
      <c r="W120" s="5" t="str">
        <f ca="1">IFERROR(__xludf.DUMMYFUNCTION("""COMPUTED_VALUE"""),"No")</f>
        <v>No</v>
      </c>
      <c r="X120" s="5" t="str">
        <f ca="1">IFERROR(__xludf.DUMMYFUNCTION("""COMPUTED_VALUE"""),"No")</f>
        <v>No</v>
      </c>
      <c r="Y120" s="5" t="str">
        <f ca="1">IFERROR(__xludf.DUMMYFUNCTION("""COMPUTED_VALUE"""),"No")</f>
        <v>No</v>
      </c>
      <c r="Z120" s="5" t="str">
        <f ca="1">IFERROR(__xludf.DUMMYFUNCTION("""COMPUTED_VALUE"""),"No")</f>
        <v>No</v>
      </c>
      <c r="AA120" s="5" t="str">
        <f ca="1">IFERROR(__xludf.DUMMYFUNCTION("""COMPUTED_VALUE"""),"No")</f>
        <v>No</v>
      </c>
      <c r="AB120" s="5" t="str">
        <f ca="1">IFERROR(__xludf.DUMMYFUNCTION("""COMPUTED_VALUE"""),"No")</f>
        <v>No</v>
      </c>
      <c r="AC120" s="5" t="str">
        <f ca="1">IFERROR(__xludf.DUMMYFUNCTION("""COMPUTED_VALUE"""),"No")</f>
        <v>No</v>
      </c>
      <c r="AD120" s="5" t="str">
        <f ca="1">IFERROR(__xludf.DUMMYFUNCTION("""COMPUTED_VALUE"""),"No")</f>
        <v>No</v>
      </c>
      <c r="AE120" s="5" t="str">
        <f ca="1">IFERROR(__xludf.DUMMYFUNCTION("""COMPUTED_VALUE"""),"No")</f>
        <v>No</v>
      </c>
      <c r="AF120" s="5" t="str">
        <f ca="1">IFERROR(__xludf.DUMMYFUNCTION("""COMPUTED_VALUE"""),"Yes")</f>
        <v>Yes</v>
      </c>
      <c r="AG120" s="5" t="str">
        <f ca="1">IFERROR(__xludf.DUMMYFUNCTION("""COMPUTED_VALUE"""),"No")</f>
        <v>No</v>
      </c>
      <c r="AH120" s="5" t="str">
        <f ca="1">IFERROR(__xludf.DUMMYFUNCTION("""COMPUTED_VALUE"""),"Yes")</f>
        <v>Yes</v>
      </c>
      <c r="AI120" s="5" t="str">
        <f ca="1">IFERROR(__xludf.DUMMYFUNCTION("""COMPUTED_VALUE"""),"No")</f>
        <v>No</v>
      </c>
      <c r="AJ120" s="5" t="str">
        <f ca="1">IFERROR(__xludf.DUMMYFUNCTION("""COMPUTED_VALUE"""),"No")</f>
        <v>No</v>
      </c>
      <c r="AK120" s="5" t="str">
        <f ca="1">IFERROR(__xludf.DUMMYFUNCTION("""COMPUTED_VALUE"""),"No")</f>
        <v>No</v>
      </c>
      <c r="AL120" s="5" t="str">
        <f ca="1">IFERROR(__xludf.DUMMYFUNCTION("""COMPUTED_VALUE"""),"No")</f>
        <v>No</v>
      </c>
      <c r="AM120" s="5"/>
      <c r="AN120" s="5"/>
      <c r="AO120" s="5"/>
      <c r="AP120" s="5"/>
      <c r="AQ120" s="5"/>
      <c r="AR120" s="5"/>
      <c r="AS120" s="5"/>
      <c r="AT120" s="5"/>
      <c r="AU120" s="5"/>
      <c r="AV120" s="5"/>
      <c r="AW120" s="5"/>
      <c r="AX120" s="5"/>
      <c r="AY120" s="5"/>
    </row>
    <row r="121" spans="1:51" x14ac:dyDescent="0.25">
      <c r="A1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1" s="5">
        <f ca="1">IFERROR(__xludf.DUMMYFUNCTION("""COMPUTED_VALUE"""),120)</f>
        <v>120</v>
      </c>
      <c r="C121" s="5">
        <f ca="1">IFERROR(__xludf.DUMMYFUNCTION("""COMPUTED_VALUE"""),119)</f>
        <v>119</v>
      </c>
      <c r="D121" s="5" t="str">
        <f ca="1">IFERROR(__xludf.DUMMYFUNCTION("""COMPUTED_VALUE"""),"BurstingHot40Mozzart")</f>
        <v>BurstingHot40Mozzart</v>
      </c>
      <c r="E121" s="5" t="str">
        <f ca="1">IFERROR(__xludf.DUMMYFUNCTION("""COMPUTED_VALUE"""),"Yes")</f>
        <v>Yes</v>
      </c>
      <c r="F121" s="5" t="str">
        <f ca="1">IFERROR(__xludf.DUMMYFUNCTION("""COMPUTED_VALUE"""),"Yes")</f>
        <v>Yes</v>
      </c>
      <c r="G121" s="5" t="str">
        <f ca="1">IFERROR(__xludf.DUMMYFUNCTION("""COMPUTED_VALUE"""),"Yes")</f>
        <v>Yes</v>
      </c>
      <c r="H121" s="5" t="str">
        <f ca="1">IFERROR(__xludf.DUMMYFUNCTION("""COMPUTED_VALUE"""),"Yes")</f>
        <v>Yes</v>
      </c>
      <c r="I121" s="5" t="str">
        <f ca="1">IFERROR(__xludf.DUMMYFUNCTION("""COMPUTED_VALUE"""),"Yes")</f>
        <v>Yes</v>
      </c>
      <c r="J121" s="5" t="str">
        <f ca="1">IFERROR(__xludf.DUMMYFUNCTION("""COMPUTED_VALUE"""),"Yes")</f>
        <v>Yes</v>
      </c>
      <c r="K121" s="5" t="str">
        <f ca="1">IFERROR(__xludf.DUMMYFUNCTION("""COMPUTED_VALUE"""),"Yes")</f>
        <v>Yes</v>
      </c>
      <c r="L121" s="5" t="str">
        <f ca="1">IFERROR(__xludf.DUMMYFUNCTION("""COMPUTED_VALUE"""),"Yes")</f>
        <v>Yes</v>
      </c>
      <c r="M121" s="5" t="str">
        <f ca="1">IFERROR(__xludf.DUMMYFUNCTION("""COMPUTED_VALUE"""),"Yes")</f>
        <v>Yes</v>
      </c>
      <c r="N121" s="5" t="str">
        <f ca="1">IFERROR(__xludf.DUMMYFUNCTION("""COMPUTED_VALUE"""),"Yes")</f>
        <v>Yes</v>
      </c>
      <c r="O121" s="5" t="str">
        <f ca="1">IFERROR(__xludf.DUMMYFUNCTION("""COMPUTED_VALUE"""),"Yes")</f>
        <v>Yes</v>
      </c>
      <c r="P121" s="5" t="str">
        <f ca="1">IFERROR(__xludf.DUMMYFUNCTION("""COMPUTED_VALUE"""),"Yes")</f>
        <v>Yes</v>
      </c>
      <c r="Q121" s="5" t="str">
        <f ca="1">IFERROR(__xludf.DUMMYFUNCTION("""COMPUTED_VALUE"""),"Yes")</f>
        <v>Yes</v>
      </c>
      <c r="R121" s="5" t="str">
        <f ca="1">IFERROR(__xludf.DUMMYFUNCTION("""COMPUTED_VALUE"""),"Yes")</f>
        <v>Yes</v>
      </c>
      <c r="S121" s="5" t="str">
        <f ca="1">IFERROR(__xludf.DUMMYFUNCTION("""COMPUTED_VALUE"""),"Yes")</f>
        <v>Yes</v>
      </c>
      <c r="T121" s="5" t="str">
        <f ca="1">IFERROR(__xludf.DUMMYFUNCTION("""COMPUTED_VALUE"""),"Yes")</f>
        <v>Yes</v>
      </c>
      <c r="U121" s="5" t="str">
        <f ca="1">IFERROR(__xludf.DUMMYFUNCTION("""COMPUTED_VALUE"""),"Yes")</f>
        <v>Yes</v>
      </c>
      <c r="V121" s="5" t="str">
        <f ca="1">IFERROR(__xludf.DUMMYFUNCTION("""COMPUTED_VALUE"""),"Yes")</f>
        <v>Yes</v>
      </c>
      <c r="W121" s="5" t="str">
        <f ca="1">IFERROR(__xludf.DUMMYFUNCTION("""COMPUTED_VALUE"""),"Yes")</f>
        <v>Yes</v>
      </c>
      <c r="X121" s="5" t="str">
        <f ca="1">IFERROR(__xludf.DUMMYFUNCTION("""COMPUTED_VALUE"""),"Yes")</f>
        <v>Yes</v>
      </c>
      <c r="Y121" s="5" t="str">
        <f ca="1">IFERROR(__xludf.DUMMYFUNCTION("""COMPUTED_VALUE"""),"Yes")</f>
        <v>Yes</v>
      </c>
      <c r="Z121" s="5" t="str">
        <f ca="1">IFERROR(__xludf.DUMMYFUNCTION("""COMPUTED_VALUE"""),"No")</f>
        <v>No</v>
      </c>
      <c r="AA121" s="5" t="str">
        <f ca="1">IFERROR(__xludf.DUMMYFUNCTION("""COMPUTED_VALUE"""),"Yes")</f>
        <v>Yes</v>
      </c>
      <c r="AB121" s="5" t="str">
        <f ca="1">IFERROR(__xludf.DUMMYFUNCTION("""COMPUTED_VALUE"""),"Yes")</f>
        <v>Yes</v>
      </c>
      <c r="AC121" s="5" t="str">
        <f ca="1">IFERROR(__xludf.DUMMYFUNCTION("""COMPUTED_VALUE"""),"Yes")</f>
        <v>Yes</v>
      </c>
      <c r="AD121" s="5" t="str">
        <f ca="1">IFERROR(__xludf.DUMMYFUNCTION("""COMPUTED_VALUE"""),"Yes")</f>
        <v>Yes</v>
      </c>
      <c r="AE121" s="5" t="str">
        <f ca="1">IFERROR(__xludf.DUMMYFUNCTION("""COMPUTED_VALUE"""),"No")</f>
        <v>No</v>
      </c>
      <c r="AF121" s="5" t="str">
        <f ca="1">IFERROR(__xludf.DUMMYFUNCTION("""COMPUTED_VALUE"""),"Yes")</f>
        <v>Yes</v>
      </c>
      <c r="AG121" s="5" t="str">
        <f ca="1">IFERROR(__xludf.DUMMYFUNCTION("""COMPUTED_VALUE"""),"No")</f>
        <v>No</v>
      </c>
      <c r="AH121" s="5" t="str">
        <f ca="1">IFERROR(__xludf.DUMMYFUNCTION("""COMPUTED_VALUE"""),"No")</f>
        <v>No</v>
      </c>
      <c r="AI121" s="5" t="str">
        <f ca="1">IFERROR(__xludf.DUMMYFUNCTION("""COMPUTED_VALUE"""),"No")</f>
        <v>No</v>
      </c>
      <c r="AJ121" s="5" t="str">
        <f ca="1">IFERROR(__xludf.DUMMYFUNCTION("""COMPUTED_VALUE"""),"No")</f>
        <v>No</v>
      </c>
      <c r="AK121" s="5" t="str">
        <f ca="1">IFERROR(__xludf.DUMMYFUNCTION("""COMPUTED_VALUE"""),"No")</f>
        <v>No</v>
      </c>
      <c r="AL121" s="5" t="str">
        <f ca="1">IFERROR(__xludf.DUMMYFUNCTION("""COMPUTED_VALUE"""),"No")</f>
        <v>No</v>
      </c>
      <c r="AM121" s="5"/>
      <c r="AN121" s="5"/>
      <c r="AO121" s="5"/>
      <c r="AP121" s="5"/>
      <c r="AQ121" s="5"/>
      <c r="AR121" s="5"/>
      <c r="AS121" s="5"/>
      <c r="AT121" s="5"/>
      <c r="AU121" s="5"/>
      <c r="AV121" s="5"/>
      <c r="AW121" s="5"/>
      <c r="AX121" s="5"/>
      <c r="AY121" s="5"/>
    </row>
    <row r="122" spans="1:51" x14ac:dyDescent="0.25">
      <c r="A1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2" s="5">
        <f ca="1">IFERROR(__xludf.DUMMYFUNCTION("""COMPUTED_VALUE"""),121)</f>
        <v>121</v>
      </c>
      <c r="C122" s="5">
        <f ca="1">IFERROR(__xludf.DUMMYFUNCTION("""COMPUTED_VALUE"""),120)</f>
        <v>120</v>
      </c>
      <c r="D122" s="5" t="str">
        <f ca="1">IFERROR(__xludf.DUMMYFUNCTION("""COMPUTED_VALUE"""),"GoldenCrownMaxbet")</f>
        <v>GoldenCrownMaxbet</v>
      </c>
      <c r="E122" s="5" t="str">
        <f ca="1">IFERROR(__xludf.DUMMYFUNCTION("""COMPUTED_VALUE"""),"Yes")</f>
        <v>Yes</v>
      </c>
      <c r="F122" s="5" t="str">
        <f ca="1">IFERROR(__xludf.DUMMYFUNCTION("""COMPUTED_VALUE"""),"Yes")</f>
        <v>Yes</v>
      </c>
      <c r="G122" s="5" t="str">
        <f ca="1">IFERROR(__xludf.DUMMYFUNCTION("""COMPUTED_VALUE"""),"Yes")</f>
        <v>Yes</v>
      </c>
      <c r="H122" s="5" t="str">
        <f ca="1">IFERROR(__xludf.DUMMYFUNCTION("""COMPUTED_VALUE"""),"Yes")</f>
        <v>Yes</v>
      </c>
      <c r="I122" s="5" t="str">
        <f ca="1">IFERROR(__xludf.DUMMYFUNCTION("""COMPUTED_VALUE"""),"Yes")</f>
        <v>Yes</v>
      </c>
      <c r="J122" s="5" t="str">
        <f ca="1">IFERROR(__xludf.DUMMYFUNCTION("""COMPUTED_VALUE"""),"Yes")</f>
        <v>Yes</v>
      </c>
      <c r="K122" s="5" t="str">
        <f ca="1">IFERROR(__xludf.DUMMYFUNCTION("""COMPUTED_VALUE"""),"Yes")</f>
        <v>Yes</v>
      </c>
      <c r="L122" s="5" t="str">
        <f ca="1">IFERROR(__xludf.DUMMYFUNCTION("""COMPUTED_VALUE"""),"Yes")</f>
        <v>Yes</v>
      </c>
      <c r="M122" s="5" t="str">
        <f ca="1">IFERROR(__xludf.DUMMYFUNCTION("""COMPUTED_VALUE"""),"Yes")</f>
        <v>Yes</v>
      </c>
      <c r="N122" s="5" t="str">
        <f ca="1">IFERROR(__xludf.DUMMYFUNCTION("""COMPUTED_VALUE"""),"Yes")</f>
        <v>Yes</v>
      </c>
      <c r="O122" s="5" t="str">
        <f ca="1">IFERROR(__xludf.DUMMYFUNCTION("""COMPUTED_VALUE"""),"Yes")</f>
        <v>Yes</v>
      </c>
      <c r="P122" s="5" t="str">
        <f ca="1">IFERROR(__xludf.DUMMYFUNCTION("""COMPUTED_VALUE"""),"Yes")</f>
        <v>Yes</v>
      </c>
      <c r="Q122" s="5" t="str">
        <f ca="1">IFERROR(__xludf.DUMMYFUNCTION("""COMPUTED_VALUE"""),"Yes")</f>
        <v>Yes</v>
      </c>
      <c r="R122" s="5" t="str">
        <f ca="1">IFERROR(__xludf.DUMMYFUNCTION("""COMPUTED_VALUE"""),"Yes")</f>
        <v>Yes</v>
      </c>
      <c r="S122" s="5" t="str">
        <f ca="1">IFERROR(__xludf.DUMMYFUNCTION("""COMPUTED_VALUE"""),"Yes")</f>
        <v>Yes</v>
      </c>
      <c r="T122" s="5" t="str">
        <f ca="1">IFERROR(__xludf.DUMMYFUNCTION("""COMPUTED_VALUE"""),"Yes")</f>
        <v>Yes</v>
      </c>
      <c r="U122" s="5" t="str">
        <f ca="1">IFERROR(__xludf.DUMMYFUNCTION("""COMPUTED_VALUE"""),"Yes")</f>
        <v>Yes</v>
      </c>
      <c r="V122" s="5" t="str">
        <f ca="1">IFERROR(__xludf.DUMMYFUNCTION("""COMPUTED_VALUE"""),"Yes")</f>
        <v>Yes</v>
      </c>
      <c r="W122" s="5" t="str">
        <f ca="1">IFERROR(__xludf.DUMMYFUNCTION("""COMPUTED_VALUE"""),"Yes")</f>
        <v>Yes</v>
      </c>
      <c r="X122" s="5" t="str">
        <f ca="1">IFERROR(__xludf.DUMMYFUNCTION("""COMPUTED_VALUE"""),"Yes")</f>
        <v>Yes</v>
      </c>
      <c r="Y122" s="5" t="str">
        <f ca="1">IFERROR(__xludf.DUMMYFUNCTION("""COMPUTED_VALUE"""),"Yes")</f>
        <v>Yes</v>
      </c>
      <c r="Z122" s="5" t="str">
        <f ca="1">IFERROR(__xludf.DUMMYFUNCTION("""COMPUTED_VALUE"""),"No")</f>
        <v>No</v>
      </c>
      <c r="AA122" s="5" t="str">
        <f ca="1">IFERROR(__xludf.DUMMYFUNCTION("""COMPUTED_VALUE"""),"Yes")</f>
        <v>Yes</v>
      </c>
      <c r="AB122" s="5" t="str">
        <f ca="1">IFERROR(__xludf.DUMMYFUNCTION("""COMPUTED_VALUE"""),"Yes")</f>
        <v>Yes</v>
      </c>
      <c r="AC122" s="5" t="str">
        <f ca="1">IFERROR(__xludf.DUMMYFUNCTION("""COMPUTED_VALUE"""),"Yes")</f>
        <v>Yes</v>
      </c>
      <c r="AD122" s="5" t="str">
        <f ca="1">IFERROR(__xludf.DUMMYFUNCTION("""COMPUTED_VALUE"""),"Yes")</f>
        <v>Yes</v>
      </c>
      <c r="AE122" s="5" t="str">
        <f ca="1">IFERROR(__xludf.DUMMYFUNCTION("""COMPUTED_VALUE"""),"No")</f>
        <v>No</v>
      </c>
      <c r="AF122" s="5" t="str">
        <f ca="1">IFERROR(__xludf.DUMMYFUNCTION("""COMPUTED_VALUE"""),"Yes")</f>
        <v>Yes</v>
      </c>
      <c r="AG122" s="5" t="str">
        <f ca="1">IFERROR(__xludf.DUMMYFUNCTION("""COMPUTED_VALUE"""),"No")</f>
        <v>No</v>
      </c>
      <c r="AH122" s="5" t="str">
        <f ca="1">IFERROR(__xludf.DUMMYFUNCTION("""COMPUTED_VALUE"""),"No")</f>
        <v>No</v>
      </c>
      <c r="AI122" s="5" t="str">
        <f ca="1">IFERROR(__xludf.DUMMYFUNCTION("""COMPUTED_VALUE"""),"No")</f>
        <v>No</v>
      </c>
      <c r="AJ122" s="5" t="str">
        <f ca="1">IFERROR(__xludf.DUMMYFUNCTION("""COMPUTED_VALUE"""),"No")</f>
        <v>No</v>
      </c>
      <c r="AK122" s="5" t="str">
        <f ca="1">IFERROR(__xludf.DUMMYFUNCTION("""COMPUTED_VALUE"""),"No")</f>
        <v>No</v>
      </c>
      <c r="AL122" s="5" t="str">
        <f ca="1">IFERROR(__xludf.DUMMYFUNCTION("""COMPUTED_VALUE"""),"No")</f>
        <v>No</v>
      </c>
      <c r="AM122" s="5"/>
      <c r="AN122" s="5"/>
      <c r="AO122" s="5"/>
      <c r="AP122" s="5"/>
      <c r="AQ122" s="5"/>
      <c r="AR122" s="5"/>
      <c r="AS122" s="5"/>
      <c r="AT122" s="5"/>
      <c r="AU122" s="5"/>
      <c r="AV122" s="5"/>
      <c r="AW122" s="5"/>
      <c r="AX122" s="5"/>
      <c r="AY122" s="5"/>
    </row>
    <row r="123" spans="1:51" x14ac:dyDescent="0.25">
      <c r="A1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3" s="5">
        <f ca="1">IFERROR(__xludf.DUMMYFUNCTION("""COMPUTED_VALUE"""),122)</f>
        <v>122</v>
      </c>
      <c r="C123" s="5">
        <f ca="1">IFERROR(__xludf.DUMMYFUNCTION("""COMPUTED_VALUE"""),121)</f>
        <v>121</v>
      </c>
      <c r="D123" s="5" t="str">
        <f ca="1">IFERROR(__xludf.DUMMYFUNCTION("""COMPUTED_VALUE"""),"FireDice40")</f>
        <v>FireDice40</v>
      </c>
      <c r="E123" s="5" t="str">
        <f ca="1">IFERROR(__xludf.DUMMYFUNCTION("""COMPUTED_VALUE"""),"Yes")</f>
        <v>Yes</v>
      </c>
      <c r="F123" s="5" t="str">
        <f ca="1">IFERROR(__xludf.DUMMYFUNCTION("""COMPUTED_VALUE"""),"Yes")</f>
        <v>Yes</v>
      </c>
      <c r="G123" s="5" t="str">
        <f ca="1">IFERROR(__xludf.DUMMYFUNCTION("""COMPUTED_VALUE"""),"Yes")</f>
        <v>Yes</v>
      </c>
      <c r="H123" s="5" t="str">
        <f ca="1">IFERROR(__xludf.DUMMYFUNCTION("""COMPUTED_VALUE"""),"Yes")</f>
        <v>Yes</v>
      </c>
      <c r="I123" s="5" t="str">
        <f ca="1">IFERROR(__xludf.DUMMYFUNCTION("""COMPUTED_VALUE"""),"Yes")</f>
        <v>Yes</v>
      </c>
      <c r="J123" s="5" t="str">
        <f ca="1">IFERROR(__xludf.DUMMYFUNCTION("""COMPUTED_VALUE"""),"Yes")</f>
        <v>Yes</v>
      </c>
      <c r="K123" s="5" t="str">
        <f ca="1">IFERROR(__xludf.DUMMYFUNCTION("""COMPUTED_VALUE"""),"Yes")</f>
        <v>Yes</v>
      </c>
      <c r="L123" s="5" t="str">
        <f ca="1">IFERROR(__xludf.DUMMYFUNCTION("""COMPUTED_VALUE"""),"Yes")</f>
        <v>Yes</v>
      </c>
      <c r="M123" s="5" t="str">
        <f ca="1">IFERROR(__xludf.DUMMYFUNCTION("""COMPUTED_VALUE"""),"Yes")</f>
        <v>Yes</v>
      </c>
      <c r="N123" s="5" t="str">
        <f ca="1">IFERROR(__xludf.DUMMYFUNCTION("""COMPUTED_VALUE"""),"Yes")</f>
        <v>Yes</v>
      </c>
      <c r="O123" s="5" t="str">
        <f ca="1">IFERROR(__xludf.DUMMYFUNCTION("""COMPUTED_VALUE"""),"Yes")</f>
        <v>Yes</v>
      </c>
      <c r="P123" s="5" t="str">
        <f ca="1">IFERROR(__xludf.DUMMYFUNCTION("""COMPUTED_VALUE"""),"Yes")</f>
        <v>Yes</v>
      </c>
      <c r="Q123" s="5" t="str">
        <f ca="1">IFERROR(__xludf.DUMMYFUNCTION("""COMPUTED_VALUE"""),"Yes")</f>
        <v>Yes</v>
      </c>
      <c r="R123" s="5" t="str">
        <f ca="1">IFERROR(__xludf.DUMMYFUNCTION("""COMPUTED_VALUE"""),"Yes")</f>
        <v>Yes</v>
      </c>
      <c r="S123" s="5" t="str">
        <f ca="1">IFERROR(__xludf.DUMMYFUNCTION("""COMPUTED_VALUE"""),"Yes")</f>
        <v>Yes</v>
      </c>
      <c r="T123" s="5" t="str">
        <f ca="1">IFERROR(__xludf.DUMMYFUNCTION("""COMPUTED_VALUE"""),"Yes")</f>
        <v>Yes</v>
      </c>
      <c r="U123" s="5" t="str">
        <f ca="1">IFERROR(__xludf.DUMMYFUNCTION("""COMPUTED_VALUE"""),"Yes")</f>
        <v>Yes</v>
      </c>
      <c r="V123" s="5" t="str">
        <f ca="1">IFERROR(__xludf.DUMMYFUNCTION("""COMPUTED_VALUE"""),"Yes")</f>
        <v>Yes</v>
      </c>
      <c r="W123" s="5" t="str">
        <f ca="1">IFERROR(__xludf.DUMMYFUNCTION("""COMPUTED_VALUE"""),"Yes")</f>
        <v>Yes</v>
      </c>
      <c r="X123" s="5" t="str">
        <f ca="1">IFERROR(__xludf.DUMMYFUNCTION("""COMPUTED_VALUE"""),"Yes")</f>
        <v>Yes</v>
      </c>
      <c r="Y123" s="5"/>
      <c r="Z123" s="5"/>
      <c r="AA123" s="5"/>
      <c r="AB123" s="5"/>
      <c r="AC123" s="5" t="str">
        <f ca="1">IFERROR(__xludf.DUMMYFUNCTION("""COMPUTED_VALUE"""),"Yes")</f>
        <v>Yes</v>
      </c>
      <c r="AD123" s="5"/>
      <c r="AE123" s="5"/>
      <c r="AF123" s="5"/>
      <c r="AG123" s="5"/>
      <c r="AH123" s="5"/>
      <c r="AI123" s="5"/>
      <c r="AJ123" s="5"/>
      <c r="AK123" s="5"/>
      <c r="AL123" s="5"/>
      <c r="AM123" s="5"/>
      <c r="AN123" s="5"/>
      <c r="AO123" s="5"/>
      <c r="AP123" s="5"/>
      <c r="AQ123" s="5"/>
      <c r="AR123" s="5"/>
      <c r="AS123" s="5"/>
      <c r="AT123" s="5"/>
      <c r="AU123" s="5"/>
      <c r="AV123" s="5"/>
      <c r="AW123" s="5"/>
      <c r="AX123" s="5"/>
      <c r="AY123" s="5"/>
    </row>
    <row r="124" spans="1:51" x14ac:dyDescent="0.25">
      <c r="A1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24" s="5">
        <f ca="1">IFERROR(__xludf.DUMMYFUNCTION("""COMPUTED_VALUE"""),123)</f>
        <v>123</v>
      </c>
      <c r="C124" s="5">
        <f ca="1">IFERROR(__xludf.DUMMYFUNCTION("""COMPUTED_VALUE"""),122)</f>
        <v>122</v>
      </c>
      <c r="D124" s="5" t="str">
        <f ca="1">IFERROR(__xludf.DUMMYFUNCTION("""COMPUTED_VALUE"""),"UnicornTheStolenBook")</f>
        <v>UnicornTheStolenBook</v>
      </c>
      <c r="E124" s="5" t="str">
        <f ca="1">IFERROR(__xludf.DUMMYFUNCTION("""COMPUTED_VALUE"""),"Yes")</f>
        <v>Yes</v>
      </c>
      <c r="F124" s="5" t="str">
        <f ca="1">IFERROR(__xludf.DUMMYFUNCTION("""COMPUTED_VALUE"""),"Yes")</f>
        <v>Yes</v>
      </c>
      <c r="G124" s="5" t="str">
        <f ca="1">IFERROR(__xludf.DUMMYFUNCTION("""COMPUTED_VALUE"""),"Yes")</f>
        <v>Yes</v>
      </c>
      <c r="H124" s="5" t="str">
        <f ca="1">IFERROR(__xludf.DUMMYFUNCTION("""COMPUTED_VALUE"""),"No")</f>
        <v>No</v>
      </c>
      <c r="I124" s="5" t="str">
        <f ca="1">IFERROR(__xludf.DUMMYFUNCTION("""COMPUTED_VALUE"""),"No")</f>
        <v>No</v>
      </c>
      <c r="J124" s="5" t="str">
        <f ca="1">IFERROR(__xludf.DUMMYFUNCTION("""COMPUTED_VALUE"""),"No")</f>
        <v>No</v>
      </c>
      <c r="K124" s="5" t="str">
        <f ca="1">IFERROR(__xludf.DUMMYFUNCTION("""COMPUTED_VALUE"""),"No")</f>
        <v>No</v>
      </c>
      <c r="L124" s="5" t="str">
        <f ca="1">IFERROR(__xludf.DUMMYFUNCTION("""COMPUTED_VALUE"""),"No")</f>
        <v>No</v>
      </c>
      <c r="M124" s="5" t="str">
        <f ca="1">IFERROR(__xludf.DUMMYFUNCTION("""COMPUTED_VALUE"""),"Yes")</f>
        <v>Yes</v>
      </c>
      <c r="N124" s="5" t="str">
        <f ca="1">IFERROR(__xludf.DUMMYFUNCTION("""COMPUTED_VALUE"""),"Yes")</f>
        <v>Yes</v>
      </c>
      <c r="O124" s="5" t="str">
        <f ca="1">IFERROR(__xludf.DUMMYFUNCTION("""COMPUTED_VALUE"""),"Yes")</f>
        <v>Yes</v>
      </c>
      <c r="P124" s="5" t="str">
        <f ca="1">IFERROR(__xludf.DUMMYFUNCTION("""COMPUTED_VALUE"""),"Yes")</f>
        <v>Yes</v>
      </c>
      <c r="Q124" s="5" t="str">
        <f ca="1">IFERROR(__xludf.DUMMYFUNCTION("""COMPUTED_VALUE"""),"Yes")</f>
        <v>Yes</v>
      </c>
      <c r="R124" s="5" t="str">
        <f ca="1">IFERROR(__xludf.DUMMYFUNCTION("""COMPUTED_VALUE"""),"No")</f>
        <v>No</v>
      </c>
      <c r="S124" s="5" t="str">
        <f ca="1">IFERROR(__xludf.DUMMYFUNCTION("""COMPUTED_VALUE"""),"Yes")</f>
        <v>Yes</v>
      </c>
      <c r="T124" s="5" t="str">
        <f ca="1">IFERROR(__xludf.DUMMYFUNCTION("""COMPUTED_VALUE"""),"No")</f>
        <v>No</v>
      </c>
      <c r="U124" s="5" t="str">
        <f ca="1">IFERROR(__xludf.DUMMYFUNCTION("""COMPUTED_VALUE"""),"No")</f>
        <v>No</v>
      </c>
      <c r="V124" s="5" t="str">
        <f ca="1">IFERROR(__xludf.DUMMYFUNCTION("""COMPUTED_VALUE"""),"No")</f>
        <v>No</v>
      </c>
      <c r="W124" s="5" t="str">
        <f ca="1">IFERROR(__xludf.DUMMYFUNCTION("""COMPUTED_VALUE"""),"No")</f>
        <v>No</v>
      </c>
      <c r="X124" s="5" t="str">
        <f ca="1">IFERROR(__xludf.DUMMYFUNCTION("""COMPUTED_VALUE"""),"No")</f>
        <v>No</v>
      </c>
      <c r="Y124" s="5"/>
      <c r="Z124" s="5"/>
      <c r="AA124" s="5"/>
      <c r="AB124" s="5"/>
      <c r="AC124" s="5" t="str">
        <f ca="1">IFERROR(__xludf.DUMMYFUNCTION("""COMPUTED_VALUE"""),"No")</f>
        <v>No</v>
      </c>
      <c r="AD124" s="5"/>
      <c r="AE124" s="5"/>
      <c r="AF124" s="5"/>
      <c r="AG124" s="5"/>
      <c r="AH124" s="5"/>
      <c r="AI124" s="5"/>
      <c r="AJ124" s="5"/>
      <c r="AK124" s="5"/>
      <c r="AL124" s="5"/>
      <c r="AM124" s="5"/>
      <c r="AN124" s="5"/>
      <c r="AO124" s="5"/>
      <c r="AP124" s="5"/>
      <c r="AQ124" s="5"/>
      <c r="AR124" s="5"/>
      <c r="AS124" s="5"/>
      <c r="AT124" s="5"/>
      <c r="AU124" s="5"/>
      <c r="AV124" s="5"/>
      <c r="AW124" s="5"/>
      <c r="AX124" s="5"/>
      <c r="AY124" s="5"/>
    </row>
    <row r="125" spans="1:51" x14ac:dyDescent="0.25">
      <c r="A1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5" s="5">
        <f ca="1">IFERROR(__xludf.DUMMYFUNCTION("""COMPUTED_VALUE"""),124)</f>
        <v>124</v>
      </c>
      <c r="C125" s="5">
        <f ca="1">IFERROR(__xludf.DUMMYFUNCTION("""COMPUTED_VALUE"""),123)</f>
        <v>123</v>
      </c>
      <c r="D125" s="5" t="str">
        <f ca="1">IFERROR(__xludf.DUMMYFUNCTION("""COMPUTED_VALUE"""),"LuckyBrilliants")</f>
        <v>LuckyBrilliants</v>
      </c>
      <c r="E125" s="5" t="str">
        <f ca="1">IFERROR(__xludf.DUMMYFUNCTION("""COMPUTED_VALUE"""),"Yes")</f>
        <v>Yes</v>
      </c>
      <c r="F125" s="5" t="str">
        <f ca="1">IFERROR(__xludf.DUMMYFUNCTION("""COMPUTED_VALUE"""),"Yes")</f>
        <v>Yes</v>
      </c>
      <c r="G125" s="5" t="str">
        <f ca="1">IFERROR(__xludf.DUMMYFUNCTION("""COMPUTED_VALUE"""),"Yes")</f>
        <v>Yes</v>
      </c>
      <c r="H125" s="5" t="str">
        <f ca="1">IFERROR(__xludf.DUMMYFUNCTION("""COMPUTED_VALUE"""),"Yes")</f>
        <v>Yes</v>
      </c>
      <c r="I125" s="5" t="str">
        <f ca="1">IFERROR(__xludf.DUMMYFUNCTION("""COMPUTED_VALUE"""),"Yes")</f>
        <v>Yes</v>
      </c>
      <c r="J125" s="5" t="str">
        <f ca="1">IFERROR(__xludf.DUMMYFUNCTION("""COMPUTED_VALUE"""),"Yes")</f>
        <v>Yes</v>
      </c>
      <c r="K125" s="5" t="str">
        <f ca="1">IFERROR(__xludf.DUMMYFUNCTION("""COMPUTED_VALUE"""),"Yes")</f>
        <v>Yes</v>
      </c>
      <c r="L125" s="5" t="str">
        <f ca="1">IFERROR(__xludf.DUMMYFUNCTION("""COMPUTED_VALUE"""),"Yes")</f>
        <v>Yes</v>
      </c>
      <c r="M125" s="5" t="str">
        <f ca="1">IFERROR(__xludf.DUMMYFUNCTION("""COMPUTED_VALUE"""),"Yes")</f>
        <v>Yes</v>
      </c>
      <c r="N125" s="5" t="str">
        <f ca="1">IFERROR(__xludf.DUMMYFUNCTION("""COMPUTED_VALUE"""),"Yes")</f>
        <v>Yes</v>
      </c>
      <c r="O125" s="5" t="str">
        <f ca="1">IFERROR(__xludf.DUMMYFUNCTION("""COMPUTED_VALUE"""),"Yes")</f>
        <v>Yes</v>
      </c>
      <c r="P125" s="5" t="str">
        <f ca="1">IFERROR(__xludf.DUMMYFUNCTION("""COMPUTED_VALUE"""),"Yes")</f>
        <v>Yes</v>
      </c>
      <c r="Q125" s="5" t="str">
        <f ca="1">IFERROR(__xludf.DUMMYFUNCTION("""COMPUTED_VALUE"""),"Yes")</f>
        <v>Yes</v>
      </c>
      <c r="R125" s="5" t="str">
        <f ca="1">IFERROR(__xludf.DUMMYFUNCTION("""COMPUTED_VALUE"""),"Yes")</f>
        <v>Yes</v>
      </c>
      <c r="S125" s="5" t="str">
        <f ca="1">IFERROR(__xludf.DUMMYFUNCTION("""COMPUTED_VALUE"""),"Yes")</f>
        <v>Yes</v>
      </c>
      <c r="T125" s="5" t="str">
        <f ca="1">IFERROR(__xludf.DUMMYFUNCTION("""COMPUTED_VALUE"""),"Yes")</f>
        <v>Yes</v>
      </c>
      <c r="U125" s="5" t="str">
        <f ca="1">IFERROR(__xludf.DUMMYFUNCTION("""COMPUTED_VALUE"""),"Yes")</f>
        <v>Yes</v>
      </c>
      <c r="V125" s="5" t="str">
        <f ca="1">IFERROR(__xludf.DUMMYFUNCTION("""COMPUTED_VALUE"""),"Yes")</f>
        <v>Yes</v>
      </c>
      <c r="W125" s="5" t="str">
        <f ca="1">IFERROR(__xludf.DUMMYFUNCTION("""COMPUTED_VALUE"""),"Yes")</f>
        <v>Yes</v>
      </c>
      <c r="X125" s="5" t="str">
        <f ca="1">IFERROR(__xludf.DUMMYFUNCTION("""COMPUTED_VALUE"""),"Yes")</f>
        <v>Yes</v>
      </c>
      <c r="Y125" s="5" t="str">
        <f ca="1">IFERROR(__xludf.DUMMYFUNCTION("""COMPUTED_VALUE"""),"Yes")</f>
        <v>Yes</v>
      </c>
      <c r="Z125" s="5" t="str">
        <f ca="1">IFERROR(__xludf.DUMMYFUNCTION("""COMPUTED_VALUE"""),"No")</f>
        <v>No</v>
      </c>
      <c r="AA125" s="5" t="str">
        <f ca="1">IFERROR(__xludf.DUMMYFUNCTION("""COMPUTED_VALUE"""),"Yes")</f>
        <v>Yes</v>
      </c>
      <c r="AB125" s="5" t="str">
        <f ca="1">IFERROR(__xludf.DUMMYFUNCTION("""COMPUTED_VALUE"""),"Yes")</f>
        <v>Yes</v>
      </c>
      <c r="AC125" s="5" t="str">
        <f ca="1">IFERROR(__xludf.DUMMYFUNCTION("""COMPUTED_VALUE"""),"Yes")</f>
        <v>Yes</v>
      </c>
      <c r="AD125" s="5" t="str">
        <f ca="1">IFERROR(__xludf.DUMMYFUNCTION("""COMPUTED_VALUE"""),"Yes")</f>
        <v>Yes</v>
      </c>
      <c r="AE125" s="5" t="str">
        <f ca="1">IFERROR(__xludf.DUMMYFUNCTION("""COMPUTED_VALUE"""),"No")</f>
        <v>No</v>
      </c>
      <c r="AF125" s="5" t="str">
        <f ca="1">IFERROR(__xludf.DUMMYFUNCTION("""COMPUTED_VALUE"""),"Yes")</f>
        <v>Yes</v>
      </c>
      <c r="AG125" s="5" t="str">
        <f ca="1">IFERROR(__xludf.DUMMYFUNCTION("""COMPUTED_VALUE"""),"No")</f>
        <v>No</v>
      </c>
      <c r="AH125" s="5" t="str">
        <f ca="1">IFERROR(__xludf.DUMMYFUNCTION("""COMPUTED_VALUE"""),"No")</f>
        <v>No</v>
      </c>
      <c r="AI125" s="5" t="str">
        <f ca="1">IFERROR(__xludf.DUMMYFUNCTION("""COMPUTED_VALUE"""),"No")</f>
        <v>No</v>
      </c>
      <c r="AJ125" s="5" t="str">
        <f ca="1">IFERROR(__xludf.DUMMYFUNCTION("""COMPUTED_VALUE"""),"No")</f>
        <v>No</v>
      </c>
      <c r="AK125" s="5" t="str">
        <f ca="1">IFERROR(__xludf.DUMMYFUNCTION("""COMPUTED_VALUE"""),"No")</f>
        <v>No</v>
      </c>
      <c r="AL125" s="5" t="str">
        <f ca="1">IFERROR(__xludf.DUMMYFUNCTION("""COMPUTED_VALUE"""),"No")</f>
        <v>No</v>
      </c>
      <c r="AM125" s="5"/>
      <c r="AN125" s="5"/>
      <c r="AO125" s="5"/>
      <c r="AP125" s="5"/>
      <c r="AQ125" s="5"/>
      <c r="AR125" s="5"/>
      <c r="AS125" s="5"/>
      <c r="AT125" s="5"/>
      <c r="AU125" s="5"/>
      <c r="AV125" s="5"/>
      <c r="AW125" s="5"/>
      <c r="AX125" s="5"/>
      <c r="AY125" s="5"/>
    </row>
    <row r="126" spans="1:51" x14ac:dyDescent="0.25">
      <c r="A1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6" s="5">
        <f ca="1">IFERROR(__xludf.DUMMYFUNCTION("""COMPUTED_VALUE"""),125)</f>
        <v>125</v>
      </c>
      <c r="C126" s="5">
        <f ca="1">IFERROR(__xludf.DUMMYFUNCTION("""COMPUTED_VALUE"""),124)</f>
        <v>124</v>
      </c>
      <c r="D126" s="5" t="str">
        <f ca="1">IFERROR(__xludf.DUMMYFUNCTION("""COMPUTED_VALUE"""),"CrystalHot40Soccer")</f>
        <v>CrystalHot40Soccer</v>
      </c>
      <c r="E126" s="5" t="str">
        <f ca="1">IFERROR(__xludf.DUMMYFUNCTION("""COMPUTED_VALUE"""),"Yes")</f>
        <v>Yes</v>
      </c>
      <c r="F126" s="5" t="str">
        <f ca="1">IFERROR(__xludf.DUMMYFUNCTION("""COMPUTED_VALUE"""),"Yes")</f>
        <v>Yes</v>
      </c>
      <c r="G126" s="5" t="str">
        <f ca="1">IFERROR(__xludf.DUMMYFUNCTION("""COMPUTED_VALUE"""),"Yes")</f>
        <v>Yes</v>
      </c>
      <c r="H126" s="5" t="str">
        <f ca="1">IFERROR(__xludf.DUMMYFUNCTION("""COMPUTED_VALUE"""),"Yes")</f>
        <v>Yes</v>
      </c>
      <c r="I126" s="5" t="str">
        <f ca="1">IFERROR(__xludf.DUMMYFUNCTION("""COMPUTED_VALUE"""),"Yes")</f>
        <v>Yes</v>
      </c>
      <c r="J126" s="5" t="str">
        <f ca="1">IFERROR(__xludf.DUMMYFUNCTION("""COMPUTED_VALUE"""),"Yes")</f>
        <v>Yes</v>
      </c>
      <c r="K126" s="5" t="str">
        <f ca="1">IFERROR(__xludf.DUMMYFUNCTION("""COMPUTED_VALUE"""),"Yes")</f>
        <v>Yes</v>
      </c>
      <c r="L126" s="5" t="str">
        <f ca="1">IFERROR(__xludf.DUMMYFUNCTION("""COMPUTED_VALUE"""),"Yes")</f>
        <v>Yes</v>
      </c>
      <c r="M126" s="5" t="str">
        <f ca="1">IFERROR(__xludf.DUMMYFUNCTION("""COMPUTED_VALUE"""),"Yes")</f>
        <v>Yes</v>
      </c>
      <c r="N126" s="5" t="str">
        <f ca="1">IFERROR(__xludf.DUMMYFUNCTION("""COMPUTED_VALUE"""),"Yes")</f>
        <v>Yes</v>
      </c>
      <c r="O126" s="5" t="str">
        <f ca="1">IFERROR(__xludf.DUMMYFUNCTION("""COMPUTED_VALUE"""),"Yes")</f>
        <v>Yes</v>
      </c>
      <c r="P126" s="5" t="str">
        <f ca="1">IFERROR(__xludf.DUMMYFUNCTION("""COMPUTED_VALUE"""),"Yes")</f>
        <v>Yes</v>
      </c>
      <c r="Q126" s="5" t="str">
        <f ca="1">IFERROR(__xludf.DUMMYFUNCTION("""COMPUTED_VALUE"""),"Yes")</f>
        <v>Yes</v>
      </c>
      <c r="R126" s="5" t="str">
        <f ca="1">IFERROR(__xludf.DUMMYFUNCTION("""COMPUTED_VALUE"""),"Yes")</f>
        <v>Yes</v>
      </c>
      <c r="S126" s="5" t="str">
        <f ca="1">IFERROR(__xludf.DUMMYFUNCTION("""COMPUTED_VALUE"""),"Yes")</f>
        <v>Yes</v>
      </c>
      <c r="T126" s="5" t="str">
        <f ca="1">IFERROR(__xludf.DUMMYFUNCTION("""COMPUTED_VALUE"""),"Yes")</f>
        <v>Yes</v>
      </c>
      <c r="U126" s="5" t="str">
        <f ca="1">IFERROR(__xludf.DUMMYFUNCTION("""COMPUTED_VALUE"""),"Yes")</f>
        <v>Yes</v>
      </c>
      <c r="V126" s="5" t="str">
        <f ca="1">IFERROR(__xludf.DUMMYFUNCTION("""COMPUTED_VALUE"""),"Yes")</f>
        <v>Yes</v>
      </c>
      <c r="W126" s="5" t="str">
        <f ca="1">IFERROR(__xludf.DUMMYFUNCTION("""COMPUTED_VALUE"""),"Yes")</f>
        <v>Yes</v>
      </c>
      <c r="X126" s="5" t="str">
        <f ca="1">IFERROR(__xludf.DUMMYFUNCTION("""COMPUTED_VALUE"""),"Yes")</f>
        <v>Yes</v>
      </c>
      <c r="Y126" s="5" t="str">
        <f ca="1">IFERROR(__xludf.DUMMYFUNCTION("""COMPUTED_VALUE"""),"Yes")</f>
        <v>Yes</v>
      </c>
      <c r="Z126" s="5" t="str">
        <f ca="1">IFERROR(__xludf.DUMMYFUNCTION("""COMPUTED_VALUE"""),"No")</f>
        <v>No</v>
      </c>
      <c r="AA126" s="5" t="str">
        <f ca="1">IFERROR(__xludf.DUMMYFUNCTION("""COMPUTED_VALUE"""),"Yes")</f>
        <v>Yes</v>
      </c>
      <c r="AB126" s="5" t="str">
        <f ca="1">IFERROR(__xludf.DUMMYFUNCTION("""COMPUTED_VALUE"""),"Yes")</f>
        <v>Yes</v>
      </c>
      <c r="AC126" s="5" t="str">
        <f ca="1">IFERROR(__xludf.DUMMYFUNCTION("""COMPUTED_VALUE"""),"Yes")</f>
        <v>Yes</v>
      </c>
      <c r="AD126" s="5" t="str">
        <f ca="1">IFERROR(__xludf.DUMMYFUNCTION("""COMPUTED_VALUE"""),"Yes")</f>
        <v>Yes</v>
      </c>
      <c r="AE126" s="5" t="str">
        <f ca="1">IFERROR(__xludf.DUMMYFUNCTION("""COMPUTED_VALUE"""),"No")</f>
        <v>No</v>
      </c>
      <c r="AF126" s="5" t="str">
        <f ca="1">IFERROR(__xludf.DUMMYFUNCTION("""COMPUTED_VALUE"""),"Yes")</f>
        <v>Yes</v>
      </c>
      <c r="AG126" s="5" t="str">
        <f ca="1">IFERROR(__xludf.DUMMYFUNCTION("""COMPUTED_VALUE"""),"No")</f>
        <v>No</v>
      </c>
      <c r="AH126" s="5" t="str">
        <f ca="1">IFERROR(__xludf.DUMMYFUNCTION("""COMPUTED_VALUE"""),"No")</f>
        <v>No</v>
      </c>
      <c r="AI126" s="5" t="str">
        <f ca="1">IFERROR(__xludf.DUMMYFUNCTION("""COMPUTED_VALUE"""),"No")</f>
        <v>No</v>
      </c>
      <c r="AJ126" s="5" t="str">
        <f ca="1">IFERROR(__xludf.DUMMYFUNCTION("""COMPUTED_VALUE"""),"No")</f>
        <v>No</v>
      </c>
      <c r="AK126" s="5" t="str">
        <f ca="1">IFERROR(__xludf.DUMMYFUNCTION("""COMPUTED_VALUE"""),"No")</f>
        <v>No</v>
      </c>
      <c r="AL126" s="5" t="str">
        <f ca="1">IFERROR(__xludf.DUMMYFUNCTION("""COMPUTED_VALUE"""),"No")</f>
        <v>No</v>
      </c>
      <c r="AM126" s="5"/>
      <c r="AN126" s="5"/>
      <c r="AO126" s="5"/>
      <c r="AP126" s="5"/>
      <c r="AQ126" s="5"/>
      <c r="AR126" s="5"/>
      <c r="AS126" s="5"/>
      <c r="AT126" s="5"/>
      <c r="AU126" s="5"/>
      <c r="AV126" s="5"/>
      <c r="AW126" s="5"/>
      <c r="AX126" s="5"/>
      <c r="AY126" s="5"/>
    </row>
    <row r="127" spans="1:51" x14ac:dyDescent="0.25">
      <c r="A1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7" s="5">
        <f ca="1">IFERROR(__xludf.DUMMYFUNCTION("""COMPUTED_VALUE"""),126)</f>
        <v>126</v>
      </c>
      <c r="C127" s="5">
        <f ca="1">IFERROR(__xludf.DUMMYFUNCTION("""COMPUTED_VALUE"""),125)</f>
        <v>125</v>
      </c>
      <c r="D127" s="5" t="str">
        <f ca="1">IFERROR(__xludf.DUMMYFUNCTION("""COMPUTED_VALUE"""),"BurstingHot5Admiral")</f>
        <v>BurstingHot5Admiral</v>
      </c>
      <c r="E127" s="5" t="str">
        <f ca="1">IFERROR(__xludf.DUMMYFUNCTION("""COMPUTED_VALUE"""),"Yes")</f>
        <v>Yes</v>
      </c>
      <c r="F127" s="5" t="str">
        <f ca="1">IFERROR(__xludf.DUMMYFUNCTION("""COMPUTED_VALUE"""),"Yes")</f>
        <v>Yes</v>
      </c>
      <c r="G127" s="5" t="str">
        <f ca="1">IFERROR(__xludf.DUMMYFUNCTION("""COMPUTED_VALUE"""),"Yes")</f>
        <v>Yes</v>
      </c>
      <c r="H127" s="5" t="str">
        <f ca="1">IFERROR(__xludf.DUMMYFUNCTION("""COMPUTED_VALUE"""),"Yes")</f>
        <v>Yes</v>
      </c>
      <c r="I127" s="5" t="str">
        <f ca="1">IFERROR(__xludf.DUMMYFUNCTION("""COMPUTED_VALUE"""),"Yes")</f>
        <v>Yes</v>
      </c>
      <c r="J127" s="5" t="str">
        <f ca="1">IFERROR(__xludf.DUMMYFUNCTION("""COMPUTED_VALUE"""),"Yes")</f>
        <v>Yes</v>
      </c>
      <c r="K127" s="5" t="str">
        <f ca="1">IFERROR(__xludf.DUMMYFUNCTION("""COMPUTED_VALUE"""),"Yes")</f>
        <v>Yes</v>
      </c>
      <c r="L127" s="5" t="str">
        <f ca="1">IFERROR(__xludf.DUMMYFUNCTION("""COMPUTED_VALUE"""),"Yes")</f>
        <v>Yes</v>
      </c>
      <c r="M127" s="5" t="str">
        <f ca="1">IFERROR(__xludf.DUMMYFUNCTION("""COMPUTED_VALUE"""),"Yes")</f>
        <v>Yes</v>
      </c>
      <c r="N127" s="5" t="str">
        <f ca="1">IFERROR(__xludf.DUMMYFUNCTION("""COMPUTED_VALUE"""),"Yes")</f>
        <v>Yes</v>
      </c>
      <c r="O127" s="5" t="str">
        <f ca="1">IFERROR(__xludf.DUMMYFUNCTION("""COMPUTED_VALUE"""),"Yes")</f>
        <v>Yes</v>
      </c>
      <c r="P127" s="5" t="str">
        <f ca="1">IFERROR(__xludf.DUMMYFUNCTION("""COMPUTED_VALUE"""),"Yes")</f>
        <v>Yes</v>
      </c>
      <c r="Q127" s="5" t="str">
        <f ca="1">IFERROR(__xludf.DUMMYFUNCTION("""COMPUTED_VALUE"""),"Yes")</f>
        <v>Yes</v>
      </c>
      <c r="R127" s="5" t="str">
        <f ca="1">IFERROR(__xludf.DUMMYFUNCTION("""COMPUTED_VALUE"""),"Yes")</f>
        <v>Yes</v>
      </c>
      <c r="S127" s="5" t="str">
        <f ca="1">IFERROR(__xludf.DUMMYFUNCTION("""COMPUTED_VALUE"""),"Yes")</f>
        <v>Yes</v>
      </c>
      <c r="T127" s="5" t="str">
        <f ca="1">IFERROR(__xludf.DUMMYFUNCTION("""COMPUTED_VALUE"""),"Yes")</f>
        <v>Yes</v>
      </c>
      <c r="U127" s="5" t="str">
        <f ca="1">IFERROR(__xludf.DUMMYFUNCTION("""COMPUTED_VALUE"""),"Yes")</f>
        <v>Yes</v>
      </c>
      <c r="V127" s="5" t="str">
        <f ca="1">IFERROR(__xludf.DUMMYFUNCTION("""COMPUTED_VALUE"""),"Yes")</f>
        <v>Yes</v>
      </c>
      <c r="W127" s="5" t="str">
        <f ca="1">IFERROR(__xludf.DUMMYFUNCTION("""COMPUTED_VALUE"""),"Yes")</f>
        <v>Yes</v>
      </c>
      <c r="X127" s="5" t="str">
        <f ca="1">IFERROR(__xludf.DUMMYFUNCTION("""COMPUTED_VALUE"""),"Yes")</f>
        <v>Yes</v>
      </c>
      <c r="Y127" s="5" t="str">
        <f ca="1">IFERROR(__xludf.DUMMYFUNCTION("""COMPUTED_VALUE"""),"Yes")</f>
        <v>Yes</v>
      </c>
      <c r="Z127" s="5" t="str">
        <f ca="1">IFERROR(__xludf.DUMMYFUNCTION("""COMPUTED_VALUE"""),"No")</f>
        <v>No</v>
      </c>
      <c r="AA127" s="5" t="str">
        <f ca="1">IFERROR(__xludf.DUMMYFUNCTION("""COMPUTED_VALUE"""),"Yes")</f>
        <v>Yes</v>
      </c>
      <c r="AB127" s="5" t="str">
        <f ca="1">IFERROR(__xludf.DUMMYFUNCTION("""COMPUTED_VALUE"""),"Yes")</f>
        <v>Yes</v>
      </c>
      <c r="AC127" s="5" t="str">
        <f ca="1">IFERROR(__xludf.DUMMYFUNCTION("""COMPUTED_VALUE"""),"Yes")</f>
        <v>Yes</v>
      </c>
      <c r="AD127" s="5" t="str">
        <f ca="1">IFERROR(__xludf.DUMMYFUNCTION("""COMPUTED_VALUE"""),"Yes")</f>
        <v>Yes</v>
      </c>
      <c r="AE127" s="5" t="str">
        <f ca="1">IFERROR(__xludf.DUMMYFUNCTION("""COMPUTED_VALUE"""),"No")</f>
        <v>No</v>
      </c>
      <c r="AF127" s="5" t="str">
        <f ca="1">IFERROR(__xludf.DUMMYFUNCTION("""COMPUTED_VALUE"""),"Yes")</f>
        <v>Yes</v>
      </c>
      <c r="AG127" s="5" t="str">
        <f ca="1">IFERROR(__xludf.DUMMYFUNCTION("""COMPUTED_VALUE"""),"No")</f>
        <v>No</v>
      </c>
      <c r="AH127" s="5" t="str">
        <f ca="1">IFERROR(__xludf.DUMMYFUNCTION("""COMPUTED_VALUE"""),"No")</f>
        <v>No</v>
      </c>
      <c r="AI127" s="5" t="str">
        <f ca="1">IFERROR(__xludf.DUMMYFUNCTION("""COMPUTED_VALUE"""),"No")</f>
        <v>No</v>
      </c>
      <c r="AJ127" s="5" t="str">
        <f ca="1">IFERROR(__xludf.DUMMYFUNCTION("""COMPUTED_VALUE"""),"No")</f>
        <v>No</v>
      </c>
      <c r="AK127" s="5" t="str">
        <f ca="1">IFERROR(__xludf.DUMMYFUNCTION("""COMPUTED_VALUE"""),"No")</f>
        <v>No</v>
      </c>
      <c r="AL127" s="5" t="str">
        <f ca="1">IFERROR(__xludf.DUMMYFUNCTION("""COMPUTED_VALUE"""),"No")</f>
        <v>No</v>
      </c>
      <c r="AM127" s="5"/>
      <c r="AN127" s="5"/>
      <c r="AO127" s="5"/>
      <c r="AP127" s="5"/>
      <c r="AQ127" s="5"/>
      <c r="AR127" s="5"/>
      <c r="AS127" s="5"/>
      <c r="AT127" s="5"/>
      <c r="AU127" s="5"/>
      <c r="AV127" s="5"/>
      <c r="AW127" s="5"/>
      <c r="AX127" s="5"/>
      <c r="AY127" s="5"/>
    </row>
    <row r="128" spans="1:51" x14ac:dyDescent="0.25">
      <c r="A1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8" s="5">
        <f ca="1">IFERROR(__xludf.DUMMYFUNCTION("""COMPUTED_VALUE"""),127)</f>
        <v>127</v>
      </c>
      <c r="C128" s="5">
        <f ca="1">IFERROR(__xludf.DUMMYFUNCTION("""COMPUTED_VALUE"""),126)</f>
        <v>126</v>
      </c>
      <c r="D128" s="5" t="str">
        <f ca="1">IFERROR(__xludf.DUMMYFUNCTION("""COMPUTED_VALUE"""),"GoldenCrown20BalkanBet")</f>
        <v>GoldenCrown20BalkanBet</v>
      </c>
      <c r="E128" s="5" t="str">
        <f ca="1">IFERROR(__xludf.DUMMYFUNCTION("""COMPUTED_VALUE"""),"Yes")</f>
        <v>Yes</v>
      </c>
      <c r="F128" s="5" t="str">
        <f ca="1">IFERROR(__xludf.DUMMYFUNCTION("""COMPUTED_VALUE"""),"Yes")</f>
        <v>Yes</v>
      </c>
      <c r="G128" s="5" t="str">
        <f ca="1">IFERROR(__xludf.DUMMYFUNCTION("""COMPUTED_VALUE"""),"Yes")</f>
        <v>Yes</v>
      </c>
      <c r="H128" s="5" t="str">
        <f ca="1">IFERROR(__xludf.DUMMYFUNCTION("""COMPUTED_VALUE"""),"Yes")</f>
        <v>Yes</v>
      </c>
      <c r="I128" s="5" t="str">
        <f ca="1">IFERROR(__xludf.DUMMYFUNCTION("""COMPUTED_VALUE"""),"Yes")</f>
        <v>Yes</v>
      </c>
      <c r="J128" s="5" t="str">
        <f ca="1">IFERROR(__xludf.DUMMYFUNCTION("""COMPUTED_VALUE"""),"Yes")</f>
        <v>Yes</v>
      </c>
      <c r="K128" s="5" t="str">
        <f ca="1">IFERROR(__xludf.DUMMYFUNCTION("""COMPUTED_VALUE"""),"Yes")</f>
        <v>Yes</v>
      </c>
      <c r="L128" s="5" t="str">
        <f ca="1">IFERROR(__xludf.DUMMYFUNCTION("""COMPUTED_VALUE"""),"Yes")</f>
        <v>Yes</v>
      </c>
      <c r="M128" s="5" t="str">
        <f ca="1">IFERROR(__xludf.DUMMYFUNCTION("""COMPUTED_VALUE"""),"Yes")</f>
        <v>Yes</v>
      </c>
      <c r="N128" s="5" t="str">
        <f ca="1">IFERROR(__xludf.DUMMYFUNCTION("""COMPUTED_VALUE"""),"Yes")</f>
        <v>Yes</v>
      </c>
      <c r="O128" s="5" t="str">
        <f ca="1">IFERROR(__xludf.DUMMYFUNCTION("""COMPUTED_VALUE"""),"Yes")</f>
        <v>Yes</v>
      </c>
      <c r="P128" s="5" t="str">
        <f ca="1">IFERROR(__xludf.DUMMYFUNCTION("""COMPUTED_VALUE"""),"Yes")</f>
        <v>Yes</v>
      </c>
      <c r="Q128" s="5" t="str">
        <f ca="1">IFERROR(__xludf.DUMMYFUNCTION("""COMPUTED_VALUE"""),"Yes")</f>
        <v>Yes</v>
      </c>
      <c r="R128" s="5" t="str">
        <f ca="1">IFERROR(__xludf.DUMMYFUNCTION("""COMPUTED_VALUE"""),"Yes")</f>
        <v>Yes</v>
      </c>
      <c r="S128" s="5" t="str">
        <f ca="1">IFERROR(__xludf.DUMMYFUNCTION("""COMPUTED_VALUE"""),"Yes")</f>
        <v>Yes</v>
      </c>
      <c r="T128" s="5" t="str">
        <f ca="1">IFERROR(__xludf.DUMMYFUNCTION("""COMPUTED_VALUE"""),"Yes")</f>
        <v>Yes</v>
      </c>
      <c r="U128" s="5" t="str">
        <f ca="1">IFERROR(__xludf.DUMMYFUNCTION("""COMPUTED_VALUE"""),"Yes")</f>
        <v>Yes</v>
      </c>
      <c r="V128" s="5" t="str">
        <f ca="1">IFERROR(__xludf.DUMMYFUNCTION("""COMPUTED_VALUE"""),"Yes")</f>
        <v>Yes</v>
      </c>
      <c r="W128" s="5" t="str">
        <f ca="1">IFERROR(__xludf.DUMMYFUNCTION("""COMPUTED_VALUE"""),"Yes")</f>
        <v>Yes</v>
      </c>
      <c r="X128" s="5" t="str">
        <f ca="1">IFERROR(__xludf.DUMMYFUNCTION("""COMPUTED_VALUE"""),"Yes")</f>
        <v>Yes</v>
      </c>
      <c r="Y128" s="5" t="str">
        <f ca="1">IFERROR(__xludf.DUMMYFUNCTION("""COMPUTED_VALUE"""),"Yes")</f>
        <v>Yes</v>
      </c>
      <c r="Z128" s="5" t="str">
        <f ca="1">IFERROR(__xludf.DUMMYFUNCTION("""COMPUTED_VALUE"""),"No")</f>
        <v>No</v>
      </c>
      <c r="AA128" s="5" t="str">
        <f ca="1">IFERROR(__xludf.DUMMYFUNCTION("""COMPUTED_VALUE"""),"Yes")</f>
        <v>Yes</v>
      </c>
      <c r="AB128" s="5" t="str">
        <f ca="1">IFERROR(__xludf.DUMMYFUNCTION("""COMPUTED_VALUE"""),"Yes")</f>
        <v>Yes</v>
      </c>
      <c r="AC128" s="5" t="str">
        <f ca="1">IFERROR(__xludf.DUMMYFUNCTION("""COMPUTED_VALUE"""),"Yes")</f>
        <v>Yes</v>
      </c>
      <c r="AD128" s="5" t="str">
        <f ca="1">IFERROR(__xludf.DUMMYFUNCTION("""COMPUTED_VALUE"""),"Yes")</f>
        <v>Yes</v>
      </c>
      <c r="AE128" s="5" t="str">
        <f ca="1">IFERROR(__xludf.DUMMYFUNCTION("""COMPUTED_VALUE"""),"No")</f>
        <v>No</v>
      </c>
      <c r="AF128" s="5" t="str">
        <f ca="1">IFERROR(__xludf.DUMMYFUNCTION("""COMPUTED_VALUE"""),"Yes")</f>
        <v>Yes</v>
      </c>
      <c r="AG128" s="5" t="str">
        <f ca="1">IFERROR(__xludf.DUMMYFUNCTION("""COMPUTED_VALUE"""),"No")</f>
        <v>No</v>
      </c>
      <c r="AH128" s="5" t="str">
        <f ca="1">IFERROR(__xludf.DUMMYFUNCTION("""COMPUTED_VALUE"""),"No")</f>
        <v>No</v>
      </c>
      <c r="AI128" s="5" t="str">
        <f ca="1">IFERROR(__xludf.DUMMYFUNCTION("""COMPUTED_VALUE"""),"No")</f>
        <v>No</v>
      </c>
      <c r="AJ128" s="5" t="str">
        <f ca="1">IFERROR(__xludf.DUMMYFUNCTION("""COMPUTED_VALUE"""),"No")</f>
        <v>No</v>
      </c>
      <c r="AK128" s="5" t="str">
        <f ca="1">IFERROR(__xludf.DUMMYFUNCTION("""COMPUTED_VALUE"""),"No")</f>
        <v>No</v>
      </c>
      <c r="AL128" s="5" t="str">
        <f ca="1">IFERROR(__xludf.DUMMYFUNCTION("""COMPUTED_VALUE"""),"No")</f>
        <v>No</v>
      </c>
      <c r="AM128" s="5"/>
      <c r="AN128" s="5"/>
      <c r="AO128" s="5"/>
      <c r="AP128" s="5"/>
      <c r="AQ128" s="5"/>
      <c r="AR128" s="5"/>
      <c r="AS128" s="5"/>
      <c r="AT128" s="5"/>
      <c r="AU128" s="5"/>
      <c r="AV128" s="5"/>
      <c r="AW128" s="5"/>
      <c r="AX128" s="5"/>
      <c r="AY128" s="5"/>
    </row>
    <row r="129" spans="1:51" x14ac:dyDescent="0.25">
      <c r="A1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9" s="5">
        <f ca="1">IFERROR(__xludf.DUMMYFUNCTION("""COMPUTED_VALUE"""),128)</f>
        <v>128</v>
      </c>
      <c r="C129" s="5">
        <f ca="1">IFERROR(__xludf.DUMMYFUNCTION("""COMPUTED_VALUE"""),127)</f>
        <v>127</v>
      </c>
      <c r="D129" s="5" t="str">
        <f ca="1">IFERROR(__xludf.DUMMYFUNCTION("""COMPUTED_VALUE"""),"WildHot40Meridian")</f>
        <v>WildHot40Meridian</v>
      </c>
      <c r="E129" s="5" t="str">
        <f ca="1">IFERROR(__xludf.DUMMYFUNCTION("""COMPUTED_VALUE"""),"Yes")</f>
        <v>Yes</v>
      </c>
      <c r="F129" s="5" t="str">
        <f ca="1">IFERROR(__xludf.DUMMYFUNCTION("""COMPUTED_VALUE"""),"Yes")</f>
        <v>Yes</v>
      </c>
      <c r="G129" s="5" t="str">
        <f ca="1">IFERROR(__xludf.DUMMYFUNCTION("""COMPUTED_VALUE"""),"Yes")</f>
        <v>Yes</v>
      </c>
      <c r="H129" s="5" t="str">
        <f ca="1">IFERROR(__xludf.DUMMYFUNCTION("""COMPUTED_VALUE"""),"Yes")</f>
        <v>Yes</v>
      </c>
      <c r="I129" s="5" t="str">
        <f ca="1">IFERROR(__xludf.DUMMYFUNCTION("""COMPUTED_VALUE"""),"Yes")</f>
        <v>Yes</v>
      </c>
      <c r="J129" s="5" t="str">
        <f ca="1">IFERROR(__xludf.DUMMYFUNCTION("""COMPUTED_VALUE"""),"Yes")</f>
        <v>Yes</v>
      </c>
      <c r="K129" s="5" t="str">
        <f ca="1">IFERROR(__xludf.DUMMYFUNCTION("""COMPUTED_VALUE"""),"Yes")</f>
        <v>Yes</v>
      </c>
      <c r="L129" s="5" t="str">
        <f ca="1">IFERROR(__xludf.DUMMYFUNCTION("""COMPUTED_VALUE"""),"Yes")</f>
        <v>Yes</v>
      </c>
      <c r="M129" s="5" t="str">
        <f ca="1">IFERROR(__xludf.DUMMYFUNCTION("""COMPUTED_VALUE"""),"Yes")</f>
        <v>Yes</v>
      </c>
      <c r="N129" s="5" t="str">
        <f ca="1">IFERROR(__xludf.DUMMYFUNCTION("""COMPUTED_VALUE"""),"Yes")</f>
        <v>Yes</v>
      </c>
      <c r="O129" s="5" t="str">
        <f ca="1">IFERROR(__xludf.DUMMYFUNCTION("""COMPUTED_VALUE"""),"Yes")</f>
        <v>Yes</v>
      </c>
      <c r="P129" s="5" t="str">
        <f ca="1">IFERROR(__xludf.DUMMYFUNCTION("""COMPUTED_VALUE"""),"Yes")</f>
        <v>Yes</v>
      </c>
      <c r="Q129" s="5" t="str">
        <f ca="1">IFERROR(__xludf.DUMMYFUNCTION("""COMPUTED_VALUE"""),"Yes")</f>
        <v>Yes</v>
      </c>
      <c r="R129" s="5" t="str">
        <f ca="1">IFERROR(__xludf.DUMMYFUNCTION("""COMPUTED_VALUE"""),"Yes")</f>
        <v>Yes</v>
      </c>
      <c r="S129" s="5" t="str">
        <f ca="1">IFERROR(__xludf.DUMMYFUNCTION("""COMPUTED_VALUE"""),"Yes")</f>
        <v>Yes</v>
      </c>
      <c r="T129" s="5" t="str">
        <f ca="1">IFERROR(__xludf.DUMMYFUNCTION("""COMPUTED_VALUE"""),"Yes")</f>
        <v>Yes</v>
      </c>
      <c r="U129" s="5" t="str">
        <f ca="1">IFERROR(__xludf.DUMMYFUNCTION("""COMPUTED_VALUE"""),"Yes")</f>
        <v>Yes</v>
      </c>
      <c r="V129" s="5" t="str">
        <f ca="1">IFERROR(__xludf.DUMMYFUNCTION("""COMPUTED_VALUE"""),"Yes")</f>
        <v>Yes</v>
      </c>
      <c r="W129" s="5" t="str">
        <f ca="1">IFERROR(__xludf.DUMMYFUNCTION("""COMPUTED_VALUE"""),"Yes")</f>
        <v>Yes</v>
      </c>
      <c r="X129" s="5" t="str">
        <f ca="1">IFERROR(__xludf.DUMMYFUNCTION("""COMPUTED_VALUE"""),"Yes")</f>
        <v>Yes</v>
      </c>
      <c r="Y129" s="5" t="str">
        <f ca="1">IFERROR(__xludf.DUMMYFUNCTION("""COMPUTED_VALUE"""),"Yes")</f>
        <v>Yes</v>
      </c>
      <c r="Z129" s="5" t="str">
        <f ca="1">IFERROR(__xludf.DUMMYFUNCTION("""COMPUTED_VALUE"""),"No")</f>
        <v>No</v>
      </c>
      <c r="AA129" s="5" t="str">
        <f ca="1">IFERROR(__xludf.DUMMYFUNCTION("""COMPUTED_VALUE"""),"Yes")</f>
        <v>Yes</v>
      </c>
      <c r="AB129" s="5" t="str">
        <f ca="1">IFERROR(__xludf.DUMMYFUNCTION("""COMPUTED_VALUE"""),"Yes")</f>
        <v>Yes</v>
      </c>
      <c r="AC129" s="5" t="str">
        <f ca="1">IFERROR(__xludf.DUMMYFUNCTION("""COMPUTED_VALUE"""),"Yes")</f>
        <v>Yes</v>
      </c>
      <c r="AD129" s="5" t="str">
        <f ca="1">IFERROR(__xludf.DUMMYFUNCTION("""COMPUTED_VALUE"""),"Yes")</f>
        <v>Yes</v>
      </c>
      <c r="AE129" s="5" t="str">
        <f ca="1">IFERROR(__xludf.DUMMYFUNCTION("""COMPUTED_VALUE"""),"No")</f>
        <v>No</v>
      </c>
      <c r="AF129" s="5" t="str">
        <f ca="1">IFERROR(__xludf.DUMMYFUNCTION("""COMPUTED_VALUE"""),"Yes")</f>
        <v>Yes</v>
      </c>
      <c r="AG129" s="5" t="str">
        <f ca="1">IFERROR(__xludf.DUMMYFUNCTION("""COMPUTED_VALUE"""),"No")</f>
        <v>No</v>
      </c>
      <c r="AH129" s="5" t="str">
        <f ca="1">IFERROR(__xludf.DUMMYFUNCTION("""COMPUTED_VALUE"""),"No")</f>
        <v>No</v>
      </c>
      <c r="AI129" s="5" t="str">
        <f ca="1">IFERROR(__xludf.DUMMYFUNCTION("""COMPUTED_VALUE"""),"No")</f>
        <v>No</v>
      </c>
      <c r="AJ129" s="5" t="str">
        <f ca="1">IFERROR(__xludf.DUMMYFUNCTION("""COMPUTED_VALUE"""),"No")</f>
        <v>No</v>
      </c>
      <c r="AK129" s="5" t="str">
        <f ca="1">IFERROR(__xludf.DUMMYFUNCTION("""COMPUTED_VALUE"""),"No")</f>
        <v>No</v>
      </c>
      <c r="AL129" s="5" t="str">
        <f ca="1">IFERROR(__xludf.DUMMYFUNCTION("""COMPUTED_VALUE"""),"No")</f>
        <v>No</v>
      </c>
      <c r="AM129" s="5"/>
      <c r="AN129" s="5"/>
      <c r="AO129" s="5"/>
      <c r="AP129" s="5"/>
      <c r="AQ129" s="5"/>
      <c r="AR129" s="5"/>
      <c r="AS129" s="5"/>
      <c r="AT129" s="5"/>
      <c r="AU129" s="5"/>
      <c r="AV129" s="5"/>
      <c r="AW129" s="5"/>
      <c r="AX129" s="5"/>
      <c r="AY129" s="5"/>
    </row>
    <row r="130" spans="1:51" x14ac:dyDescent="0.25">
      <c r="A1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0" s="5">
        <f ca="1">IFERROR(__xludf.DUMMYFUNCTION("""COMPUTED_VALUE"""),129)</f>
        <v>129</v>
      </c>
      <c r="C130" s="5">
        <f ca="1">IFERROR(__xludf.DUMMYFUNCTION("""COMPUTED_VALUE"""),128)</f>
        <v>128</v>
      </c>
      <c r="D130" s="5" t="str">
        <f ca="1">IFERROR(__xludf.DUMMYFUNCTION("""COMPUTED_VALUE"""),"CrystalHot40Free")</f>
        <v>CrystalHot40Free</v>
      </c>
      <c r="E130" s="5" t="str">
        <f ca="1">IFERROR(__xludf.DUMMYFUNCTION("""COMPUTED_VALUE"""),"Yes")</f>
        <v>Yes</v>
      </c>
      <c r="F130" s="5" t="str">
        <f ca="1">IFERROR(__xludf.DUMMYFUNCTION("""COMPUTED_VALUE"""),"Yes")</f>
        <v>Yes</v>
      </c>
      <c r="G130" s="5" t="str">
        <f ca="1">IFERROR(__xludf.DUMMYFUNCTION("""COMPUTED_VALUE"""),"Yes")</f>
        <v>Yes</v>
      </c>
      <c r="H130" s="5" t="str">
        <f ca="1">IFERROR(__xludf.DUMMYFUNCTION("""COMPUTED_VALUE"""),"Yes")</f>
        <v>Yes</v>
      </c>
      <c r="I130" s="5" t="str">
        <f ca="1">IFERROR(__xludf.DUMMYFUNCTION("""COMPUTED_VALUE"""),"Yes")</f>
        <v>Yes</v>
      </c>
      <c r="J130" s="5" t="str">
        <f ca="1">IFERROR(__xludf.DUMMYFUNCTION("""COMPUTED_VALUE"""),"Yes")</f>
        <v>Yes</v>
      </c>
      <c r="K130" s="5" t="str">
        <f ca="1">IFERROR(__xludf.DUMMYFUNCTION("""COMPUTED_VALUE"""),"Yes")</f>
        <v>Yes</v>
      </c>
      <c r="L130" s="5" t="str">
        <f ca="1">IFERROR(__xludf.DUMMYFUNCTION("""COMPUTED_VALUE"""),"Yes")</f>
        <v>Yes</v>
      </c>
      <c r="M130" s="5" t="str">
        <f ca="1">IFERROR(__xludf.DUMMYFUNCTION("""COMPUTED_VALUE"""),"Yes")</f>
        <v>Yes</v>
      </c>
      <c r="N130" s="5" t="str">
        <f ca="1">IFERROR(__xludf.DUMMYFUNCTION("""COMPUTED_VALUE"""),"Yes")</f>
        <v>Yes</v>
      </c>
      <c r="O130" s="5" t="str">
        <f ca="1">IFERROR(__xludf.DUMMYFUNCTION("""COMPUTED_VALUE"""),"Yes")</f>
        <v>Yes</v>
      </c>
      <c r="P130" s="5" t="str">
        <f ca="1">IFERROR(__xludf.DUMMYFUNCTION("""COMPUTED_VALUE"""),"Yes")</f>
        <v>Yes</v>
      </c>
      <c r="Q130" s="5" t="str">
        <f ca="1">IFERROR(__xludf.DUMMYFUNCTION("""COMPUTED_VALUE"""),"Yes")</f>
        <v>Yes</v>
      </c>
      <c r="R130" s="5" t="str">
        <f ca="1">IFERROR(__xludf.DUMMYFUNCTION("""COMPUTED_VALUE"""),"Yes")</f>
        <v>Yes</v>
      </c>
      <c r="S130" s="5" t="str">
        <f ca="1">IFERROR(__xludf.DUMMYFUNCTION("""COMPUTED_VALUE"""),"Yes")</f>
        <v>Yes</v>
      </c>
      <c r="T130" s="5" t="str">
        <f ca="1">IFERROR(__xludf.DUMMYFUNCTION("""COMPUTED_VALUE"""),"Yes")</f>
        <v>Yes</v>
      </c>
      <c r="U130" s="5" t="str">
        <f ca="1">IFERROR(__xludf.DUMMYFUNCTION("""COMPUTED_VALUE"""),"Yes")</f>
        <v>Yes</v>
      </c>
      <c r="V130" s="5" t="str">
        <f ca="1">IFERROR(__xludf.DUMMYFUNCTION("""COMPUTED_VALUE"""),"Yes")</f>
        <v>Yes</v>
      </c>
      <c r="W130" s="5" t="str">
        <f ca="1">IFERROR(__xludf.DUMMYFUNCTION("""COMPUTED_VALUE"""),"Yes")</f>
        <v>Yes</v>
      </c>
      <c r="X130" s="5" t="str">
        <f ca="1">IFERROR(__xludf.DUMMYFUNCTION("""COMPUTED_VALUE"""),"Yes")</f>
        <v>Yes</v>
      </c>
      <c r="Y130" s="5" t="str">
        <f ca="1">IFERROR(__xludf.DUMMYFUNCTION("""COMPUTED_VALUE"""),"Yes")</f>
        <v>Yes</v>
      </c>
      <c r="Z130" s="5" t="str">
        <f ca="1">IFERROR(__xludf.DUMMYFUNCTION("""COMPUTED_VALUE"""),"No")</f>
        <v>No</v>
      </c>
      <c r="AA130" s="5" t="str">
        <f ca="1">IFERROR(__xludf.DUMMYFUNCTION("""COMPUTED_VALUE"""),"Yes")</f>
        <v>Yes</v>
      </c>
      <c r="AB130" s="5" t="str">
        <f ca="1">IFERROR(__xludf.DUMMYFUNCTION("""COMPUTED_VALUE"""),"Yes")</f>
        <v>Yes</v>
      </c>
      <c r="AC130" s="5" t="str">
        <f ca="1">IFERROR(__xludf.DUMMYFUNCTION("""COMPUTED_VALUE"""),"Yes")</f>
        <v>Yes</v>
      </c>
      <c r="AD130" s="5" t="str">
        <f ca="1">IFERROR(__xludf.DUMMYFUNCTION("""COMPUTED_VALUE"""),"Yes")</f>
        <v>Yes</v>
      </c>
      <c r="AE130" s="5" t="str">
        <f ca="1">IFERROR(__xludf.DUMMYFUNCTION("""COMPUTED_VALUE"""),"No")</f>
        <v>No</v>
      </c>
      <c r="AF130" s="5" t="str">
        <f ca="1">IFERROR(__xludf.DUMMYFUNCTION("""COMPUTED_VALUE"""),"Yes")</f>
        <v>Yes</v>
      </c>
      <c r="AG130" s="5" t="str">
        <f ca="1">IFERROR(__xludf.DUMMYFUNCTION("""COMPUTED_VALUE"""),"No")</f>
        <v>No</v>
      </c>
      <c r="AH130" s="5" t="str">
        <f ca="1">IFERROR(__xludf.DUMMYFUNCTION("""COMPUTED_VALUE"""),"No")</f>
        <v>No</v>
      </c>
      <c r="AI130" s="5" t="str">
        <f ca="1">IFERROR(__xludf.DUMMYFUNCTION("""COMPUTED_VALUE"""),"No")</f>
        <v>No</v>
      </c>
      <c r="AJ130" s="5" t="str">
        <f ca="1">IFERROR(__xludf.DUMMYFUNCTION("""COMPUTED_VALUE"""),"No")</f>
        <v>No</v>
      </c>
      <c r="AK130" s="5" t="str">
        <f ca="1">IFERROR(__xludf.DUMMYFUNCTION("""COMPUTED_VALUE"""),"No")</f>
        <v>No</v>
      </c>
      <c r="AL130" s="5" t="str">
        <f ca="1">IFERROR(__xludf.DUMMYFUNCTION("""COMPUTED_VALUE"""),"No")</f>
        <v>No</v>
      </c>
      <c r="AM130" s="5"/>
      <c r="AN130" s="5"/>
      <c r="AO130" s="5"/>
      <c r="AP130" s="5"/>
      <c r="AQ130" s="5"/>
      <c r="AR130" s="5"/>
      <c r="AS130" s="5"/>
      <c r="AT130" s="5"/>
      <c r="AU130" s="5"/>
      <c r="AV130" s="5"/>
      <c r="AW130" s="5"/>
      <c r="AX130" s="5"/>
      <c r="AY130" s="5"/>
    </row>
    <row r="131" spans="1:51" x14ac:dyDescent="0.25">
      <c r="A1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1" s="5">
        <f ca="1">IFERROR(__xludf.DUMMYFUNCTION("""COMPUTED_VALUE"""),130)</f>
        <v>130</v>
      </c>
      <c r="C131" s="5">
        <f ca="1">IFERROR(__xludf.DUMMYFUNCTION("""COMPUTED_VALUE"""),129)</f>
        <v>129</v>
      </c>
      <c r="D131" s="5" t="str">
        <f ca="1">IFERROR(__xludf.DUMMYFUNCTION("""COMPUTED_VALUE"""),"CrystalHot40Pw")</f>
        <v>CrystalHot40Pw</v>
      </c>
      <c r="E131" s="5" t="str">
        <f ca="1">IFERROR(__xludf.DUMMYFUNCTION("""COMPUTED_VALUE"""),"Yes")</f>
        <v>Yes</v>
      </c>
      <c r="F131" s="5" t="str">
        <f ca="1">IFERROR(__xludf.DUMMYFUNCTION("""COMPUTED_VALUE"""),"Yes")</f>
        <v>Yes</v>
      </c>
      <c r="G131" s="5" t="str">
        <f ca="1">IFERROR(__xludf.DUMMYFUNCTION("""COMPUTED_VALUE"""),"Yes")</f>
        <v>Yes</v>
      </c>
      <c r="H131" s="5" t="str">
        <f ca="1">IFERROR(__xludf.DUMMYFUNCTION("""COMPUTED_VALUE"""),"Yes")</f>
        <v>Yes</v>
      </c>
      <c r="I131" s="5" t="str">
        <f ca="1">IFERROR(__xludf.DUMMYFUNCTION("""COMPUTED_VALUE"""),"Yes")</f>
        <v>Yes</v>
      </c>
      <c r="J131" s="5" t="str">
        <f ca="1">IFERROR(__xludf.DUMMYFUNCTION("""COMPUTED_VALUE"""),"Yes")</f>
        <v>Yes</v>
      </c>
      <c r="K131" s="5" t="str">
        <f ca="1">IFERROR(__xludf.DUMMYFUNCTION("""COMPUTED_VALUE"""),"Yes")</f>
        <v>Yes</v>
      </c>
      <c r="L131" s="5" t="str">
        <f ca="1">IFERROR(__xludf.DUMMYFUNCTION("""COMPUTED_VALUE"""),"Yes")</f>
        <v>Yes</v>
      </c>
      <c r="M131" s="5" t="str">
        <f ca="1">IFERROR(__xludf.DUMMYFUNCTION("""COMPUTED_VALUE"""),"Yes")</f>
        <v>Yes</v>
      </c>
      <c r="N131" s="5" t="str">
        <f ca="1">IFERROR(__xludf.DUMMYFUNCTION("""COMPUTED_VALUE"""),"Yes")</f>
        <v>Yes</v>
      </c>
      <c r="O131" s="5" t="str">
        <f ca="1">IFERROR(__xludf.DUMMYFUNCTION("""COMPUTED_VALUE"""),"Yes")</f>
        <v>Yes</v>
      </c>
      <c r="P131" s="5" t="str">
        <f ca="1">IFERROR(__xludf.DUMMYFUNCTION("""COMPUTED_VALUE"""),"Yes")</f>
        <v>Yes</v>
      </c>
      <c r="Q131" s="5" t="str">
        <f ca="1">IFERROR(__xludf.DUMMYFUNCTION("""COMPUTED_VALUE"""),"Yes")</f>
        <v>Yes</v>
      </c>
      <c r="R131" s="5" t="str">
        <f ca="1">IFERROR(__xludf.DUMMYFUNCTION("""COMPUTED_VALUE"""),"Yes")</f>
        <v>Yes</v>
      </c>
      <c r="S131" s="5" t="str">
        <f ca="1">IFERROR(__xludf.DUMMYFUNCTION("""COMPUTED_VALUE"""),"Yes")</f>
        <v>Yes</v>
      </c>
      <c r="T131" s="5" t="str">
        <f ca="1">IFERROR(__xludf.DUMMYFUNCTION("""COMPUTED_VALUE"""),"Yes")</f>
        <v>Yes</v>
      </c>
      <c r="U131" s="5" t="str">
        <f ca="1">IFERROR(__xludf.DUMMYFUNCTION("""COMPUTED_VALUE"""),"Yes")</f>
        <v>Yes</v>
      </c>
      <c r="V131" s="5" t="str">
        <f ca="1">IFERROR(__xludf.DUMMYFUNCTION("""COMPUTED_VALUE"""),"Yes")</f>
        <v>Yes</v>
      </c>
      <c r="W131" s="5" t="str">
        <f ca="1">IFERROR(__xludf.DUMMYFUNCTION("""COMPUTED_VALUE"""),"Yes")</f>
        <v>Yes</v>
      </c>
      <c r="X131" s="5" t="str">
        <f ca="1">IFERROR(__xludf.DUMMYFUNCTION("""COMPUTED_VALUE"""),"Yes")</f>
        <v>Yes</v>
      </c>
      <c r="Y131" s="5" t="str">
        <f ca="1">IFERROR(__xludf.DUMMYFUNCTION("""COMPUTED_VALUE"""),"Yes")</f>
        <v>Yes</v>
      </c>
      <c r="Z131" s="5" t="str">
        <f ca="1">IFERROR(__xludf.DUMMYFUNCTION("""COMPUTED_VALUE"""),"No")</f>
        <v>No</v>
      </c>
      <c r="AA131" s="5" t="str">
        <f ca="1">IFERROR(__xludf.DUMMYFUNCTION("""COMPUTED_VALUE"""),"Yes")</f>
        <v>Yes</v>
      </c>
      <c r="AB131" s="5" t="str">
        <f ca="1">IFERROR(__xludf.DUMMYFUNCTION("""COMPUTED_VALUE"""),"Yes")</f>
        <v>Yes</v>
      </c>
      <c r="AC131" s="5" t="str">
        <f ca="1">IFERROR(__xludf.DUMMYFUNCTION("""COMPUTED_VALUE"""),"Yes")</f>
        <v>Yes</v>
      </c>
      <c r="AD131" s="5" t="str">
        <f ca="1">IFERROR(__xludf.DUMMYFUNCTION("""COMPUTED_VALUE"""),"Yes")</f>
        <v>Yes</v>
      </c>
      <c r="AE131" s="5" t="str">
        <f ca="1">IFERROR(__xludf.DUMMYFUNCTION("""COMPUTED_VALUE"""),"No")</f>
        <v>No</v>
      </c>
      <c r="AF131" s="5" t="str">
        <f ca="1">IFERROR(__xludf.DUMMYFUNCTION("""COMPUTED_VALUE"""),"Yes")</f>
        <v>Yes</v>
      </c>
      <c r="AG131" s="5" t="str">
        <f ca="1">IFERROR(__xludf.DUMMYFUNCTION("""COMPUTED_VALUE"""),"No")</f>
        <v>No</v>
      </c>
      <c r="AH131" s="5" t="str">
        <f ca="1">IFERROR(__xludf.DUMMYFUNCTION("""COMPUTED_VALUE"""),"No")</f>
        <v>No</v>
      </c>
      <c r="AI131" s="5" t="str">
        <f ca="1">IFERROR(__xludf.DUMMYFUNCTION("""COMPUTED_VALUE"""),"No")</f>
        <v>No</v>
      </c>
      <c r="AJ131" s="5" t="str">
        <f ca="1">IFERROR(__xludf.DUMMYFUNCTION("""COMPUTED_VALUE"""),"No")</f>
        <v>No</v>
      </c>
      <c r="AK131" s="5" t="str">
        <f ca="1">IFERROR(__xludf.DUMMYFUNCTION("""COMPUTED_VALUE"""),"No")</f>
        <v>No</v>
      </c>
      <c r="AL131" s="5" t="str">
        <f ca="1">IFERROR(__xludf.DUMMYFUNCTION("""COMPUTED_VALUE"""),"No")</f>
        <v>No</v>
      </c>
      <c r="AM131" s="5"/>
      <c r="AN131" s="5"/>
      <c r="AO131" s="5"/>
      <c r="AP131" s="5"/>
      <c r="AQ131" s="5"/>
      <c r="AR131" s="5"/>
      <c r="AS131" s="5"/>
      <c r="AT131" s="5"/>
      <c r="AU131" s="5"/>
      <c r="AV131" s="5"/>
      <c r="AW131" s="5"/>
      <c r="AX131" s="5"/>
      <c r="AY131" s="5"/>
    </row>
    <row r="132" spans="1:51" x14ac:dyDescent="0.25">
      <c r="A1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2" s="5">
        <f ca="1">IFERROR(__xludf.DUMMYFUNCTION("""COMPUTED_VALUE"""),132)</f>
        <v>132</v>
      </c>
      <c r="C132" s="5">
        <f ca="1">IFERROR(__xludf.DUMMYFUNCTION("""COMPUTED_VALUE"""),131)</f>
        <v>131</v>
      </c>
      <c r="D132" s="5" t="str">
        <f ca="1">IFERROR(__xludf.DUMMYFUNCTION("""COMPUTED_VALUE"""),"ElGrandeToro")</f>
        <v>ElGrandeToro</v>
      </c>
      <c r="E132" s="5" t="str">
        <f ca="1">IFERROR(__xludf.DUMMYFUNCTION("""COMPUTED_VALUE"""),"Yes")</f>
        <v>Yes</v>
      </c>
      <c r="F132" s="5" t="str">
        <f ca="1">IFERROR(__xludf.DUMMYFUNCTION("""COMPUTED_VALUE"""),"Yes")</f>
        <v>Yes</v>
      </c>
      <c r="G132" s="5" t="str">
        <f ca="1">IFERROR(__xludf.DUMMYFUNCTION("""COMPUTED_VALUE"""),"Yes")</f>
        <v>Yes</v>
      </c>
      <c r="H132" s="5" t="str">
        <f ca="1">IFERROR(__xludf.DUMMYFUNCTION("""COMPUTED_VALUE"""),"Yes")</f>
        <v>Yes</v>
      </c>
      <c r="I132" s="5" t="str">
        <f ca="1">IFERROR(__xludf.DUMMYFUNCTION("""COMPUTED_VALUE"""),"Yes")</f>
        <v>Yes</v>
      </c>
      <c r="J132" s="5" t="str">
        <f ca="1">IFERROR(__xludf.DUMMYFUNCTION("""COMPUTED_VALUE"""),"Yes")</f>
        <v>Yes</v>
      </c>
      <c r="K132" s="5" t="str">
        <f ca="1">IFERROR(__xludf.DUMMYFUNCTION("""COMPUTED_VALUE"""),"Yes")</f>
        <v>Yes</v>
      </c>
      <c r="L132" s="5" t="str">
        <f ca="1">IFERROR(__xludf.DUMMYFUNCTION("""COMPUTED_VALUE"""),"Yes")</f>
        <v>Yes</v>
      </c>
      <c r="M132" s="5" t="str">
        <f ca="1">IFERROR(__xludf.DUMMYFUNCTION("""COMPUTED_VALUE"""),"Yes")</f>
        <v>Yes</v>
      </c>
      <c r="N132" s="5" t="str">
        <f ca="1">IFERROR(__xludf.DUMMYFUNCTION("""COMPUTED_VALUE"""),"Yes")</f>
        <v>Yes</v>
      </c>
      <c r="O132" s="5" t="str">
        <f ca="1">IFERROR(__xludf.DUMMYFUNCTION("""COMPUTED_VALUE"""),"Yes")</f>
        <v>Yes</v>
      </c>
      <c r="P132" s="5" t="str">
        <f ca="1">IFERROR(__xludf.DUMMYFUNCTION("""COMPUTED_VALUE"""),"Yes")</f>
        <v>Yes</v>
      </c>
      <c r="Q132" s="5" t="str">
        <f ca="1">IFERROR(__xludf.DUMMYFUNCTION("""COMPUTED_VALUE"""),"Yes")</f>
        <v>Yes</v>
      </c>
      <c r="R132" s="5" t="str">
        <f ca="1">IFERROR(__xludf.DUMMYFUNCTION("""COMPUTED_VALUE"""),"Yes")</f>
        <v>Yes</v>
      </c>
      <c r="S132" s="5" t="str">
        <f ca="1">IFERROR(__xludf.DUMMYFUNCTION("""COMPUTED_VALUE"""),"Yes")</f>
        <v>Yes</v>
      </c>
      <c r="T132" s="5" t="str">
        <f ca="1">IFERROR(__xludf.DUMMYFUNCTION("""COMPUTED_VALUE"""),"Yes")</f>
        <v>Yes</v>
      </c>
      <c r="U132" s="5" t="str">
        <f ca="1">IFERROR(__xludf.DUMMYFUNCTION("""COMPUTED_VALUE"""),"Yes")</f>
        <v>Yes</v>
      </c>
      <c r="V132" s="5" t="str">
        <f ca="1">IFERROR(__xludf.DUMMYFUNCTION("""COMPUTED_VALUE"""),"Yes")</f>
        <v>Yes</v>
      </c>
      <c r="W132" s="5" t="str">
        <f ca="1">IFERROR(__xludf.DUMMYFUNCTION("""COMPUTED_VALUE"""),"Yes")</f>
        <v>Yes</v>
      </c>
      <c r="X132" s="5" t="str">
        <f ca="1">IFERROR(__xludf.DUMMYFUNCTION("""COMPUTED_VALUE"""),"Yes")</f>
        <v>Yes</v>
      </c>
      <c r="Y132" s="5" t="str">
        <f ca="1">IFERROR(__xludf.DUMMYFUNCTION("""COMPUTED_VALUE"""),"Yes")</f>
        <v>Yes</v>
      </c>
      <c r="Z132" s="5" t="str">
        <f ca="1">IFERROR(__xludf.DUMMYFUNCTION("""COMPUTED_VALUE"""),"No")</f>
        <v>No</v>
      </c>
      <c r="AA132" s="5" t="str">
        <f ca="1">IFERROR(__xludf.DUMMYFUNCTION("""COMPUTED_VALUE"""),"Yes")</f>
        <v>Yes</v>
      </c>
      <c r="AB132" s="5" t="str">
        <f ca="1">IFERROR(__xludf.DUMMYFUNCTION("""COMPUTED_VALUE"""),"Yes")</f>
        <v>Yes</v>
      </c>
      <c r="AC132" s="5" t="str">
        <f ca="1">IFERROR(__xludf.DUMMYFUNCTION("""COMPUTED_VALUE"""),"Yes")</f>
        <v>Yes</v>
      </c>
      <c r="AD132" s="5" t="str">
        <f ca="1">IFERROR(__xludf.DUMMYFUNCTION("""COMPUTED_VALUE"""),"Yes")</f>
        <v>Yes</v>
      </c>
      <c r="AE132" s="5" t="str">
        <f ca="1">IFERROR(__xludf.DUMMYFUNCTION("""COMPUTED_VALUE"""),"No")</f>
        <v>No</v>
      </c>
      <c r="AF132" s="5" t="str">
        <f ca="1">IFERROR(__xludf.DUMMYFUNCTION("""COMPUTED_VALUE"""),"Yes")</f>
        <v>Yes</v>
      </c>
      <c r="AG132" s="5" t="str">
        <f ca="1">IFERROR(__xludf.DUMMYFUNCTION("""COMPUTED_VALUE"""),"No")</f>
        <v>No</v>
      </c>
      <c r="AH132" s="5" t="str">
        <f ca="1">IFERROR(__xludf.DUMMYFUNCTION("""COMPUTED_VALUE"""),"No")</f>
        <v>No</v>
      </c>
      <c r="AI132" s="5" t="str">
        <f ca="1">IFERROR(__xludf.DUMMYFUNCTION("""COMPUTED_VALUE"""),"No")</f>
        <v>No</v>
      </c>
      <c r="AJ132" s="5" t="str">
        <f ca="1">IFERROR(__xludf.DUMMYFUNCTION("""COMPUTED_VALUE"""),"No")</f>
        <v>No</v>
      </c>
      <c r="AK132" s="5" t="str">
        <f ca="1">IFERROR(__xludf.DUMMYFUNCTION("""COMPUTED_VALUE"""),"No")</f>
        <v>No</v>
      </c>
      <c r="AL132" s="5" t="str">
        <f ca="1">IFERROR(__xludf.DUMMYFUNCTION("""COMPUTED_VALUE"""),"No")</f>
        <v>No</v>
      </c>
      <c r="AM132" s="5"/>
      <c r="AN132" s="5"/>
      <c r="AO132" s="5"/>
      <c r="AP132" s="5"/>
      <c r="AQ132" s="5"/>
      <c r="AR132" s="5"/>
      <c r="AS132" s="5"/>
      <c r="AT132" s="5"/>
      <c r="AU132" s="5"/>
      <c r="AV132" s="5"/>
      <c r="AW132" s="5"/>
      <c r="AX132" s="5"/>
      <c r="AY132" s="5"/>
    </row>
    <row r="133" spans="1:51" x14ac:dyDescent="0.25">
      <c r="A1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3" s="5">
        <f ca="1">IFERROR(__xludf.DUMMYFUNCTION("""COMPUTED_VALUE"""),133)</f>
        <v>133</v>
      </c>
      <c r="C133" s="5">
        <f ca="1">IFERROR(__xludf.DUMMYFUNCTION("""COMPUTED_VALUE"""),132)</f>
        <v>132</v>
      </c>
      <c r="D133" s="5" t="str">
        <f ca="1">IFERROR(__xludf.DUMMYFUNCTION("""COMPUTED_VALUE"""),"UnicornGreatWhale")</f>
        <v>UnicornGreatWhale</v>
      </c>
      <c r="E133" s="5" t="str">
        <f ca="1">IFERROR(__xludf.DUMMYFUNCTION("""COMPUTED_VALUE"""),"Yes")</f>
        <v>Yes</v>
      </c>
      <c r="F133" s="5" t="str">
        <f ca="1">IFERROR(__xludf.DUMMYFUNCTION("""COMPUTED_VALUE"""),"Yes")</f>
        <v>Yes</v>
      </c>
      <c r="G133" s="5" t="str">
        <f ca="1">IFERROR(__xludf.DUMMYFUNCTION("""COMPUTED_VALUE"""),"Yes")</f>
        <v>Yes</v>
      </c>
      <c r="H133" s="5" t="str">
        <f ca="1">IFERROR(__xludf.DUMMYFUNCTION("""COMPUTED_VALUE"""),"Yes")</f>
        <v>Yes</v>
      </c>
      <c r="I133" s="5" t="str">
        <f ca="1">IFERROR(__xludf.DUMMYFUNCTION("""COMPUTED_VALUE"""),"Yes")</f>
        <v>Yes</v>
      </c>
      <c r="J133" s="5" t="str">
        <f ca="1">IFERROR(__xludf.DUMMYFUNCTION("""COMPUTED_VALUE"""),"Yes")</f>
        <v>Yes</v>
      </c>
      <c r="K133" s="5" t="str">
        <f ca="1">IFERROR(__xludf.DUMMYFUNCTION("""COMPUTED_VALUE"""),"Yes")</f>
        <v>Yes</v>
      </c>
      <c r="L133" s="5" t="str">
        <f ca="1">IFERROR(__xludf.DUMMYFUNCTION("""COMPUTED_VALUE"""),"Yes")</f>
        <v>Yes</v>
      </c>
      <c r="M133" s="5" t="str">
        <f ca="1">IFERROR(__xludf.DUMMYFUNCTION("""COMPUTED_VALUE"""),"Yes")</f>
        <v>Yes</v>
      </c>
      <c r="N133" s="5" t="str">
        <f ca="1">IFERROR(__xludf.DUMMYFUNCTION("""COMPUTED_VALUE"""),"Yes")</f>
        <v>Yes</v>
      </c>
      <c r="O133" s="5" t="str">
        <f ca="1">IFERROR(__xludf.DUMMYFUNCTION("""COMPUTED_VALUE"""),"Yes")</f>
        <v>Yes</v>
      </c>
      <c r="P133" s="5" t="str">
        <f ca="1">IFERROR(__xludf.DUMMYFUNCTION("""COMPUTED_VALUE"""),"Yes")</f>
        <v>Yes</v>
      </c>
      <c r="Q133" s="5" t="str">
        <f ca="1">IFERROR(__xludf.DUMMYFUNCTION("""COMPUTED_VALUE"""),"Yes")</f>
        <v>Yes</v>
      </c>
      <c r="R133" s="5" t="str">
        <f ca="1">IFERROR(__xludf.DUMMYFUNCTION("""COMPUTED_VALUE"""),"Yes")</f>
        <v>Yes</v>
      </c>
      <c r="S133" s="5" t="str">
        <f ca="1">IFERROR(__xludf.DUMMYFUNCTION("""COMPUTED_VALUE"""),"Yes")</f>
        <v>Yes</v>
      </c>
      <c r="T133" s="5" t="str">
        <f ca="1">IFERROR(__xludf.DUMMYFUNCTION("""COMPUTED_VALUE"""),"Yes")</f>
        <v>Yes</v>
      </c>
      <c r="U133" s="5" t="str">
        <f ca="1">IFERROR(__xludf.DUMMYFUNCTION("""COMPUTED_VALUE"""),"Yes")</f>
        <v>Yes</v>
      </c>
      <c r="V133" s="5" t="str">
        <f ca="1">IFERROR(__xludf.DUMMYFUNCTION("""COMPUTED_VALUE"""),"Yes")</f>
        <v>Yes</v>
      </c>
      <c r="W133" s="5" t="str">
        <f ca="1">IFERROR(__xludf.DUMMYFUNCTION("""COMPUTED_VALUE"""),"Yes")</f>
        <v>Yes</v>
      </c>
      <c r="X133" s="5" t="str">
        <f ca="1">IFERROR(__xludf.DUMMYFUNCTION("""COMPUTED_VALUE"""),"Yes")</f>
        <v>Yes</v>
      </c>
      <c r="Y133" s="5" t="str">
        <f ca="1">IFERROR(__xludf.DUMMYFUNCTION("""COMPUTED_VALUE"""),"Yes")</f>
        <v>Yes</v>
      </c>
      <c r="Z133" s="5"/>
      <c r="AA133" s="5" t="str">
        <f ca="1">IFERROR(__xludf.DUMMYFUNCTION("""COMPUTED_VALUE"""),"Yes")</f>
        <v>Yes</v>
      </c>
      <c r="AB133" s="5" t="str">
        <f ca="1">IFERROR(__xludf.DUMMYFUNCTION("""COMPUTED_VALUE"""),"Yes")</f>
        <v>Yes</v>
      </c>
      <c r="AC133" s="5" t="str">
        <f ca="1">IFERROR(__xludf.DUMMYFUNCTION("""COMPUTED_VALUE"""),"Yes")</f>
        <v>Yes</v>
      </c>
      <c r="AD133" s="5" t="str">
        <f ca="1">IFERROR(__xludf.DUMMYFUNCTION("""COMPUTED_VALUE"""),"Yes")</f>
        <v>Yes</v>
      </c>
      <c r="AE133" s="5"/>
      <c r="AF133" s="5" t="str">
        <f ca="1">IFERROR(__xludf.DUMMYFUNCTION("""COMPUTED_VALUE"""),"Yes")</f>
        <v>Yes</v>
      </c>
      <c r="AG133" s="5"/>
      <c r="AH133" s="5"/>
      <c r="AI133" s="5"/>
      <c r="AJ133" s="5"/>
      <c r="AK133" s="5"/>
      <c r="AL133" s="5"/>
      <c r="AM133" s="5"/>
      <c r="AN133" s="5"/>
      <c r="AO133" s="5"/>
      <c r="AP133" s="5"/>
      <c r="AQ133" s="5"/>
      <c r="AR133" s="5"/>
      <c r="AS133" s="5"/>
      <c r="AT133" s="5"/>
      <c r="AU133" s="5"/>
      <c r="AV133" s="5"/>
      <c r="AW133" s="5"/>
      <c r="AX133" s="5"/>
      <c r="AY133" s="5"/>
    </row>
    <row r="134" spans="1:51" x14ac:dyDescent="0.25">
      <c r="A1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4" s="5">
        <f ca="1">IFERROR(__xludf.DUMMYFUNCTION("""COMPUTED_VALUE"""),134)</f>
        <v>134</v>
      </c>
      <c r="C134" s="5">
        <f ca="1">IFERROR(__xludf.DUMMYFUNCTION("""COMPUTED_VALUE"""),133)</f>
        <v>133</v>
      </c>
      <c r="D134" s="5" t="str">
        <f ca="1">IFERROR(__xludf.DUMMYFUNCTION("""COMPUTED_VALUE"""),"WinningStars")</f>
        <v>WinningStars</v>
      </c>
      <c r="E134" s="5" t="str">
        <f ca="1">IFERROR(__xludf.DUMMYFUNCTION("""COMPUTED_VALUE"""),"Yes")</f>
        <v>Yes</v>
      </c>
      <c r="F134" s="5" t="str">
        <f ca="1">IFERROR(__xludf.DUMMYFUNCTION("""COMPUTED_VALUE"""),"Yes")</f>
        <v>Yes</v>
      </c>
      <c r="G134" s="5" t="str">
        <f ca="1">IFERROR(__xludf.DUMMYFUNCTION("""COMPUTED_VALUE"""),"Yes")</f>
        <v>Yes</v>
      </c>
      <c r="H134" s="5" t="str">
        <f ca="1">IFERROR(__xludf.DUMMYFUNCTION("""COMPUTED_VALUE"""),"Yes")</f>
        <v>Yes</v>
      </c>
      <c r="I134" s="5" t="str">
        <f ca="1">IFERROR(__xludf.DUMMYFUNCTION("""COMPUTED_VALUE"""),"Yes")</f>
        <v>Yes</v>
      </c>
      <c r="J134" s="5" t="str">
        <f ca="1">IFERROR(__xludf.DUMMYFUNCTION("""COMPUTED_VALUE"""),"Yes")</f>
        <v>Yes</v>
      </c>
      <c r="K134" s="5" t="str">
        <f ca="1">IFERROR(__xludf.DUMMYFUNCTION("""COMPUTED_VALUE"""),"Yes")</f>
        <v>Yes</v>
      </c>
      <c r="L134" s="5" t="str">
        <f ca="1">IFERROR(__xludf.DUMMYFUNCTION("""COMPUTED_VALUE"""),"Yes")</f>
        <v>Yes</v>
      </c>
      <c r="M134" s="5" t="str">
        <f ca="1">IFERROR(__xludf.DUMMYFUNCTION("""COMPUTED_VALUE"""),"Yes")</f>
        <v>Yes</v>
      </c>
      <c r="N134" s="5" t="str">
        <f ca="1">IFERROR(__xludf.DUMMYFUNCTION("""COMPUTED_VALUE"""),"Yes")</f>
        <v>Yes</v>
      </c>
      <c r="O134" s="5" t="str">
        <f ca="1">IFERROR(__xludf.DUMMYFUNCTION("""COMPUTED_VALUE"""),"Yes")</f>
        <v>Yes</v>
      </c>
      <c r="P134" s="5" t="str">
        <f ca="1">IFERROR(__xludf.DUMMYFUNCTION("""COMPUTED_VALUE"""),"Yes")</f>
        <v>Yes</v>
      </c>
      <c r="Q134" s="5" t="str">
        <f ca="1">IFERROR(__xludf.DUMMYFUNCTION("""COMPUTED_VALUE"""),"Yes")</f>
        <v>Yes</v>
      </c>
      <c r="R134" s="5" t="str">
        <f ca="1">IFERROR(__xludf.DUMMYFUNCTION("""COMPUTED_VALUE"""),"Yes")</f>
        <v>Yes</v>
      </c>
      <c r="S134" s="5" t="str">
        <f ca="1">IFERROR(__xludf.DUMMYFUNCTION("""COMPUTED_VALUE"""),"Yes")</f>
        <v>Yes</v>
      </c>
      <c r="T134" s="5" t="str">
        <f ca="1">IFERROR(__xludf.DUMMYFUNCTION("""COMPUTED_VALUE"""),"Yes")</f>
        <v>Yes</v>
      </c>
      <c r="U134" s="5" t="str">
        <f ca="1">IFERROR(__xludf.DUMMYFUNCTION("""COMPUTED_VALUE"""),"Yes")</f>
        <v>Yes</v>
      </c>
      <c r="V134" s="5" t="str">
        <f ca="1">IFERROR(__xludf.DUMMYFUNCTION("""COMPUTED_VALUE"""),"Yes")</f>
        <v>Yes</v>
      </c>
      <c r="W134" s="5" t="str">
        <f ca="1">IFERROR(__xludf.DUMMYFUNCTION("""COMPUTED_VALUE"""),"Yes")</f>
        <v>Yes</v>
      </c>
      <c r="X134" s="5" t="str">
        <f ca="1">IFERROR(__xludf.DUMMYFUNCTION("""COMPUTED_VALUE"""),"Yes")</f>
        <v>Yes</v>
      </c>
      <c r="Y134" s="5" t="str">
        <f ca="1">IFERROR(__xludf.DUMMYFUNCTION("""COMPUTED_VALUE"""),"Yes")</f>
        <v>Yes</v>
      </c>
      <c r="Z134" s="5" t="str">
        <f ca="1">IFERROR(__xludf.DUMMYFUNCTION("""COMPUTED_VALUE"""),"No")</f>
        <v>No</v>
      </c>
      <c r="AA134" s="5" t="str">
        <f ca="1">IFERROR(__xludf.DUMMYFUNCTION("""COMPUTED_VALUE"""),"Yes")</f>
        <v>Yes</v>
      </c>
      <c r="AB134" s="5" t="str">
        <f ca="1">IFERROR(__xludf.DUMMYFUNCTION("""COMPUTED_VALUE"""),"Yes")</f>
        <v>Yes</v>
      </c>
      <c r="AC134" s="5" t="str">
        <f ca="1">IFERROR(__xludf.DUMMYFUNCTION("""COMPUTED_VALUE"""),"Yes")</f>
        <v>Yes</v>
      </c>
      <c r="AD134" s="5" t="str">
        <f ca="1">IFERROR(__xludf.DUMMYFUNCTION("""COMPUTED_VALUE"""),"Yes")</f>
        <v>Yes</v>
      </c>
      <c r="AE134" s="5" t="str">
        <f ca="1">IFERROR(__xludf.DUMMYFUNCTION("""COMPUTED_VALUE"""),"No")</f>
        <v>No</v>
      </c>
      <c r="AF134" s="5" t="str">
        <f ca="1">IFERROR(__xludf.DUMMYFUNCTION("""COMPUTED_VALUE"""),"Yes")</f>
        <v>Yes</v>
      </c>
      <c r="AG134" s="5" t="str">
        <f ca="1">IFERROR(__xludf.DUMMYFUNCTION("""COMPUTED_VALUE"""),"No")</f>
        <v>No</v>
      </c>
      <c r="AH134" s="5" t="str">
        <f ca="1">IFERROR(__xludf.DUMMYFUNCTION("""COMPUTED_VALUE"""),"No")</f>
        <v>No</v>
      </c>
      <c r="AI134" s="5" t="str">
        <f ca="1">IFERROR(__xludf.DUMMYFUNCTION("""COMPUTED_VALUE"""),"No")</f>
        <v>No</v>
      </c>
      <c r="AJ134" s="5" t="str">
        <f ca="1">IFERROR(__xludf.DUMMYFUNCTION("""COMPUTED_VALUE"""),"No")</f>
        <v>No</v>
      </c>
      <c r="AK134" s="5" t="str">
        <f ca="1">IFERROR(__xludf.DUMMYFUNCTION("""COMPUTED_VALUE"""),"No")</f>
        <v>No</v>
      </c>
      <c r="AL134" s="5" t="str">
        <f ca="1">IFERROR(__xludf.DUMMYFUNCTION("""COMPUTED_VALUE"""),"No")</f>
        <v>No</v>
      </c>
      <c r="AM134" s="5"/>
      <c r="AN134" s="5"/>
      <c r="AO134" s="5"/>
      <c r="AP134" s="5"/>
      <c r="AQ134" s="5"/>
      <c r="AR134" s="5"/>
      <c r="AS134" s="5"/>
      <c r="AT134" s="5"/>
      <c r="AU134" s="5"/>
      <c r="AV134" s="5"/>
      <c r="AW134" s="5"/>
      <c r="AX134" s="5"/>
      <c r="AY134" s="5"/>
    </row>
    <row r="135" spans="1:51" x14ac:dyDescent="0.25">
      <c r="A1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5" s="5">
        <f ca="1">IFERROR(__xludf.DUMMYFUNCTION("""COMPUTED_VALUE"""),135)</f>
        <v>135</v>
      </c>
      <c r="C135" s="5">
        <f ca="1">IFERROR(__xludf.DUMMYFUNCTION("""COMPUTED_VALUE"""),134)</f>
        <v>134</v>
      </c>
      <c r="D135" s="5" t="str">
        <f ca="1">IFERROR(__xludf.DUMMYFUNCTION("""COMPUTED_VALUE"""),"BigBuddha")</f>
        <v>BigBuddha</v>
      </c>
      <c r="E135" s="5" t="str">
        <f ca="1">IFERROR(__xludf.DUMMYFUNCTION("""COMPUTED_VALUE"""),"Yes")</f>
        <v>Yes</v>
      </c>
      <c r="F135" s="5" t="str">
        <f ca="1">IFERROR(__xludf.DUMMYFUNCTION("""COMPUTED_VALUE"""),"Yes")</f>
        <v>Yes</v>
      </c>
      <c r="G135" s="5" t="str">
        <f ca="1">IFERROR(__xludf.DUMMYFUNCTION("""COMPUTED_VALUE"""),"Yes")</f>
        <v>Yes</v>
      </c>
      <c r="H135" s="5" t="str">
        <f ca="1">IFERROR(__xludf.DUMMYFUNCTION("""COMPUTED_VALUE"""),"Yes")</f>
        <v>Yes</v>
      </c>
      <c r="I135" s="5" t="str">
        <f ca="1">IFERROR(__xludf.DUMMYFUNCTION("""COMPUTED_VALUE"""),"Yes")</f>
        <v>Yes</v>
      </c>
      <c r="J135" s="5" t="str">
        <f ca="1">IFERROR(__xludf.DUMMYFUNCTION("""COMPUTED_VALUE"""),"Yes")</f>
        <v>Yes</v>
      </c>
      <c r="K135" s="5" t="str">
        <f ca="1">IFERROR(__xludf.DUMMYFUNCTION("""COMPUTED_VALUE"""),"Yes")</f>
        <v>Yes</v>
      </c>
      <c r="L135" s="5" t="str">
        <f ca="1">IFERROR(__xludf.DUMMYFUNCTION("""COMPUTED_VALUE"""),"Yes")</f>
        <v>Yes</v>
      </c>
      <c r="M135" s="5" t="str">
        <f ca="1">IFERROR(__xludf.DUMMYFUNCTION("""COMPUTED_VALUE"""),"Yes")</f>
        <v>Yes</v>
      </c>
      <c r="N135" s="5" t="str">
        <f ca="1">IFERROR(__xludf.DUMMYFUNCTION("""COMPUTED_VALUE"""),"Yes")</f>
        <v>Yes</v>
      </c>
      <c r="O135" s="5" t="str">
        <f ca="1">IFERROR(__xludf.DUMMYFUNCTION("""COMPUTED_VALUE"""),"Yes")</f>
        <v>Yes</v>
      </c>
      <c r="P135" s="5" t="str">
        <f ca="1">IFERROR(__xludf.DUMMYFUNCTION("""COMPUTED_VALUE"""),"Yes")</f>
        <v>Yes</v>
      </c>
      <c r="Q135" s="5" t="str">
        <f ca="1">IFERROR(__xludf.DUMMYFUNCTION("""COMPUTED_VALUE"""),"Yes")</f>
        <v>Yes</v>
      </c>
      <c r="R135" s="5" t="str">
        <f ca="1">IFERROR(__xludf.DUMMYFUNCTION("""COMPUTED_VALUE"""),"Yes")</f>
        <v>Yes</v>
      </c>
      <c r="S135" s="5" t="str">
        <f ca="1">IFERROR(__xludf.DUMMYFUNCTION("""COMPUTED_VALUE"""),"Yes")</f>
        <v>Yes</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IFERROR(__xludf.DUMMYFUNCTION("""COMPUTED_VALUE"""),"No")</f>
        <v>No</v>
      </c>
      <c r="AA135" s="5" t="str">
        <f ca="1">IFERROR(__xludf.DUMMYFUNCTION("""COMPUTED_VALUE"""),"Yes")</f>
        <v>Yes</v>
      </c>
      <c r="AB135" s="5" t="str">
        <f ca="1">IFERROR(__xludf.DUMMYFUNCTION("""COMPUTED_VALUE"""),"Yes")</f>
        <v>Yes</v>
      </c>
      <c r="AC135" s="5" t="str">
        <f ca="1">IFERROR(__xludf.DUMMYFUNCTION("""COMPUTED_VALUE"""),"Yes")</f>
        <v>Yes</v>
      </c>
      <c r="AD135" s="5" t="str">
        <f ca="1">IFERROR(__xludf.DUMMYFUNCTION("""COMPUTED_VALUE"""),"Yes")</f>
        <v>Yes</v>
      </c>
      <c r="AE135" s="5" t="str">
        <f ca="1">IFERROR(__xludf.DUMMYFUNCTION("""COMPUTED_VALUE"""),"No")</f>
        <v>No</v>
      </c>
      <c r="AF135" s="5" t="str">
        <f ca="1">IFERROR(__xludf.DUMMYFUNCTION("""COMPUTED_VALUE"""),"Yes")</f>
        <v>Yes</v>
      </c>
      <c r="AG135" s="5" t="str">
        <f ca="1">IFERROR(__xludf.DUMMYFUNCTION("""COMPUTED_VALUE"""),"No")</f>
        <v>No</v>
      </c>
      <c r="AH135" s="5" t="str">
        <f ca="1">IFERROR(__xludf.DUMMYFUNCTION("""COMPUTED_VALUE"""),"No")</f>
        <v>No</v>
      </c>
      <c r="AI135" s="5" t="str">
        <f ca="1">IFERROR(__xludf.DUMMYFUNCTION("""COMPUTED_VALUE"""),"No")</f>
        <v>No</v>
      </c>
      <c r="AJ135" s="5" t="str">
        <f ca="1">IFERROR(__xludf.DUMMYFUNCTION("""COMPUTED_VALUE"""),"No")</f>
        <v>No</v>
      </c>
      <c r="AK135" s="5" t="str">
        <f ca="1">IFERROR(__xludf.DUMMYFUNCTION("""COMPUTED_VALUE"""),"No")</f>
        <v>No</v>
      </c>
      <c r="AL135" s="5" t="str">
        <f ca="1">IFERROR(__xludf.DUMMYFUNCTION("""COMPUTED_VALUE"""),"No")</f>
        <v>No</v>
      </c>
      <c r="AM135" s="5"/>
      <c r="AN135" s="5"/>
      <c r="AO135" s="5"/>
      <c r="AP135" s="5"/>
      <c r="AQ135" s="5"/>
      <c r="AR135" s="5"/>
      <c r="AS135" s="5"/>
      <c r="AT135" s="5"/>
      <c r="AU135" s="5"/>
      <c r="AV135" s="5"/>
      <c r="AW135" s="5"/>
      <c r="AX135" s="5"/>
      <c r="AY135" s="5"/>
    </row>
    <row r="136" spans="1:51" x14ac:dyDescent="0.25">
      <c r="A1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6" s="5">
        <f ca="1">IFERROR(__xludf.DUMMYFUNCTION("""COMPUTED_VALUE"""),136)</f>
        <v>136</v>
      </c>
      <c r="C136" s="5">
        <f ca="1">IFERROR(__xludf.DUMMYFUNCTION("""COMPUTED_VALUE"""),135)</f>
        <v>135</v>
      </c>
      <c r="D136" s="5" t="str">
        <f ca="1">IFERROR(__xludf.DUMMYFUNCTION("""COMPUTED_VALUE"""),"CrystalHot100")</f>
        <v>CrystalHot100</v>
      </c>
      <c r="E136" s="5" t="str">
        <f ca="1">IFERROR(__xludf.DUMMYFUNCTION("""COMPUTED_VALUE"""),"Yes")</f>
        <v>Yes</v>
      </c>
      <c r="F136" s="5" t="str">
        <f ca="1">IFERROR(__xludf.DUMMYFUNCTION("""COMPUTED_VALUE"""),"Yes")</f>
        <v>Yes</v>
      </c>
      <c r="G136" s="5" t="str">
        <f ca="1">IFERROR(__xludf.DUMMYFUNCTION("""COMPUTED_VALUE"""),"Yes")</f>
        <v>Yes</v>
      </c>
      <c r="H136" s="5" t="str">
        <f ca="1">IFERROR(__xludf.DUMMYFUNCTION("""COMPUTED_VALUE"""),"Yes")</f>
        <v>Yes</v>
      </c>
      <c r="I136" s="5" t="str">
        <f ca="1">IFERROR(__xludf.DUMMYFUNCTION("""COMPUTED_VALUE"""),"Yes")</f>
        <v>Yes</v>
      </c>
      <c r="J136" s="5" t="str">
        <f ca="1">IFERROR(__xludf.DUMMYFUNCTION("""COMPUTED_VALUE"""),"Yes")</f>
        <v>Yes</v>
      </c>
      <c r="K136" s="5" t="str">
        <f ca="1">IFERROR(__xludf.DUMMYFUNCTION("""COMPUTED_VALUE"""),"Yes")</f>
        <v>Yes</v>
      </c>
      <c r="L136" s="5" t="str">
        <f ca="1">IFERROR(__xludf.DUMMYFUNCTION("""COMPUTED_VALUE"""),"Yes")</f>
        <v>Yes</v>
      </c>
      <c r="M136" s="5" t="str">
        <f ca="1">IFERROR(__xludf.DUMMYFUNCTION("""COMPUTED_VALUE"""),"Yes")</f>
        <v>Yes</v>
      </c>
      <c r="N136" s="5" t="str">
        <f ca="1">IFERROR(__xludf.DUMMYFUNCTION("""COMPUTED_VALUE"""),"Yes")</f>
        <v>Yes</v>
      </c>
      <c r="O136" s="5" t="str">
        <f ca="1">IFERROR(__xludf.DUMMYFUNCTION("""COMPUTED_VALUE"""),"Yes")</f>
        <v>Yes</v>
      </c>
      <c r="P136" s="5" t="str">
        <f ca="1">IFERROR(__xludf.DUMMYFUNCTION("""COMPUTED_VALUE"""),"Yes")</f>
        <v>Yes</v>
      </c>
      <c r="Q136" s="5" t="str">
        <f ca="1">IFERROR(__xludf.DUMMYFUNCTION("""COMPUTED_VALUE"""),"Yes")</f>
        <v>Yes</v>
      </c>
      <c r="R136" s="5" t="str">
        <f ca="1">IFERROR(__xludf.DUMMYFUNCTION("""COMPUTED_VALUE"""),"Yes")</f>
        <v>Yes</v>
      </c>
      <c r="S136" s="5" t="str">
        <f ca="1">IFERROR(__xludf.DUMMYFUNCTION("""COMPUTED_VALUE"""),"Yes")</f>
        <v>Yes</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IFERROR(__xludf.DUMMYFUNCTION("""COMPUTED_VALUE"""),"No")</f>
        <v>No</v>
      </c>
      <c r="AA136" s="5" t="str">
        <f ca="1">IFERROR(__xludf.DUMMYFUNCTION("""COMPUTED_VALUE"""),"Yes")</f>
        <v>Yes</v>
      </c>
      <c r="AB136" s="5" t="str">
        <f ca="1">IFERROR(__xludf.DUMMYFUNCTION("""COMPUTED_VALUE"""),"Yes")</f>
        <v>Yes</v>
      </c>
      <c r="AC136" s="5" t="str">
        <f ca="1">IFERROR(__xludf.DUMMYFUNCTION("""COMPUTED_VALUE"""),"Yes")</f>
        <v>Yes</v>
      </c>
      <c r="AD136" s="5" t="str">
        <f ca="1">IFERROR(__xludf.DUMMYFUNCTION("""COMPUTED_VALUE"""),"Yes")</f>
        <v>Yes</v>
      </c>
      <c r="AE136" s="5" t="str">
        <f ca="1">IFERROR(__xludf.DUMMYFUNCTION("""COMPUTED_VALUE"""),"No")</f>
        <v>No</v>
      </c>
      <c r="AF136" s="5" t="str">
        <f ca="1">IFERROR(__xludf.DUMMYFUNCTION("""COMPUTED_VALUE"""),"Yes")</f>
        <v>Yes</v>
      </c>
      <c r="AG136" s="5" t="str">
        <f ca="1">IFERROR(__xludf.DUMMYFUNCTION("""COMPUTED_VALUE"""),"No")</f>
        <v>No</v>
      </c>
      <c r="AH136" s="5" t="str">
        <f ca="1">IFERROR(__xludf.DUMMYFUNCTION("""COMPUTED_VALUE"""),"No")</f>
        <v>No</v>
      </c>
      <c r="AI136" s="5" t="str">
        <f ca="1">IFERROR(__xludf.DUMMYFUNCTION("""COMPUTED_VALUE"""),"No")</f>
        <v>No</v>
      </c>
      <c r="AJ136" s="5" t="str">
        <f ca="1">IFERROR(__xludf.DUMMYFUNCTION("""COMPUTED_VALUE"""),"No")</f>
        <v>No</v>
      </c>
      <c r="AK136" s="5" t="str">
        <f ca="1">IFERROR(__xludf.DUMMYFUNCTION("""COMPUTED_VALUE"""),"No")</f>
        <v>No</v>
      </c>
      <c r="AL136" s="5" t="str">
        <f ca="1">IFERROR(__xludf.DUMMYFUNCTION("""COMPUTED_VALUE"""),"No")</f>
        <v>No</v>
      </c>
      <c r="AM136" s="5"/>
      <c r="AN136" s="5"/>
      <c r="AO136" s="5"/>
      <c r="AP136" s="5"/>
      <c r="AQ136" s="5"/>
      <c r="AR136" s="5"/>
      <c r="AS136" s="5"/>
      <c r="AT136" s="5"/>
      <c r="AU136" s="5"/>
      <c r="AV136" s="5"/>
      <c r="AW136" s="5"/>
      <c r="AX136" s="5"/>
      <c r="AY136" s="5"/>
    </row>
    <row r="137" spans="1:51" x14ac:dyDescent="0.25">
      <c r="A1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7" s="5">
        <f ca="1">IFERROR(__xludf.DUMMYFUNCTION("""COMPUTED_VALUE"""),137)</f>
        <v>137</v>
      </c>
      <c r="C137" s="5">
        <f ca="1">IFERROR(__xludf.DUMMYFUNCTION("""COMPUTED_VALUE"""),136)</f>
        <v>136</v>
      </c>
      <c r="D137" s="5" t="str">
        <f ca="1">IFERROR(__xludf.DUMMYFUNCTION("""COMPUTED_VALUE"""),"TurboHot80")</f>
        <v>TurboHot80</v>
      </c>
      <c r="E137" s="5" t="str">
        <f ca="1">IFERROR(__xludf.DUMMYFUNCTION("""COMPUTED_VALUE"""),"Yes")</f>
        <v>Yes</v>
      </c>
      <c r="F137" s="5" t="str">
        <f ca="1">IFERROR(__xludf.DUMMYFUNCTION("""COMPUTED_VALUE"""),"Yes")</f>
        <v>Yes</v>
      </c>
      <c r="G137" s="5" t="str">
        <f ca="1">IFERROR(__xludf.DUMMYFUNCTION("""COMPUTED_VALUE"""),"Yes")</f>
        <v>Yes</v>
      </c>
      <c r="H137" s="5" t="str">
        <f ca="1">IFERROR(__xludf.DUMMYFUNCTION("""COMPUTED_VALUE"""),"Yes")</f>
        <v>Yes</v>
      </c>
      <c r="I137" s="5" t="str">
        <f ca="1">IFERROR(__xludf.DUMMYFUNCTION("""COMPUTED_VALUE"""),"Yes")</f>
        <v>Yes</v>
      </c>
      <c r="J137" s="5" t="str">
        <f ca="1">IFERROR(__xludf.DUMMYFUNCTION("""COMPUTED_VALUE"""),"Yes")</f>
        <v>Yes</v>
      </c>
      <c r="K137" s="5" t="str">
        <f ca="1">IFERROR(__xludf.DUMMYFUNCTION("""COMPUTED_VALUE"""),"Yes")</f>
        <v>Yes</v>
      </c>
      <c r="L137" s="5" t="str">
        <f ca="1">IFERROR(__xludf.DUMMYFUNCTION("""COMPUTED_VALUE"""),"Yes")</f>
        <v>Yes</v>
      </c>
      <c r="M137" s="5" t="str">
        <f ca="1">IFERROR(__xludf.DUMMYFUNCTION("""COMPUTED_VALUE"""),"Yes")</f>
        <v>Yes</v>
      </c>
      <c r="N137" s="5" t="str">
        <f ca="1">IFERROR(__xludf.DUMMYFUNCTION("""COMPUTED_VALUE"""),"Yes")</f>
        <v>Yes</v>
      </c>
      <c r="O137" s="5" t="str">
        <f ca="1">IFERROR(__xludf.DUMMYFUNCTION("""COMPUTED_VALUE"""),"Yes")</f>
        <v>Yes</v>
      </c>
      <c r="P137" s="5" t="str">
        <f ca="1">IFERROR(__xludf.DUMMYFUNCTION("""COMPUTED_VALUE"""),"Yes")</f>
        <v>Yes</v>
      </c>
      <c r="Q137" s="5" t="str">
        <f ca="1">IFERROR(__xludf.DUMMYFUNCTION("""COMPUTED_VALUE"""),"Yes")</f>
        <v>Yes</v>
      </c>
      <c r="R137" s="5" t="str">
        <f ca="1">IFERROR(__xludf.DUMMYFUNCTION("""COMPUTED_VALUE"""),"Yes")</f>
        <v>Yes</v>
      </c>
      <c r="S137" s="5" t="str">
        <f ca="1">IFERROR(__xludf.DUMMYFUNCTION("""COMPUTED_VALUE"""),"Yes")</f>
        <v>Yes</v>
      </c>
      <c r="T137" s="5" t="str">
        <f ca="1">IFERROR(__xludf.DUMMYFUNCTION("""COMPUTED_VALUE"""),"Yes")</f>
        <v>Yes</v>
      </c>
      <c r="U137" s="5" t="str">
        <f ca="1">IFERROR(__xludf.DUMMYFUNCTION("""COMPUTED_VALUE"""),"Yes")</f>
        <v>Yes</v>
      </c>
      <c r="V137" s="5" t="str">
        <f ca="1">IFERROR(__xludf.DUMMYFUNCTION("""COMPUTED_VALUE"""),"Yes")</f>
        <v>Yes</v>
      </c>
      <c r="W137" s="5" t="str">
        <f ca="1">IFERROR(__xludf.DUMMYFUNCTION("""COMPUTED_VALUE"""),"Yes")</f>
        <v>Yes</v>
      </c>
      <c r="X137" s="5" t="str">
        <f ca="1">IFERROR(__xludf.DUMMYFUNCTION("""COMPUTED_VALUE"""),"Yes")</f>
        <v>Yes</v>
      </c>
      <c r="Y137" s="5" t="str">
        <f ca="1">IFERROR(__xludf.DUMMYFUNCTION("""COMPUTED_VALUE"""),"Yes")</f>
        <v>Yes</v>
      </c>
      <c r="Z137" s="5" t="str">
        <f ca="1">IFERROR(__xludf.DUMMYFUNCTION("""COMPUTED_VALUE"""),"No")</f>
        <v>No</v>
      </c>
      <c r="AA137" s="5" t="str">
        <f ca="1">IFERROR(__xludf.DUMMYFUNCTION("""COMPUTED_VALUE"""),"Yes")</f>
        <v>Yes</v>
      </c>
      <c r="AB137" s="5" t="str">
        <f ca="1">IFERROR(__xludf.DUMMYFUNCTION("""COMPUTED_VALUE"""),"Yes")</f>
        <v>Yes</v>
      </c>
      <c r="AC137" s="5" t="str">
        <f ca="1">IFERROR(__xludf.DUMMYFUNCTION("""COMPUTED_VALUE"""),"Yes")</f>
        <v>Yes</v>
      </c>
      <c r="AD137" s="5" t="str">
        <f ca="1">IFERROR(__xludf.DUMMYFUNCTION("""COMPUTED_VALUE"""),"Yes")</f>
        <v>Yes</v>
      </c>
      <c r="AE137" s="5" t="str">
        <f ca="1">IFERROR(__xludf.DUMMYFUNCTION("""COMPUTED_VALUE"""),"No")</f>
        <v>No</v>
      </c>
      <c r="AF137" s="5" t="str">
        <f ca="1">IFERROR(__xludf.DUMMYFUNCTION("""COMPUTED_VALUE"""),"Yes")</f>
        <v>Yes</v>
      </c>
      <c r="AG137" s="5" t="str">
        <f ca="1">IFERROR(__xludf.DUMMYFUNCTION("""COMPUTED_VALUE"""),"No")</f>
        <v>No</v>
      </c>
      <c r="AH137" s="5" t="str">
        <f ca="1">IFERROR(__xludf.DUMMYFUNCTION("""COMPUTED_VALUE"""),"No")</f>
        <v>No</v>
      </c>
      <c r="AI137" s="5" t="str">
        <f ca="1">IFERROR(__xludf.DUMMYFUNCTION("""COMPUTED_VALUE"""),"No")</f>
        <v>No</v>
      </c>
      <c r="AJ137" s="5" t="str">
        <f ca="1">IFERROR(__xludf.DUMMYFUNCTION("""COMPUTED_VALUE"""),"No")</f>
        <v>No</v>
      </c>
      <c r="AK137" s="5" t="str">
        <f ca="1">IFERROR(__xludf.DUMMYFUNCTION("""COMPUTED_VALUE"""),"No")</f>
        <v>No</v>
      </c>
      <c r="AL137" s="5" t="str">
        <f ca="1">IFERROR(__xludf.DUMMYFUNCTION("""COMPUTED_VALUE"""),"No")</f>
        <v>No</v>
      </c>
      <c r="AM137" s="5"/>
      <c r="AN137" s="5"/>
      <c r="AO137" s="5"/>
      <c r="AP137" s="5"/>
      <c r="AQ137" s="5"/>
      <c r="AR137" s="5"/>
      <c r="AS137" s="5"/>
      <c r="AT137" s="5"/>
      <c r="AU137" s="5"/>
      <c r="AV137" s="5"/>
      <c r="AW137" s="5"/>
      <c r="AX137" s="5"/>
      <c r="AY137" s="5"/>
    </row>
    <row r="138" spans="1:51" x14ac:dyDescent="0.25">
      <c r="A1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8" s="5">
        <f ca="1">IFERROR(__xludf.DUMMYFUNCTION("""COMPUTED_VALUE"""),138)</f>
        <v>138</v>
      </c>
      <c r="C138" s="5">
        <f ca="1">IFERROR(__xludf.DUMMYFUNCTION("""COMPUTED_VALUE"""),137)</f>
        <v>137</v>
      </c>
      <c r="D138" s="5" t="str">
        <f ca="1">IFERROR(__xludf.DUMMYFUNCTION("""COMPUTED_VALUE"""),"SevenClassicHot")</f>
        <v>SevenClassicHot</v>
      </c>
      <c r="E138" s="5" t="str">
        <f ca="1">IFERROR(__xludf.DUMMYFUNCTION("""COMPUTED_VALUE"""),"Yes")</f>
        <v>Yes</v>
      </c>
      <c r="F138" s="5" t="str">
        <f ca="1">IFERROR(__xludf.DUMMYFUNCTION("""COMPUTED_VALUE"""),"Yes")</f>
        <v>Yes</v>
      </c>
      <c r="G138" s="5" t="str">
        <f ca="1">IFERROR(__xludf.DUMMYFUNCTION("""COMPUTED_VALUE"""),"Yes")</f>
        <v>Yes</v>
      </c>
      <c r="H138" s="5" t="str">
        <f ca="1">IFERROR(__xludf.DUMMYFUNCTION("""COMPUTED_VALUE"""),"Yes")</f>
        <v>Yes</v>
      </c>
      <c r="I138" s="5" t="str">
        <f ca="1">IFERROR(__xludf.DUMMYFUNCTION("""COMPUTED_VALUE"""),"Yes")</f>
        <v>Yes</v>
      </c>
      <c r="J138" s="5" t="str">
        <f ca="1">IFERROR(__xludf.DUMMYFUNCTION("""COMPUTED_VALUE"""),"Yes")</f>
        <v>Yes</v>
      </c>
      <c r="K138" s="5" t="str">
        <f ca="1">IFERROR(__xludf.DUMMYFUNCTION("""COMPUTED_VALUE"""),"Yes")</f>
        <v>Yes</v>
      </c>
      <c r="L138" s="5" t="str">
        <f ca="1">IFERROR(__xludf.DUMMYFUNCTION("""COMPUTED_VALUE"""),"Yes")</f>
        <v>Yes</v>
      </c>
      <c r="M138" s="5" t="str">
        <f ca="1">IFERROR(__xludf.DUMMYFUNCTION("""COMPUTED_VALUE"""),"Yes")</f>
        <v>Yes</v>
      </c>
      <c r="N138" s="5" t="str">
        <f ca="1">IFERROR(__xludf.DUMMYFUNCTION("""COMPUTED_VALUE"""),"Yes")</f>
        <v>Yes</v>
      </c>
      <c r="O138" s="5" t="str">
        <f ca="1">IFERROR(__xludf.DUMMYFUNCTION("""COMPUTED_VALUE"""),"Yes")</f>
        <v>Yes</v>
      </c>
      <c r="P138" s="5" t="str">
        <f ca="1">IFERROR(__xludf.DUMMYFUNCTION("""COMPUTED_VALUE"""),"Yes")</f>
        <v>Yes</v>
      </c>
      <c r="Q138" s="5" t="str">
        <f ca="1">IFERROR(__xludf.DUMMYFUNCTION("""COMPUTED_VALUE"""),"Yes")</f>
        <v>Yes</v>
      </c>
      <c r="R138" s="5" t="str">
        <f ca="1">IFERROR(__xludf.DUMMYFUNCTION("""COMPUTED_VALUE"""),"Yes")</f>
        <v>Yes</v>
      </c>
      <c r="S138" s="5" t="str">
        <f ca="1">IFERROR(__xludf.DUMMYFUNCTION("""COMPUTED_VALUE"""),"Yes")</f>
        <v>Yes</v>
      </c>
      <c r="T138" s="5" t="str">
        <f ca="1">IFERROR(__xludf.DUMMYFUNCTION("""COMPUTED_VALUE"""),"Yes")</f>
        <v>Yes</v>
      </c>
      <c r="U138" s="5" t="str">
        <f ca="1">IFERROR(__xludf.DUMMYFUNCTION("""COMPUTED_VALUE"""),"Yes")</f>
        <v>Yes</v>
      </c>
      <c r="V138" s="5" t="str">
        <f ca="1">IFERROR(__xludf.DUMMYFUNCTION("""COMPUTED_VALUE"""),"Yes")</f>
        <v>Yes</v>
      </c>
      <c r="W138" s="5" t="str">
        <f ca="1">IFERROR(__xludf.DUMMYFUNCTION("""COMPUTED_VALUE"""),"Yes")</f>
        <v>Yes</v>
      </c>
      <c r="X138" s="5" t="str">
        <f ca="1">IFERROR(__xludf.DUMMYFUNCTION("""COMPUTED_VALUE"""),"Yes")</f>
        <v>Yes</v>
      </c>
      <c r="Y138" s="5" t="str">
        <f ca="1">IFERROR(__xludf.DUMMYFUNCTION("""COMPUTED_VALUE"""),"Yes")</f>
        <v>Yes</v>
      </c>
      <c r="Z138" s="5" t="str">
        <f ca="1">IFERROR(__xludf.DUMMYFUNCTION("""COMPUTED_VALUE"""),"No")</f>
        <v>No</v>
      </c>
      <c r="AA138" s="5" t="str">
        <f ca="1">IFERROR(__xludf.DUMMYFUNCTION("""COMPUTED_VALUE"""),"Yes")</f>
        <v>Yes</v>
      </c>
      <c r="AB138" s="5" t="str">
        <f ca="1">IFERROR(__xludf.DUMMYFUNCTION("""COMPUTED_VALUE"""),"Yes")</f>
        <v>Yes</v>
      </c>
      <c r="AC138" s="5" t="str">
        <f ca="1">IFERROR(__xludf.DUMMYFUNCTION("""COMPUTED_VALUE"""),"Yes")</f>
        <v>Yes</v>
      </c>
      <c r="AD138" s="5" t="str">
        <f ca="1">IFERROR(__xludf.DUMMYFUNCTION("""COMPUTED_VALUE"""),"Yes")</f>
        <v>Yes</v>
      </c>
      <c r="AE138" s="5" t="str">
        <f ca="1">IFERROR(__xludf.DUMMYFUNCTION("""COMPUTED_VALUE"""),"No")</f>
        <v>No</v>
      </c>
      <c r="AF138" s="5" t="str">
        <f ca="1">IFERROR(__xludf.DUMMYFUNCTION("""COMPUTED_VALUE"""),"Yes")</f>
        <v>Yes</v>
      </c>
      <c r="AG138" s="5" t="str">
        <f ca="1">IFERROR(__xludf.DUMMYFUNCTION("""COMPUTED_VALUE"""),"No")</f>
        <v>No</v>
      </c>
      <c r="AH138" s="5" t="str">
        <f ca="1">IFERROR(__xludf.DUMMYFUNCTION("""COMPUTED_VALUE"""),"No")</f>
        <v>No</v>
      </c>
      <c r="AI138" s="5" t="str">
        <f ca="1">IFERROR(__xludf.DUMMYFUNCTION("""COMPUTED_VALUE"""),"No")</f>
        <v>No</v>
      </c>
      <c r="AJ138" s="5" t="str">
        <f ca="1">IFERROR(__xludf.DUMMYFUNCTION("""COMPUTED_VALUE"""),"No")</f>
        <v>No</v>
      </c>
      <c r="AK138" s="5" t="str">
        <f ca="1">IFERROR(__xludf.DUMMYFUNCTION("""COMPUTED_VALUE"""),"No")</f>
        <v>No</v>
      </c>
      <c r="AL138" s="5" t="str">
        <f ca="1">IFERROR(__xludf.DUMMYFUNCTION("""COMPUTED_VALUE"""),"No")</f>
        <v>No</v>
      </c>
      <c r="AM138" s="5"/>
      <c r="AN138" s="5"/>
      <c r="AO138" s="5"/>
      <c r="AP138" s="5"/>
      <c r="AQ138" s="5"/>
      <c r="AR138" s="5"/>
      <c r="AS138" s="5"/>
      <c r="AT138" s="5"/>
      <c r="AU138" s="5"/>
      <c r="AV138" s="5"/>
      <c r="AW138" s="5"/>
      <c r="AX138" s="5"/>
      <c r="AY138" s="5"/>
    </row>
    <row r="139" spans="1:51" x14ac:dyDescent="0.25">
      <c r="A1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9" s="5">
        <f ca="1">IFERROR(__xludf.DUMMYFUNCTION("""COMPUTED_VALUE"""),139)</f>
        <v>139</v>
      </c>
      <c r="C139" s="5">
        <f ca="1">IFERROR(__xludf.DUMMYFUNCTION("""COMPUTED_VALUE"""),138)</f>
        <v>138</v>
      </c>
      <c r="D139" s="5" t="str">
        <f ca="1">IFERROR(__xludf.DUMMYFUNCTION("""COMPUTED_VALUE"""),"TurboHot100")</f>
        <v>TurboHot100</v>
      </c>
      <c r="E139" s="5" t="str">
        <f ca="1">IFERROR(__xludf.DUMMYFUNCTION("""COMPUTED_VALUE"""),"Yes")</f>
        <v>Yes</v>
      </c>
      <c r="F139" s="5" t="str">
        <f ca="1">IFERROR(__xludf.DUMMYFUNCTION("""COMPUTED_VALUE"""),"Yes")</f>
        <v>Yes</v>
      </c>
      <c r="G139" s="5" t="str">
        <f ca="1">IFERROR(__xludf.DUMMYFUNCTION("""COMPUTED_VALUE"""),"Yes")</f>
        <v>Yes</v>
      </c>
      <c r="H139" s="5" t="str">
        <f ca="1">IFERROR(__xludf.DUMMYFUNCTION("""COMPUTED_VALUE"""),"Yes")</f>
        <v>Yes</v>
      </c>
      <c r="I139" s="5" t="str">
        <f ca="1">IFERROR(__xludf.DUMMYFUNCTION("""COMPUTED_VALUE"""),"Yes")</f>
        <v>Yes</v>
      </c>
      <c r="J139" s="5" t="str">
        <f ca="1">IFERROR(__xludf.DUMMYFUNCTION("""COMPUTED_VALUE"""),"Yes")</f>
        <v>Yes</v>
      </c>
      <c r="K139" s="5" t="str">
        <f ca="1">IFERROR(__xludf.DUMMYFUNCTION("""COMPUTED_VALUE"""),"Yes")</f>
        <v>Yes</v>
      </c>
      <c r="L139" s="5" t="str">
        <f ca="1">IFERROR(__xludf.DUMMYFUNCTION("""COMPUTED_VALUE"""),"Yes")</f>
        <v>Yes</v>
      </c>
      <c r="M139" s="5" t="str">
        <f ca="1">IFERROR(__xludf.DUMMYFUNCTION("""COMPUTED_VALUE"""),"Yes")</f>
        <v>Yes</v>
      </c>
      <c r="N139" s="5" t="str">
        <f ca="1">IFERROR(__xludf.DUMMYFUNCTION("""COMPUTED_VALUE"""),"Yes")</f>
        <v>Yes</v>
      </c>
      <c r="O139" s="5" t="str">
        <f ca="1">IFERROR(__xludf.DUMMYFUNCTION("""COMPUTED_VALUE"""),"Yes")</f>
        <v>Yes</v>
      </c>
      <c r="P139" s="5" t="str">
        <f ca="1">IFERROR(__xludf.DUMMYFUNCTION("""COMPUTED_VALUE"""),"Yes")</f>
        <v>Yes</v>
      </c>
      <c r="Q139" s="5" t="str">
        <f ca="1">IFERROR(__xludf.DUMMYFUNCTION("""COMPUTED_VALUE"""),"Yes")</f>
        <v>Yes</v>
      </c>
      <c r="R139" s="5" t="str">
        <f ca="1">IFERROR(__xludf.DUMMYFUNCTION("""COMPUTED_VALUE"""),"Yes")</f>
        <v>Yes</v>
      </c>
      <c r="S139" s="5" t="str">
        <f ca="1">IFERROR(__xludf.DUMMYFUNCTION("""COMPUTED_VALUE"""),"Yes")</f>
        <v>Yes</v>
      </c>
      <c r="T139" s="5" t="str">
        <f ca="1">IFERROR(__xludf.DUMMYFUNCTION("""COMPUTED_VALUE"""),"Yes")</f>
        <v>Yes</v>
      </c>
      <c r="U139" s="5" t="str">
        <f ca="1">IFERROR(__xludf.DUMMYFUNCTION("""COMPUTED_VALUE"""),"Yes")</f>
        <v>Yes</v>
      </c>
      <c r="V139" s="5" t="str">
        <f ca="1">IFERROR(__xludf.DUMMYFUNCTION("""COMPUTED_VALUE"""),"Yes")</f>
        <v>Yes</v>
      </c>
      <c r="W139" s="5" t="str">
        <f ca="1">IFERROR(__xludf.DUMMYFUNCTION("""COMPUTED_VALUE"""),"Yes")</f>
        <v>Yes</v>
      </c>
      <c r="X139" s="5" t="str">
        <f ca="1">IFERROR(__xludf.DUMMYFUNCTION("""COMPUTED_VALUE"""),"Yes")</f>
        <v>Yes</v>
      </c>
      <c r="Y139" s="5" t="str">
        <f ca="1">IFERROR(__xludf.DUMMYFUNCTION("""COMPUTED_VALUE"""),"Yes")</f>
        <v>Yes</v>
      </c>
      <c r="Z139" s="5" t="str">
        <f ca="1">IFERROR(__xludf.DUMMYFUNCTION("""COMPUTED_VALUE"""),"No")</f>
        <v>No</v>
      </c>
      <c r="AA139" s="5" t="str">
        <f ca="1">IFERROR(__xludf.DUMMYFUNCTION("""COMPUTED_VALUE"""),"Yes")</f>
        <v>Yes</v>
      </c>
      <c r="AB139" s="5" t="str">
        <f ca="1">IFERROR(__xludf.DUMMYFUNCTION("""COMPUTED_VALUE"""),"Yes")</f>
        <v>Yes</v>
      </c>
      <c r="AC139" s="5" t="str">
        <f ca="1">IFERROR(__xludf.DUMMYFUNCTION("""COMPUTED_VALUE"""),"Yes")</f>
        <v>Yes</v>
      </c>
      <c r="AD139" s="5" t="str">
        <f ca="1">IFERROR(__xludf.DUMMYFUNCTION("""COMPUTED_VALUE"""),"Yes")</f>
        <v>Yes</v>
      </c>
      <c r="AE139" s="5" t="str">
        <f ca="1">IFERROR(__xludf.DUMMYFUNCTION("""COMPUTED_VALUE"""),"No")</f>
        <v>No</v>
      </c>
      <c r="AF139" s="5" t="str">
        <f ca="1">IFERROR(__xludf.DUMMYFUNCTION("""COMPUTED_VALUE"""),"Yes")</f>
        <v>Yes</v>
      </c>
      <c r="AG139" s="5" t="str">
        <f ca="1">IFERROR(__xludf.DUMMYFUNCTION("""COMPUTED_VALUE"""),"No")</f>
        <v>No</v>
      </c>
      <c r="AH139" s="5" t="str">
        <f ca="1">IFERROR(__xludf.DUMMYFUNCTION("""COMPUTED_VALUE"""),"No")</f>
        <v>No</v>
      </c>
      <c r="AI139" s="5" t="str">
        <f ca="1">IFERROR(__xludf.DUMMYFUNCTION("""COMPUTED_VALUE"""),"No")</f>
        <v>No</v>
      </c>
      <c r="AJ139" s="5" t="str">
        <f ca="1">IFERROR(__xludf.DUMMYFUNCTION("""COMPUTED_VALUE"""),"No")</f>
        <v>No</v>
      </c>
      <c r="AK139" s="5" t="str">
        <f ca="1">IFERROR(__xludf.DUMMYFUNCTION("""COMPUTED_VALUE"""),"No")</f>
        <v>No</v>
      </c>
      <c r="AL139" s="5" t="str">
        <f ca="1">IFERROR(__xludf.DUMMYFUNCTION("""COMPUTED_VALUE"""),"No")</f>
        <v>No</v>
      </c>
      <c r="AM139" s="5"/>
      <c r="AN139" s="5"/>
      <c r="AO139" s="5"/>
      <c r="AP139" s="5"/>
      <c r="AQ139" s="5"/>
      <c r="AR139" s="5"/>
      <c r="AS139" s="5"/>
      <c r="AT139" s="5"/>
      <c r="AU139" s="5"/>
      <c r="AV139" s="5"/>
      <c r="AW139" s="5"/>
      <c r="AX139" s="5"/>
      <c r="AY139" s="5"/>
    </row>
    <row r="140" spans="1:51" x14ac:dyDescent="0.25">
      <c r="A1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40" s="5">
        <f ca="1">IFERROR(__xludf.DUMMYFUNCTION("""COMPUTED_VALUE"""),140)</f>
        <v>140</v>
      </c>
      <c r="C140" s="5">
        <f ca="1">IFERROR(__xludf.DUMMYFUNCTION("""COMPUTED_VALUE"""),139)</f>
        <v>139</v>
      </c>
      <c r="D140" s="5" t="str">
        <f ca="1">IFERROR(__xludf.DUMMYFUNCTION("""COMPUTED_VALUE"""),"BonusBells")</f>
        <v>BonusBells</v>
      </c>
      <c r="E140" s="5" t="str">
        <f ca="1">IFERROR(__xludf.DUMMYFUNCTION("""COMPUTED_VALUE"""),"Yes")</f>
        <v>Yes</v>
      </c>
      <c r="F140" s="5" t="str">
        <f ca="1">IFERROR(__xludf.DUMMYFUNCTION("""COMPUTED_VALUE"""),"Yes")</f>
        <v>Yes</v>
      </c>
      <c r="G140" s="5" t="str">
        <f ca="1">IFERROR(__xludf.DUMMYFUNCTION("""COMPUTED_VALUE"""),"Yes")</f>
        <v>Yes</v>
      </c>
      <c r="H140" s="5" t="str">
        <f ca="1">IFERROR(__xludf.DUMMYFUNCTION("""COMPUTED_VALUE"""),"Yes")</f>
        <v>Yes</v>
      </c>
      <c r="I140" s="5" t="str">
        <f ca="1">IFERROR(__xludf.DUMMYFUNCTION("""COMPUTED_VALUE"""),"Yes")</f>
        <v>Yes</v>
      </c>
      <c r="J140" s="5" t="str">
        <f ca="1">IFERROR(__xludf.DUMMYFUNCTION("""COMPUTED_VALUE"""),"Yes")</f>
        <v>Yes</v>
      </c>
      <c r="K140" s="5" t="str">
        <f ca="1">IFERROR(__xludf.DUMMYFUNCTION("""COMPUTED_VALUE"""),"Yes")</f>
        <v>Yes</v>
      </c>
      <c r="L140" s="5" t="str">
        <f ca="1">IFERROR(__xludf.DUMMYFUNCTION("""COMPUTED_VALUE"""),"Yes")</f>
        <v>Yes</v>
      </c>
      <c r="M140" s="5" t="str">
        <f ca="1">IFERROR(__xludf.DUMMYFUNCTION("""COMPUTED_VALUE"""),"Yes")</f>
        <v>Yes</v>
      </c>
      <c r="N140" s="5" t="str">
        <f ca="1">IFERROR(__xludf.DUMMYFUNCTION("""COMPUTED_VALUE"""),"Yes")</f>
        <v>Yes</v>
      </c>
      <c r="O140" s="5" t="str">
        <f ca="1">IFERROR(__xludf.DUMMYFUNCTION("""COMPUTED_VALUE"""),"Yes")</f>
        <v>Yes</v>
      </c>
      <c r="P140" s="5" t="str">
        <f ca="1">IFERROR(__xludf.DUMMYFUNCTION("""COMPUTED_VALUE"""),"Yes")</f>
        <v>Yes</v>
      </c>
      <c r="Q140" s="5" t="str">
        <f ca="1">IFERROR(__xludf.DUMMYFUNCTION("""COMPUTED_VALUE"""),"Yes")</f>
        <v>Yes</v>
      </c>
      <c r="R140" s="5" t="str">
        <f ca="1">IFERROR(__xludf.DUMMYFUNCTION("""COMPUTED_VALUE"""),"Yes")</f>
        <v>Yes</v>
      </c>
      <c r="S140" s="5" t="str">
        <f ca="1">IFERROR(__xludf.DUMMYFUNCTION("""COMPUTED_VALUE"""),"Yes")</f>
        <v>Yes</v>
      </c>
      <c r="T140" s="5" t="str">
        <f ca="1">IFERROR(__xludf.DUMMYFUNCTION("""COMPUTED_VALUE"""),"Yes")</f>
        <v>Yes</v>
      </c>
      <c r="U140" s="5" t="str">
        <f ca="1">IFERROR(__xludf.DUMMYFUNCTION("""COMPUTED_VALUE"""),"Yes")</f>
        <v>Yes</v>
      </c>
      <c r="V140" s="5" t="str">
        <f ca="1">IFERROR(__xludf.DUMMYFUNCTION("""COMPUTED_VALUE"""),"Yes")</f>
        <v>Yes</v>
      </c>
      <c r="W140" s="5" t="str">
        <f ca="1">IFERROR(__xludf.DUMMYFUNCTION("""COMPUTED_VALUE"""),"Yes")</f>
        <v>Yes</v>
      </c>
      <c r="X140" s="5" t="str">
        <f ca="1">IFERROR(__xludf.DUMMYFUNCTION("""COMPUTED_VALUE"""),"Yes")</f>
        <v>Yes</v>
      </c>
      <c r="Y140" s="5" t="str">
        <f ca="1">IFERROR(__xludf.DUMMYFUNCTION("""COMPUTED_VALUE"""),"Yes")</f>
        <v>Yes</v>
      </c>
      <c r="Z140" s="5" t="str">
        <f ca="1">IFERROR(__xludf.DUMMYFUNCTION("""COMPUTED_VALUE"""),"Yes")</f>
        <v>Yes</v>
      </c>
      <c r="AA140" s="5" t="str">
        <f ca="1">IFERROR(__xludf.DUMMYFUNCTION("""COMPUTED_VALUE"""),"Yes")</f>
        <v>Yes</v>
      </c>
      <c r="AB140" s="5" t="str">
        <f ca="1">IFERROR(__xludf.DUMMYFUNCTION("""COMPUTED_VALUE"""),"Yes")</f>
        <v>Yes</v>
      </c>
      <c r="AC140" s="5" t="str">
        <f ca="1">IFERROR(__xludf.DUMMYFUNCTION("""COMPUTED_VALUE"""),"Yes")</f>
        <v>Yes</v>
      </c>
      <c r="AD140" s="5" t="str">
        <f ca="1">IFERROR(__xludf.DUMMYFUNCTION("""COMPUTED_VALUE"""),"Yes")</f>
        <v>Yes</v>
      </c>
      <c r="AE140" s="5" t="str">
        <f ca="1">IFERROR(__xludf.DUMMYFUNCTION("""COMPUTED_VALUE"""),"Yes")</f>
        <v>Yes</v>
      </c>
      <c r="AF140" s="5" t="str">
        <f ca="1">IFERROR(__xludf.DUMMYFUNCTION("""COMPUTED_VALUE"""),"Yes")</f>
        <v>Yes</v>
      </c>
      <c r="AG140" s="5" t="str">
        <f ca="1">IFERROR(__xludf.DUMMYFUNCTION("""COMPUTED_VALUE"""),"Yes")</f>
        <v>Yes</v>
      </c>
      <c r="AH140" s="5" t="str">
        <f ca="1">IFERROR(__xludf.DUMMYFUNCTION("""COMPUTED_VALUE"""),"Yes")</f>
        <v>Yes</v>
      </c>
      <c r="AI140" s="5" t="str">
        <f ca="1">IFERROR(__xludf.DUMMYFUNCTION("""COMPUTED_VALUE"""),"No")</f>
        <v>No</v>
      </c>
      <c r="AJ140" s="5" t="str">
        <f ca="1">IFERROR(__xludf.DUMMYFUNCTION("""COMPUTED_VALUE"""),"No")</f>
        <v>No</v>
      </c>
      <c r="AK140" s="5" t="str">
        <f ca="1">IFERROR(__xludf.DUMMYFUNCTION("""COMPUTED_VALUE"""),"No")</f>
        <v>No</v>
      </c>
      <c r="AL140" s="5" t="str">
        <f ca="1">IFERROR(__xludf.DUMMYFUNCTION("""COMPUTED_VALUE"""),"No")</f>
        <v>No</v>
      </c>
      <c r="AM140" s="5"/>
      <c r="AN140" s="5"/>
      <c r="AO140" s="5"/>
      <c r="AP140" s="5"/>
      <c r="AQ140" s="5"/>
      <c r="AR140" s="5"/>
      <c r="AS140" s="5"/>
      <c r="AT140" s="5"/>
      <c r="AU140" s="5"/>
      <c r="AV140" s="5"/>
      <c r="AW140" s="5"/>
      <c r="AX140" s="5"/>
      <c r="AY140" s="5"/>
    </row>
    <row r="141" spans="1:51" x14ac:dyDescent="0.25">
      <c r="A1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1" s="5">
        <f ca="1">IFERROR(__xludf.DUMMYFUNCTION("""COMPUTED_VALUE"""),141)</f>
        <v>141</v>
      </c>
      <c r="C141" s="5">
        <f ca="1">IFERROR(__xludf.DUMMYFUNCTION("""COMPUTED_VALUE"""),140)</f>
        <v>140</v>
      </c>
      <c r="D141" s="5" t="str">
        <f ca="1">IFERROR(__xludf.DUMMYFUNCTION("""COMPUTED_VALUE"""),"FruityHot")</f>
        <v>FruityHot</v>
      </c>
      <c r="E141" s="5" t="str">
        <f ca="1">IFERROR(__xludf.DUMMYFUNCTION("""COMPUTED_VALUE"""),"Yes")</f>
        <v>Yes</v>
      </c>
      <c r="F141" s="5" t="str">
        <f ca="1">IFERROR(__xludf.DUMMYFUNCTION("""COMPUTED_VALUE"""),"Yes")</f>
        <v>Yes</v>
      </c>
      <c r="G141" s="5" t="str">
        <f ca="1">IFERROR(__xludf.DUMMYFUNCTION("""COMPUTED_VALUE"""),"Yes")</f>
        <v>Yes</v>
      </c>
      <c r="H141" s="5" t="str">
        <f ca="1">IFERROR(__xludf.DUMMYFUNCTION("""COMPUTED_VALUE"""),"Yes")</f>
        <v>Yes</v>
      </c>
      <c r="I141" s="5" t="str">
        <f ca="1">IFERROR(__xludf.DUMMYFUNCTION("""COMPUTED_VALUE"""),"Yes")</f>
        <v>Yes</v>
      </c>
      <c r="J141" s="5" t="str">
        <f ca="1">IFERROR(__xludf.DUMMYFUNCTION("""COMPUTED_VALUE"""),"Yes")</f>
        <v>Yes</v>
      </c>
      <c r="K141" s="5" t="str">
        <f ca="1">IFERROR(__xludf.DUMMYFUNCTION("""COMPUTED_VALUE"""),"Yes")</f>
        <v>Yes</v>
      </c>
      <c r="L141" s="5" t="str">
        <f ca="1">IFERROR(__xludf.DUMMYFUNCTION("""COMPUTED_VALUE"""),"Yes")</f>
        <v>Yes</v>
      </c>
      <c r="M141" s="5" t="str">
        <f ca="1">IFERROR(__xludf.DUMMYFUNCTION("""COMPUTED_VALUE"""),"Yes")</f>
        <v>Yes</v>
      </c>
      <c r="N141" s="5" t="str">
        <f ca="1">IFERROR(__xludf.DUMMYFUNCTION("""COMPUTED_VALUE"""),"Yes")</f>
        <v>Yes</v>
      </c>
      <c r="O141" s="5" t="str">
        <f ca="1">IFERROR(__xludf.DUMMYFUNCTION("""COMPUTED_VALUE"""),"Yes")</f>
        <v>Yes</v>
      </c>
      <c r="P141" s="5" t="str">
        <f ca="1">IFERROR(__xludf.DUMMYFUNCTION("""COMPUTED_VALUE"""),"Yes")</f>
        <v>Yes</v>
      </c>
      <c r="Q141" s="5" t="str">
        <f ca="1">IFERROR(__xludf.DUMMYFUNCTION("""COMPUTED_VALUE"""),"Yes")</f>
        <v>Yes</v>
      </c>
      <c r="R141" s="5" t="str">
        <f ca="1">IFERROR(__xludf.DUMMYFUNCTION("""COMPUTED_VALUE"""),"Yes")</f>
        <v>Yes</v>
      </c>
      <c r="S141" s="5" t="str">
        <f ca="1">IFERROR(__xludf.DUMMYFUNCTION("""COMPUTED_VALUE"""),"Yes")</f>
        <v>Yes</v>
      </c>
      <c r="T141" s="5" t="str">
        <f ca="1">IFERROR(__xludf.DUMMYFUNCTION("""COMPUTED_VALUE"""),"Yes")</f>
        <v>Yes</v>
      </c>
      <c r="U141" s="5" t="str">
        <f ca="1">IFERROR(__xludf.DUMMYFUNCTION("""COMPUTED_VALUE"""),"Yes")</f>
        <v>Yes</v>
      </c>
      <c r="V141" s="5" t="str">
        <f ca="1">IFERROR(__xludf.DUMMYFUNCTION("""COMPUTED_VALUE"""),"Yes")</f>
        <v>Yes</v>
      </c>
      <c r="W141" s="5" t="str">
        <f ca="1">IFERROR(__xludf.DUMMYFUNCTION("""COMPUTED_VALUE"""),"Yes")</f>
        <v>Yes</v>
      </c>
      <c r="X141" s="5" t="str">
        <f ca="1">IFERROR(__xludf.DUMMYFUNCTION("""COMPUTED_VALUE"""),"Yes")</f>
        <v>Yes</v>
      </c>
      <c r="Y141" s="5" t="str">
        <f ca="1">IFERROR(__xludf.DUMMYFUNCTION("""COMPUTED_VALUE"""),"Yes")</f>
        <v>Yes</v>
      </c>
      <c r="Z141" s="5" t="str">
        <f ca="1">IFERROR(__xludf.DUMMYFUNCTION("""COMPUTED_VALUE"""),"No")</f>
        <v>No</v>
      </c>
      <c r="AA141" s="5" t="str">
        <f ca="1">IFERROR(__xludf.DUMMYFUNCTION("""COMPUTED_VALUE"""),"Yes")</f>
        <v>Yes</v>
      </c>
      <c r="AB141" s="5" t="str">
        <f ca="1">IFERROR(__xludf.DUMMYFUNCTION("""COMPUTED_VALUE"""),"Yes")</f>
        <v>Yes</v>
      </c>
      <c r="AC141" s="5" t="str">
        <f ca="1">IFERROR(__xludf.DUMMYFUNCTION("""COMPUTED_VALUE"""),"Yes")</f>
        <v>Yes</v>
      </c>
      <c r="AD141" s="5" t="str">
        <f ca="1">IFERROR(__xludf.DUMMYFUNCTION("""COMPUTED_VALUE"""),"Yes")</f>
        <v>Yes</v>
      </c>
      <c r="AE141" s="5" t="str">
        <f ca="1">IFERROR(__xludf.DUMMYFUNCTION("""COMPUTED_VALUE"""),"No")</f>
        <v>No</v>
      </c>
      <c r="AF141" s="5" t="str">
        <f ca="1">IFERROR(__xludf.DUMMYFUNCTION("""COMPUTED_VALUE"""),"Yes")</f>
        <v>Yes</v>
      </c>
      <c r="AG141" s="5" t="str">
        <f ca="1">IFERROR(__xludf.DUMMYFUNCTION("""COMPUTED_VALUE"""),"No")</f>
        <v>No</v>
      </c>
      <c r="AH141" s="5" t="str">
        <f ca="1">IFERROR(__xludf.DUMMYFUNCTION("""COMPUTED_VALUE"""),"No")</f>
        <v>No</v>
      </c>
      <c r="AI141" s="5" t="str">
        <f ca="1">IFERROR(__xludf.DUMMYFUNCTION("""COMPUTED_VALUE"""),"No")</f>
        <v>No</v>
      </c>
      <c r="AJ141" s="5" t="str">
        <f ca="1">IFERROR(__xludf.DUMMYFUNCTION("""COMPUTED_VALUE"""),"No")</f>
        <v>No</v>
      </c>
      <c r="AK141" s="5" t="str">
        <f ca="1">IFERROR(__xludf.DUMMYFUNCTION("""COMPUTED_VALUE"""),"No")</f>
        <v>No</v>
      </c>
      <c r="AL141" s="5" t="str">
        <f ca="1">IFERROR(__xludf.DUMMYFUNCTION("""COMPUTED_VALUE"""),"No")</f>
        <v>No</v>
      </c>
      <c r="AM141" s="5"/>
      <c r="AN141" s="5"/>
      <c r="AO141" s="5"/>
      <c r="AP141" s="5"/>
      <c r="AQ141" s="5"/>
      <c r="AR141" s="5"/>
      <c r="AS141" s="5"/>
      <c r="AT141" s="5"/>
      <c r="AU141" s="5"/>
      <c r="AV141" s="5"/>
      <c r="AW141" s="5"/>
      <c r="AX141" s="5"/>
      <c r="AY141" s="5"/>
    </row>
    <row r="142" spans="1:51" x14ac:dyDescent="0.25">
      <c r="A1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2" s="5">
        <f ca="1">IFERROR(__xludf.DUMMYFUNCTION("""COMPUTED_VALUE"""),142)</f>
        <v>142</v>
      </c>
      <c r="C142" s="5">
        <f ca="1">IFERROR(__xludf.DUMMYFUNCTION("""COMPUTED_VALUE"""),141)</f>
        <v>141</v>
      </c>
      <c r="D142" s="5" t="str">
        <f ca="1">IFERROR(__xludf.DUMMYFUNCTION("""COMPUTED_VALUE"""),"ActionHot40")</f>
        <v>ActionHot40</v>
      </c>
      <c r="E142" s="5" t="str">
        <f ca="1">IFERROR(__xludf.DUMMYFUNCTION("""COMPUTED_VALUE"""),"Yes")</f>
        <v>Yes</v>
      </c>
      <c r="F142" s="5" t="str">
        <f ca="1">IFERROR(__xludf.DUMMYFUNCTION("""COMPUTED_VALUE"""),"Yes")</f>
        <v>Yes</v>
      </c>
      <c r="G142" s="5" t="str">
        <f ca="1">IFERROR(__xludf.DUMMYFUNCTION("""COMPUTED_VALUE"""),"Yes")</f>
        <v>Yes</v>
      </c>
      <c r="H142" s="5" t="str">
        <f ca="1">IFERROR(__xludf.DUMMYFUNCTION("""COMPUTED_VALUE"""),"Yes")</f>
        <v>Yes</v>
      </c>
      <c r="I142" s="5" t="str">
        <f ca="1">IFERROR(__xludf.DUMMYFUNCTION("""COMPUTED_VALUE"""),"Yes")</f>
        <v>Yes</v>
      </c>
      <c r="J142" s="5" t="str">
        <f ca="1">IFERROR(__xludf.DUMMYFUNCTION("""COMPUTED_VALUE"""),"Yes")</f>
        <v>Yes</v>
      </c>
      <c r="K142" s="5" t="str">
        <f ca="1">IFERROR(__xludf.DUMMYFUNCTION("""COMPUTED_VALUE"""),"Yes")</f>
        <v>Yes</v>
      </c>
      <c r="L142" s="5" t="str">
        <f ca="1">IFERROR(__xludf.DUMMYFUNCTION("""COMPUTED_VALUE"""),"Yes")</f>
        <v>Yes</v>
      </c>
      <c r="M142" s="5" t="str">
        <f ca="1">IFERROR(__xludf.DUMMYFUNCTION("""COMPUTED_VALUE"""),"Yes")</f>
        <v>Yes</v>
      </c>
      <c r="N142" s="5" t="str">
        <f ca="1">IFERROR(__xludf.DUMMYFUNCTION("""COMPUTED_VALUE"""),"Yes")</f>
        <v>Yes</v>
      </c>
      <c r="O142" s="5" t="str">
        <f ca="1">IFERROR(__xludf.DUMMYFUNCTION("""COMPUTED_VALUE"""),"Yes")</f>
        <v>Yes</v>
      </c>
      <c r="P142" s="5" t="str">
        <f ca="1">IFERROR(__xludf.DUMMYFUNCTION("""COMPUTED_VALUE"""),"Yes")</f>
        <v>Yes</v>
      </c>
      <c r="Q142" s="5" t="str">
        <f ca="1">IFERROR(__xludf.DUMMYFUNCTION("""COMPUTED_VALUE"""),"Yes")</f>
        <v>Yes</v>
      </c>
      <c r="R142" s="5" t="str">
        <f ca="1">IFERROR(__xludf.DUMMYFUNCTION("""COMPUTED_VALUE"""),"Yes")</f>
        <v>Yes</v>
      </c>
      <c r="S142" s="5" t="str">
        <f ca="1">IFERROR(__xludf.DUMMYFUNCTION("""COMPUTED_VALUE"""),"Yes")</f>
        <v>Yes</v>
      </c>
      <c r="T142" s="5" t="str">
        <f ca="1">IFERROR(__xludf.DUMMYFUNCTION("""COMPUTED_VALUE"""),"Yes")</f>
        <v>Yes</v>
      </c>
      <c r="U142" s="5" t="str">
        <f ca="1">IFERROR(__xludf.DUMMYFUNCTION("""COMPUTED_VALUE"""),"Yes")</f>
        <v>Yes</v>
      </c>
      <c r="V142" s="5" t="str">
        <f ca="1">IFERROR(__xludf.DUMMYFUNCTION("""COMPUTED_VALUE"""),"Yes")</f>
        <v>Yes</v>
      </c>
      <c r="W142" s="5" t="str">
        <f ca="1">IFERROR(__xludf.DUMMYFUNCTION("""COMPUTED_VALUE"""),"Yes")</f>
        <v>Yes</v>
      </c>
      <c r="X142" s="5" t="str">
        <f ca="1">IFERROR(__xludf.DUMMYFUNCTION("""COMPUTED_VALUE"""),"Yes")</f>
        <v>Yes</v>
      </c>
      <c r="Y142" s="5" t="str">
        <f ca="1">IFERROR(__xludf.DUMMYFUNCTION("""COMPUTED_VALUE"""),"Yes")</f>
        <v>Yes</v>
      </c>
      <c r="Z142" s="5"/>
      <c r="AA142" s="5" t="str">
        <f ca="1">IFERROR(__xludf.DUMMYFUNCTION("""COMPUTED_VALUE"""),"Yes")</f>
        <v>Yes</v>
      </c>
      <c r="AB142" s="5" t="str">
        <f ca="1">IFERROR(__xludf.DUMMYFUNCTION("""COMPUTED_VALUE"""),"Yes")</f>
        <v>Yes</v>
      </c>
      <c r="AC142" s="5" t="str">
        <f ca="1">IFERROR(__xludf.DUMMYFUNCTION("""COMPUTED_VALUE"""),"Yes")</f>
        <v>Yes</v>
      </c>
      <c r="AD142" s="5" t="str">
        <f ca="1">IFERROR(__xludf.DUMMYFUNCTION("""COMPUTED_VALUE"""),"Yes")</f>
        <v>Yes</v>
      </c>
      <c r="AE142" s="5"/>
      <c r="AF142" s="5" t="str">
        <f ca="1">IFERROR(__xludf.DUMMYFUNCTION("""COMPUTED_VALUE"""),"Yes")</f>
        <v>Yes</v>
      </c>
      <c r="AG142" s="5"/>
      <c r="AH142" s="5"/>
      <c r="AI142" s="5"/>
      <c r="AJ142" s="5"/>
      <c r="AK142" s="5"/>
      <c r="AL142" s="5"/>
      <c r="AM142" s="5"/>
      <c r="AN142" s="5"/>
      <c r="AO142" s="5"/>
      <c r="AP142" s="5"/>
      <c r="AQ142" s="5"/>
      <c r="AR142" s="5"/>
      <c r="AS142" s="5"/>
      <c r="AT142" s="5"/>
      <c r="AU142" s="5"/>
      <c r="AV142" s="5"/>
      <c r="AW142" s="5"/>
      <c r="AX142" s="5"/>
      <c r="AY142" s="5"/>
    </row>
    <row r="143" spans="1:51" x14ac:dyDescent="0.25">
      <c r="A1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3" s="5">
        <f ca="1">IFERROR(__xludf.DUMMYFUNCTION("""COMPUTED_VALUE"""),143)</f>
        <v>143</v>
      </c>
      <c r="C143" s="5">
        <f ca="1">IFERROR(__xludf.DUMMYFUNCTION("""COMPUTED_VALUE"""),142)</f>
        <v>142</v>
      </c>
      <c r="D143" s="5" t="str">
        <f ca="1">IFERROR(__xludf.DUMMYFUNCTION("""COMPUTED_VALUE"""),"TurboPinn40")</f>
        <v>TurboPinn40</v>
      </c>
      <c r="E143" s="5" t="str">
        <f ca="1">IFERROR(__xludf.DUMMYFUNCTION("""COMPUTED_VALUE"""),"Yes")</f>
        <v>Yes</v>
      </c>
      <c r="F143" s="5" t="str">
        <f ca="1">IFERROR(__xludf.DUMMYFUNCTION("""COMPUTED_VALUE"""),"Yes")</f>
        <v>Yes</v>
      </c>
      <c r="G143" s="5" t="str">
        <f ca="1">IFERROR(__xludf.DUMMYFUNCTION("""COMPUTED_VALUE"""),"Yes")</f>
        <v>Yes</v>
      </c>
      <c r="H143" s="5" t="str">
        <f ca="1">IFERROR(__xludf.DUMMYFUNCTION("""COMPUTED_VALUE"""),"Yes")</f>
        <v>Yes</v>
      </c>
      <c r="I143" s="5" t="str">
        <f ca="1">IFERROR(__xludf.DUMMYFUNCTION("""COMPUTED_VALUE"""),"Yes")</f>
        <v>Yes</v>
      </c>
      <c r="J143" s="5" t="str">
        <f ca="1">IFERROR(__xludf.DUMMYFUNCTION("""COMPUTED_VALUE"""),"Yes")</f>
        <v>Yes</v>
      </c>
      <c r="K143" s="5" t="str">
        <f ca="1">IFERROR(__xludf.DUMMYFUNCTION("""COMPUTED_VALUE"""),"Yes")</f>
        <v>Yes</v>
      </c>
      <c r="L143" s="5" t="str">
        <f ca="1">IFERROR(__xludf.DUMMYFUNCTION("""COMPUTED_VALUE"""),"Yes")</f>
        <v>Yes</v>
      </c>
      <c r="M143" s="5" t="str">
        <f ca="1">IFERROR(__xludf.DUMMYFUNCTION("""COMPUTED_VALUE"""),"Yes")</f>
        <v>Yes</v>
      </c>
      <c r="N143" s="5" t="str">
        <f ca="1">IFERROR(__xludf.DUMMYFUNCTION("""COMPUTED_VALUE"""),"Yes")</f>
        <v>Yes</v>
      </c>
      <c r="O143" s="5" t="str">
        <f ca="1">IFERROR(__xludf.DUMMYFUNCTION("""COMPUTED_VALUE"""),"Yes")</f>
        <v>Yes</v>
      </c>
      <c r="P143" s="5" t="str">
        <f ca="1">IFERROR(__xludf.DUMMYFUNCTION("""COMPUTED_VALUE"""),"Yes")</f>
        <v>Yes</v>
      </c>
      <c r="Q143" s="5" t="str">
        <f ca="1">IFERROR(__xludf.DUMMYFUNCTION("""COMPUTED_VALUE"""),"Yes")</f>
        <v>Yes</v>
      </c>
      <c r="R143" s="5" t="str">
        <f ca="1">IFERROR(__xludf.DUMMYFUNCTION("""COMPUTED_VALUE"""),"Yes")</f>
        <v>Yes</v>
      </c>
      <c r="S143" s="5" t="str">
        <f ca="1">IFERROR(__xludf.DUMMYFUNCTION("""COMPUTED_VALUE"""),"Yes")</f>
        <v>Yes</v>
      </c>
      <c r="T143" s="5" t="str">
        <f ca="1">IFERROR(__xludf.DUMMYFUNCTION("""COMPUTED_VALUE"""),"Yes")</f>
        <v>Yes</v>
      </c>
      <c r="U143" s="5" t="str">
        <f ca="1">IFERROR(__xludf.DUMMYFUNCTION("""COMPUTED_VALUE"""),"Yes")</f>
        <v>Yes</v>
      </c>
      <c r="V143" s="5" t="str">
        <f ca="1">IFERROR(__xludf.DUMMYFUNCTION("""COMPUTED_VALUE"""),"Yes")</f>
        <v>Yes</v>
      </c>
      <c r="W143" s="5" t="str">
        <f ca="1">IFERROR(__xludf.DUMMYFUNCTION("""COMPUTED_VALUE"""),"Yes")</f>
        <v>Yes</v>
      </c>
      <c r="X143" s="5" t="str">
        <f ca="1">IFERROR(__xludf.DUMMYFUNCTION("""COMPUTED_VALUE"""),"Yes")</f>
        <v>Yes</v>
      </c>
      <c r="Y143" s="5" t="str">
        <f ca="1">IFERROR(__xludf.DUMMYFUNCTION("""COMPUTED_VALUE"""),"Yes")</f>
        <v>Yes</v>
      </c>
      <c r="Z143" s="5" t="str">
        <f ca="1">IFERROR(__xludf.DUMMYFUNCTION("""COMPUTED_VALUE"""),"No")</f>
        <v>No</v>
      </c>
      <c r="AA143" s="5" t="str">
        <f ca="1">IFERROR(__xludf.DUMMYFUNCTION("""COMPUTED_VALUE"""),"Yes")</f>
        <v>Yes</v>
      </c>
      <c r="AB143" s="5" t="str">
        <f ca="1">IFERROR(__xludf.DUMMYFUNCTION("""COMPUTED_VALUE"""),"Yes")</f>
        <v>Yes</v>
      </c>
      <c r="AC143" s="5" t="str">
        <f ca="1">IFERROR(__xludf.DUMMYFUNCTION("""COMPUTED_VALUE"""),"Yes")</f>
        <v>Yes</v>
      </c>
      <c r="AD143" s="5" t="str">
        <f ca="1">IFERROR(__xludf.DUMMYFUNCTION("""COMPUTED_VALUE"""),"Yes")</f>
        <v>Yes</v>
      </c>
      <c r="AE143" s="5" t="str">
        <f ca="1">IFERROR(__xludf.DUMMYFUNCTION("""COMPUTED_VALUE"""),"No")</f>
        <v>No</v>
      </c>
      <c r="AF143" s="5" t="str">
        <f ca="1">IFERROR(__xludf.DUMMYFUNCTION("""COMPUTED_VALUE"""),"Yes")</f>
        <v>Yes</v>
      </c>
      <c r="AG143" s="5" t="str">
        <f ca="1">IFERROR(__xludf.DUMMYFUNCTION("""COMPUTED_VALUE"""),"No")</f>
        <v>No</v>
      </c>
      <c r="AH143" s="5" t="str">
        <f ca="1">IFERROR(__xludf.DUMMYFUNCTION("""COMPUTED_VALUE"""),"No")</f>
        <v>No</v>
      </c>
      <c r="AI143" s="5" t="str">
        <f ca="1">IFERROR(__xludf.DUMMYFUNCTION("""COMPUTED_VALUE"""),"No")</f>
        <v>No</v>
      </c>
      <c r="AJ143" s="5" t="str">
        <f ca="1">IFERROR(__xludf.DUMMYFUNCTION("""COMPUTED_VALUE"""),"No")</f>
        <v>No</v>
      </c>
      <c r="AK143" s="5" t="str">
        <f ca="1">IFERROR(__xludf.DUMMYFUNCTION("""COMPUTED_VALUE"""),"No")</f>
        <v>No</v>
      </c>
      <c r="AL143" s="5" t="str">
        <f ca="1">IFERROR(__xludf.DUMMYFUNCTION("""COMPUTED_VALUE"""),"No")</f>
        <v>No</v>
      </c>
      <c r="AM143" s="5"/>
      <c r="AN143" s="5"/>
      <c r="AO143" s="5"/>
      <c r="AP143" s="5"/>
      <c r="AQ143" s="5"/>
      <c r="AR143" s="5"/>
      <c r="AS143" s="5"/>
      <c r="AT143" s="5"/>
      <c r="AU143" s="5"/>
      <c r="AV143" s="5"/>
      <c r="AW143" s="5"/>
      <c r="AX143" s="5"/>
      <c r="AY143" s="5"/>
    </row>
    <row r="144" spans="1:51" x14ac:dyDescent="0.25">
      <c r="A1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4" s="5">
        <f ca="1">IFERROR(__xludf.DUMMYFUNCTION("""COMPUTED_VALUE"""),144)</f>
        <v>144</v>
      </c>
      <c r="C144" s="5">
        <f ca="1">IFERROR(__xludf.DUMMYFUNCTION("""COMPUTED_VALUE"""),143)</f>
        <v>143</v>
      </c>
      <c r="D144" s="5" t="str">
        <f ca="1">IFERROR(__xludf.DUMMYFUNCTION("""COMPUTED_VALUE"""),"StarsOfOktagon")</f>
        <v>StarsOfOktagon</v>
      </c>
      <c r="E144" s="5" t="str">
        <f ca="1">IFERROR(__xludf.DUMMYFUNCTION("""COMPUTED_VALUE"""),"Yes")</f>
        <v>Yes</v>
      </c>
      <c r="F144" s="5" t="str">
        <f ca="1">IFERROR(__xludf.DUMMYFUNCTION("""COMPUTED_VALUE"""),"Yes")</f>
        <v>Yes</v>
      </c>
      <c r="G144" s="5" t="str">
        <f ca="1">IFERROR(__xludf.DUMMYFUNCTION("""COMPUTED_VALUE"""),"Yes")</f>
        <v>Yes</v>
      </c>
      <c r="H144" s="5" t="str">
        <f ca="1">IFERROR(__xludf.DUMMYFUNCTION("""COMPUTED_VALUE"""),"Yes")</f>
        <v>Yes</v>
      </c>
      <c r="I144" s="5" t="str">
        <f ca="1">IFERROR(__xludf.DUMMYFUNCTION("""COMPUTED_VALUE"""),"Yes")</f>
        <v>Yes</v>
      </c>
      <c r="J144" s="5" t="str">
        <f ca="1">IFERROR(__xludf.DUMMYFUNCTION("""COMPUTED_VALUE"""),"Yes")</f>
        <v>Yes</v>
      </c>
      <c r="K144" s="5" t="str">
        <f ca="1">IFERROR(__xludf.DUMMYFUNCTION("""COMPUTED_VALUE"""),"Yes")</f>
        <v>Yes</v>
      </c>
      <c r="L144" s="5" t="str">
        <f ca="1">IFERROR(__xludf.DUMMYFUNCTION("""COMPUTED_VALUE"""),"Yes")</f>
        <v>Yes</v>
      </c>
      <c r="M144" s="5" t="str">
        <f ca="1">IFERROR(__xludf.DUMMYFUNCTION("""COMPUTED_VALUE"""),"Yes")</f>
        <v>Yes</v>
      </c>
      <c r="N144" s="5" t="str">
        <f ca="1">IFERROR(__xludf.DUMMYFUNCTION("""COMPUTED_VALUE"""),"Yes")</f>
        <v>Yes</v>
      </c>
      <c r="O144" s="5" t="str">
        <f ca="1">IFERROR(__xludf.DUMMYFUNCTION("""COMPUTED_VALUE"""),"Yes")</f>
        <v>Yes</v>
      </c>
      <c r="P144" s="5" t="str">
        <f ca="1">IFERROR(__xludf.DUMMYFUNCTION("""COMPUTED_VALUE"""),"Yes")</f>
        <v>Yes</v>
      </c>
      <c r="Q144" s="5" t="str">
        <f ca="1">IFERROR(__xludf.DUMMYFUNCTION("""COMPUTED_VALUE"""),"Yes")</f>
        <v>Yes</v>
      </c>
      <c r="R144" s="5" t="str">
        <f ca="1">IFERROR(__xludf.DUMMYFUNCTION("""COMPUTED_VALUE"""),"Yes")</f>
        <v>Yes</v>
      </c>
      <c r="S144" s="5" t="str">
        <f ca="1">IFERROR(__xludf.DUMMYFUNCTION("""COMPUTED_VALUE"""),"Yes")</f>
        <v>Yes</v>
      </c>
      <c r="T144" s="5" t="str">
        <f ca="1">IFERROR(__xludf.DUMMYFUNCTION("""COMPUTED_VALUE"""),"Yes")</f>
        <v>Yes</v>
      </c>
      <c r="U144" s="5" t="str">
        <f ca="1">IFERROR(__xludf.DUMMYFUNCTION("""COMPUTED_VALUE"""),"Yes")</f>
        <v>Yes</v>
      </c>
      <c r="V144" s="5" t="str">
        <f ca="1">IFERROR(__xludf.DUMMYFUNCTION("""COMPUTED_VALUE"""),"Yes")</f>
        <v>Yes</v>
      </c>
      <c r="W144" s="5" t="str">
        <f ca="1">IFERROR(__xludf.DUMMYFUNCTION("""COMPUTED_VALUE"""),"Yes")</f>
        <v>Yes</v>
      </c>
      <c r="X144" s="5" t="str">
        <f ca="1">IFERROR(__xludf.DUMMYFUNCTION("""COMPUTED_VALUE"""),"Yes")</f>
        <v>Yes</v>
      </c>
      <c r="Y144" s="5" t="str">
        <f ca="1">IFERROR(__xludf.DUMMYFUNCTION("""COMPUTED_VALUE"""),"Yes")</f>
        <v>Yes</v>
      </c>
      <c r="Z144" s="5" t="str">
        <f ca="1">IFERROR(__xludf.DUMMYFUNCTION("""COMPUTED_VALUE"""),"No")</f>
        <v>No</v>
      </c>
      <c r="AA144" s="5" t="str">
        <f ca="1">IFERROR(__xludf.DUMMYFUNCTION("""COMPUTED_VALUE"""),"Yes")</f>
        <v>Yes</v>
      </c>
      <c r="AB144" s="5" t="str">
        <f ca="1">IFERROR(__xludf.DUMMYFUNCTION("""COMPUTED_VALUE"""),"Yes")</f>
        <v>Yes</v>
      </c>
      <c r="AC144" s="5" t="str">
        <f ca="1">IFERROR(__xludf.DUMMYFUNCTION("""COMPUTED_VALUE"""),"Yes")</f>
        <v>Yes</v>
      </c>
      <c r="AD144" s="5" t="str">
        <f ca="1">IFERROR(__xludf.DUMMYFUNCTION("""COMPUTED_VALUE"""),"Yes")</f>
        <v>Yes</v>
      </c>
      <c r="AE144" s="5" t="str">
        <f ca="1">IFERROR(__xludf.DUMMYFUNCTION("""COMPUTED_VALUE"""),"No")</f>
        <v>No</v>
      </c>
      <c r="AF144" s="5" t="str">
        <f ca="1">IFERROR(__xludf.DUMMYFUNCTION("""COMPUTED_VALUE"""),"Yes")</f>
        <v>Yes</v>
      </c>
      <c r="AG144" s="5" t="str">
        <f ca="1">IFERROR(__xludf.DUMMYFUNCTION("""COMPUTED_VALUE"""),"No")</f>
        <v>No</v>
      </c>
      <c r="AH144" s="5" t="str">
        <f ca="1">IFERROR(__xludf.DUMMYFUNCTION("""COMPUTED_VALUE"""),"No")</f>
        <v>No</v>
      </c>
      <c r="AI144" s="5" t="str">
        <f ca="1">IFERROR(__xludf.DUMMYFUNCTION("""COMPUTED_VALUE"""),"No")</f>
        <v>No</v>
      </c>
      <c r="AJ144" s="5" t="str">
        <f ca="1">IFERROR(__xludf.DUMMYFUNCTION("""COMPUTED_VALUE"""),"No")</f>
        <v>No</v>
      </c>
      <c r="AK144" s="5" t="str">
        <f ca="1">IFERROR(__xludf.DUMMYFUNCTION("""COMPUTED_VALUE"""),"No")</f>
        <v>No</v>
      </c>
      <c r="AL144" s="5" t="str">
        <f ca="1">IFERROR(__xludf.DUMMYFUNCTION("""COMPUTED_VALUE"""),"No")</f>
        <v>No</v>
      </c>
      <c r="AM144" s="5"/>
      <c r="AN144" s="5"/>
      <c r="AO144" s="5"/>
      <c r="AP144" s="5"/>
      <c r="AQ144" s="5"/>
      <c r="AR144" s="5"/>
      <c r="AS144" s="5"/>
      <c r="AT144" s="5"/>
      <c r="AU144" s="5"/>
      <c r="AV144" s="5"/>
      <c r="AW144" s="5"/>
      <c r="AX144" s="5"/>
      <c r="AY144" s="5"/>
    </row>
    <row r="145" spans="1:51" x14ac:dyDescent="0.25">
      <c r="A1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5" s="5">
        <f ca="1">IFERROR(__xludf.DUMMYFUNCTION("""COMPUTED_VALUE"""),145)</f>
        <v>145</v>
      </c>
      <c r="C145" s="5">
        <f ca="1">IFERROR(__xludf.DUMMYFUNCTION("""COMPUTED_VALUE"""),144)</f>
        <v>144</v>
      </c>
      <c r="D145" s="5" t="str">
        <f ca="1">IFERROR(__xludf.DUMMYFUNCTION("""COMPUTED_VALUE"""),"EyeOfTut")</f>
        <v>EyeOfTut</v>
      </c>
      <c r="E145" s="5" t="str">
        <f ca="1">IFERROR(__xludf.DUMMYFUNCTION("""COMPUTED_VALUE"""),"Yes")</f>
        <v>Yes</v>
      </c>
      <c r="F145" s="5" t="str">
        <f ca="1">IFERROR(__xludf.DUMMYFUNCTION("""COMPUTED_VALUE"""),"Yes")</f>
        <v>Yes</v>
      </c>
      <c r="G145" s="5" t="str">
        <f ca="1">IFERROR(__xludf.DUMMYFUNCTION("""COMPUTED_VALUE"""),"Yes")</f>
        <v>Yes</v>
      </c>
      <c r="H145" s="5" t="str">
        <f ca="1">IFERROR(__xludf.DUMMYFUNCTION("""COMPUTED_VALUE"""),"Yes")</f>
        <v>Yes</v>
      </c>
      <c r="I145" s="5" t="str">
        <f ca="1">IFERROR(__xludf.DUMMYFUNCTION("""COMPUTED_VALUE"""),"Yes")</f>
        <v>Yes</v>
      </c>
      <c r="J145" s="5" t="str">
        <f ca="1">IFERROR(__xludf.DUMMYFUNCTION("""COMPUTED_VALUE"""),"Yes")</f>
        <v>Yes</v>
      </c>
      <c r="K145" s="5" t="str">
        <f ca="1">IFERROR(__xludf.DUMMYFUNCTION("""COMPUTED_VALUE"""),"Yes")</f>
        <v>Yes</v>
      </c>
      <c r="L145" s="5" t="str">
        <f ca="1">IFERROR(__xludf.DUMMYFUNCTION("""COMPUTED_VALUE"""),"Yes")</f>
        <v>Yes</v>
      </c>
      <c r="M145" s="5" t="str">
        <f ca="1">IFERROR(__xludf.DUMMYFUNCTION("""COMPUTED_VALUE"""),"Yes")</f>
        <v>Yes</v>
      </c>
      <c r="N145" s="5" t="str">
        <f ca="1">IFERROR(__xludf.DUMMYFUNCTION("""COMPUTED_VALUE"""),"Yes")</f>
        <v>Yes</v>
      </c>
      <c r="O145" s="5" t="str">
        <f ca="1">IFERROR(__xludf.DUMMYFUNCTION("""COMPUTED_VALUE"""),"Yes")</f>
        <v>Yes</v>
      </c>
      <c r="P145" s="5" t="str">
        <f ca="1">IFERROR(__xludf.DUMMYFUNCTION("""COMPUTED_VALUE"""),"Yes")</f>
        <v>Yes</v>
      </c>
      <c r="Q145" s="5" t="str">
        <f ca="1">IFERROR(__xludf.DUMMYFUNCTION("""COMPUTED_VALUE"""),"Yes")</f>
        <v>Yes</v>
      </c>
      <c r="R145" s="5" t="str">
        <f ca="1">IFERROR(__xludf.DUMMYFUNCTION("""COMPUTED_VALUE"""),"Yes")</f>
        <v>Yes</v>
      </c>
      <c r="S145" s="5" t="str">
        <f ca="1">IFERROR(__xludf.DUMMYFUNCTION("""COMPUTED_VALUE"""),"Yes")</f>
        <v>Yes</v>
      </c>
      <c r="T145" s="5" t="str">
        <f ca="1">IFERROR(__xludf.DUMMYFUNCTION("""COMPUTED_VALUE"""),"Yes")</f>
        <v>Yes</v>
      </c>
      <c r="U145" s="5" t="str">
        <f ca="1">IFERROR(__xludf.DUMMYFUNCTION("""COMPUTED_VALUE"""),"Yes")</f>
        <v>Yes</v>
      </c>
      <c r="V145" s="5" t="str">
        <f ca="1">IFERROR(__xludf.DUMMYFUNCTION("""COMPUTED_VALUE"""),"Yes")</f>
        <v>Yes</v>
      </c>
      <c r="W145" s="5" t="str">
        <f ca="1">IFERROR(__xludf.DUMMYFUNCTION("""COMPUTED_VALUE"""),"Yes")</f>
        <v>Yes</v>
      </c>
      <c r="X145" s="5" t="str">
        <f ca="1">IFERROR(__xludf.DUMMYFUNCTION("""COMPUTED_VALUE"""),"Yes")</f>
        <v>Yes</v>
      </c>
      <c r="Y145" s="5" t="str">
        <f ca="1">IFERROR(__xludf.DUMMYFUNCTION("""COMPUTED_VALUE"""),"Yes")</f>
        <v>Yes</v>
      </c>
      <c r="Z145" s="5" t="str">
        <f ca="1">IFERROR(__xludf.DUMMYFUNCTION("""COMPUTED_VALUE"""),"No")</f>
        <v>No</v>
      </c>
      <c r="AA145" s="5" t="str">
        <f ca="1">IFERROR(__xludf.DUMMYFUNCTION("""COMPUTED_VALUE"""),"Yes")</f>
        <v>Yes</v>
      </c>
      <c r="AB145" s="5" t="str">
        <f ca="1">IFERROR(__xludf.DUMMYFUNCTION("""COMPUTED_VALUE"""),"Yes")</f>
        <v>Yes</v>
      </c>
      <c r="AC145" s="5" t="str">
        <f ca="1">IFERROR(__xludf.DUMMYFUNCTION("""COMPUTED_VALUE"""),"Yes")</f>
        <v>Yes</v>
      </c>
      <c r="AD145" s="5" t="str">
        <f ca="1">IFERROR(__xludf.DUMMYFUNCTION("""COMPUTED_VALUE"""),"Yes")</f>
        <v>Yes</v>
      </c>
      <c r="AE145" s="5" t="str">
        <f ca="1">IFERROR(__xludf.DUMMYFUNCTION("""COMPUTED_VALUE"""),"No")</f>
        <v>No</v>
      </c>
      <c r="AF145" s="5" t="str">
        <f ca="1">IFERROR(__xludf.DUMMYFUNCTION("""COMPUTED_VALUE"""),"Yes")</f>
        <v>Yes</v>
      </c>
      <c r="AG145" s="5" t="str">
        <f ca="1">IFERROR(__xludf.DUMMYFUNCTION("""COMPUTED_VALUE"""),"No")</f>
        <v>No</v>
      </c>
      <c r="AH145" s="5" t="str">
        <f ca="1">IFERROR(__xludf.DUMMYFUNCTION("""COMPUTED_VALUE"""),"No")</f>
        <v>No</v>
      </c>
      <c r="AI145" s="5" t="str">
        <f ca="1">IFERROR(__xludf.DUMMYFUNCTION("""COMPUTED_VALUE"""),"No")</f>
        <v>No</v>
      </c>
      <c r="AJ145" s="5" t="str">
        <f ca="1">IFERROR(__xludf.DUMMYFUNCTION("""COMPUTED_VALUE"""),"No")</f>
        <v>No</v>
      </c>
      <c r="AK145" s="5" t="str">
        <f ca="1">IFERROR(__xludf.DUMMYFUNCTION("""COMPUTED_VALUE"""),"No")</f>
        <v>No</v>
      </c>
      <c r="AL145" s="5" t="str">
        <f ca="1">IFERROR(__xludf.DUMMYFUNCTION("""COMPUTED_VALUE"""),"No")</f>
        <v>No</v>
      </c>
      <c r="AM145" s="5"/>
      <c r="AN145" s="5"/>
      <c r="AO145" s="5"/>
      <c r="AP145" s="5"/>
      <c r="AQ145" s="5"/>
      <c r="AR145" s="5"/>
      <c r="AS145" s="5"/>
      <c r="AT145" s="5"/>
      <c r="AU145" s="5"/>
      <c r="AV145" s="5"/>
      <c r="AW145" s="5"/>
      <c r="AX145" s="5"/>
      <c r="AY145" s="5"/>
    </row>
    <row r="146" spans="1:51" x14ac:dyDescent="0.25">
      <c r="A1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6" s="5">
        <f ca="1">IFERROR(__xludf.DUMMYFUNCTION("""COMPUTED_VALUE"""),146)</f>
        <v>146</v>
      </c>
      <c r="C146" s="5">
        <f ca="1">IFERROR(__xludf.DUMMYFUNCTION("""COMPUTED_VALUE"""),145)</f>
        <v>145</v>
      </c>
      <c r="D146" s="5" t="str">
        <f ca="1">IFERROR(__xludf.DUMMYFUNCTION("""COMPUTED_VALUE"""),"FruityWin40")</f>
        <v>FruityWin40</v>
      </c>
      <c r="E146" s="5" t="str">
        <f ca="1">IFERROR(__xludf.DUMMYFUNCTION("""COMPUTED_VALUE"""),"Yes")</f>
        <v>Yes</v>
      </c>
      <c r="F146" s="5" t="str">
        <f ca="1">IFERROR(__xludf.DUMMYFUNCTION("""COMPUTED_VALUE"""),"Yes")</f>
        <v>Yes</v>
      </c>
      <c r="G146" s="5" t="str">
        <f ca="1">IFERROR(__xludf.DUMMYFUNCTION("""COMPUTED_VALUE"""),"Yes")</f>
        <v>Yes</v>
      </c>
      <c r="H146" s="5" t="str">
        <f ca="1">IFERROR(__xludf.DUMMYFUNCTION("""COMPUTED_VALUE"""),"Yes")</f>
        <v>Yes</v>
      </c>
      <c r="I146" s="5" t="str">
        <f ca="1">IFERROR(__xludf.DUMMYFUNCTION("""COMPUTED_VALUE"""),"Yes")</f>
        <v>Yes</v>
      </c>
      <c r="J146" s="5" t="str">
        <f ca="1">IFERROR(__xludf.DUMMYFUNCTION("""COMPUTED_VALUE"""),"Yes")</f>
        <v>Yes</v>
      </c>
      <c r="K146" s="5" t="str">
        <f ca="1">IFERROR(__xludf.DUMMYFUNCTION("""COMPUTED_VALUE"""),"Yes")</f>
        <v>Yes</v>
      </c>
      <c r="L146" s="5" t="str">
        <f ca="1">IFERROR(__xludf.DUMMYFUNCTION("""COMPUTED_VALUE"""),"Yes")</f>
        <v>Yes</v>
      </c>
      <c r="M146" s="5" t="str">
        <f ca="1">IFERROR(__xludf.DUMMYFUNCTION("""COMPUTED_VALUE"""),"Yes")</f>
        <v>Yes</v>
      </c>
      <c r="N146" s="5" t="str">
        <f ca="1">IFERROR(__xludf.DUMMYFUNCTION("""COMPUTED_VALUE"""),"Yes")</f>
        <v>Yes</v>
      </c>
      <c r="O146" s="5" t="str">
        <f ca="1">IFERROR(__xludf.DUMMYFUNCTION("""COMPUTED_VALUE"""),"Yes")</f>
        <v>Yes</v>
      </c>
      <c r="P146" s="5" t="str">
        <f ca="1">IFERROR(__xludf.DUMMYFUNCTION("""COMPUTED_VALUE"""),"Yes")</f>
        <v>Yes</v>
      </c>
      <c r="Q146" s="5" t="str">
        <f ca="1">IFERROR(__xludf.DUMMYFUNCTION("""COMPUTED_VALUE"""),"Yes")</f>
        <v>Yes</v>
      </c>
      <c r="R146" s="5" t="str">
        <f ca="1">IFERROR(__xludf.DUMMYFUNCTION("""COMPUTED_VALUE"""),"Yes")</f>
        <v>Yes</v>
      </c>
      <c r="S146" s="5" t="str">
        <f ca="1">IFERROR(__xludf.DUMMYFUNCTION("""COMPUTED_VALUE"""),"Yes")</f>
        <v>Yes</v>
      </c>
      <c r="T146" s="5" t="str">
        <f ca="1">IFERROR(__xludf.DUMMYFUNCTION("""COMPUTED_VALUE"""),"Yes")</f>
        <v>Yes</v>
      </c>
      <c r="U146" s="5" t="str">
        <f ca="1">IFERROR(__xludf.DUMMYFUNCTION("""COMPUTED_VALUE"""),"Yes")</f>
        <v>Yes</v>
      </c>
      <c r="V146" s="5" t="str">
        <f ca="1">IFERROR(__xludf.DUMMYFUNCTION("""COMPUTED_VALUE"""),"Yes")</f>
        <v>Yes</v>
      </c>
      <c r="W146" s="5" t="str">
        <f ca="1">IFERROR(__xludf.DUMMYFUNCTION("""COMPUTED_VALUE"""),"Yes")</f>
        <v>Yes</v>
      </c>
      <c r="X146" s="5" t="str">
        <f ca="1">IFERROR(__xludf.DUMMYFUNCTION("""COMPUTED_VALUE"""),"Yes")</f>
        <v>Yes</v>
      </c>
      <c r="Y146" s="5" t="str">
        <f ca="1">IFERROR(__xludf.DUMMYFUNCTION("""COMPUTED_VALUE"""),"Yes")</f>
        <v>Yes</v>
      </c>
      <c r="Z146" s="5" t="str">
        <f ca="1">IFERROR(__xludf.DUMMYFUNCTION("""COMPUTED_VALUE"""),"No")</f>
        <v>No</v>
      </c>
      <c r="AA146" s="5" t="str">
        <f ca="1">IFERROR(__xludf.DUMMYFUNCTION("""COMPUTED_VALUE"""),"Yes")</f>
        <v>Yes</v>
      </c>
      <c r="AB146" s="5" t="str">
        <f ca="1">IFERROR(__xludf.DUMMYFUNCTION("""COMPUTED_VALUE"""),"Yes")</f>
        <v>Yes</v>
      </c>
      <c r="AC146" s="5" t="str">
        <f ca="1">IFERROR(__xludf.DUMMYFUNCTION("""COMPUTED_VALUE"""),"Yes")</f>
        <v>Yes</v>
      </c>
      <c r="AD146" s="5" t="str">
        <f ca="1">IFERROR(__xludf.DUMMYFUNCTION("""COMPUTED_VALUE"""),"Yes")</f>
        <v>Yes</v>
      </c>
      <c r="AE146" s="5" t="str">
        <f ca="1">IFERROR(__xludf.DUMMYFUNCTION("""COMPUTED_VALUE"""),"No")</f>
        <v>No</v>
      </c>
      <c r="AF146" s="5" t="str">
        <f ca="1">IFERROR(__xludf.DUMMYFUNCTION("""COMPUTED_VALUE"""),"Yes")</f>
        <v>Yes</v>
      </c>
      <c r="AG146" s="5" t="str">
        <f ca="1">IFERROR(__xludf.DUMMYFUNCTION("""COMPUTED_VALUE"""),"No")</f>
        <v>No</v>
      </c>
      <c r="AH146" s="5" t="str">
        <f ca="1">IFERROR(__xludf.DUMMYFUNCTION("""COMPUTED_VALUE"""),"No")</f>
        <v>No</v>
      </c>
      <c r="AI146" s="5" t="str">
        <f ca="1">IFERROR(__xludf.DUMMYFUNCTION("""COMPUTED_VALUE"""),"No")</f>
        <v>No</v>
      </c>
      <c r="AJ146" s="5" t="str">
        <f ca="1">IFERROR(__xludf.DUMMYFUNCTION("""COMPUTED_VALUE"""),"No")</f>
        <v>No</v>
      </c>
      <c r="AK146" s="5" t="str">
        <f ca="1">IFERROR(__xludf.DUMMYFUNCTION("""COMPUTED_VALUE"""),"No")</f>
        <v>No</v>
      </c>
      <c r="AL146" s="5" t="str">
        <f ca="1">IFERROR(__xludf.DUMMYFUNCTION("""COMPUTED_VALUE"""),"No")</f>
        <v>No</v>
      </c>
      <c r="AM146" s="5"/>
      <c r="AN146" s="5"/>
      <c r="AO146" s="5"/>
      <c r="AP146" s="5"/>
      <c r="AQ146" s="5"/>
      <c r="AR146" s="5"/>
      <c r="AS146" s="5"/>
      <c r="AT146" s="5"/>
      <c r="AU146" s="5"/>
      <c r="AV146" s="5"/>
      <c r="AW146" s="5"/>
      <c r="AX146" s="5"/>
      <c r="AY146" s="5"/>
    </row>
    <row r="147" spans="1:51" x14ac:dyDescent="0.25">
      <c r="A1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7" s="5">
        <f ca="1">IFERROR(__xludf.DUMMYFUNCTION("""COMPUTED_VALUE"""),147)</f>
        <v>147</v>
      </c>
      <c r="C147" s="5">
        <f ca="1">IFERROR(__xludf.DUMMYFUNCTION("""COMPUTED_VALUE"""),146)</f>
        <v>146</v>
      </c>
      <c r="D147" s="5" t="str">
        <f ca="1">IFERROR(__xludf.DUMMYFUNCTION("""COMPUTED_VALUE"""),"ActionHot20")</f>
        <v>ActionHot20</v>
      </c>
      <c r="E147" s="5" t="str">
        <f ca="1">IFERROR(__xludf.DUMMYFUNCTION("""COMPUTED_VALUE"""),"Yes")</f>
        <v>Yes</v>
      </c>
      <c r="F147" s="5" t="str">
        <f ca="1">IFERROR(__xludf.DUMMYFUNCTION("""COMPUTED_VALUE"""),"Yes")</f>
        <v>Yes</v>
      </c>
      <c r="G147" s="5" t="str">
        <f ca="1">IFERROR(__xludf.DUMMYFUNCTION("""COMPUTED_VALUE"""),"Yes")</f>
        <v>Yes</v>
      </c>
      <c r="H147" s="5" t="str">
        <f ca="1">IFERROR(__xludf.DUMMYFUNCTION("""COMPUTED_VALUE"""),"Yes")</f>
        <v>Yes</v>
      </c>
      <c r="I147" s="5" t="str">
        <f ca="1">IFERROR(__xludf.DUMMYFUNCTION("""COMPUTED_VALUE"""),"Yes")</f>
        <v>Yes</v>
      </c>
      <c r="J147" s="5" t="str">
        <f ca="1">IFERROR(__xludf.DUMMYFUNCTION("""COMPUTED_VALUE"""),"Yes")</f>
        <v>Yes</v>
      </c>
      <c r="K147" s="5" t="str">
        <f ca="1">IFERROR(__xludf.DUMMYFUNCTION("""COMPUTED_VALUE"""),"Yes")</f>
        <v>Yes</v>
      </c>
      <c r="L147" s="5" t="str">
        <f ca="1">IFERROR(__xludf.DUMMYFUNCTION("""COMPUTED_VALUE"""),"Yes")</f>
        <v>Yes</v>
      </c>
      <c r="M147" s="5" t="str">
        <f ca="1">IFERROR(__xludf.DUMMYFUNCTION("""COMPUTED_VALUE"""),"Yes")</f>
        <v>Yes</v>
      </c>
      <c r="N147" s="5" t="str">
        <f ca="1">IFERROR(__xludf.DUMMYFUNCTION("""COMPUTED_VALUE"""),"Yes")</f>
        <v>Yes</v>
      </c>
      <c r="O147" s="5" t="str">
        <f ca="1">IFERROR(__xludf.DUMMYFUNCTION("""COMPUTED_VALUE"""),"Yes")</f>
        <v>Yes</v>
      </c>
      <c r="P147" s="5" t="str">
        <f ca="1">IFERROR(__xludf.DUMMYFUNCTION("""COMPUTED_VALUE"""),"Yes")</f>
        <v>Yes</v>
      </c>
      <c r="Q147" s="5" t="str">
        <f ca="1">IFERROR(__xludf.DUMMYFUNCTION("""COMPUTED_VALUE"""),"Yes")</f>
        <v>Yes</v>
      </c>
      <c r="R147" s="5" t="str">
        <f ca="1">IFERROR(__xludf.DUMMYFUNCTION("""COMPUTED_VALUE"""),"Yes")</f>
        <v>Yes</v>
      </c>
      <c r="S147" s="5" t="str">
        <f ca="1">IFERROR(__xludf.DUMMYFUNCTION("""COMPUTED_VALUE"""),"Yes")</f>
        <v>Yes</v>
      </c>
      <c r="T147" s="5" t="str">
        <f ca="1">IFERROR(__xludf.DUMMYFUNCTION("""COMPUTED_VALUE"""),"Yes")</f>
        <v>Yes</v>
      </c>
      <c r="U147" s="5" t="str">
        <f ca="1">IFERROR(__xludf.DUMMYFUNCTION("""COMPUTED_VALUE"""),"Yes")</f>
        <v>Yes</v>
      </c>
      <c r="V147" s="5" t="str">
        <f ca="1">IFERROR(__xludf.DUMMYFUNCTION("""COMPUTED_VALUE"""),"Yes")</f>
        <v>Yes</v>
      </c>
      <c r="W147" s="5" t="str">
        <f ca="1">IFERROR(__xludf.DUMMYFUNCTION("""COMPUTED_VALUE"""),"Yes")</f>
        <v>Yes</v>
      </c>
      <c r="X147" s="5" t="str">
        <f ca="1">IFERROR(__xludf.DUMMYFUNCTION("""COMPUTED_VALUE"""),"Yes")</f>
        <v>Yes</v>
      </c>
      <c r="Y147" s="5" t="str">
        <f ca="1">IFERROR(__xludf.DUMMYFUNCTION("""COMPUTED_VALUE"""),"Yes")</f>
        <v>Yes</v>
      </c>
      <c r="Z147" s="5"/>
      <c r="AA147" s="5" t="str">
        <f ca="1">IFERROR(__xludf.DUMMYFUNCTION("""COMPUTED_VALUE"""),"Yes")</f>
        <v>Yes</v>
      </c>
      <c r="AB147" s="5" t="str">
        <f ca="1">IFERROR(__xludf.DUMMYFUNCTION("""COMPUTED_VALUE"""),"Yes")</f>
        <v>Yes</v>
      </c>
      <c r="AC147" s="5" t="str">
        <f ca="1">IFERROR(__xludf.DUMMYFUNCTION("""COMPUTED_VALUE"""),"Yes")</f>
        <v>Yes</v>
      </c>
      <c r="AD147" s="5" t="str">
        <f ca="1">IFERROR(__xludf.DUMMYFUNCTION("""COMPUTED_VALUE"""),"Yes")</f>
        <v>Yes</v>
      </c>
      <c r="AE147" s="5"/>
      <c r="AF147" s="5" t="str">
        <f ca="1">IFERROR(__xludf.DUMMYFUNCTION("""COMPUTED_VALUE"""),"Yes")</f>
        <v>Yes</v>
      </c>
      <c r="AG147" s="5"/>
      <c r="AH147" s="5"/>
      <c r="AI147" s="5"/>
      <c r="AJ147" s="5"/>
      <c r="AK147" s="5"/>
      <c r="AL147" s="5"/>
      <c r="AM147" s="5"/>
      <c r="AN147" s="5"/>
      <c r="AO147" s="5"/>
      <c r="AP147" s="5"/>
      <c r="AQ147" s="5"/>
      <c r="AR147" s="5"/>
      <c r="AS147" s="5"/>
      <c r="AT147" s="5"/>
      <c r="AU147" s="5"/>
      <c r="AV147" s="5"/>
      <c r="AW147" s="5"/>
      <c r="AX147" s="5"/>
      <c r="AY147" s="5"/>
    </row>
    <row r="148" spans="1:51" x14ac:dyDescent="0.25">
      <c r="A1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8" s="5">
        <f ca="1">IFERROR(__xludf.DUMMYFUNCTION("""COMPUTED_VALUE"""),148)</f>
        <v>148</v>
      </c>
      <c r="C148" s="5">
        <f ca="1">IFERROR(__xludf.DUMMYFUNCTION("""COMPUTED_VALUE"""),147)</f>
        <v>147</v>
      </c>
      <c r="D148" s="5" t="str">
        <f ca="1">IFERROR(__xludf.DUMMYFUNCTION("""COMPUTED_VALUE"""),"JokerQueen")</f>
        <v>JokerQueen</v>
      </c>
      <c r="E148" s="5" t="str">
        <f ca="1">IFERROR(__xludf.DUMMYFUNCTION("""COMPUTED_VALUE"""),"Yes")</f>
        <v>Yes</v>
      </c>
      <c r="F148" s="5" t="str">
        <f ca="1">IFERROR(__xludf.DUMMYFUNCTION("""COMPUTED_VALUE"""),"Yes")</f>
        <v>Yes</v>
      </c>
      <c r="G148" s="5" t="str">
        <f ca="1">IFERROR(__xludf.DUMMYFUNCTION("""COMPUTED_VALUE"""),"Yes")</f>
        <v>Yes</v>
      </c>
      <c r="H148" s="5" t="str">
        <f ca="1">IFERROR(__xludf.DUMMYFUNCTION("""COMPUTED_VALUE"""),"Yes")</f>
        <v>Yes</v>
      </c>
      <c r="I148" s="5" t="str">
        <f ca="1">IFERROR(__xludf.DUMMYFUNCTION("""COMPUTED_VALUE"""),"Yes")</f>
        <v>Yes</v>
      </c>
      <c r="J148" s="5" t="str">
        <f ca="1">IFERROR(__xludf.DUMMYFUNCTION("""COMPUTED_VALUE"""),"Yes")</f>
        <v>Yes</v>
      </c>
      <c r="K148" s="5" t="str">
        <f ca="1">IFERROR(__xludf.DUMMYFUNCTION("""COMPUTED_VALUE"""),"Yes")</f>
        <v>Yes</v>
      </c>
      <c r="L148" s="5" t="str">
        <f ca="1">IFERROR(__xludf.DUMMYFUNCTION("""COMPUTED_VALUE"""),"Yes")</f>
        <v>Yes</v>
      </c>
      <c r="M148" s="5" t="str">
        <f ca="1">IFERROR(__xludf.DUMMYFUNCTION("""COMPUTED_VALUE"""),"Yes")</f>
        <v>Yes</v>
      </c>
      <c r="N148" s="5" t="str">
        <f ca="1">IFERROR(__xludf.DUMMYFUNCTION("""COMPUTED_VALUE"""),"Yes")</f>
        <v>Yes</v>
      </c>
      <c r="O148" s="5" t="str">
        <f ca="1">IFERROR(__xludf.DUMMYFUNCTION("""COMPUTED_VALUE"""),"Yes")</f>
        <v>Yes</v>
      </c>
      <c r="P148" s="5" t="str">
        <f ca="1">IFERROR(__xludf.DUMMYFUNCTION("""COMPUTED_VALUE"""),"Yes")</f>
        <v>Yes</v>
      </c>
      <c r="Q148" s="5" t="str">
        <f ca="1">IFERROR(__xludf.DUMMYFUNCTION("""COMPUTED_VALUE"""),"Yes")</f>
        <v>Yes</v>
      </c>
      <c r="R148" s="5" t="str">
        <f ca="1">IFERROR(__xludf.DUMMYFUNCTION("""COMPUTED_VALUE"""),"Yes")</f>
        <v>Yes</v>
      </c>
      <c r="S148" s="5" t="str">
        <f ca="1">IFERROR(__xludf.DUMMYFUNCTION("""COMPUTED_VALUE"""),"Yes")</f>
        <v>Yes</v>
      </c>
      <c r="T148" s="5" t="str">
        <f ca="1">IFERROR(__xludf.DUMMYFUNCTION("""COMPUTED_VALUE"""),"Yes")</f>
        <v>Yes</v>
      </c>
      <c r="U148" s="5" t="str">
        <f ca="1">IFERROR(__xludf.DUMMYFUNCTION("""COMPUTED_VALUE"""),"Yes")</f>
        <v>Yes</v>
      </c>
      <c r="V148" s="5" t="str">
        <f ca="1">IFERROR(__xludf.DUMMYFUNCTION("""COMPUTED_VALUE"""),"Yes")</f>
        <v>Yes</v>
      </c>
      <c r="W148" s="5" t="str">
        <f ca="1">IFERROR(__xludf.DUMMYFUNCTION("""COMPUTED_VALUE"""),"Yes")</f>
        <v>Yes</v>
      </c>
      <c r="X148" s="5" t="str">
        <f ca="1">IFERROR(__xludf.DUMMYFUNCTION("""COMPUTED_VALUE"""),"Yes")</f>
        <v>Yes</v>
      </c>
      <c r="Y148" s="5"/>
      <c r="Z148" s="5"/>
      <c r="AA148" s="5"/>
      <c r="AB148" s="5"/>
      <c r="AC148" s="5" t="str">
        <f ca="1">IFERROR(__xludf.DUMMYFUNCTION("""COMPUTED_VALUE"""),"Yes")</f>
        <v>Yes</v>
      </c>
      <c r="AD148" s="5"/>
      <c r="AE148" s="5"/>
      <c r="AF148" s="5"/>
      <c r="AG148" s="5"/>
      <c r="AH148" s="5"/>
      <c r="AI148" s="5"/>
      <c r="AJ148" s="5"/>
      <c r="AK148" s="5"/>
      <c r="AL148" s="5"/>
      <c r="AM148" s="5"/>
      <c r="AN148" s="5"/>
      <c r="AO148" s="5"/>
      <c r="AP148" s="5"/>
      <c r="AQ148" s="5"/>
      <c r="AR148" s="5"/>
      <c r="AS148" s="5"/>
      <c r="AT148" s="5"/>
      <c r="AU148" s="5"/>
      <c r="AV148" s="5"/>
      <c r="AW148" s="5"/>
      <c r="AX148" s="5"/>
      <c r="AY148" s="5"/>
    </row>
    <row r="149" spans="1:51" x14ac:dyDescent="0.25">
      <c r="A1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9" s="5">
        <f ca="1">IFERROR(__xludf.DUMMYFUNCTION("""COMPUTED_VALUE"""),149)</f>
        <v>149</v>
      </c>
      <c r="C149" s="5">
        <f ca="1">IFERROR(__xludf.DUMMYFUNCTION("""COMPUTED_VALUE"""),148)</f>
        <v>148</v>
      </c>
      <c r="D149" s="5" t="str">
        <f ca="1">IFERROR(__xludf.DUMMYFUNCTION("""COMPUTED_VALUE"""),"RouletteOnDemand")</f>
        <v>RouletteOnDemand</v>
      </c>
      <c r="E149" s="5" t="str">
        <f ca="1">IFERROR(__xludf.DUMMYFUNCTION("""COMPUTED_VALUE"""),"Yes")</f>
        <v>Yes</v>
      </c>
      <c r="F149" s="5" t="str">
        <f ca="1">IFERROR(__xludf.DUMMYFUNCTION("""COMPUTED_VALUE"""),"Yes")</f>
        <v>Yes</v>
      </c>
      <c r="G149" s="5" t="str">
        <f ca="1">IFERROR(__xludf.DUMMYFUNCTION("""COMPUTED_VALUE"""),"Yes")</f>
        <v>Yes</v>
      </c>
      <c r="H149" s="5" t="str">
        <f ca="1">IFERROR(__xludf.DUMMYFUNCTION("""COMPUTED_VALUE"""),"Yes")</f>
        <v>Yes</v>
      </c>
      <c r="I149" s="5" t="str">
        <f ca="1">IFERROR(__xludf.DUMMYFUNCTION("""COMPUTED_VALUE"""),"Yes")</f>
        <v>Yes</v>
      </c>
      <c r="J149" s="5" t="str">
        <f ca="1">IFERROR(__xludf.DUMMYFUNCTION("""COMPUTED_VALUE"""),"Yes")</f>
        <v>Yes</v>
      </c>
      <c r="K149" s="5" t="str">
        <f ca="1">IFERROR(__xludf.DUMMYFUNCTION("""COMPUTED_VALUE"""),"Yes")</f>
        <v>Yes</v>
      </c>
      <c r="L149" s="5" t="str">
        <f ca="1">IFERROR(__xludf.DUMMYFUNCTION("""COMPUTED_VALUE"""),"Yes")</f>
        <v>Yes</v>
      </c>
      <c r="M149" s="5" t="str">
        <f ca="1">IFERROR(__xludf.DUMMYFUNCTION("""COMPUTED_VALUE"""),"Yes")</f>
        <v>Yes</v>
      </c>
      <c r="N149" s="5" t="str">
        <f ca="1">IFERROR(__xludf.DUMMYFUNCTION("""COMPUTED_VALUE"""),"Yes")</f>
        <v>Yes</v>
      </c>
      <c r="O149" s="5" t="str">
        <f ca="1">IFERROR(__xludf.DUMMYFUNCTION("""COMPUTED_VALUE"""),"Yes")</f>
        <v>Yes</v>
      </c>
      <c r="P149" s="5" t="str">
        <f ca="1">IFERROR(__xludf.DUMMYFUNCTION("""COMPUTED_VALUE"""),"Yes")</f>
        <v>Yes</v>
      </c>
      <c r="Q149" s="5" t="str">
        <f ca="1">IFERROR(__xludf.DUMMYFUNCTION("""COMPUTED_VALUE"""),"Yes")</f>
        <v>Yes</v>
      </c>
      <c r="R149" s="5" t="str">
        <f ca="1">IFERROR(__xludf.DUMMYFUNCTION("""COMPUTED_VALUE"""),"Yes")</f>
        <v>Yes</v>
      </c>
      <c r="S149" s="5" t="str">
        <f ca="1">IFERROR(__xludf.DUMMYFUNCTION("""COMPUTED_VALUE"""),"Yes")</f>
        <v>Yes</v>
      </c>
      <c r="T149" s="5" t="str">
        <f ca="1">IFERROR(__xludf.DUMMYFUNCTION("""COMPUTED_VALUE"""),"Yes")</f>
        <v>Yes</v>
      </c>
      <c r="U149" s="5" t="str">
        <f ca="1">IFERROR(__xludf.DUMMYFUNCTION("""COMPUTED_VALUE"""),"Yes")</f>
        <v>Yes</v>
      </c>
      <c r="V149" s="5" t="str">
        <f ca="1">IFERROR(__xludf.DUMMYFUNCTION("""COMPUTED_VALUE"""),"Yes")</f>
        <v>Yes</v>
      </c>
      <c r="W149" s="5" t="str">
        <f ca="1">IFERROR(__xludf.DUMMYFUNCTION("""COMPUTED_VALUE"""),"Yes")</f>
        <v>Yes</v>
      </c>
      <c r="X149" s="5" t="str">
        <f ca="1">IFERROR(__xludf.DUMMYFUNCTION("""COMPUTED_VALUE"""),"Yes")</f>
        <v>Yes</v>
      </c>
      <c r="Y149" s="5"/>
      <c r="Z149" s="5"/>
      <c r="AA149" s="5"/>
      <c r="AB149" s="5"/>
      <c r="AC149" s="5" t="str">
        <f ca="1">IFERROR(__xludf.DUMMYFUNCTION("""COMPUTED_VALUE"""),"Yes")</f>
        <v>Yes</v>
      </c>
      <c r="AD149" s="5"/>
      <c r="AE149" s="5"/>
      <c r="AF149" s="5"/>
      <c r="AG149" s="5"/>
      <c r="AH149" s="5"/>
      <c r="AI149" s="5"/>
      <c r="AJ149" s="5"/>
      <c r="AK149" s="5"/>
      <c r="AL149" s="5"/>
      <c r="AM149" s="5"/>
      <c r="AN149" s="5"/>
      <c r="AO149" s="5"/>
      <c r="AP149" s="5"/>
      <c r="AQ149" s="5"/>
      <c r="AR149" s="5"/>
      <c r="AS149" s="5"/>
      <c r="AT149" s="5"/>
      <c r="AU149" s="5"/>
      <c r="AV149" s="5"/>
      <c r="AW149" s="5"/>
      <c r="AX149" s="5"/>
      <c r="AY149" s="5"/>
    </row>
    <row r="150" spans="1:51" x14ac:dyDescent="0.25">
      <c r="A1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0" s="5">
        <f ca="1">IFERROR(__xludf.DUMMYFUNCTION("""COMPUTED_VALUE"""),150)</f>
        <v>150</v>
      </c>
      <c r="C150" s="5">
        <f ca="1">IFERROR(__xludf.DUMMYFUNCTION("""COMPUTED_VALUE"""),149)</f>
        <v>149</v>
      </c>
      <c r="D150" s="5" t="str">
        <f ca="1">IFERROR(__xludf.DUMMYFUNCTION("""COMPUTED_VALUE"""),"OlimpHot")</f>
        <v>OlimpHot</v>
      </c>
      <c r="E150" s="5" t="str">
        <f ca="1">IFERROR(__xludf.DUMMYFUNCTION("""COMPUTED_VALUE"""),"Yes")</f>
        <v>Yes</v>
      </c>
      <c r="F150" s="5" t="str">
        <f ca="1">IFERROR(__xludf.DUMMYFUNCTION("""COMPUTED_VALUE"""),"Yes")</f>
        <v>Yes</v>
      </c>
      <c r="G150" s="5" t="str">
        <f ca="1">IFERROR(__xludf.DUMMYFUNCTION("""COMPUTED_VALUE"""),"Yes")</f>
        <v>Yes</v>
      </c>
      <c r="H150" s="5" t="str">
        <f ca="1">IFERROR(__xludf.DUMMYFUNCTION("""COMPUTED_VALUE"""),"Yes")</f>
        <v>Yes</v>
      </c>
      <c r="I150" s="5" t="str">
        <f ca="1">IFERROR(__xludf.DUMMYFUNCTION("""COMPUTED_VALUE"""),"Yes")</f>
        <v>Yes</v>
      </c>
      <c r="J150" s="5" t="str">
        <f ca="1">IFERROR(__xludf.DUMMYFUNCTION("""COMPUTED_VALUE"""),"Yes")</f>
        <v>Yes</v>
      </c>
      <c r="K150" s="5" t="str">
        <f ca="1">IFERROR(__xludf.DUMMYFUNCTION("""COMPUTED_VALUE"""),"Yes")</f>
        <v>Yes</v>
      </c>
      <c r="L150" s="5" t="str">
        <f ca="1">IFERROR(__xludf.DUMMYFUNCTION("""COMPUTED_VALUE"""),"Yes")</f>
        <v>Yes</v>
      </c>
      <c r="M150" s="5" t="str">
        <f ca="1">IFERROR(__xludf.DUMMYFUNCTION("""COMPUTED_VALUE"""),"Yes")</f>
        <v>Yes</v>
      </c>
      <c r="N150" s="5" t="str">
        <f ca="1">IFERROR(__xludf.DUMMYFUNCTION("""COMPUTED_VALUE"""),"Yes")</f>
        <v>Yes</v>
      </c>
      <c r="O150" s="5" t="str">
        <f ca="1">IFERROR(__xludf.DUMMYFUNCTION("""COMPUTED_VALUE"""),"Yes")</f>
        <v>Yes</v>
      </c>
      <c r="P150" s="5" t="str">
        <f ca="1">IFERROR(__xludf.DUMMYFUNCTION("""COMPUTED_VALUE"""),"Yes")</f>
        <v>Yes</v>
      </c>
      <c r="Q150" s="5" t="str">
        <f ca="1">IFERROR(__xludf.DUMMYFUNCTION("""COMPUTED_VALUE"""),"Yes")</f>
        <v>Yes</v>
      </c>
      <c r="R150" s="5" t="str">
        <f ca="1">IFERROR(__xludf.DUMMYFUNCTION("""COMPUTED_VALUE"""),"Yes")</f>
        <v>Yes</v>
      </c>
      <c r="S150" s="5" t="str">
        <f ca="1">IFERROR(__xludf.DUMMYFUNCTION("""COMPUTED_VALUE"""),"Yes")</f>
        <v>Yes</v>
      </c>
      <c r="T150" s="5" t="str">
        <f ca="1">IFERROR(__xludf.DUMMYFUNCTION("""COMPUTED_VALUE"""),"Yes")</f>
        <v>Yes</v>
      </c>
      <c r="U150" s="5" t="str">
        <f ca="1">IFERROR(__xludf.DUMMYFUNCTION("""COMPUTED_VALUE"""),"Yes")</f>
        <v>Yes</v>
      </c>
      <c r="V150" s="5" t="str">
        <f ca="1">IFERROR(__xludf.DUMMYFUNCTION("""COMPUTED_VALUE"""),"Yes")</f>
        <v>Yes</v>
      </c>
      <c r="W150" s="5" t="str">
        <f ca="1">IFERROR(__xludf.DUMMYFUNCTION("""COMPUTED_VALUE"""),"Yes")</f>
        <v>Yes</v>
      </c>
      <c r="X150" s="5" t="str">
        <f ca="1">IFERROR(__xludf.DUMMYFUNCTION("""COMPUTED_VALUE"""),"Yes")</f>
        <v>Yes</v>
      </c>
      <c r="Y150" s="5" t="str">
        <f ca="1">IFERROR(__xludf.DUMMYFUNCTION("""COMPUTED_VALUE"""),"Yes")</f>
        <v>Yes</v>
      </c>
      <c r="Z150" s="5" t="str">
        <f ca="1">IFERROR(__xludf.DUMMYFUNCTION("""COMPUTED_VALUE"""),"No")</f>
        <v>No</v>
      </c>
      <c r="AA150" s="5" t="str">
        <f ca="1">IFERROR(__xludf.DUMMYFUNCTION("""COMPUTED_VALUE"""),"Yes")</f>
        <v>Yes</v>
      </c>
      <c r="AB150" s="5" t="str">
        <f ca="1">IFERROR(__xludf.DUMMYFUNCTION("""COMPUTED_VALUE"""),"Yes")</f>
        <v>Yes</v>
      </c>
      <c r="AC150" s="5" t="str">
        <f ca="1">IFERROR(__xludf.DUMMYFUNCTION("""COMPUTED_VALUE"""),"Yes")</f>
        <v>Yes</v>
      </c>
      <c r="AD150" s="5" t="str">
        <f ca="1">IFERROR(__xludf.DUMMYFUNCTION("""COMPUTED_VALUE"""),"Yes")</f>
        <v>Yes</v>
      </c>
      <c r="AE150" s="5" t="str">
        <f ca="1">IFERROR(__xludf.DUMMYFUNCTION("""COMPUTED_VALUE"""),"No")</f>
        <v>No</v>
      </c>
      <c r="AF150" s="5" t="str">
        <f ca="1">IFERROR(__xludf.DUMMYFUNCTION("""COMPUTED_VALUE"""),"Yes")</f>
        <v>Yes</v>
      </c>
      <c r="AG150" s="5" t="str">
        <f ca="1">IFERROR(__xludf.DUMMYFUNCTION("""COMPUTED_VALUE"""),"No")</f>
        <v>No</v>
      </c>
      <c r="AH150" s="5" t="str">
        <f ca="1">IFERROR(__xludf.DUMMYFUNCTION("""COMPUTED_VALUE"""),"No")</f>
        <v>No</v>
      </c>
      <c r="AI150" s="5" t="str">
        <f ca="1">IFERROR(__xludf.DUMMYFUNCTION("""COMPUTED_VALUE"""),"No")</f>
        <v>No</v>
      </c>
      <c r="AJ150" s="5" t="str">
        <f ca="1">IFERROR(__xludf.DUMMYFUNCTION("""COMPUTED_VALUE"""),"No")</f>
        <v>No</v>
      </c>
      <c r="AK150" s="5" t="str">
        <f ca="1">IFERROR(__xludf.DUMMYFUNCTION("""COMPUTED_VALUE"""),"No")</f>
        <v>No</v>
      </c>
      <c r="AL150" s="5" t="str">
        <f ca="1">IFERROR(__xludf.DUMMYFUNCTION("""COMPUTED_VALUE"""),"No")</f>
        <v>No</v>
      </c>
      <c r="AM150" s="5"/>
      <c r="AN150" s="5"/>
      <c r="AO150" s="5"/>
      <c r="AP150" s="5"/>
      <c r="AQ150" s="5"/>
      <c r="AR150" s="5"/>
      <c r="AS150" s="5"/>
      <c r="AT150" s="5"/>
      <c r="AU150" s="5"/>
      <c r="AV150" s="5"/>
      <c r="AW150" s="5"/>
      <c r="AX150" s="5"/>
      <c r="AY150" s="5"/>
    </row>
    <row r="151" spans="1:51" x14ac:dyDescent="0.25">
      <c r="A1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1" s="5">
        <f ca="1">IFERROR(__xludf.DUMMYFUNCTION("""COMPUTED_VALUE"""),151)</f>
        <v>151</v>
      </c>
      <c r="C151" s="5">
        <f ca="1">IFERROR(__xludf.DUMMYFUNCTION("""COMPUTED_VALUE"""),150)</f>
        <v>150</v>
      </c>
      <c r="D151" s="5" t="str">
        <f ca="1">IFERROR(__xludf.DUMMYFUNCTION("""COMPUTED_VALUE"""),"CashBells40")</f>
        <v>CashBells40</v>
      </c>
      <c r="E151" s="5" t="str">
        <f ca="1">IFERROR(__xludf.DUMMYFUNCTION("""COMPUTED_VALUE"""),"Yes")</f>
        <v>Yes</v>
      </c>
      <c r="F151" s="5" t="str">
        <f ca="1">IFERROR(__xludf.DUMMYFUNCTION("""COMPUTED_VALUE"""),"Yes")</f>
        <v>Yes</v>
      </c>
      <c r="G151" s="5" t="str">
        <f ca="1">IFERROR(__xludf.DUMMYFUNCTION("""COMPUTED_VALUE"""),"Yes")</f>
        <v>Yes</v>
      </c>
      <c r="H151" s="5" t="str">
        <f ca="1">IFERROR(__xludf.DUMMYFUNCTION("""COMPUTED_VALUE"""),"Yes")</f>
        <v>Yes</v>
      </c>
      <c r="I151" s="5" t="str">
        <f ca="1">IFERROR(__xludf.DUMMYFUNCTION("""COMPUTED_VALUE"""),"Yes")</f>
        <v>Yes</v>
      </c>
      <c r="J151" s="5" t="str">
        <f ca="1">IFERROR(__xludf.DUMMYFUNCTION("""COMPUTED_VALUE"""),"Yes")</f>
        <v>Yes</v>
      </c>
      <c r="K151" s="5" t="str">
        <f ca="1">IFERROR(__xludf.DUMMYFUNCTION("""COMPUTED_VALUE"""),"Yes")</f>
        <v>Yes</v>
      </c>
      <c r="L151" s="5" t="str">
        <f ca="1">IFERROR(__xludf.DUMMYFUNCTION("""COMPUTED_VALUE"""),"Yes")</f>
        <v>Yes</v>
      </c>
      <c r="M151" s="5" t="str">
        <f ca="1">IFERROR(__xludf.DUMMYFUNCTION("""COMPUTED_VALUE"""),"Yes")</f>
        <v>Yes</v>
      </c>
      <c r="N151" s="5" t="str">
        <f ca="1">IFERROR(__xludf.DUMMYFUNCTION("""COMPUTED_VALUE"""),"Yes")</f>
        <v>Yes</v>
      </c>
      <c r="O151" s="5" t="str">
        <f ca="1">IFERROR(__xludf.DUMMYFUNCTION("""COMPUTED_VALUE"""),"Yes")</f>
        <v>Yes</v>
      </c>
      <c r="P151" s="5" t="str">
        <f ca="1">IFERROR(__xludf.DUMMYFUNCTION("""COMPUTED_VALUE"""),"Yes")</f>
        <v>Yes</v>
      </c>
      <c r="Q151" s="5" t="str">
        <f ca="1">IFERROR(__xludf.DUMMYFUNCTION("""COMPUTED_VALUE"""),"Yes")</f>
        <v>Yes</v>
      </c>
      <c r="R151" s="5" t="str">
        <f ca="1">IFERROR(__xludf.DUMMYFUNCTION("""COMPUTED_VALUE"""),"Yes")</f>
        <v>Yes</v>
      </c>
      <c r="S151" s="5" t="str">
        <f ca="1">IFERROR(__xludf.DUMMYFUNCTION("""COMPUTED_VALUE"""),"Yes")</f>
        <v>Yes</v>
      </c>
      <c r="T151" s="5" t="str">
        <f ca="1">IFERROR(__xludf.DUMMYFUNCTION("""COMPUTED_VALUE"""),"Yes")</f>
        <v>Yes</v>
      </c>
      <c r="U151" s="5" t="str">
        <f ca="1">IFERROR(__xludf.DUMMYFUNCTION("""COMPUTED_VALUE"""),"Yes")</f>
        <v>Yes</v>
      </c>
      <c r="V151" s="5" t="str">
        <f ca="1">IFERROR(__xludf.DUMMYFUNCTION("""COMPUTED_VALUE"""),"Yes")</f>
        <v>Yes</v>
      </c>
      <c r="W151" s="5" t="str">
        <f ca="1">IFERROR(__xludf.DUMMYFUNCTION("""COMPUTED_VALUE"""),"Yes")</f>
        <v>Yes</v>
      </c>
      <c r="X151" s="5" t="str">
        <f ca="1">IFERROR(__xludf.DUMMYFUNCTION("""COMPUTED_VALUE"""),"Yes")</f>
        <v>Yes</v>
      </c>
      <c r="Y151" s="5"/>
      <c r="Z151" s="5"/>
      <c r="AA151" s="5"/>
      <c r="AB151" s="5"/>
      <c r="AC151" s="5" t="str">
        <f ca="1">IFERROR(__xludf.DUMMYFUNCTION("""COMPUTED_VALUE"""),"Yes")</f>
        <v>Yes</v>
      </c>
      <c r="AD151" s="5"/>
      <c r="AE151" s="5"/>
      <c r="AF151" s="5"/>
      <c r="AG151" s="5"/>
      <c r="AH151" s="5"/>
      <c r="AI151" s="5"/>
      <c r="AJ151" s="5"/>
      <c r="AK151" s="5"/>
      <c r="AL151" s="5"/>
      <c r="AM151" s="5"/>
      <c r="AN151" s="5"/>
      <c r="AO151" s="5"/>
      <c r="AP151" s="5"/>
      <c r="AQ151" s="5"/>
      <c r="AR151" s="5"/>
      <c r="AS151" s="5"/>
      <c r="AT151" s="5"/>
      <c r="AU151" s="5"/>
      <c r="AV151" s="5"/>
      <c r="AW151" s="5"/>
      <c r="AX151" s="5"/>
      <c r="AY151" s="5"/>
    </row>
    <row r="152" spans="1:51" x14ac:dyDescent="0.25">
      <c r="A15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52" s="5">
        <f ca="1">IFERROR(__xludf.DUMMYFUNCTION("""COMPUTED_VALUE"""),152)</f>
        <v>152</v>
      </c>
      <c r="C152" s="5">
        <f ca="1">IFERROR(__xludf.DUMMYFUNCTION("""COMPUTED_VALUE"""),151)</f>
        <v>151</v>
      </c>
      <c r="D152" s="5" t="str">
        <f ca="1">IFERROR(__xludf.DUMMYFUNCTION("""COMPUTED_VALUE"""),"SimplyRunner")</f>
        <v>SimplyRunner</v>
      </c>
      <c r="E152" s="5" t="str">
        <f ca="1">IFERROR(__xludf.DUMMYFUNCTION("""COMPUTED_VALUE"""),"Yes")</f>
        <v>Yes</v>
      </c>
      <c r="F152" s="5" t="str">
        <f ca="1">IFERROR(__xludf.DUMMYFUNCTION("""COMPUTED_VALUE"""),"Yes")</f>
        <v>Yes</v>
      </c>
      <c r="G152" s="5" t="str">
        <f ca="1">IFERROR(__xludf.DUMMYFUNCTION("""COMPUTED_VALUE"""),"No")</f>
        <v>No</v>
      </c>
      <c r="H152" s="5" t="str">
        <f ca="1">IFERROR(__xludf.DUMMYFUNCTION("""COMPUTED_VALUE"""),"Yes")</f>
        <v>Yes</v>
      </c>
      <c r="I152" s="5" t="str">
        <f ca="1">IFERROR(__xludf.DUMMYFUNCTION("""COMPUTED_VALUE"""),"Yes")</f>
        <v>Yes</v>
      </c>
      <c r="J152" s="5" t="str">
        <f ca="1">IFERROR(__xludf.DUMMYFUNCTION("""COMPUTED_VALUE"""),"Yes")</f>
        <v>Yes</v>
      </c>
      <c r="K152" s="5" t="str">
        <f ca="1">IFERROR(__xludf.DUMMYFUNCTION("""COMPUTED_VALUE"""),"Yes")</f>
        <v>Yes</v>
      </c>
      <c r="L152" s="5" t="str">
        <f ca="1">IFERROR(__xludf.DUMMYFUNCTION("""COMPUTED_VALUE"""),"Yes")</f>
        <v>Yes</v>
      </c>
      <c r="M152" s="5" t="str">
        <f ca="1">IFERROR(__xludf.DUMMYFUNCTION("""COMPUTED_VALUE"""),"Yes")</f>
        <v>Yes</v>
      </c>
      <c r="N152" s="5" t="str">
        <f ca="1">IFERROR(__xludf.DUMMYFUNCTION("""COMPUTED_VALUE"""),"Yes")</f>
        <v>Yes</v>
      </c>
      <c r="O152" s="5" t="str">
        <f ca="1">IFERROR(__xludf.DUMMYFUNCTION("""COMPUTED_VALUE"""),"Yes")</f>
        <v>Yes</v>
      </c>
      <c r="P152" s="5" t="str">
        <f ca="1">IFERROR(__xludf.DUMMYFUNCTION("""COMPUTED_VALUE"""),"Yes")</f>
        <v>Yes</v>
      </c>
      <c r="Q152" s="5" t="str">
        <f ca="1">IFERROR(__xludf.DUMMYFUNCTION("""COMPUTED_VALUE"""),"Yes")</f>
        <v>Yes</v>
      </c>
      <c r="R152" s="5" t="str">
        <f ca="1">IFERROR(__xludf.DUMMYFUNCTION("""COMPUTED_VALUE"""),"Yes")</f>
        <v>Yes</v>
      </c>
      <c r="S152" s="5" t="str">
        <f ca="1">IFERROR(__xludf.DUMMYFUNCTION("""COMPUTED_VALUE"""),"Yes")</f>
        <v>Yes</v>
      </c>
      <c r="T152" s="5" t="str">
        <f ca="1">IFERROR(__xludf.DUMMYFUNCTION("""COMPUTED_VALUE"""),"No")</f>
        <v>No</v>
      </c>
      <c r="U152" s="5" t="str">
        <f ca="1">IFERROR(__xludf.DUMMYFUNCTION("""COMPUTED_VALUE"""),"No")</f>
        <v>No</v>
      </c>
      <c r="V152" s="5" t="str">
        <f ca="1">IFERROR(__xludf.DUMMYFUNCTION("""COMPUTED_VALUE"""),"No")</f>
        <v>No</v>
      </c>
      <c r="W152" s="5" t="str">
        <f ca="1">IFERROR(__xludf.DUMMYFUNCTION("""COMPUTED_VALUE"""),"No")</f>
        <v>No</v>
      </c>
      <c r="X152" s="5" t="str">
        <f ca="1">IFERROR(__xludf.DUMMYFUNCTION("""COMPUTED_VALUE"""),"No")</f>
        <v>No</v>
      </c>
      <c r="Y152" s="5" t="str">
        <f ca="1">IFERROR(__xludf.DUMMYFUNCTION("""COMPUTED_VALUE"""),"No")</f>
        <v>No</v>
      </c>
      <c r="Z152" s="5" t="str">
        <f ca="1">IFERROR(__xludf.DUMMYFUNCTION("""COMPUTED_VALUE"""),"No")</f>
        <v>No</v>
      </c>
      <c r="AA152" s="5" t="str">
        <f ca="1">IFERROR(__xludf.DUMMYFUNCTION("""COMPUTED_VALUE"""),"No")</f>
        <v>No</v>
      </c>
      <c r="AB152" s="5" t="str">
        <f ca="1">IFERROR(__xludf.DUMMYFUNCTION("""COMPUTED_VALUE"""),"No")</f>
        <v>No</v>
      </c>
      <c r="AC152" s="5" t="str">
        <f ca="1">IFERROR(__xludf.DUMMYFUNCTION("""COMPUTED_VALUE"""),"No")</f>
        <v>No</v>
      </c>
      <c r="AD152" s="5" t="str">
        <f ca="1">IFERROR(__xludf.DUMMYFUNCTION("""COMPUTED_VALUE"""),"No")</f>
        <v>No</v>
      </c>
      <c r="AE152" s="5" t="str">
        <f ca="1">IFERROR(__xludf.DUMMYFUNCTION("""COMPUTED_VALUE"""),"No")</f>
        <v>No</v>
      </c>
      <c r="AF152" s="5" t="str">
        <f ca="1">IFERROR(__xludf.DUMMYFUNCTION("""COMPUTED_VALUE"""),"Yes")</f>
        <v>Yes</v>
      </c>
      <c r="AG152" s="5" t="str">
        <f ca="1">IFERROR(__xludf.DUMMYFUNCTION("""COMPUTED_VALUE"""),"No")</f>
        <v>No</v>
      </c>
      <c r="AH152" s="5" t="str">
        <f ca="1">IFERROR(__xludf.DUMMYFUNCTION("""COMPUTED_VALUE"""),"Yes")</f>
        <v>Yes</v>
      </c>
      <c r="AI152" s="5" t="str">
        <f ca="1">IFERROR(__xludf.DUMMYFUNCTION("""COMPUTED_VALUE"""),"No")</f>
        <v>No</v>
      </c>
      <c r="AJ152" s="5" t="str">
        <f ca="1">IFERROR(__xludf.DUMMYFUNCTION("""COMPUTED_VALUE"""),"No")</f>
        <v>No</v>
      </c>
      <c r="AK152" s="5" t="str">
        <f ca="1">IFERROR(__xludf.DUMMYFUNCTION("""COMPUTED_VALUE"""),"No")</f>
        <v>No</v>
      </c>
      <c r="AL152" s="5" t="str">
        <f ca="1">IFERROR(__xludf.DUMMYFUNCTION("""COMPUTED_VALUE"""),"No")</f>
        <v>No</v>
      </c>
      <c r="AM152" s="5"/>
      <c r="AN152" s="5"/>
      <c r="AO152" s="5"/>
      <c r="AP152" s="5"/>
      <c r="AQ152" s="5"/>
      <c r="AR152" s="5"/>
      <c r="AS152" s="5"/>
      <c r="AT152" s="5"/>
      <c r="AU152" s="5"/>
      <c r="AV152" s="5"/>
      <c r="AW152" s="5"/>
      <c r="AX152" s="5"/>
      <c r="AY152" s="5"/>
    </row>
    <row r="153" spans="1:51" x14ac:dyDescent="0.25">
      <c r="A1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3" s="5">
        <f ca="1">IFERROR(__xludf.DUMMYFUNCTION("""COMPUTED_VALUE"""),153)</f>
        <v>153</v>
      </c>
      <c r="C153" s="5">
        <f ca="1">IFERROR(__xludf.DUMMYFUNCTION("""COMPUTED_VALUE"""),152)</f>
        <v>152</v>
      </c>
      <c r="D153" s="5" t="str">
        <f ca="1">IFERROR(__xludf.DUMMYFUNCTION("""COMPUTED_VALUE"""),"Unicorn20MegaFlames")</f>
        <v>Unicorn20MegaFlames</v>
      </c>
      <c r="E153" s="5" t="str">
        <f ca="1">IFERROR(__xludf.DUMMYFUNCTION("""COMPUTED_VALUE"""),"Yes")</f>
        <v>Yes</v>
      </c>
      <c r="F153" s="5" t="str">
        <f ca="1">IFERROR(__xludf.DUMMYFUNCTION("""COMPUTED_VALUE"""),"Yes")</f>
        <v>Yes</v>
      </c>
      <c r="G153" s="5" t="str">
        <f ca="1">IFERROR(__xludf.DUMMYFUNCTION("""COMPUTED_VALUE"""),"Yes")</f>
        <v>Yes</v>
      </c>
      <c r="H153" s="5" t="str">
        <f ca="1">IFERROR(__xludf.DUMMYFUNCTION("""COMPUTED_VALUE"""),"Yes")</f>
        <v>Yes</v>
      </c>
      <c r="I153" s="5" t="str">
        <f ca="1">IFERROR(__xludf.DUMMYFUNCTION("""COMPUTED_VALUE"""),"Yes")</f>
        <v>Yes</v>
      </c>
      <c r="J153" s="5" t="str">
        <f ca="1">IFERROR(__xludf.DUMMYFUNCTION("""COMPUTED_VALUE"""),"Yes")</f>
        <v>Yes</v>
      </c>
      <c r="K153" s="5" t="str">
        <f ca="1">IFERROR(__xludf.DUMMYFUNCTION("""COMPUTED_VALUE"""),"Yes")</f>
        <v>Yes</v>
      </c>
      <c r="L153" s="5" t="str">
        <f ca="1">IFERROR(__xludf.DUMMYFUNCTION("""COMPUTED_VALUE"""),"Yes")</f>
        <v>Yes</v>
      </c>
      <c r="M153" s="5" t="str">
        <f ca="1">IFERROR(__xludf.DUMMYFUNCTION("""COMPUTED_VALUE"""),"Yes")</f>
        <v>Yes</v>
      </c>
      <c r="N153" s="5" t="str">
        <f ca="1">IFERROR(__xludf.DUMMYFUNCTION("""COMPUTED_VALUE"""),"Yes")</f>
        <v>Yes</v>
      </c>
      <c r="O153" s="5" t="str">
        <f ca="1">IFERROR(__xludf.DUMMYFUNCTION("""COMPUTED_VALUE"""),"Yes")</f>
        <v>Yes</v>
      </c>
      <c r="P153" s="5" t="str">
        <f ca="1">IFERROR(__xludf.DUMMYFUNCTION("""COMPUTED_VALUE"""),"Yes")</f>
        <v>Yes</v>
      </c>
      <c r="Q153" s="5" t="str">
        <f ca="1">IFERROR(__xludf.DUMMYFUNCTION("""COMPUTED_VALUE"""),"Yes")</f>
        <v>Yes</v>
      </c>
      <c r="R153" s="5" t="str">
        <f ca="1">IFERROR(__xludf.DUMMYFUNCTION("""COMPUTED_VALUE"""),"Yes")</f>
        <v>Yes</v>
      </c>
      <c r="S153" s="5" t="str">
        <f ca="1">IFERROR(__xludf.DUMMYFUNCTION("""COMPUTED_VALUE"""),"Yes")</f>
        <v>Yes</v>
      </c>
      <c r="T153" s="5" t="str">
        <f ca="1">IFERROR(__xludf.DUMMYFUNCTION("""COMPUTED_VALUE"""),"Yes")</f>
        <v>Yes</v>
      </c>
      <c r="U153" s="5" t="str">
        <f ca="1">IFERROR(__xludf.DUMMYFUNCTION("""COMPUTED_VALUE"""),"Yes")</f>
        <v>Yes</v>
      </c>
      <c r="V153" s="5" t="str">
        <f ca="1">IFERROR(__xludf.DUMMYFUNCTION("""COMPUTED_VALUE"""),"Yes")</f>
        <v>Yes</v>
      </c>
      <c r="W153" s="5" t="str">
        <f ca="1">IFERROR(__xludf.DUMMYFUNCTION("""COMPUTED_VALUE"""),"Yes")</f>
        <v>Yes</v>
      </c>
      <c r="X153" s="5" t="str">
        <f ca="1">IFERROR(__xludf.DUMMYFUNCTION("""COMPUTED_VALUE"""),"Yes")</f>
        <v>Yes</v>
      </c>
      <c r="Y153" s="5"/>
      <c r="Z153" s="5"/>
      <c r="AA153" s="5"/>
      <c r="AB153" s="5"/>
      <c r="AC153" s="5" t="str">
        <f ca="1">IFERROR(__xludf.DUMMYFUNCTION("""COMPUTED_VALUE"""),"Yes")</f>
        <v>Yes</v>
      </c>
      <c r="AD153" s="5"/>
      <c r="AE153" s="5"/>
      <c r="AF153" s="5"/>
      <c r="AG153" s="5"/>
      <c r="AH153" s="5"/>
      <c r="AI153" s="5"/>
      <c r="AJ153" s="5"/>
      <c r="AK153" s="5"/>
      <c r="AL153" s="5"/>
      <c r="AM153" s="5"/>
      <c r="AN153" s="5"/>
      <c r="AO153" s="5"/>
      <c r="AP153" s="5"/>
      <c r="AQ153" s="5"/>
      <c r="AR153" s="5"/>
      <c r="AS153" s="5"/>
      <c r="AT153" s="5"/>
      <c r="AU153" s="5"/>
      <c r="AV153" s="5"/>
      <c r="AW153" s="5"/>
      <c r="AX153" s="5"/>
      <c r="AY153" s="5"/>
    </row>
    <row r="154" spans="1:51" x14ac:dyDescent="0.25">
      <c r="A1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4" s="5">
        <f ca="1">IFERROR(__xludf.DUMMYFUNCTION("""COMPUTED_VALUE"""),154)</f>
        <v>154</v>
      </c>
      <c r="C154" s="5">
        <f ca="1">IFERROR(__xludf.DUMMYFUNCTION("""COMPUTED_VALUE"""),153)</f>
        <v>153</v>
      </c>
      <c r="D154" s="5" t="str">
        <f ca="1">IFERROR(__xludf.DUMMYFUNCTION("""COMPUTED_VALUE"""),"VeryHot20")</f>
        <v>VeryHot20</v>
      </c>
      <c r="E154" s="5" t="str">
        <f ca="1">IFERROR(__xludf.DUMMYFUNCTION("""COMPUTED_VALUE"""),"Yes")</f>
        <v>Yes</v>
      </c>
      <c r="F154" s="5" t="str">
        <f ca="1">IFERROR(__xludf.DUMMYFUNCTION("""COMPUTED_VALUE"""),"Yes")</f>
        <v>Yes</v>
      </c>
      <c r="G154" s="5" t="str">
        <f ca="1">IFERROR(__xludf.DUMMYFUNCTION("""COMPUTED_VALUE"""),"Yes")</f>
        <v>Yes</v>
      </c>
      <c r="H154" s="5" t="str">
        <f ca="1">IFERROR(__xludf.DUMMYFUNCTION("""COMPUTED_VALUE"""),"Yes")</f>
        <v>Yes</v>
      </c>
      <c r="I154" s="5" t="str">
        <f ca="1">IFERROR(__xludf.DUMMYFUNCTION("""COMPUTED_VALUE"""),"Yes")</f>
        <v>Yes</v>
      </c>
      <c r="J154" s="5" t="str">
        <f ca="1">IFERROR(__xludf.DUMMYFUNCTION("""COMPUTED_VALUE"""),"Yes")</f>
        <v>Yes</v>
      </c>
      <c r="K154" s="5" t="str">
        <f ca="1">IFERROR(__xludf.DUMMYFUNCTION("""COMPUTED_VALUE"""),"Yes")</f>
        <v>Yes</v>
      </c>
      <c r="L154" s="5" t="str">
        <f ca="1">IFERROR(__xludf.DUMMYFUNCTION("""COMPUTED_VALUE"""),"Yes")</f>
        <v>Yes</v>
      </c>
      <c r="M154" s="5" t="str">
        <f ca="1">IFERROR(__xludf.DUMMYFUNCTION("""COMPUTED_VALUE"""),"Yes")</f>
        <v>Yes</v>
      </c>
      <c r="N154" s="5" t="str">
        <f ca="1">IFERROR(__xludf.DUMMYFUNCTION("""COMPUTED_VALUE"""),"Yes")</f>
        <v>Yes</v>
      </c>
      <c r="O154" s="5" t="str">
        <f ca="1">IFERROR(__xludf.DUMMYFUNCTION("""COMPUTED_VALUE"""),"Yes")</f>
        <v>Yes</v>
      </c>
      <c r="P154" s="5" t="str">
        <f ca="1">IFERROR(__xludf.DUMMYFUNCTION("""COMPUTED_VALUE"""),"Yes")</f>
        <v>Yes</v>
      </c>
      <c r="Q154" s="5" t="str">
        <f ca="1">IFERROR(__xludf.DUMMYFUNCTION("""COMPUTED_VALUE"""),"Yes")</f>
        <v>Yes</v>
      </c>
      <c r="R154" s="5" t="str">
        <f ca="1">IFERROR(__xludf.DUMMYFUNCTION("""COMPUTED_VALUE"""),"Yes")</f>
        <v>Yes</v>
      </c>
      <c r="S154" s="5" t="str">
        <f ca="1">IFERROR(__xludf.DUMMYFUNCTION("""COMPUTED_VALUE"""),"Yes")</f>
        <v>Yes</v>
      </c>
      <c r="T154" s="5" t="str">
        <f ca="1">IFERROR(__xludf.DUMMYFUNCTION("""COMPUTED_VALUE"""),"Yes")</f>
        <v>Yes</v>
      </c>
      <c r="U154" s="5" t="str">
        <f ca="1">IFERROR(__xludf.DUMMYFUNCTION("""COMPUTED_VALUE"""),"Yes")</f>
        <v>Yes</v>
      </c>
      <c r="V154" s="5" t="str">
        <f ca="1">IFERROR(__xludf.DUMMYFUNCTION("""COMPUTED_VALUE"""),"Yes")</f>
        <v>Yes</v>
      </c>
      <c r="W154" s="5" t="str">
        <f ca="1">IFERROR(__xludf.DUMMYFUNCTION("""COMPUTED_VALUE"""),"Yes")</f>
        <v>Yes</v>
      </c>
      <c r="X154" s="5" t="str">
        <f ca="1">IFERROR(__xludf.DUMMYFUNCTION("""COMPUTED_VALUE"""),"Yes")</f>
        <v>Yes</v>
      </c>
      <c r="Y154" s="5" t="str">
        <f ca="1">IFERROR(__xludf.DUMMYFUNCTION("""COMPUTED_VALUE"""),"Yes")</f>
        <v>Yes</v>
      </c>
      <c r="Z154" s="5" t="str">
        <f ca="1">IFERROR(__xludf.DUMMYFUNCTION("""COMPUTED_VALUE"""),"No")</f>
        <v>No</v>
      </c>
      <c r="AA154" s="5" t="str">
        <f ca="1">IFERROR(__xludf.DUMMYFUNCTION("""COMPUTED_VALUE"""),"Yes")</f>
        <v>Yes</v>
      </c>
      <c r="AB154" s="5" t="str">
        <f ca="1">IFERROR(__xludf.DUMMYFUNCTION("""COMPUTED_VALUE"""),"Yes")</f>
        <v>Yes</v>
      </c>
      <c r="AC154" s="5" t="str">
        <f ca="1">IFERROR(__xludf.DUMMYFUNCTION("""COMPUTED_VALUE"""),"Yes")</f>
        <v>Yes</v>
      </c>
      <c r="AD154" s="5" t="str">
        <f ca="1">IFERROR(__xludf.DUMMYFUNCTION("""COMPUTED_VALUE"""),"Yes")</f>
        <v>Yes</v>
      </c>
      <c r="AE154" s="5" t="str">
        <f ca="1">IFERROR(__xludf.DUMMYFUNCTION("""COMPUTED_VALUE"""),"No")</f>
        <v>No</v>
      </c>
      <c r="AF154" s="5" t="str">
        <f ca="1">IFERROR(__xludf.DUMMYFUNCTION("""COMPUTED_VALUE"""),"Yes")</f>
        <v>Yes</v>
      </c>
      <c r="AG154" s="5" t="str">
        <f ca="1">IFERROR(__xludf.DUMMYFUNCTION("""COMPUTED_VALUE"""),"No")</f>
        <v>No</v>
      </c>
      <c r="AH154" s="5" t="str">
        <f ca="1">IFERROR(__xludf.DUMMYFUNCTION("""COMPUTED_VALUE"""),"No")</f>
        <v>No</v>
      </c>
      <c r="AI154" s="5" t="str">
        <f ca="1">IFERROR(__xludf.DUMMYFUNCTION("""COMPUTED_VALUE"""),"No")</f>
        <v>No</v>
      </c>
      <c r="AJ154" s="5" t="str">
        <f ca="1">IFERROR(__xludf.DUMMYFUNCTION("""COMPUTED_VALUE"""),"No")</f>
        <v>No</v>
      </c>
      <c r="AK154" s="5" t="str">
        <f ca="1">IFERROR(__xludf.DUMMYFUNCTION("""COMPUTED_VALUE"""),"No")</f>
        <v>No</v>
      </c>
      <c r="AL154" s="5" t="str">
        <f ca="1">IFERROR(__xludf.DUMMYFUNCTION("""COMPUTED_VALUE"""),"No")</f>
        <v>No</v>
      </c>
      <c r="AM154" s="5"/>
      <c r="AN154" s="5"/>
      <c r="AO154" s="5"/>
      <c r="AP154" s="5"/>
      <c r="AQ154" s="5"/>
      <c r="AR154" s="5"/>
      <c r="AS154" s="5"/>
      <c r="AT154" s="5"/>
      <c r="AU154" s="5"/>
      <c r="AV154" s="5"/>
      <c r="AW154" s="5"/>
      <c r="AX154" s="5"/>
      <c r="AY154" s="5"/>
    </row>
    <row r="155" spans="1:51" x14ac:dyDescent="0.25">
      <c r="A1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55" s="5">
        <f ca="1">IFERROR(__xludf.DUMMYFUNCTION("""COMPUTED_VALUE"""),155)</f>
        <v>155</v>
      </c>
      <c r="C155" s="5">
        <f ca="1">IFERROR(__xludf.DUMMYFUNCTION("""COMPUTED_VALUE"""),154)</f>
        <v>154</v>
      </c>
      <c r="D155" s="5" t="str">
        <f ca="1">IFERROR(__xludf.DUMMYFUNCTION("""COMPUTED_VALUE"""),"KingOfThunder")</f>
        <v>KingOfThunder</v>
      </c>
      <c r="E155" s="5" t="str">
        <f ca="1">IFERROR(__xludf.DUMMYFUNCTION("""COMPUTED_VALUE"""),"Yes")</f>
        <v>Yes</v>
      </c>
      <c r="F155" s="5" t="str">
        <f ca="1">IFERROR(__xludf.DUMMYFUNCTION("""COMPUTED_VALUE"""),"Yes")</f>
        <v>Yes</v>
      </c>
      <c r="G155" s="5" t="str">
        <f ca="1">IFERROR(__xludf.DUMMYFUNCTION("""COMPUTED_VALUE"""),"Yes")</f>
        <v>Yes</v>
      </c>
      <c r="H155" s="5" t="str">
        <f ca="1">IFERROR(__xludf.DUMMYFUNCTION("""COMPUTED_VALUE"""),"Yes")</f>
        <v>Yes</v>
      </c>
      <c r="I155" s="5" t="str">
        <f ca="1">IFERROR(__xludf.DUMMYFUNCTION("""COMPUTED_VALUE"""),"Yes")</f>
        <v>Yes</v>
      </c>
      <c r="J155" s="5" t="str">
        <f ca="1">IFERROR(__xludf.DUMMYFUNCTION("""COMPUTED_VALUE"""),"Yes")</f>
        <v>Yes</v>
      </c>
      <c r="K155" s="5" t="str">
        <f ca="1">IFERROR(__xludf.DUMMYFUNCTION("""COMPUTED_VALUE"""),"Yes")</f>
        <v>Yes</v>
      </c>
      <c r="L155" s="5" t="str">
        <f ca="1">IFERROR(__xludf.DUMMYFUNCTION("""COMPUTED_VALUE"""),"Yes")</f>
        <v>Yes</v>
      </c>
      <c r="M155" s="5" t="str">
        <f ca="1">IFERROR(__xludf.DUMMYFUNCTION("""COMPUTED_VALUE"""),"Yes")</f>
        <v>Yes</v>
      </c>
      <c r="N155" s="5" t="str">
        <f ca="1">IFERROR(__xludf.DUMMYFUNCTION("""COMPUTED_VALUE"""),"Yes")</f>
        <v>Yes</v>
      </c>
      <c r="O155" s="5" t="str">
        <f ca="1">IFERROR(__xludf.DUMMYFUNCTION("""COMPUTED_VALUE"""),"Yes")</f>
        <v>Yes</v>
      </c>
      <c r="P155" s="5" t="str">
        <f ca="1">IFERROR(__xludf.DUMMYFUNCTION("""COMPUTED_VALUE"""),"Yes")</f>
        <v>Yes</v>
      </c>
      <c r="Q155" s="5" t="str">
        <f ca="1">IFERROR(__xludf.DUMMYFUNCTION("""COMPUTED_VALUE"""),"Yes")</f>
        <v>Yes</v>
      </c>
      <c r="R155" s="5" t="str">
        <f ca="1">IFERROR(__xludf.DUMMYFUNCTION("""COMPUTED_VALUE"""),"Yes")</f>
        <v>Yes</v>
      </c>
      <c r="S155" s="5" t="str">
        <f ca="1">IFERROR(__xludf.DUMMYFUNCTION("""COMPUTED_VALUE"""),"Yes")</f>
        <v>Yes</v>
      </c>
      <c r="T155" s="5" t="str">
        <f ca="1">IFERROR(__xludf.DUMMYFUNCTION("""COMPUTED_VALUE"""),"Yes")</f>
        <v>Yes</v>
      </c>
      <c r="U155" s="5" t="str">
        <f ca="1">IFERROR(__xludf.DUMMYFUNCTION("""COMPUTED_VALUE"""),"Yes")</f>
        <v>Yes</v>
      </c>
      <c r="V155" s="5" t="str">
        <f ca="1">IFERROR(__xludf.DUMMYFUNCTION("""COMPUTED_VALUE"""),"Yes")</f>
        <v>Yes</v>
      </c>
      <c r="W155" s="5" t="str">
        <f ca="1">IFERROR(__xludf.DUMMYFUNCTION("""COMPUTED_VALUE"""),"Yes")</f>
        <v>Yes</v>
      </c>
      <c r="X155" s="5" t="str">
        <f ca="1">IFERROR(__xludf.DUMMYFUNCTION("""COMPUTED_VALUE"""),"Yes")</f>
        <v>Yes</v>
      </c>
      <c r="Y155" s="5" t="str">
        <f ca="1">IFERROR(__xludf.DUMMYFUNCTION("""COMPUTED_VALUE"""),"Yes")</f>
        <v>Yes</v>
      </c>
      <c r="Z155" s="5" t="str">
        <f ca="1">IFERROR(__xludf.DUMMYFUNCTION("""COMPUTED_VALUE"""),"Yes")</f>
        <v>Yes</v>
      </c>
      <c r="AA155" s="5" t="str">
        <f ca="1">IFERROR(__xludf.DUMMYFUNCTION("""COMPUTED_VALUE"""),"Yes")</f>
        <v>Yes</v>
      </c>
      <c r="AB155" s="5" t="str">
        <f ca="1">IFERROR(__xludf.DUMMYFUNCTION("""COMPUTED_VALUE"""),"Yes")</f>
        <v>Yes</v>
      </c>
      <c r="AC155" s="5" t="str">
        <f ca="1">IFERROR(__xludf.DUMMYFUNCTION("""COMPUTED_VALUE"""),"Yes")</f>
        <v>Yes</v>
      </c>
      <c r="AD155" s="5" t="str">
        <f ca="1">IFERROR(__xludf.DUMMYFUNCTION("""COMPUTED_VALUE"""),"Yes")</f>
        <v>Yes</v>
      </c>
      <c r="AE155" s="5" t="str">
        <f ca="1">IFERROR(__xludf.DUMMYFUNCTION("""COMPUTED_VALUE"""),"Yes")</f>
        <v>Yes</v>
      </c>
      <c r="AF155" s="5" t="str">
        <f ca="1">IFERROR(__xludf.DUMMYFUNCTION("""COMPUTED_VALUE"""),"Yes")</f>
        <v>Yes</v>
      </c>
      <c r="AG155" s="5" t="str">
        <f ca="1">IFERROR(__xludf.DUMMYFUNCTION("""COMPUTED_VALUE"""),"Yes")</f>
        <v>Yes</v>
      </c>
      <c r="AH155" s="5" t="str">
        <f ca="1">IFERROR(__xludf.DUMMYFUNCTION("""COMPUTED_VALUE"""),"Yes")</f>
        <v>Yes</v>
      </c>
      <c r="AI155" s="5" t="str">
        <f ca="1">IFERROR(__xludf.DUMMYFUNCTION("""COMPUTED_VALUE"""),"No")</f>
        <v>No</v>
      </c>
      <c r="AJ155" s="5" t="str">
        <f ca="1">IFERROR(__xludf.DUMMYFUNCTION("""COMPUTED_VALUE"""),"No")</f>
        <v>No</v>
      </c>
      <c r="AK155" s="5" t="str">
        <f ca="1">IFERROR(__xludf.DUMMYFUNCTION("""COMPUTED_VALUE"""),"No")</f>
        <v>No</v>
      </c>
      <c r="AL155" s="5" t="str">
        <f ca="1">IFERROR(__xludf.DUMMYFUNCTION("""COMPUTED_VALUE"""),"No")</f>
        <v>No</v>
      </c>
      <c r="AM155" s="5"/>
      <c r="AN155" s="5"/>
      <c r="AO155" s="5"/>
      <c r="AP155" s="5"/>
      <c r="AQ155" s="5"/>
      <c r="AR155" s="5"/>
      <c r="AS155" s="5"/>
      <c r="AT155" s="5"/>
      <c r="AU155" s="5"/>
      <c r="AV155" s="5"/>
      <c r="AW155" s="5"/>
      <c r="AX155" s="5"/>
      <c r="AY155" s="5"/>
    </row>
    <row r="156" spans="1:51" x14ac:dyDescent="0.25">
      <c r="A1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6" s="5">
        <f ca="1">IFERROR(__xludf.DUMMYFUNCTION("""COMPUTED_VALUE"""),156)</f>
        <v>156</v>
      </c>
      <c r="C156" s="5">
        <f ca="1">IFERROR(__xludf.DUMMYFUNCTION("""COMPUTED_VALUE"""),155)</f>
        <v>155</v>
      </c>
      <c r="D156" s="5" t="str">
        <f ca="1">IFERROR(__xludf.DUMMYFUNCTION("""COMPUTED_VALUE"""),"BookOfSpells2")</f>
        <v>BookOfSpells2</v>
      </c>
      <c r="E156" s="5" t="str">
        <f ca="1">IFERROR(__xludf.DUMMYFUNCTION("""COMPUTED_VALUE"""),"Yes")</f>
        <v>Yes</v>
      </c>
      <c r="F156" s="5" t="str">
        <f ca="1">IFERROR(__xludf.DUMMYFUNCTION("""COMPUTED_VALUE"""),"Yes")</f>
        <v>Yes</v>
      </c>
      <c r="G156" s="5" t="str">
        <f ca="1">IFERROR(__xludf.DUMMYFUNCTION("""COMPUTED_VALUE"""),"Yes")</f>
        <v>Yes</v>
      </c>
      <c r="H156" s="5" t="str">
        <f ca="1">IFERROR(__xludf.DUMMYFUNCTION("""COMPUTED_VALUE"""),"Yes")</f>
        <v>Yes</v>
      </c>
      <c r="I156" s="5" t="str">
        <f ca="1">IFERROR(__xludf.DUMMYFUNCTION("""COMPUTED_VALUE"""),"Yes")</f>
        <v>Yes</v>
      </c>
      <c r="J156" s="5" t="str">
        <f ca="1">IFERROR(__xludf.DUMMYFUNCTION("""COMPUTED_VALUE"""),"Yes")</f>
        <v>Yes</v>
      </c>
      <c r="K156" s="5" t="str">
        <f ca="1">IFERROR(__xludf.DUMMYFUNCTION("""COMPUTED_VALUE"""),"Yes")</f>
        <v>Yes</v>
      </c>
      <c r="L156" s="5" t="str">
        <f ca="1">IFERROR(__xludf.DUMMYFUNCTION("""COMPUTED_VALUE"""),"Yes")</f>
        <v>Yes</v>
      </c>
      <c r="M156" s="5" t="str">
        <f ca="1">IFERROR(__xludf.DUMMYFUNCTION("""COMPUTED_VALUE"""),"Yes")</f>
        <v>Yes</v>
      </c>
      <c r="N156" s="5" t="str">
        <f ca="1">IFERROR(__xludf.DUMMYFUNCTION("""COMPUTED_VALUE"""),"Yes")</f>
        <v>Yes</v>
      </c>
      <c r="O156" s="5" t="str">
        <f ca="1">IFERROR(__xludf.DUMMYFUNCTION("""COMPUTED_VALUE"""),"Yes")</f>
        <v>Yes</v>
      </c>
      <c r="P156" s="5" t="str">
        <f ca="1">IFERROR(__xludf.DUMMYFUNCTION("""COMPUTED_VALUE"""),"Yes")</f>
        <v>Yes</v>
      </c>
      <c r="Q156" s="5" t="str">
        <f ca="1">IFERROR(__xludf.DUMMYFUNCTION("""COMPUTED_VALUE"""),"Yes")</f>
        <v>Yes</v>
      </c>
      <c r="R156" s="5" t="str">
        <f ca="1">IFERROR(__xludf.DUMMYFUNCTION("""COMPUTED_VALUE"""),"Yes")</f>
        <v>Yes</v>
      </c>
      <c r="S156" s="5" t="str">
        <f ca="1">IFERROR(__xludf.DUMMYFUNCTION("""COMPUTED_VALUE"""),"Yes")</f>
        <v>Yes</v>
      </c>
      <c r="T156" s="5" t="str">
        <f ca="1">IFERROR(__xludf.DUMMYFUNCTION("""COMPUTED_VALUE"""),"Yes")</f>
        <v>Yes</v>
      </c>
      <c r="U156" s="5" t="str">
        <f ca="1">IFERROR(__xludf.DUMMYFUNCTION("""COMPUTED_VALUE"""),"Yes")</f>
        <v>Yes</v>
      </c>
      <c r="V156" s="5" t="str">
        <f ca="1">IFERROR(__xludf.DUMMYFUNCTION("""COMPUTED_VALUE"""),"Yes")</f>
        <v>Yes</v>
      </c>
      <c r="W156" s="5" t="str">
        <f ca="1">IFERROR(__xludf.DUMMYFUNCTION("""COMPUTED_VALUE"""),"Yes")</f>
        <v>Yes</v>
      </c>
      <c r="X156" s="5" t="str">
        <f ca="1">IFERROR(__xludf.DUMMYFUNCTION("""COMPUTED_VALUE"""),"Yes")</f>
        <v>Yes</v>
      </c>
      <c r="Y156" s="5" t="str">
        <f ca="1">IFERROR(__xludf.DUMMYFUNCTION("""COMPUTED_VALUE"""),"Yes")</f>
        <v>Yes</v>
      </c>
      <c r="Z156" s="5" t="str">
        <f ca="1">IFERROR(__xludf.DUMMYFUNCTION("""COMPUTED_VALUE"""),"No")</f>
        <v>No</v>
      </c>
      <c r="AA156" s="5" t="str">
        <f ca="1">IFERROR(__xludf.DUMMYFUNCTION("""COMPUTED_VALUE"""),"Yes")</f>
        <v>Yes</v>
      </c>
      <c r="AB156" s="5" t="str">
        <f ca="1">IFERROR(__xludf.DUMMYFUNCTION("""COMPUTED_VALUE"""),"Yes")</f>
        <v>Yes</v>
      </c>
      <c r="AC156" s="5" t="str">
        <f ca="1">IFERROR(__xludf.DUMMYFUNCTION("""COMPUTED_VALUE"""),"Yes")</f>
        <v>Yes</v>
      </c>
      <c r="AD156" s="5" t="str">
        <f ca="1">IFERROR(__xludf.DUMMYFUNCTION("""COMPUTED_VALUE"""),"Yes")</f>
        <v>Yes</v>
      </c>
      <c r="AE156" s="5" t="str">
        <f ca="1">IFERROR(__xludf.DUMMYFUNCTION("""COMPUTED_VALUE"""),"No")</f>
        <v>No</v>
      </c>
      <c r="AF156" s="5" t="str">
        <f ca="1">IFERROR(__xludf.DUMMYFUNCTION("""COMPUTED_VALUE"""),"Yes")</f>
        <v>Yes</v>
      </c>
      <c r="AG156" s="5" t="str">
        <f ca="1">IFERROR(__xludf.DUMMYFUNCTION("""COMPUTED_VALUE"""),"No")</f>
        <v>No</v>
      </c>
      <c r="AH156" s="5" t="str">
        <f ca="1">IFERROR(__xludf.DUMMYFUNCTION("""COMPUTED_VALUE"""),"No")</f>
        <v>No</v>
      </c>
      <c r="AI156" s="5" t="str">
        <f ca="1">IFERROR(__xludf.DUMMYFUNCTION("""COMPUTED_VALUE"""),"No")</f>
        <v>No</v>
      </c>
      <c r="AJ156" s="5" t="str">
        <f ca="1">IFERROR(__xludf.DUMMYFUNCTION("""COMPUTED_VALUE"""),"No")</f>
        <v>No</v>
      </c>
      <c r="AK156" s="5" t="str">
        <f ca="1">IFERROR(__xludf.DUMMYFUNCTION("""COMPUTED_VALUE"""),"No")</f>
        <v>No</v>
      </c>
      <c r="AL156" s="5" t="str">
        <f ca="1">IFERROR(__xludf.DUMMYFUNCTION("""COMPUTED_VALUE"""),"No")</f>
        <v>No</v>
      </c>
      <c r="AM156" s="5"/>
      <c r="AN156" s="5"/>
      <c r="AO156" s="5"/>
      <c r="AP156" s="5"/>
      <c r="AQ156" s="5"/>
      <c r="AR156" s="5"/>
      <c r="AS156" s="5"/>
      <c r="AT156" s="5"/>
      <c r="AU156" s="5"/>
      <c r="AV156" s="5"/>
      <c r="AW156" s="5"/>
      <c r="AX156" s="5"/>
      <c r="AY156" s="5"/>
    </row>
    <row r="157" spans="1:51" x14ac:dyDescent="0.25">
      <c r="A1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7" s="5">
        <f ca="1">IFERROR(__xludf.DUMMYFUNCTION("""COMPUTED_VALUE"""),157)</f>
        <v>157</v>
      </c>
      <c r="C157" s="5">
        <f ca="1">IFERROR(__xludf.DUMMYFUNCTION("""COMPUTED_VALUE"""),156)</f>
        <v>156</v>
      </c>
      <c r="D157" s="5" t="str">
        <f ca="1">IFERROR(__xludf.DUMMYFUNCTION("""COMPUTED_VALUE"""),"CrystalHot40Max")</f>
        <v>CrystalHot40Max</v>
      </c>
      <c r="E157" s="5" t="str">
        <f ca="1">IFERROR(__xludf.DUMMYFUNCTION("""COMPUTED_VALUE"""),"Yes")</f>
        <v>Yes</v>
      </c>
      <c r="F157" s="5" t="str">
        <f ca="1">IFERROR(__xludf.DUMMYFUNCTION("""COMPUTED_VALUE"""),"Yes")</f>
        <v>Yes</v>
      </c>
      <c r="G157" s="5" t="str">
        <f ca="1">IFERROR(__xludf.DUMMYFUNCTION("""COMPUTED_VALUE"""),"Yes")</f>
        <v>Yes</v>
      </c>
      <c r="H157" s="5" t="str">
        <f ca="1">IFERROR(__xludf.DUMMYFUNCTION("""COMPUTED_VALUE"""),"Yes")</f>
        <v>Yes</v>
      </c>
      <c r="I157" s="5" t="str">
        <f ca="1">IFERROR(__xludf.DUMMYFUNCTION("""COMPUTED_VALUE"""),"Yes")</f>
        <v>Yes</v>
      </c>
      <c r="J157" s="5" t="str">
        <f ca="1">IFERROR(__xludf.DUMMYFUNCTION("""COMPUTED_VALUE"""),"Yes")</f>
        <v>Yes</v>
      </c>
      <c r="K157" s="5" t="str">
        <f ca="1">IFERROR(__xludf.DUMMYFUNCTION("""COMPUTED_VALUE"""),"Yes")</f>
        <v>Yes</v>
      </c>
      <c r="L157" s="5" t="str">
        <f ca="1">IFERROR(__xludf.DUMMYFUNCTION("""COMPUTED_VALUE"""),"Yes")</f>
        <v>Yes</v>
      </c>
      <c r="M157" s="5" t="str">
        <f ca="1">IFERROR(__xludf.DUMMYFUNCTION("""COMPUTED_VALUE"""),"Yes")</f>
        <v>Yes</v>
      </c>
      <c r="N157" s="5" t="str">
        <f ca="1">IFERROR(__xludf.DUMMYFUNCTION("""COMPUTED_VALUE"""),"Yes")</f>
        <v>Yes</v>
      </c>
      <c r="O157" s="5" t="str">
        <f ca="1">IFERROR(__xludf.DUMMYFUNCTION("""COMPUTED_VALUE"""),"Yes")</f>
        <v>Yes</v>
      </c>
      <c r="P157" s="5" t="str">
        <f ca="1">IFERROR(__xludf.DUMMYFUNCTION("""COMPUTED_VALUE"""),"Yes")</f>
        <v>Yes</v>
      </c>
      <c r="Q157" s="5" t="str">
        <f ca="1">IFERROR(__xludf.DUMMYFUNCTION("""COMPUTED_VALUE"""),"Yes")</f>
        <v>Yes</v>
      </c>
      <c r="R157" s="5" t="str">
        <f ca="1">IFERROR(__xludf.DUMMYFUNCTION("""COMPUTED_VALUE"""),"Yes")</f>
        <v>Yes</v>
      </c>
      <c r="S157" s="5" t="str">
        <f ca="1">IFERROR(__xludf.DUMMYFUNCTION("""COMPUTED_VALUE"""),"Yes")</f>
        <v>Yes</v>
      </c>
      <c r="T157" s="5" t="str">
        <f ca="1">IFERROR(__xludf.DUMMYFUNCTION("""COMPUTED_VALUE"""),"Yes")</f>
        <v>Yes</v>
      </c>
      <c r="U157" s="5" t="str">
        <f ca="1">IFERROR(__xludf.DUMMYFUNCTION("""COMPUTED_VALUE"""),"Yes")</f>
        <v>Yes</v>
      </c>
      <c r="V157" s="5" t="str">
        <f ca="1">IFERROR(__xludf.DUMMYFUNCTION("""COMPUTED_VALUE"""),"Yes")</f>
        <v>Yes</v>
      </c>
      <c r="W157" s="5" t="str">
        <f ca="1">IFERROR(__xludf.DUMMYFUNCTION("""COMPUTED_VALUE"""),"Yes")</f>
        <v>Yes</v>
      </c>
      <c r="X157" s="5" t="str">
        <f ca="1">IFERROR(__xludf.DUMMYFUNCTION("""COMPUTED_VALUE"""),"Yes")</f>
        <v>Yes</v>
      </c>
      <c r="Y157" s="5" t="str">
        <f ca="1">IFERROR(__xludf.DUMMYFUNCTION("""COMPUTED_VALUE"""),"Yes")</f>
        <v>Yes</v>
      </c>
      <c r="Z157" s="5" t="str">
        <f ca="1">IFERROR(__xludf.DUMMYFUNCTION("""COMPUTED_VALUE"""),"No")</f>
        <v>No</v>
      </c>
      <c r="AA157" s="5" t="str">
        <f ca="1">IFERROR(__xludf.DUMMYFUNCTION("""COMPUTED_VALUE"""),"Yes")</f>
        <v>Yes</v>
      </c>
      <c r="AB157" s="5" t="str">
        <f ca="1">IFERROR(__xludf.DUMMYFUNCTION("""COMPUTED_VALUE"""),"Yes")</f>
        <v>Yes</v>
      </c>
      <c r="AC157" s="5" t="str">
        <f ca="1">IFERROR(__xludf.DUMMYFUNCTION("""COMPUTED_VALUE"""),"Yes")</f>
        <v>Yes</v>
      </c>
      <c r="AD157" s="5" t="str">
        <f ca="1">IFERROR(__xludf.DUMMYFUNCTION("""COMPUTED_VALUE"""),"Yes")</f>
        <v>Yes</v>
      </c>
      <c r="AE157" s="5" t="str">
        <f ca="1">IFERROR(__xludf.DUMMYFUNCTION("""COMPUTED_VALUE"""),"No")</f>
        <v>No</v>
      </c>
      <c r="AF157" s="5" t="str">
        <f ca="1">IFERROR(__xludf.DUMMYFUNCTION("""COMPUTED_VALUE"""),"Yes")</f>
        <v>Yes</v>
      </c>
      <c r="AG157" s="5" t="str">
        <f ca="1">IFERROR(__xludf.DUMMYFUNCTION("""COMPUTED_VALUE"""),"No")</f>
        <v>No</v>
      </c>
      <c r="AH157" s="5" t="str">
        <f ca="1">IFERROR(__xludf.DUMMYFUNCTION("""COMPUTED_VALUE"""),"No")</f>
        <v>No</v>
      </c>
      <c r="AI157" s="5" t="str">
        <f ca="1">IFERROR(__xludf.DUMMYFUNCTION("""COMPUTED_VALUE"""),"No")</f>
        <v>No</v>
      </c>
      <c r="AJ157" s="5" t="str">
        <f ca="1">IFERROR(__xludf.DUMMYFUNCTION("""COMPUTED_VALUE"""),"No")</f>
        <v>No</v>
      </c>
      <c r="AK157" s="5" t="str">
        <f ca="1">IFERROR(__xludf.DUMMYFUNCTION("""COMPUTED_VALUE"""),"No")</f>
        <v>No</v>
      </c>
      <c r="AL157" s="5" t="str">
        <f ca="1">IFERROR(__xludf.DUMMYFUNCTION("""COMPUTED_VALUE"""),"No")</f>
        <v>No</v>
      </c>
      <c r="AM157" s="5"/>
      <c r="AN157" s="5"/>
      <c r="AO157" s="5"/>
      <c r="AP157" s="5"/>
      <c r="AQ157" s="5"/>
      <c r="AR157" s="5"/>
      <c r="AS157" s="5"/>
      <c r="AT157" s="5"/>
      <c r="AU157" s="5"/>
      <c r="AV157" s="5"/>
      <c r="AW157" s="5"/>
      <c r="AX157" s="5"/>
      <c r="AY157" s="5"/>
    </row>
    <row r="158" spans="1:51" x14ac:dyDescent="0.25">
      <c r="A1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8" s="5">
        <f ca="1">IFERROR(__xludf.DUMMYFUNCTION("""COMPUTED_VALUE"""),158)</f>
        <v>158</v>
      </c>
      <c r="C158" s="5">
        <f ca="1">IFERROR(__xludf.DUMMYFUNCTION("""COMPUTED_VALUE"""),157)</f>
        <v>157</v>
      </c>
      <c r="D158" s="5" t="str">
        <f ca="1">IFERROR(__xludf.DUMMYFUNCTION("""COMPUTED_VALUE"""),"KingOfMyCastleDice")</f>
        <v>KingOfMyCastleDice</v>
      </c>
      <c r="E158" s="5" t="str">
        <f ca="1">IFERROR(__xludf.DUMMYFUNCTION("""COMPUTED_VALUE"""),"Yes")</f>
        <v>Yes</v>
      </c>
      <c r="F158" s="5" t="str">
        <f ca="1">IFERROR(__xludf.DUMMYFUNCTION("""COMPUTED_VALUE"""),"Yes")</f>
        <v>Yes</v>
      </c>
      <c r="G158" s="5" t="str">
        <f ca="1">IFERROR(__xludf.DUMMYFUNCTION("""COMPUTED_VALUE"""),"Yes")</f>
        <v>Yes</v>
      </c>
      <c r="H158" s="5" t="str">
        <f ca="1">IFERROR(__xludf.DUMMYFUNCTION("""COMPUTED_VALUE"""),"Yes")</f>
        <v>Yes</v>
      </c>
      <c r="I158" s="5" t="str">
        <f ca="1">IFERROR(__xludf.DUMMYFUNCTION("""COMPUTED_VALUE"""),"Yes")</f>
        <v>Yes</v>
      </c>
      <c r="J158" s="5" t="str">
        <f ca="1">IFERROR(__xludf.DUMMYFUNCTION("""COMPUTED_VALUE"""),"Yes")</f>
        <v>Yes</v>
      </c>
      <c r="K158" s="5" t="str">
        <f ca="1">IFERROR(__xludf.DUMMYFUNCTION("""COMPUTED_VALUE"""),"Yes")</f>
        <v>Yes</v>
      </c>
      <c r="L158" s="5" t="str">
        <f ca="1">IFERROR(__xludf.DUMMYFUNCTION("""COMPUTED_VALUE"""),"Yes")</f>
        <v>Yes</v>
      </c>
      <c r="M158" s="5" t="str">
        <f ca="1">IFERROR(__xludf.DUMMYFUNCTION("""COMPUTED_VALUE"""),"Yes")</f>
        <v>Yes</v>
      </c>
      <c r="N158" s="5" t="str">
        <f ca="1">IFERROR(__xludf.DUMMYFUNCTION("""COMPUTED_VALUE"""),"Yes")</f>
        <v>Yes</v>
      </c>
      <c r="O158" s="5" t="str">
        <f ca="1">IFERROR(__xludf.DUMMYFUNCTION("""COMPUTED_VALUE"""),"Yes")</f>
        <v>Yes</v>
      </c>
      <c r="P158" s="5" t="str">
        <f ca="1">IFERROR(__xludf.DUMMYFUNCTION("""COMPUTED_VALUE"""),"Yes")</f>
        <v>Yes</v>
      </c>
      <c r="Q158" s="5" t="str">
        <f ca="1">IFERROR(__xludf.DUMMYFUNCTION("""COMPUTED_VALUE"""),"Yes")</f>
        <v>Yes</v>
      </c>
      <c r="R158" s="5" t="str">
        <f ca="1">IFERROR(__xludf.DUMMYFUNCTION("""COMPUTED_VALUE"""),"Yes")</f>
        <v>Yes</v>
      </c>
      <c r="S158" s="5" t="str">
        <f ca="1">IFERROR(__xludf.DUMMYFUNCTION("""COMPUTED_VALUE"""),"Yes")</f>
        <v>Yes</v>
      </c>
      <c r="T158" s="5" t="str">
        <f ca="1">IFERROR(__xludf.DUMMYFUNCTION("""COMPUTED_VALUE"""),"Yes")</f>
        <v>Yes</v>
      </c>
      <c r="U158" s="5" t="str">
        <f ca="1">IFERROR(__xludf.DUMMYFUNCTION("""COMPUTED_VALUE"""),"Yes")</f>
        <v>Yes</v>
      </c>
      <c r="V158" s="5" t="str">
        <f ca="1">IFERROR(__xludf.DUMMYFUNCTION("""COMPUTED_VALUE"""),"Yes")</f>
        <v>Yes</v>
      </c>
      <c r="W158" s="5" t="str">
        <f ca="1">IFERROR(__xludf.DUMMYFUNCTION("""COMPUTED_VALUE"""),"Yes")</f>
        <v>Yes</v>
      </c>
      <c r="X158" s="5" t="str">
        <f ca="1">IFERROR(__xludf.DUMMYFUNCTION("""COMPUTED_VALUE"""),"Yes")</f>
        <v>Yes</v>
      </c>
      <c r="Y158" s="5" t="str">
        <f ca="1">IFERROR(__xludf.DUMMYFUNCTION("""COMPUTED_VALUE"""),"Yes")</f>
        <v>Yes</v>
      </c>
      <c r="Z158" s="5" t="str">
        <f ca="1">IFERROR(__xludf.DUMMYFUNCTION("""COMPUTED_VALUE"""),"No")</f>
        <v>No</v>
      </c>
      <c r="AA158" s="5" t="str">
        <f ca="1">IFERROR(__xludf.DUMMYFUNCTION("""COMPUTED_VALUE"""),"Yes")</f>
        <v>Yes</v>
      </c>
      <c r="AB158" s="5" t="str">
        <f ca="1">IFERROR(__xludf.DUMMYFUNCTION("""COMPUTED_VALUE"""),"Yes")</f>
        <v>Yes</v>
      </c>
      <c r="AC158" s="5" t="str">
        <f ca="1">IFERROR(__xludf.DUMMYFUNCTION("""COMPUTED_VALUE"""),"Yes")</f>
        <v>Yes</v>
      </c>
      <c r="AD158" s="5" t="str">
        <f ca="1">IFERROR(__xludf.DUMMYFUNCTION("""COMPUTED_VALUE"""),"Yes")</f>
        <v>Yes</v>
      </c>
      <c r="AE158" s="5" t="str">
        <f ca="1">IFERROR(__xludf.DUMMYFUNCTION("""COMPUTED_VALUE"""),"No")</f>
        <v>No</v>
      </c>
      <c r="AF158" s="5" t="str">
        <f ca="1">IFERROR(__xludf.DUMMYFUNCTION("""COMPUTED_VALUE"""),"Yes")</f>
        <v>Yes</v>
      </c>
      <c r="AG158" s="5" t="str">
        <f ca="1">IFERROR(__xludf.DUMMYFUNCTION("""COMPUTED_VALUE"""),"No")</f>
        <v>No</v>
      </c>
      <c r="AH158" s="5" t="str">
        <f ca="1">IFERROR(__xludf.DUMMYFUNCTION("""COMPUTED_VALUE"""),"No")</f>
        <v>No</v>
      </c>
      <c r="AI158" s="5" t="str">
        <f ca="1">IFERROR(__xludf.DUMMYFUNCTION("""COMPUTED_VALUE"""),"No")</f>
        <v>No</v>
      </c>
      <c r="AJ158" s="5" t="str">
        <f ca="1">IFERROR(__xludf.DUMMYFUNCTION("""COMPUTED_VALUE"""),"No")</f>
        <v>No</v>
      </c>
      <c r="AK158" s="5" t="str">
        <f ca="1">IFERROR(__xludf.DUMMYFUNCTION("""COMPUTED_VALUE"""),"No")</f>
        <v>No</v>
      </c>
      <c r="AL158" s="5" t="str">
        <f ca="1">IFERROR(__xludf.DUMMYFUNCTION("""COMPUTED_VALUE"""),"No")</f>
        <v>No</v>
      </c>
      <c r="AM158" s="5"/>
      <c r="AN158" s="5"/>
      <c r="AO158" s="5"/>
      <c r="AP158" s="5"/>
      <c r="AQ158" s="5"/>
      <c r="AR158" s="5"/>
      <c r="AS158" s="5"/>
      <c r="AT158" s="5"/>
      <c r="AU158" s="5"/>
      <c r="AV158" s="5"/>
      <c r="AW158" s="5"/>
      <c r="AX158" s="5"/>
      <c r="AY158" s="5"/>
    </row>
    <row r="159" spans="1:51" x14ac:dyDescent="0.25">
      <c r="A1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9" s="5">
        <f ca="1">IFERROR(__xludf.DUMMYFUNCTION("""COMPUTED_VALUE"""),159)</f>
        <v>159</v>
      </c>
      <c r="C159" s="5">
        <f ca="1">IFERROR(__xludf.DUMMYFUNCTION("""COMPUTED_VALUE"""),158)</f>
        <v>158</v>
      </c>
      <c r="D159" s="5" t="str">
        <f ca="1">IFERROR(__xludf.DUMMYFUNCTION("""COMPUTED_VALUE"""),"KingOfMyCastle")</f>
        <v>KingOfMyCastle</v>
      </c>
      <c r="E159" s="5" t="str">
        <f ca="1">IFERROR(__xludf.DUMMYFUNCTION("""COMPUTED_VALUE"""),"Yes")</f>
        <v>Yes</v>
      </c>
      <c r="F159" s="5" t="str">
        <f ca="1">IFERROR(__xludf.DUMMYFUNCTION("""COMPUTED_VALUE"""),"Yes")</f>
        <v>Yes</v>
      </c>
      <c r="G159" s="5" t="str">
        <f ca="1">IFERROR(__xludf.DUMMYFUNCTION("""COMPUTED_VALUE"""),"Yes")</f>
        <v>Yes</v>
      </c>
      <c r="H159" s="5" t="str">
        <f ca="1">IFERROR(__xludf.DUMMYFUNCTION("""COMPUTED_VALUE"""),"Yes")</f>
        <v>Yes</v>
      </c>
      <c r="I159" s="5" t="str">
        <f ca="1">IFERROR(__xludf.DUMMYFUNCTION("""COMPUTED_VALUE"""),"Yes")</f>
        <v>Yes</v>
      </c>
      <c r="J159" s="5" t="str">
        <f ca="1">IFERROR(__xludf.DUMMYFUNCTION("""COMPUTED_VALUE"""),"Yes")</f>
        <v>Yes</v>
      </c>
      <c r="K159" s="5" t="str">
        <f ca="1">IFERROR(__xludf.DUMMYFUNCTION("""COMPUTED_VALUE"""),"Yes")</f>
        <v>Yes</v>
      </c>
      <c r="L159" s="5" t="str">
        <f ca="1">IFERROR(__xludf.DUMMYFUNCTION("""COMPUTED_VALUE"""),"Yes")</f>
        <v>Yes</v>
      </c>
      <c r="M159" s="5" t="str">
        <f ca="1">IFERROR(__xludf.DUMMYFUNCTION("""COMPUTED_VALUE"""),"Yes")</f>
        <v>Yes</v>
      </c>
      <c r="N159" s="5" t="str">
        <f ca="1">IFERROR(__xludf.DUMMYFUNCTION("""COMPUTED_VALUE"""),"Yes")</f>
        <v>Yes</v>
      </c>
      <c r="O159" s="5" t="str">
        <f ca="1">IFERROR(__xludf.DUMMYFUNCTION("""COMPUTED_VALUE"""),"Yes")</f>
        <v>Yes</v>
      </c>
      <c r="P159" s="5" t="str">
        <f ca="1">IFERROR(__xludf.DUMMYFUNCTION("""COMPUTED_VALUE"""),"Yes")</f>
        <v>Yes</v>
      </c>
      <c r="Q159" s="5" t="str">
        <f ca="1">IFERROR(__xludf.DUMMYFUNCTION("""COMPUTED_VALUE"""),"Yes")</f>
        <v>Yes</v>
      </c>
      <c r="R159" s="5" t="str">
        <f ca="1">IFERROR(__xludf.DUMMYFUNCTION("""COMPUTED_VALUE"""),"Yes")</f>
        <v>Yes</v>
      </c>
      <c r="S159" s="5" t="str">
        <f ca="1">IFERROR(__xludf.DUMMYFUNCTION("""COMPUTED_VALUE"""),"Yes")</f>
        <v>Yes</v>
      </c>
      <c r="T159" s="5" t="str">
        <f ca="1">IFERROR(__xludf.DUMMYFUNCTION("""COMPUTED_VALUE"""),"Yes")</f>
        <v>Yes</v>
      </c>
      <c r="U159" s="5" t="str">
        <f ca="1">IFERROR(__xludf.DUMMYFUNCTION("""COMPUTED_VALUE"""),"Yes")</f>
        <v>Yes</v>
      </c>
      <c r="V159" s="5" t="str">
        <f ca="1">IFERROR(__xludf.DUMMYFUNCTION("""COMPUTED_VALUE"""),"Yes")</f>
        <v>Yes</v>
      </c>
      <c r="W159" s="5" t="str">
        <f ca="1">IFERROR(__xludf.DUMMYFUNCTION("""COMPUTED_VALUE"""),"Yes")</f>
        <v>Yes</v>
      </c>
      <c r="X159" s="5" t="str">
        <f ca="1">IFERROR(__xludf.DUMMYFUNCTION("""COMPUTED_VALUE"""),"Yes")</f>
        <v>Yes</v>
      </c>
      <c r="Y159" s="5" t="str">
        <f ca="1">IFERROR(__xludf.DUMMYFUNCTION("""COMPUTED_VALUE"""),"Yes")</f>
        <v>Yes</v>
      </c>
      <c r="Z159" s="5" t="str">
        <f ca="1">IFERROR(__xludf.DUMMYFUNCTION("""COMPUTED_VALUE"""),"No")</f>
        <v>No</v>
      </c>
      <c r="AA159" s="5" t="str">
        <f ca="1">IFERROR(__xludf.DUMMYFUNCTION("""COMPUTED_VALUE"""),"Yes")</f>
        <v>Yes</v>
      </c>
      <c r="AB159" s="5" t="str">
        <f ca="1">IFERROR(__xludf.DUMMYFUNCTION("""COMPUTED_VALUE"""),"Yes")</f>
        <v>Yes</v>
      </c>
      <c r="AC159" s="5" t="str">
        <f ca="1">IFERROR(__xludf.DUMMYFUNCTION("""COMPUTED_VALUE"""),"Yes")</f>
        <v>Yes</v>
      </c>
      <c r="AD159" s="5" t="str">
        <f ca="1">IFERROR(__xludf.DUMMYFUNCTION("""COMPUTED_VALUE"""),"Yes")</f>
        <v>Yes</v>
      </c>
      <c r="AE159" s="5" t="str">
        <f ca="1">IFERROR(__xludf.DUMMYFUNCTION("""COMPUTED_VALUE"""),"No")</f>
        <v>No</v>
      </c>
      <c r="AF159" s="5" t="str">
        <f ca="1">IFERROR(__xludf.DUMMYFUNCTION("""COMPUTED_VALUE"""),"Yes")</f>
        <v>Yes</v>
      </c>
      <c r="AG159" s="5" t="str">
        <f ca="1">IFERROR(__xludf.DUMMYFUNCTION("""COMPUTED_VALUE"""),"No")</f>
        <v>No</v>
      </c>
      <c r="AH159" s="5" t="str">
        <f ca="1">IFERROR(__xludf.DUMMYFUNCTION("""COMPUTED_VALUE"""),"No")</f>
        <v>No</v>
      </c>
      <c r="AI159" s="5" t="str">
        <f ca="1">IFERROR(__xludf.DUMMYFUNCTION("""COMPUTED_VALUE"""),"No")</f>
        <v>No</v>
      </c>
      <c r="AJ159" s="5" t="str">
        <f ca="1">IFERROR(__xludf.DUMMYFUNCTION("""COMPUTED_VALUE"""),"No")</f>
        <v>No</v>
      </c>
      <c r="AK159" s="5" t="str">
        <f ca="1">IFERROR(__xludf.DUMMYFUNCTION("""COMPUTED_VALUE"""),"No")</f>
        <v>No</v>
      </c>
      <c r="AL159" s="5" t="str">
        <f ca="1">IFERROR(__xludf.DUMMYFUNCTION("""COMPUTED_VALUE"""),"No")</f>
        <v>No</v>
      </c>
      <c r="AM159" s="5"/>
      <c r="AN159" s="5"/>
      <c r="AO159" s="5"/>
      <c r="AP159" s="5"/>
      <c r="AQ159" s="5"/>
      <c r="AR159" s="5"/>
      <c r="AS159" s="5"/>
      <c r="AT159" s="5"/>
      <c r="AU159" s="5"/>
      <c r="AV159" s="5"/>
      <c r="AW159" s="5"/>
      <c r="AX159" s="5"/>
      <c r="AY159" s="5"/>
    </row>
    <row r="160" spans="1:51" x14ac:dyDescent="0.25">
      <c r="A1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0" s="5">
        <f ca="1">IFERROR(__xludf.DUMMYFUNCTION("""COMPUTED_VALUE"""),160)</f>
        <v>160</v>
      </c>
      <c r="C160" s="5">
        <f ca="1">IFERROR(__xludf.DUMMYFUNCTION("""COMPUTED_VALUE"""),159)</f>
        <v>159</v>
      </c>
      <c r="D160" s="5" t="str">
        <f ca="1">IFERROR(__xludf.DUMMYFUNCTION("""COMPUTED_VALUE"""),"FruityWin20")</f>
        <v>FruityWin20</v>
      </c>
      <c r="E160" s="5" t="str">
        <f ca="1">IFERROR(__xludf.DUMMYFUNCTION("""COMPUTED_VALUE"""),"Yes")</f>
        <v>Yes</v>
      </c>
      <c r="F160" s="5" t="str">
        <f ca="1">IFERROR(__xludf.DUMMYFUNCTION("""COMPUTED_VALUE"""),"Yes")</f>
        <v>Yes</v>
      </c>
      <c r="G160" s="5" t="str">
        <f ca="1">IFERROR(__xludf.DUMMYFUNCTION("""COMPUTED_VALUE"""),"Yes")</f>
        <v>Yes</v>
      </c>
      <c r="H160" s="5" t="str">
        <f ca="1">IFERROR(__xludf.DUMMYFUNCTION("""COMPUTED_VALUE"""),"Yes")</f>
        <v>Yes</v>
      </c>
      <c r="I160" s="5" t="str">
        <f ca="1">IFERROR(__xludf.DUMMYFUNCTION("""COMPUTED_VALUE"""),"Yes")</f>
        <v>Yes</v>
      </c>
      <c r="J160" s="5" t="str">
        <f ca="1">IFERROR(__xludf.DUMMYFUNCTION("""COMPUTED_VALUE"""),"Yes")</f>
        <v>Yes</v>
      </c>
      <c r="K160" s="5" t="str">
        <f ca="1">IFERROR(__xludf.DUMMYFUNCTION("""COMPUTED_VALUE"""),"Yes")</f>
        <v>Yes</v>
      </c>
      <c r="L160" s="5" t="str">
        <f ca="1">IFERROR(__xludf.DUMMYFUNCTION("""COMPUTED_VALUE"""),"Yes")</f>
        <v>Yes</v>
      </c>
      <c r="M160" s="5" t="str">
        <f ca="1">IFERROR(__xludf.DUMMYFUNCTION("""COMPUTED_VALUE"""),"Yes")</f>
        <v>Yes</v>
      </c>
      <c r="N160" s="5" t="str">
        <f ca="1">IFERROR(__xludf.DUMMYFUNCTION("""COMPUTED_VALUE"""),"Yes")</f>
        <v>Yes</v>
      </c>
      <c r="O160" s="5" t="str">
        <f ca="1">IFERROR(__xludf.DUMMYFUNCTION("""COMPUTED_VALUE"""),"Yes")</f>
        <v>Yes</v>
      </c>
      <c r="P160" s="5" t="str">
        <f ca="1">IFERROR(__xludf.DUMMYFUNCTION("""COMPUTED_VALUE"""),"Yes")</f>
        <v>Yes</v>
      </c>
      <c r="Q160" s="5" t="str">
        <f ca="1">IFERROR(__xludf.DUMMYFUNCTION("""COMPUTED_VALUE"""),"Yes")</f>
        <v>Yes</v>
      </c>
      <c r="R160" s="5" t="str">
        <f ca="1">IFERROR(__xludf.DUMMYFUNCTION("""COMPUTED_VALUE"""),"Yes")</f>
        <v>Yes</v>
      </c>
      <c r="S160" s="5" t="str">
        <f ca="1">IFERROR(__xludf.DUMMYFUNCTION("""COMPUTED_VALUE"""),"Yes")</f>
        <v>Yes</v>
      </c>
      <c r="T160" s="5" t="str">
        <f ca="1">IFERROR(__xludf.DUMMYFUNCTION("""COMPUTED_VALUE"""),"Yes")</f>
        <v>Yes</v>
      </c>
      <c r="U160" s="5" t="str">
        <f ca="1">IFERROR(__xludf.DUMMYFUNCTION("""COMPUTED_VALUE"""),"Yes")</f>
        <v>Yes</v>
      </c>
      <c r="V160" s="5" t="str">
        <f ca="1">IFERROR(__xludf.DUMMYFUNCTION("""COMPUTED_VALUE"""),"Yes")</f>
        <v>Yes</v>
      </c>
      <c r="W160" s="5" t="str">
        <f ca="1">IFERROR(__xludf.DUMMYFUNCTION("""COMPUTED_VALUE"""),"Yes")</f>
        <v>Yes</v>
      </c>
      <c r="X160" s="5" t="str">
        <f ca="1">IFERROR(__xludf.DUMMYFUNCTION("""COMPUTED_VALUE"""),"Yes")</f>
        <v>Yes</v>
      </c>
      <c r="Y160" s="5" t="str">
        <f ca="1">IFERROR(__xludf.DUMMYFUNCTION("""COMPUTED_VALUE"""),"Yes")</f>
        <v>Yes</v>
      </c>
      <c r="Z160" s="5" t="str">
        <f ca="1">IFERROR(__xludf.DUMMYFUNCTION("""COMPUTED_VALUE"""),"No")</f>
        <v>No</v>
      </c>
      <c r="AA160" s="5" t="str">
        <f ca="1">IFERROR(__xludf.DUMMYFUNCTION("""COMPUTED_VALUE"""),"Yes")</f>
        <v>Yes</v>
      </c>
      <c r="AB160" s="5" t="str">
        <f ca="1">IFERROR(__xludf.DUMMYFUNCTION("""COMPUTED_VALUE"""),"Yes")</f>
        <v>Yes</v>
      </c>
      <c r="AC160" s="5" t="str">
        <f ca="1">IFERROR(__xludf.DUMMYFUNCTION("""COMPUTED_VALUE"""),"Yes")</f>
        <v>Yes</v>
      </c>
      <c r="AD160" s="5" t="str">
        <f ca="1">IFERROR(__xludf.DUMMYFUNCTION("""COMPUTED_VALUE"""),"Yes")</f>
        <v>Yes</v>
      </c>
      <c r="AE160" s="5" t="str">
        <f ca="1">IFERROR(__xludf.DUMMYFUNCTION("""COMPUTED_VALUE"""),"No")</f>
        <v>No</v>
      </c>
      <c r="AF160" s="5" t="str">
        <f ca="1">IFERROR(__xludf.DUMMYFUNCTION("""COMPUTED_VALUE"""),"Yes")</f>
        <v>Yes</v>
      </c>
      <c r="AG160" s="5" t="str">
        <f ca="1">IFERROR(__xludf.DUMMYFUNCTION("""COMPUTED_VALUE"""),"No")</f>
        <v>No</v>
      </c>
      <c r="AH160" s="5" t="str">
        <f ca="1">IFERROR(__xludf.DUMMYFUNCTION("""COMPUTED_VALUE"""),"No")</f>
        <v>No</v>
      </c>
      <c r="AI160" s="5" t="str">
        <f ca="1">IFERROR(__xludf.DUMMYFUNCTION("""COMPUTED_VALUE"""),"No")</f>
        <v>No</v>
      </c>
      <c r="AJ160" s="5" t="str">
        <f ca="1">IFERROR(__xludf.DUMMYFUNCTION("""COMPUTED_VALUE"""),"No")</f>
        <v>No</v>
      </c>
      <c r="AK160" s="5" t="str">
        <f ca="1">IFERROR(__xludf.DUMMYFUNCTION("""COMPUTED_VALUE"""),"No")</f>
        <v>No</v>
      </c>
      <c r="AL160" s="5" t="str">
        <f ca="1">IFERROR(__xludf.DUMMYFUNCTION("""COMPUTED_VALUE"""),"No")</f>
        <v>No</v>
      </c>
      <c r="AM160" s="5"/>
      <c r="AN160" s="5"/>
      <c r="AO160" s="5"/>
      <c r="AP160" s="5"/>
      <c r="AQ160" s="5"/>
      <c r="AR160" s="5"/>
      <c r="AS160" s="5"/>
      <c r="AT160" s="5"/>
      <c r="AU160" s="5"/>
      <c r="AV160" s="5"/>
      <c r="AW160" s="5"/>
      <c r="AX160" s="5"/>
      <c r="AY160" s="5"/>
    </row>
    <row r="161" spans="1:51" x14ac:dyDescent="0.25">
      <c r="A1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1" s="5">
        <f ca="1">IFERROR(__xludf.DUMMYFUNCTION("""COMPUTED_VALUE"""),161)</f>
        <v>161</v>
      </c>
      <c r="C161" s="5">
        <f ca="1">IFERROR(__xludf.DUMMYFUNCTION("""COMPUTED_VALUE"""),160)</f>
        <v>160</v>
      </c>
      <c r="D161" s="5" t="str">
        <f ca="1">IFERROR(__xludf.DUMMYFUNCTION("""COMPUTED_VALUE"""),"FruityHot5")</f>
        <v>FruityHot5</v>
      </c>
      <c r="E161" s="5" t="str">
        <f ca="1">IFERROR(__xludf.DUMMYFUNCTION("""COMPUTED_VALUE"""),"Yes")</f>
        <v>Yes</v>
      </c>
      <c r="F161" s="5" t="str">
        <f ca="1">IFERROR(__xludf.DUMMYFUNCTION("""COMPUTED_VALUE"""),"Yes")</f>
        <v>Yes</v>
      </c>
      <c r="G161" s="5" t="str">
        <f ca="1">IFERROR(__xludf.DUMMYFUNCTION("""COMPUTED_VALUE"""),"Yes")</f>
        <v>Yes</v>
      </c>
      <c r="H161" s="5" t="str">
        <f ca="1">IFERROR(__xludf.DUMMYFUNCTION("""COMPUTED_VALUE"""),"Yes")</f>
        <v>Yes</v>
      </c>
      <c r="I161" s="5" t="str">
        <f ca="1">IFERROR(__xludf.DUMMYFUNCTION("""COMPUTED_VALUE"""),"Yes")</f>
        <v>Yes</v>
      </c>
      <c r="J161" s="5" t="str">
        <f ca="1">IFERROR(__xludf.DUMMYFUNCTION("""COMPUTED_VALUE"""),"Yes")</f>
        <v>Yes</v>
      </c>
      <c r="K161" s="5" t="str">
        <f ca="1">IFERROR(__xludf.DUMMYFUNCTION("""COMPUTED_VALUE"""),"Yes")</f>
        <v>Yes</v>
      </c>
      <c r="L161" s="5" t="str">
        <f ca="1">IFERROR(__xludf.DUMMYFUNCTION("""COMPUTED_VALUE"""),"Yes")</f>
        <v>Yes</v>
      </c>
      <c r="M161" s="5" t="str">
        <f ca="1">IFERROR(__xludf.DUMMYFUNCTION("""COMPUTED_VALUE"""),"Yes")</f>
        <v>Yes</v>
      </c>
      <c r="N161" s="5" t="str">
        <f ca="1">IFERROR(__xludf.DUMMYFUNCTION("""COMPUTED_VALUE"""),"Yes")</f>
        <v>Yes</v>
      </c>
      <c r="O161" s="5" t="str">
        <f ca="1">IFERROR(__xludf.DUMMYFUNCTION("""COMPUTED_VALUE"""),"Yes")</f>
        <v>Yes</v>
      </c>
      <c r="P161" s="5" t="str">
        <f ca="1">IFERROR(__xludf.DUMMYFUNCTION("""COMPUTED_VALUE"""),"Yes")</f>
        <v>Yes</v>
      </c>
      <c r="Q161" s="5" t="str">
        <f ca="1">IFERROR(__xludf.DUMMYFUNCTION("""COMPUTED_VALUE"""),"Yes")</f>
        <v>Yes</v>
      </c>
      <c r="R161" s="5" t="str">
        <f ca="1">IFERROR(__xludf.DUMMYFUNCTION("""COMPUTED_VALUE"""),"Yes")</f>
        <v>Yes</v>
      </c>
      <c r="S161" s="5" t="str">
        <f ca="1">IFERROR(__xludf.DUMMYFUNCTION("""COMPUTED_VALUE"""),"Yes")</f>
        <v>Yes</v>
      </c>
      <c r="T161" s="5" t="str">
        <f ca="1">IFERROR(__xludf.DUMMYFUNCTION("""COMPUTED_VALUE"""),"Yes")</f>
        <v>Yes</v>
      </c>
      <c r="U161" s="5" t="str">
        <f ca="1">IFERROR(__xludf.DUMMYFUNCTION("""COMPUTED_VALUE"""),"Yes")</f>
        <v>Yes</v>
      </c>
      <c r="V161" s="5" t="str">
        <f ca="1">IFERROR(__xludf.DUMMYFUNCTION("""COMPUTED_VALUE"""),"Yes")</f>
        <v>Yes</v>
      </c>
      <c r="W161" s="5" t="str">
        <f ca="1">IFERROR(__xludf.DUMMYFUNCTION("""COMPUTED_VALUE"""),"Yes")</f>
        <v>Yes</v>
      </c>
      <c r="X161" s="5" t="str">
        <f ca="1">IFERROR(__xludf.DUMMYFUNCTION("""COMPUTED_VALUE"""),"Yes")</f>
        <v>Yes</v>
      </c>
      <c r="Y161" s="5" t="str">
        <f ca="1">IFERROR(__xludf.DUMMYFUNCTION("""COMPUTED_VALUE"""),"Yes")</f>
        <v>Yes</v>
      </c>
      <c r="Z161" s="5" t="str">
        <f ca="1">IFERROR(__xludf.DUMMYFUNCTION("""COMPUTED_VALUE"""),"No")</f>
        <v>No</v>
      </c>
      <c r="AA161" s="5" t="str">
        <f ca="1">IFERROR(__xludf.DUMMYFUNCTION("""COMPUTED_VALUE"""),"Yes")</f>
        <v>Yes</v>
      </c>
      <c r="AB161" s="5" t="str">
        <f ca="1">IFERROR(__xludf.DUMMYFUNCTION("""COMPUTED_VALUE"""),"Yes")</f>
        <v>Yes</v>
      </c>
      <c r="AC161" s="5" t="str">
        <f ca="1">IFERROR(__xludf.DUMMYFUNCTION("""COMPUTED_VALUE"""),"Yes")</f>
        <v>Yes</v>
      </c>
      <c r="AD161" s="5" t="str">
        <f ca="1">IFERROR(__xludf.DUMMYFUNCTION("""COMPUTED_VALUE"""),"Yes")</f>
        <v>Yes</v>
      </c>
      <c r="AE161" s="5" t="str">
        <f ca="1">IFERROR(__xludf.DUMMYFUNCTION("""COMPUTED_VALUE"""),"No")</f>
        <v>No</v>
      </c>
      <c r="AF161" s="5" t="str">
        <f ca="1">IFERROR(__xludf.DUMMYFUNCTION("""COMPUTED_VALUE"""),"Yes")</f>
        <v>Yes</v>
      </c>
      <c r="AG161" s="5" t="str">
        <f ca="1">IFERROR(__xludf.DUMMYFUNCTION("""COMPUTED_VALUE"""),"No")</f>
        <v>No</v>
      </c>
      <c r="AH161" s="5" t="str">
        <f ca="1">IFERROR(__xludf.DUMMYFUNCTION("""COMPUTED_VALUE"""),"No")</f>
        <v>No</v>
      </c>
      <c r="AI161" s="5" t="str">
        <f ca="1">IFERROR(__xludf.DUMMYFUNCTION("""COMPUTED_VALUE"""),"No")</f>
        <v>No</v>
      </c>
      <c r="AJ161" s="5" t="str">
        <f ca="1">IFERROR(__xludf.DUMMYFUNCTION("""COMPUTED_VALUE"""),"No")</f>
        <v>No</v>
      </c>
      <c r="AK161" s="5" t="str">
        <f ca="1">IFERROR(__xludf.DUMMYFUNCTION("""COMPUTED_VALUE"""),"No")</f>
        <v>No</v>
      </c>
      <c r="AL161" s="5" t="str">
        <f ca="1">IFERROR(__xludf.DUMMYFUNCTION("""COMPUTED_VALUE"""),"No")</f>
        <v>No</v>
      </c>
      <c r="AM161" s="5"/>
      <c r="AN161" s="5"/>
      <c r="AO161" s="5"/>
      <c r="AP161" s="5"/>
      <c r="AQ161" s="5"/>
      <c r="AR161" s="5"/>
      <c r="AS161" s="5"/>
      <c r="AT161" s="5"/>
      <c r="AU161" s="5"/>
      <c r="AV161" s="5"/>
      <c r="AW161" s="5"/>
      <c r="AX161" s="5"/>
      <c r="AY161" s="5"/>
    </row>
    <row r="162" spans="1:51" x14ac:dyDescent="0.25">
      <c r="A1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2" s="5">
        <f ca="1">IFERROR(__xludf.DUMMYFUNCTION("""COMPUTED_VALUE"""),162)</f>
        <v>162</v>
      </c>
      <c r="C162" s="5">
        <f ca="1">IFERROR(__xludf.DUMMYFUNCTION("""COMPUTED_VALUE"""),161)</f>
        <v>161</v>
      </c>
      <c r="D162" s="5" t="str">
        <f ca="1">IFERROR(__xludf.DUMMYFUNCTION("""COMPUTED_VALUE"""),"GigaHot40")</f>
        <v>GigaHot40</v>
      </c>
      <c r="E162" s="5" t="str">
        <f ca="1">IFERROR(__xludf.DUMMYFUNCTION("""COMPUTED_VALUE"""),"Yes")</f>
        <v>Yes</v>
      </c>
      <c r="F162" s="5" t="str">
        <f ca="1">IFERROR(__xludf.DUMMYFUNCTION("""COMPUTED_VALUE"""),"Yes")</f>
        <v>Yes</v>
      </c>
      <c r="G162" s="5" t="str">
        <f ca="1">IFERROR(__xludf.DUMMYFUNCTION("""COMPUTED_VALUE"""),"Yes")</f>
        <v>Yes</v>
      </c>
      <c r="H162" s="5" t="str">
        <f ca="1">IFERROR(__xludf.DUMMYFUNCTION("""COMPUTED_VALUE"""),"Yes")</f>
        <v>Yes</v>
      </c>
      <c r="I162" s="5" t="str">
        <f ca="1">IFERROR(__xludf.DUMMYFUNCTION("""COMPUTED_VALUE"""),"Yes")</f>
        <v>Yes</v>
      </c>
      <c r="J162" s="5" t="str">
        <f ca="1">IFERROR(__xludf.DUMMYFUNCTION("""COMPUTED_VALUE"""),"Yes")</f>
        <v>Yes</v>
      </c>
      <c r="K162" s="5" t="str">
        <f ca="1">IFERROR(__xludf.DUMMYFUNCTION("""COMPUTED_VALUE"""),"Yes")</f>
        <v>Yes</v>
      </c>
      <c r="L162" s="5" t="str">
        <f ca="1">IFERROR(__xludf.DUMMYFUNCTION("""COMPUTED_VALUE"""),"Yes")</f>
        <v>Yes</v>
      </c>
      <c r="M162" s="5" t="str">
        <f ca="1">IFERROR(__xludf.DUMMYFUNCTION("""COMPUTED_VALUE"""),"Yes")</f>
        <v>Yes</v>
      </c>
      <c r="N162" s="5" t="str">
        <f ca="1">IFERROR(__xludf.DUMMYFUNCTION("""COMPUTED_VALUE"""),"Yes")</f>
        <v>Yes</v>
      </c>
      <c r="O162" s="5" t="str">
        <f ca="1">IFERROR(__xludf.DUMMYFUNCTION("""COMPUTED_VALUE"""),"Yes")</f>
        <v>Yes</v>
      </c>
      <c r="P162" s="5" t="str">
        <f ca="1">IFERROR(__xludf.DUMMYFUNCTION("""COMPUTED_VALUE"""),"Yes")</f>
        <v>Yes</v>
      </c>
      <c r="Q162" s="5" t="str">
        <f ca="1">IFERROR(__xludf.DUMMYFUNCTION("""COMPUTED_VALUE"""),"Yes")</f>
        <v>Yes</v>
      </c>
      <c r="R162" s="5" t="str">
        <f ca="1">IFERROR(__xludf.DUMMYFUNCTION("""COMPUTED_VALUE"""),"Yes")</f>
        <v>Yes</v>
      </c>
      <c r="S162" s="5" t="str">
        <f ca="1">IFERROR(__xludf.DUMMYFUNCTION("""COMPUTED_VALUE"""),"Yes")</f>
        <v>Yes</v>
      </c>
      <c r="T162" s="5" t="str">
        <f ca="1">IFERROR(__xludf.DUMMYFUNCTION("""COMPUTED_VALUE"""),"Yes")</f>
        <v>Yes</v>
      </c>
      <c r="U162" s="5" t="str">
        <f ca="1">IFERROR(__xludf.DUMMYFUNCTION("""COMPUTED_VALUE"""),"Yes")</f>
        <v>Yes</v>
      </c>
      <c r="V162" s="5" t="str">
        <f ca="1">IFERROR(__xludf.DUMMYFUNCTION("""COMPUTED_VALUE"""),"Yes")</f>
        <v>Yes</v>
      </c>
      <c r="W162" s="5" t="str">
        <f ca="1">IFERROR(__xludf.DUMMYFUNCTION("""COMPUTED_VALUE"""),"Yes")</f>
        <v>Yes</v>
      </c>
      <c r="X162" s="5" t="str">
        <f ca="1">IFERROR(__xludf.DUMMYFUNCTION("""COMPUTED_VALUE"""),"Yes")</f>
        <v>Yes</v>
      </c>
      <c r="Y162" s="5" t="str">
        <f ca="1">IFERROR(__xludf.DUMMYFUNCTION("""COMPUTED_VALUE"""),"Yes")</f>
        <v>Yes</v>
      </c>
      <c r="Z162" s="5" t="str">
        <f ca="1">IFERROR(__xludf.DUMMYFUNCTION("""COMPUTED_VALUE"""),"No")</f>
        <v>No</v>
      </c>
      <c r="AA162" s="5" t="str">
        <f ca="1">IFERROR(__xludf.DUMMYFUNCTION("""COMPUTED_VALUE"""),"Yes")</f>
        <v>Yes</v>
      </c>
      <c r="AB162" s="5" t="str">
        <f ca="1">IFERROR(__xludf.DUMMYFUNCTION("""COMPUTED_VALUE"""),"Yes")</f>
        <v>Yes</v>
      </c>
      <c r="AC162" s="5" t="str">
        <f ca="1">IFERROR(__xludf.DUMMYFUNCTION("""COMPUTED_VALUE"""),"Yes")</f>
        <v>Yes</v>
      </c>
      <c r="AD162" s="5" t="str">
        <f ca="1">IFERROR(__xludf.DUMMYFUNCTION("""COMPUTED_VALUE"""),"Yes")</f>
        <v>Yes</v>
      </c>
      <c r="AE162" s="5" t="str">
        <f ca="1">IFERROR(__xludf.DUMMYFUNCTION("""COMPUTED_VALUE"""),"No")</f>
        <v>No</v>
      </c>
      <c r="AF162" s="5" t="str">
        <f ca="1">IFERROR(__xludf.DUMMYFUNCTION("""COMPUTED_VALUE"""),"Yes")</f>
        <v>Yes</v>
      </c>
      <c r="AG162" s="5" t="str">
        <f ca="1">IFERROR(__xludf.DUMMYFUNCTION("""COMPUTED_VALUE"""),"No")</f>
        <v>No</v>
      </c>
      <c r="AH162" s="5" t="str">
        <f ca="1">IFERROR(__xludf.DUMMYFUNCTION("""COMPUTED_VALUE"""),"No")</f>
        <v>No</v>
      </c>
      <c r="AI162" s="5" t="str">
        <f ca="1">IFERROR(__xludf.DUMMYFUNCTION("""COMPUTED_VALUE"""),"No")</f>
        <v>No</v>
      </c>
      <c r="AJ162" s="5" t="str">
        <f ca="1">IFERROR(__xludf.DUMMYFUNCTION("""COMPUTED_VALUE"""),"No")</f>
        <v>No</v>
      </c>
      <c r="AK162" s="5" t="str">
        <f ca="1">IFERROR(__xludf.DUMMYFUNCTION("""COMPUTED_VALUE"""),"No")</f>
        <v>No</v>
      </c>
      <c r="AL162" s="5" t="str">
        <f ca="1">IFERROR(__xludf.DUMMYFUNCTION("""COMPUTED_VALUE"""),"No")</f>
        <v>No</v>
      </c>
      <c r="AM162" s="5"/>
      <c r="AN162" s="5"/>
      <c r="AO162" s="5"/>
      <c r="AP162" s="5"/>
      <c r="AQ162" s="5"/>
      <c r="AR162" s="5"/>
      <c r="AS162" s="5"/>
      <c r="AT162" s="5"/>
      <c r="AU162" s="5"/>
      <c r="AV162" s="5"/>
      <c r="AW162" s="5"/>
      <c r="AX162" s="5"/>
      <c r="AY162" s="5"/>
    </row>
    <row r="163" spans="1:51" x14ac:dyDescent="0.25">
      <c r="A1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3" s="5">
        <f ca="1">IFERROR(__xludf.DUMMYFUNCTION("""COMPUTED_VALUE"""),163)</f>
        <v>163</v>
      </c>
      <c r="C163" s="5">
        <f ca="1">IFERROR(__xludf.DUMMYFUNCTION("""COMPUTED_VALUE"""),162)</f>
        <v>162</v>
      </c>
      <c r="D163" s="5" t="str">
        <f ca="1">IFERROR(__xludf.DUMMYFUNCTION("""COMPUTED_VALUE"""),"UnicornDaVincisFruits")</f>
        <v>UnicornDaVincisFruits</v>
      </c>
      <c r="E163" s="5" t="str">
        <f ca="1">IFERROR(__xludf.DUMMYFUNCTION("""COMPUTED_VALUE"""),"Yes")</f>
        <v>Yes</v>
      </c>
      <c r="F163" s="5" t="str">
        <f ca="1">IFERROR(__xludf.DUMMYFUNCTION("""COMPUTED_VALUE"""),"Yes")</f>
        <v>Yes</v>
      </c>
      <c r="G163" s="5" t="str">
        <f ca="1">IFERROR(__xludf.DUMMYFUNCTION("""COMPUTED_VALUE"""),"Yes")</f>
        <v>Yes</v>
      </c>
      <c r="H163" s="5" t="str">
        <f ca="1">IFERROR(__xludf.DUMMYFUNCTION("""COMPUTED_VALUE"""),"Yes")</f>
        <v>Yes</v>
      </c>
      <c r="I163" s="5" t="str">
        <f ca="1">IFERROR(__xludf.DUMMYFUNCTION("""COMPUTED_VALUE"""),"Yes")</f>
        <v>Yes</v>
      </c>
      <c r="J163" s="5" t="str">
        <f ca="1">IFERROR(__xludf.DUMMYFUNCTION("""COMPUTED_VALUE"""),"Yes")</f>
        <v>Yes</v>
      </c>
      <c r="K163" s="5" t="str">
        <f ca="1">IFERROR(__xludf.DUMMYFUNCTION("""COMPUTED_VALUE"""),"Yes")</f>
        <v>Yes</v>
      </c>
      <c r="L163" s="5" t="str">
        <f ca="1">IFERROR(__xludf.DUMMYFUNCTION("""COMPUTED_VALUE"""),"Yes")</f>
        <v>Yes</v>
      </c>
      <c r="M163" s="5" t="str">
        <f ca="1">IFERROR(__xludf.DUMMYFUNCTION("""COMPUTED_VALUE"""),"Yes")</f>
        <v>Yes</v>
      </c>
      <c r="N163" s="5" t="str">
        <f ca="1">IFERROR(__xludf.DUMMYFUNCTION("""COMPUTED_VALUE"""),"Yes")</f>
        <v>Yes</v>
      </c>
      <c r="O163" s="5" t="str">
        <f ca="1">IFERROR(__xludf.DUMMYFUNCTION("""COMPUTED_VALUE"""),"Yes")</f>
        <v>Yes</v>
      </c>
      <c r="P163" s="5" t="str">
        <f ca="1">IFERROR(__xludf.DUMMYFUNCTION("""COMPUTED_VALUE"""),"Yes")</f>
        <v>Yes</v>
      </c>
      <c r="Q163" s="5" t="str">
        <f ca="1">IFERROR(__xludf.DUMMYFUNCTION("""COMPUTED_VALUE"""),"Yes")</f>
        <v>Yes</v>
      </c>
      <c r="R163" s="5" t="str">
        <f ca="1">IFERROR(__xludf.DUMMYFUNCTION("""COMPUTED_VALUE"""),"Yes")</f>
        <v>Yes</v>
      </c>
      <c r="S163" s="5" t="str">
        <f ca="1">IFERROR(__xludf.DUMMYFUNCTION("""COMPUTED_VALUE"""),"Yes")</f>
        <v>Yes</v>
      </c>
      <c r="T163" s="5" t="str">
        <f ca="1">IFERROR(__xludf.DUMMYFUNCTION("""COMPUTED_VALUE"""),"Yes")</f>
        <v>Yes</v>
      </c>
      <c r="U163" s="5" t="str">
        <f ca="1">IFERROR(__xludf.DUMMYFUNCTION("""COMPUTED_VALUE"""),"Yes")</f>
        <v>Yes</v>
      </c>
      <c r="V163" s="5" t="str">
        <f ca="1">IFERROR(__xludf.DUMMYFUNCTION("""COMPUTED_VALUE"""),"Yes")</f>
        <v>Yes</v>
      </c>
      <c r="W163" s="5" t="str">
        <f ca="1">IFERROR(__xludf.DUMMYFUNCTION("""COMPUTED_VALUE"""),"Yes")</f>
        <v>Yes</v>
      </c>
      <c r="X163" s="5" t="str">
        <f ca="1">IFERROR(__xludf.DUMMYFUNCTION("""COMPUTED_VALUE"""),"Yes")</f>
        <v>Yes</v>
      </c>
      <c r="Y163" s="5" t="str">
        <f ca="1">IFERROR(__xludf.DUMMYFUNCTION("""COMPUTED_VALUE"""),"Yes")</f>
        <v>Yes</v>
      </c>
      <c r="Z163" s="5"/>
      <c r="AA163" s="5" t="str">
        <f ca="1">IFERROR(__xludf.DUMMYFUNCTION("""COMPUTED_VALUE"""),"Yes")</f>
        <v>Yes</v>
      </c>
      <c r="AB163" s="5" t="str">
        <f ca="1">IFERROR(__xludf.DUMMYFUNCTION("""COMPUTED_VALUE"""),"Yes")</f>
        <v>Yes</v>
      </c>
      <c r="AC163" s="5" t="str">
        <f ca="1">IFERROR(__xludf.DUMMYFUNCTION("""COMPUTED_VALUE"""),"Yes")</f>
        <v>Yes</v>
      </c>
      <c r="AD163" s="5" t="str">
        <f ca="1">IFERROR(__xludf.DUMMYFUNCTION("""COMPUTED_VALUE"""),"Yes")</f>
        <v>Yes</v>
      </c>
      <c r="AE163" s="5"/>
      <c r="AF163" s="5" t="str">
        <f ca="1">IFERROR(__xludf.DUMMYFUNCTION("""COMPUTED_VALUE"""),"Yes")</f>
        <v>Yes</v>
      </c>
      <c r="AG163" s="5"/>
      <c r="AH163" s="5"/>
      <c r="AI163" s="5"/>
      <c r="AJ163" s="5"/>
      <c r="AK163" s="5"/>
      <c r="AL163" s="5"/>
      <c r="AM163" s="5"/>
      <c r="AN163" s="5"/>
      <c r="AO163" s="5"/>
      <c r="AP163" s="5"/>
      <c r="AQ163" s="5"/>
      <c r="AR163" s="5"/>
      <c r="AS163" s="5"/>
      <c r="AT163" s="5"/>
      <c r="AU163" s="5"/>
      <c r="AV163" s="5"/>
      <c r="AW163" s="5"/>
      <c r="AX163" s="5"/>
      <c r="AY163" s="5"/>
    </row>
    <row r="164" spans="1:51" x14ac:dyDescent="0.25">
      <c r="A16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64" s="5">
        <f ca="1">IFERROR(__xludf.DUMMYFUNCTION("""COMPUTED_VALUE"""),164)</f>
        <v>164</v>
      </c>
      <c r="C164" s="5">
        <f ca="1">IFERROR(__xludf.DUMMYFUNCTION("""COMPUTED_VALUE"""),163)</f>
        <v>163</v>
      </c>
      <c r="D164" s="5" t="str">
        <f ca="1">IFERROR(__xludf.DUMMYFUNCTION("""COMPUTED_VALUE"""),"UnicornFruitMagic")</f>
        <v>UnicornFruitMagic</v>
      </c>
      <c r="E164" s="5" t="str">
        <f ca="1">IFERROR(__xludf.DUMMYFUNCTION("""COMPUTED_VALUE"""),"Yes")</f>
        <v>Yes</v>
      </c>
      <c r="F164" s="5" t="str">
        <f ca="1">IFERROR(__xludf.DUMMYFUNCTION("""COMPUTED_VALUE"""),"Yes")</f>
        <v>Yes</v>
      </c>
      <c r="G164" s="5" t="str">
        <f ca="1">IFERROR(__xludf.DUMMYFUNCTION("""COMPUTED_VALUE"""),"Yes")</f>
        <v>Yes</v>
      </c>
      <c r="H164" s="5" t="str">
        <f ca="1">IFERROR(__xludf.DUMMYFUNCTION("""COMPUTED_VALUE"""),"No")</f>
        <v>No</v>
      </c>
      <c r="I164" s="5" t="str">
        <f ca="1">IFERROR(__xludf.DUMMYFUNCTION("""COMPUTED_VALUE"""),"No")</f>
        <v>No</v>
      </c>
      <c r="J164" s="5" t="str">
        <f ca="1">IFERROR(__xludf.DUMMYFUNCTION("""COMPUTED_VALUE"""),"No")</f>
        <v>No</v>
      </c>
      <c r="K164" s="5" t="str">
        <f ca="1">IFERROR(__xludf.DUMMYFUNCTION("""COMPUTED_VALUE"""),"No")</f>
        <v>No</v>
      </c>
      <c r="L164" s="5" t="str">
        <f ca="1">IFERROR(__xludf.DUMMYFUNCTION("""COMPUTED_VALUE"""),"No")</f>
        <v>No</v>
      </c>
      <c r="M164" s="5" t="str">
        <f ca="1">IFERROR(__xludf.DUMMYFUNCTION("""COMPUTED_VALUE"""),"Yes")</f>
        <v>Yes</v>
      </c>
      <c r="N164" s="5" t="str">
        <f ca="1">IFERROR(__xludf.DUMMYFUNCTION("""COMPUTED_VALUE"""),"Yes")</f>
        <v>Yes</v>
      </c>
      <c r="O164" s="5" t="str">
        <f ca="1">IFERROR(__xludf.DUMMYFUNCTION("""COMPUTED_VALUE"""),"Yes")</f>
        <v>Yes</v>
      </c>
      <c r="P164" s="5" t="str">
        <f ca="1">IFERROR(__xludf.DUMMYFUNCTION("""COMPUTED_VALUE"""),"Yes")</f>
        <v>Yes</v>
      </c>
      <c r="Q164" s="5" t="str">
        <f ca="1">IFERROR(__xludf.DUMMYFUNCTION("""COMPUTED_VALUE"""),"Yes")</f>
        <v>Yes</v>
      </c>
      <c r="R164" s="5" t="str">
        <f ca="1">IFERROR(__xludf.DUMMYFUNCTION("""COMPUTED_VALUE"""),"No")</f>
        <v>No</v>
      </c>
      <c r="S164" s="5" t="str">
        <f ca="1">IFERROR(__xludf.DUMMYFUNCTION("""COMPUTED_VALUE"""),"Yes")</f>
        <v>Yes</v>
      </c>
      <c r="T164" s="5" t="str">
        <f ca="1">IFERROR(__xludf.DUMMYFUNCTION("""COMPUTED_VALUE"""),"No")</f>
        <v>No</v>
      </c>
      <c r="U164" s="5" t="str">
        <f ca="1">IFERROR(__xludf.DUMMYFUNCTION("""COMPUTED_VALUE"""),"No")</f>
        <v>No</v>
      </c>
      <c r="V164" s="5" t="str">
        <f ca="1">IFERROR(__xludf.DUMMYFUNCTION("""COMPUTED_VALUE"""),"No")</f>
        <v>No</v>
      </c>
      <c r="W164" s="5" t="str">
        <f ca="1">IFERROR(__xludf.DUMMYFUNCTION("""COMPUTED_VALUE"""),"No")</f>
        <v>No</v>
      </c>
      <c r="X164" s="5" t="str">
        <f ca="1">IFERROR(__xludf.DUMMYFUNCTION("""COMPUTED_VALUE"""),"No")</f>
        <v>No</v>
      </c>
      <c r="Y164" s="5"/>
      <c r="Z164" s="5"/>
      <c r="AA164" s="5"/>
      <c r="AB164" s="5"/>
      <c r="AC164" s="5" t="str">
        <f ca="1">IFERROR(__xludf.DUMMYFUNCTION("""COMPUTED_VALUE"""),"No")</f>
        <v>No</v>
      </c>
      <c r="AD164" s="5"/>
      <c r="AE164" s="5"/>
      <c r="AF164" s="5"/>
      <c r="AG164" s="5"/>
      <c r="AH164" s="5"/>
      <c r="AI164" s="5"/>
      <c r="AJ164" s="5"/>
      <c r="AK164" s="5"/>
      <c r="AL164" s="5"/>
      <c r="AM164" s="5"/>
      <c r="AN164" s="5"/>
      <c r="AO164" s="5"/>
      <c r="AP164" s="5"/>
      <c r="AQ164" s="5"/>
      <c r="AR164" s="5"/>
      <c r="AS164" s="5"/>
      <c r="AT164" s="5"/>
      <c r="AU164" s="5"/>
      <c r="AV164" s="5"/>
      <c r="AW164" s="5"/>
      <c r="AX164" s="5"/>
      <c r="AY164" s="5"/>
    </row>
    <row r="165" spans="1:51" x14ac:dyDescent="0.25">
      <c r="A16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65" s="5">
        <f ca="1">IFERROR(__xludf.DUMMYFUNCTION("""COMPUTED_VALUE"""),165)</f>
        <v>165</v>
      </c>
      <c r="C165" s="5">
        <f ca="1">IFERROR(__xludf.DUMMYFUNCTION("""COMPUTED_VALUE"""),164)</f>
        <v>164</v>
      </c>
      <c r="D165" s="5" t="str">
        <f ca="1">IFERROR(__xludf.DUMMYFUNCTION("""COMPUTED_VALUE"""),"UnicornMoneyStandard")</f>
        <v>UnicornMoneyStandard</v>
      </c>
      <c r="E165" s="5" t="str">
        <f ca="1">IFERROR(__xludf.DUMMYFUNCTION("""COMPUTED_VALUE"""),"Yes")</f>
        <v>Yes</v>
      </c>
      <c r="F165" s="5" t="str">
        <f ca="1">IFERROR(__xludf.DUMMYFUNCTION("""COMPUTED_VALUE"""),"Yes")</f>
        <v>Yes</v>
      </c>
      <c r="G165" s="5" t="str">
        <f ca="1">IFERROR(__xludf.DUMMYFUNCTION("""COMPUTED_VALUE"""),"Yes")</f>
        <v>Yes</v>
      </c>
      <c r="H165" s="5" t="str">
        <f ca="1">IFERROR(__xludf.DUMMYFUNCTION("""COMPUTED_VALUE"""),"No")</f>
        <v>No</v>
      </c>
      <c r="I165" s="5" t="str">
        <f ca="1">IFERROR(__xludf.DUMMYFUNCTION("""COMPUTED_VALUE"""),"No")</f>
        <v>No</v>
      </c>
      <c r="J165" s="5" t="str">
        <f ca="1">IFERROR(__xludf.DUMMYFUNCTION("""COMPUTED_VALUE"""),"No")</f>
        <v>No</v>
      </c>
      <c r="K165" s="5" t="str">
        <f ca="1">IFERROR(__xludf.DUMMYFUNCTION("""COMPUTED_VALUE"""),"No")</f>
        <v>No</v>
      </c>
      <c r="L165" s="5" t="str">
        <f ca="1">IFERROR(__xludf.DUMMYFUNCTION("""COMPUTED_VALUE"""),"No")</f>
        <v>No</v>
      </c>
      <c r="M165" s="5" t="str">
        <f ca="1">IFERROR(__xludf.DUMMYFUNCTION("""COMPUTED_VALUE"""),"Yes")</f>
        <v>Yes</v>
      </c>
      <c r="N165" s="5" t="str">
        <f ca="1">IFERROR(__xludf.DUMMYFUNCTION("""COMPUTED_VALUE"""),"Yes")</f>
        <v>Yes</v>
      </c>
      <c r="O165" s="5" t="str">
        <f ca="1">IFERROR(__xludf.DUMMYFUNCTION("""COMPUTED_VALUE"""),"Yes")</f>
        <v>Yes</v>
      </c>
      <c r="P165" s="5" t="str">
        <f ca="1">IFERROR(__xludf.DUMMYFUNCTION("""COMPUTED_VALUE"""),"Yes")</f>
        <v>Yes</v>
      </c>
      <c r="Q165" s="5" t="str">
        <f ca="1">IFERROR(__xludf.DUMMYFUNCTION("""COMPUTED_VALUE"""),"Yes")</f>
        <v>Yes</v>
      </c>
      <c r="R165" s="5" t="str">
        <f ca="1">IFERROR(__xludf.DUMMYFUNCTION("""COMPUTED_VALUE"""),"No")</f>
        <v>No</v>
      </c>
      <c r="S165" s="5" t="str">
        <f ca="1">IFERROR(__xludf.DUMMYFUNCTION("""COMPUTED_VALUE"""),"Yes")</f>
        <v>Yes</v>
      </c>
      <c r="T165" s="5" t="str">
        <f ca="1">IFERROR(__xludf.DUMMYFUNCTION("""COMPUTED_VALUE"""),"No")</f>
        <v>No</v>
      </c>
      <c r="U165" s="5" t="str">
        <f ca="1">IFERROR(__xludf.DUMMYFUNCTION("""COMPUTED_VALUE"""),"No")</f>
        <v>No</v>
      </c>
      <c r="V165" s="5" t="str">
        <f ca="1">IFERROR(__xludf.DUMMYFUNCTION("""COMPUTED_VALUE"""),"No")</f>
        <v>No</v>
      </c>
      <c r="W165" s="5" t="str">
        <f ca="1">IFERROR(__xludf.DUMMYFUNCTION("""COMPUTED_VALUE"""),"No")</f>
        <v>No</v>
      </c>
      <c r="X165" s="5" t="str">
        <f ca="1">IFERROR(__xludf.DUMMYFUNCTION("""COMPUTED_VALUE"""),"No")</f>
        <v>No</v>
      </c>
      <c r="Y165" s="5"/>
      <c r="Z165" s="5"/>
      <c r="AA165" s="5"/>
      <c r="AB165" s="5"/>
      <c r="AC165" s="5" t="str">
        <f ca="1">IFERROR(__xludf.DUMMYFUNCTION("""COMPUTED_VALUE"""),"No")</f>
        <v>No</v>
      </c>
      <c r="AD165" s="5"/>
      <c r="AE165" s="5"/>
      <c r="AF165" s="5"/>
      <c r="AG165" s="5"/>
      <c r="AH165" s="5"/>
      <c r="AI165" s="5"/>
      <c r="AJ165" s="5"/>
      <c r="AK165" s="5"/>
      <c r="AL165" s="5"/>
      <c r="AM165" s="5"/>
      <c r="AN165" s="5"/>
      <c r="AO165" s="5"/>
      <c r="AP165" s="5"/>
      <c r="AQ165" s="5"/>
      <c r="AR165" s="5"/>
      <c r="AS165" s="5"/>
      <c r="AT165" s="5"/>
      <c r="AU165" s="5"/>
      <c r="AV165" s="5"/>
      <c r="AW165" s="5"/>
      <c r="AX165" s="5"/>
      <c r="AY165" s="5"/>
    </row>
    <row r="166" spans="1:51" x14ac:dyDescent="0.25">
      <c r="A16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66" s="5">
        <f ca="1">IFERROR(__xludf.DUMMYFUNCTION("""COMPUTED_VALUE"""),166)</f>
        <v>166</v>
      </c>
      <c r="C166" s="5">
        <f ca="1">IFERROR(__xludf.DUMMYFUNCTION("""COMPUTED_VALUE"""),165)</f>
        <v>165</v>
      </c>
      <c r="D166" s="5" t="str">
        <f ca="1">IFERROR(__xludf.DUMMYFUNCTION("""COMPUTED_VALUE"""),"WildDiamond10")</f>
        <v>WildDiamond10</v>
      </c>
      <c r="E166" s="5" t="str">
        <f ca="1">IFERROR(__xludf.DUMMYFUNCTION("""COMPUTED_VALUE"""),"Yes")</f>
        <v>Yes</v>
      </c>
      <c r="F166" s="5" t="str">
        <f ca="1">IFERROR(__xludf.DUMMYFUNCTION("""COMPUTED_VALUE"""),"Yes")</f>
        <v>Yes</v>
      </c>
      <c r="G166" s="5" t="str">
        <f ca="1">IFERROR(__xludf.DUMMYFUNCTION("""COMPUTED_VALUE"""),"Yes")</f>
        <v>Yes</v>
      </c>
      <c r="H166" s="5" t="str">
        <f ca="1">IFERROR(__xludf.DUMMYFUNCTION("""COMPUTED_VALUE"""),"No")</f>
        <v>No</v>
      </c>
      <c r="I166" s="5" t="str">
        <f ca="1">IFERROR(__xludf.DUMMYFUNCTION("""COMPUTED_VALUE"""),"No")</f>
        <v>No</v>
      </c>
      <c r="J166" s="5" t="str">
        <f ca="1">IFERROR(__xludf.DUMMYFUNCTION("""COMPUTED_VALUE"""),"No")</f>
        <v>No</v>
      </c>
      <c r="K166" s="5" t="str">
        <f ca="1">IFERROR(__xludf.DUMMYFUNCTION("""COMPUTED_VALUE"""),"No")</f>
        <v>No</v>
      </c>
      <c r="L166" s="5" t="str">
        <f ca="1">IFERROR(__xludf.DUMMYFUNCTION("""COMPUTED_VALUE"""),"No")</f>
        <v>No</v>
      </c>
      <c r="M166" s="5" t="str">
        <f ca="1">IFERROR(__xludf.DUMMYFUNCTION("""COMPUTED_VALUE"""),"Yes")</f>
        <v>Yes</v>
      </c>
      <c r="N166" s="5" t="str">
        <f ca="1">IFERROR(__xludf.DUMMYFUNCTION("""COMPUTED_VALUE"""),"Yes")</f>
        <v>Yes</v>
      </c>
      <c r="O166" s="5" t="str">
        <f ca="1">IFERROR(__xludf.DUMMYFUNCTION("""COMPUTED_VALUE"""),"Yes")</f>
        <v>Yes</v>
      </c>
      <c r="P166" s="5" t="str">
        <f ca="1">IFERROR(__xludf.DUMMYFUNCTION("""COMPUTED_VALUE"""),"Yes")</f>
        <v>Yes</v>
      </c>
      <c r="Q166" s="5" t="str">
        <f ca="1">IFERROR(__xludf.DUMMYFUNCTION("""COMPUTED_VALUE"""),"Yes")</f>
        <v>Yes</v>
      </c>
      <c r="R166" s="5" t="str">
        <f ca="1">IFERROR(__xludf.DUMMYFUNCTION("""COMPUTED_VALUE"""),"No")</f>
        <v>No</v>
      </c>
      <c r="S166" s="5" t="str">
        <f ca="1">IFERROR(__xludf.DUMMYFUNCTION("""COMPUTED_VALUE"""),"Yes")</f>
        <v>Yes</v>
      </c>
      <c r="T166" s="5" t="str">
        <f ca="1">IFERROR(__xludf.DUMMYFUNCTION("""COMPUTED_VALUE"""),"No")</f>
        <v>No</v>
      </c>
      <c r="U166" s="5" t="str">
        <f ca="1">IFERROR(__xludf.DUMMYFUNCTION("""COMPUTED_VALUE"""),"No")</f>
        <v>No</v>
      </c>
      <c r="V166" s="5" t="str">
        <f ca="1">IFERROR(__xludf.DUMMYFUNCTION("""COMPUTED_VALUE"""),"No")</f>
        <v>No</v>
      </c>
      <c r="W166" s="5" t="str">
        <f ca="1">IFERROR(__xludf.DUMMYFUNCTION("""COMPUTED_VALUE"""),"No")</f>
        <v>No</v>
      </c>
      <c r="X166" s="5" t="str">
        <f ca="1">IFERROR(__xludf.DUMMYFUNCTION("""COMPUTED_VALUE"""),"No")</f>
        <v>No</v>
      </c>
      <c r="Y166" s="5"/>
      <c r="Z166" s="5"/>
      <c r="AA166" s="5"/>
      <c r="AB166" s="5"/>
      <c r="AC166" s="5" t="str">
        <f ca="1">IFERROR(__xludf.DUMMYFUNCTION("""COMPUTED_VALUE"""),"No")</f>
        <v>No</v>
      </c>
      <c r="AD166" s="5"/>
      <c r="AE166" s="5"/>
      <c r="AF166" s="5"/>
      <c r="AG166" s="5"/>
      <c r="AH166" s="5"/>
      <c r="AI166" s="5"/>
      <c r="AJ166" s="5"/>
      <c r="AK166" s="5"/>
      <c r="AL166" s="5"/>
      <c r="AM166" s="5"/>
      <c r="AN166" s="5"/>
      <c r="AO166" s="5"/>
      <c r="AP166" s="5"/>
      <c r="AQ166" s="5"/>
      <c r="AR166" s="5"/>
      <c r="AS166" s="5"/>
      <c r="AT166" s="5"/>
      <c r="AU166" s="5"/>
      <c r="AV166" s="5"/>
      <c r="AW166" s="5"/>
      <c r="AX166" s="5"/>
      <c r="AY166" s="5"/>
    </row>
    <row r="167" spans="1:51" x14ac:dyDescent="0.25">
      <c r="A16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67" s="5">
        <f ca="1">IFERROR(__xludf.DUMMYFUNCTION("""COMPUTED_VALUE"""),167)</f>
        <v>167</v>
      </c>
      <c r="C167" s="5">
        <f ca="1">IFERROR(__xludf.DUMMYFUNCTION("""COMPUTED_VALUE"""),166)</f>
        <v>166</v>
      </c>
      <c r="D167" s="5" t="str">
        <f ca="1">IFERROR(__xludf.DUMMYFUNCTION("""COMPUTED_VALUE"""),"UnicornMiniMegaCash")</f>
        <v>UnicornMiniMegaCash</v>
      </c>
      <c r="E167" s="5" t="str">
        <f ca="1">IFERROR(__xludf.DUMMYFUNCTION("""COMPUTED_VALUE"""),"Yes")</f>
        <v>Yes</v>
      </c>
      <c r="F167" s="5" t="str">
        <f ca="1">IFERROR(__xludf.DUMMYFUNCTION("""COMPUTED_VALUE"""),"Yes")</f>
        <v>Yes</v>
      </c>
      <c r="G167" s="5" t="str">
        <f ca="1">IFERROR(__xludf.DUMMYFUNCTION("""COMPUTED_VALUE"""),"No")</f>
        <v>No</v>
      </c>
      <c r="H167" s="5" t="str">
        <f ca="1">IFERROR(__xludf.DUMMYFUNCTION("""COMPUTED_VALUE"""),"Yes")</f>
        <v>Yes</v>
      </c>
      <c r="I167" s="5" t="str">
        <f ca="1">IFERROR(__xludf.DUMMYFUNCTION("""COMPUTED_VALUE"""),"Yes")</f>
        <v>Yes</v>
      </c>
      <c r="J167" s="5" t="str">
        <f ca="1">IFERROR(__xludf.DUMMYFUNCTION("""COMPUTED_VALUE"""),"Yes")</f>
        <v>Yes</v>
      </c>
      <c r="K167" s="5" t="str">
        <f ca="1">IFERROR(__xludf.DUMMYFUNCTION("""COMPUTED_VALUE"""),"Yes")</f>
        <v>Yes</v>
      </c>
      <c r="L167" s="5" t="str">
        <f ca="1">IFERROR(__xludf.DUMMYFUNCTION("""COMPUTED_VALUE"""),"Yes")</f>
        <v>Yes</v>
      </c>
      <c r="M167" s="5" t="str">
        <f ca="1">IFERROR(__xludf.DUMMYFUNCTION("""COMPUTED_VALUE"""),"Yes")</f>
        <v>Yes</v>
      </c>
      <c r="N167" s="5" t="str">
        <f ca="1">IFERROR(__xludf.DUMMYFUNCTION("""COMPUTED_VALUE"""),"Yes")</f>
        <v>Yes</v>
      </c>
      <c r="O167" s="5" t="str">
        <f ca="1">IFERROR(__xludf.DUMMYFUNCTION("""COMPUTED_VALUE"""),"Yes")</f>
        <v>Yes</v>
      </c>
      <c r="P167" s="5" t="str">
        <f ca="1">IFERROR(__xludf.DUMMYFUNCTION("""COMPUTED_VALUE"""),"Yes")</f>
        <v>Yes</v>
      </c>
      <c r="Q167" s="5" t="str">
        <f ca="1">IFERROR(__xludf.DUMMYFUNCTION("""COMPUTED_VALUE"""),"Yes")</f>
        <v>Yes</v>
      </c>
      <c r="R167" s="5" t="str">
        <f ca="1">IFERROR(__xludf.DUMMYFUNCTION("""COMPUTED_VALUE"""),"Yes")</f>
        <v>Yes</v>
      </c>
      <c r="S167" s="5" t="str">
        <f ca="1">IFERROR(__xludf.DUMMYFUNCTION("""COMPUTED_VALUE"""),"Yes")</f>
        <v>Yes</v>
      </c>
      <c r="T167" s="5" t="str">
        <f ca="1">IFERROR(__xludf.DUMMYFUNCTION("""COMPUTED_VALUE"""),"No")</f>
        <v>No</v>
      </c>
      <c r="U167" s="5" t="str">
        <f ca="1">IFERROR(__xludf.DUMMYFUNCTION("""COMPUTED_VALUE"""),"No")</f>
        <v>No</v>
      </c>
      <c r="V167" s="5" t="str">
        <f ca="1">IFERROR(__xludf.DUMMYFUNCTION("""COMPUTED_VALUE"""),"No")</f>
        <v>No</v>
      </c>
      <c r="W167" s="5" t="str">
        <f ca="1">IFERROR(__xludf.DUMMYFUNCTION("""COMPUTED_VALUE"""),"No")</f>
        <v>No</v>
      </c>
      <c r="X167" s="5" t="str">
        <f ca="1">IFERROR(__xludf.DUMMYFUNCTION("""COMPUTED_VALUE"""),"No")</f>
        <v>No</v>
      </c>
      <c r="Y167" s="5" t="str">
        <f ca="1">IFERROR(__xludf.DUMMYFUNCTION("""COMPUTED_VALUE"""),"No")</f>
        <v>No</v>
      </c>
      <c r="Z167" s="5" t="str">
        <f ca="1">IFERROR(__xludf.DUMMYFUNCTION("""COMPUTED_VALUE"""),"No")</f>
        <v>No</v>
      </c>
      <c r="AA167" s="5" t="str">
        <f ca="1">IFERROR(__xludf.DUMMYFUNCTION("""COMPUTED_VALUE"""),"No")</f>
        <v>No</v>
      </c>
      <c r="AB167" s="5" t="str">
        <f ca="1">IFERROR(__xludf.DUMMYFUNCTION("""COMPUTED_VALUE"""),"No")</f>
        <v>No</v>
      </c>
      <c r="AC167" s="5" t="str">
        <f ca="1">IFERROR(__xludf.DUMMYFUNCTION("""COMPUTED_VALUE"""),"No")</f>
        <v>No</v>
      </c>
      <c r="AD167" s="5" t="str">
        <f ca="1">IFERROR(__xludf.DUMMYFUNCTION("""COMPUTED_VALUE"""),"No")</f>
        <v>No</v>
      </c>
      <c r="AE167" s="5" t="str">
        <f ca="1">IFERROR(__xludf.DUMMYFUNCTION("""COMPUTED_VALUE"""),"No")</f>
        <v>No</v>
      </c>
      <c r="AF167" s="5" t="str">
        <f ca="1">IFERROR(__xludf.DUMMYFUNCTION("""COMPUTED_VALUE"""),"Yes")</f>
        <v>Yes</v>
      </c>
      <c r="AG167" s="5" t="str">
        <f ca="1">IFERROR(__xludf.DUMMYFUNCTION("""COMPUTED_VALUE"""),"No")</f>
        <v>No</v>
      </c>
      <c r="AH167" s="5" t="str">
        <f ca="1">IFERROR(__xludf.DUMMYFUNCTION("""COMPUTED_VALUE"""),"Yes")</f>
        <v>Yes</v>
      </c>
      <c r="AI167" s="5" t="str">
        <f ca="1">IFERROR(__xludf.DUMMYFUNCTION("""COMPUTED_VALUE"""),"No")</f>
        <v>No</v>
      </c>
      <c r="AJ167" s="5" t="str">
        <f ca="1">IFERROR(__xludf.DUMMYFUNCTION("""COMPUTED_VALUE"""),"No")</f>
        <v>No</v>
      </c>
      <c r="AK167" s="5" t="str">
        <f ca="1">IFERROR(__xludf.DUMMYFUNCTION("""COMPUTED_VALUE"""),"No")</f>
        <v>No</v>
      </c>
      <c r="AL167" s="5" t="str">
        <f ca="1">IFERROR(__xludf.DUMMYFUNCTION("""COMPUTED_VALUE"""),"No")</f>
        <v>No</v>
      </c>
      <c r="AM167" s="5"/>
      <c r="AN167" s="5"/>
      <c r="AO167" s="5"/>
      <c r="AP167" s="5"/>
      <c r="AQ167" s="5"/>
      <c r="AR167" s="5"/>
      <c r="AS167" s="5"/>
      <c r="AT167" s="5"/>
      <c r="AU167" s="5"/>
      <c r="AV167" s="5"/>
      <c r="AW167" s="5"/>
      <c r="AX167" s="5"/>
      <c r="AY167" s="5"/>
    </row>
    <row r="168" spans="1:51" x14ac:dyDescent="0.25">
      <c r="A1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8" s="5">
        <f ca="1">IFERROR(__xludf.DUMMYFUNCTION("""COMPUTED_VALUE"""),168)</f>
        <v>168</v>
      </c>
      <c r="C168" s="5">
        <f ca="1">IFERROR(__xludf.DUMMYFUNCTION("""COMPUTED_VALUE"""),167)</f>
        <v>167</v>
      </c>
      <c r="D168" s="5" t="str">
        <f ca="1">IFERROR(__xludf.DUMMYFUNCTION("""COMPUTED_VALUE"""),"FruityFace")</f>
        <v>FruityFace</v>
      </c>
      <c r="E168" s="5" t="str">
        <f ca="1">IFERROR(__xludf.DUMMYFUNCTION("""COMPUTED_VALUE"""),"Yes")</f>
        <v>Yes</v>
      </c>
      <c r="F168" s="5" t="str">
        <f ca="1">IFERROR(__xludf.DUMMYFUNCTION("""COMPUTED_VALUE"""),"Yes")</f>
        <v>Yes</v>
      </c>
      <c r="G168" s="5" t="str">
        <f ca="1">IFERROR(__xludf.DUMMYFUNCTION("""COMPUTED_VALUE"""),"Yes")</f>
        <v>Yes</v>
      </c>
      <c r="H168" s="5" t="str">
        <f ca="1">IFERROR(__xludf.DUMMYFUNCTION("""COMPUTED_VALUE"""),"Yes")</f>
        <v>Yes</v>
      </c>
      <c r="I168" s="5" t="str">
        <f ca="1">IFERROR(__xludf.DUMMYFUNCTION("""COMPUTED_VALUE"""),"Yes")</f>
        <v>Yes</v>
      </c>
      <c r="J168" s="5" t="str">
        <f ca="1">IFERROR(__xludf.DUMMYFUNCTION("""COMPUTED_VALUE"""),"Yes")</f>
        <v>Yes</v>
      </c>
      <c r="K168" s="5" t="str">
        <f ca="1">IFERROR(__xludf.DUMMYFUNCTION("""COMPUTED_VALUE"""),"Yes")</f>
        <v>Yes</v>
      </c>
      <c r="L168" s="5" t="str">
        <f ca="1">IFERROR(__xludf.DUMMYFUNCTION("""COMPUTED_VALUE"""),"Yes")</f>
        <v>Yes</v>
      </c>
      <c r="M168" s="5" t="str">
        <f ca="1">IFERROR(__xludf.DUMMYFUNCTION("""COMPUTED_VALUE"""),"Yes")</f>
        <v>Yes</v>
      </c>
      <c r="N168" s="5" t="str">
        <f ca="1">IFERROR(__xludf.DUMMYFUNCTION("""COMPUTED_VALUE"""),"Yes")</f>
        <v>Yes</v>
      </c>
      <c r="O168" s="5" t="str">
        <f ca="1">IFERROR(__xludf.DUMMYFUNCTION("""COMPUTED_VALUE"""),"Yes")</f>
        <v>Yes</v>
      </c>
      <c r="P168" s="5" t="str">
        <f ca="1">IFERROR(__xludf.DUMMYFUNCTION("""COMPUTED_VALUE"""),"Yes")</f>
        <v>Yes</v>
      </c>
      <c r="Q168" s="5" t="str">
        <f ca="1">IFERROR(__xludf.DUMMYFUNCTION("""COMPUTED_VALUE"""),"Yes")</f>
        <v>Yes</v>
      </c>
      <c r="R168" s="5" t="str">
        <f ca="1">IFERROR(__xludf.DUMMYFUNCTION("""COMPUTED_VALUE"""),"Yes")</f>
        <v>Yes</v>
      </c>
      <c r="S168" s="5" t="str">
        <f ca="1">IFERROR(__xludf.DUMMYFUNCTION("""COMPUTED_VALUE"""),"Yes")</f>
        <v>Yes</v>
      </c>
      <c r="T168" s="5" t="str">
        <f ca="1">IFERROR(__xludf.DUMMYFUNCTION("""COMPUTED_VALUE"""),"Yes")</f>
        <v>Yes</v>
      </c>
      <c r="U168" s="5" t="str">
        <f ca="1">IFERROR(__xludf.DUMMYFUNCTION("""COMPUTED_VALUE"""),"Yes")</f>
        <v>Yes</v>
      </c>
      <c r="V168" s="5" t="str">
        <f ca="1">IFERROR(__xludf.DUMMYFUNCTION("""COMPUTED_VALUE"""),"Yes")</f>
        <v>Yes</v>
      </c>
      <c r="W168" s="5" t="str">
        <f ca="1">IFERROR(__xludf.DUMMYFUNCTION("""COMPUTED_VALUE"""),"Yes")</f>
        <v>Yes</v>
      </c>
      <c r="X168" s="5" t="str">
        <f ca="1">IFERROR(__xludf.DUMMYFUNCTION("""COMPUTED_VALUE"""),"Yes")</f>
        <v>Yes</v>
      </c>
      <c r="Y168" s="5" t="str">
        <f ca="1">IFERROR(__xludf.DUMMYFUNCTION("""COMPUTED_VALUE"""),"Yes")</f>
        <v>Yes</v>
      </c>
      <c r="Z168" s="5" t="str">
        <f ca="1">IFERROR(__xludf.DUMMYFUNCTION("""COMPUTED_VALUE"""),"No")</f>
        <v>No</v>
      </c>
      <c r="AA168" s="5" t="str">
        <f ca="1">IFERROR(__xludf.DUMMYFUNCTION("""COMPUTED_VALUE"""),"Yes")</f>
        <v>Yes</v>
      </c>
      <c r="AB168" s="5" t="str">
        <f ca="1">IFERROR(__xludf.DUMMYFUNCTION("""COMPUTED_VALUE"""),"Yes")</f>
        <v>Yes</v>
      </c>
      <c r="AC168" s="5" t="str">
        <f ca="1">IFERROR(__xludf.DUMMYFUNCTION("""COMPUTED_VALUE"""),"Yes")</f>
        <v>Yes</v>
      </c>
      <c r="AD168" s="5" t="str">
        <f ca="1">IFERROR(__xludf.DUMMYFUNCTION("""COMPUTED_VALUE"""),"Yes")</f>
        <v>Yes</v>
      </c>
      <c r="AE168" s="5" t="str">
        <f ca="1">IFERROR(__xludf.DUMMYFUNCTION("""COMPUTED_VALUE"""),"No")</f>
        <v>No</v>
      </c>
      <c r="AF168" s="5" t="str">
        <f ca="1">IFERROR(__xludf.DUMMYFUNCTION("""COMPUTED_VALUE"""),"Yes")</f>
        <v>Yes</v>
      </c>
      <c r="AG168" s="5" t="str">
        <f ca="1">IFERROR(__xludf.DUMMYFUNCTION("""COMPUTED_VALUE"""),"No")</f>
        <v>No</v>
      </c>
      <c r="AH168" s="5" t="str">
        <f ca="1">IFERROR(__xludf.DUMMYFUNCTION("""COMPUTED_VALUE"""),"No")</f>
        <v>No</v>
      </c>
      <c r="AI168" s="5" t="str">
        <f ca="1">IFERROR(__xludf.DUMMYFUNCTION("""COMPUTED_VALUE"""),"No")</f>
        <v>No</v>
      </c>
      <c r="AJ168" s="5" t="str">
        <f ca="1">IFERROR(__xludf.DUMMYFUNCTION("""COMPUTED_VALUE"""),"No")</f>
        <v>No</v>
      </c>
      <c r="AK168" s="5" t="str">
        <f ca="1">IFERROR(__xludf.DUMMYFUNCTION("""COMPUTED_VALUE"""),"No")</f>
        <v>No</v>
      </c>
      <c r="AL168" s="5" t="str">
        <f ca="1">IFERROR(__xludf.DUMMYFUNCTION("""COMPUTED_VALUE"""),"No")</f>
        <v>No</v>
      </c>
      <c r="AM168" s="5"/>
      <c r="AN168" s="5"/>
      <c r="AO168" s="5"/>
      <c r="AP168" s="5"/>
      <c r="AQ168" s="5"/>
      <c r="AR168" s="5"/>
      <c r="AS168" s="5"/>
      <c r="AT168" s="5"/>
      <c r="AU168" s="5"/>
      <c r="AV168" s="5"/>
      <c r="AW168" s="5"/>
      <c r="AX168" s="5"/>
      <c r="AY168" s="5"/>
    </row>
    <row r="169" spans="1:51" x14ac:dyDescent="0.25">
      <c r="A1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9" s="5">
        <f ca="1">IFERROR(__xludf.DUMMYFUNCTION("""COMPUTED_VALUE"""),169)</f>
        <v>169</v>
      </c>
      <c r="C169" s="5">
        <f ca="1">IFERROR(__xludf.DUMMYFUNCTION("""COMPUTED_VALUE"""),168)</f>
        <v>168</v>
      </c>
      <c r="D169" s="5" t="str">
        <f ca="1">IFERROR(__xludf.DUMMYFUNCTION("""COMPUTED_VALUE"""),"WildHeart5")</f>
        <v>WildHeart5</v>
      </c>
      <c r="E169" s="5" t="str">
        <f ca="1">IFERROR(__xludf.DUMMYFUNCTION("""COMPUTED_VALUE"""),"Yes")</f>
        <v>Yes</v>
      </c>
      <c r="F169" s="5" t="str">
        <f ca="1">IFERROR(__xludf.DUMMYFUNCTION("""COMPUTED_VALUE"""),"Yes")</f>
        <v>Yes</v>
      </c>
      <c r="G169" s="5" t="str">
        <f ca="1">IFERROR(__xludf.DUMMYFUNCTION("""COMPUTED_VALUE"""),"Yes")</f>
        <v>Yes</v>
      </c>
      <c r="H169" s="5" t="str">
        <f ca="1">IFERROR(__xludf.DUMMYFUNCTION("""COMPUTED_VALUE"""),"Yes")</f>
        <v>Yes</v>
      </c>
      <c r="I169" s="5" t="str">
        <f ca="1">IFERROR(__xludf.DUMMYFUNCTION("""COMPUTED_VALUE"""),"Yes")</f>
        <v>Yes</v>
      </c>
      <c r="J169" s="5" t="str">
        <f ca="1">IFERROR(__xludf.DUMMYFUNCTION("""COMPUTED_VALUE"""),"Yes")</f>
        <v>Yes</v>
      </c>
      <c r="K169" s="5" t="str">
        <f ca="1">IFERROR(__xludf.DUMMYFUNCTION("""COMPUTED_VALUE"""),"Yes")</f>
        <v>Yes</v>
      </c>
      <c r="L169" s="5" t="str">
        <f ca="1">IFERROR(__xludf.DUMMYFUNCTION("""COMPUTED_VALUE"""),"Yes")</f>
        <v>Yes</v>
      </c>
      <c r="M169" s="5" t="str">
        <f ca="1">IFERROR(__xludf.DUMMYFUNCTION("""COMPUTED_VALUE"""),"Yes")</f>
        <v>Yes</v>
      </c>
      <c r="N169" s="5" t="str">
        <f ca="1">IFERROR(__xludf.DUMMYFUNCTION("""COMPUTED_VALUE"""),"Yes")</f>
        <v>Yes</v>
      </c>
      <c r="O169" s="5" t="str">
        <f ca="1">IFERROR(__xludf.DUMMYFUNCTION("""COMPUTED_VALUE"""),"Yes")</f>
        <v>Yes</v>
      </c>
      <c r="P169" s="5" t="str">
        <f ca="1">IFERROR(__xludf.DUMMYFUNCTION("""COMPUTED_VALUE"""),"Yes")</f>
        <v>Yes</v>
      </c>
      <c r="Q169" s="5" t="str">
        <f ca="1">IFERROR(__xludf.DUMMYFUNCTION("""COMPUTED_VALUE"""),"Yes")</f>
        <v>Yes</v>
      </c>
      <c r="R169" s="5" t="str">
        <f ca="1">IFERROR(__xludf.DUMMYFUNCTION("""COMPUTED_VALUE"""),"Yes")</f>
        <v>Yes</v>
      </c>
      <c r="S169" s="5" t="str">
        <f ca="1">IFERROR(__xludf.DUMMYFUNCTION("""COMPUTED_VALUE"""),"Yes")</f>
        <v>Yes</v>
      </c>
      <c r="T169" s="5" t="str">
        <f ca="1">IFERROR(__xludf.DUMMYFUNCTION("""COMPUTED_VALUE"""),"Yes")</f>
        <v>Yes</v>
      </c>
      <c r="U169" s="5" t="str">
        <f ca="1">IFERROR(__xludf.DUMMYFUNCTION("""COMPUTED_VALUE"""),"Yes")</f>
        <v>Yes</v>
      </c>
      <c r="V169" s="5" t="str">
        <f ca="1">IFERROR(__xludf.DUMMYFUNCTION("""COMPUTED_VALUE"""),"Yes")</f>
        <v>Yes</v>
      </c>
      <c r="W169" s="5" t="str">
        <f ca="1">IFERROR(__xludf.DUMMYFUNCTION("""COMPUTED_VALUE"""),"Yes")</f>
        <v>Yes</v>
      </c>
      <c r="X169" s="5" t="str">
        <f ca="1">IFERROR(__xludf.DUMMYFUNCTION("""COMPUTED_VALUE"""),"Yes")</f>
        <v>Yes</v>
      </c>
      <c r="Y169" s="5" t="str">
        <f ca="1">IFERROR(__xludf.DUMMYFUNCTION("""COMPUTED_VALUE"""),"Yes")</f>
        <v>Yes</v>
      </c>
      <c r="Z169" s="5"/>
      <c r="AA169" s="5" t="str">
        <f ca="1">IFERROR(__xludf.DUMMYFUNCTION("""COMPUTED_VALUE"""),"Yes")</f>
        <v>Yes</v>
      </c>
      <c r="AB169" s="5" t="str">
        <f ca="1">IFERROR(__xludf.DUMMYFUNCTION("""COMPUTED_VALUE"""),"Yes")</f>
        <v>Yes</v>
      </c>
      <c r="AC169" s="5" t="str">
        <f ca="1">IFERROR(__xludf.DUMMYFUNCTION("""COMPUTED_VALUE"""),"Yes")</f>
        <v>Yes</v>
      </c>
      <c r="AD169" s="5" t="str">
        <f ca="1">IFERROR(__xludf.DUMMYFUNCTION("""COMPUTED_VALUE"""),"Yes")</f>
        <v>Yes</v>
      </c>
      <c r="AE169" s="5"/>
      <c r="AF169" s="5" t="str">
        <f ca="1">IFERROR(__xludf.DUMMYFUNCTION("""COMPUTED_VALUE"""),"Yes")</f>
        <v>Yes</v>
      </c>
      <c r="AG169" s="5"/>
      <c r="AH169" s="5"/>
      <c r="AI169" s="5"/>
      <c r="AJ169" s="5"/>
      <c r="AK169" s="5"/>
      <c r="AL169" s="5"/>
      <c r="AM169" s="5"/>
      <c r="AN169" s="5"/>
      <c r="AO169" s="5"/>
      <c r="AP169" s="5"/>
      <c r="AQ169" s="5"/>
      <c r="AR169" s="5"/>
      <c r="AS169" s="5"/>
      <c r="AT169" s="5"/>
      <c r="AU169" s="5"/>
      <c r="AV169" s="5"/>
      <c r="AW169" s="5"/>
      <c r="AX169" s="5"/>
      <c r="AY169" s="5"/>
    </row>
    <row r="170" spans="1:51" x14ac:dyDescent="0.25">
      <c r="A1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0" s="5">
        <f ca="1">IFERROR(__xludf.DUMMYFUNCTION("""COMPUTED_VALUE"""),170)</f>
        <v>170</v>
      </c>
      <c r="C170" s="5">
        <f ca="1">IFERROR(__xludf.DUMMYFUNCTION("""COMPUTED_VALUE"""),169)</f>
        <v>169</v>
      </c>
      <c r="D170" s="5" t="str">
        <f ca="1">IFERROR(__xludf.DUMMYFUNCTION("""COMPUTED_VALUE"""),"ClassicLuckySpin")</f>
        <v>ClassicLuckySpin</v>
      </c>
      <c r="E170" s="5" t="str">
        <f ca="1">IFERROR(__xludf.DUMMYFUNCTION("""COMPUTED_VALUE"""),"Yes")</f>
        <v>Yes</v>
      </c>
      <c r="F170" s="5" t="str">
        <f ca="1">IFERROR(__xludf.DUMMYFUNCTION("""COMPUTED_VALUE"""),"Yes")</f>
        <v>Yes</v>
      </c>
      <c r="G170" s="5" t="str">
        <f ca="1">IFERROR(__xludf.DUMMYFUNCTION("""COMPUTED_VALUE"""),"Yes")</f>
        <v>Yes</v>
      </c>
      <c r="H170" s="5" t="str">
        <f ca="1">IFERROR(__xludf.DUMMYFUNCTION("""COMPUTED_VALUE"""),"Yes")</f>
        <v>Yes</v>
      </c>
      <c r="I170" s="5" t="str">
        <f ca="1">IFERROR(__xludf.DUMMYFUNCTION("""COMPUTED_VALUE"""),"Yes")</f>
        <v>Yes</v>
      </c>
      <c r="J170" s="5" t="str">
        <f ca="1">IFERROR(__xludf.DUMMYFUNCTION("""COMPUTED_VALUE"""),"Yes")</f>
        <v>Yes</v>
      </c>
      <c r="K170" s="5" t="str">
        <f ca="1">IFERROR(__xludf.DUMMYFUNCTION("""COMPUTED_VALUE"""),"Yes")</f>
        <v>Yes</v>
      </c>
      <c r="L170" s="5" t="str">
        <f ca="1">IFERROR(__xludf.DUMMYFUNCTION("""COMPUTED_VALUE"""),"Yes")</f>
        <v>Yes</v>
      </c>
      <c r="M170" s="5" t="str">
        <f ca="1">IFERROR(__xludf.DUMMYFUNCTION("""COMPUTED_VALUE"""),"Yes")</f>
        <v>Yes</v>
      </c>
      <c r="N170" s="5" t="str">
        <f ca="1">IFERROR(__xludf.DUMMYFUNCTION("""COMPUTED_VALUE"""),"Yes")</f>
        <v>Yes</v>
      </c>
      <c r="O170" s="5" t="str">
        <f ca="1">IFERROR(__xludf.DUMMYFUNCTION("""COMPUTED_VALUE"""),"Yes")</f>
        <v>Yes</v>
      </c>
      <c r="P170" s="5" t="str">
        <f ca="1">IFERROR(__xludf.DUMMYFUNCTION("""COMPUTED_VALUE"""),"Yes")</f>
        <v>Yes</v>
      </c>
      <c r="Q170" s="5" t="str">
        <f ca="1">IFERROR(__xludf.DUMMYFUNCTION("""COMPUTED_VALUE"""),"Yes")</f>
        <v>Yes</v>
      </c>
      <c r="R170" s="5" t="str">
        <f ca="1">IFERROR(__xludf.DUMMYFUNCTION("""COMPUTED_VALUE"""),"Yes")</f>
        <v>Yes</v>
      </c>
      <c r="S170" s="5" t="str">
        <f ca="1">IFERROR(__xludf.DUMMYFUNCTION("""COMPUTED_VALUE"""),"Yes")</f>
        <v>Yes</v>
      </c>
      <c r="T170" s="5" t="str">
        <f ca="1">IFERROR(__xludf.DUMMYFUNCTION("""COMPUTED_VALUE"""),"Yes")</f>
        <v>Yes</v>
      </c>
      <c r="U170" s="5" t="str">
        <f ca="1">IFERROR(__xludf.DUMMYFUNCTION("""COMPUTED_VALUE"""),"Yes")</f>
        <v>Yes</v>
      </c>
      <c r="V170" s="5" t="str">
        <f ca="1">IFERROR(__xludf.DUMMYFUNCTION("""COMPUTED_VALUE"""),"Yes")</f>
        <v>Yes</v>
      </c>
      <c r="W170" s="5" t="str">
        <f ca="1">IFERROR(__xludf.DUMMYFUNCTION("""COMPUTED_VALUE"""),"Yes")</f>
        <v>Yes</v>
      </c>
      <c r="X170" s="5" t="str">
        <f ca="1">IFERROR(__xludf.DUMMYFUNCTION("""COMPUTED_VALUE"""),"Yes")</f>
        <v>Yes</v>
      </c>
      <c r="Y170" s="5" t="str">
        <f ca="1">IFERROR(__xludf.DUMMYFUNCTION("""COMPUTED_VALUE"""),"Yes")</f>
        <v>Yes</v>
      </c>
      <c r="Z170" s="5" t="str">
        <f ca="1">IFERROR(__xludf.DUMMYFUNCTION("""COMPUTED_VALUE"""),"No")</f>
        <v>No</v>
      </c>
      <c r="AA170" s="5" t="str">
        <f ca="1">IFERROR(__xludf.DUMMYFUNCTION("""COMPUTED_VALUE"""),"Yes")</f>
        <v>Yes</v>
      </c>
      <c r="AB170" s="5" t="str">
        <f ca="1">IFERROR(__xludf.DUMMYFUNCTION("""COMPUTED_VALUE"""),"Yes")</f>
        <v>Yes</v>
      </c>
      <c r="AC170" s="5" t="str">
        <f ca="1">IFERROR(__xludf.DUMMYFUNCTION("""COMPUTED_VALUE"""),"Yes")</f>
        <v>Yes</v>
      </c>
      <c r="AD170" s="5" t="str">
        <f ca="1">IFERROR(__xludf.DUMMYFUNCTION("""COMPUTED_VALUE"""),"Yes")</f>
        <v>Yes</v>
      </c>
      <c r="AE170" s="5" t="str">
        <f ca="1">IFERROR(__xludf.DUMMYFUNCTION("""COMPUTED_VALUE"""),"No")</f>
        <v>No</v>
      </c>
      <c r="AF170" s="5" t="str">
        <f ca="1">IFERROR(__xludf.DUMMYFUNCTION("""COMPUTED_VALUE"""),"Yes")</f>
        <v>Yes</v>
      </c>
      <c r="AG170" s="5" t="str">
        <f ca="1">IFERROR(__xludf.DUMMYFUNCTION("""COMPUTED_VALUE"""),"No")</f>
        <v>No</v>
      </c>
      <c r="AH170" s="5" t="str">
        <f ca="1">IFERROR(__xludf.DUMMYFUNCTION("""COMPUTED_VALUE"""),"No")</f>
        <v>No</v>
      </c>
      <c r="AI170" s="5" t="str">
        <f ca="1">IFERROR(__xludf.DUMMYFUNCTION("""COMPUTED_VALUE"""),"No")</f>
        <v>No</v>
      </c>
      <c r="AJ170" s="5" t="str">
        <f ca="1">IFERROR(__xludf.DUMMYFUNCTION("""COMPUTED_VALUE"""),"No")</f>
        <v>No</v>
      </c>
      <c r="AK170" s="5" t="str">
        <f ca="1">IFERROR(__xludf.DUMMYFUNCTION("""COMPUTED_VALUE"""),"No")</f>
        <v>No</v>
      </c>
      <c r="AL170" s="5" t="str">
        <f ca="1">IFERROR(__xludf.DUMMYFUNCTION("""COMPUTED_VALUE"""),"No")</f>
        <v>No</v>
      </c>
      <c r="AM170" s="5"/>
      <c r="AN170" s="5"/>
      <c r="AO170" s="5"/>
      <c r="AP170" s="5"/>
      <c r="AQ170" s="5"/>
      <c r="AR170" s="5"/>
      <c r="AS170" s="5"/>
      <c r="AT170" s="5"/>
      <c r="AU170" s="5"/>
      <c r="AV170" s="5"/>
      <c r="AW170" s="5"/>
      <c r="AX170" s="5"/>
      <c r="AY170" s="5"/>
    </row>
    <row r="171" spans="1:51" x14ac:dyDescent="0.25">
      <c r="A1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1" s="5">
        <f ca="1">IFERROR(__xludf.DUMMYFUNCTION("""COMPUTED_VALUE"""),171)</f>
        <v>171</v>
      </c>
      <c r="C171" s="5">
        <f ca="1">IFERROR(__xludf.DUMMYFUNCTION("""COMPUTED_VALUE"""),170)</f>
        <v>170</v>
      </c>
      <c r="D171" s="5" t="str">
        <f ca="1">IFERROR(__xludf.DUMMYFUNCTION("""COMPUTED_VALUE"""),"Unicorn20DiceFlames")</f>
        <v>Unicorn20DiceFlames</v>
      </c>
      <c r="E171" s="5" t="str">
        <f ca="1">IFERROR(__xludf.DUMMYFUNCTION("""COMPUTED_VALUE"""),"Yes")</f>
        <v>Yes</v>
      </c>
      <c r="F171" s="5" t="str">
        <f ca="1">IFERROR(__xludf.DUMMYFUNCTION("""COMPUTED_VALUE"""),"Yes")</f>
        <v>Yes</v>
      </c>
      <c r="G171" s="5" t="str">
        <f ca="1">IFERROR(__xludf.DUMMYFUNCTION("""COMPUTED_VALUE"""),"Yes")</f>
        <v>Yes</v>
      </c>
      <c r="H171" s="5" t="str">
        <f ca="1">IFERROR(__xludf.DUMMYFUNCTION("""COMPUTED_VALUE"""),"Yes")</f>
        <v>Yes</v>
      </c>
      <c r="I171" s="5" t="str">
        <f ca="1">IFERROR(__xludf.DUMMYFUNCTION("""COMPUTED_VALUE"""),"Yes")</f>
        <v>Yes</v>
      </c>
      <c r="J171" s="5" t="str">
        <f ca="1">IFERROR(__xludf.DUMMYFUNCTION("""COMPUTED_VALUE"""),"Yes")</f>
        <v>Yes</v>
      </c>
      <c r="K171" s="5" t="str">
        <f ca="1">IFERROR(__xludf.DUMMYFUNCTION("""COMPUTED_VALUE"""),"Yes")</f>
        <v>Yes</v>
      </c>
      <c r="L171" s="5" t="str">
        <f ca="1">IFERROR(__xludf.DUMMYFUNCTION("""COMPUTED_VALUE"""),"Yes")</f>
        <v>Yes</v>
      </c>
      <c r="M171" s="5" t="str">
        <f ca="1">IFERROR(__xludf.DUMMYFUNCTION("""COMPUTED_VALUE"""),"Yes")</f>
        <v>Yes</v>
      </c>
      <c r="N171" s="5" t="str">
        <f ca="1">IFERROR(__xludf.DUMMYFUNCTION("""COMPUTED_VALUE"""),"Yes")</f>
        <v>Yes</v>
      </c>
      <c r="O171" s="5" t="str">
        <f ca="1">IFERROR(__xludf.DUMMYFUNCTION("""COMPUTED_VALUE"""),"Yes")</f>
        <v>Yes</v>
      </c>
      <c r="P171" s="5" t="str">
        <f ca="1">IFERROR(__xludf.DUMMYFUNCTION("""COMPUTED_VALUE"""),"Yes")</f>
        <v>Yes</v>
      </c>
      <c r="Q171" s="5" t="str">
        <f ca="1">IFERROR(__xludf.DUMMYFUNCTION("""COMPUTED_VALUE"""),"Yes")</f>
        <v>Yes</v>
      </c>
      <c r="R171" s="5" t="str">
        <f ca="1">IFERROR(__xludf.DUMMYFUNCTION("""COMPUTED_VALUE"""),"Yes")</f>
        <v>Yes</v>
      </c>
      <c r="S171" s="5" t="str">
        <f ca="1">IFERROR(__xludf.DUMMYFUNCTION("""COMPUTED_VALUE"""),"Yes")</f>
        <v>Yes</v>
      </c>
      <c r="T171" s="5" t="str">
        <f ca="1">IFERROR(__xludf.DUMMYFUNCTION("""COMPUTED_VALUE"""),"Yes")</f>
        <v>Yes</v>
      </c>
      <c r="U171" s="5" t="str">
        <f ca="1">IFERROR(__xludf.DUMMYFUNCTION("""COMPUTED_VALUE"""),"Yes")</f>
        <v>Yes</v>
      </c>
      <c r="V171" s="5" t="str">
        <f ca="1">IFERROR(__xludf.DUMMYFUNCTION("""COMPUTED_VALUE"""),"Yes")</f>
        <v>Yes</v>
      </c>
      <c r="W171" s="5" t="str">
        <f ca="1">IFERROR(__xludf.DUMMYFUNCTION("""COMPUTED_VALUE"""),"Yes")</f>
        <v>Yes</v>
      </c>
      <c r="X171" s="5" t="str">
        <f ca="1">IFERROR(__xludf.DUMMYFUNCTION("""COMPUTED_VALUE"""),"Yes")</f>
        <v>Yes</v>
      </c>
      <c r="Y171" s="5" t="str">
        <f ca="1">IFERROR(__xludf.DUMMYFUNCTION("""COMPUTED_VALUE"""),"Yes")</f>
        <v>Yes</v>
      </c>
      <c r="Z171" s="5"/>
      <c r="AA171" s="5" t="str">
        <f ca="1">IFERROR(__xludf.DUMMYFUNCTION("""COMPUTED_VALUE"""),"Yes")</f>
        <v>Yes</v>
      </c>
      <c r="AB171" s="5" t="str">
        <f ca="1">IFERROR(__xludf.DUMMYFUNCTION("""COMPUTED_VALUE"""),"Yes")</f>
        <v>Yes</v>
      </c>
      <c r="AC171" s="5" t="str">
        <f ca="1">IFERROR(__xludf.DUMMYFUNCTION("""COMPUTED_VALUE"""),"Yes")</f>
        <v>Yes</v>
      </c>
      <c r="AD171" s="5" t="str">
        <f ca="1">IFERROR(__xludf.DUMMYFUNCTION("""COMPUTED_VALUE"""),"Yes")</f>
        <v>Yes</v>
      </c>
      <c r="AE171" s="5"/>
      <c r="AF171" s="5" t="str">
        <f ca="1">IFERROR(__xludf.DUMMYFUNCTION("""COMPUTED_VALUE"""),"Yes")</f>
        <v>Yes</v>
      </c>
      <c r="AG171" s="5"/>
      <c r="AH171" s="5"/>
      <c r="AI171" s="5"/>
      <c r="AJ171" s="5"/>
      <c r="AK171" s="5"/>
      <c r="AL171" s="5"/>
      <c r="AM171" s="5"/>
      <c r="AN171" s="5"/>
      <c r="AO171" s="5"/>
      <c r="AP171" s="5"/>
      <c r="AQ171" s="5"/>
      <c r="AR171" s="5"/>
      <c r="AS171" s="5"/>
      <c r="AT171" s="5"/>
      <c r="AU171" s="5"/>
      <c r="AV171" s="5"/>
      <c r="AW171" s="5"/>
      <c r="AX171" s="5"/>
      <c r="AY171" s="5"/>
    </row>
    <row r="172" spans="1:51" x14ac:dyDescent="0.25">
      <c r="A1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2" s="5">
        <f ca="1">IFERROR(__xludf.DUMMYFUNCTION("""COMPUTED_VALUE"""),172)</f>
        <v>172</v>
      </c>
      <c r="C172" s="5">
        <f ca="1">IFERROR(__xludf.DUMMYFUNCTION("""COMPUTED_VALUE"""),171)</f>
        <v>171</v>
      </c>
      <c r="D172" s="5" t="str">
        <f ca="1">IFERROR(__xludf.DUMMYFUNCTION("""COMPUTED_VALUE"""),"VolcanoHot40")</f>
        <v>VolcanoHot40</v>
      </c>
      <c r="E172" s="5" t="str">
        <f ca="1">IFERROR(__xludf.DUMMYFUNCTION("""COMPUTED_VALUE"""),"Yes")</f>
        <v>Yes</v>
      </c>
      <c r="F172" s="5" t="str">
        <f ca="1">IFERROR(__xludf.DUMMYFUNCTION("""COMPUTED_VALUE"""),"Yes")</f>
        <v>Yes</v>
      </c>
      <c r="G172" s="5" t="str">
        <f ca="1">IFERROR(__xludf.DUMMYFUNCTION("""COMPUTED_VALUE"""),"Yes")</f>
        <v>Yes</v>
      </c>
      <c r="H172" s="5" t="str">
        <f ca="1">IFERROR(__xludf.DUMMYFUNCTION("""COMPUTED_VALUE"""),"Yes")</f>
        <v>Yes</v>
      </c>
      <c r="I172" s="5" t="str">
        <f ca="1">IFERROR(__xludf.DUMMYFUNCTION("""COMPUTED_VALUE"""),"Yes")</f>
        <v>Yes</v>
      </c>
      <c r="J172" s="5" t="str">
        <f ca="1">IFERROR(__xludf.DUMMYFUNCTION("""COMPUTED_VALUE"""),"Yes")</f>
        <v>Yes</v>
      </c>
      <c r="K172" s="5" t="str">
        <f ca="1">IFERROR(__xludf.DUMMYFUNCTION("""COMPUTED_VALUE"""),"Yes")</f>
        <v>Yes</v>
      </c>
      <c r="L172" s="5" t="str">
        <f ca="1">IFERROR(__xludf.DUMMYFUNCTION("""COMPUTED_VALUE"""),"Yes")</f>
        <v>Yes</v>
      </c>
      <c r="M172" s="5" t="str">
        <f ca="1">IFERROR(__xludf.DUMMYFUNCTION("""COMPUTED_VALUE"""),"Yes")</f>
        <v>Yes</v>
      </c>
      <c r="N172" s="5" t="str">
        <f ca="1">IFERROR(__xludf.DUMMYFUNCTION("""COMPUTED_VALUE"""),"Yes")</f>
        <v>Yes</v>
      </c>
      <c r="O172" s="5" t="str">
        <f ca="1">IFERROR(__xludf.DUMMYFUNCTION("""COMPUTED_VALUE"""),"Yes")</f>
        <v>Yes</v>
      </c>
      <c r="P172" s="5" t="str">
        <f ca="1">IFERROR(__xludf.DUMMYFUNCTION("""COMPUTED_VALUE"""),"Yes")</f>
        <v>Yes</v>
      </c>
      <c r="Q172" s="5" t="str">
        <f ca="1">IFERROR(__xludf.DUMMYFUNCTION("""COMPUTED_VALUE"""),"Yes")</f>
        <v>Yes</v>
      </c>
      <c r="R172" s="5" t="str">
        <f ca="1">IFERROR(__xludf.DUMMYFUNCTION("""COMPUTED_VALUE"""),"Yes")</f>
        <v>Yes</v>
      </c>
      <c r="S172" s="5" t="str">
        <f ca="1">IFERROR(__xludf.DUMMYFUNCTION("""COMPUTED_VALUE"""),"Yes")</f>
        <v>Yes</v>
      </c>
      <c r="T172" s="5" t="str">
        <f ca="1">IFERROR(__xludf.DUMMYFUNCTION("""COMPUTED_VALUE"""),"Yes")</f>
        <v>Yes</v>
      </c>
      <c r="U172" s="5" t="str">
        <f ca="1">IFERROR(__xludf.DUMMYFUNCTION("""COMPUTED_VALUE"""),"Yes")</f>
        <v>Yes</v>
      </c>
      <c r="V172" s="5" t="str">
        <f ca="1">IFERROR(__xludf.DUMMYFUNCTION("""COMPUTED_VALUE"""),"Yes")</f>
        <v>Yes</v>
      </c>
      <c r="W172" s="5" t="str">
        <f ca="1">IFERROR(__xludf.DUMMYFUNCTION("""COMPUTED_VALUE"""),"Yes")</f>
        <v>Yes</v>
      </c>
      <c r="X172" s="5" t="str">
        <f ca="1">IFERROR(__xludf.DUMMYFUNCTION("""COMPUTED_VALUE"""),"Yes")</f>
        <v>Yes</v>
      </c>
      <c r="Y172" s="5" t="str">
        <f ca="1">IFERROR(__xludf.DUMMYFUNCTION("""COMPUTED_VALUE"""),"Yes")</f>
        <v>Yes</v>
      </c>
      <c r="Z172" s="5" t="str">
        <f ca="1">IFERROR(__xludf.DUMMYFUNCTION("""COMPUTED_VALUE"""),"No")</f>
        <v>No</v>
      </c>
      <c r="AA172" s="5" t="str">
        <f ca="1">IFERROR(__xludf.DUMMYFUNCTION("""COMPUTED_VALUE"""),"Yes")</f>
        <v>Yes</v>
      </c>
      <c r="AB172" s="5" t="str">
        <f ca="1">IFERROR(__xludf.DUMMYFUNCTION("""COMPUTED_VALUE"""),"Yes")</f>
        <v>Yes</v>
      </c>
      <c r="AC172" s="5" t="str">
        <f ca="1">IFERROR(__xludf.DUMMYFUNCTION("""COMPUTED_VALUE"""),"Yes")</f>
        <v>Yes</v>
      </c>
      <c r="AD172" s="5" t="str">
        <f ca="1">IFERROR(__xludf.DUMMYFUNCTION("""COMPUTED_VALUE"""),"Yes")</f>
        <v>Yes</v>
      </c>
      <c r="AE172" s="5" t="str">
        <f ca="1">IFERROR(__xludf.DUMMYFUNCTION("""COMPUTED_VALUE"""),"No")</f>
        <v>No</v>
      </c>
      <c r="AF172" s="5" t="str">
        <f ca="1">IFERROR(__xludf.DUMMYFUNCTION("""COMPUTED_VALUE"""),"Yes")</f>
        <v>Yes</v>
      </c>
      <c r="AG172" s="5" t="str">
        <f ca="1">IFERROR(__xludf.DUMMYFUNCTION("""COMPUTED_VALUE"""),"No")</f>
        <v>No</v>
      </c>
      <c r="AH172" s="5" t="str">
        <f ca="1">IFERROR(__xludf.DUMMYFUNCTION("""COMPUTED_VALUE"""),"No")</f>
        <v>No</v>
      </c>
      <c r="AI172" s="5" t="str">
        <f ca="1">IFERROR(__xludf.DUMMYFUNCTION("""COMPUTED_VALUE"""),"No")</f>
        <v>No</v>
      </c>
      <c r="AJ172" s="5" t="str">
        <f ca="1">IFERROR(__xludf.DUMMYFUNCTION("""COMPUTED_VALUE"""),"No")</f>
        <v>No</v>
      </c>
      <c r="AK172" s="5" t="str">
        <f ca="1">IFERROR(__xludf.DUMMYFUNCTION("""COMPUTED_VALUE"""),"No")</f>
        <v>No</v>
      </c>
      <c r="AL172" s="5" t="str">
        <f ca="1">IFERROR(__xludf.DUMMYFUNCTION("""COMPUTED_VALUE"""),"No")</f>
        <v>No</v>
      </c>
      <c r="AM172" s="5"/>
      <c r="AN172" s="5"/>
      <c r="AO172" s="5"/>
      <c r="AP172" s="5"/>
      <c r="AQ172" s="5"/>
      <c r="AR172" s="5"/>
      <c r="AS172" s="5"/>
      <c r="AT172" s="5"/>
      <c r="AU172" s="5"/>
      <c r="AV172" s="5"/>
      <c r="AW172" s="5"/>
      <c r="AX172" s="5"/>
      <c r="AY172" s="5"/>
    </row>
    <row r="173" spans="1:51" x14ac:dyDescent="0.25">
      <c r="A1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3" s="5">
        <f ca="1">IFERROR(__xludf.DUMMYFUNCTION("""COMPUTED_VALUE"""),173)</f>
        <v>173</v>
      </c>
      <c r="C173" s="5">
        <f ca="1">IFERROR(__xludf.DUMMYFUNCTION("""COMPUTED_VALUE"""),172)</f>
        <v>172</v>
      </c>
      <c r="D173" s="5" t="str">
        <f ca="1">IFERROR(__xludf.DUMMYFUNCTION("""COMPUTED_VALUE"""),"ZabranjenoVoce")</f>
        <v>ZabranjenoVoce</v>
      </c>
      <c r="E173" s="5" t="str">
        <f ca="1">IFERROR(__xludf.DUMMYFUNCTION("""COMPUTED_VALUE"""),"Yes")</f>
        <v>Yes</v>
      </c>
      <c r="F173" s="5" t="str">
        <f ca="1">IFERROR(__xludf.DUMMYFUNCTION("""COMPUTED_VALUE"""),"Yes")</f>
        <v>Yes</v>
      </c>
      <c r="G173" s="5" t="str">
        <f ca="1">IFERROR(__xludf.DUMMYFUNCTION("""COMPUTED_VALUE"""),"Yes")</f>
        <v>Yes</v>
      </c>
      <c r="H173" s="5" t="str">
        <f ca="1">IFERROR(__xludf.DUMMYFUNCTION("""COMPUTED_VALUE"""),"Yes")</f>
        <v>Yes</v>
      </c>
      <c r="I173" s="5" t="str">
        <f ca="1">IFERROR(__xludf.DUMMYFUNCTION("""COMPUTED_VALUE"""),"Yes")</f>
        <v>Yes</v>
      </c>
      <c r="J173" s="5" t="str">
        <f ca="1">IFERROR(__xludf.DUMMYFUNCTION("""COMPUTED_VALUE"""),"Yes")</f>
        <v>Yes</v>
      </c>
      <c r="K173" s="5" t="str">
        <f ca="1">IFERROR(__xludf.DUMMYFUNCTION("""COMPUTED_VALUE"""),"Yes")</f>
        <v>Yes</v>
      </c>
      <c r="L173" s="5" t="str">
        <f ca="1">IFERROR(__xludf.DUMMYFUNCTION("""COMPUTED_VALUE"""),"Yes")</f>
        <v>Yes</v>
      </c>
      <c r="M173" s="5" t="str">
        <f ca="1">IFERROR(__xludf.DUMMYFUNCTION("""COMPUTED_VALUE"""),"Yes")</f>
        <v>Yes</v>
      </c>
      <c r="N173" s="5" t="str">
        <f ca="1">IFERROR(__xludf.DUMMYFUNCTION("""COMPUTED_VALUE"""),"Yes")</f>
        <v>Yes</v>
      </c>
      <c r="O173" s="5" t="str">
        <f ca="1">IFERROR(__xludf.DUMMYFUNCTION("""COMPUTED_VALUE"""),"Yes")</f>
        <v>Yes</v>
      </c>
      <c r="P173" s="5" t="str">
        <f ca="1">IFERROR(__xludf.DUMMYFUNCTION("""COMPUTED_VALUE"""),"Yes")</f>
        <v>Yes</v>
      </c>
      <c r="Q173" s="5" t="str">
        <f ca="1">IFERROR(__xludf.DUMMYFUNCTION("""COMPUTED_VALUE"""),"Yes")</f>
        <v>Yes</v>
      </c>
      <c r="R173" s="5" t="str">
        <f ca="1">IFERROR(__xludf.DUMMYFUNCTION("""COMPUTED_VALUE"""),"Yes")</f>
        <v>Yes</v>
      </c>
      <c r="S173" s="5" t="str">
        <f ca="1">IFERROR(__xludf.DUMMYFUNCTION("""COMPUTED_VALUE"""),"Yes")</f>
        <v>Yes</v>
      </c>
      <c r="T173" s="5" t="str">
        <f ca="1">IFERROR(__xludf.DUMMYFUNCTION("""COMPUTED_VALUE"""),"Yes")</f>
        <v>Yes</v>
      </c>
      <c r="U173" s="5" t="str">
        <f ca="1">IFERROR(__xludf.DUMMYFUNCTION("""COMPUTED_VALUE"""),"Yes")</f>
        <v>Yes</v>
      </c>
      <c r="V173" s="5" t="str">
        <f ca="1">IFERROR(__xludf.DUMMYFUNCTION("""COMPUTED_VALUE"""),"Yes")</f>
        <v>Yes</v>
      </c>
      <c r="W173" s="5" t="str">
        <f ca="1">IFERROR(__xludf.DUMMYFUNCTION("""COMPUTED_VALUE"""),"Yes")</f>
        <v>Yes</v>
      </c>
      <c r="X173" s="5" t="str">
        <f ca="1">IFERROR(__xludf.DUMMYFUNCTION("""COMPUTED_VALUE"""),"Yes")</f>
        <v>Yes</v>
      </c>
      <c r="Y173" s="5" t="str">
        <f ca="1">IFERROR(__xludf.DUMMYFUNCTION("""COMPUTED_VALUE"""),"Yes")</f>
        <v>Yes</v>
      </c>
      <c r="Z173" s="5" t="str">
        <f ca="1">IFERROR(__xludf.DUMMYFUNCTION("""COMPUTED_VALUE"""),"No")</f>
        <v>No</v>
      </c>
      <c r="AA173" s="5" t="str">
        <f ca="1">IFERROR(__xludf.DUMMYFUNCTION("""COMPUTED_VALUE"""),"Yes")</f>
        <v>Yes</v>
      </c>
      <c r="AB173" s="5" t="str">
        <f ca="1">IFERROR(__xludf.DUMMYFUNCTION("""COMPUTED_VALUE"""),"Yes")</f>
        <v>Yes</v>
      </c>
      <c r="AC173" s="5" t="str">
        <f ca="1">IFERROR(__xludf.DUMMYFUNCTION("""COMPUTED_VALUE"""),"Yes")</f>
        <v>Yes</v>
      </c>
      <c r="AD173" s="5" t="str">
        <f ca="1">IFERROR(__xludf.DUMMYFUNCTION("""COMPUTED_VALUE"""),"Yes")</f>
        <v>Yes</v>
      </c>
      <c r="AE173" s="5" t="str">
        <f ca="1">IFERROR(__xludf.DUMMYFUNCTION("""COMPUTED_VALUE"""),"No")</f>
        <v>No</v>
      </c>
      <c r="AF173" s="5" t="str">
        <f ca="1">IFERROR(__xludf.DUMMYFUNCTION("""COMPUTED_VALUE"""),"Yes")</f>
        <v>Yes</v>
      </c>
      <c r="AG173" s="5" t="str">
        <f ca="1">IFERROR(__xludf.DUMMYFUNCTION("""COMPUTED_VALUE"""),"No")</f>
        <v>No</v>
      </c>
      <c r="AH173" s="5" t="str">
        <f ca="1">IFERROR(__xludf.DUMMYFUNCTION("""COMPUTED_VALUE"""),"No")</f>
        <v>No</v>
      </c>
      <c r="AI173" s="5" t="str">
        <f ca="1">IFERROR(__xludf.DUMMYFUNCTION("""COMPUTED_VALUE"""),"No")</f>
        <v>No</v>
      </c>
      <c r="AJ173" s="5" t="str">
        <f ca="1">IFERROR(__xludf.DUMMYFUNCTION("""COMPUTED_VALUE"""),"No")</f>
        <v>No</v>
      </c>
      <c r="AK173" s="5" t="str">
        <f ca="1">IFERROR(__xludf.DUMMYFUNCTION("""COMPUTED_VALUE"""),"No")</f>
        <v>No</v>
      </c>
      <c r="AL173" s="5" t="str">
        <f ca="1">IFERROR(__xludf.DUMMYFUNCTION("""COMPUTED_VALUE"""),"No")</f>
        <v>No</v>
      </c>
      <c r="AM173" s="5"/>
      <c r="AN173" s="5"/>
      <c r="AO173" s="5"/>
      <c r="AP173" s="5"/>
      <c r="AQ173" s="5"/>
      <c r="AR173" s="5"/>
      <c r="AS173" s="5"/>
      <c r="AT173" s="5"/>
      <c r="AU173" s="5"/>
      <c r="AV173" s="5"/>
      <c r="AW173" s="5"/>
      <c r="AX173" s="5"/>
      <c r="AY173" s="5"/>
    </row>
    <row r="174" spans="1:51" x14ac:dyDescent="0.25">
      <c r="A1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4" s="5">
        <f ca="1">IFERROR(__xludf.DUMMYFUNCTION("""COMPUTED_VALUE"""),174)</f>
        <v>174</v>
      </c>
      <c r="C174" s="5">
        <f ca="1">IFERROR(__xludf.DUMMYFUNCTION("""COMPUTED_VALUE"""),173)</f>
        <v>173</v>
      </c>
      <c r="D174" s="5" t="str">
        <f ca="1">IFERROR(__xludf.DUMMYFUNCTION("""COMPUTED_VALUE"""),"UnicornSurfinHeat")</f>
        <v>UnicornSurfinHeat</v>
      </c>
      <c r="E174" s="5" t="str">
        <f ca="1">IFERROR(__xludf.DUMMYFUNCTION("""COMPUTED_VALUE"""),"Yes")</f>
        <v>Yes</v>
      </c>
      <c r="F174" s="5" t="str">
        <f ca="1">IFERROR(__xludf.DUMMYFUNCTION("""COMPUTED_VALUE"""),"Yes")</f>
        <v>Yes</v>
      </c>
      <c r="G174" s="5" t="str">
        <f ca="1">IFERROR(__xludf.DUMMYFUNCTION("""COMPUTED_VALUE"""),"Yes")</f>
        <v>Yes</v>
      </c>
      <c r="H174" s="5" t="str">
        <f ca="1">IFERROR(__xludf.DUMMYFUNCTION("""COMPUTED_VALUE"""),"Yes")</f>
        <v>Yes</v>
      </c>
      <c r="I174" s="5" t="str">
        <f ca="1">IFERROR(__xludf.DUMMYFUNCTION("""COMPUTED_VALUE"""),"Yes")</f>
        <v>Yes</v>
      </c>
      <c r="J174" s="5" t="str">
        <f ca="1">IFERROR(__xludf.DUMMYFUNCTION("""COMPUTED_VALUE"""),"Yes")</f>
        <v>Yes</v>
      </c>
      <c r="K174" s="5" t="str">
        <f ca="1">IFERROR(__xludf.DUMMYFUNCTION("""COMPUTED_VALUE"""),"Yes")</f>
        <v>Yes</v>
      </c>
      <c r="L174" s="5" t="str">
        <f ca="1">IFERROR(__xludf.DUMMYFUNCTION("""COMPUTED_VALUE"""),"Yes")</f>
        <v>Yes</v>
      </c>
      <c r="M174" s="5" t="str">
        <f ca="1">IFERROR(__xludf.DUMMYFUNCTION("""COMPUTED_VALUE"""),"Yes")</f>
        <v>Yes</v>
      </c>
      <c r="N174" s="5" t="str">
        <f ca="1">IFERROR(__xludf.DUMMYFUNCTION("""COMPUTED_VALUE"""),"Yes")</f>
        <v>Yes</v>
      </c>
      <c r="O174" s="5" t="str">
        <f ca="1">IFERROR(__xludf.DUMMYFUNCTION("""COMPUTED_VALUE"""),"Yes")</f>
        <v>Yes</v>
      </c>
      <c r="P174" s="5" t="str">
        <f ca="1">IFERROR(__xludf.DUMMYFUNCTION("""COMPUTED_VALUE"""),"Yes")</f>
        <v>Yes</v>
      </c>
      <c r="Q174" s="5" t="str">
        <f ca="1">IFERROR(__xludf.DUMMYFUNCTION("""COMPUTED_VALUE"""),"Yes")</f>
        <v>Yes</v>
      </c>
      <c r="R174" s="5" t="str">
        <f ca="1">IFERROR(__xludf.DUMMYFUNCTION("""COMPUTED_VALUE"""),"Yes")</f>
        <v>Yes</v>
      </c>
      <c r="S174" s="5" t="str">
        <f ca="1">IFERROR(__xludf.DUMMYFUNCTION("""COMPUTED_VALUE"""),"Yes")</f>
        <v>Yes</v>
      </c>
      <c r="T174" s="5" t="str">
        <f ca="1">IFERROR(__xludf.DUMMYFUNCTION("""COMPUTED_VALUE"""),"Yes")</f>
        <v>Yes</v>
      </c>
      <c r="U174" s="5" t="str">
        <f ca="1">IFERROR(__xludf.DUMMYFUNCTION("""COMPUTED_VALUE"""),"Yes")</f>
        <v>Yes</v>
      </c>
      <c r="V174" s="5" t="str">
        <f ca="1">IFERROR(__xludf.DUMMYFUNCTION("""COMPUTED_VALUE"""),"Yes")</f>
        <v>Yes</v>
      </c>
      <c r="W174" s="5" t="str">
        <f ca="1">IFERROR(__xludf.DUMMYFUNCTION("""COMPUTED_VALUE"""),"Yes")</f>
        <v>Yes</v>
      </c>
      <c r="X174" s="5" t="str">
        <f ca="1">IFERROR(__xludf.DUMMYFUNCTION("""COMPUTED_VALUE"""),"Yes")</f>
        <v>Yes</v>
      </c>
      <c r="Y174" s="5"/>
      <c r="Z174" s="5"/>
      <c r="AA174" s="5"/>
      <c r="AB174" s="5"/>
      <c r="AC174" s="5" t="str">
        <f ca="1">IFERROR(__xludf.DUMMYFUNCTION("""COMPUTED_VALUE"""),"Yes")</f>
        <v>Yes</v>
      </c>
      <c r="AD174" s="5"/>
      <c r="AE174" s="5"/>
      <c r="AF174" s="5"/>
      <c r="AG174" s="5"/>
      <c r="AH174" s="5"/>
      <c r="AI174" s="5"/>
      <c r="AJ174" s="5"/>
      <c r="AK174" s="5"/>
      <c r="AL174" s="5"/>
      <c r="AM174" s="5"/>
      <c r="AN174" s="5"/>
      <c r="AO174" s="5"/>
      <c r="AP174" s="5"/>
      <c r="AQ174" s="5"/>
      <c r="AR174" s="5"/>
      <c r="AS174" s="5"/>
      <c r="AT174" s="5"/>
      <c r="AU174" s="5"/>
      <c r="AV174" s="5"/>
      <c r="AW174" s="5"/>
      <c r="AX174" s="5"/>
      <c r="AY174" s="5"/>
    </row>
    <row r="175" spans="1:51" x14ac:dyDescent="0.25">
      <c r="A1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5" s="5">
        <f ca="1">IFERROR(__xludf.DUMMYFUNCTION("""COMPUTED_VALUE"""),175)</f>
        <v>175</v>
      </c>
      <c r="C175" s="5">
        <f ca="1">IFERROR(__xludf.DUMMYFUNCTION("""COMPUTED_VALUE"""),174)</f>
        <v>174</v>
      </c>
      <c r="D175" s="5" t="str">
        <f ca="1">IFERROR(__xludf.DUMMYFUNCTION("""COMPUTED_VALUE"""),"WildJokerHot")</f>
        <v>WildJokerHot</v>
      </c>
      <c r="E175" s="5" t="str">
        <f ca="1">IFERROR(__xludf.DUMMYFUNCTION("""COMPUTED_VALUE"""),"Yes")</f>
        <v>Yes</v>
      </c>
      <c r="F175" s="5" t="str">
        <f ca="1">IFERROR(__xludf.DUMMYFUNCTION("""COMPUTED_VALUE"""),"Yes")</f>
        <v>Yes</v>
      </c>
      <c r="G175" s="5" t="str">
        <f ca="1">IFERROR(__xludf.DUMMYFUNCTION("""COMPUTED_VALUE"""),"Yes")</f>
        <v>Yes</v>
      </c>
      <c r="H175" s="5" t="str">
        <f ca="1">IFERROR(__xludf.DUMMYFUNCTION("""COMPUTED_VALUE"""),"Yes")</f>
        <v>Yes</v>
      </c>
      <c r="I175" s="5" t="str">
        <f ca="1">IFERROR(__xludf.DUMMYFUNCTION("""COMPUTED_VALUE"""),"Yes")</f>
        <v>Yes</v>
      </c>
      <c r="J175" s="5" t="str">
        <f ca="1">IFERROR(__xludf.DUMMYFUNCTION("""COMPUTED_VALUE"""),"Yes")</f>
        <v>Yes</v>
      </c>
      <c r="K175" s="5" t="str">
        <f ca="1">IFERROR(__xludf.DUMMYFUNCTION("""COMPUTED_VALUE"""),"Yes")</f>
        <v>Yes</v>
      </c>
      <c r="L175" s="5" t="str">
        <f ca="1">IFERROR(__xludf.DUMMYFUNCTION("""COMPUTED_VALUE"""),"Yes")</f>
        <v>Yes</v>
      </c>
      <c r="M175" s="5" t="str">
        <f ca="1">IFERROR(__xludf.DUMMYFUNCTION("""COMPUTED_VALUE"""),"Yes")</f>
        <v>Yes</v>
      </c>
      <c r="N175" s="5" t="str">
        <f ca="1">IFERROR(__xludf.DUMMYFUNCTION("""COMPUTED_VALUE"""),"Yes")</f>
        <v>Yes</v>
      </c>
      <c r="O175" s="5" t="str">
        <f ca="1">IFERROR(__xludf.DUMMYFUNCTION("""COMPUTED_VALUE"""),"Yes")</f>
        <v>Yes</v>
      </c>
      <c r="P175" s="5" t="str">
        <f ca="1">IFERROR(__xludf.DUMMYFUNCTION("""COMPUTED_VALUE"""),"Yes")</f>
        <v>Yes</v>
      </c>
      <c r="Q175" s="5" t="str">
        <f ca="1">IFERROR(__xludf.DUMMYFUNCTION("""COMPUTED_VALUE"""),"Yes")</f>
        <v>Yes</v>
      </c>
      <c r="R175" s="5" t="str">
        <f ca="1">IFERROR(__xludf.DUMMYFUNCTION("""COMPUTED_VALUE"""),"Yes")</f>
        <v>Yes</v>
      </c>
      <c r="S175" s="5" t="str">
        <f ca="1">IFERROR(__xludf.DUMMYFUNCTION("""COMPUTED_VALUE"""),"Yes")</f>
        <v>Yes</v>
      </c>
      <c r="T175" s="5" t="str">
        <f ca="1">IFERROR(__xludf.DUMMYFUNCTION("""COMPUTED_VALUE"""),"Yes")</f>
        <v>Yes</v>
      </c>
      <c r="U175" s="5" t="str">
        <f ca="1">IFERROR(__xludf.DUMMYFUNCTION("""COMPUTED_VALUE"""),"Yes")</f>
        <v>Yes</v>
      </c>
      <c r="V175" s="5" t="str">
        <f ca="1">IFERROR(__xludf.DUMMYFUNCTION("""COMPUTED_VALUE"""),"Yes")</f>
        <v>Yes</v>
      </c>
      <c r="W175" s="5" t="str">
        <f ca="1">IFERROR(__xludf.DUMMYFUNCTION("""COMPUTED_VALUE"""),"Yes")</f>
        <v>Yes</v>
      </c>
      <c r="X175" s="5" t="str">
        <f ca="1">IFERROR(__xludf.DUMMYFUNCTION("""COMPUTED_VALUE"""),"Yes")</f>
        <v>Yes</v>
      </c>
      <c r="Y175" s="5" t="str">
        <f ca="1">IFERROR(__xludf.DUMMYFUNCTION("""COMPUTED_VALUE"""),"Yes")</f>
        <v>Yes</v>
      </c>
      <c r="Z175" s="5" t="str">
        <f ca="1">IFERROR(__xludf.DUMMYFUNCTION("""COMPUTED_VALUE"""),"No")</f>
        <v>No</v>
      </c>
      <c r="AA175" s="5" t="str">
        <f ca="1">IFERROR(__xludf.DUMMYFUNCTION("""COMPUTED_VALUE"""),"Yes")</f>
        <v>Yes</v>
      </c>
      <c r="AB175" s="5" t="str">
        <f ca="1">IFERROR(__xludf.DUMMYFUNCTION("""COMPUTED_VALUE"""),"Yes")</f>
        <v>Yes</v>
      </c>
      <c r="AC175" s="5" t="str">
        <f ca="1">IFERROR(__xludf.DUMMYFUNCTION("""COMPUTED_VALUE"""),"Yes")</f>
        <v>Yes</v>
      </c>
      <c r="AD175" s="5" t="str">
        <f ca="1">IFERROR(__xludf.DUMMYFUNCTION("""COMPUTED_VALUE"""),"Yes")</f>
        <v>Yes</v>
      </c>
      <c r="AE175" s="5" t="str">
        <f ca="1">IFERROR(__xludf.DUMMYFUNCTION("""COMPUTED_VALUE"""),"No")</f>
        <v>No</v>
      </c>
      <c r="AF175" s="5" t="str">
        <f ca="1">IFERROR(__xludf.DUMMYFUNCTION("""COMPUTED_VALUE"""),"Yes")</f>
        <v>Yes</v>
      </c>
      <c r="AG175" s="5" t="str">
        <f ca="1">IFERROR(__xludf.DUMMYFUNCTION("""COMPUTED_VALUE"""),"No")</f>
        <v>No</v>
      </c>
      <c r="AH175" s="5" t="str">
        <f ca="1">IFERROR(__xludf.DUMMYFUNCTION("""COMPUTED_VALUE"""),"No")</f>
        <v>No</v>
      </c>
      <c r="AI175" s="5" t="str">
        <f ca="1">IFERROR(__xludf.DUMMYFUNCTION("""COMPUTED_VALUE"""),"No")</f>
        <v>No</v>
      </c>
      <c r="AJ175" s="5" t="str">
        <f ca="1">IFERROR(__xludf.DUMMYFUNCTION("""COMPUTED_VALUE"""),"No")</f>
        <v>No</v>
      </c>
      <c r="AK175" s="5" t="str">
        <f ca="1">IFERROR(__xludf.DUMMYFUNCTION("""COMPUTED_VALUE"""),"No")</f>
        <v>No</v>
      </c>
      <c r="AL175" s="5" t="str">
        <f ca="1">IFERROR(__xludf.DUMMYFUNCTION("""COMPUTED_VALUE"""),"No")</f>
        <v>No</v>
      </c>
      <c r="AM175" s="5"/>
      <c r="AN175" s="5"/>
      <c r="AO175" s="5"/>
      <c r="AP175" s="5"/>
      <c r="AQ175" s="5"/>
      <c r="AR175" s="5"/>
      <c r="AS175" s="5"/>
      <c r="AT175" s="5"/>
      <c r="AU175" s="5"/>
      <c r="AV175" s="5"/>
      <c r="AW175" s="5"/>
      <c r="AX175" s="5"/>
      <c r="AY175" s="5"/>
    </row>
    <row r="176" spans="1:51" x14ac:dyDescent="0.25">
      <c r="A1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6" s="5">
        <f ca="1">IFERROR(__xludf.DUMMYFUNCTION("""COMPUTED_VALUE"""),176)</f>
        <v>176</v>
      </c>
      <c r="C176" s="5">
        <f ca="1">IFERROR(__xludf.DUMMYFUNCTION("""COMPUTED_VALUE"""),175)</f>
        <v>175</v>
      </c>
      <c r="D176" s="5" t="str">
        <f ca="1">IFERROR(__xludf.DUMMYFUNCTION("""COMPUTED_VALUE"""),"WildDice10")</f>
        <v>WildDice10</v>
      </c>
      <c r="E176" s="5" t="str">
        <f ca="1">IFERROR(__xludf.DUMMYFUNCTION("""COMPUTED_VALUE"""),"Yes")</f>
        <v>Yes</v>
      </c>
      <c r="F176" s="5" t="str">
        <f ca="1">IFERROR(__xludf.DUMMYFUNCTION("""COMPUTED_VALUE"""),"Yes")</f>
        <v>Yes</v>
      </c>
      <c r="G176" s="5" t="str">
        <f ca="1">IFERROR(__xludf.DUMMYFUNCTION("""COMPUTED_VALUE"""),"Yes")</f>
        <v>Yes</v>
      </c>
      <c r="H176" s="5" t="str">
        <f ca="1">IFERROR(__xludf.DUMMYFUNCTION("""COMPUTED_VALUE"""),"Yes")</f>
        <v>Yes</v>
      </c>
      <c r="I176" s="5" t="str">
        <f ca="1">IFERROR(__xludf.DUMMYFUNCTION("""COMPUTED_VALUE"""),"Yes")</f>
        <v>Yes</v>
      </c>
      <c r="J176" s="5" t="str">
        <f ca="1">IFERROR(__xludf.DUMMYFUNCTION("""COMPUTED_VALUE"""),"Yes")</f>
        <v>Yes</v>
      </c>
      <c r="K176" s="5" t="str">
        <f ca="1">IFERROR(__xludf.DUMMYFUNCTION("""COMPUTED_VALUE"""),"Yes")</f>
        <v>Yes</v>
      </c>
      <c r="L176" s="5" t="str">
        <f ca="1">IFERROR(__xludf.DUMMYFUNCTION("""COMPUTED_VALUE"""),"Yes")</f>
        <v>Yes</v>
      </c>
      <c r="M176" s="5" t="str">
        <f ca="1">IFERROR(__xludf.DUMMYFUNCTION("""COMPUTED_VALUE"""),"Yes")</f>
        <v>Yes</v>
      </c>
      <c r="N176" s="5" t="str">
        <f ca="1">IFERROR(__xludf.DUMMYFUNCTION("""COMPUTED_VALUE"""),"Yes")</f>
        <v>Yes</v>
      </c>
      <c r="O176" s="5" t="str">
        <f ca="1">IFERROR(__xludf.DUMMYFUNCTION("""COMPUTED_VALUE"""),"Yes")</f>
        <v>Yes</v>
      </c>
      <c r="P176" s="5" t="str">
        <f ca="1">IFERROR(__xludf.DUMMYFUNCTION("""COMPUTED_VALUE"""),"Yes")</f>
        <v>Yes</v>
      </c>
      <c r="Q176" s="5" t="str">
        <f ca="1">IFERROR(__xludf.DUMMYFUNCTION("""COMPUTED_VALUE"""),"Yes")</f>
        <v>Yes</v>
      </c>
      <c r="R176" s="5" t="str">
        <f ca="1">IFERROR(__xludf.DUMMYFUNCTION("""COMPUTED_VALUE"""),"Yes")</f>
        <v>Yes</v>
      </c>
      <c r="S176" s="5" t="str">
        <f ca="1">IFERROR(__xludf.DUMMYFUNCTION("""COMPUTED_VALUE"""),"Yes")</f>
        <v>Yes</v>
      </c>
      <c r="T176" s="5" t="str">
        <f ca="1">IFERROR(__xludf.DUMMYFUNCTION("""COMPUTED_VALUE"""),"Yes")</f>
        <v>Yes</v>
      </c>
      <c r="U176" s="5" t="str">
        <f ca="1">IFERROR(__xludf.DUMMYFUNCTION("""COMPUTED_VALUE"""),"Yes")</f>
        <v>Yes</v>
      </c>
      <c r="V176" s="5" t="str">
        <f ca="1">IFERROR(__xludf.DUMMYFUNCTION("""COMPUTED_VALUE"""),"Yes")</f>
        <v>Yes</v>
      </c>
      <c r="W176" s="5" t="str">
        <f ca="1">IFERROR(__xludf.DUMMYFUNCTION("""COMPUTED_VALUE"""),"Yes")</f>
        <v>Yes</v>
      </c>
      <c r="X176" s="5" t="str">
        <f ca="1">IFERROR(__xludf.DUMMYFUNCTION("""COMPUTED_VALUE"""),"Yes")</f>
        <v>Yes</v>
      </c>
      <c r="Y176" s="5" t="str">
        <f ca="1">IFERROR(__xludf.DUMMYFUNCTION("""COMPUTED_VALUE"""),"Yes")</f>
        <v>Yes</v>
      </c>
      <c r="Z176" s="5"/>
      <c r="AA176" s="5" t="str">
        <f ca="1">IFERROR(__xludf.DUMMYFUNCTION("""COMPUTED_VALUE"""),"Yes")</f>
        <v>Yes</v>
      </c>
      <c r="AB176" s="5" t="str">
        <f ca="1">IFERROR(__xludf.DUMMYFUNCTION("""COMPUTED_VALUE"""),"Yes")</f>
        <v>Yes</v>
      </c>
      <c r="AC176" s="5" t="str">
        <f ca="1">IFERROR(__xludf.DUMMYFUNCTION("""COMPUTED_VALUE"""),"Yes")</f>
        <v>Yes</v>
      </c>
      <c r="AD176" s="5" t="str">
        <f ca="1">IFERROR(__xludf.DUMMYFUNCTION("""COMPUTED_VALUE"""),"Yes")</f>
        <v>Yes</v>
      </c>
      <c r="AE176" s="5"/>
      <c r="AF176" s="5" t="str">
        <f ca="1">IFERROR(__xludf.DUMMYFUNCTION("""COMPUTED_VALUE"""),"Yes")</f>
        <v>Yes</v>
      </c>
      <c r="AG176" s="5"/>
      <c r="AH176" s="5"/>
      <c r="AI176" s="5"/>
      <c r="AJ176" s="5"/>
      <c r="AK176" s="5"/>
      <c r="AL176" s="5"/>
      <c r="AM176" s="5"/>
      <c r="AN176" s="5"/>
      <c r="AO176" s="5"/>
      <c r="AP176" s="5"/>
      <c r="AQ176" s="5"/>
      <c r="AR176" s="5"/>
      <c r="AS176" s="5"/>
      <c r="AT176" s="5"/>
      <c r="AU176" s="5"/>
      <c r="AV176" s="5"/>
      <c r="AW176" s="5"/>
      <c r="AX176" s="5"/>
      <c r="AY176" s="5"/>
    </row>
    <row r="177" spans="1:51" x14ac:dyDescent="0.25">
      <c r="A1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7" s="5">
        <f ca="1">IFERROR(__xludf.DUMMYFUNCTION("""COMPUTED_VALUE"""),177)</f>
        <v>177</v>
      </c>
      <c r="C177" s="5">
        <f ca="1">IFERROR(__xludf.DUMMYFUNCTION("""COMPUTED_VALUE"""),176)</f>
        <v>176</v>
      </c>
      <c r="D177" s="5" t="str">
        <f ca="1">IFERROR(__xludf.DUMMYFUNCTION("""COMPUTED_VALUE"""),"HeatingFruits")</f>
        <v>HeatingFruits</v>
      </c>
      <c r="E177" s="5" t="str">
        <f ca="1">IFERROR(__xludf.DUMMYFUNCTION("""COMPUTED_VALUE"""),"Yes")</f>
        <v>Yes</v>
      </c>
      <c r="F177" s="5" t="str">
        <f ca="1">IFERROR(__xludf.DUMMYFUNCTION("""COMPUTED_VALUE"""),"Yes")</f>
        <v>Yes</v>
      </c>
      <c r="G177" s="5" t="str">
        <f ca="1">IFERROR(__xludf.DUMMYFUNCTION("""COMPUTED_VALUE"""),"Yes")</f>
        <v>Yes</v>
      </c>
      <c r="H177" s="5" t="str">
        <f ca="1">IFERROR(__xludf.DUMMYFUNCTION("""COMPUTED_VALUE"""),"Yes")</f>
        <v>Yes</v>
      </c>
      <c r="I177" s="5" t="str">
        <f ca="1">IFERROR(__xludf.DUMMYFUNCTION("""COMPUTED_VALUE"""),"Yes")</f>
        <v>Yes</v>
      </c>
      <c r="J177" s="5" t="str">
        <f ca="1">IFERROR(__xludf.DUMMYFUNCTION("""COMPUTED_VALUE"""),"Yes")</f>
        <v>Yes</v>
      </c>
      <c r="K177" s="5" t="str">
        <f ca="1">IFERROR(__xludf.DUMMYFUNCTION("""COMPUTED_VALUE"""),"Yes")</f>
        <v>Yes</v>
      </c>
      <c r="L177" s="5" t="str">
        <f ca="1">IFERROR(__xludf.DUMMYFUNCTION("""COMPUTED_VALUE"""),"Yes")</f>
        <v>Yes</v>
      </c>
      <c r="M177" s="5" t="str">
        <f ca="1">IFERROR(__xludf.DUMMYFUNCTION("""COMPUTED_VALUE"""),"Yes")</f>
        <v>Yes</v>
      </c>
      <c r="N177" s="5" t="str">
        <f ca="1">IFERROR(__xludf.DUMMYFUNCTION("""COMPUTED_VALUE"""),"Yes")</f>
        <v>Yes</v>
      </c>
      <c r="O177" s="5" t="str">
        <f ca="1">IFERROR(__xludf.DUMMYFUNCTION("""COMPUTED_VALUE"""),"Yes")</f>
        <v>Yes</v>
      </c>
      <c r="P177" s="5" t="str">
        <f ca="1">IFERROR(__xludf.DUMMYFUNCTION("""COMPUTED_VALUE"""),"Yes")</f>
        <v>Yes</v>
      </c>
      <c r="Q177" s="5" t="str">
        <f ca="1">IFERROR(__xludf.DUMMYFUNCTION("""COMPUTED_VALUE"""),"Yes")</f>
        <v>Yes</v>
      </c>
      <c r="R177" s="5" t="str">
        <f ca="1">IFERROR(__xludf.DUMMYFUNCTION("""COMPUTED_VALUE"""),"Yes")</f>
        <v>Yes</v>
      </c>
      <c r="S177" s="5" t="str">
        <f ca="1">IFERROR(__xludf.DUMMYFUNCTION("""COMPUTED_VALUE"""),"Yes")</f>
        <v>Yes</v>
      </c>
      <c r="T177" s="5" t="str">
        <f ca="1">IFERROR(__xludf.DUMMYFUNCTION("""COMPUTED_VALUE"""),"Yes")</f>
        <v>Yes</v>
      </c>
      <c r="U177" s="5" t="str">
        <f ca="1">IFERROR(__xludf.DUMMYFUNCTION("""COMPUTED_VALUE"""),"Yes")</f>
        <v>Yes</v>
      </c>
      <c r="V177" s="5" t="str">
        <f ca="1">IFERROR(__xludf.DUMMYFUNCTION("""COMPUTED_VALUE"""),"Yes")</f>
        <v>Yes</v>
      </c>
      <c r="W177" s="5" t="str">
        <f ca="1">IFERROR(__xludf.DUMMYFUNCTION("""COMPUTED_VALUE"""),"Yes")</f>
        <v>Yes</v>
      </c>
      <c r="X177" s="5" t="str">
        <f ca="1">IFERROR(__xludf.DUMMYFUNCTION("""COMPUTED_VALUE"""),"Yes")</f>
        <v>Yes</v>
      </c>
      <c r="Y177" s="5" t="str">
        <f ca="1">IFERROR(__xludf.DUMMYFUNCTION("""COMPUTED_VALUE"""),"Yes")</f>
        <v>Yes</v>
      </c>
      <c r="Z177" s="5" t="str">
        <f ca="1">IFERROR(__xludf.DUMMYFUNCTION("""COMPUTED_VALUE"""),"No")</f>
        <v>No</v>
      </c>
      <c r="AA177" s="5" t="str">
        <f ca="1">IFERROR(__xludf.DUMMYFUNCTION("""COMPUTED_VALUE"""),"Yes")</f>
        <v>Yes</v>
      </c>
      <c r="AB177" s="5" t="str">
        <f ca="1">IFERROR(__xludf.DUMMYFUNCTION("""COMPUTED_VALUE"""),"Yes")</f>
        <v>Yes</v>
      </c>
      <c r="AC177" s="5" t="str">
        <f ca="1">IFERROR(__xludf.DUMMYFUNCTION("""COMPUTED_VALUE"""),"Yes")</f>
        <v>Yes</v>
      </c>
      <c r="AD177" s="5" t="str">
        <f ca="1">IFERROR(__xludf.DUMMYFUNCTION("""COMPUTED_VALUE"""),"Yes")</f>
        <v>Yes</v>
      </c>
      <c r="AE177" s="5" t="str">
        <f ca="1">IFERROR(__xludf.DUMMYFUNCTION("""COMPUTED_VALUE"""),"No")</f>
        <v>No</v>
      </c>
      <c r="AF177" s="5" t="str">
        <f ca="1">IFERROR(__xludf.DUMMYFUNCTION("""COMPUTED_VALUE"""),"Yes")</f>
        <v>Yes</v>
      </c>
      <c r="AG177" s="5" t="str">
        <f ca="1">IFERROR(__xludf.DUMMYFUNCTION("""COMPUTED_VALUE"""),"No")</f>
        <v>No</v>
      </c>
      <c r="AH177" s="5" t="str">
        <f ca="1">IFERROR(__xludf.DUMMYFUNCTION("""COMPUTED_VALUE"""),"No")</f>
        <v>No</v>
      </c>
      <c r="AI177" s="5" t="str">
        <f ca="1">IFERROR(__xludf.DUMMYFUNCTION("""COMPUTED_VALUE"""),"No")</f>
        <v>No</v>
      </c>
      <c r="AJ177" s="5" t="str">
        <f ca="1">IFERROR(__xludf.DUMMYFUNCTION("""COMPUTED_VALUE"""),"No")</f>
        <v>No</v>
      </c>
      <c r="AK177" s="5" t="str">
        <f ca="1">IFERROR(__xludf.DUMMYFUNCTION("""COMPUTED_VALUE"""),"No")</f>
        <v>No</v>
      </c>
      <c r="AL177" s="5" t="str">
        <f ca="1">IFERROR(__xludf.DUMMYFUNCTION("""COMPUTED_VALUE"""),"No")</f>
        <v>No</v>
      </c>
      <c r="AM177" s="5"/>
      <c r="AN177" s="5"/>
      <c r="AO177" s="5"/>
      <c r="AP177" s="5"/>
      <c r="AQ177" s="5"/>
      <c r="AR177" s="5"/>
      <c r="AS177" s="5"/>
      <c r="AT177" s="5"/>
      <c r="AU177" s="5"/>
      <c r="AV177" s="5"/>
      <c r="AW177" s="5"/>
      <c r="AX177" s="5"/>
      <c r="AY177" s="5"/>
    </row>
    <row r="178" spans="1:51" x14ac:dyDescent="0.25">
      <c r="A1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8" s="5">
        <f ca="1">IFERROR(__xludf.DUMMYFUNCTION("""COMPUTED_VALUE"""),178)</f>
        <v>178</v>
      </c>
      <c r="C178" s="5">
        <f ca="1">IFERROR(__xludf.DUMMYFUNCTION("""COMPUTED_VALUE"""),177)</f>
        <v>177</v>
      </c>
      <c r="D178" s="5" t="str">
        <f ca="1">IFERROR(__xludf.DUMMYFUNCTION("""COMPUTED_VALUE"""),"ExtraFlames10")</f>
        <v>ExtraFlames10</v>
      </c>
      <c r="E178" s="5" t="str">
        <f ca="1">IFERROR(__xludf.DUMMYFUNCTION("""COMPUTED_VALUE"""),"Yes")</f>
        <v>Yes</v>
      </c>
      <c r="F178" s="5" t="str">
        <f ca="1">IFERROR(__xludf.DUMMYFUNCTION("""COMPUTED_VALUE"""),"Yes")</f>
        <v>Yes</v>
      </c>
      <c r="G178" s="5" t="str">
        <f ca="1">IFERROR(__xludf.DUMMYFUNCTION("""COMPUTED_VALUE"""),"Yes")</f>
        <v>Yes</v>
      </c>
      <c r="H178" s="5" t="str">
        <f ca="1">IFERROR(__xludf.DUMMYFUNCTION("""COMPUTED_VALUE"""),"Yes")</f>
        <v>Yes</v>
      </c>
      <c r="I178" s="5" t="str">
        <f ca="1">IFERROR(__xludf.DUMMYFUNCTION("""COMPUTED_VALUE"""),"Yes")</f>
        <v>Yes</v>
      </c>
      <c r="J178" s="5" t="str">
        <f ca="1">IFERROR(__xludf.DUMMYFUNCTION("""COMPUTED_VALUE"""),"Yes")</f>
        <v>Yes</v>
      </c>
      <c r="K178" s="5" t="str">
        <f ca="1">IFERROR(__xludf.DUMMYFUNCTION("""COMPUTED_VALUE"""),"Yes")</f>
        <v>Yes</v>
      </c>
      <c r="L178" s="5" t="str">
        <f ca="1">IFERROR(__xludf.DUMMYFUNCTION("""COMPUTED_VALUE"""),"Yes")</f>
        <v>Yes</v>
      </c>
      <c r="M178" s="5" t="str">
        <f ca="1">IFERROR(__xludf.DUMMYFUNCTION("""COMPUTED_VALUE"""),"Yes")</f>
        <v>Yes</v>
      </c>
      <c r="N178" s="5" t="str">
        <f ca="1">IFERROR(__xludf.DUMMYFUNCTION("""COMPUTED_VALUE"""),"Yes")</f>
        <v>Yes</v>
      </c>
      <c r="O178" s="5" t="str">
        <f ca="1">IFERROR(__xludf.DUMMYFUNCTION("""COMPUTED_VALUE"""),"Yes")</f>
        <v>Yes</v>
      </c>
      <c r="P178" s="5" t="str">
        <f ca="1">IFERROR(__xludf.DUMMYFUNCTION("""COMPUTED_VALUE"""),"Yes")</f>
        <v>Yes</v>
      </c>
      <c r="Q178" s="5" t="str">
        <f ca="1">IFERROR(__xludf.DUMMYFUNCTION("""COMPUTED_VALUE"""),"Yes")</f>
        <v>Yes</v>
      </c>
      <c r="R178" s="5" t="str">
        <f ca="1">IFERROR(__xludf.DUMMYFUNCTION("""COMPUTED_VALUE"""),"Yes")</f>
        <v>Yes</v>
      </c>
      <c r="S178" s="5" t="str">
        <f ca="1">IFERROR(__xludf.DUMMYFUNCTION("""COMPUTED_VALUE"""),"Yes")</f>
        <v>Yes</v>
      </c>
      <c r="T178" s="5" t="str">
        <f ca="1">IFERROR(__xludf.DUMMYFUNCTION("""COMPUTED_VALUE"""),"Yes")</f>
        <v>Yes</v>
      </c>
      <c r="U178" s="5" t="str">
        <f ca="1">IFERROR(__xludf.DUMMYFUNCTION("""COMPUTED_VALUE"""),"Yes")</f>
        <v>Yes</v>
      </c>
      <c r="V178" s="5" t="str">
        <f ca="1">IFERROR(__xludf.DUMMYFUNCTION("""COMPUTED_VALUE"""),"Yes")</f>
        <v>Yes</v>
      </c>
      <c r="W178" s="5" t="str">
        <f ca="1">IFERROR(__xludf.DUMMYFUNCTION("""COMPUTED_VALUE"""),"Yes")</f>
        <v>Yes</v>
      </c>
      <c r="X178" s="5" t="str">
        <f ca="1">IFERROR(__xludf.DUMMYFUNCTION("""COMPUTED_VALUE"""),"Yes")</f>
        <v>Yes</v>
      </c>
      <c r="Y178" s="5" t="str">
        <f ca="1">IFERROR(__xludf.DUMMYFUNCTION("""COMPUTED_VALUE"""),"Yes")</f>
        <v>Yes</v>
      </c>
      <c r="Z178" s="5"/>
      <c r="AA178" s="5" t="str">
        <f ca="1">IFERROR(__xludf.DUMMYFUNCTION("""COMPUTED_VALUE"""),"Yes")</f>
        <v>Yes</v>
      </c>
      <c r="AB178" s="5" t="str">
        <f ca="1">IFERROR(__xludf.DUMMYFUNCTION("""COMPUTED_VALUE"""),"Yes")</f>
        <v>Yes</v>
      </c>
      <c r="AC178" s="5" t="str">
        <f ca="1">IFERROR(__xludf.DUMMYFUNCTION("""COMPUTED_VALUE"""),"Yes")</f>
        <v>Yes</v>
      </c>
      <c r="AD178" s="5" t="str">
        <f ca="1">IFERROR(__xludf.DUMMYFUNCTION("""COMPUTED_VALUE"""),"Yes")</f>
        <v>Yes</v>
      </c>
      <c r="AE178" s="5"/>
      <c r="AF178" s="5" t="str">
        <f ca="1">IFERROR(__xludf.DUMMYFUNCTION("""COMPUTED_VALUE"""),"Yes")</f>
        <v>Yes</v>
      </c>
      <c r="AG178" s="5"/>
      <c r="AH178" s="5"/>
      <c r="AI178" s="5"/>
      <c r="AJ178" s="5"/>
      <c r="AK178" s="5"/>
      <c r="AL178" s="5"/>
      <c r="AM178" s="5"/>
      <c r="AN178" s="5"/>
      <c r="AO178" s="5"/>
      <c r="AP178" s="5"/>
      <c r="AQ178" s="5"/>
      <c r="AR178" s="5"/>
      <c r="AS178" s="5"/>
      <c r="AT178" s="5"/>
      <c r="AU178" s="5"/>
      <c r="AV178" s="5"/>
      <c r="AW178" s="5"/>
      <c r="AX178" s="5"/>
      <c r="AY178" s="5"/>
    </row>
    <row r="179" spans="1:51" x14ac:dyDescent="0.25">
      <c r="A1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9" s="5">
        <f ca="1">IFERROR(__xludf.DUMMYFUNCTION("""COMPUTED_VALUE"""),179)</f>
        <v>179</v>
      </c>
      <c r="C179" s="5">
        <f ca="1">IFERROR(__xludf.DUMMYFUNCTION("""COMPUTED_VALUE"""),178)</f>
        <v>178</v>
      </c>
      <c r="D179" s="5" t="str">
        <f ca="1">IFERROR(__xludf.DUMMYFUNCTION("""COMPUTED_VALUE"""),"BookOfIbis")</f>
        <v>BookOfIbis</v>
      </c>
      <c r="E179" s="5" t="str">
        <f ca="1">IFERROR(__xludf.DUMMYFUNCTION("""COMPUTED_VALUE"""),"Yes")</f>
        <v>Yes</v>
      </c>
      <c r="F179" s="5" t="str">
        <f ca="1">IFERROR(__xludf.DUMMYFUNCTION("""COMPUTED_VALUE"""),"Yes")</f>
        <v>Yes</v>
      </c>
      <c r="G179" s="5" t="str">
        <f ca="1">IFERROR(__xludf.DUMMYFUNCTION("""COMPUTED_VALUE"""),"Yes")</f>
        <v>Yes</v>
      </c>
      <c r="H179" s="5" t="str">
        <f ca="1">IFERROR(__xludf.DUMMYFUNCTION("""COMPUTED_VALUE"""),"Yes")</f>
        <v>Yes</v>
      </c>
      <c r="I179" s="5" t="str">
        <f ca="1">IFERROR(__xludf.DUMMYFUNCTION("""COMPUTED_VALUE"""),"Yes")</f>
        <v>Yes</v>
      </c>
      <c r="J179" s="5" t="str">
        <f ca="1">IFERROR(__xludf.DUMMYFUNCTION("""COMPUTED_VALUE"""),"Yes")</f>
        <v>Yes</v>
      </c>
      <c r="K179" s="5" t="str">
        <f ca="1">IFERROR(__xludf.DUMMYFUNCTION("""COMPUTED_VALUE"""),"Yes")</f>
        <v>Yes</v>
      </c>
      <c r="L179" s="5" t="str">
        <f ca="1">IFERROR(__xludf.DUMMYFUNCTION("""COMPUTED_VALUE"""),"Yes")</f>
        <v>Yes</v>
      </c>
      <c r="M179" s="5" t="str">
        <f ca="1">IFERROR(__xludf.DUMMYFUNCTION("""COMPUTED_VALUE"""),"Yes")</f>
        <v>Yes</v>
      </c>
      <c r="N179" s="5" t="str">
        <f ca="1">IFERROR(__xludf.DUMMYFUNCTION("""COMPUTED_VALUE"""),"Yes")</f>
        <v>Yes</v>
      </c>
      <c r="O179" s="5" t="str">
        <f ca="1">IFERROR(__xludf.DUMMYFUNCTION("""COMPUTED_VALUE"""),"Yes")</f>
        <v>Yes</v>
      </c>
      <c r="P179" s="5" t="str">
        <f ca="1">IFERROR(__xludf.DUMMYFUNCTION("""COMPUTED_VALUE"""),"Yes")</f>
        <v>Yes</v>
      </c>
      <c r="Q179" s="5" t="str">
        <f ca="1">IFERROR(__xludf.DUMMYFUNCTION("""COMPUTED_VALUE"""),"Yes")</f>
        <v>Yes</v>
      </c>
      <c r="R179" s="5" t="str">
        <f ca="1">IFERROR(__xludf.DUMMYFUNCTION("""COMPUTED_VALUE"""),"Yes")</f>
        <v>Yes</v>
      </c>
      <c r="S179" s="5" t="str">
        <f ca="1">IFERROR(__xludf.DUMMYFUNCTION("""COMPUTED_VALUE"""),"Yes")</f>
        <v>Yes</v>
      </c>
      <c r="T179" s="5" t="str">
        <f ca="1">IFERROR(__xludf.DUMMYFUNCTION("""COMPUTED_VALUE"""),"Yes")</f>
        <v>Yes</v>
      </c>
      <c r="U179" s="5" t="str">
        <f ca="1">IFERROR(__xludf.DUMMYFUNCTION("""COMPUTED_VALUE"""),"Yes")</f>
        <v>Yes</v>
      </c>
      <c r="V179" s="5" t="str">
        <f ca="1">IFERROR(__xludf.DUMMYFUNCTION("""COMPUTED_VALUE"""),"Yes")</f>
        <v>Yes</v>
      </c>
      <c r="W179" s="5" t="str">
        <f ca="1">IFERROR(__xludf.DUMMYFUNCTION("""COMPUTED_VALUE"""),"Yes")</f>
        <v>Yes</v>
      </c>
      <c r="X179" s="5" t="str">
        <f ca="1">IFERROR(__xludf.DUMMYFUNCTION("""COMPUTED_VALUE"""),"Yes")</f>
        <v>Yes</v>
      </c>
      <c r="Y179" s="5"/>
      <c r="Z179" s="5"/>
      <c r="AA179" s="5"/>
      <c r="AB179" s="5"/>
      <c r="AC179" s="5" t="str">
        <f ca="1">IFERROR(__xludf.DUMMYFUNCTION("""COMPUTED_VALUE"""),"Yes")</f>
        <v>Yes</v>
      </c>
      <c r="AD179" s="5"/>
      <c r="AE179" s="5"/>
      <c r="AF179" s="5"/>
      <c r="AG179" s="5"/>
      <c r="AH179" s="5"/>
      <c r="AI179" s="5"/>
      <c r="AJ179" s="5"/>
      <c r="AK179" s="5"/>
      <c r="AL179" s="5"/>
      <c r="AM179" s="5"/>
      <c r="AN179" s="5"/>
      <c r="AO179" s="5"/>
      <c r="AP179" s="5"/>
      <c r="AQ179" s="5"/>
      <c r="AR179" s="5"/>
      <c r="AS179" s="5"/>
      <c r="AT179" s="5"/>
      <c r="AU179" s="5"/>
      <c r="AV179" s="5"/>
      <c r="AW179" s="5"/>
      <c r="AX179" s="5"/>
      <c r="AY179" s="5"/>
    </row>
    <row r="180" spans="1:51" x14ac:dyDescent="0.25">
      <c r="A18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80" s="5">
        <f ca="1">IFERROR(__xludf.DUMMYFUNCTION("""COMPUTED_VALUE"""),180)</f>
        <v>180</v>
      </c>
      <c r="C180" s="5">
        <f ca="1">IFERROR(__xludf.DUMMYFUNCTION("""COMPUTED_VALUE"""),179)</f>
        <v>179</v>
      </c>
      <c r="D180" s="5" t="str">
        <f ca="1">IFERROR(__xludf.DUMMYFUNCTION("""COMPUTED_VALUE"""),"CloverCoin")</f>
        <v>CloverCoin</v>
      </c>
      <c r="E180" s="5" t="str">
        <f ca="1">IFERROR(__xludf.DUMMYFUNCTION("""COMPUTED_VALUE"""),"Yes")</f>
        <v>Yes</v>
      </c>
      <c r="F180" s="5" t="str">
        <f ca="1">IFERROR(__xludf.DUMMYFUNCTION("""COMPUTED_VALUE"""),"Yes")</f>
        <v>Yes</v>
      </c>
      <c r="G180" s="5" t="str">
        <f ca="1">IFERROR(__xludf.DUMMYFUNCTION("""COMPUTED_VALUE"""),"No")</f>
        <v>No</v>
      </c>
      <c r="H180" s="5" t="str">
        <f ca="1">IFERROR(__xludf.DUMMYFUNCTION("""COMPUTED_VALUE"""),"Yes")</f>
        <v>Yes</v>
      </c>
      <c r="I180" s="5" t="str">
        <f ca="1">IFERROR(__xludf.DUMMYFUNCTION("""COMPUTED_VALUE"""),"Yes")</f>
        <v>Yes</v>
      </c>
      <c r="J180" s="5" t="str">
        <f ca="1">IFERROR(__xludf.DUMMYFUNCTION("""COMPUTED_VALUE"""),"Yes")</f>
        <v>Yes</v>
      </c>
      <c r="K180" s="5" t="str">
        <f ca="1">IFERROR(__xludf.DUMMYFUNCTION("""COMPUTED_VALUE"""),"Yes")</f>
        <v>Yes</v>
      </c>
      <c r="L180" s="5" t="str">
        <f ca="1">IFERROR(__xludf.DUMMYFUNCTION("""COMPUTED_VALUE"""),"Yes")</f>
        <v>Yes</v>
      </c>
      <c r="M180" s="5" t="str">
        <f ca="1">IFERROR(__xludf.DUMMYFUNCTION("""COMPUTED_VALUE"""),"Yes")</f>
        <v>Yes</v>
      </c>
      <c r="N180" s="5" t="str">
        <f ca="1">IFERROR(__xludf.DUMMYFUNCTION("""COMPUTED_VALUE"""),"Yes")</f>
        <v>Yes</v>
      </c>
      <c r="O180" s="5" t="str">
        <f ca="1">IFERROR(__xludf.DUMMYFUNCTION("""COMPUTED_VALUE"""),"Yes")</f>
        <v>Yes</v>
      </c>
      <c r="P180" s="5" t="str">
        <f ca="1">IFERROR(__xludf.DUMMYFUNCTION("""COMPUTED_VALUE"""),"Yes")</f>
        <v>Yes</v>
      </c>
      <c r="Q180" s="5" t="str">
        <f ca="1">IFERROR(__xludf.DUMMYFUNCTION("""COMPUTED_VALUE"""),"Yes")</f>
        <v>Yes</v>
      </c>
      <c r="R180" s="5" t="str">
        <f ca="1">IFERROR(__xludf.DUMMYFUNCTION("""COMPUTED_VALUE"""),"Yes")</f>
        <v>Yes</v>
      </c>
      <c r="S180" s="5" t="str">
        <f ca="1">IFERROR(__xludf.DUMMYFUNCTION("""COMPUTED_VALUE"""),"Yes")</f>
        <v>Yes</v>
      </c>
      <c r="T180" s="5" t="str">
        <f ca="1">IFERROR(__xludf.DUMMYFUNCTION("""COMPUTED_VALUE"""),"No")</f>
        <v>No</v>
      </c>
      <c r="U180" s="5" t="str">
        <f ca="1">IFERROR(__xludf.DUMMYFUNCTION("""COMPUTED_VALUE"""),"No")</f>
        <v>No</v>
      </c>
      <c r="V180" s="5" t="str">
        <f ca="1">IFERROR(__xludf.DUMMYFUNCTION("""COMPUTED_VALUE"""),"No")</f>
        <v>No</v>
      </c>
      <c r="W180" s="5" t="str">
        <f ca="1">IFERROR(__xludf.DUMMYFUNCTION("""COMPUTED_VALUE"""),"No")</f>
        <v>No</v>
      </c>
      <c r="X180" s="5" t="str">
        <f ca="1">IFERROR(__xludf.DUMMYFUNCTION("""COMPUTED_VALUE"""),"No")</f>
        <v>No</v>
      </c>
      <c r="Y180" s="5" t="str">
        <f ca="1">IFERROR(__xludf.DUMMYFUNCTION("""COMPUTED_VALUE"""),"No")</f>
        <v>No</v>
      </c>
      <c r="Z180" s="5" t="str">
        <f ca="1">IFERROR(__xludf.DUMMYFUNCTION("""COMPUTED_VALUE"""),"No")</f>
        <v>No</v>
      </c>
      <c r="AA180" s="5" t="str">
        <f ca="1">IFERROR(__xludf.DUMMYFUNCTION("""COMPUTED_VALUE"""),"No")</f>
        <v>No</v>
      </c>
      <c r="AB180" s="5" t="str">
        <f ca="1">IFERROR(__xludf.DUMMYFUNCTION("""COMPUTED_VALUE"""),"No")</f>
        <v>No</v>
      </c>
      <c r="AC180" s="5" t="str">
        <f ca="1">IFERROR(__xludf.DUMMYFUNCTION("""COMPUTED_VALUE"""),"No")</f>
        <v>No</v>
      </c>
      <c r="AD180" s="5" t="str">
        <f ca="1">IFERROR(__xludf.DUMMYFUNCTION("""COMPUTED_VALUE"""),"No")</f>
        <v>No</v>
      </c>
      <c r="AE180" s="5" t="str">
        <f ca="1">IFERROR(__xludf.DUMMYFUNCTION("""COMPUTED_VALUE"""),"No")</f>
        <v>No</v>
      </c>
      <c r="AF180" s="5" t="str">
        <f ca="1">IFERROR(__xludf.DUMMYFUNCTION("""COMPUTED_VALUE"""),"Yes")</f>
        <v>Yes</v>
      </c>
      <c r="AG180" s="5" t="str">
        <f ca="1">IFERROR(__xludf.DUMMYFUNCTION("""COMPUTED_VALUE"""),"No")</f>
        <v>No</v>
      </c>
      <c r="AH180" s="5" t="str">
        <f ca="1">IFERROR(__xludf.DUMMYFUNCTION("""COMPUTED_VALUE"""),"Yes")</f>
        <v>Yes</v>
      </c>
      <c r="AI180" s="5" t="str">
        <f ca="1">IFERROR(__xludf.DUMMYFUNCTION("""COMPUTED_VALUE"""),"No")</f>
        <v>No</v>
      </c>
      <c r="AJ180" s="5" t="str">
        <f ca="1">IFERROR(__xludf.DUMMYFUNCTION("""COMPUTED_VALUE"""),"No")</f>
        <v>No</v>
      </c>
      <c r="AK180" s="5" t="str">
        <f ca="1">IFERROR(__xludf.DUMMYFUNCTION("""COMPUTED_VALUE"""),"No")</f>
        <v>No</v>
      </c>
      <c r="AL180" s="5" t="str">
        <f ca="1">IFERROR(__xludf.DUMMYFUNCTION("""COMPUTED_VALUE"""),"No")</f>
        <v>No</v>
      </c>
      <c r="AM180" s="5"/>
      <c r="AN180" s="5"/>
      <c r="AO180" s="5"/>
      <c r="AP180" s="5"/>
      <c r="AQ180" s="5"/>
      <c r="AR180" s="5"/>
      <c r="AS180" s="5"/>
      <c r="AT180" s="5"/>
      <c r="AU180" s="5"/>
      <c r="AV180" s="5"/>
      <c r="AW180" s="5"/>
      <c r="AX180" s="5"/>
      <c r="AY180" s="5"/>
    </row>
    <row r="181" spans="1:51" x14ac:dyDescent="0.25">
      <c r="A1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1" s="5">
        <f ca="1">IFERROR(__xludf.DUMMYFUNCTION("""COMPUTED_VALUE"""),181)</f>
        <v>181</v>
      </c>
      <c r="C181" s="5">
        <f ca="1">IFERROR(__xludf.DUMMYFUNCTION("""COMPUTED_VALUE"""),180)</f>
        <v>180</v>
      </c>
      <c r="D181" s="5" t="str">
        <f ca="1">IFERROR(__xludf.DUMMYFUNCTION("""COMPUTED_VALUE"""),"AdmiralHot5")</f>
        <v>AdmiralHot5</v>
      </c>
      <c r="E181" s="5" t="str">
        <f ca="1">IFERROR(__xludf.DUMMYFUNCTION("""COMPUTED_VALUE"""),"Yes")</f>
        <v>Yes</v>
      </c>
      <c r="F181" s="5" t="str">
        <f ca="1">IFERROR(__xludf.DUMMYFUNCTION("""COMPUTED_VALUE"""),"Yes")</f>
        <v>Yes</v>
      </c>
      <c r="G181" s="5" t="str">
        <f ca="1">IFERROR(__xludf.DUMMYFUNCTION("""COMPUTED_VALUE"""),"Yes")</f>
        <v>Yes</v>
      </c>
      <c r="H181" s="5" t="str">
        <f ca="1">IFERROR(__xludf.DUMMYFUNCTION("""COMPUTED_VALUE"""),"Yes")</f>
        <v>Yes</v>
      </c>
      <c r="I181" s="5" t="str">
        <f ca="1">IFERROR(__xludf.DUMMYFUNCTION("""COMPUTED_VALUE"""),"Yes")</f>
        <v>Yes</v>
      </c>
      <c r="J181" s="5" t="str">
        <f ca="1">IFERROR(__xludf.DUMMYFUNCTION("""COMPUTED_VALUE"""),"Yes")</f>
        <v>Yes</v>
      </c>
      <c r="K181" s="5" t="str">
        <f ca="1">IFERROR(__xludf.DUMMYFUNCTION("""COMPUTED_VALUE"""),"Yes")</f>
        <v>Yes</v>
      </c>
      <c r="L181" s="5" t="str">
        <f ca="1">IFERROR(__xludf.DUMMYFUNCTION("""COMPUTED_VALUE"""),"Yes")</f>
        <v>Yes</v>
      </c>
      <c r="M181" s="5" t="str">
        <f ca="1">IFERROR(__xludf.DUMMYFUNCTION("""COMPUTED_VALUE"""),"Yes")</f>
        <v>Yes</v>
      </c>
      <c r="N181" s="5" t="str">
        <f ca="1">IFERROR(__xludf.DUMMYFUNCTION("""COMPUTED_VALUE"""),"Yes")</f>
        <v>Yes</v>
      </c>
      <c r="O181" s="5" t="str">
        <f ca="1">IFERROR(__xludf.DUMMYFUNCTION("""COMPUTED_VALUE"""),"Yes")</f>
        <v>Yes</v>
      </c>
      <c r="P181" s="5" t="str">
        <f ca="1">IFERROR(__xludf.DUMMYFUNCTION("""COMPUTED_VALUE"""),"Yes")</f>
        <v>Yes</v>
      </c>
      <c r="Q181" s="5" t="str">
        <f ca="1">IFERROR(__xludf.DUMMYFUNCTION("""COMPUTED_VALUE"""),"Yes")</f>
        <v>Yes</v>
      </c>
      <c r="R181" s="5" t="str">
        <f ca="1">IFERROR(__xludf.DUMMYFUNCTION("""COMPUTED_VALUE"""),"Yes")</f>
        <v>Yes</v>
      </c>
      <c r="S181" s="5" t="str">
        <f ca="1">IFERROR(__xludf.DUMMYFUNCTION("""COMPUTED_VALUE"""),"Yes")</f>
        <v>Yes</v>
      </c>
      <c r="T181" s="5" t="str">
        <f ca="1">IFERROR(__xludf.DUMMYFUNCTION("""COMPUTED_VALUE"""),"Yes")</f>
        <v>Yes</v>
      </c>
      <c r="U181" s="5" t="str">
        <f ca="1">IFERROR(__xludf.DUMMYFUNCTION("""COMPUTED_VALUE"""),"Yes")</f>
        <v>Yes</v>
      </c>
      <c r="V181" s="5" t="str">
        <f ca="1">IFERROR(__xludf.DUMMYFUNCTION("""COMPUTED_VALUE"""),"Yes")</f>
        <v>Yes</v>
      </c>
      <c r="W181" s="5" t="str">
        <f ca="1">IFERROR(__xludf.DUMMYFUNCTION("""COMPUTED_VALUE"""),"Yes")</f>
        <v>Yes</v>
      </c>
      <c r="X181" s="5" t="str">
        <f ca="1">IFERROR(__xludf.DUMMYFUNCTION("""COMPUTED_VALUE"""),"Yes")</f>
        <v>Yes</v>
      </c>
      <c r="Y181" s="5" t="str">
        <f ca="1">IFERROR(__xludf.DUMMYFUNCTION("""COMPUTED_VALUE"""),"Yes")</f>
        <v>Yes</v>
      </c>
      <c r="Z181" s="5" t="str">
        <f ca="1">IFERROR(__xludf.DUMMYFUNCTION("""COMPUTED_VALUE"""),"No")</f>
        <v>No</v>
      </c>
      <c r="AA181" s="5" t="str">
        <f ca="1">IFERROR(__xludf.DUMMYFUNCTION("""COMPUTED_VALUE"""),"Yes")</f>
        <v>Yes</v>
      </c>
      <c r="AB181" s="5" t="str">
        <f ca="1">IFERROR(__xludf.DUMMYFUNCTION("""COMPUTED_VALUE"""),"Yes")</f>
        <v>Yes</v>
      </c>
      <c r="AC181" s="5" t="str">
        <f ca="1">IFERROR(__xludf.DUMMYFUNCTION("""COMPUTED_VALUE"""),"Yes")</f>
        <v>Yes</v>
      </c>
      <c r="AD181" s="5" t="str">
        <f ca="1">IFERROR(__xludf.DUMMYFUNCTION("""COMPUTED_VALUE"""),"Yes")</f>
        <v>Yes</v>
      </c>
      <c r="AE181" s="5" t="str">
        <f ca="1">IFERROR(__xludf.DUMMYFUNCTION("""COMPUTED_VALUE"""),"No")</f>
        <v>No</v>
      </c>
      <c r="AF181" s="5" t="str">
        <f ca="1">IFERROR(__xludf.DUMMYFUNCTION("""COMPUTED_VALUE"""),"Yes")</f>
        <v>Yes</v>
      </c>
      <c r="AG181" s="5" t="str">
        <f ca="1">IFERROR(__xludf.DUMMYFUNCTION("""COMPUTED_VALUE"""),"No")</f>
        <v>No</v>
      </c>
      <c r="AH181" s="5" t="str">
        <f ca="1">IFERROR(__xludf.DUMMYFUNCTION("""COMPUTED_VALUE"""),"No")</f>
        <v>No</v>
      </c>
      <c r="AI181" s="5" t="str">
        <f ca="1">IFERROR(__xludf.DUMMYFUNCTION("""COMPUTED_VALUE"""),"No")</f>
        <v>No</v>
      </c>
      <c r="AJ181" s="5" t="str">
        <f ca="1">IFERROR(__xludf.DUMMYFUNCTION("""COMPUTED_VALUE"""),"No")</f>
        <v>No</v>
      </c>
      <c r="AK181" s="5" t="str">
        <f ca="1">IFERROR(__xludf.DUMMYFUNCTION("""COMPUTED_VALUE"""),"No")</f>
        <v>No</v>
      </c>
      <c r="AL181" s="5" t="str">
        <f ca="1">IFERROR(__xludf.DUMMYFUNCTION("""COMPUTED_VALUE"""),"No")</f>
        <v>No</v>
      </c>
      <c r="AM181" s="5"/>
      <c r="AN181" s="5"/>
      <c r="AO181" s="5"/>
      <c r="AP181" s="5"/>
      <c r="AQ181" s="5"/>
      <c r="AR181" s="5"/>
      <c r="AS181" s="5"/>
      <c r="AT181" s="5"/>
      <c r="AU181" s="5"/>
      <c r="AV181" s="5"/>
      <c r="AW181" s="5"/>
      <c r="AX181" s="5"/>
      <c r="AY181" s="5"/>
    </row>
    <row r="182" spans="1:51" x14ac:dyDescent="0.25">
      <c r="A1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2" s="5">
        <f ca="1">IFERROR(__xludf.DUMMYFUNCTION("""COMPUTED_VALUE"""),182)</f>
        <v>182</v>
      </c>
      <c r="C182" s="5">
        <f ca="1">IFERROR(__xludf.DUMMYFUNCTION("""COMPUTED_VALUE"""),181)</f>
        <v>181</v>
      </c>
      <c r="D182" s="5" t="str">
        <f ca="1">IFERROR(__xludf.DUMMYFUNCTION("""COMPUTED_VALUE"""),"ArenaHot40")</f>
        <v>ArenaHot40</v>
      </c>
      <c r="E182" s="5" t="str">
        <f ca="1">IFERROR(__xludf.DUMMYFUNCTION("""COMPUTED_VALUE"""),"Yes")</f>
        <v>Yes</v>
      </c>
      <c r="F182" s="5" t="str">
        <f ca="1">IFERROR(__xludf.DUMMYFUNCTION("""COMPUTED_VALUE"""),"Yes")</f>
        <v>Yes</v>
      </c>
      <c r="G182" s="5" t="str">
        <f ca="1">IFERROR(__xludf.DUMMYFUNCTION("""COMPUTED_VALUE"""),"Yes")</f>
        <v>Yes</v>
      </c>
      <c r="H182" s="5" t="str">
        <f ca="1">IFERROR(__xludf.DUMMYFUNCTION("""COMPUTED_VALUE"""),"Yes")</f>
        <v>Yes</v>
      </c>
      <c r="I182" s="5" t="str">
        <f ca="1">IFERROR(__xludf.DUMMYFUNCTION("""COMPUTED_VALUE"""),"Yes")</f>
        <v>Yes</v>
      </c>
      <c r="J182" s="5" t="str">
        <f ca="1">IFERROR(__xludf.DUMMYFUNCTION("""COMPUTED_VALUE"""),"Yes")</f>
        <v>Yes</v>
      </c>
      <c r="K182" s="5" t="str">
        <f ca="1">IFERROR(__xludf.DUMMYFUNCTION("""COMPUTED_VALUE"""),"Yes")</f>
        <v>Yes</v>
      </c>
      <c r="L182" s="5" t="str">
        <f ca="1">IFERROR(__xludf.DUMMYFUNCTION("""COMPUTED_VALUE"""),"Yes")</f>
        <v>Yes</v>
      </c>
      <c r="M182" s="5" t="str">
        <f ca="1">IFERROR(__xludf.DUMMYFUNCTION("""COMPUTED_VALUE"""),"Yes")</f>
        <v>Yes</v>
      </c>
      <c r="N182" s="5" t="str">
        <f ca="1">IFERROR(__xludf.DUMMYFUNCTION("""COMPUTED_VALUE"""),"Yes")</f>
        <v>Yes</v>
      </c>
      <c r="O182" s="5" t="str">
        <f ca="1">IFERROR(__xludf.DUMMYFUNCTION("""COMPUTED_VALUE"""),"Yes")</f>
        <v>Yes</v>
      </c>
      <c r="P182" s="5" t="str">
        <f ca="1">IFERROR(__xludf.DUMMYFUNCTION("""COMPUTED_VALUE"""),"Yes")</f>
        <v>Yes</v>
      </c>
      <c r="Q182" s="5" t="str">
        <f ca="1">IFERROR(__xludf.DUMMYFUNCTION("""COMPUTED_VALUE"""),"Yes")</f>
        <v>Yes</v>
      </c>
      <c r="R182" s="5" t="str">
        <f ca="1">IFERROR(__xludf.DUMMYFUNCTION("""COMPUTED_VALUE"""),"Yes")</f>
        <v>Yes</v>
      </c>
      <c r="S182" s="5" t="str">
        <f ca="1">IFERROR(__xludf.DUMMYFUNCTION("""COMPUTED_VALUE"""),"Yes")</f>
        <v>Yes</v>
      </c>
      <c r="T182" s="5" t="str">
        <f ca="1">IFERROR(__xludf.DUMMYFUNCTION("""COMPUTED_VALUE"""),"Yes")</f>
        <v>Yes</v>
      </c>
      <c r="U182" s="5" t="str">
        <f ca="1">IFERROR(__xludf.DUMMYFUNCTION("""COMPUTED_VALUE"""),"Yes")</f>
        <v>Yes</v>
      </c>
      <c r="V182" s="5" t="str">
        <f ca="1">IFERROR(__xludf.DUMMYFUNCTION("""COMPUTED_VALUE"""),"Yes")</f>
        <v>Yes</v>
      </c>
      <c r="W182" s="5" t="str">
        <f ca="1">IFERROR(__xludf.DUMMYFUNCTION("""COMPUTED_VALUE"""),"Yes")</f>
        <v>Yes</v>
      </c>
      <c r="X182" s="5" t="str">
        <f ca="1">IFERROR(__xludf.DUMMYFUNCTION("""COMPUTED_VALUE"""),"Yes")</f>
        <v>Yes</v>
      </c>
      <c r="Y182" s="5" t="str">
        <f ca="1">IFERROR(__xludf.DUMMYFUNCTION("""COMPUTED_VALUE"""),"Yes")</f>
        <v>Yes</v>
      </c>
      <c r="Z182" s="5" t="str">
        <f ca="1">IFERROR(__xludf.DUMMYFUNCTION("""COMPUTED_VALUE"""),"No")</f>
        <v>No</v>
      </c>
      <c r="AA182" s="5" t="str">
        <f ca="1">IFERROR(__xludf.DUMMYFUNCTION("""COMPUTED_VALUE"""),"Yes")</f>
        <v>Yes</v>
      </c>
      <c r="AB182" s="5" t="str">
        <f ca="1">IFERROR(__xludf.DUMMYFUNCTION("""COMPUTED_VALUE"""),"Yes")</f>
        <v>Yes</v>
      </c>
      <c r="AC182" s="5" t="str">
        <f ca="1">IFERROR(__xludf.DUMMYFUNCTION("""COMPUTED_VALUE"""),"Yes")</f>
        <v>Yes</v>
      </c>
      <c r="AD182" s="5" t="str">
        <f ca="1">IFERROR(__xludf.DUMMYFUNCTION("""COMPUTED_VALUE"""),"Yes")</f>
        <v>Yes</v>
      </c>
      <c r="AE182" s="5" t="str">
        <f ca="1">IFERROR(__xludf.DUMMYFUNCTION("""COMPUTED_VALUE"""),"No")</f>
        <v>No</v>
      </c>
      <c r="AF182" s="5" t="str">
        <f ca="1">IFERROR(__xludf.DUMMYFUNCTION("""COMPUTED_VALUE"""),"Yes")</f>
        <v>Yes</v>
      </c>
      <c r="AG182" s="5" t="str">
        <f ca="1">IFERROR(__xludf.DUMMYFUNCTION("""COMPUTED_VALUE"""),"No")</f>
        <v>No</v>
      </c>
      <c r="AH182" s="5" t="str">
        <f ca="1">IFERROR(__xludf.DUMMYFUNCTION("""COMPUTED_VALUE"""),"No")</f>
        <v>No</v>
      </c>
      <c r="AI182" s="5" t="str">
        <f ca="1">IFERROR(__xludf.DUMMYFUNCTION("""COMPUTED_VALUE"""),"No")</f>
        <v>No</v>
      </c>
      <c r="AJ182" s="5" t="str">
        <f ca="1">IFERROR(__xludf.DUMMYFUNCTION("""COMPUTED_VALUE"""),"No")</f>
        <v>No</v>
      </c>
      <c r="AK182" s="5" t="str">
        <f ca="1">IFERROR(__xludf.DUMMYFUNCTION("""COMPUTED_VALUE"""),"No")</f>
        <v>No</v>
      </c>
      <c r="AL182" s="5" t="str">
        <f ca="1">IFERROR(__xludf.DUMMYFUNCTION("""COMPUTED_VALUE"""),"No")</f>
        <v>No</v>
      </c>
      <c r="AM182" s="5"/>
      <c r="AN182" s="5"/>
      <c r="AO182" s="5"/>
      <c r="AP182" s="5"/>
      <c r="AQ182" s="5"/>
      <c r="AR182" s="5"/>
      <c r="AS182" s="5"/>
      <c r="AT182" s="5"/>
      <c r="AU182" s="5"/>
      <c r="AV182" s="5"/>
      <c r="AW182" s="5"/>
      <c r="AX182" s="5"/>
      <c r="AY182" s="5"/>
    </row>
    <row r="183" spans="1:51" x14ac:dyDescent="0.25">
      <c r="A1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3" s="5">
        <f ca="1">IFERROR(__xludf.DUMMYFUNCTION("""COMPUTED_VALUE"""),183)</f>
        <v>183</v>
      </c>
      <c r="C183" s="5">
        <f ca="1">IFERROR(__xludf.DUMMYFUNCTION("""COMPUTED_VALUE"""),182)</f>
        <v>182</v>
      </c>
      <c r="D183" s="5" t="str">
        <f ca="1">IFERROR(__xludf.DUMMYFUNCTION("""COMPUTED_VALUE"""),"GermaniaHot40")</f>
        <v>GermaniaHot40</v>
      </c>
      <c r="E183" s="5" t="str">
        <f ca="1">IFERROR(__xludf.DUMMYFUNCTION("""COMPUTED_VALUE"""),"Yes")</f>
        <v>Yes</v>
      </c>
      <c r="F183" s="5" t="str">
        <f ca="1">IFERROR(__xludf.DUMMYFUNCTION("""COMPUTED_VALUE"""),"Yes")</f>
        <v>Yes</v>
      </c>
      <c r="G183" s="5" t="str">
        <f ca="1">IFERROR(__xludf.DUMMYFUNCTION("""COMPUTED_VALUE"""),"Yes")</f>
        <v>Yes</v>
      </c>
      <c r="H183" s="5" t="str">
        <f ca="1">IFERROR(__xludf.DUMMYFUNCTION("""COMPUTED_VALUE"""),"Yes")</f>
        <v>Yes</v>
      </c>
      <c r="I183" s="5" t="str">
        <f ca="1">IFERROR(__xludf.DUMMYFUNCTION("""COMPUTED_VALUE"""),"Yes")</f>
        <v>Yes</v>
      </c>
      <c r="J183" s="5" t="str">
        <f ca="1">IFERROR(__xludf.DUMMYFUNCTION("""COMPUTED_VALUE"""),"Yes")</f>
        <v>Yes</v>
      </c>
      <c r="K183" s="5" t="str">
        <f ca="1">IFERROR(__xludf.DUMMYFUNCTION("""COMPUTED_VALUE"""),"Yes")</f>
        <v>Yes</v>
      </c>
      <c r="L183" s="5" t="str">
        <f ca="1">IFERROR(__xludf.DUMMYFUNCTION("""COMPUTED_VALUE"""),"Yes")</f>
        <v>Yes</v>
      </c>
      <c r="M183" s="5" t="str">
        <f ca="1">IFERROR(__xludf.DUMMYFUNCTION("""COMPUTED_VALUE"""),"Yes")</f>
        <v>Yes</v>
      </c>
      <c r="N183" s="5" t="str">
        <f ca="1">IFERROR(__xludf.DUMMYFUNCTION("""COMPUTED_VALUE"""),"Yes")</f>
        <v>Yes</v>
      </c>
      <c r="O183" s="5" t="str">
        <f ca="1">IFERROR(__xludf.DUMMYFUNCTION("""COMPUTED_VALUE"""),"Yes")</f>
        <v>Yes</v>
      </c>
      <c r="P183" s="5" t="str">
        <f ca="1">IFERROR(__xludf.DUMMYFUNCTION("""COMPUTED_VALUE"""),"Yes")</f>
        <v>Yes</v>
      </c>
      <c r="Q183" s="5" t="str">
        <f ca="1">IFERROR(__xludf.DUMMYFUNCTION("""COMPUTED_VALUE"""),"Yes")</f>
        <v>Yes</v>
      </c>
      <c r="R183" s="5" t="str">
        <f ca="1">IFERROR(__xludf.DUMMYFUNCTION("""COMPUTED_VALUE"""),"Yes")</f>
        <v>Yes</v>
      </c>
      <c r="S183" s="5" t="str">
        <f ca="1">IFERROR(__xludf.DUMMYFUNCTION("""COMPUTED_VALUE"""),"Yes")</f>
        <v>Yes</v>
      </c>
      <c r="T183" s="5" t="str">
        <f ca="1">IFERROR(__xludf.DUMMYFUNCTION("""COMPUTED_VALUE"""),"Yes")</f>
        <v>Yes</v>
      </c>
      <c r="U183" s="5" t="str">
        <f ca="1">IFERROR(__xludf.DUMMYFUNCTION("""COMPUTED_VALUE"""),"Yes")</f>
        <v>Yes</v>
      </c>
      <c r="V183" s="5" t="str">
        <f ca="1">IFERROR(__xludf.DUMMYFUNCTION("""COMPUTED_VALUE"""),"Yes")</f>
        <v>Yes</v>
      </c>
      <c r="W183" s="5" t="str">
        <f ca="1">IFERROR(__xludf.DUMMYFUNCTION("""COMPUTED_VALUE"""),"Yes")</f>
        <v>Yes</v>
      </c>
      <c r="X183" s="5" t="str">
        <f ca="1">IFERROR(__xludf.DUMMYFUNCTION("""COMPUTED_VALUE"""),"Yes")</f>
        <v>Yes</v>
      </c>
      <c r="Y183" s="5" t="str">
        <f ca="1">IFERROR(__xludf.DUMMYFUNCTION("""COMPUTED_VALUE"""),"Yes")</f>
        <v>Yes</v>
      </c>
      <c r="Z183" s="5" t="str">
        <f ca="1">IFERROR(__xludf.DUMMYFUNCTION("""COMPUTED_VALUE"""),"No")</f>
        <v>No</v>
      </c>
      <c r="AA183" s="5" t="str">
        <f ca="1">IFERROR(__xludf.DUMMYFUNCTION("""COMPUTED_VALUE"""),"Yes")</f>
        <v>Yes</v>
      </c>
      <c r="AB183" s="5" t="str">
        <f ca="1">IFERROR(__xludf.DUMMYFUNCTION("""COMPUTED_VALUE"""),"Yes")</f>
        <v>Yes</v>
      </c>
      <c r="AC183" s="5" t="str">
        <f ca="1">IFERROR(__xludf.DUMMYFUNCTION("""COMPUTED_VALUE"""),"Yes")</f>
        <v>Yes</v>
      </c>
      <c r="AD183" s="5" t="str">
        <f ca="1">IFERROR(__xludf.DUMMYFUNCTION("""COMPUTED_VALUE"""),"Yes")</f>
        <v>Yes</v>
      </c>
      <c r="AE183" s="5" t="str">
        <f ca="1">IFERROR(__xludf.DUMMYFUNCTION("""COMPUTED_VALUE"""),"No")</f>
        <v>No</v>
      </c>
      <c r="AF183" s="5" t="str">
        <f ca="1">IFERROR(__xludf.DUMMYFUNCTION("""COMPUTED_VALUE"""),"Yes")</f>
        <v>Yes</v>
      </c>
      <c r="AG183" s="5" t="str">
        <f ca="1">IFERROR(__xludf.DUMMYFUNCTION("""COMPUTED_VALUE"""),"No")</f>
        <v>No</v>
      </c>
      <c r="AH183" s="5" t="str">
        <f ca="1">IFERROR(__xludf.DUMMYFUNCTION("""COMPUTED_VALUE"""),"No")</f>
        <v>No</v>
      </c>
      <c r="AI183" s="5" t="str">
        <f ca="1">IFERROR(__xludf.DUMMYFUNCTION("""COMPUTED_VALUE"""),"No")</f>
        <v>No</v>
      </c>
      <c r="AJ183" s="5" t="str">
        <f ca="1">IFERROR(__xludf.DUMMYFUNCTION("""COMPUTED_VALUE"""),"No")</f>
        <v>No</v>
      </c>
      <c r="AK183" s="5" t="str">
        <f ca="1">IFERROR(__xludf.DUMMYFUNCTION("""COMPUTED_VALUE"""),"No")</f>
        <v>No</v>
      </c>
      <c r="AL183" s="5" t="str">
        <f ca="1">IFERROR(__xludf.DUMMYFUNCTION("""COMPUTED_VALUE"""),"No")</f>
        <v>No</v>
      </c>
      <c r="AM183" s="5"/>
      <c r="AN183" s="5"/>
      <c r="AO183" s="5"/>
      <c r="AP183" s="5"/>
      <c r="AQ183" s="5"/>
      <c r="AR183" s="5"/>
      <c r="AS183" s="5"/>
      <c r="AT183" s="5"/>
      <c r="AU183" s="5"/>
      <c r="AV183" s="5"/>
      <c r="AW183" s="5"/>
      <c r="AX183" s="5"/>
      <c r="AY183" s="5"/>
    </row>
    <row r="184" spans="1:51" x14ac:dyDescent="0.25">
      <c r="A1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4" s="5">
        <f ca="1">IFERROR(__xludf.DUMMYFUNCTION("""COMPUTED_VALUE"""),184)</f>
        <v>184</v>
      </c>
      <c r="C184" s="5">
        <f ca="1">IFERROR(__xludf.DUMMYFUNCTION("""COMPUTED_VALUE"""),183)</f>
        <v>183</v>
      </c>
      <c r="D184" s="5" t="str">
        <f ca="1">IFERROR(__xludf.DUMMYFUNCTION("""COMPUTED_VALUE"""),"WinXtip")</f>
        <v>WinXtip</v>
      </c>
      <c r="E184" s="5" t="str">
        <f ca="1">IFERROR(__xludf.DUMMYFUNCTION("""COMPUTED_VALUE"""),"Yes")</f>
        <v>Yes</v>
      </c>
      <c r="F184" s="5" t="str">
        <f ca="1">IFERROR(__xludf.DUMMYFUNCTION("""COMPUTED_VALUE"""),"Yes")</f>
        <v>Yes</v>
      </c>
      <c r="G184" s="5" t="str">
        <f ca="1">IFERROR(__xludf.DUMMYFUNCTION("""COMPUTED_VALUE"""),"Yes")</f>
        <v>Yes</v>
      </c>
      <c r="H184" s="5" t="str">
        <f ca="1">IFERROR(__xludf.DUMMYFUNCTION("""COMPUTED_VALUE"""),"Yes")</f>
        <v>Yes</v>
      </c>
      <c r="I184" s="5" t="str">
        <f ca="1">IFERROR(__xludf.DUMMYFUNCTION("""COMPUTED_VALUE"""),"Yes")</f>
        <v>Yes</v>
      </c>
      <c r="J184" s="5" t="str">
        <f ca="1">IFERROR(__xludf.DUMMYFUNCTION("""COMPUTED_VALUE"""),"Yes")</f>
        <v>Yes</v>
      </c>
      <c r="K184" s="5" t="str">
        <f ca="1">IFERROR(__xludf.DUMMYFUNCTION("""COMPUTED_VALUE"""),"Yes")</f>
        <v>Yes</v>
      </c>
      <c r="L184" s="5" t="str">
        <f ca="1">IFERROR(__xludf.DUMMYFUNCTION("""COMPUTED_VALUE"""),"Yes")</f>
        <v>Yes</v>
      </c>
      <c r="M184" s="5" t="str">
        <f ca="1">IFERROR(__xludf.DUMMYFUNCTION("""COMPUTED_VALUE"""),"Yes")</f>
        <v>Yes</v>
      </c>
      <c r="N184" s="5" t="str">
        <f ca="1">IFERROR(__xludf.DUMMYFUNCTION("""COMPUTED_VALUE"""),"Yes")</f>
        <v>Yes</v>
      </c>
      <c r="O184" s="5" t="str">
        <f ca="1">IFERROR(__xludf.DUMMYFUNCTION("""COMPUTED_VALUE"""),"Yes")</f>
        <v>Yes</v>
      </c>
      <c r="P184" s="5" t="str">
        <f ca="1">IFERROR(__xludf.DUMMYFUNCTION("""COMPUTED_VALUE"""),"Yes")</f>
        <v>Yes</v>
      </c>
      <c r="Q184" s="5" t="str">
        <f ca="1">IFERROR(__xludf.DUMMYFUNCTION("""COMPUTED_VALUE"""),"Yes")</f>
        <v>Yes</v>
      </c>
      <c r="R184" s="5" t="str">
        <f ca="1">IFERROR(__xludf.DUMMYFUNCTION("""COMPUTED_VALUE"""),"Yes")</f>
        <v>Yes</v>
      </c>
      <c r="S184" s="5" t="str">
        <f ca="1">IFERROR(__xludf.DUMMYFUNCTION("""COMPUTED_VALUE"""),"Yes")</f>
        <v>Yes</v>
      </c>
      <c r="T184" s="5" t="str">
        <f ca="1">IFERROR(__xludf.DUMMYFUNCTION("""COMPUTED_VALUE"""),"Yes")</f>
        <v>Yes</v>
      </c>
      <c r="U184" s="5" t="str">
        <f ca="1">IFERROR(__xludf.DUMMYFUNCTION("""COMPUTED_VALUE"""),"Yes")</f>
        <v>Yes</v>
      </c>
      <c r="V184" s="5" t="str">
        <f ca="1">IFERROR(__xludf.DUMMYFUNCTION("""COMPUTED_VALUE"""),"Yes")</f>
        <v>Yes</v>
      </c>
      <c r="W184" s="5" t="str">
        <f ca="1">IFERROR(__xludf.DUMMYFUNCTION("""COMPUTED_VALUE"""),"Yes")</f>
        <v>Yes</v>
      </c>
      <c r="X184" s="5" t="str">
        <f ca="1">IFERROR(__xludf.DUMMYFUNCTION("""COMPUTED_VALUE"""),"Yes")</f>
        <v>Yes</v>
      </c>
      <c r="Y184" s="5" t="str">
        <f ca="1">IFERROR(__xludf.DUMMYFUNCTION("""COMPUTED_VALUE"""),"Yes")</f>
        <v>Yes</v>
      </c>
      <c r="Z184" s="5" t="str">
        <f ca="1">IFERROR(__xludf.DUMMYFUNCTION("""COMPUTED_VALUE"""),"No")</f>
        <v>No</v>
      </c>
      <c r="AA184" s="5" t="str">
        <f ca="1">IFERROR(__xludf.DUMMYFUNCTION("""COMPUTED_VALUE"""),"Yes")</f>
        <v>Yes</v>
      </c>
      <c r="AB184" s="5" t="str">
        <f ca="1">IFERROR(__xludf.DUMMYFUNCTION("""COMPUTED_VALUE"""),"Yes")</f>
        <v>Yes</v>
      </c>
      <c r="AC184" s="5" t="str">
        <f ca="1">IFERROR(__xludf.DUMMYFUNCTION("""COMPUTED_VALUE"""),"Yes")</f>
        <v>Yes</v>
      </c>
      <c r="AD184" s="5" t="str">
        <f ca="1">IFERROR(__xludf.DUMMYFUNCTION("""COMPUTED_VALUE"""),"Yes")</f>
        <v>Yes</v>
      </c>
      <c r="AE184" s="5" t="str">
        <f ca="1">IFERROR(__xludf.DUMMYFUNCTION("""COMPUTED_VALUE"""),"No")</f>
        <v>No</v>
      </c>
      <c r="AF184" s="5" t="str">
        <f ca="1">IFERROR(__xludf.DUMMYFUNCTION("""COMPUTED_VALUE"""),"Yes")</f>
        <v>Yes</v>
      </c>
      <c r="AG184" s="5" t="str">
        <f ca="1">IFERROR(__xludf.DUMMYFUNCTION("""COMPUTED_VALUE"""),"No")</f>
        <v>No</v>
      </c>
      <c r="AH184" s="5" t="str">
        <f ca="1">IFERROR(__xludf.DUMMYFUNCTION("""COMPUTED_VALUE"""),"No")</f>
        <v>No</v>
      </c>
      <c r="AI184" s="5" t="str">
        <f ca="1">IFERROR(__xludf.DUMMYFUNCTION("""COMPUTED_VALUE"""),"No")</f>
        <v>No</v>
      </c>
      <c r="AJ184" s="5" t="str">
        <f ca="1">IFERROR(__xludf.DUMMYFUNCTION("""COMPUTED_VALUE"""),"No")</f>
        <v>No</v>
      </c>
      <c r="AK184" s="5" t="str">
        <f ca="1">IFERROR(__xludf.DUMMYFUNCTION("""COMPUTED_VALUE"""),"No")</f>
        <v>No</v>
      </c>
      <c r="AL184" s="5" t="str">
        <f ca="1">IFERROR(__xludf.DUMMYFUNCTION("""COMPUTED_VALUE"""),"No")</f>
        <v>No</v>
      </c>
      <c r="AM184" s="5"/>
      <c r="AN184" s="5"/>
      <c r="AO184" s="5"/>
      <c r="AP184" s="5"/>
      <c r="AQ184" s="5"/>
      <c r="AR184" s="5"/>
      <c r="AS184" s="5"/>
      <c r="AT184" s="5"/>
      <c r="AU184" s="5"/>
      <c r="AV184" s="5"/>
      <c r="AW184" s="5"/>
      <c r="AX184" s="5"/>
      <c r="AY184" s="5"/>
    </row>
    <row r="185" spans="1:51" x14ac:dyDescent="0.25">
      <c r="A1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5" s="5">
        <f ca="1">IFERROR(__xludf.DUMMYFUNCTION("""COMPUTED_VALUE"""),185)</f>
        <v>185</v>
      </c>
      <c r="C185" s="5">
        <f ca="1">IFERROR(__xludf.DUMMYFUNCTION("""COMPUTED_VALUE"""),184)</f>
        <v>184</v>
      </c>
      <c r="D185" s="5" t="str">
        <f ca="1">IFERROR(__xludf.DUMMYFUNCTION("""COMPUTED_VALUE"""),"PskHot40")</f>
        <v>PskHot40</v>
      </c>
      <c r="E185" s="5" t="str">
        <f ca="1">IFERROR(__xludf.DUMMYFUNCTION("""COMPUTED_VALUE"""),"Yes")</f>
        <v>Yes</v>
      </c>
      <c r="F185" s="5" t="str">
        <f ca="1">IFERROR(__xludf.DUMMYFUNCTION("""COMPUTED_VALUE"""),"Yes")</f>
        <v>Yes</v>
      </c>
      <c r="G185" s="5" t="str">
        <f ca="1">IFERROR(__xludf.DUMMYFUNCTION("""COMPUTED_VALUE"""),"Yes")</f>
        <v>Yes</v>
      </c>
      <c r="H185" s="5" t="str">
        <f ca="1">IFERROR(__xludf.DUMMYFUNCTION("""COMPUTED_VALUE"""),"Yes")</f>
        <v>Yes</v>
      </c>
      <c r="I185" s="5" t="str">
        <f ca="1">IFERROR(__xludf.DUMMYFUNCTION("""COMPUTED_VALUE"""),"Yes")</f>
        <v>Yes</v>
      </c>
      <c r="J185" s="5" t="str">
        <f ca="1">IFERROR(__xludf.DUMMYFUNCTION("""COMPUTED_VALUE"""),"Yes")</f>
        <v>Yes</v>
      </c>
      <c r="K185" s="5" t="str">
        <f ca="1">IFERROR(__xludf.DUMMYFUNCTION("""COMPUTED_VALUE"""),"Yes")</f>
        <v>Yes</v>
      </c>
      <c r="L185" s="5" t="str">
        <f ca="1">IFERROR(__xludf.DUMMYFUNCTION("""COMPUTED_VALUE"""),"Yes")</f>
        <v>Yes</v>
      </c>
      <c r="M185" s="5" t="str">
        <f ca="1">IFERROR(__xludf.DUMMYFUNCTION("""COMPUTED_VALUE"""),"Yes")</f>
        <v>Yes</v>
      </c>
      <c r="N185" s="5" t="str">
        <f ca="1">IFERROR(__xludf.DUMMYFUNCTION("""COMPUTED_VALUE"""),"Yes")</f>
        <v>Yes</v>
      </c>
      <c r="O185" s="5" t="str">
        <f ca="1">IFERROR(__xludf.DUMMYFUNCTION("""COMPUTED_VALUE"""),"Yes")</f>
        <v>Yes</v>
      </c>
      <c r="P185" s="5" t="str">
        <f ca="1">IFERROR(__xludf.DUMMYFUNCTION("""COMPUTED_VALUE"""),"Yes")</f>
        <v>Yes</v>
      </c>
      <c r="Q185" s="5" t="str">
        <f ca="1">IFERROR(__xludf.DUMMYFUNCTION("""COMPUTED_VALUE"""),"Yes")</f>
        <v>Yes</v>
      </c>
      <c r="R185" s="5" t="str">
        <f ca="1">IFERROR(__xludf.DUMMYFUNCTION("""COMPUTED_VALUE"""),"Yes")</f>
        <v>Yes</v>
      </c>
      <c r="S185" s="5" t="str">
        <f ca="1">IFERROR(__xludf.DUMMYFUNCTION("""COMPUTED_VALUE"""),"Yes")</f>
        <v>Yes</v>
      </c>
      <c r="T185" s="5" t="str">
        <f ca="1">IFERROR(__xludf.DUMMYFUNCTION("""COMPUTED_VALUE"""),"Yes")</f>
        <v>Yes</v>
      </c>
      <c r="U185" s="5" t="str">
        <f ca="1">IFERROR(__xludf.DUMMYFUNCTION("""COMPUTED_VALUE"""),"Yes")</f>
        <v>Yes</v>
      </c>
      <c r="V185" s="5" t="str">
        <f ca="1">IFERROR(__xludf.DUMMYFUNCTION("""COMPUTED_VALUE"""),"Yes")</f>
        <v>Yes</v>
      </c>
      <c r="W185" s="5" t="str">
        <f ca="1">IFERROR(__xludf.DUMMYFUNCTION("""COMPUTED_VALUE"""),"Yes")</f>
        <v>Yes</v>
      </c>
      <c r="X185" s="5" t="str">
        <f ca="1">IFERROR(__xludf.DUMMYFUNCTION("""COMPUTED_VALUE"""),"Yes")</f>
        <v>Yes</v>
      </c>
      <c r="Y185" s="5" t="str">
        <f ca="1">IFERROR(__xludf.DUMMYFUNCTION("""COMPUTED_VALUE"""),"Yes")</f>
        <v>Yes</v>
      </c>
      <c r="Z185" s="5" t="str">
        <f ca="1">IFERROR(__xludf.DUMMYFUNCTION("""COMPUTED_VALUE"""),"No")</f>
        <v>No</v>
      </c>
      <c r="AA185" s="5" t="str">
        <f ca="1">IFERROR(__xludf.DUMMYFUNCTION("""COMPUTED_VALUE"""),"Yes")</f>
        <v>Yes</v>
      </c>
      <c r="AB185" s="5" t="str">
        <f ca="1">IFERROR(__xludf.DUMMYFUNCTION("""COMPUTED_VALUE"""),"Yes")</f>
        <v>Yes</v>
      </c>
      <c r="AC185" s="5" t="str">
        <f ca="1">IFERROR(__xludf.DUMMYFUNCTION("""COMPUTED_VALUE"""),"Yes")</f>
        <v>Yes</v>
      </c>
      <c r="AD185" s="5" t="str">
        <f ca="1">IFERROR(__xludf.DUMMYFUNCTION("""COMPUTED_VALUE"""),"Yes")</f>
        <v>Yes</v>
      </c>
      <c r="AE185" s="5" t="str">
        <f ca="1">IFERROR(__xludf.DUMMYFUNCTION("""COMPUTED_VALUE"""),"No")</f>
        <v>No</v>
      </c>
      <c r="AF185" s="5" t="str">
        <f ca="1">IFERROR(__xludf.DUMMYFUNCTION("""COMPUTED_VALUE"""),"Yes")</f>
        <v>Yes</v>
      </c>
      <c r="AG185" s="5" t="str">
        <f ca="1">IFERROR(__xludf.DUMMYFUNCTION("""COMPUTED_VALUE"""),"No")</f>
        <v>No</v>
      </c>
      <c r="AH185" s="5" t="str">
        <f ca="1">IFERROR(__xludf.DUMMYFUNCTION("""COMPUTED_VALUE"""),"No")</f>
        <v>No</v>
      </c>
      <c r="AI185" s="5" t="str">
        <f ca="1">IFERROR(__xludf.DUMMYFUNCTION("""COMPUTED_VALUE"""),"No")</f>
        <v>No</v>
      </c>
      <c r="AJ185" s="5" t="str">
        <f ca="1">IFERROR(__xludf.DUMMYFUNCTION("""COMPUTED_VALUE"""),"No")</f>
        <v>No</v>
      </c>
      <c r="AK185" s="5" t="str">
        <f ca="1">IFERROR(__xludf.DUMMYFUNCTION("""COMPUTED_VALUE"""),"No")</f>
        <v>No</v>
      </c>
      <c r="AL185" s="5" t="str">
        <f ca="1">IFERROR(__xludf.DUMMYFUNCTION("""COMPUTED_VALUE"""),"No")</f>
        <v>No</v>
      </c>
      <c r="AM185" s="5"/>
      <c r="AN185" s="5"/>
      <c r="AO185" s="5"/>
      <c r="AP185" s="5"/>
      <c r="AQ185" s="5"/>
      <c r="AR185" s="5"/>
      <c r="AS185" s="5"/>
      <c r="AT185" s="5"/>
      <c r="AU185" s="5"/>
      <c r="AV185" s="5"/>
      <c r="AW185" s="5"/>
      <c r="AX185" s="5"/>
      <c r="AY185" s="5"/>
    </row>
    <row r="186" spans="1:51" x14ac:dyDescent="0.25">
      <c r="A1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6" s="5">
        <f ca="1">IFERROR(__xludf.DUMMYFUNCTION("""COMPUTED_VALUE"""),186)</f>
        <v>186</v>
      </c>
      <c r="C186" s="5">
        <f ca="1">IFERROR(__xludf.DUMMYFUNCTION("""COMPUTED_VALUE"""),185)</f>
        <v>185</v>
      </c>
      <c r="D186" s="5" t="str">
        <f ca="1">IFERROR(__xludf.DUMMYFUNCTION("""COMPUTED_VALUE"""),"SuperCasinoCrown")</f>
        <v>SuperCasinoCrown</v>
      </c>
      <c r="E186" s="5" t="str">
        <f ca="1">IFERROR(__xludf.DUMMYFUNCTION("""COMPUTED_VALUE"""),"Yes")</f>
        <v>Yes</v>
      </c>
      <c r="F186" s="5" t="str">
        <f ca="1">IFERROR(__xludf.DUMMYFUNCTION("""COMPUTED_VALUE"""),"Yes")</f>
        <v>Yes</v>
      </c>
      <c r="G186" s="5" t="str">
        <f ca="1">IFERROR(__xludf.DUMMYFUNCTION("""COMPUTED_VALUE"""),"Yes")</f>
        <v>Yes</v>
      </c>
      <c r="H186" s="5" t="str">
        <f ca="1">IFERROR(__xludf.DUMMYFUNCTION("""COMPUTED_VALUE"""),"Yes")</f>
        <v>Yes</v>
      </c>
      <c r="I186" s="5" t="str">
        <f ca="1">IFERROR(__xludf.DUMMYFUNCTION("""COMPUTED_VALUE"""),"Yes")</f>
        <v>Yes</v>
      </c>
      <c r="J186" s="5" t="str">
        <f ca="1">IFERROR(__xludf.DUMMYFUNCTION("""COMPUTED_VALUE"""),"Yes")</f>
        <v>Yes</v>
      </c>
      <c r="K186" s="5" t="str">
        <f ca="1">IFERROR(__xludf.DUMMYFUNCTION("""COMPUTED_VALUE"""),"Yes")</f>
        <v>Yes</v>
      </c>
      <c r="L186" s="5" t="str">
        <f ca="1">IFERROR(__xludf.DUMMYFUNCTION("""COMPUTED_VALUE"""),"Yes")</f>
        <v>Yes</v>
      </c>
      <c r="M186" s="5" t="str">
        <f ca="1">IFERROR(__xludf.DUMMYFUNCTION("""COMPUTED_VALUE"""),"Yes")</f>
        <v>Yes</v>
      </c>
      <c r="N186" s="5" t="str">
        <f ca="1">IFERROR(__xludf.DUMMYFUNCTION("""COMPUTED_VALUE"""),"Yes")</f>
        <v>Yes</v>
      </c>
      <c r="O186" s="5" t="str">
        <f ca="1">IFERROR(__xludf.DUMMYFUNCTION("""COMPUTED_VALUE"""),"Yes")</f>
        <v>Yes</v>
      </c>
      <c r="P186" s="5" t="str">
        <f ca="1">IFERROR(__xludf.DUMMYFUNCTION("""COMPUTED_VALUE"""),"Yes")</f>
        <v>Yes</v>
      </c>
      <c r="Q186" s="5" t="str">
        <f ca="1">IFERROR(__xludf.DUMMYFUNCTION("""COMPUTED_VALUE"""),"Yes")</f>
        <v>Yes</v>
      </c>
      <c r="R186" s="5" t="str">
        <f ca="1">IFERROR(__xludf.DUMMYFUNCTION("""COMPUTED_VALUE"""),"Yes")</f>
        <v>Yes</v>
      </c>
      <c r="S186" s="5" t="str">
        <f ca="1">IFERROR(__xludf.DUMMYFUNCTION("""COMPUTED_VALUE"""),"Yes")</f>
        <v>Yes</v>
      </c>
      <c r="T186" s="5" t="str">
        <f ca="1">IFERROR(__xludf.DUMMYFUNCTION("""COMPUTED_VALUE"""),"Yes")</f>
        <v>Yes</v>
      </c>
      <c r="U186" s="5" t="str">
        <f ca="1">IFERROR(__xludf.DUMMYFUNCTION("""COMPUTED_VALUE"""),"Yes")</f>
        <v>Yes</v>
      </c>
      <c r="V186" s="5" t="str">
        <f ca="1">IFERROR(__xludf.DUMMYFUNCTION("""COMPUTED_VALUE"""),"Yes")</f>
        <v>Yes</v>
      </c>
      <c r="W186" s="5" t="str">
        <f ca="1">IFERROR(__xludf.DUMMYFUNCTION("""COMPUTED_VALUE"""),"Yes")</f>
        <v>Yes</v>
      </c>
      <c r="X186" s="5" t="str">
        <f ca="1">IFERROR(__xludf.DUMMYFUNCTION("""COMPUTED_VALUE"""),"Yes")</f>
        <v>Yes</v>
      </c>
      <c r="Y186" s="5" t="str">
        <f ca="1">IFERROR(__xludf.DUMMYFUNCTION("""COMPUTED_VALUE"""),"Yes")</f>
        <v>Yes</v>
      </c>
      <c r="Z186" s="5" t="str">
        <f ca="1">IFERROR(__xludf.DUMMYFUNCTION("""COMPUTED_VALUE"""),"No")</f>
        <v>No</v>
      </c>
      <c r="AA186" s="5" t="str">
        <f ca="1">IFERROR(__xludf.DUMMYFUNCTION("""COMPUTED_VALUE"""),"Yes")</f>
        <v>Yes</v>
      </c>
      <c r="AB186" s="5" t="str">
        <f ca="1">IFERROR(__xludf.DUMMYFUNCTION("""COMPUTED_VALUE"""),"Yes")</f>
        <v>Yes</v>
      </c>
      <c r="AC186" s="5" t="str">
        <f ca="1">IFERROR(__xludf.DUMMYFUNCTION("""COMPUTED_VALUE"""),"Yes")</f>
        <v>Yes</v>
      </c>
      <c r="AD186" s="5" t="str">
        <f ca="1">IFERROR(__xludf.DUMMYFUNCTION("""COMPUTED_VALUE"""),"Yes")</f>
        <v>Yes</v>
      </c>
      <c r="AE186" s="5" t="str">
        <f ca="1">IFERROR(__xludf.DUMMYFUNCTION("""COMPUTED_VALUE"""),"No")</f>
        <v>No</v>
      </c>
      <c r="AF186" s="5" t="str">
        <f ca="1">IFERROR(__xludf.DUMMYFUNCTION("""COMPUTED_VALUE"""),"Yes")</f>
        <v>Yes</v>
      </c>
      <c r="AG186" s="5" t="str">
        <f ca="1">IFERROR(__xludf.DUMMYFUNCTION("""COMPUTED_VALUE"""),"No")</f>
        <v>No</v>
      </c>
      <c r="AH186" s="5" t="str">
        <f ca="1">IFERROR(__xludf.DUMMYFUNCTION("""COMPUTED_VALUE"""),"No")</f>
        <v>No</v>
      </c>
      <c r="AI186" s="5" t="str">
        <f ca="1">IFERROR(__xludf.DUMMYFUNCTION("""COMPUTED_VALUE"""),"No")</f>
        <v>No</v>
      </c>
      <c r="AJ186" s="5" t="str">
        <f ca="1">IFERROR(__xludf.DUMMYFUNCTION("""COMPUTED_VALUE"""),"No")</f>
        <v>No</v>
      </c>
      <c r="AK186" s="5" t="str">
        <f ca="1">IFERROR(__xludf.DUMMYFUNCTION("""COMPUTED_VALUE"""),"No")</f>
        <v>No</v>
      </c>
      <c r="AL186" s="5" t="str">
        <f ca="1">IFERROR(__xludf.DUMMYFUNCTION("""COMPUTED_VALUE"""),"No")</f>
        <v>No</v>
      </c>
      <c r="AM186" s="5"/>
      <c r="AN186" s="5"/>
      <c r="AO186" s="5"/>
      <c r="AP186" s="5"/>
      <c r="AQ186" s="5"/>
      <c r="AR186" s="5"/>
      <c r="AS186" s="5"/>
      <c r="AT186" s="5"/>
      <c r="AU186" s="5"/>
      <c r="AV186" s="5"/>
      <c r="AW186" s="5"/>
      <c r="AX186" s="5"/>
      <c r="AY186" s="5"/>
    </row>
    <row r="187" spans="1:51" x14ac:dyDescent="0.25">
      <c r="A1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7" s="5">
        <f ca="1">IFERROR(__xludf.DUMMYFUNCTION("""COMPUTED_VALUE"""),187)</f>
        <v>187</v>
      </c>
      <c r="C187" s="5">
        <f ca="1">IFERROR(__xludf.DUMMYFUNCTION("""COMPUTED_VALUE"""),186)</f>
        <v>186</v>
      </c>
      <c r="D187" s="5" t="str">
        <f ca="1">IFERROR(__xludf.DUMMYFUNCTION("""COMPUTED_VALUE"""),"TopHot20")</f>
        <v>TopHot20</v>
      </c>
      <c r="E187" s="5" t="str">
        <f ca="1">IFERROR(__xludf.DUMMYFUNCTION("""COMPUTED_VALUE"""),"Yes")</f>
        <v>Yes</v>
      </c>
      <c r="F187" s="5" t="str">
        <f ca="1">IFERROR(__xludf.DUMMYFUNCTION("""COMPUTED_VALUE"""),"Yes")</f>
        <v>Yes</v>
      </c>
      <c r="G187" s="5" t="str">
        <f ca="1">IFERROR(__xludf.DUMMYFUNCTION("""COMPUTED_VALUE"""),"Yes")</f>
        <v>Yes</v>
      </c>
      <c r="H187" s="5" t="str">
        <f ca="1">IFERROR(__xludf.DUMMYFUNCTION("""COMPUTED_VALUE"""),"Yes")</f>
        <v>Yes</v>
      </c>
      <c r="I187" s="5" t="str">
        <f ca="1">IFERROR(__xludf.DUMMYFUNCTION("""COMPUTED_VALUE"""),"Yes")</f>
        <v>Yes</v>
      </c>
      <c r="J187" s="5" t="str">
        <f ca="1">IFERROR(__xludf.DUMMYFUNCTION("""COMPUTED_VALUE"""),"Yes")</f>
        <v>Yes</v>
      </c>
      <c r="K187" s="5" t="str">
        <f ca="1">IFERROR(__xludf.DUMMYFUNCTION("""COMPUTED_VALUE"""),"Yes")</f>
        <v>Yes</v>
      </c>
      <c r="L187" s="5" t="str">
        <f ca="1">IFERROR(__xludf.DUMMYFUNCTION("""COMPUTED_VALUE"""),"Yes")</f>
        <v>Yes</v>
      </c>
      <c r="M187" s="5" t="str">
        <f ca="1">IFERROR(__xludf.DUMMYFUNCTION("""COMPUTED_VALUE"""),"Yes")</f>
        <v>Yes</v>
      </c>
      <c r="N187" s="5" t="str">
        <f ca="1">IFERROR(__xludf.DUMMYFUNCTION("""COMPUTED_VALUE"""),"Yes")</f>
        <v>Yes</v>
      </c>
      <c r="O187" s="5" t="str">
        <f ca="1">IFERROR(__xludf.DUMMYFUNCTION("""COMPUTED_VALUE"""),"Yes")</f>
        <v>Yes</v>
      </c>
      <c r="P187" s="5" t="str">
        <f ca="1">IFERROR(__xludf.DUMMYFUNCTION("""COMPUTED_VALUE"""),"Yes")</f>
        <v>Yes</v>
      </c>
      <c r="Q187" s="5" t="str">
        <f ca="1">IFERROR(__xludf.DUMMYFUNCTION("""COMPUTED_VALUE"""),"Yes")</f>
        <v>Yes</v>
      </c>
      <c r="R187" s="5" t="str">
        <f ca="1">IFERROR(__xludf.DUMMYFUNCTION("""COMPUTED_VALUE"""),"Yes")</f>
        <v>Yes</v>
      </c>
      <c r="S187" s="5" t="str">
        <f ca="1">IFERROR(__xludf.DUMMYFUNCTION("""COMPUTED_VALUE"""),"Yes")</f>
        <v>Yes</v>
      </c>
      <c r="T187" s="5" t="str">
        <f ca="1">IFERROR(__xludf.DUMMYFUNCTION("""COMPUTED_VALUE"""),"Yes")</f>
        <v>Yes</v>
      </c>
      <c r="U187" s="5" t="str">
        <f ca="1">IFERROR(__xludf.DUMMYFUNCTION("""COMPUTED_VALUE"""),"Yes")</f>
        <v>Yes</v>
      </c>
      <c r="V187" s="5" t="str">
        <f ca="1">IFERROR(__xludf.DUMMYFUNCTION("""COMPUTED_VALUE"""),"Yes")</f>
        <v>Yes</v>
      </c>
      <c r="W187" s="5" t="str">
        <f ca="1">IFERROR(__xludf.DUMMYFUNCTION("""COMPUTED_VALUE"""),"Yes")</f>
        <v>Yes</v>
      </c>
      <c r="X187" s="5" t="str">
        <f ca="1">IFERROR(__xludf.DUMMYFUNCTION("""COMPUTED_VALUE"""),"Yes")</f>
        <v>Yes</v>
      </c>
      <c r="Y187" s="5" t="str">
        <f ca="1">IFERROR(__xludf.DUMMYFUNCTION("""COMPUTED_VALUE"""),"Yes")</f>
        <v>Yes</v>
      </c>
      <c r="Z187" s="5" t="str">
        <f ca="1">IFERROR(__xludf.DUMMYFUNCTION("""COMPUTED_VALUE"""),"No")</f>
        <v>No</v>
      </c>
      <c r="AA187" s="5" t="str">
        <f ca="1">IFERROR(__xludf.DUMMYFUNCTION("""COMPUTED_VALUE"""),"Yes")</f>
        <v>Yes</v>
      </c>
      <c r="AB187" s="5" t="str">
        <f ca="1">IFERROR(__xludf.DUMMYFUNCTION("""COMPUTED_VALUE"""),"Yes")</f>
        <v>Yes</v>
      </c>
      <c r="AC187" s="5" t="str">
        <f ca="1">IFERROR(__xludf.DUMMYFUNCTION("""COMPUTED_VALUE"""),"Yes")</f>
        <v>Yes</v>
      </c>
      <c r="AD187" s="5" t="str">
        <f ca="1">IFERROR(__xludf.DUMMYFUNCTION("""COMPUTED_VALUE"""),"Yes")</f>
        <v>Yes</v>
      </c>
      <c r="AE187" s="5" t="str">
        <f ca="1">IFERROR(__xludf.DUMMYFUNCTION("""COMPUTED_VALUE"""),"No")</f>
        <v>No</v>
      </c>
      <c r="AF187" s="5" t="str">
        <f ca="1">IFERROR(__xludf.DUMMYFUNCTION("""COMPUTED_VALUE"""),"Yes")</f>
        <v>Yes</v>
      </c>
      <c r="AG187" s="5" t="str">
        <f ca="1">IFERROR(__xludf.DUMMYFUNCTION("""COMPUTED_VALUE"""),"No")</f>
        <v>No</v>
      </c>
      <c r="AH187" s="5" t="str">
        <f ca="1">IFERROR(__xludf.DUMMYFUNCTION("""COMPUTED_VALUE"""),"No")</f>
        <v>No</v>
      </c>
      <c r="AI187" s="5" t="str">
        <f ca="1">IFERROR(__xludf.DUMMYFUNCTION("""COMPUTED_VALUE"""),"No")</f>
        <v>No</v>
      </c>
      <c r="AJ187" s="5" t="str">
        <f ca="1">IFERROR(__xludf.DUMMYFUNCTION("""COMPUTED_VALUE"""),"No")</f>
        <v>No</v>
      </c>
      <c r="AK187" s="5" t="str">
        <f ca="1">IFERROR(__xludf.DUMMYFUNCTION("""COMPUTED_VALUE"""),"No")</f>
        <v>No</v>
      </c>
      <c r="AL187" s="5" t="str">
        <f ca="1">IFERROR(__xludf.DUMMYFUNCTION("""COMPUTED_VALUE"""),"No")</f>
        <v>No</v>
      </c>
      <c r="AM187" s="5"/>
      <c r="AN187" s="5"/>
      <c r="AO187" s="5"/>
      <c r="AP187" s="5"/>
      <c r="AQ187" s="5"/>
      <c r="AR187" s="5"/>
      <c r="AS187" s="5"/>
      <c r="AT187" s="5"/>
      <c r="AU187" s="5"/>
      <c r="AV187" s="5"/>
      <c r="AW187" s="5"/>
      <c r="AX187" s="5"/>
      <c r="AY187" s="5"/>
    </row>
    <row r="188" spans="1:51" x14ac:dyDescent="0.25">
      <c r="A1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8" s="5">
        <f ca="1">IFERROR(__xludf.DUMMYFUNCTION("""COMPUTED_VALUE"""),188)</f>
        <v>188</v>
      </c>
      <c r="C188" s="5">
        <f ca="1">IFERROR(__xludf.DUMMYFUNCTION("""COMPUTED_VALUE"""),187)</f>
        <v>187</v>
      </c>
      <c r="D188" s="5" t="str">
        <f ca="1">IFERROR(__xludf.DUMMYFUNCTION("""COMPUTED_VALUE"""),"PariHot40")</f>
        <v>PariHot40</v>
      </c>
      <c r="E188" s="5" t="str">
        <f ca="1">IFERROR(__xludf.DUMMYFUNCTION("""COMPUTED_VALUE"""),"Yes")</f>
        <v>Yes</v>
      </c>
      <c r="F188" s="5" t="str">
        <f ca="1">IFERROR(__xludf.DUMMYFUNCTION("""COMPUTED_VALUE"""),"Yes")</f>
        <v>Yes</v>
      </c>
      <c r="G188" s="5" t="str">
        <f ca="1">IFERROR(__xludf.DUMMYFUNCTION("""COMPUTED_VALUE"""),"Yes")</f>
        <v>Yes</v>
      </c>
      <c r="H188" s="5" t="str">
        <f ca="1">IFERROR(__xludf.DUMMYFUNCTION("""COMPUTED_VALUE"""),"Yes")</f>
        <v>Yes</v>
      </c>
      <c r="I188" s="5" t="str">
        <f ca="1">IFERROR(__xludf.DUMMYFUNCTION("""COMPUTED_VALUE"""),"Yes")</f>
        <v>Yes</v>
      </c>
      <c r="J188" s="5" t="str">
        <f ca="1">IFERROR(__xludf.DUMMYFUNCTION("""COMPUTED_VALUE"""),"Yes")</f>
        <v>Yes</v>
      </c>
      <c r="K188" s="5" t="str">
        <f ca="1">IFERROR(__xludf.DUMMYFUNCTION("""COMPUTED_VALUE"""),"Yes")</f>
        <v>Yes</v>
      </c>
      <c r="L188" s="5" t="str">
        <f ca="1">IFERROR(__xludf.DUMMYFUNCTION("""COMPUTED_VALUE"""),"Yes")</f>
        <v>Yes</v>
      </c>
      <c r="M188" s="5" t="str">
        <f ca="1">IFERROR(__xludf.DUMMYFUNCTION("""COMPUTED_VALUE"""),"Yes")</f>
        <v>Yes</v>
      </c>
      <c r="N188" s="5" t="str">
        <f ca="1">IFERROR(__xludf.DUMMYFUNCTION("""COMPUTED_VALUE"""),"Yes")</f>
        <v>Yes</v>
      </c>
      <c r="O188" s="5" t="str">
        <f ca="1">IFERROR(__xludf.DUMMYFUNCTION("""COMPUTED_VALUE"""),"Yes")</f>
        <v>Yes</v>
      </c>
      <c r="P188" s="5" t="str">
        <f ca="1">IFERROR(__xludf.DUMMYFUNCTION("""COMPUTED_VALUE"""),"Yes")</f>
        <v>Yes</v>
      </c>
      <c r="Q188" s="5" t="str">
        <f ca="1">IFERROR(__xludf.DUMMYFUNCTION("""COMPUTED_VALUE"""),"Yes")</f>
        <v>Yes</v>
      </c>
      <c r="R188" s="5" t="str">
        <f ca="1">IFERROR(__xludf.DUMMYFUNCTION("""COMPUTED_VALUE"""),"Yes")</f>
        <v>Yes</v>
      </c>
      <c r="S188" s="5" t="str">
        <f ca="1">IFERROR(__xludf.DUMMYFUNCTION("""COMPUTED_VALUE"""),"Yes")</f>
        <v>Yes</v>
      </c>
      <c r="T188" s="5" t="str">
        <f ca="1">IFERROR(__xludf.DUMMYFUNCTION("""COMPUTED_VALUE"""),"Yes")</f>
        <v>Yes</v>
      </c>
      <c r="U188" s="5" t="str">
        <f ca="1">IFERROR(__xludf.DUMMYFUNCTION("""COMPUTED_VALUE"""),"Yes")</f>
        <v>Yes</v>
      </c>
      <c r="V188" s="5" t="str">
        <f ca="1">IFERROR(__xludf.DUMMYFUNCTION("""COMPUTED_VALUE"""),"Yes")</f>
        <v>Yes</v>
      </c>
      <c r="W188" s="5" t="str">
        <f ca="1">IFERROR(__xludf.DUMMYFUNCTION("""COMPUTED_VALUE"""),"Yes")</f>
        <v>Yes</v>
      </c>
      <c r="X188" s="5" t="str">
        <f ca="1">IFERROR(__xludf.DUMMYFUNCTION("""COMPUTED_VALUE"""),"Yes")</f>
        <v>Yes</v>
      </c>
      <c r="Y188" s="5" t="str">
        <f ca="1">IFERROR(__xludf.DUMMYFUNCTION("""COMPUTED_VALUE"""),"Yes")</f>
        <v>Yes</v>
      </c>
      <c r="Z188" s="5" t="str">
        <f ca="1">IFERROR(__xludf.DUMMYFUNCTION("""COMPUTED_VALUE"""),"No")</f>
        <v>No</v>
      </c>
      <c r="AA188" s="5" t="str">
        <f ca="1">IFERROR(__xludf.DUMMYFUNCTION("""COMPUTED_VALUE"""),"Yes")</f>
        <v>Yes</v>
      </c>
      <c r="AB188" s="5" t="str">
        <f ca="1">IFERROR(__xludf.DUMMYFUNCTION("""COMPUTED_VALUE"""),"Yes")</f>
        <v>Yes</v>
      </c>
      <c r="AC188" s="5" t="str">
        <f ca="1">IFERROR(__xludf.DUMMYFUNCTION("""COMPUTED_VALUE"""),"Yes")</f>
        <v>Yes</v>
      </c>
      <c r="AD188" s="5" t="str">
        <f ca="1">IFERROR(__xludf.DUMMYFUNCTION("""COMPUTED_VALUE"""),"Yes")</f>
        <v>Yes</v>
      </c>
      <c r="AE188" s="5" t="str">
        <f ca="1">IFERROR(__xludf.DUMMYFUNCTION("""COMPUTED_VALUE"""),"No")</f>
        <v>No</v>
      </c>
      <c r="AF188" s="5" t="str">
        <f ca="1">IFERROR(__xludf.DUMMYFUNCTION("""COMPUTED_VALUE"""),"Yes")</f>
        <v>Yes</v>
      </c>
      <c r="AG188" s="5" t="str">
        <f ca="1">IFERROR(__xludf.DUMMYFUNCTION("""COMPUTED_VALUE"""),"No")</f>
        <v>No</v>
      </c>
      <c r="AH188" s="5" t="str">
        <f ca="1">IFERROR(__xludf.DUMMYFUNCTION("""COMPUTED_VALUE"""),"No")</f>
        <v>No</v>
      </c>
      <c r="AI188" s="5" t="str">
        <f ca="1">IFERROR(__xludf.DUMMYFUNCTION("""COMPUTED_VALUE"""),"No")</f>
        <v>No</v>
      </c>
      <c r="AJ188" s="5" t="str">
        <f ca="1">IFERROR(__xludf.DUMMYFUNCTION("""COMPUTED_VALUE"""),"No")</f>
        <v>No</v>
      </c>
      <c r="AK188" s="5" t="str">
        <f ca="1">IFERROR(__xludf.DUMMYFUNCTION("""COMPUTED_VALUE"""),"No")</f>
        <v>No</v>
      </c>
      <c r="AL188" s="5" t="str">
        <f ca="1">IFERROR(__xludf.DUMMYFUNCTION("""COMPUTED_VALUE"""),"No")</f>
        <v>No</v>
      </c>
      <c r="AM188" s="5"/>
      <c r="AN188" s="5"/>
      <c r="AO188" s="5"/>
      <c r="AP188" s="5"/>
      <c r="AQ188" s="5"/>
      <c r="AR188" s="5"/>
      <c r="AS188" s="5"/>
      <c r="AT188" s="5"/>
      <c r="AU188" s="5"/>
      <c r="AV188" s="5"/>
      <c r="AW188" s="5"/>
      <c r="AX188" s="5"/>
      <c r="AY188" s="5"/>
    </row>
    <row r="189" spans="1:51" x14ac:dyDescent="0.25">
      <c r="A1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9" s="5">
        <f ca="1">IFERROR(__xludf.DUMMYFUNCTION("""COMPUTED_VALUE"""),189)</f>
        <v>189</v>
      </c>
      <c r="C189" s="5">
        <f ca="1">IFERROR(__xludf.DUMMYFUNCTION("""COMPUTED_VALUE"""),188)</f>
        <v>188</v>
      </c>
      <c r="D189" s="5" t="str">
        <f ca="1">IFERROR(__xludf.DUMMYFUNCTION("""COMPUTED_VALUE"""),"PowerOfTheGreat")</f>
        <v>PowerOfTheGreat</v>
      </c>
      <c r="E189" s="5" t="str">
        <f ca="1">IFERROR(__xludf.DUMMYFUNCTION("""COMPUTED_VALUE"""),"Yes")</f>
        <v>Yes</v>
      </c>
      <c r="F189" s="5" t="str">
        <f ca="1">IFERROR(__xludf.DUMMYFUNCTION("""COMPUTED_VALUE"""),"Yes")</f>
        <v>Yes</v>
      </c>
      <c r="G189" s="5" t="str">
        <f ca="1">IFERROR(__xludf.DUMMYFUNCTION("""COMPUTED_VALUE"""),"Yes")</f>
        <v>Yes</v>
      </c>
      <c r="H189" s="5" t="str">
        <f ca="1">IFERROR(__xludf.DUMMYFUNCTION("""COMPUTED_VALUE"""),"Yes")</f>
        <v>Yes</v>
      </c>
      <c r="I189" s="5" t="str">
        <f ca="1">IFERROR(__xludf.DUMMYFUNCTION("""COMPUTED_VALUE"""),"Yes")</f>
        <v>Yes</v>
      </c>
      <c r="J189" s="5" t="str">
        <f ca="1">IFERROR(__xludf.DUMMYFUNCTION("""COMPUTED_VALUE"""),"Yes")</f>
        <v>Yes</v>
      </c>
      <c r="K189" s="5" t="str">
        <f ca="1">IFERROR(__xludf.DUMMYFUNCTION("""COMPUTED_VALUE"""),"Yes")</f>
        <v>Yes</v>
      </c>
      <c r="L189" s="5" t="str">
        <f ca="1">IFERROR(__xludf.DUMMYFUNCTION("""COMPUTED_VALUE"""),"Yes")</f>
        <v>Yes</v>
      </c>
      <c r="M189" s="5" t="str">
        <f ca="1">IFERROR(__xludf.DUMMYFUNCTION("""COMPUTED_VALUE"""),"Yes")</f>
        <v>Yes</v>
      </c>
      <c r="N189" s="5" t="str">
        <f ca="1">IFERROR(__xludf.DUMMYFUNCTION("""COMPUTED_VALUE"""),"Yes")</f>
        <v>Yes</v>
      </c>
      <c r="O189" s="5" t="str">
        <f ca="1">IFERROR(__xludf.DUMMYFUNCTION("""COMPUTED_VALUE"""),"Yes")</f>
        <v>Yes</v>
      </c>
      <c r="P189" s="5" t="str">
        <f ca="1">IFERROR(__xludf.DUMMYFUNCTION("""COMPUTED_VALUE"""),"Yes")</f>
        <v>Yes</v>
      </c>
      <c r="Q189" s="5" t="str">
        <f ca="1">IFERROR(__xludf.DUMMYFUNCTION("""COMPUTED_VALUE"""),"Yes")</f>
        <v>Yes</v>
      </c>
      <c r="R189" s="5" t="str">
        <f ca="1">IFERROR(__xludf.DUMMYFUNCTION("""COMPUTED_VALUE"""),"Yes")</f>
        <v>Yes</v>
      </c>
      <c r="S189" s="5" t="str">
        <f ca="1">IFERROR(__xludf.DUMMYFUNCTION("""COMPUTED_VALUE"""),"Yes")</f>
        <v>Yes</v>
      </c>
      <c r="T189" s="5" t="str">
        <f ca="1">IFERROR(__xludf.DUMMYFUNCTION("""COMPUTED_VALUE"""),"Yes")</f>
        <v>Yes</v>
      </c>
      <c r="U189" s="5" t="str">
        <f ca="1">IFERROR(__xludf.DUMMYFUNCTION("""COMPUTED_VALUE"""),"Yes")</f>
        <v>Yes</v>
      </c>
      <c r="V189" s="5" t="str">
        <f ca="1">IFERROR(__xludf.DUMMYFUNCTION("""COMPUTED_VALUE"""),"Yes")</f>
        <v>Yes</v>
      </c>
      <c r="W189" s="5" t="str">
        <f ca="1">IFERROR(__xludf.DUMMYFUNCTION("""COMPUTED_VALUE"""),"Yes")</f>
        <v>Yes</v>
      </c>
      <c r="X189" s="5" t="str">
        <f ca="1">IFERROR(__xludf.DUMMYFUNCTION("""COMPUTED_VALUE"""),"Yes")</f>
        <v>Yes</v>
      </c>
      <c r="Y189" s="5" t="str">
        <f ca="1">IFERROR(__xludf.DUMMYFUNCTION("""COMPUTED_VALUE"""),"Yes")</f>
        <v>Yes</v>
      </c>
      <c r="Z189" s="5" t="str">
        <f ca="1">IFERROR(__xludf.DUMMYFUNCTION("""COMPUTED_VALUE"""),"No")</f>
        <v>No</v>
      </c>
      <c r="AA189" s="5" t="str">
        <f ca="1">IFERROR(__xludf.DUMMYFUNCTION("""COMPUTED_VALUE"""),"Yes")</f>
        <v>Yes</v>
      </c>
      <c r="AB189" s="5" t="str">
        <f ca="1">IFERROR(__xludf.DUMMYFUNCTION("""COMPUTED_VALUE"""),"Yes")</f>
        <v>Yes</v>
      </c>
      <c r="AC189" s="5" t="str">
        <f ca="1">IFERROR(__xludf.DUMMYFUNCTION("""COMPUTED_VALUE"""),"Yes")</f>
        <v>Yes</v>
      </c>
      <c r="AD189" s="5" t="str">
        <f ca="1">IFERROR(__xludf.DUMMYFUNCTION("""COMPUTED_VALUE"""),"Yes")</f>
        <v>Yes</v>
      </c>
      <c r="AE189" s="5" t="str">
        <f ca="1">IFERROR(__xludf.DUMMYFUNCTION("""COMPUTED_VALUE"""),"No")</f>
        <v>No</v>
      </c>
      <c r="AF189" s="5" t="str">
        <f ca="1">IFERROR(__xludf.DUMMYFUNCTION("""COMPUTED_VALUE"""),"Yes")</f>
        <v>Yes</v>
      </c>
      <c r="AG189" s="5" t="str">
        <f ca="1">IFERROR(__xludf.DUMMYFUNCTION("""COMPUTED_VALUE"""),"No")</f>
        <v>No</v>
      </c>
      <c r="AH189" s="5" t="str">
        <f ca="1">IFERROR(__xludf.DUMMYFUNCTION("""COMPUTED_VALUE"""),"No")</f>
        <v>No</v>
      </c>
      <c r="AI189" s="5" t="str">
        <f ca="1">IFERROR(__xludf.DUMMYFUNCTION("""COMPUTED_VALUE"""),"No")</f>
        <v>No</v>
      </c>
      <c r="AJ189" s="5" t="str">
        <f ca="1">IFERROR(__xludf.DUMMYFUNCTION("""COMPUTED_VALUE"""),"No")</f>
        <v>No</v>
      </c>
      <c r="AK189" s="5" t="str">
        <f ca="1">IFERROR(__xludf.DUMMYFUNCTION("""COMPUTED_VALUE"""),"No")</f>
        <v>No</v>
      </c>
      <c r="AL189" s="5" t="str">
        <f ca="1">IFERROR(__xludf.DUMMYFUNCTION("""COMPUTED_VALUE"""),"No")</f>
        <v>No</v>
      </c>
      <c r="AM189" s="5"/>
      <c r="AN189" s="5"/>
      <c r="AO189" s="5"/>
      <c r="AP189" s="5"/>
      <c r="AQ189" s="5"/>
      <c r="AR189" s="5"/>
      <c r="AS189" s="5"/>
      <c r="AT189" s="5"/>
      <c r="AU189" s="5"/>
      <c r="AV189" s="5"/>
      <c r="AW189" s="5"/>
      <c r="AX189" s="5"/>
      <c r="AY189" s="5"/>
    </row>
    <row r="190" spans="1:51" x14ac:dyDescent="0.25">
      <c r="A1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0" s="5">
        <f ca="1">IFERROR(__xludf.DUMMYFUNCTION("""COMPUTED_VALUE"""),190)</f>
        <v>190</v>
      </c>
      <c r="C190" s="5">
        <f ca="1">IFERROR(__xludf.DUMMYFUNCTION("""COMPUTED_VALUE"""),189)</f>
        <v>189</v>
      </c>
      <c r="D190" s="5" t="str">
        <f ca="1">IFERROR(__xludf.DUMMYFUNCTION("""COMPUTED_VALUE"""),"Unicorn40MegaFlames")</f>
        <v>Unicorn40MegaFlames</v>
      </c>
      <c r="E190" s="5" t="str">
        <f ca="1">IFERROR(__xludf.DUMMYFUNCTION("""COMPUTED_VALUE"""),"Yes")</f>
        <v>Yes</v>
      </c>
      <c r="F190" s="5" t="str">
        <f ca="1">IFERROR(__xludf.DUMMYFUNCTION("""COMPUTED_VALUE"""),"Yes")</f>
        <v>Yes</v>
      </c>
      <c r="G190" s="5" t="str">
        <f ca="1">IFERROR(__xludf.DUMMYFUNCTION("""COMPUTED_VALUE"""),"Yes")</f>
        <v>Yes</v>
      </c>
      <c r="H190" s="5" t="str">
        <f ca="1">IFERROR(__xludf.DUMMYFUNCTION("""COMPUTED_VALUE"""),"Yes")</f>
        <v>Yes</v>
      </c>
      <c r="I190" s="5" t="str">
        <f ca="1">IFERROR(__xludf.DUMMYFUNCTION("""COMPUTED_VALUE"""),"Yes")</f>
        <v>Yes</v>
      </c>
      <c r="J190" s="5" t="str">
        <f ca="1">IFERROR(__xludf.DUMMYFUNCTION("""COMPUTED_VALUE"""),"Yes")</f>
        <v>Yes</v>
      </c>
      <c r="K190" s="5" t="str">
        <f ca="1">IFERROR(__xludf.DUMMYFUNCTION("""COMPUTED_VALUE"""),"Yes")</f>
        <v>Yes</v>
      </c>
      <c r="L190" s="5" t="str">
        <f ca="1">IFERROR(__xludf.DUMMYFUNCTION("""COMPUTED_VALUE"""),"Yes")</f>
        <v>Yes</v>
      </c>
      <c r="M190" s="5" t="str">
        <f ca="1">IFERROR(__xludf.DUMMYFUNCTION("""COMPUTED_VALUE"""),"Yes")</f>
        <v>Yes</v>
      </c>
      <c r="N190" s="5" t="str">
        <f ca="1">IFERROR(__xludf.DUMMYFUNCTION("""COMPUTED_VALUE"""),"Yes")</f>
        <v>Yes</v>
      </c>
      <c r="O190" s="5" t="str">
        <f ca="1">IFERROR(__xludf.DUMMYFUNCTION("""COMPUTED_VALUE"""),"Yes")</f>
        <v>Yes</v>
      </c>
      <c r="P190" s="5" t="str">
        <f ca="1">IFERROR(__xludf.DUMMYFUNCTION("""COMPUTED_VALUE"""),"Yes")</f>
        <v>Yes</v>
      </c>
      <c r="Q190" s="5" t="str">
        <f ca="1">IFERROR(__xludf.DUMMYFUNCTION("""COMPUTED_VALUE"""),"Yes")</f>
        <v>Yes</v>
      </c>
      <c r="R190" s="5" t="str">
        <f ca="1">IFERROR(__xludf.DUMMYFUNCTION("""COMPUTED_VALUE"""),"Yes")</f>
        <v>Yes</v>
      </c>
      <c r="S190" s="5" t="str">
        <f ca="1">IFERROR(__xludf.DUMMYFUNCTION("""COMPUTED_VALUE"""),"Yes")</f>
        <v>Yes</v>
      </c>
      <c r="T190" s="5" t="str">
        <f ca="1">IFERROR(__xludf.DUMMYFUNCTION("""COMPUTED_VALUE"""),"Yes")</f>
        <v>Yes</v>
      </c>
      <c r="U190" s="5" t="str">
        <f ca="1">IFERROR(__xludf.DUMMYFUNCTION("""COMPUTED_VALUE"""),"Yes")</f>
        <v>Yes</v>
      </c>
      <c r="V190" s="5" t="str">
        <f ca="1">IFERROR(__xludf.DUMMYFUNCTION("""COMPUTED_VALUE"""),"Yes")</f>
        <v>Yes</v>
      </c>
      <c r="W190" s="5" t="str">
        <f ca="1">IFERROR(__xludf.DUMMYFUNCTION("""COMPUTED_VALUE"""),"Yes")</f>
        <v>Yes</v>
      </c>
      <c r="X190" s="5" t="str">
        <f ca="1">IFERROR(__xludf.DUMMYFUNCTION("""COMPUTED_VALUE"""),"Yes")</f>
        <v>Yes</v>
      </c>
      <c r="Y190" s="5" t="str">
        <f ca="1">IFERROR(__xludf.DUMMYFUNCTION("""COMPUTED_VALUE"""),"Yes")</f>
        <v>Yes</v>
      </c>
      <c r="Z190" s="5"/>
      <c r="AA190" s="5" t="str">
        <f ca="1">IFERROR(__xludf.DUMMYFUNCTION("""COMPUTED_VALUE"""),"Yes")</f>
        <v>Yes</v>
      </c>
      <c r="AB190" s="5" t="str">
        <f ca="1">IFERROR(__xludf.DUMMYFUNCTION("""COMPUTED_VALUE"""),"Yes")</f>
        <v>Yes</v>
      </c>
      <c r="AC190" s="5" t="str">
        <f ca="1">IFERROR(__xludf.DUMMYFUNCTION("""COMPUTED_VALUE"""),"Yes")</f>
        <v>Yes</v>
      </c>
      <c r="AD190" s="5" t="str">
        <f ca="1">IFERROR(__xludf.DUMMYFUNCTION("""COMPUTED_VALUE"""),"Yes")</f>
        <v>Yes</v>
      </c>
      <c r="AE190" s="5"/>
      <c r="AF190" s="5" t="str">
        <f ca="1">IFERROR(__xludf.DUMMYFUNCTION("""COMPUTED_VALUE"""),"Yes")</f>
        <v>Yes</v>
      </c>
      <c r="AG190" s="5"/>
      <c r="AH190" s="5"/>
      <c r="AI190" s="5"/>
      <c r="AJ190" s="5"/>
      <c r="AK190" s="5"/>
      <c r="AL190" s="5"/>
      <c r="AM190" s="5"/>
      <c r="AN190" s="5"/>
      <c r="AO190" s="5"/>
      <c r="AP190" s="5"/>
      <c r="AQ190" s="5"/>
      <c r="AR190" s="5"/>
      <c r="AS190" s="5"/>
      <c r="AT190" s="5"/>
      <c r="AU190" s="5"/>
      <c r="AV190" s="5"/>
      <c r="AW190" s="5"/>
      <c r="AX190" s="5"/>
      <c r="AY190" s="5"/>
    </row>
    <row r="191" spans="1:51" x14ac:dyDescent="0.25">
      <c r="A19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91" s="5">
        <f ca="1">IFERROR(__xludf.DUMMYFUNCTION("""COMPUTED_VALUE"""),191)</f>
        <v>191</v>
      </c>
      <c r="C191" s="5">
        <f ca="1">IFERROR(__xludf.DUMMYFUNCTION("""COMPUTED_VALUE"""),190)</f>
        <v>190</v>
      </c>
      <c r="D191" s="5" t="str">
        <f ca="1">IFERROR(__xludf.DUMMYFUNCTION("""COMPUTED_VALUE"""),"Unicorn40DiceFlames")</f>
        <v>Unicorn40DiceFlames</v>
      </c>
      <c r="E191" s="5" t="str">
        <f ca="1">IFERROR(__xludf.DUMMYFUNCTION("""COMPUTED_VALUE"""),"Yes")</f>
        <v>Yes</v>
      </c>
      <c r="F191" s="5" t="str">
        <f ca="1">IFERROR(__xludf.DUMMYFUNCTION("""COMPUTED_VALUE"""),"Yes")</f>
        <v>Yes</v>
      </c>
      <c r="G191" s="5" t="str">
        <f ca="1">IFERROR(__xludf.DUMMYFUNCTION("""COMPUTED_VALUE"""),"Yes")</f>
        <v>Yes</v>
      </c>
      <c r="H191" s="5" t="str">
        <f ca="1">IFERROR(__xludf.DUMMYFUNCTION("""COMPUTED_VALUE"""),"No")</f>
        <v>No</v>
      </c>
      <c r="I191" s="5" t="str">
        <f ca="1">IFERROR(__xludf.DUMMYFUNCTION("""COMPUTED_VALUE"""),"No")</f>
        <v>No</v>
      </c>
      <c r="J191" s="5" t="str">
        <f ca="1">IFERROR(__xludf.DUMMYFUNCTION("""COMPUTED_VALUE"""),"No")</f>
        <v>No</v>
      </c>
      <c r="K191" s="5" t="str">
        <f ca="1">IFERROR(__xludf.DUMMYFUNCTION("""COMPUTED_VALUE"""),"No")</f>
        <v>No</v>
      </c>
      <c r="L191" s="5" t="str">
        <f ca="1">IFERROR(__xludf.DUMMYFUNCTION("""COMPUTED_VALUE"""),"No")</f>
        <v>No</v>
      </c>
      <c r="M191" s="5" t="str">
        <f ca="1">IFERROR(__xludf.DUMMYFUNCTION("""COMPUTED_VALUE"""),"Yes")</f>
        <v>Yes</v>
      </c>
      <c r="N191" s="5" t="str">
        <f ca="1">IFERROR(__xludf.DUMMYFUNCTION("""COMPUTED_VALUE"""),"Yes")</f>
        <v>Yes</v>
      </c>
      <c r="O191" s="5" t="str">
        <f ca="1">IFERROR(__xludf.DUMMYFUNCTION("""COMPUTED_VALUE"""),"Yes")</f>
        <v>Yes</v>
      </c>
      <c r="P191" s="5" t="str">
        <f ca="1">IFERROR(__xludf.DUMMYFUNCTION("""COMPUTED_VALUE"""),"Yes")</f>
        <v>Yes</v>
      </c>
      <c r="Q191" s="5" t="str">
        <f ca="1">IFERROR(__xludf.DUMMYFUNCTION("""COMPUTED_VALUE"""),"Yes")</f>
        <v>Yes</v>
      </c>
      <c r="R191" s="5" t="str">
        <f ca="1">IFERROR(__xludf.DUMMYFUNCTION("""COMPUTED_VALUE"""),"No")</f>
        <v>No</v>
      </c>
      <c r="S191" s="5" t="str">
        <f ca="1">IFERROR(__xludf.DUMMYFUNCTION("""COMPUTED_VALUE"""),"Yes")</f>
        <v>Yes</v>
      </c>
      <c r="T191" s="5" t="str">
        <f ca="1">IFERROR(__xludf.DUMMYFUNCTION("""COMPUTED_VALUE"""),"No")</f>
        <v>No</v>
      </c>
      <c r="U191" s="5" t="str">
        <f ca="1">IFERROR(__xludf.DUMMYFUNCTION("""COMPUTED_VALUE"""),"No")</f>
        <v>No</v>
      </c>
      <c r="V191" s="5" t="str">
        <f ca="1">IFERROR(__xludf.DUMMYFUNCTION("""COMPUTED_VALUE"""),"No")</f>
        <v>No</v>
      </c>
      <c r="W191" s="5" t="str">
        <f ca="1">IFERROR(__xludf.DUMMYFUNCTION("""COMPUTED_VALUE"""),"No")</f>
        <v>No</v>
      </c>
      <c r="X191" s="5" t="str">
        <f ca="1">IFERROR(__xludf.DUMMYFUNCTION("""COMPUTED_VALUE"""),"No")</f>
        <v>No</v>
      </c>
      <c r="Y191" s="5"/>
      <c r="Z191" s="5"/>
      <c r="AA191" s="5"/>
      <c r="AB191" s="5"/>
      <c r="AC191" s="5" t="str">
        <f ca="1">IFERROR(__xludf.DUMMYFUNCTION("""COMPUTED_VALUE"""),"No")</f>
        <v>No</v>
      </c>
      <c r="AD191" s="5"/>
      <c r="AE191" s="5"/>
      <c r="AF191" s="5"/>
      <c r="AG191" s="5"/>
      <c r="AH191" s="5"/>
      <c r="AI191" s="5"/>
      <c r="AJ191" s="5"/>
      <c r="AK191" s="5"/>
      <c r="AL191" s="5"/>
      <c r="AM191" s="5"/>
      <c r="AN191" s="5"/>
      <c r="AO191" s="5"/>
      <c r="AP191" s="5"/>
      <c r="AQ191" s="5"/>
      <c r="AR191" s="5"/>
      <c r="AS191" s="5"/>
      <c r="AT191" s="5"/>
      <c r="AU191" s="5"/>
      <c r="AV191" s="5"/>
      <c r="AW191" s="5"/>
      <c r="AX191" s="5"/>
      <c r="AY191" s="5"/>
    </row>
    <row r="192" spans="1:51" x14ac:dyDescent="0.25">
      <c r="A19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92" s="5">
        <f ca="1">IFERROR(__xludf.DUMMYFUNCTION("""COMPUTED_VALUE"""),192)</f>
        <v>192</v>
      </c>
      <c r="C192" s="5">
        <f ca="1">IFERROR(__xludf.DUMMYFUNCTION("""COMPUTED_VALUE"""),191)</f>
        <v>191</v>
      </c>
      <c r="D192" s="5" t="str">
        <f ca="1">IFERROR(__xludf.DUMMYFUNCTION("""COMPUTED_VALUE"""),"HeatClassic5")</f>
        <v>HeatClassic5</v>
      </c>
      <c r="E192" s="5" t="str">
        <f ca="1">IFERROR(__xludf.DUMMYFUNCTION("""COMPUTED_VALUE"""),"Yes")</f>
        <v>Yes</v>
      </c>
      <c r="F192" s="5" t="str">
        <f ca="1">IFERROR(__xludf.DUMMYFUNCTION("""COMPUTED_VALUE"""),"Yes")</f>
        <v>Yes</v>
      </c>
      <c r="G192" s="5" t="str">
        <f ca="1">IFERROR(__xludf.DUMMYFUNCTION("""COMPUTED_VALUE"""),"Yes")</f>
        <v>Yes</v>
      </c>
      <c r="H192" s="5" t="str">
        <f ca="1">IFERROR(__xludf.DUMMYFUNCTION("""COMPUTED_VALUE"""),"No")</f>
        <v>No</v>
      </c>
      <c r="I192" s="5" t="str">
        <f ca="1">IFERROR(__xludf.DUMMYFUNCTION("""COMPUTED_VALUE"""),"No")</f>
        <v>No</v>
      </c>
      <c r="J192" s="5" t="str">
        <f ca="1">IFERROR(__xludf.DUMMYFUNCTION("""COMPUTED_VALUE"""),"No")</f>
        <v>No</v>
      </c>
      <c r="K192" s="5" t="str">
        <f ca="1">IFERROR(__xludf.DUMMYFUNCTION("""COMPUTED_VALUE"""),"No")</f>
        <v>No</v>
      </c>
      <c r="L192" s="5" t="str">
        <f ca="1">IFERROR(__xludf.DUMMYFUNCTION("""COMPUTED_VALUE"""),"No")</f>
        <v>No</v>
      </c>
      <c r="M192" s="5" t="str">
        <f ca="1">IFERROR(__xludf.DUMMYFUNCTION("""COMPUTED_VALUE"""),"Yes")</f>
        <v>Yes</v>
      </c>
      <c r="N192" s="5" t="str">
        <f ca="1">IFERROR(__xludf.DUMMYFUNCTION("""COMPUTED_VALUE"""),"Yes")</f>
        <v>Yes</v>
      </c>
      <c r="O192" s="5" t="str">
        <f ca="1">IFERROR(__xludf.DUMMYFUNCTION("""COMPUTED_VALUE"""),"Yes")</f>
        <v>Yes</v>
      </c>
      <c r="P192" s="5" t="str">
        <f ca="1">IFERROR(__xludf.DUMMYFUNCTION("""COMPUTED_VALUE"""),"Yes")</f>
        <v>Yes</v>
      </c>
      <c r="Q192" s="5" t="str">
        <f ca="1">IFERROR(__xludf.DUMMYFUNCTION("""COMPUTED_VALUE"""),"Yes")</f>
        <v>Yes</v>
      </c>
      <c r="R192" s="5" t="str">
        <f ca="1">IFERROR(__xludf.DUMMYFUNCTION("""COMPUTED_VALUE"""),"No")</f>
        <v>No</v>
      </c>
      <c r="S192" s="5" t="str">
        <f ca="1">IFERROR(__xludf.DUMMYFUNCTION("""COMPUTED_VALUE"""),"Yes")</f>
        <v>Yes</v>
      </c>
      <c r="T192" s="5" t="str">
        <f ca="1">IFERROR(__xludf.DUMMYFUNCTION("""COMPUTED_VALUE"""),"No")</f>
        <v>No</v>
      </c>
      <c r="U192" s="5" t="str">
        <f ca="1">IFERROR(__xludf.DUMMYFUNCTION("""COMPUTED_VALUE"""),"No")</f>
        <v>No</v>
      </c>
      <c r="V192" s="5" t="str">
        <f ca="1">IFERROR(__xludf.DUMMYFUNCTION("""COMPUTED_VALUE"""),"No")</f>
        <v>No</v>
      </c>
      <c r="W192" s="5" t="str">
        <f ca="1">IFERROR(__xludf.DUMMYFUNCTION("""COMPUTED_VALUE"""),"No")</f>
        <v>No</v>
      </c>
      <c r="X192" s="5" t="str">
        <f ca="1">IFERROR(__xludf.DUMMYFUNCTION("""COMPUTED_VALUE"""),"No")</f>
        <v>No</v>
      </c>
      <c r="Y192" s="5"/>
      <c r="Z192" s="5"/>
      <c r="AA192" s="5"/>
      <c r="AB192" s="5"/>
      <c r="AC192" s="5" t="str">
        <f ca="1">IFERROR(__xludf.DUMMYFUNCTION("""COMPUTED_VALUE"""),"No")</f>
        <v>No</v>
      </c>
      <c r="AD192" s="5"/>
      <c r="AE192" s="5"/>
      <c r="AF192" s="5"/>
      <c r="AG192" s="5"/>
      <c r="AH192" s="5"/>
      <c r="AI192" s="5"/>
      <c r="AJ192" s="5"/>
      <c r="AK192" s="5"/>
      <c r="AL192" s="5"/>
      <c r="AM192" s="5"/>
      <c r="AN192" s="5"/>
      <c r="AO192" s="5"/>
      <c r="AP192" s="5"/>
      <c r="AQ192" s="5"/>
      <c r="AR192" s="5"/>
      <c r="AS192" s="5"/>
      <c r="AT192" s="5"/>
      <c r="AU192" s="5"/>
      <c r="AV192" s="5"/>
      <c r="AW192" s="5"/>
      <c r="AX192" s="5"/>
      <c r="AY192" s="5"/>
    </row>
    <row r="193" spans="1:51" x14ac:dyDescent="0.25">
      <c r="A1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3" s="5">
        <f ca="1">IFERROR(__xludf.DUMMYFUNCTION("""COMPUTED_VALUE"""),193)</f>
        <v>193</v>
      </c>
      <c r="C193" s="5">
        <f ca="1">IFERROR(__xludf.DUMMYFUNCTION("""COMPUTED_VALUE"""),192)</f>
        <v>192</v>
      </c>
      <c r="D193" s="5" t="str">
        <f ca="1">IFERROR(__xludf.DUMMYFUNCTION("""COMPUTED_VALUE"""),"WildHot40Halloween")</f>
        <v>WildHot40Halloween</v>
      </c>
      <c r="E193" s="5" t="str">
        <f ca="1">IFERROR(__xludf.DUMMYFUNCTION("""COMPUTED_VALUE"""),"Yes")</f>
        <v>Yes</v>
      </c>
      <c r="F193" s="5" t="str">
        <f ca="1">IFERROR(__xludf.DUMMYFUNCTION("""COMPUTED_VALUE"""),"Yes")</f>
        <v>Yes</v>
      </c>
      <c r="G193" s="5" t="str">
        <f ca="1">IFERROR(__xludf.DUMMYFUNCTION("""COMPUTED_VALUE"""),"Yes")</f>
        <v>Yes</v>
      </c>
      <c r="H193" s="5" t="str">
        <f ca="1">IFERROR(__xludf.DUMMYFUNCTION("""COMPUTED_VALUE"""),"Yes")</f>
        <v>Yes</v>
      </c>
      <c r="I193" s="5" t="str">
        <f ca="1">IFERROR(__xludf.DUMMYFUNCTION("""COMPUTED_VALUE"""),"Yes")</f>
        <v>Yes</v>
      </c>
      <c r="J193" s="5" t="str">
        <f ca="1">IFERROR(__xludf.DUMMYFUNCTION("""COMPUTED_VALUE"""),"Yes")</f>
        <v>Yes</v>
      </c>
      <c r="K193" s="5" t="str">
        <f ca="1">IFERROR(__xludf.DUMMYFUNCTION("""COMPUTED_VALUE"""),"Yes")</f>
        <v>Yes</v>
      </c>
      <c r="L193" s="5" t="str">
        <f ca="1">IFERROR(__xludf.DUMMYFUNCTION("""COMPUTED_VALUE"""),"Yes")</f>
        <v>Yes</v>
      </c>
      <c r="M193" s="5" t="str">
        <f ca="1">IFERROR(__xludf.DUMMYFUNCTION("""COMPUTED_VALUE"""),"Yes")</f>
        <v>Yes</v>
      </c>
      <c r="N193" s="5" t="str">
        <f ca="1">IFERROR(__xludf.DUMMYFUNCTION("""COMPUTED_VALUE"""),"Yes")</f>
        <v>Yes</v>
      </c>
      <c r="O193" s="5" t="str">
        <f ca="1">IFERROR(__xludf.DUMMYFUNCTION("""COMPUTED_VALUE"""),"Yes")</f>
        <v>Yes</v>
      </c>
      <c r="P193" s="5" t="str">
        <f ca="1">IFERROR(__xludf.DUMMYFUNCTION("""COMPUTED_VALUE"""),"Yes")</f>
        <v>Yes</v>
      </c>
      <c r="Q193" s="5" t="str">
        <f ca="1">IFERROR(__xludf.DUMMYFUNCTION("""COMPUTED_VALUE"""),"Yes")</f>
        <v>Yes</v>
      </c>
      <c r="R193" s="5" t="str">
        <f ca="1">IFERROR(__xludf.DUMMYFUNCTION("""COMPUTED_VALUE"""),"Yes")</f>
        <v>Yes</v>
      </c>
      <c r="S193" s="5" t="str">
        <f ca="1">IFERROR(__xludf.DUMMYFUNCTION("""COMPUTED_VALUE"""),"Yes")</f>
        <v>Yes</v>
      </c>
      <c r="T193" s="5" t="str">
        <f ca="1">IFERROR(__xludf.DUMMYFUNCTION("""COMPUTED_VALUE"""),"Yes")</f>
        <v>Yes</v>
      </c>
      <c r="U193" s="5" t="str">
        <f ca="1">IFERROR(__xludf.DUMMYFUNCTION("""COMPUTED_VALUE"""),"Yes")</f>
        <v>Yes</v>
      </c>
      <c r="V193" s="5" t="str">
        <f ca="1">IFERROR(__xludf.DUMMYFUNCTION("""COMPUTED_VALUE"""),"Yes")</f>
        <v>Yes</v>
      </c>
      <c r="W193" s="5" t="str">
        <f ca="1">IFERROR(__xludf.DUMMYFUNCTION("""COMPUTED_VALUE"""),"Yes")</f>
        <v>Yes</v>
      </c>
      <c r="X193" s="5" t="str">
        <f ca="1">IFERROR(__xludf.DUMMYFUNCTION("""COMPUTED_VALUE"""),"Yes")</f>
        <v>Yes</v>
      </c>
      <c r="Y193" s="5" t="str">
        <f ca="1">IFERROR(__xludf.DUMMYFUNCTION("""COMPUTED_VALUE"""),"Yes")</f>
        <v>Yes</v>
      </c>
      <c r="Z193" s="5" t="str">
        <f ca="1">IFERROR(__xludf.DUMMYFUNCTION("""COMPUTED_VALUE"""),"No")</f>
        <v>No</v>
      </c>
      <c r="AA193" s="5" t="str">
        <f ca="1">IFERROR(__xludf.DUMMYFUNCTION("""COMPUTED_VALUE"""),"Yes")</f>
        <v>Yes</v>
      </c>
      <c r="AB193" s="5" t="str">
        <f ca="1">IFERROR(__xludf.DUMMYFUNCTION("""COMPUTED_VALUE"""),"Yes")</f>
        <v>Yes</v>
      </c>
      <c r="AC193" s="5" t="str">
        <f ca="1">IFERROR(__xludf.DUMMYFUNCTION("""COMPUTED_VALUE"""),"Yes")</f>
        <v>Yes</v>
      </c>
      <c r="AD193" s="5" t="str">
        <f ca="1">IFERROR(__xludf.DUMMYFUNCTION("""COMPUTED_VALUE"""),"Yes")</f>
        <v>Yes</v>
      </c>
      <c r="AE193" s="5" t="str">
        <f ca="1">IFERROR(__xludf.DUMMYFUNCTION("""COMPUTED_VALUE"""),"No")</f>
        <v>No</v>
      </c>
      <c r="AF193" s="5" t="str">
        <f ca="1">IFERROR(__xludf.DUMMYFUNCTION("""COMPUTED_VALUE"""),"Yes")</f>
        <v>Yes</v>
      </c>
      <c r="AG193" s="5" t="str">
        <f ca="1">IFERROR(__xludf.DUMMYFUNCTION("""COMPUTED_VALUE"""),"No")</f>
        <v>No</v>
      </c>
      <c r="AH193" s="5" t="str">
        <f ca="1">IFERROR(__xludf.DUMMYFUNCTION("""COMPUTED_VALUE"""),"No")</f>
        <v>No</v>
      </c>
      <c r="AI193" s="5" t="str">
        <f ca="1">IFERROR(__xludf.DUMMYFUNCTION("""COMPUTED_VALUE"""),"No")</f>
        <v>No</v>
      </c>
      <c r="AJ193" s="5" t="str">
        <f ca="1">IFERROR(__xludf.DUMMYFUNCTION("""COMPUTED_VALUE"""),"No")</f>
        <v>No</v>
      </c>
      <c r="AK193" s="5" t="str">
        <f ca="1">IFERROR(__xludf.DUMMYFUNCTION("""COMPUTED_VALUE"""),"No")</f>
        <v>No</v>
      </c>
      <c r="AL193" s="5" t="str">
        <f ca="1">IFERROR(__xludf.DUMMYFUNCTION("""COMPUTED_VALUE"""),"No")</f>
        <v>No</v>
      </c>
      <c r="AM193" s="5"/>
      <c r="AN193" s="5"/>
      <c r="AO193" s="5"/>
      <c r="AP193" s="5"/>
      <c r="AQ193" s="5"/>
      <c r="AR193" s="5"/>
      <c r="AS193" s="5"/>
      <c r="AT193" s="5"/>
      <c r="AU193" s="5"/>
      <c r="AV193" s="5"/>
      <c r="AW193" s="5"/>
      <c r="AX193" s="5"/>
      <c r="AY193" s="5"/>
    </row>
    <row r="194" spans="1:51" x14ac:dyDescent="0.25">
      <c r="A1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4" s="5">
        <f ca="1">IFERROR(__xludf.DUMMYFUNCTION("""COMPUTED_VALUE"""),194)</f>
        <v>194</v>
      </c>
      <c r="C194" s="5">
        <f ca="1">IFERROR(__xludf.DUMMYFUNCTION("""COMPUTED_VALUE"""),193)</f>
        <v>193</v>
      </c>
      <c r="D194" s="5" t="str">
        <f ca="1">IFERROR(__xludf.DUMMYFUNCTION("""COMPUTED_VALUE"""),"CrystalHot40Halloween")</f>
        <v>CrystalHot40Halloween</v>
      </c>
      <c r="E194" s="5" t="str">
        <f ca="1">IFERROR(__xludf.DUMMYFUNCTION("""COMPUTED_VALUE"""),"Yes")</f>
        <v>Yes</v>
      </c>
      <c r="F194" s="5" t="str">
        <f ca="1">IFERROR(__xludf.DUMMYFUNCTION("""COMPUTED_VALUE"""),"Yes")</f>
        <v>Yes</v>
      </c>
      <c r="G194" s="5" t="str">
        <f ca="1">IFERROR(__xludf.DUMMYFUNCTION("""COMPUTED_VALUE"""),"Yes")</f>
        <v>Yes</v>
      </c>
      <c r="H194" s="5" t="str">
        <f ca="1">IFERROR(__xludf.DUMMYFUNCTION("""COMPUTED_VALUE"""),"Yes")</f>
        <v>Yes</v>
      </c>
      <c r="I194" s="5" t="str">
        <f ca="1">IFERROR(__xludf.DUMMYFUNCTION("""COMPUTED_VALUE"""),"Yes")</f>
        <v>Yes</v>
      </c>
      <c r="J194" s="5" t="str">
        <f ca="1">IFERROR(__xludf.DUMMYFUNCTION("""COMPUTED_VALUE"""),"Yes")</f>
        <v>Yes</v>
      </c>
      <c r="K194" s="5" t="str">
        <f ca="1">IFERROR(__xludf.DUMMYFUNCTION("""COMPUTED_VALUE"""),"Yes")</f>
        <v>Yes</v>
      </c>
      <c r="L194" s="5" t="str">
        <f ca="1">IFERROR(__xludf.DUMMYFUNCTION("""COMPUTED_VALUE"""),"Yes")</f>
        <v>Yes</v>
      </c>
      <c r="M194" s="5" t="str">
        <f ca="1">IFERROR(__xludf.DUMMYFUNCTION("""COMPUTED_VALUE"""),"Yes")</f>
        <v>Yes</v>
      </c>
      <c r="N194" s="5" t="str">
        <f ca="1">IFERROR(__xludf.DUMMYFUNCTION("""COMPUTED_VALUE"""),"Yes")</f>
        <v>Yes</v>
      </c>
      <c r="O194" s="5" t="str">
        <f ca="1">IFERROR(__xludf.DUMMYFUNCTION("""COMPUTED_VALUE"""),"Yes")</f>
        <v>Yes</v>
      </c>
      <c r="P194" s="5" t="str">
        <f ca="1">IFERROR(__xludf.DUMMYFUNCTION("""COMPUTED_VALUE"""),"Yes")</f>
        <v>Yes</v>
      </c>
      <c r="Q194" s="5" t="str">
        <f ca="1">IFERROR(__xludf.DUMMYFUNCTION("""COMPUTED_VALUE"""),"Yes")</f>
        <v>Yes</v>
      </c>
      <c r="R194" s="5" t="str">
        <f ca="1">IFERROR(__xludf.DUMMYFUNCTION("""COMPUTED_VALUE"""),"Yes")</f>
        <v>Yes</v>
      </c>
      <c r="S194" s="5" t="str">
        <f ca="1">IFERROR(__xludf.DUMMYFUNCTION("""COMPUTED_VALUE"""),"Yes")</f>
        <v>Yes</v>
      </c>
      <c r="T194" s="5" t="str">
        <f ca="1">IFERROR(__xludf.DUMMYFUNCTION("""COMPUTED_VALUE"""),"Yes")</f>
        <v>Yes</v>
      </c>
      <c r="U194" s="5" t="str">
        <f ca="1">IFERROR(__xludf.DUMMYFUNCTION("""COMPUTED_VALUE"""),"Yes")</f>
        <v>Yes</v>
      </c>
      <c r="V194" s="5" t="str">
        <f ca="1">IFERROR(__xludf.DUMMYFUNCTION("""COMPUTED_VALUE"""),"Yes")</f>
        <v>Yes</v>
      </c>
      <c r="W194" s="5" t="str">
        <f ca="1">IFERROR(__xludf.DUMMYFUNCTION("""COMPUTED_VALUE"""),"Yes")</f>
        <v>Yes</v>
      </c>
      <c r="X194" s="5" t="str">
        <f ca="1">IFERROR(__xludf.DUMMYFUNCTION("""COMPUTED_VALUE"""),"Yes")</f>
        <v>Yes</v>
      </c>
      <c r="Y194" s="5" t="str">
        <f ca="1">IFERROR(__xludf.DUMMYFUNCTION("""COMPUTED_VALUE"""),"Yes")</f>
        <v>Yes</v>
      </c>
      <c r="Z194" s="5" t="str">
        <f ca="1">IFERROR(__xludf.DUMMYFUNCTION("""COMPUTED_VALUE"""),"No")</f>
        <v>No</v>
      </c>
      <c r="AA194" s="5" t="str">
        <f ca="1">IFERROR(__xludf.DUMMYFUNCTION("""COMPUTED_VALUE"""),"Yes")</f>
        <v>Yes</v>
      </c>
      <c r="AB194" s="5" t="str">
        <f ca="1">IFERROR(__xludf.DUMMYFUNCTION("""COMPUTED_VALUE"""),"Yes")</f>
        <v>Yes</v>
      </c>
      <c r="AC194" s="5" t="str">
        <f ca="1">IFERROR(__xludf.DUMMYFUNCTION("""COMPUTED_VALUE"""),"Yes")</f>
        <v>Yes</v>
      </c>
      <c r="AD194" s="5" t="str">
        <f ca="1">IFERROR(__xludf.DUMMYFUNCTION("""COMPUTED_VALUE"""),"Yes")</f>
        <v>Yes</v>
      </c>
      <c r="AE194" s="5" t="str">
        <f ca="1">IFERROR(__xludf.DUMMYFUNCTION("""COMPUTED_VALUE"""),"No")</f>
        <v>No</v>
      </c>
      <c r="AF194" s="5" t="str">
        <f ca="1">IFERROR(__xludf.DUMMYFUNCTION("""COMPUTED_VALUE"""),"Yes")</f>
        <v>Yes</v>
      </c>
      <c r="AG194" s="5" t="str">
        <f ca="1">IFERROR(__xludf.DUMMYFUNCTION("""COMPUTED_VALUE"""),"No")</f>
        <v>No</v>
      </c>
      <c r="AH194" s="5" t="str">
        <f ca="1">IFERROR(__xludf.DUMMYFUNCTION("""COMPUTED_VALUE"""),"No")</f>
        <v>No</v>
      </c>
      <c r="AI194" s="5" t="str">
        <f ca="1">IFERROR(__xludf.DUMMYFUNCTION("""COMPUTED_VALUE"""),"No")</f>
        <v>No</v>
      </c>
      <c r="AJ194" s="5" t="str">
        <f ca="1">IFERROR(__xludf.DUMMYFUNCTION("""COMPUTED_VALUE"""),"No")</f>
        <v>No</v>
      </c>
      <c r="AK194" s="5" t="str">
        <f ca="1">IFERROR(__xludf.DUMMYFUNCTION("""COMPUTED_VALUE"""),"No")</f>
        <v>No</v>
      </c>
      <c r="AL194" s="5" t="str">
        <f ca="1">IFERROR(__xludf.DUMMYFUNCTION("""COMPUTED_VALUE"""),"No")</f>
        <v>No</v>
      </c>
      <c r="AM194" s="5"/>
      <c r="AN194" s="5"/>
      <c r="AO194" s="5"/>
      <c r="AP194" s="5"/>
      <c r="AQ194" s="5"/>
      <c r="AR194" s="5"/>
      <c r="AS194" s="5"/>
      <c r="AT194" s="5"/>
      <c r="AU194" s="5"/>
      <c r="AV194" s="5"/>
      <c r="AW194" s="5"/>
      <c r="AX194" s="5"/>
      <c r="AY194" s="5"/>
    </row>
    <row r="195" spans="1:51" x14ac:dyDescent="0.25">
      <c r="A1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5" s="5">
        <f ca="1">IFERROR(__xludf.DUMMYFUNCTION("""COMPUTED_VALUE"""),195)</f>
        <v>195</v>
      </c>
      <c r="C195" s="5">
        <f ca="1">IFERROR(__xludf.DUMMYFUNCTION("""COMPUTED_VALUE"""),194)</f>
        <v>194</v>
      </c>
      <c r="D195" s="5" t="str">
        <f ca="1">IFERROR(__xludf.DUMMYFUNCTION("""COMPUTED_VALUE"""),"VeryHot40Dice")</f>
        <v>VeryHot40Dice</v>
      </c>
      <c r="E195" s="5" t="str">
        <f ca="1">IFERROR(__xludf.DUMMYFUNCTION("""COMPUTED_VALUE"""),"Yes")</f>
        <v>Yes</v>
      </c>
      <c r="F195" s="5" t="str">
        <f ca="1">IFERROR(__xludf.DUMMYFUNCTION("""COMPUTED_VALUE"""),"Yes")</f>
        <v>Yes</v>
      </c>
      <c r="G195" s="5" t="str">
        <f ca="1">IFERROR(__xludf.DUMMYFUNCTION("""COMPUTED_VALUE"""),"Yes")</f>
        <v>Yes</v>
      </c>
      <c r="H195" s="5" t="str">
        <f ca="1">IFERROR(__xludf.DUMMYFUNCTION("""COMPUTED_VALUE"""),"Yes")</f>
        <v>Yes</v>
      </c>
      <c r="I195" s="5" t="str">
        <f ca="1">IFERROR(__xludf.DUMMYFUNCTION("""COMPUTED_VALUE"""),"Yes")</f>
        <v>Yes</v>
      </c>
      <c r="J195" s="5" t="str">
        <f ca="1">IFERROR(__xludf.DUMMYFUNCTION("""COMPUTED_VALUE"""),"Yes")</f>
        <v>Yes</v>
      </c>
      <c r="K195" s="5" t="str">
        <f ca="1">IFERROR(__xludf.DUMMYFUNCTION("""COMPUTED_VALUE"""),"Yes")</f>
        <v>Yes</v>
      </c>
      <c r="L195" s="5" t="str">
        <f ca="1">IFERROR(__xludf.DUMMYFUNCTION("""COMPUTED_VALUE"""),"Yes")</f>
        <v>Yes</v>
      </c>
      <c r="M195" s="5" t="str">
        <f ca="1">IFERROR(__xludf.DUMMYFUNCTION("""COMPUTED_VALUE"""),"Yes")</f>
        <v>Yes</v>
      </c>
      <c r="N195" s="5" t="str">
        <f ca="1">IFERROR(__xludf.DUMMYFUNCTION("""COMPUTED_VALUE"""),"Yes")</f>
        <v>Yes</v>
      </c>
      <c r="O195" s="5" t="str">
        <f ca="1">IFERROR(__xludf.DUMMYFUNCTION("""COMPUTED_VALUE"""),"Yes")</f>
        <v>Yes</v>
      </c>
      <c r="P195" s="5" t="str">
        <f ca="1">IFERROR(__xludf.DUMMYFUNCTION("""COMPUTED_VALUE"""),"Yes")</f>
        <v>Yes</v>
      </c>
      <c r="Q195" s="5" t="str">
        <f ca="1">IFERROR(__xludf.DUMMYFUNCTION("""COMPUTED_VALUE"""),"Yes")</f>
        <v>Yes</v>
      </c>
      <c r="R195" s="5" t="str">
        <f ca="1">IFERROR(__xludf.DUMMYFUNCTION("""COMPUTED_VALUE"""),"Yes")</f>
        <v>Yes</v>
      </c>
      <c r="S195" s="5" t="str">
        <f ca="1">IFERROR(__xludf.DUMMYFUNCTION("""COMPUTED_VALUE"""),"Yes")</f>
        <v>Yes</v>
      </c>
      <c r="T195" s="5" t="str">
        <f ca="1">IFERROR(__xludf.DUMMYFUNCTION("""COMPUTED_VALUE"""),"Yes")</f>
        <v>Yes</v>
      </c>
      <c r="U195" s="5" t="str">
        <f ca="1">IFERROR(__xludf.DUMMYFUNCTION("""COMPUTED_VALUE"""),"Yes")</f>
        <v>Yes</v>
      </c>
      <c r="V195" s="5" t="str">
        <f ca="1">IFERROR(__xludf.DUMMYFUNCTION("""COMPUTED_VALUE"""),"Yes")</f>
        <v>Yes</v>
      </c>
      <c r="W195" s="5" t="str">
        <f ca="1">IFERROR(__xludf.DUMMYFUNCTION("""COMPUTED_VALUE"""),"Yes")</f>
        <v>Yes</v>
      </c>
      <c r="X195" s="5" t="str">
        <f ca="1">IFERROR(__xludf.DUMMYFUNCTION("""COMPUTED_VALUE"""),"Yes")</f>
        <v>Yes</v>
      </c>
      <c r="Y195" s="5" t="str">
        <f ca="1">IFERROR(__xludf.DUMMYFUNCTION("""COMPUTED_VALUE"""),"Yes")</f>
        <v>Yes</v>
      </c>
      <c r="Z195" s="5" t="str">
        <f ca="1">IFERROR(__xludf.DUMMYFUNCTION("""COMPUTED_VALUE"""),"No")</f>
        <v>No</v>
      </c>
      <c r="AA195" s="5" t="str">
        <f ca="1">IFERROR(__xludf.DUMMYFUNCTION("""COMPUTED_VALUE"""),"Yes")</f>
        <v>Yes</v>
      </c>
      <c r="AB195" s="5" t="str">
        <f ca="1">IFERROR(__xludf.DUMMYFUNCTION("""COMPUTED_VALUE"""),"Yes")</f>
        <v>Yes</v>
      </c>
      <c r="AC195" s="5" t="str">
        <f ca="1">IFERROR(__xludf.DUMMYFUNCTION("""COMPUTED_VALUE"""),"Yes")</f>
        <v>Yes</v>
      </c>
      <c r="AD195" s="5" t="str">
        <f ca="1">IFERROR(__xludf.DUMMYFUNCTION("""COMPUTED_VALUE"""),"Yes")</f>
        <v>Yes</v>
      </c>
      <c r="AE195" s="5" t="str">
        <f ca="1">IFERROR(__xludf.DUMMYFUNCTION("""COMPUTED_VALUE"""),"No")</f>
        <v>No</v>
      </c>
      <c r="AF195" s="5" t="str">
        <f ca="1">IFERROR(__xludf.DUMMYFUNCTION("""COMPUTED_VALUE"""),"Yes")</f>
        <v>Yes</v>
      </c>
      <c r="AG195" s="5" t="str">
        <f ca="1">IFERROR(__xludf.DUMMYFUNCTION("""COMPUTED_VALUE"""),"No")</f>
        <v>No</v>
      </c>
      <c r="AH195" s="5" t="str">
        <f ca="1">IFERROR(__xludf.DUMMYFUNCTION("""COMPUTED_VALUE"""),"No")</f>
        <v>No</v>
      </c>
      <c r="AI195" s="5" t="str">
        <f ca="1">IFERROR(__xludf.DUMMYFUNCTION("""COMPUTED_VALUE"""),"No")</f>
        <v>No</v>
      </c>
      <c r="AJ195" s="5" t="str">
        <f ca="1">IFERROR(__xludf.DUMMYFUNCTION("""COMPUTED_VALUE"""),"No")</f>
        <v>No</v>
      </c>
      <c r="AK195" s="5" t="str">
        <f ca="1">IFERROR(__xludf.DUMMYFUNCTION("""COMPUTED_VALUE"""),"No")</f>
        <v>No</v>
      </c>
      <c r="AL195" s="5" t="str">
        <f ca="1">IFERROR(__xludf.DUMMYFUNCTION("""COMPUTED_VALUE"""),"No")</f>
        <v>No</v>
      </c>
      <c r="AM195" s="5"/>
      <c r="AN195" s="5"/>
      <c r="AO195" s="5"/>
      <c r="AP195" s="5"/>
      <c r="AQ195" s="5"/>
      <c r="AR195" s="5"/>
      <c r="AS195" s="5"/>
      <c r="AT195" s="5"/>
      <c r="AU195" s="5"/>
      <c r="AV195" s="5"/>
      <c r="AW195" s="5"/>
      <c r="AX195" s="5"/>
      <c r="AY195" s="5"/>
    </row>
    <row r="196" spans="1:51" x14ac:dyDescent="0.25">
      <c r="A1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6" s="5">
        <f ca="1">IFERROR(__xludf.DUMMYFUNCTION("""COMPUTED_VALUE"""),196)</f>
        <v>196</v>
      </c>
      <c r="C196" s="5">
        <f ca="1">IFERROR(__xludf.DUMMYFUNCTION("""COMPUTED_VALUE"""),195)</f>
        <v>195</v>
      </c>
      <c r="D196" s="5" t="str">
        <f ca="1">IFERROR(__xludf.DUMMYFUNCTION("""COMPUTED_VALUE"""),"WildLuckyClover")</f>
        <v>WildLuckyClover</v>
      </c>
      <c r="E196" s="5" t="str">
        <f ca="1">IFERROR(__xludf.DUMMYFUNCTION("""COMPUTED_VALUE"""),"Yes")</f>
        <v>Yes</v>
      </c>
      <c r="F196" s="5" t="str">
        <f ca="1">IFERROR(__xludf.DUMMYFUNCTION("""COMPUTED_VALUE"""),"Yes")</f>
        <v>Yes</v>
      </c>
      <c r="G196" s="5" t="str">
        <f ca="1">IFERROR(__xludf.DUMMYFUNCTION("""COMPUTED_VALUE"""),"Yes")</f>
        <v>Yes</v>
      </c>
      <c r="H196" s="5" t="str">
        <f ca="1">IFERROR(__xludf.DUMMYFUNCTION("""COMPUTED_VALUE"""),"Yes")</f>
        <v>Yes</v>
      </c>
      <c r="I196" s="5" t="str">
        <f ca="1">IFERROR(__xludf.DUMMYFUNCTION("""COMPUTED_VALUE"""),"Yes")</f>
        <v>Yes</v>
      </c>
      <c r="J196" s="5" t="str">
        <f ca="1">IFERROR(__xludf.DUMMYFUNCTION("""COMPUTED_VALUE"""),"Yes")</f>
        <v>Yes</v>
      </c>
      <c r="K196" s="5" t="str">
        <f ca="1">IFERROR(__xludf.DUMMYFUNCTION("""COMPUTED_VALUE"""),"Yes")</f>
        <v>Yes</v>
      </c>
      <c r="L196" s="5" t="str">
        <f ca="1">IFERROR(__xludf.DUMMYFUNCTION("""COMPUTED_VALUE"""),"Yes")</f>
        <v>Yes</v>
      </c>
      <c r="M196" s="5" t="str">
        <f ca="1">IFERROR(__xludf.DUMMYFUNCTION("""COMPUTED_VALUE"""),"Yes")</f>
        <v>Yes</v>
      </c>
      <c r="N196" s="5" t="str">
        <f ca="1">IFERROR(__xludf.DUMMYFUNCTION("""COMPUTED_VALUE"""),"Yes")</f>
        <v>Yes</v>
      </c>
      <c r="O196" s="5" t="str">
        <f ca="1">IFERROR(__xludf.DUMMYFUNCTION("""COMPUTED_VALUE"""),"Yes")</f>
        <v>Yes</v>
      </c>
      <c r="P196" s="5" t="str">
        <f ca="1">IFERROR(__xludf.DUMMYFUNCTION("""COMPUTED_VALUE"""),"Yes")</f>
        <v>Yes</v>
      </c>
      <c r="Q196" s="5" t="str">
        <f ca="1">IFERROR(__xludf.DUMMYFUNCTION("""COMPUTED_VALUE"""),"Yes")</f>
        <v>Yes</v>
      </c>
      <c r="R196" s="5" t="str">
        <f ca="1">IFERROR(__xludf.DUMMYFUNCTION("""COMPUTED_VALUE"""),"Yes")</f>
        <v>Yes</v>
      </c>
      <c r="S196" s="5" t="str">
        <f ca="1">IFERROR(__xludf.DUMMYFUNCTION("""COMPUTED_VALUE"""),"Yes")</f>
        <v>Yes</v>
      </c>
      <c r="T196" s="5" t="str">
        <f ca="1">IFERROR(__xludf.DUMMYFUNCTION("""COMPUTED_VALUE"""),"Yes")</f>
        <v>Yes</v>
      </c>
      <c r="U196" s="5" t="str">
        <f ca="1">IFERROR(__xludf.DUMMYFUNCTION("""COMPUTED_VALUE"""),"Yes")</f>
        <v>Yes</v>
      </c>
      <c r="V196" s="5" t="str">
        <f ca="1">IFERROR(__xludf.DUMMYFUNCTION("""COMPUTED_VALUE"""),"Yes")</f>
        <v>Yes</v>
      </c>
      <c r="W196" s="5" t="str">
        <f ca="1">IFERROR(__xludf.DUMMYFUNCTION("""COMPUTED_VALUE"""),"Yes")</f>
        <v>Yes</v>
      </c>
      <c r="X196" s="5" t="str">
        <f ca="1">IFERROR(__xludf.DUMMYFUNCTION("""COMPUTED_VALUE"""),"Yes")</f>
        <v>Yes</v>
      </c>
      <c r="Y196" s="5" t="str">
        <f ca="1">IFERROR(__xludf.DUMMYFUNCTION("""COMPUTED_VALUE"""),"Yes")</f>
        <v>Yes</v>
      </c>
      <c r="Z196" s="5" t="str">
        <f ca="1">IFERROR(__xludf.DUMMYFUNCTION("""COMPUTED_VALUE"""),"No")</f>
        <v>No</v>
      </c>
      <c r="AA196" s="5" t="str">
        <f ca="1">IFERROR(__xludf.DUMMYFUNCTION("""COMPUTED_VALUE"""),"Yes")</f>
        <v>Yes</v>
      </c>
      <c r="AB196" s="5" t="str">
        <f ca="1">IFERROR(__xludf.DUMMYFUNCTION("""COMPUTED_VALUE"""),"Yes")</f>
        <v>Yes</v>
      </c>
      <c r="AC196" s="5" t="str">
        <f ca="1">IFERROR(__xludf.DUMMYFUNCTION("""COMPUTED_VALUE"""),"Yes")</f>
        <v>Yes</v>
      </c>
      <c r="AD196" s="5" t="str">
        <f ca="1">IFERROR(__xludf.DUMMYFUNCTION("""COMPUTED_VALUE"""),"Yes")</f>
        <v>Yes</v>
      </c>
      <c r="AE196" s="5" t="str">
        <f ca="1">IFERROR(__xludf.DUMMYFUNCTION("""COMPUTED_VALUE"""),"No")</f>
        <v>No</v>
      </c>
      <c r="AF196" s="5" t="str">
        <f ca="1">IFERROR(__xludf.DUMMYFUNCTION("""COMPUTED_VALUE"""),"Yes")</f>
        <v>Yes</v>
      </c>
      <c r="AG196" s="5" t="str">
        <f ca="1">IFERROR(__xludf.DUMMYFUNCTION("""COMPUTED_VALUE"""),"No")</f>
        <v>No</v>
      </c>
      <c r="AH196" s="5" t="str">
        <f ca="1">IFERROR(__xludf.DUMMYFUNCTION("""COMPUTED_VALUE"""),"No")</f>
        <v>No</v>
      </c>
      <c r="AI196" s="5" t="str">
        <f ca="1">IFERROR(__xludf.DUMMYFUNCTION("""COMPUTED_VALUE"""),"No")</f>
        <v>No</v>
      </c>
      <c r="AJ196" s="5" t="str">
        <f ca="1">IFERROR(__xludf.DUMMYFUNCTION("""COMPUTED_VALUE"""),"No")</f>
        <v>No</v>
      </c>
      <c r="AK196" s="5" t="str">
        <f ca="1">IFERROR(__xludf.DUMMYFUNCTION("""COMPUTED_VALUE"""),"No")</f>
        <v>No</v>
      </c>
      <c r="AL196" s="5" t="str">
        <f ca="1">IFERROR(__xludf.DUMMYFUNCTION("""COMPUTED_VALUE"""),"No")</f>
        <v>No</v>
      </c>
      <c r="AM196" s="5"/>
      <c r="AN196" s="5"/>
      <c r="AO196" s="5"/>
      <c r="AP196" s="5"/>
      <c r="AQ196" s="5"/>
      <c r="AR196" s="5"/>
      <c r="AS196" s="5"/>
      <c r="AT196" s="5"/>
      <c r="AU196" s="5"/>
      <c r="AV196" s="5"/>
      <c r="AW196" s="5"/>
      <c r="AX196" s="5"/>
      <c r="AY196" s="5"/>
    </row>
    <row r="197" spans="1:51" x14ac:dyDescent="0.25">
      <c r="A1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97" s="5">
        <f ca="1">IFERROR(__xludf.DUMMYFUNCTION("""COMPUTED_VALUE"""),197)</f>
        <v>197</v>
      </c>
      <c r="C197" s="5">
        <f ca="1">IFERROR(__xludf.DUMMYFUNCTION("""COMPUTED_VALUE"""),196)</f>
        <v>196</v>
      </c>
      <c r="D197" s="5" t="str">
        <f ca="1">IFERROR(__xludf.DUMMYFUNCTION("""COMPUTED_VALUE"""),"FruitsAndStars20Deluxe")</f>
        <v>FruitsAndStars20Deluxe</v>
      </c>
      <c r="E197" s="5" t="str">
        <f ca="1">IFERROR(__xludf.DUMMYFUNCTION("""COMPUTED_VALUE"""),"Yes")</f>
        <v>Yes</v>
      </c>
      <c r="F197" s="5" t="str">
        <f ca="1">IFERROR(__xludf.DUMMYFUNCTION("""COMPUTED_VALUE"""),"Yes")</f>
        <v>Yes</v>
      </c>
      <c r="G197" s="5" t="str">
        <f ca="1">IFERROR(__xludf.DUMMYFUNCTION("""COMPUTED_VALUE"""),"Yes")</f>
        <v>Yes</v>
      </c>
      <c r="H197" s="5" t="str">
        <f ca="1">IFERROR(__xludf.DUMMYFUNCTION("""COMPUTED_VALUE"""),"Yes")</f>
        <v>Yes</v>
      </c>
      <c r="I197" s="5" t="str">
        <f ca="1">IFERROR(__xludf.DUMMYFUNCTION("""COMPUTED_VALUE"""),"Yes")</f>
        <v>Yes</v>
      </c>
      <c r="J197" s="5" t="str">
        <f ca="1">IFERROR(__xludf.DUMMYFUNCTION("""COMPUTED_VALUE"""),"Yes")</f>
        <v>Yes</v>
      </c>
      <c r="K197" s="5" t="str">
        <f ca="1">IFERROR(__xludf.DUMMYFUNCTION("""COMPUTED_VALUE"""),"Yes")</f>
        <v>Yes</v>
      </c>
      <c r="L197" s="5" t="str">
        <f ca="1">IFERROR(__xludf.DUMMYFUNCTION("""COMPUTED_VALUE"""),"Yes")</f>
        <v>Yes</v>
      </c>
      <c r="M197" s="5" t="str">
        <f ca="1">IFERROR(__xludf.DUMMYFUNCTION("""COMPUTED_VALUE"""),"Yes")</f>
        <v>Yes</v>
      </c>
      <c r="N197" s="5" t="str">
        <f ca="1">IFERROR(__xludf.DUMMYFUNCTION("""COMPUTED_VALUE"""),"Yes")</f>
        <v>Yes</v>
      </c>
      <c r="O197" s="5" t="str">
        <f ca="1">IFERROR(__xludf.DUMMYFUNCTION("""COMPUTED_VALUE"""),"Yes")</f>
        <v>Yes</v>
      </c>
      <c r="P197" s="5" t="str">
        <f ca="1">IFERROR(__xludf.DUMMYFUNCTION("""COMPUTED_VALUE"""),"Yes")</f>
        <v>Yes</v>
      </c>
      <c r="Q197" s="5" t="str">
        <f ca="1">IFERROR(__xludf.DUMMYFUNCTION("""COMPUTED_VALUE"""),"Yes")</f>
        <v>Yes</v>
      </c>
      <c r="R197" s="5" t="str">
        <f ca="1">IFERROR(__xludf.DUMMYFUNCTION("""COMPUTED_VALUE"""),"Yes")</f>
        <v>Yes</v>
      </c>
      <c r="S197" s="5" t="str">
        <f ca="1">IFERROR(__xludf.DUMMYFUNCTION("""COMPUTED_VALUE"""),"Yes")</f>
        <v>Yes</v>
      </c>
      <c r="T197" s="5" t="str">
        <f ca="1">IFERROR(__xludf.DUMMYFUNCTION("""COMPUTED_VALUE"""),"Yes")</f>
        <v>Yes</v>
      </c>
      <c r="U197" s="5" t="str">
        <f ca="1">IFERROR(__xludf.DUMMYFUNCTION("""COMPUTED_VALUE"""),"Yes")</f>
        <v>Yes</v>
      </c>
      <c r="V197" s="5" t="str">
        <f ca="1">IFERROR(__xludf.DUMMYFUNCTION("""COMPUTED_VALUE"""),"Yes")</f>
        <v>Yes</v>
      </c>
      <c r="W197" s="5" t="str">
        <f ca="1">IFERROR(__xludf.DUMMYFUNCTION("""COMPUTED_VALUE"""),"Yes")</f>
        <v>Yes</v>
      </c>
      <c r="X197" s="5" t="str">
        <f ca="1">IFERROR(__xludf.DUMMYFUNCTION("""COMPUTED_VALUE"""),"Yes")</f>
        <v>Yes</v>
      </c>
      <c r="Y197" s="5" t="str">
        <f ca="1">IFERROR(__xludf.DUMMYFUNCTION("""COMPUTED_VALUE"""),"Yes")</f>
        <v>Yes</v>
      </c>
      <c r="Z197" s="5" t="str">
        <f ca="1">IFERROR(__xludf.DUMMYFUNCTION("""COMPUTED_VALUE"""),"Yes")</f>
        <v>Yes</v>
      </c>
      <c r="AA197" s="5" t="str">
        <f ca="1">IFERROR(__xludf.DUMMYFUNCTION("""COMPUTED_VALUE"""),"Yes")</f>
        <v>Yes</v>
      </c>
      <c r="AB197" s="5" t="str">
        <f ca="1">IFERROR(__xludf.DUMMYFUNCTION("""COMPUTED_VALUE"""),"Yes")</f>
        <v>Yes</v>
      </c>
      <c r="AC197" s="5" t="str">
        <f ca="1">IFERROR(__xludf.DUMMYFUNCTION("""COMPUTED_VALUE"""),"Yes")</f>
        <v>Yes</v>
      </c>
      <c r="AD197" s="5" t="str">
        <f ca="1">IFERROR(__xludf.DUMMYFUNCTION("""COMPUTED_VALUE"""),"Yes")</f>
        <v>Yes</v>
      </c>
      <c r="AE197" s="5" t="str">
        <f ca="1">IFERROR(__xludf.DUMMYFUNCTION("""COMPUTED_VALUE"""),"Yes")</f>
        <v>Yes</v>
      </c>
      <c r="AF197" s="5" t="str">
        <f ca="1">IFERROR(__xludf.DUMMYFUNCTION("""COMPUTED_VALUE"""),"Yes")</f>
        <v>Yes</v>
      </c>
      <c r="AG197" s="5" t="str">
        <f ca="1">IFERROR(__xludf.DUMMYFUNCTION("""COMPUTED_VALUE"""),"Yes")</f>
        <v>Yes</v>
      </c>
      <c r="AH197" s="5" t="str">
        <f ca="1">IFERROR(__xludf.DUMMYFUNCTION("""COMPUTED_VALUE"""),"Yes")</f>
        <v>Yes</v>
      </c>
      <c r="AI197" s="5" t="str">
        <f ca="1">IFERROR(__xludf.DUMMYFUNCTION("""COMPUTED_VALUE"""),"No")</f>
        <v>No</v>
      </c>
      <c r="AJ197" s="5" t="str">
        <f ca="1">IFERROR(__xludf.DUMMYFUNCTION("""COMPUTED_VALUE"""),"No")</f>
        <v>No</v>
      </c>
      <c r="AK197" s="5" t="str">
        <f ca="1">IFERROR(__xludf.DUMMYFUNCTION("""COMPUTED_VALUE"""),"No")</f>
        <v>No</v>
      </c>
      <c r="AL197" s="5" t="str">
        <f ca="1">IFERROR(__xludf.DUMMYFUNCTION("""COMPUTED_VALUE"""),"No")</f>
        <v>No</v>
      </c>
      <c r="AM197" s="5"/>
      <c r="AN197" s="5"/>
      <c r="AO197" s="5"/>
      <c r="AP197" s="5"/>
      <c r="AQ197" s="5"/>
      <c r="AR197" s="5"/>
      <c r="AS197" s="5"/>
      <c r="AT197" s="5"/>
      <c r="AU197" s="5"/>
      <c r="AV197" s="5"/>
      <c r="AW197" s="5"/>
      <c r="AX197" s="5"/>
      <c r="AY197" s="5"/>
    </row>
    <row r="198" spans="1:51" x14ac:dyDescent="0.25">
      <c r="A1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8" s="5">
        <f ca="1">IFERROR(__xludf.DUMMYFUNCTION("""COMPUTED_VALUE"""),198)</f>
        <v>198</v>
      </c>
      <c r="C198" s="5">
        <f ca="1">IFERROR(__xludf.DUMMYFUNCTION("""COMPUTED_VALUE"""),197)</f>
        <v>197</v>
      </c>
      <c r="D198" s="5" t="str">
        <f ca="1">IFERROR(__xludf.DUMMYFUNCTION("""COMPUTED_VALUE"""),"VeryHot40Respin")</f>
        <v>VeryHot40Respin</v>
      </c>
      <c r="E198" s="5" t="str">
        <f ca="1">IFERROR(__xludf.DUMMYFUNCTION("""COMPUTED_VALUE"""),"Yes")</f>
        <v>Yes</v>
      </c>
      <c r="F198" s="5" t="str">
        <f ca="1">IFERROR(__xludf.DUMMYFUNCTION("""COMPUTED_VALUE"""),"Yes")</f>
        <v>Yes</v>
      </c>
      <c r="G198" s="5" t="str">
        <f ca="1">IFERROR(__xludf.DUMMYFUNCTION("""COMPUTED_VALUE"""),"Yes")</f>
        <v>Yes</v>
      </c>
      <c r="H198" s="5" t="str">
        <f ca="1">IFERROR(__xludf.DUMMYFUNCTION("""COMPUTED_VALUE"""),"Yes")</f>
        <v>Yes</v>
      </c>
      <c r="I198" s="5" t="str">
        <f ca="1">IFERROR(__xludf.DUMMYFUNCTION("""COMPUTED_VALUE"""),"Yes")</f>
        <v>Yes</v>
      </c>
      <c r="J198" s="5" t="str">
        <f ca="1">IFERROR(__xludf.DUMMYFUNCTION("""COMPUTED_VALUE"""),"Yes")</f>
        <v>Yes</v>
      </c>
      <c r="K198" s="5" t="str">
        <f ca="1">IFERROR(__xludf.DUMMYFUNCTION("""COMPUTED_VALUE"""),"Yes")</f>
        <v>Yes</v>
      </c>
      <c r="L198" s="5" t="str">
        <f ca="1">IFERROR(__xludf.DUMMYFUNCTION("""COMPUTED_VALUE"""),"Yes")</f>
        <v>Yes</v>
      </c>
      <c r="M198" s="5" t="str">
        <f ca="1">IFERROR(__xludf.DUMMYFUNCTION("""COMPUTED_VALUE"""),"Yes")</f>
        <v>Yes</v>
      </c>
      <c r="N198" s="5" t="str">
        <f ca="1">IFERROR(__xludf.DUMMYFUNCTION("""COMPUTED_VALUE"""),"Yes")</f>
        <v>Yes</v>
      </c>
      <c r="O198" s="5" t="str">
        <f ca="1">IFERROR(__xludf.DUMMYFUNCTION("""COMPUTED_VALUE"""),"Yes")</f>
        <v>Yes</v>
      </c>
      <c r="P198" s="5" t="str">
        <f ca="1">IFERROR(__xludf.DUMMYFUNCTION("""COMPUTED_VALUE"""),"Yes")</f>
        <v>Yes</v>
      </c>
      <c r="Q198" s="5" t="str">
        <f ca="1">IFERROR(__xludf.DUMMYFUNCTION("""COMPUTED_VALUE"""),"Yes")</f>
        <v>Yes</v>
      </c>
      <c r="R198" s="5" t="str">
        <f ca="1">IFERROR(__xludf.DUMMYFUNCTION("""COMPUTED_VALUE"""),"Yes")</f>
        <v>Yes</v>
      </c>
      <c r="S198" s="5" t="str">
        <f ca="1">IFERROR(__xludf.DUMMYFUNCTION("""COMPUTED_VALUE"""),"Yes")</f>
        <v>Yes</v>
      </c>
      <c r="T198" s="5" t="str">
        <f ca="1">IFERROR(__xludf.DUMMYFUNCTION("""COMPUTED_VALUE"""),"Yes")</f>
        <v>Yes</v>
      </c>
      <c r="U198" s="5" t="str">
        <f ca="1">IFERROR(__xludf.DUMMYFUNCTION("""COMPUTED_VALUE"""),"Yes")</f>
        <v>Yes</v>
      </c>
      <c r="V198" s="5" t="str">
        <f ca="1">IFERROR(__xludf.DUMMYFUNCTION("""COMPUTED_VALUE"""),"Yes")</f>
        <v>Yes</v>
      </c>
      <c r="W198" s="5" t="str">
        <f ca="1">IFERROR(__xludf.DUMMYFUNCTION("""COMPUTED_VALUE"""),"Yes")</f>
        <v>Yes</v>
      </c>
      <c r="X198" s="5" t="str">
        <f ca="1">IFERROR(__xludf.DUMMYFUNCTION("""COMPUTED_VALUE"""),"Yes")</f>
        <v>Yes</v>
      </c>
      <c r="Y198" s="5" t="str">
        <f ca="1">IFERROR(__xludf.DUMMYFUNCTION("""COMPUTED_VALUE"""),"Yes")</f>
        <v>Yes</v>
      </c>
      <c r="Z198" s="5" t="str">
        <f ca="1">IFERROR(__xludf.DUMMYFUNCTION("""COMPUTED_VALUE"""),"No")</f>
        <v>No</v>
      </c>
      <c r="AA198" s="5" t="str">
        <f ca="1">IFERROR(__xludf.DUMMYFUNCTION("""COMPUTED_VALUE"""),"Yes")</f>
        <v>Yes</v>
      </c>
      <c r="AB198" s="5" t="str">
        <f ca="1">IFERROR(__xludf.DUMMYFUNCTION("""COMPUTED_VALUE"""),"Yes")</f>
        <v>Yes</v>
      </c>
      <c r="AC198" s="5" t="str">
        <f ca="1">IFERROR(__xludf.DUMMYFUNCTION("""COMPUTED_VALUE"""),"Yes")</f>
        <v>Yes</v>
      </c>
      <c r="AD198" s="5" t="str">
        <f ca="1">IFERROR(__xludf.DUMMYFUNCTION("""COMPUTED_VALUE"""),"Yes")</f>
        <v>Yes</v>
      </c>
      <c r="AE198" s="5" t="str">
        <f ca="1">IFERROR(__xludf.DUMMYFUNCTION("""COMPUTED_VALUE"""),"No")</f>
        <v>No</v>
      </c>
      <c r="AF198" s="5" t="str">
        <f ca="1">IFERROR(__xludf.DUMMYFUNCTION("""COMPUTED_VALUE"""),"Yes")</f>
        <v>Yes</v>
      </c>
      <c r="AG198" s="5" t="str">
        <f ca="1">IFERROR(__xludf.DUMMYFUNCTION("""COMPUTED_VALUE"""),"No")</f>
        <v>No</v>
      </c>
      <c r="AH198" s="5" t="str">
        <f ca="1">IFERROR(__xludf.DUMMYFUNCTION("""COMPUTED_VALUE"""),"No")</f>
        <v>No</v>
      </c>
      <c r="AI198" s="5" t="str">
        <f ca="1">IFERROR(__xludf.DUMMYFUNCTION("""COMPUTED_VALUE"""),"No")</f>
        <v>No</v>
      </c>
      <c r="AJ198" s="5" t="str">
        <f ca="1">IFERROR(__xludf.DUMMYFUNCTION("""COMPUTED_VALUE"""),"No")</f>
        <v>No</v>
      </c>
      <c r="AK198" s="5" t="str">
        <f ca="1">IFERROR(__xludf.DUMMYFUNCTION("""COMPUTED_VALUE"""),"No")</f>
        <v>No</v>
      </c>
      <c r="AL198" s="5" t="str">
        <f ca="1">IFERROR(__xludf.DUMMYFUNCTION("""COMPUTED_VALUE"""),"No")</f>
        <v>No</v>
      </c>
      <c r="AM198" s="5"/>
      <c r="AN198" s="5"/>
      <c r="AO198" s="5"/>
      <c r="AP198" s="5"/>
      <c r="AQ198" s="5"/>
      <c r="AR198" s="5"/>
      <c r="AS198" s="5"/>
      <c r="AT198" s="5"/>
      <c r="AU198" s="5"/>
      <c r="AV198" s="5"/>
      <c r="AW198" s="5"/>
      <c r="AX198" s="5"/>
      <c r="AY198" s="5"/>
    </row>
    <row r="199" spans="1:51" x14ac:dyDescent="0.25">
      <c r="A1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9" s="5">
        <f ca="1">IFERROR(__xludf.DUMMYFUNCTION("""COMPUTED_VALUE"""),199)</f>
        <v>199</v>
      </c>
      <c r="C199" s="5">
        <f ca="1">IFERROR(__xludf.DUMMYFUNCTION("""COMPUTED_VALUE"""),198)</f>
        <v>198</v>
      </c>
      <c r="D199" s="5" t="str">
        <f ca="1">IFERROR(__xludf.DUMMYFUNCTION("""COMPUTED_VALUE"""),"BookOfDread")</f>
        <v>BookOfDread</v>
      </c>
      <c r="E199" s="5" t="str">
        <f ca="1">IFERROR(__xludf.DUMMYFUNCTION("""COMPUTED_VALUE"""),"Yes")</f>
        <v>Yes</v>
      </c>
      <c r="F199" s="5" t="str">
        <f ca="1">IFERROR(__xludf.DUMMYFUNCTION("""COMPUTED_VALUE"""),"Yes")</f>
        <v>Yes</v>
      </c>
      <c r="G199" s="5" t="str">
        <f ca="1">IFERROR(__xludf.DUMMYFUNCTION("""COMPUTED_VALUE"""),"Yes")</f>
        <v>Yes</v>
      </c>
      <c r="H199" s="5" t="str">
        <f ca="1">IFERROR(__xludf.DUMMYFUNCTION("""COMPUTED_VALUE"""),"Yes")</f>
        <v>Yes</v>
      </c>
      <c r="I199" s="5" t="str">
        <f ca="1">IFERROR(__xludf.DUMMYFUNCTION("""COMPUTED_VALUE"""),"Yes")</f>
        <v>Yes</v>
      </c>
      <c r="J199" s="5" t="str">
        <f ca="1">IFERROR(__xludf.DUMMYFUNCTION("""COMPUTED_VALUE"""),"Yes")</f>
        <v>Yes</v>
      </c>
      <c r="K199" s="5" t="str">
        <f ca="1">IFERROR(__xludf.DUMMYFUNCTION("""COMPUTED_VALUE"""),"Yes")</f>
        <v>Yes</v>
      </c>
      <c r="L199" s="5" t="str">
        <f ca="1">IFERROR(__xludf.DUMMYFUNCTION("""COMPUTED_VALUE"""),"Yes")</f>
        <v>Yes</v>
      </c>
      <c r="M199" s="5" t="str">
        <f ca="1">IFERROR(__xludf.DUMMYFUNCTION("""COMPUTED_VALUE"""),"Yes")</f>
        <v>Yes</v>
      </c>
      <c r="N199" s="5" t="str">
        <f ca="1">IFERROR(__xludf.DUMMYFUNCTION("""COMPUTED_VALUE"""),"Yes")</f>
        <v>Yes</v>
      </c>
      <c r="O199" s="5" t="str">
        <f ca="1">IFERROR(__xludf.DUMMYFUNCTION("""COMPUTED_VALUE"""),"Yes")</f>
        <v>Yes</v>
      </c>
      <c r="P199" s="5" t="str">
        <f ca="1">IFERROR(__xludf.DUMMYFUNCTION("""COMPUTED_VALUE"""),"Yes")</f>
        <v>Yes</v>
      </c>
      <c r="Q199" s="5" t="str">
        <f ca="1">IFERROR(__xludf.DUMMYFUNCTION("""COMPUTED_VALUE"""),"Yes")</f>
        <v>Yes</v>
      </c>
      <c r="R199" s="5" t="str">
        <f ca="1">IFERROR(__xludf.DUMMYFUNCTION("""COMPUTED_VALUE"""),"Yes")</f>
        <v>Yes</v>
      </c>
      <c r="S199" s="5" t="str">
        <f ca="1">IFERROR(__xludf.DUMMYFUNCTION("""COMPUTED_VALUE"""),"Yes")</f>
        <v>Yes</v>
      </c>
      <c r="T199" s="5" t="str">
        <f ca="1">IFERROR(__xludf.DUMMYFUNCTION("""COMPUTED_VALUE"""),"Yes")</f>
        <v>Yes</v>
      </c>
      <c r="U199" s="5" t="str">
        <f ca="1">IFERROR(__xludf.DUMMYFUNCTION("""COMPUTED_VALUE"""),"Yes")</f>
        <v>Yes</v>
      </c>
      <c r="V199" s="5" t="str">
        <f ca="1">IFERROR(__xludf.DUMMYFUNCTION("""COMPUTED_VALUE"""),"Yes")</f>
        <v>Yes</v>
      </c>
      <c r="W199" s="5" t="str">
        <f ca="1">IFERROR(__xludf.DUMMYFUNCTION("""COMPUTED_VALUE"""),"Yes")</f>
        <v>Yes</v>
      </c>
      <c r="X199" s="5" t="str">
        <f ca="1">IFERROR(__xludf.DUMMYFUNCTION("""COMPUTED_VALUE"""),"Yes")</f>
        <v>Yes</v>
      </c>
      <c r="Y199" s="5" t="str">
        <f ca="1">IFERROR(__xludf.DUMMYFUNCTION("""COMPUTED_VALUE"""),"Yes")</f>
        <v>Yes</v>
      </c>
      <c r="Z199" s="5"/>
      <c r="AA199" s="5" t="str">
        <f ca="1">IFERROR(__xludf.DUMMYFUNCTION("""COMPUTED_VALUE"""),"Yes")</f>
        <v>Yes</v>
      </c>
      <c r="AB199" s="5" t="str">
        <f ca="1">IFERROR(__xludf.DUMMYFUNCTION("""COMPUTED_VALUE"""),"Yes")</f>
        <v>Yes</v>
      </c>
      <c r="AC199" s="5" t="str">
        <f ca="1">IFERROR(__xludf.DUMMYFUNCTION("""COMPUTED_VALUE"""),"Yes")</f>
        <v>Yes</v>
      </c>
      <c r="AD199" s="5" t="str">
        <f ca="1">IFERROR(__xludf.DUMMYFUNCTION("""COMPUTED_VALUE"""),"Yes")</f>
        <v>Yes</v>
      </c>
      <c r="AE199" s="5"/>
      <c r="AF199" s="5" t="str">
        <f ca="1">IFERROR(__xludf.DUMMYFUNCTION("""COMPUTED_VALUE"""),"Yes")</f>
        <v>Yes</v>
      </c>
      <c r="AG199" s="5"/>
      <c r="AH199" s="5"/>
      <c r="AI199" s="5"/>
      <c r="AJ199" s="5"/>
      <c r="AK199" s="5"/>
      <c r="AL199" s="5"/>
      <c r="AM199" s="5"/>
      <c r="AN199" s="5"/>
      <c r="AO199" s="5"/>
      <c r="AP199" s="5"/>
      <c r="AQ199" s="5"/>
      <c r="AR199" s="5"/>
      <c r="AS199" s="5"/>
      <c r="AT199" s="5"/>
      <c r="AU199" s="5"/>
      <c r="AV199" s="5"/>
      <c r="AW199" s="5"/>
      <c r="AX199" s="5"/>
      <c r="AY199" s="5"/>
    </row>
    <row r="200" spans="1:51" x14ac:dyDescent="0.25">
      <c r="A20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00" s="5">
        <f ca="1">IFERROR(__xludf.DUMMYFUNCTION("""COMPUTED_VALUE"""),200)</f>
        <v>200</v>
      </c>
      <c r="C200" s="5">
        <f ca="1">IFERROR(__xludf.DUMMYFUNCTION("""COMPUTED_VALUE"""),199)</f>
        <v>199</v>
      </c>
      <c r="D200" s="5" t="str">
        <f ca="1">IFERROR(__xludf.DUMMYFUNCTION("""COMPUTED_VALUE"""),"WildPumpkin10")</f>
        <v>WildPumpkin10</v>
      </c>
      <c r="E200" s="5" t="str">
        <f ca="1">IFERROR(__xludf.DUMMYFUNCTION("""COMPUTED_VALUE"""),"Yes")</f>
        <v>Yes</v>
      </c>
      <c r="F200" s="5" t="str">
        <f ca="1">IFERROR(__xludf.DUMMYFUNCTION("""COMPUTED_VALUE"""),"Yes")</f>
        <v>Yes</v>
      </c>
      <c r="G200" s="5" t="str">
        <f ca="1">IFERROR(__xludf.DUMMYFUNCTION("""COMPUTED_VALUE"""),"No")</f>
        <v>No</v>
      </c>
      <c r="H200" s="5" t="str">
        <f ca="1">IFERROR(__xludf.DUMMYFUNCTION("""COMPUTED_VALUE"""),"Yes")</f>
        <v>Yes</v>
      </c>
      <c r="I200" s="5" t="str">
        <f ca="1">IFERROR(__xludf.DUMMYFUNCTION("""COMPUTED_VALUE"""),"Yes")</f>
        <v>Yes</v>
      </c>
      <c r="J200" s="5" t="str">
        <f ca="1">IFERROR(__xludf.DUMMYFUNCTION("""COMPUTED_VALUE"""),"Yes")</f>
        <v>Yes</v>
      </c>
      <c r="K200" s="5" t="str">
        <f ca="1">IFERROR(__xludf.DUMMYFUNCTION("""COMPUTED_VALUE"""),"Yes")</f>
        <v>Yes</v>
      </c>
      <c r="L200" s="5" t="str">
        <f ca="1">IFERROR(__xludf.DUMMYFUNCTION("""COMPUTED_VALUE"""),"Yes")</f>
        <v>Yes</v>
      </c>
      <c r="M200" s="5" t="str">
        <f ca="1">IFERROR(__xludf.DUMMYFUNCTION("""COMPUTED_VALUE"""),"Yes")</f>
        <v>Yes</v>
      </c>
      <c r="N200" s="5" t="str">
        <f ca="1">IFERROR(__xludf.DUMMYFUNCTION("""COMPUTED_VALUE"""),"Yes")</f>
        <v>Yes</v>
      </c>
      <c r="O200" s="5" t="str">
        <f ca="1">IFERROR(__xludf.DUMMYFUNCTION("""COMPUTED_VALUE"""),"Yes")</f>
        <v>Yes</v>
      </c>
      <c r="P200" s="5" t="str">
        <f ca="1">IFERROR(__xludf.DUMMYFUNCTION("""COMPUTED_VALUE"""),"Yes")</f>
        <v>Yes</v>
      </c>
      <c r="Q200" s="5" t="str">
        <f ca="1">IFERROR(__xludf.DUMMYFUNCTION("""COMPUTED_VALUE"""),"Yes")</f>
        <v>Yes</v>
      </c>
      <c r="R200" s="5" t="str">
        <f ca="1">IFERROR(__xludf.DUMMYFUNCTION("""COMPUTED_VALUE"""),"Yes")</f>
        <v>Yes</v>
      </c>
      <c r="S200" s="5" t="str">
        <f ca="1">IFERROR(__xludf.DUMMYFUNCTION("""COMPUTED_VALUE"""),"Yes")</f>
        <v>Yes</v>
      </c>
      <c r="T200" s="5" t="str">
        <f ca="1">IFERROR(__xludf.DUMMYFUNCTION("""COMPUTED_VALUE"""),"No")</f>
        <v>No</v>
      </c>
      <c r="U200" s="5" t="str">
        <f ca="1">IFERROR(__xludf.DUMMYFUNCTION("""COMPUTED_VALUE"""),"No")</f>
        <v>No</v>
      </c>
      <c r="V200" s="5" t="str">
        <f ca="1">IFERROR(__xludf.DUMMYFUNCTION("""COMPUTED_VALUE"""),"No")</f>
        <v>No</v>
      </c>
      <c r="W200" s="5" t="str">
        <f ca="1">IFERROR(__xludf.DUMMYFUNCTION("""COMPUTED_VALUE"""),"No")</f>
        <v>No</v>
      </c>
      <c r="X200" s="5" t="str">
        <f ca="1">IFERROR(__xludf.DUMMYFUNCTION("""COMPUTED_VALUE"""),"No")</f>
        <v>No</v>
      </c>
      <c r="Y200" s="5" t="str">
        <f ca="1">IFERROR(__xludf.DUMMYFUNCTION("""COMPUTED_VALUE"""),"No")</f>
        <v>No</v>
      </c>
      <c r="Z200" s="5" t="str">
        <f ca="1">IFERROR(__xludf.DUMMYFUNCTION("""COMPUTED_VALUE"""),"No")</f>
        <v>No</v>
      </c>
      <c r="AA200" s="5" t="str">
        <f ca="1">IFERROR(__xludf.DUMMYFUNCTION("""COMPUTED_VALUE"""),"No")</f>
        <v>No</v>
      </c>
      <c r="AB200" s="5" t="str">
        <f ca="1">IFERROR(__xludf.DUMMYFUNCTION("""COMPUTED_VALUE"""),"No")</f>
        <v>No</v>
      </c>
      <c r="AC200" s="5" t="str">
        <f ca="1">IFERROR(__xludf.DUMMYFUNCTION("""COMPUTED_VALUE"""),"No")</f>
        <v>No</v>
      </c>
      <c r="AD200" s="5" t="str">
        <f ca="1">IFERROR(__xludf.DUMMYFUNCTION("""COMPUTED_VALUE"""),"No")</f>
        <v>No</v>
      </c>
      <c r="AE200" s="5" t="str">
        <f ca="1">IFERROR(__xludf.DUMMYFUNCTION("""COMPUTED_VALUE"""),"No")</f>
        <v>No</v>
      </c>
      <c r="AF200" s="5" t="str">
        <f ca="1">IFERROR(__xludf.DUMMYFUNCTION("""COMPUTED_VALUE"""),"Yes")</f>
        <v>Yes</v>
      </c>
      <c r="AG200" s="5" t="str">
        <f ca="1">IFERROR(__xludf.DUMMYFUNCTION("""COMPUTED_VALUE"""),"No")</f>
        <v>No</v>
      </c>
      <c r="AH200" s="5" t="str">
        <f ca="1">IFERROR(__xludf.DUMMYFUNCTION("""COMPUTED_VALUE"""),"Yes")</f>
        <v>Yes</v>
      </c>
      <c r="AI200" s="5" t="str">
        <f ca="1">IFERROR(__xludf.DUMMYFUNCTION("""COMPUTED_VALUE"""),"No")</f>
        <v>No</v>
      </c>
      <c r="AJ200" s="5" t="str">
        <f ca="1">IFERROR(__xludf.DUMMYFUNCTION("""COMPUTED_VALUE"""),"No")</f>
        <v>No</v>
      </c>
      <c r="AK200" s="5" t="str">
        <f ca="1">IFERROR(__xludf.DUMMYFUNCTION("""COMPUTED_VALUE"""),"No")</f>
        <v>No</v>
      </c>
      <c r="AL200" s="5" t="str">
        <f ca="1">IFERROR(__xludf.DUMMYFUNCTION("""COMPUTED_VALUE"""),"No")</f>
        <v>No</v>
      </c>
      <c r="AM200" s="5"/>
      <c r="AN200" s="5"/>
      <c r="AO200" s="5"/>
      <c r="AP200" s="5"/>
      <c r="AQ200" s="5"/>
      <c r="AR200" s="5"/>
      <c r="AS200" s="5"/>
      <c r="AT200" s="5"/>
      <c r="AU200" s="5"/>
      <c r="AV200" s="5"/>
      <c r="AW200" s="5"/>
      <c r="AX200" s="5"/>
      <c r="AY200" s="5"/>
    </row>
    <row r="201" spans="1:51" x14ac:dyDescent="0.25">
      <c r="A2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1" s="5">
        <f ca="1">IFERROR(__xludf.DUMMYFUNCTION("""COMPUTED_VALUE"""),201)</f>
        <v>201</v>
      </c>
      <c r="C201" s="5">
        <f ca="1">IFERROR(__xludf.DUMMYFUNCTION("""COMPUTED_VALUE"""),200)</f>
        <v>200</v>
      </c>
      <c r="D201" s="5" t="str">
        <f ca="1">IFERROR(__xludf.DUMMYFUNCTION("""COMPUTED_VALUE"""),"AfricanTreasure")</f>
        <v>AfricanTreasure</v>
      </c>
      <c r="E201" s="5" t="str">
        <f ca="1">IFERROR(__xludf.DUMMYFUNCTION("""COMPUTED_VALUE"""),"Yes")</f>
        <v>Yes</v>
      </c>
      <c r="F201" s="5" t="str">
        <f ca="1">IFERROR(__xludf.DUMMYFUNCTION("""COMPUTED_VALUE"""),"Yes")</f>
        <v>Yes</v>
      </c>
      <c r="G201" s="5" t="str">
        <f ca="1">IFERROR(__xludf.DUMMYFUNCTION("""COMPUTED_VALUE"""),"Yes")</f>
        <v>Yes</v>
      </c>
      <c r="H201" s="5" t="str">
        <f ca="1">IFERROR(__xludf.DUMMYFUNCTION("""COMPUTED_VALUE"""),"Yes")</f>
        <v>Yes</v>
      </c>
      <c r="I201" s="5" t="str">
        <f ca="1">IFERROR(__xludf.DUMMYFUNCTION("""COMPUTED_VALUE"""),"Yes")</f>
        <v>Yes</v>
      </c>
      <c r="J201" s="5" t="str">
        <f ca="1">IFERROR(__xludf.DUMMYFUNCTION("""COMPUTED_VALUE"""),"Yes")</f>
        <v>Yes</v>
      </c>
      <c r="K201" s="5" t="str">
        <f ca="1">IFERROR(__xludf.DUMMYFUNCTION("""COMPUTED_VALUE"""),"Yes")</f>
        <v>Yes</v>
      </c>
      <c r="L201" s="5" t="str">
        <f ca="1">IFERROR(__xludf.DUMMYFUNCTION("""COMPUTED_VALUE"""),"Yes")</f>
        <v>Yes</v>
      </c>
      <c r="M201" s="5" t="str">
        <f ca="1">IFERROR(__xludf.DUMMYFUNCTION("""COMPUTED_VALUE"""),"Yes")</f>
        <v>Yes</v>
      </c>
      <c r="N201" s="5" t="str">
        <f ca="1">IFERROR(__xludf.DUMMYFUNCTION("""COMPUTED_VALUE"""),"Yes")</f>
        <v>Yes</v>
      </c>
      <c r="O201" s="5" t="str">
        <f ca="1">IFERROR(__xludf.DUMMYFUNCTION("""COMPUTED_VALUE"""),"Yes")</f>
        <v>Yes</v>
      </c>
      <c r="P201" s="5" t="str">
        <f ca="1">IFERROR(__xludf.DUMMYFUNCTION("""COMPUTED_VALUE"""),"Yes")</f>
        <v>Yes</v>
      </c>
      <c r="Q201" s="5" t="str">
        <f ca="1">IFERROR(__xludf.DUMMYFUNCTION("""COMPUTED_VALUE"""),"Yes")</f>
        <v>Yes</v>
      </c>
      <c r="R201" s="5" t="str">
        <f ca="1">IFERROR(__xludf.DUMMYFUNCTION("""COMPUTED_VALUE"""),"Yes")</f>
        <v>Yes</v>
      </c>
      <c r="S201" s="5" t="str">
        <f ca="1">IFERROR(__xludf.DUMMYFUNCTION("""COMPUTED_VALUE"""),"Yes")</f>
        <v>Yes</v>
      </c>
      <c r="T201" s="5" t="str">
        <f ca="1">IFERROR(__xludf.DUMMYFUNCTION("""COMPUTED_VALUE"""),"Yes")</f>
        <v>Yes</v>
      </c>
      <c r="U201" s="5" t="str">
        <f ca="1">IFERROR(__xludf.DUMMYFUNCTION("""COMPUTED_VALUE"""),"Yes")</f>
        <v>Yes</v>
      </c>
      <c r="V201" s="5" t="str">
        <f ca="1">IFERROR(__xludf.DUMMYFUNCTION("""COMPUTED_VALUE"""),"Yes")</f>
        <v>Yes</v>
      </c>
      <c r="W201" s="5" t="str">
        <f ca="1">IFERROR(__xludf.DUMMYFUNCTION("""COMPUTED_VALUE"""),"Yes")</f>
        <v>Yes</v>
      </c>
      <c r="X201" s="5" t="str">
        <f ca="1">IFERROR(__xludf.DUMMYFUNCTION("""COMPUTED_VALUE"""),"Yes")</f>
        <v>Yes</v>
      </c>
      <c r="Y201" s="5" t="str">
        <f ca="1">IFERROR(__xludf.DUMMYFUNCTION("""COMPUTED_VALUE"""),"Yes")</f>
        <v>Yes</v>
      </c>
      <c r="Z201" s="5" t="str">
        <f ca="1">IFERROR(__xludf.DUMMYFUNCTION("""COMPUTED_VALUE"""),"No")</f>
        <v>No</v>
      </c>
      <c r="AA201" s="5" t="str">
        <f ca="1">IFERROR(__xludf.DUMMYFUNCTION("""COMPUTED_VALUE"""),"Yes")</f>
        <v>Yes</v>
      </c>
      <c r="AB201" s="5" t="str">
        <f ca="1">IFERROR(__xludf.DUMMYFUNCTION("""COMPUTED_VALUE"""),"Yes")</f>
        <v>Yes</v>
      </c>
      <c r="AC201" s="5" t="str">
        <f ca="1">IFERROR(__xludf.DUMMYFUNCTION("""COMPUTED_VALUE"""),"Yes")</f>
        <v>Yes</v>
      </c>
      <c r="AD201" s="5" t="str">
        <f ca="1">IFERROR(__xludf.DUMMYFUNCTION("""COMPUTED_VALUE"""),"Yes")</f>
        <v>Yes</v>
      </c>
      <c r="AE201" s="5" t="str">
        <f ca="1">IFERROR(__xludf.DUMMYFUNCTION("""COMPUTED_VALUE"""),"No")</f>
        <v>No</v>
      </c>
      <c r="AF201" s="5" t="str">
        <f ca="1">IFERROR(__xludf.DUMMYFUNCTION("""COMPUTED_VALUE"""),"Yes")</f>
        <v>Yes</v>
      </c>
      <c r="AG201" s="5" t="str">
        <f ca="1">IFERROR(__xludf.DUMMYFUNCTION("""COMPUTED_VALUE"""),"No")</f>
        <v>No</v>
      </c>
      <c r="AH201" s="5" t="str">
        <f ca="1">IFERROR(__xludf.DUMMYFUNCTION("""COMPUTED_VALUE"""),"No")</f>
        <v>No</v>
      </c>
      <c r="AI201" s="5" t="str">
        <f ca="1">IFERROR(__xludf.DUMMYFUNCTION("""COMPUTED_VALUE"""),"No")</f>
        <v>No</v>
      </c>
      <c r="AJ201" s="5" t="str">
        <f ca="1">IFERROR(__xludf.DUMMYFUNCTION("""COMPUTED_VALUE"""),"No")</f>
        <v>No</v>
      </c>
      <c r="AK201" s="5" t="str">
        <f ca="1">IFERROR(__xludf.DUMMYFUNCTION("""COMPUTED_VALUE"""),"No")</f>
        <v>No</v>
      </c>
      <c r="AL201" s="5" t="str">
        <f ca="1">IFERROR(__xludf.DUMMYFUNCTION("""COMPUTED_VALUE"""),"No")</f>
        <v>No</v>
      </c>
      <c r="AM201" s="5"/>
      <c r="AN201" s="5"/>
      <c r="AO201" s="5"/>
      <c r="AP201" s="5"/>
      <c r="AQ201" s="5"/>
      <c r="AR201" s="5"/>
      <c r="AS201" s="5"/>
      <c r="AT201" s="5"/>
      <c r="AU201" s="5"/>
      <c r="AV201" s="5"/>
      <c r="AW201" s="5"/>
      <c r="AX201" s="5"/>
      <c r="AY201" s="5"/>
    </row>
    <row r="202" spans="1:51" x14ac:dyDescent="0.25">
      <c r="A2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2" s="5">
        <f ca="1">IFERROR(__xludf.DUMMYFUNCTION("""COMPUTED_VALUE"""),202)</f>
        <v>202</v>
      </c>
      <c r="C202" s="5">
        <f ca="1">IFERROR(__xludf.DUMMYFUNCTION("""COMPUTED_VALUE"""),201)</f>
        <v>201</v>
      </c>
      <c r="D202" s="5" t="str">
        <f ca="1">IFERROR(__xludf.DUMMYFUNCTION("""COMPUTED_VALUE"""),"UnicornDaVincisDice")</f>
        <v>UnicornDaVincisDice</v>
      </c>
      <c r="E202" s="5" t="str">
        <f ca="1">IFERROR(__xludf.DUMMYFUNCTION("""COMPUTED_VALUE"""),"Yes")</f>
        <v>Yes</v>
      </c>
      <c r="F202" s="5" t="str">
        <f ca="1">IFERROR(__xludf.DUMMYFUNCTION("""COMPUTED_VALUE"""),"Yes")</f>
        <v>Yes</v>
      </c>
      <c r="G202" s="5" t="str">
        <f ca="1">IFERROR(__xludf.DUMMYFUNCTION("""COMPUTED_VALUE"""),"Yes")</f>
        <v>Yes</v>
      </c>
      <c r="H202" s="5" t="str">
        <f ca="1">IFERROR(__xludf.DUMMYFUNCTION("""COMPUTED_VALUE"""),"Yes")</f>
        <v>Yes</v>
      </c>
      <c r="I202" s="5" t="str">
        <f ca="1">IFERROR(__xludf.DUMMYFUNCTION("""COMPUTED_VALUE"""),"Yes")</f>
        <v>Yes</v>
      </c>
      <c r="J202" s="5" t="str">
        <f ca="1">IFERROR(__xludf.DUMMYFUNCTION("""COMPUTED_VALUE"""),"Yes")</f>
        <v>Yes</v>
      </c>
      <c r="K202" s="5" t="str">
        <f ca="1">IFERROR(__xludf.DUMMYFUNCTION("""COMPUTED_VALUE"""),"Yes")</f>
        <v>Yes</v>
      </c>
      <c r="L202" s="5" t="str">
        <f ca="1">IFERROR(__xludf.DUMMYFUNCTION("""COMPUTED_VALUE"""),"Yes")</f>
        <v>Yes</v>
      </c>
      <c r="M202" s="5" t="str">
        <f ca="1">IFERROR(__xludf.DUMMYFUNCTION("""COMPUTED_VALUE"""),"Yes")</f>
        <v>Yes</v>
      </c>
      <c r="N202" s="5" t="str">
        <f ca="1">IFERROR(__xludf.DUMMYFUNCTION("""COMPUTED_VALUE"""),"Yes")</f>
        <v>Yes</v>
      </c>
      <c r="O202" s="5" t="str">
        <f ca="1">IFERROR(__xludf.DUMMYFUNCTION("""COMPUTED_VALUE"""),"Yes")</f>
        <v>Yes</v>
      </c>
      <c r="P202" s="5" t="str">
        <f ca="1">IFERROR(__xludf.DUMMYFUNCTION("""COMPUTED_VALUE"""),"Yes")</f>
        <v>Yes</v>
      </c>
      <c r="Q202" s="5" t="str">
        <f ca="1">IFERROR(__xludf.DUMMYFUNCTION("""COMPUTED_VALUE"""),"Yes")</f>
        <v>Yes</v>
      </c>
      <c r="R202" s="5" t="str">
        <f ca="1">IFERROR(__xludf.DUMMYFUNCTION("""COMPUTED_VALUE"""),"Yes")</f>
        <v>Yes</v>
      </c>
      <c r="S202" s="5" t="str">
        <f ca="1">IFERROR(__xludf.DUMMYFUNCTION("""COMPUTED_VALUE"""),"Yes")</f>
        <v>Yes</v>
      </c>
      <c r="T202" s="5" t="str">
        <f ca="1">IFERROR(__xludf.DUMMYFUNCTION("""COMPUTED_VALUE"""),"Yes")</f>
        <v>Yes</v>
      </c>
      <c r="U202" s="5" t="str">
        <f ca="1">IFERROR(__xludf.DUMMYFUNCTION("""COMPUTED_VALUE"""),"Yes")</f>
        <v>Yes</v>
      </c>
      <c r="V202" s="5" t="str">
        <f ca="1">IFERROR(__xludf.DUMMYFUNCTION("""COMPUTED_VALUE"""),"Yes")</f>
        <v>Yes</v>
      </c>
      <c r="W202" s="5" t="str">
        <f ca="1">IFERROR(__xludf.DUMMYFUNCTION("""COMPUTED_VALUE"""),"Yes")</f>
        <v>Yes</v>
      </c>
      <c r="X202" s="5" t="str">
        <f ca="1">IFERROR(__xludf.DUMMYFUNCTION("""COMPUTED_VALUE"""),"Yes")</f>
        <v>Yes</v>
      </c>
      <c r="Y202" s="5" t="str">
        <f ca="1">IFERROR(__xludf.DUMMYFUNCTION("""COMPUTED_VALUE"""),"Yes")</f>
        <v>Yes</v>
      </c>
      <c r="Z202" s="5"/>
      <c r="AA202" s="5" t="str">
        <f ca="1">IFERROR(__xludf.DUMMYFUNCTION("""COMPUTED_VALUE"""),"Yes")</f>
        <v>Yes</v>
      </c>
      <c r="AB202" s="5" t="str">
        <f ca="1">IFERROR(__xludf.DUMMYFUNCTION("""COMPUTED_VALUE"""),"Yes")</f>
        <v>Yes</v>
      </c>
      <c r="AC202" s="5" t="str">
        <f ca="1">IFERROR(__xludf.DUMMYFUNCTION("""COMPUTED_VALUE"""),"Yes")</f>
        <v>Yes</v>
      </c>
      <c r="AD202" s="5" t="str">
        <f ca="1">IFERROR(__xludf.DUMMYFUNCTION("""COMPUTED_VALUE"""),"Yes")</f>
        <v>Yes</v>
      </c>
      <c r="AE202" s="5"/>
      <c r="AF202" s="5" t="str">
        <f ca="1">IFERROR(__xludf.DUMMYFUNCTION("""COMPUTED_VALUE"""),"Yes")</f>
        <v>Yes</v>
      </c>
      <c r="AG202" s="5"/>
      <c r="AH202" s="5"/>
      <c r="AI202" s="5"/>
      <c r="AJ202" s="5"/>
      <c r="AK202" s="5"/>
      <c r="AL202" s="5"/>
      <c r="AM202" s="5"/>
      <c r="AN202" s="5"/>
      <c r="AO202" s="5"/>
      <c r="AP202" s="5"/>
      <c r="AQ202" s="5"/>
      <c r="AR202" s="5"/>
      <c r="AS202" s="5"/>
      <c r="AT202" s="5"/>
      <c r="AU202" s="5"/>
      <c r="AV202" s="5"/>
      <c r="AW202" s="5"/>
      <c r="AX202" s="5"/>
      <c r="AY202" s="5"/>
    </row>
    <row r="203" spans="1:51" x14ac:dyDescent="0.25">
      <c r="A20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03" s="5">
        <f ca="1">IFERROR(__xludf.DUMMYFUNCTION("""COMPUTED_VALUE"""),203)</f>
        <v>203</v>
      </c>
      <c r="C203" s="5">
        <f ca="1">IFERROR(__xludf.DUMMYFUNCTION("""COMPUTED_VALUE"""),202)</f>
        <v>202</v>
      </c>
      <c r="D203" s="5" t="str">
        <f ca="1">IFERROR(__xludf.DUMMYFUNCTION("""COMPUTED_VALUE"""),"UnicornWinterFruits")</f>
        <v>UnicornWinterFruits</v>
      </c>
      <c r="E203" s="5" t="str">
        <f ca="1">IFERROR(__xludf.DUMMYFUNCTION("""COMPUTED_VALUE"""),"Yes")</f>
        <v>Yes</v>
      </c>
      <c r="F203" s="5" t="str">
        <f ca="1">IFERROR(__xludf.DUMMYFUNCTION("""COMPUTED_VALUE"""),"Yes")</f>
        <v>Yes</v>
      </c>
      <c r="G203" s="5" t="str">
        <f ca="1">IFERROR(__xludf.DUMMYFUNCTION("""COMPUTED_VALUE"""),"Yes")</f>
        <v>Yes</v>
      </c>
      <c r="H203" s="5" t="str">
        <f ca="1">IFERROR(__xludf.DUMMYFUNCTION("""COMPUTED_VALUE"""),"No")</f>
        <v>No</v>
      </c>
      <c r="I203" s="5" t="str">
        <f ca="1">IFERROR(__xludf.DUMMYFUNCTION("""COMPUTED_VALUE"""),"No")</f>
        <v>No</v>
      </c>
      <c r="J203" s="5" t="str">
        <f ca="1">IFERROR(__xludf.DUMMYFUNCTION("""COMPUTED_VALUE"""),"No")</f>
        <v>No</v>
      </c>
      <c r="K203" s="5" t="str">
        <f ca="1">IFERROR(__xludf.DUMMYFUNCTION("""COMPUTED_VALUE"""),"No")</f>
        <v>No</v>
      </c>
      <c r="L203" s="5" t="str">
        <f ca="1">IFERROR(__xludf.DUMMYFUNCTION("""COMPUTED_VALUE"""),"No")</f>
        <v>No</v>
      </c>
      <c r="M203" s="5" t="str">
        <f ca="1">IFERROR(__xludf.DUMMYFUNCTION("""COMPUTED_VALUE"""),"Yes")</f>
        <v>Yes</v>
      </c>
      <c r="N203" s="5" t="str">
        <f ca="1">IFERROR(__xludf.DUMMYFUNCTION("""COMPUTED_VALUE"""),"Yes")</f>
        <v>Yes</v>
      </c>
      <c r="O203" s="5" t="str">
        <f ca="1">IFERROR(__xludf.DUMMYFUNCTION("""COMPUTED_VALUE"""),"Yes")</f>
        <v>Yes</v>
      </c>
      <c r="P203" s="5" t="str">
        <f ca="1">IFERROR(__xludf.DUMMYFUNCTION("""COMPUTED_VALUE"""),"Yes")</f>
        <v>Yes</v>
      </c>
      <c r="Q203" s="5" t="str">
        <f ca="1">IFERROR(__xludf.DUMMYFUNCTION("""COMPUTED_VALUE"""),"Yes")</f>
        <v>Yes</v>
      </c>
      <c r="R203" s="5" t="str">
        <f ca="1">IFERROR(__xludf.DUMMYFUNCTION("""COMPUTED_VALUE"""),"No")</f>
        <v>No</v>
      </c>
      <c r="S203" s="5" t="str">
        <f ca="1">IFERROR(__xludf.DUMMYFUNCTION("""COMPUTED_VALUE"""),"Yes")</f>
        <v>Yes</v>
      </c>
      <c r="T203" s="5" t="str">
        <f ca="1">IFERROR(__xludf.DUMMYFUNCTION("""COMPUTED_VALUE"""),"No")</f>
        <v>No</v>
      </c>
      <c r="U203" s="5" t="str">
        <f ca="1">IFERROR(__xludf.DUMMYFUNCTION("""COMPUTED_VALUE"""),"No")</f>
        <v>No</v>
      </c>
      <c r="V203" s="5" t="str">
        <f ca="1">IFERROR(__xludf.DUMMYFUNCTION("""COMPUTED_VALUE"""),"No")</f>
        <v>No</v>
      </c>
      <c r="W203" s="5" t="str">
        <f ca="1">IFERROR(__xludf.DUMMYFUNCTION("""COMPUTED_VALUE"""),"No")</f>
        <v>No</v>
      </c>
      <c r="X203" s="5" t="str">
        <f ca="1">IFERROR(__xludf.DUMMYFUNCTION("""COMPUTED_VALUE"""),"No")</f>
        <v>No</v>
      </c>
      <c r="Y203" s="5"/>
      <c r="Z203" s="5"/>
      <c r="AA203" s="5"/>
      <c r="AB203" s="5"/>
      <c r="AC203" s="5" t="str">
        <f ca="1">IFERROR(__xludf.DUMMYFUNCTION("""COMPUTED_VALUE"""),"No")</f>
        <v>No</v>
      </c>
      <c r="AD203" s="5"/>
      <c r="AE203" s="5"/>
      <c r="AF203" s="5"/>
      <c r="AG203" s="5"/>
      <c r="AH203" s="5"/>
      <c r="AI203" s="5"/>
      <c r="AJ203" s="5"/>
      <c r="AK203" s="5"/>
      <c r="AL203" s="5"/>
      <c r="AM203" s="5"/>
      <c r="AN203" s="5"/>
      <c r="AO203" s="5"/>
      <c r="AP203" s="5"/>
      <c r="AQ203" s="5"/>
      <c r="AR203" s="5"/>
      <c r="AS203" s="5"/>
      <c r="AT203" s="5"/>
      <c r="AU203" s="5"/>
      <c r="AV203" s="5"/>
      <c r="AW203" s="5"/>
      <c r="AX203" s="5"/>
      <c r="AY203" s="5"/>
    </row>
    <row r="204" spans="1:51" x14ac:dyDescent="0.25">
      <c r="A2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4" s="5">
        <f ca="1">IFERROR(__xludf.DUMMYFUNCTION("""COMPUTED_VALUE"""),204)</f>
        <v>204</v>
      </c>
      <c r="C204" s="5">
        <f ca="1">IFERROR(__xludf.DUMMYFUNCTION("""COMPUTED_VALUE"""),203)</f>
        <v>203</v>
      </c>
      <c r="D204" s="5" t="str">
        <f ca="1">IFERROR(__xludf.DUMMYFUNCTION("""COMPUTED_VALUE"""),"CrystalHot40Christmas")</f>
        <v>CrystalHot40Christmas</v>
      </c>
      <c r="E204" s="5" t="str">
        <f ca="1">IFERROR(__xludf.DUMMYFUNCTION("""COMPUTED_VALUE"""),"Yes")</f>
        <v>Yes</v>
      </c>
      <c r="F204" s="5" t="str">
        <f ca="1">IFERROR(__xludf.DUMMYFUNCTION("""COMPUTED_VALUE"""),"Yes")</f>
        <v>Yes</v>
      </c>
      <c r="G204" s="5" t="str">
        <f ca="1">IFERROR(__xludf.DUMMYFUNCTION("""COMPUTED_VALUE"""),"Yes")</f>
        <v>Yes</v>
      </c>
      <c r="H204" s="5" t="str">
        <f ca="1">IFERROR(__xludf.DUMMYFUNCTION("""COMPUTED_VALUE"""),"Yes")</f>
        <v>Yes</v>
      </c>
      <c r="I204" s="5" t="str">
        <f ca="1">IFERROR(__xludf.DUMMYFUNCTION("""COMPUTED_VALUE"""),"Yes")</f>
        <v>Yes</v>
      </c>
      <c r="J204" s="5" t="str">
        <f ca="1">IFERROR(__xludf.DUMMYFUNCTION("""COMPUTED_VALUE"""),"Yes")</f>
        <v>Yes</v>
      </c>
      <c r="K204" s="5" t="str">
        <f ca="1">IFERROR(__xludf.DUMMYFUNCTION("""COMPUTED_VALUE"""),"Yes")</f>
        <v>Yes</v>
      </c>
      <c r="L204" s="5" t="str">
        <f ca="1">IFERROR(__xludf.DUMMYFUNCTION("""COMPUTED_VALUE"""),"Yes")</f>
        <v>Yes</v>
      </c>
      <c r="M204" s="5" t="str">
        <f ca="1">IFERROR(__xludf.DUMMYFUNCTION("""COMPUTED_VALUE"""),"Yes")</f>
        <v>Yes</v>
      </c>
      <c r="N204" s="5" t="str">
        <f ca="1">IFERROR(__xludf.DUMMYFUNCTION("""COMPUTED_VALUE"""),"Yes")</f>
        <v>Yes</v>
      </c>
      <c r="O204" s="5" t="str">
        <f ca="1">IFERROR(__xludf.DUMMYFUNCTION("""COMPUTED_VALUE"""),"Yes")</f>
        <v>Yes</v>
      </c>
      <c r="P204" s="5" t="str">
        <f ca="1">IFERROR(__xludf.DUMMYFUNCTION("""COMPUTED_VALUE"""),"Yes")</f>
        <v>Yes</v>
      </c>
      <c r="Q204" s="5" t="str">
        <f ca="1">IFERROR(__xludf.DUMMYFUNCTION("""COMPUTED_VALUE"""),"Yes")</f>
        <v>Yes</v>
      </c>
      <c r="R204" s="5" t="str">
        <f ca="1">IFERROR(__xludf.DUMMYFUNCTION("""COMPUTED_VALUE"""),"Yes")</f>
        <v>Yes</v>
      </c>
      <c r="S204" s="5" t="str">
        <f ca="1">IFERROR(__xludf.DUMMYFUNCTION("""COMPUTED_VALUE"""),"Yes")</f>
        <v>Yes</v>
      </c>
      <c r="T204" s="5" t="str">
        <f ca="1">IFERROR(__xludf.DUMMYFUNCTION("""COMPUTED_VALUE"""),"Yes")</f>
        <v>Yes</v>
      </c>
      <c r="U204" s="5" t="str">
        <f ca="1">IFERROR(__xludf.DUMMYFUNCTION("""COMPUTED_VALUE"""),"Yes")</f>
        <v>Yes</v>
      </c>
      <c r="V204" s="5" t="str">
        <f ca="1">IFERROR(__xludf.DUMMYFUNCTION("""COMPUTED_VALUE"""),"Yes")</f>
        <v>Yes</v>
      </c>
      <c r="W204" s="5" t="str">
        <f ca="1">IFERROR(__xludf.DUMMYFUNCTION("""COMPUTED_VALUE"""),"Yes")</f>
        <v>Yes</v>
      </c>
      <c r="X204" s="5" t="str">
        <f ca="1">IFERROR(__xludf.DUMMYFUNCTION("""COMPUTED_VALUE"""),"Yes")</f>
        <v>Yes</v>
      </c>
      <c r="Y204" s="5" t="str">
        <f ca="1">IFERROR(__xludf.DUMMYFUNCTION("""COMPUTED_VALUE"""),"Yes")</f>
        <v>Yes</v>
      </c>
      <c r="Z204" s="5" t="str">
        <f ca="1">IFERROR(__xludf.DUMMYFUNCTION("""COMPUTED_VALUE"""),"No")</f>
        <v>No</v>
      </c>
      <c r="AA204" s="5" t="str">
        <f ca="1">IFERROR(__xludf.DUMMYFUNCTION("""COMPUTED_VALUE"""),"Yes")</f>
        <v>Yes</v>
      </c>
      <c r="AB204" s="5" t="str">
        <f ca="1">IFERROR(__xludf.DUMMYFUNCTION("""COMPUTED_VALUE"""),"Yes")</f>
        <v>Yes</v>
      </c>
      <c r="AC204" s="5" t="str">
        <f ca="1">IFERROR(__xludf.DUMMYFUNCTION("""COMPUTED_VALUE"""),"Yes")</f>
        <v>Yes</v>
      </c>
      <c r="AD204" s="5" t="str">
        <f ca="1">IFERROR(__xludf.DUMMYFUNCTION("""COMPUTED_VALUE"""),"Yes")</f>
        <v>Yes</v>
      </c>
      <c r="AE204" s="5" t="str">
        <f ca="1">IFERROR(__xludf.DUMMYFUNCTION("""COMPUTED_VALUE"""),"No")</f>
        <v>No</v>
      </c>
      <c r="AF204" s="5" t="str">
        <f ca="1">IFERROR(__xludf.DUMMYFUNCTION("""COMPUTED_VALUE"""),"Yes")</f>
        <v>Yes</v>
      </c>
      <c r="AG204" s="5" t="str">
        <f ca="1">IFERROR(__xludf.DUMMYFUNCTION("""COMPUTED_VALUE"""),"No")</f>
        <v>No</v>
      </c>
      <c r="AH204" s="5" t="str">
        <f ca="1">IFERROR(__xludf.DUMMYFUNCTION("""COMPUTED_VALUE"""),"No")</f>
        <v>No</v>
      </c>
      <c r="AI204" s="5" t="str">
        <f ca="1">IFERROR(__xludf.DUMMYFUNCTION("""COMPUTED_VALUE"""),"No")</f>
        <v>No</v>
      </c>
      <c r="AJ204" s="5" t="str">
        <f ca="1">IFERROR(__xludf.DUMMYFUNCTION("""COMPUTED_VALUE"""),"No")</f>
        <v>No</v>
      </c>
      <c r="AK204" s="5" t="str">
        <f ca="1">IFERROR(__xludf.DUMMYFUNCTION("""COMPUTED_VALUE"""),"No")</f>
        <v>No</v>
      </c>
      <c r="AL204" s="5" t="str">
        <f ca="1">IFERROR(__xludf.DUMMYFUNCTION("""COMPUTED_VALUE"""),"No")</f>
        <v>No</v>
      </c>
      <c r="AM204" s="5"/>
      <c r="AN204" s="5"/>
      <c r="AO204" s="5"/>
      <c r="AP204" s="5"/>
      <c r="AQ204" s="5"/>
      <c r="AR204" s="5"/>
      <c r="AS204" s="5"/>
      <c r="AT204" s="5"/>
      <c r="AU204" s="5"/>
      <c r="AV204" s="5"/>
      <c r="AW204" s="5"/>
      <c r="AX204" s="5"/>
      <c r="AY204" s="5"/>
    </row>
    <row r="205" spans="1:51" x14ac:dyDescent="0.25">
      <c r="A2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5" s="5">
        <f ca="1">IFERROR(__xludf.DUMMYFUNCTION("""COMPUTED_VALUE"""),205)</f>
        <v>205</v>
      </c>
      <c r="C205" s="5">
        <f ca="1">IFERROR(__xludf.DUMMYFUNCTION("""COMPUTED_VALUE"""),204)</f>
        <v>204</v>
      </c>
      <c r="D205" s="5" t="str">
        <f ca="1">IFERROR(__xludf.DUMMYFUNCTION("""COMPUTED_VALUE"""),"FruitsAndStarsChristmas")</f>
        <v>FruitsAndStarsChristmas</v>
      </c>
      <c r="E205" s="5" t="str">
        <f ca="1">IFERROR(__xludf.DUMMYFUNCTION("""COMPUTED_VALUE"""),"Yes")</f>
        <v>Yes</v>
      </c>
      <c r="F205" s="5" t="str">
        <f ca="1">IFERROR(__xludf.DUMMYFUNCTION("""COMPUTED_VALUE"""),"Yes")</f>
        <v>Yes</v>
      </c>
      <c r="G205" s="5" t="str">
        <f ca="1">IFERROR(__xludf.DUMMYFUNCTION("""COMPUTED_VALUE"""),"Yes")</f>
        <v>Yes</v>
      </c>
      <c r="H205" s="5" t="str">
        <f ca="1">IFERROR(__xludf.DUMMYFUNCTION("""COMPUTED_VALUE"""),"Yes")</f>
        <v>Yes</v>
      </c>
      <c r="I205" s="5" t="str">
        <f ca="1">IFERROR(__xludf.DUMMYFUNCTION("""COMPUTED_VALUE"""),"Yes")</f>
        <v>Yes</v>
      </c>
      <c r="J205" s="5" t="str">
        <f ca="1">IFERROR(__xludf.DUMMYFUNCTION("""COMPUTED_VALUE"""),"Yes")</f>
        <v>Yes</v>
      </c>
      <c r="K205" s="5" t="str">
        <f ca="1">IFERROR(__xludf.DUMMYFUNCTION("""COMPUTED_VALUE"""),"Yes")</f>
        <v>Yes</v>
      </c>
      <c r="L205" s="5" t="str">
        <f ca="1">IFERROR(__xludf.DUMMYFUNCTION("""COMPUTED_VALUE"""),"Yes")</f>
        <v>Yes</v>
      </c>
      <c r="M205" s="5" t="str">
        <f ca="1">IFERROR(__xludf.DUMMYFUNCTION("""COMPUTED_VALUE"""),"Yes")</f>
        <v>Yes</v>
      </c>
      <c r="N205" s="5" t="str">
        <f ca="1">IFERROR(__xludf.DUMMYFUNCTION("""COMPUTED_VALUE"""),"Yes")</f>
        <v>Yes</v>
      </c>
      <c r="O205" s="5" t="str">
        <f ca="1">IFERROR(__xludf.DUMMYFUNCTION("""COMPUTED_VALUE"""),"Yes")</f>
        <v>Yes</v>
      </c>
      <c r="P205" s="5" t="str">
        <f ca="1">IFERROR(__xludf.DUMMYFUNCTION("""COMPUTED_VALUE"""),"Yes")</f>
        <v>Yes</v>
      </c>
      <c r="Q205" s="5" t="str">
        <f ca="1">IFERROR(__xludf.DUMMYFUNCTION("""COMPUTED_VALUE"""),"Yes")</f>
        <v>Yes</v>
      </c>
      <c r="R205" s="5" t="str">
        <f ca="1">IFERROR(__xludf.DUMMYFUNCTION("""COMPUTED_VALUE"""),"Yes")</f>
        <v>Yes</v>
      </c>
      <c r="S205" s="5" t="str">
        <f ca="1">IFERROR(__xludf.DUMMYFUNCTION("""COMPUTED_VALUE"""),"Yes")</f>
        <v>Yes</v>
      </c>
      <c r="T205" s="5" t="str">
        <f ca="1">IFERROR(__xludf.DUMMYFUNCTION("""COMPUTED_VALUE"""),"Yes")</f>
        <v>Yes</v>
      </c>
      <c r="U205" s="5" t="str">
        <f ca="1">IFERROR(__xludf.DUMMYFUNCTION("""COMPUTED_VALUE"""),"Yes")</f>
        <v>Yes</v>
      </c>
      <c r="V205" s="5" t="str">
        <f ca="1">IFERROR(__xludf.DUMMYFUNCTION("""COMPUTED_VALUE"""),"Yes")</f>
        <v>Yes</v>
      </c>
      <c r="W205" s="5" t="str">
        <f ca="1">IFERROR(__xludf.DUMMYFUNCTION("""COMPUTED_VALUE"""),"Yes")</f>
        <v>Yes</v>
      </c>
      <c r="X205" s="5" t="str">
        <f ca="1">IFERROR(__xludf.DUMMYFUNCTION("""COMPUTED_VALUE"""),"Yes")</f>
        <v>Yes</v>
      </c>
      <c r="Y205" s="5" t="str">
        <f ca="1">IFERROR(__xludf.DUMMYFUNCTION("""COMPUTED_VALUE"""),"Yes")</f>
        <v>Yes</v>
      </c>
      <c r="Z205" s="5" t="str">
        <f ca="1">IFERROR(__xludf.DUMMYFUNCTION("""COMPUTED_VALUE"""),"No")</f>
        <v>No</v>
      </c>
      <c r="AA205" s="5" t="str">
        <f ca="1">IFERROR(__xludf.DUMMYFUNCTION("""COMPUTED_VALUE"""),"Yes")</f>
        <v>Yes</v>
      </c>
      <c r="AB205" s="5" t="str">
        <f ca="1">IFERROR(__xludf.DUMMYFUNCTION("""COMPUTED_VALUE"""),"Yes")</f>
        <v>Yes</v>
      </c>
      <c r="AC205" s="5" t="str">
        <f ca="1">IFERROR(__xludf.DUMMYFUNCTION("""COMPUTED_VALUE"""),"Yes")</f>
        <v>Yes</v>
      </c>
      <c r="AD205" s="5" t="str">
        <f ca="1">IFERROR(__xludf.DUMMYFUNCTION("""COMPUTED_VALUE"""),"Yes")</f>
        <v>Yes</v>
      </c>
      <c r="AE205" s="5" t="str">
        <f ca="1">IFERROR(__xludf.DUMMYFUNCTION("""COMPUTED_VALUE"""),"No")</f>
        <v>No</v>
      </c>
      <c r="AF205" s="5" t="str">
        <f ca="1">IFERROR(__xludf.DUMMYFUNCTION("""COMPUTED_VALUE"""),"Yes")</f>
        <v>Yes</v>
      </c>
      <c r="AG205" s="5" t="str">
        <f ca="1">IFERROR(__xludf.DUMMYFUNCTION("""COMPUTED_VALUE"""),"No")</f>
        <v>No</v>
      </c>
      <c r="AH205" s="5" t="str">
        <f ca="1">IFERROR(__xludf.DUMMYFUNCTION("""COMPUTED_VALUE"""),"No")</f>
        <v>No</v>
      </c>
      <c r="AI205" s="5" t="str">
        <f ca="1">IFERROR(__xludf.DUMMYFUNCTION("""COMPUTED_VALUE"""),"No")</f>
        <v>No</v>
      </c>
      <c r="AJ205" s="5" t="str">
        <f ca="1">IFERROR(__xludf.DUMMYFUNCTION("""COMPUTED_VALUE"""),"No")</f>
        <v>No</v>
      </c>
      <c r="AK205" s="5" t="str">
        <f ca="1">IFERROR(__xludf.DUMMYFUNCTION("""COMPUTED_VALUE"""),"No")</f>
        <v>No</v>
      </c>
      <c r="AL205" s="5" t="str">
        <f ca="1">IFERROR(__xludf.DUMMYFUNCTION("""COMPUTED_VALUE"""),"No")</f>
        <v>No</v>
      </c>
      <c r="AM205" s="5"/>
      <c r="AN205" s="5"/>
      <c r="AO205" s="5"/>
      <c r="AP205" s="5"/>
      <c r="AQ205" s="5"/>
      <c r="AR205" s="5"/>
      <c r="AS205" s="5"/>
      <c r="AT205" s="5"/>
      <c r="AU205" s="5"/>
      <c r="AV205" s="5"/>
      <c r="AW205" s="5"/>
      <c r="AX205" s="5"/>
      <c r="AY205" s="5"/>
    </row>
    <row r="206" spans="1:51" x14ac:dyDescent="0.25">
      <c r="A2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6" s="5">
        <f ca="1">IFERROR(__xludf.DUMMYFUNCTION("""COMPUTED_VALUE"""),206)</f>
        <v>206</v>
      </c>
      <c r="C206" s="5">
        <f ca="1">IFERROR(__xludf.DUMMYFUNCTION("""COMPUTED_VALUE"""),205)</f>
        <v>205</v>
      </c>
      <c r="D206" s="5" t="str">
        <f ca="1">IFERROR(__xludf.DUMMYFUNCTION("""COMPUTED_VALUE"""),"HotStarsChristmas")</f>
        <v>HotStarsChristmas</v>
      </c>
      <c r="E206" s="5" t="str">
        <f ca="1">IFERROR(__xludf.DUMMYFUNCTION("""COMPUTED_VALUE"""),"Yes")</f>
        <v>Yes</v>
      </c>
      <c r="F206" s="5" t="str">
        <f ca="1">IFERROR(__xludf.DUMMYFUNCTION("""COMPUTED_VALUE"""),"Yes")</f>
        <v>Yes</v>
      </c>
      <c r="G206" s="5" t="str">
        <f ca="1">IFERROR(__xludf.DUMMYFUNCTION("""COMPUTED_VALUE"""),"Yes")</f>
        <v>Yes</v>
      </c>
      <c r="H206" s="5" t="str">
        <f ca="1">IFERROR(__xludf.DUMMYFUNCTION("""COMPUTED_VALUE"""),"Yes")</f>
        <v>Yes</v>
      </c>
      <c r="I206" s="5" t="str">
        <f ca="1">IFERROR(__xludf.DUMMYFUNCTION("""COMPUTED_VALUE"""),"Yes")</f>
        <v>Yes</v>
      </c>
      <c r="J206" s="5" t="str">
        <f ca="1">IFERROR(__xludf.DUMMYFUNCTION("""COMPUTED_VALUE"""),"Yes")</f>
        <v>Yes</v>
      </c>
      <c r="K206" s="5" t="str">
        <f ca="1">IFERROR(__xludf.DUMMYFUNCTION("""COMPUTED_VALUE"""),"Yes")</f>
        <v>Yes</v>
      </c>
      <c r="L206" s="5" t="str">
        <f ca="1">IFERROR(__xludf.DUMMYFUNCTION("""COMPUTED_VALUE"""),"Yes")</f>
        <v>Yes</v>
      </c>
      <c r="M206" s="5" t="str">
        <f ca="1">IFERROR(__xludf.DUMMYFUNCTION("""COMPUTED_VALUE"""),"Yes")</f>
        <v>Yes</v>
      </c>
      <c r="N206" s="5" t="str">
        <f ca="1">IFERROR(__xludf.DUMMYFUNCTION("""COMPUTED_VALUE"""),"Yes")</f>
        <v>Yes</v>
      </c>
      <c r="O206" s="5" t="str">
        <f ca="1">IFERROR(__xludf.DUMMYFUNCTION("""COMPUTED_VALUE"""),"Yes")</f>
        <v>Yes</v>
      </c>
      <c r="P206" s="5" t="str">
        <f ca="1">IFERROR(__xludf.DUMMYFUNCTION("""COMPUTED_VALUE"""),"Yes")</f>
        <v>Yes</v>
      </c>
      <c r="Q206" s="5" t="str">
        <f ca="1">IFERROR(__xludf.DUMMYFUNCTION("""COMPUTED_VALUE"""),"Yes")</f>
        <v>Yes</v>
      </c>
      <c r="R206" s="5" t="str">
        <f ca="1">IFERROR(__xludf.DUMMYFUNCTION("""COMPUTED_VALUE"""),"Yes")</f>
        <v>Yes</v>
      </c>
      <c r="S206" s="5" t="str">
        <f ca="1">IFERROR(__xludf.DUMMYFUNCTION("""COMPUTED_VALUE"""),"Yes")</f>
        <v>Yes</v>
      </c>
      <c r="T206" s="5" t="str">
        <f ca="1">IFERROR(__xludf.DUMMYFUNCTION("""COMPUTED_VALUE"""),"Yes")</f>
        <v>Yes</v>
      </c>
      <c r="U206" s="5" t="str">
        <f ca="1">IFERROR(__xludf.DUMMYFUNCTION("""COMPUTED_VALUE"""),"Yes")</f>
        <v>Yes</v>
      </c>
      <c r="V206" s="5" t="str">
        <f ca="1">IFERROR(__xludf.DUMMYFUNCTION("""COMPUTED_VALUE"""),"Yes")</f>
        <v>Yes</v>
      </c>
      <c r="W206" s="5" t="str">
        <f ca="1">IFERROR(__xludf.DUMMYFUNCTION("""COMPUTED_VALUE"""),"Yes")</f>
        <v>Yes</v>
      </c>
      <c r="X206" s="5" t="str">
        <f ca="1">IFERROR(__xludf.DUMMYFUNCTION("""COMPUTED_VALUE"""),"Yes")</f>
        <v>Yes</v>
      </c>
      <c r="Y206" s="5" t="str">
        <f ca="1">IFERROR(__xludf.DUMMYFUNCTION("""COMPUTED_VALUE"""),"Yes")</f>
        <v>Yes</v>
      </c>
      <c r="Z206" s="5" t="str">
        <f ca="1">IFERROR(__xludf.DUMMYFUNCTION("""COMPUTED_VALUE"""),"No")</f>
        <v>No</v>
      </c>
      <c r="AA206" s="5" t="str">
        <f ca="1">IFERROR(__xludf.DUMMYFUNCTION("""COMPUTED_VALUE"""),"Yes")</f>
        <v>Yes</v>
      </c>
      <c r="AB206" s="5" t="str">
        <f ca="1">IFERROR(__xludf.DUMMYFUNCTION("""COMPUTED_VALUE"""),"Yes")</f>
        <v>Yes</v>
      </c>
      <c r="AC206" s="5" t="str">
        <f ca="1">IFERROR(__xludf.DUMMYFUNCTION("""COMPUTED_VALUE"""),"Yes")</f>
        <v>Yes</v>
      </c>
      <c r="AD206" s="5" t="str">
        <f ca="1">IFERROR(__xludf.DUMMYFUNCTION("""COMPUTED_VALUE"""),"Yes")</f>
        <v>Yes</v>
      </c>
      <c r="AE206" s="5" t="str">
        <f ca="1">IFERROR(__xludf.DUMMYFUNCTION("""COMPUTED_VALUE"""),"No")</f>
        <v>No</v>
      </c>
      <c r="AF206" s="5" t="str">
        <f ca="1">IFERROR(__xludf.DUMMYFUNCTION("""COMPUTED_VALUE"""),"Yes")</f>
        <v>Yes</v>
      </c>
      <c r="AG206" s="5" t="str">
        <f ca="1">IFERROR(__xludf.DUMMYFUNCTION("""COMPUTED_VALUE"""),"No")</f>
        <v>No</v>
      </c>
      <c r="AH206" s="5" t="str">
        <f ca="1">IFERROR(__xludf.DUMMYFUNCTION("""COMPUTED_VALUE"""),"No")</f>
        <v>No</v>
      </c>
      <c r="AI206" s="5" t="str">
        <f ca="1">IFERROR(__xludf.DUMMYFUNCTION("""COMPUTED_VALUE"""),"No")</f>
        <v>No</v>
      </c>
      <c r="AJ206" s="5" t="str">
        <f ca="1">IFERROR(__xludf.DUMMYFUNCTION("""COMPUTED_VALUE"""),"No")</f>
        <v>No</v>
      </c>
      <c r="AK206" s="5" t="str">
        <f ca="1">IFERROR(__xludf.DUMMYFUNCTION("""COMPUTED_VALUE"""),"No")</f>
        <v>No</v>
      </c>
      <c r="AL206" s="5" t="str">
        <f ca="1">IFERROR(__xludf.DUMMYFUNCTION("""COMPUTED_VALUE"""),"No")</f>
        <v>No</v>
      </c>
      <c r="AM206" s="5"/>
      <c r="AN206" s="5"/>
      <c r="AO206" s="5"/>
      <c r="AP206" s="5"/>
      <c r="AQ206" s="5"/>
      <c r="AR206" s="5"/>
      <c r="AS206" s="5"/>
      <c r="AT206" s="5"/>
      <c r="AU206" s="5"/>
      <c r="AV206" s="5"/>
      <c r="AW206" s="5"/>
      <c r="AX206" s="5"/>
      <c r="AY206" s="5"/>
    </row>
    <row r="207" spans="1:51" x14ac:dyDescent="0.25">
      <c r="A2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7" s="5">
        <f ca="1">IFERROR(__xludf.DUMMYFUNCTION("""COMPUTED_VALUE"""),207)</f>
        <v>207</v>
      </c>
      <c r="C207" s="5">
        <f ca="1">IFERROR(__xludf.DUMMYFUNCTION("""COMPUTED_VALUE"""),206)</f>
        <v>206</v>
      </c>
      <c r="D207" s="5" t="str">
        <f ca="1">IFERROR(__xludf.DUMMYFUNCTION("""COMPUTED_VALUE"""),"TurboHot40Christmas")</f>
        <v>TurboHot40Christmas</v>
      </c>
      <c r="E207" s="5" t="str">
        <f ca="1">IFERROR(__xludf.DUMMYFUNCTION("""COMPUTED_VALUE"""),"Yes")</f>
        <v>Yes</v>
      </c>
      <c r="F207" s="5" t="str">
        <f ca="1">IFERROR(__xludf.DUMMYFUNCTION("""COMPUTED_VALUE"""),"Yes")</f>
        <v>Yes</v>
      </c>
      <c r="G207" s="5" t="str">
        <f ca="1">IFERROR(__xludf.DUMMYFUNCTION("""COMPUTED_VALUE"""),"Yes")</f>
        <v>Yes</v>
      </c>
      <c r="H207" s="5" t="str">
        <f ca="1">IFERROR(__xludf.DUMMYFUNCTION("""COMPUTED_VALUE"""),"Yes")</f>
        <v>Yes</v>
      </c>
      <c r="I207" s="5" t="str">
        <f ca="1">IFERROR(__xludf.DUMMYFUNCTION("""COMPUTED_VALUE"""),"Yes")</f>
        <v>Yes</v>
      </c>
      <c r="J207" s="5" t="str">
        <f ca="1">IFERROR(__xludf.DUMMYFUNCTION("""COMPUTED_VALUE"""),"Yes")</f>
        <v>Yes</v>
      </c>
      <c r="K207" s="5" t="str">
        <f ca="1">IFERROR(__xludf.DUMMYFUNCTION("""COMPUTED_VALUE"""),"Yes")</f>
        <v>Yes</v>
      </c>
      <c r="L207" s="5" t="str">
        <f ca="1">IFERROR(__xludf.DUMMYFUNCTION("""COMPUTED_VALUE"""),"Yes")</f>
        <v>Yes</v>
      </c>
      <c r="M207" s="5" t="str">
        <f ca="1">IFERROR(__xludf.DUMMYFUNCTION("""COMPUTED_VALUE"""),"Yes")</f>
        <v>Yes</v>
      </c>
      <c r="N207" s="5" t="str">
        <f ca="1">IFERROR(__xludf.DUMMYFUNCTION("""COMPUTED_VALUE"""),"Yes")</f>
        <v>Yes</v>
      </c>
      <c r="O207" s="5" t="str">
        <f ca="1">IFERROR(__xludf.DUMMYFUNCTION("""COMPUTED_VALUE"""),"Yes")</f>
        <v>Yes</v>
      </c>
      <c r="P207" s="5" t="str">
        <f ca="1">IFERROR(__xludf.DUMMYFUNCTION("""COMPUTED_VALUE"""),"Yes")</f>
        <v>Yes</v>
      </c>
      <c r="Q207" s="5" t="str">
        <f ca="1">IFERROR(__xludf.DUMMYFUNCTION("""COMPUTED_VALUE"""),"Yes")</f>
        <v>Yes</v>
      </c>
      <c r="R207" s="5" t="str">
        <f ca="1">IFERROR(__xludf.DUMMYFUNCTION("""COMPUTED_VALUE"""),"Yes")</f>
        <v>Yes</v>
      </c>
      <c r="S207" s="5" t="str">
        <f ca="1">IFERROR(__xludf.DUMMYFUNCTION("""COMPUTED_VALUE"""),"Yes")</f>
        <v>Yes</v>
      </c>
      <c r="T207" s="5" t="str">
        <f ca="1">IFERROR(__xludf.DUMMYFUNCTION("""COMPUTED_VALUE"""),"Yes")</f>
        <v>Yes</v>
      </c>
      <c r="U207" s="5" t="str">
        <f ca="1">IFERROR(__xludf.DUMMYFUNCTION("""COMPUTED_VALUE"""),"Yes")</f>
        <v>Yes</v>
      </c>
      <c r="V207" s="5" t="str">
        <f ca="1">IFERROR(__xludf.DUMMYFUNCTION("""COMPUTED_VALUE"""),"Yes")</f>
        <v>Yes</v>
      </c>
      <c r="W207" s="5" t="str">
        <f ca="1">IFERROR(__xludf.DUMMYFUNCTION("""COMPUTED_VALUE"""),"Yes")</f>
        <v>Yes</v>
      </c>
      <c r="X207" s="5" t="str">
        <f ca="1">IFERROR(__xludf.DUMMYFUNCTION("""COMPUTED_VALUE"""),"Yes")</f>
        <v>Yes</v>
      </c>
      <c r="Y207" s="5" t="str">
        <f ca="1">IFERROR(__xludf.DUMMYFUNCTION("""COMPUTED_VALUE"""),"Yes")</f>
        <v>Yes</v>
      </c>
      <c r="Z207" s="5" t="str">
        <f ca="1">IFERROR(__xludf.DUMMYFUNCTION("""COMPUTED_VALUE"""),"No")</f>
        <v>No</v>
      </c>
      <c r="AA207" s="5" t="str">
        <f ca="1">IFERROR(__xludf.DUMMYFUNCTION("""COMPUTED_VALUE"""),"Yes")</f>
        <v>Yes</v>
      </c>
      <c r="AB207" s="5" t="str">
        <f ca="1">IFERROR(__xludf.DUMMYFUNCTION("""COMPUTED_VALUE"""),"Yes")</f>
        <v>Yes</v>
      </c>
      <c r="AC207" s="5" t="str">
        <f ca="1">IFERROR(__xludf.DUMMYFUNCTION("""COMPUTED_VALUE"""),"Yes")</f>
        <v>Yes</v>
      </c>
      <c r="AD207" s="5" t="str">
        <f ca="1">IFERROR(__xludf.DUMMYFUNCTION("""COMPUTED_VALUE"""),"Yes")</f>
        <v>Yes</v>
      </c>
      <c r="AE207" s="5" t="str">
        <f ca="1">IFERROR(__xludf.DUMMYFUNCTION("""COMPUTED_VALUE"""),"No")</f>
        <v>No</v>
      </c>
      <c r="AF207" s="5" t="str">
        <f ca="1">IFERROR(__xludf.DUMMYFUNCTION("""COMPUTED_VALUE"""),"Yes")</f>
        <v>Yes</v>
      </c>
      <c r="AG207" s="5" t="str">
        <f ca="1">IFERROR(__xludf.DUMMYFUNCTION("""COMPUTED_VALUE"""),"No")</f>
        <v>No</v>
      </c>
      <c r="AH207" s="5" t="str">
        <f ca="1">IFERROR(__xludf.DUMMYFUNCTION("""COMPUTED_VALUE"""),"No")</f>
        <v>No</v>
      </c>
      <c r="AI207" s="5" t="str">
        <f ca="1">IFERROR(__xludf.DUMMYFUNCTION("""COMPUTED_VALUE"""),"No")</f>
        <v>No</v>
      </c>
      <c r="AJ207" s="5" t="str">
        <f ca="1">IFERROR(__xludf.DUMMYFUNCTION("""COMPUTED_VALUE"""),"No")</f>
        <v>No</v>
      </c>
      <c r="AK207" s="5" t="str">
        <f ca="1">IFERROR(__xludf.DUMMYFUNCTION("""COMPUTED_VALUE"""),"No")</f>
        <v>No</v>
      </c>
      <c r="AL207" s="5" t="str">
        <f ca="1">IFERROR(__xludf.DUMMYFUNCTION("""COMPUTED_VALUE"""),"No")</f>
        <v>No</v>
      </c>
      <c r="AM207" s="5"/>
      <c r="AN207" s="5"/>
      <c r="AO207" s="5"/>
      <c r="AP207" s="5"/>
      <c r="AQ207" s="5"/>
      <c r="AR207" s="5"/>
      <c r="AS207" s="5"/>
      <c r="AT207" s="5"/>
      <c r="AU207" s="5"/>
      <c r="AV207" s="5"/>
      <c r="AW207" s="5"/>
      <c r="AX207" s="5"/>
      <c r="AY207" s="5"/>
    </row>
    <row r="208" spans="1:51" x14ac:dyDescent="0.25">
      <c r="A2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8" s="5">
        <f ca="1">IFERROR(__xludf.DUMMYFUNCTION("""COMPUTED_VALUE"""),208)</f>
        <v>208</v>
      </c>
      <c r="C208" s="5">
        <f ca="1">IFERROR(__xludf.DUMMYFUNCTION("""COMPUTED_VALUE"""),207)</f>
        <v>207</v>
      </c>
      <c r="D208" s="5" t="str">
        <f ca="1">IFERROR(__xludf.DUMMYFUNCTION("""COMPUTED_VALUE"""),"Retro7HotChristmas")</f>
        <v>Retro7HotChristmas</v>
      </c>
      <c r="E208" s="5" t="str">
        <f ca="1">IFERROR(__xludf.DUMMYFUNCTION("""COMPUTED_VALUE"""),"Yes")</f>
        <v>Yes</v>
      </c>
      <c r="F208" s="5" t="str">
        <f ca="1">IFERROR(__xludf.DUMMYFUNCTION("""COMPUTED_VALUE"""),"Yes")</f>
        <v>Yes</v>
      </c>
      <c r="G208" s="5" t="str">
        <f ca="1">IFERROR(__xludf.DUMMYFUNCTION("""COMPUTED_VALUE"""),"Yes")</f>
        <v>Yes</v>
      </c>
      <c r="H208" s="5" t="str">
        <f ca="1">IFERROR(__xludf.DUMMYFUNCTION("""COMPUTED_VALUE"""),"Yes")</f>
        <v>Yes</v>
      </c>
      <c r="I208" s="5" t="str">
        <f ca="1">IFERROR(__xludf.DUMMYFUNCTION("""COMPUTED_VALUE"""),"Yes")</f>
        <v>Yes</v>
      </c>
      <c r="J208" s="5" t="str">
        <f ca="1">IFERROR(__xludf.DUMMYFUNCTION("""COMPUTED_VALUE"""),"Yes")</f>
        <v>Yes</v>
      </c>
      <c r="K208" s="5" t="str">
        <f ca="1">IFERROR(__xludf.DUMMYFUNCTION("""COMPUTED_VALUE"""),"Yes")</f>
        <v>Yes</v>
      </c>
      <c r="L208" s="5" t="str">
        <f ca="1">IFERROR(__xludf.DUMMYFUNCTION("""COMPUTED_VALUE"""),"Yes")</f>
        <v>Yes</v>
      </c>
      <c r="M208" s="5" t="str">
        <f ca="1">IFERROR(__xludf.DUMMYFUNCTION("""COMPUTED_VALUE"""),"Yes")</f>
        <v>Yes</v>
      </c>
      <c r="N208" s="5" t="str">
        <f ca="1">IFERROR(__xludf.DUMMYFUNCTION("""COMPUTED_VALUE"""),"Yes")</f>
        <v>Yes</v>
      </c>
      <c r="O208" s="5" t="str">
        <f ca="1">IFERROR(__xludf.DUMMYFUNCTION("""COMPUTED_VALUE"""),"Yes")</f>
        <v>Yes</v>
      </c>
      <c r="P208" s="5" t="str">
        <f ca="1">IFERROR(__xludf.DUMMYFUNCTION("""COMPUTED_VALUE"""),"Yes")</f>
        <v>Yes</v>
      </c>
      <c r="Q208" s="5" t="str">
        <f ca="1">IFERROR(__xludf.DUMMYFUNCTION("""COMPUTED_VALUE"""),"Yes")</f>
        <v>Yes</v>
      </c>
      <c r="R208" s="5" t="str">
        <f ca="1">IFERROR(__xludf.DUMMYFUNCTION("""COMPUTED_VALUE"""),"Yes")</f>
        <v>Yes</v>
      </c>
      <c r="S208" s="5" t="str">
        <f ca="1">IFERROR(__xludf.DUMMYFUNCTION("""COMPUTED_VALUE"""),"Yes")</f>
        <v>Yes</v>
      </c>
      <c r="T208" s="5" t="str">
        <f ca="1">IFERROR(__xludf.DUMMYFUNCTION("""COMPUTED_VALUE"""),"Yes")</f>
        <v>Yes</v>
      </c>
      <c r="U208" s="5" t="str">
        <f ca="1">IFERROR(__xludf.DUMMYFUNCTION("""COMPUTED_VALUE"""),"Yes")</f>
        <v>Yes</v>
      </c>
      <c r="V208" s="5" t="str">
        <f ca="1">IFERROR(__xludf.DUMMYFUNCTION("""COMPUTED_VALUE"""),"Yes")</f>
        <v>Yes</v>
      </c>
      <c r="W208" s="5" t="str">
        <f ca="1">IFERROR(__xludf.DUMMYFUNCTION("""COMPUTED_VALUE"""),"Yes")</f>
        <v>Yes</v>
      </c>
      <c r="X208" s="5" t="str">
        <f ca="1">IFERROR(__xludf.DUMMYFUNCTION("""COMPUTED_VALUE"""),"Yes")</f>
        <v>Yes</v>
      </c>
      <c r="Y208" s="5" t="str">
        <f ca="1">IFERROR(__xludf.DUMMYFUNCTION("""COMPUTED_VALUE"""),"Yes")</f>
        <v>Yes</v>
      </c>
      <c r="Z208" s="5" t="str">
        <f ca="1">IFERROR(__xludf.DUMMYFUNCTION("""COMPUTED_VALUE"""),"No")</f>
        <v>No</v>
      </c>
      <c r="AA208" s="5" t="str">
        <f ca="1">IFERROR(__xludf.DUMMYFUNCTION("""COMPUTED_VALUE"""),"Yes")</f>
        <v>Yes</v>
      </c>
      <c r="AB208" s="5" t="str">
        <f ca="1">IFERROR(__xludf.DUMMYFUNCTION("""COMPUTED_VALUE"""),"Yes")</f>
        <v>Yes</v>
      </c>
      <c r="AC208" s="5" t="str">
        <f ca="1">IFERROR(__xludf.DUMMYFUNCTION("""COMPUTED_VALUE"""),"Yes")</f>
        <v>Yes</v>
      </c>
      <c r="AD208" s="5" t="str">
        <f ca="1">IFERROR(__xludf.DUMMYFUNCTION("""COMPUTED_VALUE"""),"Yes")</f>
        <v>Yes</v>
      </c>
      <c r="AE208" s="5" t="str">
        <f ca="1">IFERROR(__xludf.DUMMYFUNCTION("""COMPUTED_VALUE"""),"No")</f>
        <v>No</v>
      </c>
      <c r="AF208" s="5" t="str">
        <f ca="1">IFERROR(__xludf.DUMMYFUNCTION("""COMPUTED_VALUE"""),"Yes")</f>
        <v>Yes</v>
      </c>
      <c r="AG208" s="5" t="str">
        <f ca="1">IFERROR(__xludf.DUMMYFUNCTION("""COMPUTED_VALUE"""),"No")</f>
        <v>No</v>
      </c>
      <c r="AH208" s="5" t="str">
        <f ca="1">IFERROR(__xludf.DUMMYFUNCTION("""COMPUTED_VALUE"""),"No")</f>
        <v>No</v>
      </c>
      <c r="AI208" s="5" t="str">
        <f ca="1">IFERROR(__xludf.DUMMYFUNCTION("""COMPUTED_VALUE"""),"No")</f>
        <v>No</v>
      </c>
      <c r="AJ208" s="5" t="str">
        <f ca="1">IFERROR(__xludf.DUMMYFUNCTION("""COMPUTED_VALUE"""),"No")</f>
        <v>No</v>
      </c>
      <c r="AK208" s="5" t="str">
        <f ca="1">IFERROR(__xludf.DUMMYFUNCTION("""COMPUTED_VALUE"""),"No")</f>
        <v>No</v>
      </c>
      <c r="AL208" s="5" t="str">
        <f ca="1">IFERROR(__xludf.DUMMYFUNCTION("""COMPUTED_VALUE"""),"No")</f>
        <v>No</v>
      </c>
      <c r="AM208" s="5"/>
      <c r="AN208" s="5"/>
      <c r="AO208" s="5"/>
      <c r="AP208" s="5"/>
      <c r="AQ208" s="5"/>
      <c r="AR208" s="5"/>
      <c r="AS208" s="5"/>
      <c r="AT208" s="5"/>
      <c r="AU208" s="5"/>
      <c r="AV208" s="5"/>
      <c r="AW208" s="5"/>
      <c r="AX208" s="5"/>
      <c r="AY208" s="5"/>
    </row>
    <row r="209" spans="1:51" x14ac:dyDescent="0.25">
      <c r="A2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9" s="5">
        <f ca="1">IFERROR(__xludf.DUMMYFUNCTION("""COMPUTED_VALUE"""),209)</f>
        <v>209</v>
      </c>
      <c r="C209" s="5">
        <f ca="1">IFERROR(__xludf.DUMMYFUNCTION("""COMPUTED_VALUE"""),208)</f>
        <v>208</v>
      </c>
      <c r="D209" s="5" t="str">
        <f ca="1">IFERROR(__xludf.DUMMYFUNCTION("""COMPUTED_VALUE"""),"FruitsAndStars40Christmas")</f>
        <v>FruitsAndStars40Christmas</v>
      </c>
      <c r="E209" s="5" t="str">
        <f ca="1">IFERROR(__xludf.DUMMYFUNCTION("""COMPUTED_VALUE"""),"Yes")</f>
        <v>Yes</v>
      </c>
      <c r="F209" s="5" t="str">
        <f ca="1">IFERROR(__xludf.DUMMYFUNCTION("""COMPUTED_VALUE"""),"Yes")</f>
        <v>Yes</v>
      </c>
      <c r="G209" s="5" t="str">
        <f ca="1">IFERROR(__xludf.DUMMYFUNCTION("""COMPUTED_VALUE"""),"Yes")</f>
        <v>Yes</v>
      </c>
      <c r="H209" s="5" t="str">
        <f ca="1">IFERROR(__xludf.DUMMYFUNCTION("""COMPUTED_VALUE"""),"Yes")</f>
        <v>Yes</v>
      </c>
      <c r="I209" s="5" t="str">
        <f ca="1">IFERROR(__xludf.DUMMYFUNCTION("""COMPUTED_VALUE"""),"Yes")</f>
        <v>Yes</v>
      </c>
      <c r="J209" s="5" t="str">
        <f ca="1">IFERROR(__xludf.DUMMYFUNCTION("""COMPUTED_VALUE"""),"Yes")</f>
        <v>Yes</v>
      </c>
      <c r="K209" s="5" t="str">
        <f ca="1">IFERROR(__xludf.DUMMYFUNCTION("""COMPUTED_VALUE"""),"Yes")</f>
        <v>Yes</v>
      </c>
      <c r="L209" s="5" t="str">
        <f ca="1">IFERROR(__xludf.DUMMYFUNCTION("""COMPUTED_VALUE"""),"Yes")</f>
        <v>Yes</v>
      </c>
      <c r="M209" s="5" t="str">
        <f ca="1">IFERROR(__xludf.DUMMYFUNCTION("""COMPUTED_VALUE"""),"Yes")</f>
        <v>Yes</v>
      </c>
      <c r="N209" s="5" t="str">
        <f ca="1">IFERROR(__xludf.DUMMYFUNCTION("""COMPUTED_VALUE"""),"Yes")</f>
        <v>Yes</v>
      </c>
      <c r="O209" s="5" t="str">
        <f ca="1">IFERROR(__xludf.DUMMYFUNCTION("""COMPUTED_VALUE"""),"Yes")</f>
        <v>Yes</v>
      </c>
      <c r="P209" s="5" t="str">
        <f ca="1">IFERROR(__xludf.DUMMYFUNCTION("""COMPUTED_VALUE"""),"Yes")</f>
        <v>Yes</v>
      </c>
      <c r="Q209" s="5" t="str">
        <f ca="1">IFERROR(__xludf.DUMMYFUNCTION("""COMPUTED_VALUE"""),"Yes")</f>
        <v>Yes</v>
      </c>
      <c r="R209" s="5" t="str">
        <f ca="1">IFERROR(__xludf.DUMMYFUNCTION("""COMPUTED_VALUE"""),"Yes")</f>
        <v>Yes</v>
      </c>
      <c r="S209" s="5" t="str">
        <f ca="1">IFERROR(__xludf.DUMMYFUNCTION("""COMPUTED_VALUE"""),"Yes")</f>
        <v>Yes</v>
      </c>
      <c r="T209" s="5" t="str">
        <f ca="1">IFERROR(__xludf.DUMMYFUNCTION("""COMPUTED_VALUE"""),"Yes")</f>
        <v>Yes</v>
      </c>
      <c r="U209" s="5" t="str">
        <f ca="1">IFERROR(__xludf.DUMMYFUNCTION("""COMPUTED_VALUE"""),"Yes")</f>
        <v>Yes</v>
      </c>
      <c r="V209" s="5" t="str">
        <f ca="1">IFERROR(__xludf.DUMMYFUNCTION("""COMPUTED_VALUE"""),"Yes")</f>
        <v>Yes</v>
      </c>
      <c r="W209" s="5" t="str">
        <f ca="1">IFERROR(__xludf.DUMMYFUNCTION("""COMPUTED_VALUE"""),"Yes")</f>
        <v>Yes</v>
      </c>
      <c r="X209" s="5" t="str">
        <f ca="1">IFERROR(__xludf.DUMMYFUNCTION("""COMPUTED_VALUE"""),"Yes")</f>
        <v>Yes</v>
      </c>
      <c r="Y209" s="5" t="str">
        <f ca="1">IFERROR(__xludf.DUMMYFUNCTION("""COMPUTED_VALUE"""),"Yes")</f>
        <v>Yes</v>
      </c>
      <c r="Z209" s="5" t="str">
        <f ca="1">IFERROR(__xludf.DUMMYFUNCTION("""COMPUTED_VALUE"""),"No")</f>
        <v>No</v>
      </c>
      <c r="AA209" s="5" t="str">
        <f ca="1">IFERROR(__xludf.DUMMYFUNCTION("""COMPUTED_VALUE"""),"Yes")</f>
        <v>Yes</v>
      </c>
      <c r="AB209" s="5" t="str">
        <f ca="1">IFERROR(__xludf.DUMMYFUNCTION("""COMPUTED_VALUE"""),"Yes")</f>
        <v>Yes</v>
      </c>
      <c r="AC209" s="5" t="str">
        <f ca="1">IFERROR(__xludf.DUMMYFUNCTION("""COMPUTED_VALUE"""),"Yes")</f>
        <v>Yes</v>
      </c>
      <c r="AD209" s="5" t="str">
        <f ca="1">IFERROR(__xludf.DUMMYFUNCTION("""COMPUTED_VALUE"""),"Yes")</f>
        <v>Yes</v>
      </c>
      <c r="AE209" s="5" t="str">
        <f ca="1">IFERROR(__xludf.DUMMYFUNCTION("""COMPUTED_VALUE"""),"No")</f>
        <v>No</v>
      </c>
      <c r="AF209" s="5" t="str">
        <f ca="1">IFERROR(__xludf.DUMMYFUNCTION("""COMPUTED_VALUE"""),"Yes")</f>
        <v>Yes</v>
      </c>
      <c r="AG209" s="5" t="str">
        <f ca="1">IFERROR(__xludf.DUMMYFUNCTION("""COMPUTED_VALUE"""),"No")</f>
        <v>No</v>
      </c>
      <c r="AH209" s="5" t="str">
        <f ca="1">IFERROR(__xludf.DUMMYFUNCTION("""COMPUTED_VALUE"""),"No")</f>
        <v>No</v>
      </c>
      <c r="AI209" s="5" t="str">
        <f ca="1">IFERROR(__xludf.DUMMYFUNCTION("""COMPUTED_VALUE"""),"No")</f>
        <v>No</v>
      </c>
      <c r="AJ209" s="5" t="str">
        <f ca="1">IFERROR(__xludf.DUMMYFUNCTION("""COMPUTED_VALUE"""),"No")</f>
        <v>No</v>
      </c>
      <c r="AK209" s="5" t="str">
        <f ca="1">IFERROR(__xludf.DUMMYFUNCTION("""COMPUTED_VALUE"""),"No")</f>
        <v>No</v>
      </c>
      <c r="AL209" s="5" t="str">
        <f ca="1">IFERROR(__xludf.DUMMYFUNCTION("""COMPUTED_VALUE"""),"No")</f>
        <v>No</v>
      </c>
      <c r="AM209" s="5"/>
      <c r="AN209" s="5"/>
      <c r="AO209" s="5"/>
      <c r="AP209" s="5"/>
      <c r="AQ209" s="5"/>
      <c r="AR209" s="5"/>
      <c r="AS209" s="5"/>
      <c r="AT209" s="5"/>
      <c r="AU209" s="5"/>
      <c r="AV209" s="5"/>
      <c r="AW209" s="5"/>
      <c r="AX209" s="5"/>
      <c r="AY209" s="5"/>
    </row>
    <row r="210" spans="1:51" x14ac:dyDescent="0.25">
      <c r="A2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0" s="5">
        <f ca="1">IFERROR(__xludf.DUMMYFUNCTION("""COMPUTED_VALUE"""),210)</f>
        <v>210</v>
      </c>
      <c r="C210" s="5">
        <f ca="1">IFERROR(__xludf.DUMMYFUNCTION("""COMPUTED_VALUE"""),209)</f>
        <v>209</v>
      </c>
      <c r="D210" s="5" t="str">
        <f ca="1">IFERROR(__xludf.DUMMYFUNCTION("""COMPUTED_VALUE"""),"TwinklingHot40Christmas")</f>
        <v>TwinklingHot40Christmas</v>
      </c>
      <c r="E210" s="5" t="str">
        <f ca="1">IFERROR(__xludf.DUMMYFUNCTION("""COMPUTED_VALUE"""),"Yes")</f>
        <v>Yes</v>
      </c>
      <c r="F210" s="5" t="str">
        <f ca="1">IFERROR(__xludf.DUMMYFUNCTION("""COMPUTED_VALUE"""),"Yes")</f>
        <v>Yes</v>
      </c>
      <c r="G210" s="5" t="str">
        <f ca="1">IFERROR(__xludf.DUMMYFUNCTION("""COMPUTED_VALUE"""),"Yes")</f>
        <v>Yes</v>
      </c>
      <c r="H210" s="5" t="str">
        <f ca="1">IFERROR(__xludf.DUMMYFUNCTION("""COMPUTED_VALUE"""),"Yes")</f>
        <v>Yes</v>
      </c>
      <c r="I210" s="5" t="str">
        <f ca="1">IFERROR(__xludf.DUMMYFUNCTION("""COMPUTED_VALUE"""),"Yes")</f>
        <v>Yes</v>
      </c>
      <c r="J210" s="5" t="str">
        <f ca="1">IFERROR(__xludf.DUMMYFUNCTION("""COMPUTED_VALUE"""),"Yes")</f>
        <v>Yes</v>
      </c>
      <c r="K210" s="5" t="str">
        <f ca="1">IFERROR(__xludf.DUMMYFUNCTION("""COMPUTED_VALUE"""),"Yes")</f>
        <v>Yes</v>
      </c>
      <c r="L210" s="5" t="str">
        <f ca="1">IFERROR(__xludf.DUMMYFUNCTION("""COMPUTED_VALUE"""),"Yes")</f>
        <v>Yes</v>
      </c>
      <c r="M210" s="5" t="str">
        <f ca="1">IFERROR(__xludf.DUMMYFUNCTION("""COMPUTED_VALUE"""),"Yes")</f>
        <v>Yes</v>
      </c>
      <c r="N210" s="5" t="str">
        <f ca="1">IFERROR(__xludf.DUMMYFUNCTION("""COMPUTED_VALUE"""),"Yes")</f>
        <v>Yes</v>
      </c>
      <c r="O210" s="5" t="str">
        <f ca="1">IFERROR(__xludf.DUMMYFUNCTION("""COMPUTED_VALUE"""),"Yes")</f>
        <v>Yes</v>
      </c>
      <c r="P210" s="5" t="str">
        <f ca="1">IFERROR(__xludf.DUMMYFUNCTION("""COMPUTED_VALUE"""),"Yes")</f>
        <v>Yes</v>
      </c>
      <c r="Q210" s="5" t="str">
        <f ca="1">IFERROR(__xludf.DUMMYFUNCTION("""COMPUTED_VALUE"""),"Yes")</f>
        <v>Yes</v>
      </c>
      <c r="R210" s="5" t="str">
        <f ca="1">IFERROR(__xludf.DUMMYFUNCTION("""COMPUTED_VALUE"""),"Yes")</f>
        <v>Yes</v>
      </c>
      <c r="S210" s="5" t="str">
        <f ca="1">IFERROR(__xludf.DUMMYFUNCTION("""COMPUTED_VALUE"""),"Yes")</f>
        <v>Yes</v>
      </c>
      <c r="T210" s="5" t="str">
        <f ca="1">IFERROR(__xludf.DUMMYFUNCTION("""COMPUTED_VALUE"""),"Yes")</f>
        <v>Yes</v>
      </c>
      <c r="U210" s="5" t="str">
        <f ca="1">IFERROR(__xludf.DUMMYFUNCTION("""COMPUTED_VALUE"""),"Yes")</f>
        <v>Yes</v>
      </c>
      <c r="V210" s="5" t="str">
        <f ca="1">IFERROR(__xludf.DUMMYFUNCTION("""COMPUTED_VALUE"""),"Yes")</f>
        <v>Yes</v>
      </c>
      <c r="W210" s="5" t="str">
        <f ca="1">IFERROR(__xludf.DUMMYFUNCTION("""COMPUTED_VALUE"""),"Yes")</f>
        <v>Yes</v>
      </c>
      <c r="X210" s="5" t="str">
        <f ca="1">IFERROR(__xludf.DUMMYFUNCTION("""COMPUTED_VALUE"""),"Yes")</f>
        <v>Yes</v>
      </c>
      <c r="Y210" s="5" t="str">
        <f ca="1">IFERROR(__xludf.DUMMYFUNCTION("""COMPUTED_VALUE"""),"Yes")</f>
        <v>Yes</v>
      </c>
      <c r="Z210" s="5" t="str">
        <f ca="1">IFERROR(__xludf.DUMMYFUNCTION("""COMPUTED_VALUE"""),"No")</f>
        <v>No</v>
      </c>
      <c r="AA210" s="5" t="str">
        <f ca="1">IFERROR(__xludf.DUMMYFUNCTION("""COMPUTED_VALUE"""),"Yes")</f>
        <v>Yes</v>
      </c>
      <c r="AB210" s="5" t="str">
        <f ca="1">IFERROR(__xludf.DUMMYFUNCTION("""COMPUTED_VALUE"""),"Yes")</f>
        <v>Yes</v>
      </c>
      <c r="AC210" s="5" t="str">
        <f ca="1">IFERROR(__xludf.DUMMYFUNCTION("""COMPUTED_VALUE"""),"Yes")</f>
        <v>Yes</v>
      </c>
      <c r="AD210" s="5" t="str">
        <f ca="1">IFERROR(__xludf.DUMMYFUNCTION("""COMPUTED_VALUE"""),"Yes")</f>
        <v>Yes</v>
      </c>
      <c r="AE210" s="5" t="str">
        <f ca="1">IFERROR(__xludf.DUMMYFUNCTION("""COMPUTED_VALUE"""),"No")</f>
        <v>No</v>
      </c>
      <c r="AF210" s="5" t="str">
        <f ca="1">IFERROR(__xludf.DUMMYFUNCTION("""COMPUTED_VALUE"""),"Yes")</f>
        <v>Yes</v>
      </c>
      <c r="AG210" s="5" t="str">
        <f ca="1">IFERROR(__xludf.DUMMYFUNCTION("""COMPUTED_VALUE"""),"No")</f>
        <v>No</v>
      </c>
      <c r="AH210" s="5" t="str">
        <f ca="1">IFERROR(__xludf.DUMMYFUNCTION("""COMPUTED_VALUE"""),"No")</f>
        <v>No</v>
      </c>
      <c r="AI210" s="5" t="str">
        <f ca="1">IFERROR(__xludf.DUMMYFUNCTION("""COMPUTED_VALUE"""),"No")</f>
        <v>No</v>
      </c>
      <c r="AJ210" s="5" t="str">
        <f ca="1">IFERROR(__xludf.DUMMYFUNCTION("""COMPUTED_VALUE"""),"No")</f>
        <v>No</v>
      </c>
      <c r="AK210" s="5" t="str">
        <f ca="1">IFERROR(__xludf.DUMMYFUNCTION("""COMPUTED_VALUE"""),"No")</f>
        <v>No</v>
      </c>
      <c r="AL210" s="5" t="str">
        <f ca="1">IFERROR(__xludf.DUMMYFUNCTION("""COMPUTED_VALUE"""),"No")</f>
        <v>No</v>
      </c>
      <c r="AM210" s="5"/>
      <c r="AN210" s="5"/>
      <c r="AO210" s="5"/>
      <c r="AP210" s="5"/>
      <c r="AQ210" s="5"/>
      <c r="AR210" s="5"/>
      <c r="AS210" s="5"/>
      <c r="AT210" s="5"/>
      <c r="AU210" s="5"/>
      <c r="AV210" s="5"/>
      <c r="AW210" s="5"/>
      <c r="AX210" s="5"/>
      <c r="AY210" s="5"/>
    </row>
    <row r="211" spans="1:51" x14ac:dyDescent="0.25">
      <c r="A2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1" s="5">
        <f ca="1">IFERROR(__xludf.DUMMYFUNCTION("""COMPUTED_VALUE"""),211)</f>
        <v>211</v>
      </c>
      <c r="C211" s="5">
        <f ca="1">IFERROR(__xludf.DUMMYFUNCTION("""COMPUTED_VALUE"""),210)</f>
        <v>210</v>
      </c>
      <c r="D211" s="5" t="str">
        <f ca="1">IFERROR(__xludf.DUMMYFUNCTION("""COMPUTED_VALUE"""),"GoldenCrownChristmas")</f>
        <v>GoldenCrownChristmas</v>
      </c>
      <c r="E211" s="5" t="str">
        <f ca="1">IFERROR(__xludf.DUMMYFUNCTION("""COMPUTED_VALUE"""),"Yes")</f>
        <v>Yes</v>
      </c>
      <c r="F211" s="5" t="str">
        <f ca="1">IFERROR(__xludf.DUMMYFUNCTION("""COMPUTED_VALUE"""),"Yes")</f>
        <v>Yes</v>
      </c>
      <c r="G211" s="5" t="str">
        <f ca="1">IFERROR(__xludf.DUMMYFUNCTION("""COMPUTED_VALUE"""),"Yes")</f>
        <v>Yes</v>
      </c>
      <c r="H211" s="5" t="str">
        <f ca="1">IFERROR(__xludf.DUMMYFUNCTION("""COMPUTED_VALUE"""),"Yes")</f>
        <v>Yes</v>
      </c>
      <c r="I211" s="5" t="str">
        <f ca="1">IFERROR(__xludf.DUMMYFUNCTION("""COMPUTED_VALUE"""),"Yes")</f>
        <v>Yes</v>
      </c>
      <c r="J211" s="5" t="str">
        <f ca="1">IFERROR(__xludf.DUMMYFUNCTION("""COMPUTED_VALUE"""),"Yes")</f>
        <v>Yes</v>
      </c>
      <c r="K211" s="5" t="str">
        <f ca="1">IFERROR(__xludf.DUMMYFUNCTION("""COMPUTED_VALUE"""),"Yes")</f>
        <v>Yes</v>
      </c>
      <c r="L211" s="5" t="str">
        <f ca="1">IFERROR(__xludf.DUMMYFUNCTION("""COMPUTED_VALUE"""),"Yes")</f>
        <v>Yes</v>
      </c>
      <c r="M211" s="5" t="str">
        <f ca="1">IFERROR(__xludf.DUMMYFUNCTION("""COMPUTED_VALUE"""),"Yes")</f>
        <v>Yes</v>
      </c>
      <c r="N211" s="5" t="str">
        <f ca="1">IFERROR(__xludf.DUMMYFUNCTION("""COMPUTED_VALUE"""),"Yes")</f>
        <v>Yes</v>
      </c>
      <c r="O211" s="5" t="str">
        <f ca="1">IFERROR(__xludf.DUMMYFUNCTION("""COMPUTED_VALUE"""),"Yes")</f>
        <v>Yes</v>
      </c>
      <c r="P211" s="5" t="str">
        <f ca="1">IFERROR(__xludf.DUMMYFUNCTION("""COMPUTED_VALUE"""),"Yes")</f>
        <v>Yes</v>
      </c>
      <c r="Q211" s="5" t="str">
        <f ca="1">IFERROR(__xludf.DUMMYFUNCTION("""COMPUTED_VALUE"""),"Yes")</f>
        <v>Yes</v>
      </c>
      <c r="R211" s="5" t="str">
        <f ca="1">IFERROR(__xludf.DUMMYFUNCTION("""COMPUTED_VALUE"""),"Yes")</f>
        <v>Yes</v>
      </c>
      <c r="S211" s="5" t="str">
        <f ca="1">IFERROR(__xludf.DUMMYFUNCTION("""COMPUTED_VALUE"""),"Yes")</f>
        <v>Yes</v>
      </c>
      <c r="T211" s="5" t="str">
        <f ca="1">IFERROR(__xludf.DUMMYFUNCTION("""COMPUTED_VALUE"""),"Yes")</f>
        <v>Yes</v>
      </c>
      <c r="U211" s="5" t="str">
        <f ca="1">IFERROR(__xludf.DUMMYFUNCTION("""COMPUTED_VALUE"""),"Yes")</f>
        <v>Yes</v>
      </c>
      <c r="V211" s="5" t="str">
        <f ca="1">IFERROR(__xludf.DUMMYFUNCTION("""COMPUTED_VALUE"""),"Yes")</f>
        <v>Yes</v>
      </c>
      <c r="W211" s="5" t="str">
        <f ca="1">IFERROR(__xludf.DUMMYFUNCTION("""COMPUTED_VALUE"""),"Yes")</f>
        <v>Yes</v>
      </c>
      <c r="X211" s="5" t="str">
        <f ca="1">IFERROR(__xludf.DUMMYFUNCTION("""COMPUTED_VALUE"""),"Yes")</f>
        <v>Yes</v>
      </c>
      <c r="Y211" s="5" t="str">
        <f ca="1">IFERROR(__xludf.DUMMYFUNCTION("""COMPUTED_VALUE"""),"Yes")</f>
        <v>Yes</v>
      </c>
      <c r="Z211" s="5" t="str">
        <f ca="1">IFERROR(__xludf.DUMMYFUNCTION("""COMPUTED_VALUE"""),"No")</f>
        <v>No</v>
      </c>
      <c r="AA211" s="5" t="str">
        <f ca="1">IFERROR(__xludf.DUMMYFUNCTION("""COMPUTED_VALUE"""),"Yes")</f>
        <v>Yes</v>
      </c>
      <c r="AB211" s="5" t="str">
        <f ca="1">IFERROR(__xludf.DUMMYFUNCTION("""COMPUTED_VALUE"""),"Yes")</f>
        <v>Yes</v>
      </c>
      <c r="AC211" s="5" t="str">
        <f ca="1">IFERROR(__xludf.DUMMYFUNCTION("""COMPUTED_VALUE"""),"Yes")</f>
        <v>Yes</v>
      </c>
      <c r="AD211" s="5" t="str">
        <f ca="1">IFERROR(__xludf.DUMMYFUNCTION("""COMPUTED_VALUE"""),"Yes")</f>
        <v>Yes</v>
      </c>
      <c r="AE211" s="5" t="str">
        <f ca="1">IFERROR(__xludf.DUMMYFUNCTION("""COMPUTED_VALUE"""),"No")</f>
        <v>No</v>
      </c>
      <c r="AF211" s="5" t="str">
        <f ca="1">IFERROR(__xludf.DUMMYFUNCTION("""COMPUTED_VALUE"""),"Yes")</f>
        <v>Yes</v>
      </c>
      <c r="AG211" s="5" t="str">
        <f ca="1">IFERROR(__xludf.DUMMYFUNCTION("""COMPUTED_VALUE"""),"No")</f>
        <v>No</v>
      </c>
      <c r="AH211" s="5" t="str">
        <f ca="1">IFERROR(__xludf.DUMMYFUNCTION("""COMPUTED_VALUE"""),"No")</f>
        <v>No</v>
      </c>
      <c r="AI211" s="5" t="str">
        <f ca="1">IFERROR(__xludf.DUMMYFUNCTION("""COMPUTED_VALUE"""),"No")</f>
        <v>No</v>
      </c>
      <c r="AJ211" s="5" t="str">
        <f ca="1">IFERROR(__xludf.DUMMYFUNCTION("""COMPUTED_VALUE"""),"No")</f>
        <v>No</v>
      </c>
      <c r="AK211" s="5" t="str">
        <f ca="1">IFERROR(__xludf.DUMMYFUNCTION("""COMPUTED_VALUE"""),"No")</f>
        <v>No</v>
      </c>
      <c r="AL211" s="5" t="str">
        <f ca="1">IFERROR(__xludf.DUMMYFUNCTION("""COMPUTED_VALUE"""),"No")</f>
        <v>No</v>
      </c>
      <c r="AM211" s="5"/>
      <c r="AN211" s="5"/>
      <c r="AO211" s="5"/>
      <c r="AP211" s="5"/>
      <c r="AQ211" s="5"/>
      <c r="AR211" s="5"/>
      <c r="AS211" s="5"/>
      <c r="AT211" s="5"/>
      <c r="AU211" s="5"/>
      <c r="AV211" s="5"/>
      <c r="AW211" s="5"/>
      <c r="AX211" s="5"/>
      <c r="AY211" s="5"/>
    </row>
    <row r="212" spans="1:51" x14ac:dyDescent="0.25">
      <c r="A2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2" s="5">
        <f ca="1">IFERROR(__xludf.DUMMYFUNCTION("""COMPUTED_VALUE"""),212)</f>
        <v>212</v>
      </c>
      <c r="C212" s="5">
        <f ca="1">IFERROR(__xludf.DUMMYFUNCTION("""COMPUTED_VALUE"""),211)</f>
        <v>211</v>
      </c>
      <c r="D212" s="5" t="str">
        <f ca="1">IFERROR(__xludf.DUMMYFUNCTION("""COMPUTED_VALUE"""),"LollasWorldChristmas")</f>
        <v>LollasWorldChristmas</v>
      </c>
      <c r="E212" s="5" t="str">
        <f ca="1">IFERROR(__xludf.DUMMYFUNCTION("""COMPUTED_VALUE"""),"Yes")</f>
        <v>Yes</v>
      </c>
      <c r="F212" s="5" t="str">
        <f ca="1">IFERROR(__xludf.DUMMYFUNCTION("""COMPUTED_VALUE"""),"Yes")</f>
        <v>Yes</v>
      </c>
      <c r="G212" s="5" t="str">
        <f ca="1">IFERROR(__xludf.DUMMYFUNCTION("""COMPUTED_VALUE"""),"Yes")</f>
        <v>Yes</v>
      </c>
      <c r="H212" s="5" t="str">
        <f ca="1">IFERROR(__xludf.DUMMYFUNCTION("""COMPUTED_VALUE"""),"Yes")</f>
        <v>Yes</v>
      </c>
      <c r="I212" s="5" t="str">
        <f ca="1">IFERROR(__xludf.DUMMYFUNCTION("""COMPUTED_VALUE"""),"Yes")</f>
        <v>Yes</v>
      </c>
      <c r="J212" s="5" t="str">
        <f ca="1">IFERROR(__xludf.DUMMYFUNCTION("""COMPUTED_VALUE"""),"Yes")</f>
        <v>Yes</v>
      </c>
      <c r="K212" s="5" t="str">
        <f ca="1">IFERROR(__xludf.DUMMYFUNCTION("""COMPUTED_VALUE"""),"Yes")</f>
        <v>Yes</v>
      </c>
      <c r="L212" s="5" t="str">
        <f ca="1">IFERROR(__xludf.DUMMYFUNCTION("""COMPUTED_VALUE"""),"Yes")</f>
        <v>Yes</v>
      </c>
      <c r="M212" s="5" t="str">
        <f ca="1">IFERROR(__xludf.DUMMYFUNCTION("""COMPUTED_VALUE"""),"Yes")</f>
        <v>Yes</v>
      </c>
      <c r="N212" s="5" t="str">
        <f ca="1">IFERROR(__xludf.DUMMYFUNCTION("""COMPUTED_VALUE"""),"Yes")</f>
        <v>Yes</v>
      </c>
      <c r="O212" s="5" t="str">
        <f ca="1">IFERROR(__xludf.DUMMYFUNCTION("""COMPUTED_VALUE"""),"Yes")</f>
        <v>Yes</v>
      </c>
      <c r="P212" s="5" t="str">
        <f ca="1">IFERROR(__xludf.DUMMYFUNCTION("""COMPUTED_VALUE"""),"Yes")</f>
        <v>Yes</v>
      </c>
      <c r="Q212" s="5" t="str">
        <f ca="1">IFERROR(__xludf.DUMMYFUNCTION("""COMPUTED_VALUE"""),"Yes")</f>
        <v>Yes</v>
      </c>
      <c r="R212" s="5" t="str">
        <f ca="1">IFERROR(__xludf.DUMMYFUNCTION("""COMPUTED_VALUE"""),"Yes")</f>
        <v>Yes</v>
      </c>
      <c r="S212" s="5" t="str">
        <f ca="1">IFERROR(__xludf.DUMMYFUNCTION("""COMPUTED_VALUE"""),"Yes")</f>
        <v>Yes</v>
      </c>
      <c r="T212" s="5" t="str">
        <f ca="1">IFERROR(__xludf.DUMMYFUNCTION("""COMPUTED_VALUE"""),"Yes")</f>
        <v>Yes</v>
      </c>
      <c r="U212" s="5" t="str">
        <f ca="1">IFERROR(__xludf.DUMMYFUNCTION("""COMPUTED_VALUE"""),"Yes")</f>
        <v>Yes</v>
      </c>
      <c r="V212" s="5" t="str">
        <f ca="1">IFERROR(__xludf.DUMMYFUNCTION("""COMPUTED_VALUE"""),"Yes")</f>
        <v>Yes</v>
      </c>
      <c r="W212" s="5" t="str">
        <f ca="1">IFERROR(__xludf.DUMMYFUNCTION("""COMPUTED_VALUE"""),"Yes")</f>
        <v>Yes</v>
      </c>
      <c r="X212" s="5" t="str">
        <f ca="1">IFERROR(__xludf.DUMMYFUNCTION("""COMPUTED_VALUE"""),"Yes")</f>
        <v>Yes</v>
      </c>
      <c r="Y212" s="5" t="str">
        <f ca="1">IFERROR(__xludf.DUMMYFUNCTION("""COMPUTED_VALUE"""),"Yes")</f>
        <v>Yes</v>
      </c>
      <c r="Z212" s="5" t="str">
        <f ca="1">IFERROR(__xludf.DUMMYFUNCTION("""COMPUTED_VALUE"""),"No")</f>
        <v>No</v>
      </c>
      <c r="AA212" s="5" t="str">
        <f ca="1">IFERROR(__xludf.DUMMYFUNCTION("""COMPUTED_VALUE"""),"Yes")</f>
        <v>Yes</v>
      </c>
      <c r="AB212" s="5" t="str">
        <f ca="1">IFERROR(__xludf.DUMMYFUNCTION("""COMPUTED_VALUE"""),"Yes")</f>
        <v>Yes</v>
      </c>
      <c r="AC212" s="5" t="str">
        <f ca="1">IFERROR(__xludf.DUMMYFUNCTION("""COMPUTED_VALUE"""),"Yes")</f>
        <v>Yes</v>
      </c>
      <c r="AD212" s="5" t="str">
        <f ca="1">IFERROR(__xludf.DUMMYFUNCTION("""COMPUTED_VALUE"""),"Yes")</f>
        <v>Yes</v>
      </c>
      <c r="AE212" s="5" t="str">
        <f ca="1">IFERROR(__xludf.DUMMYFUNCTION("""COMPUTED_VALUE"""),"No")</f>
        <v>No</v>
      </c>
      <c r="AF212" s="5" t="str">
        <f ca="1">IFERROR(__xludf.DUMMYFUNCTION("""COMPUTED_VALUE"""),"Yes")</f>
        <v>Yes</v>
      </c>
      <c r="AG212" s="5" t="str">
        <f ca="1">IFERROR(__xludf.DUMMYFUNCTION("""COMPUTED_VALUE"""),"No")</f>
        <v>No</v>
      </c>
      <c r="AH212" s="5" t="str">
        <f ca="1">IFERROR(__xludf.DUMMYFUNCTION("""COMPUTED_VALUE"""),"No")</f>
        <v>No</v>
      </c>
      <c r="AI212" s="5" t="str">
        <f ca="1">IFERROR(__xludf.DUMMYFUNCTION("""COMPUTED_VALUE"""),"No")</f>
        <v>No</v>
      </c>
      <c r="AJ212" s="5" t="str">
        <f ca="1">IFERROR(__xludf.DUMMYFUNCTION("""COMPUTED_VALUE"""),"No")</f>
        <v>No</v>
      </c>
      <c r="AK212" s="5" t="str">
        <f ca="1">IFERROR(__xludf.DUMMYFUNCTION("""COMPUTED_VALUE"""),"No")</f>
        <v>No</v>
      </c>
      <c r="AL212" s="5" t="str">
        <f ca="1">IFERROR(__xludf.DUMMYFUNCTION("""COMPUTED_VALUE"""),"No")</f>
        <v>No</v>
      </c>
      <c r="AM212" s="5"/>
      <c r="AN212" s="5"/>
      <c r="AO212" s="5"/>
      <c r="AP212" s="5"/>
      <c r="AQ212" s="5"/>
      <c r="AR212" s="5"/>
      <c r="AS212" s="5"/>
      <c r="AT212" s="5"/>
      <c r="AU212" s="5"/>
      <c r="AV212" s="5"/>
      <c r="AW212" s="5"/>
      <c r="AX212" s="5"/>
      <c r="AY212" s="5"/>
    </row>
    <row r="213" spans="1:51" x14ac:dyDescent="0.25">
      <c r="A2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3" s="5">
        <f ca="1">IFERROR(__xludf.DUMMYFUNCTION("""COMPUTED_VALUE"""),213)</f>
        <v>213</v>
      </c>
      <c r="C213" s="5">
        <f ca="1">IFERROR(__xludf.DUMMYFUNCTION("""COMPUTED_VALUE"""),212)</f>
        <v>212</v>
      </c>
      <c r="D213" s="5" t="str">
        <f ca="1">IFERROR(__xludf.DUMMYFUNCTION("""COMPUTED_VALUE"""),"WildHot40Christmas")</f>
        <v>WildHot40Christmas</v>
      </c>
      <c r="E213" s="5" t="str">
        <f ca="1">IFERROR(__xludf.DUMMYFUNCTION("""COMPUTED_VALUE"""),"Yes")</f>
        <v>Yes</v>
      </c>
      <c r="F213" s="5" t="str">
        <f ca="1">IFERROR(__xludf.DUMMYFUNCTION("""COMPUTED_VALUE"""),"Yes")</f>
        <v>Yes</v>
      </c>
      <c r="G213" s="5" t="str">
        <f ca="1">IFERROR(__xludf.DUMMYFUNCTION("""COMPUTED_VALUE"""),"Yes")</f>
        <v>Yes</v>
      </c>
      <c r="H213" s="5" t="str">
        <f ca="1">IFERROR(__xludf.DUMMYFUNCTION("""COMPUTED_VALUE"""),"Yes")</f>
        <v>Yes</v>
      </c>
      <c r="I213" s="5" t="str">
        <f ca="1">IFERROR(__xludf.DUMMYFUNCTION("""COMPUTED_VALUE"""),"Yes")</f>
        <v>Yes</v>
      </c>
      <c r="J213" s="5" t="str">
        <f ca="1">IFERROR(__xludf.DUMMYFUNCTION("""COMPUTED_VALUE"""),"Yes")</f>
        <v>Yes</v>
      </c>
      <c r="K213" s="5" t="str">
        <f ca="1">IFERROR(__xludf.DUMMYFUNCTION("""COMPUTED_VALUE"""),"Yes")</f>
        <v>Yes</v>
      </c>
      <c r="L213" s="5" t="str">
        <f ca="1">IFERROR(__xludf.DUMMYFUNCTION("""COMPUTED_VALUE"""),"Yes")</f>
        <v>Yes</v>
      </c>
      <c r="M213" s="5" t="str">
        <f ca="1">IFERROR(__xludf.DUMMYFUNCTION("""COMPUTED_VALUE"""),"Yes")</f>
        <v>Yes</v>
      </c>
      <c r="N213" s="5" t="str">
        <f ca="1">IFERROR(__xludf.DUMMYFUNCTION("""COMPUTED_VALUE"""),"Yes")</f>
        <v>Yes</v>
      </c>
      <c r="O213" s="5" t="str">
        <f ca="1">IFERROR(__xludf.DUMMYFUNCTION("""COMPUTED_VALUE"""),"Yes")</f>
        <v>Yes</v>
      </c>
      <c r="P213" s="5" t="str">
        <f ca="1">IFERROR(__xludf.DUMMYFUNCTION("""COMPUTED_VALUE"""),"Yes")</f>
        <v>Yes</v>
      </c>
      <c r="Q213" s="5" t="str">
        <f ca="1">IFERROR(__xludf.DUMMYFUNCTION("""COMPUTED_VALUE"""),"Yes")</f>
        <v>Yes</v>
      </c>
      <c r="R213" s="5" t="str">
        <f ca="1">IFERROR(__xludf.DUMMYFUNCTION("""COMPUTED_VALUE"""),"Yes")</f>
        <v>Yes</v>
      </c>
      <c r="S213" s="5" t="str">
        <f ca="1">IFERROR(__xludf.DUMMYFUNCTION("""COMPUTED_VALUE"""),"Yes")</f>
        <v>Yes</v>
      </c>
      <c r="T213" s="5" t="str">
        <f ca="1">IFERROR(__xludf.DUMMYFUNCTION("""COMPUTED_VALUE"""),"Yes")</f>
        <v>Yes</v>
      </c>
      <c r="U213" s="5" t="str">
        <f ca="1">IFERROR(__xludf.DUMMYFUNCTION("""COMPUTED_VALUE"""),"Yes")</f>
        <v>Yes</v>
      </c>
      <c r="V213" s="5" t="str">
        <f ca="1">IFERROR(__xludf.DUMMYFUNCTION("""COMPUTED_VALUE"""),"Yes")</f>
        <v>Yes</v>
      </c>
      <c r="W213" s="5" t="str">
        <f ca="1">IFERROR(__xludf.DUMMYFUNCTION("""COMPUTED_VALUE"""),"Yes")</f>
        <v>Yes</v>
      </c>
      <c r="X213" s="5" t="str">
        <f ca="1">IFERROR(__xludf.DUMMYFUNCTION("""COMPUTED_VALUE"""),"Yes")</f>
        <v>Yes</v>
      </c>
      <c r="Y213" s="5" t="str">
        <f ca="1">IFERROR(__xludf.DUMMYFUNCTION("""COMPUTED_VALUE"""),"Yes")</f>
        <v>Yes</v>
      </c>
      <c r="Z213" s="5" t="str">
        <f ca="1">IFERROR(__xludf.DUMMYFUNCTION("""COMPUTED_VALUE"""),"No")</f>
        <v>No</v>
      </c>
      <c r="AA213" s="5" t="str">
        <f ca="1">IFERROR(__xludf.DUMMYFUNCTION("""COMPUTED_VALUE"""),"Yes")</f>
        <v>Yes</v>
      </c>
      <c r="AB213" s="5" t="str">
        <f ca="1">IFERROR(__xludf.DUMMYFUNCTION("""COMPUTED_VALUE"""),"Yes")</f>
        <v>Yes</v>
      </c>
      <c r="AC213" s="5" t="str">
        <f ca="1">IFERROR(__xludf.DUMMYFUNCTION("""COMPUTED_VALUE"""),"Yes")</f>
        <v>Yes</v>
      </c>
      <c r="AD213" s="5" t="str">
        <f ca="1">IFERROR(__xludf.DUMMYFUNCTION("""COMPUTED_VALUE"""),"Yes")</f>
        <v>Yes</v>
      </c>
      <c r="AE213" s="5" t="str">
        <f ca="1">IFERROR(__xludf.DUMMYFUNCTION("""COMPUTED_VALUE"""),"No")</f>
        <v>No</v>
      </c>
      <c r="AF213" s="5" t="str">
        <f ca="1">IFERROR(__xludf.DUMMYFUNCTION("""COMPUTED_VALUE"""),"Yes")</f>
        <v>Yes</v>
      </c>
      <c r="AG213" s="5" t="str">
        <f ca="1">IFERROR(__xludf.DUMMYFUNCTION("""COMPUTED_VALUE"""),"No")</f>
        <v>No</v>
      </c>
      <c r="AH213" s="5" t="str">
        <f ca="1">IFERROR(__xludf.DUMMYFUNCTION("""COMPUTED_VALUE"""),"No")</f>
        <v>No</v>
      </c>
      <c r="AI213" s="5" t="str">
        <f ca="1">IFERROR(__xludf.DUMMYFUNCTION("""COMPUTED_VALUE"""),"No")</f>
        <v>No</v>
      </c>
      <c r="AJ213" s="5" t="str">
        <f ca="1">IFERROR(__xludf.DUMMYFUNCTION("""COMPUTED_VALUE"""),"No")</f>
        <v>No</v>
      </c>
      <c r="AK213" s="5" t="str">
        <f ca="1">IFERROR(__xludf.DUMMYFUNCTION("""COMPUTED_VALUE"""),"No")</f>
        <v>No</v>
      </c>
      <c r="AL213" s="5" t="str">
        <f ca="1">IFERROR(__xludf.DUMMYFUNCTION("""COMPUTED_VALUE"""),"No")</f>
        <v>No</v>
      </c>
      <c r="AM213" s="5"/>
      <c r="AN213" s="5"/>
      <c r="AO213" s="5"/>
      <c r="AP213" s="5"/>
      <c r="AQ213" s="5"/>
      <c r="AR213" s="5"/>
      <c r="AS213" s="5"/>
      <c r="AT213" s="5"/>
      <c r="AU213" s="5"/>
      <c r="AV213" s="5"/>
      <c r="AW213" s="5"/>
      <c r="AX213" s="5"/>
      <c r="AY213" s="5"/>
    </row>
    <row r="214" spans="1:51" x14ac:dyDescent="0.25">
      <c r="A2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4" s="5">
        <f ca="1">IFERROR(__xludf.DUMMYFUNCTION("""COMPUTED_VALUE"""),214)</f>
        <v>214</v>
      </c>
      <c r="C214" s="5">
        <f ca="1">IFERROR(__xludf.DUMMYFUNCTION("""COMPUTED_VALUE"""),213)</f>
        <v>213</v>
      </c>
      <c r="D214" s="5" t="str">
        <f ca="1">IFERROR(__xludf.DUMMYFUNCTION("""COMPUTED_VALUE"""),"VeryHot5Christmas")</f>
        <v>VeryHot5Christmas</v>
      </c>
      <c r="E214" s="5" t="str">
        <f ca="1">IFERROR(__xludf.DUMMYFUNCTION("""COMPUTED_VALUE"""),"Yes")</f>
        <v>Yes</v>
      </c>
      <c r="F214" s="5" t="str">
        <f ca="1">IFERROR(__xludf.DUMMYFUNCTION("""COMPUTED_VALUE"""),"Yes")</f>
        <v>Yes</v>
      </c>
      <c r="G214" s="5" t="str">
        <f ca="1">IFERROR(__xludf.DUMMYFUNCTION("""COMPUTED_VALUE"""),"Yes")</f>
        <v>Yes</v>
      </c>
      <c r="H214" s="5" t="str">
        <f ca="1">IFERROR(__xludf.DUMMYFUNCTION("""COMPUTED_VALUE"""),"Yes")</f>
        <v>Yes</v>
      </c>
      <c r="I214" s="5" t="str">
        <f ca="1">IFERROR(__xludf.DUMMYFUNCTION("""COMPUTED_VALUE"""),"Yes")</f>
        <v>Yes</v>
      </c>
      <c r="J214" s="5" t="str">
        <f ca="1">IFERROR(__xludf.DUMMYFUNCTION("""COMPUTED_VALUE"""),"Yes")</f>
        <v>Yes</v>
      </c>
      <c r="K214" s="5" t="str">
        <f ca="1">IFERROR(__xludf.DUMMYFUNCTION("""COMPUTED_VALUE"""),"Yes")</f>
        <v>Yes</v>
      </c>
      <c r="L214" s="5" t="str">
        <f ca="1">IFERROR(__xludf.DUMMYFUNCTION("""COMPUTED_VALUE"""),"Yes")</f>
        <v>Yes</v>
      </c>
      <c r="M214" s="5" t="str">
        <f ca="1">IFERROR(__xludf.DUMMYFUNCTION("""COMPUTED_VALUE"""),"Yes")</f>
        <v>Yes</v>
      </c>
      <c r="N214" s="5" t="str">
        <f ca="1">IFERROR(__xludf.DUMMYFUNCTION("""COMPUTED_VALUE"""),"Yes")</f>
        <v>Yes</v>
      </c>
      <c r="O214" s="5" t="str">
        <f ca="1">IFERROR(__xludf.DUMMYFUNCTION("""COMPUTED_VALUE"""),"Yes")</f>
        <v>Yes</v>
      </c>
      <c r="P214" s="5" t="str">
        <f ca="1">IFERROR(__xludf.DUMMYFUNCTION("""COMPUTED_VALUE"""),"Yes")</f>
        <v>Yes</v>
      </c>
      <c r="Q214" s="5" t="str">
        <f ca="1">IFERROR(__xludf.DUMMYFUNCTION("""COMPUTED_VALUE"""),"Yes")</f>
        <v>Yes</v>
      </c>
      <c r="R214" s="5" t="str">
        <f ca="1">IFERROR(__xludf.DUMMYFUNCTION("""COMPUTED_VALUE"""),"Yes")</f>
        <v>Yes</v>
      </c>
      <c r="S214" s="5" t="str">
        <f ca="1">IFERROR(__xludf.DUMMYFUNCTION("""COMPUTED_VALUE"""),"Yes")</f>
        <v>Yes</v>
      </c>
      <c r="T214" s="5" t="str">
        <f ca="1">IFERROR(__xludf.DUMMYFUNCTION("""COMPUTED_VALUE"""),"Yes")</f>
        <v>Yes</v>
      </c>
      <c r="U214" s="5" t="str">
        <f ca="1">IFERROR(__xludf.DUMMYFUNCTION("""COMPUTED_VALUE"""),"Yes")</f>
        <v>Yes</v>
      </c>
      <c r="V214" s="5" t="str">
        <f ca="1">IFERROR(__xludf.DUMMYFUNCTION("""COMPUTED_VALUE"""),"Yes")</f>
        <v>Yes</v>
      </c>
      <c r="W214" s="5" t="str">
        <f ca="1">IFERROR(__xludf.DUMMYFUNCTION("""COMPUTED_VALUE"""),"Yes")</f>
        <v>Yes</v>
      </c>
      <c r="X214" s="5" t="str">
        <f ca="1">IFERROR(__xludf.DUMMYFUNCTION("""COMPUTED_VALUE"""),"Yes")</f>
        <v>Yes</v>
      </c>
      <c r="Y214" s="5" t="str">
        <f ca="1">IFERROR(__xludf.DUMMYFUNCTION("""COMPUTED_VALUE"""),"Yes")</f>
        <v>Yes</v>
      </c>
      <c r="Z214" s="5" t="str">
        <f ca="1">IFERROR(__xludf.DUMMYFUNCTION("""COMPUTED_VALUE"""),"No")</f>
        <v>No</v>
      </c>
      <c r="AA214" s="5" t="str">
        <f ca="1">IFERROR(__xludf.DUMMYFUNCTION("""COMPUTED_VALUE"""),"Yes")</f>
        <v>Yes</v>
      </c>
      <c r="AB214" s="5" t="str">
        <f ca="1">IFERROR(__xludf.DUMMYFUNCTION("""COMPUTED_VALUE"""),"Yes")</f>
        <v>Yes</v>
      </c>
      <c r="AC214" s="5" t="str">
        <f ca="1">IFERROR(__xludf.DUMMYFUNCTION("""COMPUTED_VALUE"""),"Yes")</f>
        <v>Yes</v>
      </c>
      <c r="AD214" s="5" t="str">
        <f ca="1">IFERROR(__xludf.DUMMYFUNCTION("""COMPUTED_VALUE"""),"Yes")</f>
        <v>Yes</v>
      </c>
      <c r="AE214" s="5" t="str">
        <f ca="1">IFERROR(__xludf.DUMMYFUNCTION("""COMPUTED_VALUE"""),"No")</f>
        <v>No</v>
      </c>
      <c r="AF214" s="5" t="str">
        <f ca="1">IFERROR(__xludf.DUMMYFUNCTION("""COMPUTED_VALUE"""),"Yes")</f>
        <v>Yes</v>
      </c>
      <c r="AG214" s="5" t="str">
        <f ca="1">IFERROR(__xludf.DUMMYFUNCTION("""COMPUTED_VALUE"""),"No")</f>
        <v>No</v>
      </c>
      <c r="AH214" s="5" t="str">
        <f ca="1">IFERROR(__xludf.DUMMYFUNCTION("""COMPUTED_VALUE"""),"No")</f>
        <v>No</v>
      </c>
      <c r="AI214" s="5" t="str">
        <f ca="1">IFERROR(__xludf.DUMMYFUNCTION("""COMPUTED_VALUE"""),"No")</f>
        <v>No</v>
      </c>
      <c r="AJ214" s="5" t="str">
        <f ca="1">IFERROR(__xludf.DUMMYFUNCTION("""COMPUTED_VALUE"""),"No")</f>
        <v>No</v>
      </c>
      <c r="AK214" s="5" t="str">
        <f ca="1">IFERROR(__xludf.DUMMYFUNCTION("""COMPUTED_VALUE"""),"No")</f>
        <v>No</v>
      </c>
      <c r="AL214" s="5" t="str">
        <f ca="1">IFERROR(__xludf.DUMMYFUNCTION("""COMPUTED_VALUE"""),"No")</f>
        <v>No</v>
      </c>
      <c r="AM214" s="5"/>
      <c r="AN214" s="5"/>
      <c r="AO214" s="5"/>
      <c r="AP214" s="5"/>
      <c r="AQ214" s="5"/>
      <c r="AR214" s="5"/>
      <c r="AS214" s="5"/>
      <c r="AT214" s="5"/>
      <c r="AU214" s="5"/>
      <c r="AV214" s="5"/>
      <c r="AW214" s="5"/>
      <c r="AX214" s="5"/>
      <c r="AY214" s="5"/>
    </row>
    <row r="215" spans="1:51" x14ac:dyDescent="0.25">
      <c r="A2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5" s="5">
        <f ca="1">IFERROR(__xludf.DUMMYFUNCTION("""COMPUTED_VALUE"""),215)</f>
        <v>215</v>
      </c>
      <c r="C215" s="5">
        <f ca="1">IFERROR(__xludf.DUMMYFUNCTION("""COMPUTED_VALUE"""),214)</f>
        <v>214</v>
      </c>
      <c r="D215" s="5" t="str">
        <f ca="1">IFERROR(__xludf.DUMMYFUNCTION("""COMPUTED_VALUE"""),"VeryHot40Christmas")</f>
        <v>VeryHot40Christmas</v>
      </c>
      <c r="E215" s="5" t="str">
        <f ca="1">IFERROR(__xludf.DUMMYFUNCTION("""COMPUTED_VALUE"""),"Yes")</f>
        <v>Yes</v>
      </c>
      <c r="F215" s="5" t="str">
        <f ca="1">IFERROR(__xludf.DUMMYFUNCTION("""COMPUTED_VALUE"""),"Yes")</f>
        <v>Yes</v>
      </c>
      <c r="G215" s="5" t="str">
        <f ca="1">IFERROR(__xludf.DUMMYFUNCTION("""COMPUTED_VALUE"""),"Yes")</f>
        <v>Yes</v>
      </c>
      <c r="H215" s="5" t="str">
        <f ca="1">IFERROR(__xludf.DUMMYFUNCTION("""COMPUTED_VALUE"""),"Yes")</f>
        <v>Yes</v>
      </c>
      <c r="I215" s="5" t="str">
        <f ca="1">IFERROR(__xludf.DUMMYFUNCTION("""COMPUTED_VALUE"""),"Yes")</f>
        <v>Yes</v>
      </c>
      <c r="J215" s="5" t="str">
        <f ca="1">IFERROR(__xludf.DUMMYFUNCTION("""COMPUTED_VALUE"""),"Yes")</f>
        <v>Yes</v>
      </c>
      <c r="K215" s="5" t="str">
        <f ca="1">IFERROR(__xludf.DUMMYFUNCTION("""COMPUTED_VALUE"""),"Yes")</f>
        <v>Yes</v>
      </c>
      <c r="L215" s="5" t="str">
        <f ca="1">IFERROR(__xludf.DUMMYFUNCTION("""COMPUTED_VALUE"""),"Yes")</f>
        <v>Yes</v>
      </c>
      <c r="M215" s="5" t="str">
        <f ca="1">IFERROR(__xludf.DUMMYFUNCTION("""COMPUTED_VALUE"""),"Yes")</f>
        <v>Yes</v>
      </c>
      <c r="N215" s="5" t="str">
        <f ca="1">IFERROR(__xludf.DUMMYFUNCTION("""COMPUTED_VALUE"""),"Yes")</f>
        <v>Yes</v>
      </c>
      <c r="O215" s="5" t="str">
        <f ca="1">IFERROR(__xludf.DUMMYFUNCTION("""COMPUTED_VALUE"""),"Yes")</f>
        <v>Yes</v>
      </c>
      <c r="P215" s="5" t="str">
        <f ca="1">IFERROR(__xludf.DUMMYFUNCTION("""COMPUTED_VALUE"""),"Yes")</f>
        <v>Yes</v>
      </c>
      <c r="Q215" s="5" t="str">
        <f ca="1">IFERROR(__xludf.DUMMYFUNCTION("""COMPUTED_VALUE"""),"Yes")</f>
        <v>Yes</v>
      </c>
      <c r="R215" s="5" t="str">
        <f ca="1">IFERROR(__xludf.DUMMYFUNCTION("""COMPUTED_VALUE"""),"Yes")</f>
        <v>Yes</v>
      </c>
      <c r="S215" s="5" t="str">
        <f ca="1">IFERROR(__xludf.DUMMYFUNCTION("""COMPUTED_VALUE"""),"Yes")</f>
        <v>Yes</v>
      </c>
      <c r="T215" s="5" t="str">
        <f ca="1">IFERROR(__xludf.DUMMYFUNCTION("""COMPUTED_VALUE"""),"Yes")</f>
        <v>Yes</v>
      </c>
      <c r="U215" s="5" t="str">
        <f ca="1">IFERROR(__xludf.DUMMYFUNCTION("""COMPUTED_VALUE"""),"Yes")</f>
        <v>Yes</v>
      </c>
      <c r="V215" s="5" t="str">
        <f ca="1">IFERROR(__xludf.DUMMYFUNCTION("""COMPUTED_VALUE"""),"Yes")</f>
        <v>Yes</v>
      </c>
      <c r="W215" s="5" t="str">
        <f ca="1">IFERROR(__xludf.DUMMYFUNCTION("""COMPUTED_VALUE"""),"Yes")</f>
        <v>Yes</v>
      </c>
      <c r="X215" s="5" t="str">
        <f ca="1">IFERROR(__xludf.DUMMYFUNCTION("""COMPUTED_VALUE"""),"Yes")</f>
        <v>Yes</v>
      </c>
      <c r="Y215" s="5" t="str">
        <f ca="1">IFERROR(__xludf.DUMMYFUNCTION("""COMPUTED_VALUE"""),"Yes")</f>
        <v>Yes</v>
      </c>
      <c r="Z215" s="5" t="str">
        <f ca="1">IFERROR(__xludf.DUMMYFUNCTION("""COMPUTED_VALUE"""),"No")</f>
        <v>No</v>
      </c>
      <c r="AA215" s="5" t="str">
        <f ca="1">IFERROR(__xludf.DUMMYFUNCTION("""COMPUTED_VALUE"""),"Yes")</f>
        <v>Yes</v>
      </c>
      <c r="AB215" s="5" t="str">
        <f ca="1">IFERROR(__xludf.DUMMYFUNCTION("""COMPUTED_VALUE"""),"Yes")</f>
        <v>Yes</v>
      </c>
      <c r="AC215" s="5" t="str">
        <f ca="1">IFERROR(__xludf.DUMMYFUNCTION("""COMPUTED_VALUE"""),"Yes")</f>
        <v>Yes</v>
      </c>
      <c r="AD215" s="5" t="str">
        <f ca="1">IFERROR(__xludf.DUMMYFUNCTION("""COMPUTED_VALUE"""),"Yes")</f>
        <v>Yes</v>
      </c>
      <c r="AE215" s="5" t="str">
        <f ca="1">IFERROR(__xludf.DUMMYFUNCTION("""COMPUTED_VALUE"""),"No")</f>
        <v>No</v>
      </c>
      <c r="AF215" s="5" t="str">
        <f ca="1">IFERROR(__xludf.DUMMYFUNCTION("""COMPUTED_VALUE"""),"Yes")</f>
        <v>Yes</v>
      </c>
      <c r="AG215" s="5" t="str">
        <f ca="1">IFERROR(__xludf.DUMMYFUNCTION("""COMPUTED_VALUE"""),"No")</f>
        <v>No</v>
      </c>
      <c r="AH215" s="5" t="str">
        <f ca="1">IFERROR(__xludf.DUMMYFUNCTION("""COMPUTED_VALUE"""),"No")</f>
        <v>No</v>
      </c>
      <c r="AI215" s="5" t="str">
        <f ca="1">IFERROR(__xludf.DUMMYFUNCTION("""COMPUTED_VALUE"""),"No")</f>
        <v>No</v>
      </c>
      <c r="AJ215" s="5" t="str">
        <f ca="1">IFERROR(__xludf.DUMMYFUNCTION("""COMPUTED_VALUE"""),"No")</f>
        <v>No</v>
      </c>
      <c r="AK215" s="5" t="str">
        <f ca="1">IFERROR(__xludf.DUMMYFUNCTION("""COMPUTED_VALUE"""),"No")</f>
        <v>No</v>
      </c>
      <c r="AL215" s="5" t="str">
        <f ca="1">IFERROR(__xludf.DUMMYFUNCTION("""COMPUTED_VALUE"""),"No")</f>
        <v>No</v>
      </c>
      <c r="AM215" s="5"/>
      <c r="AN215" s="5"/>
      <c r="AO215" s="5"/>
      <c r="AP215" s="5"/>
      <c r="AQ215" s="5"/>
      <c r="AR215" s="5"/>
      <c r="AS215" s="5"/>
      <c r="AT215" s="5"/>
      <c r="AU215" s="5"/>
      <c r="AV215" s="5"/>
      <c r="AW215" s="5"/>
      <c r="AX215" s="5"/>
      <c r="AY215" s="5"/>
    </row>
    <row r="216" spans="1:51" x14ac:dyDescent="0.25">
      <c r="A2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6" s="5">
        <f ca="1">IFERROR(__xludf.DUMMYFUNCTION("""COMPUTED_VALUE"""),216)</f>
        <v>216</v>
      </c>
      <c r="C216" s="5">
        <f ca="1">IFERROR(__xludf.DUMMYFUNCTION("""COMPUTED_VALUE"""),215)</f>
        <v>215</v>
      </c>
      <c r="D216" s="5" t="str">
        <f ca="1">IFERROR(__xludf.DUMMYFUNCTION("""COMPUTED_VALUE"""),"CrownFire5")</f>
        <v>CrownFire5</v>
      </c>
      <c r="E216" s="5" t="str">
        <f ca="1">IFERROR(__xludf.DUMMYFUNCTION("""COMPUTED_VALUE"""),"Yes")</f>
        <v>Yes</v>
      </c>
      <c r="F216" s="5" t="str">
        <f ca="1">IFERROR(__xludf.DUMMYFUNCTION("""COMPUTED_VALUE"""),"Yes")</f>
        <v>Yes</v>
      </c>
      <c r="G216" s="5" t="str">
        <f ca="1">IFERROR(__xludf.DUMMYFUNCTION("""COMPUTED_VALUE"""),"Yes")</f>
        <v>Yes</v>
      </c>
      <c r="H216" s="5" t="str">
        <f ca="1">IFERROR(__xludf.DUMMYFUNCTION("""COMPUTED_VALUE"""),"Yes")</f>
        <v>Yes</v>
      </c>
      <c r="I216" s="5" t="str">
        <f ca="1">IFERROR(__xludf.DUMMYFUNCTION("""COMPUTED_VALUE"""),"Yes")</f>
        <v>Yes</v>
      </c>
      <c r="J216" s="5" t="str">
        <f ca="1">IFERROR(__xludf.DUMMYFUNCTION("""COMPUTED_VALUE"""),"Yes")</f>
        <v>Yes</v>
      </c>
      <c r="K216" s="5" t="str">
        <f ca="1">IFERROR(__xludf.DUMMYFUNCTION("""COMPUTED_VALUE"""),"Yes")</f>
        <v>Yes</v>
      </c>
      <c r="L216" s="5" t="str">
        <f ca="1">IFERROR(__xludf.DUMMYFUNCTION("""COMPUTED_VALUE"""),"Yes")</f>
        <v>Yes</v>
      </c>
      <c r="M216" s="5" t="str">
        <f ca="1">IFERROR(__xludf.DUMMYFUNCTION("""COMPUTED_VALUE"""),"Yes")</f>
        <v>Yes</v>
      </c>
      <c r="N216" s="5" t="str">
        <f ca="1">IFERROR(__xludf.DUMMYFUNCTION("""COMPUTED_VALUE"""),"Yes")</f>
        <v>Yes</v>
      </c>
      <c r="O216" s="5" t="str">
        <f ca="1">IFERROR(__xludf.DUMMYFUNCTION("""COMPUTED_VALUE"""),"Yes")</f>
        <v>Yes</v>
      </c>
      <c r="P216" s="5" t="str">
        <f ca="1">IFERROR(__xludf.DUMMYFUNCTION("""COMPUTED_VALUE"""),"Yes")</f>
        <v>Yes</v>
      </c>
      <c r="Q216" s="5" t="str">
        <f ca="1">IFERROR(__xludf.DUMMYFUNCTION("""COMPUTED_VALUE"""),"Yes")</f>
        <v>Yes</v>
      </c>
      <c r="R216" s="5" t="str">
        <f ca="1">IFERROR(__xludf.DUMMYFUNCTION("""COMPUTED_VALUE"""),"Yes")</f>
        <v>Yes</v>
      </c>
      <c r="S216" s="5" t="str">
        <f ca="1">IFERROR(__xludf.DUMMYFUNCTION("""COMPUTED_VALUE"""),"Yes")</f>
        <v>Yes</v>
      </c>
      <c r="T216" s="5" t="str">
        <f ca="1">IFERROR(__xludf.DUMMYFUNCTION("""COMPUTED_VALUE"""),"Yes")</f>
        <v>Yes</v>
      </c>
      <c r="U216" s="5" t="str">
        <f ca="1">IFERROR(__xludf.DUMMYFUNCTION("""COMPUTED_VALUE"""),"Yes")</f>
        <v>Yes</v>
      </c>
      <c r="V216" s="5" t="str">
        <f ca="1">IFERROR(__xludf.DUMMYFUNCTION("""COMPUTED_VALUE"""),"Yes")</f>
        <v>Yes</v>
      </c>
      <c r="W216" s="5" t="str">
        <f ca="1">IFERROR(__xludf.DUMMYFUNCTION("""COMPUTED_VALUE"""),"Yes")</f>
        <v>Yes</v>
      </c>
      <c r="X216" s="5" t="str">
        <f ca="1">IFERROR(__xludf.DUMMYFUNCTION("""COMPUTED_VALUE"""),"Yes")</f>
        <v>Yes</v>
      </c>
      <c r="Y216" s="5"/>
      <c r="Z216" s="5"/>
      <c r="AA216" s="5"/>
      <c r="AB216" s="5"/>
      <c r="AC216" s="5" t="str">
        <f ca="1">IFERROR(__xludf.DUMMYFUNCTION("""COMPUTED_VALUE"""),"Yes")</f>
        <v>Yes</v>
      </c>
      <c r="AD216" s="5"/>
      <c r="AE216" s="5"/>
      <c r="AF216" s="5"/>
      <c r="AG216" s="5"/>
      <c r="AH216" s="5"/>
      <c r="AI216" s="5"/>
      <c r="AJ216" s="5"/>
      <c r="AK216" s="5"/>
      <c r="AL216" s="5"/>
      <c r="AM216" s="5"/>
      <c r="AN216" s="5"/>
      <c r="AO216" s="5"/>
      <c r="AP216" s="5"/>
      <c r="AQ216" s="5"/>
      <c r="AR216" s="5"/>
      <c r="AS216" s="5"/>
      <c r="AT216" s="5"/>
      <c r="AU216" s="5"/>
      <c r="AV216" s="5"/>
      <c r="AW216" s="5"/>
      <c r="AX216" s="5"/>
      <c r="AY216" s="5"/>
    </row>
    <row r="217" spans="1:51" x14ac:dyDescent="0.25">
      <c r="A21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7" s="5">
        <f ca="1">IFERROR(__xludf.DUMMYFUNCTION("""COMPUTED_VALUE"""),217)</f>
        <v>217</v>
      </c>
      <c r="C217" s="5">
        <f ca="1">IFERROR(__xludf.DUMMYFUNCTION("""COMPUTED_VALUE"""),216)</f>
        <v>216</v>
      </c>
      <c r="D217" s="5" t="str">
        <f ca="1">IFERROR(__xludf.DUMMYFUNCTION("""COMPUTED_VALUE"""),"ShiningPresents")</f>
        <v>ShiningPresents</v>
      </c>
      <c r="E217" s="5" t="str">
        <f ca="1">IFERROR(__xludf.DUMMYFUNCTION("""COMPUTED_VALUE"""),"Yes")</f>
        <v>Yes</v>
      </c>
      <c r="F217" s="5" t="str">
        <f ca="1">IFERROR(__xludf.DUMMYFUNCTION("""COMPUTED_VALUE"""),"Yes")</f>
        <v>Yes</v>
      </c>
      <c r="G217" s="5" t="str">
        <f ca="1">IFERROR(__xludf.DUMMYFUNCTION("""COMPUTED_VALUE"""),"No")</f>
        <v>No</v>
      </c>
      <c r="H217" s="5" t="str">
        <f ca="1">IFERROR(__xludf.DUMMYFUNCTION("""COMPUTED_VALUE"""),"Yes")</f>
        <v>Yes</v>
      </c>
      <c r="I217" s="5" t="str">
        <f ca="1">IFERROR(__xludf.DUMMYFUNCTION("""COMPUTED_VALUE"""),"Yes")</f>
        <v>Yes</v>
      </c>
      <c r="J217" s="5" t="str">
        <f ca="1">IFERROR(__xludf.DUMMYFUNCTION("""COMPUTED_VALUE"""),"Yes")</f>
        <v>Yes</v>
      </c>
      <c r="K217" s="5" t="str">
        <f ca="1">IFERROR(__xludf.DUMMYFUNCTION("""COMPUTED_VALUE"""),"Yes")</f>
        <v>Yes</v>
      </c>
      <c r="L217" s="5" t="str">
        <f ca="1">IFERROR(__xludf.DUMMYFUNCTION("""COMPUTED_VALUE"""),"Yes")</f>
        <v>Yes</v>
      </c>
      <c r="M217" s="5" t="str">
        <f ca="1">IFERROR(__xludf.DUMMYFUNCTION("""COMPUTED_VALUE"""),"Yes")</f>
        <v>Yes</v>
      </c>
      <c r="N217" s="5" t="str">
        <f ca="1">IFERROR(__xludf.DUMMYFUNCTION("""COMPUTED_VALUE"""),"Yes")</f>
        <v>Yes</v>
      </c>
      <c r="O217" s="5" t="str">
        <f ca="1">IFERROR(__xludf.DUMMYFUNCTION("""COMPUTED_VALUE"""),"Yes")</f>
        <v>Yes</v>
      </c>
      <c r="P217" s="5" t="str">
        <f ca="1">IFERROR(__xludf.DUMMYFUNCTION("""COMPUTED_VALUE"""),"Yes")</f>
        <v>Yes</v>
      </c>
      <c r="Q217" s="5" t="str">
        <f ca="1">IFERROR(__xludf.DUMMYFUNCTION("""COMPUTED_VALUE"""),"Yes")</f>
        <v>Yes</v>
      </c>
      <c r="R217" s="5" t="str">
        <f ca="1">IFERROR(__xludf.DUMMYFUNCTION("""COMPUTED_VALUE"""),"Yes")</f>
        <v>Yes</v>
      </c>
      <c r="S217" s="5" t="str">
        <f ca="1">IFERROR(__xludf.DUMMYFUNCTION("""COMPUTED_VALUE"""),"Yes")</f>
        <v>Yes</v>
      </c>
      <c r="T217" s="5" t="str">
        <f ca="1">IFERROR(__xludf.DUMMYFUNCTION("""COMPUTED_VALUE"""),"No")</f>
        <v>No</v>
      </c>
      <c r="U217" s="5" t="str">
        <f ca="1">IFERROR(__xludf.DUMMYFUNCTION("""COMPUTED_VALUE"""),"No")</f>
        <v>No</v>
      </c>
      <c r="V217" s="5" t="str">
        <f ca="1">IFERROR(__xludf.DUMMYFUNCTION("""COMPUTED_VALUE"""),"No")</f>
        <v>No</v>
      </c>
      <c r="W217" s="5" t="str">
        <f ca="1">IFERROR(__xludf.DUMMYFUNCTION("""COMPUTED_VALUE"""),"No")</f>
        <v>No</v>
      </c>
      <c r="X217" s="5" t="str">
        <f ca="1">IFERROR(__xludf.DUMMYFUNCTION("""COMPUTED_VALUE"""),"No")</f>
        <v>No</v>
      </c>
      <c r="Y217" s="5" t="str">
        <f ca="1">IFERROR(__xludf.DUMMYFUNCTION("""COMPUTED_VALUE"""),"No")</f>
        <v>No</v>
      </c>
      <c r="Z217" s="5" t="str">
        <f ca="1">IFERROR(__xludf.DUMMYFUNCTION("""COMPUTED_VALUE"""),"No")</f>
        <v>No</v>
      </c>
      <c r="AA217" s="5" t="str">
        <f ca="1">IFERROR(__xludf.DUMMYFUNCTION("""COMPUTED_VALUE"""),"No")</f>
        <v>No</v>
      </c>
      <c r="AB217" s="5" t="str">
        <f ca="1">IFERROR(__xludf.DUMMYFUNCTION("""COMPUTED_VALUE"""),"No")</f>
        <v>No</v>
      </c>
      <c r="AC217" s="5" t="str">
        <f ca="1">IFERROR(__xludf.DUMMYFUNCTION("""COMPUTED_VALUE"""),"No")</f>
        <v>No</v>
      </c>
      <c r="AD217" s="5" t="str">
        <f ca="1">IFERROR(__xludf.DUMMYFUNCTION("""COMPUTED_VALUE"""),"No")</f>
        <v>No</v>
      </c>
      <c r="AE217" s="5" t="str">
        <f ca="1">IFERROR(__xludf.DUMMYFUNCTION("""COMPUTED_VALUE"""),"No")</f>
        <v>No</v>
      </c>
      <c r="AF217" s="5" t="str">
        <f ca="1">IFERROR(__xludf.DUMMYFUNCTION("""COMPUTED_VALUE"""),"Yes")</f>
        <v>Yes</v>
      </c>
      <c r="AG217" s="5" t="str">
        <f ca="1">IFERROR(__xludf.DUMMYFUNCTION("""COMPUTED_VALUE"""),"No")</f>
        <v>No</v>
      </c>
      <c r="AH217" s="5" t="str">
        <f ca="1">IFERROR(__xludf.DUMMYFUNCTION("""COMPUTED_VALUE"""),"Yes")</f>
        <v>Yes</v>
      </c>
      <c r="AI217" s="5" t="str">
        <f ca="1">IFERROR(__xludf.DUMMYFUNCTION("""COMPUTED_VALUE"""),"No")</f>
        <v>No</v>
      </c>
      <c r="AJ217" s="5" t="str">
        <f ca="1">IFERROR(__xludf.DUMMYFUNCTION("""COMPUTED_VALUE"""),"No")</f>
        <v>No</v>
      </c>
      <c r="AK217" s="5" t="str">
        <f ca="1">IFERROR(__xludf.DUMMYFUNCTION("""COMPUTED_VALUE"""),"No")</f>
        <v>No</v>
      </c>
      <c r="AL217" s="5" t="str">
        <f ca="1">IFERROR(__xludf.DUMMYFUNCTION("""COMPUTED_VALUE"""),"No")</f>
        <v>No</v>
      </c>
      <c r="AM217" s="5"/>
      <c r="AN217" s="5"/>
      <c r="AO217" s="5"/>
      <c r="AP217" s="5"/>
      <c r="AQ217" s="5"/>
      <c r="AR217" s="5"/>
      <c r="AS217" s="5"/>
      <c r="AT217" s="5"/>
      <c r="AU217" s="5"/>
      <c r="AV217" s="5"/>
      <c r="AW217" s="5"/>
      <c r="AX217" s="5"/>
      <c r="AY217" s="5"/>
    </row>
    <row r="218" spans="1:51" x14ac:dyDescent="0.25">
      <c r="A2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8" s="5">
        <f ca="1">IFERROR(__xludf.DUMMYFUNCTION("""COMPUTED_VALUE"""),218)</f>
        <v>218</v>
      </c>
      <c r="C218" s="5">
        <f ca="1">IFERROR(__xludf.DUMMYFUNCTION("""COMPUTED_VALUE"""),217)</f>
        <v>217</v>
      </c>
      <c r="D218" s="5" t="str">
        <f ca="1">IFERROR(__xludf.DUMMYFUNCTION("""COMPUTED_VALUE"""),"WildSanta10")</f>
        <v>WildSanta10</v>
      </c>
      <c r="E218" s="5" t="str">
        <f ca="1">IFERROR(__xludf.DUMMYFUNCTION("""COMPUTED_VALUE"""),"Yes")</f>
        <v>Yes</v>
      </c>
      <c r="F218" s="5" t="str">
        <f ca="1">IFERROR(__xludf.DUMMYFUNCTION("""COMPUTED_VALUE"""),"Yes")</f>
        <v>Yes</v>
      </c>
      <c r="G218" s="5" t="str">
        <f ca="1">IFERROR(__xludf.DUMMYFUNCTION("""COMPUTED_VALUE"""),"Yes")</f>
        <v>Yes</v>
      </c>
      <c r="H218" s="5" t="str">
        <f ca="1">IFERROR(__xludf.DUMMYFUNCTION("""COMPUTED_VALUE"""),"Yes")</f>
        <v>Yes</v>
      </c>
      <c r="I218" s="5" t="str">
        <f ca="1">IFERROR(__xludf.DUMMYFUNCTION("""COMPUTED_VALUE"""),"Yes")</f>
        <v>Yes</v>
      </c>
      <c r="J218" s="5" t="str">
        <f ca="1">IFERROR(__xludf.DUMMYFUNCTION("""COMPUTED_VALUE"""),"Yes")</f>
        <v>Yes</v>
      </c>
      <c r="K218" s="5" t="str">
        <f ca="1">IFERROR(__xludf.DUMMYFUNCTION("""COMPUTED_VALUE"""),"Yes")</f>
        <v>Yes</v>
      </c>
      <c r="L218" s="5" t="str">
        <f ca="1">IFERROR(__xludf.DUMMYFUNCTION("""COMPUTED_VALUE"""),"Yes")</f>
        <v>Yes</v>
      </c>
      <c r="M218" s="5" t="str">
        <f ca="1">IFERROR(__xludf.DUMMYFUNCTION("""COMPUTED_VALUE"""),"Yes")</f>
        <v>Yes</v>
      </c>
      <c r="N218" s="5" t="str">
        <f ca="1">IFERROR(__xludf.DUMMYFUNCTION("""COMPUTED_VALUE"""),"Yes")</f>
        <v>Yes</v>
      </c>
      <c r="O218" s="5" t="str">
        <f ca="1">IFERROR(__xludf.DUMMYFUNCTION("""COMPUTED_VALUE"""),"Yes")</f>
        <v>Yes</v>
      </c>
      <c r="P218" s="5" t="str">
        <f ca="1">IFERROR(__xludf.DUMMYFUNCTION("""COMPUTED_VALUE"""),"Yes")</f>
        <v>Yes</v>
      </c>
      <c r="Q218" s="5" t="str">
        <f ca="1">IFERROR(__xludf.DUMMYFUNCTION("""COMPUTED_VALUE"""),"Yes")</f>
        <v>Yes</v>
      </c>
      <c r="R218" s="5" t="str">
        <f ca="1">IFERROR(__xludf.DUMMYFUNCTION("""COMPUTED_VALUE"""),"Yes")</f>
        <v>Yes</v>
      </c>
      <c r="S218" s="5" t="str">
        <f ca="1">IFERROR(__xludf.DUMMYFUNCTION("""COMPUTED_VALUE"""),"Yes")</f>
        <v>Yes</v>
      </c>
      <c r="T218" s="5" t="str">
        <f ca="1">IFERROR(__xludf.DUMMYFUNCTION("""COMPUTED_VALUE"""),"Yes")</f>
        <v>Yes</v>
      </c>
      <c r="U218" s="5" t="str">
        <f ca="1">IFERROR(__xludf.DUMMYFUNCTION("""COMPUTED_VALUE"""),"Yes")</f>
        <v>Yes</v>
      </c>
      <c r="V218" s="5" t="str">
        <f ca="1">IFERROR(__xludf.DUMMYFUNCTION("""COMPUTED_VALUE"""),"Yes")</f>
        <v>Yes</v>
      </c>
      <c r="W218" s="5" t="str">
        <f ca="1">IFERROR(__xludf.DUMMYFUNCTION("""COMPUTED_VALUE"""),"Yes")</f>
        <v>Yes</v>
      </c>
      <c r="X218" s="5" t="str">
        <f ca="1">IFERROR(__xludf.DUMMYFUNCTION("""COMPUTED_VALUE"""),"Yes")</f>
        <v>Yes</v>
      </c>
      <c r="Y218" s="5"/>
      <c r="Z218" s="5"/>
      <c r="AA218" s="5"/>
      <c r="AB218" s="5"/>
      <c r="AC218" s="5" t="str">
        <f ca="1">IFERROR(__xludf.DUMMYFUNCTION("""COMPUTED_VALUE"""),"Yes")</f>
        <v>Yes</v>
      </c>
      <c r="AD218" s="5"/>
      <c r="AE218" s="5"/>
      <c r="AF218" s="5"/>
      <c r="AG218" s="5"/>
      <c r="AH218" s="5"/>
      <c r="AI218" s="5"/>
      <c r="AJ218" s="5"/>
      <c r="AK218" s="5"/>
      <c r="AL218" s="5"/>
      <c r="AM218" s="5"/>
      <c r="AN218" s="5"/>
      <c r="AO218" s="5"/>
      <c r="AP218" s="5"/>
      <c r="AQ218" s="5"/>
      <c r="AR218" s="5"/>
      <c r="AS218" s="5"/>
      <c r="AT218" s="5"/>
      <c r="AU218" s="5"/>
      <c r="AV218" s="5"/>
      <c r="AW218" s="5"/>
      <c r="AX218" s="5"/>
      <c r="AY218" s="5"/>
    </row>
    <row r="219" spans="1:51" x14ac:dyDescent="0.25">
      <c r="A219"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9" s="5">
        <f ca="1">IFERROR(__xludf.DUMMYFUNCTION("""COMPUTED_VALUE"""),219)</f>
        <v>219</v>
      </c>
      <c r="C219" s="5">
        <f ca="1">IFERROR(__xludf.DUMMYFUNCTION("""COMPUTED_VALUE"""),218)</f>
        <v>218</v>
      </c>
      <c r="D219" s="5" t="str">
        <f ca="1">IFERROR(__xludf.DUMMYFUNCTION("""COMPUTED_VALUE"""),"UnicornFastFruits")</f>
        <v>UnicornFastFruits</v>
      </c>
      <c r="E219" s="5" t="str">
        <f ca="1">IFERROR(__xludf.DUMMYFUNCTION("""COMPUTED_VALUE"""),"Yes")</f>
        <v>Yes</v>
      </c>
      <c r="F219" s="5" t="str">
        <f ca="1">IFERROR(__xludf.DUMMYFUNCTION("""COMPUTED_VALUE"""),"Yes")</f>
        <v>Yes</v>
      </c>
      <c r="G219" s="5" t="str">
        <f ca="1">IFERROR(__xludf.DUMMYFUNCTION("""COMPUTED_VALUE"""),"No")</f>
        <v>No</v>
      </c>
      <c r="H219" s="5" t="str">
        <f ca="1">IFERROR(__xludf.DUMMYFUNCTION("""COMPUTED_VALUE"""),"Yes")</f>
        <v>Yes</v>
      </c>
      <c r="I219" s="5" t="str">
        <f ca="1">IFERROR(__xludf.DUMMYFUNCTION("""COMPUTED_VALUE"""),"Yes")</f>
        <v>Yes</v>
      </c>
      <c r="J219" s="5" t="str">
        <f ca="1">IFERROR(__xludf.DUMMYFUNCTION("""COMPUTED_VALUE"""),"Yes")</f>
        <v>Yes</v>
      </c>
      <c r="K219" s="5" t="str">
        <f ca="1">IFERROR(__xludf.DUMMYFUNCTION("""COMPUTED_VALUE"""),"Yes")</f>
        <v>Yes</v>
      </c>
      <c r="L219" s="5" t="str">
        <f ca="1">IFERROR(__xludf.DUMMYFUNCTION("""COMPUTED_VALUE"""),"Yes")</f>
        <v>Yes</v>
      </c>
      <c r="M219" s="5" t="str">
        <f ca="1">IFERROR(__xludf.DUMMYFUNCTION("""COMPUTED_VALUE"""),"Yes")</f>
        <v>Yes</v>
      </c>
      <c r="N219" s="5" t="str">
        <f ca="1">IFERROR(__xludf.DUMMYFUNCTION("""COMPUTED_VALUE"""),"Yes")</f>
        <v>Yes</v>
      </c>
      <c r="O219" s="5" t="str">
        <f ca="1">IFERROR(__xludf.DUMMYFUNCTION("""COMPUTED_VALUE"""),"Yes")</f>
        <v>Yes</v>
      </c>
      <c r="P219" s="5" t="str">
        <f ca="1">IFERROR(__xludf.DUMMYFUNCTION("""COMPUTED_VALUE"""),"Yes")</f>
        <v>Yes</v>
      </c>
      <c r="Q219" s="5" t="str">
        <f ca="1">IFERROR(__xludf.DUMMYFUNCTION("""COMPUTED_VALUE"""),"Yes")</f>
        <v>Yes</v>
      </c>
      <c r="R219" s="5" t="str">
        <f ca="1">IFERROR(__xludf.DUMMYFUNCTION("""COMPUTED_VALUE"""),"Yes")</f>
        <v>Yes</v>
      </c>
      <c r="S219" s="5" t="str">
        <f ca="1">IFERROR(__xludf.DUMMYFUNCTION("""COMPUTED_VALUE"""),"Yes")</f>
        <v>Yes</v>
      </c>
      <c r="T219" s="5" t="str">
        <f ca="1">IFERROR(__xludf.DUMMYFUNCTION("""COMPUTED_VALUE"""),"No")</f>
        <v>No</v>
      </c>
      <c r="U219" s="5" t="str">
        <f ca="1">IFERROR(__xludf.DUMMYFUNCTION("""COMPUTED_VALUE"""),"No")</f>
        <v>No</v>
      </c>
      <c r="V219" s="5" t="str">
        <f ca="1">IFERROR(__xludf.DUMMYFUNCTION("""COMPUTED_VALUE"""),"No")</f>
        <v>No</v>
      </c>
      <c r="W219" s="5" t="str">
        <f ca="1">IFERROR(__xludf.DUMMYFUNCTION("""COMPUTED_VALUE"""),"No")</f>
        <v>No</v>
      </c>
      <c r="X219" s="5" t="str">
        <f ca="1">IFERROR(__xludf.DUMMYFUNCTION("""COMPUTED_VALUE"""),"No")</f>
        <v>No</v>
      </c>
      <c r="Y219" s="5" t="str">
        <f ca="1">IFERROR(__xludf.DUMMYFUNCTION("""COMPUTED_VALUE"""),"No")</f>
        <v>No</v>
      </c>
      <c r="Z219" s="5" t="str">
        <f ca="1">IFERROR(__xludf.DUMMYFUNCTION("""COMPUTED_VALUE"""),"No")</f>
        <v>No</v>
      </c>
      <c r="AA219" s="5" t="str">
        <f ca="1">IFERROR(__xludf.DUMMYFUNCTION("""COMPUTED_VALUE"""),"No")</f>
        <v>No</v>
      </c>
      <c r="AB219" s="5" t="str">
        <f ca="1">IFERROR(__xludf.DUMMYFUNCTION("""COMPUTED_VALUE"""),"No")</f>
        <v>No</v>
      </c>
      <c r="AC219" s="5" t="str">
        <f ca="1">IFERROR(__xludf.DUMMYFUNCTION("""COMPUTED_VALUE"""),"No")</f>
        <v>No</v>
      </c>
      <c r="AD219" s="5" t="str">
        <f ca="1">IFERROR(__xludf.DUMMYFUNCTION("""COMPUTED_VALUE"""),"No")</f>
        <v>No</v>
      </c>
      <c r="AE219" s="5" t="str">
        <f ca="1">IFERROR(__xludf.DUMMYFUNCTION("""COMPUTED_VALUE"""),"No")</f>
        <v>No</v>
      </c>
      <c r="AF219" s="5" t="str">
        <f ca="1">IFERROR(__xludf.DUMMYFUNCTION("""COMPUTED_VALUE"""),"Yes")</f>
        <v>Yes</v>
      </c>
      <c r="AG219" s="5" t="str">
        <f ca="1">IFERROR(__xludf.DUMMYFUNCTION("""COMPUTED_VALUE"""),"No")</f>
        <v>No</v>
      </c>
      <c r="AH219" s="5" t="str">
        <f ca="1">IFERROR(__xludf.DUMMYFUNCTION("""COMPUTED_VALUE"""),"Yes")</f>
        <v>Yes</v>
      </c>
      <c r="AI219" s="5" t="str">
        <f ca="1">IFERROR(__xludf.DUMMYFUNCTION("""COMPUTED_VALUE"""),"No")</f>
        <v>No</v>
      </c>
      <c r="AJ219" s="5" t="str">
        <f ca="1">IFERROR(__xludf.DUMMYFUNCTION("""COMPUTED_VALUE"""),"No")</f>
        <v>No</v>
      </c>
      <c r="AK219" s="5" t="str">
        <f ca="1">IFERROR(__xludf.DUMMYFUNCTION("""COMPUTED_VALUE"""),"No")</f>
        <v>No</v>
      </c>
      <c r="AL219" s="5" t="str">
        <f ca="1">IFERROR(__xludf.DUMMYFUNCTION("""COMPUTED_VALUE"""),"No")</f>
        <v>No</v>
      </c>
      <c r="AM219" s="5"/>
      <c r="AN219" s="5"/>
      <c r="AO219" s="5"/>
      <c r="AP219" s="5"/>
      <c r="AQ219" s="5"/>
      <c r="AR219" s="5"/>
      <c r="AS219" s="5"/>
      <c r="AT219" s="5"/>
      <c r="AU219" s="5"/>
      <c r="AV219" s="5"/>
      <c r="AW219" s="5"/>
      <c r="AX219" s="5"/>
      <c r="AY219" s="5"/>
    </row>
    <row r="220" spans="1:51" x14ac:dyDescent="0.25">
      <c r="A22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20" s="5">
        <f ca="1">IFERROR(__xludf.DUMMYFUNCTION("""COMPUTED_VALUE"""),220)</f>
        <v>220</v>
      </c>
      <c r="C220" s="5">
        <f ca="1">IFERROR(__xludf.DUMMYFUNCTION("""COMPUTED_VALUE"""),219)</f>
        <v>219</v>
      </c>
      <c r="D220" s="5" t="str">
        <f ca="1">IFERROR(__xludf.DUMMYFUNCTION("""COMPUTED_VALUE"""),"UnicornMoneyStandardWild")</f>
        <v>UnicornMoneyStandardWild</v>
      </c>
      <c r="E220" s="5" t="str">
        <f ca="1">IFERROR(__xludf.DUMMYFUNCTION("""COMPUTED_VALUE"""),"Yes")</f>
        <v>Yes</v>
      </c>
      <c r="F220" s="5" t="str">
        <f ca="1">IFERROR(__xludf.DUMMYFUNCTION("""COMPUTED_VALUE"""),"Yes")</f>
        <v>Yes</v>
      </c>
      <c r="G220" s="5" t="str">
        <f ca="1">IFERROR(__xludf.DUMMYFUNCTION("""COMPUTED_VALUE"""),"Yes")</f>
        <v>Yes</v>
      </c>
      <c r="H220" s="5" t="str">
        <f ca="1">IFERROR(__xludf.DUMMYFUNCTION("""COMPUTED_VALUE"""),"No")</f>
        <v>No</v>
      </c>
      <c r="I220" s="5" t="str">
        <f ca="1">IFERROR(__xludf.DUMMYFUNCTION("""COMPUTED_VALUE"""),"No")</f>
        <v>No</v>
      </c>
      <c r="J220" s="5" t="str">
        <f ca="1">IFERROR(__xludf.DUMMYFUNCTION("""COMPUTED_VALUE"""),"No")</f>
        <v>No</v>
      </c>
      <c r="K220" s="5" t="str">
        <f ca="1">IFERROR(__xludf.DUMMYFUNCTION("""COMPUTED_VALUE"""),"No")</f>
        <v>No</v>
      </c>
      <c r="L220" s="5" t="str">
        <f ca="1">IFERROR(__xludf.DUMMYFUNCTION("""COMPUTED_VALUE"""),"No")</f>
        <v>No</v>
      </c>
      <c r="M220" s="5" t="str">
        <f ca="1">IFERROR(__xludf.DUMMYFUNCTION("""COMPUTED_VALUE"""),"Yes")</f>
        <v>Yes</v>
      </c>
      <c r="N220" s="5" t="str">
        <f ca="1">IFERROR(__xludf.DUMMYFUNCTION("""COMPUTED_VALUE"""),"Yes")</f>
        <v>Yes</v>
      </c>
      <c r="O220" s="5" t="str">
        <f ca="1">IFERROR(__xludf.DUMMYFUNCTION("""COMPUTED_VALUE"""),"Yes")</f>
        <v>Yes</v>
      </c>
      <c r="P220" s="5" t="str">
        <f ca="1">IFERROR(__xludf.DUMMYFUNCTION("""COMPUTED_VALUE"""),"Yes")</f>
        <v>Yes</v>
      </c>
      <c r="Q220" s="5" t="str">
        <f ca="1">IFERROR(__xludf.DUMMYFUNCTION("""COMPUTED_VALUE"""),"Yes")</f>
        <v>Yes</v>
      </c>
      <c r="R220" s="5" t="str">
        <f ca="1">IFERROR(__xludf.DUMMYFUNCTION("""COMPUTED_VALUE"""),"No")</f>
        <v>No</v>
      </c>
      <c r="S220" s="5" t="str">
        <f ca="1">IFERROR(__xludf.DUMMYFUNCTION("""COMPUTED_VALUE"""),"Yes")</f>
        <v>Yes</v>
      </c>
      <c r="T220" s="5" t="str">
        <f ca="1">IFERROR(__xludf.DUMMYFUNCTION("""COMPUTED_VALUE"""),"No")</f>
        <v>No</v>
      </c>
      <c r="U220" s="5" t="str">
        <f ca="1">IFERROR(__xludf.DUMMYFUNCTION("""COMPUTED_VALUE"""),"No")</f>
        <v>No</v>
      </c>
      <c r="V220" s="5" t="str">
        <f ca="1">IFERROR(__xludf.DUMMYFUNCTION("""COMPUTED_VALUE"""),"No")</f>
        <v>No</v>
      </c>
      <c r="W220" s="5" t="str">
        <f ca="1">IFERROR(__xludf.DUMMYFUNCTION("""COMPUTED_VALUE"""),"No")</f>
        <v>No</v>
      </c>
      <c r="X220" s="5" t="str">
        <f ca="1">IFERROR(__xludf.DUMMYFUNCTION("""COMPUTED_VALUE"""),"No")</f>
        <v>No</v>
      </c>
      <c r="Y220" s="5"/>
      <c r="Z220" s="5"/>
      <c r="AA220" s="5"/>
      <c r="AB220" s="5"/>
      <c r="AC220" s="5" t="str">
        <f ca="1">IFERROR(__xludf.DUMMYFUNCTION("""COMPUTED_VALUE"""),"No")</f>
        <v>No</v>
      </c>
      <c r="AD220" s="5"/>
      <c r="AE220" s="5"/>
      <c r="AF220" s="5"/>
      <c r="AG220" s="5"/>
      <c r="AH220" s="5"/>
      <c r="AI220" s="5"/>
      <c r="AJ220" s="5"/>
      <c r="AK220" s="5"/>
      <c r="AL220" s="5"/>
      <c r="AM220" s="5"/>
      <c r="AN220" s="5"/>
      <c r="AO220" s="5"/>
      <c r="AP220" s="5"/>
      <c r="AQ220" s="5"/>
      <c r="AR220" s="5"/>
      <c r="AS220" s="5"/>
      <c r="AT220" s="5"/>
      <c r="AU220" s="5"/>
      <c r="AV220" s="5"/>
      <c r="AW220" s="5"/>
      <c r="AX220" s="5"/>
      <c r="AY220" s="5"/>
    </row>
    <row r="221" spans="1:51" x14ac:dyDescent="0.25">
      <c r="A2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1" s="5">
        <f ca="1">IFERROR(__xludf.DUMMYFUNCTION("""COMPUTED_VALUE"""),221)</f>
        <v>221</v>
      </c>
      <c r="C221" s="5">
        <f ca="1">IFERROR(__xludf.DUMMYFUNCTION("""COMPUTED_VALUE"""),220)</f>
        <v>220</v>
      </c>
      <c r="D221" s="5" t="str">
        <f ca="1">IFERROR(__xludf.DUMMYFUNCTION("""COMPUTED_VALUE"""),"WildHot40Blow")</f>
        <v>WildHot40Blow</v>
      </c>
      <c r="E221" s="5" t="str">
        <f ca="1">IFERROR(__xludf.DUMMYFUNCTION("""COMPUTED_VALUE"""),"Yes")</f>
        <v>Yes</v>
      </c>
      <c r="F221" s="5" t="str">
        <f ca="1">IFERROR(__xludf.DUMMYFUNCTION("""COMPUTED_VALUE"""),"Yes")</f>
        <v>Yes</v>
      </c>
      <c r="G221" s="5" t="str">
        <f ca="1">IFERROR(__xludf.DUMMYFUNCTION("""COMPUTED_VALUE"""),"Yes")</f>
        <v>Yes</v>
      </c>
      <c r="H221" s="5" t="str">
        <f ca="1">IFERROR(__xludf.DUMMYFUNCTION("""COMPUTED_VALUE"""),"Yes")</f>
        <v>Yes</v>
      </c>
      <c r="I221" s="5" t="str">
        <f ca="1">IFERROR(__xludf.DUMMYFUNCTION("""COMPUTED_VALUE"""),"Yes")</f>
        <v>Yes</v>
      </c>
      <c r="J221" s="5" t="str">
        <f ca="1">IFERROR(__xludf.DUMMYFUNCTION("""COMPUTED_VALUE"""),"Yes")</f>
        <v>Yes</v>
      </c>
      <c r="K221" s="5" t="str">
        <f ca="1">IFERROR(__xludf.DUMMYFUNCTION("""COMPUTED_VALUE"""),"Yes")</f>
        <v>Yes</v>
      </c>
      <c r="L221" s="5" t="str">
        <f ca="1">IFERROR(__xludf.DUMMYFUNCTION("""COMPUTED_VALUE"""),"Yes")</f>
        <v>Yes</v>
      </c>
      <c r="M221" s="5" t="str">
        <f ca="1">IFERROR(__xludf.DUMMYFUNCTION("""COMPUTED_VALUE"""),"Yes")</f>
        <v>Yes</v>
      </c>
      <c r="N221" s="5" t="str">
        <f ca="1">IFERROR(__xludf.DUMMYFUNCTION("""COMPUTED_VALUE"""),"Yes")</f>
        <v>Yes</v>
      </c>
      <c r="O221" s="5" t="str">
        <f ca="1">IFERROR(__xludf.DUMMYFUNCTION("""COMPUTED_VALUE"""),"Yes")</f>
        <v>Yes</v>
      </c>
      <c r="P221" s="5" t="str">
        <f ca="1">IFERROR(__xludf.DUMMYFUNCTION("""COMPUTED_VALUE"""),"Yes")</f>
        <v>Yes</v>
      </c>
      <c r="Q221" s="5" t="str">
        <f ca="1">IFERROR(__xludf.DUMMYFUNCTION("""COMPUTED_VALUE"""),"Yes")</f>
        <v>Yes</v>
      </c>
      <c r="R221" s="5" t="str">
        <f ca="1">IFERROR(__xludf.DUMMYFUNCTION("""COMPUTED_VALUE"""),"Yes")</f>
        <v>Yes</v>
      </c>
      <c r="S221" s="5" t="str">
        <f ca="1">IFERROR(__xludf.DUMMYFUNCTION("""COMPUTED_VALUE"""),"Yes")</f>
        <v>Yes</v>
      </c>
      <c r="T221" s="5" t="str">
        <f ca="1">IFERROR(__xludf.DUMMYFUNCTION("""COMPUTED_VALUE"""),"Yes")</f>
        <v>Yes</v>
      </c>
      <c r="U221" s="5" t="str">
        <f ca="1">IFERROR(__xludf.DUMMYFUNCTION("""COMPUTED_VALUE"""),"Yes")</f>
        <v>Yes</v>
      </c>
      <c r="V221" s="5" t="str">
        <f ca="1">IFERROR(__xludf.DUMMYFUNCTION("""COMPUTED_VALUE"""),"Yes")</f>
        <v>Yes</v>
      </c>
      <c r="W221" s="5" t="str">
        <f ca="1">IFERROR(__xludf.DUMMYFUNCTION("""COMPUTED_VALUE"""),"Yes")</f>
        <v>Yes</v>
      </c>
      <c r="X221" s="5" t="str">
        <f ca="1">IFERROR(__xludf.DUMMYFUNCTION("""COMPUTED_VALUE"""),"Yes")</f>
        <v>Yes</v>
      </c>
      <c r="Y221" s="5" t="str">
        <f ca="1">IFERROR(__xludf.DUMMYFUNCTION("""COMPUTED_VALUE"""),"Yes")</f>
        <v>Yes</v>
      </c>
      <c r="Z221" s="5" t="str">
        <f ca="1">IFERROR(__xludf.DUMMYFUNCTION("""COMPUTED_VALUE"""),"No")</f>
        <v>No</v>
      </c>
      <c r="AA221" s="5" t="str">
        <f ca="1">IFERROR(__xludf.DUMMYFUNCTION("""COMPUTED_VALUE"""),"Yes")</f>
        <v>Yes</v>
      </c>
      <c r="AB221" s="5" t="str">
        <f ca="1">IFERROR(__xludf.DUMMYFUNCTION("""COMPUTED_VALUE"""),"Yes")</f>
        <v>Yes</v>
      </c>
      <c r="AC221" s="5" t="str">
        <f ca="1">IFERROR(__xludf.DUMMYFUNCTION("""COMPUTED_VALUE"""),"Yes")</f>
        <v>Yes</v>
      </c>
      <c r="AD221" s="5" t="str">
        <f ca="1">IFERROR(__xludf.DUMMYFUNCTION("""COMPUTED_VALUE"""),"Yes")</f>
        <v>Yes</v>
      </c>
      <c r="AE221" s="5" t="str">
        <f ca="1">IFERROR(__xludf.DUMMYFUNCTION("""COMPUTED_VALUE"""),"No")</f>
        <v>No</v>
      </c>
      <c r="AF221" s="5" t="str">
        <f ca="1">IFERROR(__xludf.DUMMYFUNCTION("""COMPUTED_VALUE"""),"Yes")</f>
        <v>Yes</v>
      </c>
      <c r="AG221" s="5" t="str">
        <f ca="1">IFERROR(__xludf.DUMMYFUNCTION("""COMPUTED_VALUE"""),"No")</f>
        <v>No</v>
      </c>
      <c r="AH221" s="5" t="str">
        <f ca="1">IFERROR(__xludf.DUMMYFUNCTION("""COMPUTED_VALUE"""),"No")</f>
        <v>No</v>
      </c>
      <c r="AI221" s="5" t="str">
        <f ca="1">IFERROR(__xludf.DUMMYFUNCTION("""COMPUTED_VALUE"""),"No")</f>
        <v>No</v>
      </c>
      <c r="AJ221" s="5" t="str">
        <f ca="1">IFERROR(__xludf.DUMMYFUNCTION("""COMPUTED_VALUE"""),"No")</f>
        <v>No</v>
      </c>
      <c r="AK221" s="5" t="str">
        <f ca="1">IFERROR(__xludf.DUMMYFUNCTION("""COMPUTED_VALUE"""),"No")</f>
        <v>No</v>
      </c>
      <c r="AL221" s="5" t="str">
        <f ca="1">IFERROR(__xludf.DUMMYFUNCTION("""COMPUTED_VALUE"""),"No")</f>
        <v>No</v>
      </c>
      <c r="AM221" s="5"/>
      <c r="AN221" s="5"/>
      <c r="AO221" s="5"/>
      <c r="AP221" s="5"/>
      <c r="AQ221" s="5"/>
      <c r="AR221" s="5"/>
      <c r="AS221" s="5"/>
      <c r="AT221" s="5"/>
      <c r="AU221" s="5"/>
      <c r="AV221" s="5"/>
      <c r="AW221" s="5"/>
      <c r="AX221" s="5"/>
      <c r="AY221" s="5"/>
    </row>
    <row r="222" spans="1:51" x14ac:dyDescent="0.25">
      <c r="A2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2" s="5">
        <f ca="1">IFERROR(__xludf.DUMMYFUNCTION("""COMPUTED_VALUE"""),222)</f>
        <v>222</v>
      </c>
      <c r="C222" s="5">
        <f ca="1">IFERROR(__xludf.DUMMYFUNCTION("""COMPUTED_VALUE"""),221)</f>
        <v>221</v>
      </c>
      <c r="D222" s="5" t="str">
        <f ca="1">IFERROR(__xludf.DUMMYFUNCTION("""COMPUTED_VALUE"""),"UnicornDiceMegaCash")</f>
        <v>UnicornDiceMegaCash</v>
      </c>
      <c r="E222" s="5" t="str">
        <f ca="1">IFERROR(__xludf.DUMMYFUNCTION("""COMPUTED_VALUE"""),"Yes")</f>
        <v>Yes</v>
      </c>
      <c r="F222" s="5" t="str">
        <f ca="1">IFERROR(__xludf.DUMMYFUNCTION("""COMPUTED_VALUE"""),"Yes")</f>
        <v>Yes</v>
      </c>
      <c r="G222" s="5" t="str">
        <f ca="1">IFERROR(__xludf.DUMMYFUNCTION("""COMPUTED_VALUE"""),"Yes")</f>
        <v>Yes</v>
      </c>
      <c r="H222" s="5" t="str">
        <f ca="1">IFERROR(__xludf.DUMMYFUNCTION("""COMPUTED_VALUE"""),"Yes")</f>
        <v>Yes</v>
      </c>
      <c r="I222" s="5" t="str">
        <f ca="1">IFERROR(__xludf.DUMMYFUNCTION("""COMPUTED_VALUE"""),"Yes")</f>
        <v>Yes</v>
      </c>
      <c r="J222" s="5" t="str">
        <f ca="1">IFERROR(__xludf.DUMMYFUNCTION("""COMPUTED_VALUE"""),"Yes")</f>
        <v>Yes</v>
      </c>
      <c r="K222" s="5" t="str">
        <f ca="1">IFERROR(__xludf.DUMMYFUNCTION("""COMPUTED_VALUE"""),"Yes")</f>
        <v>Yes</v>
      </c>
      <c r="L222" s="5" t="str">
        <f ca="1">IFERROR(__xludf.DUMMYFUNCTION("""COMPUTED_VALUE"""),"Yes")</f>
        <v>Yes</v>
      </c>
      <c r="M222" s="5" t="str">
        <f ca="1">IFERROR(__xludf.DUMMYFUNCTION("""COMPUTED_VALUE"""),"Yes")</f>
        <v>Yes</v>
      </c>
      <c r="N222" s="5" t="str">
        <f ca="1">IFERROR(__xludf.DUMMYFUNCTION("""COMPUTED_VALUE"""),"Yes")</f>
        <v>Yes</v>
      </c>
      <c r="O222" s="5" t="str">
        <f ca="1">IFERROR(__xludf.DUMMYFUNCTION("""COMPUTED_VALUE"""),"Yes")</f>
        <v>Yes</v>
      </c>
      <c r="P222" s="5" t="str">
        <f ca="1">IFERROR(__xludf.DUMMYFUNCTION("""COMPUTED_VALUE"""),"Yes")</f>
        <v>Yes</v>
      </c>
      <c r="Q222" s="5" t="str">
        <f ca="1">IFERROR(__xludf.DUMMYFUNCTION("""COMPUTED_VALUE"""),"Yes")</f>
        <v>Yes</v>
      </c>
      <c r="R222" s="5" t="str">
        <f ca="1">IFERROR(__xludf.DUMMYFUNCTION("""COMPUTED_VALUE"""),"Yes")</f>
        <v>Yes</v>
      </c>
      <c r="S222" s="5" t="str">
        <f ca="1">IFERROR(__xludf.DUMMYFUNCTION("""COMPUTED_VALUE"""),"Yes")</f>
        <v>Yes</v>
      </c>
      <c r="T222" s="5" t="str">
        <f ca="1">IFERROR(__xludf.DUMMYFUNCTION("""COMPUTED_VALUE"""),"Yes")</f>
        <v>Yes</v>
      </c>
      <c r="U222" s="5" t="str">
        <f ca="1">IFERROR(__xludf.DUMMYFUNCTION("""COMPUTED_VALUE"""),"Yes")</f>
        <v>Yes</v>
      </c>
      <c r="V222" s="5" t="str">
        <f ca="1">IFERROR(__xludf.DUMMYFUNCTION("""COMPUTED_VALUE"""),"Yes")</f>
        <v>Yes</v>
      </c>
      <c r="W222" s="5" t="str">
        <f ca="1">IFERROR(__xludf.DUMMYFUNCTION("""COMPUTED_VALUE"""),"Yes")</f>
        <v>Yes</v>
      </c>
      <c r="X222" s="5" t="str">
        <f ca="1">IFERROR(__xludf.DUMMYFUNCTION("""COMPUTED_VALUE"""),"Yes")</f>
        <v>Yes</v>
      </c>
      <c r="Y222" s="5" t="str">
        <f ca="1">IFERROR(__xludf.DUMMYFUNCTION("""COMPUTED_VALUE"""),"Yes")</f>
        <v>Yes</v>
      </c>
      <c r="Z222" s="5"/>
      <c r="AA222" s="5" t="str">
        <f ca="1">IFERROR(__xludf.DUMMYFUNCTION("""COMPUTED_VALUE"""),"Yes")</f>
        <v>Yes</v>
      </c>
      <c r="AB222" s="5" t="str">
        <f ca="1">IFERROR(__xludf.DUMMYFUNCTION("""COMPUTED_VALUE"""),"Yes")</f>
        <v>Yes</v>
      </c>
      <c r="AC222" s="5" t="str">
        <f ca="1">IFERROR(__xludf.DUMMYFUNCTION("""COMPUTED_VALUE"""),"Yes")</f>
        <v>Yes</v>
      </c>
      <c r="AD222" s="5" t="str">
        <f ca="1">IFERROR(__xludf.DUMMYFUNCTION("""COMPUTED_VALUE"""),"Yes")</f>
        <v>Yes</v>
      </c>
      <c r="AE222" s="5"/>
      <c r="AF222" s="5" t="str">
        <f ca="1">IFERROR(__xludf.DUMMYFUNCTION("""COMPUTED_VALUE"""),"Yes")</f>
        <v>Yes</v>
      </c>
      <c r="AG222" s="5"/>
      <c r="AH222" s="5"/>
      <c r="AI222" s="5"/>
      <c r="AJ222" s="5"/>
      <c r="AK222" s="5"/>
      <c r="AL222" s="5"/>
      <c r="AM222" s="5"/>
      <c r="AN222" s="5"/>
      <c r="AO222" s="5"/>
      <c r="AP222" s="5"/>
      <c r="AQ222" s="5"/>
      <c r="AR222" s="5"/>
      <c r="AS222" s="5"/>
      <c r="AT222" s="5"/>
      <c r="AU222" s="5"/>
      <c r="AV222" s="5"/>
      <c r="AW222" s="5"/>
      <c r="AX222" s="5"/>
      <c r="AY222" s="5"/>
    </row>
    <row r="223" spans="1:51" x14ac:dyDescent="0.25">
      <c r="A22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23" s="5">
        <f ca="1">IFERROR(__xludf.DUMMYFUNCTION("""COMPUTED_VALUE"""),223)</f>
        <v>223</v>
      </c>
      <c r="C223" s="5">
        <f ca="1">IFERROR(__xludf.DUMMYFUNCTION("""COMPUTED_VALUE"""),222)</f>
        <v>222</v>
      </c>
      <c r="D223" s="5" t="str">
        <f ca="1">IFERROR(__xludf.DUMMYFUNCTION("""COMPUTED_VALUE"""),"Unicorn40HotStrike")</f>
        <v>Unicorn40HotStrike</v>
      </c>
      <c r="E223" s="5" t="str">
        <f ca="1">IFERROR(__xludf.DUMMYFUNCTION("""COMPUTED_VALUE"""),"Yes")</f>
        <v>Yes</v>
      </c>
      <c r="F223" s="5" t="str">
        <f ca="1">IFERROR(__xludf.DUMMYFUNCTION("""COMPUTED_VALUE"""),"Yes")</f>
        <v>Yes</v>
      </c>
      <c r="G223" s="5" t="str">
        <f ca="1">IFERROR(__xludf.DUMMYFUNCTION("""COMPUTED_VALUE"""),"Yes")</f>
        <v>Yes</v>
      </c>
      <c r="H223" s="5" t="str">
        <f ca="1">IFERROR(__xludf.DUMMYFUNCTION("""COMPUTED_VALUE"""),"No")</f>
        <v>No</v>
      </c>
      <c r="I223" s="5" t="str">
        <f ca="1">IFERROR(__xludf.DUMMYFUNCTION("""COMPUTED_VALUE"""),"No")</f>
        <v>No</v>
      </c>
      <c r="J223" s="5" t="str">
        <f ca="1">IFERROR(__xludf.DUMMYFUNCTION("""COMPUTED_VALUE"""),"No")</f>
        <v>No</v>
      </c>
      <c r="K223" s="5" t="str">
        <f ca="1">IFERROR(__xludf.DUMMYFUNCTION("""COMPUTED_VALUE"""),"No")</f>
        <v>No</v>
      </c>
      <c r="L223" s="5" t="str">
        <f ca="1">IFERROR(__xludf.DUMMYFUNCTION("""COMPUTED_VALUE"""),"No")</f>
        <v>No</v>
      </c>
      <c r="M223" s="5" t="str">
        <f ca="1">IFERROR(__xludf.DUMMYFUNCTION("""COMPUTED_VALUE"""),"Yes")</f>
        <v>Yes</v>
      </c>
      <c r="N223" s="5" t="str">
        <f ca="1">IFERROR(__xludf.DUMMYFUNCTION("""COMPUTED_VALUE"""),"Yes")</f>
        <v>Yes</v>
      </c>
      <c r="O223" s="5" t="str">
        <f ca="1">IFERROR(__xludf.DUMMYFUNCTION("""COMPUTED_VALUE"""),"Yes")</f>
        <v>Yes</v>
      </c>
      <c r="P223" s="5" t="str">
        <f ca="1">IFERROR(__xludf.DUMMYFUNCTION("""COMPUTED_VALUE"""),"Yes")</f>
        <v>Yes</v>
      </c>
      <c r="Q223" s="5" t="str">
        <f ca="1">IFERROR(__xludf.DUMMYFUNCTION("""COMPUTED_VALUE"""),"Yes")</f>
        <v>Yes</v>
      </c>
      <c r="R223" s="5" t="str">
        <f ca="1">IFERROR(__xludf.DUMMYFUNCTION("""COMPUTED_VALUE"""),"No")</f>
        <v>No</v>
      </c>
      <c r="S223" s="5" t="str">
        <f ca="1">IFERROR(__xludf.DUMMYFUNCTION("""COMPUTED_VALUE"""),"Yes")</f>
        <v>Yes</v>
      </c>
      <c r="T223" s="5" t="str">
        <f ca="1">IFERROR(__xludf.DUMMYFUNCTION("""COMPUTED_VALUE"""),"No")</f>
        <v>No</v>
      </c>
      <c r="U223" s="5" t="str">
        <f ca="1">IFERROR(__xludf.DUMMYFUNCTION("""COMPUTED_VALUE"""),"No")</f>
        <v>No</v>
      </c>
      <c r="V223" s="5" t="str">
        <f ca="1">IFERROR(__xludf.DUMMYFUNCTION("""COMPUTED_VALUE"""),"No")</f>
        <v>No</v>
      </c>
      <c r="W223" s="5" t="str">
        <f ca="1">IFERROR(__xludf.DUMMYFUNCTION("""COMPUTED_VALUE"""),"No")</f>
        <v>No</v>
      </c>
      <c r="X223" s="5" t="str">
        <f ca="1">IFERROR(__xludf.DUMMYFUNCTION("""COMPUTED_VALUE"""),"No")</f>
        <v>No</v>
      </c>
      <c r="Y223" s="5"/>
      <c r="Z223" s="5"/>
      <c r="AA223" s="5"/>
      <c r="AB223" s="5"/>
      <c r="AC223" s="5" t="str">
        <f ca="1">IFERROR(__xludf.DUMMYFUNCTION("""COMPUTED_VALUE"""),"No")</f>
        <v>No</v>
      </c>
      <c r="AD223" s="5"/>
      <c r="AE223" s="5"/>
      <c r="AF223" s="5"/>
      <c r="AG223" s="5"/>
      <c r="AH223" s="5"/>
      <c r="AI223" s="5"/>
      <c r="AJ223" s="5"/>
      <c r="AK223" s="5"/>
      <c r="AL223" s="5"/>
      <c r="AM223" s="5"/>
      <c r="AN223" s="5"/>
      <c r="AO223" s="5"/>
      <c r="AP223" s="5"/>
      <c r="AQ223" s="5"/>
      <c r="AR223" s="5"/>
      <c r="AS223" s="5"/>
      <c r="AT223" s="5"/>
      <c r="AU223" s="5"/>
      <c r="AV223" s="5"/>
      <c r="AW223" s="5"/>
      <c r="AX223" s="5"/>
      <c r="AY223" s="5"/>
    </row>
    <row r="224" spans="1:51" x14ac:dyDescent="0.25">
      <c r="A2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24" s="5">
        <f ca="1">IFERROR(__xludf.DUMMYFUNCTION("""COMPUTED_VALUE"""),224)</f>
        <v>224</v>
      </c>
      <c r="C224" s="5">
        <f ca="1">IFERROR(__xludf.DUMMYFUNCTION("""COMPUTED_VALUE"""),223)</f>
        <v>223</v>
      </c>
      <c r="D224" s="5" t="str">
        <f ca="1">IFERROR(__xludf.DUMMYFUNCTION("""COMPUTED_VALUE"""),"ShiningRush")</f>
        <v>ShiningRush</v>
      </c>
      <c r="E224" s="5" t="str">
        <f ca="1">IFERROR(__xludf.DUMMYFUNCTION("""COMPUTED_VALUE"""),"Yes")</f>
        <v>Yes</v>
      </c>
      <c r="F224" s="5" t="str">
        <f ca="1">IFERROR(__xludf.DUMMYFUNCTION("""COMPUTED_VALUE"""),"Yes")</f>
        <v>Yes</v>
      </c>
      <c r="G224" s="5" t="str">
        <f ca="1">IFERROR(__xludf.DUMMYFUNCTION("""COMPUTED_VALUE"""),"Yes")</f>
        <v>Yes</v>
      </c>
      <c r="H224" s="5" t="str">
        <f ca="1">IFERROR(__xludf.DUMMYFUNCTION("""COMPUTED_VALUE"""),"No")</f>
        <v>No</v>
      </c>
      <c r="I224" s="5" t="str">
        <f ca="1">IFERROR(__xludf.DUMMYFUNCTION("""COMPUTED_VALUE"""),"No")</f>
        <v>No</v>
      </c>
      <c r="J224" s="5" t="str">
        <f ca="1">IFERROR(__xludf.DUMMYFUNCTION("""COMPUTED_VALUE"""),"No")</f>
        <v>No</v>
      </c>
      <c r="K224" s="5" t="str">
        <f ca="1">IFERROR(__xludf.DUMMYFUNCTION("""COMPUTED_VALUE"""),"No")</f>
        <v>No</v>
      </c>
      <c r="L224" s="5" t="str">
        <f ca="1">IFERROR(__xludf.DUMMYFUNCTION("""COMPUTED_VALUE"""),"No")</f>
        <v>No</v>
      </c>
      <c r="M224" s="5" t="str">
        <f ca="1">IFERROR(__xludf.DUMMYFUNCTION("""COMPUTED_VALUE"""),"Yes")</f>
        <v>Yes</v>
      </c>
      <c r="N224" s="5" t="str">
        <f ca="1">IFERROR(__xludf.DUMMYFUNCTION("""COMPUTED_VALUE"""),"Yes")</f>
        <v>Yes</v>
      </c>
      <c r="O224" s="5" t="str">
        <f ca="1">IFERROR(__xludf.DUMMYFUNCTION("""COMPUTED_VALUE"""),"Yes")</f>
        <v>Yes</v>
      </c>
      <c r="P224" s="5" t="str">
        <f ca="1">IFERROR(__xludf.DUMMYFUNCTION("""COMPUTED_VALUE"""),"Yes")</f>
        <v>Yes</v>
      </c>
      <c r="Q224" s="5" t="str">
        <f ca="1">IFERROR(__xludf.DUMMYFUNCTION("""COMPUTED_VALUE"""),"Yes")</f>
        <v>Yes</v>
      </c>
      <c r="R224" s="5" t="str">
        <f ca="1">IFERROR(__xludf.DUMMYFUNCTION("""COMPUTED_VALUE"""),"No")</f>
        <v>No</v>
      </c>
      <c r="S224" s="5" t="str">
        <f ca="1">IFERROR(__xludf.DUMMYFUNCTION("""COMPUTED_VALUE"""),"Yes")</f>
        <v>Yes</v>
      </c>
      <c r="T224" s="5" t="str">
        <f ca="1">IFERROR(__xludf.DUMMYFUNCTION("""COMPUTED_VALUE"""),"No")</f>
        <v>No</v>
      </c>
      <c r="U224" s="5" t="str">
        <f ca="1">IFERROR(__xludf.DUMMYFUNCTION("""COMPUTED_VALUE"""),"No")</f>
        <v>No</v>
      </c>
      <c r="V224" s="5" t="str">
        <f ca="1">IFERROR(__xludf.DUMMYFUNCTION("""COMPUTED_VALUE"""),"No")</f>
        <v>No</v>
      </c>
      <c r="W224" s="5" t="str">
        <f ca="1">IFERROR(__xludf.DUMMYFUNCTION("""COMPUTED_VALUE"""),"No")</f>
        <v>No</v>
      </c>
      <c r="X224" s="5" t="str">
        <f ca="1">IFERROR(__xludf.DUMMYFUNCTION("""COMPUTED_VALUE"""),"No")</f>
        <v>No</v>
      </c>
      <c r="Y224" s="5"/>
      <c r="Z224" s="5"/>
      <c r="AA224" s="5"/>
      <c r="AB224" s="5"/>
      <c r="AC224" s="5" t="str">
        <f ca="1">IFERROR(__xludf.DUMMYFUNCTION("""COMPUTED_VALUE"""),"No")</f>
        <v>No</v>
      </c>
      <c r="AD224" s="5"/>
      <c r="AE224" s="5"/>
      <c r="AF224" s="5"/>
      <c r="AG224" s="5"/>
      <c r="AH224" s="5"/>
      <c r="AI224" s="5"/>
      <c r="AJ224" s="5"/>
      <c r="AK224" s="5"/>
      <c r="AL224" s="5"/>
      <c r="AM224" s="5"/>
      <c r="AN224" s="5"/>
      <c r="AO224" s="5"/>
      <c r="AP224" s="5"/>
      <c r="AQ224" s="5"/>
      <c r="AR224" s="5"/>
      <c r="AS224" s="5"/>
      <c r="AT224" s="5"/>
      <c r="AU224" s="5"/>
      <c r="AV224" s="5"/>
      <c r="AW224" s="5"/>
      <c r="AX224" s="5"/>
      <c r="AY224" s="5"/>
    </row>
    <row r="225" spans="1:51" x14ac:dyDescent="0.25">
      <c r="A2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5" s="5">
        <f ca="1">IFERROR(__xludf.DUMMYFUNCTION("""COMPUTED_VALUE"""),225)</f>
        <v>225</v>
      </c>
      <c r="C225" s="5">
        <f ca="1">IFERROR(__xludf.DUMMYFUNCTION("""COMPUTED_VALUE"""),224)</f>
        <v>224</v>
      </c>
      <c r="D225" s="5" t="str">
        <f ca="1">IFERROR(__xludf.DUMMYFUNCTION("""COMPUTED_VALUE"""),"GoldenExplosion")</f>
        <v>GoldenExplosion</v>
      </c>
      <c r="E225" s="5" t="str">
        <f ca="1">IFERROR(__xludf.DUMMYFUNCTION("""COMPUTED_VALUE"""),"Yes")</f>
        <v>Yes</v>
      </c>
      <c r="F225" s="5" t="str">
        <f ca="1">IFERROR(__xludf.DUMMYFUNCTION("""COMPUTED_VALUE"""),"Yes")</f>
        <v>Yes</v>
      </c>
      <c r="G225" s="5" t="str">
        <f ca="1">IFERROR(__xludf.DUMMYFUNCTION("""COMPUTED_VALUE"""),"Yes")</f>
        <v>Yes</v>
      </c>
      <c r="H225" s="5" t="str">
        <f ca="1">IFERROR(__xludf.DUMMYFUNCTION("""COMPUTED_VALUE"""),"Yes")</f>
        <v>Yes</v>
      </c>
      <c r="I225" s="5" t="str">
        <f ca="1">IFERROR(__xludf.DUMMYFUNCTION("""COMPUTED_VALUE"""),"Yes")</f>
        <v>Yes</v>
      </c>
      <c r="J225" s="5" t="str">
        <f ca="1">IFERROR(__xludf.DUMMYFUNCTION("""COMPUTED_VALUE"""),"Yes")</f>
        <v>Yes</v>
      </c>
      <c r="K225" s="5" t="str">
        <f ca="1">IFERROR(__xludf.DUMMYFUNCTION("""COMPUTED_VALUE"""),"Yes")</f>
        <v>Yes</v>
      </c>
      <c r="L225" s="5" t="str">
        <f ca="1">IFERROR(__xludf.DUMMYFUNCTION("""COMPUTED_VALUE"""),"Yes")</f>
        <v>Yes</v>
      </c>
      <c r="M225" s="5" t="str">
        <f ca="1">IFERROR(__xludf.DUMMYFUNCTION("""COMPUTED_VALUE"""),"Yes")</f>
        <v>Yes</v>
      </c>
      <c r="N225" s="5" t="str">
        <f ca="1">IFERROR(__xludf.DUMMYFUNCTION("""COMPUTED_VALUE"""),"Yes")</f>
        <v>Yes</v>
      </c>
      <c r="O225" s="5" t="str">
        <f ca="1">IFERROR(__xludf.DUMMYFUNCTION("""COMPUTED_VALUE"""),"Yes")</f>
        <v>Yes</v>
      </c>
      <c r="P225" s="5" t="str">
        <f ca="1">IFERROR(__xludf.DUMMYFUNCTION("""COMPUTED_VALUE"""),"Yes")</f>
        <v>Yes</v>
      </c>
      <c r="Q225" s="5" t="str">
        <f ca="1">IFERROR(__xludf.DUMMYFUNCTION("""COMPUTED_VALUE"""),"Yes")</f>
        <v>Yes</v>
      </c>
      <c r="R225" s="5" t="str">
        <f ca="1">IFERROR(__xludf.DUMMYFUNCTION("""COMPUTED_VALUE"""),"Yes")</f>
        <v>Yes</v>
      </c>
      <c r="S225" s="5" t="str">
        <f ca="1">IFERROR(__xludf.DUMMYFUNCTION("""COMPUTED_VALUE"""),"Yes")</f>
        <v>Yes</v>
      </c>
      <c r="T225" s="5" t="str">
        <f ca="1">IFERROR(__xludf.DUMMYFUNCTION("""COMPUTED_VALUE"""),"Yes")</f>
        <v>Yes</v>
      </c>
      <c r="U225" s="5" t="str">
        <f ca="1">IFERROR(__xludf.DUMMYFUNCTION("""COMPUTED_VALUE"""),"Yes")</f>
        <v>Yes</v>
      </c>
      <c r="V225" s="5" t="str">
        <f ca="1">IFERROR(__xludf.DUMMYFUNCTION("""COMPUTED_VALUE"""),"Yes")</f>
        <v>Yes</v>
      </c>
      <c r="W225" s="5" t="str">
        <f ca="1">IFERROR(__xludf.DUMMYFUNCTION("""COMPUTED_VALUE"""),"Yes")</f>
        <v>Yes</v>
      </c>
      <c r="X225" s="5" t="str">
        <f ca="1">IFERROR(__xludf.DUMMYFUNCTION("""COMPUTED_VALUE"""),"Yes")</f>
        <v>Yes</v>
      </c>
      <c r="Y225" s="5" t="str">
        <f ca="1">IFERROR(__xludf.DUMMYFUNCTION("""COMPUTED_VALUE"""),"Yes")</f>
        <v>Yes</v>
      </c>
      <c r="Z225" s="5" t="str">
        <f ca="1">IFERROR(__xludf.DUMMYFUNCTION("""COMPUTED_VALUE"""),"No")</f>
        <v>No</v>
      </c>
      <c r="AA225" s="5" t="str">
        <f ca="1">IFERROR(__xludf.DUMMYFUNCTION("""COMPUTED_VALUE"""),"Yes")</f>
        <v>Yes</v>
      </c>
      <c r="AB225" s="5" t="str">
        <f ca="1">IFERROR(__xludf.DUMMYFUNCTION("""COMPUTED_VALUE"""),"Yes")</f>
        <v>Yes</v>
      </c>
      <c r="AC225" s="5" t="str">
        <f ca="1">IFERROR(__xludf.DUMMYFUNCTION("""COMPUTED_VALUE"""),"Yes")</f>
        <v>Yes</v>
      </c>
      <c r="AD225" s="5" t="str">
        <f ca="1">IFERROR(__xludf.DUMMYFUNCTION("""COMPUTED_VALUE"""),"Yes")</f>
        <v>Yes</v>
      </c>
      <c r="AE225" s="5" t="str">
        <f ca="1">IFERROR(__xludf.DUMMYFUNCTION("""COMPUTED_VALUE"""),"No")</f>
        <v>No</v>
      </c>
      <c r="AF225" s="5" t="str">
        <f ca="1">IFERROR(__xludf.DUMMYFUNCTION("""COMPUTED_VALUE"""),"Yes")</f>
        <v>Yes</v>
      </c>
      <c r="AG225" s="5" t="str">
        <f ca="1">IFERROR(__xludf.DUMMYFUNCTION("""COMPUTED_VALUE"""),"No")</f>
        <v>No</v>
      </c>
      <c r="AH225" s="5" t="str">
        <f ca="1">IFERROR(__xludf.DUMMYFUNCTION("""COMPUTED_VALUE"""),"No")</f>
        <v>No</v>
      </c>
      <c r="AI225" s="5" t="str">
        <f ca="1">IFERROR(__xludf.DUMMYFUNCTION("""COMPUTED_VALUE"""),"No")</f>
        <v>No</v>
      </c>
      <c r="AJ225" s="5" t="str">
        <f ca="1">IFERROR(__xludf.DUMMYFUNCTION("""COMPUTED_VALUE"""),"No")</f>
        <v>No</v>
      </c>
      <c r="AK225" s="5" t="str">
        <f ca="1">IFERROR(__xludf.DUMMYFUNCTION("""COMPUTED_VALUE"""),"No")</f>
        <v>No</v>
      </c>
      <c r="AL225" s="5" t="str">
        <f ca="1">IFERROR(__xludf.DUMMYFUNCTION("""COMPUTED_VALUE"""),"No")</f>
        <v>No</v>
      </c>
      <c r="AM225" s="5"/>
      <c r="AN225" s="5"/>
      <c r="AO225" s="5"/>
      <c r="AP225" s="5"/>
      <c r="AQ225" s="5"/>
      <c r="AR225" s="5"/>
      <c r="AS225" s="5"/>
      <c r="AT225" s="5"/>
      <c r="AU225" s="5"/>
      <c r="AV225" s="5"/>
      <c r="AW225" s="5"/>
      <c r="AX225" s="5"/>
      <c r="AY225" s="5"/>
    </row>
    <row r="226" spans="1:51" x14ac:dyDescent="0.25">
      <c r="A2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26" s="5">
        <f ca="1">IFERROR(__xludf.DUMMYFUNCTION("""COMPUTED_VALUE"""),226)</f>
        <v>226</v>
      </c>
      <c r="C226" s="5">
        <f ca="1">IFERROR(__xludf.DUMMYFUNCTION("""COMPUTED_VALUE"""),225)</f>
        <v>225</v>
      </c>
      <c r="D226" s="5" t="str">
        <f ca="1">IFERROR(__xludf.DUMMYFUNCTION("""COMPUTED_VALUE"""),"VeryHot5Extreme")</f>
        <v>VeryHot5Extreme</v>
      </c>
      <c r="E226" s="5" t="str">
        <f ca="1">IFERROR(__xludf.DUMMYFUNCTION("""COMPUTED_VALUE"""),"Yes")</f>
        <v>Yes</v>
      </c>
      <c r="F226" s="5" t="str">
        <f ca="1">IFERROR(__xludf.DUMMYFUNCTION("""COMPUTED_VALUE"""),"Yes")</f>
        <v>Yes</v>
      </c>
      <c r="G226" s="5" t="str">
        <f ca="1">IFERROR(__xludf.DUMMYFUNCTION("""COMPUTED_VALUE"""),"Yes")</f>
        <v>Yes</v>
      </c>
      <c r="H226" s="5" t="str">
        <f ca="1">IFERROR(__xludf.DUMMYFUNCTION("""COMPUTED_VALUE"""),"Yes")</f>
        <v>Yes</v>
      </c>
      <c r="I226" s="5" t="str">
        <f ca="1">IFERROR(__xludf.DUMMYFUNCTION("""COMPUTED_VALUE"""),"Yes")</f>
        <v>Yes</v>
      </c>
      <c r="J226" s="5" t="str">
        <f ca="1">IFERROR(__xludf.DUMMYFUNCTION("""COMPUTED_VALUE"""),"Yes")</f>
        <v>Yes</v>
      </c>
      <c r="K226" s="5" t="str">
        <f ca="1">IFERROR(__xludf.DUMMYFUNCTION("""COMPUTED_VALUE"""),"Yes")</f>
        <v>Yes</v>
      </c>
      <c r="L226" s="5" t="str">
        <f ca="1">IFERROR(__xludf.DUMMYFUNCTION("""COMPUTED_VALUE"""),"Yes")</f>
        <v>Yes</v>
      </c>
      <c r="M226" s="5" t="str">
        <f ca="1">IFERROR(__xludf.DUMMYFUNCTION("""COMPUTED_VALUE"""),"Yes")</f>
        <v>Yes</v>
      </c>
      <c r="N226" s="5" t="str">
        <f ca="1">IFERROR(__xludf.DUMMYFUNCTION("""COMPUTED_VALUE"""),"Yes")</f>
        <v>Yes</v>
      </c>
      <c r="O226" s="5" t="str">
        <f ca="1">IFERROR(__xludf.DUMMYFUNCTION("""COMPUTED_VALUE"""),"Yes")</f>
        <v>Yes</v>
      </c>
      <c r="P226" s="5" t="str">
        <f ca="1">IFERROR(__xludf.DUMMYFUNCTION("""COMPUTED_VALUE"""),"Yes")</f>
        <v>Yes</v>
      </c>
      <c r="Q226" s="5" t="str">
        <f ca="1">IFERROR(__xludf.DUMMYFUNCTION("""COMPUTED_VALUE"""),"Yes")</f>
        <v>Yes</v>
      </c>
      <c r="R226" s="5" t="str">
        <f ca="1">IFERROR(__xludf.DUMMYFUNCTION("""COMPUTED_VALUE"""),"Yes")</f>
        <v>Yes</v>
      </c>
      <c r="S226" s="5" t="str">
        <f ca="1">IFERROR(__xludf.DUMMYFUNCTION("""COMPUTED_VALUE"""),"Yes")</f>
        <v>Yes</v>
      </c>
      <c r="T226" s="5" t="str">
        <f ca="1">IFERROR(__xludf.DUMMYFUNCTION("""COMPUTED_VALUE"""),"Yes")</f>
        <v>Yes</v>
      </c>
      <c r="U226" s="5" t="str">
        <f ca="1">IFERROR(__xludf.DUMMYFUNCTION("""COMPUTED_VALUE"""),"Yes")</f>
        <v>Yes</v>
      </c>
      <c r="V226" s="5" t="str">
        <f ca="1">IFERROR(__xludf.DUMMYFUNCTION("""COMPUTED_VALUE"""),"Yes")</f>
        <v>Yes</v>
      </c>
      <c r="W226" s="5" t="str">
        <f ca="1">IFERROR(__xludf.DUMMYFUNCTION("""COMPUTED_VALUE"""),"Yes")</f>
        <v>Yes</v>
      </c>
      <c r="X226" s="5" t="str">
        <f ca="1">IFERROR(__xludf.DUMMYFUNCTION("""COMPUTED_VALUE"""),"Yes")</f>
        <v>Yes</v>
      </c>
      <c r="Y226" s="5" t="str">
        <f ca="1">IFERROR(__xludf.DUMMYFUNCTION("""COMPUTED_VALUE"""),"Yes")</f>
        <v>Yes</v>
      </c>
      <c r="Z226" s="5" t="str">
        <f ca="1">IFERROR(__xludf.DUMMYFUNCTION("""COMPUTED_VALUE"""),"Yes")</f>
        <v>Yes</v>
      </c>
      <c r="AA226" s="5" t="str">
        <f ca="1">IFERROR(__xludf.DUMMYFUNCTION("""COMPUTED_VALUE"""),"Yes")</f>
        <v>Yes</v>
      </c>
      <c r="AB226" s="5" t="str">
        <f ca="1">IFERROR(__xludf.DUMMYFUNCTION("""COMPUTED_VALUE"""),"Yes")</f>
        <v>Yes</v>
      </c>
      <c r="AC226" s="5" t="str">
        <f ca="1">IFERROR(__xludf.DUMMYFUNCTION("""COMPUTED_VALUE"""),"Yes")</f>
        <v>Yes</v>
      </c>
      <c r="AD226" s="5" t="str">
        <f ca="1">IFERROR(__xludf.DUMMYFUNCTION("""COMPUTED_VALUE"""),"Yes")</f>
        <v>Yes</v>
      </c>
      <c r="AE226" s="5" t="str">
        <f ca="1">IFERROR(__xludf.DUMMYFUNCTION("""COMPUTED_VALUE"""),"Yes")</f>
        <v>Yes</v>
      </c>
      <c r="AF226" s="5" t="str">
        <f ca="1">IFERROR(__xludf.DUMMYFUNCTION("""COMPUTED_VALUE"""),"Yes")</f>
        <v>Yes</v>
      </c>
      <c r="AG226" s="5" t="str">
        <f ca="1">IFERROR(__xludf.DUMMYFUNCTION("""COMPUTED_VALUE"""),"Yes")</f>
        <v>Yes</v>
      </c>
      <c r="AH226" s="5" t="str">
        <f ca="1">IFERROR(__xludf.DUMMYFUNCTION("""COMPUTED_VALUE"""),"Yes")</f>
        <v>Yes</v>
      </c>
      <c r="AI226" s="5" t="str">
        <f ca="1">IFERROR(__xludf.DUMMYFUNCTION("""COMPUTED_VALUE"""),"No")</f>
        <v>No</v>
      </c>
      <c r="AJ226" s="5" t="str">
        <f ca="1">IFERROR(__xludf.DUMMYFUNCTION("""COMPUTED_VALUE"""),"No")</f>
        <v>No</v>
      </c>
      <c r="AK226" s="5" t="str">
        <f ca="1">IFERROR(__xludf.DUMMYFUNCTION("""COMPUTED_VALUE"""),"No")</f>
        <v>No</v>
      </c>
      <c r="AL226" s="5" t="str">
        <f ca="1">IFERROR(__xludf.DUMMYFUNCTION("""COMPUTED_VALUE"""),"No")</f>
        <v>No</v>
      </c>
      <c r="AM226" s="5"/>
      <c r="AN226" s="5"/>
      <c r="AO226" s="5"/>
      <c r="AP226" s="5"/>
      <c r="AQ226" s="5"/>
      <c r="AR226" s="5"/>
      <c r="AS226" s="5"/>
      <c r="AT226" s="5"/>
      <c r="AU226" s="5"/>
      <c r="AV226" s="5"/>
      <c r="AW226" s="5"/>
      <c r="AX226" s="5"/>
      <c r="AY226" s="5"/>
    </row>
    <row r="227" spans="1:51" x14ac:dyDescent="0.25">
      <c r="A2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7" s="5">
        <f ca="1">IFERROR(__xludf.DUMMYFUNCTION("""COMPUTED_VALUE"""),227)</f>
        <v>227</v>
      </c>
      <c r="C227" s="5">
        <f ca="1">IFERROR(__xludf.DUMMYFUNCTION("""COMPUTED_VALUE"""),226)</f>
        <v>226</v>
      </c>
      <c r="D227" s="5" t="str">
        <f ca="1">IFERROR(__xludf.DUMMYFUNCTION("""COMPUTED_VALUE"""),"PixelHot40")</f>
        <v>PixelHot40</v>
      </c>
      <c r="E227" s="5" t="str">
        <f ca="1">IFERROR(__xludf.DUMMYFUNCTION("""COMPUTED_VALUE"""),"Yes")</f>
        <v>Yes</v>
      </c>
      <c r="F227" s="5" t="str">
        <f ca="1">IFERROR(__xludf.DUMMYFUNCTION("""COMPUTED_VALUE"""),"Yes")</f>
        <v>Yes</v>
      </c>
      <c r="G227" s="5" t="str">
        <f ca="1">IFERROR(__xludf.DUMMYFUNCTION("""COMPUTED_VALUE"""),"Yes")</f>
        <v>Yes</v>
      </c>
      <c r="H227" s="5" t="str">
        <f ca="1">IFERROR(__xludf.DUMMYFUNCTION("""COMPUTED_VALUE"""),"Yes")</f>
        <v>Yes</v>
      </c>
      <c r="I227" s="5" t="str">
        <f ca="1">IFERROR(__xludf.DUMMYFUNCTION("""COMPUTED_VALUE"""),"Yes")</f>
        <v>Yes</v>
      </c>
      <c r="J227" s="5" t="str">
        <f ca="1">IFERROR(__xludf.DUMMYFUNCTION("""COMPUTED_VALUE"""),"Yes")</f>
        <v>Yes</v>
      </c>
      <c r="K227" s="5" t="str">
        <f ca="1">IFERROR(__xludf.DUMMYFUNCTION("""COMPUTED_VALUE"""),"Yes")</f>
        <v>Yes</v>
      </c>
      <c r="L227" s="5" t="str">
        <f ca="1">IFERROR(__xludf.DUMMYFUNCTION("""COMPUTED_VALUE"""),"Yes")</f>
        <v>Yes</v>
      </c>
      <c r="M227" s="5" t="str">
        <f ca="1">IFERROR(__xludf.DUMMYFUNCTION("""COMPUTED_VALUE"""),"Yes")</f>
        <v>Yes</v>
      </c>
      <c r="N227" s="5" t="str">
        <f ca="1">IFERROR(__xludf.DUMMYFUNCTION("""COMPUTED_VALUE"""),"Yes")</f>
        <v>Yes</v>
      </c>
      <c r="O227" s="5" t="str">
        <f ca="1">IFERROR(__xludf.DUMMYFUNCTION("""COMPUTED_VALUE"""),"Yes")</f>
        <v>Yes</v>
      </c>
      <c r="P227" s="5" t="str">
        <f ca="1">IFERROR(__xludf.DUMMYFUNCTION("""COMPUTED_VALUE"""),"Yes")</f>
        <v>Yes</v>
      </c>
      <c r="Q227" s="5" t="str">
        <f ca="1">IFERROR(__xludf.DUMMYFUNCTION("""COMPUTED_VALUE"""),"Yes")</f>
        <v>Yes</v>
      </c>
      <c r="R227" s="5" t="str">
        <f ca="1">IFERROR(__xludf.DUMMYFUNCTION("""COMPUTED_VALUE"""),"Yes")</f>
        <v>Yes</v>
      </c>
      <c r="S227" s="5" t="str">
        <f ca="1">IFERROR(__xludf.DUMMYFUNCTION("""COMPUTED_VALUE"""),"Yes")</f>
        <v>Yes</v>
      </c>
      <c r="T227" s="5" t="str">
        <f ca="1">IFERROR(__xludf.DUMMYFUNCTION("""COMPUTED_VALUE"""),"Yes")</f>
        <v>Yes</v>
      </c>
      <c r="U227" s="5" t="str">
        <f ca="1">IFERROR(__xludf.DUMMYFUNCTION("""COMPUTED_VALUE"""),"Yes")</f>
        <v>Yes</v>
      </c>
      <c r="V227" s="5" t="str">
        <f ca="1">IFERROR(__xludf.DUMMYFUNCTION("""COMPUTED_VALUE"""),"Yes")</f>
        <v>Yes</v>
      </c>
      <c r="W227" s="5" t="str">
        <f ca="1">IFERROR(__xludf.DUMMYFUNCTION("""COMPUTED_VALUE"""),"Yes")</f>
        <v>Yes</v>
      </c>
      <c r="X227" s="5" t="str">
        <f ca="1">IFERROR(__xludf.DUMMYFUNCTION("""COMPUTED_VALUE"""),"Yes")</f>
        <v>Yes</v>
      </c>
      <c r="Y227" s="5" t="str">
        <f ca="1">IFERROR(__xludf.DUMMYFUNCTION("""COMPUTED_VALUE"""),"Yes")</f>
        <v>Yes</v>
      </c>
      <c r="Z227" s="5" t="str">
        <f ca="1">IFERROR(__xludf.DUMMYFUNCTION("""COMPUTED_VALUE"""),"No")</f>
        <v>No</v>
      </c>
      <c r="AA227" s="5" t="str">
        <f ca="1">IFERROR(__xludf.DUMMYFUNCTION("""COMPUTED_VALUE"""),"Yes")</f>
        <v>Yes</v>
      </c>
      <c r="AB227" s="5" t="str">
        <f ca="1">IFERROR(__xludf.DUMMYFUNCTION("""COMPUTED_VALUE"""),"Yes")</f>
        <v>Yes</v>
      </c>
      <c r="AC227" s="5" t="str">
        <f ca="1">IFERROR(__xludf.DUMMYFUNCTION("""COMPUTED_VALUE"""),"Yes")</f>
        <v>Yes</v>
      </c>
      <c r="AD227" s="5" t="str">
        <f ca="1">IFERROR(__xludf.DUMMYFUNCTION("""COMPUTED_VALUE"""),"Yes")</f>
        <v>Yes</v>
      </c>
      <c r="AE227" s="5" t="str">
        <f ca="1">IFERROR(__xludf.DUMMYFUNCTION("""COMPUTED_VALUE"""),"No")</f>
        <v>No</v>
      </c>
      <c r="AF227" s="5" t="str">
        <f ca="1">IFERROR(__xludf.DUMMYFUNCTION("""COMPUTED_VALUE"""),"Yes")</f>
        <v>Yes</v>
      </c>
      <c r="AG227" s="5" t="str">
        <f ca="1">IFERROR(__xludf.DUMMYFUNCTION("""COMPUTED_VALUE"""),"No")</f>
        <v>No</v>
      </c>
      <c r="AH227" s="5" t="str">
        <f ca="1">IFERROR(__xludf.DUMMYFUNCTION("""COMPUTED_VALUE"""),"No")</f>
        <v>No</v>
      </c>
      <c r="AI227" s="5" t="str">
        <f ca="1">IFERROR(__xludf.DUMMYFUNCTION("""COMPUTED_VALUE"""),"No")</f>
        <v>No</v>
      </c>
      <c r="AJ227" s="5" t="str">
        <f ca="1">IFERROR(__xludf.DUMMYFUNCTION("""COMPUTED_VALUE"""),"No")</f>
        <v>No</v>
      </c>
      <c r="AK227" s="5" t="str">
        <f ca="1">IFERROR(__xludf.DUMMYFUNCTION("""COMPUTED_VALUE"""),"No")</f>
        <v>No</v>
      </c>
      <c r="AL227" s="5" t="str">
        <f ca="1">IFERROR(__xludf.DUMMYFUNCTION("""COMPUTED_VALUE"""),"No")</f>
        <v>No</v>
      </c>
      <c r="AM227" s="5"/>
      <c r="AN227" s="5"/>
      <c r="AO227" s="5"/>
      <c r="AP227" s="5"/>
      <c r="AQ227" s="5"/>
      <c r="AR227" s="5"/>
      <c r="AS227" s="5"/>
      <c r="AT227" s="5"/>
      <c r="AU227" s="5"/>
      <c r="AV227" s="5"/>
      <c r="AW227" s="5"/>
      <c r="AX227" s="5"/>
      <c r="AY227" s="5"/>
    </row>
    <row r="228" spans="1:51" x14ac:dyDescent="0.25">
      <c r="A2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8" s="5">
        <f ca="1">IFERROR(__xludf.DUMMYFUNCTION("""COMPUTED_VALUE"""),228)</f>
        <v>228</v>
      </c>
      <c r="C228" s="5">
        <f ca="1">IFERROR(__xludf.DUMMYFUNCTION("""COMPUTED_VALUE"""),227)</f>
        <v>227</v>
      </c>
      <c r="D228" s="5" t="str">
        <f ca="1">IFERROR(__xludf.DUMMYFUNCTION("""COMPUTED_VALUE"""),"Unicorn40HotStrikeDice")</f>
        <v>Unicorn40HotStrikeDice</v>
      </c>
      <c r="E228" s="5" t="str">
        <f ca="1">IFERROR(__xludf.DUMMYFUNCTION("""COMPUTED_VALUE"""),"Yes")</f>
        <v>Yes</v>
      </c>
      <c r="F228" s="5" t="str">
        <f ca="1">IFERROR(__xludf.DUMMYFUNCTION("""COMPUTED_VALUE"""),"Yes")</f>
        <v>Yes</v>
      </c>
      <c r="G228" s="5" t="str">
        <f ca="1">IFERROR(__xludf.DUMMYFUNCTION("""COMPUTED_VALUE"""),"Yes")</f>
        <v>Yes</v>
      </c>
      <c r="H228" s="5" t="str">
        <f ca="1">IFERROR(__xludf.DUMMYFUNCTION("""COMPUTED_VALUE"""),"Yes")</f>
        <v>Yes</v>
      </c>
      <c r="I228" s="5" t="str">
        <f ca="1">IFERROR(__xludf.DUMMYFUNCTION("""COMPUTED_VALUE"""),"Yes")</f>
        <v>Yes</v>
      </c>
      <c r="J228" s="5" t="str">
        <f ca="1">IFERROR(__xludf.DUMMYFUNCTION("""COMPUTED_VALUE"""),"Yes")</f>
        <v>Yes</v>
      </c>
      <c r="K228" s="5" t="str">
        <f ca="1">IFERROR(__xludf.DUMMYFUNCTION("""COMPUTED_VALUE"""),"Yes")</f>
        <v>Yes</v>
      </c>
      <c r="L228" s="5" t="str">
        <f ca="1">IFERROR(__xludf.DUMMYFUNCTION("""COMPUTED_VALUE"""),"Yes")</f>
        <v>Yes</v>
      </c>
      <c r="M228" s="5" t="str">
        <f ca="1">IFERROR(__xludf.DUMMYFUNCTION("""COMPUTED_VALUE"""),"Yes")</f>
        <v>Yes</v>
      </c>
      <c r="N228" s="5" t="str">
        <f ca="1">IFERROR(__xludf.DUMMYFUNCTION("""COMPUTED_VALUE"""),"Yes")</f>
        <v>Yes</v>
      </c>
      <c r="O228" s="5" t="str">
        <f ca="1">IFERROR(__xludf.DUMMYFUNCTION("""COMPUTED_VALUE"""),"Yes")</f>
        <v>Yes</v>
      </c>
      <c r="P228" s="5" t="str">
        <f ca="1">IFERROR(__xludf.DUMMYFUNCTION("""COMPUTED_VALUE"""),"Yes")</f>
        <v>Yes</v>
      </c>
      <c r="Q228" s="5" t="str">
        <f ca="1">IFERROR(__xludf.DUMMYFUNCTION("""COMPUTED_VALUE"""),"Yes")</f>
        <v>Yes</v>
      </c>
      <c r="R228" s="5" t="str">
        <f ca="1">IFERROR(__xludf.DUMMYFUNCTION("""COMPUTED_VALUE"""),"Yes")</f>
        <v>Yes</v>
      </c>
      <c r="S228" s="5" t="str">
        <f ca="1">IFERROR(__xludf.DUMMYFUNCTION("""COMPUTED_VALUE"""),"Yes")</f>
        <v>Yes</v>
      </c>
      <c r="T228" s="5" t="str">
        <f ca="1">IFERROR(__xludf.DUMMYFUNCTION("""COMPUTED_VALUE"""),"Yes")</f>
        <v>Yes</v>
      </c>
      <c r="U228" s="5" t="str">
        <f ca="1">IFERROR(__xludf.DUMMYFUNCTION("""COMPUTED_VALUE"""),"Yes")</f>
        <v>Yes</v>
      </c>
      <c r="V228" s="5" t="str">
        <f ca="1">IFERROR(__xludf.DUMMYFUNCTION("""COMPUTED_VALUE"""),"Yes")</f>
        <v>Yes</v>
      </c>
      <c r="W228" s="5" t="str">
        <f ca="1">IFERROR(__xludf.DUMMYFUNCTION("""COMPUTED_VALUE"""),"Yes")</f>
        <v>Yes</v>
      </c>
      <c r="X228" s="5" t="str">
        <f ca="1">IFERROR(__xludf.DUMMYFUNCTION("""COMPUTED_VALUE"""),"Yes")</f>
        <v>Yes</v>
      </c>
      <c r="Y228" s="5" t="str">
        <f ca="1">IFERROR(__xludf.DUMMYFUNCTION("""COMPUTED_VALUE"""),"Yes")</f>
        <v>Yes</v>
      </c>
      <c r="Z228" s="5"/>
      <c r="AA228" s="5" t="str">
        <f ca="1">IFERROR(__xludf.DUMMYFUNCTION("""COMPUTED_VALUE"""),"Yes")</f>
        <v>Yes</v>
      </c>
      <c r="AB228" s="5" t="str">
        <f ca="1">IFERROR(__xludf.DUMMYFUNCTION("""COMPUTED_VALUE"""),"Yes")</f>
        <v>Yes</v>
      </c>
      <c r="AC228" s="5" t="str">
        <f ca="1">IFERROR(__xludf.DUMMYFUNCTION("""COMPUTED_VALUE"""),"Yes")</f>
        <v>Yes</v>
      </c>
      <c r="AD228" s="5" t="str">
        <f ca="1">IFERROR(__xludf.DUMMYFUNCTION("""COMPUTED_VALUE"""),"Yes")</f>
        <v>Yes</v>
      </c>
      <c r="AE228" s="5"/>
      <c r="AF228" s="5" t="str">
        <f ca="1">IFERROR(__xludf.DUMMYFUNCTION("""COMPUTED_VALUE"""),"Yes")</f>
        <v>Yes</v>
      </c>
      <c r="AG228" s="5"/>
      <c r="AH228" s="5"/>
      <c r="AI228" s="5"/>
      <c r="AJ228" s="5"/>
      <c r="AK228" s="5"/>
      <c r="AL228" s="5"/>
      <c r="AM228" s="5"/>
      <c r="AN228" s="5"/>
      <c r="AO228" s="5"/>
      <c r="AP228" s="5"/>
      <c r="AQ228" s="5"/>
      <c r="AR228" s="5"/>
      <c r="AS228" s="5"/>
      <c r="AT228" s="5"/>
      <c r="AU228" s="5"/>
      <c r="AV228" s="5"/>
      <c r="AW228" s="5"/>
      <c r="AX228" s="5"/>
      <c r="AY228" s="5"/>
    </row>
    <row r="229" spans="1:51" x14ac:dyDescent="0.25">
      <c r="A22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29" s="5">
        <f ca="1">IFERROR(__xludf.DUMMYFUNCTION("""COMPUTED_VALUE"""),229)</f>
        <v>229</v>
      </c>
      <c r="C229" s="5">
        <f ca="1">IFERROR(__xludf.DUMMYFUNCTION("""COMPUTED_VALUE"""),228)</f>
        <v>228</v>
      </c>
      <c r="D229" s="5" t="str">
        <f ca="1">IFERROR(__xludf.DUMMYFUNCTION("""COMPUTED_VALUE"""),"Unicorn20HotStrike")</f>
        <v>Unicorn20HotStrike</v>
      </c>
      <c r="E229" s="5" t="str">
        <f ca="1">IFERROR(__xludf.DUMMYFUNCTION("""COMPUTED_VALUE"""),"Yes")</f>
        <v>Yes</v>
      </c>
      <c r="F229" s="5" t="str">
        <f ca="1">IFERROR(__xludf.DUMMYFUNCTION("""COMPUTED_VALUE"""),"Yes")</f>
        <v>Yes</v>
      </c>
      <c r="G229" s="5" t="str">
        <f ca="1">IFERROR(__xludf.DUMMYFUNCTION("""COMPUTED_VALUE"""),"Yes")</f>
        <v>Yes</v>
      </c>
      <c r="H229" s="5" t="str">
        <f ca="1">IFERROR(__xludf.DUMMYFUNCTION("""COMPUTED_VALUE"""),"No")</f>
        <v>No</v>
      </c>
      <c r="I229" s="5" t="str">
        <f ca="1">IFERROR(__xludf.DUMMYFUNCTION("""COMPUTED_VALUE"""),"No")</f>
        <v>No</v>
      </c>
      <c r="J229" s="5" t="str">
        <f ca="1">IFERROR(__xludf.DUMMYFUNCTION("""COMPUTED_VALUE"""),"No")</f>
        <v>No</v>
      </c>
      <c r="K229" s="5" t="str">
        <f ca="1">IFERROR(__xludf.DUMMYFUNCTION("""COMPUTED_VALUE"""),"No")</f>
        <v>No</v>
      </c>
      <c r="L229" s="5" t="str">
        <f ca="1">IFERROR(__xludf.DUMMYFUNCTION("""COMPUTED_VALUE"""),"No")</f>
        <v>No</v>
      </c>
      <c r="M229" s="5" t="str">
        <f ca="1">IFERROR(__xludf.DUMMYFUNCTION("""COMPUTED_VALUE"""),"Yes")</f>
        <v>Yes</v>
      </c>
      <c r="N229" s="5" t="str">
        <f ca="1">IFERROR(__xludf.DUMMYFUNCTION("""COMPUTED_VALUE"""),"Yes")</f>
        <v>Yes</v>
      </c>
      <c r="O229" s="5" t="str">
        <f ca="1">IFERROR(__xludf.DUMMYFUNCTION("""COMPUTED_VALUE"""),"Yes")</f>
        <v>Yes</v>
      </c>
      <c r="P229" s="5" t="str">
        <f ca="1">IFERROR(__xludf.DUMMYFUNCTION("""COMPUTED_VALUE"""),"Yes")</f>
        <v>Yes</v>
      </c>
      <c r="Q229" s="5" t="str">
        <f ca="1">IFERROR(__xludf.DUMMYFUNCTION("""COMPUTED_VALUE"""),"Yes")</f>
        <v>Yes</v>
      </c>
      <c r="R229" s="5" t="str">
        <f ca="1">IFERROR(__xludf.DUMMYFUNCTION("""COMPUTED_VALUE"""),"No")</f>
        <v>No</v>
      </c>
      <c r="S229" s="5" t="str">
        <f ca="1">IFERROR(__xludf.DUMMYFUNCTION("""COMPUTED_VALUE"""),"Yes")</f>
        <v>Yes</v>
      </c>
      <c r="T229" s="5" t="str">
        <f ca="1">IFERROR(__xludf.DUMMYFUNCTION("""COMPUTED_VALUE"""),"No")</f>
        <v>No</v>
      </c>
      <c r="U229" s="5" t="str">
        <f ca="1">IFERROR(__xludf.DUMMYFUNCTION("""COMPUTED_VALUE"""),"No")</f>
        <v>No</v>
      </c>
      <c r="V229" s="5" t="str">
        <f ca="1">IFERROR(__xludf.DUMMYFUNCTION("""COMPUTED_VALUE"""),"No")</f>
        <v>No</v>
      </c>
      <c r="W229" s="5" t="str">
        <f ca="1">IFERROR(__xludf.DUMMYFUNCTION("""COMPUTED_VALUE"""),"No")</f>
        <v>No</v>
      </c>
      <c r="X229" s="5" t="str">
        <f ca="1">IFERROR(__xludf.DUMMYFUNCTION("""COMPUTED_VALUE"""),"No")</f>
        <v>No</v>
      </c>
      <c r="Y229" s="5"/>
      <c r="Z229" s="5"/>
      <c r="AA229" s="5"/>
      <c r="AB229" s="5"/>
      <c r="AC229" s="5" t="str">
        <f ca="1">IFERROR(__xludf.DUMMYFUNCTION("""COMPUTED_VALUE"""),"No")</f>
        <v>No</v>
      </c>
      <c r="AD229" s="5"/>
      <c r="AE229" s="5"/>
      <c r="AF229" s="5"/>
      <c r="AG229" s="5"/>
      <c r="AH229" s="5"/>
      <c r="AI229" s="5"/>
      <c r="AJ229" s="5"/>
      <c r="AK229" s="5"/>
      <c r="AL229" s="5"/>
      <c r="AM229" s="5"/>
      <c r="AN229" s="5"/>
      <c r="AO229" s="5"/>
      <c r="AP229" s="5"/>
      <c r="AQ229" s="5"/>
      <c r="AR229" s="5"/>
      <c r="AS229" s="5"/>
      <c r="AT229" s="5"/>
      <c r="AU229" s="5"/>
      <c r="AV229" s="5"/>
      <c r="AW229" s="5"/>
      <c r="AX229" s="5"/>
      <c r="AY229" s="5"/>
    </row>
    <row r="230" spans="1:51" x14ac:dyDescent="0.25">
      <c r="A23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30" s="5">
        <f ca="1">IFERROR(__xludf.DUMMYFUNCTION("""COMPUTED_VALUE"""),230)</f>
        <v>230</v>
      </c>
      <c r="C230" s="5">
        <f ca="1">IFERROR(__xludf.DUMMYFUNCTION("""COMPUTED_VALUE"""),229)</f>
        <v>229</v>
      </c>
      <c r="D230" s="5" t="str">
        <f ca="1">IFERROR(__xludf.DUMMYFUNCTION("""COMPUTED_VALUE"""),"FireCash20")</f>
        <v>FireCash20</v>
      </c>
      <c r="E230" s="5" t="str">
        <f ca="1">IFERROR(__xludf.DUMMYFUNCTION("""COMPUTED_VALUE"""),"Yes")</f>
        <v>Yes</v>
      </c>
      <c r="F230" s="5" t="str">
        <f ca="1">IFERROR(__xludf.DUMMYFUNCTION("""COMPUTED_VALUE"""),"Yes")</f>
        <v>Yes</v>
      </c>
      <c r="G230" s="5" t="str">
        <f ca="1">IFERROR(__xludf.DUMMYFUNCTION("""COMPUTED_VALUE"""),"Yes")</f>
        <v>Yes</v>
      </c>
      <c r="H230" s="5" t="str">
        <f ca="1">IFERROR(__xludf.DUMMYFUNCTION("""COMPUTED_VALUE"""),"No")</f>
        <v>No</v>
      </c>
      <c r="I230" s="5" t="str">
        <f ca="1">IFERROR(__xludf.DUMMYFUNCTION("""COMPUTED_VALUE"""),"No")</f>
        <v>No</v>
      </c>
      <c r="J230" s="5" t="str">
        <f ca="1">IFERROR(__xludf.DUMMYFUNCTION("""COMPUTED_VALUE"""),"No")</f>
        <v>No</v>
      </c>
      <c r="K230" s="5" t="str">
        <f ca="1">IFERROR(__xludf.DUMMYFUNCTION("""COMPUTED_VALUE"""),"No")</f>
        <v>No</v>
      </c>
      <c r="L230" s="5" t="str">
        <f ca="1">IFERROR(__xludf.DUMMYFUNCTION("""COMPUTED_VALUE"""),"No")</f>
        <v>No</v>
      </c>
      <c r="M230" s="5" t="str">
        <f ca="1">IFERROR(__xludf.DUMMYFUNCTION("""COMPUTED_VALUE"""),"Yes")</f>
        <v>Yes</v>
      </c>
      <c r="N230" s="5" t="str">
        <f ca="1">IFERROR(__xludf.DUMMYFUNCTION("""COMPUTED_VALUE"""),"Yes")</f>
        <v>Yes</v>
      </c>
      <c r="O230" s="5" t="str">
        <f ca="1">IFERROR(__xludf.DUMMYFUNCTION("""COMPUTED_VALUE"""),"Yes")</f>
        <v>Yes</v>
      </c>
      <c r="P230" s="5" t="str">
        <f ca="1">IFERROR(__xludf.DUMMYFUNCTION("""COMPUTED_VALUE"""),"Yes")</f>
        <v>Yes</v>
      </c>
      <c r="Q230" s="5" t="str">
        <f ca="1">IFERROR(__xludf.DUMMYFUNCTION("""COMPUTED_VALUE"""),"Yes")</f>
        <v>Yes</v>
      </c>
      <c r="R230" s="5" t="str">
        <f ca="1">IFERROR(__xludf.DUMMYFUNCTION("""COMPUTED_VALUE"""),"No")</f>
        <v>No</v>
      </c>
      <c r="S230" s="5" t="str">
        <f ca="1">IFERROR(__xludf.DUMMYFUNCTION("""COMPUTED_VALUE"""),"Yes")</f>
        <v>Yes</v>
      </c>
      <c r="T230" s="5" t="str">
        <f ca="1">IFERROR(__xludf.DUMMYFUNCTION("""COMPUTED_VALUE"""),"No")</f>
        <v>No</v>
      </c>
      <c r="U230" s="5" t="str">
        <f ca="1">IFERROR(__xludf.DUMMYFUNCTION("""COMPUTED_VALUE"""),"No")</f>
        <v>No</v>
      </c>
      <c r="V230" s="5" t="str">
        <f ca="1">IFERROR(__xludf.DUMMYFUNCTION("""COMPUTED_VALUE"""),"No")</f>
        <v>No</v>
      </c>
      <c r="W230" s="5" t="str">
        <f ca="1">IFERROR(__xludf.DUMMYFUNCTION("""COMPUTED_VALUE"""),"No")</f>
        <v>No</v>
      </c>
      <c r="X230" s="5" t="str">
        <f ca="1">IFERROR(__xludf.DUMMYFUNCTION("""COMPUTED_VALUE"""),"No")</f>
        <v>No</v>
      </c>
      <c r="Y230" s="5"/>
      <c r="Z230" s="5"/>
      <c r="AA230" s="5"/>
      <c r="AB230" s="5"/>
      <c r="AC230" s="5" t="str">
        <f ca="1">IFERROR(__xludf.DUMMYFUNCTION("""COMPUTED_VALUE"""),"No")</f>
        <v>No</v>
      </c>
      <c r="AD230" s="5"/>
      <c r="AE230" s="5"/>
      <c r="AF230" s="5"/>
      <c r="AG230" s="5"/>
      <c r="AH230" s="5"/>
      <c r="AI230" s="5"/>
      <c r="AJ230" s="5"/>
      <c r="AK230" s="5"/>
      <c r="AL230" s="5"/>
      <c r="AM230" s="5"/>
      <c r="AN230" s="5"/>
      <c r="AO230" s="5"/>
      <c r="AP230" s="5"/>
      <c r="AQ230" s="5"/>
      <c r="AR230" s="5"/>
      <c r="AS230" s="5"/>
      <c r="AT230" s="5"/>
      <c r="AU230" s="5"/>
      <c r="AV230" s="5"/>
      <c r="AW230" s="5"/>
      <c r="AX230" s="5"/>
      <c r="AY230" s="5"/>
    </row>
    <row r="231" spans="1:51" x14ac:dyDescent="0.25">
      <c r="A231" s="5" t="str">
        <f ca="1">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31" s="5">
        <f ca="1">IFERROR(__xludf.DUMMYFUNCTION("""COMPUTED_VALUE"""),231)</f>
        <v>231</v>
      </c>
      <c r="C231" s="5">
        <f ca="1">IFERROR(__xludf.DUMMYFUNCTION("""COMPUTED_VALUE"""),230)</f>
        <v>230</v>
      </c>
      <c r="D231" s="5" t="str">
        <f ca="1">IFERROR(__xludf.DUMMYFUNCTION("""COMPUTED_VALUE"""),"UnicornCoyoteSevens")</f>
        <v>UnicornCoyoteSevens</v>
      </c>
      <c r="E231" s="5" t="str">
        <f ca="1">IFERROR(__xludf.DUMMYFUNCTION("""COMPUTED_VALUE"""),"Yes")</f>
        <v>Yes</v>
      </c>
      <c r="F231" s="5" t="str">
        <f ca="1">IFERROR(__xludf.DUMMYFUNCTION("""COMPUTED_VALUE"""),"Yes")</f>
        <v>Yes</v>
      </c>
      <c r="G231" s="5" t="str">
        <f ca="1">IFERROR(__xludf.DUMMYFUNCTION("""COMPUTED_VALUE"""),"No")</f>
        <v>No</v>
      </c>
      <c r="H231" s="5" t="str">
        <f ca="1">IFERROR(__xludf.DUMMYFUNCTION("""COMPUTED_VALUE"""),"Yes")</f>
        <v>Yes</v>
      </c>
      <c r="I231" s="5" t="str">
        <f ca="1">IFERROR(__xludf.DUMMYFUNCTION("""COMPUTED_VALUE"""),"Yes")</f>
        <v>Yes</v>
      </c>
      <c r="J231" s="5" t="str">
        <f ca="1">IFERROR(__xludf.DUMMYFUNCTION("""COMPUTED_VALUE"""),"Yes")</f>
        <v>Yes</v>
      </c>
      <c r="K231" s="5" t="str">
        <f ca="1">IFERROR(__xludf.DUMMYFUNCTION("""COMPUTED_VALUE"""),"Yes")</f>
        <v>Yes</v>
      </c>
      <c r="L231" s="5" t="str">
        <f ca="1">IFERROR(__xludf.DUMMYFUNCTION("""COMPUTED_VALUE"""),"Yes")</f>
        <v>Yes</v>
      </c>
      <c r="M231" s="5" t="str">
        <f ca="1">IFERROR(__xludf.DUMMYFUNCTION("""COMPUTED_VALUE"""),"Yes")</f>
        <v>Yes</v>
      </c>
      <c r="N231" s="5" t="str">
        <f ca="1">IFERROR(__xludf.DUMMYFUNCTION("""COMPUTED_VALUE"""),"Yes")</f>
        <v>Yes</v>
      </c>
      <c r="O231" s="5" t="str">
        <f ca="1">IFERROR(__xludf.DUMMYFUNCTION("""COMPUTED_VALUE"""),"Yes")</f>
        <v>Yes</v>
      </c>
      <c r="P231" s="5" t="str">
        <f ca="1">IFERROR(__xludf.DUMMYFUNCTION("""COMPUTED_VALUE"""),"Yes")</f>
        <v>Yes</v>
      </c>
      <c r="Q231" s="5" t="str">
        <f ca="1">IFERROR(__xludf.DUMMYFUNCTION("""COMPUTED_VALUE"""),"Yes")</f>
        <v>Yes</v>
      </c>
      <c r="R231" s="5" t="str">
        <f ca="1">IFERROR(__xludf.DUMMYFUNCTION("""COMPUTED_VALUE"""),"Yes")</f>
        <v>Yes</v>
      </c>
      <c r="S231" s="5" t="str">
        <f ca="1">IFERROR(__xludf.DUMMYFUNCTION("""COMPUTED_VALUE"""),"Yes")</f>
        <v>Yes</v>
      </c>
      <c r="T231" s="5" t="str">
        <f ca="1">IFERROR(__xludf.DUMMYFUNCTION("""COMPUTED_VALUE"""),"Yes")</f>
        <v>Yes</v>
      </c>
      <c r="U231" s="5" t="str">
        <f ca="1">IFERROR(__xludf.DUMMYFUNCTION("""COMPUTED_VALUE"""),"Yes")</f>
        <v>Yes</v>
      </c>
      <c r="V231" s="5" t="str">
        <f ca="1">IFERROR(__xludf.DUMMYFUNCTION("""COMPUTED_VALUE"""),"No")</f>
        <v>No</v>
      </c>
      <c r="W231" s="5" t="str">
        <f ca="1">IFERROR(__xludf.DUMMYFUNCTION("""COMPUTED_VALUE"""),"No")</f>
        <v>No</v>
      </c>
      <c r="X231" s="5" t="str">
        <f ca="1">IFERROR(__xludf.DUMMYFUNCTION("""COMPUTED_VALUE"""),"No")</f>
        <v>No</v>
      </c>
      <c r="Y231" s="5" t="str">
        <f ca="1">IFERROR(__xludf.DUMMYFUNCTION("""COMPUTED_VALUE"""),"No")</f>
        <v>No</v>
      </c>
      <c r="Z231" s="5" t="str">
        <f ca="1">IFERROR(__xludf.DUMMYFUNCTION("""COMPUTED_VALUE"""),"No")</f>
        <v>No</v>
      </c>
      <c r="AA231" s="5" t="str">
        <f ca="1">IFERROR(__xludf.DUMMYFUNCTION("""COMPUTED_VALUE"""),"No")</f>
        <v>No</v>
      </c>
      <c r="AB231" s="5" t="str">
        <f ca="1">IFERROR(__xludf.DUMMYFUNCTION("""COMPUTED_VALUE"""),"No")</f>
        <v>No</v>
      </c>
      <c r="AC231" s="5" t="str">
        <f ca="1">IFERROR(__xludf.DUMMYFUNCTION("""COMPUTED_VALUE"""),"No")</f>
        <v>No</v>
      </c>
      <c r="AD231" s="5" t="str">
        <f ca="1">IFERROR(__xludf.DUMMYFUNCTION("""COMPUTED_VALUE"""),"No")</f>
        <v>No</v>
      </c>
      <c r="AE231" s="5" t="str">
        <f ca="1">IFERROR(__xludf.DUMMYFUNCTION("""COMPUTED_VALUE"""),"No")</f>
        <v>No</v>
      </c>
      <c r="AF231" s="5" t="str">
        <f ca="1">IFERROR(__xludf.DUMMYFUNCTION("""COMPUTED_VALUE"""),"Yes")</f>
        <v>Yes</v>
      </c>
      <c r="AG231" s="5" t="str">
        <f ca="1">IFERROR(__xludf.DUMMYFUNCTION("""COMPUTED_VALUE"""),"No")</f>
        <v>No</v>
      </c>
      <c r="AH231" s="5" t="str">
        <f ca="1">IFERROR(__xludf.DUMMYFUNCTION("""COMPUTED_VALUE"""),"Yes")</f>
        <v>Yes</v>
      </c>
      <c r="AI231" s="5" t="str">
        <f ca="1">IFERROR(__xludf.DUMMYFUNCTION("""COMPUTED_VALUE"""),"No")</f>
        <v>No</v>
      </c>
      <c r="AJ231" s="5" t="str">
        <f ca="1">IFERROR(__xludf.DUMMYFUNCTION("""COMPUTED_VALUE"""),"No")</f>
        <v>No</v>
      </c>
      <c r="AK231" s="5" t="str">
        <f ca="1">IFERROR(__xludf.DUMMYFUNCTION("""COMPUTED_VALUE"""),"No")</f>
        <v>No</v>
      </c>
      <c r="AL231" s="5" t="str">
        <f ca="1">IFERROR(__xludf.DUMMYFUNCTION("""COMPUTED_VALUE"""),"No")</f>
        <v>No</v>
      </c>
      <c r="AM231" s="5"/>
      <c r="AN231" s="5"/>
      <c r="AO231" s="5"/>
      <c r="AP231" s="5"/>
      <c r="AQ231" s="5"/>
      <c r="AR231" s="5"/>
      <c r="AS231" s="5"/>
      <c r="AT231" s="5"/>
      <c r="AU231" s="5"/>
      <c r="AV231" s="5"/>
      <c r="AW231" s="5"/>
      <c r="AX231" s="5"/>
      <c r="AY231" s="5"/>
    </row>
    <row r="232" spans="1:51" x14ac:dyDescent="0.25">
      <c r="A2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2" s="5">
        <f ca="1">IFERROR(__xludf.DUMMYFUNCTION("""COMPUTED_VALUE"""),232)</f>
        <v>232</v>
      </c>
      <c r="C232" s="5">
        <f ca="1">IFERROR(__xludf.DUMMYFUNCTION("""COMPUTED_VALUE"""),231)</f>
        <v>231</v>
      </c>
      <c r="D232" s="5" t="str">
        <f ca="1">IFERROR(__xludf.DUMMYFUNCTION("""COMPUTED_VALUE"""),"EpicFire40")</f>
        <v>EpicFire40</v>
      </c>
      <c r="E232" s="5" t="str">
        <f ca="1">IFERROR(__xludf.DUMMYFUNCTION("""COMPUTED_VALUE"""),"Yes")</f>
        <v>Yes</v>
      </c>
      <c r="F232" s="5" t="str">
        <f ca="1">IFERROR(__xludf.DUMMYFUNCTION("""COMPUTED_VALUE"""),"Yes")</f>
        <v>Yes</v>
      </c>
      <c r="G232" s="5" t="str">
        <f ca="1">IFERROR(__xludf.DUMMYFUNCTION("""COMPUTED_VALUE"""),"Yes")</f>
        <v>Yes</v>
      </c>
      <c r="H232" s="5" t="str">
        <f ca="1">IFERROR(__xludf.DUMMYFUNCTION("""COMPUTED_VALUE"""),"Yes")</f>
        <v>Yes</v>
      </c>
      <c r="I232" s="5" t="str">
        <f ca="1">IFERROR(__xludf.DUMMYFUNCTION("""COMPUTED_VALUE"""),"Yes")</f>
        <v>Yes</v>
      </c>
      <c r="J232" s="5" t="str">
        <f ca="1">IFERROR(__xludf.DUMMYFUNCTION("""COMPUTED_VALUE"""),"Yes")</f>
        <v>Yes</v>
      </c>
      <c r="K232" s="5" t="str">
        <f ca="1">IFERROR(__xludf.DUMMYFUNCTION("""COMPUTED_VALUE"""),"Yes")</f>
        <v>Yes</v>
      </c>
      <c r="L232" s="5" t="str">
        <f ca="1">IFERROR(__xludf.DUMMYFUNCTION("""COMPUTED_VALUE"""),"Yes")</f>
        <v>Yes</v>
      </c>
      <c r="M232" s="5" t="str">
        <f ca="1">IFERROR(__xludf.DUMMYFUNCTION("""COMPUTED_VALUE"""),"Yes")</f>
        <v>Yes</v>
      </c>
      <c r="N232" s="5" t="str">
        <f ca="1">IFERROR(__xludf.DUMMYFUNCTION("""COMPUTED_VALUE"""),"Yes")</f>
        <v>Yes</v>
      </c>
      <c r="O232" s="5" t="str">
        <f ca="1">IFERROR(__xludf.DUMMYFUNCTION("""COMPUTED_VALUE"""),"Yes")</f>
        <v>Yes</v>
      </c>
      <c r="P232" s="5" t="str">
        <f ca="1">IFERROR(__xludf.DUMMYFUNCTION("""COMPUTED_VALUE"""),"Yes")</f>
        <v>Yes</v>
      </c>
      <c r="Q232" s="5" t="str">
        <f ca="1">IFERROR(__xludf.DUMMYFUNCTION("""COMPUTED_VALUE"""),"Yes")</f>
        <v>Yes</v>
      </c>
      <c r="R232" s="5" t="str">
        <f ca="1">IFERROR(__xludf.DUMMYFUNCTION("""COMPUTED_VALUE"""),"Yes")</f>
        <v>Yes</v>
      </c>
      <c r="S232" s="5" t="str">
        <f ca="1">IFERROR(__xludf.DUMMYFUNCTION("""COMPUTED_VALUE"""),"Yes")</f>
        <v>Yes</v>
      </c>
      <c r="T232" s="5" t="str">
        <f ca="1">IFERROR(__xludf.DUMMYFUNCTION("""COMPUTED_VALUE"""),"Yes")</f>
        <v>Yes</v>
      </c>
      <c r="U232" s="5" t="str">
        <f ca="1">IFERROR(__xludf.DUMMYFUNCTION("""COMPUTED_VALUE"""),"Yes")</f>
        <v>Yes</v>
      </c>
      <c r="V232" s="5" t="str">
        <f ca="1">IFERROR(__xludf.DUMMYFUNCTION("""COMPUTED_VALUE"""),"Yes")</f>
        <v>Yes</v>
      </c>
      <c r="W232" s="5" t="str">
        <f ca="1">IFERROR(__xludf.DUMMYFUNCTION("""COMPUTED_VALUE"""),"Yes")</f>
        <v>Yes</v>
      </c>
      <c r="X232" s="5" t="str">
        <f ca="1">IFERROR(__xludf.DUMMYFUNCTION("""COMPUTED_VALUE"""),"Yes")</f>
        <v>Yes</v>
      </c>
      <c r="Y232" s="5" t="str">
        <f ca="1">IFERROR(__xludf.DUMMYFUNCTION("""COMPUTED_VALUE"""),"Yes")</f>
        <v>Yes</v>
      </c>
      <c r="Z232" s="5" t="str">
        <f ca="1">IFERROR(__xludf.DUMMYFUNCTION("""COMPUTED_VALUE"""),"No")</f>
        <v>No</v>
      </c>
      <c r="AA232" s="5" t="str">
        <f ca="1">IFERROR(__xludf.DUMMYFUNCTION("""COMPUTED_VALUE"""),"Yes")</f>
        <v>Yes</v>
      </c>
      <c r="AB232" s="5" t="str">
        <f ca="1">IFERROR(__xludf.DUMMYFUNCTION("""COMPUTED_VALUE"""),"Yes")</f>
        <v>Yes</v>
      </c>
      <c r="AC232" s="5" t="str">
        <f ca="1">IFERROR(__xludf.DUMMYFUNCTION("""COMPUTED_VALUE"""),"Yes")</f>
        <v>Yes</v>
      </c>
      <c r="AD232" s="5" t="str">
        <f ca="1">IFERROR(__xludf.DUMMYFUNCTION("""COMPUTED_VALUE"""),"Yes")</f>
        <v>Yes</v>
      </c>
      <c r="AE232" s="5" t="str">
        <f ca="1">IFERROR(__xludf.DUMMYFUNCTION("""COMPUTED_VALUE"""),"No")</f>
        <v>No</v>
      </c>
      <c r="AF232" s="5" t="str">
        <f ca="1">IFERROR(__xludf.DUMMYFUNCTION("""COMPUTED_VALUE"""),"Yes")</f>
        <v>Yes</v>
      </c>
      <c r="AG232" s="5" t="str">
        <f ca="1">IFERROR(__xludf.DUMMYFUNCTION("""COMPUTED_VALUE"""),"No")</f>
        <v>No</v>
      </c>
      <c r="AH232" s="5" t="str">
        <f ca="1">IFERROR(__xludf.DUMMYFUNCTION("""COMPUTED_VALUE"""),"No")</f>
        <v>No</v>
      </c>
      <c r="AI232" s="5" t="str">
        <f ca="1">IFERROR(__xludf.DUMMYFUNCTION("""COMPUTED_VALUE"""),"No")</f>
        <v>No</v>
      </c>
      <c r="AJ232" s="5" t="str">
        <f ca="1">IFERROR(__xludf.DUMMYFUNCTION("""COMPUTED_VALUE"""),"No")</f>
        <v>No</v>
      </c>
      <c r="AK232" s="5" t="str">
        <f ca="1">IFERROR(__xludf.DUMMYFUNCTION("""COMPUTED_VALUE"""),"No")</f>
        <v>No</v>
      </c>
      <c r="AL232" s="5" t="str">
        <f ca="1">IFERROR(__xludf.DUMMYFUNCTION("""COMPUTED_VALUE"""),"No")</f>
        <v>No</v>
      </c>
      <c r="AM232" s="5"/>
      <c r="AN232" s="5"/>
      <c r="AO232" s="5"/>
      <c r="AP232" s="5"/>
      <c r="AQ232" s="5"/>
      <c r="AR232" s="5"/>
      <c r="AS232" s="5"/>
      <c r="AT232" s="5"/>
      <c r="AU232" s="5"/>
      <c r="AV232" s="5"/>
      <c r="AW232" s="5"/>
      <c r="AX232" s="5"/>
      <c r="AY232" s="5"/>
    </row>
    <row r="233" spans="1:51" x14ac:dyDescent="0.25">
      <c r="A2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3" s="5">
        <f ca="1">IFERROR(__xludf.DUMMYFUNCTION("""COMPUTED_VALUE"""),233)</f>
        <v>233</v>
      </c>
      <c r="C233" s="5">
        <f ca="1">IFERROR(__xludf.DUMMYFUNCTION("""COMPUTED_VALUE"""),232)</f>
        <v>232</v>
      </c>
      <c r="D233" s="5" t="str">
        <f ca="1">IFERROR(__xludf.DUMMYFUNCTION("""COMPUTED_VALUE"""),"GoldenCrown40")</f>
        <v>GoldenCrown40</v>
      </c>
      <c r="E233" s="5" t="str">
        <f ca="1">IFERROR(__xludf.DUMMYFUNCTION("""COMPUTED_VALUE"""),"Yes")</f>
        <v>Yes</v>
      </c>
      <c r="F233" s="5" t="str">
        <f ca="1">IFERROR(__xludf.DUMMYFUNCTION("""COMPUTED_VALUE"""),"Yes")</f>
        <v>Yes</v>
      </c>
      <c r="G233" s="5" t="str">
        <f ca="1">IFERROR(__xludf.DUMMYFUNCTION("""COMPUTED_VALUE"""),"Yes")</f>
        <v>Yes</v>
      </c>
      <c r="H233" s="5" t="str">
        <f ca="1">IFERROR(__xludf.DUMMYFUNCTION("""COMPUTED_VALUE"""),"Yes")</f>
        <v>Yes</v>
      </c>
      <c r="I233" s="5" t="str">
        <f ca="1">IFERROR(__xludf.DUMMYFUNCTION("""COMPUTED_VALUE"""),"Yes")</f>
        <v>Yes</v>
      </c>
      <c r="J233" s="5" t="str">
        <f ca="1">IFERROR(__xludf.DUMMYFUNCTION("""COMPUTED_VALUE"""),"Yes")</f>
        <v>Yes</v>
      </c>
      <c r="K233" s="5" t="str">
        <f ca="1">IFERROR(__xludf.DUMMYFUNCTION("""COMPUTED_VALUE"""),"Yes")</f>
        <v>Yes</v>
      </c>
      <c r="L233" s="5" t="str">
        <f ca="1">IFERROR(__xludf.DUMMYFUNCTION("""COMPUTED_VALUE"""),"Yes")</f>
        <v>Yes</v>
      </c>
      <c r="M233" s="5" t="str">
        <f ca="1">IFERROR(__xludf.DUMMYFUNCTION("""COMPUTED_VALUE"""),"Yes")</f>
        <v>Yes</v>
      </c>
      <c r="N233" s="5" t="str">
        <f ca="1">IFERROR(__xludf.DUMMYFUNCTION("""COMPUTED_VALUE"""),"Yes")</f>
        <v>Yes</v>
      </c>
      <c r="O233" s="5" t="str">
        <f ca="1">IFERROR(__xludf.DUMMYFUNCTION("""COMPUTED_VALUE"""),"Yes")</f>
        <v>Yes</v>
      </c>
      <c r="P233" s="5" t="str">
        <f ca="1">IFERROR(__xludf.DUMMYFUNCTION("""COMPUTED_VALUE"""),"Yes")</f>
        <v>Yes</v>
      </c>
      <c r="Q233" s="5" t="str">
        <f ca="1">IFERROR(__xludf.DUMMYFUNCTION("""COMPUTED_VALUE"""),"Yes")</f>
        <v>Yes</v>
      </c>
      <c r="R233" s="5" t="str">
        <f ca="1">IFERROR(__xludf.DUMMYFUNCTION("""COMPUTED_VALUE"""),"Yes")</f>
        <v>Yes</v>
      </c>
      <c r="S233" s="5" t="str">
        <f ca="1">IFERROR(__xludf.DUMMYFUNCTION("""COMPUTED_VALUE"""),"Yes")</f>
        <v>Yes</v>
      </c>
      <c r="T233" s="5" t="str">
        <f ca="1">IFERROR(__xludf.DUMMYFUNCTION("""COMPUTED_VALUE"""),"Yes")</f>
        <v>Yes</v>
      </c>
      <c r="U233" s="5" t="str">
        <f ca="1">IFERROR(__xludf.DUMMYFUNCTION("""COMPUTED_VALUE"""),"Yes")</f>
        <v>Yes</v>
      </c>
      <c r="V233" s="5" t="str">
        <f ca="1">IFERROR(__xludf.DUMMYFUNCTION("""COMPUTED_VALUE"""),"Yes")</f>
        <v>Yes</v>
      </c>
      <c r="W233" s="5" t="str">
        <f ca="1">IFERROR(__xludf.DUMMYFUNCTION("""COMPUTED_VALUE"""),"Yes")</f>
        <v>Yes</v>
      </c>
      <c r="X233" s="5" t="str">
        <f ca="1">IFERROR(__xludf.DUMMYFUNCTION("""COMPUTED_VALUE"""),"Yes")</f>
        <v>Yes</v>
      </c>
      <c r="Y233" s="5" t="str">
        <f ca="1">IFERROR(__xludf.DUMMYFUNCTION("""COMPUTED_VALUE"""),"Yes")</f>
        <v>Yes</v>
      </c>
      <c r="Z233" s="5" t="str">
        <f ca="1">IFERROR(__xludf.DUMMYFUNCTION("""COMPUTED_VALUE"""),"No")</f>
        <v>No</v>
      </c>
      <c r="AA233" s="5" t="str">
        <f ca="1">IFERROR(__xludf.DUMMYFUNCTION("""COMPUTED_VALUE"""),"Yes")</f>
        <v>Yes</v>
      </c>
      <c r="AB233" s="5" t="str">
        <f ca="1">IFERROR(__xludf.DUMMYFUNCTION("""COMPUTED_VALUE"""),"Yes")</f>
        <v>Yes</v>
      </c>
      <c r="AC233" s="5" t="str">
        <f ca="1">IFERROR(__xludf.DUMMYFUNCTION("""COMPUTED_VALUE"""),"Yes")</f>
        <v>Yes</v>
      </c>
      <c r="AD233" s="5" t="str">
        <f ca="1">IFERROR(__xludf.DUMMYFUNCTION("""COMPUTED_VALUE"""),"Yes")</f>
        <v>Yes</v>
      </c>
      <c r="AE233" s="5" t="str">
        <f ca="1">IFERROR(__xludf.DUMMYFUNCTION("""COMPUTED_VALUE"""),"No")</f>
        <v>No</v>
      </c>
      <c r="AF233" s="5" t="str">
        <f ca="1">IFERROR(__xludf.DUMMYFUNCTION("""COMPUTED_VALUE"""),"Yes")</f>
        <v>Yes</v>
      </c>
      <c r="AG233" s="5" t="str">
        <f ca="1">IFERROR(__xludf.DUMMYFUNCTION("""COMPUTED_VALUE"""),"No")</f>
        <v>No</v>
      </c>
      <c r="AH233" s="5" t="str">
        <f ca="1">IFERROR(__xludf.DUMMYFUNCTION("""COMPUTED_VALUE"""),"No")</f>
        <v>No</v>
      </c>
      <c r="AI233" s="5" t="str">
        <f ca="1">IFERROR(__xludf.DUMMYFUNCTION("""COMPUTED_VALUE"""),"No")</f>
        <v>No</v>
      </c>
      <c r="AJ233" s="5" t="str">
        <f ca="1">IFERROR(__xludf.DUMMYFUNCTION("""COMPUTED_VALUE"""),"No")</f>
        <v>No</v>
      </c>
      <c r="AK233" s="5" t="str">
        <f ca="1">IFERROR(__xludf.DUMMYFUNCTION("""COMPUTED_VALUE"""),"No")</f>
        <v>No</v>
      </c>
      <c r="AL233" s="5" t="str">
        <f ca="1">IFERROR(__xludf.DUMMYFUNCTION("""COMPUTED_VALUE"""),"No")</f>
        <v>No</v>
      </c>
      <c r="AM233" s="5"/>
      <c r="AN233" s="5"/>
      <c r="AO233" s="5"/>
      <c r="AP233" s="5"/>
      <c r="AQ233" s="5"/>
      <c r="AR233" s="5"/>
      <c r="AS233" s="5"/>
      <c r="AT233" s="5"/>
      <c r="AU233" s="5"/>
      <c r="AV233" s="5"/>
      <c r="AW233" s="5"/>
      <c r="AX233" s="5"/>
      <c r="AY233" s="5"/>
    </row>
    <row r="234" spans="1:51" x14ac:dyDescent="0.25">
      <c r="A2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4" s="5">
        <f ca="1">IFERROR(__xludf.DUMMYFUNCTION("""COMPUTED_VALUE"""),234)</f>
        <v>234</v>
      </c>
      <c r="C234" s="5">
        <f ca="1">IFERROR(__xludf.DUMMYFUNCTION("""COMPUTED_VALUE"""),233)</f>
        <v>233</v>
      </c>
      <c r="D234" s="5" t="str">
        <f ca="1">IFERROR(__xludf.DUMMYFUNCTION("""COMPUTED_VALUE"""),"UnicornCoyoteDice")</f>
        <v>UnicornCoyoteDice</v>
      </c>
      <c r="E234" s="5" t="str">
        <f ca="1">IFERROR(__xludf.DUMMYFUNCTION("""COMPUTED_VALUE"""),"Yes")</f>
        <v>Yes</v>
      </c>
      <c r="F234" s="5" t="str">
        <f ca="1">IFERROR(__xludf.DUMMYFUNCTION("""COMPUTED_VALUE"""),"Yes")</f>
        <v>Yes</v>
      </c>
      <c r="G234" s="5" t="str">
        <f ca="1">IFERROR(__xludf.DUMMYFUNCTION("""COMPUTED_VALUE"""),"Yes")</f>
        <v>Yes</v>
      </c>
      <c r="H234" s="5" t="str">
        <f ca="1">IFERROR(__xludf.DUMMYFUNCTION("""COMPUTED_VALUE"""),"Yes")</f>
        <v>Yes</v>
      </c>
      <c r="I234" s="5" t="str">
        <f ca="1">IFERROR(__xludf.DUMMYFUNCTION("""COMPUTED_VALUE"""),"Yes")</f>
        <v>Yes</v>
      </c>
      <c r="J234" s="5" t="str">
        <f ca="1">IFERROR(__xludf.DUMMYFUNCTION("""COMPUTED_VALUE"""),"Yes")</f>
        <v>Yes</v>
      </c>
      <c r="K234" s="5" t="str">
        <f ca="1">IFERROR(__xludf.DUMMYFUNCTION("""COMPUTED_VALUE"""),"Yes")</f>
        <v>Yes</v>
      </c>
      <c r="L234" s="5" t="str">
        <f ca="1">IFERROR(__xludf.DUMMYFUNCTION("""COMPUTED_VALUE"""),"Yes")</f>
        <v>Yes</v>
      </c>
      <c r="M234" s="5" t="str">
        <f ca="1">IFERROR(__xludf.DUMMYFUNCTION("""COMPUTED_VALUE"""),"Yes")</f>
        <v>Yes</v>
      </c>
      <c r="N234" s="5" t="str">
        <f ca="1">IFERROR(__xludf.DUMMYFUNCTION("""COMPUTED_VALUE"""),"Yes")</f>
        <v>Yes</v>
      </c>
      <c r="O234" s="5" t="str">
        <f ca="1">IFERROR(__xludf.DUMMYFUNCTION("""COMPUTED_VALUE"""),"Yes")</f>
        <v>Yes</v>
      </c>
      <c r="P234" s="5" t="str">
        <f ca="1">IFERROR(__xludf.DUMMYFUNCTION("""COMPUTED_VALUE"""),"Yes")</f>
        <v>Yes</v>
      </c>
      <c r="Q234" s="5" t="str">
        <f ca="1">IFERROR(__xludf.DUMMYFUNCTION("""COMPUTED_VALUE"""),"Yes")</f>
        <v>Yes</v>
      </c>
      <c r="R234" s="5" t="str">
        <f ca="1">IFERROR(__xludf.DUMMYFUNCTION("""COMPUTED_VALUE"""),"Yes")</f>
        <v>Yes</v>
      </c>
      <c r="S234" s="5" t="str">
        <f ca="1">IFERROR(__xludf.DUMMYFUNCTION("""COMPUTED_VALUE"""),"Yes")</f>
        <v>Yes</v>
      </c>
      <c r="T234" s="5" t="str">
        <f ca="1">IFERROR(__xludf.DUMMYFUNCTION("""COMPUTED_VALUE"""),"Yes")</f>
        <v>Yes</v>
      </c>
      <c r="U234" s="5" t="str">
        <f ca="1">IFERROR(__xludf.DUMMYFUNCTION("""COMPUTED_VALUE"""),"Yes")</f>
        <v>Yes</v>
      </c>
      <c r="V234" s="5" t="str">
        <f ca="1">IFERROR(__xludf.DUMMYFUNCTION("""COMPUTED_VALUE"""),"Yes")</f>
        <v>Yes</v>
      </c>
      <c r="W234" s="5" t="str">
        <f ca="1">IFERROR(__xludf.DUMMYFUNCTION("""COMPUTED_VALUE"""),"Yes")</f>
        <v>Yes</v>
      </c>
      <c r="X234" s="5" t="str">
        <f ca="1">IFERROR(__xludf.DUMMYFUNCTION("""COMPUTED_VALUE"""),"Yes")</f>
        <v>Yes</v>
      </c>
      <c r="Y234" s="5" t="str">
        <f ca="1">IFERROR(__xludf.DUMMYFUNCTION("""COMPUTED_VALUE"""),"Yes")</f>
        <v>Yes</v>
      </c>
      <c r="Z234" s="5"/>
      <c r="AA234" s="5" t="str">
        <f ca="1">IFERROR(__xludf.DUMMYFUNCTION("""COMPUTED_VALUE"""),"Yes")</f>
        <v>Yes</v>
      </c>
      <c r="AB234" s="5" t="str">
        <f ca="1">IFERROR(__xludf.DUMMYFUNCTION("""COMPUTED_VALUE"""),"Yes")</f>
        <v>Yes</v>
      </c>
      <c r="AC234" s="5" t="str">
        <f ca="1">IFERROR(__xludf.DUMMYFUNCTION("""COMPUTED_VALUE"""),"Yes")</f>
        <v>Yes</v>
      </c>
      <c r="AD234" s="5" t="str">
        <f ca="1">IFERROR(__xludf.DUMMYFUNCTION("""COMPUTED_VALUE"""),"Yes")</f>
        <v>Yes</v>
      </c>
      <c r="AE234" s="5"/>
      <c r="AF234" s="5" t="str">
        <f ca="1">IFERROR(__xludf.DUMMYFUNCTION("""COMPUTED_VALUE"""),"Yes")</f>
        <v>Yes</v>
      </c>
      <c r="AG234" s="5"/>
      <c r="AH234" s="5"/>
      <c r="AI234" s="5"/>
      <c r="AJ234" s="5"/>
      <c r="AK234" s="5"/>
      <c r="AL234" s="5"/>
      <c r="AM234" s="5"/>
      <c r="AN234" s="5"/>
      <c r="AO234" s="5"/>
      <c r="AP234" s="5"/>
      <c r="AQ234" s="5"/>
      <c r="AR234" s="5"/>
      <c r="AS234" s="5"/>
      <c r="AT234" s="5"/>
      <c r="AU234" s="5"/>
      <c r="AV234" s="5"/>
      <c r="AW234" s="5"/>
      <c r="AX234" s="5"/>
      <c r="AY234" s="5"/>
    </row>
    <row r="235" spans="1:51" x14ac:dyDescent="0.25">
      <c r="A2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35" s="5">
        <f ca="1">IFERROR(__xludf.DUMMYFUNCTION("""COMPUTED_VALUE"""),235)</f>
        <v>235</v>
      </c>
      <c r="C235" s="5">
        <f ca="1">IFERROR(__xludf.DUMMYFUNCTION("""COMPUTED_VALUE"""),234)</f>
        <v>234</v>
      </c>
      <c r="D235" s="5" t="str">
        <f ca="1">IFERROR(__xludf.DUMMYFUNCTION("""COMPUTED_VALUE"""),"Wild27")</f>
        <v>Wild27</v>
      </c>
      <c r="E235" s="5" t="str">
        <f ca="1">IFERROR(__xludf.DUMMYFUNCTION("""COMPUTED_VALUE"""),"Yes")</f>
        <v>Yes</v>
      </c>
      <c r="F235" s="5" t="str">
        <f ca="1">IFERROR(__xludf.DUMMYFUNCTION("""COMPUTED_VALUE"""),"Yes")</f>
        <v>Yes</v>
      </c>
      <c r="G235" s="5" t="str">
        <f ca="1">IFERROR(__xludf.DUMMYFUNCTION("""COMPUTED_VALUE"""),"Yes")</f>
        <v>Yes</v>
      </c>
      <c r="H235" s="5" t="str">
        <f ca="1">IFERROR(__xludf.DUMMYFUNCTION("""COMPUTED_VALUE"""),"Yes")</f>
        <v>Yes</v>
      </c>
      <c r="I235" s="5" t="str">
        <f ca="1">IFERROR(__xludf.DUMMYFUNCTION("""COMPUTED_VALUE"""),"Yes")</f>
        <v>Yes</v>
      </c>
      <c r="J235" s="5" t="str">
        <f ca="1">IFERROR(__xludf.DUMMYFUNCTION("""COMPUTED_VALUE"""),"Yes")</f>
        <v>Yes</v>
      </c>
      <c r="K235" s="5" t="str">
        <f ca="1">IFERROR(__xludf.DUMMYFUNCTION("""COMPUTED_VALUE"""),"Yes")</f>
        <v>Yes</v>
      </c>
      <c r="L235" s="5" t="str">
        <f ca="1">IFERROR(__xludf.DUMMYFUNCTION("""COMPUTED_VALUE"""),"Yes")</f>
        <v>Yes</v>
      </c>
      <c r="M235" s="5" t="str">
        <f ca="1">IFERROR(__xludf.DUMMYFUNCTION("""COMPUTED_VALUE"""),"Yes")</f>
        <v>Yes</v>
      </c>
      <c r="N235" s="5" t="str">
        <f ca="1">IFERROR(__xludf.DUMMYFUNCTION("""COMPUTED_VALUE"""),"Yes")</f>
        <v>Yes</v>
      </c>
      <c r="O235" s="5" t="str">
        <f ca="1">IFERROR(__xludf.DUMMYFUNCTION("""COMPUTED_VALUE"""),"Yes")</f>
        <v>Yes</v>
      </c>
      <c r="P235" s="5" t="str">
        <f ca="1">IFERROR(__xludf.DUMMYFUNCTION("""COMPUTED_VALUE"""),"Yes")</f>
        <v>Yes</v>
      </c>
      <c r="Q235" s="5" t="str">
        <f ca="1">IFERROR(__xludf.DUMMYFUNCTION("""COMPUTED_VALUE"""),"Yes")</f>
        <v>Yes</v>
      </c>
      <c r="R235" s="5" t="str">
        <f ca="1">IFERROR(__xludf.DUMMYFUNCTION("""COMPUTED_VALUE"""),"Yes")</f>
        <v>Yes</v>
      </c>
      <c r="S235" s="5" t="str">
        <f ca="1">IFERROR(__xludf.DUMMYFUNCTION("""COMPUTED_VALUE"""),"Yes")</f>
        <v>Yes</v>
      </c>
      <c r="T235" s="5" t="str">
        <f ca="1">IFERROR(__xludf.DUMMYFUNCTION("""COMPUTED_VALUE"""),"Yes")</f>
        <v>Yes</v>
      </c>
      <c r="U235" s="5" t="str">
        <f ca="1">IFERROR(__xludf.DUMMYFUNCTION("""COMPUTED_VALUE"""),"Yes")</f>
        <v>Yes</v>
      </c>
      <c r="V235" s="5" t="str">
        <f ca="1">IFERROR(__xludf.DUMMYFUNCTION("""COMPUTED_VALUE"""),"Yes")</f>
        <v>Yes</v>
      </c>
      <c r="W235" s="5" t="str">
        <f ca="1">IFERROR(__xludf.DUMMYFUNCTION("""COMPUTED_VALUE"""),"Yes")</f>
        <v>Yes</v>
      </c>
      <c r="X235" s="5" t="str">
        <f ca="1">IFERROR(__xludf.DUMMYFUNCTION("""COMPUTED_VALUE"""),"Yes")</f>
        <v>Yes</v>
      </c>
      <c r="Y235" s="5" t="str">
        <f ca="1">IFERROR(__xludf.DUMMYFUNCTION("""COMPUTED_VALUE"""),"Yes")</f>
        <v>Yes</v>
      </c>
      <c r="Z235" s="5" t="str">
        <f ca="1">IFERROR(__xludf.DUMMYFUNCTION("""COMPUTED_VALUE"""),"Yes")</f>
        <v>Yes</v>
      </c>
      <c r="AA235" s="5" t="str">
        <f ca="1">IFERROR(__xludf.DUMMYFUNCTION("""COMPUTED_VALUE"""),"Yes")</f>
        <v>Yes</v>
      </c>
      <c r="AB235" s="5" t="str">
        <f ca="1">IFERROR(__xludf.DUMMYFUNCTION("""COMPUTED_VALUE"""),"Yes")</f>
        <v>Yes</v>
      </c>
      <c r="AC235" s="5" t="str">
        <f ca="1">IFERROR(__xludf.DUMMYFUNCTION("""COMPUTED_VALUE"""),"Yes")</f>
        <v>Yes</v>
      </c>
      <c r="AD235" s="5" t="str">
        <f ca="1">IFERROR(__xludf.DUMMYFUNCTION("""COMPUTED_VALUE"""),"Yes")</f>
        <v>Yes</v>
      </c>
      <c r="AE235" s="5" t="str">
        <f ca="1">IFERROR(__xludf.DUMMYFUNCTION("""COMPUTED_VALUE"""),"Yes")</f>
        <v>Yes</v>
      </c>
      <c r="AF235" s="5" t="str">
        <f ca="1">IFERROR(__xludf.DUMMYFUNCTION("""COMPUTED_VALUE"""),"Yes")</f>
        <v>Yes</v>
      </c>
      <c r="AG235" s="5" t="str">
        <f ca="1">IFERROR(__xludf.DUMMYFUNCTION("""COMPUTED_VALUE"""),"Yes")</f>
        <v>Yes</v>
      </c>
      <c r="AH235" s="5" t="str">
        <f ca="1">IFERROR(__xludf.DUMMYFUNCTION("""COMPUTED_VALUE"""),"Yes")</f>
        <v>Yes</v>
      </c>
      <c r="AI235" s="5" t="str">
        <f ca="1">IFERROR(__xludf.DUMMYFUNCTION("""COMPUTED_VALUE"""),"No")</f>
        <v>No</v>
      </c>
      <c r="AJ235" s="5" t="str">
        <f ca="1">IFERROR(__xludf.DUMMYFUNCTION("""COMPUTED_VALUE"""),"No")</f>
        <v>No</v>
      </c>
      <c r="AK235" s="5" t="str">
        <f ca="1">IFERROR(__xludf.DUMMYFUNCTION("""COMPUTED_VALUE"""),"No")</f>
        <v>No</v>
      </c>
      <c r="AL235" s="5" t="str">
        <f ca="1">IFERROR(__xludf.DUMMYFUNCTION("""COMPUTED_VALUE"""),"No")</f>
        <v>No</v>
      </c>
      <c r="AM235" s="5"/>
      <c r="AN235" s="5"/>
      <c r="AO235" s="5"/>
      <c r="AP235" s="5"/>
      <c r="AQ235" s="5"/>
      <c r="AR235" s="5"/>
      <c r="AS235" s="5"/>
      <c r="AT235" s="5"/>
      <c r="AU235" s="5"/>
      <c r="AV235" s="5"/>
      <c r="AW235" s="5"/>
      <c r="AX235" s="5"/>
      <c r="AY235" s="5"/>
    </row>
    <row r="236" spans="1:51" x14ac:dyDescent="0.25">
      <c r="A2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36" s="5">
        <f ca="1">IFERROR(__xludf.DUMMYFUNCTION("""COMPUTED_VALUE"""),236)</f>
        <v>236</v>
      </c>
      <c r="C236" s="5">
        <f ca="1">IFERROR(__xludf.DUMMYFUNCTION("""COMPUTED_VALUE"""),235)</f>
        <v>235</v>
      </c>
      <c r="D236" s="5" t="str">
        <f ca="1">IFERROR(__xludf.DUMMYFUNCTION("""COMPUTED_VALUE"""),"UnicornFruitWildLines")</f>
        <v>UnicornFruitWildLines</v>
      </c>
      <c r="E236" s="5" t="str">
        <f ca="1">IFERROR(__xludf.DUMMYFUNCTION("""COMPUTED_VALUE"""),"Yes")</f>
        <v>Yes</v>
      </c>
      <c r="F236" s="5" t="str">
        <f ca="1">IFERROR(__xludf.DUMMYFUNCTION("""COMPUTED_VALUE"""),"Yes")</f>
        <v>Yes</v>
      </c>
      <c r="G236" s="5" t="str">
        <f ca="1">IFERROR(__xludf.DUMMYFUNCTION("""COMPUTED_VALUE"""),"Yes")</f>
        <v>Yes</v>
      </c>
      <c r="H236" s="5" t="str">
        <f ca="1">IFERROR(__xludf.DUMMYFUNCTION("""COMPUTED_VALUE"""),"Yes")</f>
        <v>Yes</v>
      </c>
      <c r="I236" s="5" t="str">
        <f ca="1">IFERROR(__xludf.DUMMYFUNCTION("""COMPUTED_VALUE"""),"Yes")</f>
        <v>Yes</v>
      </c>
      <c r="J236" s="5" t="str">
        <f ca="1">IFERROR(__xludf.DUMMYFUNCTION("""COMPUTED_VALUE"""),"Yes")</f>
        <v>Yes</v>
      </c>
      <c r="K236" s="5" t="str">
        <f ca="1">IFERROR(__xludf.DUMMYFUNCTION("""COMPUTED_VALUE"""),"Yes")</f>
        <v>Yes</v>
      </c>
      <c r="L236" s="5" t="str">
        <f ca="1">IFERROR(__xludf.DUMMYFUNCTION("""COMPUTED_VALUE"""),"Yes")</f>
        <v>Yes</v>
      </c>
      <c r="M236" s="5" t="str">
        <f ca="1">IFERROR(__xludf.DUMMYFUNCTION("""COMPUTED_VALUE"""),"Yes")</f>
        <v>Yes</v>
      </c>
      <c r="N236" s="5" t="str">
        <f ca="1">IFERROR(__xludf.DUMMYFUNCTION("""COMPUTED_VALUE"""),"Yes")</f>
        <v>Yes</v>
      </c>
      <c r="O236" s="5" t="str">
        <f ca="1">IFERROR(__xludf.DUMMYFUNCTION("""COMPUTED_VALUE"""),"Yes")</f>
        <v>Yes</v>
      </c>
      <c r="P236" s="5" t="str">
        <f ca="1">IFERROR(__xludf.DUMMYFUNCTION("""COMPUTED_VALUE"""),"Yes")</f>
        <v>Yes</v>
      </c>
      <c r="Q236" s="5" t="str">
        <f ca="1">IFERROR(__xludf.DUMMYFUNCTION("""COMPUTED_VALUE"""),"Yes")</f>
        <v>Yes</v>
      </c>
      <c r="R236" s="5" t="str">
        <f ca="1">IFERROR(__xludf.DUMMYFUNCTION("""COMPUTED_VALUE"""),"Yes")</f>
        <v>Yes</v>
      </c>
      <c r="S236" s="5" t="str">
        <f ca="1">IFERROR(__xludf.DUMMYFUNCTION("""COMPUTED_VALUE"""),"Yes")</f>
        <v>Yes</v>
      </c>
      <c r="T236" s="5" t="str">
        <f ca="1">IFERROR(__xludf.DUMMYFUNCTION("""COMPUTED_VALUE"""),"Yes")</f>
        <v>Yes</v>
      </c>
      <c r="U236" s="5" t="str">
        <f ca="1">IFERROR(__xludf.DUMMYFUNCTION("""COMPUTED_VALUE"""),"Yes")</f>
        <v>Yes</v>
      </c>
      <c r="V236" s="5" t="str">
        <f ca="1">IFERROR(__xludf.DUMMYFUNCTION("""COMPUTED_VALUE"""),"Yes")</f>
        <v>Yes</v>
      </c>
      <c r="W236" s="5" t="str">
        <f ca="1">IFERROR(__xludf.DUMMYFUNCTION("""COMPUTED_VALUE"""),"Yes")</f>
        <v>Yes</v>
      </c>
      <c r="X236" s="5" t="str">
        <f ca="1">IFERROR(__xludf.DUMMYFUNCTION("""COMPUTED_VALUE"""),"Yes")</f>
        <v>Yes</v>
      </c>
      <c r="Y236" s="5" t="str">
        <f ca="1">IFERROR(__xludf.DUMMYFUNCTION("""COMPUTED_VALUE"""),"Yes")</f>
        <v>Yes</v>
      </c>
      <c r="Z236" s="5"/>
      <c r="AA236" s="5"/>
      <c r="AB236" s="5"/>
      <c r="AC236" s="5" t="str">
        <f ca="1">IFERROR(__xludf.DUMMYFUNCTION("""COMPUTED_VALUE"""),"Yes")</f>
        <v>Yes</v>
      </c>
      <c r="AD236" s="5"/>
      <c r="AE236" s="5"/>
      <c r="AF236" s="5"/>
      <c r="AG236" s="5"/>
      <c r="AH236" s="5"/>
      <c r="AI236" s="5"/>
      <c r="AJ236" s="5"/>
      <c r="AK236" s="5"/>
      <c r="AL236" s="5"/>
      <c r="AM236" s="5"/>
      <c r="AN236" s="5"/>
      <c r="AO236" s="5"/>
      <c r="AP236" s="5"/>
      <c r="AQ236" s="5"/>
      <c r="AR236" s="5"/>
      <c r="AS236" s="5"/>
      <c r="AT236" s="5"/>
      <c r="AU236" s="5"/>
      <c r="AV236" s="5"/>
      <c r="AW236" s="5"/>
      <c r="AX236" s="5"/>
      <c r="AY236" s="5"/>
    </row>
    <row r="237" spans="1:51" x14ac:dyDescent="0.25">
      <c r="A23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37" s="5">
        <f ca="1">IFERROR(__xludf.DUMMYFUNCTION("""COMPUTED_VALUE"""),237)</f>
        <v>237</v>
      </c>
      <c r="C237" s="5">
        <f ca="1">IFERROR(__xludf.DUMMYFUNCTION("""COMPUTED_VALUE"""),236)</f>
        <v>236</v>
      </c>
      <c r="D237" s="5" t="str">
        <f ca="1">IFERROR(__xludf.DUMMYFUNCTION("""COMPUTED_VALUE"""),"FireCash40")</f>
        <v>FireCash40</v>
      </c>
      <c r="E237" s="5" t="str">
        <f ca="1">IFERROR(__xludf.DUMMYFUNCTION("""COMPUTED_VALUE"""),"Yes")</f>
        <v>Yes</v>
      </c>
      <c r="F237" s="5" t="str">
        <f ca="1">IFERROR(__xludf.DUMMYFUNCTION("""COMPUTED_VALUE"""),"Yes")</f>
        <v>Yes</v>
      </c>
      <c r="G237" s="5" t="str">
        <f ca="1">IFERROR(__xludf.DUMMYFUNCTION("""COMPUTED_VALUE"""),"Yes")</f>
        <v>Yes</v>
      </c>
      <c r="H237" s="5" t="str">
        <f ca="1">IFERROR(__xludf.DUMMYFUNCTION("""COMPUTED_VALUE"""),"No")</f>
        <v>No</v>
      </c>
      <c r="I237" s="5" t="str">
        <f ca="1">IFERROR(__xludf.DUMMYFUNCTION("""COMPUTED_VALUE"""),"No")</f>
        <v>No</v>
      </c>
      <c r="J237" s="5" t="str">
        <f ca="1">IFERROR(__xludf.DUMMYFUNCTION("""COMPUTED_VALUE"""),"No")</f>
        <v>No</v>
      </c>
      <c r="K237" s="5" t="str">
        <f ca="1">IFERROR(__xludf.DUMMYFUNCTION("""COMPUTED_VALUE"""),"No")</f>
        <v>No</v>
      </c>
      <c r="L237" s="5" t="str">
        <f ca="1">IFERROR(__xludf.DUMMYFUNCTION("""COMPUTED_VALUE"""),"No")</f>
        <v>No</v>
      </c>
      <c r="M237" s="5" t="str">
        <f ca="1">IFERROR(__xludf.DUMMYFUNCTION("""COMPUTED_VALUE"""),"Yes")</f>
        <v>Yes</v>
      </c>
      <c r="N237" s="5" t="str">
        <f ca="1">IFERROR(__xludf.DUMMYFUNCTION("""COMPUTED_VALUE"""),"Yes")</f>
        <v>Yes</v>
      </c>
      <c r="O237" s="5" t="str">
        <f ca="1">IFERROR(__xludf.DUMMYFUNCTION("""COMPUTED_VALUE"""),"Yes")</f>
        <v>Yes</v>
      </c>
      <c r="P237" s="5" t="str">
        <f ca="1">IFERROR(__xludf.DUMMYFUNCTION("""COMPUTED_VALUE"""),"Yes")</f>
        <v>Yes</v>
      </c>
      <c r="Q237" s="5" t="str">
        <f ca="1">IFERROR(__xludf.DUMMYFUNCTION("""COMPUTED_VALUE"""),"Yes")</f>
        <v>Yes</v>
      </c>
      <c r="R237" s="5" t="str">
        <f ca="1">IFERROR(__xludf.DUMMYFUNCTION("""COMPUTED_VALUE"""),"No")</f>
        <v>No</v>
      </c>
      <c r="S237" s="5" t="str">
        <f ca="1">IFERROR(__xludf.DUMMYFUNCTION("""COMPUTED_VALUE"""),"Yes")</f>
        <v>Yes</v>
      </c>
      <c r="T237" s="5" t="str">
        <f ca="1">IFERROR(__xludf.DUMMYFUNCTION("""COMPUTED_VALUE"""),"No")</f>
        <v>No</v>
      </c>
      <c r="U237" s="5" t="str">
        <f ca="1">IFERROR(__xludf.DUMMYFUNCTION("""COMPUTED_VALUE"""),"No")</f>
        <v>No</v>
      </c>
      <c r="V237" s="5" t="str">
        <f ca="1">IFERROR(__xludf.DUMMYFUNCTION("""COMPUTED_VALUE"""),"No")</f>
        <v>No</v>
      </c>
      <c r="W237" s="5" t="str">
        <f ca="1">IFERROR(__xludf.DUMMYFUNCTION("""COMPUTED_VALUE"""),"No")</f>
        <v>No</v>
      </c>
      <c r="X237" s="5" t="str">
        <f ca="1">IFERROR(__xludf.DUMMYFUNCTION("""COMPUTED_VALUE"""),"No")</f>
        <v>No</v>
      </c>
      <c r="Y237" s="5"/>
      <c r="Z237" s="5"/>
      <c r="AA237" s="5"/>
      <c r="AB237" s="5"/>
      <c r="AC237" s="5" t="str">
        <f ca="1">IFERROR(__xludf.DUMMYFUNCTION("""COMPUTED_VALUE"""),"No")</f>
        <v>No</v>
      </c>
      <c r="AD237" s="5"/>
      <c r="AE237" s="5"/>
      <c r="AF237" s="5"/>
      <c r="AG237" s="5"/>
      <c r="AH237" s="5"/>
      <c r="AI237" s="5"/>
      <c r="AJ237" s="5"/>
      <c r="AK237" s="5"/>
      <c r="AL237" s="5"/>
      <c r="AM237" s="5"/>
      <c r="AN237" s="5"/>
      <c r="AO237" s="5"/>
      <c r="AP237" s="5"/>
      <c r="AQ237" s="5"/>
      <c r="AR237" s="5"/>
      <c r="AS237" s="5"/>
      <c r="AT237" s="5"/>
      <c r="AU237" s="5"/>
      <c r="AV237" s="5"/>
      <c r="AW237" s="5"/>
      <c r="AX237" s="5"/>
      <c r="AY237" s="5"/>
    </row>
    <row r="238" spans="1:51" x14ac:dyDescent="0.25">
      <c r="A2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8" s="5">
        <f ca="1">IFERROR(__xludf.DUMMYFUNCTION("""COMPUTED_VALUE"""),238)</f>
        <v>238</v>
      </c>
      <c r="C238" s="5">
        <f ca="1">IFERROR(__xludf.DUMMYFUNCTION("""COMPUTED_VALUE"""),237)</f>
        <v>237</v>
      </c>
      <c r="D238" s="5" t="str">
        <f ca="1">IFERROR(__xludf.DUMMYFUNCTION("""COMPUTED_VALUE"""),"WildHot40FreeSpins")</f>
        <v>WildHot40FreeSpins</v>
      </c>
      <c r="E238" s="5" t="str">
        <f ca="1">IFERROR(__xludf.DUMMYFUNCTION("""COMPUTED_VALUE"""),"Yes")</f>
        <v>Yes</v>
      </c>
      <c r="F238" s="5" t="str">
        <f ca="1">IFERROR(__xludf.DUMMYFUNCTION("""COMPUTED_VALUE"""),"Yes")</f>
        <v>Yes</v>
      </c>
      <c r="G238" s="5" t="str">
        <f ca="1">IFERROR(__xludf.DUMMYFUNCTION("""COMPUTED_VALUE"""),"Yes")</f>
        <v>Yes</v>
      </c>
      <c r="H238" s="5" t="str">
        <f ca="1">IFERROR(__xludf.DUMMYFUNCTION("""COMPUTED_VALUE"""),"Yes")</f>
        <v>Yes</v>
      </c>
      <c r="I238" s="5" t="str">
        <f ca="1">IFERROR(__xludf.DUMMYFUNCTION("""COMPUTED_VALUE"""),"Yes")</f>
        <v>Yes</v>
      </c>
      <c r="J238" s="5" t="str">
        <f ca="1">IFERROR(__xludf.DUMMYFUNCTION("""COMPUTED_VALUE"""),"Yes")</f>
        <v>Yes</v>
      </c>
      <c r="K238" s="5" t="str">
        <f ca="1">IFERROR(__xludf.DUMMYFUNCTION("""COMPUTED_VALUE"""),"Yes")</f>
        <v>Yes</v>
      </c>
      <c r="L238" s="5" t="str">
        <f ca="1">IFERROR(__xludf.DUMMYFUNCTION("""COMPUTED_VALUE"""),"Yes")</f>
        <v>Yes</v>
      </c>
      <c r="M238" s="5" t="str">
        <f ca="1">IFERROR(__xludf.DUMMYFUNCTION("""COMPUTED_VALUE"""),"Yes")</f>
        <v>Yes</v>
      </c>
      <c r="N238" s="5" t="str">
        <f ca="1">IFERROR(__xludf.DUMMYFUNCTION("""COMPUTED_VALUE"""),"Yes")</f>
        <v>Yes</v>
      </c>
      <c r="O238" s="5" t="str">
        <f ca="1">IFERROR(__xludf.DUMMYFUNCTION("""COMPUTED_VALUE"""),"Yes")</f>
        <v>Yes</v>
      </c>
      <c r="P238" s="5" t="str">
        <f ca="1">IFERROR(__xludf.DUMMYFUNCTION("""COMPUTED_VALUE"""),"Yes")</f>
        <v>Yes</v>
      </c>
      <c r="Q238" s="5" t="str">
        <f ca="1">IFERROR(__xludf.DUMMYFUNCTION("""COMPUTED_VALUE"""),"Yes")</f>
        <v>Yes</v>
      </c>
      <c r="R238" s="5" t="str">
        <f ca="1">IFERROR(__xludf.DUMMYFUNCTION("""COMPUTED_VALUE"""),"Yes")</f>
        <v>Yes</v>
      </c>
      <c r="S238" s="5" t="str">
        <f ca="1">IFERROR(__xludf.DUMMYFUNCTION("""COMPUTED_VALUE"""),"Yes")</f>
        <v>Yes</v>
      </c>
      <c r="T238" s="5" t="str">
        <f ca="1">IFERROR(__xludf.DUMMYFUNCTION("""COMPUTED_VALUE"""),"Yes")</f>
        <v>Yes</v>
      </c>
      <c r="U238" s="5" t="str">
        <f ca="1">IFERROR(__xludf.DUMMYFUNCTION("""COMPUTED_VALUE"""),"Yes")</f>
        <v>Yes</v>
      </c>
      <c r="V238" s="5" t="str">
        <f ca="1">IFERROR(__xludf.DUMMYFUNCTION("""COMPUTED_VALUE"""),"Yes")</f>
        <v>Yes</v>
      </c>
      <c r="W238" s="5" t="str">
        <f ca="1">IFERROR(__xludf.DUMMYFUNCTION("""COMPUTED_VALUE"""),"Yes")</f>
        <v>Yes</v>
      </c>
      <c r="X238" s="5" t="str">
        <f ca="1">IFERROR(__xludf.DUMMYFUNCTION("""COMPUTED_VALUE"""),"Yes")</f>
        <v>Yes</v>
      </c>
      <c r="Y238" s="5" t="str">
        <f ca="1">IFERROR(__xludf.DUMMYFUNCTION("""COMPUTED_VALUE"""),"Yes")</f>
        <v>Yes</v>
      </c>
      <c r="Z238" s="5" t="str">
        <f ca="1">IFERROR(__xludf.DUMMYFUNCTION("""COMPUTED_VALUE"""),"No")</f>
        <v>No</v>
      </c>
      <c r="AA238" s="5" t="str">
        <f ca="1">IFERROR(__xludf.DUMMYFUNCTION("""COMPUTED_VALUE"""),"Yes")</f>
        <v>Yes</v>
      </c>
      <c r="AB238" s="5" t="str">
        <f ca="1">IFERROR(__xludf.DUMMYFUNCTION("""COMPUTED_VALUE"""),"Yes")</f>
        <v>Yes</v>
      </c>
      <c r="AC238" s="5" t="str">
        <f ca="1">IFERROR(__xludf.DUMMYFUNCTION("""COMPUTED_VALUE"""),"Yes")</f>
        <v>Yes</v>
      </c>
      <c r="AD238" s="5" t="str">
        <f ca="1">IFERROR(__xludf.DUMMYFUNCTION("""COMPUTED_VALUE"""),"Yes")</f>
        <v>Yes</v>
      </c>
      <c r="AE238" s="5" t="str">
        <f ca="1">IFERROR(__xludf.DUMMYFUNCTION("""COMPUTED_VALUE"""),"No")</f>
        <v>No</v>
      </c>
      <c r="AF238" s="5" t="str">
        <f ca="1">IFERROR(__xludf.DUMMYFUNCTION("""COMPUTED_VALUE"""),"Yes")</f>
        <v>Yes</v>
      </c>
      <c r="AG238" s="5" t="str">
        <f ca="1">IFERROR(__xludf.DUMMYFUNCTION("""COMPUTED_VALUE"""),"No")</f>
        <v>No</v>
      </c>
      <c r="AH238" s="5" t="str">
        <f ca="1">IFERROR(__xludf.DUMMYFUNCTION("""COMPUTED_VALUE"""),"No")</f>
        <v>No</v>
      </c>
      <c r="AI238" s="5" t="str">
        <f ca="1">IFERROR(__xludf.DUMMYFUNCTION("""COMPUTED_VALUE"""),"No")</f>
        <v>No</v>
      </c>
      <c r="AJ238" s="5" t="str">
        <f ca="1">IFERROR(__xludf.DUMMYFUNCTION("""COMPUTED_VALUE"""),"No")</f>
        <v>No</v>
      </c>
      <c r="AK238" s="5" t="str">
        <f ca="1">IFERROR(__xludf.DUMMYFUNCTION("""COMPUTED_VALUE"""),"No")</f>
        <v>No</v>
      </c>
      <c r="AL238" s="5" t="str">
        <f ca="1">IFERROR(__xludf.DUMMYFUNCTION("""COMPUTED_VALUE"""),"No")</f>
        <v>No</v>
      </c>
      <c r="AM238" s="5"/>
      <c r="AN238" s="5"/>
      <c r="AO238" s="5"/>
      <c r="AP238" s="5"/>
      <c r="AQ238" s="5"/>
      <c r="AR238" s="5"/>
      <c r="AS238" s="5"/>
      <c r="AT238" s="5"/>
      <c r="AU238" s="5"/>
      <c r="AV238" s="5"/>
      <c r="AW238" s="5"/>
      <c r="AX238" s="5"/>
      <c r="AY238" s="5"/>
    </row>
    <row r="239" spans="1:51" x14ac:dyDescent="0.25">
      <c r="A2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9" s="5">
        <f ca="1">IFERROR(__xludf.DUMMYFUNCTION("""COMPUTED_VALUE"""),239)</f>
        <v>239</v>
      </c>
      <c r="C239" s="5">
        <f ca="1">IFERROR(__xludf.DUMMYFUNCTION("""COMPUTED_VALUE"""),238)</f>
        <v>238</v>
      </c>
      <c r="D239" s="5" t="str">
        <f ca="1">IFERROR(__xludf.DUMMYFUNCTION("""COMPUTED_VALUE"""),"UnicornMoneyStandardDice")</f>
        <v>UnicornMoneyStandardDice</v>
      </c>
      <c r="E239" s="5" t="str">
        <f ca="1">IFERROR(__xludf.DUMMYFUNCTION("""COMPUTED_VALUE"""),"Yes")</f>
        <v>Yes</v>
      </c>
      <c r="F239" s="5" t="str">
        <f ca="1">IFERROR(__xludf.DUMMYFUNCTION("""COMPUTED_VALUE"""),"Yes")</f>
        <v>Yes</v>
      </c>
      <c r="G239" s="5" t="str">
        <f ca="1">IFERROR(__xludf.DUMMYFUNCTION("""COMPUTED_VALUE"""),"Yes")</f>
        <v>Yes</v>
      </c>
      <c r="H239" s="5" t="str">
        <f ca="1">IFERROR(__xludf.DUMMYFUNCTION("""COMPUTED_VALUE"""),"Yes")</f>
        <v>Yes</v>
      </c>
      <c r="I239" s="5" t="str">
        <f ca="1">IFERROR(__xludf.DUMMYFUNCTION("""COMPUTED_VALUE"""),"Yes")</f>
        <v>Yes</v>
      </c>
      <c r="J239" s="5" t="str">
        <f ca="1">IFERROR(__xludf.DUMMYFUNCTION("""COMPUTED_VALUE"""),"Yes")</f>
        <v>Yes</v>
      </c>
      <c r="K239" s="5" t="str">
        <f ca="1">IFERROR(__xludf.DUMMYFUNCTION("""COMPUTED_VALUE"""),"Yes")</f>
        <v>Yes</v>
      </c>
      <c r="L239" s="5" t="str">
        <f ca="1">IFERROR(__xludf.DUMMYFUNCTION("""COMPUTED_VALUE"""),"Yes")</f>
        <v>Yes</v>
      </c>
      <c r="M239" s="5" t="str">
        <f ca="1">IFERROR(__xludf.DUMMYFUNCTION("""COMPUTED_VALUE"""),"Yes")</f>
        <v>Yes</v>
      </c>
      <c r="N239" s="5" t="str">
        <f ca="1">IFERROR(__xludf.DUMMYFUNCTION("""COMPUTED_VALUE"""),"Yes")</f>
        <v>Yes</v>
      </c>
      <c r="O239" s="5" t="str">
        <f ca="1">IFERROR(__xludf.DUMMYFUNCTION("""COMPUTED_VALUE"""),"Yes")</f>
        <v>Yes</v>
      </c>
      <c r="P239" s="5" t="str">
        <f ca="1">IFERROR(__xludf.DUMMYFUNCTION("""COMPUTED_VALUE"""),"Yes")</f>
        <v>Yes</v>
      </c>
      <c r="Q239" s="5" t="str">
        <f ca="1">IFERROR(__xludf.DUMMYFUNCTION("""COMPUTED_VALUE"""),"Yes")</f>
        <v>Yes</v>
      </c>
      <c r="R239" s="5" t="str">
        <f ca="1">IFERROR(__xludf.DUMMYFUNCTION("""COMPUTED_VALUE"""),"Yes")</f>
        <v>Yes</v>
      </c>
      <c r="S239" s="5" t="str">
        <f ca="1">IFERROR(__xludf.DUMMYFUNCTION("""COMPUTED_VALUE"""),"Yes")</f>
        <v>Yes</v>
      </c>
      <c r="T239" s="5" t="str">
        <f ca="1">IFERROR(__xludf.DUMMYFUNCTION("""COMPUTED_VALUE"""),"Yes")</f>
        <v>Yes</v>
      </c>
      <c r="U239" s="5" t="str">
        <f ca="1">IFERROR(__xludf.DUMMYFUNCTION("""COMPUTED_VALUE"""),"Yes")</f>
        <v>Yes</v>
      </c>
      <c r="V239" s="5" t="str">
        <f ca="1">IFERROR(__xludf.DUMMYFUNCTION("""COMPUTED_VALUE"""),"Yes")</f>
        <v>Yes</v>
      </c>
      <c r="W239" s="5" t="str">
        <f ca="1">IFERROR(__xludf.DUMMYFUNCTION("""COMPUTED_VALUE"""),"Yes")</f>
        <v>Yes</v>
      </c>
      <c r="X239" s="5" t="str">
        <f ca="1">IFERROR(__xludf.DUMMYFUNCTION("""COMPUTED_VALUE"""),"Yes")</f>
        <v>Yes</v>
      </c>
      <c r="Y239" s="5" t="str">
        <f ca="1">IFERROR(__xludf.DUMMYFUNCTION("""COMPUTED_VALUE"""),"Yes")</f>
        <v>Yes</v>
      </c>
      <c r="Z239" s="5"/>
      <c r="AA239" s="5" t="str">
        <f ca="1">IFERROR(__xludf.DUMMYFUNCTION("""COMPUTED_VALUE"""),"Yes")</f>
        <v>Yes</v>
      </c>
      <c r="AB239" s="5" t="str">
        <f ca="1">IFERROR(__xludf.DUMMYFUNCTION("""COMPUTED_VALUE"""),"Yes")</f>
        <v>Yes</v>
      </c>
      <c r="AC239" s="5" t="str">
        <f ca="1">IFERROR(__xludf.DUMMYFUNCTION("""COMPUTED_VALUE"""),"Yes")</f>
        <v>Yes</v>
      </c>
      <c r="AD239" s="5" t="str">
        <f ca="1">IFERROR(__xludf.DUMMYFUNCTION("""COMPUTED_VALUE"""),"Yes")</f>
        <v>Yes</v>
      </c>
      <c r="AE239" s="5"/>
      <c r="AF239" s="5" t="str">
        <f ca="1">IFERROR(__xludf.DUMMYFUNCTION("""COMPUTED_VALUE"""),"Yes")</f>
        <v>Yes</v>
      </c>
      <c r="AG239" s="5"/>
      <c r="AH239" s="5"/>
      <c r="AI239" s="5"/>
      <c r="AJ239" s="5"/>
      <c r="AK239" s="5"/>
      <c r="AL239" s="5"/>
      <c r="AM239" s="5"/>
      <c r="AN239" s="5"/>
      <c r="AO239" s="5"/>
      <c r="AP239" s="5"/>
      <c r="AQ239" s="5"/>
      <c r="AR239" s="5"/>
      <c r="AS239" s="5"/>
      <c r="AT239" s="5"/>
      <c r="AU239" s="5"/>
      <c r="AV239" s="5"/>
      <c r="AW239" s="5"/>
      <c r="AX239" s="5"/>
      <c r="AY239" s="5"/>
    </row>
    <row r="240" spans="1:51" x14ac:dyDescent="0.25">
      <c r="A24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40" s="5">
        <f ca="1">IFERROR(__xludf.DUMMYFUNCTION("""COMPUTED_VALUE"""),240)</f>
        <v>240</v>
      </c>
      <c r="C240" s="5">
        <f ca="1">IFERROR(__xludf.DUMMYFUNCTION("""COMPUTED_VALUE"""),239)</f>
        <v>239</v>
      </c>
      <c r="D240" s="5" t="str">
        <f ca="1">IFERROR(__xludf.DUMMYFUNCTION("""COMPUTED_VALUE"""),"UnicornDoubleWildDice")</f>
        <v>UnicornDoubleWildDice</v>
      </c>
      <c r="E240" s="5" t="str">
        <f ca="1">IFERROR(__xludf.DUMMYFUNCTION("""COMPUTED_VALUE"""),"Yes")</f>
        <v>Yes</v>
      </c>
      <c r="F240" s="5" t="str">
        <f ca="1">IFERROR(__xludf.DUMMYFUNCTION("""COMPUTED_VALUE"""),"Yes")</f>
        <v>Yes</v>
      </c>
      <c r="G240" s="5" t="str">
        <f ca="1">IFERROR(__xludf.DUMMYFUNCTION("""COMPUTED_VALUE"""),"Yes")</f>
        <v>Yes</v>
      </c>
      <c r="H240" s="5" t="str">
        <f ca="1">IFERROR(__xludf.DUMMYFUNCTION("""COMPUTED_VALUE"""),"No")</f>
        <v>No</v>
      </c>
      <c r="I240" s="5" t="str">
        <f ca="1">IFERROR(__xludf.DUMMYFUNCTION("""COMPUTED_VALUE"""),"No")</f>
        <v>No</v>
      </c>
      <c r="J240" s="5" t="str">
        <f ca="1">IFERROR(__xludf.DUMMYFUNCTION("""COMPUTED_VALUE"""),"No")</f>
        <v>No</v>
      </c>
      <c r="K240" s="5" t="str">
        <f ca="1">IFERROR(__xludf.DUMMYFUNCTION("""COMPUTED_VALUE"""),"No")</f>
        <v>No</v>
      </c>
      <c r="L240" s="5" t="str">
        <f ca="1">IFERROR(__xludf.DUMMYFUNCTION("""COMPUTED_VALUE"""),"No")</f>
        <v>No</v>
      </c>
      <c r="M240" s="5" t="str">
        <f ca="1">IFERROR(__xludf.DUMMYFUNCTION("""COMPUTED_VALUE"""),"Yes")</f>
        <v>Yes</v>
      </c>
      <c r="N240" s="5" t="str">
        <f ca="1">IFERROR(__xludf.DUMMYFUNCTION("""COMPUTED_VALUE"""),"Yes")</f>
        <v>Yes</v>
      </c>
      <c r="O240" s="5" t="str">
        <f ca="1">IFERROR(__xludf.DUMMYFUNCTION("""COMPUTED_VALUE"""),"Yes")</f>
        <v>Yes</v>
      </c>
      <c r="P240" s="5" t="str">
        <f ca="1">IFERROR(__xludf.DUMMYFUNCTION("""COMPUTED_VALUE"""),"Yes")</f>
        <v>Yes</v>
      </c>
      <c r="Q240" s="5" t="str">
        <f ca="1">IFERROR(__xludf.DUMMYFUNCTION("""COMPUTED_VALUE"""),"Yes")</f>
        <v>Yes</v>
      </c>
      <c r="R240" s="5" t="str">
        <f ca="1">IFERROR(__xludf.DUMMYFUNCTION("""COMPUTED_VALUE"""),"No")</f>
        <v>No</v>
      </c>
      <c r="S240" s="5" t="str">
        <f ca="1">IFERROR(__xludf.DUMMYFUNCTION("""COMPUTED_VALUE"""),"Yes")</f>
        <v>Yes</v>
      </c>
      <c r="T240" s="5" t="str">
        <f ca="1">IFERROR(__xludf.DUMMYFUNCTION("""COMPUTED_VALUE"""),"No")</f>
        <v>No</v>
      </c>
      <c r="U240" s="5" t="str">
        <f ca="1">IFERROR(__xludf.DUMMYFUNCTION("""COMPUTED_VALUE"""),"No")</f>
        <v>No</v>
      </c>
      <c r="V240" s="5" t="str">
        <f ca="1">IFERROR(__xludf.DUMMYFUNCTION("""COMPUTED_VALUE"""),"No")</f>
        <v>No</v>
      </c>
      <c r="W240" s="5" t="str">
        <f ca="1">IFERROR(__xludf.DUMMYFUNCTION("""COMPUTED_VALUE"""),"No")</f>
        <v>No</v>
      </c>
      <c r="X240" s="5" t="str">
        <f ca="1">IFERROR(__xludf.DUMMYFUNCTION("""COMPUTED_VALUE"""),"No")</f>
        <v>No</v>
      </c>
      <c r="Y240" s="5"/>
      <c r="Z240" s="5"/>
      <c r="AA240" s="5"/>
      <c r="AB240" s="5"/>
      <c r="AC240" s="5" t="str">
        <f ca="1">IFERROR(__xludf.DUMMYFUNCTION("""COMPUTED_VALUE"""),"No")</f>
        <v>No</v>
      </c>
      <c r="AD240" s="5"/>
      <c r="AE240" s="5"/>
      <c r="AF240" s="5"/>
      <c r="AG240" s="5"/>
      <c r="AH240" s="5"/>
      <c r="AI240" s="5"/>
      <c r="AJ240" s="5"/>
      <c r="AK240" s="5"/>
      <c r="AL240" s="5"/>
      <c r="AM240" s="5"/>
      <c r="AN240" s="5"/>
      <c r="AO240" s="5"/>
      <c r="AP240" s="5"/>
      <c r="AQ240" s="5"/>
      <c r="AR240" s="5"/>
      <c r="AS240" s="5"/>
      <c r="AT240" s="5"/>
      <c r="AU240" s="5"/>
      <c r="AV240" s="5"/>
      <c r="AW240" s="5"/>
      <c r="AX240" s="5"/>
      <c r="AY240" s="5"/>
    </row>
    <row r="241" spans="1:51" x14ac:dyDescent="0.25">
      <c r="A2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1" s="5">
        <f ca="1">IFERROR(__xludf.DUMMYFUNCTION("""COMPUTED_VALUE"""),241)</f>
        <v>241</v>
      </c>
      <c r="C241" s="5">
        <f ca="1">IFERROR(__xludf.DUMMYFUNCTION("""COMPUTED_VALUE"""),240)</f>
        <v>240</v>
      </c>
      <c r="D241" s="5" t="str">
        <f ca="1">IFERROR(__xludf.DUMMYFUNCTION("""COMPUTED_VALUE"""),"PiratesFazi")</f>
        <v>PiratesFazi</v>
      </c>
      <c r="E241" s="5" t="str">
        <f ca="1">IFERROR(__xludf.DUMMYFUNCTION("""COMPUTED_VALUE"""),"Yes")</f>
        <v>Yes</v>
      </c>
      <c r="F241" s="5" t="str">
        <f ca="1">IFERROR(__xludf.DUMMYFUNCTION("""COMPUTED_VALUE"""),"Yes")</f>
        <v>Yes</v>
      </c>
      <c r="G241" s="5" t="str">
        <f ca="1">IFERROR(__xludf.DUMMYFUNCTION("""COMPUTED_VALUE"""),"Yes")</f>
        <v>Yes</v>
      </c>
      <c r="H241" s="5" t="str">
        <f ca="1">IFERROR(__xludf.DUMMYFUNCTION("""COMPUTED_VALUE"""),"Yes")</f>
        <v>Yes</v>
      </c>
      <c r="I241" s="5" t="str">
        <f ca="1">IFERROR(__xludf.DUMMYFUNCTION("""COMPUTED_VALUE"""),"Yes")</f>
        <v>Yes</v>
      </c>
      <c r="J241" s="5" t="str">
        <f ca="1">IFERROR(__xludf.DUMMYFUNCTION("""COMPUTED_VALUE"""),"Yes")</f>
        <v>Yes</v>
      </c>
      <c r="K241" s="5" t="str">
        <f ca="1">IFERROR(__xludf.DUMMYFUNCTION("""COMPUTED_VALUE"""),"Yes")</f>
        <v>Yes</v>
      </c>
      <c r="L241" s="5" t="str">
        <f ca="1">IFERROR(__xludf.DUMMYFUNCTION("""COMPUTED_VALUE"""),"Yes")</f>
        <v>Yes</v>
      </c>
      <c r="M241" s="5" t="str">
        <f ca="1">IFERROR(__xludf.DUMMYFUNCTION("""COMPUTED_VALUE"""),"Yes")</f>
        <v>Yes</v>
      </c>
      <c r="N241" s="5" t="str">
        <f ca="1">IFERROR(__xludf.DUMMYFUNCTION("""COMPUTED_VALUE"""),"Yes")</f>
        <v>Yes</v>
      </c>
      <c r="O241" s="5" t="str">
        <f ca="1">IFERROR(__xludf.DUMMYFUNCTION("""COMPUTED_VALUE"""),"Yes")</f>
        <v>Yes</v>
      </c>
      <c r="P241" s="5" t="str">
        <f ca="1">IFERROR(__xludf.DUMMYFUNCTION("""COMPUTED_VALUE"""),"Yes")</f>
        <v>Yes</v>
      </c>
      <c r="Q241" s="5" t="str">
        <f ca="1">IFERROR(__xludf.DUMMYFUNCTION("""COMPUTED_VALUE"""),"Yes")</f>
        <v>Yes</v>
      </c>
      <c r="R241" s="5" t="str">
        <f ca="1">IFERROR(__xludf.DUMMYFUNCTION("""COMPUTED_VALUE"""),"Yes")</f>
        <v>Yes</v>
      </c>
      <c r="S241" s="5" t="str">
        <f ca="1">IFERROR(__xludf.DUMMYFUNCTION("""COMPUTED_VALUE"""),"Yes")</f>
        <v>Yes</v>
      </c>
      <c r="T241" s="5" t="str">
        <f ca="1">IFERROR(__xludf.DUMMYFUNCTION("""COMPUTED_VALUE"""),"Yes")</f>
        <v>Yes</v>
      </c>
      <c r="U241" s="5" t="str">
        <f ca="1">IFERROR(__xludf.DUMMYFUNCTION("""COMPUTED_VALUE"""),"Yes")</f>
        <v>Yes</v>
      </c>
      <c r="V241" s="5" t="str">
        <f ca="1">IFERROR(__xludf.DUMMYFUNCTION("""COMPUTED_VALUE"""),"Yes")</f>
        <v>Yes</v>
      </c>
      <c r="W241" s="5" t="str">
        <f ca="1">IFERROR(__xludf.DUMMYFUNCTION("""COMPUTED_VALUE"""),"Yes")</f>
        <v>Yes</v>
      </c>
      <c r="X241" s="5" t="str">
        <f ca="1">IFERROR(__xludf.DUMMYFUNCTION("""COMPUTED_VALUE"""),"Yes")</f>
        <v>Yes</v>
      </c>
      <c r="Y241" s="5" t="str">
        <f ca="1">IFERROR(__xludf.DUMMYFUNCTION("""COMPUTED_VALUE"""),"Yes")</f>
        <v>Yes</v>
      </c>
      <c r="Z241" s="5" t="str">
        <f ca="1">IFERROR(__xludf.DUMMYFUNCTION("""COMPUTED_VALUE"""),"Yes")</f>
        <v>Yes</v>
      </c>
      <c r="AA241" s="5" t="str">
        <f ca="1">IFERROR(__xludf.DUMMYFUNCTION("""COMPUTED_VALUE"""),"Yes")</f>
        <v>Yes</v>
      </c>
      <c r="AB241" s="5" t="str">
        <f ca="1">IFERROR(__xludf.DUMMYFUNCTION("""COMPUTED_VALUE"""),"Yes")</f>
        <v>Yes</v>
      </c>
      <c r="AC241" s="5" t="str">
        <f ca="1">IFERROR(__xludf.DUMMYFUNCTION("""COMPUTED_VALUE"""),"Yes")</f>
        <v>Yes</v>
      </c>
      <c r="AD241" s="5" t="str">
        <f ca="1">IFERROR(__xludf.DUMMYFUNCTION("""COMPUTED_VALUE"""),"Yes")</f>
        <v>Yes</v>
      </c>
      <c r="AE241" s="5" t="str">
        <f ca="1">IFERROR(__xludf.DUMMYFUNCTION("""COMPUTED_VALUE"""),"Yes")</f>
        <v>Yes</v>
      </c>
      <c r="AF241" s="5" t="str">
        <f ca="1">IFERROR(__xludf.DUMMYFUNCTION("""COMPUTED_VALUE"""),"Yes")</f>
        <v>Yes</v>
      </c>
      <c r="AG241" s="5" t="str">
        <f ca="1">IFERROR(__xludf.DUMMYFUNCTION("""COMPUTED_VALUE"""),"Yes")</f>
        <v>Yes</v>
      </c>
      <c r="AH241" s="5" t="str">
        <f ca="1">IFERROR(__xludf.DUMMYFUNCTION("""COMPUTED_VALUE"""),"Yes")</f>
        <v>Yes</v>
      </c>
      <c r="AI241" s="5" t="str">
        <f ca="1">IFERROR(__xludf.DUMMYFUNCTION("""COMPUTED_VALUE"""),"No")</f>
        <v>No</v>
      </c>
      <c r="AJ241" s="5" t="str">
        <f ca="1">IFERROR(__xludf.DUMMYFUNCTION("""COMPUTED_VALUE"""),"No")</f>
        <v>No</v>
      </c>
      <c r="AK241" s="5" t="str">
        <f ca="1">IFERROR(__xludf.DUMMYFUNCTION("""COMPUTED_VALUE"""),"No")</f>
        <v>No</v>
      </c>
      <c r="AL241" s="5" t="str">
        <f ca="1">IFERROR(__xludf.DUMMYFUNCTION("""COMPUTED_VALUE"""),"No")</f>
        <v>No</v>
      </c>
      <c r="AM241" s="5"/>
      <c r="AN241" s="5"/>
      <c r="AO241" s="5"/>
      <c r="AP241" s="5"/>
      <c r="AQ241" s="5"/>
      <c r="AR241" s="5"/>
      <c r="AS241" s="5"/>
      <c r="AT241" s="5"/>
      <c r="AU241" s="5"/>
      <c r="AV241" s="5"/>
      <c r="AW241" s="5"/>
      <c r="AX241" s="5"/>
      <c r="AY241" s="5"/>
    </row>
    <row r="242" spans="1:51" x14ac:dyDescent="0.25">
      <c r="A2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2" s="5">
        <f ca="1">IFERROR(__xludf.DUMMYFUNCTION("""COMPUTED_VALUE"""),242)</f>
        <v>242</v>
      </c>
      <c r="C242" s="5">
        <f ca="1">IFERROR(__xludf.DUMMYFUNCTION("""COMPUTED_VALUE"""),241)</f>
        <v>241</v>
      </c>
      <c r="D242" s="5" t="str">
        <f ca="1">IFERROR(__xludf.DUMMYFUNCTION("""COMPUTED_VALUE"""),"SuperLucky")</f>
        <v>SuperLucky</v>
      </c>
      <c r="E242" s="5" t="str">
        <f ca="1">IFERROR(__xludf.DUMMYFUNCTION("""COMPUTED_VALUE"""),"Yes")</f>
        <v>Yes</v>
      </c>
      <c r="F242" s="5" t="str">
        <f ca="1">IFERROR(__xludf.DUMMYFUNCTION("""COMPUTED_VALUE"""),"Yes")</f>
        <v>Yes</v>
      </c>
      <c r="G242" s="5" t="str">
        <f ca="1">IFERROR(__xludf.DUMMYFUNCTION("""COMPUTED_VALUE"""),"Yes")</f>
        <v>Yes</v>
      </c>
      <c r="H242" s="5" t="str">
        <f ca="1">IFERROR(__xludf.DUMMYFUNCTION("""COMPUTED_VALUE"""),"Yes")</f>
        <v>Yes</v>
      </c>
      <c r="I242" s="5" t="str">
        <f ca="1">IFERROR(__xludf.DUMMYFUNCTION("""COMPUTED_VALUE"""),"Yes")</f>
        <v>Yes</v>
      </c>
      <c r="J242" s="5" t="str">
        <f ca="1">IFERROR(__xludf.DUMMYFUNCTION("""COMPUTED_VALUE"""),"Yes")</f>
        <v>Yes</v>
      </c>
      <c r="K242" s="5" t="str">
        <f ca="1">IFERROR(__xludf.DUMMYFUNCTION("""COMPUTED_VALUE"""),"Yes")</f>
        <v>Yes</v>
      </c>
      <c r="L242" s="5" t="str">
        <f ca="1">IFERROR(__xludf.DUMMYFUNCTION("""COMPUTED_VALUE"""),"Yes")</f>
        <v>Yes</v>
      </c>
      <c r="M242" s="5" t="str">
        <f ca="1">IFERROR(__xludf.DUMMYFUNCTION("""COMPUTED_VALUE"""),"Yes")</f>
        <v>Yes</v>
      </c>
      <c r="N242" s="5" t="str">
        <f ca="1">IFERROR(__xludf.DUMMYFUNCTION("""COMPUTED_VALUE"""),"Yes")</f>
        <v>Yes</v>
      </c>
      <c r="O242" s="5" t="str">
        <f ca="1">IFERROR(__xludf.DUMMYFUNCTION("""COMPUTED_VALUE"""),"Yes")</f>
        <v>Yes</v>
      </c>
      <c r="P242" s="5" t="str">
        <f ca="1">IFERROR(__xludf.DUMMYFUNCTION("""COMPUTED_VALUE"""),"Yes")</f>
        <v>Yes</v>
      </c>
      <c r="Q242" s="5" t="str">
        <f ca="1">IFERROR(__xludf.DUMMYFUNCTION("""COMPUTED_VALUE"""),"Yes")</f>
        <v>Yes</v>
      </c>
      <c r="R242" s="5" t="str">
        <f ca="1">IFERROR(__xludf.DUMMYFUNCTION("""COMPUTED_VALUE"""),"Yes")</f>
        <v>Yes</v>
      </c>
      <c r="S242" s="5" t="str">
        <f ca="1">IFERROR(__xludf.DUMMYFUNCTION("""COMPUTED_VALUE"""),"Yes")</f>
        <v>Yes</v>
      </c>
      <c r="T242" s="5" t="str">
        <f ca="1">IFERROR(__xludf.DUMMYFUNCTION("""COMPUTED_VALUE"""),"Yes")</f>
        <v>Yes</v>
      </c>
      <c r="U242" s="5" t="str">
        <f ca="1">IFERROR(__xludf.DUMMYFUNCTION("""COMPUTED_VALUE"""),"Yes")</f>
        <v>Yes</v>
      </c>
      <c r="V242" s="5" t="str">
        <f ca="1">IFERROR(__xludf.DUMMYFUNCTION("""COMPUTED_VALUE"""),"Yes")</f>
        <v>Yes</v>
      </c>
      <c r="W242" s="5" t="str">
        <f ca="1">IFERROR(__xludf.DUMMYFUNCTION("""COMPUTED_VALUE"""),"Yes")</f>
        <v>Yes</v>
      </c>
      <c r="X242" s="5" t="str">
        <f ca="1">IFERROR(__xludf.DUMMYFUNCTION("""COMPUTED_VALUE"""),"Yes")</f>
        <v>Yes</v>
      </c>
      <c r="Y242" s="5" t="str">
        <f ca="1">IFERROR(__xludf.DUMMYFUNCTION("""COMPUTED_VALUE"""),"Yes")</f>
        <v>Yes</v>
      </c>
      <c r="Z242" s="5"/>
      <c r="AA242" s="5"/>
      <c r="AB242" s="5"/>
      <c r="AC242" s="5" t="str">
        <f ca="1">IFERROR(__xludf.DUMMYFUNCTION("""COMPUTED_VALUE"""),"Yes")</f>
        <v>Yes</v>
      </c>
      <c r="AD242" s="5"/>
      <c r="AE242" s="5"/>
      <c r="AF242" s="5"/>
      <c r="AG242" s="5"/>
      <c r="AH242" s="5"/>
      <c r="AI242" s="5"/>
      <c r="AJ242" s="5"/>
      <c r="AK242" s="5"/>
      <c r="AL242" s="5"/>
      <c r="AM242" s="5"/>
      <c r="AN242" s="5"/>
      <c r="AO242" s="5"/>
      <c r="AP242" s="5"/>
      <c r="AQ242" s="5"/>
      <c r="AR242" s="5"/>
      <c r="AS242" s="5"/>
      <c r="AT242" s="5"/>
      <c r="AU242" s="5"/>
      <c r="AV242" s="5"/>
      <c r="AW242" s="5"/>
      <c r="AX242" s="5"/>
      <c r="AY242" s="5"/>
    </row>
    <row r="243" spans="1:51" x14ac:dyDescent="0.25">
      <c r="A2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3" s="5">
        <f ca="1">IFERROR(__xludf.DUMMYFUNCTION("""COMPUTED_VALUE"""),243)</f>
        <v>243</v>
      </c>
      <c r="C243" s="5">
        <f ca="1">IFERROR(__xludf.DUMMYFUNCTION("""COMPUTED_VALUE"""),242)</f>
        <v>242</v>
      </c>
      <c r="D243" s="5" t="str">
        <f ca="1">IFERROR(__xludf.DUMMYFUNCTION("""COMPUTED_VALUE"""),"EpicClover40")</f>
        <v>EpicClover40</v>
      </c>
      <c r="E243" s="5" t="str">
        <f ca="1">IFERROR(__xludf.DUMMYFUNCTION("""COMPUTED_VALUE"""),"Yes")</f>
        <v>Yes</v>
      </c>
      <c r="F243" s="5" t="str">
        <f ca="1">IFERROR(__xludf.DUMMYFUNCTION("""COMPUTED_VALUE"""),"Yes")</f>
        <v>Yes</v>
      </c>
      <c r="G243" s="5" t="str">
        <f ca="1">IFERROR(__xludf.DUMMYFUNCTION("""COMPUTED_VALUE"""),"Yes")</f>
        <v>Yes</v>
      </c>
      <c r="H243" s="5" t="str">
        <f ca="1">IFERROR(__xludf.DUMMYFUNCTION("""COMPUTED_VALUE"""),"Yes")</f>
        <v>Yes</v>
      </c>
      <c r="I243" s="5" t="str">
        <f ca="1">IFERROR(__xludf.DUMMYFUNCTION("""COMPUTED_VALUE"""),"Yes")</f>
        <v>Yes</v>
      </c>
      <c r="J243" s="5" t="str">
        <f ca="1">IFERROR(__xludf.DUMMYFUNCTION("""COMPUTED_VALUE"""),"Yes")</f>
        <v>Yes</v>
      </c>
      <c r="K243" s="5" t="str">
        <f ca="1">IFERROR(__xludf.DUMMYFUNCTION("""COMPUTED_VALUE"""),"Yes")</f>
        <v>Yes</v>
      </c>
      <c r="L243" s="5" t="str">
        <f ca="1">IFERROR(__xludf.DUMMYFUNCTION("""COMPUTED_VALUE"""),"Yes")</f>
        <v>Yes</v>
      </c>
      <c r="M243" s="5" t="str">
        <f ca="1">IFERROR(__xludf.DUMMYFUNCTION("""COMPUTED_VALUE"""),"Yes")</f>
        <v>Yes</v>
      </c>
      <c r="N243" s="5" t="str">
        <f ca="1">IFERROR(__xludf.DUMMYFUNCTION("""COMPUTED_VALUE"""),"Yes")</f>
        <v>Yes</v>
      </c>
      <c r="O243" s="5" t="str">
        <f ca="1">IFERROR(__xludf.DUMMYFUNCTION("""COMPUTED_VALUE"""),"Yes")</f>
        <v>Yes</v>
      </c>
      <c r="P243" s="5" t="str">
        <f ca="1">IFERROR(__xludf.DUMMYFUNCTION("""COMPUTED_VALUE"""),"Yes")</f>
        <v>Yes</v>
      </c>
      <c r="Q243" s="5" t="str">
        <f ca="1">IFERROR(__xludf.DUMMYFUNCTION("""COMPUTED_VALUE"""),"Yes")</f>
        <v>Yes</v>
      </c>
      <c r="R243" s="5" t="str">
        <f ca="1">IFERROR(__xludf.DUMMYFUNCTION("""COMPUTED_VALUE"""),"Yes")</f>
        <v>Yes</v>
      </c>
      <c r="S243" s="5" t="str">
        <f ca="1">IFERROR(__xludf.DUMMYFUNCTION("""COMPUTED_VALUE"""),"Yes")</f>
        <v>Yes</v>
      </c>
      <c r="T243" s="5" t="str">
        <f ca="1">IFERROR(__xludf.DUMMYFUNCTION("""COMPUTED_VALUE"""),"Yes")</f>
        <v>Yes</v>
      </c>
      <c r="U243" s="5" t="str">
        <f ca="1">IFERROR(__xludf.DUMMYFUNCTION("""COMPUTED_VALUE"""),"Yes")</f>
        <v>Yes</v>
      </c>
      <c r="V243" s="5" t="str">
        <f ca="1">IFERROR(__xludf.DUMMYFUNCTION("""COMPUTED_VALUE"""),"Yes")</f>
        <v>Yes</v>
      </c>
      <c r="W243" s="5" t="str">
        <f ca="1">IFERROR(__xludf.DUMMYFUNCTION("""COMPUTED_VALUE"""),"Yes")</f>
        <v>Yes</v>
      </c>
      <c r="X243" s="5" t="str">
        <f ca="1">IFERROR(__xludf.DUMMYFUNCTION("""COMPUTED_VALUE"""),"Yes")</f>
        <v>Yes</v>
      </c>
      <c r="Y243" s="5" t="str">
        <f ca="1">IFERROR(__xludf.DUMMYFUNCTION("""COMPUTED_VALUE"""),"Yes")</f>
        <v>Yes</v>
      </c>
      <c r="Z243" s="5" t="str">
        <f ca="1">IFERROR(__xludf.DUMMYFUNCTION("""COMPUTED_VALUE"""),"No")</f>
        <v>No</v>
      </c>
      <c r="AA243" s="5" t="str">
        <f ca="1">IFERROR(__xludf.DUMMYFUNCTION("""COMPUTED_VALUE"""),"Yes")</f>
        <v>Yes</v>
      </c>
      <c r="AB243" s="5" t="str">
        <f ca="1">IFERROR(__xludf.DUMMYFUNCTION("""COMPUTED_VALUE"""),"Yes")</f>
        <v>Yes</v>
      </c>
      <c r="AC243" s="5" t="str">
        <f ca="1">IFERROR(__xludf.DUMMYFUNCTION("""COMPUTED_VALUE"""),"Yes")</f>
        <v>Yes</v>
      </c>
      <c r="AD243" s="5" t="str">
        <f ca="1">IFERROR(__xludf.DUMMYFUNCTION("""COMPUTED_VALUE"""),"Yes")</f>
        <v>Yes</v>
      </c>
      <c r="AE243" s="5" t="str">
        <f ca="1">IFERROR(__xludf.DUMMYFUNCTION("""COMPUTED_VALUE"""),"No")</f>
        <v>No</v>
      </c>
      <c r="AF243" s="5" t="str">
        <f ca="1">IFERROR(__xludf.DUMMYFUNCTION("""COMPUTED_VALUE"""),"Yes")</f>
        <v>Yes</v>
      </c>
      <c r="AG243" s="5" t="str">
        <f ca="1">IFERROR(__xludf.DUMMYFUNCTION("""COMPUTED_VALUE"""),"No")</f>
        <v>No</v>
      </c>
      <c r="AH243" s="5" t="str">
        <f ca="1">IFERROR(__xludf.DUMMYFUNCTION("""COMPUTED_VALUE"""),"No")</f>
        <v>No</v>
      </c>
      <c r="AI243" s="5" t="str">
        <f ca="1">IFERROR(__xludf.DUMMYFUNCTION("""COMPUTED_VALUE"""),"No")</f>
        <v>No</v>
      </c>
      <c r="AJ243" s="5" t="str">
        <f ca="1">IFERROR(__xludf.DUMMYFUNCTION("""COMPUTED_VALUE"""),"No")</f>
        <v>No</v>
      </c>
      <c r="AK243" s="5" t="str">
        <f ca="1">IFERROR(__xludf.DUMMYFUNCTION("""COMPUTED_VALUE"""),"No")</f>
        <v>No</v>
      </c>
      <c r="AL243" s="5" t="str">
        <f ca="1">IFERROR(__xludf.DUMMYFUNCTION("""COMPUTED_VALUE"""),"No")</f>
        <v>No</v>
      </c>
      <c r="AM243" s="5"/>
      <c r="AN243" s="5"/>
      <c r="AO243" s="5"/>
      <c r="AP243" s="5"/>
      <c r="AQ243" s="5"/>
      <c r="AR243" s="5"/>
      <c r="AS243" s="5"/>
      <c r="AT243" s="5"/>
      <c r="AU243" s="5"/>
      <c r="AV243" s="5"/>
      <c r="AW243" s="5"/>
      <c r="AX243" s="5"/>
      <c r="AY243" s="5"/>
    </row>
    <row r="244" spans="1:51" x14ac:dyDescent="0.25">
      <c r="A2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4" s="5">
        <f ca="1">IFERROR(__xludf.DUMMYFUNCTION("""COMPUTED_VALUE"""),244)</f>
        <v>244</v>
      </c>
      <c r="C244" s="5">
        <f ca="1">IFERROR(__xludf.DUMMYFUNCTION("""COMPUTED_VALUE"""),243)</f>
        <v>243</v>
      </c>
      <c r="D244" s="5" t="str">
        <f ca="1">IFERROR(__xludf.DUMMYFUNCTION("""COMPUTED_VALUE"""),"WildLuckyClover2")</f>
        <v>WildLuckyClover2</v>
      </c>
      <c r="E244" s="5" t="str">
        <f ca="1">IFERROR(__xludf.DUMMYFUNCTION("""COMPUTED_VALUE"""),"Yes")</f>
        <v>Yes</v>
      </c>
      <c r="F244" s="5" t="str">
        <f ca="1">IFERROR(__xludf.DUMMYFUNCTION("""COMPUTED_VALUE"""),"Yes")</f>
        <v>Yes</v>
      </c>
      <c r="G244" s="5" t="str">
        <f ca="1">IFERROR(__xludf.DUMMYFUNCTION("""COMPUTED_VALUE"""),"Yes")</f>
        <v>Yes</v>
      </c>
      <c r="H244" s="5" t="str">
        <f ca="1">IFERROR(__xludf.DUMMYFUNCTION("""COMPUTED_VALUE"""),"Yes")</f>
        <v>Yes</v>
      </c>
      <c r="I244" s="5" t="str">
        <f ca="1">IFERROR(__xludf.DUMMYFUNCTION("""COMPUTED_VALUE"""),"Yes")</f>
        <v>Yes</v>
      </c>
      <c r="J244" s="5" t="str">
        <f ca="1">IFERROR(__xludf.DUMMYFUNCTION("""COMPUTED_VALUE"""),"Yes")</f>
        <v>Yes</v>
      </c>
      <c r="K244" s="5" t="str">
        <f ca="1">IFERROR(__xludf.DUMMYFUNCTION("""COMPUTED_VALUE"""),"Yes")</f>
        <v>Yes</v>
      </c>
      <c r="L244" s="5" t="str">
        <f ca="1">IFERROR(__xludf.DUMMYFUNCTION("""COMPUTED_VALUE"""),"Yes")</f>
        <v>Yes</v>
      </c>
      <c r="M244" s="5" t="str">
        <f ca="1">IFERROR(__xludf.DUMMYFUNCTION("""COMPUTED_VALUE"""),"Yes")</f>
        <v>Yes</v>
      </c>
      <c r="N244" s="5" t="str">
        <f ca="1">IFERROR(__xludf.DUMMYFUNCTION("""COMPUTED_VALUE"""),"Yes")</f>
        <v>Yes</v>
      </c>
      <c r="O244" s="5" t="str">
        <f ca="1">IFERROR(__xludf.DUMMYFUNCTION("""COMPUTED_VALUE"""),"Yes")</f>
        <v>Yes</v>
      </c>
      <c r="P244" s="5" t="str">
        <f ca="1">IFERROR(__xludf.DUMMYFUNCTION("""COMPUTED_VALUE"""),"Yes")</f>
        <v>Yes</v>
      </c>
      <c r="Q244" s="5" t="str">
        <f ca="1">IFERROR(__xludf.DUMMYFUNCTION("""COMPUTED_VALUE"""),"Yes")</f>
        <v>Yes</v>
      </c>
      <c r="R244" s="5" t="str">
        <f ca="1">IFERROR(__xludf.DUMMYFUNCTION("""COMPUTED_VALUE"""),"Yes")</f>
        <v>Yes</v>
      </c>
      <c r="S244" s="5" t="str">
        <f ca="1">IFERROR(__xludf.DUMMYFUNCTION("""COMPUTED_VALUE"""),"Yes")</f>
        <v>Yes</v>
      </c>
      <c r="T244" s="5" t="str">
        <f ca="1">IFERROR(__xludf.DUMMYFUNCTION("""COMPUTED_VALUE"""),"Yes")</f>
        <v>Yes</v>
      </c>
      <c r="U244" s="5" t="str">
        <f ca="1">IFERROR(__xludf.DUMMYFUNCTION("""COMPUTED_VALUE"""),"Yes")</f>
        <v>Yes</v>
      </c>
      <c r="V244" s="5" t="str">
        <f ca="1">IFERROR(__xludf.DUMMYFUNCTION("""COMPUTED_VALUE"""),"Yes")</f>
        <v>Yes</v>
      </c>
      <c r="W244" s="5" t="str">
        <f ca="1">IFERROR(__xludf.DUMMYFUNCTION("""COMPUTED_VALUE"""),"Yes")</f>
        <v>Yes</v>
      </c>
      <c r="X244" s="5" t="str">
        <f ca="1">IFERROR(__xludf.DUMMYFUNCTION("""COMPUTED_VALUE"""),"Yes")</f>
        <v>Yes</v>
      </c>
      <c r="Y244" s="5" t="str">
        <f ca="1">IFERROR(__xludf.DUMMYFUNCTION("""COMPUTED_VALUE"""),"Yes")</f>
        <v>Yes</v>
      </c>
      <c r="Z244" s="5" t="str">
        <f ca="1">IFERROR(__xludf.DUMMYFUNCTION("""COMPUTED_VALUE"""),"No")</f>
        <v>No</v>
      </c>
      <c r="AA244" s="5" t="str">
        <f ca="1">IFERROR(__xludf.DUMMYFUNCTION("""COMPUTED_VALUE"""),"Yes")</f>
        <v>Yes</v>
      </c>
      <c r="AB244" s="5" t="str">
        <f ca="1">IFERROR(__xludf.DUMMYFUNCTION("""COMPUTED_VALUE"""),"Yes")</f>
        <v>Yes</v>
      </c>
      <c r="AC244" s="5" t="str">
        <f ca="1">IFERROR(__xludf.DUMMYFUNCTION("""COMPUTED_VALUE"""),"Yes")</f>
        <v>Yes</v>
      </c>
      <c r="AD244" s="5" t="str">
        <f ca="1">IFERROR(__xludf.DUMMYFUNCTION("""COMPUTED_VALUE"""),"Yes")</f>
        <v>Yes</v>
      </c>
      <c r="AE244" s="5" t="str">
        <f ca="1">IFERROR(__xludf.DUMMYFUNCTION("""COMPUTED_VALUE"""),"No")</f>
        <v>No</v>
      </c>
      <c r="AF244" s="5" t="str">
        <f ca="1">IFERROR(__xludf.DUMMYFUNCTION("""COMPUTED_VALUE"""),"Yes")</f>
        <v>Yes</v>
      </c>
      <c r="AG244" s="5" t="str">
        <f ca="1">IFERROR(__xludf.DUMMYFUNCTION("""COMPUTED_VALUE"""),"No")</f>
        <v>No</v>
      </c>
      <c r="AH244" s="5" t="str">
        <f ca="1">IFERROR(__xludf.DUMMYFUNCTION("""COMPUTED_VALUE"""),"No")</f>
        <v>No</v>
      </c>
      <c r="AI244" s="5" t="str">
        <f ca="1">IFERROR(__xludf.DUMMYFUNCTION("""COMPUTED_VALUE"""),"No")</f>
        <v>No</v>
      </c>
      <c r="AJ244" s="5" t="str">
        <f ca="1">IFERROR(__xludf.DUMMYFUNCTION("""COMPUTED_VALUE"""),"No")</f>
        <v>No</v>
      </c>
      <c r="AK244" s="5" t="str">
        <f ca="1">IFERROR(__xludf.DUMMYFUNCTION("""COMPUTED_VALUE"""),"No")</f>
        <v>No</v>
      </c>
      <c r="AL244" s="5" t="str">
        <f ca="1">IFERROR(__xludf.DUMMYFUNCTION("""COMPUTED_VALUE"""),"No")</f>
        <v>No</v>
      </c>
      <c r="AM244" s="5"/>
      <c r="AN244" s="5"/>
      <c r="AO244" s="5"/>
      <c r="AP244" s="5"/>
      <c r="AQ244" s="5"/>
      <c r="AR244" s="5"/>
      <c r="AS244" s="5"/>
      <c r="AT244" s="5"/>
      <c r="AU244" s="5"/>
      <c r="AV244" s="5"/>
      <c r="AW244" s="5"/>
      <c r="AX244" s="5"/>
      <c r="AY244" s="5"/>
    </row>
    <row r="245" spans="1:51" x14ac:dyDescent="0.25">
      <c r="A2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5" s="5">
        <f ca="1">IFERROR(__xludf.DUMMYFUNCTION("""COMPUTED_VALUE"""),245)</f>
        <v>245</v>
      </c>
      <c r="C245" s="5">
        <f ca="1">IFERROR(__xludf.DUMMYFUNCTION("""COMPUTED_VALUE"""),244)</f>
        <v>244</v>
      </c>
      <c r="D245" s="5" t="str">
        <f ca="1">IFERROR(__xludf.DUMMYFUNCTION("""COMPUTED_VALUE"""),"Unicorn40FruitReels")</f>
        <v>Unicorn40FruitReels</v>
      </c>
      <c r="E245" s="5" t="str">
        <f ca="1">IFERROR(__xludf.DUMMYFUNCTION("""COMPUTED_VALUE"""),"Yes")</f>
        <v>Yes</v>
      </c>
      <c r="F245" s="5" t="str">
        <f ca="1">IFERROR(__xludf.DUMMYFUNCTION("""COMPUTED_VALUE"""),"Yes")</f>
        <v>Yes</v>
      </c>
      <c r="G245" s="5" t="str">
        <f ca="1">IFERROR(__xludf.DUMMYFUNCTION("""COMPUTED_VALUE"""),"Yes")</f>
        <v>Yes</v>
      </c>
      <c r="H245" s="5" t="str">
        <f ca="1">IFERROR(__xludf.DUMMYFUNCTION("""COMPUTED_VALUE"""),"Yes")</f>
        <v>Yes</v>
      </c>
      <c r="I245" s="5" t="str">
        <f ca="1">IFERROR(__xludf.DUMMYFUNCTION("""COMPUTED_VALUE"""),"Yes")</f>
        <v>Yes</v>
      </c>
      <c r="J245" s="5" t="str">
        <f ca="1">IFERROR(__xludf.DUMMYFUNCTION("""COMPUTED_VALUE"""),"Yes")</f>
        <v>Yes</v>
      </c>
      <c r="K245" s="5" t="str">
        <f ca="1">IFERROR(__xludf.DUMMYFUNCTION("""COMPUTED_VALUE"""),"Yes")</f>
        <v>Yes</v>
      </c>
      <c r="L245" s="5" t="str">
        <f ca="1">IFERROR(__xludf.DUMMYFUNCTION("""COMPUTED_VALUE"""),"Yes")</f>
        <v>Yes</v>
      </c>
      <c r="M245" s="5" t="str">
        <f ca="1">IFERROR(__xludf.DUMMYFUNCTION("""COMPUTED_VALUE"""),"Yes")</f>
        <v>Yes</v>
      </c>
      <c r="N245" s="5" t="str">
        <f ca="1">IFERROR(__xludf.DUMMYFUNCTION("""COMPUTED_VALUE"""),"Yes")</f>
        <v>Yes</v>
      </c>
      <c r="O245" s="5" t="str">
        <f ca="1">IFERROR(__xludf.DUMMYFUNCTION("""COMPUTED_VALUE"""),"Yes")</f>
        <v>Yes</v>
      </c>
      <c r="P245" s="5" t="str">
        <f ca="1">IFERROR(__xludf.DUMMYFUNCTION("""COMPUTED_VALUE"""),"Yes")</f>
        <v>Yes</v>
      </c>
      <c r="Q245" s="5" t="str">
        <f ca="1">IFERROR(__xludf.DUMMYFUNCTION("""COMPUTED_VALUE"""),"Yes")</f>
        <v>Yes</v>
      </c>
      <c r="R245" s="5" t="str">
        <f ca="1">IFERROR(__xludf.DUMMYFUNCTION("""COMPUTED_VALUE"""),"Yes")</f>
        <v>Yes</v>
      </c>
      <c r="S245" s="5" t="str">
        <f ca="1">IFERROR(__xludf.DUMMYFUNCTION("""COMPUTED_VALUE"""),"Yes")</f>
        <v>Yes</v>
      </c>
      <c r="T245" s="5" t="str">
        <f ca="1">IFERROR(__xludf.DUMMYFUNCTION("""COMPUTED_VALUE"""),"Yes")</f>
        <v>Yes</v>
      </c>
      <c r="U245" s="5" t="str">
        <f ca="1">IFERROR(__xludf.DUMMYFUNCTION("""COMPUTED_VALUE"""),"Yes")</f>
        <v>Yes</v>
      </c>
      <c r="V245" s="5" t="str">
        <f ca="1">IFERROR(__xludf.DUMMYFUNCTION("""COMPUTED_VALUE"""),"Yes")</f>
        <v>Yes</v>
      </c>
      <c r="W245" s="5" t="str">
        <f ca="1">IFERROR(__xludf.DUMMYFUNCTION("""COMPUTED_VALUE"""),"Yes")</f>
        <v>Yes</v>
      </c>
      <c r="X245" s="5" t="str">
        <f ca="1">IFERROR(__xludf.DUMMYFUNCTION("""COMPUTED_VALUE"""),"Yes")</f>
        <v>Yes</v>
      </c>
      <c r="Y245" s="5" t="str">
        <f ca="1">IFERROR(__xludf.DUMMYFUNCTION("""COMPUTED_VALUE"""),"Yes")</f>
        <v>Yes</v>
      </c>
      <c r="Z245" s="5"/>
      <c r="AA245" s="5" t="str">
        <f ca="1">IFERROR(__xludf.DUMMYFUNCTION("""COMPUTED_VALUE"""),"Yes")</f>
        <v>Yes</v>
      </c>
      <c r="AB245" s="5" t="str">
        <f ca="1">IFERROR(__xludf.DUMMYFUNCTION("""COMPUTED_VALUE"""),"Yes")</f>
        <v>Yes</v>
      </c>
      <c r="AC245" s="5" t="str">
        <f ca="1">IFERROR(__xludf.DUMMYFUNCTION("""COMPUTED_VALUE"""),"Yes")</f>
        <v>Yes</v>
      </c>
      <c r="AD245" s="5" t="str">
        <f ca="1">IFERROR(__xludf.DUMMYFUNCTION("""COMPUTED_VALUE"""),"Yes")</f>
        <v>Yes</v>
      </c>
      <c r="AE245" s="5"/>
      <c r="AF245" s="5" t="str">
        <f ca="1">IFERROR(__xludf.DUMMYFUNCTION("""COMPUTED_VALUE"""),"Yes")</f>
        <v>Yes</v>
      </c>
      <c r="AG245" s="5"/>
      <c r="AH245" s="5"/>
      <c r="AI245" s="5"/>
      <c r="AJ245" s="5"/>
      <c r="AK245" s="5"/>
      <c r="AL245" s="5"/>
      <c r="AM245" s="5"/>
      <c r="AN245" s="5"/>
      <c r="AO245" s="5"/>
      <c r="AP245" s="5"/>
      <c r="AQ245" s="5"/>
      <c r="AR245" s="5"/>
      <c r="AS245" s="5"/>
      <c r="AT245" s="5"/>
      <c r="AU245" s="5"/>
      <c r="AV245" s="5"/>
      <c r="AW245" s="5"/>
      <c r="AX245" s="5"/>
      <c r="AY245" s="5"/>
    </row>
    <row r="246" spans="1:51" x14ac:dyDescent="0.25">
      <c r="A2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6" s="5">
        <f ca="1">IFERROR(__xludf.DUMMYFUNCTION("""COMPUTED_VALUE"""),246)</f>
        <v>246</v>
      </c>
      <c r="C246" s="5">
        <f ca="1">IFERROR(__xludf.DUMMYFUNCTION("""COMPUTED_VALUE"""),245)</f>
        <v>245</v>
      </c>
      <c r="D246" s="5" t="str">
        <f ca="1">IFERROR(__xludf.DUMMYFUNCTION("""COMPUTED_VALUE"""),"EpicCrown10")</f>
        <v>EpicCrown10</v>
      </c>
      <c r="E246" s="5" t="str">
        <f ca="1">IFERROR(__xludf.DUMMYFUNCTION("""COMPUTED_VALUE"""),"Yes")</f>
        <v>Yes</v>
      </c>
      <c r="F246" s="5" t="str">
        <f ca="1">IFERROR(__xludf.DUMMYFUNCTION("""COMPUTED_VALUE"""),"Yes")</f>
        <v>Yes</v>
      </c>
      <c r="G246" s="5" t="str">
        <f ca="1">IFERROR(__xludf.DUMMYFUNCTION("""COMPUTED_VALUE"""),"Yes")</f>
        <v>Yes</v>
      </c>
      <c r="H246" s="5" t="str">
        <f ca="1">IFERROR(__xludf.DUMMYFUNCTION("""COMPUTED_VALUE"""),"Yes")</f>
        <v>Yes</v>
      </c>
      <c r="I246" s="5" t="str">
        <f ca="1">IFERROR(__xludf.DUMMYFUNCTION("""COMPUTED_VALUE"""),"Yes")</f>
        <v>Yes</v>
      </c>
      <c r="J246" s="5" t="str">
        <f ca="1">IFERROR(__xludf.DUMMYFUNCTION("""COMPUTED_VALUE"""),"Yes")</f>
        <v>Yes</v>
      </c>
      <c r="K246" s="5" t="str">
        <f ca="1">IFERROR(__xludf.DUMMYFUNCTION("""COMPUTED_VALUE"""),"Yes")</f>
        <v>Yes</v>
      </c>
      <c r="L246" s="5" t="str">
        <f ca="1">IFERROR(__xludf.DUMMYFUNCTION("""COMPUTED_VALUE"""),"Yes")</f>
        <v>Yes</v>
      </c>
      <c r="M246" s="5" t="str">
        <f ca="1">IFERROR(__xludf.DUMMYFUNCTION("""COMPUTED_VALUE"""),"Yes")</f>
        <v>Yes</v>
      </c>
      <c r="N246" s="5" t="str">
        <f ca="1">IFERROR(__xludf.DUMMYFUNCTION("""COMPUTED_VALUE"""),"Yes")</f>
        <v>Yes</v>
      </c>
      <c r="O246" s="5" t="str">
        <f ca="1">IFERROR(__xludf.DUMMYFUNCTION("""COMPUTED_VALUE"""),"Yes")</f>
        <v>Yes</v>
      </c>
      <c r="P246" s="5" t="str">
        <f ca="1">IFERROR(__xludf.DUMMYFUNCTION("""COMPUTED_VALUE"""),"Yes")</f>
        <v>Yes</v>
      </c>
      <c r="Q246" s="5" t="str">
        <f ca="1">IFERROR(__xludf.DUMMYFUNCTION("""COMPUTED_VALUE"""),"Yes")</f>
        <v>Yes</v>
      </c>
      <c r="R246" s="5" t="str">
        <f ca="1">IFERROR(__xludf.DUMMYFUNCTION("""COMPUTED_VALUE"""),"Yes")</f>
        <v>Yes</v>
      </c>
      <c r="S246" s="5" t="str">
        <f ca="1">IFERROR(__xludf.DUMMYFUNCTION("""COMPUTED_VALUE"""),"Yes")</f>
        <v>Yes</v>
      </c>
      <c r="T246" s="5" t="str">
        <f ca="1">IFERROR(__xludf.DUMMYFUNCTION("""COMPUTED_VALUE"""),"Yes")</f>
        <v>Yes</v>
      </c>
      <c r="U246" s="5" t="str">
        <f ca="1">IFERROR(__xludf.DUMMYFUNCTION("""COMPUTED_VALUE"""),"Yes")</f>
        <v>Yes</v>
      </c>
      <c r="V246" s="5" t="str">
        <f ca="1">IFERROR(__xludf.DUMMYFUNCTION("""COMPUTED_VALUE"""),"Yes")</f>
        <v>Yes</v>
      </c>
      <c r="W246" s="5" t="str">
        <f ca="1">IFERROR(__xludf.DUMMYFUNCTION("""COMPUTED_VALUE"""),"Yes")</f>
        <v>Yes</v>
      </c>
      <c r="X246" s="5" t="str">
        <f ca="1">IFERROR(__xludf.DUMMYFUNCTION("""COMPUTED_VALUE"""),"Yes")</f>
        <v>Yes</v>
      </c>
      <c r="Y246" s="5" t="str">
        <f ca="1">IFERROR(__xludf.DUMMYFUNCTION("""COMPUTED_VALUE"""),"Yes")</f>
        <v>Yes</v>
      </c>
      <c r="Z246" s="5" t="str">
        <f ca="1">IFERROR(__xludf.DUMMYFUNCTION("""COMPUTED_VALUE"""),"No")</f>
        <v>No</v>
      </c>
      <c r="AA246" s="5" t="str">
        <f ca="1">IFERROR(__xludf.DUMMYFUNCTION("""COMPUTED_VALUE"""),"Yes")</f>
        <v>Yes</v>
      </c>
      <c r="AB246" s="5" t="str">
        <f ca="1">IFERROR(__xludf.DUMMYFUNCTION("""COMPUTED_VALUE"""),"Yes")</f>
        <v>Yes</v>
      </c>
      <c r="AC246" s="5" t="str">
        <f ca="1">IFERROR(__xludf.DUMMYFUNCTION("""COMPUTED_VALUE"""),"Yes")</f>
        <v>Yes</v>
      </c>
      <c r="AD246" s="5" t="str">
        <f ca="1">IFERROR(__xludf.DUMMYFUNCTION("""COMPUTED_VALUE"""),"Yes")</f>
        <v>Yes</v>
      </c>
      <c r="AE246" s="5" t="str">
        <f ca="1">IFERROR(__xludf.DUMMYFUNCTION("""COMPUTED_VALUE"""),"No")</f>
        <v>No</v>
      </c>
      <c r="AF246" s="5" t="str">
        <f ca="1">IFERROR(__xludf.DUMMYFUNCTION("""COMPUTED_VALUE"""),"Yes")</f>
        <v>Yes</v>
      </c>
      <c r="AG246" s="5" t="str">
        <f ca="1">IFERROR(__xludf.DUMMYFUNCTION("""COMPUTED_VALUE"""),"No")</f>
        <v>No</v>
      </c>
      <c r="AH246" s="5" t="str">
        <f ca="1">IFERROR(__xludf.DUMMYFUNCTION("""COMPUTED_VALUE"""),"No")</f>
        <v>No</v>
      </c>
      <c r="AI246" s="5" t="str">
        <f ca="1">IFERROR(__xludf.DUMMYFUNCTION("""COMPUTED_VALUE"""),"No")</f>
        <v>No</v>
      </c>
      <c r="AJ246" s="5" t="str">
        <f ca="1">IFERROR(__xludf.DUMMYFUNCTION("""COMPUTED_VALUE"""),"No")</f>
        <v>No</v>
      </c>
      <c r="AK246" s="5" t="str">
        <f ca="1">IFERROR(__xludf.DUMMYFUNCTION("""COMPUTED_VALUE"""),"No")</f>
        <v>No</v>
      </c>
      <c r="AL246" s="5" t="str">
        <f ca="1">IFERROR(__xludf.DUMMYFUNCTION("""COMPUTED_VALUE"""),"No")</f>
        <v>No</v>
      </c>
      <c r="AM246" s="5"/>
      <c r="AN246" s="5"/>
      <c r="AO246" s="5"/>
      <c r="AP246" s="5"/>
      <c r="AQ246" s="5"/>
      <c r="AR246" s="5"/>
      <c r="AS246" s="5"/>
      <c r="AT246" s="5"/>
      <c r="AU246" s="5"/>
      <c r="AV246" s="5"/>
      <c r="AW246" s="5"/>
      <c r="AX246" s="5"/>
      <c r="AY246" s="5"/>
    </row>
    <row r="247" spans="1:51" x14ac:dyDescent="0.25">
      <c r="A2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7" s="5">
        <f ca="1">IFERROR(__xludf.DUMMYFUNCTION("""COMPUTED_VALUE"""),247)</f>
        <v>247</v>
      </c>
      <c r="C247" s="5">
        <f ca="1">IFERROR(__xludf.DUMMYFUNCTION("""COMPUTED_VALUE"""),246)</f>
        <v>246</v>
      </c>
      <c r="D247" s="5" t="str">
        <f ca="1">IFERROR(__xludf.DUMMYFUNCTION("""COMPUTED_VALUE"""),"JokerTripleDouble")</f>
        <v>JokerTripleDouble</v>
      </c>
      <c r="E247" s="5" t="str">
        <f ca="1">IFERROR(__xludf.DUMMYFUNCTION("""COMPUTED_VALUE"""),"Yes")</f>
        <v>Yes</v>
      </c>
      <c r="F247" s="5" t="str">
        <f ca="1">IFERROR(__xludf.DUMMYFUNCTION("""COMPUTED_VALUE"""),"Yes")</f>
        <v>Yes</v>
      </c>
      <c r="G247" s="5" t="str">
        <f ca="1">IFERROR(__xludf.DUMMYFUNCTION("""COMPUTED_VALUE"""),"Yes")</f>
        <v>Yes</v>
      </c>
      <c r="H247" s="5" t="str">
        <f ca="1">IFERROR(__xludf.DUMMYFUNCTION("""COMPUTED_VALUE"""),"Yes")</f>
        <v>Yes</v>
      </c>
      <c r="I247" s="5" t="str">
        <f ca="1">IFERROR(__xludf.DUMMYFUNCTION("""COMPUTED_VALUE"""),"Yes")</f>
        <v>Yes</v>
      </c>
      <c r="J247" s="5" t="str">
        <f ca="1">IFERROR(__xludf.DUMMYFUNCTION("""COMPUTED_VALUE"""),"Yes")</f>
        <v>Yes</v>
      </c>
      <c r="K247" s="5" t="str">
        <f ca="1">IFERROR(__xludf.DUMMYFUNCTION("""COMPUTED_VALUE"""),"Yes")</f>
        <v>Yes</v>
      </c>
      <c r="L247" s="5" t="str">
        <f ca="1">IFERROR(__xludf.DUMMYFUNCTION("""COMPUTED_VALUE"""),"Yes")</f>
        <v>Yes</v>
      </c>
      <c r="M247" s="5" t="str">
        <f ca="1">IFERROR(__xludf.DUMMYFUNCTION("""COMPUTED_VALUE"""),"Yes")</f>
        <v>Yes</v>
      </c>
      <c r="N247" s="5" t="str">
        <f ca="1">IFERROR(__xludf.DUMMYFUNCTION("""COMPUTED_VALUE"""),"Yes")</f>
        <v>Yes</v>
      </c>
      <c r="O247" s="5" t="str">
        <f ca="1">IFERROR(__xludf.DUMMYFUNCTION("""COMPUTED_VALUE"""),"Yes")</f>
        <v>Yes</v>
      </c>
      <c r="P247" s="5" t="str">
        <f ca="1">IFERROR(__xludf.DUMMYFUNCTION("""COMPUTED_VALUE"""),"Yes")</f>
        <v>Yes</v>
      </c>
      <c r="Q247" s="5" t="str">
        <f ca="1">IFERROR(__xludf.DUMMYFUNCTION("""COMPUTED_VALUE"""),"Yes")</f>
        <v>Yes</v>
      </c>
      <c r="R247" s="5" t="str">
        <f ca="1">IFERROR(__xludf.DUMMYFUNCTION("""COMPUTED_VALUE"""),"Yes")</f>
        <v>Yes</v>
      </c>
      <c r="S247" s="5" t="str">
        <f ca="1">IFERROR(__xludf.DUMMYFUNCTION("""COMPUTED_VALUE"""),"Yes")</f>
        <v>Yes</v>
      </c>
      <c r="T247" s="5" t="str">
        <f ca="1">IFERROR(__xludf.DUMMYFUNCTION("""COMPUTED_VALUE"""),"Yes")</f>
        <v>Yes</v>
      </c>
      <c r="U247" s="5" t="str">
        <f ca="1">IFERROR(__xludf.DUMMYFUNCTION("""COMPUTED_VALUE"""),"Yes")</f>
        <v>Yes</v>
      </c>
      <c r="V247" s="5" t="str">
        <f ca="1">IFERROR(__xludf.DUMMYFUNCTION("""COMPUTED_VALUE"""),"Yes")</f>
        <v>Yes</v>
      </c>
      <c r="W247" s="5" t="str">
        <f ca="1">IFERROR(__xludf.DUMMYFUNCTION("""COMPUTED_VALUE"""),"Yes")</f>
        <v>Yes</v>
      </c>
      <c r="X247" s="5" t="str">
        <f ca="1">IFERROR(__xludf.DUMMYFUNCTION("""COMPUTED_VALUE"""),"Yes")</f>
        <v>Yes</v>
      </c>
      <c r="Y247" s="5" t="str">
        <f ca="1">IFERROR(__xludf.DUMMYFUNCTION("""COMPUTED_VALUE"""),"Yes")</f>
        <v>Yes</v>
      </c>
      <c r="Z247" s="5" t="str">
        <f ca="1">IFERROR(__xludf.DUMMYFUNCTION("""COMPUTED_VALUE"""),"Yes")</f>
        <v>Yes</v>
      </c>
      <c r="AA247" s="5" t="str">
        <f ca="1">IFERROR(__xludf.DUMMYFUNCTION("""COMPUTED_VALUE"""),"Yes")</f>
        <v>Yes</v>
      </c>
      <c r="AB247" s="5" t="str">
        <f ca="1">IFERROR(__xludf.DUMMYFUNCTION("""COMPUTED_VALUE"""),"Yes")</f>
        <v>Yes</v>
      </c>
      <c r="AC247" s="5" t="str">
        <f ca="1">IFERROR(__xludf.DUMMYFUNCTION("""COMPUTED_VALUE"""),"Yes")</f>
        <v>Yes</v>
      </c>
      <c r="AD247" s="5" t="str">
        <f ca="1">IFERROR(__xludf.DUMMYFUNCTION("""COMPUTED_VALUE"""),"Yes")</f>
        <v>Yes</v>
      </c>
      <c r="AE247" s="5" t="str">
        <f ca="1">IFERROR(__xludf.DUMMYFUNCTION("""COMPUTED_VALUE"""),"Yes")</f>
        <v>Yes</v>
      </c>
      <c r="AF247" s="5" t="str">
        <f ca="1">IFERROR(__xludf.DUMMYFUNCTION("""COMPUTED_VALUE"""),"Yes")</f>
        <v>Yes</v>
      </c>
      <c r="AG247" s="5" t="str">
        <f ca="1">IFERROR(__xludf.DUMMYFUNCTION("""COMPUTED_VALUE"""),"Yes")</f>
        <v>Yes</v>
      </c>
      <c r="AH247" s="5" t="str">
        <f ca="1">IFERROR(__xludf.DUMMYFUNCTION("""COMPUTED_VALUE"""),"Yes")</f>
        <v>Yes</v>
      </c>
      <c r="AI247" s="5" t="str">
        <f ca="1">IFERROR(__xludf.DUMMYFUNCTION("""COMPUTED_VALUE"""),"No")</f>
        <v>No</v>
      </c>
      <c r="AJ247" s="5" t="str">
        <f ca="1">IFERROR(__xludf.DUMMYFUNCTION("""COMPUTED_VALUE"""),"No")</f>
        <v>No</v>
      </c>
      <c r="AK247" s="5" t="str">
        <f ca="1">IFERROR(__xludf.DUMMYFUNCTION("""COMPUTED_VALUE"""),"No")</f>
        <v>No</v>
      </c>
      <c r="AL247" s="5" t="str">
        <f ca="1">IFERROR(__xludf.DUMMYFUNCTION("""COMPUTED_VALUE"""),"No")</f>
        <v>No</v>
      </c>
      <c r="AM247" s="5"/>
      <c r="AN247" s="5"/>
      <c r="AO247" s="5"/>
      <c r="AP247" s="5"/>
      <c r="AQ247" s="5"/>
      <c r="AR247" s="5"/>
      <c r="AS247" s="5"/>
      <c r="AT247" s="5"/>
      <c r="AU247" s="5"/>
      <c r="AV247" s="5"/>
      <c r="AW247" s="5"/>
      <c r="AX247" s="5"/>
      <c r="AY247" s="5"/>
    </row>
    <row r="248" spans="1:51" x14ac:dyDescent="0.25">
      <c r="A2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8" s="5">
        <f ca="1">IFERROR(__xludf.DUMMYFUNCTION("""COMPUTED_VALUE"""),248)</f>
        <v>248</v>
      </c>
      <c r="C248" s="5">
        <f ca="1">IFERROR(__xludf.DUMMYFUNCTION("""COMPUTED_VALUE"""),247)</f>
        <v>247</v>
      </c>
      <c r="D248" s="5" t="str">
        <f ca="1">IFERROR(__xludf.DUMMYFUNCTION("""COMPUTED_VALUE"""),"HeatDouble")</f>
        <v>HeatDouble</v>
      </c>
      <c r="E248" s="5" t="str">
        <f ca="1">IFERROR(__xludf.DUMMYFUNCTION("""COMPUTED_VALUE"""),"Yes")</f>
        <v>Yes</v>
      </c>
      <c r="F248" s="5" t="str">
        <f ca="1">IFERROR(__xludf.DUMMYFUNCTION("""COMPUTED_VALUE"""),"Yes")</f>
        <v>Yes</v>
      </c>
      <c r="G248" s="5" t="str">
        <f ca="1">IFERROR(__xludf.DUMMYFUNCTION("""COMPUTED_VALUE"""),"Yes")</f>
        <v>Yes</v>
      </c>
      <c r="H248" s="5" t="str">
        <f ca="1">IFERROR(__xludf.DUMMYFUNCTION("""COMPUTED_VALUE"""),"Yes")</f>
        <v>Yes</v>
      </c>
      <c r="I248" s="5" t="str">
        <f ca="1">IFERROR(__xludf.DUMMYFUNCTION("""COMPUTED_VALUE"""),"Yes")</f>
        <v>Yes</v>
      </c>
      <c r="J248" s="5" t="str">
        <f ca="1">IFERROR(__xludf.DUMMYFUNCTION("""COMPUTED_VALUE"""),"Yes")</f>
        <v>Yes</v>
      </c>
      <c r="K248" s="5" t="str">
        <f ca="1">IFERROR(__xludf.DUMMYFUNCTION("""COMPUTED_VALUE"""),"Yes")</f>
        <v>Yes</v>
      </c>
      <c r="L248" s="5" t="str">
        <f ca="1">IFERROR(__xludf.DUMMYFUNCTION("""COMPUTED_VALUE"""),"Yes")</f>
        <v>Yes</v>
      </c>
      <c r="M248" s="5" t="str">
        <f ca="1">IFERROR(__xludf.DUMMYFUNCTION("""COMPUTED_VALUE"""),"Yes")</f>
        <v>Yes</v>
      </c>
      <c r="N248" s="5" t="str">
        <f ca="1">IFERROR(__xludf.DUMMYFUNCTION("""COMPUTED_VALUE"""),"Yes")</f>
        <v>Yes</v>
      </c>
      <c r="O248" s="5" t="str">
        <f ca="1">IFERROR(__xludf.DUMMYFUNCTION("""COMPUTED_VALUE"""),"Yes")</f>
        <v>Yes</v>
      </c>
      <c r="P248" s="5" t="str">
        <f ca="1">IFERROR(__xludf.DUMMYFUNCTION("""COMPUTED_VALUE"""),"Yes")</f>
        <v>Yes</v>
      </c>
      <c r="Q248" s="5" t="str">
        <f ca="1">IFERROR(__xludf.DUMMYFUNCTION("""COMPUTED_VALUE"""),"Yes")</f>
        <v>Yes</v>
      </c>
      <c r="R248" s="5" t="str">
        <f ca="1">IFERROR(__xludf.DUMMYFUNCTION("""COMPUTED_VALUE"""),"Yes")</f>
        <v>Yes</v>
      </c>
      <c r="S248" s="5" t="str">
        <f ca="1">IFERROR(__xludf.DUMMYFUNCTION("""COMPUTED_VALUE"""),"Yes")</f>
        <v>Yes</v>
      </c>
      <c r="T248" s="5" t="str">
        <f ca="1">IFERROR(__xludf.DUMMYFUNCTION("""COMPUTED_VALUE"""),"Yes")</f>
        <v>Yes</v>
      </c>
      <c r="U248" s="5" t="str">
        <f ca="1">IFERROR(__xludf.DUMMYFUNCTION("""COMPUTED_VALUE"""),"Yes")</f>
        <v>Yes</v>
      </c>
      <c r="V248" s="5" t="str">
        <f ca="1">IFERROR(__xludf.DUMMYFUNCTION("""COMPUTED_VALUE"""),"Yes")</f>
        <v>Yes</v>
      </c>
      <c r="W248" s="5" t="str">
        <f ca="1">IFERROR(__xludf.DUMMYFUNCTION("""COMPUTED_VALUE"""),"Yes")</f>
        <v>Yes</v>
      </c>
      <c r="X248" s="5" t="str">
        <f ca="1">IFERROR(__xludf.DUMMYFUNCTION("""COMPUTED_VALUE"""),"Yes")</f>
        <v>Yes</v>
      </c>
      <c r="Y248" s="5" t="str">
        <f ca="1">IFERROR(__xludf.DUMMYFUNCTION("""COMPUTED_VALUE"""),"Yes")</f>
        <v>Yes</v>
      </c>
      <c r="Z248" s="5"/>
      <c r="AA248" s="5"/>
      <c r="AB248" s="5"/>
      <c r="AC248" s="5" t="str">
        <f ca="1">IFERROR(__xludf.DUMMYFUNCTION("""COMPUTED_VALUE"""),"Yes")</f>
        <v>Yes</v>
      </c>
      <c r="AD248" s="5"/>
      <c r="AE248" s="5"/>
      <c r="AF248" s="5"/>
      <c r="AG248" s="5"/>
      <c r="AH248" s="5"/>
      <c r="AI248" s="5"/>
      <c r="AJ248" s="5"/>
      <c r="AK248" s="5"/>
      <c r="AL248" s="5"/>
      <c r="AM248" s="5"/>
      <c r="AN248" s="5"/>
      <c r="AO248" s="5"/>
      <c r="AP248" s="5"/>
      <c r="AQ248" s="5"/>
      <c r="AR248" s="5"/>
      <c r="AS248" s="5"/>
      <c r="AT248" s="5"/>
      <c r="AU248" s="5"/>
      <c r="AV248" s="5"/>
      <c r="AW248" s="5"/>
      <c r="AX248" s="5"/>
      <c r="AY248" s="5"/>
    </row>
    <row r="249" spans="1:51" x14ac:dyDescent="0.25">
      <c r="A2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9" s="5">
        <f ca="1">IFERROR(__xludf.DUMMYFUNCTION("""COMPUTED_VALUE"""),249)</f>
        <v>249</v>
      </c>
      <c r="C249" s="5">
        <f ca="1">IFERROR(__xludf.DUMMYFUNCTION("""COMPUTED_VALUE"""),248)</f>
        <v>248</v>
      </c>
      <c r="D249" s="5" t="str">
        <f ca="1">IFERROR(__xludf.DUMMYFUNCTION("""COMPUTED_VALUE"""),"Unicorn5HotStrike")</f>
        <v>Unicorn5HotStrike</v>
      </c>
      <c r="E249" s="5" t="str">
        <f ca="1">IFERROR(__xludf.DUMMYFUNCTION("""COMPUTED_VALUE"""),"Yes")</f>
        <v>Yes</v>
      </c>
      <c r="F249" s="5" t="str">
        <f ca="1">IFERROR(__xludf.DUMMYFUNCTION("""COMPUTED_VALUE"""),"Yes")</f>
        <v>Yes</v>
      </c>
      <c r="G249" s="5" t="str">
        <f ca="1">IFERROR(__xludf.DUMMYFUNCTION("""COMPUTED_VALUE"""),"Yes")</f>
        <v>Yes</v>
      </c>
      <c r="H249" s="5" t="str">
        <f ca="1">IFERROR(__xludf.DUMMYFUNCTION("""COMPUTED_VALUE"""),"Yes")</f>
        <v>Yes</v>
      </c>
      <c r="I249" s="5" t="str">
        <f ca="1">IFERROR(__xludf.DUMMYFUNCTION("""COMPUTED_VALUE"""),"Yes")</f>
        <v>Yes</v>
      </c>
      <c r="J249" s="5" t="str">
        <f ca="1">IFERROR(__xludf.DUMMYFUNCTION("""COMPUTED_VALUE"""),"Yes")</f>
        <v>Yes</v>
      </c>
      <c r="K249" s="5" t="str">
        <f ca="1">IFERROR(__xludf.DUMMYFUNCTION("""COMPUTED_VALUE"""),"Yes")</f>
        <v>Yes</v>
      </c>
      <c r="L249" s="5" t="str">
        <f ca="1">IFERROR(__xludf.DUMMYFUNCTION("""COMPUTED_VALUE"""),"Yes")</f>
        <v>Yes</v>
      </c>
      <c r="M249" s="5" t="str">
        <f ca="1">IFERROR(__xludf.DUMMYFUNCTION("""COMPUTED_VALUE"""),"Yes")</f>
        <v>Yes</v>
      </c>
      <c r="N249" s="5" t="str">
        <f ca="1">IFERROR(__xludf.DUMMYFUNCTION("""COMPUTED_VALUE"""),"Yes")</f>
        <v>Yes</v>
      </c>
      <c r="O249" s="5" t="str">
        <f ca="1">IFERROR(__xludf.DUMMYFUNCTION("""COMPUTED_VALUE"""),"Yes")</f>
        <v>Yes</v>
      </c>
      <c r="P249" s="5" t="str">
        <f ca="1">IFERROR(__xludf.DUMMYFUNCTION("""COMPUTED_VALUE"""),"Yes")</f>
        <v>Yes</v>
      </c>
      <c r="Q249" s="5" t="str">
        <f ca="1">IFERROR(__xludf.DUMMYFUNCTION("""COMPUTED_VALUE"""),"Yes")</f>
        <v>Yes</v>
      </c>
      <c r="R249" s="5" t="str">
        <f ca="1">IFERROR(__xludf.DUMMYFUNCTION("""COMPUTED_VALUE"""),"Yes")</f>
        <v>Yes</v>
      </c>
      <c r="S249" s="5" t="str">
        <f ca="1">IFERROR(__xludf.DUMMYFUNCTION("""COMPUTED_VALUE"""),"Yes")</f>
        <v>Yes</v>
      </c>
      <c r="T249" s="5" t="str">
        <f ca="1">IFERROR(__xludf.DUMMYFUNCTION("""COMPUTED_VALUE"""),"Yes")</f>
        <v>Yes</v>
      </c>
      <c r="U249" s="5" t="str">
        <f ca="1">IFERROR(__xludf.DUMMYFUNCTION("""COMPUTED_VALUE"""),"Yes")</f>
        <v>Yes</v>
      </c>
      <c r="V249" s="5" t="str">
        <f ca="1">IFERROR(__xludf.DUMMYFUNCTION("""COMPUTED_VALUE"""),"Yes")</f>
        <v>Yes</v>
      </c>
      <c r="W249" s="5" t="str">
        <f ca="1">IFERROR(__xludf.DUMMYFUNCTION("""COMPUTED_VALUE"""),"Yes")</f>
        <v>Yes</v>
      </c>
      <c r="X249" s="5" t="str">
        <f ca="1">IFERROR(__xludf.DUMMYFUNCTION("""COMPUTED_VALUE"""),"Yes")</f>
        <v>Yes</v>
      </c>
      <c r="Y249" s="5"/>
      <c r="Z249" s="5"/>
      <c r="AA249" s="5"/>
      <c r="AB249" s="5"/>
      <c r="AC249" s="5" t="str">
        <f ca="1">IFERROR(__xludf.DUMMYFUNCTION("""COMPUTED_VALUE"""),"Yes")</f>
        <v>Yes</v>
      </c>
      <c r="AD249" s="5"/>
      <c r="AE249" s="5"/>
      <c r="AF249" s="5"/>
      <c r="AG249" s="5"/>
      <c r="AH249" s="5"/>
      <c r="AI249" s="5"/>
      <c r="AJ249" s="5"/>
      <c r="AK249" s="5"/>
      <c r="AL249" s="5"/>
      <c r="AM249" s="5"/>
      <c r="AN249" s="5"/>
      <c r="AO249" s="5"/>
      <c r="AP249" s="5"/>
      <c r="AQ249" s="5"/>
      <c r="AR249" s="5"/>
      <c r="AS249" s="5"/>
      <c r="AT249" s="5"/>
      <c r="AU249" s="5"/>
      <c r="AV249" s="5"/>
      <c r="AW249" s="5"/>
      <c r="AX249" s="5"/>
      <c r="AY249" s="5"/>
    </row>
    <row r="250" spans="1:51" x14ac:dyDescent="0.25">
      <c r="A25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50" s="5">
        <f ca="1">IFERROR(__xludf.DUMMYFUNCTION("""COMPUTED_VALUE"""),250)</f>
        <v>250</v>
      </c>
      <c r="C250" s="5">
        <f ca="1">IFERROR(__xludf.DUMMYFUNCTION("""COMPUTED_VALUE"""),249)</f>
        <v>249</v>
      </c>
      <c r="D250" s="5" t="str">
        <f ca="1">IFERROR(__xludf.DUMMYFUNCTION("""COMPUTED_VALUE"""),"UnicornBikiniFruits")</f>
        <v>UnicornBikiniFruits</v>
      </c>
      <c r="E250" s="5" t="str">
        <f ca="1">IFERROR(__xludf.DUMMYFUNCTION("""COMPUTED_VALUE"""),"Yes")</f>
        <v>Yes</v>
      </c>
      <c r="F250" s="5" t="str">
        <f ca="1">IFERROR(__xludf.DUMMYFUNCTION("""COMPUTED_VALUE"""),"Yes")</f>
        <v>Yes</v>
      </c>
      <c r="G250" s="5" t="str">
        <f ca="1">IFERROR(__xludf.DUMMYFUNCTION("""COMPUTED_VALUE"""),"Yes")</f>
        <v>Yes</v>
      </c>
      <c r="H250" s="5" t="str">
        <f ca="1">IFERROR(__xludf.DUMMYFUNCTION("""COMPUTED_VALUE"""),"No")</f>
        <v>No</v>
      </c>
      <c r="I250" s="5" t="str">
        <f ca="1">IFERROR(__xludf.DUMMYFUNCTION("""COMPUTED_VALUE"""),"No")</f>
        <v>No</v>
      </c>
      <c r="J250" s="5" t="str">
        <f ca="1">IFERROR(__xludf.DUMMYFUNCTION("""COMPUTED_VALUE"""),"No")</f>
        <v>No</v>
      </c>
      <c r="K250" s="5" t="str">
        <f ca="1">IFERROR(__xludf.DUMMYFUNCTION("""COMPUTED_VALUE"""),"No")</f>
        <v>No</v>
      </c>
      <c r="L250" s="5" t="str">
        <f ca="1">IFERROR(__xludf.DUMMYFUNCTION("""COMPUTED_VALUE"""),"No")</f>
        <v>No</v>
      </c>
      <c r="M250" s="5" t="str">
        <f ca="1">IFERROR(__xludf.DUMMYFUNCTION("""COMPUTED_VALUE"""),"Yes")</f>
        <v>Yes</v>
      </c>
      <c r="N250" s="5" t="str">
        <f ca="1">IFERROR(__xludf.DUMMYFUNCTION("""COMPUTED_VALUE"""),"Yes")</f>
        <v>Yes</v>
      </c>
      <c r="O250" s="5" t="str">
        <f ca="1">IFERROR(__xludf.DUMMYFUNCTION("""COMPUTED_VALUE"""),"Yes")</f>
        <v>Yes</v>
      </c>
      <c r="P250" s="5" t="str">
        <f ca="1">IFERROR(__xludf.DUMMYFUNCTION("""COMPUTED_VALUE"""),"Yes")</f>
        <v>Yes</v>
      </c>
      <c r="Q250" s="5" t="str">
        <f ca="1">IFERROR(__xludf.DUMMYFUNCTION("""COMPUTED_VALUE"""),"Yes")</f>
        <v>Yes</v>
      </c>
      <c r="R250" s="5" t="str">
        <f ca="1">IFERROR(__xludf.DUMMYFUNCTION("""COMPUTED_VALUE"""),"No")</f>
        <v>No</v>
      </c>
      <c r="S250" s="5" t="str">
        <f ca="1">IFERROR(__xludf.DUMMYFUNCTION("""COMPUTED_VALUE"""),"Yes")</f>
        <v>Yes</v>
      </c>
      <c r="T250" s="5" t="str">
        <f ca="1">IFERROR(__xludf.DUMMYFUNCTION("""COMPUTED_VALUE"""),"No")</f>
        <v>No</v>
      </c>
      <c r="U250" s="5" t="str">
        <f ca="1">IFERROR(__xludf.DUMMYFUNCTION("""COMPUTED_VALUE"""),"No")</f>
        <v>No</v>
      </c>
      <c r="V250" s="5" t="str">
        <f ca="1">IFERROR(__xludf.DUMMYFUNCTION("""COMPUTED_VALUE"""),"No")</f>
        <v>No</v>
      </c>
      <c r="W250" s="5" t="str">
        <f ca="1">IFERROR(__xludf.DUMMYFUNCTION("""COMPUTED_VALUE"""),"No")</f>
        <v>No</v>
      </c>
      <c r="X250" s="5" t="str">
        <f ca="1">IFERROR(__xludf.DUMMYFUNCTION("""COMPUTED_VALUE"""),"No")</f>
        <v>No</v>
      </c>
      <c r="Y250" s="5"/>
      <c r="Z250" s="5"/>
      <c r="AA250" s="5"/>
      <c r="AB250" s="5"/>
      <c r="AC250" s="5" t="str">
        <f ca="1">IFERROR(__xludf.DUMMYFUNCTION("""COMPUTED_VALUE"""),"No")</f>
        <v>No</v>
      </c>
      <c r="AD250" s="5"/>
      <c r="AE250" s="5"/>
      <c r="AF250" s="5"/>
      <c r="AG250" s="5"/>
      <c r="AH250" s="5"/>
      <c r="AI250" s="5"/>
      <c r="AJ250" s="5"/>
      <c r="AK250" s="5"/>
      <c r="AL250" s="5"/>
      <c r="AM250" s="5"/>
      <c r="AN250" s="5"/>
      <c r="AO250" s="5"/>
      <c r="AP250" s="5"/>
      <c r="AQ250" s="5"/>
      <c r="AR250" s="5"/>
      <c r="AS250" s="5"/>
      <c r="AT250" s="5"/>
      <c r="AU250" s="5"/>
      <c r="AV250" s="5"/>
      <c r="AW250" s="5"/>
      <c r="AX250" s="5"/>
      <c r="AY250" s="5"/>
    </row>
    <row r="251" spans="1:51" x14ac:dyDescent="0.25">
      <c r="A25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51" s="5">
        <f ca="1">IFERROR(__xludf.DUMMYFUNCTION("""COMPUTED_VALUE"""),251)</f>
        <v>251</v>
      </c>
      <c r="C251" s="5">
        <f ca="1">IFERROR(__xludf.DUMMYFUNCTION("""COMPUTED_VALUE"""),250)</f>
        <v>250</v>
      </c>
      <c r="D251" s="5" t="str">
        <f ca="1">IFERROR(__xludf.DUMMYFUNCTION("""COMPUTED_VALUE"""),"UnicornQueenOfPyramids")</f>
        <v>UnicornQueenOfPyramids</v>
      </c>
      <c r="E251" s="5" t="str">
        <f ca="1">IFERROR(__xludf.DUMMYFUNCTION("""COMPUTED_VALUE"""),"Yes")</f>
        <v>Yes</v>
      </c>
      <c r="F251" s="5" t="str">
        <f ca="1">IFERROR(__xludf.DUMMYFUNCTION("""COMPUTED_VALUE"""),"Yes")</f>
        <v>Yes</v>
      </c>
      <c r="G251" s="5" t="str">
        <f ca="1">IFERROR(__xludf.DUMMYFUNCTION("""COMPUTED_VALUE"""),"Yes")</f>
        <v>Yes</v>
      </c>
      <c r="H251" s="5" t="str">
        <f ca="1">IFERROR(__xludf.DUMMYFUNCTION("""COMPUTED_VALUE"""),"No")</f>
        <v>No</v>
      </c>
      <c r="I251" s="5" t="str">
        <f ca="1">IFERROR(__xludf.DUMMYFUNCTION("""COMPUTED_VALUE"""),"No")</f>
        <v>No</v>
      </c>
      <c r="J251" s="5" t="str">
        <f ca="1">IFERROR(__xludf.DUMMYFUNCTION("""COMPUTED_VALUE"""),"No")</f>
        <v>No</v>
      </c>
      <c r="K251" s="5" t="str">
        <f ca="1">IFERROR(__xludf.DUMMYFUNCTION("""COMPUTED_VALUE"""),"No")</f>
        <v>No</v>
      </c>
      <c r="L251" s="5" t="str">
        <f ca="1">IFERROR(__xludf.DUMMYFUNCTION("""COMPUTED_VALUE"""),"No")</f>
        <v>No</v>
      </c>
      <c r="M251" s="5" t="str">
        <f ca="1">IFERROR(__xludf.DUMMYFUNCTION("""COMPUTED_VALUE"""),"Yes")</f>
        <v>Yes</v>
      </c>
      <c r="N251" s="5" t="str">
        <f ca="1">IFERROR(__xludf.DUMMYFUNCTION("""COMPUTED_VALUE"""),"Yes")</f>
        <v>Yes</v>
      </c>
      <c r="O251" s="5" t="str">
        <f ca="1">IFERROR(__xludf.DUMMYFUNCTION("""COMPUTED_VALUE"""),"Yes")</f>
        <v>Yes</v>
      </c>
      <c r="P251" s="5" t="str">
        <f ca="1">IFERROR(__xludf.DUMMYFUNCTION("""COMPUTED_VALUE"""),"Yes")</f>
        <v>Yes</v>
      </c>
      <c r="Q251" s="5" t="str">
        <f ca="1">IFERROR(__xludf.DUMMYFUNCTION("""COMPUTED_VALUE"""),"Yes")</f>
        <v>Yes</v>
      </c>
      <c r="R251" s="5" t="str">
        <f ca="1">IFERROR(__xludf.DUMMYFUNCTION("""COMPUTED_VALUE"""),"No")</f>
        <v>No</v>
      </c>
      <c r="S251" s="5" t="str">
        <f ca="1">IFERROR(__xludf.DUMMYFUNCTION("""COMPUTED_VALUE"""),"Yes")</f>
        <v>Yes</v>
      </c>
      <c r="T251" s="5" t="str">
        <f ca="1">IFERROR(__xludf.DUMMYFUNCTION("""COMPUTED_VALUE"""),"No")</f>
        <v>No</v>
      </c>
      <c r="U251" s="5" t="str">
        <f ca="1">IFERROR(__xludf.DUMMYFUNCTION("""COMPUTED_VALUE"""),"No")</f>
        <v>No</v>
      </c>
      <c r="V251" s="5" t="str">
        <f ca="1">IFERROR(__xludf.DUMMYFUNCTION("""COMPUTED_VALUE"""),"No")</f>
        <v>No</v>
      </c>
      <c r="W251" s="5" t="str">
        <f ca="1">IFERROR(__xludf.DUMMYFUNCTION("""COMPUTED_VALUE"""),"No")</f>
        <v>No</v>
      </c>
      <c r="X251" s="5" t="str">
        <f ca="1">IFERROR(__xludf.DUMMYFUNCTION("""COMPUTED_VALUE"""),"No")</f>
        <v>No</v>
      </c>
      <c r="Y251" s="5"/>
      <c r="Z251" s="5"/>
      <c r="AA251" s="5"/>
      <c r="AB251" s="5"/>
      <c r="AC251" s="5" t="str">
        <f ca="1">IFERROR(__xludf.DUMMYFUNCTION("""COMPUTED_VALUE"""),"No")</f>
        <v>No</v>
      </c>
      <c r="AD251" s="5"/>
      <c r="AE251" s="5"/>
      <c r="AF251" s="5"/>
      <c r="AG251" s="5"/>
      <c r="AH251" s="5"/>
      <c r="AI251" s="5"/>
      <c r="AJ251" s="5"/>
      <c r="AK251" s="5"/>
      <c r="AL251" s="5"/>
      <c r="AM251" s="5"/>
      <c r="AN251" s="5"/>
      <c r="AO251" s="5"/>
      <c r="AP251" s="5"/>
      <c r="AQ251" s="5"/>
      <c r="AR251" s="5"/>
      <c r="AS251" s="5"/>
      <c r="AT251" s="5"/>
      <c r="AU251" s="5"/>
      <c r="AV251" s="5"/>
      <c r="AW251" s="5"/>
      <c r="AX251" s="5"/>
      <c r="AY251" s="5"/>
    </row>
    <row r="252" spans="1:51" x14ac:dyDescent="0.25">
      <c r="A2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2" s="5">
        <f ca="1">IFERROR(__xludf.DUMMYFUNCTION("""COMPUTED_VALUE"""),252)</f>
        <v>252</v>
      </c>
      <c r="C252" s="5">
        <f ca="1">IFERROR(__xludf.DUMMYFUNCTION("""COMPUTED_VALUE"""),251)</f>
        <v>251</v>
      </c>
      <c r="D252" s="5" t="str">
        <f ca="1">IFERROR(__xludf.DUMMYFUNCTION("""COMPUTED_VALUE"""),"KettysFashionWorld")</f>
        <v>KettysFashionWorld</v>
      </c>
      <c r="E252" s="5" t="str">
        <f ca="1">IFERROR(__xludf.DUMMYFUNCTION("""COMPUTED_VALUE"""),"Yes")</f>
        <v>Yes</v>
      </c>
      <c r="F252" s="5" t="str">
        <f ca="1">IFERROR(__xludf.DUMMYFUNCTION("""COMPUTED_VALUE"""),"Yes")</f>
        <v>Yes</v>
      </c>
      <c r="G252" s="5" t="str">
        <f ca="1">IFERROR(__xludf.DUMMYFUNCTION("""COMPUTED_VALUE"""),"Yes")</f>
        <v>Yes</v>
      </c>
      <c r="H252" s="5" t="str">
        <f ca="1">IFERROR(__xludf.DUMMYFUNCTION("""COMPUTED_VALUE"""),"Yes")</f>
        <v>Yes</v>
      </c>
      <c r="I252" s="5" t="str">
        <f ca="1">IFERROR(__xludf.DUMMYFUNCTION("""COMPUTED_VALUE"""),"Yes")</f>
        <v>Yes</v>
      </c>
      <c r="J252" s="5" t="str">
        <f ca="1">IFERROR(__xludf.DUMMYFUNCTION("""COMPUTED_VALUE"""),"Yes")</f>
        <v>Yes</v>
      </c>
      <c r="K252" s="5" t="str">
        <f ca="1">IFERROR(__xludf.DUMMYFUNCTION("""COMPUTED_VALUE"""),"Yes")</f>
        <v>Yes</v>
      </c>
      <c r="L252" s="5" t="str">
        <f ca="1">IFERROR(__xludf.DUMMYFUNCTION("""COMPUTED_VALUE"""),"Yes")</f>
        <v>Yes</v>
      </c>
      <c r="M252" s="5" t="str">
        <f ca="1">IFERROR(__xludf.DUMMYFUNCTION("""COMPUTED_VALUE"""),"Yes")</f>
        <v>Yes</v>
      </c>
      <c r="N252" s="5" t="str">
        <f ca="1">IFERROR(__xludf.DUMMYFUNCTION("""COMPUTED_VALUE"""),"Yes")</f>
        <v>Yes</v>
      </c>
      <c r="O252" s="5" t="str">
        <f ca="1">IFERROR(__xludf.DUMMYFUNCTION("""COMPUTED_VALUE"""),"Yes")</f>
        <v>Yes</v>
      </c>
      <c r="P252" s="5" t="str">
        <f ca="1">IFERROR(__xludf.DUMMYFUNCTION("""COMPUTED_VALUE"""),"Yes")</f>
        <v>Yes</v>
      </c>
      <c r="Q252" s="5" t="str">
        <f ca="1">IFERROR(__xludf.DUMMYFUNCTION("""COMPUTED_VALUE"""),"Yes")</f>
        <v>Yes</v>
      </c>
      <c r="R252" s="5" t="str">
        <f ca="1">IFERROR(__xludf.DUMMYFUNCTION("""COMPUTED_VALUE"""),"Yes")</f>
        <v>Yes</v>
      </c>
      <c r="S252" s="5" t="str">
        <f ca="1">IFERROR(__xludf.DUMMYFUNCTION("""COMPUTED_VALUE"""),"Yes")</f>
        <v>Yes</v>
      </c>
      <c r="T252" s="5" t="str">
        <f ca="1">IFERROR(__xludf.DUMMYFUNCTION("""COMPUTED_VALUE"""),"Yes")</f>
        <v>Yes</v>
      </c>
      <c r="U252" s="5" t="str">
        <f ca="1">IFERROR(__xludf.DUMMYFUNCTION("""COMPUTED_VALUE"""),"Yes")</f>
        <v>Yes</v>
      </c>
      <c r="V252" s="5" t="str">
        <f ca="1">IFERROR(__xludf.DUMMYFUNCTION("""COMPUTED_VALUE"""),"Yes")</f>
        <v>Yes</v>
      </c>
      <c r="W252" s="5" t="str">
        <f ca="1">IFERROR(__xludf.DUMMYFUNCTION("""COMPUTED_VALUE"""),"Yes")</f>
        <v>Yes</v>
      </c>
      <c r="X252" s="5" t="str">
        <f ca="1">IFERROR(__xludf.DUMMYFUNCTION("""COMPUTED_VALUE"""),"Yes")</f>
        <v>Yes</v>
      </c>
      <c r="Y252" s="5" t="str">
        <f ca="1">IFERROR(__xludf.DUMMYFUNCTION("""COMPUTED_VALUE"""),"Yes")</f>
        <v>Yes</v>
      </c>
      <c r="Z252" s="5" t="str">
        <f ca="1">IFERROR(__xludf.DUMMYFUNCTION("""COMPUTED_VALUE"""),"No")</f>
        <v>No</v>
      </c>
      <c r="AA252" s="5" t="str">
        <f ca="1">IFERROR(__xludf.DUMMYFUNCTION("""COMPUTED_VALUE"""),"Yes")</f>
        <v>Yes</v>
      </c>
      <c r="AB252" s="5" t="str">
        <f ca="1">IFERROR(__xludf.DUMMYFUNCTION("""COMPUTED_VALUE"""),"Yes")</f>
        <v>Yes</v>
      </c>
      <c r="AC252" s="5" t="str">
        <f ca="1">IFERROR(__xludf.DUMMYFUNCTION("""COMPUTED_VALUE"""),"Yes")</f>
        <v>Yes</v>
      </c>
      <c r="AD252" s="5" t="str">
        <f ca="1">IFERROR(__xludf.DUMMYFUNCTION("""COMPUTED_VALUE"""),"Yes")</f>
        <v>Yes</v>
      </c>
      <c r="AE252" s="5" t="str">
        <f ca="1">IFERROR(__xludf.DUMMYFUNCTION("""COMPUTED_VALUE"""),"No")</f>
        <v>No</v>
      </c>
      <c r="AF252" s="5" t="str">
        <f ca="1">IFERROR(__xludf.DUMMYFUNCTION("""COMPUTED_VALUE"""),"Yes")</f>
        <v>Yes</v>
      </c>
      <c r="AG252" s="5" t="str">
        <f ca="1">IFERROR(__xludf.DUMMYFUNCTION("""COMPUTED_VALUE"""),"No")</f>
        <v>No</v>
      </c>
      <c r="AH252" s="5" t="str">
        <f ca="1">IFERROR(__xludf.DUMMYFUNCTION("""COMPUTED_VALUE"""),"No")</f>
        <v>No</v>
      </c>
      <c r="AI252" s="5" t="str">
        <f ca="1">IFERROR(__xludf.DUMMYFUNCTION("""COMPUTED_VALUE"""),"No")</f>
        <v>No</v>
      </c>
      <c r="AJ252" s="5" t="str">
        <f ca="1">IFERROR(__xludf.DUMMYFUNCTION("""COMPUTED_VALUE"""),"No")</f>
        <v>No</v>
      </c>
      <c r="AK252" s="5" t="str">
        <f ca="1">IFERROR(__xludf.DUMMYFUNCTION("""COMPUTED_VALUE"""),"No")</f>
        <v>No</v>
      </c>
      <c r="AL252" s="5" t="str">
        <f ca="1">IFERROR(__xludf.DUMMYFUNCTION("""COMPUTED_VALUE"""),"No")</f>
        <v>No</v>
      </c>
      <c r="AM252" s="5"/>
      <c r="AN252" s="5"/>
      <c r="AO252" s="5"/>
      <c r="AP252" s="5"/>
      <c r="AQ252" s="5"/>
      <c r="AR252" s="5"/>
      <c r="AS252" s="5"/>
      <c r="AT252" s="5"/>
      <c r="AU252" s="5"/>
      <c r="AV252" s="5"/>
      <c r="AW252" s="5"/>
      <c r="AX252" s="5"/>
      <c r="AY252" s="5"/>
    </row>
    <row r="253" spans="1:51" x14ac:dyDescent="0.25">
      <c r="A2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3" s="5">
        <f ca="1">IFERROR(__xludf.DUMMYFUNCTION("""COMPUTED_VALUE"""),253)</f>
        <v>253</v>
      </c>
      <c r="C253" s="5">
        <f ca="1">IFERROR(__xludf.DUMMYFUNCTION("""COMPUTED_VALUE"""),252)</f>
        <v>252</v>
      </c>
      <c r="D253" s="5" t="str">
        <f ca="1">IFERROR(__xludf.DUMMYFUNCTION("""COMPUTED_VALUE"""),"RetroFire")</f>
        <v>RetroFire</v>
      </c>
      <c r="E253" s="5" t="str">
        <f ca="1">IFERROR(__xludf.DUMMYFUNCTION("""COMPUTED_VALUE"""),"Yes")</f>
        <v>Yes</v>
      </c>
      <c r="F253" s="5" t="str">
        <f ca="1">IFERROR(__xludf.DUMMYFUNCTION("""COMPUTED_VALUE"""),"Yes")</f>
        <v>Yes</v>
      </c>
      <c r="G253" s="5" t="str">
        <f ca="1">IFERROR(__xludf.DUMMYFUNCTION("""COMPUTED_VALUE"""),"Yes")</f>
        <v>Yes</v>
      </c>
      <c r="H253" s="5" t="str">
        <f ca="1">IFERROR(__xludf.DUMMYFUNCTION("""COMPUTED_VALUE"""),"Yes")</f>
        <v>Yes</v>
      </c>
      <c r="I253" s="5" t="str">
        <f ca="1">IFERROR(__xludf.DUMMYFUNCTION("""COMPUTED_VALUE"""),"Yes")</f>
        <v>Yes</v>
      </c>
      <c r="J253" s="5" t="str">
        <f ca="1">IFERROR(__xludf.DUMMYFUNCTION("""COMPUTED_VALUE"""),"Yes")</f>
        <v>Yes</v>
      </c>
      <c r="K253" s="5" t="str">
        <f ca="1">IFERROR(__xludf.DUMMYFUNCTION("""COMPUTED_VALUE"""),"Yes")</f>
        <v>Yes</v>
      </c>
      <c r="L253" s="5" t="str">
        <f ca="1">IFERROR(__xludf.DUMMYFUNCTION("""COMPUTED_VALUE"""),"Yes")</f>
        <v>Yes</v>
      </c>
      <c r="M253" s="5" t="str">
        <f ca="1">IFERROR(__xludf.DUMMYFUNCTION("""COMPUTED_VALUE"""),"Yes")</f>
        <v>Yes</v>
      </c>
      <c r="N253" s="5" t="str">
        <f ca="1">IFERROR(__xludf.DUMMYFUNCTION("""COMPUTED_VALUE"""),"Yes")</f>
        <v>Yes</v>
      </c>
      <c r="O253" s="5" t="str">
        <f ca="1">IFERROR(__xludf.DUMMYFUNCTION("""COMPUTED_VALUE"""),"Yes")</f>
        <v>Yes</v>
      </c>
      <c r="P253" s="5" t="str">
        <f ca="1">IFERROR(__xludf.DUMMYFUNCTION("""COMPUTED_VALUE"""),"Yes")</f>
        <v>Yes</v>
      </c>
      <c r="Q253" s="5" t="str">
        <f ca="1">IFERROR(__xludf.DUMMYFUNCTION("""COMPUTED_VALUE"""),"Yes")</f>
        <v>Yes</v>
      </c>
      <c r="R253" s="5" t="str">
        <f ca="1">IFERROR(__xludf.DUMMYFUNCTION("""COMPUTED_VALUE"""),"Yes")</f>
        <v>Yes</v>
      </c>
      <c r="S253" s="5" t="str">
        <f ca="1">IFERROR(__xludf.DUMMYFUNCTION("""COMPUTED_VALUE"""),"Yes")</f>
        <v>Yes</v>
      </c>
      <c r="T253" s="5" t="str">
        <f ca="1">IFERROR(__xludf.DUMMYFUNCTION("""COMPUTED_VALUE"""),"Yes")</f>
        <v>Yes</v>
      </c>
      <c r="U253" s="5" t="str">
        <f ca="1">IFERROR(__xludf.DUMMYFUNCTION("""COMPUTED_VALUE"""),"Yes")</f>
        <v>Yes</v>
      </c>
      <c r="V253" s="5" t="str">
        <f ca="1">IFERROR(__xludf.DUMMYFUNCTION("""COMPUTED_VALUE"""),"Yes")</f>
        <v>Yes</v>
      </c>
      <c r="W253" s="5" t="str">
        <f ca="1">IFERROR(__xludf.DUMMYFUNCTION("""COMPUTED_VALUE"""),"Yes")</f>
        <v>Yes</v>
      </c>
      <c r="X253" s="5" t="str">
        <f ca="1">IFERROR(__xludf.DUMMYFUNCTION("""COMPUTED_VALUE"""),"Yes")</f>
        <v>Yes</v>
      </c>
      <c r="Y253" s="5" t="str">
        <f ca="1">IFERROR(__xludf.DUMMYFUNCTION("""COMPUTED_VALUE"""),"Yes")</f>
        <v>Yes</v>
      </c>
      <c r="Z253" s="5" t="str">
        <f ca="1">IFERROR(__xludf.DUMMYFUNCTION("""COMPUTED_VALUE"""),"No")</f>
        <v>No</v>
      </c>
      <c r="AA253" s="5" t="str">
        <f ca="1">IFERROR(__xludf.DUMMYFUNCTION("""COMPUTED_VALUE"""),"Yes")</f>
        <v>Yes</v>
      </c>
      <c r="AB253" s="5" t="str">
        <f ca="1">IFERROR(__xludf.DUMMYFUNCTION("""COMPUTED_VALUE"""),"Yes")</f>
        <v>Yes</v>
      </c>
      <c r="AC253" s="5" t="str">
        <f ca="1">IFERROR(__xludf.DUMMYFUNCTION("""COMPUTED_VALUE"""),"Yes")</f>
        <v>Yes</v>
      </c>
      <c r="AD253" s="5" t="str">
        <f ca="1">IFERROR(__xludf.DUMMYFUNCTION("""COMPUTED_VALUE"""),"Yes")</f>
        <v>Yes</v>
      </c>
      <c r="AE253" s="5" t="str">
        <f ca="1">IFERROR(__xludf.DUMMYFUNCTION("""COMPUTED_VALUE"""),"No")</f>
        <v>No</v>
      </c>
      <c r="AF253" s="5" t="str">
        <f ca="1">IFERROR(__xludf.DUMMYFUNCTION("""COMPUTED_VALUE"""),"Yes")</f>
        <v>Yes</v>
      </c>
      <c r="AG253" s="5" t="str">
        <f ca="1">IFERROR(__xludf.DUMMYFUNCTION("""COMPUTED_VALUE"""),"No")</f>
        <v>No</v>
      </c>
      <c r="AH253" s="5" t="str">
        <f ca="1">IFERROR(__xludf.DUMMYFUNCTION("""COMPUTED_VALUE"""),"No")</f>
        <v>No</v>
      </c>
      <c r="AI253" s="5" t="str">
        <f ca="1">IFERROR(__xludf.DUMMYFUNCTION("""COMPUTED_VALUE"""),"No")</f>
        <v>No</v>
      </c>
      <c r="AJ253" s="5" t="str">
        <f ca="1">IFERROR(__xludf.DUMMYFUNCTION("""COMPUTED_VALUE"""),"No")</f>
        <v>No</v>
      </c>
      <c r="AK253" s="5" t="str">
        <f ca="1">IFERROR(__xludf.DUMMYFUNCTION("""COMPUTED_VALUE"""),"No")</f>
        <v>No</v>
      </c>
      <c r="AL253" s="5" t="str">
        <f ca="1">IFERROR(__xludf.DUMMYFUNCTION("""COMPUTED_VALUE"""),"No")</f>
        <v>No</v>
      </c>
      <c r="AM253" s="5"/>
      <c r="AN253" s="5"/>
      <c r="AO253" s="5"/>
      <c r="AP253" s="5"/>
      <c r="AQ253" s="5"/>
      <c r="AR253" s="5"/>
      <c r="AS253" s="5"/>
      <c r="AT253" s="5"/>
      <c r="AU253" s="5"/>
      <c r="AV253" s="5"/>
      <c r="AW253" s="5"/>
      <c r="AX253" s="5"/>
      <c r="AY253" s="5"/>
    </row>
    <row r="254" spans="1:51" x14ac:dyDescent="0.25">
      <c r="A2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4" s="5">
        <f ca="1">IFERROR(__xludf.DUMMYFUNCTION("""COMPUTED_VALUE"""),254)</f>
        <v>254</v>
      </c>
      <c r="C254" s="5">
        <f ca="1">IFERROR(__xludf.DUMMYFUNCTION("""COMPUTED_VALUE"""),253)</f>
        <v>253</v>
      </c>
      <c r="D254" s="5" t="str">
        <f ca="1">IFERROR(__xludf.DUMMYFUNCTION("""COMPUTED_VALUE"""),"Money5")</f>
        <v>Money5</v>
      </c>
      <c r="E254" s="5" t="str">
        <f ca="1">IFERROR(__xludf.DUMMYFUNCTION("""COMPUTED_VALUE"""),"Yes")</f>
        <v>Yes</v>
      </c>
      <c r="F254" s="5" t="str">
        <f ca="1">IFERROR(__xludf.DUMMYFUNCTION("""COMPUTED_VALUE"""),"Yes")</f>
        <v>Yes</v>
      </c>
      <c r="G254" s="5" t="str">
        <f ca="1">IFERROR(__xludf.DUMMYFUNCTION("""COMPUTED_VALUE"""),"Yes")</f>
        <v>Yes</v>
      </c>
      <c r="H254" s="5" t="str">
        <f ca="1">IFERROR(__xludf.DUMMYFUNCTION("""COMPUTED_VALUE"""),"Yes")</f>
        <v>Yes</v>
      </c>
      <c r="I254" s="5" t="str">
        <f ca="1">IFERROR(__xludf.DUMMYFUNCTION("""COMPUTED_VALUE"""),"Yes")</f>
        <v>Yes</v>
      </c>
      <c r="J254" s="5" t="str">
        <f ca="1">IFERROR(__xludf.DUMMYFUNCTION("""COMPUTED_VALUE"""),"Yes")</f>
        <v>Yes</v>
      </c>
      <c r="K254" s="5" t="str">
        <f ca="1">IFERROR(__xludf.DUMMYFUNCTION("""COMPUTED_VALUE"""),"Yes")</f>
        <v>Yes</v>
      </c>
      <c r="L254" s="5" t="str">
        <f ca="1">IFERROR(__xludf.DUMMYFUNCTION("""COMPUTED_VALUE"""),"Yes")</f>
        <v>Yes</v>
      </c>
      <c r="M254" s="5" t="str">
        <f ca="1">IFERROR(__xludf.DUMMYFUNCTION("""COMPUTED_VALUE"""),"Yes")</f>
        <v>Yes</v>
      </c>
      <c r="N254" s="5" t="str">
        <f ca="1">IFERROR(__xludf.DUMMYFUNCTION("""COMPUTED_VALUE"""),"Yes")</f>
        <v>Yes</v>
      </c>
      <c r="O254" s="5" t="str">
        <f ca="1">IFERROR(__xludf.DUMMYFUNCTION("""COMPUTED_VALUE"""),"Yes")</f>
        <v>Yes</v>
      </c>
      <c r="P254" s="5" t="str">
        <f ca="1">IFERROR(__xludf.DUMMYFUNCTION("""COMPUTED_VALUE"""),"Yes")</f>
        <v>Yes</v>
      </c>
      <c r="Q254" s="5" t="str">
        <f ca="1">IFERROR(__xludf.DUMMYFUNCTION("""COMPUTED_VALUE"""),"Yes")</f>
        <v>Yes</v>
      </c>
      <c r="R254" s="5" t="str">
        <f ca="1">IFERROR(__xludf.DUMMYFUNCTION("""COMPUTED_VALUE"""),"Yes")</f>
        <v>Yes</v>
      </c>
      <c r="S254" s="5" t="str">
        <f ca="1">IFERROR(__xludf.DUMMYFUNCTION("""COMPUTED_VALUE"""),"Yes")</f>
        <v>Yes</v>
      </c>
      <c r="T254" s="5" t="str">
        <f ca="1">IFERROR(__xludf.DUMMYFUNCTION("""COMPUTED_VALUE"""),"Yes")</f>
        <v>Yes</v>
      </c>
      <c r="U254" s="5" t="str">
        <f ca="1">IFERROR(__xludf.DUMMYFUNCTION("""COMPUTED_VALUE"""),"Yes")</f>
        <v>Yes</v>
      </c>
      <c r="V254" s="5" t="str">
        <f ca="1">IFERROR(__xludf.DUMMYFUNCTION("""COMPUTED_VALUE"""),"Yes")</f>
        <v>Yes</v>
      </c>
      <c r="W254" s="5" t="str">
        <f ca="1">IFERROR(__xludf.DUMMYFUNCTION("""COMPUTED_VALUE"""),"Yes")</f>
        <v>Yes</v>
      </c>
      <c r="X254" s="5" t="str">
        <f ca="1">IFERROR(__xludf.DUMMYFUNCTION("""COMPUTED_VALUE"""),"Yes")</f>
        <v>Yes</v>
      </c>
      <c r="Y254" s="5" t="str">
        <f ca="1">IFERROR(__xludf.DUMMYFUNCTION("""COMPUTED_VALUE"""),"Yes")</f>
        <v>Yes</v>
      </c>
      <c r="Z254" s="5" t="str">
        <f ca="1">IFERROR(__xludf.DUMMYFUNCTION("""COMPUTED_VALUE"""),"No")</f>
        <v>No</v>
      </c>
      <c r="AA254" s="5" t="str">
        <f ca="1">IFERROR(__xludf.DUMMYFUNCTION("""COMPUTED_VALUE"""),"Yes")</f>
        <v>Yes</v>
      </c>
      <c r="AB254" s="5" t="str">
        <f ca="1">IFERROR(__xludf.DUMMYFUNCTION("""COMPUTED_VALUE"""),"Yes")</f>
        <v>Yes</v>
      </c>
      <c r="AC254" s="5" t="str">
        <f ca="1">IFERROR(__xludf.DUMMYFUNCTION("""COMPUTED_VALUE"""),"Yes")</f>
        <v>Yes</v>
      </c>
      <c r="AD254" s="5" t="str">
        <f ca="1">IFERROR(__xludf.DUMMYFUNCTION("""COMPUTED_VALUE"""),"Yes")</f>
        <v>Yes</v>
      </c>
      <c r="AE254" s="5" t="str">
        <f ca="1">IFERROR(__xludf.DUMMYFUNCTION("""COMPUTED_VALUE"""),"No")</f>
        <v>No</v>
      </c>
      <c r="AF254" s="5" t="str">
        <f ca="1">IFERROR(__xludf.DUMMYFUNCTION("""COMPUTED_VALUE"""),"Yes")</f>
        <v>Yes</v>
      </c>
      <c r="AG254" s="5" t="str">
        <f ca="1">IFERROR(__xludf.DUMMYFUNCTION("""COMPUTED_VALUE"""),"No")</f>
        <v>No</v>
      </c>
      <c r="AH254" s="5" t="str">
        <f ca="1">IFERROR(__xludf.DUMMYFUNCTION("""COMPUTED_VALUE"""),"No")</f>
        <v>No</v>
      </c>
      <c r="AI254" s="5" t="str">
        <f ca="1">IFERROR(__xludf.DUMMYFUNCTION("""COMPUTED_VALUE"""),"No")</f>
        <v>No</v>
      </c>
      <c r="AJ254" s="5" t="str">
        <f ca="1">IFERROR(__xludf.DUMMYFUNCTION("""COMPUTED_VALUE"""),"No")</f>
        <v>No</v>
      </c>
      <c r="AK254" s="5" t="str">
        <f ca="1">IFERROR(__xludf.DUMMYFUNCTION("""COMPUTED_VALUE"""),"No")</f>
        <v>No</v>
      </c>
      <c r="AL254" s="5" t="str">
        <f ca="1">IFERROR(__xludf.DUMMYFUNCTION("""COMPUTED_VALUE"""),"No")</f>
        <v>No</v>
      </c>
      <c r="AM254" s="5"/>
      <c r="AN254" s="5"/>
      <c r="AO254" s="5"/>
      <c r="AP254" s="5"/>
      <c r="AQ254" s="5"/>
      <c r="AR254" s="5"/>
      <c r="AS254" s="5"/>
      <c r="AT254" s="5"/>
      <c r="AU254" s="5"/>
      <c r="AV254" s="5"/>
      <c r="AW254" s="5"/>
      <c r="AX254" s="5"/>
      <c r="AY254" s="5"/>
    </row>
    <row r="255" spans="1:51" x14ac:dyDescent="0.25">
      <c r="A2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5" s="5">
        <f ca="1">IFERROR(__xludf.DUMMYFUNCTION("""COMPUTED_VALUE"""),255)</f>
        <v>255</v>
      </c>
      <c r="C255" s="5">
        <f ca="1">IFERROR(__xludf.DUMMYFUNCTION("""COMPUTED_VALUE"""),254)</f>
        <v>254</v>
      </c>
      <c r="D255" s="5" t="str">
        <f ca="1">IFERROR(__xludf.DUMMYFUNCTION("""COMPUTED_VALUE"""),"BlazingHeat")</f>
        <v>BlazingHeat</v>
      </c>
      <c r="E255" s="5" t="str">
        <f ca="1">IFERROR(__xludf.DUMMYFUNCTION("""COMPUTED_VALUE"""),"Yes")</f>
        <v>Yes</v>
      </c>
      <c r="F255" s="5" t="str">
        <f ca="1">IFERROR(__xludf.DUMMYFUNCTION("""COMPUTED_VALUE"""),"Yes")</f>
        <v>Yes</v>
      </c>
      <c r="G255" s="5" t="str">
        <f ca="1">IFERROR(__xludf.DUMMYFUNCTION("""COMPUTED_VALUE"""),"Yes")</f>
        <v>Yes</v>
      </c>
      <c r="H255" s="5" t="str">
        <f ca="1">IFERROR(__xludf.DUMMYFUNCTION("""COMPUTED_VALUE"""),"Yes")</f>
        <v>Yes</v>
      </c>
      <c r="I255" s="5" t="str">
        <f ca="1">IFERROR(__xludf.DUMMYFUNCTION("""COMPUTED_VALUE"""),"Yes")</f>
        <v>Yes</v>
      </c>
      <c r="J255" s="5" t="str">
        <f ca="1">IFERROR(__xludf.DUMMYFUNCTION("""COMPUTED_VALUE"""),"Yes")</f>
        <v>Yes</v>
      </c>
      <c r="K255" s="5" t="str">
        <f ca="1">IFERROR(__xludf.DUMMYFUNCTION("""COMPUTED_VALUE"""),"Yes")</f>
        <v>Yes</v>
      </c>
      <c r="L255" s="5" t="str">
        <f ca="1">IFERROR(__xludf.DUMMYFUNCTION("""COMPUTED_VALUE"""),"Yes")</f>
        <v>Yes</v>
      </c>
      <c r="M255" s="5" t="str">
        <f ca="1">IFERROR(__xludf.DUMMYFUNCTION("""COMPUTED_VALUE"""),"Yes")</f>
        <v>Yes</v>
      </c>
      <c r="N255" s="5" t="str">
        <f ca="1">IFERROR(__xludf.DUMMYFUNCTION("""COMPUTED_VALUE"""),"Yes")</f>
        <v>Yes</v>
      </c>
      <c r="O255" s="5" t="str">
        <f ca="1">IFERROR(__xludf.DUMMYFUNCTION("""COMPUTED_VALUE"""),"Yes")</f>
        <v>Yes</v>
      </c>
      <c r="P255" s="5" t="str">
        <f ca="1">IFERROR(__xludf.DUMMYFUNCTION("""COMPUTED_VALUE"""),"Yes")</f>
        <v>Yes</v>
      </c>
      <c r="Q255" s="5" t="str">
        <f ca="1">IFERROR(__xludf.DUMMYFUNCTION("""COMPUTED_VALUE"""),"Yes")</f>
        <v>Yes</v>
      </c>
      <c r="R255" s="5" t="str">
        <f ca="1">IFERROR(__xludf.DUMMYFUNCTION("""COMPUTED_VALUE"""),"Yes")</f>
        <v>Yes</v>
      </c>
      <c r="S255" s="5" t="str">
        <f ca="1">IFERROR(__xludf.DUMMYFUNCTION("""COMPUTED_VALUE"""),"Yes")</f>
        <v>Yes</v>
      </c>
      <c r="T255" s="5" t="str">
        <f ca="1">IFERROR(__xludf.DUMMYFUNCTION("""COMPUTED_VALUE"""),"Yes")</f>
        <v>Yes</v>
      </c>
      <c r="U255" s="5" t="str">
        <f ca="1">IFERROR(__xludf.DUMMYFUNCTION("""COMPUTED_VALUE"""),"Yes")</f>
        <v>Yes</v>
      </c>
      <c r="V255" s="5" t="str">
        <f ca="1">IFERROR(__xludf.DUMMYFUNCTION("""COMPUTED_VALUE"""),"Yes")</f>
        <v>Yes</v>
      </c>
      <c r="W255" s="5" t="str">
        <f ca="1">IFERROR(__xludf.DUMMYFUNCTION("""COMPUTED_VALUE"""),"Yes")</f>
        <v>Yes</v>
      </c>
      <c r="X255" s="5" t="str">
        <f ca="1">IFERROR(__xludf.DUMMYFUNCTION("""COMPUTED_VALUE"""),"Yes")</f>
        <v>Yes</v>
      </c>
      <c r="Y255" s="5" t="str">
        <f ca="1">IFERROR(__xludf.DUMMYFUNCTION("""COMPUTED_VALUE"""),"Yes")</f>
        <v>Yes</v>
      </c>
      <c r="Z255" s="5"/>
      <c r="AA255" s="5" t="str">
        <f ca="1">IFERROR(__xludf.DUMMYFUNCTION("""COMPUTED_VALUE"""),"Yes")</f>
        <v>Yes</v>
      </c>
      <c r="AB255" s="5" t="str">
        <f ca="1">IFERROR(__xludf.DUMMYFUNCTION("""COMPUTED_VALUE"""),"Yes")</f>
        <v>Yes</v>
      </c>
      <c r="AC255" s="5" t="str">
        <f ca="1">IFERROR(__xludf.DUMMYFUNCTION("""COMPUTED_VALUE"""),"Yes")</f>
        <v>Yes</v>
      </c>
      <c r="AD255" s="5" t="str">
        <f ca="1">IFERROR(__xludf.DUMMYFUNCTION("""COMPUTED_VALUE"""),"Yes")</f>
        <v>Yes</v>
      </c>
      <c r="AE255" s="5"/>
      <c r="AF255" s="5" t="str">
        <f ca="1">IFERROR(__xludf.DUMMYFUNCTION("""COMPUTED_VALUE"""),"Yes")</f>
        <v>Yes</v>
      </c>
      <c r="AG255" s="5"/>
      <c r="AH255" s="5"/>
      <c r="AI255" s="5"/>
      <c r="AJ255" s="5"/>
      <c r="AK255" s="5"/>
      <c r="AL255" s="5"/>
      <c r="AM255" s="5"/>
      <c r="AN255" s="5"/>
      <c r="AO255" s="5"/>
      <c r="AP255" s="5"/>
      <c r="AQ255" s="5"/>
      <c r="AR255" s="5"/>
      <c r="AS255" s="5"/>
      <c r="AT255" s="5"/>
      <c r="AU255" s="5"/>
      <c r="AV255" s="5"/>
      <c r="AW255" s="5"/>
      <c r="AX255" s="5"/>
      <c r="AY255" s="5"/>
    </row>
    <row r="256" spans="1:51" x14ac:dyDescent="0.25">
      <c r="A256" s="5" t="str">
        <f ca="1">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56" s="5">
        <f ca="1">IFERROR(__xludf.DUMMYFUNCTION("""COMPUTED_VALUE"""),256)</f>
        <v>256</v>
      </c>
      <c r="C256" s="5">
        <f ca="1">IFERROR(__xludf.DUMMYFUNCTION("""COMPUTED_VALUE"""),255)</f>
        <v>255</v>
      </c>
      <c r="D256" s="5"/>
      <c r="E256" s="5" t="str">
        <f ca="1">IFERROR(__xludf.DUMMYFUNCTION("""COMPUTED_VALUE"""),"Yes")</f>
        <v>Yes</v>
      </c>
      <c r="F256" s="5" t="str">
        <f ca="1">IFERROR(__xludf.DUMMYFUNCTION("""COMPUTED_VALUE"""),"Yes")</f>
        <v>Yes</v>
      </c>
      <c r="G256" s="5" t="str">
        <f ca="1">IFERROR(__xludf.DUMMYFUNCTION("""COMPUTED_VALUE"""),"No")</f>
        <v>No</v>
      </c>
      <c r="H256" s="5" t="str">
        <f ca="1">IFERROR(__xludf.DUMMYFUNCTION("""COMPUTED_VALUE"""),"Yes")</f>
        <v>Yes</v>
      </c>
      <c r="I256" s="5" t="str">
        <f ca="1">IFERROR(__xludf.DUMMYFUNCTION("""COMPUTED_VALUE"""),"Yes")</f>
        <v>Yes</v>
      </c>
      <c r="J256" s="5" t="str">
        <f ca="1">IFERROR(__xludf.DUMMYFUNCTION("""COMPUTED_VALUE"""),"Yes")</f>
        <v>Yes</v>
      </c>
      <c r="K256" s="5" t="str">
        <f ca="1">IFERROR(__xludf.DUMMYFUNCTION("""COMPUTED_VALUE"""),"Yes")</f>
        <v>Yes</v>
      </c>
      <c r="L256" s="5" t="str">
        <f ca="1">IFERROR(__xludf.DUMMYFUNCTION("""COMPUTED_VALUE"""),"Yes")</f>
        <v>Yes</v>
      </c>
      <c r="M256" s="5" t="str">
        <f ca="1">IFERROR(__xludf.DUMMYFUNCTION("""COMPUTED_VALUE"""),"Yes")</f>
        <v>Yes</v>
      </c>
      <c r="N256" s="5" t="str">
        <f ca="1">IFERROR(__xludf.DUMMYFUNCTION("""COMPUTED_VALUE"""),"Yes")</f>
        <v>Yes</v>
      </c>
      <c r="O256" s="5" t="str">
        <f ca="1">IFERROR(__xludf.DUMMYFUNCTION("""COMPUTED_VALUE"""),"Yes")</f>
        <v>Yes</v>
      </c>
      <c r="P256" s="5" t="str">
        <f ca="1">IFERROR(__xludf.DUMMYFUNCTION("""COMPUTED_VALUE"""),"Yes")</f>
        <v>Yes</v>
      </c>
      <c r="Q256" s="5" t="str">
        <f ca="1">IFERROR(__xludf.DUMMYFUNCTION("""COMPUTED_VALUE"""),"Yes")</f>
        <v>Yes</v>
      </c>
      <c r="R256" s="5" t="str">
        <f ca="1">IFERROR(__xludf.DUMMYFUNCTION("""COMPUTED_VALUE"""),"Yes")</f>
        <v>Yes</v>
      </c>
      <c r="S256" s="5" t="str">
        <f ca="1">IFERROR(__xludf.DUMMYFUNCTION("""COMPUTED_VALUE"""),"Yes")</f>
        <v>Yes</v>
      </c>
      <c r="T256" s="5" t="str">
        <f ca="1">IFERROR(__xludf.DUMMYFUNCTION("""COMPUTED_VALUE"""),"Yes")</f>
        <v>Yes</v>
      </c>
      <c r="U256" s="5" t="str">
        <f ca="1">IFERROR(__xludf.DUMMYFUNCTION("""COMPUTED_VALUE"""),"Yes")</f>
        <v>Yes</v>
      </c>
      <c r="V256" s="5" t="str">
        <f ca="1">IFERROR(__xludf.DUMMYFUNCTION("""COMPUTED_VALUE"""),"No")</f>
        <v>No</v>
      </c>
      <c r="W256" s="5" t="str">
        <f ca="1">IFERROR(__xludf.DUMMYFUNCTION("""COMPUTED_VALUE"""),"No")</f>
        <v>No</v>
      </c>
      <c r="X256" s="5" t="str">
        <f ca="1">IFERROR(__xludf.DUMMYFUNCTION("""COMPUTED_VALUE"""),"No")</f>
        <v>No</v>
      </c>
      <c r="Y256" s="5" t="str">
        <f ca="1">IFERROR(__xludf.DUMMYFUNCTION("""COMPUTED_VALUE"""),"No")</f>
        <v>No</v>
      </c>
      <c r="Z256" s="5" t="str">
        <f ca="1">IFERROR(__xludf.DUMMYFUNCTION("""COMPUTED_VALUE"""),"No")</f>
        <v>No</v>
      </c>
      <c r="AA256" s="5" t="str">
        <f ca="1">IFERROR(__xludf.DUMMYFUNCTION("""COMPUTED_VALUE"""),"No")</f>
        <v>No</v>
      </c>
      <c r="AB256" s="5" t="str">
        <f ca="1">IFERROR(__xludf.DUMMYFUNCTION("""COMPUTED_VALUE"""),"No")</f>
        <v>No</v>
      </c>
      <c r="AC256" s="5" t="str">
        <f ca="1">IFERROR(__xludf.DUMMYFUNCTION("""COMPUTED_VALUE"""),"No")</f>
        <v>No</v>
      </c>
      <c r="AD256" s="5" t="str">
        <f ca="1">IFERROR(__xludf.DUMMYFUNCTION("""COMPUTED_VALUE"""),"No")</f>
        <v>No</v>
      </c>
      <c r="AE256" s="5" t="str">
        <f ca="1">IFERROR(__xludf.DUMMYFUNCTION("""COMPUTED_VALUE"""),"No")</f>
        <v>No</v>
      </c>
      <c r="AF256" s="5" t="str">
        <f ca="1">IFERROR(__xludf.DUMMYFUNCTION("""COMPUTED_VALUE"""),"Yes")</f>
        <v>Yes</v>
      </c>
      <c r="AG256" s="5" t="str">
        <f ca="1">IFERROR(__xludf.DUMMYFUNCTION("""COMPUTED_VALUE"""),"No")</f>
        <v>No</v>
      </c>
      <c r="AH256" s="5" t="str">
        <f ca="1">IFERROR(__xludf.DUMMYFUNCTION("""COMPUTED_VALUE"""),"Yes")</f>
        <v>Yes</v>
      </c>
      <c r="AI256" s="5" t="str">
        <f ca="1">IFERROR(__xludf.DUMMYFUNCTION("""COMPUTED_VALUE"""),"No")</f>
        <v>No</v>
      </c>
      <c r="AJ256" s="5" t="str">
        <f ca="1">IFERROR(__xludf.DUMMYFUNCTION("""COMPUTED_VALUE"""),"No")</f>
        <v>No</v>
      </c>
      <c r="AK256" s="5" t="str">
        <f ca="1">IFERROR(__xludf.DUMMYFUNCTION("""COMPUTED_VALUE"""),"No")</f>
        <v>No</v>
      </c>
      <c r="AL256" s="5" t="str">
        <f ca="1">IFERROR(__xludf.DUMMYFUNCTION("""COMPUTED_VALUE"""),"No")</f>
        <v>No</v>
      </c>
      <c r="AM256" s="5"/>
      <c r="AN256" s="5"/>
      <c r="AO256" s="5"/>
      <c r="AP256" s="5"/>
      <c r="AQ256" s="5"/>
      <c r="AR256" s="5"/>
      <c r="AS256" s="5"/>
      <c r="AT256" s="5"/>
      <c r="AU256" s="5"/>
      <c r="AV256" s="5"/>
      <c r="AW256" s="5"/>
      <c r="AX256" s="5"/>
      <c r="AY256" s="5"/>
    </row>
    <row r="257" spans="1:51" x14ac:dyDescent="0.25">
      <c r="A257" s="5" t="str">
        <f ca="1">IFERROR(__xludf.DUMMYFUNCTION("""COMPUTED_VALUE"""),"English(""eng"")")</f>
        <v>English("eng")</v>
      </c>
      <c r="B257" s="5">
        <f ca="1">IFERROR(__xludf.DUMMYFUNCTION("""COMPUTED_VALUE"""),257)</f>
        <v>257</v>
      </c>
      <c r="C257" s="5">
        <f ca="1">IFERROR(__xludf.DUMMYFUNCTION("""COMPUTED_VALUE"""),256)</f>
        <v>256</v>
      </c>
      <c r="D257" s="5" t="str">
        <f ca="1">IFERROR(__xludf.DUMMYFUNCTION("""COMPUTED_VALUE"""),"UnicornFireStars")</f>
        <v>UnicornFireStars</v>
      </c>
      <c r="E257" s="5" t="str">
        <f ca="1">IFERROR(__xludf.DUMMYFUNCTION("""COMPUTED_VALUE"""),"Yes")</f>
        <v>Yes</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row>
    <row r="258" spans="1:51" x14ac:dyDescent="0.25">
      <c r="A25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58" s="5">
        <f ca="1">IFERROR(__xludf.DUMMYFUNCTION("""COMPUTED_VALUE"""),258)</f>
        <v>258</v>
      </c>
      <c r="C258" s="5">
        <f ca="1">IFERROR(__xludf.DUMMYFUNCTION("""COMPUTED_VALUE"""),257)</f>
        <v>257</v>
      </c>
      <c r="D258" s="5" t="str">
        <f ca="1">IFERROR(__xludf.DUMMYFUNCTION("""COMPUTED_VALUE"""),"Unicorn20HotStrikeDice")</f>
        <v>Unicorn20HotStrikeDice</v>
      </c>
      <c r="E258" s="5" t="str">
        <f ca="1">IFERROR(__xludf.DUMMYFUNCTION("""COMPUTED_VALUE"""),"Yes")</f>
        <v>Yes</v>
      </c>
      <c r="F258" s="5" t="str">
        <f ca="1">IFERROR(__xludf.DUMMYFUNCTION("""COMPUTED_VALUE"""),"Yes")</f>
        <v>Yes</v>
      </c>
      <c r="G258" s="5" t="str">
        <f ca="1">IFERROR(__xludf.DUMMYFUNCTION("""COMPUTED_VALUE"""),"Yes")</f>
        <v>Yes</v>
      </c>
      <c r="H258" s="5" t="str">
        <f ca="1">IFERROR(__xludf.DUMMYFUNCTION("""COMPUTED_VALUE"""),"No")</f>
        <v>No</v>
      </c>
      <c r="I258" s="5" t="str">
        <f ca="1">IFERROR(__xludf.DUMMYFUNCTION("""COMPUTED_VALUE"""),"No")</f>
        <v>No</v>
      </c>
      <c r="J258" s="5" t="str">
        <f ca="1">IFERROR(__xludf.DUMMYFUNCTION("""COMPUTED_VALUE"""),"No")</f>
        <v>No</v>
      </c>
      <c r="K258" s="5" t="str">
        <f ca="1">IFERROR(__xludf.DUMMYFUNCTION("""COMPUTED_VALUE"""),"No")</f>
        <v>No</v>
      </c>
      <c r="L258" s="5" t="str">
        <f ca="1">IFERROR(__xludf.DUMMYFUNCTION("""COMPUTED_VALUE"""),"No")</f>
        <v>No</v>
      </c>
      <c r="M258" s="5" t="str">
        <f ca="1">IFERROR(__xludf.DUMMYFUNCTION("""COMPUTED_VALUE"""),"Yes")</f>
        <v>Yes</v>
      </c>
      <c r="N258" s="5" t="str">
        <f ca="1">IFERROR(__xludf.DUMMYFUNCTION("""COMPUTED_VALUE"""),"Yes")</f>
        <v>Yes</v>
      </c>
      <c r="O258" s="5" t="str">
        <f ca="1">IFERROR(__xludf.DUMMYFUNCTION("""COMPUTED_VALUE"""),"Yes")</f>
        <v>Yes</v>
      </c>
      <c r="P258" s="5" t="str">
        <f ca="1">IFERROR(__xludf.DUMMYFUNCTION("""COMPUTED_VALUE"""),"Yes")</f>
        <v>Yes</v>
      </c>
      <c r="Q258" s="5" t="str">
        <f ca="1">IFERROR(__xludf.DUMMYFUNCTION("""COMPUTED_VALUE"""),"Yes")</f>
        <v>Yes</v>
      </c>
      <c r="R258" s="5" t="str">
        <f ca="1">IFERROR(__xludf.DUMMYFUNCTION("""COMPUTED_VALUE"""),"No")</f>
        <v>No</v>
      </c>
      <c r="S258" s="5" t="str">
        <f ca="1">IFERROR(__xludf.DUMMYFUNCTION("""COMPUTED_VALUE"""),"Yes")</f>
        <v>Yes</v>
      </c>
      <c r="T258" s="5" t="str">
        <f ca="1">IFERROR(__xludf.DUMMYFUNCTION("""COMPUTED_VALUE"""),"No")</f>
        <v>No</v>
      </c>
      <c r="U258" s="5" t="str">
        <f ca="1">IFERROR(__xludf.DUMMYFUNCTION("""COMPUTED_VALUE"""),"No")</f>
        <v>No</v>
      </c>
      <c r="V258" s="5" t="str">
        <f ca="1">IFERROR(__xludf.DUMMYFUNCTION("""COMPUTED_VALUE"""),"No")</f>
        <v>No</v>
      </c>
      <c r="W258" s="5" t="str">
        <f ca="1">IFERROR(__xludf.DUMMYFUNCTION("""COMPUTED_VALUE"""),"No")</f>
        <v>No</v>
      </c>
      <c r="X258" s="5"/>
      <c r="Y258" s="5"/>
      <c r="Z258" s="5"/>
      <c r="AA258" s="5"/>
      <c r="AB258" s="5"/>
      <c r="AC258" s="5" t="str">
        <f ca="1">IFERROR(__xludf.DUMMYFUNCTION("""COMPUTED_VALUE"""),"No")</f>
        <v>No</v>
      </c>
      <c r="AD258" s="5"/>
      <c r="AE258" s="5"/>
      <c r="AF258" s="5"/>
      <c r="AG258" s="5"/>
      <c r="AH258" s="5"/>
      <c r="AI258" s="5"/>
      <c r="AJ258" s="5"/>
      <c r="AK258" s="5"/>
      <c r="AL258" s="5"/>
      <c r="AM258" s="5"/>
      <c r="AN258" s="5"/>
      <c r="AO258" s="5"/>
      <c r="AP258" s="5"/>
      <c r="AQ258" s="5"/>
      <c r="AR258" s="5"/>
      <c r="AS258" s="5"/>
      <c r="AT258" s="5"/>
      <c r="AU258" s="5"/>
      <c r="AV258" s="5"/>
      <c r="AW258" s="5"/>
      <c r="AX258" s="5"/>
      <c r="AY258" s="5"/>
    </row>
    <row r="259" spans="1:51" x14ac:dyDescent="0.25">
      <c r="A25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59" s="5">
        <f ca="1">IFERROR(__xludf.DUMMYFUNCTION("""COMPUTED_VALUE"""),259)</f>
        <v>259</v>
      </c>
      <c r="C259" s="5">
        <f ca="1">IFERROR(__xludf.DUMMYFUNCTION("""COMPUTED_VALUE"""),258)</f>
        <v>258</v>
      </c>
      <c r="D259" s="5" t="str">
        <f ca="1">IFERROR(__xludf.DUMMYFUNCTION("""COMPUTED_VALUE"""),"UnicornBikiniDice")</f>
        <v>UnicornBikiniDice</v>
      </c>
      <c r="E259" s="5" t="str">
        <f ca="1">IFERROR(__xludf.DUMMYFUNCTION("""COMPUTED_VALUE"""),"Yes")</f>
        <v>Yes</v>
      </c>
      <c r="F259" s="5" t="str">
        <f ca="1">IFERROR(__xludf.DUMMYFUNCTION("""COMPUTED_VALUE"""),"Yes")</f>
        <v>Yes</v>
      </c>
      <c r="G259" s="5" t="str">
        <f ca="1">IFERROR(__xludf.DUMMYFUNCTION("""COMPUTED_VALUE"""),"Yes")</f>
        <v>Yes</v>
      </c>
      <c r="H259" s="5" t="str">
        <f ca="1">IFERROR(__xludf.DUMMYFUNCTION("""COMPUTED_VALUE"""),"No")</f>
        <v>No</v>
      </c>
      <c r="I259" s="5" t="str">
        <f ca="1">IFERROR(__xludf.DUMMYFUNCTION("""COMPUTED_VALUE"""),"No")</f>
        <v>No</v>
      </c>
      <c r="J259" s="5" t="str">
        <f ca="1">IFERROR(__xludf.DUMMYFUNCTION("""COMPUTED_VALUE"""),"No")</f>
        <v>No</v>
      </c>
      <c r="K259" s="5" t="str">
        <f ca="1">IFERROR(__xludf.DUMMYFUNCTION("""COMPUTED_VALUE"""),"No")</f>
        <v>No</v>
      </c>
      <c r="L259" s="5" t="str">
        <f ca="1">IFERROR(__xludf.DUMMYFUNCTION("""COMPUTED_VALUE"""),"No")</f>
        <v>No</v>
      </c>
      <c r="M259" s="5" t="str">
        <f ca="1">IFERROR(__xludf.DUMMYFUNCTION("""COMPUTED_VALUE"""),"Yes")</f>
        <v>Yes</v>
      </c>
      <c r="N259" s="5" t="str">
        <f ca="1">IFERROR(__xludf.DUMMYFUNCTION("""COMPUTED_VALUE"""),"Yes")</f>
        <v>Yes</v>
      </c>
      <c r="O259" s="5" t="str">
        <f ca="1">IFERROR(__xludf.DUMMYFUNCTION("""COMPUTED_VALUE"""),"Yes")</f>
        <v>Yes</v>
      </c>
      <c r="P259" s="5" t="str">
        <f ca="1">IFERROR(__xludf.DUMMYFUNCTION("""COMPUTED_VALUE"""),"Yes")</f>
        <v>Yes</v>
      </c>
      <c r="Q259" s="5" t="str">
        <f ca="1">IFERROR(__xludf.DUMMYFUNCTION("""COMPUTED_VALUE"""),"Yes")</f>
        <v>Yes</v>
      </c>
      <c r="R259" s="5" t="str">
        <f ca="1">IFERROR(__xludf.DUMMYFUNCTION("""COMPUTED_VALUE"""),"No")</f>
        <v>No</v>
      </c>
      <c r="S259" s="5" t="str">
        <f ca="1">IFERROR(__xludf.DUMMYFUNCTION("""COMPUTED_VALUE"""),"Yes")</f>
        <v>Yes</v>
      </c>
      <c r="T259" s="5" t="str">
        <f ca="1">IFERROR(__xludf.DUMMYFUNCTION("""COMPUTED_VALUE"""),"No")</f>
        <v>No</v>
      </c>
      <c r="U259" s="5" t="str">
        <f ca="1">IFERROR(__xludf.DUMMYFUNCTION("""COMPUTED_VALUE"""),"No")</f>
        <v>No</v>
      </c>
      <c r="V259" s="5" t="str">
        <f ca="1">IFERROR(__xludf.DUMMYFUNCTION("""COMPUTED_VALUE"""),"No")</f>
        <v>No</v>
      </c>
      <c r="W259" s="5" t="str">
        <f ca="1">IFERROR(__xludf.DUMMYFUNCTION("""COMPUTED_VALUE"""),"No")</f>
        <v>No</v>
      </c>
      <c r="X259" s="5"/>
      <c r="Y259" s="5"/>
      <c r="Z259" s="5"/>
      <c r="AA259" s="5"/>
      <c r="AB259" s="5"/>
      <c r="AC259" s="5" t="str">
        <f ca="1">IFERROR(__xludf.DUMMYFUNCTION("""COMPUTED_VALUE"""),"No")</f>
        <v>No</v>
      </c>
      <c r="AD259" s="5"/>
      <c r="AE259" s="5"/>
      <c r="AF259" s="5"/>
      <c r="AG259" s="5"/>
      <c r="AH259" s="5"/>
      <c r="AI259" s="5"/>
      <c r="AJ259" s="5"/>
      <c r="AK259" s="5"/>
      <c r="AL259" s="5"/>
      <c r="AM259" s="5"/>
      <c r="AN259" s="5"/>
      <c r="AO259" s="5"/>
      <c r="AP259" s="5"/>
      <c r="AQ259" s="5"/>
      <c r="AR259" s="5"/>
      <c r="AS259" s="5"/>
      <c r="AT259" s="5"/>
      <c r="AU259" s="5"/>
      <c r="AV259" s="5"/>
      <c r="AW259" s="5"/>
      <c r="AX259" s="5"/>
      <c r="AY259" s="5"/>
    </row>
    <row r="260" spans="1:51" x14ac:dyDescent="0.25">
      <c r="A26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60" s="5">
        <f ca="1">IFERROR(__xludf.DUMMYFUNCTION("""COMPUTED_VALUE"""),260)</f>
        <v>260</v>
      </c>
      <c r="C260" s="5">
        <f ca="1">IFERROR(__xludf.DUMMYFUNCTION("""COMPUTED_VALUE"""),259)</f>
        <v>259</v>
      </c>
      <c r="D260" s="5" t="str">
        <f ca="1">IFERROR(__xludf.DUMMYFUNCTION("""COMPUTED_VALUE"""),"HotHotStereoWin")</f>
        <v>HotHotStereoWin</v>
      </c>
      <c r="E260" s="5" t="str">
        <f ca="1">IFERROR(__xludf.DUMMYFUNCTION("""COMPUTED_VALUE"""),"Yes")</f>
        <v>Yes</v>
      </c>
      <c r="F260" s="5" t="str">
        <f ca="1">IFERROR(__xludf.DUMMYFUNCTION("""COMPUTED_VALUE"""),"Yes")</f>
        <v>Yes</v>
      </c>
      <c r="G260" s="5" t="str">
        <f ca="1">IFERROR(__xludf.DUMMYFUNCTION("""COMPUTED_VALUE"""),"Yes")</f>
        <v>Yes</v>
      </c>
      <c r="H260" s="5" t="str">
        <f ca="1">IFERROR(__xludf.DUMMYFUNCTION("""COMPUTED_VALUE"""),"No")</f>
        <v>No</v>
      </c>
      <c r="I260" s="5" t="str">
        <f ca="1">IFERROR(__xludf.DUMMYFUNCTION("""COMPUTED_VALUE"""),"No")</f>
        <v>No</v>
      </c>
      <c r="J260" s="5" t="str">
        <f ca="1">IFERROR(__xludf.DUMMYFUNCTION("""COMPUTED_VALUE"""),"No")</f>
        <v>No</v>
      </c>
      <c r="K260" s="5" t="str">
        <f ca="1">IFERROR(__xludf.DUMMYFUNCTION("""COMPUTED_VALUE"""),"No")</f>
        <v>No</v>
      </c>
      <c r="L260" s="5" t="str">
        <f ca="1">IFERROR(__xludf.DUMMYFUNCTION("""COMPUTED_VALUE"""),"No")</f>
        <v>No</v>
      </c>
      <c r="M260" s="5" t="str">
        <f ca="1">IFERROR(__xludf.DUMMYFUNCTION("""COMPUTED_VALUE"""),"Yes")</f>
        <v>Yes</v>
      </c>
      <c r="N260" s="5" t="str">
        <f ca="1">IFERROR(__xludf.DUMMYFUNCTION("""COMPUTED_VALUE"""),"Yes")</f>
        <v>Yes</v>
      </c>
      <c r="O260" s="5" t="str">
        <f ca="1">IFERROR(__xludf.DUMMYFUNCTION("""COMPUTED_VALUE"""),"Yes")</f>
        <v>Yes</v>
      </c>
      <c r="P260" s="5" t="str">
        <f ca="1">IFERROR(__xludf.DUMMYFUNCTION("""COMPUTED_VALUE"""),"Yes")</f>
        <v>Yes</v>
      </c>
      <c r="Q260" s="5" t="str">
        <f ca="1">IFERROR(__xludf.DUMMYFUNCTION("""COMPUTED_VALUE"""),"Yes")</f>
        <v>Yes</v>
      </c>
      <c r="R260" s="5" t="str">
        <f ca="1">IFERROR(__xludf.DUMMYFUNCTION("""COMPUTED_VALUE"""),"No")</f>
        <v>No</v>
      </c>
      <c r="S260" s="5" t="str">
        <f ca="1">IFERROR(__xludf.DUMMYFUNCTION("""COMPUTED_VALUE"""),"Yes")</f>
        <v>Yes</v>
      </c>
      <c r="T260" s="5" t="str">
        <f ca="1">IFERROR(__xludf.DUMMYFUNCTION("""COMPUTED_VALUE"""),"No")</f>
        <v>No</v>
      </c>
      <c r="U260" s="5" t="str">
        <f ca="1">IFERROR(__xludf.DUMMYFUNCTION("""COMPUTED_VALUE"""),"No")</f>
        <v>No</v>
      </c>
      <c r="V260" s="5" t="str">
        <f ca="1">IFERROR(__xludf.DUMMYFUNCTION("""COMPUTED_VALUE"""),"No")</f>
        <v>No</v>
      </c>
      <c r="W260" s="5" t="str">
        <f ca="1">IFERROR(__xludf.DUMMYFUNCTION("""COMPUTED_VALUE"""),"No")</f>
        <v>No</v>
      </c>
      <c r="X260" s="5"/>
      <c r="Y260" s="5"/>
      <c r="Z260" s="5"/>
      <c r="AA260" s="5"/>
      <c r="AB260" s="5"/>
      <c r="AC260" s="5" t="str">
        <f ca="1">IFERROR(__xludf.DUMMYFUNCTION("""COMPUTED_VALUE"""),"No")</f>
        <v>No</v>
      </c>
      <c r="AD260" s="5"/>
      <c r="AE260" s="5"/>
      <c r="AF260" s="5"/>
      <c r="AG260" s="5"/>
      <c r="AH260" s="5"/>
      <c r="AI260" s="5"/>
      <c r="AJ260" s="5"/>
      <c r="AK260" s="5"/>
      <c r="AL260" s="5"/>
      <c r="AM260" s="5"/>
      <c r="AN260" s="5"/>
      <c r="AO260" s="5"/>
      <c r="AP260" s="5"/>
      <c r="AQ260" s="5"/>
      <c r="AR260" s="5"/>
      <c r="AS260" s="5"/>
      <c r="AT260" s="5"/>
      <c r="AU260" s="5"/>
      <c r="AV260" s="5"/>
      <c r="AW260" s="5"/>
      <c r="AX260" s="5"/>
      <c r="AY260" s="5"/>
    </row>
    <row r="261" spans="1:51" x14ac:dyDescent="0.25">
      <c r="A2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1" s="5">
        <f ca="1">IFERROR(__xludf.DUMMYFUNCTION("""COMPUTED_VALUE"""),261)</f>
        <v>261</v>
      </c>
      <c r="C261" s="5">
        <f ca="1">IFERROR(__xludf.DUMMYFUNCTION("""COMPUTED_VALUE"""),260)</f>
        <v>260</v>
      </c>
      <c r="D261" s="5" t="str">
        <f ca="1">IFERROR(__xludf.DUMMYFUNCTION("""COMPUTED_VALUE"""),"EpicCrown5")</f>
        <v>EpicCrown5</v>
      </c>
      <c r="E261" s="5" t="str">
        <f ca="1">IFERROR(__xludf.DUMMYFUNCTION("""COMPUTED_VALUE"""),"Yes")</f>
        <v>Yes</v>
      </c>
      <c r="F261" s="5" t="str">
        <f ca="1">IFERROR(__xludf.DUMMYFUNCTION("""COMPUTED_VALUE"""),"Yes")</f>
        <v>Yes</v>
      </c>
      <c r="G261" s="5" t="str">
        <f ca="1">IFERROR(__xludf.DUMMYFUNCTION("""COMPUTED_VALUE"""),"Yes")</f>
        <v>Yes</v>
      </c>
      <c r="H261" s="5" t="str">
        <f ca="1">IFERROR(__xludf.DUMMYFUNCTION("""COMPUTED_VALUE"""),"Yes")</f>
        <v>Yes</v>
      </c>
      <c r="I261" s="5" t="str">
        <f ca="1">IFERROR(__xludf.DUMMYFUNCTION("""COMPUTED_VALUE"""),"Yes")</f>
        <v>Yes</v>
      </c>
      <c r="J261" s="5" t="str">
        <f ca="1">IFERROR(__xludf.DUMMYFUNCTION("""COMPUTED_VALUE"""),"Yes")</f>
        <v>Yes</v>
      </c>
      <c r="K261" s="5" t="str">
        <f ca="1">IFERROR(__xludf.DUMMYFUNCTION("""COMPUTED_VALUE"""),"Yes")</f>
        <v>Yes</v>
      </c>
      <c r="L261" s="5" t="str">
        <f ca="1">IFERROR(__xludf.DUMMYFUNCTION("""COMPUTED_VALUE"""),"Yes")</f>
        <v>Yes</v>
      </c>
      <c r="M261" s="5" t="str">
        <f ca="1">IFERROR(__xludf.DUMMYFUNCTION("""COMPUTED_VALUE"""),"Yes")</f>
        <v>Yes</v>
      </c>
      <c r="N261" s="5" t="str">
        <f ca="1">IFERROR(__xludf.DUMMYFUNCTION("""COMPUTED_VALUE"""),"Yes")</f>
        <v>Yes</v>
      </c>
      <c r="O261" s="5" t="str">
        <f ca="1">IFERROR(__xludf.DUMMYFUNCTION("""COMPUTED_VALUE"""),"Yes")</f>
        <v>Yes</v>
      </c>
      <c r="P261" s="5" t="str">
        <f ca="1">IFERROR(__xludf.DUMMYFUNCTION("""COMPUTED_VALUE"""),"Yes")</f>
        <v>Yes</v>
      </c>
      <c r="Q261" s="5" t="str">
        <f ca="1">IFERROR(__xludf.DUMMYFUNCTION("""COMPUTED_VALUE"""),"Yes")</f>
        <v>Yes</v>
      </c>
      <c r="R261" s="5" t="str">
        <f ca="1">IFERROR(__xludf.DUMMYFUNCTION("""COMPUTED_VALUE"""),"Yes")</f>
        <v>Yes</v>
      </c>
      <c r="S261" s="5" t="str">
        <f ca="1">IFERROR(__xludf.DUMMYFUNCTION("""COMPUTED_VALUE"""),"Yes")</f>
        <v>Yes</v>
      </c>
      <c r="T261" s="5" t="str">
        <f ca="1">IFERROR(__xludf.DUMMYFUNCTION("""COMPUTED_VALUE"""),"Yes")</f>
        <v>Yes</v>
      </c>
      <c r="U261" s="5" t="str">
        <f ca="1">IFERROR(__xludf.DUMMYFUNCTION("""COMPUTED_VALUE"""),"Yes")</f>
        <v>Yes</v>
      </c>
      <c r="V261" s="5" t="str">
        <f ca="1">IFERROR(__xludf.DUMMYFUNCTION("""COMPUTED_VALUE"""),"Yes")</f>
        <v>Yes</v>
      </c>
      <c r="W261" s="5" t="str">
        <f ca="1">IFERROR(__xludf.DUMMYFUNCTION("""COMPUTED_VALUE"""),"Yes")</f>
        <v>Yes</v>
      </c>
      <c r="X261" s="5" t="str">
        <f ca="1">IFERROR(__xludf.DUMMYFUNCTION("""COMPUTED_VALUE"""),"Yes")</f>
        <v>Yes</v>
      </c>
      <c r="Y261" s="5" t="str">
        <f ca="1">IFERROR(__xludf.DUMMYFUNCTION("""COMPUTED_VALUE"""),"Yes")</f>
        <v>Yes</v>
      </c>
      <c r="Z261" s="5" t="str">
        <f ca="1">IFERROR(__xludf.DUMMYFUNCTION("""COMPUTED_VALUE"""),"No")</f>
        <v>No</v>
      </c>
      <c r="AA261" s="5" t="str">
        <f ca="1">IFERROR(__xludf.DUMMYFUNCTION("""COMPUTED_VALUE"""),"Yes")</f>
        <v>Yes</v>
      </c>
      <c r="AB261" s="5" t="str">
        <f ca="1">IFERROR(__xludf.DUMMYFUNCTION("""COMPUTED_VALUE"""),"Yes")</f>
        <v>Yes</v>
      </c>
      <c r="AC261" s="5" t="str">
        <f ca="1">IFERROR(__xludf.DUMMYFUNCTION("""COMPUTED_VALUE"""),"Yes")</f>
        <v>Yes</v>
      </c>
      <c r="AD261" s="5" t="str">
        <f ca="1">IFERROR(__xludf.DUMMYFUNCTION("""COMPUTED_VALUE"""),"Yes")</f>
        <v>Yes</v>
      </c>
      <c r="AE261" s="5" t="str">
        <f ca="1">IFERROR(__xludf.DUMMYFUNCTION("""COMPUTED_VALUE"""),"No")</f>
        <v>No</v>
      </c>
      <c r="AF261" s="5" t="str">
        <f ca="1">IFERROR(__xludf.DUMMYFUNCTION("""COMPUTED_VALUE"""),"Yes")</f>
        <v>Yes</v>
      </c>
      <c r="AG261" s="5" t="str">
        <f ca="1">IFERROR(__xludf.DUMMYFUNCTION("""COMPUTED_VALUE"""),"No")</f>
        <v>No</v>
      </c>
      <c r="AH261" s="5" t="str">
        <f ca="1">IFERROR(__xludf.DUMMYFUNCTION("""COMPUTED_VALUE"""),"No")</f>
        <v>No</v>
      </c>
      <c r="AI261" s="5" t="str">
        <f ca="1">IFERROR(__xludf.DUMMYFUNCTION("""COMPUTED_VALUE"""),"No")</f>
        <v>No</v>
      </c>
      <c r="AJ261" s="5" t="str">
        <f ca="1">IFERROR(__xludf.DUMMYFUNCTION("""COMPUTED_VALUE"""),"No")</f>
        <v>No</v>
      </c>
      <c r="AK261" s="5" t="str">
        <f ca="1">IFERROR(__xludf.DUMMYFUNCTION("""COMPUTED_VALUE"""),"No")</f>
        <v>No</v>
      </c>
      <c r="AL261" s="5" t="str">
        <f ca="1">IFERROR(__xludf.DUMMYFUNCTION("""COMPUTED_VALUE"""),"No")</f>
        <v>No</v>
      </c>
      <c r="AM261" s="5"/>
      <c r="AN261" s="5"/>
      <c r="AO261" s="5"/>
      <c r="AP261" s="5"/>
      <c r="AQ261" s="5"/>
      <c r="AR261" s="5"/>
      <c r="AS261" s="5"/>
      <c r="AT261" s="5"/>
      <c r="AU261" s="5"/>
      <c r="AV261" s="5"/>
      <c r="AW261" s="5"/>
      <c r="AX261" s="5"/>
      <c r="AY261" s="5"/>
    </row>
    <row r="262" spans="1:51" x14ac:dyDescent="0.25">
      <c r="A2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62" s="5">
        <f ca="1">IFERROR(__xludf.DUMMYFUNCTION("""COMPUTED_VALUE"""),262)</f>
        <v>262</v>
      </c>
      <c r="C262" s="5">
        <f ca="1">IFERROR(__xludf.DUMMYFUNCTION("""COMPUTED_VALUE"""),261)</f>
        <v>261</v>
      </c>
      <c r="D262" s="5" t="str">
        <f ca="1">IFERROR(__xludf.DUMMYFUNCTION("""COMPUTED_VALUE"""),"UnicornSimplySevens")</f>
        <v>UnicornSimplySevens</v>
      </c>
      <c r="E262" s="5" t="str">
        <f ca="1">IFERROR(__xludf.DUMMYFUNCTION("""COMPUTED_VALUE"""),"Yes")</f>
        <v>Yes</v>
      </c>
      <c r="F262" s="5" t="str">
        <f ca="1">IFERROR(__xludf.DUMMYFUNCTION("""COMPUTED_VALUE"""),"Yes")</f>
        <v>Yes</v>
      </c>
      <c r="G262" s="5" t="str">
        <f ca="1">IFERROR(__xludf.DUMMYFUNCTION("""COMPUTED_VALUE"""),"Yes")</f>
        <v>Yes</v>
      </c>
      <c r="H262" s="5" t="str">
        <f ca="1">IFERROR(__xludf.DUMMYFUNCTION("""COMPUTED_VALUE"""),"Yes")</f>
        <v>Yes</v>
      </c>
      <c r="I262" s="5" t="str">
        <f ca="1">IFERROR(__xludf.DUMMYFUNCTION("""COMPUTED_VALUE"""),"Yes")</f>
        <v>Yes</v>
      </c>
      <c r="J262" s="5" t="str">
        <f ca="1">IFERROR(__xludf.DUMMYFUNCTION("""COMPUTED_VALUE"""),"Yes")</f>
        <v>Yes</v>
      </c>
      <c r="K262" s="5" t="str">
        <f ca="1">IFERROR(__xludf.DUMMYFUNCTION("""COMPUTED_VALUE"""),"Yes")</f>
        <v>Yes</v>
      </c>
      <c r="L262" s="5" t="str">
        <f ca="1">IFERROR(__xludf.DUMMYFUNCTION("""COMPUTED_VALUE"""),"Yes")</f>
        <v>Yes</v>
      </c>
      <c r="M262" s="5" t="str">
        <f ca="1">IFERROR(__xludf.DUMMYFUNCTION("""COMPUTED_VALUE"""),"Yes")</f>
        <v>Yes</v>
      </c>
      <c r="N262" s="5" t="str">
        <f ca="1">IFERROR(__xludf.DUMMYFUNCTION("""COMPUTED_VALUE"""),"Yes")</f>
        <v>Yes</v>
      </c>
      <c r="O262" s="5" t="str">
        <f ca="1">IFERROR(__xludf.DUMMYFUNCTION("""COMPUTED_VALUE"""),"Yes")</f>
        <v>Yes</v>
      </c>
      <c r="P262" s="5" t="str">
        <f ca="1">IFERROR(__xludf.DUMMYFUNCTION("""COMPUTED_VALUE"""),"Yes")</f>
        <v>Yes</v>
      </c>
      <c r="Q262" s="5" t="str">
        <f ca="1">IFERROR(__xludf.DUMMYFUNCTION("""COMPUTED_VALUE"""),"Yes")</f>
        <v>Yes</v>
      </c>
      <c r="R262" s="5" t="str">
        <f ca="1">IFERROR(__xludf.DUMMYFUNCTION("""COMPUTED_VALUE"""),"Yes")</f>
        <v>Yes</v>
      </c>
      <c r="S262" s="5" t="str">
        <f ca="1">IFERROR(__xludf.DUMMYFUNCTION("""COMPUTED_VALUE"""),"Yes")</f>
        <v>Yes</v>
      </c>
      <c r="T262" s="5" t="str">
        <f ca="1">IFERROR(__xludf.DUMMYFUNCTION("""COMPUTED_VALUE"""),"Yes")</f>
        <v>Yes</v>
      </c>
      <c r="U262" s="5" t="str">
        <f ca="1">IFERROR(__xludf.DUMMYFUNCTION("""COMPUTED_VALUE"""),"Yes")</f>
        <v>Yes</v>
      </c>
      <c r="V262" s="5" t="str">
        <f ca="1">IFERROR(__xludf.DUMMYFUNCTION("""COMPUTED_VALUE"""),"Yes")</f>
        <v>Yes</v>
      </c>
      <c r="W262" s="5" t="str">
        <f ca="1">IFERROR(__xludf.DUMMYFUNCTION("""COMPUTED_VALUE"""),"Yes")</f>
        <v>Yes</v>
      </c>
      <c r="X262" s="5"/>
      <c r="Y262" s="5" t="str">
        <f ca="1">IFERROR(__xludf.DUMMYFUNCTION("""COMPUTED_VALUE"""),"Yes")</f>
        <v>Yes</v>
      </c>
      <c r="Z262" s="5"/>
      <c r="AA262" s="5" t="str">
        <f ca="1">IFERROR(__xludf.DUMMYFUNCTION("""COMPUTED_VALUE"""),"Yes")</f>
        <v>Yes</v>
      </c>
      <c r="AB262" s="5" t="str">
        <f ca="1">IFERROR(__xludf.DUMMYFUNCTION("""COMPUTED_VALUE"""),"Yes")</f>
        <v>Yes</v>
      </c>
      <c r="AC262" s="5" t="str">
        <f ca="1">IFERROR(__xludf.DUMMYFUNCTION("""COMPUTED_VALUE"""),"Yes")</f>
        <v>Yes</v>
      </c>
      <c r="AD262" s="5" t="str">
        <f ca="1">IFERROR(__xludf.DUMMYFUNCTION("""COMPUTED_VALUE"""),"Yes")</f>
        <v>Yes</v>
      </c>
      <c r="AE262" s="5"/>
      <c r="AF262" s="5" t="str">
        <f ca="1">IFERROR(__xludf.DUMMYFUNCTION("""COMPUTED_VALUE"""),"Yes")</f>
        <v>Yes</v>
      </c>
      <c r="AG262" s="5"/>
      <c r="AH262" s="5"/>
      <c r="AI262" s="5"/>
      <c r="AJ262" s="5"/>
      <c r="AK262" s="5"/>
      <c r="AL262" s="5"/>
      <c r="AM262" s="5"/>
      <c r="AN262" s="5"/>
      <c r="AO262" s="5"/>
      <c r="AP262" s="5"/>
      <c r="AQ262" s="5"/>
      <c r="AR262" s="5"/>
      <c r="AS262" s="5"/>
      <c r="AT262" s="5"/>
      <c r="AU262" s="5"/>
      <c r="AV262" s="5"/>
      <c r="AW262" s="5"/>
      <c r="AX262" s="5"/>
      <c r="AY262" s="5"/>
    </row>
    <row r="263" spans="1:51" x14ac:dyDescent="0.25">
      <c r="A2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3" s="5">
        <f ca="1">IFERROR(__xludf.DUMMYFUNCTION("""COMPUTED_VALUE"""),263)</f>
        <v>263</v>
      </c>
      <c r="C263" s="5">
        <f ca="1">IFERROR(__xludf.DUMMYFUNCTION("""COMPUTED_VALUE"""),262)</f>
        <v>262</v>
      </c>
      <c r="D263" s="5" t="str">
        <f ca="1">IFERROR(__xludf.DUMMYFUNCTION("""COMPUTED_VALUE"""),"DeadNight")</f>
        <v>DeadNight</v>
      </c>
      <c r="E263" s="5" t="str">
        <f ca="1">IFERROR(__xludf.DUMMYFUNCTION("""COMPUTED_VALUE"""),"Yes")</f>
        <v>Yes</v>
      </c>
      <c r="F263" s="5" t="str">
        <f ca="1">IFERROR(__xludf.DUMMYFUNCTION("""COMPUTED_VALUE"""),"Yes")</f>
        <v>Yes</v>
      </c>
      <c r="G263" s="5" t="str">
        <f ca="1">IFERROR(__xludf.DUMMYFUNCTION("""COMPUTED_VALUE"""),"Yes")</f>
        <v>Yes</v>
      </c>
      <c r="H263" s="5" t="str">
        <f ca="1">IFERROR(__xludf.DUMMYFUNCTION("""COMPUTED_VALUE"""),"Yes")</f>
        <v>Yes</v>
      </c>
      <c r="I263" s="5" t="str">
        <f ca="1">IFERROR(__xludf.DUMMYFUNCTION("""COMPUTED_VALUE"""),"Yes")</f>
        <v>Yes</v>
      </c>
      <c r="J263" s="5" t="str">
        <f ca="1">IFERROR(__xludf.DUMMYFUNCTION("""COMPUTED_VALUE"""),"Yes")</f>
        <v>Yes</v>
      </c>
      <c r="K263" s="5" t="str">
        <f ca="1">IFERROR(__xludf.DUMMYFUNCTION("""COMPUTED_VALUE"""),"Yes")</f>
        <v>Yes</v>
      </c>
      <c r="L263" s="5" t="str">
        <f ca="1">IFERROR(__xludf.DUMMYFUNCTION("""COMPUTED_VALUE"""),"Yes")</f>
        <v>Yes</v>
      </c>
      <c r="M263" s="5" t="str">
        <f ca="1">IFERROR(__xludf.DUMMYFUNCTION("""COMPUTED_VALUE"""),"Yes")</f>
        <v>Yes</v>
      </c>
      <c r="N263" s="5" t="str">
        <f ca="1">IFERROR(__xludf.DUMMYFUNCTION("""COMPUTED_VALUE"""),"Yes")</f>
        <v>Yes</v>
      </c>
      <c r="O263" s="5" t="str">
        <f ca="1">IFERROR(__xludf.DUMMYFUNCTION("""COMPUTED_VALUE"""),"Yes")</f>
        <v>Yes</v>
      </c>
      <c r="P263" s="5" t="str">
        <f ca="1">IFERROR(__xludf.DUMMYFUNCTION("""COMPUTED_VALUE"""),"Yes")</f>
        <v>Yes</v>
      </c>
      <c r="Q263" s="5" t="str">
        <f ca="1">IFERROR(__xludf.DUMMYFUNCTION("""COMPUTED_VALUE"""),"Yes")</f>
        <v>Yes</v>
      </c>
      <c r="R263" s="5" t="str">
        <f ca="1">IFERROR(__xludf.DUMMYFUNCTION("""COMPUTED_VALUE"""),"Yes")</f>
        <v>Yes</v>
      </c>
      <c r="S263" s="5" t="str">
        <f ca="1">IFERROR(__xludf.DUMMYFUNCTION("""COMPUTED_VALUE"""),"Yes")</f>
        <v>Yes</v>
      </c>
      <c r="T263" s="5" t="str">
        <f ca="1">IFERROR(__xludf.DUMMYFUNCTION("""COMPUTED_VALUE"""),"Yes")</f>
        <v>Yes</v>
      </c>
      <c r="U263" s="5" t="str">
        <f ca="1">IFERROR(__xludf.DUMMYFUNCTION("""COMPUTED_VALUE"""),"Yes")</f>
        <v>Yes</v>
      </c>
      <c r="V263" s="5" t="str">
        <f ca="1">IFERROR(__xludf.DUMMYFUNCTION("""COMPUTED_VALUE"""),"Yes")</f>
        <v>Yes</v>
      </c>
      <c r="W263" s="5" t="str">
        <f ca="1">IFERROR(__xludf.DUMMYFUNCTION("""COMPUTED_VALUE"""),"Yes")</f>
        <v>Yes</v>
      </c>
      <c r="X263" s="5" t="str">
        <f ca="1">IFERROR(__xludf.DUMMYFUNCTION("""COMPUTED_VALUE"""),"Yes")</f>
        <v>Yes</v>
      </c>
      <c r="Y263" s="5" t="str">
        <f ca="1">IFERROR(__xludf.DUMMYFUNCTION("""COMPUTED_VALUE"""),"Yes")</f>
        <v>Yes</v>
      </c>
      <c r="Z263" s="5" t="str">
        <f ca="1">IFERROR(__xludf.DUMMYFUNCTION("""COMPUTED_VALUE"""),"No")</f>
        <v>No</v>
      </c>
      <c r="AA263" s="5" t="str">
        <f ca="1">IFERROR(__xludf.DUMMYFUNCTION("""COMPUTED_VALUE"""),"Yes")</f>
        <v>Yes</v>
      </c>
      <c r="AB263" s="5" t="str">
        <f ca="1">IFERROR(__xludf.DUMMYFUNCTION("""COMPUTED_VALUE"""),"Yes")</f>
        <v>Yes</v>
      </c>
      <c r="AC263" s="5" t="str">
        <f ca="1">IFERROR(__xludf.DUMMYFUNCTION("""COMPUTED_VALUE"""),"Yes")</f>
        <v>Yes</v>
      </c>
      <c r="AD263" s="5" t="str">
        <f ca="1">IFERROR(__xludf.DUMMYFUNCTION("""COMPUTED_VALUE"""),"Yes")</f>
        <v>Yes</v>
      </c>
      <c r="AE263" s="5" t="str">
        <f ca="1">IFERROR(__xludf.DUMMYFUNCTION("""COMPUTED_VALUE"""),"No")</f>
        <v>No</v>
      </c>
      <c r="AF263" s="5" t="str">
        <f ca="1">IFERROR(__xludf.DUMMYFUNCTION("""COMPUTED_VALUE"""),"Yes")</f>
        <v>Yes</v>
      </c>
      <c r="AG263" s="5" t="str">
        <f ca="1">IFERROR(__xludf.DUMMYFUNCTION("""COMPUTED_VALUE"""),"No")</f>
        <v>No</v>
      </c>
      <c r="AH263" s="5" t="str">
        <f ca="1">IFERROR(__xludf.DUMMYFUNCTION("""COMPUTED_VALUE"""),"No")</f>
        <v>No</v>
      </c>
      <c r="AI263" s="5" t="str">
        <f ca="1">IFERROR(__xludf.DUMMYFUNCTION("""COMPUTED_VALUE"""),"No")</f>
        <v>No</v>
      </c>
      <c r="AJ263" s="5" t="str">
        <f ca="1">IFERROR(__xludf.DUMMYFUNCTION("""COMPUTED_VALUE"""),"No")</f>
        <v>No</v>
      </c>
      <c r="AK263" s="5" t="str">
        <f ca="1">IFERROR(__xludf.DUMMYFUNCTION("""COMPUTED_VALUE"""),"No")</f>
        <v>No</v>
      </c>
      <c r="AL263" s="5" t="str">
        <f ca="1">IFERROR(__xludf.DUMMYFUNCTION("""COMPUTED_VALUE"""),"No")</f>
        <v>No</v>
      </c>
      <c r="AM263" s="5"/>
      <c r="AN263" s="5"/>
      <c r="AO263" s="5"/>
      <c r="AP263" s="5"/>
      <c r="AQ263" s="5"/>
      <c r="AR263" s="5"/>
      <c r="AS263" s="5"/>
      <c r="AT263" s="5"/>
      <c r="AU263" s="5"/>
      <c r="AV263" s="5"/>
      <c r="AW263" s="5"/>
      <c r="AX263" s="5"/>
      <c r="AY263" s="5"/>
    </row>
    <row r="264" spans="1:51" x14ac:dyDescent="0.25">
      <c r="A2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4" s="5">
        <f ca="1">IFERROR(__xludf.DUMMYFUNCTION("""COMPUTED_VALUE"""),264)</f>
        <v>264</v>
      </c>
      <c r="C264" s="5">
        <f ca="1">IFERROR(__xludf.DUMMYFUNCTION("""COMPUTED_VALUE"""),263)</f>
        <v>263</v>
      </c>
      <c r="D264" s="5" t="str">
        <f ca="1">IFERROR(__xludf.DUMMYFUNCTION("""COMPUTED_VALUE"""),"WinningClover5")</f>
        <v>WinningClover5</v>
      </c>
      <c r="E264" s="5" t="str">
        <f ca="1">IFERROR(__xludf.DUMMYFUNCTION("""COMPUTED_VALUE"""),"Yes")</f>
        <v>Yes</v>
      </c>
      <c r="F264" s="5" t="str">
        <f ca="1">IFERROR(__xludf.DUMMYFUNCTION("""COMPUTED_VALUE"""),"Yes")</f>
        <v>Yes</v>
      </c>
      <c r="G264" s="5" t="str">
        <f ca="1">IFERROR(__xludf.DUMMYFUNCTION("""COMPUTED_VALUE"""),"Yes")</f>
        <v>Yes</v>
      </c>
      <c r="H264" s="5" t="str">
        <f ca="1">IFERROR(__xludf.DUMMYFUNCTION("""COMPUTED_VALUE"""),"Yes")</f>
        <v>Yes</v>
      </c>
      <c r="I264" s="5" t="str">
        <f ca="1">IFERROR(__xludf.DUMMYFUNCTION("""COMPUTED_VALUE"""),"Yes")</f>
        <v>Yes</v>
      </c>
      <c r="J264" s="5" t="str">
        <f ca="1">IFERROR(__xludf.DUMMYFUNCTION("""COMPUTED_VALUE"""),"Yes")</f>
        <v>Yes</v>
      </c>
      <c r="K264" s="5" t="str">
        <f ca="1">IFERROR(__xludf.DUMMYFUNCTION("""COMPUTED_VALUE"""),"Yes")</f>
        <v>Yes</v>
      </c>
      <c r="L264" s="5" t="str">
        <f ca="1">IFERROR(__xludf.DUMMYFUNCTION("""COMPUTED_VALUE"""),"Yes")</f>
        <v>Yes</v>
      </c>
      <c r="M264" s="5" t="str">
        <f ca="1">IFERROR(__xludf.DUMMYFUNCTION("""COMPUTED_VALUE"""),"Yes")</f>
        <v>Yes</v>
      </c>
      <c r="N264" s="5" t="str">
        <f ca="1">IFERROR(__xludf.DUMMYFUNCTION("""COMPUTED_VALUE"""),"Yes")</f>
        <v>Yes</v>
      </c>
      <c r="O264" s="5" t="str">
        <f ca="1">IFERROR(__xludf.DUMMYFUNCTION("""COMPUTED_VALUE"""),"Yes")</f>
        <v>Yes</v>
      </c>
      <c r="P264" s="5" t="str">
        <f ca="1">IFERROR(__xludf.DUMMYFUNCTION("""COMPUTED_VALUE"""),"Yes")</f>
        <v>Yes</v>
      </c>
      <c r="Q264" s="5" t="str">
        <f ca="1">IFERROR(__xludf.DUMMYFUNCTION("""COMPUTED_VALUE"""),"Yes")</f>
        <v>Yes</v>
      </c>
      <c r="R264" s="5" t="str">
        <f ca="1">IFERROR(__xludf.DUMMYFUNCTION("""COMPUTED_VALUE"""),"Yes")</f>
        <v>Yes</v>
      </c>
      <c r="S264" s="5" t="str">
        <f ca="1">IFERROR(__xludf.DUMMYFUNCTION("""COMPUTED_VALUE"""),"Yes")</f>
        <v>Yes</v>
      </c>
      <c r="T264" s="5" t="str">
        <f ca="1">IFERROR(__xludf.DUMMYFUNCTION("""COMPUTED_VALUE"""),"Yes")</f>
        <v>Yes</v>
      </c>
      <c r="U264" s="5" t="str">
        <f ca="1">IFERROR(__xludf.DUMMYFUNCTION("""COMPUTED_VALUE"""),"Yes")</f>
        <v>Yes</v>
      </c>
      <c r="V264" s="5" t="str">
        <f ca="1">IFERROR(__xludf.DUMMYFUNCTION("""COMPUTED_VALUE"""),"Yes")</f>
        <v>Yes</v>
      </c>
      <c r="W264" s="5" t="str">
        <f ca="1">IFERROR(__xludf.DUMMYFUNCTION("""COMPUTED_VALUE"""),"Yes")</f>
        <v>Yes</v>
      </c>
      <c r="X264" s="5" t="str">
        <f ca="1">IFERROR(__xludf.DUMMYFUNCTION("""COMPUTED_VALUE"""),"Yes")</f>
        <v>Yes</v>
      </c>
      <c r="Y264" s="5" t="str">
        <f ca="1">IFERROR(__xludf.DUMMYFUNCTION("""COMPUTED_VALUE"""),"Yes")</f>
        <v>Yes</v>
      </c>
      <c r="Z264" s="5" t="str">
        <f ca="1">IFERROR(__xludf.DUMMYFUNCTION("""COMPUTED_VALUE"""),"Yes")</f>
        <v>Yes</v>
      </c>
      <c r="AA264" s="5" t="str">
        <f ca="1">IFERROR(__xludf.DUMMYFUNCTION("""COMPUTED_VALUE"""),"Yes")</f>
        <v>Yes</v>
      </c>
      <c r="AB264" s="5" t="str">
        <f ca="1">IFERROR(__xludf.DUMMYFUNCTION("""COMPUTED_VALUE"""),"Yes")</f>
        <v>Yes</v>
      </c>
      <c r="AC264" s="5" t="str">
        <f ca="1">IFERROR(__xludf.DUMMYFUNCTION("""COMPUTED_VALUE"""),"Yes")</f>
        <v>Yes</v>
      </c>
      <c r="AD264" s="5" t="str">
        <f ca="1">IFERROR(__xludf.DUMMYFUNCTION("""COMPUTED_VALUE"""),"Yes")</f>
        <v>Yes</v>
      </c>
      <c r="AE264" s="5" t="str">
        <f ca="1">IFERROR(__xludf.DUMMYFUNCTION("""COMPUTED_VALUE"""),"Yes")</f>
        <v>Yes</v>
      </c>
      <c r="AF264" s="5" t="str">
        <f ca="1">IFERROR(__xludf.DUMMYFUNCTION("""COMPUTED_VALUE"""),"Yes")</f>
        <v>Yes</v>
      </c>
      <c r="AG264" s="5" t="str">
        <f ca="1">IFERROR(__xludf.DUMMYFUNCTION("""COMPUTED_VALUE"""),"Yes")</f>
        <v>Yes</v>
      </c>
      <c r="AH264" s="5" t="str">
        <f ca="1">IFERROR(__xludf.DUMMYFUNCTION("""COMPUTED_VALUE"""),"Yes")</f>
        <v>Yes</v>
      </c>
      <c r="AI264" s="5" t="str">
        <f ca="1">IFERROR(__xludf.DUMMYFUNCTION("""COMPUTED_VALUE"""),"No")</f>
        <v>No</v>
      </c>
      <c r="AJ264" s="5" t="str">
        <f ca="1">IFERROR(__xludf.DUMMYFUNCTION("""COMPUTED_VALUE"""),"No")</f>
        <v>No</v>
      </c>
      <c r="AK264" s="5" t="str">
        <f ca="1">IFERROR(__xludf.DUMMYFUNCTION("""COMPUTED_VALUE"""),"No")</f>
        <v>No</v>
      </c>
      <c r="AL264" s="5" t="str">
        <f ca="1">IFERROR(__xludf.DUMMYFUNCTION("""COMPUTED_VALUE"""),"No")</f>
        <v>No</v>
      </c>
      <c r="AM264" s="5"/>
      <c r="AN264" s="5"/>
      <c r="AO264" s="5"/>
      <c r="AP264" s="5"/>
      <c r="AQ264" s="5"/>
      <c r="AR264" s="5"/>
      <c r="AS264" s="5"/>
      <c r="AT264" s="5"/>
      <c r="AU264" s="5"/>
      <c r="AV264" s="5"/>
      <c r="AW264" s="5"/>
      <c r="AX264" s="5"/>
      <c r="AY264" s="5"/>
    </row>
    <row r="265" spans="1:51" x14ac:dyDescent="0.25">
      <c r="A2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5" s="5">
        <f ca="1">IFERROR(__xludf.DUMMYFUNCTION("""COMPUTED_VALUE"""),265)</f>
        <v>265</v>
      </c>
      <c r="C265" s="5">
        <f ca="1">IFERROR(__xludf.DUMMYFUNCTION("""COMPUTED_VALUE"""),264)</f>
        <v>264</v>
      </c>
      <c r="D265" s="5" t="str">
        <f ca="1">IFERROR(__xludf.DUMMYFUNCTION("""COMPUTED_VALUE"""),"TurboFire")</f>
        <v>TurboFire</v>
      </c>
      <c r="E265" s="5" t="str">
        <f ca="1">IFERROR(__xludf.DUMMYFUNCTION("""COMPUTED_VALUE"""),"Yes")</f>
        <v>Yes</v>
      </c>
      <c r="F265" s="5" t="str">
        <f ca="1">IFERROR(__xludf.DUMMYFUNCTION("""COMPUTED_VALUE"""),"Yes")</f>
        <v>Yes</v>
      </c>
      <c r="G265" s="5" t="str">
        <f ca="1">IFERROR(__xludf.DUMMYFUNCTION("""COMPUTED_VALUE"""),"Yes")</f>
        <v>Yes</v>
      </c>
      <c r="H265" s="5" t="str">
        <f ca="1">IFERROR(__xludf.DUMMYFUNCTION("""COMPUTED_VALUE"""),"Yes")</f>
        <v>Yes</v>
      </c>
      <c r="I265" s="5" t="str">
        <f ca="1">IFERROR(__xludf.DUMMYFUNCTION("""COMPUTED_VALUE"""),"Yes")</f>
        <v>Yes</v>
      </c>
      <c r="J265" s="5" t="str">
        <f ca="1">IFERROR(__xludf.DUMMYFUNCTION("""COMPUTED_VALUE"""),"Yes")</f>
        <v>Yes</v>
      </c>
      <c r="K265" s="5" t="str">
        <f ca="1">IFERROR(__xludf.DUMMYFUNCTION("""COMPUTED_VALUE"""),"Yes")</f>
        <v>Yes</v>
      </c>
      <c r="L265" s="5" t="str">
        <f ca="1">IFERROR(__xludf.DUMMYFUNCTION("""COMPUTED_VALUE"""),"Yes")</f>
        <v>Yes</v>
      </c>
      <c r="M265" s="5" t="str">
        <f ca="1">IFERROR(__xludf.DUMMYFUNCTION("""COMPUTED_VALUE"""),"Yes")</f>
        <v>Yes</v>
      </c>
      <c r="N265" s="5" t="str">
        <f ca="1">IFERROR(__xludf.DUMMYFUNCTION("""COMPUTED_VALUE"""),"Yes")</f>
        <v>Yes</v>
      </c>
      <c r="O265" s="5" t="str">
        <f ca="1">IFERROR(__xludf.DUMMYFUNCTION("""COMPUTED_VALUE"""),"Yes")</f>
        <v>Yes</v>
      </c>
      <c r="P265" s="5" t="str">
        <f ca="1">IFERROR(__xludf.DUMMYFUNCTION("""COMPUTED_VALUE"""),"Yes")</f>
        <v>Yes</v>
      </c>
      <c r="Q265" s="5" t="str">
        <f ca="1">IFERROR(__xludf.DUMMYFUNCTION("""COMPUTED_VALUE"""),"Yes")</f>
        <v>Yes</v>
      </c>
      <c r="R265" s="5" t="str">
        <f ca="1">IFERROR(__xludf.DUMMYFUNCTION("""COMPUTED_VALUE"""),"Yes")</f>
        <v>Yes</v>
      </c>
      <c r="S265" s="5" t="str">
        <f ca="1">IFERROR(__xludf.DUMMYFUNCTION("""COMPUTED_VALUE"""),"Yes")</f>
        <v>Yes</v>
      </c>
      <c r="T265" s="5" t="str">
        <f ca="1">IFERROR(__xludf.DUMMYFUNCTION("""COMPUTED_VALUE"""),"Yes")</f>
        <v>Yes</v>
      </c>
      <c r="U265" s="5" t="str">
        <f ca="1">IFERROR(__xludf.DUMMYFUNCTION("""COMPUTED_VALUE"""),"Yes")</f>
        <v>Yes</v>
      </c>
      <c r="V265" s="5" t="str">
        <f ca="1">IFERROR(__xludf.DUMMYFUNCTION("""COMPUTED_VALUE"""),"Yes")</f>
        <v>Yes</v>
      </c>
      <c r="W265" s="5" t="str">
        <f ca="1">IFERROR(__xludf.DUMMYFUNCTION("""COMPUTED_VALUE"""),"Yes")</f>
        <v>Yes</v>
      </c>
      <c r="X265" s="5" t="str">
        <f ca="1">IFERROR(__xludf.DUMMYFUNCTION("""COMPUTED_VALUE"""),"Yes")</f>
        <v>Yes</v>
      </c>
      <c r="Y265" s="5" t="str">
        <f ca="1">IFERROR(__xludf.DUMMYFUNCTION("""COMPUTED_VALUE"""),"Yes")</f>
        <v>Yes</v>
      </c>
      <c r="Z265" s="5" t="str">
        <f ca="1">IFERROR(__xludf.DUMMYFUNCTION("""COMPUTED_VALUE"""),"Yes")</f>
        <v>Yes</v>
      </c>
      <c r="AA265" s="5" t="str">
        <f ca="1">IFERROR(__xludf.DUMMYFUNCTION("""COMPUTED_VALUE"""),"Yes")</f>
        <v>Yes</v>
      </c>
      <c r="AB265" s="5" t="str">
        <f ca="1">IFERROR(__xludf.DUMMYFUNCTION("""COMPUTED_VALUE"""),"Yes")</f>
        <v>Yes</v>
      </c>
      <c r="AC265" s="5" t="str">
        <f ca="1">IFERROR(__xludf.DUMMYFUNCTION("""COMPUTED_VALUE"""),"Yes")</f>
        <v>Yes</v>
      </c>
      <c r="AD265" s="5" t="str">
        <f ca="1">IFERROR(__xludf.DUMMYFUNCTION("""COMPUTED_VALUE"""),"Yes")</f>
        <v>Yes</v>
      </c>
      <c r="AE265" s="5" t="str">
        <f ca="1">IFERROR(__xludf.DUMMYFUNCTION("""COMPUTED_VALUE"""),"Yes")</f>
        <v>Yes</v>
      </c>
      <c r="AF265" s="5" t="str">
        <f ca="1">IFERROR(__xludf.DUMMYFUNCTION("""COMPUTED_VALUE"""),"Yes")</f>
        <v>Yes</v>
      </c>
      <c r="AG265" s="5" t="str">
        <f ca="1">IFERROR(__xludf.DUMMYFUNCTION("""COMPUTED_VALUE"""),"Yes")</f>
        <v>Yes</v>
      </c>
      <c r="AH265" s="5" t="str">
        <f ca="1">IFERROR(__xludf.DUMMYFUNCTION("""COMPUTED_VALUE"""),"Yes")</f>
        <v>Yes</v>
      </c>
      <c r="AI265" s="5" t="str">
        <f ca="1">IFERROR(__xludf.DUMMYFUNCTION("""COMPUTED_VALUE"""),"No")</f>
        <v>No</v>
      </c>
      <c r="AJ265" s="5" t="str">
        <f ca="1">IFERROR(__xludf.DUMMYFUNCTION("""COMPUTED_VALUE"""),"No")</f>
        <v>No</v>
      </c>
      <c r="AK265" s="5" t="str">
        <f ca="1">IFERROR(__xludf.DUMMYFUNCTION("""COMPUTED_VALUE"""),"No")</f>
        <v>No</v>
      </c>
      <c r="AL265" s="5" t="str">
        <f ca="1">IFERROR(__xludf.DUMMYFUNCTION("""COMPUTED_VALUE"""),"No")</f>
        <v>No</v>
      </c>
      <c r="AM265" s="5"/>
      <c r="AN265" s="5"/>
      <c r="AO265" s="5"/>
      <c r="AP265" s="5"/>
      <c r="AQ265" s="5"/>
      <c r="AR265" s="5"/>
      <c r="AS265" s="5"/>
      <c r="AT265" s="5"/>
      <c r="AU265" s="5"/>
      <c r="AV265" s="5"/>
      <c r="AW265" s="5"/>
      <c r="AX265" s="5"/>
      <c r="AY265" s="5"/>
    </row>
    <row r="266" spans="1:51" x14ac:dyDescent="0.25">
      <c r="A2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6" s="5">
        <f ca="1">IFERROR(__xludf.DUMMYFUNCTION("""COMPUTED_VALUE"""),266)</f>
        <v>266</v>
      </c>
      <c r="C266" s="5">
        <f ca="1">IFERROR(__xludf.DUMMYFUNCTION("""COMPUTED_VALUE"""),265)</f>
        <v>265</v>
      </c>
      <c r="D266" s="5" t="str">
        <f ca="1">IFERROR(__xludf.DUMMYFUNCTION("""COMPUTED_VALUE"""),"Unicorn10JingleFruits")</f>
        <v>Unicorn10JingleFruits</v>
      </c>
      <c r="E266" s="5" t="str">
        <f ca="1">IFERROR(__xludf.DUMMYFUNCTION("""COMPUTED_VALUE"""),"Yes")</f>
        <v>Yes</v>
      </c>
      <c r="F266" s="5" t="str">
        <f ca="1">IFERROR(__xludf.DUMMYFUNCTION("""COMPUTED_VALUE"""),"Yes")</f>
        <v>Yes</v>
      </c>
      <c r="G266" s="5" t="str">
        <f ca="1">IFERROR(__xludf.DUMMYFUNCTION("""COMPUTED_VALUE"""),"Yes")</f>
        <v>Yes</v>
      </c>
      <c r="H266" s="5" t="str">
        <f ca="1">IFERROR(__xludf.DUMMYFUNCTION("""COMPUTED_VALUE"""),"Yes")</f>
        <v>Yes</v>
      </c>
      <c r="I266" s="5" t="str">
        <f ca="1">IFERROR(__xludf.DUMMYFUNCTION("""COMPUTED_VALUE"""),"Yes")</f>
        <v>Yes</v>
      </c>
      <c r="J266" s="5" t="str">
        <f ca="1">IFERROR(__xludf.DUMMYFUNCTION("""COMPUTED_VALUE"""),"Yes")</f>
        <v>Yes</v>
      </c>
      <c r="K266" s="5" t="str">
        <f ca="1">IFERROR(__xludf.DUMMYFUNCTION("""COMPUTED_VALUE"""),"Yes")</f>
        <v>Yes</v>
      </c>
      <c r="L266" s="5" t="str">
        <f ca="1">IFERROR(__xludf.DUMMYFUNCTION("""COMPUTED_VALUE"""),"Yes")</f>
        <v>Yes</v>
      </c>
      <c r="M266" s="5" t="str">
        <f ca="1">IFERROR(__xludf.DUMMYFUNCTION("""COMPUTED_VALUE"""),"Yes")</f>
        <v>Yes</v>
      </c>
      <c r="N266" s="5" t="str">
        <f ca="1">IFERROR(__xludf.DUMMYFUNCTION("""COMPUTED_VALUE"""),"Yes")</f>
        <v>Yes</v>
      </c>
      <c r="O266" s="5" t="str">
        <f ca="1">IFERROR(__xludf.DUMMYFUNCTION("""COMPUTED_VALUE"""),"Yes")</f>
        <v>Yes</v>
      </c>
      <c r="P266" s="5" t="str">
        <f ca="1">IFERROR(__xludf.DUMMYFUNCTION("""COMPUTED_VALUE"""),"Yes")</f>
        <v>Yes</v>
      </c>
      <c r="Q266" s="5" t="str">
        <f ca="1">IFERROR(__xludf.DUMMYFUNCTION("""COMPUTED_VALUE"""),"Yes")</f>
        <v>Yes</v>
      </c>
      <c r="R266" s="5" t="str">
        <f ca="1">IFERROR(__xludf.DUMMYFUNCTION("""COMPUTED_VALUE"""),"Yes")</f>
        <v>Yes</v>
      </c>
      <c r="S266" s="5" t="str">
        <f ca="1">IFERROR(__xludf.DUMMYFUNCTION("""COMPUTED_VALUE"""),"Yes")</f>
        <v>Yes</v>
      </c>
      <c r="T266" s="5" t="str">
        <f ca="1">IFERROR(__xludf.DUMMYFUNCTION("""COMPUTED_VALUE"""),"Yes")</f>
        <v>Yes</v>
      </c>
      <c r="U266" s="5" t="str">
        <f ca="1">IFERROR(__xludf.DUMMYFUNCTION("""COMPUTED_VALUE"""),"Yes")</f>
        <v>Yes</v>
      </c>
      <c r="V266" s="5" t="str">
        <f ca="1">IFERROR(__xludf.DUMMYFUNCTION("""COMPUTED_VALUE"""),"Yes")</f>
        <v>Yes</v>
      </c>
      <c r="W266" s="5" t="str">
        <f ca="1">IFERROR(__xludf.DUMMYFUNCTION("""COMPUTED_VALUE"""),"Yes")</f>
        <v>Yes</v>
      </c>
      <c r="X266" s="5"/>
      <c r="Y266" s="5" t="str">
        <f ca="1">IFERROR(__xludf.DUMMYFUNCTION("""COMPUTED_VALUE"""),"Yes")</f>
        <v>Yes</v>
      </c>
      <c r="Z266" s="5"/>
      <c r="AA266" s="5"/>
      <c r="AB266" s="5"/>
      <c r="AC266" s="5" t="str">
        <f ca="1">IFERROR(__xludf.DUMMYFUNCTION("""COMPUTED_VALUE"""),"Yes")</f>
        <v>Yes</v>
      </c>
      <c r="AD266" s="5"/>
      <c r="AE266" s="5"/>
      <c r="AF266" s="5"/>
      <c r="AG266" s="5"/>
      <c r="AH266" s="5"/>
      <c r="AI266" s="5"/>
      <c r="AJ266" s="5"/>
      <c r="AK266" s="5"/>
      <c r="AL266" s="5"/>
      <c r="AM266" s="5"/>
      <c r="AN266" s="5"/>
      <c r="AO266" s="5"/>
      <c r="AP266" s="5"/>
      <c r="AQ266" s="5"/>
      <c r="AR266" s="5"/>
      <c r="AS266" s="5"/>
      <c r="AT266" s="5"/>
      <c r="AU266" s="5"/>
      <c r="AV266" s="5"/>
      <c r="AW266" s="5"/>
      <c r="AX266" s="5"/>
      <c r="AY266" s="5"/>
    </row>
    <row r="267" spans="1:51" x14ac:dyDescent="0.25">
      <c r="A2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7" s="5">
        <f ca="1">IFERROR(__xludf.DUMMYFUNCTION("""COMPUTED_VALUE"""),267)</f>
        <v>267</v>
      </c>
      <c r="C267" s="5">
        <f ca="1">IFERROR(__xludf.DUMMYFUNCTION("""COMPUTED_VALUE"""),266)</f>
        <v>266</v>
      </c>
      <c r="D267" s="5" t="str">
        <f ca="1">IFERROR(__xludf.DUMMYFUNCTION("""COMPUTED_VALUE"""),"WinningClover5Extreme")</f>
        <v>WinningClover5Extreme</v>
      </c>
      <c r="E267" s="5" t="str">
        <f ca="1">IFERROR(__xludf.DUMMYFUNCTION("""COMPUTED_VALUE"""),"Yes")</f>
        <v>Yes</v>
      </c>
      <c r="F267" s="5" t="str">
        <f ca="1">IFERROR(__xludf.DUMMYFUNCTION("""COMPUTED_VALUE"""),"Yes")</f>
        <v>Yes</v>
      </c>
      <c r="G267" s="5" t="str">
        <f ca="1">IFERROR(__xludf.DUMMYFUNCTION("""COMPUTED_VALUE"""),"Yes")</f>
        <v>Yes</v>
      </c>
      <c r="H267" s="5" t="str">
        <f ca="1">IFERROR(__xludf.DUMMYFUNCTION("""COMPUTED_VALUE"""),"Yes")</f>
        <v>Yes</v>
      </c>
      <c r="I267" s="5" t="str">
        <f ca="1">IFERROR(__xludf.DUMMYFUNCTION("""COMPUTED_VALUE"""),"Yes")</f>
        <v>Yes</v>
      </c>
      <c r="J267" s="5" t="str">
        <f ca="1">IFERROR(__xludf.DUMMYFUNCTION("""COMPUTED_VALUE"""),"Yes")</f>
        <v>Yes</v>
      </c>
      <c r="K267" s="5" t="str">
        <f ca="1">IFERROR(__xludf.DUMMYFUNCTION("""COMPUTED_VALUE"""),"Yes")</f>
        <v>Yes</v>
      </c>
      <c r="L267" s="5" t="str">
        <f ca="1">IFERROR(__xludf.DUMMYFUNCTION("""COMPUTED_VALUE"""),"Yes")</f>
        <v>Yes</v>
      </c>
      <c r="M267" s="5" t="str">
        <f ca="1">IFERROR(__xludf.DUMMYFUNCTION("""COMPUTED_VALUE"""),"Yes")</f>
        <v>Yes</v>
      </c>
      <c r="N267" s="5" t="str">
        <f ca="1">IFERROR(__xludf.DUMMYFUNCTION("""COMPUTED_VALUE"""),"Yes")</f>
        <v>Yes</v>
      </c>
      <c r="O267" s="5" t="str">
        <f ca="1">IFERROR(__xludf.DUMMYFUNCTION("""COMPUTED_VALUE"""),"Yes")</f>
        <v>Yes</v>
      </c>
      <c r="P267" s="5" t="str">
        <f ca="1">IFERROR(__xludf.DUMMYFUNCTION("""COMPUTED_VALUE"""),"Yes")</f>
        <v>Yes</v>
      </c>
      <c r="Q267" s="5" t="str">
        <f ca="1">IFERROR(__xludf.DUMMYFUNCTION("""COMPUTED_VALUE"""),"Yes")</f>
        <v>Yes</v>
      </c>
      <c r="R267" s="5" t="str">
        <f ca="1">IFERROR(__xludf.DUMMYFUNCTION("""COMPUTED_VALUE"""),"Yes")</f>
        <v>Yes</v>
      </c>
      <c r="S267" s="5" t="str">
        <f ca="1">IFERROR(__xludf.DUMMYFUNCTION("""COMPUTED_VALUE"""),"Yes")</f>
        <v>Yes</v>
      </c>
      <c r="T267" s="5" t="str">
        <f ca="1">IFERROR(__xludf.DUMMYFUNCTION("""COMPUTED_VALUE"""),"Yes")</f>
        <v>Yes</v>
      </c>
      <c r="U267" s="5" t="str">
        <f ca="1">IFERROR(__xludf.DUMMYFUNCTION("""COMPUTED_VALUE"""),"Yes")</f>
        <v>Yes</v>
      </c>
      <c r="V267" s="5" t="str">
        <f ca="1">IFERROR(__xludf.DUMMYFUNCTION("""COMPUTED_VALUE"""),"Yes")</f>
        <v>Yes</v>
      </c>
      <c r="W267" s="5" t="str">
        <f ca="1">IFERROR(__xludf.DUMMYFUNCTION("""COMPUTED_VALUE"""),"Yes")</f>
        <v>Yes</v>
      </c>
      <c r="X267" s="5" t="str">
        <f ca="1">IFERROR(__xludf.DUMMYFUNCTION("""COMPUTED_VALUE"""),"Yes")</f>
        <v>Yes</v>
      </c>
      <c r="Y267" s="5" t="str">
        <f ca="1">IFERROR(__xludf.DUMMYFUNCTION("""COMPUTED_VALUE"""),"Yes")</f>
        <v>Yes</v>
      </c>
      <c r="Z267" s="5" t="str">
        <f ca="1">IFERROR(__xludf.DUMMYFUNCTION("""COMPUTED_VALUE"""),"Yes")</f>
        <v>Yes</v>
      </c>
      <c r="AA267" s="5" t="str">
        <f ca="1">IFERROR(__xludf.DUMMYFUNCTION("""COMPUTED_VALUE"""),"Yes")</f>
        <v>Yes</v>
      </c>
      <c r="AB267" s="5" t="str">
        <f ca="1">IFERROR(__xludf.DUMMYFUNCTION("""COMPUTED_VALUE"""),"Yes")</f>
        <v>Yes</v>
      </c>
      <c r="AC267" s="5" t="str">
        <f ca="1">IFERROR(__xludf.DUMMYFUNCTION("""COMPUTED_VALUE"""),"Yes")</f>
        <v>Yes</v>
      </c>
      <c r="AD267" s="5" t="str">
        <f ca="1">IFERROR(__xludf.DUMMYFUNCTION("""COMPUTED_VALUE"""),"Yes")</f>
        <v>Yes</v>
      </c>
      <c r="AE267" s="5" t="str">
        <f ca="1">IFERROR(__xludf.DUMMYFUNCTION("""COMPUTED_VALUE"""),"Yes")</f>
        <v>Yes</v>
      </c>
      <c r="AF267" s="5" t="str">
        <f ca="1">IFERROR(__xludf.DUMMYFUNCTION("""COMPUTED_VALUE"""),"Yes")</f>
        <v>Yes</v>
      </c>
      <c r="AG267" s="5" t="str">
        <f ca="1">IFERROR(__xludf.DUMMYFUNCTION("""COMPUTED_VALUE"""),"Yes")</f>
        <v>Yes</v>
      </c>
      <c r="AH267" s="5" t="str">
        <f ca="1">IFERROR(__xludf.DUMMYFUNCTION("""COMPUTED_VALUE"""),"Yes")</f>
        <v>Yes</v>
      </c>
      <c r="AI267" s="5" t="str">
        <f ca="1">IFERROR(__xludf.DUMMYFUNCTION("""COMPUTED_VALUE"""),"No")</f>
        <v>No</v>
      </c>
      <c r="AJ267" s="5" t="str">
        <f ca="1">IFERROR(__xludf.DUMMYFUNCTION("""COMPUTED_VALUE"""),"No")</f>
        <v>No</v>
      </c>
      <c r="AK267" s="5" t="str">
        <f ca="1">IFERROR(__xludf.DUMMYFUNCTION("""COMPUTED_VALUE"""),"No")</f>
        <v>No</v>
      </c>
      <c r="AL267" s="5" t="str">
        <f ca="1">IFERROR(__xludf.DUMMYFUNCTION("""COMPUTED_VALUE"""),"No")</f>
        <v>No</v>
      </c>
      <c r="AM267" s="5"/>
      <c r="AN267" s="5"/>
      <c r="AO267" s="5"/>
      <c r="AP267" s="5"/>
      <c r="AQ267" s="5"/>
      <c r="AR267" s="5"/>
      <c r="AS267" s="5"/>
      <c r="AT267" s="5"/>
      <c r="AU267" s="5"/>
      <c r="AV267" s="5"/>
      <c r="AW267" s="5"/>
      <c r="AX267" s="5"/>
      <c r="AY267" s="5"/>
    </row>
    <row r="268" spans="1:51" x14ac:dyDescent="0.25">
      <c r="A2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8" s="5">
        <f ca="1">IFERROR(__xludf.DUMMYFUNCTION("""COMPUTED_VALUE"""),268)</f>
        <v>268</v>
      </c>
      <c r="C268" s="5">
        <f ca="1">IFERROR(__xludf.DUMMYFUNCTION("""COMPUTED_VALUE"""),267)</f>
        <v>267</v>
      </c>
      <c r="D268" s="5" t="str">
        <f ca="1">IFERROR(__xludf.DUMMYFUNCTION("""COMPUTED_VALUE"""),"CloverBlast5")</f>
        <v>CloverBlast5</v>
      </c>
      <c r="E268" s="5" t="str">
        <f ca="1">IFERROR(__xludf.DUMMYFUNCTION("""COMPUTED_VALUE"""),"Yes")</f>
        <v>Yes</v>
      </c>
      <c r="F268" s="5" t="str">
        <f ca="1">IFERROR(__xludf.DUMMYFUNCTION("""COMPUTED_VALUE"""),"Yes")</f>
        <v>Yes</v>
      </c>
      <c r="G268" s="5" t="str">
        <f ca="1">IFERROR(__xludf.DUMMYFUNCTION("""COMPUTED_VALUE"""),"Yes")</f>
        <v>Yes</v>
      </c>
      <c r="H268" s="5" t="str">
        <f ca="1">IFERROR(__xludf.DUMMYFUNCTION("""COMPUTED_VALUE"""),"Yes")</f>
        <v>Yes</v>
      </c>
      <c r="I268" s="5" t="str">
        <f ca="1">IFERROR(__xludf.DUMMYFUNCTION("""COMPUTED_VALUE"""),"Yes")</f>
        <v>Yes</v>
      </c>
      <c r="J268" s="5" t="str">
        <f ca="1">IFERROR(__xludf.DUMMYFUNCTION("""COMPUTED_VALUE"""),"Yes")</f>
        <v>Yes</v>
      </c>
      <c r="K268" s="5" t="str">
        <f ca="1">IFERROR(__xludf.DUMMYFUNCTION("""COMPUTED_VALUE"""),"Yes")</f>
        <v>Yes</v>
      </c>
      <c r="L268" s="5" t="str">
        <f ca="1">IFERROR(__xludf.DUMMYFUNCTION("""COMPUTED_VALUE"""),"Yes")</f>
        <v>Yes</v>
      </c>
      <c r="M268" s="5" t="str">
        <f ca="1">IFERROR(__xludf.DUMMYFUNCTION("""COMPUTED_VALUE"""),"Yes")</f>
        <v>Yes</v>
      </c>
      <c r="N268" s="5" t="str">
        <f ca="1">IFERROR(__xludf.DUMMYFUNCTION("""COMPUTED_VALUE"""),"Yes")</f>
        <v>Yes</v>
      </c>
      <c r="O268" s="5" t="str">
        <f ca="1">IFERROR(__xludf.DUMMYFUNCTION("""COMPUTED_VALUE"""),"Yes")</f>
        <v>Yes</v>
      </c>
      <c r="P268" s="5" t="str">
        <f ca="1">IFERROR(__xludf.DUMMYFUNCTION("""COMPUTED_VALUE"""),"Yes")</f>
        <v>Yes</v>
      </c>
      <c r="Q268" s="5" t="str">
        <f ca="1">IFERROR(__xludf.DUMMYFUNCTION("""COMPUTED_VALUE"""),"Yes")</f>
        <v>Yes</v>
      </c>
      <c r="R268" s="5" t="str">
        <f ca="1">IFERROR(__xludf.DUMMYFUNCTION("""COMPUTED_VALUE"""),"Yes")</f>
        <v>Yes</v>
      </c>
      <c r="S268" s="5" t="str">
        <f ca="1">IFERROR(__xludf.DUMMYFUNCTION("""COMPUTED_VALUE"""),"Yes")</f>
        <v>Yes</v>
      </c>
      <c r="T268" s="5" t="str">
        <f ca="1">IFERROR(__xludf.DUMMYFUNCTION("""COMPUTED_VALUE"""),"Yes")</f>
        <v>Yes</v>
      </c>
      <c r="U268" s="5" t="str">
        <f ca="1">IFERROR(__xludf.DUMMYFUNCTION("""COMPUTED_VALUE"""),"Yes")</f>
        <v>Yes</v>
      </c>
      <c r="V268" s="5" t="str">
        <f ca="1">IFERROR(__xludf.DUMMYFUNCTION("""COMPUTED_VALUE"""),"Yes")</f>
        <v>Yes</v>
      </c>
      <c r="W268" s="5" t="str">
        <f ca="1">IFERROR(__xludf.DUMMYFUNCTION("""COMPUTED_VALUE"""),"Yes")</f>
        <v>Yes</v>
      </c>
      <c r="X268" s="5"/>
      <c r="Y268" s="5" t="str">
        <f ca="1">IFERROR(__xludf.DUMMYFUNCTION("""COMPUTED_VALUE"""),"Yes")</f>
        <v>Yes</v>
      </c>
      <c r="Z268" s="5"/>
      <c r="AA268" s="5"/>
      <c r="AB268" s="5"/>
      <c r="AC268" s="5" t="str">
        <f ca="1">IFERROR(__xludf.DUMMYFUNCTION("""COMPUTED_VALUE"""),"Yes")</f>
        <v>Yes</v>
      </c>
      <c r="AD268" s="5"/>
      <c r="AE268" s="5"/>
      <c r="AF268" s="5"/>
      <c r="AG268" s="5"/>
      <c r="AH268" s="5"/>
      <c r="AI268" s="5"/>
      <c r="AJ268" s="5"/>
      <c r="AK268" s="5"/>
      <c r="AL268" s="5"/>
      <c r="AM268" s="5"/>
      <c r="AN268" s="5"/>
      <c r="AO268" s="5"/>
      <c r="AP268" s="5"/>
      <c r="AQ268" s="5"/>
      <c r="AR268" s="5"/>
      <c r="AS268" s="5"/>
      <c r="AT268" s="5"/>
      <c r="AU268" s="5"/>
      <c r="AV268" s="5"/>
      <c r="AW268" s="5"/>
      <c r="AX268" s="5"/>
      <c r="AY268" s="5"/>
    </row>
    <row r="269" spans="1:51" x14ac:dyDescent="0.25">
      <c r="A2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9" s="5">
        <f ca="1">IFERROR(__xludf.DUMMYFUNCTION("""COMPUTED_VALUE"""),269)</f>
        <v>269</v>
      </c>
      <c r="C269" s="5">
        <f ca="1">IFERROR(__xludf.DUMMYFUNCTION("""COMPUTED_VALUE"""),268)</f>
        <v>268</v>
      </c>
      <c r="D269" s="5" t="str">
        <f ca="1">IFERROR(__xludf.DUMMYFUNCTION("""COMPUTED_VALUE"""),"WildHot40Dice")</f>
        <v>WildHot40Dice</v>
      </c>
      <c r="E269" s="5" t="str">
        <f ca="1">IFERROR(__xludf.DUMMYFUNCTION("""COMPUTED_VALUE"""),"Yes")</f>
        <v>Yes</v>
      </c>
      <c r="F269" s="5" t="str">
        <f ca="1">IFERROR(__xludf.DUMMYFUNCTION("""COMPUTED_VALUE"""),"Yes")</f>
        <v>Yes</v>
      </c>
      <c r="G269" s="5" t="str">
        <f ca="1">IFERROR(__xludf.DUMMYFUNCTION("""COMPUTED_VALUE"""),"Yes")</f>
        <v>Yes</v>
      </c>
      <c r="H269" s="5" t="str">
        <f ca="1">IFERROR(__xludf.DUMMYFUNCTION("""COMPUTED_VALUE"""),"Yes")</f>
        <v>Yes</v>
      </c>
      <c r="I269" s="5" t="str">
        <f ca="1">IFERROR(__xludf.DUMMYFUNCTION("""COMPUTED_VALUE"""),"Yes")</f>
        <v>Yes</v>
      </c>
      <c r="J269" s="5" t="str">
        <f ca="1">IFERROR(__xludf.DUMMYFUNCTION("""COMPUTED_VALUE"""),"Yes")</f>
        <v>Yes</v>
      </c>
      <c r="K269" s="5" t="str">
        <f ca="1">IFERROR(__xludf.DUMMYFUNCTION("""COMPUTED_VALUE"""),"Yes")</f>
        <v>Yes</v>
      </c>
      <c r="L269" s="5" t="str">
        <f ca="1">IFERROR(__xludf.DUMMYFUNCTION("""COMPUTED_VALUE"""),"Yes")</f>
        <v>Yes</v>
      </c>
      <c r="M269" s="5" t="str">
        <f ca="1">IFERROR(__xludf.DUMMYFUNCTION("""COMPUTED_VALUE"""),"Yes")</f>
        <v>Yes</v>
      </c>
      <c r="N269" s="5" t="str">
        <f ca="1">IFERROR(__xludf.DUMMYFUNCTION("""COMPUTED_VALUE"""),"Yes")</f>
        <v>Yes</v>
      </c>
      <c r="O269" s="5" t="str">
        <f ca="1">IFERROR(__xludf.DUMMYFUNCTION("""COMPUTED_VALUE"""),"Yes")</f>
        <v>Yes</v>
      </c>
      <c r="P269" s="5" t="str">
        <f ca="1">IFERROR(__xludf.DUMMYFUNCTION("""COMPUTED_VALUE"""),"Yes")</f>
        <v>Yes</v>
      </c>
      <c r="Q269" s="5" t="str">
        <f ca="1">IFERROR(__xludf.DUMMYFUNCTION("""COMPUTED_VALUE"""),"Yes")</f>
        <v>Yes</v>
      </c>
      <c r="R269" s="5" t="str">
        <f ca="1">IFERROR(__xludf.DUMMYFUNCTION("""COMPUTED_VALUE"""),"Yes")</f>
        <v>Yes</v>
      </c>
      <c r="S269" s="5" t="str">
        <f ca="1">IFERROR(__xludf.DUMMYFUNCTION("""COMPUTED_VALUE"""),"Yes")</f>
        <v>Yes</v>
      </c>
      <c r="T269" s="5" t="str">
        <f ca="1">IFERROR(__xludf.DUMMYFUNCTION("""COMPUTED_VALUE"""),"Yes")</f>
        <v>Yes</v>
      </c>
      <c r="U269" s="5" t="str">
        <f ca="1">IFERROR(__xludf.DUMMYFUNCTION("""COMPUTED_VALUE"""),"Yes")</f>
        <v>Yes</v>
      </c>
      <c r="V269" s="5" t="str">
        <f ca="1">IFERROR(__xludf.DUMMYFUNCTION("""COMPUTED_VALUE"""),"Yes")</f>
        <v>Yes</v>
      </c>
      <c r="W269" s="5" t="str">
        <f ca="1">IFERROR(__xludf.DUMMYFUNCTION("""COMPUTED_VALUE"""),"Yes")</f>
        <v>Yes</v>
      </c>
      <c r="X269" s="5" t="str">
        <f ca="1">IFERROR(__xludf.DUMMYFUNCTION("""COMPUTED_VALUE"""),"Yes")</f>
        <v>Yes</v>
      </c>
      <c r="Y269" s="5" t="str">
        <f ca="1">IFERROR(__xludf.DUMMYFUNCTION("""COMPUTED_VALUE"""),"Yes")</f>
        <v>Yes</v>
      </c>
      <c r="Z269" s="5" t="str">
        <f ca="1">IFERROR(__xludf.DUMMYFUNCTION("""COMPUTED_VALUE"""),"No")</f>
        <v>No</v>
      </c>
      <c r="AA269" s="5" t="str">
        <f ca="1">IFERROR(__xludf.DUMMYFUNCTION("""COMPUTED_VALUE"""),"Yes")</f>
        <v>Yes</v>
      </c>
      <c r="AB269" s="5" t="str">
        <f ca="1">IFERROR(__xludf.DUMMYFUNCTION("""COMPUTED_VALUE"""),"Yes")</f>
        <v>Yes</v>
      </c>
      <c r="AC269" s="5" t="str">
        <f ca="1">IFERROR(__xludf.DUMMYFUNCTION("""COMPUTED_VALUE"""),"Yes")</f>
        <v>Yes</v>
      </c>
      <c r="AD269" s="5" t="str">
        <f ca="1">IFERROR(__xludf.DUMMYFUNCTION("""COMPUTED_VALUE"""),"Yes")</f>
        <v>Yes</v>
      </c>
      <c r="AE269" s="5" t="str">
        <f ca="1">IFERROR(__xludf.DUMMYFUNCTION("""COMPUTED_VALUE"""),"No")</f>
        <v>No</v>
      </c>
      <c r="AF269" s="5" t="str">
        <f ca="1">IFERROR(__xludf.DUMMYFUNCTION("""COMPUTED_VALUE"""),"Yes")</f>
        <v>Yes</v>
      </c>
      <c r="AG269" s="5" t="str">
        <f ca="1">IFERROR(__xludf.DUMMYFUNCTION("""COMPUTED_VALUE"""),"No")</f>
        <v>No</v>
      </c>
      <c r="AH269" s="5" t="str">
        <f ca="1">IFERROR(__xludf.DUMMYFUNCTION("""COMPUTED_VALUE"""),"No")</f>
        <v>No</v>
      </c>
      <c r="AI269" s="5" t="str">
        <f ca="1">IFERROR(__xludf.DUMMYFUNCTION("""COMPUTED_VALUE"""),"No")</f>
        <v>No</v>
      </c>
      <c r="AJ269" s="5" t="str">
        <f ca="1">IFERROR(__xludf.DUMMYFUNCTION("""COMPUTED_VALUE"""),"No")</f>
        <v>No</v>
      </c>
      <c r="AK269" s="5" t="str">
        <f ca="1">IFERROR(__xludf.DUMMYFUNCTION("""COMPUTED_VALUE"""),"No")</f>
        <v>No</v>
      </c>
      <c r="AL269" s="5" t="str">
        <f ca="1">IFERROR(__xludf.DUMMYFUNCTION("""COMPUTED_VALUE"""),"No")</f>
        <v>No</v>
      </c>
      <c r="AM269" s="5"/>
      <c r="AN269" s="5"/>
      <c r="AO269" s="5"/>
      <c r="AP269" s="5"/>
      <c r="AQ269" s="5"/>
      <c r="AR269" s="5"/>
      <c r="AS269" s="5"/>
      <c r="AT269" s="5"/>
      <c r="AU269" s="5"/>
      <c r="AV269" s="5"/>
      <c r="AW269" s="5"/>
      <c r="AX269" s="5"/>
      <c r="AY269" s="5"/>
    </row>
    <row r="270" spans="1:51" x14ac:dyDescent="0.25">
      <c r="A2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0" s="5">
        <f ca="1">IFERROR(__xludf.DUMMYFUNCTION("""COMPUTED_VALUE"""),270)</f>
        <v>270</v>
      </c>
      <c r="C270" s="5">
        <f ca="1">IFERROR(__xludf.DUMMYFUNCTION("""COMPUTED_VALUE"""),269)</f>
        <v>269</v>
      </c>
      <c r="D270" s="5" t="str">
        <f ca="1">IFERROR(__xludf.DUMMYFUNCTION("""COMPUTED_VALUE"""),"UnicornGoldLine")</f>
        <v>UnicornGoldLine</v>
      </c>
      <c r="E270" s="5" t="str">
        <f ca="1">IFERROR(__xludf.DUMMYFUNCTION("""COMPUTED_VALUE"""),"Yes")</f>
        <v>Yes</v>
      </c>
      <c r="F270" s="5" t="str">
        <f ca="1">IFERROR(__xludf.DUMMYFUNCTION("""COMPUTED_VALUE"""),"Yes")</f>
        <v>Yes</v>
      </c>
      <c r="G270" s="5" t="str">
        <f ca="1">IFERROR(__xludf.DUMMYFUNCTION("""COMPUTED_VALUE"""),"Yes")</f>
        <v>Yes</v>
      </c>
      <c r="H270" s="5" t="str">
        <f ca="1">IFERROR(__xludf.DUMMYFUNCTION("""COMPUTED_VALUE"""),"Yes")</f>
        <v>Yes</v>
      </c>
      <c r="I270" s="5" t="str">
        <f ca="1">IFERROR(__xludf.DUMMYFUNCTION("""COMPUTED_VALUE"""),"Yes")</f>
        <v>Yes</v>
      </c>
      <c r="J270" s="5" t="str">
        <f ca="1">IFERROR(__xludf.DUMMYFUNCTION("""COMPUTED_VALUE"""),"Yes")</f>
        <v>Yes</v>
      </c>
      <c r="K270" s="5" t="str">
        <f ca="1">IFERROR(__xludf.DUMMYFUNCTION("""COMPUTED_VALUE"""),"Yes")</f>
        <v>Yes</v>
      </c>
      <c r="L270" s="5" t="str">
        <f ca="1">IFERROR(__xludf.DUMMYFUNCTION("""COMPUTED_VALUE"""),"Yes")</f>
        <v>Yes</v>
      </c>
      <c r="M270" s="5" t="str">
        <f ca="1">IFERROR(__xludf.DUMMYFUNCTION("""COMPUTED_VALUE"""),"Yes")</f>
        <v>Yes</v>
      </c>
      <c r="N270" s="5" t="str">
        <f ca="1">IFERROR(__xludf.DUMMYFUNCTION("""COMPUTED_VALUE"""),"Yes")</f>
        <v>Yes</v>
      </c>
      <c r="O270" s="5" t="str">
        <f ca="1">IFERROR(__xludf.DUMMYFUNCTION("""COMPUTED_VALUE"""),"Yes")</f>
        <v>Yes</v>
      </c>
      <c r="P270" s="5" t="str">
        <f ca="1">IFERROR(__xludf.DUMMYFUNCTION("""COMPUTED_VALUE"""),"Yes")</f>
        <v>Yes</v>
      </c>
      <c r="Q270" s="5" t="str">
        <f ca="1">IFERROR(__xludf.DUMMYFUNCTION("""COMPUTED_VALUE"""),"Yes")</f>
        <v>Yes</v>
      </c>
      <c r="R270" s="5" t="str">
        <f ca="1">IFERROR(__xludf.DUMMYFUNCTION("""COMPUTED_VALUE"""),"Yes")</f>
        <v>Yes</v>
      </c>
      <c r="S270" s="5" t="str">
        <f ca="1">IFERROR(__xludf.DUMMYFUNCTION("""COMPUTED_VALUE"""),"Yes")</f>
        <v>Yes</v>
      </c>
      <c r="T270" s="5" t="str">
        <f ca="1">IFERROR(__xludf.DUMMYFUNCTION("""COMPUTED_VALUE"""),"Yes")</f>
        <v>Yes</v>
      </c>
      <c r="U270" s="5" t="str">
        <f ca="1">IFERROR(__xludf.DUMMYFUNCTION("""COMPUTED_VALUE"""),"Yes")</f>
        <v>Yes</v>
      </c>
      <c r="V270" s="5" t="str">
        <f ca="1">IFERROR(__xludf.DUMMYFUNCTION("""COMPUTED_VALUE"""),"Yes")</f>
        <v>Yes</v>
      </c>
      <c r="W270" s="5" t="str">
        <f ca="1">IFERROR(__xludf.DUMMYFUNCTION("""COMPUTED_VALUE"""),"Yes")</f>
        <v>Yes</v>
      </c>
      <c r="X270" s="5"/>
      <c r="Y270" s="5" t="str">
        <f ca="1">IFERROR(__xludf.DUMMYFUNCTION("""COMPUTED_VALUE"""),"Yes")</f>
        <v>Yes</v>
      </c>
      <c r="Z270" s="5"/>
      <c r="AA270" s="5" t="str">
        <f ca="1">IFERROR(__xludf.DUMMYFUNCTION("""COMPUTED_VALUE"""),"Yes")</f>
        <v>Yes</v>
      </c>
      <c r="AB270" s="5" t="str">
        <f ca="1">IFERROR(__xludf.DUMMYFUNCTION("""COMPUTED_VALUE"""),"Yes")</f>
        <v>Yes</v>
      </c>
      <c r="AC270" s="5" t="str">
        <f ca="1">IFERROR(__xludf.DUMMYFUNCTION("""COMPUTED_VALUE"""),"Yes")</f>
        <v>Yes</v>
      </c>
      <c r="AD270" s="5" t="str">
        <f ca="1">IFERROR(__xludf.DUMMYFUNCTION("""COMPUTED_VALUE"""),"Yes")</f>
        <v>Yes</v>
      </c>
      <c r="AE270" s="5"/>
      <c r="AF270" s="5" t="str">
        <f ca="1">IFERROR(__xludf.DUMMYFUNCTION("""COMPUTED_VALUE"""),"Yes")</f>
        <v>Yes</v>
      </c>
      <c r="AG270" s="5"/>
      <c r="AH270" s="5"/>
      <c r="AI270" s="5"/>
      <c r="AJ270" s="5"/>
      <c r="AK270" s="5"/>
      <c r="AL270" s="5"/>
      <c r="AM270" s="5"/>
      <c r="AN270" s="5"/>
      <c r="AO270" s="5"/>
      <c r="AP270" s="5"/>
      <c r="AQ270" s="5"/>
      <c r="AR270" s="5"/>
      <c r="AS270" s="5"/>
      <c r="AT270" s="5"/>
      <c r="AU270" s="5"/>
      <c r="AV270" s="5"/>
      <c r="AW270" s="5"/>
      <c r="AX270" s="5"/>
      <c r="AY270" s="5"/>
    </row>
    <row r="271" spans="1:51" x14ac:dyDescent="0.25">
      <c r="A2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1" s="5">
        <f ca="1">IFERROR(__xludf.DUMMYFUNCTION("""COMPUTED_VALUE"""),271)</f>
        <v>271</v>
      </c>
      <c r="C271" s="5">
        <f ca="1">IFERROR(__xludf.DUMMYFUNCTION("""COMPUTED_VALUE"""),270)</f>
        <v>270</v>
      </c>
      <c r="D271" s="5" t="str">
        <f ca="1">IFERROR(__xludf.DUMMYFUNCTION("""COMPUTED_VALUE"""),"HotLine1X")</f>
        <v>HotLine1X</v>
      </c>
      <c r="E271" s="5" t="str">
        <f ca="1">IFERROR(__xludf.DUMMYFUNCTION("""COMPUTED_VALUE"""),"Yes")</f>
        <v>Yes</v>
      </c>
      <c r="F271" s="5" t="str">
        <f ca="1">IFERROR(__xludf.DUMMYFUNCTION("""COMPUTED_VALUE"""),"Yes")</f>
        <v>Yes</v>
      </c>
      <c r="G271" s="5" t="str">
        <f ca="1">IFERROR(__xludf.DUMMYFUNCTION("""COMPUTED_VALUE"""),"Yes")</f>
        <v>Yes</v>
      </c>
      <c r="H271" s="5" t="str">
        <f ca="1">IFERROR(__xludf.DUMMYFUNCTION("""COMPUTED_VALUE"""),"Yes")</f>
        <v>Yes</v>
      </c>
      <c r="I271" s="5" t="str">
        <f ca="1">IFERROR(__xludf.DUMMYFUNCTION("""COMPUTED_VALUE"""),"Yes")</f>
        <v>Yes</v>
      </c>
      <c r="J271" s="5" t="str">
        <f ca="1">IFERROR(__xludf.DUMMYFUNCTION("""COMPUTED_VALUE"""),"Yes")</f>
        <v>Yes</v>
      </c>
      <c r="K271" s="5" t="str">
        <f ca="1">IFERROR(__xludf.DUMMYFUNCTION("""COMPUTED_VALUE"""),"Yes")</f>
        <v>Yes</v>
      </c>
      <c r="L271" s="5" t="str">
        <f ca="1">IFERROR(__xludf.DUMMYFUNCTION("""COMPUTED_VALUE"""),"Yes")</f>
        <v>Yes</v>
      </c>
      <c r="M271" s="5" t="str">
        <f ca="1">IFERROR(__xludf.DUMMYFUNCTION("""COMPUTED_VALUE"""),"Yes")</f>
        <v>Yes</v>
      </c>
      <c r="N271" s="5" t="str">
        <f ca="1">IFERROR(__xludf.DUMMYFUNCTION("""COMPUTED_VALUE"""),"Yes")</f>
        <v>Yes</v>
      </c>
      <c r="O271" s="5" t="str">
        <f ca="1">IFERROR(__xludf.DUMMYFUNCTION("""COMPUTED_VALUE"""),"Yes")</f>
        <v>Yes</v>
      </c>
      <c r="P271" s="5" t="str">
        <f ca="1">IFERROR(__xludf.DUMMYFUNCTION("""COMPUTED_VALUE"""),"Yes")</f>
        <v>Yes</v>
      </c>
      <c r="Q271" s="5" t="str">
        <f ca="1">IFERROR(__xludf.DUMMYFUNCTION("""COMPUTED_VALUE"""),"Yes")</f>
        <v>Yes</v>
      </c>
      <c r="R271" s="5" t="str">
        <f ca="1">IFERROR(__xludf.DUMMYFUNCTION("""COMPUTED_VALUE"""),"Yes")</f>
        <v>Yes</v>
      </c>
      <c r="S271" s="5" t="str">
        <f ca="1">IFERROR(__xludf.DUMMYFUNCTION("""COMPUTED_VALUE"""),"Yes")</f>
        <v>Yes</v>
      </c>
      <c r="T271" s="5" t="str">
        <f ca="1">IFERROR(__xludf.DUMMYFUNCTION("""COMPUTED_VALUE"""),"Yes")</f>
        <v>Yes</v>
      </c>
      <c r="U271" s="5" t="str">
        <f ca="1">IFERROR(__xludf.DUMMYFUNCTION("""COMPUTED_VALUE"""),"Yes")</f>
        <v>Yes</v>
      </c>
      <c r="V271" s="5" t="str">
        <f ca="1">IFERROR(__xludf.DUMMYFUNCTION("""COMPUTED_VALUE"""),"Yes")</f>
        <v>Yes</v>
      </c>
      <c r="W271" s="5" t="str">
        <f ca="1">IFERROR(__xludf.DUMMYFUNCTION("""COMPUTED_VALUE"""),"Yes")</f>
        <v>Yes</v>
      </c>
      <c r="X271" s="5" t="str">
        <f ca="1">IFERROR(__xludf.DUMMYFUNCTION("""COMPUTED_VALUE"""),"Yes")</f>
        <v>Yes</v>
      </c>
      <c r="Y271" s="5" t="str">
        <f ca="1">IFERROR(__xludf.DUMMYFUNCTION("""COMPUTED_VALUE"""),"Yes")</f>
        <v>Yes</v>
      </c>
      <c r="Z271" s="5" t="str">
        <f ca="1">IFERROR(__xludf.DUMMYFUNCTION("""COMPUTED_VALUE"""),"No")</f>
        <v>No</v>
      </c>
      <c r="AA271" s="5" t="str">
        <f ca="1">IFERROR(__xludf.DUMMYFUNCTION("""COMPUTED_VALUE"""),"Yes")</f>
        <v>Yes</v>
      </c>
      <c r="AB271" s="5" t="str">
        <f ca="1">IFERROR(__xludf.DUMMYFUNCTION("""COMPUTED_VALUE"""),"Yes")</f>
        <v>Yes</v>
      </c>
      <c r="AC271" s="5" t="str">
        <f ca="1">IFERROR(__xludf.DUMMYFUNCTION("""COMPUTED_VALUE"""),"Yes")</f>
        <v>Yes</v>
      </c>
      <c r="AD271" s="5" t="str">
        <f ca="1">IFERROR(__xludf.DUMMYFUNCTION("""COMPUTED_VALUE"""),"Yes")</f>
        <v>Yes</v>
      </c>
      <c r="AE271" s="5" t="str">
        <f ca="1">IFERROR(__xludf.DUMMYFUNCTION("""COMPUTED_VALUE"""),"No")</f>
        <v>No</v>
      </c>
      <c r="AF271" s="5" t="str">
        <f ca="1">IFERROR(__xludf.DUMMYFUNCTION("""COMPUTED_VALUE"""),"Yes")</f>
        <v>Yes</v>
      </c>
      <c r="AG271" s="5" t="str">
        <f ca="1">IFERROR(__xludf.DUMMYFUNCTION("""COMPUTED_VALUE"""),"No")</f>
        <v>No</v>
      </c>
      <c r="AH271" s="5" t="str">
        <f ca="1">IFERROR(__xludf.DUMMYFUNCTION("""COMPUTED_VALUE"""),"No")</f>
        <v>No</v>
      </c>
      <c r="AI271" s="5" t="str">
        <f ca="1">IFERROR(__xludf.DUMMYFUNCTION("""COMPUTED_VALUE"""),"No")</f>
        <v>No</v>
      </c>
      <c r="AJ271" s="5" t="str">
        <f ca="1">IFERROR(__xludf.DUMMYFUNCTION("""COMPUTED_VALUE"""),"No")</f>
        <v>No</v>
      </c>
      <c r="AK271" s="5" t="str">
        <f ca="1">IFERROR(__xludf.DUMMYFUNCTION("""COMPUTED_VALUE"""),"No")</f>
        <v>No</v>
      </c>
      <c r="AL271" s="5" t="str">
        <f ca="1">IFERROR(__xludf.DUMMYFUNCTION("""COMPUTED_VALUE"""),"No")</f>
        <v>No</v>
      </c>
      <c r="AM271" s="5"/>
      <c r="AN271" s="5"/>
      <c r="AO271" s="5"/>
      <c r="AP271" s="5"/>
      <c r="AQ271" s="5"/>
      <c r="AR271" s="5"/>
      <c r="AS271" s="5"/>
      <c r="AT271" s="5"/>
      <c r="AU271" s="5"/>
      <c r="AV271" s="5"/>
      <c r="AW271" s="5"/>
      <c r="AX271" s="5"/>
      <c r="AY271" s="5"/>
    </row>
    <row r="272" spans="1:51" x14ac:dyDescent="0.25">
      <c r="A2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2" s="5">
        <f ca="1">IFERROR(__xludf.DUMMYFUNCTION("""COMPUTED_VALUE"""),272)</f>
        <v>272</v>
      </c>
      <c r="C272" s="5">
        <f ca="1">IFERROR(__xludf.DUMMYFUNCTION("""COMPUTED_VALUE"""),271)</f>
        <v>271</v>
      </c>
      <c r="D272" s="5" t="str">
        <f ca="1">IFERROR(__xludf.DUMMYFUNCTION("""COMPUTED_VALUE"""),"WildHot40BlowDice")</f>
        <v>WildHot40BlowDice</v>
      </c>
      <c r="E272" s="5" t="str">
        <f ca="1">IFERROR(__xludf.DUMMYFUNCTION("""COMPUTED_VALUE"""),"Yes")</f>
        <v>Yes</v>
      </c>
      <c r="F272" s="5" t="str">
        <f ca="1">IFERROR(__xludf.DUMMYFUNCTION("""COMPUTED_VALUE"""),"Yes")</f>
        <v>Yes</v>
      </c>
      <c r="G272" s="5" t="str">
        <f ca="1">IFERROR(__xludf.DUMMYFUNCTION("""COMPUTED_VALUE"""),"Yes")</f>
        <v>Yes</v>
      </c>
      <c r="H272" s="5" t="str">
        <f ca="1">IFERROR(__xludf.DUMMYFUNCTION("""COMPUTED_VALUE"""),"Yes")</f>
        <v>Yes</v>
      </c>
      <c r="I272" s="5" t="str">
        <f ca="1">IFERROR(__xludf.DUMMYFUNCTION("""COMPUTED_VALUE"""),"Yes")</f>
        <v>Yes</v>
      </c>
      <c r="J272" s="5" t="str">
        <f ca="1">IFERROR(__xludf.DUMMYFUNCTION("""COMPUTED_VALUE"""),"Yes")</f>
        <v>Yes</v>
      </c>
      <c r="K272" s="5" t="str">
        <f ca="1">IFERROR(__xludf.DUMMYFUNCTION("""COMPUTED_VALUE"""),"Yes")</f>
        <v>Yes</v>
      </c>
      <c r="L272" s="5" t="str">
        <f ca="1">IFERROR(__xludf.DUMMYFUNCTION("""COMPUTED_VALUE"""),"Yes")</f>
        <v>Yes</v>
      </c>
      <c r="M272" s="5" t="str">
        <f ca="1">IFERROR(__xludf.DUMMYFUNCTION("""COMPUTED_VALUE"""),"Yes")</f>
        <v>Yes</v>
      </c>
      <c r="N272" s="5" t="str">
        <f ca="1">IFERROR(__xludf.DUMMYFUNCTION("""COMPUTED_VALUE"""),"Yes")</f>
        <v>Yes</v>
      </c>
      <c r="O272" s="5" t="str">
        <f ca="1">IFERROR(__xludf.DUMMYFUNCTION("""COMPUTED_VALUE"""),"Yes")</f>
        <v>Yes</v>
      </c>
      <c r="P272" s="5" t="str">
        <f ca="1">IFERROR(__xludf.DUMMYFUNCTION("""COMPUTED_VALUE"""),"Yes")</f>
        <v>Yes</v>
      </c>
      <c r="Q272" s="5" t="str">
        <f ca="1">IFERROR(__xludf.DUMMYFUNCTION("""COMPUTED_VALUE"""),"Yes")</f>
        <v>Yes</v>
      </c>
      <c r="R272" s="5" t="str">
        <f ca="1">IFERROR(__xludf.DUMMYFUNCTION("""COMPUTED_VALUE"""),"Yes")</f>
        <v>Yes</v>
      </c>
      <c r="S272" s="5" t="str">
        <f ca="1">IFERROR(__xludf.DUMMYFUNCTION("""COMPUTED_VALUE"""),"Yes")</f>
        <v>Yes</v>
      </c>
      <c r="T272" s="5" t="str">
        <f ca="1">IFERROR(__xludf.DUMMYFUNCTION("""COMPUTED_VALUE"""),"Yes")</f>
        <v>Yes</v>
      </c>
      <c r="U272" s="5" t="str">
        <f ca="1">IFERROR(__xludf.DUMMYFUNCTION("""COMPUTED_VALUE"""),"Yes")</f>
        <v>Yes</v>
      </c>
      <c r="V272" s="5" t="str">
        <f ca="1">IFERROR(__xludf.DUMMYFUNCTION("""COMPUTED_VALUE"""),"Yes")</f>
        <v>Yes</v>
      </c>
      <c r="W272" s="5" t="str">
        <f ca="1">IFERROR(__xludf.DUMMYFUNCTION("""COMPUTED_VALUE"""),"Yes")</f>
        <v>Yes</v>
      </c>
      <c r="X272" s="5" t="str">
        <f ca="1">IFERROR(__xludf.DUMMYFUNCTION("""COMPUTED_VALUE"""),"Yes")</f>
        <v>Yes</v>
      </c>
      <c r="Y272" s="5" t="str">
        <f ca="1">IFERROR(__xludf.DUMMYFUNCTION("""COMPUTED_VALUE"""),"Yes")</f>
        <v>Yes</v>
      </c>
      <c r="Z272" s="5" t="str">
        <f ca="1">IFERROR(__xludf.DUMMYFUNCTION("""COMPUTED_VALUE"""),"No")</f>
        <v>No</v>
      </c>
      <c r="AA272" s="5" t="str">
        <f ca="1">IFERROR(__xludf.DUMMYFUNCTION("""COMPUTED_VALUE"""),"Yes")</f>
        <v>Yes</v>
      </c>
      <c r="AB272" s="5" t="str">
        <f ca="1">IFERROR(__xludf.DUMMYFUNCTION("""COMPUTED_VALUE"""),"Yes")</f>
        <v>Yes</v>
      </c>
      <c r="AC272" s="5" t="str">
        <f ca="1">IFERROR(__xludf.DUMMYFUNCTION("""COMPUTED_VALUE"""),"Yes")</f>
        <v>Yes</v>
      </c>
      <c r="AD272" s="5" t="str">
        <f ca="1">IFERROR(__xludf.DUMMYFUNCTION("""COMPUTED_VALUE"""),"Yes")</f>
        <v>Yes</v>
      </c>
      <c r="AE272" s="5" t="str">
        <f ca="1">IFERROR(__xludf.DUMMYFUNCTION("""COMPUTED_VALUE"""),"No")</f>
        <v>No</v>
      </c>
      <c r="AF272" s="5" t="str">
        <f ca="1">IFERROR(__xludf.DUMMYFUNCTION("""COMPUTED_VALUE"""),"Yes")</f>
        <v>Yes</v>
      </c>
      <c r="AG272" s="5" t="str">
        <f ca="1">IFERROR(__xludf.DUMMYFUNCTION("""COMPUTED_VALUE"""),"No")</f>
        <v>No</v>
      </c>
      <c r="AH272" s="5" t="str">
        <f ca="1">IFERROR(__xludf.DUMMYFUNCTION("""COMPUTED_VALUE"""),"No")</f>
        <v>No</v>
      </c>
      <c r="AI272" s="5" t="str">
        <f ca="1">IFERROR(__xludf.DUMMYFUNCTION("""COMPUTED_VALUE"""),"No")</f>
        <v>No</v>
      </c>
      <c r="AJ272" s="5" t="str">
        <f ca="1">IFERROR(__xludf.DUMMYFUNCTION("""COMPUTED_VALUE"""),"No")</f>
        <v>No</v>
      </c>
      <c r="AK272" s="5" t="str">
        <f ca="1">IFERROR(__xludf.DUMMYFUNCTION("""COMPUTED_VALUE"""),"No")</f>
        <v>No</v>
      </c>
      <c r="AL272" s="5" t="str">
        <f ca="1">IFERROR(__xludf.DUMMYFUNCTION("""COMPUTED_VALUE"""),"No")</f>
        <v>No</v>
      </c>
      <c r="AM272" s="5"/>
      <c r="AN272" s="5"/>
      <c r="AO272" s="5"/>
      <c r="AP272" s="5"/>
      <c r="AQ272" s="5"/>
      <c r="AR272" s="5"/>
      <c r="AS272" s="5"/>
      <c r="AT272" s="5"/>
      <c r="AU272" s="5"/>
      <c r="AV272" s="5"/>
      <c r="AW272" s="5"/>
      <c r="AX272" s="5"/>
      <c r="AY272" s="5"/>
    </row>
    <row r="273" spans="1:51" x14ac:dyDescent="0.25">
      <c r="A2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3" s="5">
        <f ca="1">IFERROR(__xludf.DUMMYFUNCTION("""COMPUTED_VALUE"""),273)</f>
        <v>273</v>
      </c>
      <c r="C273" s="5">
        <f ca="1">IFERROR(__xludf.DUMMYFUNCTION("""COMPUTED_VALUE"""),272)</f>
        <v>272</v>
      </c>
      <c r="D273" s="5" t="str">
        <f ca="1">IFERROR(__xludf.DUMMYFUNCTION("""COMPUTED_VALUE"""),"FashionNight")</f>
        <v>FashionNight</v>
      </c>
      <c r="E273" s="5" t="str">
        <f ca="1">IFERROR(__xludf.DUMMYFUNCTION("""COMPUTED_VALUE"""),"Yes")</f>
        <v>Yes</v>
      </c>
      <c r="F273" s="5" t="str">
        <f ca="1">IFERROR(__xludf.DUMMYFUNCTION("""COMPUTED_VALUE"""),"Yes")</f>
        <v>Yes</v>
      </c>
      <c r="G273" s="5" t="str">
        <f ca="1">IFERROR(__xludf.DUMMYFUNCTION("""COMPUTED_VALUE"""),"Yes")</f>
        <v>Yes</v>
      </c>
      <c r="H273" s="5" t="str">
        <f ca="1">IFERROR(__xludf.DUMMYFUNCTION("""COMPUTED_VALUE"""),"Yes")</f>
        <v>Yes</v>
      </c>
      <c r="I273" s="5" t="str">
        <f ca="1">IFERROR(__xludf.DUMMYFUNCTION("""COMPUTED_VALUE"""),"Yes")</f>
        <v>Yes</v>
      </c>
      <c r="J273" s="5" t="str">
        <f ca="1">IFERROR(__xludf.DUMMYFUNCTION("""COMPUTED_VALUE"""),"Yes")</f>
        <v>Yes</v>
      </c>
      <c r="K273" s="5" t="str">
        <f ca="1">IFERROR(__xludf.DUMMYFUNCTION("""COMPUTED_VALUE"""),"Yes")</f>
        <v>Yes</v>
      </c>
      <c r="L273" s="5" t="str">
        <f ca="1">IFERROR(__xludf.DUMMYFUNCTION("""COMPUTED_VALUE"""),"Yes")</f>
        <v>Yes</v>
      </c>
      <c r="M273" s="5" t="str">
        <f ca="1">IFERROR(__xludf.DUMMYFUNCTION("""COMPUTED_VALUE"""),"Yes")</f>
        <v>Yes</v>
      </c>
      <c r="N273" s="5" t="str">
        <f ca="1">IFERROR(__xludf.DUMMYFUNCTION("""COMPUTED_VALUE"""),"Yes")</f>
        <v>Yes</v>
      </c>
      <c r="O273" s="5" t="str">
        <f ca="1">IFERROR(__xludf.DUMMYFUNCTION("""COMPUTED_VALUE"""),"Yes")</f>
        <v>Yes</v>
      </c>
      <c r="P273" s="5" t="str">
        <f ca="1">IFERROR(__xludf.DUMMYFUNCTION("""COMPUTED_VALUE"""),"Yes")</f>
        <v>Yes</v>
      </c>
      <c r="Q273" s="5" t="str">
        <f ca="1">IFERROR(__xludf.DUMMYFUNCTION("""COMPUTED_VALUE"""),"Yes")</f>
        <v>Yes</v>
      </c>
      <c r="R273" s="5" t="str">
        <f ca="1">IFERROR(__xludf.DUMMYFUNCTION("""COMPUTED_VALUE"""),"Yes")</f>
        <v>Yes</v>
      </c>
      <c r="S273" s="5" t="str">
        <f ca="1">IFERROR(__xludf.DUMMYFUNCTION("""COMPUTED_VALUE"""),"Yes")</f>
        <v>Yes</v>
      </c>
      <c r="T273" s="5" t="str">
        <f ca="1">IFERROR(__xludf.DUMMYFUNCTION("""COMPUTED_VALUE"""),"Yes")</f>
        <v>Yes</v>
      </c>
      <c r="U273" s="5" t="str">
        <f ca="1">IFERROR(__xludf.DUMMYFUNCTION("""COMPUTED_VALUE"""),"Yes")</f>
        <v>Yes</v>
      </c>
      <c r="V273" s="5" t="str">
        <f ca="1">IFERROR(__xludf.DUMMYFUNCTION("""COMPUTED_VALUE"""),"Yes")</f>
        <v>Yes</v>
      </c>
      <c r="W273" s="5" t="str">
        <f ca="1">IFERROR(__xludf.DUMMYFUNCTION("""COMPUTED_VALUE"""),"Yes")</f>
        <v>Yes</v>
      </c>
      <c r="X273" s="5" t="str">
        <f ca="1">IFERROR(__xludf.DUMMYFUNCTION("""COMPUTED_VALUE"""),"Yes")</f>
        <v>Yes</v>
      </c>
      <c r="Y273" s="5" t="str">
        <f ca="1">IFERROR(__xludf.DUMMYFUNCTION("""COMPUTED_VALUE"""),"Yes")</f>
        <v>Yes</v>
      </c>
      <c r="Z273" s="5" t="str">
        <f ca="1">IFERROR(__xludf.DUMMYFUNCTION("""COMPUTED_VALUE"""),"No")</f>
        <v>No</v>
      </c>
      <c r="AA273" s="5" t="str">
        <f ca="1">IFERROR(__xludf.DUMMYFUNCTION("""COMPUTED_VALUE"""),"Yes")</f>
        <v>Yes</v>
      </c>
      <c r="AB273" s="5" t="str">
        <f ca="1">IFERROR(__xludf.DUMMYFUNCTION("""COMPUTED_VALUE"""),"Yes")</f>
        <v>Yes</v>
      </c>
      <c r="AC273" s="5" t="str">
        <f ca="1">IFERROR(__xludf.DUMMYFUNCTION("""COMPUTED_VALUE"""),"Yes")</f>
        <v>Yes</v>
      </c>
      <c r="AD273" s="5" t="str">
        <f ca="1">IFERROR(__xludf.DUMMYFUNCTION("""COMPUTED_VALUE"""),"Yes")</f>
        <v>Yes</v>
      </c>
      <c r="AE273" s="5" t="str">
        <f ca="1">IFERROR(__xludf.DUMMYFUNCTION("""COMPUTED_VALUE"""),"No")</f>
        <v>No</v>
      </c>
      <c r="AF273" s="5" t="str">
        <f ca="1">IFERROR(__xludf.DUMMYFUNCTION("""COMPUTED_VALUE"""),"Yes")</f>
        <v>Yes</v>
      </c>
      <c r="AG273" s="5" t="str">
        <f ca="1">IFERROR(__xludf.DUMMYFUNCTION("""COMPUTED_VALUE"""),"No")</f>
        <v>No</v>
      </c>
      <c r="AH273" s="5" t="str">
        <f ca="1">IFERROR(__xludf.DUMMYFUNCTION("""COMPUTED_VALUE"""),"No")</f>
        <v>No</v>
      </c>
      <c r="AI273" s="5" t="str">
        <f ca="1">IFERROR(__xludf.DUMMYFUNCTION("""COMPUTED_VALUE"""),"No")</f>
        <v>No</v>
      </c>
      <c r="AJ273" s="5" t="str">
        <f ca="1">IFERROR(__xludf.DUMMYFUNCTION("""COMPUTED_VALUE"""),"No")</f>
        <v>No</v>
      </c>
      <c r="AK273" s="5" t="str">
        <f ca="1">IFERROR(__xludf.DUMMYFUNCTION("""COMPUTED_VALUE"""),"No")</f>
        <v>No</v>
      </c>
      <c r="AL273" s="5" t="str">
        <f ca="1">IFERROR(__xludf.DUMMYFUNCTION("""COMPUTED_VALUE"""),"No")</f>
        <v>No</v>
      </c>
      <c r="AM273" s="5"/>
      <c r="AN273" s="5"/>
      <c r="AO273" s="5"/>
      <c r="AP273" s="5"/>
      <c r="AQ273" s="5"/>
      <c r="AR273" s="5"/>
      <c r="AS273" s="5"/>
      <c r="AT273" s="5"/>
      <c r="AU273" s="5"/>
      <c r="AV273" s="5"/>
      <c r="AW273" s="5"/>
      <c r="AX273" s="5"/>
      <c r="AY273" s="5"/>
    </row>
    <row r="274" spans="1:51" x14ac:dyDescent="0.25">
      <c r="A2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4" s="5">
        <f ca="1">IFERROR(__xludf.DUMMYFUNCTION("""COMPUTED_VALUE"""),274)</f>
        <v>274</v>
      </c>
      <c r="C274" s="5">
        <f ca="1">IFERROR(__xludf.DUMMYFUNCTION("""COMPUTED_VALUE"""),273)</f>
        <v>273</v>
      </c>
      <c r="D274" s="5" t="str">
        <f ca="1">IFERROR(__xludf.DUMMYFUNCTION("""COMPUTED_VALUE"""),"MayansBattle")</f>
        <v>MayansBattle</v>
      </c>
      <c r="E274" s="5" t="str">
        <f ca="1">IFERROR(__xludf.DUMMYFUNCTION("""COMPUTED_VALUE"""),"Yes")</f>
        <v>Yes</v>
      </c>
      <c r="F274" s="5" t="str">
        <f ca="1">IFERROR(__xludf.DUMMYFUNCTION("""COMPUTED_VALUE"""),"Yes")</f>
        <v>Yes</v>
      </c>
      <c r="G274" s="5" t="str">
        <f ca="1">IFERROR(__xludf.DUMMYFUNCTION("""COMPUTED_VALUE"""),"Yes")</f>
        <v>Yes</v>
      </c>
      <c r="H274" s="5" t="str">
        <f ca="1">IFERROR(__xludf.DUMMYFUNCTION("""COMPUTED_VALUE"""),"Yes")</f>
        <v>Yes</v>
      </c>
      <c r="I274" s="5" t="str">
        <f ca="1">IFERROR(__xludf.DUMMYFUNCTION("""COMPUTED_VALUE"""),"Yes")</f>
        <v>Yes</v>
      </c>
      <c r="J274" s="5" t="str">
        <f ca="1">IFERROR(__xludf.DUMMYFUNCTION("""COMPUTED_VALUE"""),"Yes")</f>
        <v>Yes</v>
      </c>
      <c r="K274" s="5" t="str">
        <f ca="1">IFERROR(__xludf.DUMMYFUNCTION("""COMPUTED_VALUE"""),"Yes")</f>
        <v>Yes</v>
      </c>
      <c r="L274" s="5" t="str">
        <f ca="1">IFERROR(__xludf.DUMMYFUNCTION("""COMPUTED_VALUE"""),"Yes")</f>
        <v>Yes</v>
      </c>
      <c r="M274" s="5" t="str">
        <f ca="1">IFERROR(__xludf.DUMMYFUNCTION("""COMPUTED_VALUE"""),"Yes")</f>
        <v>Yes</v>
      </c>
      <c r="N274" s="5" t="str">
        <f ca="1">IFERROR(__xludf.DUMMYFUNCTION("""COMPUTED_VALUE"""),"Yes")</f>
        <v>Yes</v>
      </c>
      <c r="O274" s="5" t="str">
        <f ca="1">IFERROR(__xludf.DUMMYFUNCTION("""COMPUTED_VALUE"""),"Yes")</f>
        <v>Yes</v>
      </c>
      <c r="P274" s="5" t="str">
        <f ca="1">IFERROR(__xludf.DUMMYFUNCTION("""COMPUTED_VALUE"""),"Yes")</f>
        <v>Yes</v>
      </c>
      <c r="Q274" s="5" t="str">
        <f ca="1">IFERROR(__xludf.DUMMYFUNCTION("""COMPUTED_VALUE"""),"Yes")</f>
        <v>Yes</v>
      </c>
      <c r="R274" s="5" t="str">
        <f ca="1">IFERROR(__xludf.DUMMYFUNCTION("""COMPUTED_VALUE"""),"Yes")</f>
        <v>Yes</v>
      </c>
      <c r="S274" s="5" t="str">
        <f ca="1">IFERROR(__xludf.DUMMYFUNCTION("""COMPUTED_VALUE"""),"Yes")</f>
        <v>Yes</v>
      </c>
      <c r="T274" s="5" t="str">
        <f ca="1">IFERROR(__xludf.DUMMYFUNCTION("""COMPUTED_VALUE"""),"Yes")</f>
        <v>Yes</v>
      </c>
      <c r="U274" s="5" t="str">
        <f ca="1">IFERROR(__xludf.DUMMYFUNCTION("""COMPUTED_VALUE"""),"Yes")</f>
        <v>Yes</v>
      </c>
      <c r="V274" s="5" t="str">
        <f ca="1">IFERROR(__xludf.DUMMYFUNCTION("""COMPUTED_VALUE"""),"Yes")</f>
        <v>Yes</v>
      </c>
      <c r="W274" s="5" t="str">
        <f ca="1">IFERROR(__xludf.DUMMYFUNCTION("""COMPUTED_VALUE"""),"Yes")</f>
        <v>Yes</v>
      </c>
      <c r="X274" s="5" t="str">
        <f ca="1">IFERROR(__xludf.DUMMYFUNCTION("""COMPUTED_VALUE"""),"Yes")</f>
        <v>Yes</v>
      </c>
      <c r="Y274" s="5" t="str">
        <f ca="1">IFERROR(__xludf.DUMMYFUNCTION("""COMPUTED_VALUE"""),"Yes")</f>
        <v>Yes</v>
      </c>
      <c r="Z274" s="5" t="str">
        <f ca="1">IFERROR(__xludf.DUMMYFUNCTION("""COMPUTED_VALUE"""),"No")</f>
        <v>No</v>
      </c>
      <c r="AA274" s="5" t="str">
        <f ca="1">IFERROR(__xludf.DUMMYFUNCTION("""COMPUTED_VALUE"""),"Yes")</f>
        <v>Yes</v>
      </c>
      <c r="AB274" s="5" t="str">
        <f ca="1">IFERROR(__xludf.DUMMYFUNCTION("""COMPUTED_VALUE"""),"Yes")</f>
        <v>Yes</v>
      </c>
      <c r="AC274" s="5" t="str">
        <f ca="1">IFERROR(__xludf.DUMMYFUNCTION("""COMPUTED_VALUE"""),"Yes")</f>
        <v>Yes</v>
      </c>
      <c r="AD274" s="5" t="str">
        <f ca="1">IFERROR(__xludf.DUMMYFUNCTION("""COMPUTED_VALUE"""),"Yes")</f>
        <v>Yes</v>
      </c>
      <c r="AE274" s="5" t="str">
        <f ca="1">IFERROR(__xludf.DUMMYFUNCTION("""COMPUTED_VALUE"""),"No")</f>
        <v>No</v>
      </c>
      <c r="AF274" s="5" t="str">
        <f ca="1">IFERROR(__xludf.DUMMYFUNCTION("""COMPUTED_VALUE"""),"Yes")</f>
        <v>Yes</v>
      </c>
      <c r="AG274" s="5" t="str">
        <f ca="1">IFERROR(__xludf.DUMMYFUNCTION("""COMPUTED_VALUE"""),"No")</f>
        <v>No</v>
      </c>
      <c r="AH274" s="5" t="str">
        <f ca="1">IFERROR(__xludf.DUMMYFUNCTION("""COMPUTED_VALUE"""),"No")</f>
        <v>No</v>
      </c>
      <c r="AI274" s="5" t="str">
        <f ca="1">IFERROR(__xludf.DUMMYFUNCTION("""COMPUTED_VALUE"""),"No")</f>
        <v>No</v>
      </c>
      <c r="AJ274" s="5" t="str">
        <f ca="1">IFERROR(__xludf.DUMMYFUNCTION("""COMPUTED_VALUE"""),"No")</f>
        <v>No</v>
      </c>
      <c r="AK274" s="5" t="str">
        <f ca="1">IFERROR(__xludf.DUMMYFUNCTION("""COMPUTED_VALUE"""),"No")</f>
        <v>No</v>
      </c>
      <c r="AL274" s="5" t="str">
        <f ca="1">IFERROR(__xludf.DUMMYFUNCTION("""COMPUTED_VALUE"""),"No")</f>
        <v>No</v>
      </c>
      <c r="AM274" s="5"/>
      <c r="AN274" s="5"/>
      <c r="AO274" s="5"/>
      <c r="AP274" s="5"/>
      <c r="AQ274" s="5"/>
      <c r="AR274" s="5"/>
      <c r="AS274" s="5"/>
      <c r="AT274" s="5"/>
      <c r="AU274" s="5"/>
      <c r="AV274" s="5"/>
      <c r="AW274" s="5"/>
      <c r="AX274" s="5"/>
      <c r="AY274" s="5"/>
    </row>
    <row r="275" spans="1:51" x14ac:dyDescent="0.25">
      <c r="A2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275" s="5">
        <f ca="1">IFERROR(__xludf.DUMMYFUNCTION("""COMPUTED_VALUE"""),275)</f>
        <v>275</v>
      </c>
      <c r="C275" s="5">
        <f ca="1">IFERROR(__xludf.DUMMYFUNCTION("""COMPUTED_VALUE"""),274)</f>
        <v>274</v>
      </c>
      <c r="D275" s="5" t="str">
        <f ca="1">IFERROR(__xludf.DUMMYFUNCTION("""COMPUTED_VALUE"""),"UnicornFrootMachine")</f>
        <v>UnicornFrootMachine</v>
      </c>
      <c r="E275" s="5" t="str">
        <f ca="1">IFERROR(__xludf.DUMMYFUNCTION("""COMPUTED_VALUE"""),"Yes")</f>
        <v>Yes</v>
      </c>
      <c r="F275" s="5" t="str">
        <f ca="1">IFERROR(__xludf.DUMMYFUNCTION("""COMPUTED_VALUE"""),"Yes")</f>
        <v>Yes</v>
      </c>
      <c r="G275" s="5" t="str">
        <f ca="1">IFERROR(__xludf.DUMMYFUNCTION("""COMPUTED_VALUE"""),"Yes")</f>
        <v>Yes</v>
      </c>
      <c r="H275" s="5" t="str">
        <f ca="1">IFERROR(__xludf.DUMMYFUNCTION("""COMPUTED_VALUE"""),"Yes")</f>
        <v>Yes</v>
      </c>
      <c r="I275" s="5" t="str">
        <f ca="1">IFERROR(__xludf.DUMMYFUNCTION("""COMPUTED_VALUE"""),"Yes")</f>
        <v>Yes</v>
      </c>
      <c r="J275" s="5" t="str">
        <f ca="1">IFERROR(__xludf.DUMMYFUNCTION("""COMPUTED_VALUE"""),"Yes")</f>
        <v>Yes</v>
      </c>
      <c r="K275" s="5" t="str">
        <f ca="1">IFERROR(__xludf.DUMMYFUNCTION("""COMPUTED_VALUE"""),"Yes")</f>
        <v>Yes</v>
      </c>
      <c r="L275" s="5" t="str">
        <f ca="1">IFERROR(__xludf.DUMMYFUNCTION("""COMPUTED_VALUE"""),"Yes")</f>
        <v>Yes</v>
      </c>
      <c r="M275" s="5" t="str">
        <f ca="1">IFERROR(__xludf.DUMMYFUNCTION("""COMPUTED_VALUE"""),"Yes")</f>
        <v>Yes</v>
      </c>
      <c r="N275" s="5" t="str">
        <f ca="1">IFERROR(__xludf.DUMMYFUNCTION("""COMPUTED_VALUE"""),"Yes")</f>
        <v>Yes</v>
      </c>
      <c r="O275" s="5" t="str">
        <f ca="1">IFERROR(__xludf.DUMMYFUNCTION("""COMPUTED_VALUE"""),"Yes")</f>
        <v>Yes</v>
      </c>
      <c r="P275" s="5" t="str">
        <f ca="1">IFERROR(__xludf.DUMMYFUNCTION("""COMPUTED_VALUE"""),"Yes")</f>
        <v>Yes</v>
      </c>
      <c r="Q275" s="5" t="str">
        <f ca="1">IFERROR(__xludf.DUMMYFUNCTION("""COMPUTED_VALUE"""),"Yes")</f>
        <v>Yes</v>
      </c>
      <c r="R275" s="5" t="str">
        <f ca="1">IFERROR(__xludf.DUMMYFUNCTION("""COMPUTED_VALUE"""),"Yes")</f>
        <v>Yes</v>
      </c>
      <c r="S275" s="5" t="str">
        <f ca="1">IFERROR(__xludf.DUMMYFUNCTION("""COMPUTED_VALUE"""),"Yes")</f>
        <v>Yes</v>
      </c>
      <c r="T275" s="5" t="str">
        <f ca="1">IFERROR(__xludf.DUMMYFUNCTION("""COMPUTED_VALUE"""),"Yes")</f>
        <v>Yes</v>
      </c>
      <c r="U275" s="5" t="str">
        <f ca="1">IFERROR(__xludf.DUMMYFUNCTION("""COMPUTED_VALUE"""),"Yes")</f>
        <v>Yes</v>
      </c>
      <c r="V275" s="5" t="str">
        <f ca="1">IFERROR(__xludf.DUMMYFUNCTION("""COMPUTED_VALUE"""),"Yes")</f>
        <v>Yes</v>
      </c>
      <c r="W275" s="5" t="str">
        <f ca="1">IFERROR(__xludf.DUMMYFUNCTION("""COMPUTED_VALUE"""),"Yes")</f>
        <v>Yes</v>
      </c>
      <c r="X275" s="5"/>
      <c r="Y275" s="5"/>
      <c r="Z275" s="5"/>
      <c r="AA275" s="5"/>
      <c r="AB275" s="5"/>
      <c r="AC275" s="5" t="str">
        <f ca="1">IFERROR(__xludf.DUMMYFUNCTION("""COMPUTED_VALUE"""),"Yes")</f>
        <v>Yes</v>
      </c>
      <c r="AD275" s="5"/>
      <c r="AE275" s="5"/>
      <c r="AF275" s="5"/>
      <c r="AG275" s="5"/>
      <c r="AH275" s="5"/>
      <c r="AI275" s="5"/>
      <c r="AJ275" s="5"/>
      <c r="AK275" s="5"/>
      <c r="AL275" s="5"/>
      <c r="AM275" s="5"/>
      <c r="AN275" s="5"/>
      <c r="AO275" s="5"/>
      <c r="AP275" s="5"/>
      <c r="AQ275" s="5"/>
      <c r="AR275" s="5"/>
      <c r="AS275" s="5"/>
      <c r="AT275" s="5"/>
      <c r="AU275" s="5"/>
      <c r="AV275" s="5"/>
      <c r="AW275" s="5"/>
      <c r="AX275" s="5"/>
      <c r="AY275" s="5"/>
    </row>
    <row r="276" spans="1:51" x14ac:dyDescent="0.25">
      <c r="A27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76" s="5">
        <f ca="1">IFERROR(__xludf.DUMMYFUNCTION("""COMPUTED_VALUE"""),276)</f>
        <v>276</v>
      </c>
      <c r="C276" s="5">
        <f ca="1">IFERROR(__xludf.DUMMYFUNCTION("""COMPUTED_VALUE"""),275)</f>
        <v>275</v>
      </c>
      <c r="D276" s="5" t="str">
        <f ca="1">IFERROR(__xludf.DUMMYFUNCTION("""COMPUTED_VALUE"""),"UnicornSimplySevensDice")</f>
        <v>UnicornSimplySevensDice</v>
      </c>
      <c r="E276" s="5" t="str">
        <f ca="1">IFERROR(__xludf.DUMMYFUNCTION("""COMPUTED_VALUE"""),"Yes")</f>
        <v>Yes</v>
      </c>
      <c r="F276" s="5" t="str">
        <f ca="1">IFERROR(__xludf.DUMMYFUNCTION("""COMPUTED_VALUE"""),"Yes")</f>
        <v>Yes</v>
      </c>
      <c r="G276" s="5" t="str">
        <f ca="1">IFERROR(__xludf.DUMMYFUNCTION("""COMPUTED_VALUE"""),"Yes")</f>
        <v>Yes</v>
      </c>
      <c r="H276" s="5" t="str">
        <f ca="1">IFERROR(__xludf.DUMMYFUNCTION("""COMPUTED_VALUE"""),"No")</f>
        <v>No</v>
      </c>
      <c r="I276" s="5" t="str">
        <f ca="1">IFERROR(__xludf.DUMMYFUNCTION("""COMPUTED_VALUE"""),"No")</f>
        <v>No</v>
      </c>
      <c r="J276" s="5" t="str">
        <f ca="1">IFERROR(__xludf.DUMMYFUNCTION("""COMPUTED_VALUE"""),"No")</f>
        <v>No</v>
      </c>
      <c r="K276" s="5" t="str">
        <f ca="1">IFERROR(__xludf.DUMMYFUNCTION("""COMPUTED_VALUE"""),"No")</f>
        <v>No</v>
      </c>
      <c r="L276" s="5" t="str">
        <f ca="1">IFERROR(__xludf.DUMMYFUNCTION("""COMPUTED_VALUE"""),"No")</f>
        <v>No</v>
      </c>
      <c r="M276" s="5" t="str">
        <f ca="1">IFERROR(__xludf.DUMMYFUNCTION("""COMPUTED_VALUE"""),"Yes")</f>
        <v>Yes</v>
      </c>
      <c r="N276" s="5" t="str">
        <f ca="1">IFERROR(__xludf.DUMMYFUNCTION("""COMPUTED_VALUE"""),"Yes")</f>
        <v>Yes</v>
      </c>
      <c r="O276" s="5" t="str">
        <f ca="1">IFERROR(__xludf.DUMMYFUNCTION("""COMPUTED_VALUE"""),"Yes")</f>
        <v>Yes</v>
      </c>
      <c r="P276" s="5" t="str">
        <f ca="1">IFERROR(__xludf.DUMMYFUNCTION("""COMPUTED_VALUE"""),"Yes")</f>
        <v>Yes</v>
      </c>
      <c r="Q276" s="5" t="str">
        <f ca="1">IFERROR(__xludf.DUMMYFUNCTION("""COMPUTED_VALUE"""),"Yes")</f>
        <v>Yes</v>
      </c>
      <c r="R276" s="5" t="str">
        <f ca="1">IFERROR(__xludf.DUMMYFUNCTION("""COMPUTED_VALUE"""),"No")</f>
        <v>No</v>
      </c>
      <c r="S276" s="5" t="str">
        <f ca="1">IFERROR(__xludf.DUMMYFUNCTION("""COMPUTED_VALUE"""),"Yes")</f>
        <v>Yes</v>
      </c>
      <c r="T276" s="5" t="str">
        <f ca="1">IFERROR(__xludf.DUMMYFUNCTION("""COMPUTED_VALUE"""),"No")</f>
        <v>No</v>
      </c>
      <c r="U276" s="5" t="str">
        <f ca="1">IFERROR(__xludf.DUMMYFUNCTION("""COMPUTED_VALUE"""),"No")</f>
        <v>No</v>
      </c>
      <c r="V276" s="5" t="str">
        <f ca="1">IFERROR(__xludf.DUMMYFUNCTION("""COMPUTED_VALUE"""),"No")</f>
        <v>No</v>
      </c>
      <c r="W276" s="5" t="str">
        <f ca="1">IFERROR(__xludf.DUMMYFUNCTION("""COMPUTED_VALUE"""),"No")</f>
        <v>No</v>
      </c>
      <c r="X276" s="5"/>
      <c r="Y276" s="5"/>
      <c r="Z276" s="5"/>
      <c r="AA276" s="5"/>
      <c r="AB276" s="5"/>
      <c r="AC276" s="5" t="str">
        <f ca="1">IFERROR(__xludf.DUMMYFUNCTION("""COMPUTED_VALUE"""),"No")</f>
        <v>No</v>
      </c>
      <c r="AD276" s="5"/>
      <c r="AE276" s="5"/>
      <c r="AF276" s="5"/>
      <c r="AG276" s="5"/>
      <c r="AH276" s="5"/>
      <c r="AI276" s="5"/>
      <c r="AJ276" s="5"/>
      <c r="AK276" s="5"/>
      <c r="AL276" s="5"/>
      <c r="AM276" s="5"/>
      <c r="AN276" s="5"/>
      <c r="AO276" s="5"/>
      <c r="AP276" s="5"/>
      <c r="AQ276" s="5"/>
      <c r="AR276" s="5"/>
      <c r="AS276" s="5"/>
      <c r="AT276" s="5"/>
      <c r="AU276" s="5"/>
      <c r="AV276" s="5"/>
      <c r="AW276" s="5"/>
      <c r="AX276" s="5"/>
      <c r="AY276" s="5"/>
    </row>
    <row r="277" spans="1:51" x14ac:dyDescent="0.25">
      <c r="A2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7" s="5">
        <f ca="1">IFERROR(__xludf.DUMMYFUNCTION("""COMPUTED_VALUE"""),277)</f>
        <v>277</v>
      </c>
      <c r="C277" s="5">
        <f ca="1">IFERROR(__xludf.DUMMYFUNCTION("""COMPUTED_VALUE"""),276)</f>
        <v>276</v>
      </c>
      <c r="D277" s="5" t="str">
        <f ca="1">IFERROR(__xludf.DUMMYFUNCTION("""COMPUTED_VALUE"""),"WildCraps")</f>
        <v>WildCraps</v>
      </c>
      <c r="E277" s="5" t="str">
        <f ca="1">IFERROR(__xludf.DUMMYFUNCTION("""COMPUTED_VALUE"""),"Yes")</f>
        <v>Yes</v>
      </c>
      <c r="F277" s="5" t="str">
        <f ca="1">IFERROR(__xludf.DUMMYFUNCTION("""COMPUTED_VALUE"""),"Yes")</f>
        <v>Yes</v>
      </c>
      <c r="G277" s="5" t="str">
        <f ca="1">IFERROR(__xludf.DUMMYFUNCTION("""COMPUTED_VALUE"""),"Yes")</f>
        <v>Yes</v>
      </c>
      <c r="H277" s="5" t="str">
        <f ca="1">IFERROR(__xludf.DUMMYFUNCTION("""COMPUTED_VALUE"""),"Yes")</f>
        <v>Yes</v>
      </c>
      <c r="I277" s="5" t="str">
        <f ca="1">IFERROR(__xludf.DUMMYFUNCTION("""COMPUTED_VALUE"""),"Yes")</f>
        <v>Yes</v>
      </c>
      <c r="J277" s="5" t="str">
        <f ca="1">IFERROR(__xludf.DUMMYFUNCTION("""COMPUTED_VALUE"""),"Yes")</f>
        <v>Yes</v>
      </c>
      <c r="K277" s="5" t="str">
        <f ca="1">IFERROR(__xludf.DUMMYFUNCTION("""COMPUTED_VALUE"""),"Yes")</f>
        <v>Yes</v>
      </c>
      <c r="L277" s="5" t="str">
        <f ca="1">IFERROR(__xludf.DUMMYFUNCTION("""COMPUTED_VALUE"""),"Yes")</f>
        <v>Yes</v>
      </c>
      <c r="M277" s="5" t="str">
        <f ca="1">IFERROR(__xludf.DUMMYFUNCTION("""COMPUTED_VALUE"""),"Yes")</f>
        <v>Yes</v>
      </c>
      <c r="N277" s="5" t="str">
        <f ca="1">IFERROR(__xludf.DUMMYFUNCTION("""COMPUTED_VALUE"""),"Yes")</f>
        <v>Yes</v>
      </c>
      <c r="O277" s="5" t="str">
        <f ca="1">IFERROR(__xludf.DUMMYFUNCTION("""COMPUTED_VALUE"""),"Yes")</f>
        <v>Yes</v>
      </c>
      <c r="P277" s="5" t="str">
        <f ca="1">IFERROR(__xludf.DUMMYFUNCTION("""COMPUTED_VALUE"""),"Yes")</f>
        <v>Yes</v>
      </c>
      <c r="Q277" s="5" t="str">
        <f ca="1">IFERROR(__xludf.DUMMYFUNCTION("""COMPUTED_VALUE"""),"Yes")</f>
        <v>Yes</v>
      </c>
      <c r="R277" s="5" t="str">
        <f ca="1">IFERROR(__xludf.DUMMYFUNCTION("""COMPUTED_VALUE"""),"Yes")</f>
        <v>Yes</v>
      </c>
      <c r="S277" s="5" t="str">
        <f ca="1">IFERROR(__xludf.DUMMYFUNCTION("""COMPUTED_VALUE"""),"Yes")</f>
        <v>Yes</v>
      </c>
      <c r="T277" s="5" t="str">
        <f ca="1">IFERROR(__xludf.DUMMYFUNCTION("""COMPUTED_VALUE"""),"Yes")</f>
        <v>Yes</v>
      </c>
      <c r="U277" s="5" t="str">
        <f ca="1">IFERROR(__xludf.DUMMYFUNCTION("""COMPUTED_VALUE"""),"Yes")</f>
        <v>Yes</v>
      </c>
      <c r="V277" s="5" t="str">
        <f ca="1">IFERROR(__xludf.DUMMYFUNCTION("""COMPUTED_VALUE"""),"Yes")</f>
        <v>Yes</v>
      </c>
      <c r="W277" s="5" t="str">
        <f ca="1">IFERROR(__xludf.DUMMYFUNCTION("""COMPUTED_VALUE"""),"Yes")</f>
        <v>Yes</v>
      </c>
      <c r="X277" s="5" t="str">
        <f ca="1">IFERROR(__xludf.DUMMYFUNCTION("""COMPUTED_VALUE"""),"Yes")</f>
        <v>Yes</v>
      </c>
      <c r="Y277" s="5" t="str">
        <f ca="1">IFERROR(__xludf.DUMMYFUNCTION("""COMPUTED_VALUE"""),"Yes")</f>
        <v>Yes</v>
      </c>
      <c r="Z277" s="5" t="str">
        <f ca="1">IFERROR(__xludf.DUMMYFUNCTION("""COMPUTED_VALUE"""),"No")</f>
        <v>No</v>
      </c>
      <c r="AA277" s="5" t="str">
        <f ca="1">IFERROR(__xludf.DUMMYFUNCTION("""COMPUTED_VALUE"""),"Yes")</f>
        <v>Yes</v>
      </c>
      <c r="AB277" s="5" t="str">
        <f ca="1">IFERROR(__xludf.DUMMYFUNCTION("""COMPUTED_VALUE"""),"Yes")</f>
        <v>Yes</v>
      </c>
      <c r="AC277" s="5" t="str">
        <f ca="1">IFERROR(__xludf.DUMMYFUNCTION("""COMPUTED_VALUE"""),"Yes")</f>
        <v>Yes</v>
      </c>
      <c r="AD277" s="5" t="str">
        <f ca="1">IFERROR(__xludf.DUMMYFUNCTION("""COMPUTED_VALUE"""),"Yes")</f>
        <v>Yes</v>
      </c>
      <c r="AE277" s="5" t="str">
        <f ca="1">IFERROR(__xludf.DUMMYFUNCTION("""COMPUTED_VALUE"""),"No")</f>
        <v>No</v>
      </c>
      <c r="AF277" s="5" t="str">
        <f ca="1">IFERROR(__xludf.DUMMYFUNCTION("""COMPUTED_VALUE"""),"Yes")</f>
        <v>Yes</v>
      </c>
      <c r="AG277" s="5" t="str">
        <f ca="1">IFERROR(__xludf.DUMMYFUNCTION("""COMPUTED_VALUE"""),"No")</f>
        <v>No</v>
      </c>
      <c r="AH277" s="5" t="str">
        <f ca="1">IFERROR(__xludf.DUMMYFUNCTION("""COMPUTED_VALUE"""),"No")</f>
        <v>No</v>
      </c>
      <c r="AI277" s="5" t="str">
        <f ca="1">IFERROR(__xludf.DUMMYFUNCTION("""COMPUTED_VALUE"""),"No")</f>
        <v>No</v>
      </c>
      <c r="AJ277" s="5" t="str">
        <f ca="1">IFERROR(__xludf.DUMMYFUNCTION("""COMPUTED_VALUE"""),"No")</f>
        <v>No</v>
      </c>
      <c r="AK277" s="5" t="str">
        <f ca="1">IFERROR(__xludf.DUMMYFUNCTION("""COMPUTED_VALUE"""),"No")</f>
        <v>No</v>
      </c>
      <c r="AL277" s="5" t="str">
        <f ca="1">IFERROR(__xludf.DUMMYFUNCTION("""COMPUTED_VALUE"""),"No")</f>
        <v>No</v>
      </c>
      <c r="AM277" s="5"/>
      <c r="AN277" s="5"/>
      <c r="AO277" s="5"/>
      <c r="AP277" s="5"/>
      <c r="AQ277" s="5"/>
      <c r="AR277" s="5"/>
      <c r="AS277" s="5"/>
      <c r="AT277" s="5"/>
      <c r="AU277" s="5"/>
      <c r="AV277" s="5"/>
      <c r="AW277" s="5"/>
      <c r="AX277" s="5"/>
      <c r="AY277" s="5"/>
    </row>
    <row r="278" spans="1:51" x14ac:dyDescent="0.25">
      <c r="A2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8" s="5">
        <f ca="1">IFERROR(__xludf.DUMMYFUNCTION("""COMPUTED_VALUE"""),278)</f>
        <v>278</v>
      </c>
      <c r="C278" s="5">
        <f ca="1">IFERROR(__xludf.DUMMYFUNCTION("""COMPUTED_VALUE"""),277)</f>
        <v>277</v>
      </c>
      <c r="D278" s="5" t="str">
        <f ca="1">IFERROR(__xludf.DUMMYFUNCTION("""COMPUTED_VALUE"""),"RedstoneFearOfDark")</f>
        <v>RedstoneFearOfDark</v>
      </c>
      <c r="E278" s="5" t="str">
        <f ca="1">IFERROR(__xludf.DUMMYFUNCTION("""COMPUTED_VALUE"""),"Yes")</f>
        <v>Yes</v>
      </c>
      <c r="F278" s="5" t="str">
        <f ca="1">IFERROR(__xludf.DUMMYFUNCTION("""COMPUTED_VALUE"""),"Yes")</f>
        <v>Yes</v>
      </c>
      <c r="G278" s="5" t="str">
        <f ca="1">IFERROR(__xludf.DUMMYFUNCTION("""COMPUTED_VALUE"""),"Yes")</f>
        <v>Yes</v>
      </c>
      <c r="H278" s="5" t="str">
        <f ca="1">IFERROR(__xludf.DUMMYFUNCTION("""COMPUTED_VALUE"""),"Yes")</f>
        <v>Yes</v>
      </c>
      <c r="I278" s="5" t="str">
        <f ca="1">IFERROR(__xludf.DUMMYFUNCTION("""COMPUTED_VALUE"""),"Yes")</f>
        <v>Yes</v>
      </c>
      <c r="J278" s="5" t="str">
        <f ca="1">IFERROR(__xludf.DUMMYFUNCTION("""COMPUTED_VALUE"""),"Yes")</f>
        <v>Yes</v>
      </c>
      <c r="K278" s="5" t="str">
        <f ca="1">IFERROR(__xludf.DUMMYFUNCTION("""COMPUTED_VALUE"""),"Yes")</f>
        <v>Yes</v>
      </c>
      <c r="L278" s="5" t="str">
        <f ca="1">IFERROR(__xludf.DUMMYFUNCTION("""COMPUTED_VALUE"""),"Yes")</f>
        <v>Yes</v>
      </c>
      <c r="M278" s="5" t="str">
        <f ca="1">IFERROR(__xludf.DUMMYFUNCTION("""COMPUTED_VALUE"""),"Yes")</f>
        <v>Yes</v>
      </c>
      <c r="N278" s="5" t="str">
        <f ca="1">IFERROR(__xludf.DUMMYFUNCTION("""COMPUTED_VALUE"""),"Yes")</f>
        <v>Yes</v>
      </c>
      <c r="O278" s="5" t="str">
        <f ca="1">IFERROR(__xludf.DUMMYFUNCTION("""COMPUTED_VALUE"""),"Yes")</f>
        <v>Yes</v>
      </c>
      <c r="P278" s="5" t="str">
        <f ca="1">IFERROR(__xludf.DUMMYFUNCTION("""COMPUTED_VALUE"""),"Yes")</f>
        <v>Yes</v>
      </c>
      <c r="Q278" s="5" t="str">
        <f ca="1">IFERROR(__xludf.DUMMYFUNCTION("""COMPUTED_VALUE"""),"Yes")</f>
        <v>Yes</v>
      </c>
      <c r="R278" s="5" t="str">
        <f ca="1">IFERROR(__xludf.DUMMYFUNCTION("""COMPUTED_VALUE"""),"Yes")</f>
        <v>Yes</v>
      </c>
      <c r="S278" s="5" t="str">
        <f ca="1">IFERROR(__xludf.DUMMYFUNCTION("""COMPUTED_VALUE"""),"Yes")</f>
        <v>Yes</v>
      </c>
      <c r="T278" s="5" t="str">
        <f ca="1">IFERROR(__xludf.DUMMYFUNCTION("""COMPUTED_VALUE"""),"Yes")</f>
        <v>Yes</v>
      </c>
      <c r="U278" s="5" t="str">
        <f ca="1">IFERROR(__xludf.DUMMYFUNCTION("""COMPUTED_VALUE"""),"Yes")</f>
        <v>Yes</v>
      </c>
      <c r="V278" s="5" t="str">
        <f ca="1">IFERROR(__xludf.DUMMYFUNCTION("""COMPUTED_VALUE"""),"Yes")</f>
        <v>Yes</v>
      </c>
      <c r="W278" s="5" t="str">
        <f ca="1">IFERROR(__xludf.DUMMYFUNCTION("""COMPUTED_VALUE"""),"Yes")</f>
        <v>Yes</v>
      </c>
      <c r="X278" s="5"/>
      <c r="Y278" s="5" t="str">
        <f ca="1">IFERROR(__xludf.DUMMYFUNCTION("""COMPUTED_VALUE"""),"Yes")</f>
        <v>Yes</v>
      </c>
      <c r="Z278" s="5"/>
      <c r="AA278" s="5" t="str">
        <f ca="1">IFERROR(__xludf.DUMMYFUNCTION("""COMPUTED_VALUE"""),"Yes")</f>
        <v>Yes</v>
      </c>
      <c r="AB278" s="5" t="str">
        <f ca="1">IFERROR(__xludf.DUMMYFUNCTION("""COMPUTED_VALUE"""),"Yes")</f>
        <v>Yes</v>
      </c>
      <c r="AC278" s="5" t="str">
        <f ca="1">IFERROR(__xludf.DUMMYFUNCTION("""COMPUTED_VALUE"""),"Yes")</f>
        <v>Yes</v>
      </c>
      <c r="AD278" s="5" t="str">
        <f ca="1">IFERROR(__xludf.DUMMYFUNCTION("""COMPUTED_VALUE"""),"Yes")</f>
        <v>Yes</v>
      </c>
      <c r="AE278" s="5"/>
      <c r="AF278" s="5" t="str">
        <f ca="1">IFERROR(__xludf.DUMMYFUNCTION("""COMPUTED_VALUE"""),"Yes")</f>
        <v>Yes</v>
      </c>
      <c r="AG278" s="5"/>
      <c r="AH278" s="5"/>
      <c r="AI278" s="5"/>
      <c r="AJ278" s="5"/>
      <c r="AK278" s="5"/>
      <c r="AL278" s="5"/>
      <c r="AM278" s="5"/>
      <c r="AN278" s="5"/>
      <c r="AO278" s="5"/>
      <c r="AP278" s="5"/>
      <c r="AQ278" s="5"/>
      <c r="AR278" s="5"/>
      <c r="AS278" s="5"/>
      <c r="AT278" s="5"/>
      <c r="AU278" s="5"/>
      <c r="AV278" s="5"/>
      <c r="AW278" s="5"/>
      <c r="AX278" s="5"/>
      <c r="AY278" s="5"/>
    </row>
    <row r="279" spans="1:51" x14ac:dyDescent="0.25">
      <c r="A2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9" s="5">
        <f ca="1">IFERROR(__xludf.DUMMYFUNCTION("""COMPUTED_VALUE"""),279)</f>
        <v>279</v>
      </c>
      <c r="C279" s="5">
        <f ca="1">IFERROR(__xludf.DUMMYFUNCTION("""COMPUTED_VALUE"""),278)</f>
        <v>278</v>
      </c>
      <c r="D279" s="5" t="str">
        <f ca="1">IFERROR(__xludf.DUMMYFUNCTION("""COMPUTED_VALUE"""),"MrFirstCryptonium")</f>
        <v>MrFirstCryptonium</v>
      </c>
      <c r="E279" s="5" t="str">
        <f ca="1">IFERROR(__xludf.DUMMYFUNCTION("""COMPUTED_VALUE"""),"Yes")</f>
        <v>Yes</v>
      </c>
      <c r="F279" s="5" t="str">
        <f ca="1">IFERROR(__xludf.DUMMYFUNCTION("""COMPUTED_VALUE"""),"Yes")</f>
        <v>Yes</v>
      </c>
      <c r="G279" s="5" t="str">
        <f ca="1">IFERROR(__xludf.DUMMYFUNCTION("""COMPUTED_VALUE"""),"Yes")</f>
        <v>Yes</v>
      </c>
      <c r="H279" s="5" t="str">
        <f ca="1">IFERROR(__xludf.DUMMYFUNCTION("""COMPUTED_VALUE"""),"Yes")</f>
        <v>Yes</v>
      </c>
      <c r="I279" s="5" t="str">
        <f ca="1">IFERROR(__xludf.DUMMYFUNCTION("""COMPUTED_VALUE"""),"Yes")</f>
        <v>Yes</v>
      </c>
      <c r="J279" s="5" t="str">
        <f ca="1">IFERROR(__xludf.DUMMYFUNCTION("""COMPUTED_VALUE"""),"Yes")</f>
        <v>Yes</v>
      </c>
      <c r="K279" s="5" t="str">
        <f ca="1">IFERROR(__xludf.DUMMYFUNCTION("""COMPUTED_VALUE"""),"Yes")</f>
        <v>Yes</v>
      </c>
      <c r="L279" s="5" t="str">
        <f ca="1">IFERROR(__xludf.DUMMYFUNCTION("""COMPUTED_VALUE"""),"Yes")</f>
        <v>Yes</v>
      </c>
      <c r="M279" s="5" t="str">
        <f ca="1">IFERROR(__xludf.DUMMYFUNCTION("""COMPUTED_VALUE"""),"Yes")</f>
        <v>Yes</v>
      </c>
      <c r="N279" s="5" t="str">
        <f ca="1">IFERROR(__xludf.DUMMYFUNCTION("""COMPUTED_VALUE"""),"Yes")</f>
        <v>Yes</v>
      </c>
      <c r="O279" s="5" t="str">
        <f ca="1">IFERROR(__xludf.DUMMYFUNCTION("""COMPUTED_VALUE"""),"Yes")</f>
        <v>Yes</v>
      </c>
      <c r="P279" s="5" t="str">
        <f ca="1">IFERROR(__xludf.DUMMYFUNCTION("""COMPUTED_VALUE"""),"Yes")</f>
        <v>Yes</v>
      </c>
      <c r="Q279" s="5" t="str">
        <f ca="1">IFERROR(__xludf.DUMMYFUNCTION("""COMPUTED_VALUE"""),"Yes")</f>
        <v>Yes</v>
      </c>
      <c r="R279" s="5" t="str">
        <f ca="1">IFERROR(__xludf.DUMMYFUNCTION("""COMPUTED_VALUE"""),"Yes")</f>
        <v>Yes</v>
      </c>
      <c r="S279" s="5" t="str">
        <f ca="1">IFERROR(__xludf.DUMMYFUNCTION("""COMPUTED_VALUE"""),"Yes")</f>
        <v>Yes</v>
      </c>
      <c r="T279" s="5" t="str">
        <f ca="1">IFERROR(__xludf.DUMMYFUNCTION("""COMPUTED_VALUE"""),"Yes")</f>
        <v>Yes</v>
      </c>
      <c r="U279" s="5" t="str">
        <f ca="1">IFERROR(__xludf.DUMMYFUNCTION("""COMPUTED_VALUE"""),"Yes")</f>
        <v>Yes</v>
      </c>
      <c r="V279" s="5" t="str">
        <f ca="1">IFERROR(__xludf.DUMMYFUNCTION("""COMPUTED_VALUE"""),"Yes")</f>
        <v>Yes</v>
      </c>
      <c r="W279" s="5" t="str">
        <f ca="1">IFERROR(__xludf.DUMMYFUNCTION("""COMPUTED_VALUE"""),"Yes")</f>
        <v>Yes</v>
      </c>
      <c r="X279" s="5" t="str">
        <f ca="1">IFERROR(__xludf.DUMMYFUNCTION("""COMPUTED_VALUE"""),"Yes")</f>
        <v>Yes</v>
      </c>
      <c r="Y279" s="5" t="str">
        <f ca="1">IFERROR(__xludf.DUMMYFUNCTION("""COMPUTED_VALUE"""),"Yes")</f>
        <v>Yes</v>
      </c>
      <c r="Z279" s="5" t="str">
        <f ca="1">IFERROR(__xludf.DUMMYFUNCTION("""COMPUTED_VALUE"""),"No")</f>
        <v>No</v>
      </c>
      <c r="AA279" s="5" t="str">
        <f ca="1">IFERROR(__xludf.DUMMYFUNCTION("""COMPUTED_VALUE"""),"Yes")</f>
        <v>Yes</v>
      </c>
      <c r="AB279" s="5" t="str">
        <f ca="1">IFERROR(__xludf.DUMMYFUNCTION("""COMPUTED_VALUE"""),"Yes")</f>
        <v>Yes</v>
      </c>
      <c r="AC279" s="5" t="str">
        <f ca="1">IFERROR(__xludf.DUMMYFUNCTION("""COMPUTED_VALUE"""),"Yes")</f>
        <v>Yes</v>
      </c>
      <c r="AD279" s="5" t="str">
        <f ca="1">IFERROR(__xludf.DUMMYFUNCTION("""COMPUTED_VALUE"""),"Yes")</f>
        <v>Yes</v>
      </c>
      <c r="AE279" s="5" t="str">
        <f ca="1">IFERROR(__xludf.DUMMYFUNCTION("""COMPUTED_VALUE"""),"No")</f>
        <v>No</v>
      </c>
      <c r="AF279" s="5" t="str">
        <f ca="1">IFERROR(__xludf.DUMMYFUNCTION("""COMPUTED_VALUE"""),"Yes")</f>
        <v>Yes</v>
      </c>
      <c r="AG279" s="5" t="str">
        <f ca="1">IFERROR(__xludf.DUMMYFUNCTION("""COMPUTED_VALUE"""),"No")</f>
        <v>No</v>
      </c>
      <c r="AH279" s="5" t="str">
        <f ca="1">IFERROR(__xludf.DUMMYFUNCTION("""COMPUTED_VALUE"""),"No")</f>
        <v>No</v>
      </c>
      <c r="AI279" s="5" t="str">
        <f ca="1">IFERROR(__xludf.DUMMYFUNCTION("""COMPUTED_VALUE"""),"No")</f>
        <v>No</v>
      </c>
      <c r="AJ279" s="5" t="str">
        <f ca="1">IFERROR(__xludf.DUMMYFUNCTION("""COMPUTED_VALUE"""),"No")</f>
        <v>No</v>
      </c>
      <c r="AK279" s="5" t="str">
        <f ca="1">IFERROR(__xludf.DUMMYFUNCTION("""COMPUTED_VALUE"""),"No")</f>
        <v>No</v>
      </c>
      <c r="AL279" s="5" t="str">
        <f ca="1">IFERROR(__xludf.DUMMYFUNCTION("""COMPUTED_VALUE"""),"No")</f>
        <v>No</v>
      </c>
      <c r="AM279" s="5"/>
      <c r="AN279" s="5"/>
      <c r="AO279" s="5"/>
      <c r="AP279" s="5"/>
      <c r="AQ279" s="5"/>
      <c r="AR279" s="5"/>
      <c r="AS279" s="5"/>
      <c r="AT279" s="5"/>
      <c r="AU279" s="5"/>
      <c r="AV279" s="5"/>
      <c r="AW279" s="5"/>
      <c r="AX279" s="5"/>
      <c r="AY279" s="5"/>
    </row>
    <row r="280" spans="1:51" x14ac:dyDescent="0.25">
      <c r="A2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80" s="5">
        <f ca="1">IFERROR(__xludf.DUMMYFUNCTION("""COMPUTED_VALUE"""),280)</f>
        <v>280</v>
      </c>
      <c r="C280" s="5">
        <f ca="1">IFERROR(__xludf.DUMMYFUNCTION("""COMPUTED_VALUE"""),279)</f>
        <v>279</v>
      </c>
      <c r="D280" s="5" t="str">
        <f ca="1">IFERROR(__xludf.DUMMYFUNCTION("""COMPUTED_VALUE"""),"UnicornFruitIslandChristmas")</f>
        <v>UnicornFruitIslandChristmas</v>
      </c>
      <c r="E280" s="5" t="str">
        <f ca="1">IFERROR(__xludf.DUMMYFUNCTION("""COMPUTED_VALUE"""),"Yes")</f>
        <v>Yes</v>
      </c>
      <c r="F280" s="5" t="str">
        <f ca="1">IFERROR(__xludf.DUMMYFUNCTION("""COMPUTED_VALUE"""),"Yes")</f>
        <v>Yes</v>
      </c>
      <c r="G280" s="5" t="str">
        <f ca="1">IFERROR(__xludf.DUMMYFUNCTION("""COMPUTED_VALUE"""),"Yes")</f>
        <v>Yes</v>
      </c>
      <c r="H280" s="5" t="str">
        <f ca="1">IFERROR(__xludf.DUMMYFUNCTION("""COMPUTED_VALUE"""),"Yes")</f>
        <v>Yes</v>
      </c>
      <c r="I280" s="5" t="str">
        <f ca="1">IFERROR(__xludf.DUMMYFUNCTION("""COMPUTED_VALUE"""),"Yes")</f>
        <v>Yes</v>
      </c>
      <c r="J280" s="5" t="str">
        <f ca="1">IFERROR(__xludf.DUMMYFUNCTION("""COMPUTED_VALUE"""),"Yes")</f>
        <v>Yes</v>
      </c>
      <c r="K280" s="5" t="str">
        <f ca="1">IFERROR(__xludf.DUMMYFUNCTION("""COMPUTED_VALUE"""),"Yes")</f>
        <v>Yes</v>
      </c>
      <c r="L280" s="5" t="str">
        <f ca="1">IFERROR(__xludf.DUMMYFUNCTION("""COMPUTED_VALUE"""),"Yes")</f>
        <v>Yes</v>
      </c>
      <c r="M280" s="5" t="str">
        <f ca="1">IFERROR(__xludf.DUMMYFUNCTION("""COMPUTED_VALUE"""),"Yes")</f>
        <v>Yes</v>
      </c>
      <c r="N280" s="5" t="str">
        <f ca="1">IFERROR(__xludf.DUMMYFUNCTION("""COMPUTED_VALUE"""),"Yes")</f>
        <v>Yes</v>
      </c>
      <c r="O280" s="5" t="str">
        <f ca="1">IFERROR(__xludf.DUMMYFUNCTION("""COMPUTED_VALUE"""),"Yes")</f>
        <v>Yes</v>
      </c>
      <c r="P280" s="5" t="str">
        <f ca="1">IFERROR(__xludf.DUMMYFUNCTION("""COMPUTED_VALUE"""),"Yes")</f>
        <v>Yes</v>
      </c>
      <c r="Q280" s="5" t="str">
        <f ca="1">IFERROR(__xludf.DUMMYFUNCTION("""COMPUTED_VALUE"""),"Yes")</f>
        <v>Yes</v>
      </c>
      <c r="R280" s="5" t="str">
        <f ca="1">IFERROR(__xludf.DUMMYFUNCTION("""COMPUTED_VALUE"""),"Yes")</f>
        <v>Yes</v>
      </c>
      <c r="S280" s="5" t="str">
        <f ca="1">IFERROR(__xludf.DUMMYFUNCTION("""COMPUTED_VALUE"""),"Yes")</f>
        <v>Yes</v>
      </c>
      <c r="T280" s="5" t="str">
        <f ca="1">IFERROR(__xludf.DUMMYFUNCTION("""COMPUTED_VALUE"""),"Yes")</f>
        <v>Yes</v>
      </c>
      <c r="U280" s="5" t="str">
        <f ca="1">IFERROR(__xludf.DUMMYFUNCTION("""COMPUTED_VALUE"""),"Yes")</f>
        <v>Yes</v>
      </c>
      <c r="V280" s="5" t="str">
        <f ca="1">IFERROR(__xludf.DUMMYFUNCTION("""COMPUTED_VALUE"""),"Yes")</f>
        <v>Yes</v>
      </c>
      <c r="W280" s="5" t="str">
        <f ca="1">IFERROR(__xludf.DUMMYFUNCTION("""COMPUTED_VALUE"""),"Yes")</f>
        <v>Yes</v>
      </c>
      <c r="X280" s="5"/>
      <c r="Y280" s="5" t="str">
        <f ca="1">IFERROR(__xludf.DUMMYFUNCTION("""COMPUTED_VALUE"""),"Yes")</f>
        <v>Yes</v>
      </c>
      <c r="Z280" s="5"/>
      <c r="AA280" s="5" t="str">
        <f ca="1">IFERROR(__xludf.DUMMYFUNCTION("""COMPUTED_VALUE"""),"Yes")</f>
        <v>Yes</v>
      </c>
      <c r="AB280" s="5" t="str">
        <f ca="1">IFERROR(__xludf.DUMMYFUNCTION("""COMPUTED_VALUE"""),"Yes")</f>
        <v>Yes</v>
      </c>
      <c r="AC280" s="5" t="str">
        <f ca="1">IFERROR(__xludf.DUMMYFUNCTION("""COMPUTED_VALUE"""),"Yes")</f>
        <v>Yes</v>
      </c>
      <c r="AD280" s="5" t="str">
        <f ca="1">IFERROR(__xludf.DUMMYFUNCTION("""COMPUTED_VALUE"""),"Yes")</f>
        <v>Yes</v>
      </c>
      <c r="AE280" s="5"/>
      <c r="AF280" s="5" t="str">
        <f ca="1">IFERROR(__xludf.DUMMYFUNCTION("""COMPUTED_VALUE"""),"Yes")</f>
        <v>Yes</v>
      </c>
      <c r="AG280" s="5"/>
      <c r="AH280" s="5"/>
      <c r="AI280" s="5"/>
      <c r="AJ280" s="5"/>
      <c r="AK280" s="5"/>
      <c r="AL280" s="5"/>
      <c r="AM280" s="5"/>
      <c r="AN280" s="5"/>
      <c r="AO280" s="5"/>
      <c r="AP280" s="5"/>
      <c r="AQ280" s="5"/>
      <c r="AR280" s="5"/>
      <c r="AS280" s="5"/>
      <c r="AT280" s="5"/>
      <c r="AU280" s="5"/>
      <c r="AV280" s="5"/>
      <c r="AW280" s="5"/>
      <c r="AX280" s="5"/>
      <c r="AY280" s="5"/>
    </row>
    <row r="281" spans="1:51" x14ac:dyDescent="0.25">
      <c r="A28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81" s="5">
        <f ca="1">IFERROR(__xludf.DUMMYFUNCTION("""COMPUTED_VALUE"""),281)</f>
        <v>281</v>
      </c>
      <c r="C281" s="5">
        <f ca="1">IFERROR(__xludf.DUMMYFUNCTION("""COMPUTED_VALUE"""),280)</f>
        <v>280</v>
      </c>
      <c r="D281" s="5" t="str">
        <f ca="1">IFERROR(__xludf.DUMMYFUNCTION("""COMPUTED_VALUE"""),"UnicornStarDiceChristmas")</f>
        <v>UnicornStarDiceChristmas</v>
      </c>
      <c r="E281" s="5" t="str">
        <f ca="1">IFERROR(__xludf.DUMMYFUNCTION("""COMPUTED_VALUE"""),"Yes")</f>
        <v>Yes</v>
      </c>
      <c r="F281" s="5" t="str">
        <f ca="1">IFERROR(__xludf.DUMMYFUNCTION("""COMPUTED_VALUE"""),"Yes")</f>
        <v>Yes</v>
      </c>
      <c r="G281" s="5" t="str">
        <f ca="1">IFERROR(__xludf.DUMMYFUNCTION("""COMPUTED_VALUE"""),"Yes")</f>
        <v>Yes</v>
      </c>
      <c r="H281" s="5" t="str">
        <f ca="1">IFERROR(__xludf.DUMMYFUNCTION("""COMPUTED_VALUE"""),"No")</f>
        <v>No</v>
      </c>
      <c r="I281" s="5" t="str">
        <f ca="1">IFERROR(__xludf.DUMMYFUNCTION("""COMPUTED_VALUE"""),"No")</f>
        <v>No</v>
      </c>
      <c r="J281" s="5" t="str">
        <f ca="1">IFERROR(__xludf.DUMMYFUNCTION("""COMPUTED_VALUE"""),"No")</f>
        <v>No</v>
      </c>
      <c r="K281" s="5" t="str">
        <f ca="1">IFERROR(__xludf.DUMMYFUNCTION("""COMPUTED_VALUE"""),"No")</f>
        <v>No</v>
      </c>
      <c r="L281" s="5" t="str">
        <f ca="1">IFERROR(__xludf.DUMMYFUNCTION("""COMPUTED_VALUE"""),"No")</f>
        <v>No</v>
      </c>
      <c r="M281" s="5" t="str">
        <f ca="1">IFERROR(__xludf.DUMMYFUNCTION("""COMPUTED_VALUE"""),"Yes")</f>
        <v>Yes</v>
      </c>
      <c r="N281" s="5" t="str">
        <f ca="1">IFERROR(__xludf.DUMMYFUNCTION("""COMPUTED_VALUE"""),"Yes")</f>
        <v>Yes</v>
      </c>
      <c r="O281" s="5" t="str">
        <f ca="1">IFERROR(__xludf.DUMMYFUNCTION("""COMPUTED_VALUE"""),"Yes")</f>
        <v>Yes</v>
      </c>
      <c r="P281" s="5" t="str">
        <f ca="1">IFERROR(__xludf.DUMMYFUNCTION("""COMPUTED_VALUE"""),"Yes")</f>
        <v>Yes</v>
      </c>
      <c r="Q281" s="5" t="str">
        <f ca="1">IFERROR(__xludf.DUMMYFUNCTION("""COMPUTED_VALUE"""),"Yes")</f>
        <v>Yes</v>
      </c>
      <c r="R281" s="5" t="str">
        <f ca="1">IFERROR(__xludf.DUMMYFUNCTION("""COMPUTED_VALUE"""),"No")</f>
        <v>No</v>
      </c>
      <c r="S281" s="5" t="str">
        <f ca="1">IFERROR(__xludf.DUMMYFUNCTION("""COMPUTED_VALUE"""),"Yes")</f>
        <v>Yes</v>
      </c>
      <c r="T281" s="5" t="str">
        <f ca="1">IFERROR(__xludf.DUMMYFUNCTION("""COMPUTED_VALUE"""),"No")</f>
        <v>No</v>
      </c>
      <c r="U281" s="5" t="str">
        <f ca="1">IFERROR(__xludf.DUMMYFUNCTION("""COMPUTED_VALUE"""),"No")</f>
        <v>No</v>
      </c>
      <c r="V281" s="5" t="str">
        <f ca="1">IFERROR(__xludf.DUMMYFUNCTION("""COMPUTED_VALUE"""),"No")</f>
        <v>No</v>
      </c>
      <c r="W281" s="5" t="str">
        <f ca="1">IFERROR(__xludf.DUMMYFUNCTION("""COMPUTED_VALUE"""),"No")</f>
        <v>No</v>
      </c>
      <c r="X281" s="5"/>
      <c r="Y281" s="5"/>
      <c r="Z281" s="5"/>
      <c r="AA281" s="5"/>
      <c r="AB281" s="5"/>
      <c r="AC281" s="5" t="str">
        <f ca="1">IFERROR(__xludf.DUMMYFUNCTION("""COMPUTED_VALUE"""),"No")</f>
        <v>No</v>
      </c>
      <c r="AD281" s="5"/>
      <c r="AE281" s="5"/>
      <c r="AF281" s="5"/>
      <c r="AG281" s="5"/>
      <c r="AH281" s="5"/>
      <c r="AI281" s="5"/>
      <c r="AJ281" s="5"/>
      <c r="AK281" s="5"/>
      <c r="AL281" s="5"/>
      <c r="AM281" s="5"/>
      <c r="AN281" s="5"/>
      <c r="AO281" s="5"/>
      <c r="AP281" s="5"/>
      <c r="AQ281" s="5"/>
      <c r="AR281" s="5"/>
      <c r="AS281" s="5"/>
      <c r="AT281" s="5"/>
      <c r="AU281" s="5"/>
      <c r="AV281" s="5"/>
      <c r="AW281" s="5"/>
      <c r="AX281" s="5"/>
      <c r="AY281" s="5"/>
    </row>
    <row r="282" spans="1:51" x14ac:dyDescent="0.25">
      <c r="A28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82" s="5">
        <f ca="1">IFERROR(__xludf.DUMMYFUNCTION("""COMPUTED_VALUE"""),282)</f>
        <v>282</v>
      </c>
      <c r="C282" s="5">
        <f ca="1">IFERROR(__xludf.DUMMYFUNCTION("""COMPUTED_VALUE"""),281)</f>
        <v>281</v>
      </c>
      <c r="D282" s="5" t="str">
        <f ca="1">IFERROR(__xludf.DUMMYFUNCTION("""COMPUTED_VALUE"""),"UnicornChristmasPresents")</f>
        <v>UnicornChristmasPresents</v>
      </c>
      <c r="E282" s="5" t="str">
        <f ca="1">IFERROR(__xludf.DUMMYFUNCTION("""COMPUTED_VALUE"""),"Yes")</f>
        <v>Yes</v>
      </c>
      <c r="F282" s="5" t="str">
        <f ca="1">IFERROR(__xludf.DUMMYFUNCTION("""COMPUTED_VALUE"""),"Yes")</f>
        <v>Yes</v>
      </c>
      <c r="G282" s="5" t="str">
        <f ca="1">IFERROR(__xludf.DUMMYFUNCTION("""COMPUTED_VALUE"""),"Yes")</f>
        <v>Yes</v>
      </c>
      <c r="H282" s="5" t="str">
        <f ca="1">IFERROR(__xludf.DUMMYFUNCTION("""COMPUTED_VALUE"""),"No")</f>
        <v>No</v>
      </c>
      <c r="I282" s="5" t="str">
        <f ca="1">IFERROR(__xludf.DUMMYFUNCTION("""COMPUTED_VALUE"""),"No")</f>
        <v>No</v>
      </c>
      <c r="J282" s="5" t="str">
        <f ca="1">IFERROR(__xludf.DUMMYFUNCTION("""COMPUTED_VALUE"""),"No")</f>
        <v>No</v>
      </c>
      <c r="K282" s="5" t="str">
        <f ca="1">IFERROR(__xludf.DUMMYFUNCTION("""COMPUTED_VALUE"""),"No")</f>
        <v>No</v>
      </c>
      <c r="L282" s="5" t="str">
        <f ca="1">IFERROR(__xludf.DUMMYFUNCTION("""COMPUTED_VALUE"""),"No")</f>
        <v>No</v>
      </c>
      <c r="M282" s="5" t="str">
        <f ca="1">IFERROR(__xludf.DUMMYFUNCTION("""COMPUTED_VALUE"""),"Yes")</f>
        <v>Yes</v>
      </c>
      <c r="N282" s="5" t="str">
        <f ca="1">IFERROR(__xludf.DUMMYFUNCTION("""COMPUTED_VALUE"""),"Yes")</f>
        <v>Yes</v>
      </c>
      <c r="O282" s="5" t="str">
        <f ca="1">IFERROR(__xludf.DUMMYFUNCTION("""COMPUTED_VALUE"""),"Yes")</f>
        <v>Yes</v>
      </c>
      <c r="P282" s="5" t="str">
        <f ca="1">IFERROR(__xludf.DUMMYFUNCTION("""COMPUTED_VALUE"""),"Yes")</f>
        <v>Yes</v>
      </c>
      <c r="Q282" s="5" t="str">
        <f ca="1">IFERROR(__xludf.DUMMYFUNCTION("""COMPUTED_VALUE"""),"Yes")</f>
        <v>Yes</v>
      </c>
      <c r="R282" s="5" t="str">
        <f ca="1">IFERROR(__xludf.DUMMYFUNCTION("""COMPUTED_VALUE"""),"No")</f>
        <v>No</v>
      </c>
      <c r="S282" s="5" t="str">
        <f ca="1">IFERROR(__xludf.DUMMYFUNCTION("""COMPUTED_VALUE"""),"Yes")</f>
        <v>Yes</v>
      </c>
      <c r="T282" s="5" t="str">
        <f ca="1">IFERROR(__xludf.DUMMYFUNCTION("""COMPUTED_VALUE"""),"No")</f>
        <v>No</v>
      </c>
      <c r="U282" s="5" t="str">
        <f ca="1">IFERROR(__xludf.DUMMYFUNCTION("""COMPUTED_VALUE"""),"No")</f>
        <v>No</v>
      </c>
      <c r="V282" s="5" t="str">
        <f ca="1">IFERROR(__xludf.DUMMYFUNCTION("""COMPUTED_VALUE"""),"No")</f>
        <v>No</v>
      </c>
      <c r="W282" s="5" t="str">
        <f ca="1">IFERROR(__xludf.DUMMYFUNCTION("""COMPUTED_VALUE"""),"No")</f>
        <v>No</v>
      </c>
      <c r="X282" s="5"/>
      <c r="Y282" s="5"/>
      <c r="Z282" s="5"/>
      <c r="AA282" s="5"/>
      <c r="AB282" s="5"/>
      <c r="AC282" s="5" t="str">
        <f ca="1">IFERROR(__xludf.DUMMYFUNCTION("""COMPUTED_VALUE"""),"No")</f>
        <v>No</v>
      </c>
      <c r="AD282" s="5"/>
      <c r="AE282" s="5"/>
      <c r="AF282" s="5"/>
      <c r="AG282" s="5"/>
      <c r="AH282" s="5"/>
      <c r="AI282" s="5"/>
      <c r="AJ282" s="5"/>
      <c r="AK282" s="5"/>
      <c r="AL282" s="5"/>
      <c r="AM282" s="5"/>
      <c r="AN282" s="5"/>
      <c r="AO282" s="5"/>
      <c r="AP282" s="5"/>
      <c r="AQ282" s="5"/>
      <c r="AR282" s="5"/>
      <c r="AS282" s="5"/>
      <c r="AT282" s="5"/>
      <c r="AU282" s="5"/>
      <c r="AV282" s="5"/>
      <c r="AW282" s="5"/>
      <c r="AX282" s="5"/>
      <c r="AY282" s="5"/>
    </row>
    <row r="283" spans="1:51" x14ac:dyDescent="0.25">
      <c r="A2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3" s="5">
        <f ca="1">IFERROR(__xludf.DUMMYFUNCTION("""COMPUTED_VALUE"""),283)</f>
        <v>283</v>
      </c>
      <c r="C283" s="5">
        <f ca="1">IFERROR(__xludf.DUMMYFUNCTION("""COMPUTED_VALUE"""),282)</f>
        <v>282</v>
      </c>
      <c r="D283" s="5" t="str">
        <f ca="1">IFERROR(__xludf.DUMMYFUNCTION("""COMPUTED_VALUE"""),"SantasPresents")</f>
        <v>SantasPresents</v>
      </c>
      <c r="E283" s="5" t="str">
        <f ca="1">IFERROR(__xludf.DUMMYFUNCTION("""COMPUTED_VALUE"""),"Yes")</f>
        <v>Yes</v>
      </c>
      <c r="F283" s="5" t="str">
        <f ca="1">IFERROR(__xludf.DUMMYFUNCTION("""COMPUTED_VALUE"""),"Yes")</f>
        <v>Yes</v>
      </c>
      <c r="G283" s="5" t="str">
        <f ca="1">IFERROR(__xludf.DUMMYFUNCTION("""COMPUTED_VALUE"""),"Yes")</f>
        <v>Yes</v>
      </c>
      <c r="H283" s="5" t="str">
        <f ca="1">IFERROR(__xludf.DUMMYFUNCTION("""COMPUTED_VALUE"""),"Yes")</f>
        <v>Yes</v>
      </c>
      <c r="I283" s="5" t="str">
        <f ca="1">IFERROR(__xludf.DUMMYFUNCTION("""COMPUTED_VALUE"""),"Yes")</f>
        <v>Yes</v>
      </c>
      <c r="J283" s="5" t="str">
        <f ca="1">IFERROR(__xludf.DUMMYFUNCTION("""COMPUTED_VALUE"""),"Yes")</f>
        <v>Yes</v>
      </c>
      <c r="K283" s="5" t="str">
        <f ca="1">IFERROR(__xludf.DUMMYFUNCTION("""COMPUTED_VALUE"""),"Yes")</f>
        <v>Yes</v>
      </c>
      <c r="L283" s="5" t="str">
        <f ca="1">IFERROR(__xludf.DUMMYFUNCTION("""COMPUTED_VALUE"""),"Yes")</f>
        <v>Yes</v>
      </c>
      <c r="M283" s="5" t="str">
        <f ca="1">IFERROR(__xludf.DUMMYFUNCTION("""COMPUTED_VALUE"""),"Yes")</f>
        <v>Yes</v>
      </c>
      <c r="N283" s="5" t="str">
        <f ca="1">IFERROR(__xludf.DUMMYFUNCTION("""COMPUTED_VALUE"""),"Yes")</f>
        <v>Yes</v>
      </c>
      <c r="O283" s="5" t="str">
        <f ca="1">IFERROR(__xludf.DUMMYFUNCTION("""COMPUTED_VALUE"""),"Yes")</f>
        <v>Yes</v>
      </c>
      <c r="P283" s="5" t="str">
        <f ca="1">IFERROR(__xludf.DUMMYFUNCTION("""COMPUTED_VALUE"""),"Yes")</f>
        <v>Yes</v>
      </c>
      <c r="Q283" s="5" t="str">
        <f ca="1">IFERROR(__xludf.DUMMYFUNCTION("""COMPUTED_VALUE"""),"Yes")</f>
        <v>Yes</v>
      </c>
      <c r="R283" s="5" t="str">
        <f ca="1">IFERROR(__xludf.DUMMYFUNCTION("""COMPUTED_VALUE"""),"Yes")</f>
        <v>Yes</v>
      </c>
      <c r="S283" s="5" t="str">
        <f ca="1">IFERROR(__xludf.DUMMYFUNCTION("""COMPUTED_VALUE"""),"Yes")</f>
        <v>Yes</v>
      </c>
      <c r="T283" s="5" t="str">
        <f ca="1">IFERROR(__xludf.DUMMYFUNCTION("""COMPUTED_VALUE"""),"Yes")</f>
        <v>Yes</v>
      </c>
      <c r="U283" s="5" t="str">
        <f ca="1">IFERROR(__xludf.DUMMYFUNCTION("""COMPUTED_VALUE"""),"Yes")</f>
        <v>Yes</v>
      </c>
      <c r="V283" s="5" t="str">
        <f ca="1">IFERROR(__xludf.DUMMYFUNCTION("""COMPUTED_VALUE"""),"Yes")</f>
        <v>Yes</v>
      </c>
      <c r="W283" s="5" t="str">
        <f ca="1">IFERROR(__xludf.DUMMYFUNCTION("""COMPUTED_VALUE"""),"Yes")</f>
        <v>Yes</v>
      </c>
      <c r="X283" s="5" t="str">
        <f ca="1">IFERROR(__xludf.DUMMYFUNCTION("""COMPUTED_VALUE"""),"Yes")</f>
        <v>Yes</v>
      </c>
      <c r="Y283" s="5" t="str">
        <f ca="1">IFERROR(__xludf.DUMMYFUNCTION("""COMPUTED_VALUE"""),"Yes")</f>
        <v>Yes</v>
      </c>
      <c r="Z283" s="5" t="str">
        <f ca="1">IFERROR(__xludf.DUMMYFUNCTION("""COMPUTED_VALUE"""),"Yes")</f>
        <v>Yes</v>
      </c>
      <c r="AA283" s="5" t="str">
        <f ca="1">IFERROR(__xludf.DUMMYFUNCTION("""COMPUTED_VALUE"""),"Yes")</f>
        <v>Yes</v>
      </c>
      <c r="AB283" s="5" t="str">
        <f ca="1">IFERROR(__xludf.DUMMYFUNCTION("""COMPUTED_VALUE"""),"Yes")</f>
        <v>Yes</v>
      </c>
      <c r="AC283" s="5" t="str">
        <f ca="1">IFERROR(__xludf.DUMMYFUNCTION("""COMPUTED_VALUE"""),"Yes")</f>
        <v>Yes</v>
      </c>
      <c r="AD283" s="5" t="str">
        <f ca="1">IFERROR(__xludf.DUMMYFUNCTION("""COMPUTED_VALUE"""),"Yes")</f>
        <v>Yes</v>
      </c>
      <c r="AE283" s="5" t="str">
        <f ca="1">IFERROR(__xludf.DUMMYFUNCTION("""COMPUTED_VALUE"""),"Yes")</f>
        <v>Yes</v>
      </c>
      <c r="AF283" s="5" t="str">
        <f ca="1">IFERROR(__xludf.DUMMYFUNCTION("""COMPUTED_VALUE"""),"Yes")</f>
        <v>Yes</v>
      </c>
      <c r="AG283" s="5" t="str">
        <f ca="1">IFERROR(__xludf.DUMMYFUNCTION("""COMPUTED_VALUE"""),"Yes")</f>
        <v>Yes</v>
      </c>
      <c r="AH283" s="5" t="str">
        <f ca="1">IFERROR(__xludf.DUMMYFUNCTION("""COMPUTED_VALUE"""),"Yes")</f>
        <v>Yes</v>
      </c>
      <c r="AI283" s="5" t="str">
        <f ca="1">IFERROR(__xludf.DUMMYFUNCTION("""COMPUTED_VALUE"""),"No")</f>
        <v>No</v>
      </c>
      <c r="AJ283" s="5" t="str">
        <f ca="1">IFERROR(__xludf.DUMMYFUNCTION("""COMPUTED_VALUE"""),"No")</f>
        <v>No</v>
      </c>
      <c r="AK283" s="5" t="str">
        <f ca="1">IFERROR(__xludf.DUMMYFUNCTION("""COMPUTED_VALUE"""),"No")</f>
        <v>No</v>
      </c>
      <c r="AL283" s="5" t="str">
        <f ca="1">IFERROR(__xludf.DUMMYFUNCTION("""COMPUTED_VALUE"""),"No")</f>
        <v>No</v>
      </c>
      <c r="AM283" s="5"/>
      <c r="AN283" s="5"/>
      <c r="AO283" s="5"/>
      <c r="AP283" s="5"/>
      <c r="AQ283" s="5"/>
      <c r="AR283" s="5"/>
      <c r="AS283" s="5"/>
      <c r="AT283" s="5"/>
      <c r="AU283" s="5"/>
      <c r="AV283" s="5"/>
      <c r="AW283" s="5"/>
      <c r="AX283" s="5"/>
      <c r="AY283" s="5"/>
    </row>
    <row r="284" spans="1:51" x14ac:dyDescent="0.25">
      <c r="A2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84" s="5">
        <f ca="1">IFERROR(__xludf.DUMMYFUNCTION("""COMPUTED_VALUE"""),284)</f>
        <v>284</v>
      </c>
      <c r="C284" s="5">
        <f ca="1">IFERROR(__xludf.DUMMYFUNCTION("""COMPUTED_VALUE"""),283)</f>
        <v>283</v>
      </c>
      <c r="D284" s="5" t="str">
        <f ca="1">IFERROR(__xludf.DUMMYFUNCTION("""COMPUTED_VALUE"""),"GoldenVegas")</f>
        <v>GoldenVegas</v>
      </c>
      <c r="E284" s="5" t="str">
        <f ca="1">IFERROR(__xludf.DUMMYFUNCTION("""COMPUTED_VALUE"""),"Yes")</f>
        <v>Yes</v>
      </c>
      <c r="F284" s="5" t="str">
        <f ca="1">IFERROR(__xludf.DUMMYFUNCTION("""COMPUTED_VALUE"""),"Yes")</f>
        <v>Yes</v>
      </c>
      <c r="G284" s="5" t="str">
        <f ca="1">IFERROR(__xludf.DUMMYFUNCTION("""COMPUTED_VALUE"""),"Yes")</f>
        <v>Yes</v>
      </c>
      <c r="H284" s="5" t="str">
        <f ca="1">IFERROR(__xludf.DUMMYFUNCTION("""COMPUTED_VALUE"""),"Yes")</f>
        <v>Yes</v>
      </c>
      <c r="I284" s="5" t="str">
        <f ca="1">IFERROR(__xludf.DUMMYFUNCTION("""COMPUTED_VALUE"""),"Yes")</f>
        <v>Yes</v>
      </c>
      <c r="J284" s="5" t="str">
        <f ca="1">IFERROR(__xludf.DUMMYFUNCTION("""COMPUTED_VALUE"""),"Yes")</f>
        <v>Yes</v>
      </c>
      <c r="K284" s="5" t="str">
        <f ca="1">IFERROR(__xludf.DUMMYFUNCTION("""COMPUTED_VALUE"""),"Yes")</f>
        <v>Yes</v>
      </c>
      <c r="L284" s="5" t="str">
        <f ca="1">IFERROR(__xludf.DUMMYFUNCTION("""COMPUTED_VALUE"""),"Yes")</f>
        <v>Yes</v>
      </c>
      <c r="M284" s="5" t="str">
        <f ca="1">IFERROR(__xludf.DUMMYFUNCTION("""COMPUTED_VALUE"""),"Yes")</f>
        <v>Yes</v>
      </c>
      <c r="N284" s="5" t="str">
        <f ca="1">IFERROR(__xludf.DUMMYFUNCTION("""COMPUTED_VALUE"""),"Yes")</f>
        <v>Yes</v>
      </c>
      <c r="O284" s="5" t="str">
        <f ca="1">IFERROR(__xludf.DUMMYFUNCTION("""COMPUTED_VALUE"""),"Yes")</f>
        <v>Yes</v>
      </c>
      <c r="P284" s="5" t="str">
        <f ca="1">IFERROR(__xludf.DUMMYFUNCTION("""COMPUTED_VALUE"""),"Yes")</f>
        <v>Yes</v>
      </c>
      <c r="Q284" s="5" t="str">
        <f ca="1">IFERROR(__xludf.DUMMYFUNCTION("""COMPUTED_VALUE"""),"Yes")</f>
        <v>Yes</v>
      </c>
      <c r="R284" s="5" t="str">
        <f ca="1">IFERROR(__xludf.DUMMYFUNCTION("""COMPUTED_VALUE"""),"Yes")</f>
        <v>Yes</v>
      </c>
      <c r="S284" s="5" t="str">
        <f ca="1">IFERROR(__xludf.DUMMYFUNCTION("""COMPUTED_VALUE"""),"Yes")</f>
        <v>Yes</v>
      </c>
      <c r="T284" s="5" t="str">
        <f ca="1">IFERROR(__xludf.DUMMYFUNCTION("""COMPUTED_VALUE"""),"Yes")</f>
        <v>Yes</v>
      </c>
      <c r="U284" s="5" t="str">
        <f ca="1">IFERROR(__xludf.DUMMYFUNCTION("""COMPUTED_VALUE"""),"Yes")</f>
        <v>Yes</v>
      </c>
      <c r="V284" s="5" t="str">
        <f ca="1">IFERROR(__xludf.DUMMYFUNCTION("""COMPUTED_VALUE"""),"Yes")</f>
        <v>Yes</v>
      </c>
      <c r="W284" s="5" t="str">
        <f ca="1">IFERROR(__xludf.DUMMYFUNCTION("""COMPUTED_VALUE"""),"Yes")</f>
        <v>Yes</v>
      </c>
      <c r="X284" s="5" t="str">
        <f ca="1">IFERROR(__xludf.DUMMYFUNCTION("""COMPUTED_VALUE"""),"Yes")</f>
        <v>Yes</v>
      </c>
      <c r="Y284" s="5" t="str">
        <f ca="1">IFERROR(__xludf.DUMMYFUNCTION("""COMPUTED_VALUE"""),"Yes")</f>
        <v>Yes</v>
      </c>
      <c r="Z284" s="5" t="str">
        <f ca="1">IFERROR(__xludf.DUMMYFUNCTION("""COMPUTED_VALUE"""),"No")</f>
        <v>No</v>
      </c>
      <c r="AA284" s="5" t="str">
        <f ca="1">IFERROR(__xludf.DUMMYFUNCTION("""COMPUTED_VALUE"""),"Yes")</f>
        <v>Yes</v>
      </c>
      <c r="AB284" s="5" t="str">
        <f ca="1">IFERROR(__xludf.DUMMYFUNCTION("""COMPUTED_VALUE"""),"Yes")</f>
        <v>Yes</v>
      </c>
      <c r="AC284" s="5" t="str">
        <f ca="1">IFERROR(__xludf.DUMMYFUNCTION("""COMPUTED_VALUE"""),"Yes")</f>
        <v>Yes</v>
      </c>
      <c r="AD284" s="5" t="str">
        <f ca="1">IFERROR(__xludf.DUMMYFUNCTION("""COMPUTED_VALUE"""),"Yes")</f>
        <v>Yes</v>
      </c>
      <c r="AE284" s="5" t="str">
        <f ca="1">IFERROR(__xludf.DUMMYFUNCTION("""COMPUTED_VALUE"""),"No")</f>
        <v>No</v>
      </c>
      <c r="AF284" s="5" t="str">
        <f ca="1">IFERROR(__xludf.DUMMYFUNCTION("""COMPUTED_VALUE"""),"Yes")</f>
        <v>Yes</v>
      </c>
      <c r="AG284" s="5" t="str">
        <f ca="1">IFERROR(__xludf.DUMMYFUNCTION("""COMPUTED_VALUE"""),"No")</f>
        <v>No</v>
      </c>
      <c r="AH284" s="5" t="str">
        <f ca="1">IFERROR(__xludf.DUMMYFUNCTION("""COMPUTED_VALUE"""),"No")</f>
        <v>No</v>
      </c>
      <c r="AI284" s="5" t="str">
        <f ca="1">IFERROR(__xludf.DUMMYFUNCTION("""COMPUTED_VALUE"""),"No")</f>
        <v>No</v>
      </c>
      <c r="AJ284" s="5" t="str">
        <f ca="1">IFERROR(__xludf.DUMMYFUNCTION("""COMPUTED_VALUE"""),"No")</f>
        <v>No</v>
      </c>
      <c r="AK284" s="5" t="str">
        <f ca="1">IFERROR(__xludf.DUMMYFUNCTION("""COMPUTED_VALUE"""),"No")</f>
        <v>No</v>
      </c>
      <c r="AL284" s="5" t="str">
        <f ca="1">IFERROR(__xludf.DUMMYFUNCTION("""COMPUTED_VALUE"""),"No")</f>
        <v>No</v>
      </c>
      <c r="AM284" s="5"/>
      <c r="AN284" s="5"/>
      <c r="AO284" s="5"/>
      <c r="AP284" s="5"/>
      <c r="AQ284" s="5"/>
      <c r="AR284" s="5"/>
      <c r="AS284" s="5"/>
      <c r="AT284" s="5"/>
      <c r="AU284" s="5"/>
      <c r="AV284" s="5"/>
      <c r="AW284" s="5"/>
      <c r="AX284" s="5"/>
      <c r="AY284" s="5"/>
    </row>
    <row r="285" spans="1:51" x14ac:dyDescent="0.25">
      <c r="A2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5" s="5">
        <f ca="1">IFERROR(__xludf.DUMMYFUNCTION("""COMPUTED_VALUE"""),285)</f>
        <v>285</v>
      </c>
      <c r="C285" s="5">
        <f ca="1">IFERROR(__xludf.DUMMYFUNCTION("""COMPUTED_VALUE"""),284)</f>
        <v>284</v>
      </c>
      <c r="D285" s="5" t="str">
        <f ca="1">IFERROR(__xludf.DUMMYFUNCTION("""COMPUTED_VALUE"""),"ChilliRespin")</f>
        <v>ChilliRespin</v>
      </c>
      <c r="E285" s="5" t="str">
        <f ca="1">IFERROR(__xludf.DUMMYFUNCTION("""COMPUTED_VALUE"""),"Yes")</f>
        <v>Yes</v>
      </c>
      <c r="F285" s="5" t="str">
        <f ca="1">IFERROR(__xludf.DUMMYFUNCTION("""COMPUTED_VALUE"""),"Yes")</f>
        <v>Yes</v>
      </c>
      <c r="G285" s="5" t="str">
        <f ca="1">IFERROR(__xludf.DUMMYFUNCTION("""COMPUTED_VALUE"""),"Yes")</f>
        <v>Yes</v>
      </c>
      <c r="H285" s="5" t="str">
        <f ca="1">IFERROR(__xludf.DUMMYFUNCTION("""COMPUTED_VALUE"""),"Yes")</f>
        <v>Yes</v>
      </c>
      <c r="I285" s="5" t="str">
        <f ca="1">IFERROR(__xludf.DUMMYFUNCTION("""COMPUTED_VALUE"""),"Yes")</f>
        <v>Yes</v>
      </c>
      <c r="J285" s="5" t="str">
        <f ca="1">IFERROR(__xludf.DUMMYFUNCTION("""COMPUTED_VALUE"""),"Yes")</f>
        <v>Yes</v>
      </c>
      <c r="K285" s="5" t="str">
        <f ca="1">IFERROR(__xludf.DUMMYFUNCTION("""COMPUTED_VALUE"""),"Yes")</f>
        <v>Yes</v>
      </c>
      <c r="L285" s="5" t="str">
        <f ca="1">IFERROR(__xludf.DUMMYFUNCTION("""COMPUTED_VALUE"""),"Yes")</f>
        <v>Yes</v>
      </c>
      <c r="M285" s="5" t="str">
        <f ca="1">IFERROR(__xludf.DUMMYFUNCTION("""COMPUTED_VALUE"""),"Yes")</f>
        <v>Yes</v>
      </c>
      <c r="N285" s="5" t="str">
        <f ca="1">IFERROR(__xludf.DUMMYFUNCTION("""COMPUTED_VALUE"""),"Yes")</f>
        <v>Yes</v>
      </c>
      <c r="O285" s="5" t="str">
        <f ca="1">IFERROR(__xludf.DUMMYFUNCTION("""COMPUTED_VALUE"""),"Yes")</f>
        <v>Yes</v>
      </c>
      <c r="P285" s="5" t="str">
        <f ca="1">IFERROR(__xludf.DUMMYFUNCTION("""COMPUTED_VALUE"""),"Yes")</f>
        <v>Yes</v>
      </c>
      <c r="Q285" s="5" t="str">
        <f ca="1">IFERROR(__xludf.DUMMYFUNCTION("""COMPUTED_VALUE"""),"Yes")</f>
        <v>Yes</v>
      </c>
      <c r="R285" s="5" t="str">
        <f ca="1">IFERROR(__xludf.DUMMYFUNCTION("""COMPUTED_VALUE"""),"Yes")</f>
        <v>Yes</v>
      </c>
      <c r="S285" s="5" t="str">
        <f ca="1">IFERROR(__xludf.DUMMYFUNCTION("""COMPUTED_VALUE"""),"Yes")</f>
        <v>Yes</v>
      </c>
      <c r="T285" s="5" t="str">
        <f ca="1">IFERROR(__xludf.DUMMYFUNCTION("""COMPUTED_VALUE"""),"Yes")</f>
        <v>Yes</v>
      </c>
      <c r="U285" s="5" t="str">
        <f ca="1">IFERROR(__xludf.DUMMYFUNCTION("""COMPUTED_VALUE"""),"Yes")</f>
        <v>Yes</v>
      </c>
      <c r="V285" s="5" t="str">
        <f ca="1">IFERROR(__xludf.DUMMYFUNCTION("""COMPUTED_VALUE"""),"Yes")</f>
        <v>Yes</v>
      </c>
      <c r="W285" s="5" t="str">
        <f ca="1">IFERROR(__xludf.DUMMYFUNCTION("""COMPUTED_VALUE"""),"Yes")</f>
        <v>Yes</v>
      </c>
      <c r="X285" s="5" t="str">
        <f ca="1">IFERROR(__xludf.DUMMYFUNCTION("""COMPUTED_VALUE"""),"Yes")</f>
        <v>Yes</v>
      </c>
      <c r="Y285" s="5" t="str">
        <f ca="1">IFERROR(__xludf.DUMMYFUNCTION("""COMPUTED_VALUE"""),"Yes")</f>
        <v>Yes</v>
      </c>
      <c r="Z285" s="5" t="str">
        <f ca="1">IFERROR(__xludf.DUMMYFUNCTION("""COMPUTED_VALUE"""),"Yes")</f>
        <v>Yes</v>
      </c>
      <c r="AA285" s="5" t="str">
        <f ca="1">IFERROR(__xludf.DUMMYFUNCTION("""COMPUTED_VALUE"""),"Yes")</f>
        <v>Yes</v>
      </c>
      <c r="AB285" s="5" t="str">
        <f ca="1">IFERROR(__xludf.DUMMYFUNCTION("""COMPUTED_VALUE"""),"Yes")</f>
        <v>Yes</v>
      </c>
      <c r="AC285" s="5" t="str">
        <f ca="1">IFERROR(__xludf.DUMMYFUNCTION("""COMPUTED_VALUE"""),"Yes")</f>
        <v>Yes</v>
      </c>
      <c r="AD285" s="5" t="str">
        <f ca="1">IFERROR(__xludf.DUMMYFUNCTION("""COMPUTED_VALUE"""),"Yes")</f>
        <v>Yes</v>
      </c>
      <c r="AE285" s="5" t="str">
        <f ca="1">IFERROR(__xludf.DUMMYFUNCTION("""COMPUTED_VALUE"""),"Yes")</f>
        <v>Yes</v>
      </c>
      <c r="AF285" s="5" t="str">
        <f ca="1">IFERROR(__xludf.DUMMYFUNCTION("""COMPUTED_VALUE"""),"Yes")</f>
        <v>Yes</v>
      </c>
      <c r="AG285" s="5" t="str">
        <f ca="1">IFERROR(__xludf.DUMMYFUNCTION("""COMPUTED_VALUE"""),"Yes")</f>
        <v>Yes</v>
      </c>
      <c r="AH285" s="5" t="str">
        <f ca="1">IFERROR(__xludf.DUMMYFUNCTION("""COMPUTED_VALUE"""),"Yes")</f>
        <v>Yes</v>
      </c>
      <c r="AI285" s="5" t="str">
        <f ca="1">IFERROR(__xludf.DUMMYFUNCTION("""COMPUTED_VALUE"""),"No")</f>
        <v>No</v>
      </c>
      <c r="AJ285" s="5" t="str">
        <f ca="1">IFERROR(__xludf.DUMMYFUNCTION("""COMPUTED_VALUE"""),"No")</f>
        <v>No</v>
      </c>
      <c r="AK285" s="5" t="str">
        <f ca="1">IFERROR(__xludf.DUMMYFUNCTION("""COMPUTED_VALUE"""),"No")</f>
        <v>No</v>
      </c>
      <c r="AL285" s="5" t="str">
        <f ca="1">IFERROR(__xludf.DUMMYFUNCTION("""COMPUTED_VALUE"""),"No")</f>
        <v>No</v>
      </c>
      <c r="AM285" s="5"/>
      <c r="AN285" s="5"/>
      <c r="AO285" s="5"/>
      <c r="AP285" s="5"/>
      <c r="AQ285" s="5"/>
      <c r="AR285" s="5"/>
      <c r="AS285" s="5"/>
      <c r="AT285" s="5"/>
      <c r="AU285" s="5"/>
      <c r="AV285" s="5"/>
      <c r="AW285" s="5"/>
      <c r="AX285" s="5"/>
      <c r="AY285" s="5"/>
    </row>
    <row r="286" spans="1:51" x14ac:dyDescent="0.25">
      <c r="A2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86" s="5">
        <f ca="1">IFERROR(__xludf.DUMMYFUNCTION("""COMPUTED_VALUE"""),286)</f>
        <v>286</v>
      </c>
      <c r="C286" s="5">
        <f ca="1">IFERROR(__xludf.DUMMYFUNCTION("""COMPUTED_VALUE"""),285)</f>
        <v>285</v>
      </c>
      <c r="D286" s="5" t="str">
        <f ca="1">IFERROR(__xludf.DUMMYFUNCTION("""COMPUTED_VALUE"""),"RedstoneChilliHot5")</f>
        <v>RedstoneChilliHot5</v>
      </c>
      <c r="E286" s="5" t="str">
        <f ca="1">IFERROR(__xludf.DUMMYFUNCTION("""COMPUTED_VALUE"""),"Yes")</f>
        <v>Yes</v>
      </c>
      <c r="F286" s="5" t="str">
        <f ca="1">IFERROR(__xludf.DUMMYFUNCTION("""COMPUTED_VALUE"""),"Yes")</f>
        <v>Yes</v>
      </c>
      <c r="G286" s="5" t="str">
        <f ca="1">IFERROR(__xludf.DUMMYFUNCTION("""COMPUTED_VALUE"""),"Yes")</f>
        <v>Yes</v>
      </c>
      <c r="H286" s="5" t="str">
        <f ca="1">IFERROR(__xludf.DUMMYFUNCTION("""COMPUTED_VALUE"""),"Yes")</f>
        <v>Yes</v>
      </c>
      <c r="I286" s="5" t="str">
        <f ca="1">IFERROR(__xludf.DUMMYFUNCTION("""COMPUTED_VALUE"""),"Yes")</f>
        <v>Yes</v>
      </c>
      <c r="J286" s="5" t="str">
        <f ca="1">IFERROR(__xludf.DUMMYFUNCTION("""COMPUTED_VALUE"""),"Yes")</f>
        <v>Yes</v>
      </c>
      <c r="K286" s="5" t="str">
        <f ca="1">IFERROR(__xludf.DUMMYFUNCTION("""COMPUTED_VALUE"""),"Yes")</f>
        <v>Yes</v>
      </c>
      <c r="L286" s="5" t="str">
        <f ca="1">IFERROR(__xludf.DUMMYFUNCTION("""COMPUTED_VALUE"""),"Yes")</f>
        <v>Yes</v>
      </c>
      <c r="M286" s="5" t="str">
        <f ca="1">IFERROR(__xludf.DUMMYFUNCTION("""COMPUTED_VALUE"""),"Yes")</f>
        <v>Yes</v>
      </c>
      <c r="N286" s="5" t="str">
        <f ca="1">IFERROR(__xludf.DUMMYFUNCTION("""COMPUTED_VALUE"""),"Yes")</f>
        <v>Yes</v>
      </c>
      <c r="O286" s="5" t="str">
        <f ca="1">IFERROR(__xludf.DUMMYFUNCTION("""COMPUTED_VALUE"""),"Yes")</f>
        <v>Yes</v>
      </c>
      <c r="P286" s="5" t="str">
        <f ca="1">IFERROR(__xludf.DUMMYFUNCTION("""COMPUTED_VALUE"""),"Yes")</f>
        <v>Yes</v>
      </c>
      <c r="Q286" s="5" t="str">
        <f ca="1">IFERROR(__xludf.DUMMYFUNCTION("""COMPUTED_VALUE"""),"Yes")</f>
        <v>Yes</v>
      </c>
      <c r="R286" s="5" t="str">
        <f ca="1">IFERROR(__xludf.DUMMYFUNCTION("""COMPUTED_VALUE"""),"Yes")</f>
        <v>Yes</v>
      </c>
      <c r="S286" s="5" t="str">
        <f ca="1">IFERROR(__xludf.DUMMYFUNCTION("""COMPUTED_VALUE"""),"Yes")</f>
        <v>Yes</v>
      </c>
      <c r="T286" s="5" t="str">
        <f ca="1">IFERROR(__xludf.DUMMYFUNCTION("""COMPUTED_VALUE"""),"Yes")</f>
        <v>Yes</v>
      </c>
      <c r="U286" s="5" t="str">
        <f ca="1">IFERROR(__xludf.DUMMYFUNCTION("""COMPUTED_VALUE"""),"Yes")</f>
        <v>Yes</v>
      </c>
      <c r="V286" s="5" t="str">
        <f ca="1">IFERROR(__xludf.DUMMYFUNCTION("""COMPUTED_VALUE"""),"Yes")</f>
        <v>Yes</v>
      </c>
      <c r="W286" s="5" t="str">
        <f ca="1">IFERROR(__xludf.DUMMYFUNCTION("""COMPUTED_VALUE"""),"Yes")</f>
        <v>Yes</v>
      </c>
      <c r="X286" s="5"/>
      <c r="Y286" s="5" t="str">
        <f ca="1">IFERROR(__xludf.DUMMYFUNCTION("""COMPUTED_VALUE"""),"Yes")</f>
        <v>Yes</v>
      </c>
      <c r="Z286" s="5"/>
      <c r="AA286" s="5"/>
      <c r="AB286" s="5"/>
      <c r="AC286" s="5" t="str">
        <f ca="1">IFERROR(__xludf.DUMMYFUNCTION("""COMPUTED_VALUE"""),"Yes")</f>
        <v>Yes</v>
      </c>
      <c r="AD286" s="5"/>
      <c r="AE286" s="5"/>
      <c r="AF286" s="5"/>
      <c r="AG286" s="5"/>
      <c r="AH286" s="5"/>
      <c r="AI286" s="5"/>
      <c r="AJ286" s="5"/>
      <c r="AK286" s="5"/>
      <c r="AL286" s="5"/>
      <c r="AM286" s="5"/>
      <c r="AN286" s="5"/>
      <c r="AO286" s="5"/>
      <c r="AP286" s="5"/>
      <c r="AQ286" s="5"/>
      <c r="AR286" s="5"/>
      <c r="AS286" s="5"/>
      <c r="AT286" s="5"/>
      <c r="AU286" s="5"/>
      <c r="AV286" s="5"/>
      <c r="AW286" s="5"/>
      <c r="AX286" s="5"/>
      <c r="AY286" s="5"/>
    </row>
    <row r="287" spans="1:51" x14ac:dyDescent="0.25">
      <c r="A28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7" s="5">
        <f ca="1">IFERROR(__xludf.DUMMYFUNCTION("""COMPUTED_VALUE"""),287)</f>
        <v>287</v>
      </c>
      <c r="C287" s="5">
        <f ca="1">IFERROR(__xludf.DUMMYFUNCTION("""COMPUTED_VALUE"""),286)</f>
        <v>286</v>
      </c>
      <c r="D287" s="5" t="str">
        <f ca="1">IFERROR(__xludf.DUMMYFUNCTION("""COMPUTED_VALUE"""),"Redstone40HotJoker")</f>
        <v>Redstone40HotJoker</v>
      </c>
      <c r="E287" s="5" t="str">
        <f ca="1">IFERROR(__xludf.DUMMYFUNCTION("""COMPUTED_VALUE"""),"Yes")</f>
        <v>Yes</v>
      </c>
      <c r="F287" s="5" t="str">
        <f ca="1">IFERROR(__xludf.DUMMYFUNCTION("""COMPUTED_VALUE"""),"Yes")</f>
        <v>Yes</v>
      </c>
      <c r="G287" s="5" t="str">
        <f ca="1">IFERROR(__xludf.DUMMYFUNCTION("""COMPUTED_VALUE"""),"No")</f>
        <v>No</v>
      </c>
      <c r="H287" s="5" t="str">
        <f ca="1">IFERROR(__xludf.DUMMYFUNCTION("""COMPUTED_VALUE"""),"Yes")</f>
        <v>Yes</v>
      </c>
      <c r="I287" s="5" t="str">
        <f ca="1">IFERROR(__xludf.DUMMYFUNCTION("""COMPUTED_VALUE"""),"Yes")</f>
        <v>Yes</v>
      </c>
      <c r="J287" s="5" t="str">
        <f ca="1">IFERROR(__xludf.DUMMYFUNCTION("""COMPUTED_VALUE"""),"Yes")</f>
        <v>Yes</v>
      </c>
      <c r="K287" s="5" t="str">
        <f ca="1">IFERROR(__xludf.DUMMYFUNCTION("""COMPUTED_VALUE"""),"Yes")</f>
        <v>Yes</v>
      </c>
      <c r="L287" s="5" t="str">
        <f ca="1">IFERROR(__xludf.DUMMYFUNCTION("""COMPUTED_VALUE"""),"Yes")</f>
        <v>Yes</v>
      </c>
      <c r="M287" s="5" t="str">
        <f ca="1">IFERROR(__xludf.DUMMYFUNCTION("""COMPUTED_VALUE"""),"Yes")</f>
        <v>Yes</v>
      </c>
      <c r="N287" s="5" t="str">
        <f ca="1">IFERROR(__xludf.DUMMYFUNCTION("""COMPUTED_VALUE"""),"Yes")</f>
        <v>Yes</v>
      </c>
      <c r="O287" s="5" t="str">
        <f ca="1">IFERROR(__xludf.DUMMYFUNCTION("""COMPUTED_VALUE"""),"Yes")</f>
        <v>Yes</v>
      </c>
      <c r="P287" s="5" t="str">
        <f ca="1">IFERROR(__xludf.DUMMYFUNCTION("""COMPUTED_VALUE"""),"Yes")</f>
        <v>Yes</v>
      </c>
      <c r="Q287" s="5" t="str">
        <f ca="1">IFERROR(__xludf.DUMMYFUNCTION("""COMPUTED_VALUE"""),"Yes")</f>
        <v>Yes</v>
      </c>
      <c r="R287" s="5" t="str">
        <f ca="1">IFERROR(__xludf.DUMMYFUNCTION("""COMPUTED_VALUE"""),"Yes")</f>
        <v>Yes</v>
      </c>
      <c r="S287" s="5" t="str">
        <f ca="1">IFERROR(__xludf.DUMMYFUNCTION("""COMPUTED_VALUE"""),"Yes")</f>
        <v>Yes</v>
      </c>
      <c r="T287" s="5" t="str">
        <f ca="1">IFERROR(__xludf.DUMMYFUNCTION("""COMPUTED_VALUE"""),"No")</f>
        <v>No</v>
      </c>
      <c r="U287" s="5" t="str">
        <f ca="1">IFERROR(__xludf.DUMMYFUNCTION("""COMPUTED_VALUE"""),"No")</f>
        <v>No</v>
      </c>
      <c r="V287" s="5" t="str">
        <f ca="1">IFERROR(__xludf.DUMMYFUNCTION("""COMPUTED_VALUE"""),"No")</f>
        <v>No</v>
      </c>
      <c r="W287" s="5" t="str">
        <f ca="1">IFERROR(__xludf.DUMMYFUNCTION("""COMPUTED_VALUE"""),"No")</f>
        <v>No</v>
      </c>
      <c r="X287" s="5" t="str">
        <f ca="1">IFERROR(__xludf.DUMMYFUNCTION("""COMPUTED_VALUE"""),"No")</f>
        <v>No</v>
      </c>
      <c r="Y287" s="5" t="str">
        <f ca="1">IFERROR(__xludf.DUMMYFUNCTION("""COMPUTED_VALUE"""),"No")</f>
        <v>No</v>
      </c>
      <c r="Z287" s="5" t="str">
        <f ca="1">IFERROR(__xludf.DUMMYFUNCTION("""COMPUTED_VALUE"""),"No")</f>
        <v>No</v>
      </c>
      <c r="AA287" s="5" t="str">
        <f ca="1">IFERROR(__xludf.DUMMYFUNCTION("""COMPUTED_VALUE"""),"No")</f>
        <v>No</v>
      </c>
      <c r="AB287" s="5" t="str">
        <f ca="1">IFERROR(__xludf.DUMMYFUNCTION("""COMPUTED_VALUE"""),"No")</f>
        <v>No</v>
      </c>
      <c r="AC287" s="5" t="str">
        <f ca="1">IFERROR(__xludf.DUMMYFUNCTION("""COMPUTED_VALUE"""),"No")</f>
        <v>No</v>
      </c>
      <c r="AD287" s="5" t="str">
        <f ca="1">IFERROR(__xludf.DUMMYFUNCTION("""COMPUTED_VALUE"""),"No")</f>
        <v>No</v>
      </c>
      <c r="AE287" s="5" t="str">
        <f ca="1">IFERROR(__xludf.DUMMYFUNCTION("""COMPUTED_VALUE"""),"No")</f>
        <v>No</v>
      </c>
      <c r="AF287" s="5" t="str">
        <f ca="1">IFERROR(__xludf.DUMMYFUNCTION("""COMPUTED_VALUE"""),"Yes")</f>
        <v>Yes</v>
      </c>
      <c r="AG287" s="5" t="str">
        <f ca="1">IFERROR(__xludf.DUMMYFUNCTION("""COMPUTED_VALUE"""),"No")</f>
        <v>No</v>
      </c>
      <c r="AH287" s="5" t="str">
        <f ca="1">IFERROR(__xludf.DUMMYFUNCTION("""COMPUTED_VALUE"""),"Yes")</f>
        <v>Yes</v>
      </c>
      <c r="AI287" s="5" t="str">
        <f ca="1">IFERROR(__xludf.DUMMYFUNCTION("""COMPUTED_VALUE"""),"No")</f>
        <v>No</v>
      </c>
      <c r="AJ287" s="5" t="str">
        <f ca="1">IFERROR(__xludf.DUMMYFUNCTION("""COMPUTED_VALUE"""),"No")</f>
        <v>No</v>
      </c>
      <c r="AK287" s="5" t="str">
        <f ca="1">IFERROR(__xludf.DUMMYFUNCTION("""COMPUTED_VALUE"""),"No")</f>
        <v>No</v>
      </c>
      <c r="AL287" s="5" t="str">
        <f ca="1">IFERROR(__xludf.DUMMYFUNCTION("""COMPUTED_VALUE"""),"No")</f>
        <v>No</v>
      </c>
      <c r="AM287" s="5"/>
      <c r="AN287" s="5"/>
      <c r="AO287" s="5"/>
      <c r="AP287" s="5"/>
      <c r="AQ287" s="5"/>
      <c r="AR287" s="5"/>
      <c r="AS287" s="5"/>
      <c r="AT287" s="5"/>
      <c r="AU287" s="5"/>
      <c r="AV287" s="5"/>
      <c r="AW287" s="5"/>
      <c r="AX287" s="5"/>
      <c r="AY287" s="5"/>
    </row>
    <row r="288" spans="1:51" x14ac:dyDescent="0.25">
      <c r="A288"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8" s="5">
        <f ca="1">IFERROR(__xludf.DUMMYFUNCTION("""COMPUTED_VALUE"""),288)</f>
        <v>288</v>
      </c>
      <c r="C288" s="5">
        <f ca="1">IFERROR(__xludf.DUMMYFUNCTION("""COMPUTED_VALUE"""),287)</f>
        <v>287</v>
      </c>
      <c r="D288" s="5" t="str">
        <f ca="1">IFERROR(__xludf.DUMMYFUNCTION("""COMPUTED_VALUE"""),"RedstoneJollyPresents")</f>
        <v>RedstoneJollyPresents</v>
      </c>
      <c r="E288" s="5" t="str">
        <f ca="1">IFERROR(__xludf.DUMMYFUNCTION("""COMPUTED_VALUE"""),"Yes")</f>
        <v>Yes</v>
      </c>
      <c r="F288" s="5" t="str">
        <f ca="1">IFERROR(__xludf.DUMMYFUNCTION("""COMPUTED_VALUE"""),"Yes")</f>
        <v>Yes</v>
      </c>
      <c r="G288" s="5" t="str">
        <f ca="1">IFERROR(__xludf.DUMMYFUNCTION("""COMPUTED_VALUE"""),"No")</f>
        <v>No</v>
      </c>
      <c r="H288" s="5" t="str">
        <f ca="1">IFERROR(__xludf.DUMMYFUNCTION("""COMPUTED_VALUE"""),"Yes")</f>
        <v>Yes</v>
      </c>
      <c r="I288" s="5" t="str">
        <f ca="1">IFERROR(__xludf.DUMMYFUNCTION("""COMPUTED_VALUE"""),"Yes")</f>
        <v>Yes</v>
      </c>
      <c r="J288" s="5" t="str">
        <f ca="1">IFERROR(__xludf.DUMMYFUNCTION("""COMPUTED_VALUE"""),"Yes")</f>
        <v>Yes</v>
      </c>
      <c r="K288" s="5" t="str">
        <f ca="1">IFERROR(__xludf.DUMMYFUNCTION("""COMPUTED_VALUE"""),"Yes")</f>
        <v>Yes</v>
      </c>
      <c r="L288" s="5" t="str">
        <f ca="1">IFERROR(__xludf.DUMMYFUNCTION("""COMPUTED_VALUE"""),"Yes")</f>
        <v>Yes</v>
      </c>
      <c r="M288" s="5" t="str">
        <f ca="1">IFERROR(__xludf.DUMMYFUNCTION("""COMPUTED_VALUE"""),"Yes")</f>
        <v>Yes</v>
      </c>
      <c r="N288" s="5" t="str">
        <f ca="1">IFERROR(__xludf.DUMMYFUNCTION("""COMPUTED_VALUE"""),"Yes")</f>
        <v>Yes</v>
      </c>
      <c r="O288" s="5" t="str">
        <f ca="1">IFERROR(__xludf.DUMMYFUNCTION("""COMPUTED_VALUE"""),"Yes")</f>
        <v>Yes</v>
      </c>
      <c r="P288" s="5" t="str">
        <f ca="1">IFERROR(__xludf.DUMMYFUNCTION("""COMPUTED_VALUE"""),"Yes")</f>
        <v>Yes</v>
      </c>
      <c r="Q288" s="5" t="str">
        <f ca="1">IFERROR(__xludf.DUMMYFUNCTION("""COMPUTED_VALUE"""),"Yes")</f>
        <v>Yes</v>
      </c>
      <c r="R288" s="5" t="str">
        <f ca="1">IFERROR(__xludf.DUMMYFUNCTION("""COMPUTED_VALUE"""),"Yes")</f>
        <v>Yes</v>
      </c>
      <c r="S288" s="5" t="str">
        <f ca="1">IFERROR(__xludf.DUMMYFUNCTION("""COMPUTED_VALUE"""),"Yes")</f>
        <v>Yes</v>
      </c>
      <c r="T288" s="5" t="str">
        <f ca="1">IFERROR(__xludf.DUMMYFUNCTION("""COMPUTED_VALUE"""),"No")</f>
        <v>No</v>
      </c>
      <c r="U288" s="5" t="str">
        <f ca="1">IFERROR(__xludf.DUMMYFUNCTION("""COMPUTED_VALUE"""),"No")</f>
        <v>No</v>
      </c>
      <c r="V288" s="5" t="str">
        <f ca="1">IFERROR(__xludf.DUMMYFUNCTION("""COMPUTED_VALUE"""),"No")</f>
        <v>No</v>
      </c>
      <c r="W288" s="5" t="str">
        <f ca="1">IFERROR(__xludf.DUMMYFUNCTION("""COMPUTED_VALUE"""),"No")</f>
        <v>No</v>
      </c>
      <c r="X288" s="5" t="str">
        <f ca="1">IFERROR(__xludf.DUMMYFUNCTION("""COMPUTED_VALUE"""),"No")</f>
        <v>No</v>
      </c>
      <c r="Y288" s="5" t="str">
        <f ca="1">IFERROR(__xludf.DUMMYFUNCTION("""COMPUTED_VALUE"""),"No")</f>
        <v>No</v>
      </c>
      <c r="Z288" s="5" t="str">
        <f ca="1">IFERROR(__xludf.DUMMYFUNCTION("""COMPUTED_VALUE"""),"No")</f>
        <v>No</v>
      </c>
      <c r="AA288" s="5" t="str">
        <f ca="1">IFERROR(__xludf.DUMMYFUNCTION("""COMPUTED_VALUE"""),"No")</f>
        <v>No</v>
      </c>
      <c r="AB288" s="5" t="str">
        <f ca="1">IFERROR(__xludf.DUMMYFUNCTION("""COMPUTED_VALUE"""),"No")</f>
        <v>No</v>
      </c>
      <c r="AC288" s="5" t="str">
        <f ca="1">IFERROR(__xludf.DUMMYFUNCTION("""COMPUTED_VALUE"""),"No")</f>
        <v>No</v>
      </c>
      <c r="AD288" s="5" t="str">
        <f ca="1">IFERROR(__xludf.DUMMYFUNCTION("""COMPUTED_VALUE"""),"No")</f>
        <v>No</v>
      </c>
      <c r="AE288" s="5" t="str">
        <f ca="1">IFERROR(__xludf.DUMMYFUNCTION("""COMPUTED_VALUE"""),"No")</f>
        <v>No</v>
      </c>
      <c r="AF288" s="5" t="str">
        <f ca="1">IFERROR(__xludf.DUMMYFUNCTION("""COMPUTED_VALUE"""),"Yes")</f>
        <v>Yes</v>
      </c>
      <c r="AG288" s="5" t="str">
        <f ca="1">IFERROR(__xludf.DUMMYFUNCTION("""COMPUTED_VALUE"""),"No")</f>
        <v>No</v>
      </c>
      <c r="AH288" s="5" t="str">
        <f ca="1">IFERROR(__xludf.DUMMYFUNCTION("""COMPUTED_VALUE"""),"Yes")</f>
        <v>Yes</v>
      </c>
      <c r="AI288" s="5" t="str">
        <f ca="1">IFERROR(__xludf.DUMMYFUNCTION("""COMPUTED_VALUE"""),"No")</f>
        <v>No</v>
      </c>
      <c r="AJ288" s="5" t="str">
        <f ca="1">IFERROR(__xludf.DUMMYFUNCTION("""COMPUTED_VALUE"""),"No")</f>
        <v>No</v>
      </c>
      <c r="AK288" s="5" t="str">
        <f ca="1">IFERROR(__xludf.DUMMYFUNCTION("""COMPUTED_VALUE"""),"No")</f>
        <v>No</v>
      </c>
      <c r="AL288" s="5" t="str">
        <f ca="1">IFERROR(__xludf.DUMMYFUNCTION("""COMPUTED_VALUE"""),"No")</f>
        <v>No</v>
      </c>
      <c r="AM288" s="5"/>
      <c r="AN288" s="5"/>
      <c r="AO288" s="5"/>
      <c r="AP288" s="5"/>
      <c r="AQ288" s="5"/>
      <c r="AR288" s="5"/>
      <c r="AS288" s="5"/>
      <c r="AT288" s="5"/>
      <c r="AU288" s="5"/>
      <c r="AV288" s="5"/>
      <c r="AW288" s="5"/>
      <c r="AX288" s="5"/>
      <c r="AY288" s="5"/>
    </row>
    <row r="289" spans="1:51" x14ac:dyDescent="0.25">
      <c r="A289"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9" s="5">
        <f ca="1">IFERROR(__xludf.DUMMYFUNCTION("""COMPUTED_VALUE"""),289)</f>
        <v>289</v>
      </c>
      <c r="C289" s="5">
        <f ca="1">IFERROR(__xludf.DUMMYFUNCTION("""COMPUTED_VALUE"""),288)</f>
        <v>288</v>
      </c>
      <c r="D289" s="5" t="str">
        <f ca="1">IFERROR(__xludf.DUMMYFUNCTION("""COMPUTED_VALUE"""),"Redstone20FruitFrenzy")</f>
        <v>Redstone20FruitFrenzy</v>
      </c>
      <c r="E289" s="5" t="str">
        <f ca="1">IFERROR(__xludf.DUMMYFUNCTION("""COMPUTED_VALUE"""),"Yes")</f>
        <v>Yes</v>
      </c>
      <c r="F289" s="5" t="str">
        <f ca="1">IFERROR(__xludf.DUMMYFUNCTION("""COMPUTED_VALUE"""),"Yes")</f>
        <v>Yes</v>
      </c>
      <c r="G289" s="5" t="str">
        <f ca="1">IFERROR(__xludf.DUMMYFUNCTION("""COMPUTED_VALUE"""),"No")</f>
        <v>No</v>
      </c>
      <c r="H289" s="5" t="str">
        <f ca="1">IFERROR(__xludf.DUMMYFUNCTION("""COMPUTED_VALUE"""),"Yes")</f>
        <v>Yes</v>
      </c>
      <c r="I289" s="5" t="str">
        <f ca="1">IFERROR(__xludf.DUMMYFUNCTION("""COMPUTED_VALUE"""),"Yes")</f>
        <v>Yes</v>
      </c>
      <c r="J289" s="5" t="str">
        <f ca="1">IFERROR(__xludf.DUMMYFUNCTION("""COMPUTED_VALUE"""),"Yes")</f>
        <v>Yes</v>
      </c>
      <c r="K289" s="5" t="str">
        <f ca="1">IFERROR(__xludf.DUMMYFUNCTION("""COMPUTED_VALUE"""),"Yes")</f>
        <v>Yes</v>
      </c>
      <c r="L289" s="5" t="str">
        <f ca="1">IFERROR(__xludf.DUMMYFUNCTION("""COMPUTED_VALUE"""),"Yes")</f>
        <v>Yes</v>
      </c>
      <c r="M289" s="5" t="str">
        <f ca="1">IFERROR(__xludf.DUMMYFUNCTION("""COMPUTED_VALUE"""),"Yes")</f>
        <v>Yes</v>
      </c>
      <c r="N289" s="5" t="str">
        <f ca="1">IFERROR(__xludf.DUMMYFUNCTION("""COMPUTED_VALUE"""),"Yes")</f>
        <v>Yes</v>
      </c>
      <c r="O289" s="5" t="str">
        <f ca="1">IFERROR(__xludf.DUMMYFUNCTION("""COMPUTED_VALUE"""),"Yes")</f>
        <v>Yes</v>
      </c>
      <c r="P289" s="5" t="str">
        <f ca="1">IFERROR(__xludf.DUMMYFUNCTION("""COMPUTED_VALUE"""),"Yes")</f>
        <v>Yes</v>
      </c>
      <c r="Q289" s="5" t="str">
        <f ca="1">IFERROR(__xludf.DUMMYFUNCTION("""COMPUTED_VALUE"""),"Yes")</f>
        <v>Yes</v>
      </c>
      <c r="R289" s="5" t="str">
        <f ca="1">IFERROR(__xludf.DUMMYFUNCTION("""COMPUTED_VALUE"""),"Yes")</f>
        <v>Yes</v>
      </c>
      <c r="S289" s="5" t="str">
        <f ca="1">IFERROR(__xludf.DUMMYFUNCTION("""COMPUTED_VALUE"""),"Yes")</f>
        <v>Yes</v>
      </c>
      <c r="T289" s="5" t="str">
        <f ca="1">IFERROR(__xludf.DUMMYFUNCTION("""COMPUTED_VALUE"""),"No")</f>
        <v>No</v>
      </c>
      <c r="U289" s="5" t="str">
        <f ca="1">IFERROR(__xludf.DUMMYFUNCTION("""COMPUTED_VALUE"""),"No")</f>
        <v>No</v>
      </c>
      <c r="V289" s="5" t="str">
        <f ca="1">IFERROR(__xludf.DUMMYFUNCTION("""COMPUTED_VALUE"""),"No")</f>
        <v>No</v>
      </c>
      <c r="W289" s="5" t="str">
        <f ca="1">IFERROR(__xludf.DUMMYFUNCTION("""COMPUTED_VALUE"""),"No")</f>
        <v>No</v>
      </c>
      <c r="X289" s="5" t="str">
        <f ca="1">IFERROR(__xludf.DUMMYFUNCTION("""COMPUTED_VALUE"""),"No")</f>
        <v>No</v>
      </c>
      <c r="Y289" s="5" t="str">
        <f ca="1">IFERROR(__xludf.DUMMYFUNCTION("""COMPUTED_VALUE"""),"No")</f>
        <v>No</v>
      </c>
      <c r="Z289" s="5" t="str">
        <f ca="1">IFERROR(__xludf.DUMMYFUNCTION("""COMPUTED_VALUE"""),"No")</f>
        <v>No</v>
      </c>
      <c r="AA289" s="5" t="str">
        <f ca="1">IFERROR(__xludf.DUMMYFUNCTION("""COMPUTED_VALUE"""),"No")</f>
        <v>No</v>
      </c>
      <c r="AB289" s="5" t="str">
        <f ca="1">IFERROR(__xludf.DUMMYFUNCTION("""COMPUTED_VALUE"""),"No")</f>
        <v>No</v>
      </c>
      <c r="AC289" s="5" t="str">
        <f ca="1">IFERROR(__xludf.DUMMYFUNCTION("""COMPUTED_VALUE"""),"No")</f>
        <v>No</v>
      </c>
      <c r="AD289" s="5" t="str">
        <f ca="1">IFERROR(__xludf.DUMMYFUNCTION("""COMPUTED_VALUE"""),"No")</f>
        <v>No</v>
      </c>
      <c r="AE289" s="5" t="str">
        <f ca="1">IFERROR(__xludf.DUMMYFUNCTION("""COMPUTED_VALUE"""),"No")</f>
        <v>No</v>
      </c>
      <c r="AF289" s="5" t="str">
        <f ca="1">IFERROR(__xludf.DUMMYFUNCTION("""COMPUTED_VALUE"""),"Yes")</f>
        <v>Yes</v>
      </c>
      <c r="AG289" s="5" t="str">
        <f ca="1">IFERROR(__xludf.DUMMYFUNCTION("""COMPUTED_VALUE"""),"No")</f>
        <v>No</v>
      </c>
      <c r="AH289" s="5" t="str">
        <f ca="1">IFERROR(__xludf.DUMMYFUNCTION("""COMPUTED_VALUE"""),"Yes")</f>
        <v>Yes</v>
      </c>
      <c r="AI289" s="5" t="str">
        <f ca="1">IFERROR(__xludf.DUMMYFUNCTION("""COMPUTED_VALUE"""),"No")</f>
        <v>No</v>
      </c>
      <c r="AJ289" s="5" t="str">
        <f ca="1">IFERROR(__xludf.DUMMYFUNCTION("""COMPUTED_VALUE"""),"No")</f>
        <v>No</v>
      </c>
      <c r="AK289" s="5" t="str">
        <f ca="1">IFERROR(__xludf.DUMMYFUNCTION("""COMPUTED_VALUE"""),"No")</f>
        <v>No</v>
      </c>
      <c r="AL289" s="5" t="str">
        <f ca="1">IFERROR(__xludf.DUMMYFUNCTION("""COMPUTED_VALUE"""),"No")</f>
        <v>No</v>
      </c>
      <c r="AM289" s="5"/>
      <c r="AN289" s="5"/>
      <c r="AO289" s="5"/>
      <c r="AP289" s="5"/>
      <c r="AQ289" s="5"/>
      <c r="AR289" s="5"/>
      <c r="AS289" s="5"/>
      <c r="AT289" s="5"/>
      <c r="AU289" s="5"/>
      <c r="AV289" s="5"/>
      <c r="AW289" s="5"/>
      <c r="AX289" s="5"/>
      <c r="AY289" s="5"/>
    </row>
    <row r="290" spans="1:51" x14ac:dyDescent="0.25">
      <c r="A29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0" s="5">
        <f ca="1">IFERROR(__xludf.DUMMYFUNCTION("""COMPUTED_VALUE"""),290)</f>
        <v>290</v>
      </c>
      <c r="C290" s="5">
        <f ca="1">IFERROR(__xludf.DUMMYFUNCTION("""COMPUTED_VALUE"""),289)</f>
        <v>289</v>
      </c>
      <c r="D290" s="5" t="str">
        <f ca="1">IFERROR(__xludf.DUMMYFUNCTION("""COMPUTED_VALUE"""),"Redstone40FruitFrenzy")</f>
        <v>Redstone40FruitFrenzy</v>
      </c>
      <c r="E290" s="5" t="str">
        <f ca="1">IFERROR(__xludf.DUMMYFUNCTION("""COMPUTED_VALUE"""),"Yes")</f>
        <v>Yes</v>
      </c>
      <c r="F290" s="5" t="str">
        <f ca="1">IFERROR(__xludf.DUMMYFUNCTION("""COMPUTED_VALUE"""),"Yes")</f>
        <v>Yes</v>
      </c>
      <c r="G290" s="5" t="str">
        <f ca="1">IFERROR(__xludf.DUMMYFUNCTION("""COMPUTED_VALUE"""),"No")</f>
        <v>No</v>
      </c>
      <c r="H290" s="5" t="str">
        <f ca="1">IFERROR(__xludf.DUMMYFUNCTION("""COMPUTED_VALUE"""),"Yes")</f>
        <v>Yes</v>
      </c>
      <c r="I290" s="5" t="str">
        <f ca="1">IFERROR(__xludf.DUMMYFUNCTION("""COMPUTED_VALUE"""),"Yes")</f>
        <v>Yes</v>
      </c>
      <c r="J290" s="5" t="str">
        <f ca="1">IFERROR(__xludf.DUMMYFUNCTION("""COMPUTED_VALUE"""),"Yes")</f>
        <v>Yes</v>
      </c>
      <c r="K290" s="5" t="str">
        <f ca="1">IFERROR(__xludf.DUMMYFUNCTION("""COMPUTED_VALUE"""),"Yes")</f>
        <v>Yes</v>
      </c>
      <c r="L290" s="5" t="str">
        <f ca="1">IFERROR(__xludf.DUMMYFUNCTION("""COMPUTED_VALUE"""),"Yes")</f>
        <v>Yes</v>
      </c>
      <c r="M290" s="5" t="str">
        <f ca="1">IFERROR(__xludf.DUMMYFUNCTION("""COMPUTED_VALUE"""),"Yes")</f>
        <v>Yes</v>
      </c>
      <c r="N290" s="5" t="str">
        <f ca="1">IFERROR(__xludf.DUMMYFUNCTION("""COMPUTED_VALUE"""),"Yes")</f>
        <v>Yes</v>
      </c>
      <c r="O290" s="5" t="str">
        <f ca="1">IFERROR(__xludf.DUMMYFUNCTION("""COMPUTED_VALUE"""),"Yes")</f>
        <v>Yes</v>
      </c>
      <c r="P290" s="5" t="str">
        <f ca="1">IFERROR(__xludf.DUMMYFUNCTION("""COMPUTED_VALUE"""),"Yes")</f>
        <v>Yes</v>
      </c>
      <c r="Q290" s="5" t="str">
        <f ca="1">IFERROR(__xludf.DUMMYFUNCTION("""COMPUTED_VALUE"""),"Yes")</f>
        <v>Yes</v>
      </c>
      <c r="R290" s="5" t="str">
        <f ca="1">IFERROR(__xludf.DUMMYFUNCTION("""COMPUTED_VALUE"""),"Yes")</f>
        <v>Yes</v>
      </c>
      <c r="S290" s="5" t="str">
        <f ca="1">IFERROR(__xludf.DUMMYFUNCTION("""COMPUTED_VALUE"""),"Yes")</f>
        <v>Yes</v>
      </c>
      <c r="T290" s="5" t="str">
        <f ca="1">IFERROR(__xludf.DUMMYFUNCTION("""COMPUTED_VALUE"""),"No")</f>
        <v>No</v>
      </c>
      <c r="U290" s="5" t="str">
        <f ca="1">IFERROR(__xludf.DUMMYFUNCTION("""COMPUTED_VALUE"""),"No")</f>
        <v>No</v>
      </c>
      <c r="V290" s="5" t="str">
        <f ca="1">IFERROR(__xludf.DUMMYFUNCTION("""COMPUTED_VALUE"""),"No")</f>
        <v>No</v>
      </c>
      <c r="W290" s="5" t="str">
        <f ca="1">IFERROR(__xludf.DUMMYFUNCTION("""COMPUTED_VALUE"""),"No")</f>
        <v>No</v>
      </c>
      <c r="X290" s="5" t="str">
        <f ca="1">IFERROR(__xludf.DUMMYFUNCTION("""COMPUTED_VALUE"""),"No")</f>
        <v>No</v>
      </c>
      <c r="Y290" s="5" t="str">
        <f ca="1">IFERROR(__xludf.DUMMYFUNCTION("""COMPUTED_VALUE"""),"No")</f>
        <v>No</v>
      </c>
      <c r="Z290" s="5" t="str">
        <f ca="1">IFERROR(__xludf.DUMMYFUNCTION("""COMPUTED_VALUE"""),"No")</f>
        <v>No</v>
      </c>
      <c r="AA290" s="5" t="str">
        <f ca="1">IFERROR(__xludf.DUMMYFUNCTION("""COMPUTED_VALUE"""),"No")</f>
        <v>No</v>
      </c>
      <c r="AB290" s="5" t="str">
        <f ca="1">IFERROR(__xludf.DUMMYFUNCTION("""COMPUTED_VALUE"""),"No")</f>
        <v>No</v>
      </c>
      <c r="AC290" s="5" t="str">
        <f ca="1">IFERROR(__xludf.DUMMYFUNCTION("""COMPUTED_VALUE"""),"No")</f>
        <v>No</v>
      </c>
      <c r="AD290" s="5" t="str">
        <f ca="1">IFERROR(__xludf.DUMMYFUNCTION("""COMPUTED_VALUE"""),"No")</f>
        <v>No</v>
      </c>
      <c r="AE290" s="5" t="str">
        <f ca="1">IFERROR(__xludf.DUMMYFUNCTION("""COMPUTED_VALUE"""),"No")</f>
        <v>No</v>
      </c>
      <c r="AF290" s="5" t="str">
        <f ca="1">IFERROR(__xludf.DUMMYFUNCTION("""COMPUTED_VALUE"""),"Yes")</f>
        <v>Yes</v>
      </c>
      <c r="AG290" s="5" t="str">
        <f ca="1">IFERROR(__xludf.DUMMYFUNCTION("""COMPUTED_VALUE"""),"No")</f>
        <v>No</v>
      </c>
      <c r="AH290" s="5" t="str">
        <f ca="1">IFERROR(__xludf.DUMMYFUNCTION("""COMPUTED_VALUE"""),"Yes")</f>
        <v>Yes</v>
      </c>
      <c r="AI290" s="5" t="str">
        <f ca="1">IFERROR(__xludf.DUMMYFUNCTION("""COMPUTED_VALUE"""),"No")</f>
        <v>No</v>
      </c>
      <c r="AJ290" s="5" t="str">
        <f ca="1">IFERROR(__xludf.DUMMYFUNCTION("""COMPUTED_VALUE"""),"No")</f>
        <v>No</v>
      </c>
      <c r="AK290" s="5" t="str">
        <f ca="1">IFERROR(__xludf.DUMMYFUNCTION("""COMPUTED_VALUE"""),"No")</f>
        <v>No</v>
      </c>
      <c r="AL290" s="5" t="str">
        <f ca="1">IFERROR(__xludf.DUMMYFUNCTION("""COMPUTED_VALUE"""),"No")</f>
        <v>No</v>
      </c>
      <c r="AM290" s="5"/>
      <c r="AN290" s="5"/>
      <c r="AO290" s="5"/>
      <c r="AP290" s="5"/>
      <c r="AQ290" s="5"/>
      <c r="AR290" s="5"/>
      <c r="AS290" s="5"/>
      <c r="AT290" s="5"/>
      <c r="AU290" s="5"/>
      <c r="AV290" s="5"/>
      <c r="AW290" s="5"/>
      <c r="AX290" s="5"/>
      <c r="AY290" s="5"/>
    </row>
    <row r="291" spans="1:51" x14ac:dyDescent="0.25">
      <c r="A291"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1" s="5">
        <f ca="1">IFERROR(__xludf.DUMMYFUNCTION("""COMPUTED_VALUE"""),291)</f>
        <v>291</v>
      </c>
      <c r="C291" s="5">
        <f ca="1">IFERROR(__xludf.DUMMYFUNCTION("""COMPUTED_VALUE"""),290)</f>
        <v>290</v>
      </c>
      <c r="D291" s="5" t="str">
        <f ca="1">IFERROR(__xludf.DUMMYFUNCTION("""COMPUTED_VALUE"""),"RedstoneWildHeartBeat")</f>
        <v>RedstoneWildHeartBeat</v>
      </c>
      <c r="E291" s="5" t="str">
        <f ca="1">IFERROR(__xludf.DUMMYFUNCTION("""COMPUTED_VALUE"""),"Yes")</f>
        <v>Yes</v>
      </c>
      <c r="F291" s="5" t="str">
        <f ca="1">IFERROR(__xludf.DUMMYFUNCTION("""COMPUTED_VALUE"""),"Yes")</f>
        <v>Yes</v>
      </c>
      <c r="G291" s="5" t="str">
        <f ca="1">IFERROR(__xludf.DUMMYFUNCTION("""COMPUTED_VALUE"""),"No")</f>
        <v>No</v>
      </c>
      <c r="H291" s="5" t="str">
        <f ca="1">IFERROR(__xludf.DUMMYFUNCTION("""COMPUTED_VALUE"""),"Yes")</f>
        <v>Yes</v>
      </c>
      <c r="I291" s="5" t="str">
        <f ca="1">IFERROR(__xludf.DUMMYFUNCTION("""COMPUTED_VALUE"""),"Yes")</f>
        <v>Yes</v>
      </c>
      <c r="J291" s="5" t="str">
        <f ca="1">IFERROR(__xludf.DUMMYFUNCTION("""COMPUTED_VALUE"""),"Yes")</f>
        <v>Yes</v>
      </c>
      <c r="K291" s="5" t="str">
        <f ca="1">IFERROR(__xludf.DUMMYFUNCTION("""COMPUTED_VALUE"""),"Yes")</f>
        <v>Yes</v>
      </c>
      <c r="L291" s="5" t="str">
        <f ca="1">IFERROR(__xludf.DUMMYFUNCTION("""COMPUTED_VALUE"""),"Yes")</f>
        <v>Yes</v>
      </c>
      <c r="M291" s="5" t="str">
        <f ca="1">IFERROR(__xludf.DUMMYFUNCTION("""COMPUTED_VALUE"""),"Yes")</f>
        <v>Yes</v>
      </c>
      <c r="N291" s="5" t="str">
        <f ca="1">IFERROR(__xludf.DUMMYFUNCTION("""COMPUTED_VALUE"""),"Yes")</f>
        <v>Yes</v>
      </c>
      <c r="O291" s="5" t="str">
        <f ca="1">IFERROR(__xludf.DUMMYFUNCTION("""COMPUTED_VALUE"""),"Yes")</f>
        <v>Yes</v>
      </c>
      <c r="P291" s="5" t="str">
        <f ca="1">IFERROR(__xludf.DUMMYFUNCTION("""COMPUTED_VALUE"""),"Yes")</f>
        <v>Yes</v>
      </c>
      <c r="Q291" s="5" t="str">
        <f ca="1">IFERROR(__xludf.DUMMYFUNCTION("""COMPUTED_VALUE"""),"Yes")</f>
        <v>Yes</v>
      </c>
      <c r="R291" s="5" t="str">
        <f ca="1">IFERROR(__xludf.DUMMYFUNCTION("""COMPUTED_VALUE"""),"Yes")</f>
        <v>Yes</v>
      </c>
      <c r="S291" s="5" t="str">
        <f ca="1">IFERROR(__xludf.DUMMYFUNCTION("""COMPUTED_VALUE"""),"Yes")</f>
        <v>Yes</v>
      </c>
      <c r="T291" s="5" t="str">
        <f ca="1">IFERROR(__xludf.DUMMYFUNCTION("""COMPUTED_VALUE"""),"No")</f>
        <v>No</v>
      </c>
      <c r="U291" s="5" t="str">
        <f ca="1">IFERROR(__xludf.DUMMYFUNCTION("""COMPUTED_VALUE"""),"No")</f>
        <v>No</v>
      </c>
      <c r="V291" s="5" t="str">
        <f ca="1">IFERROR(__xludf.DUMMYFUNCTION("""COMPUTED_VALUE"""),"No")</f>
        <v>No</v>
      </c>
      <c r="W291" s="5" t="str">
        <f ca="1">IFERROR(__xludf.DUMMYFUNCTION("""COMPUTED_VALUE"""),"No")</f>
        <v>No</v>
      </c>
      <c r="X291" s="5" t="str">
        <f ca="1">IFERROR(__xludf.DUMMYFUNCTION("""COMPUTED_VALUE"""),"No")</f>
        <v>No</v>
      </c>
      <c r="Y291" s="5" t="str">
        <f ca="1">IFERROR(__xludf.DUMMYFUNCTION("""COMPUTED_VALUE"""),"No")</f>
        <v>No</v>
      </c>
      <c r="Z291" s="5" t="str">
        <f ca="1">IFERROR(__xludf.DUMMYFUNCTION("""COMPUTED_VALUE"""),"No")</f>
        <v>No</v>
      </c>
      <c r="AA291" s="5" t="str">
        <f ca="1">IFERROR(__xludf.DUMMYFUNCTION("""COMPUTED_VALUE"""),"No")</f>
        <v>No</v>
      </c>
      <c r="AB291" s="5" t="str">
        <f ca="1">IFERROR(__xludf.DUMMYFUNCTION("""COMPUTED_VALUE"""),"No")</f>
        <v>No</v>
      </c>
      <c r="AC291" s="5" t="str">
        <f ca="1">IFERROR(__xludf.DUMMYFUNCTION("""COMPUTED_VALUE"""),"No")</f>
        <v>No</v>
      </c>
      <c r="AD291" s="5" t="str">
        <f ca="1">IFERROR(__xludf.DUMMYFUNCTION("""COMPUTED_VALUE"""),"No")</f>
        <v>No</v>
      </c>
      <c r="AE291" s="5" t="str">
        <f ca="1">IFERROR(__xludf.DUMMYFUNCTION("""COMPUTED_VALUE"""),"No")</f>
        <v>No</v>
      </c>
      <c r="AF291" s="5" t="str">
        <f ca="1">IFERROR(__xludf.DUMMYFUNCTION("""COMPUTED_VALUE"""),"Yes")</f>
        <v>Yes</v>
      </c>
      <c r="AG291" s="5" t="str">
        <f ca="1">IFERROR(__xludf.DUMMYFUNCTION("""COMPUTED_VALUE"""),"No")</f>
        <v>No</v>
      </c>
      <c r="AH291" s="5" t="str">
        <f ca="1">IFERROR(__xludf.DUMMYFUNCTION("""COMPUTED_VALUE"""),"Yes")</f>
        <v>Yes</v>
      </c>
      <c r="AI291" s="5" t="str">
        <f ca="1">IFERROR(__xludf.DUMMYFUNCTION("""COMPUTED_VALUE"""),"No")</f>
        <v>No</v>
      </c>
      <c r="AJ291" s="5" t="str">
        <f ca="1">IFERROR(__xludf.DUMMYFUNCTION("""COMPUTED_VALUE"""),"No")</f>
        <v>No</v>
      </c>
      <c r="AK291" s="5" t="str">
        <f ca="1">IFERROR(__xludf.DUMMYFUNCTION("""COMPUTED_VALUE"""),"No")</f>
        <v>No</v>
      </c>
      <c r="AL291" s="5" t="str">
        <f ca="1">IFERROR(__xludf.DUMMYFUNCTION("""COMPUTED_VALUE"""),"No")</f>
        <v>No</v>
      </c>
      <c r="AM291" s="5"/>
      <c r="AN291" s="5"/>
      <c r="AO291" s="5"/>
      <c r="AP291" s="5"/>
      <c r="AQ291" s="5"/>
      <c r="AR291" s="5"/>
      <c r="AS291" s="5"/>
      <c r="AT291" s="5"/>
      <c r="AU291" s="5"/>
      <c r="AV291" s="5"/>
      <c r="AW291" s="5"/>
      <c r="AX291" s="5"/>
      <c r="AY291" s="5"/>
    </row>
    <row r="292" spans="1:51" x14ac:dyDescent="0.25">
      <c r="A29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2" s="5">
        <f ca="1">IFERROR(__xludf.DUMMYFUNCTION("""COMPUTED_VALUE"""),292)</f>
        <v>292</v>
      </c>
      <c r="C292" s="5">
        <f ca="1">IFERROR(__xludf.DUMMYFUNCTION("""COMPUTED_VALUE"""),291)</f>
        <v>291</v>
      </c>
      <c r="D292" s="5" t="str">
        <f ca="1">IFERROR(__xludf.DUMMYFUNCTION("""COMPUTED_VALUE"""),"RedstoneWildTrail")</f>
        <v>RedstoneWildTrail</v>
      </c>
      <c r="E292" s="5" t="str">
        <f ca="1">IFERROR(__xludf.DUMMYFUNCTION("""COMPUTED_VALUE"""),"Yes")</f>
        <v>Yes</v>
      </c>
      <c r="F292" s="5" t="str">
        <f ca="1">IFERROR(__xludf.DUMMYFUNCTION("""COMPUTED_VALUE"""),"Yes")</f>
        <v>Yes</v>
      </c>
      <c r="G292" s="5" t="str">
        <f ca="1">IFERROR(__xludf.DUMMYFUNCTION("""COMPUTED_VALUE"""),"No")</f>
        <v>No</v>
      </c>
      <c r="H292" s="5" t="str">
        <f ca="1">IFERROR(__xludf.DUMMYFUNCTION("""COMPUTED_VALUE"""),"Yes")</f>
        <v>Yes</v>
      </c>
      <c r="I292" s="5" t="str">
        <f ca="1">IFERROR(__xludf.DUMMYFUNCTION("""COMPUTED_VALUE"""),"Yes")</f>
        <v>Yes</v>
      </c>
      <c r="J292" s="5" t="str">
        <f ca="1">IFERROR(__xludf.DUMMYFUNCTION("""COMPUTED_VALUE"""),"Yes")</f>
        <v>Yes</v>
      </c>
      <c r="K292" s="5" t="str">
        <f ca="1">IFERROR(__xludf.DUMMYFUNCTION("""COMPUTED_VALUE"""),"Yes")</f>
        <v>Yes</v>
      </c>
      <c r="L292" s="5" t="str">
        <f ca="1">IFERROR(__xludf.DUMMYFUNCTION("""COMPUTED_VALUE"""),"Yes")</f>
        <v>Yes</v>
      </c>
      <c r="M292" s="5" t="str">
        <f ca="1">IFERROR(__xludf.DUMMYFUNCTION("""COMPUTED_VALUE"""),"Yes")</f>
        <v>Yes</v>
      </c>
      <c r="N292" s="5" t="str">
        <f ca="1">IFERROR(__xludf.DUMMYFUNCTION("""COMPUTED_VALUE"""),"Yes")</f>
        <v>Yes</v>
      </c>
      <c r="O292" s="5" t="str">
        <f ca="1">IFERROR(__xludf.DUMMYFUNCTION("""COMPUTED_VALUE"""),"Yes")</f>
        <v>Yes</v>
      </c>
      <c r="P292" s="5" t="str">
        <f ca="1">IFERROR(__xludf.DUMMYFUNCTION("""COMPUTED_VALUE"""),"Yes")</f>
        <v>Yes</v>
      </c>
      <c r="Q292" s="5" t="str">
        <f ca="1">IFERROR(__xludf.DUMMYFUNCTION("""COMPUTED_VALUE"""),"Yes")</f>
        <v>Yes</v>
      </c>
      <c r="R292" s="5" t="str">
        <f ca="1">IFERROR(__xludf.DUMMYFUNCTION("""COMPUTED_VALUE"""),"Yes")</f>
        <v>Yes</v>
      </c>
      <c r="S292" s="5" t="str">
        <f ca="1">IFERROR(__xludf.DUMMYFUNCTION("""COMPUTED_VALUE"""),"Yes")</f>
        <v>Yes</v>
      </c>
      <c r="T292" s="5" t="str">
        <f ca="1">IFERROR(__xludf.DUMMYFUNCTION("""COMPUTED_VALUE"""),"No")</f>
        <v>No</v>
      </c>
      <c r="U292" s="5" t="str">
        <f ca="1">IFERROR(__xludf.DUMMYFUNCTION("""COMPUTED_VALUE"""),"No")</f>
        <v>No</v>
      </c>
      <c r="V292" s="5" t="str">
        <f ca="1">IFERROR(__xludf.DUMMYFUNCTION("""COMPUTED_VALUE"""),"No")</f>
        <v>No</v>
      </c>
      <c r="W292" s="5" t="str">
        <f ca="1">IFERROR(__xludf.DUMMYFUNCTION("""COMPUTED_VALUE"""),"No")</f>
        <v>No</v>
      </c>
      <c r="X292" s="5" t="str">
        <f ca="1">IFERROR(__xludf.DUMMYFUNCTION("""COMPUTED_VALUE"""),"No")</f>
        <v>No</v>
      </c>
      <c r="Y292" s="5" t="str">
        <f ca="1">IFERROR(__xludf.DUMMYFUNCTION("""COMPUTED_VALUE"""),"No")</f>
        <v>No</v>
      </c>
      <c r="Z292" s="5" t="str">
        <f ca="1">IFERROR(__xludf.DUMMYFUNCTION("""COMPUTED_VALUE"""),"No")</f>
        <v>No</v>
      </c>
      <c r="AA292" s="5" t="str">
        <f ca="1">IFERROR(__xludf.DUMMYFUNCTION("""COMPUTED_VALUE"""),"No")</f>
        <v>No</v>
      </c>
      <c r="AB292" s="5" t="str">
        <f ca="1">IFERROR(__xludf.DUMMYFUNCTION("""COMPUTED_VALUE"""),"No")</f>
        <v>No</v>
      </c>
      <c r="AC292" s="5" t="str">
        <f ca="1">IFERROR(__xludf.DUMMYFUNCTION("""COMPUTED_VALUE"""),"No")</f>
        <v>No</v>
      </c>
      <c r="AD292" s="5" t="str">
        <f ca="1">IFERROR(__xludf.DUMMYFUNCTION("""COMPUTED_VALUE"""),"No")</f>
        <v>No</v>
      </c>
      <c r="AE292" s="5" t="str">
        <f ca="1">IFERROR(__xludf.DUMMYFUNCTION("""COMPUTED_VALUE"""),"No")</f>
        <v>No</v>
      </c>
      <c r="AF292" s="5" t="str">
        <f ca="1">IFERROR(__xludf.DUMMYFUNCTION("""COMPUTED_VALUE"""),"Yes")</f>
        <v>Yes</v>
      </c>
      <c r="AG292" s="5" t="str">
        <f ca="1">IFERROR(__xludf.DUMMYFUNCTION("""COMPUTED_VALUE"""),"No")</f>
        <v>No</v>
      </c>
      <c r="AH292" s="5" t="str">
        <f ca="1">IFERROR(__xludf.DUMMYFUNCTION("""COMPUTED_VALUE"""),"Yes")</f>
        <v>Yes</v>
      </c>
      <c r="AI292" s="5" t="str">
        <f ca="1">IFERROR(__xludf.DUMMYFUNCTION("""COMPUTED_VALUE"""),"No")</f>
        <v>No</v>
      </c>
      <c r="AJ292" s="5" t="str">
        <f ca="1">IFERROR(__xludf.DUMMYFUNCTION("""COMPUTED_VALUE"""),"No")</f>
        <v>No</v>
      </c>
      <c r="AK292" s="5" t="str">
        <f ca="1">IFERROR(__xludf.DUMMYFUNCTION("""COMPUTED_VALUE"""),"No")</f>
        <v>No</v>
      </c>
      <c r="AL292" s="5" t="str">
        <f ca="1">IFERROR(__xludf.DUMMYFUNCTION("""COMPUTED_VALUE"""),"No")</f>
        <v>No</v>
      </c>
      <c r="AM292" s="5"/>
      <c r="AN292" s="5"/>
      <c r="AO292" s="5"/>
      <c r="AP292" s="5"/>
      <c r="AQ292" s="5"/>
      <c r="AR292" s="5"/>
      <c r="AS292" s="5"/>
      <c r="AT292" s="5"/>
      <c r="AU292" s="5"/>
      <c r="AV292" s="5"/>
      <c r="AW292" s="5"/>
      <c r="AX292" s="5"/>
      <c r="AY292" s="5"/>
    </row>
    <row r="293" spans="1:51" x14ac:dyDescent="0.25">
      <c r="A293"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3" s="5">
        <f ca="1">IFERROR(__xludf.DUMMYFUNCTION("""COMPUTED_VALUE"""),293)</f>
        <v>293</v>
      </c>
      <c r="C293" s="5">
        <f ca="1">IFERROR(__xludf.DUMMYFUNCTION("""COMPUTED_VALUE"""),292)</f>
        <v>292</v>
      </c>
      <c r="D293" s="5" t="str">
        <f ca="1">IFERROR(__xludf.DUMMYFUNCTION("""COMPUTED_VALUE"""),"Redstone40JokersFreeGames")</f>
        <v>Redstone40JokersFreeGames</v>
      </c>
      <c r="E293" s="5" t="str">
        <f ca="1">IFERROR(__xludf.DUMMYFUNCTION("""COMPUTED_VALUE"""),"Yes")</f>
        <v>Yes</v>
      </c>
      <c r="F293" s="5" t="str">
        <f ca="1">IFERROR(__xludf.DUMMYFUNCTION("""COMPUTED_VALUE"""),"Yes")</f>
        <v>Yes</v>
      </c>
      <c r="G293" s="5" t="str">
        <f ca="1">IFERROR(__xludf.DUMMYFUNCTION("""COMPUTED_VALUE"""),"No")</f>
        <v>No</v>
      </c>
      <c r="H293" s="5" t="str">
        <f ca="1">IFERROR(__xludf.DUMMYFUNCTION("""COMPUTED_VALUE"""),"Yes")</f>
        <v>Yes</v>
      </c>
      <c r="I293" s="5" t="str">
        <f ca="1">IFERROR(__xludf.DUMMYFUNCTION("""COMPUTED_VALUE"""),"Yes")</f>
        <v>Yes</v>
      </c>
      <c r="J293" s="5" t="str">
        <f ca="1">IFERROR(__xludf.DUMMYFUNCTION("""COMPUTED_VALUE"""),"Yes")</f>
        <v>Yes</v>
      </c>
      <c r="K293" s="5" t="str">
        <f ca="1">IFERROR(__xludf.DUMMYFUNCTION("""COMPUTED_VALUE"""),"Yes")</f>
        <v>Yes</v>
      </c>
      <c r="L293" s="5" t="str">
        <f ca="1">IFERROR(__xludf.DUMMYFUNCTION("""COMPUTED_VALUE"""),"Yes")</f>
        <v>Yes</v>
      </c>
      <c r="M293" s="5" t="str">
        <f ca="1">IFERROR(__xludf.DUMMYFUNCTION("""COMPUTED_VALUE"""),"Yes")</f>
        <v>Yes</v>
      </c>
      <c r="N293" s="5" t="str">
        <f ca="1">IFERROR(__xludf.DUMMYFUNCTION("""COMPUTED_VALUE"""),"Yes")</f>
        <v>Yes</v>
      </c>
      <c r="O293" s="5" t="str">
        <f ca="1">IFERROR(__xludf.DUMMYFUNCTION("""COMPUTED_VALUE"""),"Yes")</f>
        <v>Yes</v>
      </c>
      <c r="P293" s="5" t="str">
        <f ca="1">IFERROR(__xludf.DUMMYFUNCTION("""COMPUTED_VALUE"""),"Yes")</f>
        <v>Yes</v>
      </c>
      <c r="Q293" s="5" t="str">
        <f ca="1">IFERROR(__xludf.DUMMYFUNCTION("""COMPUTED_VALUE"""),"Yes")</f>
        <v>Yes</v>
      </c>
      <c r="R293" s="5" t="str">
        <f ca="1">IFERROR(__xludf.DUMMYFUNCTION("""COMPUTED_VALUE"""),"Yes")</f>
        <v>Yes</v>
      </c>
      <c r="S293" s="5" t="str">
        <f ca="1">IFERROR(__xludf.DUMMYFUNCTION("""COMPUTED_VALUE"""),"Yes")</f>
        <v>Yes</v>
      </c>
      <c r="T293" s="5" t="str">
        <f ca="1">IFERROR(__xludf.DUMMYFUNCTION("""COMPUTED_VALUE"""),"No")</f>
        <v>No</v>
      </c>
      <c r="U293" s="5" t="str">
        <f ca="1">IFERROR(__xludf.DUMMYFUNCTION("""COMPUTED_VALUE"""),"No")</f>
        <v>No</v>
      </c>
      <c r="V293" s="5" t="str">
        <f ca="1">IFERROR(__xludf.DUMMYFUNCTION("""COMPUTED_VALUE"""),"No")</f>
        <v>No</v>
      </c>
      <c r="W293" s="5" t="str">
        <f ca="1">IFERROR(__xludf.DUMMYFUNCTION("""COMPUTED_VALUE"""),"No")</f>
        <v>No</v>
      </c>
      <c r="X293" s="5" t="str">
        <f ca="1">IFERROR(__xludf.DUMMYFUNCTION("""COMPUTED_VALUE"""),"No")</f>
        <v>No</v>
      </c>
      <c r="Y293" s="5" t="str">
        <f ca="1">IFERROR(__xludf.DUMMYFUNCTION("""COMPUTED_VALUE"""),"No")</f>
        <v>No</v>
      </c>
      <c r="Z293" s="5" t="str">
        <f ca="1">IFERROR(__xludf.DUMMYFUNCTION("""COMPUTED_VALUE"""),"No")</f>
        <v>No</v>
      </c>
      <c r="AA293" s="5" t="str">
        <f ca="1">IFERROR(__xludf.DUMMYFUNCTION("""COMPUTED_VALUE"""),"No")</f>
        <v>No</v>
      </c>
      <c r="AB293" s="5" t="str">
        <f ca="1">IFERROR(__xludf.DUMMYFUNCTION("""COMPUTED_VALUE"""),"No")</f>
        <v>No</v>
      </c>
      <c r="AC293" s="5" t="str">
        <f ca="1">IFERROR(__xludf.DUMMYFUNCTION("""COMPUTED_VALUE"""),"No")</f>
        <v>No</v>
      </c>
      <c r="AD293" s="5" t="str">
        <f ca="1">IFERROR(__xludf.DUMMYFUNCTION("""COMPUTED_VALUE"""),"No")</f>
        <v>No</v>
      </c>
      <c r="AE293" s="5" t="str">
        <f ca="1">IFERROR(__xludf.DUMMYFUNCTION("""COMPUTED_VALUE"""),"No")</f>
        <v>No</v>
      </c>
      <c r="AF293" s="5" t="str">
        <f ca="1">IFERROR(__xludf.DUMMYFUNCTION("""COMPUTED_VALUE"""),"Yes")</f>
        <v>Yes</v>
      </c>
      <c r="AG293" s="5" t="str">
        <f ca="1">IFERROR(__xludf.DUMMYFUNCTION("""COMPUTED_VALUE"""),"No")</f>
        <v>No</v>
      </c>
      <c r="AH293" s="5" t="str">
        <f ca="1">IFERROR(__xludf.DUMMYFUNCTION("""COMPUTED_VALUE"""),"Yes")</f>
        <v>Yes</v>
      </c>
      <c r="AI293" s="5" t="str">
        <f ca="1">IFERROR(__xludf.DUMMYFUNCTION("""COMPUTED_VALUE"""),"No")</f>
        <v>No</v>
      </c>
      <c r="AJ293" s="5" t="str">
        <f ca="1">IFERROR(__xludf.DUMMYFUNCTION("""COMPUTED_VALUE"""),"No")</f>
        <v>No</v>
      </c>
      <c r="AK293" s="5" t="str">
        <f ca="1">IFERROR(__xludf.DUMMYFUNCTION("""COMPUTED_VALUE"""),"No")</f>
        <v>No</v>
      </c>
      <c r="AL293" s="5" t="str">
        <f ca="1">IFERROR(__xludf.DUMMYFUNCTION("""COMPUTED_VALUE"""),"No")</f>
        <v>No</v>
      </c>
      <c r="AM293" s="5"/>
      <c r="AN293" s="5"/>
      <c r="AO293" s="5"/>
      <c r="AP293" s="5"/>
      <c r="AQ293" s="5"/>
      <c r="AR293" s="5"/>
      <c r="AS293" s="5"/>
      <c r="AT293" s="5"/>
      <c r="AU293" s="5"/>
      <c r="AV293" s="5"/>
      <c r="AW293" s="5"/>
      <c r="AX293" s="5"/>
      <c r="AY293" s="5"/>
    </row>
    <row r="294" spans="1:51" x14ac:dyDescent="0.25">
      <c r="A294"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4" s="5">
        <f ca="1">IFERROR(__xludf.DUMMYFUNCTION("""COMPUTED_VALUE"""),294)</f>
        <v>294</v>
      </c>
      <c r="C294" s="5">
        <f ca="1">IFERROR(__xludf.DUMMYFUNCTION("""COMPUTED_VALUE"""),293)</f>
        <v>293</v>
      </c>
      <c r="D294" s="5" t="str">
        <f ca="1">IFERROR(__xludf.DUMMYFUNCTION("""COMPUTED_VALUE"""),"RedstoneMoonDog")</f>
        <v>RedstoneMoonDog</v>
      </c>
      <c r="E294" s="5" t="str">
        <f ca="1">IFERROR(__xludf.DUMMYFUNCTION("""COMPUTED_VALUE"""),"Yes")</f>
        <v>Yes</v>
      </c>
      <c r="F294" s="5" t="str">
        <f ca="1">IFERROR(__xludf.DUMMYFUNCTION("""COMPUTED_VALUE"""),"Yes")</f>
        <v>Yes</v>
      </c>
      <c r="G294" s="5" t="str">
        <f ca="1">IFERROR(__xludf.DUMMYFUNCTION("""COMPUTED_VALUE"""),"No")</f>
        <v>No</v>
      </c>
      <c r="H294" s="5" t="str">
        <f ca="1">IFERROR(__xludf.DUMMYFUNCTION("""COMPUTED_VALUE"""),"Yes")</f>
        <v>Yes</v>
      </c>
      <c r="I294" s="5" t="str">
        <f ca="1">IFERROR(__xludf.DUMMYFUNCTION("""COMPUTED_VALUE"""),"Yes")</f>
        <v>Yes</v>
      </c>
      <c r="J294" s="5" t="str">
        <f ca="1">IFERROR(__xludf.DUMMYFUNCTION("""COMPUTED_VALUE"""),"Yes")</f>
        <v>Yes</v>
      </c>
      <c r="K294" s="5" t="str">
        <f ca="1">IFERROR(__xludf.DUMMYFUNCTION("""COMPUTED_VALUE"""),"Yes")</f>
        <v>Yes</v>
      </c>
      <c r="L294" s="5" t="str">
        <f ca="1">IFERROR(__xludf.DUMMYFUNCTION("""COMPUTED_VALUE"""),"Yes")</f>
        <v>Yes</v>
      </c>
      <c r="M294" s="5" t="str">
        <f ca="1">IFERROR(__xludf.DUMMYFUNCTION("""COMPUTED_VALUE"""),"Yes")</f>
        <v>Yes</v>
      </c>
      <c r="N294" s="5" t="str">
        <f ca="1">IFERROR(__xludf.DUMMYFUNCTION("""COMPUTED_VALUE"""),"Yes")</f>
        <v>Yes</v>
      </c>
      <c r="O294" s="5" t="str">
        <f ca="1">IFERROR(__xludf.DUMMYFUNCTION("""COMPUTED_VALUE"""),"Yes")</f>
        <v>Yes</v>
      </c>
      <c r="P294" s="5" t="str">
        <f ca="1">IFERROR(__xludf.DUMMYFUNCTION("""COMPUTED_VALUE"""),"Yes")</f>
        <v>Yes</v>
      </c>
      <c r="Q294" s="5" t="str">
        <f ca="1">IFERROR(__xludf.DUMMYFUNCTION("""COMPUTED_VALUE"""),"Yes")</f>
        <v>Yes</v>
      </c>
      <c r="R294" s="5" t="str">
        <f ca="1">IFERROR(__xludf.DUMMYFUNCTION("""COMPUTED_VALUE"""),"Yes")</f>
        <v>Yes</v>
      </c>
      <c r="S294" s="5" t="str">
        <f ca="1">IFERROR(__xludf.DUMMYFUNCTION("""COMPUTED_VALUE"""),"Yes")</f>
        <v>Yes</v>
      </c>
      <c r="T294" s="5" t="str">
        <f ca="1">IFERROR(__xludf.DUMMYFUNCTION("""COMPUTED_VALUE"""),"No")</f>
        <v>No</v>
      </c>
      <c r="U294" s="5" t="str">
        <f ca="1">IFERROR(__xludf.DUMMYFUNCTION("""COMPUTED_VALUE"""),"No")</f>
        <v>No</v>
      </c>
      <c r="V294" s="5" t="str">
        <f ca="1">IFERROR(__xludf.DUMMYFUNCTION("""COMPUTED_VALUE"""),"No")</f>
        <v>No</v>
      </c>
      <c r="W294" s="5" t="str">
        <f ca="1">IFERROR(__xludf.DUMMYFUNCTION("""COMPUTED_VALUE"""),"No")</f>
        <v>No</v>
      </c>
      <c r="X294" s="5" t="str">
        <f ca="1">IFERROR(__xludf.DUMMYFUNCTION("""COMPUTED_VALUE"""),"No")</f>
        <v>No</v>
      </c>
      <c r="Y294" s="5" t="str">
        <f ca="1">IFERROR(__xludf.DUMMYFUNCTION("""COMPUTED_VALUE"""),"No")</f>
        <v>No</v>
      </c>
      <c r="Z294" s="5" t="str">
        <f ca="1">IFERROR(__xludf.DUMMYFUNCTION("""COMPUTED_VALUE"""),"No")</f>
        <v>No</v>
      </c>
      <c r="AA294" s="5" t="str">
        <f ca="1">IFERROR(__xludf.DUMMYFUNCTION("""COMPUTED_VALUE"""),"No")</f>
        <v>No</v>
      </c>
      <c r="AB294" s="5" t="str">
        <f ca="1">IFERROR(__xludf.DUMMYFUNCTION("""COMPUTED_VALUE"""),"No")</f>
        <v>No</v>
      </c>
      <c r="AC294" s="5" t="str">
        <f ca="1">IFERROR(__xludf.DUMMYFUNCTION("""COMPUTED_VALUE"""),"No")</f>
        <v>No</v>
      </c>
      <c r="AD294" s="5" t="str">
        <f ca="1">IFERROR(__xludf.DUMMYFUNCTION("""COMPUTED_VALUE"""),"No")</f>
        <v>No</v>
      </c>
      <c r="AE294" s="5" t="str">
        <f ca="1">IFERROR(__xludf.DUMMYFUNCTION("""COMPUTED_VALUE"""),"No")</f>
        <v>No</v>
      </c>
      <c r="AF294" s="5" t="str">
        <f ca="1">IFERROR(__xludf.DUMMYFUNCTION("""COMPUTED_VALUE"""),"Yes")</f>
        <v>Yes</v>
      </c>
      <c r="AG294" s="5" t="str">
        <f ca="1">IFERROR(__xludf.DUMMYFUNCTION("""COMPUTED_VALUE"""),"No")</f>
        <v>No</v>
      </c>
      <c r="AH294" s="5" t="str">
        <f ca="1">IFERROR(__xludf.DUMMYFUNCTION("""COMPUTED_VALUE"""),"Yes")</f>
        <v>Yes</v>
      </c>
      <c r="AI294" s="5" t="str">
        <f ca="1">IFERROR(__xludf.DUMMYFUNCTION("""COMPUTED_VALUE"""),"No")</f>
        <v>No</v>
      </c>
      <c r="AJ294" s="5" t="str">
        <f ca="1">IFERROR(__xludf.DUMMYFUNCTION("""COMPUTED_VALUE"""),"No")</f>
        <v>No</v>
      </c>
      <c r="AK294" s="5" t="str">
        <f ca="1">IFERROR(__xludf.DUMMYFUNCTION("""COMPUTED_VALUE"""),"No")</f>
        <v>No</v>
      </c>
      <c r="AL294" s="5" t="str">
        <f ca="1">IFERROR(__xludf.DUMMYFUNCTION("""COMPUTED_VALUE"""),"No")</f>
        <v>No</v>
      </c>
      <c r="AM294" s="5"/>
      <c r="AN294" s="5"/>
      <c r="AO294" s="5"/>
      <c r="AP294" s="5"/>
      <c r="AQ294" s="5"/>
      <c r="AR294" s="5"/>
      <c r="AS294" s="5"/>
      <c r="AT294" s="5"/>
      <c r="AU294" s="5"/>
      <c r="AV294" s="5"/>
      <c r="AW294" s="5"/>
      <c r="AX294" s="5"/>
      <c r="AY294" s="5"/>
    </row>
    <row r="295" spans="1:51" x14ac:dyDescent="0.25">
      <c r="A2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95" s="5">
        <f ca="1">IFERROR(__xludf.DUMMYFUNCTION("""COMPUTED_VALUE"""),295)</f>
        <v>295</v>
      </c>
      <c r="C295" s="5">
        <f ca="1">IFERROR(__xludf.DUMMYFUNCTION("""COMPUTED_VALUE"""),294)</f>
        <v>294</v>
      </c>
      <c r="D295" s="5" t="str">
        <f ca="1">IFERROR(__xludf.DUMMYFUNCTION("""COMPUTED_VALUE"""),"BonusEpicCrown")</f>
        <v>BonusEpicCrown</v>
      </c>
      <c r="E295" s="5" t="str">
        <f ca="1">IFERROR(__xludf.DUMMYFUNCTION("""COMPUTED_VALUE"""),"Yes")</f>
        <v>Yes</v>
      </c>
      <c r="F295" s="5" t="str">
        <f ca="1">IFERROR(__xludf.DUMMYFUNCTION("""COMPUTED_VALUE"""),"Yes")</f>
        <v>Yes</v>
      </c>
      <c r="G295" s="5" t="str">
        <f ca="1">IFERROR(__xludf.DUMMYFUNCTION("""COMPUTED_VALUE"""),"Yes")</f>
        <v>Yes</v>
      </c>
      <c r="H295" s="5" t="str">
        <f ca="1">IFERROR(__xludf.DUMMYFUNCTION("""COMPUTED_VALUE"""),"Yes")</f>
        <v>Yes</v>
      </c>
      <c r="I295" s="5" t="str">
        <f ca="1">IFERROR(__xludf.DUMMYFUNCTION("""COMPUTED_VALUE"""),"Yes")</f>
        <v>Yes</v>
      </c>
      <c r="J295" s="5" t="str">
        <f ca="1">IFERROR(__xludf.DUMMYFUNCTION("""COMPUTED_VALUE"""),"Yes")</f>
        <v>Yes</v>
      </c>
      <c r="K295" s="5" t="str">
        <f ca="1">IFERROR(__xludf.DUMMYFUNCTION("""COMPUTED_VALUE"""),"Yes")</f>
        <v>Yes</v>
      </c>
      <c r="L295" s="5" t="str">
        <f ca="1">IFERROR(__xludf.DUMMYFUNCTION("""COMPUTED_VALUE"""),"Yes")</f>
        <v>Yes</v>
      </c>
      <c r="M295" s="5" t="str">
        <f ca="1">IFERROR(__xludf.DUMMYFUNCTION("""COMPUTED_VALUE"""),"Yes")</f>
        <v>Yes</v>
      </c>
      <c r="N295" s="5" t="str">
        <f ca="1">IFERROR(__xludf.DUMMYFUNCTION("""COMPUTED_VALUE"""),"Yes")</f>
        <v>Yes</v>
      </c>
      <c r="O295" s="5" t="str">
        <f ca="1">IFERROR(__xludf.DUMMYFUNCTION("""COMPUTED_VALUE"""),"Yes")</f>
        <v>Yes</v>
      </c>
      <c r="P295" s="5" t="str">
        <f ca="1">IFERROR(__xludf.DUMMYFUNCTION("""COMPUTED_VALUE"""),"Yes")</f>
        <v>Yes</v>
      </c>
      <c r="Q295" s="5" t="str">
        <f ca="1">IFERROR(__xludf.DUMMYFUNCTION("""COMPUTED_VALUE"""),"Yes")</f>
        <v>Yes</v>
      </c>
      <c r="R295" s="5" t="str">
        <f ca="1">IFERROR(__xludf.DUMMYFUNCTION("""COMPUTED_VALUE"""),"Yes")</f>
        <v>Yes</v>
      </c>
      <c r="S295" s="5" t="str">
        <f ca="1">IFERROR(__xludf.DUMMYFUNCTION("""COMPUTED_VALUE"""),"Yes")</f>
        <v>Yes</v>
      </c>
      <c r="T295" s="5" t="str">
        <f ca="1">IFERROR(__xludf.DUMMYFUNCTION("""COMPUTED_VALUE"""),"Yes")</f>
        <v>Yes</v>
      </c>
      <c r="U295" s="5" t="str">
        <f ca="1">IFERROR(__xludf.DUMMYFUNCTION("""COMPUTED_VALUE"""),"Yes")</f>
        <v>Yes</v>
      </c>
      <c r="V295" s="5" t="str">
        <f ca="1">IFERROR(__xludf.DUMMYFUNCTION("""COMPUTED_VALUE"""),"Yes")</f>
        <v>Yes</v>
      </c>
      <c r="W295" s="5" t="str">
        <f ca="1">IFERROR(__xludf.DUMMYFUNCTION("""COMPUTED_VALUE"""),"Yes")</f>
        <v>Yes</v>
      </c>
      <c r="X295" s="5" t="str">
        <f ca="1">IFERROR(__xludf.DUMMYFUNCTION("""COMPUTED_VALUE"""),"Yes")</f>
        <v>Yes</v>
      </c>
      <c r="Y295" s="5" t="str">
        <f ca="1">IFERROR(__xludf.DUMMYFUNCTION("""COMPUTED_VALUE"""),"Yes")</f>
        <v>Yes</v>
      </c>
      <c r="Z295" s="5" t="str">
        <f ca="1">IFERROR(__xludf.DUMMYFUNCTION("""COMPUTED_VALUE"""),"Yes")</f>
        <v>Yes</v>
      </c>
      <c r="AA295" s="5" t="str">
        <f ca="1">IFERROR(__xludf.DUMMYFUNCTION("""COMPUTED_VALUE"""),"Yes")</f>
        <v>Yes</v>
      </c>
      <c r="AB295" s="5" t="str">
        <f ca="1">IFERROR(__xludf.DUMMYFUNCTION("""COMPUTED_VALUE"""),"Yes")</f>
        <v>Yes</v>
      </c>
      <c r="AC295" s="5" t="str">
        <f ca="1">IFERROR(__xludf.DUMMYFUNCTION("""COMPUTED_VALUE"""),"Yes")</f>
        <v>Yes</v>
      </c>
      <c r="AD295" s="5" t="str">
        <f ca="1">IFERROR(__xludf.DUMMYFUNCTION("""COMPUTED_VALUE"""),"Yes")</f>
        <v>Yes</v>
      </c>
      <c r="AE295" s="5" t="str">
        <f ca="1">IFERROR(__xludf.DUMMYFUNCTION("""COMPUTED_VALUE"""),"Yes")</f>
        <v>Yes</v>
      </c>
      <c r="AF295" s="5" t="str">
        <f ca="1">IFERROR(__xludf.DUMMYFUNCTION("""COMPUTED_VALUE"""),"Yes")</f>
        <v>Yes</v>
      </c>
      <c r="AG295" s="5" t="str">
        <f ca="1">IFERROR(__xludf.DUMMYFUNCTION("""COMPUTED_VALUE"""),"Yes")</f>
        <v>Yes</v>
      </c>
      <c r="AH295" s="5" t="str">
        <f ca="1">IFERROR(__xludf.DUMMYFUNCTION("""COMPUTED_VALUE"""),"Yes")</f>
        <v>Yes</v>
      </c>
      <c r="AI295" s="5" t="str">
        <f ca="1">IFERROR(__xludf.DUMMYFUNCTION("""COMPUTED_VALUE"""),"No")</f>
        <v>No</v>
      </c>
      <c r="AJ295" s="5" t="str">
        <f ca="1">IFERROR(__xludf.DUMMYFUNCTION("""COMPUTED_VALUE"""),"No")</f>
        <v>No</v>
      </c>
      <c r="AK295" s="5" t="str">
        <f ca="1">IFERROR(__xludf.DUMMYFUNCTION("""COMPUTED_VALUE"""),"No")</f>
        <v>No</v>
      </c>
      <c r="AL295" s="5" t="str">
        <f ca="1">IFERROR(__xludf.DUMMYFUNCTION("""COMPUTED_VALUE"""),"No")</f>
        <v>No</v>
      </c>
      <c r="AM295" s="5"/>
      <c r="AN295" s="5"/>
      <c r="AO295" s="5"/>
      <c r="AP295" s="5"/>
      <c r="AQ295" s="5"/>
      <c r="AR295" s="5"/>
      <c r="AS295" s="5"/>
      <c r="AT295" s="5"/>
      <c r="AU295" s="5"/>
      <c r="AV295" s="5"/>
      <c r="AW295" s="5"/>
      <c r="AX295" s="5"/>
      <c r="AY295" s="5"/>
    </row>
    <row r="296" spans="1:51" x14ac:dyDescent="0.25">
      <c r="A2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96" s="5">
        <f ca="1">IFERROR(__xludf.DUMMYFUNCTION("""COMPUTED_VALUE"""),296)</f>
        <v>296</v>
      </c>
      <c r="C296" s="5">
        <f ca="1">IFERROR(__xludf.DUMMYFUNCTION("""COMPUTED_VALUE"""),295)</f>
        <v>295</v>
      </c>
      <c r="D296" s="5" t="str">
        <f ca="1">IFERROR(__xludf.DUMMYFUNCTION("""COMPUTED_VALUE"""),"Redstone20WildCrown")</f>
        <v>Redstone20WildCrown</v>
      </c>
      <c r="E296" s="5" t="str">
        <f ca="1">IFERROR(__xludf.DUMMYFUNCTION("""COMPUTED_VALUE"""),"Yes")</f>
        <v>Yes</v>
      </c>
      <c r="F296" s="5" t="str">
        <f ca="1">IFERROR(__xludf.DUMMYFUNCTION("""COMPUTED_VALUE"""),"Yes")</f>
        <v>Yes</v>
      </c>
      <c r="G296" s="5" t="str">
        <f ca="1">IFERROR(__xludf.DUMMYFUNCTION("""COMPUTED_VALUE"""),"Yes")</f>
        <v>Yes</v>
      </c>
      <c r="H296" s="5" t="str">
        <f ca="1">IFERROR(__xludf.DUMMYFUNCTION("""COMPUTED_VALUE"""),"Yes")</f>
        <v>Yes</v>
      </c>
      <c r="I296" s="5" t="str">
        <f ca="1">IFERROR(__xludf.DUMMYFUNCTION("""COMPUTED_VALUE"""),"Yes")</f>
        <v>Yes</v>
      </c>
      <c r="J296" s="5" t="str">
        <f ca="1">IFERROR(__xludf.DUMMYFUNCTION("""COMPUTED_VALUE"""),"Yes")</f>
        <v>Yes</v>
      </c>
      <c r="K296" s="5" t="str">
        <f ca="1">IFERROR(__xludf.DUMMYFUNCTION("""COMPUTED_VALUE"""),"Yes")</f>
        <v>Yes</v>
      </c>
      <c r="L296" s="5" t="str">
        <f ca="1">IFERROR(__xludf.DUMMYFUNCTION("""COMPUTED_VALUE"""),"Yes")</f>
        <v>Yes</v>
      </c>
      <c r="M296" s="5" t="str">
        <f ca="1">IFERROR(__xludf.DUMMYFUNCTION("""COMPUTED_VALUE"""),"Yes")</f>
        <v>Yes</v>
      </c>
      <c r="N296" s="5" t="str">
        <f ca="1">IFERROR(__xludf.DUMMYFUNCTION("""COMPUTED_VALUE"""),"Yes")</f>
        <v>Yes</v>
      </c>
      <c r="O296" s="5" t="str">
        <f ca="1">IFERROR(__xludf.DUMMYFUNCTION("""COMPUTED_VALUE"""),"Yes")</f>
        <v>Yes</v>
      </c>
      <c r="P296" s="5" t="str">
        <f ca="1">IFERROR(__xludf.DUMMYFUNCTION("""COMPUTED_VALUE"""),"Yes")</f>
        <v>Yes</v>
      </c>
      <c r="Q296" s="5" t="str">
        <f ca="1">IFERROR(__xludf.DUMMYFUNCTION("""COMPUTED_VALUE"""),"Yes")</f>
        <v>Yes</v>
      </c>
      <c r="R296" s="5" t="str">
        <f ca="1">IFERROR(__xludf.DUMMYFUNCTION("""COMPUTED_VALUE"""),"Yes")</f>
        <v>Yes</v>
      </c>
      <c r="S296" s="5" t="str">
        <f ca="1">IFERROR(__xludf.DUMMYFUNCTION("""COMPUTED_VALUE"""),"Yes")</f>
        <v>Yes</v>
      </c>
      <c r="T296" s="5" t="str">
        <f ca="1">IFERROR(__xludf.DUMMYFUNCTION("""COMPUTED_VALUE"""),"Yes")</f>
        <v>Yes</v>
      </c>
      <c r="U296" s="5" t="str">
        <f ca="1">IFERROR(__xludf.DUMMYFUNCTION("""COMPUTED_VALUE"""),"Yes")</f>
        <v>Yes</v>
      </c>
      <c r="V296" s="5" t="str">
        <f ca="1">IFERROR(__xludf.DUMMYFUNCTION("""COMPUTED_VALUE"""),"Yes")</f>
        <v>Yes</v>
      </c>
      <c r="W296" s="5" t="str">
        <f ca="1">IFERROR(__xludf.DUMMYFUNCTION("""COMPUTED_VALUE"""),"Yes")</f>
        <v>Yes</v>
      </c>
      <c r="X296" s="5"/>
      <c r="Y296" s="5" t="str">
        <f ca="1">IFERROR(__xludf.DUMMYFUNCTION("""COMPUTED_VALUE"""),"Yes")</f>
        <v>Yes</v>
      </c>
      <c r="Z296" s="5"/>
      <c r="AA296" s="5"/>
      <c r="AB296" s="5"/>
      <c r="AC296" s="5" t="str">
        <f ca="1">IFERROR(__xludf.DUMMYFUNCTION("""COMPUTED_VALUE"""),"Yes")</f>
        <v>Yes</v>
      </c>
      <c r="AD296" s="5"/>
      <c r="AE296" s="5"/>
      <c r="AF296" s="5"/>
      <c r="AG296" s="5"/>
      <c r="AH296" s="5"/>
      <c r="AI296" s="5"/>
      <c r="AJ296" s="5"/>
      <c r="AK296" s="5"/>
      <c r="AL296" s="5"/>
      <c r="AM296" s="5"/>
      <c r="AN296" s="5"/>
      <c r="AO296" s="5"/>
      <c r="AP296" s="5"/>
      <c r="AQ296" s="5"/>
      <c r="AR296" s="5"/>
      <c r="AS296" s="5"/>
      <c r="AT296" s="5"/>
      <c r="AU296" s="5"/>
      <c r="AV296" s="5"/>
      <c r="AW296" s="5"/>
      <c r="AX296" s="5"/>
      <c r="AY296" s="5"/>
    </row>
    <row r="297" spans="1:51" x14ac:dyDescent="0.25">
      <c r="A2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7" s="5">
        <f ca="1">IFERROR(__xludf.DUMMYFUNCTION("""COMPUTED_VALUE"""),297)</f>
        <v>297</v>
      </c>
      <c r="C297" s="5">
        <f ca="1">IFERROR(__xludf.DUMMYFUNCTION("""COMPUTED_VALUE"""),296)</f>
        <v>296</v>
      </c>
      <c r="D297" s="5" t="str">
        <f ca="1">IFERROR(__xludf.DUMMYFUNCTION("""COMPUTED_VALUE"""),"EpicClover100")</f>
        <v>EpicClover100</v>
      </c>
      <c r="E297" s="5" t="str">
        <f ca="1">IFERROR(__xludf.DUMMYFUNCTION("""COMPUTED_VALUE"""),"Yes")</f>
        <v>Yes</v>
      </c>
      <c r="F297" s="5" t="str">
        <f ca="1">IFERROR(__xludf.DUMMYFUNCTION("""COMPUTED_VALUE"""),"Yes")</f>
        <v>Yes</v>
      </c>
      <c r="G297" s="5" t="str">
        <f ca="1">IFERROR(__xludf.DUMMYFUNCTION("""COMPUTED_VALUE"""),"Yes")</f>
        <v>Yes</v>
      </c>
      <c r="H297" s="5" t="str">
        <f ca="1">IFERROR(__xludf.DUMMYFUNCTION("""COMPUTED_VALUE"""),"Yes")</f>
        <v>Yes</v>
      </c>
      <c r="I297" s="5" t="str">
        <f ca="1">IFERROR(__xludf.DUMMYFUNCTION("""COMPUTED_VALUE"""),"Yes")</f>
        <v>Yes</v>
      </c>
      <c r="J297" s="5" t="str">
        <f ca="1">IFERROR(__xludf.DUMMYFUNCTION("""COMPUTED_VALUE"""),"Yes")</f>
        <v>Yes</v>
      </c>
      <c r="K297" s="5" t="str">
        <f ca="1">IFERROR(__xludf.DUMMYFUNCTION("""COMPUTED_VALUE"""),"Yes")</f>
        <v>Yes</v>
      </c>
      <c r="L297" s="5" t="str">
        <f ca="1">IFERROR(__xludf.DUMMYFUNCTION("""COMPUTED_VALUE"""),"Yes")</f>
        <v>Yes</v>
      </c>
      <c r="M297" s="5" t="str">
        <f ca="1">IFERROR(__xludf.DUMMYFUNCTION("""COMPUTED_VALUE"""),"Yes")</f>
        <v>Yes</v>
      </c>
      <c r="N297" s="5" t="str">
        <f ca="1">IFERROR(__xludf.DUMMYFUNCTION("""COMPUTED_VALUE"""),"Yes")</f>
        <v>Yes</v>
      </c>
      <c r="O297" s="5" t="str">
        <f ca="1">IFERROR(__xludf.DUMMYFUNCTION("""COMPUTED_VALUE"""),"Yes")</f>
        <v>Yes</v>
      </c>
      <c r="P297" s="5" t="str">
        <f ca="1">IFERROR(__xludf.DUMMYFUNCTION("""COMPUTED_VALUE"""),"Yes")</f>
        <v>Yes</v>
      </c>
      <c r="Q297" s="5" t="str">
        <f ca="1">IFERROR(__xludf.DUMMYFUNCTION("""COMPUTED_VALUE"""),"Yes")</f>
        <v>Yes</v>
      </c>
      <c r="R297" s="5" t="str">
        <f ca="1">IFERROR(__xludf.DUMMYFUNCTION("""COMPUTED_VALUE"""),"Yes")</f>
        <v>Yes</v>
      </c>
      <c r="S297" s="5" t="str">
        <f ca="1">IFERROR(__xludf.DUMMYFUNCTION("""COMPUTED_VALUE"""),"Yes")</f>
        <v>Yes</v>
      </c>
      <c r="T297" s="5" t="str">
        <f ca="1">IFERROR(__xludf.DUMMYFUNCTION("""COMPUTED_VALUE"""),"Yes")</f>
        <v>Yes</v>
      </c>
      <c r="U297" s="5" t="str">
        <f ca="1">IFERROR(__xludf.DUMMYFUNCTION("""COMPUTED_VALUE"""),"Yes")</f>
        <v>Yes</v>
      </c>
      <c r="V297" s="5" t="str">
        <f ca="1">IFERROR(__xludf.DUMMYFUNCTION("""COMPUTED_VALUE"""),"Yes")</f>
        <v>Yes</v>
      </c>
      <c r="W297" s="5" t="str">
        <f ca="1">IFERROR(__xludf.DUMMYFUNCTION("""COMPUTED_VALUE"""),"Yes")</f>
        <v>Yes</v>
      </c>
      <c r="X297" s="5" t="str">
        <f ca="1">IFERROR(__xludf.DUMMYFUNCTION("""COMPUTED_VALUE"""),"Yes")</f>
        <v>Yes</v>
      </c>
      <c r="Y297" s="5" t="str">
        <f ca="1">IFERROR(__xludf.DUMMYFUNCTION("""COMPUTED_VALUE"""),"Yes")</f>
        <v>Yes</v>
      </c>
      <c r="Z297" s="5" t="str">
        <f ca="1">IFERROR(__xludf.DUMMYFUNCTION("""COMPUTED_VALUE"""),"No")</f>
        <v>No</v>
      </c>
      <c r="AA297" s="5" t="str">
        <f ca="1">IFERROR(__xludf.DUMMYFUNCTION("""COMPUTED_VALUE"""),"Yes")</f>
        <v>Yes</v>
      </c>
      <c r="AB297" s="5" t="str">
        <f ca="1">IFERROR(__xludf.DUMMYFUNCTION("""COMPUTED_VALUE"""),"Yes")</f>
        <v>Yes</v>
      </c>
      <c r="AC297" s="5" t="str">
        <f ca="1">IFERROR(__xludf.DUMMYFUNCTION("""COMPUTED_VALUE"""),"Yes")</f>
        <v>Yes</v>
      </c>
      <c r="AD297" s="5" t="str">
        <f ca="1">IFERROR(__xludf.DUMMYFUNCTION("""COMPUTED_VALUE"""),"Yes")</f>
        <v>Yes</v>
      </c>
      <c r="AE297" s="5" t="str">
        <f ca="1">IFERROR(__xludf.DUMMYFUNCTION("""COMPUTED_VALUE"""),"No")</f>
        <v>No</v>
      </c>
      <c r="AF297" s="5" t="str">
        <f ca="1">IFERROR(__xludf.DUMMYFUNCTION("""COMPUTED_VALUE"""),"Yes")</f>
        <v>Yes</v>
      </c>
      <c r="AG297" s="5" t="str">
        <f ca="1">IFERROR(__xludf.DUMMYFUNCTION("""COMPUTED_VALUE"""),"No")</f>
        <v>No</v>
      </c>
      <c r="AH297" s="5" t="str">
        <f ca="1">IFERROR(__xludf.DUMMYFUNCTION("""COMPUTED_VALUE"""),"No")</f>
        <v>No</v>
      </c>
      <c r="AI297" s="5" t="str">
        <f ca="1">IFERROR(__xludf.DUMMYFUNCTION("""COMPUTED_VALUE"""),"No")</f>
        <v>No</v>
      </c>
      <c r="AJ297" s="5" t="str">
        <f ca="1">IFERROR(__xludf.DUMMYFUNCTION("""COMPUTED_VALUE"""),"No")</f>
        <v>No</v>
      </c>
      <c r="AK297" s="5" t="str">
        <f ca="1">IFERROR(__xludf.DUMMYFUNCTION("""COMPUTED_VALUE"""),"No")</f>
        <v>No</v>
      </c>
      <c r="AL297" s="5" t="str">
        <f ca="1">IFERROR(__xludf.DUMMYFUNCTION("""COMPUTED_VALUE"""),"No")</f>
        <v>No</v>
      </c>
      <c r="AM297" s="5"/>
      <c r="AN297" s="5"/>
      <c r="AO297" s="5"/>
      <c r="AP297" s="5"/>
      <c r="AQ297" s="5"/>
      <c r="AR297" s="5"/>
      <c r="AS297" s="5"/>
      <c r="AT297" s="5"/>
      <c r="AU297" s="5"/>
      <c r="AV297" s="5"/>
      <c r="AW297" s="5"/>
      <c r="AX297" s="5"/>
      <c r="AY297" s="5"/>
    </row>
    <row r="298" spans="1:51" x14ac:dyDescent="0.25">
      <c r="A2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8" s="5">
        <f ca="1">IFERROR(__xludf.DUMMYFUNCTION("""COMPUTED_VALUE"""),298)</f>
        <v>298</v>
      </c>
      <c r="C298" s="5">
        <f ca="1">IFERROR(__xludf.DUMMYFUNCTION("""COMPUTED_VALUE"""),297)</f>
        <v>297</v>
      </c>
      <c r="D298" s="5" t="str">
        <f ca="1">IFERROR(__xludf.DUMMYFUNCTION("""COMPUTED_VALUE"""),"AmazingJoker")</f>
        <v>AmazingJoker</v>
      </c>
      <c r="E298" s="5" t="str">
        <f ca="1">IFERROR(__xludf.DUMMYFUNCTION("""COMPUTED_VALUE"""),"Yes")</f>
        <v>Yes</v>
      </c>
      <c r="F298" s="5" t="str">
        <f ca="1">IFERROR(__xludf.DUMMYFUNCTION("""COMPUTED_VALUE"""),"Yes")</f>
        <v>Yes</v>
      </c>
      <c r="G298" s="5" t="str">
        <f ca="1">IFERROR(__xludf.DUMMYFUNCTION("""COMPUTED_VALUE"""),"Yes")</f>
        <v>Yes</v>
      </c>
      <c r="H298" s="5" t="str">
        <f ca="1">IFERROR(__xludf.DUMMYFUNCTION("""COMPUTED_VALUE"""),"Yes")</f>
        <v>Yes</v>
      </c>
      <c r="I298" s="5" t="str">
        <f ca="1">IFERROR(__xludf.DUMMYFUNCTION("""COMPUTED_VALUE"""),"Yes")</f>
        <v>Yes</v>
      </c>
      <c r="J298" s="5" t="str">
        <f ca="1">IFERROR(__xludf.DUMMYFUNCTION("""COMPUTED_VALUE"""),"Yes")</f>
        <v>Yes</v>
      </c>
      <c r="K298" s="5" t="str">
        <f ca="1">IFERROR(__xludf.DUMMYFUNCTION("""COMPUTED_VALUE"""),"Yes")</f>
        <v>Yes</v>
      </c>
      <c r="L298" s="5" t="str">
        <f ca="1">IFERROR(__xludf.DUMMYFUNCTION("""COMPUTED_VALUE"""),"Yes")</f>
        <v>Yes</v>
      </c>
      <c r="M298" s="5" t="str">
        <f ca="1">IFERROR(__xludf.DUMMYFUNCTION("""COMPUTED_VALUE"""),"Yes")</f>
        <v>Yes</v>
      </c>
      <c r="N298" s="5" t="str">
        <f ca="1">IFERROR(__xludf.DUMMYFUNCTION("""COMPUTED_VALUE"""),"Yes")</f>
        <v>Yes</v>
      </c>
      <c r="O298" s="5" t="str">
        <f ca="1">IFERROR(__xludf.DUMMYFUNCTION("""COMPUTED_VALUE"""),"Yes")</f>
        <v>Yes</v>
      </c>
      <c r="P298" s="5" t="str">
        <f ca="1">IFERROR(__xludf.DUMMYFUNCTION("""COMPUTED_VALUE"""),"Yes")</f>
        <v>Yes</v>
      </c>
      <c r="Q298" s="5" t="str">
        <f ca="1">IFERROR(__xludf.DUMMYFUNCTION("""COMPUTED_VALUE"""),"Yes")</f>
        <v>Yes</v>
      </c>
      <c r="R298" s="5" t="str">
        <f ca="1">IFERROR(__xludf.DUMMYFUNCTION("""COMPUTED_VALUE"""),"Yes")</f>
        <v>Yes</v>
      </c>
      <c r="S298" s="5" t="str">
        <f ca="1">IFERROR(__xludf.DUMMYFUNCTION("""COMPUTED_VALUE"""),"Yes")</f>
        <v>Yes</v>
      </c>
      <c r="T298" s="5" t="str">
        <f ca="1">IFERROR(__xludf.DUMMYFUNCTION("""COMPUTED_VALUE"""),"Yes")</f>
        <v>Yes</v>
      </c>
      <c r="U298" s="5" t="str">
        <f ca="1">IFERROR(__xludf.DUMMYFUNCTION("""COMPUTED_VALUE"""),"Yes")</f>
        <v>Yes</v>
      </c>
      <c r="V298" s="5" t="str">
        <f ca="1">IFERROR(__xludf.DUMMYFUNCTION("""COMPUTED_VALUE"""),"Yes")</f>
        <v>Yes</v>
      </c>
      <c r="W298" s="5" t="str">
        <f ca="1">IFERROR(__xludf.DUMMYFUNCTION("""COMPUTED_VALUE"""),"Yes")</f>
        <v>Yes</v>
      </c>
      <c r="X298" s="5" t="str">
        <f ca="1">IFERROR(__xludf.DUMMYFUNCTION("""COMPUTED_VALUE"""),"Yes")</f>
        <v>Yes</v>
      </c>
      <c r="Y298" s="5" t="str">
        <f ca="1">IFERROR(__xludf.DUMMYFUNCTION("""COMPUTED_VALUE"""),"Yes")</f>
        <v>Yes</v>
      </c>
      <c r="Z298" s="5" t="str">
        <f ca="1">IFERROR(__xludf.DUMMYFUNCTION("""COMPUTED_VALUE"""),"No")</f>
        <v>No</v>
      </c>
      <c r="AA298" s="5" t="str">
        <f ca="1">IFERROR(__xludf.DUMMYFUNCTION("""COMPUTED_VALUE"""),"Yes")</f>
        <v>Yes</v>
      </c>
      <c r="AB298" s="5" t="str">
        <f ca="1">IFERROR(__xludf.DUMMYFUNCTION("""COMPUTED_VALUE"""),"Yes")</f>
        <v>Yes</v>
      </c>
      <c r="AC298" s="5" t="str">
        <f ca="1">IFERROR(__xludf.DUMMYFUNCTION("""COMPUTED_VALUE"""),"Yes")</f>
        <v>Yes</v>
      </c>
      <c r="AD298" s="5" t="str">
        <f ca="1">IFERROR(__xludf.DUMMYFUNCTION("""COMPUTED_VALUE"""),"Yes")</f>
        <v>Yes</v>
      </c>
      <c r="AE298" s="5" t="str">
        <f ca="1">IFERROR(__xludf.DUMMYFUNCTION("""COMPUTED_VALUE"""),"No")</f>
        <v>No</v>
      </c>
      <c r="AF298" s="5" t="str">
        <f ca="1">IFERROR(__xludf.DUMMYFUNCTION("""COMPUTED_VALUE"""),"Yes")</f>
        <v>Yes</v>
      </c>
      <c r="AG298" s="5" t="str">
        <f ca="1">IFERROR(__xludf.DUMMYFUNCTION("""COMPUTED_VALUE"""),"No")</f>
        <v>No</v>
      </c>
      <c r="AH298" s="5" t="str">
        <f ca="1">IFERROR(__xludf.DUMMYFUNCTION("""COMPUTED_VALUE"""),"No")</f>
        <v>No</v>
      </c>
      <c r="AI298" s="5" t="str">
        <f ca="1">IFERROR(__xludf.DUMMYFUNCTION("""COMPUTED_VALUE"""),"No")</f>
        <v>No</v>
      </c>
      <c r="AJ298" s="5" t="str">
        <f ca="1">IFERROR(__xludf.DUMMYFUNCTION("""COMPUTED_VALUE"""),"No")</f>
        <v>No</v>
      </c>
      <c r="AK298" s="5" t="str">
        <f ca="1">IFERROR(__xludf.DUMMYFUNCTION("""COMPUTED_VALUE"""),"No")</f>
        <v>No</v>
      </c>
      <c r="AL298" s="5" t="str">
        <f ca="1">IFERROR(__xludf.DUMMYFUNCTION("""COMPUTED_VALUE"""),"No")</f>
        <v>No</v>
      </c>
      <c r="AM298" s="5"/>
      <c r="AN298" s="5"/>
      <c r="AO298" s="5"/>
      <c r="AP298" s="5"/>
      <c r="AQ298" s="5"/>
      <c r="AR298" s="5"/>
      <c r="AS298" s="5"/>
      <c r="AT298" s="5"/>
      <c r="AU298" s="5"/>
      <c r="AV298" s="5"/>
      <c r="AW298" s="5"/>
      <c r="AX298" s="5"/>
      <c r="AY298" s="5"/>
    </row>
    <row r="299" spans="1:51" x14ac:dyDescent="0.25">
      <c r="A2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9" s="5">
        <f ca="1">IFERROR(__xludf.DUMMYFUNCTION("""COMPUTED_VALUE"""),299)</f>
        <v>299</v>
      </c>
      <c r="C299" s="5">
        <f ca="1">IFERROR(__xludf.DUMMYFUNCTION("""COMPUTED_VALUE"""),298)</f>
        <v>298</v>
      </c>
      <c r="D299" s="5" t="str">
        <f ca="1">IFERROR(__xludf.DUMMYFUNCTION("""COMPUTED_VALUE"""),"GrandpashabetCrown")</f>
        <v>GrandpashabetCrown</v>
      </c>
      <c r="E299" s="5" t="str">
        <f ca="1">IFERROR(__xludf.DUMMYFUNCTION("""COMPUTED_VALUE"""),"Yes")</f>
        <v>Yes</v>
      </c>
      <c r="F299" s="5" t="str">
        <f ca="1">IFERROR(__xludf.DUMMYFUNCTION("""COMPUTED_VALUE"""),"Yes")</f>
        <v>Yes</v>
      </c>
      <c r="G299" s="5" t="str">
        <f ca="1">IFERROR(__xludf.DUMMYFUNCTION("""COMPUTED_VALUE"""),"Yes")</f>
        <v>Yes</v>
      </c>
      <c r="H299" s="5" t="str">
        <f ca="1">IFERROR(__xludf.DUMMYFUNCTION("""COMPUTED_VALUE"""),"Yes")</f>
        <v>Yes</v>
      </c>
      <c r="I299" s="5" t="str">
        <f ca="1">IFERROR(__xludf.DUMMYFUNCTION("""COMPUTED_VALUE"""),"Yes")</f>
        <v>Yes</v>
      </c>
      <c r="J299" s="5" t="str">
        <f ca="1">IFERROR(__xludf.DUMMYFUNCTION("""COMPUTED_VALUE"""),"Yes")</f>
        <v>Yes</v>
      </c>
      <c r="K299" s="5" t="str">
        <f ca="1">IFERROR(__xludf.DUMMYFUNCTION("""COMPUTED_VALUE"""),"Yes")</f>
        <v>Yes</v>
      </c>
      <c r="L299" s="5" t="str">
        <f ca="1">IFERROR(__xludf.DUMMYFUNCTION("""COMPUTED_VALUE"""),"Yes")</f>
        <v>Yes</v>
      </c>
      <c r="M299" s="5" t="str">
        <f ca="1">IFERROR(__xludf.DUMMYFUNCTION("""COMPUTED_VALUE"""),"Yes")</f>
        <v>Yes</v>
      </c>
      <c r="N299" s="5" t="str">
        <f ca="1">IFERROR(__xludf.DUMMYFUNCTION("""COMPUTED_VALUE"""),"Yes")</f>
        <v>Yes</v>
      </c>
      <c r="O299" s="5" t="str">
        <f ca="1">IFERROR(__xludf.DUMMYFUNCTION("""COMPUTED_VALUE"""),"Yes")</f>
        <v>Yes</v>
      </c>
      <c r="P299" s="5" t="str">
        <f ca="1">IFERROR(__xludf.DUMMYFUNCTION("""COMPUTED_VALUE"""),"Yes")</f>
        <v>Yes</v>
      </c>
      <c r="Q299" s="5" t="str">
        <f ca="1">IFERROR(__xludf.DUMMYFUNCTION("""COMPUTED_VALUE"""),"Yes")</f>
        <v>Yes</v>
      </c>
      <c r="R299" s="5" t="str">
        <f ca="1">IFERROR(__xludf.DUMMYFUNCTION("""COMPUTED_VALUE"""),"Yes")</f>
        <v>Yes</v>
      </c>
      <c r="S299" s="5" t="str">
        <f ca="1">IFERROR(__xludf.DUMMYFUNCTION("""COMPUTED_VALUE"""),"Yes")</f>
        <v>Yes</v>
      </c>
      <c r="T299" s="5" t="str">
        <f ca="1">IFERROR(__xludf.DUMMYFUNCTION("""COMPUTED_VALUE"""),"Yes")</f>
        <v>Yes</v>
      </c>
      <c r="U299" s="5" t="str">
        <f ca="1">IFERROR(__xludf.DUMMYFUNCTION("""COMPUTED_VALUE"""),"Yes")</f>
        <v>Yes</v>
      </c>
      <c r="V299" s="5" t="str">
        <f ca="1">IFERROR(__xludf.DUMMYFUNCTION("""COMPUTED_VALUE"""),"Yes")</f>
        <v>Yes</v>
      </c>
      <c r="W299" s="5" t="str">
        <f ca="1">IFERROR(__xludf.DUMMYFUNCTION("""COMPUTED_VALUE"""),"Yes")</f>
        <v>Yes</v>
      </c>
      <c r="X299" s="5" t="str">
        <f ca="1">IFERROR(__xludf.DUMMYFUNCTION("""COMPUTED_VALUE"""),"Yes")</f>
        <v>Yes</v>
      </c>
      <c r="Y299" s="5" t="str">
        <f ca="1">IFERROR(__xludf.DUMMYFUNCTION("""COMPUTED_VALUE"""),"Yes")</f>
        <v>Yes</v>
      </c>
      <c r="Z299" s="5" t="str">
        <f ca="1">IFERROR(__xludf.DUMMYFUNCTION("""COMPUTED_VALUE"""),"No")</f>
        <v>No</v>
      </c>
      <c r="AA299" s="5" t="str">
        <f ca="1">IFERROR(__xludf.DUMMYFUNCTION("""COMPUTED_VALUE"""),"Yes")</f>
        <v>Yes</v>
      </c>
      <c r="AB299" s="5" t="str">
        <f ca="1">IFERROR(__xludf.DUMMYFUNCTION("""COMPUTED_VALUE"""),"Yes")</f>
        <v>Yes</v>
      </c>
      <c r="AC299" s="5" t="str">
        <f ca="1">IFERROR(__xludf.DUMMYFUNCTION("""COMPUTED_VALUE"""),"Yes")</f>
        <v>Yes</v>
      </c>
      <c r="AD299" s="5" t="str">
        <f ca="1">IFERROR(__xludf.DUMMYFUNCTION("""COMPUTED_VALUE"""),"Yes")</f>
        <v>Yes</v>
      </c>
      <c r="AE299" s="5" t="str">
        <f ca="1">IFERROR(__xludf.DUMMYFUNCTION("""COMPUTED_VALUE"""),"No")</f>
        <v>No</v>
      </c>
      <c r="AF299" s="5" t="str">
        <f ca="1">IFERROR(__xludf.DUMMYFUNCTION("""COMPUTED_VALUE"""),"Yes")</f>
        <v>Yes</v>
      </c>
      <c r="AG299" s="5" t="str">
        <f ca="1">IFERROR(__xludf.DUMMYFUNCTION("""COMPUTED_VALUE"""),"No")</f>
        <v>No</v>
      </c>
      <c r="AH299" s="5" t="str">
        <f ca="1">IFERROR(__xludf.DUMMYFUNCTION("""COMPUTED_VALUE"""),"No")</f>
        <v>No</v>
      </c>
      <c r="AI299" s="5" t="str">
        <f ca="1">IFERROR(__xludf.DUMMYFUNCTION("""COMPUTED_VALUE"""),"No")</f>
        <v>No</v>
      </c>
      <c r="AJ299" s="5" t="str">
        <f ca="1">IFERROR(__xludf.DUMMYFUNCTION("""COMPUTED_VALUE"""),"No")</f>
        <v>No</v>
      </c>
      <c r="AK299" s="5" t="str">
        <f ca="1">IFERROR(__xludf.DUMMYFUNCTION("""COMPUTED_VALUE"""),"No")</f>
        <v>No</v>
      </c>
      <c r="AL299" s="5" t="str">
        <f ca="1">IFERROR(__xludf.DUMMYFUNCTION("""COMPUTED_VALUE"""),"No")</f>
        <v>No</v>
      </c>
      <c r="AM299" s="5"/>
      <c r="AN299" s="5"/>
      <c r="AO299" s="5"/>
      <c r="AP299" s="5"/>
      <c r="AQ299" s="5"/>
      <c r="AR299" s="5"/>
      <c r="AS299" s="5"/>
      <c r="AT299" s="5"/>
      <c r="AU299" s="5"/>
      <c r="AV299" s="5"/>
      <c r="AW299" s="5"/>
      <c r="AX299" s="5"/>
      <c r="AY299" s="5"/>
    </row>
    <row r="300" spans="1:51" x14ac:dyDescent="0.25">
      <c r="A3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0" s="5">
        <f ca="1">IFERROR(__xludf.DUMMYFUNCTION("""COMPUTED_VALUE"""),300)</f>
        <v>300</v>
      </c>
      <c r="C300" s="5">
        <f ca="1">IFERROR(__xludf.DUMMYFUNCTION("""COMPUTED_VALUE"""),299)</f>
        <v>299</v>
      </c>
      <c r="D300" s="5" t="str">
        <f ca="1">IFERROR(__xludf.DUMMYFUNCTION("""COMPUTED_VALUE"""),"TripleFieldsOfLuck")</f>
        <v>TripleFieldsOfLuck</v>
      </c>
      <c r="E300" s="5" t="str">
        <f ca="1">IFERROR(__xludf.DUMMYFUNCTION("""COMPUTED_VALUE"""),"Yes")</f>
        <v>Yes</v>
      </c>
      <c r="F300" s="5" t="str">
        <f ca="1">IFERROR(__xludf.DUMMYFUNCTION("""COMPUTED_VALUE"""),"Yes")</f>
        <v>Yes</v>
      </c>
      <c r="G300" s="5" t="str">
        <f ca="1">IFERROR(__xludf.DUMMYFUNCTION("""COMPUTED_VALUE"""),"Yes")</f>
        <v>Yes</v>
      </c>
      <c r="H300" s="5" t="str">
        <f ca="1">IFERROR(__xludf.DUMMYFUNCTION("""COMPUTED_VALUE"""),"Yes")</f>
        <v>Yes</v>
      </c>
      <c r="I300" s="5" t="str">
        <f ca="1">IFERROR(__xludf.DUMMYFUNCTION("""COMPUTED_VALUE"""),"Yes")</f>
        <v>Yes</v>
      </c>
      <c r="J300" s="5" t="str">
        <f ca="1">IFERROR(__xludf.DUMMYFUNCTION("""COMPUTED_VALUE"""),"Yes")</f>
        <v>Yes</v>
      </c>
      <c r="K300" s="5" t="str">
        <f ca="1">IFERROR(__xludf.DUMMYFUNCTION("""COMPUTED_VALUE"""),"Yes")</f>
        <v>Yes</v>
      </c>
      <c r="L300" s="5" t="str">
        <f ca="1">IFERROR(__xludf.DUMMYFUNCTION("""COMPUTED_VALUE"""),"Yes")</f>
        <v>Yes</v>
      </c>
      <c r="M300" s="5" t="str">
        <f ca="1">IFERROR(__xludf.DUMMYFUNCTION("""COMPUTED_VALUE"""),"Yes")</f>
        <v>Yes</v>
      </c>
      <c r="N300" s="5" t="str">
        <f ca="1">IFERROR(__xludf.DUMMYFUNCTION("""COMPUTED_VALUE"""),"Yes")</f>
        <v>Yes</v>
      </c>
      <c r="O300" s="5" t="str">
        <f ca="1">IFERROR(__xludf.DUMMYFUNCTION("""COMPUTED_VALUE"""),"Yes")</f>
        <v>Yes</v>
      </c>
      <c r="P300" s="5" t="str">
        <f ca="1">IFERROR(__xludf.DUMMYFUNCTION("""COMPUTED_VALUE"""),"Yes")</f>
        <v>Yes</v>
      </c>
      <c r="Q300" s="5" t="str">
        <f ca="1">IFERROR(__xludf.DUMMYFUNCTION("""COMPUTED_VALUE"""),"Yes")</f>
        <v>Yes</v>
      </c>
      <c r="R300" s="5" t="str">
        <f ca="1">IFERROR(__xludf.DUMMYFUNCTION("""COMPUTED_VALUE"""),"Yes")</f>
        <v>Yes</v>
      </c>
      <c r="S300" s="5" t="str">
        <f ca="1">IFERROR(__xludf.DUMMYFUNCTION("""COMPUTED_VALUE"""),"Yes")</f>
        <v>Yes</v>
      </c>
      <c r="T300" s="5" t="str">
        <f ca="1">IFERROR(__xludf.DUMMYFUNCTION("""COMPUTED_VALUE"""),"Yes")</f>
        <v>Yes</v>
      </c>
      <c r="U300" s="5" t="str">
        <f ca="1">IFERROR(__xludf.DUMMYFUNCTION("""COMPUTED_VALUE"""),"Yes")</f>
        <v>Yes</v>
      </c>
      <c r="V300" s="5" t="str">
        <f ca="1">IFERROR(__xludf.DUMMYFUNCTION("""COMPUTED_VALUE"""),"Yes")</f>
        <v>Yes</v>
      </c>
      <c r="W300" s="5" t="str">
        <f ca="1">IFERROR(__xludf.DUMMYFUNCTION("""COMPUTED_VALUE"""),"Yes")</f>
        <v>Yes</v>
      </c>
      <c r="X300" s="5" t="str">
        <f ca="1">IFERROR(__xludf.DUMMYFUNCTION("""COMPUTED_VALUE"""),"Yes")</f>
        <v>Yes</v>
      </c>
      <c r="Y300" s="5" t="str">
        <f ca="1">IFERROR(__xludf.DUMMYFUNCTION("""COMPUTED_VALUE"""),"Yes")</f>
        <v>Yes</v>
      </c>
      <c r="Z300" s="5" t="str">
        <f ca="1">IFERROR(__xludf.DUMMYFUNCTION("""COMPUTED_VALUE"""),"No")</f>
        <v>No</v>
      </c>
      <c r="AA300" s="5" t="str">
        <f ca="1">IFERROR(__xludf.DUMMYFUNCTION("""COMPUTED_VALUE"""),"Yes")</f>
        <v>Yes</v>
      </c>
      <c r="AB300" s="5" t="str">
        <f ca="1">IFERROR(__xludf.DUMMYFUNCTION("""COMPUTED_VALUE"""),"Yes")</f>
        <v>Yes</v>
      </c>
      <c r="AC300" s="5" t="str">
        <f ca="1">IFERROR(__xludf.DUMMYFUNCTION("""COMPUTED_VALUE"""),"Yes")</f>
        <v>Yes</v>
      </c>
      <c r="AD300" s="5" t="str">
        <f ca="1">IFERROR(__xludf.DUMMYFUNCTION("""COMPUTED_VALUE"""),"Yes")</f>
        <v>Yes</v>
      </c>
      <c r="AE300" s="5" t="str">
        <f ca="1">IFERROR(__xludf.DUMMYFUNCTION("""COMPUTED_VALUE"""),"No")</f>
        <v>No</v>
      </c>
      <c r="AF300" s="5" t="str">
        <f ca="1">IFERROR(__xludf.DUMMYFUNCTION("""COMPUTED_VALUE"""),"Yes")</f>
        <v>Yes</v>
      </c>
      <c r="AG300" s="5" t="str">
        <f ca="1">IFERROR(__xludf.DUMMYFUNCTION("""COMPUTED_VALUE"""),"No")</f>
        <v>No</v>
      </c>
      <c r="AH300" s="5" t="str">
        <f ca="1">IFERROR(__xludf.DUMMYFUNCTION("""COMPUTED_VALUE"""),"No")</f>
        <v>No</v>
      </c>
      <c r="AI300" s="5" t="str">
        <f ca="1">IFERROR(__xludf.DUMMYFUNCTION("""COMPUTED_VALUE"""),"No")</f>
        <v>No</v>
      </c>
      <c r="AJ300" s="5" t="str">
        <f ca="1">IFERROR(__xludf.DUMMYFUNCTION("""COMPUTED_VALUE"""),"No")</f>
        <v>No</v>
      </c>
      <c r="AK300" s="5" t="str">
        <f ca="1">IFERROR(__xludf.DUMMYFUNCTION("""COMPUTED_VALUE"""),"No")</f>
        <v>No</v>
      </c>
      <c r="AL300" s="5" t="str">
        <f ca="1">IFERROR(__xludf.DUMMYFUNCTION("""COMPUTED_VALUE"""),"No")</f>
        <v>No</v>
      </c>
      <c r="AM300" s="5"/>
      <c r="AN300" s="5"/>
      <c r="AO300" s="5"/>
      <c r="AP300" s="5"/>
      <c r="AQ300" s="5"/>
      <c r="AR300" s="5"/>
      <c r="AS300" s="5"/>
      <c r="AT300" s="5"/>
      <c r="AU300" s="5"/>
      <c r="AV300" s="5"/>
      <c r="AW300" s="5"/>
      <c r="AX300" s="5"/>
      <c r="AY300" s="5"/>
    </row>
    <row r="301" spans="1:51" x14ac:dyDescent="0.25">
      <c r="A3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01" s="5">
        <f ca="1">IFERROR(__xludf.DUMMYFUNCTION("""COMPUTED_VALUE"""),301)</f>
        <v>301</v>
      </c>
      <c r="C301" s="5">
        <f ca="1">IFERROR(__xludf.DUMMYFUNCTION("""COMPUTED_VALUE"""),300)</f>
        <v>300</v>
      </c>
      <c r="D301" s="5" t="str">
        <f ca="1">IFERROR(__xludf.DUMMYFUNCTION("""COMPUTED_VALUE"""),"RedstoneChilliDouble")</f>
        <v>RedstoneChilliDouble</v>
      </c>
      <c r="E301" s="5" t="str">
        <f ca="1">IFERROR(__xludf.DUMMYFUNCTION("""COMPUTED_VALUE"""),"Yes")</f>
        <v>Yes</v>
      </c>
      <c r="F301" s="5" t="str">
        <f ca="1">IFERROR(__xludf.DUMMYFUNCTION("""COMPUTED_VALUE"""),"Yes")</f>
        <v>Yes</v>
      </c>
      <c r="G301" s="5" t="str">
        <f ca="1">IFERROR(__xludf.DUMMYFUNCTION("""COMPUTED_VALUE"""),"Yes")</f>
        <v>Yes</v>
      </c>
      <c r="H301" s="5" t="str">
        <f ca="1">IFERROR(__xludf.DUMMYFUNCTION("""COMPUTED_VALUE"""),"Yes")</f>
        <v>Yes</v>
      </c>
      <c r="I301" s="5" t="str">
        <f ca="1">IFERROR(__xludf.DUMMYFUNCTION("""COMPUTED_VALUE"""),"Yes")</f>
        <v>Yes</v>
      </c>
      <c r="J301" s="5" t="str">
        <f ca="1">IFERROR(__xludf.DUMMYFUNCTION("""COMPUTED_VALUE"""),"Yes")</f>
        <v>Yes</v>
      </c>
      <c r="K301" s="5" t="str">
        <f ca="1">IFERROR(__xludf.DUMMYFUNCTION("""COMPUTED_VALUE"""),"Yes")</f>
        <v>Yes</v>
      </c>
      <c r="L301" s="5" t="str">
        <f ca="1">IFERROR(__xludf.DUMMYFUNCTION("""COMPUTED_VALUE"""),"Yes")</f>
        <v>Yes</v>
      </c>
      <c r="M301" s="5" t="str">
        <f ca="1">IFERROR(__xludf.DUMMYFUNCTION("""COMPUTED_VALUE"""),"Yes")</f>
        <v>Yes</v>
      </c>
      <c r="N301" s="5" t="str">
        <f ca="1">IFERROR(__xludf.DUMMYFUNCTION("""COMPUTED_VALUE"""),"Yes")</f>
        <v>Yes</v>
      </c>
      <c r="O301" s="5" t="str">
        <f ca="1">IFERROR(__xludf.DUMMYFUNCTION("""COMPUTED_VALUE"""),"Yes")</f>
        <v>Yes</v>
      </c>
      <c r="P301" s="5" t="str">
        <f ca="1">IFERROR(__xludf.DUMMYFUNCTION("""COMPUTED_VALUE"""),"Yes")</f>
        <v>Yes</v>
      </c>
      <c r="Q301" s="5" t="str">
        <f ca="1">IFERROR(__xludf.DUMMYFUNCTION("""COMPUTED_VALUE"""),"Yes")</f>
        <v>Yes</v>
      </c>
      <c r="R301" s="5" t="str">
        <f ca="1">IFERROR(__xludf.DUMMYFUNCTION("""COMPUTED_VALUE"""),"Yes")</f>
        <v>Yes</v>
      </c>
      <c r="S301" s="5" t="str">
        <f ca="1">IFERROR(__xludf.DUMMYFUNCTION("""COMPUTED_VALUE"""),"Yes")</f>
        <v>Yes</v>
      </c>
      <c r="T301" s="5" t="str">
        <f ca="1">IFERROR(__xludf.DUMMYFUNCTION("""COMPUTED_VALUE"""),"Yes")</f>
        <v>Yes</v>
      </c>
      <c r="U301" s="5" t="str">
        <f ca="1">IFERROR(__xludf.DUMMYFUNCTION("""COMPUTED_VALUE"""),"Yes")</f>
        <v>Yes</v>
      </c>
      <c r="V301" s="5" t="str">
        <f ca="1">IFERROR(__xludf.DUMMYFUNCTION("""COMPUTED_VALUE"""),"Yes")</f>
        <v>Yes</v>
      </c>
      <c r="W301" s="5" t="str">
        <f ca="1">IFERROR(__xludf.DUMMYFUNCTION("""COMPUTED_VALUE"""),"Yes")</f>
        <v>Yes</v>
      </c>
      <c r="X301" s="5"/>
      <c r="Y301" s="5" t="str">
        <f ca="1">IFERROR(__xludf.DUMMYFUNCTION("""COMPUTED_VALUE"""),"Yes")</f>
        <v>Yes</v>
      </c>
      <c r="Z301" s="5"/>
      <c r="AA301" s="5" t="str">
        <f ca="1">IFERROR(__xludf.DUMMYFUNCTION("""COMPUTED_VALUE"""),"Yes")</f>
        <v>Yes</v>
      </c>
      <c r="AB301" s="5" t="str">
        <f ca="1">IFERROR(__xludf.DUMMYFUNCTION("""COMPUTED_VALUE"""),"Yes")</f>
        <v>Yes</v>
      </c>
      <c r="AC301" s="5" t="str">
        <f ca="1">IFERROR(__xludf.DUMMYFUNCTION("""COMPUTED_VALUE"""),"Yes")</f>
        <v>Yes</v>
      </c>
      <c r="AD301" s="5" t="str">
        <f ca="1">IFERROR(__xludf.DUMMYFUNCTION("""COMPUTED_VALUE"""),"Yes")</f>
        <v>Yes</v>
      </c>
      <c r="AE301" s="5"/>
      <c r="AF301" s="5" t="str">
        <f ca="1">IFERROR(__xludf.DUMMYFUNCTION("""COMPUTED_VALUE"""),"Yes")</f>
        <v>Yes</v>
      </c>
      <c r="AG301" s="5"/>
      <c r="AH301" s="5"/>
      <c r="AI301" s="5"/>
      <c r="AJ301" s="5"/>
      <c r="AK301" s="5"/>
      <c r="AL301" s="5"/>
      <c r="AM301" s="5"/>
      <c r="AN301" s="5"/>
      <c r="AO301" s="5"/>
      <c r="AP301" s="5"/>
      <c r="AQ301" s="5"/>
      <c r="AR301" s="5"/>
      <c r="AS301" s="5"/>
      <c r="AT301" s="5"/>
      <c r="AU301" s="5"/>
      <c r="AV301" s="5"/>
      <c r="AW301" s="5"/>
      <c r="AX301" s="5"/>
      <c r="AY301" s="5"/>
    </row>
    <row r="302" spans="1:51" x14ac:dyDescent="0.25">
      <c r="A3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2" s="5">
        <f ca="1">IFERROR(__xludf.DUMMYFUNCTION("""COMPUTED_VALUE"""),302)</f>
        <v>302</v>
      </c>
      <c r="C302" s="5">
        <f ca="1">IFERROR(__xludf.DUMMYFUNCTION("""COMPUTED_VALUE"""),301)</f>
        <v>301</v>
      </c>
      <c r="D302" s="5" t="str">
        <f ca="1">IFERROR(__xludf.DUMMYFUNCTION("""COMPUTED_VALUE"""),"RedstoneHotRushCrownBurst")</f>
        <v>RedstoneHotRushCrownBurst</v>
      </c>
      <c r="E302" s="5" t="str">
        <f ca="1">IFERROR(__xludf.DUMMYFUNCTION("""COMPUTED_VALUE"""),"Yes")</f>
        <v>Yes</v>
      </c>
      <c r="F302" s="5" t="str">
        <f ca="1">IFERROR(__xludf.DUMMYFUNCTION("""COMPUTED_VALUE"""),"Yes")</f>
        <v>Yes</v>
      </c>
      <c r="G302" s="5" t="str">
        <f ca="1">IFERROR(__xludf.DUMMYFUNCTION("""COMPUTED_VALUE"""),"Yes")</f>
        <v>Yes</v>
      </c>
      <c r="H302" s="5" t="str">
        <f ca="1">IFERROR(__xludf.DUMMYFUNCTION("""COMPUTED_VALUE"""),"Yes")</f>
        <v>Yes</v>
      </c>
      <c r="I302" s="5" t="str">
        <f ca="1">IFERROR(__xludf.DUMMYFUNCTION("""COMPUTED_VALUE"""),"Yes")</f>
        <v>Yes</v>
      </c>
      <c r="J302" s="5" t="str">
        <f ca="1">IFERROR(__xludf.DUMMYFUNCTION("""COMPUTED_VALUE"""),"Yes")</f>
        <v>Yes</v>
      </c>
      <c r="K302" s="5" t="str">
        <f ca="1">IFERROR(__xludf.DUMMYFUNCTION("""COMPUTED_VALUE"""),"Yes")</f>
        <v>Yes</v>
      </c>
      <c r="L302" s="5" t="str">
        <f ca="1">IFERROR(__xludf.DUMMYFUNCTION("""COMPUTED_VALUE"""),"Yes")</f>
        <v>Yes</v>
      </c>
      <c r="M302" s="5" t="str">
        <f ca="1">IFERROR(__xludf.DUMMYFUNCTION("""COMPUTED_VALUE"""),"Yes")</f>
        <v>Yes</v>
      </c>
      <c r="N302" s="5" t="str">
        <f ca="1">IFERROR(__xludf.DUMMYFUNCTION("""COMPUTED_VALUE"""),"Yes")</f>
        <v>Yes</v>
      </c>
      <c r="O302" s="5" t="str">
        <f ca="1">IFERROR(__xludf.DUMMYFUNCTION("""COMPUTED_VALUE"""),"Yes")</f>
        <v>Yes</v>
      </c>
      <c r="P302" s="5" t="str">
        <f ca="1">IFERROR(__xludf.DUMMYFUNCTION("""COMPUTED_VALUE"""),"Yes")</f>
        <v>Yes</v>
      </c>
      <c r="Q302" s="5" t="str">
        <f ca="1">IFERROR(__xludf.DUMMYFUNCTION("""COMPUTED_VALUE"""),"Yes")</f>
        <v>Yes</v>
      </c>
      <c r="R302" s="5" t="str">
        <f ca="1">IFERROR(__xludf.DUMMYFUNCTION("""COMPUTED_VALUE"""),"Yes")</f>
        <v>Yes</v>
      </c>
      <c r="S302" s="5" t="str">
        <f ca="1">IFERROR(__xludf.DUMMYFUNCTION("""COMPUTED_VALUE"""),"Yes")</f>
        <v>Yes</v>
      </c>
      <c r="T302" s="5" t="str">
        <f ca="1">IFERROR(__xludf.DUMMYFUNCTION("""COMPUTED_VALUE"""),"Yes")</f>
        <v>Yes</v>
      </c>
      <c r="U302" s="5" t="str">
        <f ca="1">IFERROR(__xludf.DUMMYFUNCTION("""COMPUTED_VALUE"""),"Yes")</f>
        <v>Yes</v>
      </c>
      <c r="V302" s="5" t="str">
        <f ca="1">IFERROR(__xludf.DUMMYFUNCTION("""COMPUTED_VALUE"""),"Yes")</f>
        <v>Yes</v>
      </c>
      <c r="W302" s="5" t="str">
        <f ca="1">IFERROR(__xludf.DUMMYFUNCTION("""COMPUTED_VALUE"""),"Yes")</f>
        <v>Yes</v>
      </c>
      <c r="X302" s="5"/>
      <c r="Y302" s="5"/>
      <c r="Z302" s="5"/>
      <c r="AA302" s="5"/>
      <c r="AB302" s="5"/>
      <c r="AC302" s="5" t="str">
        <f ca="1">IFERROR(__xludf.DUMMYFUNCTION("""COMPUTED_VALUE"""),"Yes")</f>
        <v>Yes</v>
      </c>
      <c r="AD302" s="5"/>
      <c r="AE302" s="5"/>
      <c r="AF302" s="5"/>
      <c r="AG302" s="5"/>
      <c r="AH302" s="5"/>
      <c r="AI302" s="5"/>
      <c r="AJ302" s="5"/>
      <c r="AK302" s="5"/>
      <c r="AL302" s="5"/>
      <c r="AM302" s="5"/>
      <c r="AN302" s="5"/>
      <c r="AO302" s="5"/>
      <c r="AP302" s="5"/>
      <c r="AQ302" s="5"/>
      <c r="AR302" s="5"/>
      <c r="AS302" s="5"/>
      <c r="AT302" s="5"/>
      <c r="AU302" s="5"/>
      <c r="AV302" s="5"/>
      <c r="AW302" s="5"/>
      <c r="AX302" s="5"/>
      <c r="AY302" s="5"/>
    </row>
    <row r="303" spans="1:51" x14ac:dyDescent="0.25">
      <c r="A3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3" s="5">
        <f ca="1">IFERROR(__xludf.DUMMYFUNCTION("""COMPUTED_VALUE"""),303)</f>
        <v>303</v>
      </c>
      <c r="C303" s="5">
        <f ca="1">IFERROR(__xludf.DUMMYFUNCTION("""COMPUTED_VALUE"""),302)</f>
        <v>302</v>
      </c>
      <c r="D303" s="5" t="str">
        <f ca="1">IFERROR(__xludf.DUMMYFUNCTION("""COMPUTED_VALUE"""),"MozzartHot5")</f>
        <v>MozzartHot5</v>
      </c>
      <c r="E303" s="5" t="str">
        <f ca="1">IFERROR(__xludf.DUMMYFUNCTION("""COMPUTED_VALUE"""),"Yes")</f>
        <v>Yes</v>
      </c>
      <c r="F303" s="5" t="str">
        <f ca="1">IFERROR(__xludf.DUMMYFUNCTION("""COMPUTED_VALUE"""),"Yes")</f>
        <v>Yes</v>
      </c>
      <c r="G303" s="5" t="str">
        <f ca="1">IFERROR(__xludf.DUMMYFUNCTION("""COMPUTED_VALUE"""),"Yes")</f>
        <v>Yes</v>
      </c>
      <c r="H303" s="5" t="str">
        <f ca="1">IFERROR(__xludf.DUMMYFUNCTION("""COMPUTED_VALUE"""),"Yes")</f>
        <v>Yes</v>
      </c>
      <c r="I303" s="5" t="str">
        <f ca="1">IFERROR(__xludf.DUMMYFUNCTION("""COMPUTED_VALUE"""),"Yes")</f>
        <v>Yes</v>
      </c>
      <c r="J303" s="5" t="str">
        <f ca="1">IFERROR(__xludf.DUMMYFUNCTION("""COMPUTED_VALUE"""),"Yes")</f>
        <v>Yes</v>
      </c>
      <c r="K303" s="5" t="str">
        <f ca="1">IFERROR(__xludf.DUMMYFUNCTION("""COMPUTED_VALUE"""),"Yes")</f>
        <v>Yes</v>
      </c>
      <c r="L303" s="5" t="str">
        <f ca="1">IFERROR(__xludf.DUMMYFUNCTION("""COMPUTED_VALUE"""),"Yes")</f>
        <v>Yes</v>
      </c>
      <c r="M303" s="5" t="str">
        <f ca="1">IFERROR(__xludf.DUMMYFUNCTION("""COMPUTED_VALUE"""),"Yes")</f>
        <v>Yes</v>
      </c>
      <c r="N303" s="5" t="str">
        <f ca="1">IFERROR(__xludf.DUMMYFUNCTION("""COMPUTED_VALUE"""),"Yes")</f>
        <v>Yes</v>
      </c>
      <c r="O303" s="5" t="str">
        <f ca="1">IFERROR(__xludf.DUMMYFUNCTION("""COMPUTED_VALUE"""),"Yes")</f>
        <v>Yes</v>
      </c>
      <c r="P303" s="5" t="str">
        <f ca="1">IFERROR(__xludf.DUMMYFUNCTION("""COMPUTED_VALUE"""),"Yes")</f>
        <v>Yes</v>
      </c>
      <c r="Q303" s="5" t="str">
        <f ca="1">IFERROR(__xludf.DUMMYFUNCTION("""COMPUTED_VALUE"""),"Yes")</f>
        <v>Yes</v>
      </c>
      <c r="R303" s="5" t="str">
        <f ca="1">IFERROR(__xludf.DUMMYFUNCTION("""COMPUTED_VALUE"""),"Yes")</f>
        <v>Yes</v>
      </c>
      <c r="S303" s="5" t="str">
        <f ca="1">IFERROR(__xludf.DUMMYFUNCTION("""COMPUTED_VALUE"""),"Yes")</f>
        <v>Yes</v>
      </c>
      <c r="T303" s="5" t="str">
        <f ca="1">IFERROR(__xludf.DUMMYFUNCTION("""COMPUTED_VALUE"""),"Yes")</f>
        <v>Yes</v>
      </c>
      <c r="U303" s="5" t="str">
        <f ca="1">IFERROR(__xludf.DUMMYFUNCTION("""COMPUTED_VALUE"""),"Yes")</f>
        <v>Yes</v>
      </c>
      <c r="V303" s="5" t="str">
        <f ca="1">IFERROR(__xludf.DUMMYFUNCTION("""COMPUTED_VALUE"""),"Yes")</f>
        <v>Yes</v>
      </c>
      <c r="W303" s="5" t="str">
        <f ca="1">IFERROR(__xludf.DUMMYFUNCTION("""COMPUTED_VALUE"""),"Yes")</f>
        <v>Yes</v>
      </c>
      <c r="X303" s="5" t="str">
        <f ca="1">IFERROR(__xludf.DUMMYFUNCTION("""COMPUTED_VALUE"""),"Yes")</f>
        <v>Yes</v>
      </c>
      <c r="Y303" s="5" t="str">
        <f ca="1">IFERROR(__xludf.DUMMYFUNCTION("""COMPUTED_VALUE"""),"Yes")</f>
        <v>Yes</v>
      </c>
      <c r="Z303" s="5" t="str">
        <f ca="1">IFERROR(__xludf.DUMMYFUNCTION("""COMPUTED_VALUE"""),"No")</f>
        <v>No</v>
      </c>
      <c r="AA303" s="5" t="str">
        <f ca="1">IFERROR(__xludf.DUMMYFUNCTION("""COMPUTED_VALUE"""),"Yes")</f>
        <v>Yes</v>
      </c>
      <c r="AB303" s="5" t="str">
        <f ca="1">IFERROR(__xludf.DUMMYFUNCTION("""COMPUTED_VALUE"""),"Yes")</f>
        <v>Yes</v>
      </c>
      <c r="AC303" s="5" t="str">
        <f ca="1">IFERROR(__xludf.DUMMYFUNCTION("""COMPUTED_VALUE"""),"Yes")</f>
        <v>Yes</v>
      </c>
      <c r="AD303" s="5" t="str">
        <f ca="1">IFERROR(__xludf.DUMMYFUNCTION("""COMPUTED_VALUE"""),"Yes")</f>
        <v>Yes</v>
      </c>
      <c r="AE303" s="5" t="str">
        <f ca="1">IFERROR(__xludf.DUMMYFUNCTION("""COMPUTED_VALUE"""),"No")</f>
        <v>No</v>
      </c>
      <c r="AF303" s="5" t="str">
        <f ca="1">IFERROR(__xludf.DUMMYFUNCTION("""COMPUTED_VALUE"""),"Yes")</f>
        <v>Yes</v>
      </c>
      <c r="AG303" s="5" t="str">
        <f ca="1">IFERROR(__xludf.DUMMYFUNCTION("""COMPUTED_VALUE"""),"No")</f>
        <v>No</v>
      </c>
      <c r="AH303" s="5" t="str">
        <f ca="1">IFERROR(__xludf.DUMMYFUNCTION("""COMPUTED_VALUE"""),"No")</f>
        <v>No</v>
      </c>
      <c r="AI303" s="5" t="str">
        <f ca="1">IFERROR(__xludf.DUMMYFUNCTION("""COMPUTED_VALUE"""),"No")</f>
        <v>No</v>
      </c>
      <c r="AJ303" s="5" t="str">
        <f ca="1">IFERROR(__xludf.DUMMYFUNCTION("""COMPUTED_VALUE"""),"No")</f>
        <v>No</v>
      </c>
      <c r="AK303" s="5" t="str">
        <f ca="1">IFERROR(__xludf.DUMMYFUNCTION("""COMPUTED_VALUE"""),"No")</f>
        <v>No</v>
      </c>
      <c r="AL303" s="5" t="str">
        <f ca="1">IFERROR(__xludf.DUMMYFUNCTION("""COMPUTED_VALUE"""),"No")</f>
        <v>No</v>
      </c>
      <c r="AM303" s="5"/>
      <c r="AN303" s="5"/>
      <c r="AO303" s="5"/>
      <c r="AP303" s="5"/>
      <c r="AQ303" s="5"/>
      <c r="AR303" s="5"/>
      <c r="AS303" s="5"/>
      <c r="AT303" s="5"/>
      <c r="AU303" s="5"/>
      <c r="AV303" s="5"/>
      <c r="AW303" s="5"/>
      <c r="AX303" s="5"/>
      <c r="AY303" s="5"/>
    </row>
    <row r="304" spans="1:51" x14ac:dyDescent="0.25">
      <c r="A3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4" s="5">
        <f ca="1">IFERROR(__xludf.DUMMYFUNCTION("""COMPUTED_VALUE"""),304)</f>
        <v>304</v>
      </c>
      <c r="C304" s="5">
        <f ca="1">IFERROR(__xludf.DUMMYFUNCTION("""COMPUTED_VALUE"""),303)</f>
        <v>303</v>
      </c>
      <c r="D304" s="5" t="str">
        <f ca="1">IFERROR(__xludf.DUMMYFUNCTION("""COMPUTED_VALUE"""),"MozzartHot40")</f>
        <v>MozzartHot40</v>
      </c>
      <c r="E304" s="5" t="str">
        <f ca="1">IFERROR(__xludf.DUMMYFUNCTION("""COMPUTED_VALUE"""),"Yes")</f>
        <v>Yes</v>
      </c>
      <c r="F304" s="5" t="str">
        <f ca="1">IFERROR(__xludf.DUMMYFUNCTION("""COMPUTED_VALUE"""),"Yes")</f>
        <v>Yes</v>
      </c>
      <c r="G304" s="5" t="str">
        <f ca="1">IFERROR(__xludf.DUMMYFUNCTION("""COMPUTED_VALUE"""),"Yes")</f>
        <v>Yes</v>
      </c>
      <c r="H304" s="5" t="str">
        <f ca="1">IFERROR(__xludf.DUMMYFUNCTION("""COMPUTED_VALUE"""),"Yes")</f>
        <v>Yes</v>
      </c>
      <c r="I304" s="5" t="str">
        <f ca="1">IFERROR(__xludf.DUMMYFUNCTION("""COMPUTED_VALUE"""),"Yes")</f>
        <v>Yes</v>
      </c>
      <c r="J304" s="5" t="str">
        <f ca="1">IFERROR(__xludf.DUMMYFUNCTION("""COMPUTED_VALUE"""),"Yes")</f>
        <v>Yes</v>
      </c>
      <c r="K304" s="5" t="str">
        <f ca="1">IFERROR(__xludf.DUMMYFUNCTION("""COMPUTED_VALUE"""),"Yes")</f>
        <v>Yes</v>
      </c>
      <c r="L304" s="5" t="str">
        <f ca="1">IFERROR(__xludf.DUMMYFUNCTION("""COMPUTED_VALUE"""),"Yes")</f>
        <v>Yes</v>
      </c>
      <c r="M304" s="5" t="str">
        <f ca="1">IFERROR(__xludf.DUMMYFUNCTION("""COMPUTED_VALUE"""),"Yes")</f>
        <v>Yes</v>
      </c>
      <c r="N304" s="5" t="str">
        <f ca="1">IFERROR(__xludf.DUMMYFUNCTION("""COMPUTED_VALUE"""),"Yes")</f>
        <v>Yes</v>
      </c>
      <c r="O304" s="5" t="str">
        <f ca="1">IFERROR(__xludf.DUMMYFUNCTION("""COMPUTED_VALUE"""),"Yes")</f>
        <v>Yes</v>
      </c>
      <c r="P304" s="5" t="str">
        <f ca="1">IFERROR(__xludf.DUMMYFUNCTION("""COMPUTED_VALUE"""),"Yes")</f>
        <v>Yes</v>
      </c>
      <c r="Q304" s="5" t="str">
        <f ca="1">IFERROR(__xludf.DUMMYFUNCTION("""COMPUTED_VALUE"""),"Yes")</f>
        <v>Yes</v>
      </c>
      <c r="R304" s="5" t="str">
        <f ca="1">IFERROR(__xludf.DUMMYFUNCTION("""COMPUTED_VALUE"""),"Yes")</f>
        <v>Yes</v>
      </c>
      <c r="S304" s="5" t="str">
        <f ca="1">IFERROR(__xludf.DUMMYFUNCTION("""COMPUTED_VALUE"""),"Yes")</f>
        <v>Yes</v>
      </c>
      <c r="T304" s="5" t="str">
        <f ca="1">IFERROR(__xludf.DUMMYFUNCTION("""COMPUTED_VALUE"""),"Yes")</f>
        <v>Yes</v>
      </c>
      <c r="U304" s="5" t="str">
        <f ca="1">IFERROR(__xludf.DUMMYFUNCTION("""COMPUTED_VALUE"""),"Yes")</f>
        <v>Yes</v>
      </c>
      <c r="V304" s="5" t="str">
        <f ca="1">IFERROR(__xludf.DUMMYFUNCTION("""COMPUTED_VALUE"""),"Yes")</f>
        <v>Yes</v>
      </c>
      <c r="W304" s="5" t="str">
        <f ca="1">IFERROR(__xludf.DUMMYFUNCTION("""COMPUTED_VALUE"""),"Yes")</f>
        <v>Yes</v>
      </c>
      <c r="X304" s="5" t="str">
        <f ca="1">IFERROR(__xludf.DUMMYFUNCTION("""COMPUTED_VALUE"""),"Yes")</f>
        <v>Yes</v>
      </c>
      <c r="Y304" s="5" t="str">
        <f ca="1">IFERROR(__xludf.DUMMYFUNCTION("""COMPUTED_VALUE"""),"Yes")</f>
        <v>Yes</v>
      </c>
      <c r="Z304" s="5" t="str">
        <f ca="1">IFERROR(__xludf.DUMMYFUNCTION("""COMPUTED_VALUE"""),"No")</f>
        <v>No</v>
      </c>
      <c r="AA304" s="5" t="str">
        <f ca="1">IFERROR(__xludf.DUMMYFUNCTION("""COMPUTED_VALUE"""),"Yes")</f>
        <v>Yes</v>
      </c>
      <c r="AB304" s="5" t="str">
        <f ca="1">IFERROR(__xludf.DUMMYFUNCTION("""COMPUTED_VALUE"""),"Yes")</f>
        <v>Yes</v>
      </c>
      <c r="AC304" s="5" t="str">
        <f ca="1">IFERROR(__xludf.DUMMYFUNCTION("""COMPUTED_VALUE"""),"Yes")</f>
        <v>Yes</v>
      </c>
      <c r="AD304" s="5" t="str">
        <f ca="1">IFERROR(__xludf.DUMMYFUNCTION("""COMPUTED_VALUE"""),"Yes")</f>
        <v>Yes</v>
      </c>
      <c r="AE304" s="5" t="str">
        <f ca="1">IFERROR(__xludf.DUMMYFUNCTION("""COMPUTED_VALUE"""),"No")</f>
        <v>No</v>
      </c>
      <c r="AF304" s="5" t="str">
        <f ca="1">IFERROR(__xludf.DUMMYFUNCTION("""COMPUTED_VALUE"""),"Yes")</f>
        <v>Yes</v>
      </c>
      <c r="AG304" s="5" t="str">
        <f ca="1">IFERROR(__xludf.DUMMYFUNCTION("""COMPUTED_VALUE"""),"No")</f>
        <v>No</v>
      </c>
      <c r="AH304" s="5" t="str">
        <f ca="1">IFERROR(__xludf.DUMMYFUNCTION("""COMPUTED_VALUE"""),"No")</f>
        <v>No</v>
      </c>
      <c r="AI304" s="5" t="str">
        <f ca="1">IFERROR(__xludf.DUMMYFUNCTION("""COMPUTED_VALUE"""),"No")</f>
        <v>No</v>
      </c>
      <c r="AJ304" s="5" t="str">
        <f ca="1">IFERROR(__xludf.DUMMYFUNCTION("""COMPUTED_VALUE"""),"No")</f>
        <v>No</v>
      </c>
      <c r="AK304" s="5" t="str">
        <f ca="1">IFERROR(__xludf.DUMMYFUNCTION("""COMPUTED_VALUE"""),"No")</f>
        <v>No</v>
      </c>
      <c r="AL304" s="5" t="str">
        <f ca="1">IFERROR(__xludf.DUMMYFUNCTION("""COMPUTED_VALUE"""),"No")</f>
        <v>No</v>
      </c>
      <c r="AM304" s="5"/>
      <c r="AN304" s="5"/>
      <c r="AO304" s="5"/>
      <c r="AP304" s="5"/>
      <c r="AQ304" s="5"/>
      <c r="AR304" s="5"/>
      <c r="AS304" s="5"/>
      <c r="AT304" s="5"/>
      <c r="AU304" s="5"/>
      <c r="AV304" s="5"/>
      <c r="AW304" s="5"/>
      <c r="AX304" s="5"/>
      <c r="AY304" s="5"/>
    </row>
    <row r="305" spans="1:51" x14ac:dyDescent="0.25">
      <c r="A3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5" s="5">
        <f ca="1">IFERROR(__xludf.DUMMYFUNCTION("""COMPUTED_VALUE"""),305)</f>
        <v>305</v>
      </c>
      <c r="C305" s="5">
        <f ca="1">IFERROR(__xludf.DUMMYFUNCTION("""COMPUTED_VALUE"""),304)</f>
        <v>304</v>
      </c>
      <c r="D305" s="5" t="str">
        <f ca="1">IFERROR(__xludf.DUMMYFUNCTION("""COMPUTED_VALUE"""),"CrownOfMozzart")</f>
        <v>CrownOfMozzart</v>
      </c>
      <c r="E305" s="5" t="str">
        <f ca="1">IFERROR(__xludf.DUMMYFUNCTION("""COMPUTED_VALUE"""),"Yes")</f>
        <v>Yes</v>
      </c>
      <c r="F305" s="5" t="str">
        <f ca="1">IFERROR(__xludf.DUMMYFUNCTION("""COMPUTED_VALUE"""),"Yes")</f>
        <v>Yes</v>
      </c>
      <c r="G305" s="5" t="str">
        <f ca="1">IFERROR(__xludf.DUMMYFUNCTION("""COMPUTED_VALUE"""),"Yes")</f>
        <v>Yes</v>
      </c>
      <c r="H305" s="5" t="str">
        <f ca="1">IFERROR(__xludf.DUMMYFUNCTION("""COMPUTED_VALUE"""),"Yes")</f>
        <v>Yes</v>
      </c>
      <c r="I305" s="5" t="str">
        <f ca="1">IFERROR(__xludf.DUMMYFUNCTION("""COMPUTED_VALUE"""),"Yes")</f>
        <v>Yes</v>
      </c>
      <c r="J305" s="5" t="str">
        <f ca="1">IFERROR(__xludf.DUMMYFUNCTION("""COMPUTED_VALUE"""),"Yes")</f>
        <v>Yes</v>
      </c>
      <c r="K305" s="5" t="str">
        <f ca="1">IFERROR(__xludf.DUMMYFUNCTION("""COMPUTED_VALUE"""),"Yes")</f>
        <v>Yes</v>
      </c>
      <c r="L305" s="5" t="str">
        <f ca="1">IFERROR(__xludf.DUMMYFUNCTION("""COMPUTED_VALUE"""),"Yes")</f>
        <v>Yes</v>
      </c>
      <c r="M305" s="5" t="str">
        <f ca="1">IFERROR(__xludf.DUMMYFUNCTION("""COMPUTED_VALUE"""),"Yes")</f>
        <v>Yes</v>
      </c>
      <c r="N305" s="5" t="str">
        <f ca="1">IFERROR(__xludf.DUMMYFUNCTION("""COMPUTED_VALUE"""),"Yes")</f>
        <v>Yes</v>
      </c>
      <c r="O305" s="5" t="str">
        <f ca="1">IFERROR(__xludf.DUMMYFUNCTION("""COMPUTED_VALUE"""),"Yes")</f>
        <v>Yes</v>
      </c>
      <c r="P305" s="5" t="str">
        <f ca="1">IFERROR(__xludf.DUMMYFUNCTION("""COMPUTED_VALUE"""),"Yes")</f>
        <v>Yes</v>
      </c>
      <c r="Q305" s="5" t="str">
        <f ca="1">IFERROR(__xludf.DUMMYFUNCTION("""COMPUTED_VALUE"""),"Yes")</f>
        <v>Yes</v>
      </c>
      <c r="R305" s="5" t="str">
        <f ca="1">IFERROR(__xludf.DUMMYFUNCTION("""COMPUTED_VALUE"""),"Yes")</f>
        <v>Yes</v>
      </c>
      <c r="S305" s="5" t="str">
        <f ca="1">IFERROR(__xludf.DUMMYFUNCTION("""COMPUTED_VALUE"""),"Yes")</f>
        <v>Yes</v>
      </c>
      <c r="T305" s="5" t="str">
        <f ca="1">IFERROR(__xludf.DUMMYFUNCTION("""COMPUTED_VALUE"""),"Yes")</f>
        <v>Yes</v>
      </c>
      <c r="U305" s="5" t="str">
        <f ca="1">IFERROR(__xludf.DUMMYFUNCTION("""COMPUTED_VALUE"""),"Yes")</f>
        <v>Yes</v>
      </c>
      <c r="V305" s="5" t="str">
        <f ca="1">IFERROR(__xludf.DUMMYFUNCTION("""COMPUTED_VALUE"""),"Yes")</f>
        <v>Yes</v>
      </c>
      <c r="W305" s="5" t="str">
        <f ca="1">IFERROR(__xludf.DUMMYFUNCTION("""COMPUTED_VALUE"""),"Yes")</f>
        <v>Yes</v>
      </c>
      <c r="X305" s="5" t="str">
        <f ca="1">IFERROR(__xludf.DUMMYFUNCTION("""COMPUTED_VALUE"""),"Yes")</f>
        <v>Yes</v>
      </c>
      <c r="Y305" s="5" t="str">
        <f ca="1">IFERROR(__xludf.DUMMYFUNCTION("""COMPUTED_VALUE"""),"Yes")</f>
        <v>Yes</v>
      </c>
      <c r="Z305" s="5" t="str">
        <f ca="1">IFERROR(__xludf.DUMMYFUNCTION("""COMPUTED_VALUE"""),"No")</f>
        <v>No</v>
      </c>
      <c r="AA305" s="5" t="str">
        <f ca="1">IFERROR(__xludf.DUMMYFUNCTION("""COMPUTED_VALUE"""),"Yes")</f>
        <v>Yes</v>
      </c>
      <c r="AB305" s="5" t="str">
        <f ca="1">IFERROR(__xludf.DUMMYFUNCTION("""COMPUTED_VALUE"""),"Yes")</f>
        <v>Yes</v>
      </c>
      <c r="AC305" s="5" t="str">
        <f ca="1">IFERROR(__xludf.DUMMYFUNCTION("""COMPUTED_VALUE"""),"Yes")</f>
        <v>Yes</v>
      </c>
      <c r="AD305" s="5" t="str">
        <f ca="1">IFERROR(__xludf.DUMMYFUNCTION("""COMPUTED_VALUE"""),"Yes")</f>
        <v>Yes</v>
      </c>
      <c r="AE305" s="5" t="str">
        <f ca="1">IFERROR(__xludf.DUMMYFUNCTION("""COMPUTED_VALUE"""),"No")</f>
        <v>No</v>
      </c>
      <c r="AF305" s="5" t="str">
        <f ca="1">IFERROR(__xludf.DUMMYFUNCTION("""COMPUTED_VALUE"""),"Yes")</f>
        <v>Yes</v>
      </c>
      <c r="AG305" s="5" t="str">
        <f ca="1">IFERROR(__xludf.DUMMYFUNCTION("""COMPUTED_VALUE"""),"No")</f>
        <v>No</v>
      </c>
      <c r="AH305" s="5" t="str">
        <f ca="1">IFERROR(__xludf.DUMMYFUNCTION("""COMPUTED_VALUE"""),"No")</f>
        <v>No</v>
      </c>
      <c r="AI305" s="5" t="str">
        <f ca="1">IFERROR(__xludf.DUMMYFUNCTION("""COMPUTED_VALUE"""),"No")</f>
        <v>No</v>
      </c>
      <c r="AJ305" s="5" t="str">
        <f ca="1">IFERROR(__xludf.DUMMYFUNCTION("""COMPUTED_VALUE"""),"No")</f>
        <v>No</v>
      </c>
      <c r="AK305" s="5" t="str">
        <f ca="1">IFERROR(__xludf.DUMMYFUNCTION("""COMPUTED_VALUE"""),"No")</f>
        <v>No</v>
      </c>
      <c r="AL305" s="5" t="str">
        <f ca="1">IFERROR(__xludf.DUMMYFUNCTION("""COMPUTED_VALUE"""),"No")</f>
        <v>No</v>
      </c>
      <c r="AM305" s="5"/>
      <c r="AN305" s="5"/>
      <c r="AO305" s="5"/>
      <c r="AP305" s="5"/>
      <c r="AQ305" s="5"/>
      <c r="AR305" s="5"/>
      <c r="AS305" s="5"/>
      <c r="AT305" s="5"/>
      <c r="AU305" s="5"/>
      <c r="AV305" s="5"/>
      <c r="AW305" s="5"/>
      <c r="AX305" s="5"/>
      <c r="AY305" s="5"/>
    </row>
    <row r="306" spans="1:51" x14ac:dyDescent="0.25">
      <c r="A3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6" s="5">
        <f ca="1">IFERROR(__xludf.DUMMYFUNCTION("""COMPUTED_VALUE"""),306)</f>
        <v>306</v>
      </c>
      <c r="C306" s="5">
        <f ca="1">IFERROR(__xludf.DUMMYFUNCTION("""COMPUTED_VALUE"""),305)</f>
        <v>305</v>
      </c>
      <c r="D306" s="5" t="str">
        <f ca="1">IFERROR(__xludf.DUMMYFUNCTION("""COMPUTED_VALUE"""),"MozzartsWorld")</f>
        <v>MozzartsWorld</v>
      </c>
      <c r="E306" s="5" t="str">
        <f ca="1">IFERROR(__xludf.DUMMYFUNCTION("""COMPUTED_VALUE"""),"Yes")</f>
        <v>Yes</v>
      </c>
      <c r="F306" s="5" t="str">
        <f ca="1">IFERROR(__xludf.DUMMYFUNCTION("""COMPUTED_VALUE"""),"Yes")</f>
        <v>Yes</v>
      </c>
      <c r="G306" s="5" t="str">
        <f ca="1">IFERROR(__xludf.DUMMYFUNCTION("""COMPUTED_VALUE"""),"Yes")</f>
        <v>Yes</v>
      </c>
      <c r="H306" s="5" t="str">
        <f ca="1">IFERROR(__xludf.DUMMYFUNCTION("""COMPUTED_VALUE"""),"Yes")</f>
        <v>Yes</v>
      </c>
      <c r="I306" s="5" t="str">
        <f ca="1">IFERROR(__xludf.DUMMYFUNCTION("""COMPUTED_VALUE"""),"Yes")</f>
        <v>Yes</v>
      </c>
      <c r="J306" s="5" t="str">
        <f ca="1">IFERROR(__xludf.DUMMYFUNCTION("""COMPUTED_VALUE"""),"Yes")</f>
        <v>Yes</v>
      </c>
      <c r="K306" s="5" t="str">
        <f ca="1">IFERROR(__xludf.DUMMYFUNCTION("""COMPUTED_VALUE"""),"Yes")</f>
        <v>Yes</v>
      </c>
      <c r="L306" s="5" t="str">
        <f ca="1">IFERROR(__xludf.DUMMYFUNCTION("""COMPUTED_VALUE"""),"Yes")</f>
        <v>Yes</v>
      </c>
      <c r="M306" s="5" t="str">
        <f ca="1">IFERROR(__xludf.DUMMYFUNCTION("""COMPUTED_VALUE"""),"Yes")</f>
        <v>Yes</v>
      </c>
      <c r="N306" s="5" t="str">
        <f ca="1">IFERROR(__xludf.DUMMYFUNCTION("""COMPUTED_VALUE"""),"Yes")</f>
        <v>Yes</v>
      </c>
      <c r="O306" s="5" t="str">
        <f ca="1">IFERROR(__xludf.DUMMYFUNCTION("""COMPUTED_VALUE"""),"Yes")</f>
        <v>Yes</v>
      </c>
      <c r="P306" s="5" t="str">
        <f ca="1">IFERROR(__xludf.DUMMYFUNCTION("""COMPUTED_VALUE"""),"Yes")</f>
        <v>Yes</v>
      </c>
      <c r="Q306" s="5" t="str">
        <f ca="1">IFERROR(__xludf.DUMMYFUNCTION("""COMPUTED_VALUE"""),"Yes")</f>
        <v>Yes</v>
      </c>
      <c r="R306" s="5" t="str">
        <f ca="1">IFERROR(__xludf.DUMMYFUNCTION("""COMPUTED_VALUE"""),"Yes")</f>
        <v>Yes</v>
      </c>
      <c r="S306" s="5" t="str">
        <f ca="1">IFERROR(__xludf.DUMMYFUNCTION("""COMPUTED_VALUE"""),"Yes")</f>
        <v>Yes</v>
      </c>
      <c r="T306" s="5" t="str">
        <f ca="1">IFERROR(__xludf.DUMMYFUNCTION("""COMPUTED_VALUE"""),"Yes")</f>
        <v>Yes</v>
      </c>
      <c r="U306" s="5" t="str">
        <f ca="1">IFERROR(__xludf.DUMMYFUNCTION("""COMPUTED_VALUE"""),"Yes")</f>
        <v>Yes</v>
      </c>
      <c r="V306" s="5" t="str">
        <f ca="1">IFERROR(__xludf.DUMMYFUNCTION("""COMPUTED_VALUE"""),"Yes")</f>
        <v>Yes</v>
      </c>
      <c r="W306" s="5" t="str">
        <f ca="1">IFERROR(__xludf.DUMMYFUNCTION("""COMPUTED_VALUE"""),"Yes")</f>
        <v>Yes</v>
      </c>
      <c r="X306" s="5" t="str">
        <f ca="1">IFERROR(__xludf.DUMMYFUNCTION("""COMPUTED_VALUE"""),"Yes")</f>
        <v>Yes</v>
      </c>
      <c r="Y306" s="5" t="str">
        <f ca="1">IFERROR(__xludf.DUMMYFUNCTION("""COMPUTED_VALUE"""),"Yes")</f>
        <v>Yes</v>
      </c>
      <c r="Z306" s="5" t="str">
        <f ca="1">IFERROR(__xludf.DUMMYFUNCTION("""COMPUTED_VALUE"""),"No")</f>
        <v>No</v>
      </c>
      <c r="AA306" s="5" t="str">
        <f ca="1">IFERROR(__xludf.DUMMYFUNCTION("""COMPUTED_VALUE"""),"Yes")</f>
        <v>Yes</v>
      </c>
      <c r="AB306" s="5" t="str">
        <f ca="1">IFERROR(__xludf.DUMMYFUNCTION("""COMPUTED_VALUE"""),"Yes")</f>
        <v>Yes</v>
      </c>
      <c r="AC306" s="5" t="str">
        <f ca="1">IFERROR(__xludf.DUMMYFUNCTION("""COMPUTED_VALUE"""),"Yes")</f>
        <v>Yes</v>
      </c>
      <c r="AD306" s="5" t="str">
        <f ca="1">IFERROR(__xludf.DUMMYFUNCTION("""COMPUTED_VALUE"""),"Yes")</f>
        <v>Yes</v>
      </c>
      <c r="AE306" s="5" t="str">
        <f ca="1">IFERROR(__xludf.DUMMYFUNCTION("""COMPUTED_VALUE"""),"No")</f>
        <v>No</v>
      </c>
      <c r="AF306" s="5" t="str">
        <f ca="1">IFERROR(__xludf.DUMMYFUNCTION("""COMPUTED_VALUE"""),"Yes")</f>
        <v>Yes</v>
      </c>
      <c r="AG306" s="5" t="str">
        <f ca="1">IFERROR(__xludf.DUMMYFUNCTION("""COMPUTED_VALUE"""),"No")</f>
        <v>No</v>
      </c>
      <c r="AH306" s="5" t="str">
        <f ca="1">IFERROR(__xludf.DUMMYFUNCTION("""COMPUTED_VALUE"""),"No")</f>
        <v>No</v>
      </c>
      <c r="AI306" s="5" t="str">
        <f ca="1">IFERROR(__xludf.DUMMYFUNCTION("""COMPUTED_VALUE"""),"No")</f>
        <v>No</v>
      </c>
      <c r="AJ306" s="5" t="str">
        <f ca="1">IFERROR(__xludf.DUMMYFUNCTION("""COMPUTED_VALUE"""),"No")</f>
        <v>No</v>
      </c>
      <c r="AK306" s="5" t="str">
        <f ca="1">IFERROR(__xludf.DUMMYFUNCTION("""COMPUTED_VALUE"""),"No")</f>
        <v>No</v>
      </c>
      <c r="AL306" s="5" t="str">
        <f ca="1">IFERROR(__xludf.DUMMYFUNCTION("""COMPUTED_VALUE"""),"No")</f>
        <v>No</v>
      </c>
      <c r="AM306" s="5"/>
      <c r="AN306" s="5"/>
      <c r="AO306" s="5"/>
      <c r="AP306" s="5"/>
      <c r="AQ306" s="5"/>
      <c r="AR306" s="5"/>
      <c r="AS306" s="5"/>
      <c r="AT306" s="5"/>
      <c r="AU306" s="5"/>
      <c r="AV306" s="5"/>
      <c r="AW306" s="5"/>
      <c r="AX306" s="5"/>
      <c r="AY306" s="5"/>
    </row>
    <row r="307" spans="1:51" x14ac:dyDescent="0.25">
      <c r="A3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7" s="5">
        <f ca="1">IFERROR(__xludf.DUMMYFUNCTION("""COMPUTED_VALUE"""),307)</f>
        <v>307</v>
      </c>
      <c r="C307" s="5">
        <f ca="1">IFERROR(__xludf.DUMMYFUNCTION("""COMPUTED_VALUE"""),306)</f>
        <v>306</v>
      </c>
      <c r="D307" s="5" t="str">
        <f ca="1">IFERROR(__xludf.DUMMYFUNCTION("""COMPUTED_VALUE"""),"BookOfMozzart")</f>
        <v>BookOfMozzart</v>
      </c>
      <c r="E307" s="5" t="str">
        <f ca="1">IFERROR(__xludf.DUMMYFUNCTION("""COMPUTED_VALUE"""),"Yes")</f>
        <v>Yes</v>
      </c>
      <c r="F307" s="5" t="str">
        <f ca="1">IFERROR(__xludf.DUMMYFUNCTION("""COMPUTED_VALUE"""),"Yes")</f>
        <v>Yes</v>
      </c>
      <c r="G307" s="5" t="str">
        <f ca="1">IFERROR(__xludf.DUMMYFUNCTION("""COMPUTED_VALUE"""),"Yes")</f>
        <v>Yes</v>
      </c>
      <c r="H307" s="5" t="str">
        <f ca="1">IFERROR(__xludf.DUMMYFUNCTION("""COMPUTED_VALUE"""),"Yes")</f>
        <v>Yes</v>
      </c>
      <c r="I307" s="5" t="str">
        <f ca="1">IFERROR(__xludf.DUMMYFUNCTION("""COMPUTED_VALUE"""),"Yes")</f>
        <v>Yes</v>
      </c>
      <c r="J307" s="5" t="str">
        <f ca="1">IFERROR(__xludf.DUMMYFUNCTION("""COMPUTED_VALUE"""),"Yes")</f>
        <v>Yes</v>
      </c>
      <c r="K307" s="5" t="str">
        <f ca="1">IFERROR(__xludf.DUMMYFUNCTION("""COMPUTED_VALUE"""),"Yes")</f>
        <v>Yes</v>
      </c>
      <c r="L307" s="5" t="str">
        <f ca="1">IFERROR(__xludf.DUMMYFUNCTION("""COMPUTED_VALUE"""),"Yes")</f>
        <v>Yes</v>
      </c>
      <c r="M307" s="5" t="str">
        <f ca="1">IFERROR(__xludf.DUMMYFUNCTION("""COMPUTED_VALUE"""),"Yes")</f>
        <v>Yes</v>
      </c>
      <c r="N307" s="5" t="str">
        <f ca="1">IFERROR(__xludf.DUMMYFUNCTION("""COMPUTED_VALUE"""),"Yes")</f>
        <v>Yes</v>
      </c>
      <c r="O307" s="5" t="str">
        <f ca="1">IFERROR(__xludf.DUMMYFUNCTION("""COMPUTED_VALUE"""),"Yes")</f>
        <v>Yes</v>
      </c>
      <c r="P307" s="5" t="str">
        <f ca="1">IFERROR(__xludf.DUMMYFUNCTION("""COMPUTED_VALUE"""),"Yes")</f>
        <v>Yes</v>
      </c>
      <c r="Q307" s="5" t="str">
        <f ca="1">IFERROR(__xludf.DUMMYFUNCTION("""COMPUTED_VALUE"""),"Yes")</f>
        <v>Yes</v>
      </c>
      <c r="R307" s="5" t="str">
        <f ca="1">IFERROR(__xludf.DUMMYFUNCTION("""COMPUTED_VALUE"""),"Yes")</f>
        <v>Yes</v>
      </c>
      <c r="S307" s="5" t="str">
        <f ca="1">IFERROR(__xludf.DUMMYFUNCTION("""COMPUTED_VALUE"""),"Yes")</f>
        <v>Yes</v>
      </c>
      <c r="T307" s="5" t="str">
        <f ca="1">IFERROR(__xludf.DUMMYFUNCTION("""COMPUTED_VALUE"""),"Yes")</f>
        <v>Yes</v>
      </c>
      <c r="U307" s="5" t="str">
        <f ca="1">IFERROR(__xludf.DUMMYFUNCTION("""COMPUTED_VALUE"""),"Yes")</f>
        <v>Yes</v>
      </c>
      <c r="V307" s="5" t="str">
        <f ca="1">IFERROR(__xludf.DUMMYFUNCTION("""COMPUTED_VALUE"""),"Yes")</f>
        <v>Yes</v>
      </c>
      <c r="W307" s="5" t="str">
        <f ca="1">IFERROR(__xludf.DUMMYFUNCTION("""COMPUTED_VALUE"""),"Yes")</f>
        <v>Yes</v>
      </c>
      <c r="X307" s="5" t="str">
        <f ca="1">IFERROR(__xludf.DUMMYFUNCTION("""COMPUTED_VALUE"""),"Yes")</f>
        <v>Yes</v>
      </c>
      <c r="Y307" s="5" t="str">
        <f ca="1">IFERROR(__xludf.DUMMYFUNCTION("""COMPUTED_VALUE"""),"Yes")</f>
        <v>Yes</v>
      </c>
      <c r="Z307" s="5" t="str">
        <f ca="1">IFERROR(__xludf.DUMMYFUNCTION("""COMPUTED_VALUE"""),"No")</f>
        <v>No</v>
      </c>
      <c r="AA307" s="5" t="str">
        <f ca="1">IFERROR(__xludf.DUMMYFUNCTION("""COMPUTED_VALUE"""),"Yes")</f>
        <v>Yes</v>
      </c>
      <c r="AB307" s="5" t="str">
        <f ca="1">IFERROR(__xludf.DUMMYFUNCTION("""COMPUTED_VALUE"""),"Yes")</f>
        <v>Yes</v>
      </c>
      <c r="AC307" s="5" t="str">
        <f ca="1">IFERROR(__xludf.DUMMYFUNCTION("""COMPUTED_VALUE"""),"Yes")</f>
        <v>Yes</v>
      </c>
      <c r="AD307" s="5" t="str">
        <f ca="1">IFERROR(__xludf.DUMMYFUNCTION("""COMPUTED_VALUE"""),"Yes")</f>
        <v>Yes</v>
      </c>
      <c r="AE307" s="5" t="str">
        <f ca="1">IFERROR(__xludf.DUMMYFUNCTION("""COMPUTED_VALUE"""),"No")</f>
        <v>No</v>
      </c>
      <c r="AF307" s="5" t="str">
        <f ca="1">IFERROR(__xludf.DUMMYFUNCTION("""COMPUTED_VALUE"""),"Yes")</f>
        <v>Yes</v>
      </c>
      <c r="AG307" s="5" t="str">
        <f ca="1">IFERROR(__xludf.DUMMYFUNCTION("""COMPUTED_VALUE"""),"No")</f>
        <v>No</v>
      </c>
      <c r="AH307" s="5" t="str">
        <f ca="1">IFERROR(__xludf.DUMMYFUNCTION("""COMPUTED_VALUE"""),"No")</f>
        <v>No</v>
      </c>
      <c r="AI307" s="5" t="str">
        <f ca="1">IFERROR(__xludf.DUMMYFUNCTION("""COMPUTED_VALUE"""),"No")</f>
        <v>No</v>
      </c>
      <c r="AJ307" s="5" t="str">
        <f ca="1">IFERROR(__xludf.DUMMYFUNCTION("""COMPUTED_VALUE"""),"No")</f>
        <v>No</v>
      </c>
      <c r="AK307" s="5" t="str">
        <f ca="1">IFERROR(__xludf.DUMMYFUNCTION("""COMPUTED_VALUE"""),"No")</f>
        <v>No</v>
      </c>
      <c r="AL307" s="5" t="str">
        <f ca="1">IFERROR(__xludf.DUMMYFUNCTION("""COMPUTED_VALUE"""),"No")</f>
        <v>No</v>
      </c>
      <c r="AM307" s="5"/>
      <c r="AN307" s="5"/>
      <c r="AO307" s="5"/>
      <c r="AP307" s="5"/>
      <c r="AQ307" s="5"/>
      <c r="AR307" s="5"/>
      <c r="AS307" s="5"/>
      <c r="AT307" s="5"/>
      <c r="AU307" s="5"/>
      <c r="AV307" s="5"/>
      <c r="AW307" s="5"/>
      <c r="AX307" s="5"/>
      <c r="AY307" s="5"/>
    </row>
    <row r="308" spans="1:51" x14ac:dyDescent="0.25">
      <c r="A3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8" s="5">
        <f ca="1">IFERROR(__xludf.DUMMYFUNCTION("""COMPUTED_VALUE"""),308)</f>
        <v>308</v>
      </c>
      <c r="C308" s="5">
        <f ca="1">IFERROR(__xludf.DUMMYFUNCTION("""COMPUTED_VALUE"""),307)</f>
        <v>307</v>
      </c>
      <c r="D308" s="5" t="str">
        <f ca="1">IFERROR(__xludf.DUMMYFUNCTION("""COMPUTED_VALUE"""),"LuckyMozzart")</f>
        <v>LuckyMozzart</v>
      </c>
      <c r="E308" s="5" t="str">
        <f ca="1">IFERROR(__xludf.DUMMYFUNCTION("""COMPUTED_VALUE"""),"Yes")</f>
        <v>Yes</v>
      </c>
      <c r="F308" s="5" t="str">
        <f ca="1">IFERROR(__xludf.DUMMYFUNCTION("""COMPUTED_VALUE"""),"Yes")</f>
        <v>Yes</v>
      </c>
      <c r="G308" s="5" t="str">
        <f ca="1">IFERROR(__xludf.DUMMYFUNCTION("""COMPUTED_VALUE"""),"Yes")</f>
        <v>Yes</v>
      </c>
      <c r="H308" s="5" t="str">
        <f ca="1">IFERROR(__xludf.DUMMYFUNCTION("""COMPUTED_VALUE"""),"Yes")</f>
        <v>Yes</v>
      </c>
      <c r="I308" s="5" t="str">
        <f ca="1">IFERROR(__xludf.DUMMYFUNCTION("""COMPUTED_VALUE"""),"Yes")</f>
        <v>Yes</v>
      </c>
      <c r="J308" s="5" t="str">
        <f ca="1">IFERROR(__xludf.DUMMYFUNCTION("""COMPUTED_VALUE"""),"Yes")</f>
        <v>Yes</v>
      </c>
      <c r="K308" s="5" t="str">
        <f ca="1">IFERROR(__xludf.DUMMYFUNCTION("""COMPUTED_VALUE"""),"Yes")</f>
        <v>Yes</v>
      </c>
      <c r="L308" s="5" t="str">
        <f ca="1">IFERROR(__xludf.DUMMYFUNCTION("""COMPUTED_VALUE"""),"Yes")</f>
        <v>Yes</v>
      </c>
      <c r="M308" s="5" t="str">
        <f ca="1">IFERROR(__xludf.DUMMYFUNCTION("""COMPUTED_VALUE"""),"Yes")</f>
        <v>Yes</v>
      </c>
      <c r="N308" s="5" t="str">
        <f ca="1">IFERROR(__xludf.DUMMYFUNCTION("""COMPUTED_VALUE"""),"Yes")</f>
        <v>Yes</v>
      </c>
      <c r="O308" s="5" t="str">
        <f ca="1">IFERROR(__xludf.DUMMYFUNCTION("""COMPUTED_VALUE"""),"Yes")</f>
        <v>Yes</v>
      </c>
      <c r="P308" s="5" t="str">
        <f ca="1">IFERROR(__xludf.DUMMYFUNCTION("""COMPUTED_VALUE"""),"Yes")</f>
        <v>Yes</v>
      </c>
      <c r="Q308" s="5" t="str">
        <f ca="1">IFERROR(__xludf.DUMMYFUNCTION("""COMPUTED_VALUE"""),"Yes")</f>
        <v>Yes</v>
      </c>
      <c r="R308" s="5" t="str">
        <f ca="1">IFERROR(__xludf.DUMMYFUNCTION("""COMPUTED_VALUE"""),"Yes")</f>
        <v>Yes</v>
      </c>
      <c r="S308" s="5" t="str">
        <f ca="1">IFERROR(__xludf.DUMMYFUNCTION("""COMPUTED_VALUE"""),"Yes")</f>
        <v>Yes</v>
      </c>
      <c r="T308" s="5" t="str">
        <f ca="1">IFERROR(__xludf.DUMMYFUNCTION("""COMPUTED_VALUE"""),"Yes")</f>
        <v>Yes</v>
      </c>
      <c r="U308" s="5" t="str">
        <f ca="1">IFERROR(__xludf.DUMMYFUNCTION("""COMPUTED_VALUE"""),"Yes")</f>
        <v>Yes</v>
      </c>
      <c r="V308" s="5" t="str">
        <f ca="1">IFERROR(__xludf.DUMMYFUNCTION("""COMPUTED_VALUE"""),"Yes")</f>
        <v>Yes</v>
      </c>
      <c r="W308" s="5" t="str">
        <f ca="1">IFERROR(__xludf.DUMMYFUNCTION("""COMPUTED_VALUE"""),"Yes")</f>
        <v>Yes</v>
      </c>
      <c r="X308" s="5" t="str">
        <f ca="1">IFERROR(__xludf.DUMMYFUNCTION("""COMPUTED_VALUE"""),"Yes")</f>
        <v>Yes</v>
      </c>
      <c r="Y308" s="5" t="str">
        <f ca="1">IFERROR(__xludf.DUMMYFUNCTION("""COMPUTED_VALUE"""),"Yes")</f>
        <v>Yes</v>
      </c>
      <c r="Z308" s="5" t="str">
        <f ca="1">IFERROR(__xludf.DUMMYFUNCTION("""COMPUTED_VALUE"""),"No")</f>
        <v>No</v>
      </c>
      <c r="AA308" s="5" t="str">
        <f ca="1">IFERROR(__xludf.DUMMYFUNCTION("""COMPUTED_VALUE"""),"Yes")</f>
        <v>Yes</v>
      </c>
      <c r="AB308" s="5" t="str">
        <f ca="1">IFERROR(__xludf.DUMMYFUNCTION("""COMPUTED_VALUE"""),"Yes")</f>
        <v>Yes</v>
      </c>
      <c r="AC308" s="5" t="str">
        <f ca="1">IFERROR(__xludf.DUMMYFUNCTION("""COMPUTED_VALUE"""),"Yes")</f>
        <v>Yes</v>
      </c>
      <c r="AD308" s="5" t="str">
        <f ca="1">IFERROR(__xludf.DUMMYFUNCTION("""COMPUTED_VALUE"""),"Yes")</f>
        <v>Yes</v>
      </c>
      <c r="AE308" s="5" t="str">
        <f ca="1">IFERROR(__xludf.DUMMYFUNCTION("""COMPUTED_VALUE"""),"No")</f>
        <v>No</v>
      </c>
      <c r="AF308" s="5" t="str">
        <f ca="1">IFERROR(__xludf.DUMMYFUNCTION("""COMPUTED_VALUE"""),"Yes")</f>
        <v>Yes</v>
      </c>
      <c r="AG308" s="5" t="str">
        <f ca="1">IFERROR(__xludf.DUMMYFUNCTION("""COMPUTED_VALUE"""),"No")</f>
        <v>No</v>
      </c>
      <c r="AH308" s="5" t="str">
        <f ca="1">IFERROR(__xludf.DUMMYFUNCTION("""COMPUTED_VALUE"""),"No")</f>
        <v>No</v>
      </c>
      <c r="AI308" s="5" t="str">
        <f ca="1">IFERROR(__xludf.DUMMYFUNCTION("""COMPUTED_VALUE"""),"No")</f>
        <v>No</v>
      </c>
      <c r="AJ308" s="5" t="str">
        <f ca="1">IFERROR(__xludf.DUMMYFUNCTION("""COMPUTED_VALUE"""),"No")</f>
        <v>No</v>
      </c>
      <c r="AK308" s="5" t="str">
        <f ca="1">IFERROR(__xludf.DUMMYFUNCTION("""COMPUTED_VALUE"""),"No")</f>
        <v>No</v>
      </c>
      <c r="AL308" s="5" t="str">
        <f ca="1">IFERROR(__xludf.DUMMYFUNCTION("""COMPUTED_VALUE"""),"No")</f>
        <v>No</v>
      </c>
      <c r="AM308" s="5"/>
      <c r="AN308" s="5"/>
      <c r="AO308" s="5"/>
      <c r="AP308" s="5"/>
      <c r="AQ308" s="5"/>
      <c r="AR308" s="5"/>
      <c r="AS308" s="5"/>
      <c r="AT308" s="5"/>
      <c r="AU308" s="5"/>
      <c r="AV308" s="5"/>
      <c r="AW308" s="5"/>
      <c r="AX308" s="5"/>
      <c r="AY308" s="5"/>
    </row>
    <row r="309" spans="1:51" x14ac:dyDescent="0.25">
      <c r="A3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9" s="5">
        <f ca="1">IFERROR(__xludf.DUMMYFUNCTION("""COMPUTED_VALUE"""),309)</f>
        <v>309</v>
      </c>
      <c r="C309" s="5">
        <f ca="1">IFERROR(__xludf.DUMMYFUNCTION("""COMPUTED_VALUE"""),308)</f>
        <v>308</v>
      </c>
      <c r="D309" s="5" t="str">
        <f ca="1">IFERROR(__xludf.DUMMYFUNCTION("""COMPUTED_VALUE"""),"RedstoneLadyTripleFortune")</f>
        <v>RedstoneLadyTripleFortune</v>
      </c>
      <c r="E309" s="5" t="str">
        <f ca="1">IFERROR(__xludf.DUMMYFUNCTION("""COMPUTED_VALUE"""),"Yes")</f>
        <v>Yes</v>
      </c>
      <c r="F309" s="5" t="str">
        <f ca="1">IFERROR(__xludf.DUMMYFUNCTION("""COMPUTED_VALUE"""),"Yes")</f>
        <v>Yes</v>
      </c>
      <c r="G309" s="5" t="str">
        <f ca="1">IFERROR(__xludf.DUMMYFUNCTION("""COMPUTED_VALUE"""),"Yes")</f>
        <v>Yes</v>
      </c>
      <c r="H309" s="5" t="str">
        <f ca="1">IFERROR(__xludf.DUMMYFUNCTION("""COMPUTED_VALUE"""),"Yes")</f>
        <v>Yes</v>
      </c>
      <c r="I309" s="5" t="str">
        <f ca="1">IFERROR(__xludf.DUMMYFUNCTION("""COMPUTED_VALUE"""),"Yes")</f>
        <v>Yes</v>
      </c>
      <c r="J309" s="5" t="str">
        <f ca="1">IFERROR(__xludf.DUMMYFUNCTION("""COMPUTED_VALUE"""),"Yes")</f>
        <v>Yes</v>
      </c>
      <c r="K309" s="5" t="str">
        <f ca="1">IFERROR(__xludf.DUMMYFUNCTION("""COMPUTED_VALUE"""),"Yes")</f>
        <v>Yes</v>
      </c>
      <c r="L309" s="5" t="str">
        <f ca="1">IFERROR(__xludf.DUMMYFUNCTION("""COMPUTED_VALUE"""),"Yes")</f>
        <v>Yes</v>
      </c>
      <c r="M309" s="5" t="str">
        <f ca="1">IFERROR(__xludf.DUMMYFUNCTION("""COMPUTED_VALUE"""),"Yes")</f>
        <v>Yes</v>
      </c>
      <c r="N309" s="5" t="str">
        <f ca="1">IFERROR(__xludf.DUMMYFUNCTION("""COMPUTED_VALUE"""),"Yes")</f>
        <v>Yes</v>
      </c>
      <c r="O309" s="5" t="str">
        <f ca="1">IFERROR(__xludf.DUMMYFUNCTION("""COMPUTED_VALUE"""),"Yes")</f>
        <v>Yes</v>
      </c>
      <c r="P309" s="5" t="str">
        <f ca="1">IFERROR(__xludf.DUMMYFUNCTION("""COMPUTED_VALUE"""),"Yes")</f>
        <v>Yes</v>
      </c>
      <c r="Q309" s="5" t="str">
        <f ca="1">IFERROR(__xludf.DUMMYFUNCTION("""COMPUTED_VALUE"""),"Yes")</f>
        <v>Yes</v>
      </c>
      <c r="R309" s="5" t="str">
        <f ca="1">IFERROR(__xludf.DUMMYFUNCTION("""COMPUTED_VALUE"""),"Yes")</f>
        <v>Yes</v>
      </c>
      <c r="S309" s="5" t="str">
        <f ca="1">IFERROR(__xludf.DUMMYFUNCTION("""COMPUTED_VALUE"""),"Yes")</f>
        <v>Yes</v>
      </c>
      <c r="T309" s="5" t="str">
        <f ca="1">IFERROR(__xludf.DUMMYFUNCTION("""COMPUTED_VALUE"""),"Yes")</f>
        <v>Yes</v>
      </c>
      <c r="U309" s="5" t="str">
        <f ca="1">IFERROR(__xludf.DUMMYFUNCTION("""COMPUTED_VALUE"""),"Yes")</f>
        <v>Yes</v>
      </c>
      <c r="V309" s="5" t="str">
        <f ca="1">IFERROR(__xludf.DUMMYFUNCTION("""COMPUTED_VALUE"""),"Yes")</f>
        <v>Yes</v>
      </c>
      <c r="W309" s="5" t="str">
        <f ca="1">IFERROR(__xludf.DUMMYFUNCTION("""COMPUTED_VALUE"""),"Yes")</f>
        <v>Yes</v>
      </c>
      <c r="X309" s="5"/>
      <c r="Y309" s="5"/>
      <c r="Z309" s="5"/>
      <c r="AA309" s="5"/>
      <c r="AB309" s="5"/>
      <c r="AC309" s="5" t="str">
        <f ca="1">IFERROR(__xludf.DUMMYFUNCTION("""COMPUTED_VALUE"""),"Yes")</f>
        <v>Yes</v>
      </c>
      <c r="AD309" s="5"/>
      <c r="AE309" s="5"/>
      <c r="AF309" s="5"/>
      <c r="AG309" s="5"/>
      <c r="AH309" s="5"/>
      <c r="AI309" s="5"/>
      <c r="AJ309" s="5"/>
      <c r="AK309" s="5"/>
      <c r="AL309" s="5"/>
      <c r="AM309" s="5"/>
      <c r="AN309" s="5"/>
      <c r="AO309" s="5"/>
      <c r="AP309" s="5"/>
      <c r="AQ309" s="5"/>
      <c r="AR309" s="5"/>
      <c r="AS309" s="5"/>
      <c r="AT309" s="5"/>
      <c r="AU309" s="5"/>
      <c r="AV309" s="5"/>
      <c r="AW309" s="5"/>
      <c r="AX309" s="5"/>
      <c r="AY309" s="5"/>
    </row>
    <row r="310" spans="1:51" x14ac:dyDescent="0.25">
      <c r="A31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0" s="5">
        <f ca="1">IFERROR(__xludf.DUMMYFUNCTION("""COMPUTED_VALUE"""),310)</f>
        <v>310</v>
      </c>
      <c r="C310" s="5">
        <f ca="1">IFERROR(__xludf.DUMMYFUNCTION("""COMPUTED_VALUE"""),309)</f>
        <v>309</v>
      </c>
      <c r="D310" s="5" t="str">
        <f ca="1">IFERROR(__xludf.DUMMYFUNCTION("""COMPUTED_VALUE"""),"RedstoneHotRushStarsDeluxe")</f>
        <v>RedstoneHotRushStarsDeluxe</v>
      </c>
      <c r="E310" s="5" t="str">
        <f ca="1">IFERROR(__xludf.DUMMYFUNCTION("""COMPUTED_VALUE"""),"Yes")</f>
        <v>Yes</v>
      </c>
      <c r="F310" s="5" t="str">
        <f ca="1">IFERROR(__xludf.DUMMYFUNCTION("""COMPUTED_VALUE"""),"Yes")</f>
        <v>Yes</v>
      </c>
      <c r="G310" s="5" t="str">
        <f ca="1">IFERROR(__xludf.DUMMYFUNCTION("""COMPUTED_VALUE"""),"No")</f>
        <v>No</v>
      </c>
      <c r="H310" s="5" t="str">
        <f ca="1">IFERROR(__xludf.DUMMYFUNCTION("""COMPUTED_VALUE"""),"Yes")</f>
        <v>Yes</v>
      </c>
      <c r="I310" s="5" t="str">
        <f ca="1">IFERROR(__xludf.DUMMYFUNCTION("""COMPUTED_VALUE"""),"Yes")</f>
        <v>Yes</v>
      </c>
      <c r="J310" s="5" t="str">
        <f ca="1">IFERROR(__xludf.DUMMYFUNCTION("""COMPUTED_VALUE"""),"Yes")</f>
        <v>Yes</v>
      </c>
      <c r="K310" s="5" t="str">
        <f ca="1">IFERROR(__xludf.DUMMYFUNCTION("""COMPUTED_VALUE"""),"Yes")</f>
        <v>Yes</v>
      </c>
      <c r="L310" s="5" t="str">
        <f ca="1">IFERROR(__xludf.DUMMYFUNCTION("""COMPUTED_VALUE"""),"Yes")</f>
        <v>Yes</v>
      </c>
      <c r="M310" s="5" t="str">
        <f ca="1">IFERROR(__xludf.DUMMYFUNCTION("""COMPUTED_VALUE"""),"Yes")</f>
        <v>Yes</v>
      </c>
      <c r="N310" s="5" t="str">
        <f ca="1">IFERROR(__xludf.DUMMYFUNCTION("""COMPUTED_VALUE"""),"Yes")</f>
        <v>Yes</v>
      </c>
      <c r="O310" s="5" t="str">
        <f ca="1">IFERROR(__xludf.DUMMYFUNCTION("""COMPUTED_VALUE"""),"Yes")</f>
        <v>Yes</v>
      </c>
      <c r="P310" s="5" t="str">
        <f ca="1">IFERROR(__xludf.DUMMYFUNCTION("""COMPUTED_VALUE"""),"Yes")</f>
        <v>Yes</v>
      </c>
      <c r="Q310" s="5" t="str">
        <f ca="1">IFERROR(__xludf.DUMMYFUNCTION("""COMPUTED_VALUE"""),"Yes")</f>
        <v>Yes</v>
      </c>
      <c r="R310" s="5" t="str">
        <f ca="1">IFERROR(__xludf.DUMMYFUNCTION("""COMPUTED_VALUE"""),"Yes")</f>
        <v>Yes</v>
      </c>
      <c r="S310" s="5" t="str">
        <f ca="1">IFERROR(__xludf.DUMMYFUNCTION("""COMPUTED_VALUE"""),"Yes")</f>
        <v>Yes</v>
      </c>
      <c r="T310" s="5" t="str">
        <f ca="1">IFERROR(__xludf.DUMMYFUNCTION("""COMPUTED_VALUE"""),"No")</f>
        <v>No</v>
      </c>
      <c r="U310" s="5" t="str">
        <f ca="1">IFERROR(__xludf.DUMMYFUNCTION("""COMPUTED_VALUE"""),"No")</f>
        <v>No</v>
      </c>
      <c r="V310" s="5" t="str">
        <f ca="1">IFERROR(__xludf.DUMMYFUNCTION("""COMPUTED_VALUE"""),"No")</f>
        <v>No</v>
      </c>
      <c r="W310" s="5" t="str">
        <f ca="1">IFERROR(__xludf.DUMMYFUNCTION("""COMPUTED_VALUE"""),"No")</f>
        <v>No</v>
      </c>
      <c r="X310" s="5" t="str">
        <f ca="1">IFERROR(__xludf.DUMMYFUNCTION("""COMPUTED_VALUE"""),"No")</f>
        <v>No</v>
      </c>
      <c r="Y310" s="5" t="str">
        <f ca="1">IFERROR(__xludf.DUMMYFUNCTION("""COMPUTED_VALUE"""),"No")</f>
        <v>No</v>
      </c>
      <c r="Z310" s="5" t="str">
        <f ca="1">IFERROR(__xludf.DUMMYFUNCTION("""COMPUTED_VALUE"""),"No")</f>
        <v>No</v>
      </c>
      <c r="AA310" s="5" t="str">
        <f ca="1">IFERROR(__xludf.DUMMYFUNCTION("""COMPUTED_VALUE"""),"No")</f>
        <v>No</v>
      </c>
      <c r="AB310" s="5" t="str">
        <f ca="1">IFERROR(__xludf.DUMMYFUNCTION("""COMPUTED_VALUE"""),"No")</f>
        <v>No</v>
      </c>
      <c r="AC310" s="5" t="str">
        <f ca="1">IFERROR(__xludf.DUMMYFUNCTION("""COMPUTED_VALUE"""),"No")</f>
        <v>No</v>
      </c>
      <c r="AD310" s="5" t="str">
        <f ca="1">IFERROR(__xludf.DUMMYFUNCTION("""COMPUTED_VALUE"""),"No")</f>
        <v>No</v>
      </c>
      <c r="AE310" s="5" t="str">
        <f ca="1">IFERROR(__xludf.DUMMYFUNCTION("""COMPUTED_VALUE"""),"No")</f>
        <v>No</v>
      </c>
      <c r="AF310" s="5" t="str">
        <f ca="1">IFERROR(__xludf.DUMMYFUNCTION("""COMPUTED_VALUE"""),"Yes")</f>
        <v>Yes</v>
      </c>
      <c r="AG310" s="5" t="str">
        <f ca="1">IFERROR(__xludf.DUMMYFUNCTION("""COMPUTED_VALUE"""),"No")</f>
        <v>No</v>
      </c>
      <c r="AH310" s="5" t="str">
        <f ca="1">IFERROR(__xludf.DUMMYFUNCTION("""COMPUTED_VALUE"""),"Yes")</f>
        <v>Yes</v>
      </c>
      <c r="AI310" s="5" t="str">
        <f ca="1">IFERROR(__xludf.DUMMYFUNCTION("""COMPUTED_VALUE"""),"No")</f>
        <v>No</v>
      </c>
      <c r="AJ310" s="5" t="str">
        <f ca="1">IFERROR(__xludf.DUMMYFUNCTION("""COMPUTED_VALUE"""),"No")</f>
        <v>No</v>
      </c>
      <c r="AK310" s="5" t="str">
        <f ca="1">IFERROR(__xludf.DUMMYFUNCTION("""COMPUTED_VALUE"""),"No")</f>
        <v>No</v>
      </c>
      <c r="AL310" s="5" t="str">
        <f ca="1">IFERROR(__xludf.DUMMYFUNCTION("""COMPUTED_VALUE"""),"No")</f>
        <v>No</v>
      </c>
      <c r="AM310" s="5"/>
      <c r="AN310" s="5"/>
      <c r="AO310" s="5"/>
      <c r="AP310" s="5"/>
      <c r="AQ310" s="5"/>
      <c r="AR310" s="5"/>
      <c r="AS310" s="5"/>
      <c r="AT310" s="5"/>
      <c r="AU310" s="5"/>
      <c r="AV310" s="5"/>
      <c r="AW310" s="5"/>
      <c r="AX310" s="5"/>
      <c r="AY310" s="5"/>
    </row>
    <row r="311" spans="1:51" x14ac:dyDescent="0.25">
      <c r="A3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1" s="5">
        <f ca="1">IFERROR(__xludf.DUMMYFUNCTION("""COMPUTED_VALUE"""),311)</f>
        <v>311</v>
      </c>
      <c r="C311" s="5">
        <f ca="1">IFERROR(__xludf.DUMMYFUNCTION("""COMPUTED_VALUE"""),310)</f>
        <v>310</v>
      </c>
      <c r="D311" s="5" t="str">
        <f ca="1">IFERROR(__xludf.DUMMYFUNCTION("""COMPUTED_VALUE"""),"Wild81")</f>
        <v>Wild81</v>
      </c>
      <c r="E311" s="5" t="str">
        <f ca="1">IFERROR(__xludf.DUMMYFUNCTION("""COMPUTED_VALUE"""),"Yes")</f>
        <v>Yes</v>
      </c>
      <c r="F311" s="5" t="str">
        <f ca="1">IFERROR(__xludf.DUMMYFUNCTION("""COMPUTED_VALUE"""),"Yes")</f>
        <v>Yes</v>
      </c>
      <c r="G311" s="5" t="str">
        <f ca="1">IFERROR(__xludf.DUMMYFUNCTION("""COMPUTED_VALUE"""),"Yes")</f>
        <v>Yes</v>
      </c>
      <c r="H311" s="5" t="str">
        <f ca="1">IFERROR(__xludf.DUMMYFUNCTION("""COMPUTED_VALUE"""),"Yes")</f>
        <v>Yes</v>
      </c>
      <c r="I311" s="5" t="str">
        <f ca="1">IFERROR(__xludf.DUMMYFUNCTION("""COMPUTED_VALUE"""),"Yes")</f>
        <v>Yes</v>
      </c>
      <c r="J311" s="5" t="str">
        <f ca="1">IFERROR(__xludf.DUMMYFUNCTION("""COMPUTED_VALUE"""),"Yes")</f>
        <v>Yes</v>
      </c>
      <c r="K311" s="5" t="str">
        <f ca="1">IFERROR(__xludf.DUMMYFUNCTION("""COMPUTED_VALUE"""),"Yes")</f>
        <v>Yes</v>
      </c>
      <c r="L311" s="5" t="str">
        <f ca="1">IFERROR(__xludf.DUMMYFUNCTION("""COMPUTED_VALUE"""),"Yes")</f>
        <v>Yes</v>
      </c>
      <c r="M311" s="5" t="str">
        <f ca="1">IFERROR(__xludf.DUMMYFUNCTION("""COMPUTED_VALUE"""),"Yes")</f>
        <v>Yes</v>
      </c>
      <c r="N311" s="5" t="str">
        <f ca="1">IFERROR(__xludf.DUMMYFUNCTION("""COMPUTED_VALUE"""),"Yes")</f>
        <v>Yes</v>
      </c>
      <c r="O311" s="5" t="str">
        <f ca="1">IFERROR(__xludf.DUMMYFUNCTION("""COMPUTED_VALUE"""),"Yes")</f>
        <v>Yes</v>
      </c>
      <c r="P311" s="5" t="str">
        <f ca="1">IFERROR(__xludf.DUMMYFUNCTION("""COMPUTED_VALUE"""),"Yes")</f>
        <v>Yes</v>
      </c>
      <c r="Q311" s="5" t="str">
        <f ca="1">IFERROR(__xludf.DUMMYFUNCTION("""COMPUTED_VALUE"""),"Yes")</f>
        <v>Yes</v>
      </c>
      <c r="R311" s="5" t="str">
        <f ca="1">IFERROR(__xludf.DUMMYFUNCTION("""COMPUTED_VALUE"""),"Yes")</f>
        <v>Yes</v>
      </c>
      <c r="S311" s="5" t="str">
        <f ca="1">IFERROR(__xludf.DUMMYFUNCTION("""COMPUTED_VALUE"""),"Yes")</f>
        <v>Yes</v>
      </c>
      <c r="T311" s="5" t="str">
        <f ca="1">IFERROR(__xludf.DUMMYFUNCTION("""COMPUTED_VALUE"""),"Yes")</f>
        <v>Yes</v>
      </c>
      <c r="U311" s="5" t="str">
        <f ca="1">IFERROR(__xludf.DUMMYFUNCTION("""COMPUTED_VALUE"""),"Yes")</f>
        <v>Yes</v>
      </c>
      <c r="V311" s="5" t="str">
        <f ca="1">IFERROR(__xludf.DUMMYFUNCTION("""COMPUTED_VALUE"""),"Yes")</f>
        <v>Yes</v>
      </c>
      <c r="W311" s="5" t="str">
        <f ca="1">IFERROR(__xludf.DUMMYFUNCTION("""COMPUTED_VALUE"""),"Yes")</f>
        <v>Yes</v>
      </c>
      <c r="X311" s="5" t="str">
        <f ca="1">IFERROR(__xludf.DUMMYFUNCTION("""COMPUTED_VALUE"""),"Yes")</f>
        <v>Yes</v>
      </c>
      <c r="Y311" s="5" t="str">
        <f ca="1">IFERROR(__xludf.DUMMYFUNCTION("""COMPUTED_VALUE"""),"Yes")</f>
        <v>Yes</v>
      </c>
      <c r="Z311" s="5" t="str">
        <f ca="1">IFERROR(__xludf.DUMMYFUNCTION("""COMPUTED_VALUE"""),"Yes")</f>
        <v>Yes</v>
      </c>
      <c r="AA311" s="5" t="str">
        <f ca="1">IFERROR(__xludf.DUMMYFUNCTION("""COMPUTED_VALUE"""),"Yes")</f>
        <v>Yes</v>
      </c>
      <c r="AB311" s="5" t="str">
        <f ca="1">IFERROR(__xludf.DUMMYFUNCTION("""COMPUTED_VALUE"""),"Yes")</f>
        <v>Yes</v>
      </c>
      <c r="AC311" s="5" t="str">
        <f ca="1">IFERROR(__xludf.DUMMYFUNCTION("""COMPUTED_VALUE"""),"Yes")</f>
        <v>Yes</v>
      </c>
      <c r="AD311" s="5" t="str">
        <f ca="1">IFERROR(__xludf.DUMMYFUNCTION("""COMPUTED_VALUE"""),"Yes")</f>
        <v>Yes</v>
      </c>
      <c r="AE311" s="5" t="str">
        <f ca="1">IFERROR(__xludf.DUMMYFUNCTION("""COMPUTED_VALUE"""),"Yes")</f>
        <v>Yes</v>
      </c>
      <c r="AF311" s="5" t="str">
        <f ca="1">IFERROR(__xludf.DUMMYFUNCTION("""COMPUTED_VALUE"""),"Yes")</f>
        <v>Yes</v>
      </c>
      <c r="AG311" s="5" t="str">
        <f ca="1">IFERROR(__xludf.DUMMYFUNCTION("""COMPUTED_VALUE"""),"Yes")</f>
        <v>Yes</v>
      </c>
      <c r="AH311" s="5" t="str">
        <f ca="1">IFERROR(__xludf.DUMMYFUNCTION("""COMPUTED_VALUE"""),"Yes")</f>
        <v>Yes</v>
      </c>
      <c r="AI311" s="5" t="str">
        <f ca="1">IFERROR(__xludf.DUMMYFUNCTION("""COMPUTED_VALUE"""),"No")</f>
        <v>No</v>
      </c>
      <c r="AJ311" s="5" t="str">
        <f ca="1">IFERROR(__xludf.DUMMYFUNCTION("""COMPUTED_VALUE"""),"No")</f>
        <v>No</v>
      </c>
      <c r="AK311" s="5" t="str">
        <f ca="1">IFERROR(__xludf.DUMMYFUNCTION("""COMPUTED_VALUE"""),"No")</f>
        <v>No</v>
      </c>
      <c r="AL311" s="5" t="str">
        <f ca="1">IFERROR(__xludf.DUMMYFUNCTION("""COMPUTED_VALUE"""),"No")</f>
        <v>No</v>
      </c>
      <c r="AM311" s="5"/>
      <c r="AN311" s="5"/>
      <c r="AO311" s="5"/>
      <c r="AP311" s="5"/>
      <c r="AQ311" s="5"/>
      <c r="AR311" s="5"/>
      <c r="AS311" s="5"/>
      <c r="AT311" s="5"/>
      <c r="AU311" s="5"/>
      <c r="AV311" s="5"/>
      <c r="AW311" s="5"/>
      <c r="AX311" s="5"/>
      <c r="AY311" s="5"/>
    </row>
    <row r="312" spans="1:51" x14ac:dyDescent="0.25">
      <c r="A3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2" s="5">
        <f ca="1">IFERROR(__xludf.DUMMYFUNCTION("""COMPUTED_VALUE"""),312)</f>
        <v>312</v>
      </c>
      <c r="C312" s="5">
        <f ca="1">IFERROR(__xludf.DUMMYFUNCTION("""COMPUTED_VALUE"""),311)</f>
        <v>311</v>
      </c>
      <c r="D312" s="5" t="str">
        <f ca="1">IFERROR(__xludf.DUMMYFUNCTION("""COMPUTED_VALUE"""),"MysticJungle")</f>
        <v>MysticJungle</v>
      </c>
      <c r="E312" s="5" t="str">
        <f ca="1">IFERROR(__xludf.DUMMYFUNCTION("""COMPUTED_VALUE"""),"Yes")</f>
        <v>Yes</v>
      </c>
      <c r="F312" s="5" t="str">
        <f ca="1">IFERROR(__xludf.DUMMYFUNCTION("""COMPUTED_VALUE"""),"Yes")</f>
        <v>Yes</v>
      </c>
      <c r="G312" s="5" t="str">
        <f ca="1">IFERROR(__xludf.DUMMYFUNCTION("""COMPUTED_VALUE"""),"Yes")</f>
        <v>Yes</v>
      </c>
      <c r="H312" s="5" t="str">
        <f ca="1">IFERROR(__xludf.DUMMYFUNCTION("""COMPUTED_VALUE"""),"Yes")</f>
        <v>Yes</v>
      </c>
      <c r="I312" s="5" t="str">
        <f ca="1">IFERROR(__xludf.DUMMYFUNCTION("""COMPUTED_VALUE"""),"Yes")</f>
        <v>Yes</v>
      </c>
      <c r="J312" s="5" t="str">
        <f ca="1">IFERROR(__xludf.DUMMYFUNCTION("""COMPUTED_VALUE"""),"Yes")</f>
        <v>Yes</v>
      </c>
      <c r="K312" s="5" t="str">
        <f ca="1">IFERROR(__xludf.DUMMYFUNCTION("""COMPUTED_VALUE"""),"Yes")</f>
        <v>Yes</v>
      </c>
      <c r="L312" s="5" t="str">
        <f ca="1">IFERROR(__xludf.DUMMYFUNCTION("""COMPUTED_VALUE"""),"Yes")</f>
        <v>Yes</v>
      </c>
      <c r="M312" s="5" t="str">
        <f ca="1">IFERROR(__xludf.DUMMYFUNCTION("""COMPUTED_VALUE"""),"Yes")</f>
        <v>Yes</v>
      </c>
      <c r="N312" s="5" t="str">
        <f ca="1">IFERROR(__xludf.DUMMYFUNCTION("""COMPUTED_VALUE"""),"Yes")</f>
        <v>Yes</v>
      </c>
      <c r="O312" s="5" t="str">
        <f ca="1">IFERROR(__xludf.DUMMYFUNCTION("""COMPUTED_VALUE"""),"Yes")</f>
        <v>Yes</v>
      </c>
      <c r="P312" s="5" t="str">
        <f ca="1">IFERROR(__xludf.DUMMYFUNCTION("""COMPUTED_VALUE"""),"Yes")</f>
        <v>Yes</v>
      </c>
      <c r="Q312" s="5" t="str">
        <f ca="1">IFERROR(__xludf.DUMMYFUNCTION("""COMPUTED_VALUE"""),"Yes")</f>
        <v>Yes</v>
      </c>
      <c r="R312" s="5" t="str">
        <f ca="1">IFERROR(__xludf.DUMMYFUNCTION("""COMPUTED_VALUE"""),"Yes")</f>
        <v>Yes</v>
      </c>
      <c r="S312" s="5" t="str">
        <f ca="1">IFERROR(__xludf.DUMMYFUNCTION("""COMPUTED_VALUE"""),"Yes")</f>
        <v>Yes</v>
      </c>
      <c r="T312" s="5" t="str">
        <f ca="1">IFERROR(__xludf.DUMMYFUNCTION("""COMPUTED_VALUE"""),"Yes")</f>
        <v>Yes</v>
      </c>
      <c r="U312" s="5" t="str">
        <f ca="1">IFERROR(__xludf.DUMMYFUNCTION("""COMPUTED_VALUE"""),"Yes")</f>
        <v>Yes</v>
      </c>
      <c r="V312" s="5" t="str">
        <f ca="1">IFERROR(__xludf.DUMMYFUNCTION("""COMPUTED_VALUE"""),"Yes")</f>
        <v>Yes</v>
      </c>
      <c r="W312" s="5" t="str">
        <f ca="1">IFERROR(__xludf.DUMMYFUNCTION("""COMPUTED_VALUE"""),"Yes")</f>
        <v>Yes</v>
      </c>
      <c r="X312" s="5" t="str">
        <f ca="1">IFERROR(__xludf.DUMMYFUNCTION("""COMPUTED_VALUE"""),"Yes")</f>
        <v>Yes</v>
      </c>
      <c r="Y312" s="5" t="str">
        <f ca="1">IFERROR(__xludf.DUMMYFUNCTION("""COMPUTED_VALUE"""),"Yes")</f>
        <v>Yes</v>
      </c>
      <c r="Z312" s="5" t="str">
        <f ca="1">IFERROR(__xludf.DUMMYFUNCTION("""COMPUTED_VALUE"""),"Yes")</f>
        <v>Yes</v>
      </c>
      <c r="AA312" s="5" t="str">
        <f ca="1">IFERROR(__xludf.DUMMYFUNCTION("""COMPUTED_VALUE"""),"Yes")</f>
        <v>Yes</v>
      </c>
      <c r="AB312" s="5" t="str">
        <f ca="1">IFERROR(__xludf.DUMMYFUNCTION("""COMPUTED_VALUE"""),"Yes")</f>
        <v>Yes</v>
      </c>
      <c r="AC312" s="5" t="str">
        <f ca="1">IFERROR(__xludf.DUMMYFUNCTION("""COMPUTED_VALUE"""),"Yes")</f>
        <v>Yes</v>
      </c>
      <c r="AD312" s="5" t="str">
        <f ca="1">IFERROR(__xludf.DUMMYFUNCTION("""COMPUTED_VALUE"""),"Yes")</f>
        <v>Yes</v>
      </c>
      <c r="AE312" s="5" t="str">
        <f ca="1">IFERROR(__xludf.DUMMYFUNCTION("""COMPUTED_VALUE"""),"Yes")</f>
        <v>Yes</v>
      </c>
      <c r="AF312" s="5" t="str">
        <f ca="1">IFERROR(__xludf.DUMMYFUNCTION("""COMPUTED_VALUE"""),"Yes")</f>
        <v>Yes</v>
      </c>
      <c r="AG312" s="5" t="str">
        <f ca="1">IFERROR(__xludf.DUMMYFUNCTION("""COMPUTED_VALUE"""),"Yes")</f>
        <v>Yes</v>
      </c>
      <c r="AH312" s="5" t="str">
        <f ca="1">IFERROR(__xludf.DUMMYFUNCTION("""COMPUTED_VALUE"""),"Yes")</f>
        <v>Yes</v>
      </c>
      <c r="AI312" s="5" t="str">
        <f ca="1">IFERROR(__xludf.DUMMYFUNCTION("""COMPUTED_VALUE"""),"No")</f>
        <v>No</v>
      </c>
      <c r="AJ312" s="5" t="str">
        <f ca="1">IFERROR(__xludf.DUMMYFUNCTION("""COMPUTED_VALUE"""),"No")</f>
        <v>No</v>
      </c>
      <c r="AK312" s="5" t="str">
        <f ca="1">IFERROR(__xludf.DUMMYFUNCTION("""COMPUTED_VALUE"""),"No")</f>
        <v>No</v>
      </c>
      <c r="AL312" s="5" t="str">
        <f ca="1">IFERROR(__xludf.DUMMYFUNCTION("""COMPUTED_VALUE"""),"No")</f>
        <v>No</v>
      </c>
      <c r="AM312" s="5"/>
      <c r="AN312" s="5"/>
      <c r="AO312" s="5"/>
      <c r="AP312" s="5"/>
      <c r="AQ312" s="5"/>
      <c r="AR312" s="5"/>
      <c r="AS312" s="5"/>
      <c r="AT312" s="5"/>
      <c r="AU312" s="5"/>
      <c r="AV312" s="5"/>
      <c r="AW312" s="5"/>
      <c r="AX312" s="5"/>
      <c r="AY312" s="5"/>
    </row>
    <row r="313" spans="1:51" x14ac:dyDescent="0.25">
      <c r="A3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13" s="5">
        <f ca="1">IFERROR(__xludf.DUMMYFUNCTION("""COMPUTED_VALUE"""),313)</f>
        <v>313</v>
      </c>
      <c r="C313" s="5">
        <f ca="1">IFERROR(__xludf.DUMMYFUNCTION("""COMPUTED_VALUE"""),312)</f>
        <v>312</v>
      </c>
      <c r="D313" s="5" t="str">
        <f ca="1">IFERROR(__xludf.DUMMYFUNCTION("""COMPUTED_VALUE"""),"RedstoneSlotRoyale")</f>
        <v>RedstoneSlotRoyale</v>
      </c>
      <c r="E313" s="5" t="str">
        <f ca="1">IFERROR(__xludf.DUMMYFUNCTION("""COMPUTED_VALUE"""),"Yes")</f>
        <v>Yes</v>
      </c>
      <c r="F313" s="5" t="str">
        <f ca="1">IFERROR(__xludf.DUMMYFUNCTION("""COMPUTED_VALUE"""),"Yes")</f>
        <v>Yes</v>
      </c>
      <c r="G313" s="5" t="str">
        <f ca="1">IFERROR(__xludf.DUMMYFUNCTION("""COMPUTED_VALUE"""),"Yes")</f>
        <v>Yes</v>
      </c>
      <c r="H313" s="5" t="str">
        <f ca="1">IFERROR(__xludf.DUMMYFUNCTION("""COMPUTED_VALUE"""),"Yes")</f>
        <v>Yes</v>
      </c>
      <c r="I313" s="5" t="str">
        <f ca="1">IFERROR(__xludf.DUMMYFUNCTION("""COMPUTED_VALUE"""),"Yes")</f>
        <v>Yes</v>
      </c>
      <c r="J313" s="5" t="str">
        <f ca="1">IFERROR(__xludf.DUMMYFUNCTION("""COMPUTED_VALUE"""),"Yes")</f>
        <v>Yes</v>
      </c>
      <c r="K313" s="5" t="str">
        <f ca="1">IFERROR(__xludf.DUMMYFUNCTION("""COMPUTED_VALUE"""),"Yes")</f>
        <v>Yes</v>
      </c>
      <c r="L313" s="5" t="str">
        <f ca="1">IFERROR(__xludf.DUMMYFUNCTION("""COMPUTED_VALUE"""),"Yes")</f>
        <v>Yes</v>
      </c>
      <c r="M313" s="5" t="str">
        <f ca="1">IFERROR(__xludf.DUMMYFUNCTION("""COMPUTED_VALUE"""),"Yes")</f>
        <v>Yes</v>
      </c>
      <c r="N313" s="5" t="str">
        <f ca="1">IFERROR(__xludf.DUMMYFUNCTION("""COMPUTED_VALUE"""),"Yes")</f>
        <v>Yes</v>
      </c>
      <c r="O313" s="5" t="str">
        <f ca="1">IFERROR(__xludf.DUMMYFUNCTION("""COMPUTED_VALUE"""),"Yes")</f>
        <v>Yes</v>
      </c>
      <c r="P313" s="5" t="str">
        <f ca="1">IFERROR(__xludf.DUMMYFUNCTION("""COMPUTED_VALUE"""),"Yes")</f>
        <v>Yes</v>
      </c>
      <c r="Q313" s="5" t="str">
        <f ca="1">IFERROR(__xludf.DUMMYFUNCTION("""COMPUTED_VALUE"""),"Yes")</f>
        <v>Yes</v>
      </c>
      <c r="R313" s="5" t="str">
        <f ca="1">IFERROR(__xludf.DUMMYFUNCTION("""COMPUTED_VALUE"""),"Yes")</f>
        <v>Yes</v>
      </c>
      <c r="S313" s="5" t="str">
        <f ca="1">IFERROR(__xludf.DUMMYFUNCTION("""COMPUTED_VALUE"""),"Yes")</f>
        <v>Yes</v>
      </c>
      <c r="T313" s="5" t="str">
        <f ca="1">IFERROR(__xludf.DUMMYFUNCTION("""COMPUTED_VALUE"""),"Yes")</f>
        <v>Yes</v>
      </c>
      <c r="U313" s="5" t="str">
        <f ca="1">IFERROR(__xludf.DUMMYFUNCTION("""COMPUTED_VALUE"""),"Yes")</f>
        <v>Yes</v>
      </c>
      <c r="V313" s="5" t="str">
        <f ca="1">IFERROR(__xludf.DUMMYFUNCTION("""COMPUTED_VALUE"""),"Yes")</f>
        <v>Yes</v>
      </c>
      <c r="W313" s="5" t="str">
        <f ca="1">IFERROR(__xludf.DUMMYFUNCTION("""COMPUTED_VALUE"""),"Yes")</f>
        <v>Yes</v>
      </c>
      <c r="X313" s="5"/>
      <c r="Y313" s="5" t="str">
        <f ca="1">IFERROR(__xludf.DUMMYFUNCTION("""COMPUTED_VALUE"""),"Yes")</f>
        <v>Yes</v>
      </c>
      <c r="Z313" s="5"/>
      <c r="AA313" s="5"/>
      <c r="AB313" s="5"/>
      <c r="AC313" s="5" t="str">
        <f ca="1">IFERROR(__xludf.DUMMYFUNCTION("""COMPUTED_VALUE"""),"Yes")</f>
        <v>Yes</v>
      </c>
      <c r="AD313" s="5"/>
      <c r="AE313" s="5"/>
      <c r="AF313" s="5"/>
      <c r="AG313" s="5"/>
      <c r="AH313" s="5"/>
      <c r="AI313" s="5"/>
      <c r="AJ313" s="5"/>
      <c r="AK313" s="5"/>
      <c r="AL313" s="5"/>
      <c r="AM313" s="5"/>
      <c r="AN313" s="5"/>
      <c r="AO313" s="5"/>
      <c r="AP313" s="5"/>
      <c r="AQ313" s="5"/>
      <c r="AR313" s="5"/>
      <c r="AS313" s="5"/>
      <c r="AT313" s="5"/>
      <c r="AU313" s="5"/>
      <c r="AV313" s="5"/>
      <c r="AW313" s="5"/>
      <c r="AX313" s="5"/>
      <c r="AY313" s="5"/>
    </row>
    <row r="314" spans="1:51" x14ac:dyDescent="0.25">
      <c r="A314"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4" s="5">
        <f ca="1">IFERROR(__xludf.DUMMYFUNCTION("""COMPUTED_VALUE"""),314)</f>
        <v>314</v>
      </c>
      <c r="C314" s="5">
        <f ca="1">IFERROR(__xludf.DUMMYFUNCTION("""COMPUTED_VALUE"""),313)</f>
        <v>313</v>
      </c>
      <c r="D314" s="5" t="str">
        <f ca="1">IFERROR(__xludf.DUMMYFUNCTION("""COMPUTED_VALUE"""),"RedstoneClover5LockAndCash")</f>
        <v>RedstoneClover5LockAndCash</v>
      </c>
      <c r="E314" s="5" t="str">
        <f ca="1">IFERROR(__xludf.DUMMYFUNCTION("""COMPUTED_VALUE"""),"Yes")</f>
        <v>Yes</v>
      </c>
      <c r="F314" s="5" t="str">
        <f ca="1">IFERROR(__xludf.DUMMYFUNCTION("""COMPUTED_VALUE"""),"Yes")</f>
        <v>Yes</v>
      </c>
      <c r="G314" s="5" t="str">
        <f ca="1">IFERROR(__xludf.DUMMYFUNCTION("""COMPUTED_VALUE"""),"No")</f>
        <v>No</v>
      </c>
      <c r="H314" s="5" t="str">
        <f ca="1">IFERROR(__xludf.DUMMYFUNCTION("""COMPUTED_VALUE"""),"Yes")</f>
        <v>Yes</v>
      </c>
      <c r="I314" s="5" t="str">
        <f ca="1">IFERROR(__xludf.DUMMYFUNCTION("""COMPUTED_VALUE"""),"Yes")</f>
        <v>Yes</v>
      </c>
      <c r="J314" s="5" t="str">
        <f ca="1">IFERROR(__xludf.DUMMYFUNCTION("""COMPUTED_VALUE"""),"Yes")</f>
        <v>Yes</v>
      </c>
      <c r="K314" s="5" t="str">
        <f ca="1">IFERROR(__xludf.DUMMYFUNCTION("""COMPUTED_VALUE"""),"Yes")</f>
        <v>Yes</v>
      </c>
      <c r="L314" s="5" t="str">
        <f ca="1">IFERROR(__xludf.DUMMYFUNCTION("""COMPUTED_VALUE"""),"Yes")</f>
        <v>Yes</v>
      </c>
      <c r="M314" s="5" t="str">
        <f ca="1">IFERROR(__xludf.DUMMYFUNCTION("""COMPUTED_VALUE"""),"Yes")</f>
        <v>Yes</v>
      </c>
      <c r="N314" s="5" t="str">
        <f ca="1">IFERROR(__xludf.DUMMYFUNCTION("""COMPUTED_VALUE"""),"Yes")</f>
        <v>Yes</v>
      </c>
      <c r="O314" s="5" t="str">
        <f ca="1">IFERROR(__xludf.DUMMYFUNCTION("""COMPUTED_VALUE"""),"Yes")</f>
        <v>Yes</v>
      </c>
      <c r="P314" s="5" t="str">
        <f ca="1">IFERROR(__xludf.DUMMYFUNCTION("""COMPUTED_VALUE"""),"Yes")</f>
        <v>Yes</v>
      </c>
      <c r="Q314" s="5" t="str">
        <f ca="1">IFERROR(__xludf.DUMMYFUNCTION("""COMPUTED_VALUE"""),"Yes")</f>
        <v>Yes</v>
      </c>
      <c r="R314" s="5" t="str">
        <f ca="1">IFERROR(__xludf.DUMMYFUNCTION("""COMPUTED_VALUE"""),"Yes")</f>
        <v>Yes</v>
      </c>
      <c r="S314" s="5" t="str">
        <f ca="1">IFERROR(__xludf.DUMMYFUNCTION("""COMPUTED_VALUE"""),"Yes")</f>
        <v>Yes</v>
      </c>
      <c r="T314" s="5" t="str">
        <f ca="1">IFERROR(__xludf.DUMMYFUNCTION("""COMPUTED_VALUE"""),"No")</f>
        <v>No</v>
      </c>
      <c r="U314" s="5" t="str">
        <f ca="1">IFERROR(__xludf.DUMMYFUNCTION("""COMPUTED_VALUE"""),"No")</f>
        <v>No</v>
      </c>
      <c r="V314" s="5" t="str">
        <f ca="1">IFERROR(__xludf.DUMMYFUNCTION("""COMPUTED_VALUE"""),"No")</f>
        <v>No</v>
      </c>
      <c r="W314" s="5" t="str">
        <f ca="1">IFERROR(__xludf.DUMMYFUNCTION("""COMPUTED_VALUE"""),"No")</f>
        <v>No</v>
      </c>
      <c r="X314" s="5" t="str">
        <f ca="1">IFERROR(__xludf.DUMMYFUNCTION("""COMPUTED_VALUE"""),"No")</f>
        <v>No</v>
      </c>
      <c r="Y314" s="5" t="str">
        <f ca="1">IFERROR(__xludf.DUMMYFUNCTION("""COMPUTED_VALUE"""),"No")</f>
        <v>No</v>
      </c>
      <c r="Z314" s="5" t="str">
        <f ca="1">IFERROR(__xludf.DUMMYFUNCTION("""COMPUTED_VALUE"""),"No")</f>
        <v>No</v>
      </c>
      <c r="AA314" s="5" t="str">
        <f ca="1">IFERROR(__xludf.DUMMYFUNCTION("""COMPUTED_VALUE"""),"No")</f>
        <v>No</v>
      </c>
      <c r="AB314" s="5" t="str">
        <f ca="1">IFERROR(__xludf.DUMMYFUNCTION("""COMPUTED_VALUE"""),"No")</f>
        <v>No</v>
      </c>
      <c r="AC314" s="5" t="str">
        <f ca="1">IFERROR(__xludf.DUMMYFUNCTION("""COMPUTED_VALUE"""),"No")</f>
        <v>No</v>
      </c>
      <c r="AD314" s="5" t="str">
        <f ca="1">IFERROR(__xludf.DUMMYFUNCTION("""COMPUTED_VALUE"""),"No")</f>
        <v>No</v>
      </c>
      <c r="AE314" s="5" t="str">
        <f ca="1">IFERROR(__xludf.DUMMYFUNCTION("""COMPUTED_VALUE"""),"No")</f>
        <v>No</v>
      </c>
      <c r="AF314" s="5" t="str">
        <f ca="1">IFERROR(__xludf.DUMMYFUNCTION("""COMPUTED_VALUE"""),"Yes")</f>
        <v>Yes</v>
      </c>
      <c r="AG314" s="5" t="str">
        <f ca="1">IFERROR(__xludf.DUMMYFUNCTION("""COMPUTED_VALUE"""),"No")</f>
        <v>No</v>
      </c>
      <c r="AH314" s="5" t="str">
        <f ca="1">IFERROR(__xludf.DUMMYFUNCTION("""COMPUTED_VALUE"""),"Yes")</f>
        <v>Yes</v>
      </c>
      <c r="AI314" s="5" t="str">
        <f ca="1">IFERROR(__xludf.DUMMYFUNCTION("""COMPUTED_VALUE"""),"No")</f>
        <v>No</v>
      </c>
      <c r="AJ314" s="5" t="str">
        <f ca="1">IFERROR(__xludf.DUMMYFUNCTION("""COMPUTED_VALUE"""),"No")</f>
        <v>No</v>
      </c>
      <c r="AK314" s="5" t="str">
        <f ca="1">IFERROR(__xludf.DUMMYFUNCTION("""COMPUTED_VALUE"""),"No")</f>
        <v>No</v>
      </c>
      <c r="AL314" s="5" t="str">
        <f ca="1">IFERROR(__xludf.DUMMYFUNCTION("""COMPUTED_VALUE"""),"No")</f>
        <v>No</v>
      </c>
      <c r="AM314" s="5"/>
      <c r="AN314" s="5"/>
      <c r="AO314" s="5"/>
      <c r="AP314" s="5"/>
      <c r="AQ314" s="5"/>
      <c r="AR314" s="5"/>
      <c r="AS314" s="5"/>
      <c r="AT314" s="5"/>
      <c r="AU314" s="5"/>
      <c r="AV314" s="5"/>
      <c r="AW314" s="5"/>
      <c r="AX314" s="5"/>
      <c r="AY314" s="5"/>
    </row>
    <row r="315" spans="1:51" x14ac:dyDescent="0.25">
      <c r="A3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5" s="5">
        <f ca="1">IFERROR(__xludf.DUMMYFUNCTION("""COMPUTED_VALUE"""),315)</f>
        <v>315</v>
      </c>
      <c r="C315" s="5">
        <f ca="1">IFERROR(__xludf.DUMMYFUNCTION("""COMPUTED_VALUE"""),314)</f>
        <v>314</v>
      </c>
      <c r="D315" s="5" t="str">
        <f ca="1">IFERROR(__xludf.DUMMYFUNCTION("""COMPUTED_VALUE"""),"WildLuckyDice")</f>
        <v>WildLuckyDice</v>
      </c>
      <c r="E315" s="5" t="str">
        <f ca="1">IFERROR(__xludf.DUMMYFUNCTION("""COMPUTED_VALUE"""),"Yes")</f>
        <v>Yes</v>
      </c>
      <c r="F315" s="5" t="str">
        <f ca="1">IFERROR(__xludf.DUMMYFUNCTION("""COMPUTED_VALUE"""),"Yes")</f>
        <v>Yes</v>
      </c>
      <c r="G315" s="5" t="str">
        <f ca="1">IFERROR(__xludf.DUMMYFUNCTION("""COMPUTED_VALUE"""),"Yes")</f>
        <v>Yes</v>
      </c>
      <c r="H315" s="5" t="str">
        <f ca="1">IFERROR(__xludf.DUMMYFUNCTION("""COMPUTED_VALUE"""),"Yes")</f>
        <v>Yes</v>
      </c>
      <c r="I315" s="5" t="str">
        <f ca="1">IFERROR(__xludf.DUMMYFUNCTION("""COMPUTED_VALUE"""),"Yes")</f>
        <v>Yes</v>
      </c>
      <c r="J315" s="5" t="str">
        <f ca="1">IFERROR(__xludf.DUMMYFUNCTION("""COMPUTED_VALUE"""),"Yes")</f>
        <v>Yes</v>
      </c>
      <c r="K315" s="5" t="str">
        <f ca="1">IFERROR(__xludf.DUMMYFUNCTION("""COMPUTED_VALUE"""),"Yes")</f>
        <v>Yes</v>
      </c>
      <c r="L315" s="5" t="str">
        <f ca="1">IFERROR(__xludf.DUMMYFUNCTION("""COMPUTED_VALUE"""),"Yes")</f>
        <v>Yes</v>
      </c>
      <c r="M315" s="5" t="str">
        <f ca="1">IFERROR(__xludf.DUMMYFUNCTION("""COMPUTED_VALUE"""),"Yes")</f>
        <v>Yes</v>
      </c>
      <c r="N315" s="5" t="str">
        <f ca="1">IFERROR(__xludf.DUMMYFUNCTION("""COMPUTED_VALUE"""),"Yes")</f>
        <v>Yes</v>
      </c>
      <c r="O315" s="5" t="str">
        <f ca="1">IFERROR(__xludf.DUMMYFUNCTION("""COMPUTED_VALUE"""),"Yes")</f>
        <v>Yes</v>
      </c>
      <c r="P315" s="5" t="str">
        <f ca="1">IFERROR(__xludf.DUMMYFUNCTION("""COMPUTED_VALUE"""),"Yes")</f>
        <v>Yes</v>
      </c>
      <c r="Q315" s="5" t="str">
        <f ca="1">IFERROR(__xludf.DUMMYFUNCTION("""COMPUTED_VALUE"""),"Yes")</f>
        <v>Yes</v>
      </c>
      <c r="R315" s="5" t="str">
        <f ca="1">IFERROR(__xludf.DUMMYFUNCTION("""COMPUTED_VALUE"""),"Yes")</f>
        <v>Yes</v>
      </c>
      <c r="S315" s="5" t="str">
        <f ca="1">IFERROR(__xludf.DUMMYFUNCTION("""COMPUTED_VALUE"""),"Yes")</f>
        <v>Yes</v>
      </c>
      <c r="T315" s="5" t="str">
        <f ca="1">IFERROR(__xludf.DUMMYFUNCTION("""COMPUTED_VALUE"""),"Yes")</f>
        <v>Yes</v>
      </c>
      <c r="U315" s="5" t="str">
        <f ca="1">IFERROR(__xludf.DUMMYFUNCTION("""COMPUTED_VALUE"""),"Yes")</f>
        <v>Yes</v>
      </c>
      <c r="V315" s="5" t="str">
        <f ca="1">IFERROR(__xludf.DUMMYFUNCTION("""COMPUTED_VALUE"""),"Yes")</f>
        <v>Yes</v>
      </c>
      <c r="W315" s="5" t="str">
        <f ca="1">IFERROR(__xludf.DUMMYFUNCTION("""COMPUTED_VALUE"""),"Yes")</f>
        <v>Yes</v>
      </c>
      <c r="X315" s="5" t="str">
        <f ca="1">IFERROR(__xludf.DUMMYFUNCTION("""COMPUTED_VALUE"""),"Yes")</f>
        <v>Yes</v>
      </c>
      <c r="Y315" s="5" t="str">
        <f ca="1">IFERROR(__xludf.DUMMYFUNCTION("""COMPUTED_VALUE"""),"Yes")</f>
        <v>Yes</v>
      </c>
      <c r="Z315" s="5" t="str">
        <f ca="1">IFERROR(__xludf.DUMMYFUNCTION("""COMPUTED_VALUE"""),"No")</f>
        <v>No</v>
      </c>
      <c r="AA315" s="5" t="str">
        <f ca="1">IFERROR(__xludf.DUMMYFUNCTION("""COMPUTED_VALUE"""),"Yes")</f>
        <v>Yes</v>
      </c>
      <c r="AB315" s="5" t="str">
        <f ca="1">IFERROR(__xludf.DUMMYFUNCTION("""COMPUTED_VALUE"""),"Yes")</f>
        <v>Yes</v>
      </c>
      <c r="AC315" s="5" t="str">
        <f ca="1">IFERROR(__xludf.DUMMYFUNCTION("""COMPUTED_VALUE"""),"Yes")</f>
        <v>Yes</v>
      </c>
      <c r="AD315" s="5" t="str">
        <f ca="1">IFERROR(__xludf.DUMMYFUNCTION("""COMPUTED_VALUE"""),"Yes")</f>
        <v>Yes</v>
      </c>
      <c r="AE315" s="5" t="str">
        <f ca="1">IFERROR(__xludf.DUMMYFUNCTION("""COMPUTED_VALUE"""),"No")</f>
        <v>No</v>
      </c>
      <c r="AF315" s="5" t="str">
        <f ca="1">IFERROR(__xludf.DUMMYFUNCTION("""COMPUTED_VALUE"""),"Yes")</f>
        <v>Yes</v>
      </c>
      <c r="AG315" s="5" t="str">
        <f ca="1">IFERROR(__xludf.DUMMYFUNCTION("""COMPUTED_VALUE"""),"No")</f>
        <v>No</v>
      </c>
      <c r="AH315" s="5" t="str">
        <f ca="1">IFERROR(__xludf.DUMMYFUNCTION("""COMPUTED_VALUE"""),"No")</f>
        <v>No</v>
      </c>
      <c r="AI315" s="5" t="str">
        <f ca="1">IFERROR(__xludf.DUMMYFUNCTION("""COMPUTED_VALUE"""),"No")</f>
        <v>No</v>
      </c>
      <c r="AJ315" s="5" t="str">
        <f ca="1">IFERROR(__xludf.DUMMYFUNCTION("""COMPUTED_VALUE"""),"No")</f>
        <v>No</v>
      </c>
      <c r="AK315" s="5" t="str">
        <f ca="1">IFERROR(__xludf.DUMMYFUNCTION("""COMPUTED_VALUE"""),"No")</f>
        <v>No</v>
      </c>
      <c r="AL315" s="5" t="str">
        <f ca="1">IFERROR(__xludf.DUMMYFUNCTION("""COMPUTED_VALUE"""),"No")</f>
        <v>No</v>
      </c>
      <c r="AM315" s="5"/>
      <c r="AN315" s="5"/>
      <c r="AO315" s="5"/>
      <c r="AP315" s="5"/>
      <c r="AQ315" s="5"/>
      <c r="AR315" s="5"/>
      <c r="AS315" s="5"/>
      <c r="AT315" s="5"/>
      <c r="AU315" s="5"/>
      <c r="AV315" s="5"/>
      <c r="AW315" s="5"/>
      <c r="AX315" s="5"/>
      <c r="AY315" s="5"/>
    </row>
    <row r="316" spans="1:51" x14ac:dyDescent="0.25">
      <c r="A3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6" s="5">
        <f ca="1">IFERROR(__xludf.DUMMYFUNCTION("""COMPUTED_VALUE"""),316)</f>
        <v>316</v>
      </c>
      <c r="C316" s="5">
        <f ca="1">IFERROR(__xludf.DUMMYFUNCTION("""COMPUTED_VALUE"""),315)</f>
        <v>315</v>
      </c>
      <c r="D316" s="5" t="str">
        <f ca="1">IFERROR(__xludf.DUMMYFUNCTION("""COMPUTED_VALUE"""),"EggspandingRush")</f>
        <v>EggspandingRush</v>
      </c>
      <c r="E316" s="5" t="str">
        <f ca="1">IFERROR(__xludf.DUMMYFUNCTION("""COMPUTED_VALUE"""),"Yes")</f>
        <v>Yes</v>
      </c>
      <c r="F316" s="5" t="str">
        <f ca="1">IFERROR(__xludf.DUMMYFUNCTION("""COMPUTED_VALUE"""),"Yes")</f>
        <v>Yes</v>
      </c>
      <c r="G316" s="5" t="str">
        <f ca="1">IFERROR(__xludf.DUMMYFUNCTION("""COMPUTED_VALUE"""),"Yes")</f>
        <v>Yes</v>
      </c>
      <c r="H316" s="5" t="str">
        <f ca="1">IFERROR(__xludf.DUMMYFUNCTION("""COMPUTED_VALUE"""),"Yes")</f>
        <v>Yes</v>
      </c>
      <c r="I316" s="5" t="str">
        <f ca="1">IFERROR(__xludf.DUMMYFUNCTION("""COMPUTED_VALUE"""),"Yes")</f>
        <v>Yes</v>
      </c>
      <c r="J316" s="5" t="str">
        <f ca="1">IFERROR(__xludf.DUMMYFUNCTION("""COMPUTED_VALUE"""),"Yes")</f>
        <v>Yes</v>
      </c>
      <c r="K316" s="5" t="str">
        <f ca="1">IFERROR(__xludf.DUMMYFUNCTION("""COMPUTED_VALUE"""),"Yes")</f>
        <v>Yes</v>
      </c>
      <c r="L316" s="5" t="str">
        <f ca="1">IFERROR(__xludf.DUMMYFUNCTION("""COMPUTED_VALUE"""),"Yes")</f>
        <v>Yes</v>
      </c>
      <c r="M316" s="5" t="str">
        <f ca="1">IFERROR(__xludf.DUMMYFUNCTION("""COMPUTED_VALUE"""),"Yes")</f>
        <v>Yes</v>
      </c>
      <c r="N316" s="5" t="str">
        <f ca="1">IFERROR(__xludf.DUMMYFUNCTION("""COMPUTED_VALUE"""),"Yes")</f>
        <v>Yes</v>
      </c>
      <c r="O316" s="5" t="str">
        <f ca="1">IFERROR(__xludf.DUMMYFUNCTION("""COMPUTED_VALUE"""),"Yes")</f>
        <v>Yes</v>
      </c>
      <c r="P316" s="5" t="str">
        <f ca="1">IFERROR(__xludf.DUMMYFUNCTION("""COMPUTED_VALUE"""),"Yes")</f>
        <v>Yes</v>
      </c>
      <c r="Q316" s="5" t="str">
        <f ca="1">IFERROR(__xludf.DUMMYFUNCTION("""COMPUTED_VALUE"""),"Yes")</f>
        <v>Yes</v>
      </c>
      <c r="R316" s="5" t="str">
        <f ca="1">IFERROR(__xludf.DUMMYFUNCTION("""COMPUTED_VALUE"""),"Yes")</f>
        <v>Yes</v>
      </c>
      <c r="S316" s="5" t="str">
        <f ca="1">IFERROR(__xludf.DUMMYFUNCTION("""COMPUTED_VALUE"""),"Yes")</f>
        <v>Yes</v>
      </c>
      <c r="T316" s="5" t="str">
        <f ca="1">IFERROR(__xludf.DUMMYFUNCTION("""COMPUTED_VALUE"""),"Yes")</f>
        <v>Yes</v>
      </c>
      <c r="U316" s="5" t="str">
        <f ca="1">IFERROR(__xludf.DUMMYFUNCTION("""COMPUTED_VALUE"""),"Yes")</f>
        <v>Yes</v>
      </c>
      <c r="V316" s="5" t="str">
        <f ca="1">IFERROR(__xludf.DUMMYFUNCTION("""COMPUTED_VALUE"""),"Yes")</f>
        <v>Yes</v>
      </c>
      <c r="W316" s="5" t="str">
        <f ca="1">IFERROR(__xludf.DUMMYFUNCTION("""COMPUTED_VALUE"""),"Yes")</f>
        <v>Yes</v>
      </c>
      <c r="X316" s="5" t="str">
        <f ca="1">IFERROR(__xludf.DUMMYFUNCTION("""COMPUTED_VALUE"""),"Yes")</f>
        <v>Yes</v>
      </c>
      <c r="Y316" s="5" t="str">
        <f ca="1">IFERROR(__xludf.DUMMYFUNCTION("""COMPUTED_VALUE"""),"Yes")</f>
        <v>Yes</v>
      </c>
      <c r="Z316" s="5" t="str">
        <f ca="1">IFERROR(__xludf.DUMMYFUNCTION("""COMPUTED_VALUE"""),"No")</f>
        <v>No</v>
      </c>
      <c r="AA316" s="5" t="str">
        <f ca="1">IFERROR(__xludf.DUMMYFUNCTION("""COMPUTED_VALUE"""),"Yes")</f>
        <v>Yes</v>
      </c>
      <c r="AB316" s="5" t="str">
        <f ca="1">IFERROR(__xludf.DUMMYFUNCTION("""COMPUTED_VALUE"""),"Yes")</f>
        <v>Yes</v>
      </c>
      <c r="AC316" s="5" t="str">
        <f ca="1">IFERROR(__xludf.DUMMYFUNCTION("""COMPUTED_VALUE"""),"Yes")</f>
        <v>Yes</v>
      </c>
      <c r="AD316" s="5" t="str">
        <f ca="1">IFERROR(__xludf.DUMMYFUNCTION("""COMPUTED_VALUE"""),"Yes")</f>
        <v>Yes</v>
      </c>
      <c r="AE316" s="5" t="str">
        <f ca="1">IFERROR(__xludf.DUMMYFUNCTION("""COMPUTED_VALUE"""),"No")</f>
        <v>No</v>
      </c>
      <c r="AF316" s="5" t="str">
        <f ca="1">IFERROR(__xludf.DUMMYFUNCTION("""COMPUTED_VALUE"""),"Yes")</f>
        <v>Yes</v>
      </c>
      <c r="AG316" s="5" t="str">
        <f ca="1">IFERROR(__xludf.DUMMYFUNCTION("""COMPUTED_VALUE"""),"No")</f>
        <v>No</v>
      </c>
      <c r="AH316" s="5" t="str">
        <f ca="1">IFERROR(__xludf.DUMMYFUNCTION("""COMPUTED_VALUE"""),"No")</f>
        <v>No</v>
      </c>
      <c r="AI316" s="5" t="str">
        <f ca="1">IFERROR(__xludf.DUMMYFUNCTION("""COMPUTED_VALUE"""),"No")</f>
        <v>No</v>
      </c>
      <c r="AJ316" s="5" t="str">
        <f ca="1">IFERROR(__xludf.DUMMYFUNCTION("""COMPUTED_VALUE"""),"No")</f>
        <v>No</v>
      </c>
      <c r="AK316" s="5" t="str">
        <f ca="1">IFERROR(__xludf.DUMMYFUNCTION("""COMPUTED_VALUE"""),"No")</f>
        <v>No</v>
      </c>
      <c r="AL316" s="5" t="str">
        <f ca="1">IFERROR(__xludf.DUMMYFUNCTION("""COMPUTED_VALUE"""),"No")</f>
        <v>No</v>
      </c>
      <c r="AM316" s="5"/>
      <c r="AN316" s="5"/>
      <c r="AO316" s="5"/>
      <c r="AP316" s="5"/>
      <c r="AQ316" s="5"/>
      <c r="AR316" s="5"/>
      <c r="AS316" s="5"/>
      <c r="AT316" s="5"/>
      <c r="AU316" s="5"/>
      <c r="AV316" s="5"/>
      <c r="AW316" s="5"/>
      <c r="AX316" s="5"/>
      <c r="AY316" s="5"/>
    </row>
    <row r="317" spans="1:51" x14ac:dyDescent="0.25">
      <c r="A3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7" s="5">
        <f ca="1">IFERROR(__xludf.DUMMYFUNCTION("""COMPUTED_VALUE"""),317)</f>
        <v>317</v>
      </c>
      <c r="C317" s="5">
        <f ca="1">IFERROR(__xludf.DUMMYFUNCTION("""COMPUTED_VALUE"""),316)</f>
        <v>316</v>
      </c>
      <c r="D317" s="5" t="str">
        <f ca="1">IFERROR(__xludf.DUMMYFUNCTION("""COMPUTED_VALUE"""),"MozzartWild40")</f>
        <v>MozzartWild40</v>
      </c>
      <c r="E317" s="5" t="str">
        <f ca="1">IFERROR(__xludf.DUMMYFUNCTION("""COMPUTED_VALUE"""),"Yes")</f>
        <v>Yes</v>
      </c>
      <c r="F317" s="5" t="str">
        <f ca="1">IFERROR(__xludf.DUMMYFUNCTION("""COMPUTED_VALUE"""),"Yes")</f>
        <v>Yes</v>
      </c>
      <c r="G317" s="5" t="str">
        <f ca="1">IFERROR(__xludf.DUMMYFUNCTION("""COMPUTED_VALUE"""),"Yes")</f>
        <v>Yes</v>
      </c>
      <c r="H317" s="5" t="str">
        <f ca="1">IFERROR(__xludf.DUMMYFUNCTION("""COMPUTED_VALUE"""),"Yes")</f>
        <v>Yes</v>
      </c>
      <c r="I317" s="5" t="str">
        <f ca="1">IFERROR(__xludf.DUMMYFUNCTION("""COMPUTED_VALUE"""),"Yes")</f>
        <v>Yes</v>
      </c>
      <c r="J317" s="5" t="str">
        <f ca="1">IFERROR(__xludf.DUMMYFUNCTION("""COMPUTED_VALUE"""),"Yes")</f>
        <v>Yes</v>
      </c>
      <c r="K317" s="5" t="str">
        <f ca="1">IFERROR(__xludf.DUMMYFUNCTION("""COMPUTED_VALUE"""),"Yes")</f>
        <v>Yes</v>
      </c>
      <c r="L317" s="5" t="str">
        <f ca="1">IFERROR(__xludf.DUMMYFUNCTION("""COMPUTED_VALUE"""),"Yes")</f>
        <v>Yes</v>
      </c>
      <c r="M317" s="5" t="str">
        <f ca="1">IFERROR(__xludf.DUMMYFUNCTION("""COMPUTED_VALUE"""),"Yes")</f>
        <v>Yes</v>
      </c>
      <c r="N317" s="5" t="str">
        <f ca="1">IFERROR(__xludf.DUMMYFUNCTION("""COMPUTED_VALUE"""),"Yes")</f>
        <v>Yes</v>
      </c>
      <c r="O317" s="5" t="str">
        <f ca="1">IFERROR(__xludf.DUMMYFUNCTION("""COMPUTED_VALUE"""),"Yes")</f>
        <v>Yes</v>
      </c>
      <c r="P317" s="5" t="str">
        <f ca="1">IFERROR(__xludf.DUMMYFUNCTION("""COMPUTED_VALUE"""),"Yes")</f>
        <v>Yes</v>
      </c>
      <c r="Q317" s="5" t="str">
        <f ca="1">IFERROR(__xludf.DUMMYFUNCTION("""COMPUTED_VALUE"""),"Yes")</f>
        <v>Yes</v>
      </c>
      <c r="R317" s="5" t="str">
        <f ca="1">IFERROR(__xludf.DUMMYFUNCTION("""COMPUTED_VALUE"""),"Yes")</f>
        <v>Yes</v>
      </c>
      <c r="S317" s="5" t="str">
        <f ca="1">IFERROR(__xludf.DUMMYFUNCTION("""COMPUTED_VALUE"""),"Yes")</f>
        <v>Yes</v>
      </c>
      <c r="T317" s="5" t="str">
        <f ca="1">IFERROR(__xludf.DUMMYFUNCTION("""COMPUTED_VALUE"""),"Yes")</f>
        <v>Yes</v>
      </c>
      <c r="U317" s="5" t="str">
        <f ca="1">IFERROR(__xludf.DUMMYFUNCTION("""COMPUTED_VALUE"""),"Yes")</f>
        <v>Yes</v>
      </c>
      <c r="V317" s="5" t="str">
        <f ca="1">IFERROR(__xludf.DUMMYFUNCTION("""COMPUTED_VALUE"""),"Yes")</f>
        <v>Yes</v>
      </c>
      <c r="W317" s="5" t="str">
        <f ca="1">IFERROR(__xludf.DUMMYFUNCTION("""COMPUTED_VALUE"""),"Yes")</f>
        <v>Yes</v>
      </c>
      <c r="X317" s="5" t="str">
        <f ca="1">IFERROR(__xludf.DUMMYFUNCTION("""COMPUTED_VALUE"""),"Yes")</f>
        <v>Yes</v>
      </c>
      <c r="Y317" s="5" t="str">
        <f ca="1">IFERROR(__xludf.DUMMYFUNCTION("""COMPUTED_VALUE"""),"Yes")</f>
        <v>Yes</v>
      </c>
      <c r="Z317" s="5" t="str">
        <f ca="1">IFERROR(__xludf.DUMMYFUNCTION("""COMPUTED_VALUE"""),"No")</f>
        <v>No</v>
      </c>
      <c r="AA317" s="5" t="str">
        <f ca="1">IFERROR(__xludf.DUMMYFUNCTION("""COMPUTED_VALUE"""),"Yes")</f>
        <v>Yes</v>
      </c>
      <c r="AB317" s="5" t="str">
        <f ca="1">IFERROR(__xludf.DUMMYFUNCTION("""COMPUTED_VALUE"""),"Yes")</f>
        <v>Yes</v>
      </c>
      <c r="AC317" s="5" t="str">
        <f ca="1">IFERROR(__xludf.DUMMYFUNCTION("""COMPUTED_VALUE"""),"Yes")</f>
        <v>Yes</v>
      </c>
      <c r="AD317" s="5" t="str">
        <f ca="1">IFERROR(__xludf.DUMMYFUNCTION("""COMPUTED_VALUE"""),"Yes")</f>
        <v>Yes</v>
      </c>
      <c r="AE317" s="5" t="str">
        <f ca="1">IFERROR(__xludf.DUMMYFUNCTION("""COMPUTED_VALUE"""),"No")</f>
        <v>No</v>
      </c>
      <c r="AF317" s="5" t="str">
        <f ca="1">IFERROR(__xludf.DUMMYFUNCTION("""COMPUTED_VALUE"""),"Yes")</f>
        <v>Yes</v>
      </c>
      <c r="AG317" s="5" t="str">
        <f ca="1">IFERROR(__xludf.DUMMYFUNCTION("""COMPUTED_VALUE"""),"No")</f>
        <v>No</v>
      </c>
      <c r="AH317" s="5" t="str">
        <f ca="1">IFERROR(__xludf.DUMMYFUNCTION("""COMPUTED_VALUE"""),"No")</f>
        <v>No</v>
      </c>
      <c r="AI317" s="5" t="str">
        <f ca="1">IFERROR(__xludf.DUMMYFUNCTION("""COMPUTED_VALUE"""),"No")</f>
        <v>No</v>
      </c>
      <c r="AJ317" s="5" t="str">
        <f ca="1">IFERROR(__xludf.DUMMYFUNCTION("""COMPUTED_VALUE"""),"No")</f>
        <v>No</v>
      </c>
      <c r="AK317" s="5" t="str">
        <f ca="1">IFERROR(__xludf.DUMMYFUNCTION("""COMPUTED_VALUE"""),"No")</f>
        <v>No</v>
      </c>
      <c r="AL317" s="5" t="str">
        <f ca="1">IFERROR(__xludf.DUMMYFUNCTION("""COMPUTED_VALUE"""),"No")</f>
        <v>No</v>
      </c>
      <c r="AM317" s="5"/>
      <c r="AN317" s="5"/>
      <c r="AO317" s="5"/>
      <c r="AP317" s="5"/>
      <c r="AQ317" s="5"/>
      <c r="AR317" s="5"/>
      <c r="AS317" s="5"/>
      <c r="AT317" s="5"/>
      <c r="AU317" s="5"/>
      <c r="AV317" s="5"/>
      <c r="AW317" s="5"/>
      <c r="AX317" s="5"/>
      <c r="AY317" s="5"/>
    </row>
    <row r="318" spans="1:51" x14ac:dyDescent="0.25">
      <c r="A3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8" s="5">
        <f ca="1">IFERROR(__xludf.DUMMYFUNCTION("""COMPUTED_VALUE"""),318)</f>
        <v>318</v>
      </c>
      <c r="C318" s="5">
        <f ca="1">IFERROR(__xludf.DUMMYFUNCTION("""COMPUTED_VALUE"""),317)</f>
        <v>317</v>
      </c>
      <c r="D318" s="5" t="str">
        <f ca="1">IFERROR(__xludf.DUMMYFUNCTION("""COMPUTED_VALUE"""),"MozzartFruits")</f>
        <v>MozzartFruits</v>
      </c>
      <c r="E318" s="5" t="str">
        <f ca="1">IFERROR(__xludf.DUMMYFUNCTION("""COMPUTED_VALUE"""),"Yes")</f>
        <v>Yes</v>
      </c>
      <c r="F318" s="5" t="str">
        <f ca="1">IFERROR(__xludf.DUMMYFUNCTION("""COMPUTED_VALUE"""),"Yes")</f>
        <v>Yes</v>
      </c>
      <c r="G318" s="5" t="str">
        <f ca="1">IFERROR(__xludf.DUMMYFUNCTION("""COMPUTED_VALUE"""),"Yes")</f>
        <v>Yes</v>
      </c>
      <c r="H318" s="5" t="str">
        <f ca="1">IFERROR(__xludf.DUMMYFUNCTION("""COMPUTED_VALUE"""),"Yes")</f>
        <v>Yes</v>
      </c>
      <c r="I318" s="5" t="str">
        <f ca="1">IFERROR(__xludf.DUMMYFUNCTION("""COMPUTED_VALUE"""),"Yes")</f>
        <v>Yes</v>
      </c>
      <c r="J318" s="5" t="str">
        <f ca="1">IFERROR(__xludf.DUMMYFUNCTION("""COMPUTED_VALUE"""),"Yes")</f>
        <v>Yes</v>
      </c>
      <c r="K318" s="5" t="str">
        <f ca="1">IFERROR(__xludf.DUMMYFUNCTION("""COMPUTED_VALUE"""),"Yes")</f>
        <v>Yes</v>
      </c>
      <c r="L318" s="5" t="str">
        <f ca="1">IFERROR(__xludf.DUMMYFUNCTION("""COMPUTED_VALUE"""),"Yes")</f>
        <v>Yes</v>
      </c>
      <c r="M318" s="5" t="str">
        <f ca="1">IFERROR(__xludf.DUMMYFUNCTION("""COMPUTED_VALUE"""),"Yes")</f>
        <v>Yes</v>
      </c>
      <c r="N318" s="5" t="str">
        <f ca="1">IFERROR(__xludf.DUMMYFUNCTION("""COMPUTED_VALUE"""),"Yes")</f>
        <v>Yes</v>
      </c>
      <c r="O318" s="5" t="str">
        <f ca="1">IFERROR(__xludf.DUMMYFUNCTION("""COMPUTED_VALUE"""),"Yes")</f>
        <v>Yes</v>
      </c>
      <c r="P318" s="5" t="str">
        <f ca="1">IFERROR(__xludf.DUMMYFUNCTION("""COMPUTED_VALUE"""),"Yes")</f>
        <v>Yes</v>
      </c>
      <c r="Q318" s="5" t="str">
        <f ca="1">IFERROR(__xludf.DUMMYFUNCTION("""COMPUTED_VALUE"""),"Yes")</f>
        <v>Yes</v>
      </c>
      <c r="R318" s="5" t="str">
        <f ca="1">IFERROR(__xludf.DUMMYFUNCTION("""COMPUTED_VALUE"""),"Yes")</f>
        <v>Yes</v>
      </c>
      <c r="S318" s="5" t="str">
        <f ca="1">IFERROR(__xludf.DUMMYFUNCTION("""COMPUTED_VALUE"""),"Yes")</f>
        <v>Yes</v>
      </c>
      <c r="T318" s="5" t="str">
        <f ca="1">IFERROR(__xludf.DUMMYFUNCTION("""COMPUTED_VALUE"""),"Yes")</f>
        <v>Yes</v>
      </c>
      <c r="U318" s="5" t="str">
        <f ca="1">IFERROR(__xludf.DUMMYFUNCTION("""COMPUTED_VALUE"""),"Yes")</f>
        <v>Yes</v>
      </c>
      <c r="V318" s="5" t="str">
        <f ca="1">IFERROR(__xludf.DUMMYFUNCTION("""COMPUTED_VALUE"""),"Yes")</f>
        <v>Yes</v>
      </c>
      <c r="W318" s="5" t="str">
        <f ca="1">IFERROR(__xludf.DUMMYFUNCTION("""COMPUTED_VALUE"""),"Yes")</f>
        <v>Yes</v>
      </c>
      <c r="X318" s="5" t="str">
        <f ca="1">IFERROR(__xludf.DUMMYFUNCTION("""COMPUTED_VALUE"""),"Yes")</f>
        <v>Yes</v>
      </c>
      <c r="Y318" s="5" t="str">
        <f ca="1">IFERROR(__xludf.DUMMYFUNCTION("""COMPUTED_VALUE"""),"Yes")</f>
        <v>Yes</v>
      </c>
      <c r="Z318" s="5" t="str">
        <f ca="1">IFERROR(__xludf.DUMMYFUNCTION("""COMPUTED_VALUE"""),"No")</f>
        <v>No</v>
      </c>
      <c r="AA318" s="5" t="str">
        <f ca="1">IFERROR(__xludf.DUMMYFUNCTION("""COMPUTED_VALUE"""),"Yes")</f>
        <v>Yes</v>
      </c>
      <c r="AB318" s="5" t="str">
        <f ca="1">IFERROR(__xludf.DUMMYFUNCTION("""COMPUTED_VALUE"""),"Yes")</f>
        <v>Yes</v>
      </c>
      <c r="AC318" s="5" t="str">
        <f ca="1">IFERROR(__xludf.DUMMYFUNCTION("""COMPUTED_VALUE"""),"Yes")</f>
        <v>Yes</v>
      </c>
      <c r="AD318" s="5" t="str">
        <f ca="1">IFERROR(__xludf.DUMMYFUNCTION("""COMPUTED_VALUE"""),"Yes")</f>
        <v>Yes</v>
      </c>
      <c r="AE318" s="5" t="str">
        <f ca="1">IFERROR(__xludf.DUMMYFUNCTION("""COMPUTED_VALUE"""),"No")</f>
        <v>No</v>
      </c>
      <c r="AF318" s="5" t="str">
        <f ca="1">IFERROR(__xludf.DUMMYFUNCTION("""COMPUTED_VALUE"""),"Yes")</f>
        <v>Yes</v>
      </c>
      <c r="AG318" s="5" t="str">
        <f ca="1">IFERROR(__xludf.DUMMYFUNCTION("""COMPUTED_VALUE"""),"No")</f>
        <v>No</v>
      </c>
      <c r="AH318" s="5" t="str">
        <f ca="1">IFERROR(__xludf.DUMMYFUNCTION("""COMPUTED_VALUE"""),"No")</f>
        <v>No</v>
      </c>
      <c r="AI318" s="5" t="str">
        <f ca="1">IFERROR(__xludf.DUMMYFUNCTION("""COMPUTED_VALUE"""),"No")</f>
        <v>No</v>
      </c>
      <c r="AJ318" s="5" t="str">
        <f ca="1">IFERROR(__xludf.DUMMYFUNCTION("""COMPUTED_VALUE"""),"No")</f>
        <v>No</v>
      </c>
      <c r="AK318" s="5" t="str">
        <f ca="1">IFERROR(__xludf.DUMMYFUNCTION("""COMPUTED_VALUE"""),"No")</f>
        <v>No</v>
      </c>
      <c r="AL318" s="5" t="str">
        <f ca="1">IFERROR(__xludf.DUMMYFUNCTION("""COMPUTED_VALUE"""),"No")</f>
        <v>No</v>
      </c>
      <c r="AM318" s="5"/>
      <c r="AN318" s="5"/>
      <c r="AO318" s="5"/>
      <c r="AP318" s="5"/>
      <c r="AQ318" s="5"/>
      <c r="AR318" s="5"/>
      <c r="AS318" s="5"/>
      <c r="AT318" s="5"/>
      <c r="AU318" s="5"/>
      <c r="AV318" s="5"/>
      <c r="AW318" s="5"/>
      <c r="AX318" s="5"/>
      <c r="AY318" s="5"/>
    </row>
    <row r="319" spans="1:51" x14ac:dyDescent="0.25">
      <c r="A3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9" s="5">
        <f ca="1">IFERROR(__xludf.DUMMYFUNCTION("""COMPUTED_VALUE"""),319)</f>
        <v>319</v>
      </c>
      <c r="C319" s="5">
        <f ca="1">IFERROR(__xludf.DUMMYFUNCTION("""COMPUTED_VALUE"""),318)</f>
        <v>318</v>
      </c>
      <c r="D319" s="5" t="str">
        <f ca="1">IFERROR(__xludf.DUMMYFUNCTION("""COMPUTED_VALUE"""),"MozzartHeat")</f>
        <v>MozzartHeat</v>
      </c>
      <c r="E319" s="5" t="str">
        <f ca="1">IFERROR(__xludf.DUMMYFUNCTION("""COMPUTED_VALUE"""),"Yes")</f>
        <v>Yes</v>
      </c>
      <c r="F319" s="5" t="str">
        <f ca="1">IFERROR(__xludf.DUMMYFUNCTION("""COMPUTED_VALUE"""),"Yes")</f>
        <v>Yes</v>
      </c>
      <c r="G319" s="5" t="str">
        <f ca="1">IFERROR(__xludf.DUMMYFUNCTION("""COMPUTED_VALUE"""),"Yes")</f>
        <v>Yes</v>
      </c>
      <c r="H319" s="5" t="str">
        <f ca="1">IFERROR(__xludf.DUMMYFUNCTION("""COMPUTED_VALUE"""),"Yes")</f>
        <v>Yes</v>
      </c>
      <c r="I319" s="5" t="str">
        <f ca="1">IFERROR(__xludf.DUMMYFUNCTION("""COMPUTED_VALUE"""),"Yes")</f>
        <v>Yes</v>
      </c>
      <c r="J319" s="5" t="str">
        <f ca="1">IFERROR(__xludf.DUMMYFUNCTION("""COMPUTED_VALUE"""),"Yes")</f>
        <v>Yes</v>
      </c>
      <c r="K319" s="5" t="str">
        <f ca="1">IFERROR(__xludf.DUMMYFUNCTION("""COMPUTED_VALUE"""),"Yes")</f>
        <v>Yes</v>
      </c>
      <c r="L319" s="5" t="str">
        <f ca="1">IFERROR(__xludf.DUMMYFUNCTION("""COMPUTED_VALUE"""),"Yes")</f>
        <v>Yes</v>
      </c>
      <c r="M319" s="5" t="str">
        <f ca="1">IFERROR(__xludf.DUMMYFUNCTION("""COMPUTED_VALUE"""),"Yes")</f>
        <v>Yes</v>
      </c>
      <c r="N319" s="5" t="str">
        <f ca="1">IFERROR(__xludf.DUMMYFUNCTION("""COMPUTED_VALUE"""),"Yes")</f>
        <v>Yes</v>
      </c>
      <c r="O319" s="5" t="str">
        <f ca="1">IFERROR(__xludf.DUMMYFUNCTION("""COMPUTED_VALUE"""),"Yes")</f>
        <v>Yes</v>
      </c>
      <c r="P319" s="5" t="str">
        <f ca="1">IFERROR(__xludf.DUMMYFUNCTION("""COMPUTED_VALUE"""),"Yes")</f>
        <v>Yes</v>
      </c>
      <c r="Q319" s="5" t="str">
        <f ca="1">IFERROR(__xludf.DUMMYFUNCTION("""COMPUTED_VALUE"""),"Yes")</f>
        <v>Yes</v>
      </c>
      <c r="R319" s="5" t="str">
        <f ca="1">IFERROR(__xludf.DUMMYFUNCTION("""COMPUTED_VALUE"""),"Yes")</f>
        <v>Yes</v>
      </c>
      <c r="S319" s="5" t="str">
        <f ca="1">IFERROR(__xludf.DUMMYFUNCTION("""COMPUTED_VALUE"""),"Yes")</f>
        <v>Yes</v>
      </c>
      <c r="T319" s="5" t="str">
        <f ca="1">IFERROR(__xludf.DUMMYFUNCTION("""COMPUTED_VALUE"""),"Yes")</f>
        <v>Yes</v>
      </c>
      <c r="U319" s="5" t="str">
        <f ca="1">IFERROR(__xludf.DUMMYFUNCTION("""COMPUTED_VALUE"""),"Yes")</f>
        <v>Yes</v>
      </c>
      <c r="V319" s="5" t="str">
        <f ca="1">IFERROR(__xludf.DUMMYFUNCTION("""COMPUTED_VALUE"""),"Yes")</f>
        <v>Yes</v>
      </c>
      <c r="W319" s="5" t="str">
        <f ca="1">IFERROR(__xludf.DUMMYFUNCTION("""COMPUTED_VALUE"""),"Yes")</f>
        <v>Yes</v>
      </c>
      <c r="X319" s="5" t="str">
        <f ca="1">IFERROR(__xludf.DUMMYFUNCTION("""COMPUTED_VALUE"""),"Yes")</f>
        <v>Yes</v>
      </c>
      <c r="Y319" s="5" t="str">
        <f ca="1">IFERROR(__xludf.DUMMYFUNCTION("""COMPUTED_VALUE"""),"Yes")</f>
        <v>Yes</v>
      </c>
      <c r="Z319" s="5" t="str">
        <f ca="1">IFERROR(__xludf.DUMMYFUNCTION("""COMPUTED_VALUE"""),"No")</f>
        <v>No</v>
      </c>
      <c r="AA319" s="5" t="str">
        <f ca="1">IFERROR(__xludf.DUMMYFUNCTION("""COMPUTED_VALUE"""),"Yes")</f>
        <v>Yes</v>
      </c>
      <c r="AB319" s="5" t="str">
        <f ca="1">IFERROR(__xludf.DUMMYFUNCTION("""COMPUTED_VALUE"""),"Yes")</f>
        <v>Yes</v>
      </c>
      <c r="AC319" s="5" t="str">
        <f ca="1">IFERROR(__xludf.DUMMYFUNCTION("""COMPUTED_VALUE"""),"Yes")</f>
        <v>Yes</v>
      </c>
      <c r="AD319" s="5" t="str">
        <f ca="1">IFERROR(__xludf.DUMMYFUNCTION("""COMPUTED_VALUE"""),"Yes")</f>
        <v>Yes</v>
      </c>
      <c r="AE319" s="5" t="str">
        <f ca="1">IFERROR(__xludf.DUMMYFUNCTION("""COMPUTED_VALUE"""),"No")</f>
        <v>No</v>
      </c>
      <c r="AF319" s="5" t="str">
        <f ca="1">IFERROR(__xludf.DUMMYFUNCTION("""COMPUTED_VALUE"""),"Yes")</f>
        <v>Yes</v>
      </c>
      <c r="AG319" s="5" t="str">
        <f ca="1">IFERROR(__xludf.DUMMYFUNCTION("""COMPUTED_VALUE"""),"No")</f>
        <v>No</v>
      </c>
      <c r="AH319" s="5" t="str">
        <f ca="1">IFERROR(__xludf.DUMMYFUNCTION("""COMPUTED_VALUE"""),"No")</f>
        <v>No</v>
      </c>
      <c r="AI319" s="5" t="str">
        <f ca="1">IFERROR(__xludf.DUMMYFUNCTION("""COMPUTED_VALUE"""),"No")</f>
        <v>No</v>
      </c>
      <c r="AJ319" s="5" t="str">
        <f ca="1">IFERROR(__xludf.DUMMYFUNCTION("""COMPUTED_VALUE"""),"No")</f>
        <v>No</v>
      </c>
      <c r="AK319" s="5" t="str">
        <f ca="1">IFERROR(__xludf.DUMMYFUNCTION("""COMPUTED_VALUE"""),"No")</f>
        <v>No</v>
      </c>
      <c r="AL319" s="5" t="str">
        <f ca="1">IFERROR(__xludf.DUMMYFUNCTION("""COMPUTED_VALUE"""),"No")</f>
        <v>No</v>
      </c>
      <c r="AM319" s="5"/>
      <c r="AN319" s="5"/>
      <c r="AO319" s="5"/>
      <c r="AP319" s="5"/>
      <c r="AQ319" s="5"/>
      <c r="AR319" s="5"/>
      <c r="AS319" s="5"/>
      <c r="AT319" s="5"/>
      <c r="AU319" s="5"/>
      <c r="AV319" s="5"/>
      <c r="AW319" s="5"/>
      <c r="AX319" s="5"/>
      <c r="AY319" s="5"/>
    </row>
    <row r="320" spans="1:51" x14ac:dyDescent="0.25">
      <c r="A3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0" s="5">
        <f ca="1">IFERROR(__xludf.DUMMYFUNCTION("""COMPUTED_VALUE"""),320)</f>
        <v>320</v>
      </c>
      <c r="C320" s="5">
        <f ca="1">IFERROR(__xludf.DUMMYFUNCTION("""COMPUTED_VALUE"""),319)</f>
        <v>319</v>
      </c>
      <c r="D320" s="5" t="str">
        <f ca="1">IFERROR(__xludf.DUMMYFUNCTION("""COMPUTED_VALUE"""),"CrystalsOfMozzart")</f>
        <v>CrystalsOfMozzart</v>
      </c>
      <c r="E320" s="5" t="str">
        <f ca="1">IFERROR(__xludf.DUMMYFUNCTION("""COMPUTED_VALUE"""),"Yes")</f>
        <v>Yes</v>
      </c>
      <c r="F320" s="5" t="str">
        <f ca="1">IFERROR(__xludf.DUMMYFUNCTION("""COMPUTED_VALUE"""),"Yes")</f>
        <v>Yes</v>
      </c>
      <c r="G320" s="5" t="str">
        <f ca="1">IFERROR(__xludf.DUMMYFUNCTION("""COMPUTED_VALUE"""),"Yes")</f>
        <v>Yes</v>
      </c>
      <c r="H320" s="5" t="str">
        <f ca="1">IFERROR(__xludf.DUMMYFUNCTION("""COMPUTED_VALUE"""),"Yes")</f>
        <v>Yes</v>
      </c>
      <c r="I320" s="5" t="str">
        <f ca="1">IFERROR(__xludf.DUMMYFUNCTION("""COMPUTED_VALUE"""),"Yes")</f>
        <v>Yes</v>
      </c>
      <c r="J320" s="5" t="str">
        <f ca="1">IFERROR(__xludf.DUMMYFUNCTION("""COMPUTED_VALUE"""),"Yes")</f>
        <v>Yes</v>
      </c>
      <c r="K320" s="5" t="str">
        <f ca="1">IFERROR(__xludf.DUMMYFUNCTION("""COMPUTED_VALUE"""),"Yes")</f>
        <v>Yes</v>
      </c>
      <c r="L320" s="5" t="str">
        <f ca="1">IFERROR(__xludf.DUMMYFUNCTION("""COMPUTED_VALUE"""),"Yes")</f>
        <v>Yes</v>
      </c>
      <c r="M320" s="5" t="str">
        <f ca="1">IFERROR(__xludf.DUMMYFUNCTION("""COMPUTED_VALUE"""),"Yes")</f>
        <v>Yes</v>
      </c>
      <c r="N320" s="5" t="str">
        <f ca="1">IFERROR(__xludf.DUMMYFUNCTION("""COMPUTED_VALUE"""),"Yes")</f>
        <v>Yes</v>
      </c>
      <c r="O320" s="5" t="str">
        <f ca="1">IFERROR(__xludf.DUMMYFUNCTION("""COMPUTED_VALUE"""),"Yes")</f>
        <v>Yes</v>
      </c>
      <c r="P320" s="5" t="str">
        <f ca="1">IFERROR(__xludf.DUMMYFUNCTION("""COMPUTED_VALUE"""),"Yes")</f>
        <v>Yes</v>
      </c>
      <c r="Q320" s="5" t="str">
        <f ca="1">IFERROR(__xludf.DUMMYFUNCTION("""COMPUTED_VALUE"""),"Yes")</f>
        <v>Yes</v>
      </c>
      <c r="R320" s="5" t="str">
        <f ca="1">IFERROR(__xludf.DUMMYFUNCTION("""COMPUTED_VALUE"""),"Yes")</f>
        <v>Yes</v>
      </c>
      <c r="S320" s="5" t="str">
        <f ca="1">IFERROR(__xludf.DUMMYFUNCTION("""COMPUTED_VALUE"""),"Yes")</f>
        <v>Yes</v>
      </c>
      <c r="T320" s="5" t="str">
        <f ca="1">IFERROR(__xludf.DUMMYFUNCTION("""COMPUTED_VALUE"""),"Yes")</f>
        <v>Yes</v>
      </c>
      <c r="U320" s="5" t="str">
        <f ca="1">IFERROR(__xludf.DUMMYFUNCTION("""COMPUTED_VALUE"""),"Yes")</f>
        <v>Yes</v>
      </c>
      <c r="V320" s="5" t="str">
        <f ca="1">IFERROR(__xludf.DUMMYFUNCTION("""COMPUTED_VALUE"""),"Yes")</f>
        <v>Yes</v>
      </c>
      <c r="W320" s="5" t="str">
        <f ca="1">IFERROR(__xludf.DUMMYFUNCTION("""COMPUTED_VALUE"""),"Yes")</f>
        <v>Yes</v>
      </c>
      <c r="X320" s="5" t="str">
        <f ca="1">IFERROR(__xludf.DUMMYFUNCTION("""COMPUTED_VALUE"""),"Yes")</f>
        <v>Yes</v>
      </c>
      <c r="Y320" s="5" t="str">
        <f ca="1">IFERROR(__xludf.DUMMYFUNCTION("""COMPUTED_VALUE"""),"Yes")</f>
        <v>Yes</v>
      </c>
      <c r="Z320" s="5" t="str">
        <f ca="1">IFERROR(__xludf.DUMMYFUNCTION("""COMPUTED_VALUE"""),"No")</f>
        <v>No</v>
      </c>
      <c r="AA320" s="5" t="str">
        <f ca="1">IFERROR(__xludf.DUMMYFUNCTION("""COMPUTED_VALUE"""),"Yes")</f>
        <v>Yes</v>
      </c>
      <c r="AB320" s="5" t="str">
        <f ca="1">IFERROR(__xludf.DUMMYFUNCTION("""COMPUTED_VALUE"""),"Yes")</f>
        <v>Yes</v>
      </c>
      <c r="AC320" s="5" t="str">
        <f ca="1">IFERROR(__xludf.DUMMYFUNCTION("""COMPUTED_VALUE"""),"Yes")</f>
        <v>Yes</v>
      </c>
      <c r="AD320" s="5" t="str">
        <f ca="1">IFERROR(__xludf.DUMMYFUNCTION("""COMPUTED_VALUE"""),"Yes")</f>
        <v>Yes</v>
      </c>
      <c r="AE320" s="5" t="str">
        <f ca="1">IFERROR(__xludf.DUMMYFUNCTION("""COMPUTED_VALUE"""),"No")</f>
        <v>No</v>
      </c>
      <c r="AF320" s="5" t="str">
        <f ca="1">IFERROR(__xludf.DUMMYFUNCTION("""COMPUTED_VALUE"""),"Yes")</f>
        <v>Yes</v>
      </c>
      <c r="AG320" s="5" t="str">
        <f ca="1">IFERROR(__xludf.DUMMYFUNCTION("""COMPUTED_VALUE"""),"No")</f>
        <v>No</v>
      </c>
      <c r="AH320" s="5" t="str">
        <f ca="1">IFERROR(__xludf.DUMMYFUNCTION("""COMPUTED_VALUE"""),"No")</f>
        <v>No</v>
      </c>
      <c r="AI320" s="5" t="str">
        <f ca="1">IFERROR(__xludf.DUMMYFUNCTION("""COMPUTED_VALUE"""),"No")</f>
        <v>No</v>
      </c>
      <c r="AJ320" s="5" t="str">
        <f ca="1">IFERROR(__xludf.DUMMYFUNCTION("""COMPUTED_VALUE"""),"No")</f>
        <v>No</v>
      </c>
      <c r="AK320" s="5" t="str">
        <f ca="1">IFERROR(__xludf.DUMMYFUNCTION("""COMPUTED_VALUE"""),"No")</f>
        <v>No</v>
      </c>
      <c r="AL320" s="5" t="str">
        <f ca="1">IFERROR(__xludf.DUMMYFUNCTION("""COMPUTED_VALUE"""),"No")</f>
        <v>No</v>
      </c>
      <c r="AM320" s="5"/>
      <c r="AN320" s="5"/>
      <c r="AO320" s="5"/>
      <c r="AP320" s="5"/>
      <c r="AQ320" s="5"/>
      <c r="AR320" s="5"/>
      <c r="AS320" s="5"/>
      <c r="AT320" s="5"/>
      <c r="AU320" s="5"/>
      <c r="AV320" s="5"/>
      <c r="AW320" s="5"/>
      <c r="AX320" s="5"/>
      <c r="AY320" s="5"/>
    </row>
    <row r="321" spans="1:51" x14ac:dyDescent="0.25">
      <c r="A3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21" s="5">
        <f ca="1">IFERROR(__xludf.DUMMYFUNCTION("""COMPUTED_VALUE"""),321)</f>
        <v>321</v>
      </c>
      <c r="C321" s="5">
        <f ca="1">IFERROR(__xludf.DUMMYFUNCTION("""COMPUTED_VALUE"""),320)</f>
        <v>320</v>
      </c>
      <c r="D321" s="5" t="str">
        <f ca="1">IFERROR(__xludf.DUMMYFUNCTION("""COMPUTED_VALUE"""),"VintageFruits40")</f>
        <v>VintageFruits40</v>
      </c>
      <c r="E321" s="5" t="str">
        <f ca="1">IFERROR(__xludf.DUMMYFUNCTION("""COMPUTED_VALUE"""),"Yes")</f>
        <v>Yes</v>
      </c>
      <c r="F321" s="5" t="str">
        <f ca="1">IFERROR(__xludf.DUMMYFUNCTION("""COMPUTED_VALUE"""),"Yes")</f>
        <v>Yes</v>
      </c>
      <c r="G321" s="5" t="str">
        <f ca="1">IFERROR(__xludf.DUMMYFUNCTION("""COMPUTED_VALUE"""),"Yes")</f>
        <v>Yes</v>
      </c>
      <c r="H321" s="5" t="str">
        <f ca="1">IFERROR(__xludf.DUMMYFUNCTION("""COMPUTED_VALUE"""),"Yes")</f>
        <v>Yes</v>
      </c>
      <c r="I321" s="5" t="str">
        <f ca="1">IFERROR(__xludf.DUMMYFUNCTION("""COMPUTED_VALUE"""),"Yes")</f>
        <v>Yes</v>
      </c>
      <c r="J321" s="5" t="str">
        <f ca="1">IFERROR(__xludf.DUMMYFUNCTION("""COMPUTED_VALUE"""),"Yes")</f>
        <v>Yes</v>
      </c>
      <c r="K321" s="5" t="str">
        <f ca="1">IFERROR(__xludf.DUMMYFUNCTION("""COMPUTED_VALUE"""),"Yes")</f>
        <v>Yes</v>
      </c>
      <c r="L321" s="5" t="str">
        <f ca="1">IFERROR(__xludf.DUMMYFUNCTION("""COMPUTED_VALUE"""),"Yes")</f>
        <v>Yes</v>
      </c>
      <c r="M321" s="5" t="str">
        <f ca="1">IFERROR(__xludf.DUMMYFUNCTION("""COMPUTED_VALUE"""),"Yes")</f>
        <v>Yes</v>
      </c>
      <c r="N321" s="5" t="str">
        <f ca="1">IFERROR(__xludf.DUMMYFUNCTION("""COMPUTED_VALUE"""),"Yes")</f>
        <v>Yes</v>
      </c>
      <c r="O321" s="5" t="str">
        <f ca="1">IFERROR(__xludf.DUMMYFUNCTION("""COMPUTED_VALUE"""),"Yes")</f>
        <v>Yes</v>
      </c>
      <c r="P321" s="5" t="str">
        <f ca="1">IFERROR(__xludf.DUMMYFUNCTION("""COMPUTED_VALUE"""),"Yes")</f>
        <v>Yes</v>
      </c>
      <c r="Q321" s="5" t="str">
        <f ca="1">IFERROR(__xludf.DUMMYFUNCTION("""COMPUTED_VALUE"""),"Yes")</f>
        <v>Yes</v>
      </c>
      <c r="R321" s="5" t="str">
        <f ca="1">IFERROR(__xludf.DUMMYFUNCTION("""COMPUTED_VALUE"""),"Yes")</f>
        <v>Yes</v>
      </c>
      <c r="S321" s="5" t="str">
        <f ca="1">IFERROR(__xludf.DUMMYFUNCTION("""COMPUTED_VALUE"""),"Yes")</f>
        <v>Yes</v>
      </c>
      <c r="T321" s="5" t="str">
        <f ca="1">IFERROR(__xludf.DUMMYFUNCTION("""COMPUTED_VALUE"""),"Yes")</f>
        <v>Yes</v>
      </c>
      <c r="U321" s="5" t="str">
        <f ca="1">IFERROR(__xludf.DUMMYFUNCTION("""COMPUTED_VALUE"""),"Yes")</f>
        <v>Yes</v>
      </c>
      <c r="V321" s="5" t="str">
        <f ca="1">IFERROR(__xludf.DUMMYFUNCTION("""COMPUTED_VALUE"""),"Yes")</f>
        <v>Yes</v>
      </c>
      <c r="W321" s="5" t="str">
        <f ca="1">IFERROR(__xludf.DUMMYFUNCTION("""COMPUTED_VALUE"""),"Yes")</f>
        <v>Yes</v>
      </c>
      <c r="X321" s="5" t="str">
        <f ca="1">IFERROR(__xludf.DUMMYFUNCTION("""COMPUTED_VALUE"""),"Yes")</f>
        <v>Yes</v>
      </c>
      <c r="Y321" s="5" t="str">
        <f ca="1">IFERROR(__xludf.DUMMYFUNCTION("""COMPUTED_VALUE"""),"Yes")</f>
        <v>Yes</v>
      </c>
      <c r="Z321" s="5" t="str">
        <f ca="1">IFERROR(__xludf.DUMMYFUNCTION("""COMPUTED_VALUE"""),"Yes")</f>
        <v>Yes</v>
      </c>
      <c r="AA321" s="5" t="str">
        <f ca="1">IFERROR(__xludf.DUMMYFUNCTION("""COMPUTED_VALUE"""),"Yes")</f>
        <v>Yes</v>
      </c>
      <c r="AB321" s="5" t="str">
        <f ca="1">IFERROR(__xludf.DUMMYFUNCTION("""COMPUTED_VALUE"""),"Yes")</f>
        <v>Yes</v>
      </c>
      <c r="AC321" s="5" t="str">
        <f ca="1">IFERROR(__xludf.DUMMYFUNCTION("""COMPUTED_VALUE"""),"Yes")</f>
        <v>Yes</v>
      </c>
      <c r="AD321" s="5" t="str">
        <f ca="1">IFERROR(__xludf.DUMMYFUNCTION("""COMPUTED_VALUE"""),"Yes")</f>
        <v>Yes</v>
      </c>
      <c r="AE321" s="5" t="str">
        <f ca="1">IFERROR(__xludf.DUMMYFUNCTION("""COMPUTED_VALUE"""),"Yes")</f>
        <v>Yes</v>
      </c>
      <c r="AF321" s="5" t="str">
        <f ca="1">IFERROR(__xludf.DUMMYFUNCTION("""COMPUTED_VALUE"""),"Yes")</f>
        <v>Yes</v>
      </c>
      <c r="AG321" s="5" t="str">
        <f ca="1">IFERROR(__xludf.DUMMYFUNCTION("""COMPUTED_VALUE"""),"Yes")</f>
        <v>Yes</v>
      </c>
      <c r="AH321" s="5" t="str">
        <f ca="1">IFERROR(__xludf.DUMMYFUNCTION("""COMPUTED_VALUE"""),"Yes")</f>
        <v>Yes</v>
      </c>
      <c r="AI321" s="5" t="str">
        <f ca="1">IFERROR(__xludf.DUMMYFUNCTION("""COMPUTED_VALUE"""),"No")</f>
        <v>No</v>
      </c>
      <c r="AJ321" s="5" t="str">
        <f ca="1">IFERROR(__xludf.DUMMYFUNCTION("""COMPUTED_VALUE"""),"No")</f>
        <v>No</v>
      </c>
      <c r="AK321" s="5" t="str">
        <f ca="1">IFERROR(__xludf.DUMMYFUNCTION("""COMPUTED_VALUE"""),"No")</f>
        <v>No</v>
      </c>
      <c r="AL321" s="5" t="str">
        <f ca="1">IFERROR(__xludf.DUMMYFUNCTION("""COMPUTED_VALUE"""),"No")</f>
        <v>No</v>
      </c>
      <c r="AM321" s="5"/>
      <c r="AN321" s="5"/>
      <c r="AO321" s="5"/>
      <c r="AP321" s="5"/>
      <c r="AQ321" s="5"/>
      <c r="AR321" s="5"/>
      <c r="AS321" s="5"/>
      <c r="AT321" s="5"/>
      <c r="AU321" s="5"/>
      <c r="AV321" s="5"/>
      <c r="AW321" s="5"/>
      <c r="AX321" s="5"/>
      <c r="AY321" s="5"/>
    </row>
    <row r="322" spans="1:51" x14ac:dyDescent="0.25">
      <c r="A3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2" s="5">
        <f ca="1">IFERROR(__xludf.DUMMYFUNCTION("""COMPUTED_VALUE"""),322)</f>
        <v>322</v>
      </c>
      <c r="C322" s="5">
        <f ca="1">IFERROR(__xludf.DUMMYFUNCTION("""COMPUTED_VALUE"""),321)</f>
        <v>321</v>
      </c>
      <c r="D322" s="5" t="str">
        <f ca="1">IFERROR(__xludf.DUMMYFUNCTION("""COMPUTED_VALUE"""),"SummerRush")</f>
        <v>SummerRush</v>
      </c>
      <c r="E322" s="5" t="str">
        <f ca="1">IFERROR(__xludf.DUMMYFUNCTION("""COMPUTED_VALUE"""),"Yes")</f>
        <v>Yes</v>
      </c>
      <c r="F322" s="5" t="str">
        <f ca="1">IFERROR(__xludf.DUMMYFUNCTION("""COMPUTED_VALUE"""),"Yes")</f>
        <v>Yes</v>
      </c>
      <c r="G322" s="5" t="str">
        <f ca="1">IFERROR(__xludf.DUMMYFUNCTION("""COMPUTED_VALUE"""),"Yes")</f>
        <v>Yes</v>
      </c>
      <c r="H322" s="5" t="str">
        <f ca="1">IFERROR(__xludf.DUMMYFUNCTION("""COMPUTED_VALUE"""),"Yes")</f>
        <v>Yes</v>
      </c>
      <c r="I322" s="5" t="str">
        <f ca="1">IFERROR(__xludf.DUMMYFUNCTION("""COMPUTED_VALUE"""),"Yes")</f>
        <v>Yes</v>
      </c>
      <c r="J322" s="5" t="str">
        <f ca="1">IFERROR(__xludf.DUMMYFUNCTION("""COMPUTED_VALUE"""),"Yes")</f>
        <v>Yes</v>
      </c>
      <c r="K322" s="5" t="str">
        <f ca="1">IFERROR(__xludf.DUMMYFUNCTION("""COMPUTED_VALUE"""),"Yes")</f>
        <v>Yes</v>
      </c>
      <c r="L322" s="5" t="str">
        <f ca="1">IFERROR(__xludf.DUMMYFUNCTION("""COMPUTED_VALUE"""),"Yes")</f>
        <v>Yes</v>
      </c>
      <c r="M322" s="5" t="str">
        <f ca="1">IFERROR(__xludf.DUMMYFUNCTION("""COMPUTED_VALUE"""),"Yes")</f>
        <v>Yes</v>
      </c>
      <c r="N322" s="5" t="str">
        <f ca="1">IFERROR(__xludf.DUMMYFUNCTION("""COMPUTED_VALUE"""),"Yes")</f>
        <v>Yes</v>
      </c>
      <c r="O322" s="5" t="str">
        <f ca="1">IFERROR(__xludf.DUMMYFUNCTION("""COMPUTED_VALUE"""),"Yes")</f>
        <v>Yes</v>
      </c>
      <c r="P322" s="5" t="str">
        <f ca="1">IFERROR(__xludf.DUMMYFUNCTION("""COMPUTED_VALUE"""),"Yes")</f>
        <v>Yes</v>
      </c>
      <c r="Q322" s="5" t="str">
        <f ca="1">IFERROR(__xludf.DUMMYFUNCTION("""COMPUTED_VALUE"""),"Yes")</f>
        <v>Yes</v>
      </c>
      <c r="R322" s="5" t="str">
        <f ca="1">IFERROR(__xludf.DUMMYFUNCTION("""COMPUTED_VALUE"""),"Yes")</f>
        <v>Yes</v>
      </c>
      <c r="S322" s="5" t="str">
        <f ca="1">IFERROR(__xludf.DUMMYFUNCTION("""COMPUTED_VALUE"""),"Yes")</f>
        <v>Yes</v>
      </c>
      <c r="T322" s="5" t="str">
        <f ca="1">IFERROR(__xludf.DUMMYFUNCTION("""COMPUTED_VALUE"""),"Yes")</f>
        <v>Yes</v>
      </c>
      <c r="U322" s="5" t="str">
        <f ca="1">IFERROR(__xludf.DUMMYFUNCTION("""COMPUTED_VALUE"""),"Yes")</f>
        <v>Yes</v>
      </c>
      <c r="V322" s="5" t="str">
        <f ca="1">IFERROR(__xludf.DUMMYFUNCTION("""COMPUTED_VALUE"""),"Yes")</f>
        <v>Yes</v>
      </c>
      <c r="W322" s="5" t="str">
        <f ca="1">IFERROR(__xludf.DUMMYFUNCTION("""COMPUTED_VALUE"""),"Yes")</f>
        <v>Yes</v>
      </c>
      <c r="X322" s="5" t="str">
        <f ca="1">IFERROR(__xludf.DUMMYFUNCTION("""COMPUTED_VALUE"""),"Yes")</f>
        <v>Yes</v>
      </c>
      <c r="Y322" s="5" t="str">
        <f ca="1">IFERROR(__xludf.DUMMYFUNCTION("""COMPUTED_VALUE"""),"Yes")</f>
        <v>Yes</v>
      </c>
      <c r="Z322" s="5" t="str">
        <f ca="1">IFERROR(__xludf.DUMMYFUNCTION("""COMPUTED_VALUE"""),"No")</f>
        <v>No</v>
      </c>
      <c r="AA322" s="5" t="str">
        <f ca="1">IFERROR(__xludf.DUMMYFUNCTION("""COMPUTED_VALUE"""),"Yes")</f>
        <v>Yes</v>
      </c>
      <c r="AB322" s="5" t="str">
        <f ca="1">IFERROR(__xludf.DUMMYFUNCTION("""COMPUTED_VALUE"""),"Yes")</f>
        <v>Yes</v>
      </c>
      <c r="AC322" s="5" t="str">
        <f ca="1">IFERROR(__xludf.DUMMYFUNCTION("""COMPUTED_VALUE"""),"Yes")</f>
        <v>Yes</v>
      </c>
      <c r="AD322" s="5" t="str">
        <f ca="1">IFERROR(__xludf.DUMMYFUNCTION("""COMPUTED_VALUE"""),"Yes")</f>
        <v>Yes</v>
      </c>
      <c r="AE322" s="5" t="str">
        <f ca="1">IFERROR(__xludf.DUMMYFUNCTION("""COMPUTED_VALUE"""),"No")</f>
        <v>No</v>
      </c>
      <c r="AF322" s="5" t="str">
        <f ca="1">IFERROR(__xludf.DUMMYFUNCTION("""COMPUTED_VALUE"""),"Yes")</f>
        <v>Yes</v>
      </c>
      <c r="AG322" s="5" t="str">
        <f ca="1">IFERROR(__xludf.DUMMYFUNCTION("""COMPUTED_VALUE"""),"No")</f>
        <v>No</v>
      </c>
      <c r="AH322" s="5" t="str">
        <f ca="1">IFERROR(__xludf.DUMMYFUNCTION("""COMPUTED_VALUE"""),"No")</f>
        <v>No</v>
      </c>
      <c r="AI322" s="5" t="str">
        <f ca="1">IFERROR(__xludf.DUMMYFUNCTION("""COMPUTED_VALUE"""),"No")</f>
        <v>No</v>
      </c>
      <c r="AJ322" s="5" t="str">
        <f ca="1">IFERROR(__xludf.DUMMYFUNCTION("""COMPUTED_VALUE"""),"No")</f>
        <v>No</v>
      </c>
      <c r="AK322" s="5" t="str">
        <f ca="1">IFERROR(__xludf.DUMMYFUNCTION("""COMPUTED_VALUE"""),"No")</f>
        <v>No</v>
      </c>
      <c r="AL322" s="5" t="str">
        <f ca="1">IFERROR(__xludf.DUMMYFUNCTION("""COMPUTED_VALUE"""),"No")</f>
        <v>No</v>
      </c>
      <c r="AM322" s="5"/>
      <c r="AN322" s="5"/>
      <c r="AO322" s="5"/>
      <c r="AP322" s="5"/>
      <c r="AQ322" s="5"/>
      <c r="AR322" s="5"/>
      <c r="AS322" s="5"/>
      <c r="AT322" s="5"/>
      <c r="AU322" s="5"/>
      <c r="AV322" s="5"/>
      <c r="AW322" s="5"/>
      <c r="AX322" s="5"/>
      <c r="AY322" s="5"/>
    </row>
    <row r="323" spans="1:51" x14ac:dyDescent="0.25">
      <c r="A3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3" s="5">
        <f ca="1">IFERROR(__xludf.DUMMYFUNCTION("""COMPUTED_VALUE"""),323)</f>
        <v>323</v>
      </c>
      <c r="C323" s="5">
        <f ca="1">IFERROR(__xludf.DUMMYFUNCTION("""COMPUTED_VALUE"""),322)</f>
        <v>322</v>
      </c>
      <c r="D323" s="5" t="str">
        <f ca="1">IFERROR(__xludf.DUMMYFUNCTION("""COMPUTED_VALUE"""),"FootballVictory")</f>
        <v>FootballVictory</v>
      </c>
      <c r="E323" s="5" t="str">
        <f ca="1">IFERROR(__xludf.DUMMYFUNCTION("""COMPUTED_VALUE"""),"Yes")</f>
        <v>Yes</v>
      </c>
      <c r="F323" s="5" t="str">
        <f ca="1">IFERROR(__xludf.DUMMYFUNCTION("""COMPUTED_VALUE"""),"Yes")</f>
        <v>Yes</v>
      </c>
      <c r="G323" s="5" t="str">
        <f ca="1">IFERROR(__xludf.DUMMYFUNCTION("""COMPUTED_VALUE"""),"Yes")</f>
        <v>Yes</v>
      </c>
      <c r="H323" s="5" t="str">
        <f ca="1">IFERROR(__xludf.DUMMYFUNCTION("""COMPUTED_VALUE"""),"Yes")</f>
        <v>Yes</v>
      </c>
      <c r="I323" s="5" t="str">
        <f ca="1">IFERROR(__xludf.DUMMYFUNCTION("""COMPUTED_VALUE"""),"Yes")</f>
        <v>Yes</v>
      </c>
      <c r="J323" s="5" t="str">
        <f ca="1">IFERROR(__xludf.DUMMYFUNCTION("""COMPUTED_VALUE"""),"Yes")</f>
        <v>Yes</v>
      </c>
      <c r="K323" s="5" t="str">
        <f ca="1">IFERROR(__xludf.DUMMYFUNCTION("""COMPUTED_VALUE"""),"Yes")</f>
        <v>Yes</v>
      </c>
      <c r="L323" s="5" t="str">
        <f ca="1">IFERROR(__xludf.DUMMYFUNCTION("""COMPUTED_VALUE"""),"Yes")</f>
        <v>Yes</v>
      </c>
      <c r="M323" s="5" t="str">
        <f ca="1">IFERROR(__xludf.DUMMYFUNCTION("""COMPUTED_VALUE"""),"Yes")</f>
        <v>Yes</v>
      </c>
      <c r="N323" s="5" t="str">
        <f ca="1">IFERROR(__xludf.DUMMYFUNCTION("""COMPUTED_VALUE"""),"Yes")</f>
        <v>Yes</v>
      </c>
      <c r="O323" s="5" t="str">
        <f ca="1">IFERROR(__xludf.DUMMYFUNCTION("""COMPUTED_VALUE"""),"Yes")</f>
        <v>Yes</v>
      </c>
      <c r="P323" s="5" t="str">
        <f ca="1">IFERROR(__xludf.DUMMYFUNCTION("""COMPUTED_VALUE"""),"Yes")</f>
        <v>Yes</v>
      </c>
      <c r="Q323" s="5" t="str">
        <f ca="1">IFERROR(__xludf.DUMMYFUNCTION("""COMPUTED_VALUE"""),"Yes")</f>
        <v>Yes</v>
      </c>
      <c r="R323" s="5" t="str">
        <f ca="1">IFERROR(__xludf.DUMMYFUNCTION("""COMPUTED_VALUE"""),"Yes")</f>
        <v>Yes</v>
      </c>
      <c r="S323" s="5" t="str">
        <f ca="1">IFERROR(__xludf.DUMMYFUNCTION("""COMPUTED_VALUE"""),"Yes")</f>
        <v>Yes</v>
      </c>
      <c r="T323" s="5" t="str">
        <f ca="1">IFERROR(__xludf.DUMMYFUNCTION("""COMPUTED_VALUE"""),"Yes")</f>
        <v>Yes</v>
      </c>
      <c r="U323" s="5" t="str">
        <f ca="1">IFERROR(__xludf.DUMMYFUNCTION("""COMPUTED_VALUE"""),"Yes")</f>
        <v>Yes</v>
      </c>
      <c r="V323" s="5" t="str">
        <f ca="1">IFERROR(__xludf.DUMMYFUNCTION("""COMPUTED_VALUE"""),"Yes")</f>
        <v>Yes</v>
      </c>
      <c r="W323" s="5" t="str">
        <f ca="1">IFERROR(__xludf.DUMMYFUNCTION("""COMPUTED_VALUE"""),"Yes")</f>
        <v>Yes</v>
      </c>
      <c r="X323" s="5" t="str">
        <f ca="1">IFERROR(__xludf.DUMMYFUNCTION("""COMPUTED_VALUE"""),"Yes")</f>
        <v>Yes</v>
      </c>
      <c r="Y323" s="5" t="str">
        <f ca="1">IFERROR(__xludf.DUMMYFUNCTION("""COMPUTED_VALUE"""),"Yes")</f>
        <v>Yes</v>
      </c>
      <c r="Z323" s="5" t="str">
        <f ca="1">IFERROR(__xludf.DUMMYFUNCTION("""COMPUTED_VALUE"""),"No")</f>
        <v>No</v>
      </c>
      <c r="AA323" s="5" t="str">
        <f ca="1">IFERROR(__xludf.DUMMYFUNCTION("""COMPUTED_VALUE"""),"Yes")</f>
        <v>Yes</v>
      </c>
      <c r="AB323" s="5" t="str">
        <f ca="1">IFERROR(__xludf.DUMMYFUNCTION("""COMPUTED_VALUE"""),"Yes")</f>
        <v>Yes</v>
      </c>
      <c r="AC323" s="5" t="str">
        <f ca="1">IFERROR(__xludf.DUMMYFUNCTION("""COMPUTED_VALUE"""),"Yes")</f>
        <v>Yes</v>
      </c>
      <c r="AD323" s="5" t="str">
        <f ca="1">IFERROR(__xludf.DUMMYFUNCTION("""COMPUTED_VALUE"""),"Yes")</f>
        <v>Yes</v>
      </c>
      <c r="AE323" s="5" t="str">
        <f ca="1">IFERROR(__xludf.DUMMYFUNCTION("""COMPUTED_VALUE"""),"No")</f>
        <v>No</v>
      </c>
      <c r="AF323" s="5" t="str">
        <f ca="1">IFERROR(__xludf.DUMMYFUNCTION("""COMPUTED_VALUE"""),"Yes")</f>
        <v>Yes</v>
      </c>
      <c r="AG323" s="5" t="str">
        <f ca="1">IFERROR(__xludf.DUMMYFUNCTION("""COMPUTED_VALUE"""),"No")</f>
        <v>No</v>
      </c>
      <c r="AH323" s="5" t="str">
        <f ca="1">IFERROR(__xludf.DUMMYFUNCTION("""COMPUTED_VALUE"""),"No")</f>
        <v>No</v>
      </c>
      <c r="AI323" s="5" t="str">
        <f ca="1">IFERROR(__xludf.DUMMYFUNCTION("""COMPUTED_VALUE"""),"No")</f>
        <v>No</v>
      </c>
      <c r="AJ323" s="5" t="str">
        <f ca="1">IFERROR(__xludf.DUMMYFUNCTION("""COMPUTED_VALUE"""),"No")</f>
        <v>No</v>
      </c>
      <c r="AK323" s="5" t="str">
        <f ca="1">IFERROR(__xludf.DUMMYFUNCTION("""COMPUTED_VALUE"""),"No")</f>
        <v>No</v>
      </c>
      <c r="AL323" s="5" t="str">
        <f ca="1">IFERROR(__xludf.DUMMYFUNCTION("""COMPUTED_VALUE"""),"No")</f>
        <v>No</v>
      </c>
      <c r="AM323" s="5"/>
      <c r="AN323" s="5"/>
      <c r="AO323" s="5"/>
      <c r="AP323" s="5"/>
      <c r="AQ323" s="5"/>
      <c r="AR323" s="5"/>
      <c r="AS323" s="5"/>
      <c r="AT323" s="5"/>
      <c r="AU323" s="5"/>
      <c r="AV323" s="5"/>
      <c r="AW323" s="5"/>
      <c r="AX323" s="5"/>
      <c r="AY323" s="5"/>
    </row>
    <row r="324" spans="1:51" x14ac:dyDescent="0.25">
      <c r="A3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24" s="5">
        <f ca="1">IFERROR(__xludf.DUMMYFUNCTION("""COMPUTED_VALUE"""),324)</f>
        <v>324</v>
      </c>
      <c r="C324" s="5">
        <f ca="1">IFERROR(__xludf.DUMMYFUNCTION("""COMPUTED_VALUE"""),323)</f>
        <v>323</v>
      </c>
      <c r="D324" s="5" t="str">
        <f ca="1">IFERROR(__xludf.DUMMYFUNCTION("""COMPUTED_VALUE"""),"RedstoneCapsAndCrowns")</f>
        <v>RedstoneCapsAndCrowns</v>
      </c>
      <c r="E324" s="5" t="str">
        <f ca="1">IFERROR(__xludf.DUMMYFUNCTION("""COMPUTED_VALUE"""),"Yes")</f>
        <v>Yes</v>
      </c>
      <c r="F324" s="5" t="str">
        <f ca="1">IFERROR(__xludf.DUMMYFUNCTION("""COMPUTED_VALUE"""),"Yes")</f>
        <v>Yes</v>
      </c>
      <c r="G324" s="5" t="str">
        <f ca="1">IFERROR(__xludf.DUMMYFUNCTION("""COMPUTED_VALUE"""),"Yes")</f>
        <v>Yes</v>
      </c>
      <c r="H324" s="5" t="str">
        <f ca="1">IFERROR(__xludf.DUMMYFUNCTION("""COMPUTED_VALUE"""),"Yes")</f>
        <v>Yes</v>
      </c>
      <c r="I324" s="5" t="str">
        <f ca="1">IFERROR(__xludf.DUMMYFUNCTION("""COMPUTED_VALUE"""),"Yes")</f>
        <v>Yes</v>
      </c>
      <c r="J324" s="5" t="str">
        <f ca="1">IFERROR(__xludf.DUMMYFUNCTION("""COMPUTED_VALUE"""),"Yes")</f>
        <v>Yes</v>
      </c>
      <c r="K324" s="5" t="str">
        <f ca="1">IFERROR(__xludf.DUMMYFUNCTION("""COMPUTED_VALUE"""),"Yes")</f>
        <v>Yes</v>
      </c>
      <c r="L324" s="5" t="str">
        <f ca="1">IFERROR(__xludf.DUMMYFUNCTION("""COMPUTED_VALUE"""),"Yes")</f>
        <v>Yes</v>
      </c>
      <c r="M324" s="5" t="str">
        <f ca="1">IFERROR(__xludf.DUMMYFUNCTION("""COMPUTED_VALUE"""),"Yes")</f>
        <v>Yes</v>
      </c>
      <c r="N324" s="5" t="str">
        <f ca="1">IFERROR(__xludf.DUMMYFUNCTION("""COMPUTED_VALUE"""),"Yes")</f>
        <v>Yes</v>
      </c>
      <c r="O324" s="5" t="str">
        <f ca="1">IFERROR(__xludf.DUMMYFUNCTION("""COMPUTED_VALUE"""),"Yes")</f>
        <v>Yes</v>
      </c>
      <c r="P324" s="5" t="str">
        <f ca="1">IFERROR(__xludf.DUMMYFUNCTION("""COMPUTED_VALUE"""),"Yes")</f>
        <v>Yes</v>
      </c>
      <c r="Q324" s="5" t="str">
        <f ca="1">IFERROR(__xludf.DUMMYFUNCTION("""COMPUTED_VALUE"""),"Yes")</f>
        <v>Yes</v>
      </c>
      <c r="R324" s="5" t="str">
        <f ca="1">IFERROR(__xludf.DUMMYFUNCTION("""COMPUTED_VALUE"""),"Yes")</f>
        <v>Yes</v>
      </c>
      <c r="S324" s="5" t="str">
        <f ca="1">IFERROR(__xludf.DUMMYFUNCTION("""COMPUTED_VALUE"""),"Yes")</f>
        <v>Yes</v>
      </c>
      <c r="T324" s="5" t="str">
        <f ca="1">IFERROR(__xludf.DUMMYFUNCTION("""COMPUTED_VALUE"""),"Yes")</f>
        <v>Yes</v>
      </c>
      <c r="U324" s="5" t="str">
        <f ca="1">IFERROR(__xludf.DUMMYFUNCTION("""COMPUTED_VALUE"""),"Yes")</f>
        <v>Yes</v>
      </c>
      <c r="V324" s="5" t="str">
        <f ca="1">IFERROR(__xludf.DUMMYFUNCTION("""COMPUTED_VALUE"""),"Yes")</f>
        <v>Yes</v>
      </c>
      <c r="W324" s="5" t="str">
        <f ca="1">IFERROR(__xludf.DUMMYFUNCTION("""COMPUTED_VALUE"""),"Yes")</f>
        <v>Yes</v>
      </c>
      <c r="X324" s="5"/>
      <c r="Y324" s="5" t="str">
        <f ca="1">IFERROR(__xludf.DUMMYFUNCTION("""COMPUTED_VALUE"""),"Yes")</f>
        <v>Yes</v>
      </c>
      <c r="Z324" s="5"/>
      <c r="AA324" s="5" t="str">
        <f ca="1">IFERROR(__xludf.DUMMYFUNCTION("""COMPUTED_VALUE"""),"Yes")</f>
        <v>Yes</v>
      </c>
      <c r="AB324" s="5" t="str">
        <f ca="1">IFERROR(__xludf.DUMMYFUNCTION("""COMPUTED_VALUE"""),"Yes")</f>
        <v>Yes</v>
      </c>
      <c r="AC324" s="5" t="str">
        <f ca="1">IFERROR(__xludf.DUMMYFUNCTION("""COMPUTED_VALUE"""),"Yes")</f>
        <v>Yes</v>
      </c>
      <c r="AD324" s="5" t="str">
        <f ca="1">IFERROR(__xludf.DUMMYFUNCTION("""COMPUTED_VALUE"""),"Yes")</f>
        <v>Yes</v>
      </c>
      <c r="AE324" s="5"/>
      <c r="AF324" s="5" t="str">
        <f ca="1">IFERROR(__xludf.DUMMYFUNCTION("""COMPUTED_VALUE"""),"Yes")</f>
        <v>Yes</v>
      </c>
      <c r="AG324" s="5"/>
      <c r="AH324" s="5"/>
      <c r="AI324" s="5"/>
      <c r="AJ324" s="5"/>
      <c r="AK324" s="5"/>
      <c r="AL324" s="5"/>
      <c r="AM324" s="5"/>
      <c r="AN324" s="5"/>
      <c r="AO324" s="5"/>
      <c r="AP324" s="5"/>
      <c r="AQ324" s="5"/>
      <c r="AR324" s="5"/>
      <c r="AS324" s="5"/>
      <c r="AT324" s="5"/>
      <c r="AU324" s="5"/>
      <c r="AV324" s="5"/>
      <c r="AW324" s="5"/>
      <c r="AX324" s="5"/>
      <c r="AY324" s="5"/>
    </row>
    <row r="325" spans="1:51" x14ac:dyDescent="0.25">
      <c r="A325"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5" s="5">
        <f ca="1">IFERROR(__xludf.DUMMYFUNCTION("""COMPUTED_VALUE"""),325)</f>
        <v>325</v>
      </c>
      <c r="C325" s="5">
        <f ca="1">IFERROR(__xludf.DUMMYFUNCTION("""COMPUTED_VALUE"""),324)</f>
        <v>324</v>
      </c>
      <c r="D325" s="5" t="str">
        <f ca="1">IFERROR(__xludf.DUMMYFUNCTION("""COMPUTED_VALUE"""),"UnicornLavaDiamonds")</f>
        <v>UnicornLavaDiamonds</v>
      </c>
      <c r="E325" s="5" t="str">
        <f ca="1">IFERROR(__xludf.DUMMYFUNCTION("""COMPUTED_VALUE"""),"Yes")</f>
        <v>Yes</v>
      </c>
      <c r="F325" s="5" t="str">
        <f ca="1">IFERROR(__xludf.DUMMYFUNCTION("""COMPUTED_VALUE"""),"Yes")</f>
        <v>Yes</v>
      </c>
      <c r="G325" s="5" t="str">
        <f ca="1">IFERROR(__xludf.DUMMYFUNCTION("""COMPUTED_VALUE"""),"No")</f>
        <v>No</v>
      </c>
      <c r="H325" s="5" t="str">
        <f ca="1">IFERROR(__xludf.DUMMYFUNCTION("""COMPUTED_VALUE"""),"Yes")</f>
        <v>Yes</v>
      </c>
      <c r="I325" s="5" t="str">
        <f ca="1">IFERROR(__xludf.DUMMYFUNCTION("""COMPUTED_VALUE"""),"Yes")</f>
        <v>Yes</v>
      </c>
      <c r="J325" s="5" t="str">
        <f ca="1">IFERROR(__xludf.DUMMYFUNCTION("""COMPUTED_VALUE"""),"Yes")</f>
        <v>Yes</v>
      </c>
      <c r="K325" s="5" t="str">
        <f ca="1">IFERROR(__xludf.DUMMYFUNCTION("""COMPUTED_VALUE"""),"Yes")</f>
        <v>Yes</v>
      </c>
      <c r="L325" s="5" t="str">
        <f ca="1">IFERROR(__xludf.DUMMYFUNCTION("""COMPUTED_VALUE"""),"Yes")</f>
        <v>Yes</v>
      </c>
      <c r="M325" s="5" t="str">
        <f ca="1">IFERROR(__xludf.DUMMYFUNCTION("""COMPUTED_VALUE"""),"Yes")</f>
        <v>Yes</v>
      </c>
      <c r="N325" s="5" t="str">
        <f ca="1">IFERROR(__xludf.DUMMYFUNCTION("""COMPUTED_VALUE"""),"Yes")</f>
        <v>Yes</v>
      </c>
      <c r="O325" s="5" t="str">
        <f ca="1">IFERROR(__xludf.DUMMYFUNCTION("""COMPUTED_VALUE"""),"Yes")</f>
        <v>Yes</v>
      </c>
      <c r="P325" s="5" t="str">
        <f ca="1">IFERROR(__xludf.DUMMYFUNCTION("""COMPUTED_VALUE"""),"Yes")</f>
        <v>Yes</v>
      </c>
      <c r="Q325" s="5" t="str">
        <f ca="1">IFERROR(__xludf.DUMMYFUNCTION("""COMPUTED_VALUE"""),"Yes")</f>
        <v>Yes</v>
      </c>
      <c r="R325" s="5" t="str">
        <f ca="1">IFERROR(__xludf.DUMMYFUNCTION("""COMPUTED_VALUE"""),"Yes")</f>
        <v>Yes</v>
      </c>
      <c r="S325" s="5" t="str">
        <f ca="1">IFERROR(__xludf.DUMMYFUNCTION("""COMPUTED_VALUE"""),"Yes")</f>
        <v>Yes</v>
      </c>
      <c r="T325" s="5" t="str">
        <f ca="1">IFERROR(__xludf.DUMMYFUNCTION("""COMPUTED_VALUE"""),"No")</f>
        <v>No</v>
      </c>
      <c r="U325" s="5" t="str">
        <f ca="1">IFERROR(__xludf.DUMMYFUNCTION("""COMPUTED_VALUE"""),"No")</f>
        <v>No</v>
      </c>
      <c r="V325" s="5" t="str">
        <f ca="1">IFERROR(__xludf.DUMMYFUNCTION("""COMPUTED_VALUE"""),"No")</f>
        <v>No</v>
      </c>
      <c r="W325" s="5" t="str">
        <f ca="1">IFERROR(__xludf.DUMMYFUNCTION("""COMPUTED_VALUE"""),"No")</f>
        <v>No</v>
      </c>
      <c r="X325" s="5" t="str">
        <f ca="1">IFERROR(__xludf.DUMMYFUNCTION("""COMPUTED_VALUE"""),"No")</f>
        <v>No</v>
      </c>
      <c r="Y325" s="5" t="str">
        <f ca="1">IFERROR(__xludf.DUMMYFUNCTION("""COMPUTED_VALUE"""),"No")</f>
        <v>No</v>
      </c>
      <c r="Z325" s="5" t="str">
        <f ca="1">IFERROR(__xludf.DUMMYFUNCTION("""COMPUTED_VALUE"""),"No")</f>
        <v>No</v>
      </c>
      <c r="AA325" s="5" t="str">
        <f ca="1">IFERROR(__xludf.DUMMYFUNCTION("""COMPUTED_VALUE"""),"No")</f>
        <v>No</v>
      </c>
      <c r="AB325" s="5" t="str">
        <f ca="1">IFERROR(__xludf.DUMMYFUNCTION("""COMPUTED_VALUE"""),"No")</f>
        <v>No</v>
      </c>
      <c r="AC325" s="5" t="str">
        <f ca="1">IFERROR(__xludf.DUMMYFUNCTION("""COMPUTED_VALUE"""),"No")</f>
        <v>No</v>
      </c>
      <c r="AD325" s="5" t="str">
        <f ca="1">IFERROR(__xludf.DUMMYFUNCTION("""COMPUTED_VALUE"""),"No")</f>
        <v>No</v>
      </c>
      <c r="AE325" s="5" t="str">
        <f ca="1">IFERROR(__xludf.DUMMYFUNCTION("""COMPUTED_VALUE"""),"No")</f>
        <v>No</v>
      </c>
      <c r="AF325" s="5" t="str">
        <f ca="1">IFERROR(__xludf.DUMMYFUNCTION("""COMPUTED_VALUE"""),"Yes")</f>
        <v>Yes</v>
      </c>
      <c r="AG325" s="5" t="str">
        <f ca="1">IFERROR(__xludf.DUMMYFUNCTION("""COMPUTED_VALUE"""),"No")</f>
        <v>No</v>
      </c>
      <c r="AH325" s="5" t="str">
        <f ca="1">IFERROR(__xludf.DUMMYFUNCTION("""COMPUTED_VALUE"""),"Yes")</f>
        <v>Yes</v>
      </c>
      <c r="AI325" s="5" t="str">
        <f ca="1">IFERROR(__xludf.DUMMYFUNCTION("""COMPUTED_VALUE"""),"No")</f>
        <v>No</v>
      </c>
      <c r="AJ325" s="5" t="str">
        <f ca="1">IFERROR(__xludf.DUMMYFUNCTION("""COMPUTED_VALUE"""),"No")</f>
        <v>No</v>
      </c>
      <c r="AK325" s="5" t="str">
        <f ca="1">IFERROR(__xludf.DUMMYFUNCTION("""COMPUTED_VALUE"""),"No")</f>
        <v>No</v>
      </c>
      <c r="AL325" s="5" t="str">
        <f ca="1">IFERROR(__xludf.DUMMYFUNCTION("""COMPUTED_VALUE"""),"No")</f>
        <v>No</v>
      </c>
      <c r="AM325" s="5"/>
      <c r="AN325" s="5"/>
      <c r="AO325" s="5"/>
      <c r="AP325" s="5"/>
      <c r="AQ325" s="5"/>
      <c r="AR325" s="5"/>
      <c r="AS325" s="5"/>
      <c r="AT325" s="5"/>
      <c r="AU325" s="5"/>
      <c r="AV325" s="5"/>
      <c r="AW325" s="5"/>
      <c r="AX325" s="5"/>
      <c r="AY325" s="5"/>
    </row>
    <row r="326" spans="1:51" x14ac:dyDescent="0.25">
      <c r="A32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26" s="5">
        <f ca="1">IFERROR(__xludf.DUMMYFUNCTION("""COMPUTED_VALUE"""),326)</f>
        <v>326</v>
      </c>
      <c r="C326" s="5">
        <f ca="1">IFERROR(__xludf.DUMMYFUNCTION("""COMPUTED_VALUE"""),325)</f>
        <v>325</v>
      </c>
      <c r="D326" s="5" t="str">
        <f ca="1">IFERROR(__xludf.DUMMYFUNCTION("""COMPUTED_VALUE"""),"Unicorn5HotStrikeDice")</f>
        <v>Unicorn5HotStrikeDice</v>
      </c>
      <c r="E326" s="5" t="str">
        <f ca="1">IFERROR(__xludf.DUMMYFUNCTION("""COMPUTED_VALUE"""),"Yes")</f>
        <v>Yes</v>
      </c>
      <c r="F326" s="5" t="str">
        <f ca="1">IFERROR(__xludf.DUMMYFUNCTION("""COMPUTED_VALUE"""),"Yes")</f>
        <v>Yes</v>
      </c>
      <c r="G326" s="5" t="str">
        <f ca="1">IFERROR(__xludf.DUMMYFUNCTION("""COMPUTED_VALUE"""),"Yes")</f>
        <v>Yes</v>
      </c>
      <c r="H326" s="5" t="str">
        <f ca="1">IFERROR(__xludf.DUMMYFUNCTION("""COMPUTED_VALUE"""),"No")</f>
        <v>No</v>
      </c>
      <c r="I326" s="5" t="str">
        <f ca="1">IFERROR(__xludf.DUMMYFUNCTION("""COMPUTED_VALUE"""),"No")</f>
        <v>No</v>
      </c>
      <c r="J326" s="5" t="str">
        <f ca="1">IFERROR(__xludf.DUMMYFUNCTION("""COMPUTED_VALUE"""),"No")</f>
        <v>No</v>
      </c>
      <c r="K326" s="5" t="str">
        <f ca="1">IFERROR(__xludf.DUMMYFUNCTION("""COMPUTED_VALUE"""),"No")</f>
        <v>No</v>
      </c>
      <c r="L326" s="5" t="str">
        <f ca="1">IFERROR(__xludf.DUMMYFUNCTION("""COMPUTED_VALUE"""),"No")</f>
        <v>No</v>
      </c>
      <c r="M326" s="5" t="str">
        <f ca="1">IFERROR(__xludf.DUMMYFUNCTION("""COMPUTED_VALUE"""),"Yes")</f>
        <v>Yes</v>
      </c>
      <c r="N326" s="5" t="str">
        <f ca="1">IFERROR(__xludf.DUMMYFUNCTION("""COMPUTED_VALUE"""),"Yes")</f>
        <v>Yes</v>
      </c>
      <c r="O326" s="5" t="str">
        <f ca="1">IFERROR(__xludf.DUMMYFUNCTION("""COMPUTED_VALUE"""),"Yes")</f>
        <v>Yes</v>
      </c>
      <c r="P326" s="5" t="str">
        <f ca="1">IFERROR(__xludf.DUMMYFUNCTION("""COMPUTED_VALUE"""),"Yes")</f>
        <v>Yes</v>
      </c>
      <c r="Q326" s="5" t="str">
        <f ca="1">IFERROR(__xludf.DUMMYFUNCTION("""COMPUTED_VALUE"""),"Yes")</f>
        <v>Yes</v>
      </c>
      <c r="R326" s="5" t="str">
        <f ca="1">IFERROR(__xludf.DUMMYFUNCTION("""COMPUTED_VALUE"""),"No")</f>
        <v>No</v>
      </c>
      <c r="S326" s="5" t="str">
        <f ca="1">IFERROR(__xludf.DUMMYFUNCTION("""COMPUTED_VALUE"""),"Yes")</f>
        <v>Yes</v>
      </c>
      <c r="T326" s="5" t="str">
        <f ca="1">IFERROR(__xludf.DUMMYFUNCTION("""COMPUTED_VALUE"""),"No")</f>
        <v>No</v>
      </c>
      <c r="U326" s="5" t="str">
        <f ca="1">IFERROR(__xludf.DUMMYFUNCTION("""COMPUTED_VALUE"""),"No")</f>
        <v>No</v>
      </c>
      <c r="V326" s="5" t="str">
        <f ca="1">IFERROR(__xludf.DUMMYFUNCTION("""COMPUTED_VALUE"""),"No")</f>
        <v>No</v>
      </c>
      <c r="W326" s="5" t="str">
        <f ca="1">IFERROR(__xludf.DUMMYFUNCTION("""COMPUTED_VALUE"""),"No")</f>
        <v>No</v>
      </c>
      <c r="X326" s="5"/>
      <c r="Y326" s="5"/>
      <c r="Z326" s="5"/>
      <c r="AA326" s="5"/>
      <c r="AB326" s="5"/>
      <c r="AC326" s="5" t="str">
        <f ca="1">IFERROR(__xludf.DUMMYFUNCTION("""COMPUTED_VALUE"""),"No")</f>
        <v>No</v>
      </c>
      <c r="AD326" s="5"/>
      <c r="AE326" s="5"/>
      <c r="AF326" s="5"/>
      <c r="AG326" s="5"/>
      <c r="AH326" s="5"/>
      <c r="AI326" s="5"/>
      <c r="AJ326" s="5"/>
      <c r="AK326" s="5"/>
      <c r="AL326" s="5"/>
      <c r="AM326" s="5"/>
      <c r="AN326" s="5"/>
      <c r="AO326" s="5"/>
      <c r="AP326" s="5"/>
      <c r="AQ326" s="5"/>
      <c r="AR326" s="5"/>
      <c r="AS326" s="5"/>
      <c r="AT326" s="5"/>
      <c r="AU326" s="5"/>
      <c r="AV326" s="5"/>
      <c r="AW326" s="5"/>
      <c r="AX326" s="5"/>
      <c r="AY326" s="5"/>
    </row>
    <row r="327" spans="1:51" x14ac:dyDescent="0.25">
      <c r="A32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27" s="5">
        <f ca="1">IFERROR(__xludf.DUMMYFUNCTION("""COMPUTED_VALUE"""),327)</f>
        <v>327</v>
      </c>
      <c r="C327" s="5">
        <f ca="1">IFERROR(__xludf.DUMMYFUNCTION("""COMPUTED_VALUE"""),326)</f>
        <v>326</v>
      </c>
      <c r="D327" s="5" t="str">
        <f ca="1">IFERROR(__xludf.DUMMYFUNCTION("""COMPUTED_VALUE"""),"RedstoneHotRushBothWays")</f>
        <v>RedstoneHotRushBothWays</v>
      </c>
      <c r="E327" s="5" t="str">
        <f ca="1">IFERROR(__xludf.DUMMYFUNCTION("""COMPUTED_VALUE"""),"Yes")</f>
        <v>Yes</v>
      </c>
      <c r="F327" s="5" t="str">
        <f ca="1">IFERROR(__xludf.DUMMYFUNCTION("""COMPUTED_VALUE"""),"Yes")</f>
        <v>Yes</v>
      </c>
      <c r="G327" s="5" t="str">
        <f ca="1">IFERROR(__xludf.DUMMYFUNCTION("""COMPUTED_VALUE"""),"Yes")</f>
        <v>Yes</v>
      </c>
      <c r="H327" s="5" t="str">
        <f ca="1">IFERROR(__xludf.DUMMYFUNCTION("""COMPUTED_VALUE"""),"No")</f>
        <v>No</v>
      </c>
      <c r="I327" s="5" t="str">
        <f ca="1">IFERROR(__xludf.DUMMYFUNCTION("""COMPUTED_VALUE"""),"No")</f>
        <v>No</v>
      </c>
      <c r="J327" s="5" t="str">
        <f ca="1">IFERROR(__xludf.DUMMYFUNCTION("""COMPUTED_VALUE"""),"No")</f>
        <v>No</v>
      </c>
      <c r="K327" s="5" t="str">
        <f ca="1">IFERROR(__xludf.DUMMYFUNCTION("""COMPUTED_VALUE"""),"No")</f>
        <v>No</v>
      </c>
      <c r="L327" s="5" t="str">
        <f ca="1">IFERROR(__xludf.DUMMYFUNCTION("""COMPUTED_VALUE"""),"No")</f>
        <v>No</v>
      </c>
      <c r="M327" s="5" t="str">
        <f ca="1">IFERROR(__xludf.DUMMYFUNCTION("""COMPUTED_VALUE"""),"Yes")</f>
        <v>Yes</v>
      </c>
      <c r="N327" s="5" t="str">
        <f ca="1">IFERROR(__xludf.DUMMYFUNCTION("""COMPUTED_VALUE"""),"Yes")</f>
        <v>Yes</v>
      </c>
      <c r="O327" s="5" t="str">
        <f ca="1">IFERROR(__xludf.DUMMYFUNCTION("""COMPUTED_VALUE"""),"Yes")</f>
        <v>Yes</v>
      </c>
      <c r="P327" s="5" t="str">
        <f ca="1">IFERROR(__xludf.DUMMYFUNCTION("""COMPUTED_VALUE"""),"Yes")</f>
        <v>Yes</v>
      </c>
      <c r="Q327" s="5" t="str">
        <f ca="1">IFERROR(__xludf.DUMMYFUNCTION("""COMPUTED_VALUE"""),"Yes")</f>
        <v>Yes</v>
      </c>
      <c r="R327" s="5" t="str">
        <f ca="1">IFERROR(__xludf.DUMMYFUNCTION("""COMPUTED_VALUE"""),"No")</f>
        <v>No</v>
      </c>
      <c r="S327" s="5" t="str">
        <f ca="1">IFERROR(__xludf.DUMMYFUNCTION("""COMPUTED_VALUE"""),"Yes")</f>
        <v>Yes</v>
      </c>
      <c r="T327" s="5" t="str">
        <f ca="1">IFERROR(__xludf.DUMMYFUNCTION("""COMPUTED_VALUE"""),"No")</f>
        <v>No</v>
      </c>
      <c r="U327" s="5" t="str">
        <f ca="1">IFERROR(__xludf.DUMMYFUNCTION("""COMPUTED_VALUE"""),"No")</f>
        <v>No</v>
      </c>
      <c r="V327" s="5" t="str">
        <f ca="1">IFERROR(__xludf.DUMMYFUNCTION("""COMPUTED_VALUE"""),"No")</f>
        <v>No</v>
      </c>
      <c r="W327" s="5" t="str">
        <f ca="1">IFERROR(__xludf.DUMMYFUNCTION("""COMPUTED_VALUE"""),"No")</f>
        <v>No</v>
      </c>
      <c r="X327" s="5"/>
      <c r="Y327" s="5"/>
      <c r="Z327" s="5"/>
      <c r="AA327" s="5"/>
      <c r="AB327" s="5"/>
      <c r="AC327" s="5" t="str">
        <f ca="1">IFERROR(__xludf.DUMMYFUNCTION("""COMPUTED_VALUE"""),"No")</f>
        <v>No</v>
      </c>
      <c r="AD327" s="5"/>
      <c r="AE327" s="5"/>
      <c r="AF327" s="5"/>
      <c r="AG327" s="5"/>
      <c r="AH327" s="5"/>
      <c r="AI327" s="5"/>
      <c r="AJ327" s="5"/>
      <c r="AK327" s="5"/>
      <c r="AL327" s="5"/>
      <c r="AM327" s="5"/>
      <c r="AN327" s="5"/>
      <c r="AO327" s="5"/>
      <c r="AP327" s="5"/>
      <c r="AQ327" s="5"/>
      <c r="AR327" s="5"/>
      <c r="AS327" s="5"/>
      <c r="AT327" s="5"/>
      <c r="AU327" s="5"/>
      <c r="AV327" s="5"/>
      <c r="AW327" s="5"/>
      <c r="AX327" s="5"/>
      <c r="AY327" s="5"/>
    </row>
    <row r="328" spans="1:51" x14ac:dyDescent="0.25">
      <c r="A328"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8" s="5">
        <f ca="1">IFERROR(__xludf.DUMMYFUNCTION("""COMPUTED_VALUE"""),329)</f>
        <v>329</v>
      </c>
      <c r="C328" s="5">
        <f ca="1">IFERROR(__xludf.DUMMYFUNCTION("""COMPUTED_VALUE"""),328)</f>
        <v>328</v>
      </c>
      <c r="D328" s="5" t="str">
        <f ca="1">IFERROR(__xludf.DUMMYFUNCTION("""COMPUTED_VALUE"""),"RedstoneBookOfScorpio")</f>
        <v>RedstoneBookOfScorpio</v>
      </c>
      <c r="E328" s="5" t="str">
        <f ca="1">IFERROR(__xludf.DUMMYFUNCTION("""COMPUTED_VALUE"""),"Yes")</f>
        <v>Yes</v>
      </c>
      <c r="F328" s="5" t="str">
        <f ca="1">IFERROR(__xludf.DUMMYFUNCTION("""COMPUTED_VALUE"""),"Yes")</f>
        <v>Yes</v>
      </c>
      <c r="G328" s="5" t="str">
        <f ca="1">IFERROR(__xludf.DUMMYFUNCTION("""COMPUTED_VALUE"""),"No")</f>
        <v>No</v>
      </c>
      <c r="H328" s="5" t="str">
        <f ca="1">IFERROR(__xludf.DUMMYFUNCTION("""COMPUTED_VALUE"""),"Yes")</f>
        <v>Yes</v>
      </c>
      <c r="I328" s="5" t="str">
        <f ca="1">IFERROR(__xludf.DUMMYFUNCTION("""COMPUTED_VALUE"""),"Yes")</f>
        <v>Yes</v>
      </c>
      <c r="J328" s="5" t="str">
        <f ca="1">IFERROR(__xludf.DUMMYFUNCTION("""COMPUTED_VALUE"""),"Yes")</f>
        <v>Yes</v>
      </c>
      <c r="K328" s="5" t="str">
        <f ca="1">IFERROR(__xludf.DUMMYFUNCTION("""COMPUTED_VALUE"""),"Yes")</f>
        <v>Yes</v>
      </c>
      <c r="L328" s="5" t="str">
        <f ca="1">IFERROR(__xludf.DUMMYFUNCTION("""COMPUTED_VALUE"""),"Yes")</f>
        <v>Yes</v>
      </c>
      <c r="M328" s="5" t="str">
        <f ca="1">IFERROR(__xludf.DUMMYFUNCTION("""COMPUTED_VALUE"""),"Yes")</f>
        <v>Yes</v>
      </c>
      <c r="N328" s="5" t="str">
        <f ca="1">IFERROR(__xludf.DUMMYFUNCTION("""COMPUTED_VALUE"""),"Yes")</f>
        <v>Yes</v>
      </c>
      <c r="O328" s="5" t="str">
        <f ca="1">IFERROR(__xludf.DUMMYFUNCTION("""COMPUTED_VALUE"""),"Yes")</f>
        <v>Yes</v>
      </c>
      <c r="P328" s="5" t="str">
        <f ca="1">IFERROR(__xludf.DUMMYFUNCTION("""COMPUTED_VALUE"""),"Yes")</f>
        <v>Yes</v>
      </c>
      <c r="Q328" s="5" t="str">
        <f ca="1">IFERROR(__xludf.DUMMYFUNCTION("""COMPUTED_VALUE"""),"Yes")</f>
        <v>Yes</v>
      </c>
      <c r="R328" s="5" t="str">
        <f ca="1">IFERROR(__xludf.DUMMYFUNCTION("""COMPUTED_VALUE"""),"Yes")</f>
        <v>Yes</v>
      </c>
      <c r="S328" s="5" t="str">
        <f ca="1">IFERROR(__xludf.DUMMYFUNCTION("""COMPUTED_VALUE"""),"Yes")</f>
        <v>Yes</v>
      </c>
      <c r="T328" s="5" t="str">
        <f ca="1">IFERROR(__xludf.DUMMYFUNCTION("""COMPUTED_VALUE"""),"No")</f>
        <v>No</v>
      </c>
      <c r="U328" s="5" t="str">
        <f ca="1">IFERROR(__xludf.DUMMYFUNCTION("""COMPUTED_VALUE"""),"No")</f>
        <v>No</v>
      </c>
      <c r="V328" s="5" t="str">
        <f ca="1">IFERROR(__xludf.DUMMYFUNCTION("""COMPUTED_VALUE"""),"No")</f>
        <v>No</v>
      </c>
      <c r="W328" s="5" t="str">
        <f ca="1">IFERROR(__xludf.DUMMYFUNCTION("""COMPUTED_VALUE"""),"No")</f>
        <v>No</v>
      </c>
      <c r="X328" s="5" t="str">
        <f ca="1">IFERROR(__xludf.DUMMYFUNCTION("""COMPUTED_VALUE"""),"No")</f>
        <v>No</v>
      </c>
      <c r="Y328" s="5" t="str">
        <f ca="1">IFERROR(__xludf.DUMMYFUNCTION("""COMPUTED_VALUE"""),"No")</f>
        <v>No</v>
      </c>
      <c r="Z328" s="5" t="str">
        <f ca="1">IFERROR(__xludf.DUMMYFUNCTION("""COMPUTED_VALUE"""),"No")</f>
        <v>No</v>
      </c>
      <c r="AA328" s="5" t="str">
        <f ca="1">IFERROR(__xludf.DUMMYFUNCTION("""COMPUTED_VALUE"""),"No")</f>
        <v>No</v>
      </c>
      <c r="AB328" s="5" t="str">
        <f ca="1">IFERROR(__xludf.DUMMYFUNCTION("""COMPUTED_VALUE"""),"No")</f>
        <v>No</v>
      </c>
      <c r="AC328" s="5" t="str">
        <f ca="1">IFERROR(__xludf.DUMMYFUNCTION("""COMPUTED_VALUE"""),"No")</f>
        <v>No</v>
      </c>
      <c r="AD328" s="5" t="str">
        <f ca="1">IFERROR(__xludf.DUMMYFUNCTION("""COMPUTED_VALUE"""),"No")</f>
        <v>No</v>
      </c>
      <c r="AE328" s="5" t="str">
        <f ca="1">IFERROR(__xludf.DUMMYFUNCTION("""COMPUTED_VALUE"""),"No")</f>
        <v>No</v>
      </c>
      <c r="AF328" s="5" t="str">
        <f ca="1">IFERROR(__xludf.DUMMYFUNCTION("""COMPUTED_VALUE"""),"Yes")</f>
        <v>Yes</v>
      </c>
      <c r="AG328" s="5" t="str">
        <f ca="1">IFERROR(__xludf.DUMMYFUNCTION("""COMPUTED_VALUE"""),"No")</f>
        <v>No</v>
      </c>
      <c r="AH328" s="5" t="str">
        <f ca="1">IFERROR(__xludf.DUMMYFUNCTION("""COMPUTED_VALUE"""),"Yes")</f>
        <v>Yes</v>
      </c>
      <c r="AI328" s="5" t="str">
        <f ca="1">IFERROR(__xludf.DUMMYFUNCTION("""COMPUTED_VALUE"""),"No")</f>
        <v>No</v>
      </c>
      <c r="AJ328" s="5" t="str">
        <f ca="1">IFERROR(__xludf.DUMMYFUNCTION("""COMPUTED_VALUE"""),"No")</f>
        <v>No</v>
      </c>
      <c r="AK328" s="5" t="str">
        <f ca="1">IFERROR(__xludf.DUMMYFUNCTION("""COMPUTED_VALUE"""),"No")</f>
        <v>No</v>
      </c>
      <c r="AL328" s="5" t="str">
        <f ca="1">IFERROR(__xludf.DUMMYFUNCTION("""COMPUTED_VALUE"""),"No")</f>
        <v>No</v>
      </c>
      <c r="AM328" s="5"/>
      <c r="AN328" s="5"/>
      <c r="AO328" s="5"/>
      <c r="AP328" s="5"/>
      <c r="AQ328" s="5"/>
      <c r="AR328" s="5"/>
      <c r="AS328" s="5"/>
      <c r="AT328" s="5"/>
      <c r="AU328" s="5"/>
      <c r="AV328" s="5"/>
      <c r="AW328" s="5"/>
      <c r="AX328" s="5"/>
      <c r="AY328" s="5"/>
    </row>
    <row r="329" spans="1:51" x14ac:dyDescent="0.25">
      <c r="A329" s="5" t="str">
        <f ca="1">IFERROR(__xludf.DUMMYFUNCTION("""COMPUTED_VALUE"""),"English(""eng""), Serbian(""""srp"",""srb""""), Bulgarian(""bul""), Spanish(""spa""), Portuguese(""por""), Italian(""ita""), Romanian(""rum/ron""), Croatian(""hrv""), French(""fre/fra""), German(""ger/deu""), Dutch(""dut/nld""), Turkish(""tur""), Greek("""&amp;"gre/ell""), Russian(""rus""), Latvian(""lav""), Ukrainian(""ukr""), Chinese(""zho/chi"")")</f>
        <v>English("eng"), Serbian(""srp","srb""), Bulgarian("bul"), Spanish("spa"), Portuguese("por"), Italian("ita"), Romanian("rum/ron"), Croatian("hrv"), French("fre/fra"), German("ger/deu"), Dutch("dut/nld"), Turkish("tur"), Greek("gre/ell"), Russian("rus"), Latvian("lav"), Ukrainian("ukr"), Chinese("zho/chi")</v>
      </c>
      <c r="B329" s="5">
        <f ca="1">IFERROR(__xludf.DUMMYFUNCTION("""COMPUTED_VALUE"""),331)</f>
        <v>331</v>
      </c>
      <c r="C329" s="5">
        <f ca="1">IFERROR(__xludf.DUMMYFUNCTION("""COMPUTED_VALUE"""),330)</f>
        <v>330</v>
      </c>
      <c r="D329" s="5" t="str">
        <f ca="1">IFERROR(__xludf.DUMMYFUNCTION("""COMPUTED_VALUE"""),"UnicornBuffaloSevens")</f>
        <v>UnicornBuffaloSevens</v>
      </c>
      <c r="E329" s="5" t="str">
        <f ca="1">IFERROR(__xludf.DUMMYFUNCTION("""COMPUTED_VALUE"""),"Yes")</f>
        <v>Yes</v>
      </c>
      <c r="F329" s="5" t="str">
        <f ca="1">IFERROR(__xludf.DUMMYFUNCTION("""COMPUTED_VALUE"""),"Yes")</f>
        <v>Yes</v>
      </c>
      <c r="G329" s="5" t="str">
        <f ca="1">IFERROR(__xludf.DUMMYFUNCTION("""COMPUTED_VALUE"""),"No")</f>
        <v>No</v>
      </c>
      <c r="H329" s="5" t="str">
        <f ca="1">IFERROR(__xludf.DUMMYFUNCTION("""COMPUTED_VALUE"""),"Yes")</f>
        <v>Yes</v>
      </c>
      <c r="I329" s="5" t="str">
        <f ca="1">IFERROR(__xludf.DUMMYFUNCTION("""COMPUTED_VALUE"""),"Yes")</f>
        <v>Yes</v>
      </c>
      <c r="J329" s="5" t="str">
        <f ca="1">IFERROR(__xludf.DUMMYFUNCTION("""COMPUTED_VALUE"""),"Yes")</f>
        <v>Yes</v>
      </c>
      <c r="K329" s="5" t="str">
        <f ca="1">IFERROR(__xludf.DUMMYFUNCTION("""COMPUTED_VALUE"""),"Yes")</f>
        <v>Yes</v>
      </c>
      <c r="L329" s="5" t="str">
        <f ca="1">IFERROR(__xludf.DUMMYFUNCTION("""COMPUTED_VALUE"""),"Yes")</f>
        <v>Yes</v>
      </c>
      <c r="M329" s="5" t="str">
        <f ca="1">IFERROR(__xludf.DUMMYFUNCTION("""COMPUTED_VALUE"""),"Yes")</f>
        <v>Yes</v>
      </c>
      <c r="N329" s="5" t="str">
        <f ca="1">IFERROR(__xludf.DUMMYFUNCTION("""COMPUTED_VALUE"""),"Yes")</f>
        <v>Yes</v>
      </c>
      <c r="O329" s="5" t="str">
        <f ca="1">IFERROR(__xludf.DUMMYFUNCTION("""COMPUTED_VALUE"""),"Yes")</f>
        <v>Yes</v>
      </c>
      <c r="P329" s="5" t="str">
        <f ca="1">IFERROR(__xludf.DUMMYFUNCTION("""COMPUTED_VALUE"""),"Yes")</f>
        <v>Yes</v>
      </c>
      <c r="Q329" s="5" t="str">
        <f ca="1">IFERROR(__xludf.DUMMYFUNCTION("""COMPUTED_VALUE"""),"Yes")</f>
        <v>Yes</v>
      </c>
      <c r="R329" s="5" t="str">
        <f ca="1">IFERROR(__xludf.DUMMYFUNCTION("""COMPUTED_VALUE"""),"Yes")</f>
        <v>Yes</v>
      </c>
      <c r="S329" s="5" t="str">
        <f ca="1">IFERROR(__xludf.DUMMYFUNCTION("""COMPUTED_VALUE"""),"Yes")</f>
        <v>Yes</v>
      </c>
      <c r="T329" s="5" t="str">
        <f ca="1">IFERROR(__xludf.DUMMYFUNCTION("""COMPUTED_VALUE"""),"No")</f>
        <v>No</v>
      </c>
      <c r="U329" s="5" t="str">
        <f ca="1">IFERROR(__xludf.DUMMYFUNCTION("""COMPUTED_VALUE"""),"No")</f>
        <v>No</v>
      </c>
      <c r="V329" s="5" t="str">
        <f ca="1">IFERROR(__xludf.DUMMYFUNCTION("""COMPUTED_VALUE"""),"No")</f>
        <v>No</v>
      </c>
      <c r="W329" s="5" t="str">
        <f ca="1">IFERROR(__xludf.DUMMYFUNCTION("""COMPUTED_VALUE"""),"No")</f>
        <v>No</v>
      </c>
      <c r="X329" s="5" t="str">
        <f ca="1">IFERROR(__xludf.DUMMYFUNCTION("""COMPUTED_VALUE"""),"No")</f>
        <v>No</v>
      </c>
      <c r="Y329" s="5" t="str">
        <f ca="1">IFERROR(__xludf.DUMMYFUNCTION("""COMPUTED_VALUE"""),"No")</f>
        <v>No</v>
      </c>
      <c r="Z329" s="5" t="str">
        <f ca="1">IFERROR(__xludf.DUMMYFUNCTION("""COMPUTED_VALUE"""),"No")</f>
        <v>No</v>
      </c>
      <c r="AA329" s="5" t="str">
        <f ca="1">IFERROR(__xludf.DUMMYFUNCTION("""COMPUTED_VALUE"""),"No")</f>
        <v>No</v>
      </c>
      <c r="AB329" s="5" t="str">
        <f ca="1">IFERROR(__xludf.DUMMYFUNCTION("""COMPUTED_VALUE"""),"No")</f>
        <v>No</v>
      </c>
      <c r="AC329" s="5" t="str">
        <f ca="1">IFERROR(__xludf.DUMMYFUNCTION("""COMPUTED_VALUE"""),"Yes")</f>
        <v>Yes</v>
      </c>
      <c r="AD329" s="5" t="str">
        <f ca="1">IFERROR(__xludf.DUMMYFUNCTION("""COMPUTED_VALUE"""),"No")</f>
        <v>No</v>
      </c>
      <c r="AE329" s="5" t="str">
        <f ca="1">IFERROR(__xludf.DUMMYFUNCTION("""COMPUTED_VALUE"""),"No")</f>
        <v>No</v>
      </c>
      <c r="AF329" s="5" t="str">
        <f ca="1">IFERROR(__xludf.DUMMYFUNCTION("""COMPUTED_VALUE"""),"Yes")</f>
        <v>Yes</v>
      </c>
      <c r="AG329" s="5" t="str">
        <f ca="1">IFERROR(__xludf.DUMMYFUNCTION("""COMPUTED_VALUE"""),"No")</f>
        <v>No</v>
      </c>
      <c r="AH329" s="5" t="str">
        <f ca="1">IFERROR(__xludf.DUMMYFUNCTION("""COMPUTED_VALUE"""),"Yes")</f>
        <v>Yes</v>
      </c>
      <c r="AI329" s="5" t="str">
        <f ca="1">IFERROR(__xludf.DUMMYFUNCTION("""COMPUTED_VALUE"""),"No")</f>
        <v>No</v>
      </c>
      <c r="AJ329" s="5" t="str">
        <f ca="1">IFERROR(__xludf.DUMMYFUNCTION("""COMPUTED_VALUE"""),"No")</f>
        <v>No</v>
      </c>
      <c r="AK329" s="5" t="str">
        <f ca="1">IFERROR(__xludf.DUMMYFUNCTION("""COMPUTED_VALUE"""),"No")</f>
        <v>No</v>
      </c>
      <c r="AL329" s="5" t="str">
        <f ca="1">IFERROR(__xludf.DUMMYFUNCTION("""COMPUTED_VALUE"""),"No")</f>
        <v>No</v>
      </c>
      <c r="AM329" s="5"/>
      <c r="AN329" s="5"/>
      <c r="AO329" s="5"/>
      <c r="AP329" s="5"/>
      <c r="AQ329" s="5"/>
      <c r="AR329" s="5"/>
      <c r="AS329" s="5"/>
      <c r="AT329" s="5"/>
      <c r="AU329" s="5"/>
      <c r="AV329" s="5"/>
      <c r="AW329" s="5"/>
      <c r="AX329" s="5"/>
      <c r="AY329" s="5"/>
    </row>
    <row r="330" spans="1:51" x14ac:dyDescent="0.25">
      <c r="A33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30" s="5">
        <f ca="1">IFERROR(__xludf.DUMMYFUNCTION("""COMPUTED_VALUE"""),332)</f>
        <v>332</v>
      </c>
      <c r="C330" s="5">
        <f ca="1">IFERROR(__xludf.DUMMYFUNCTION("""COMPUTED_VALUE"""),331)</f>
        <v>331</v>
      </c>
      <c r="D330" s="5" t="str">
        <f ca="1">IFERROR(__xludf.DUMMYFUNCTION("""COMPUTED_VALUE"""),"UnicornMisterLuck")</f>
        <v>UnicornMisterLuck</v>
      </c>
      <c r="E330" s="5" t="str">
        <f ca="1">IFERROR(__xludf.DUMMYFUNCTION("""COMPUTED_VALUE"""),"Yes")</f>
        <v>Yes</v>
      </c>
      <c r="F330" s="5" t="str">
        <f ca="1">IFERROR(__xludf.DUMMYFUNCTION("""COMPUTED_VALUE"""),"Yes")</f>
        <v>Yes</v>
      </c>
      <c r="G330" s="5" t="str">
        <f ca="1">IFERROR(__xludf.DUMMYFUNCTION("""COMPUTED_VALUE"""),"Yes")</f>
        <v>Yes</v>
      </c>
      <c r="H330" s="5" t="str">
        <f ca="1">IFERROR(__xludf.DUMMYFUNCTION("""COMPUTED_VALUE"""),"No")</f>
        <v>No</v>
      </c>
      <c r="I330" s="5" t="str">
        <f ca="1">IFERROR(__xludf.DUMMYFUNCTION("""COMPUTED_VALUE"""),"No")</f>
        <v>No</v>
      </c>
      <c r="J330" s="5" t="str">
        <f ca="1">IFERROR(__xludf.DUMMYFUNCTION("""COMPUTED_VALUE"""),"No")</f>
        <v>No</v>
      </c>
      <c r="K330" s="5" t="str">
        <f ca="1">IFERROR(__xludf.DUMMYFUNCTION("""COMPUTED_VALUE"""),"No")</f>
        <v>No</v>
      </c>
      <c r="L330" s="5" t="str">
        <f ca="1">IFERROR(__xludf.DUMMYFUNCTION("""COMPUTED_VALUE"""),"No")</f>
        <v>No</v>
      </c>
      <c r="M330" s="5" t="str">
        <f ca="1">IFERROR(__xludf.DUMMYFUNCTION("""COMPUTED_VALUE"""),"Yes")</f>
        <v>Yes</v>
      </c>
      <c r="N330" s="5" t="str">
        <f ca="1">IFERROR(__xludf.DUMMYFUNCTION("""COMPUTED_VALUE"""),"Yes")</f>
        <v>Yes</v>
      </c>
      <c r="O330" s="5" t="str">
        <f ca="1">IFERROR(__xludf.DUMMYFUNCTION("""COMPUTED_VALUE"""),"Yes")</f>
        <v>Yes</v>
      </c>
      <c r="P330" s="5" t="str">
        <f ca="1">IFERROR(__xludf.DUMMYFUNCTION("""COMPUTED_VALUE"""),"Yes")</f>
        <v>Yes</v>
      </c>
      <c r="Q330" s="5" t="str">
        <f ca="1">IFERROR(__xludf.DUMMYFUNCTION("""COMPUTED_VALUE"""),"Yes")</f>
        <v>Yes</v>
      </c>
      <c r="R330" s="5" t="str">
        <f ca="1">IFERROR(__xludf.DUMMYFUNCTION("""COMPUTED_VALUE"""),"No")</f>
        <v>No</v>
      </c>
      <c r="S330" s="5" t="str">
        <f ca="1">IFERROR(__xludf.DUMMYFUNCTION("""COMPUTED_VALUE"""),"Yes")</f>
        <v>Yes</v>
      </c>
      <c r="T330" s="5" t="str">
        <f ca="1">IFERROR(__xludf.DUMMYFUNCTION("""COMPUTED_VALUE"""),"No")</f>
        <v>No</v>
      </c>
      <c r="U330" s="5" t="str">
        <f ca="1">IFERROR(__xludf.DUMMYFUNCTION("""COMPUTED_VALUE"""),"No")</f>
        <v>No</v>
      </c>
      <c r="V330" s="5" t="str">
        <f ca="1">IFERROR(__xludf.DUMMYFUNCTION("""COMPUTED_VALUE"""),"No")</f>
        <v>No</v>
      </c>
      <c r="W330" s="5" t="str">
        <f ca="1">IFERROR(__xludf.DUMMYFUNCTION("""COMPUTED_VALUE"""),"No")</f>
        <v>No</v>
      </c>
      <c r="X330" s="5"/>
      <c r="Y330" s="5"/>
      <c r="Z330" s="5"/>
      <c r="AA330" s="5"/>
      <c r="AB330" s="5"/>
      <c r="AC330" s="5" t="str">
        <f ca="1">IFERROR(__xludf.DUMMYFUNCTION("""COMPUTED_VALUE"""),"No")</f>
        <v>No</v>
      </c>
      <c r="AD330" s="5"/>
      <c r="AE330" s="5"/>
      <c r="AF330" s="5"/>
      <c r="AG330" s="5"/>
      <c r="AH330" s="5"/>
      <c r="AI330" s="5"/>
      <c r="AJ330" s="5"/>
      <c r="AK330" s="5"/>
      <c r="AL330" s="5"/>
      <c r="AM330" s="5"/>
      <c r="AN330" s="5"/>
      <c r="AO330" s="5"/>
      <c r="AP330" s="5"/>
      <c r="AQ330" s="5"/>
      <c r="AR330" s="5"/>
      <c r="AS330" s="5"/>
      <c r="AT330" s="5"/>
      <c r="AU330" s="5"/>
      <c r="AV330" s="5"/>
      <c r="AW330" s="5"/>
      <c r="AX330" s="5"/>
      <c r="AY330" s="5"/>
    </row>
    <row r="331" spans="1:51" x14ac:dyDescent="0.25">
      <c r="A3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1" s="5">
        <f ca="1">IFERROR(__xludf.DUMMYFUNCTION("""COMPUTED_VALUE"""),334)</f>
        <v>334</v>
      </c>
      <c r="C331" s="5">
        <f ca="1">IFERROR(__xludf.DUMMYFUNCTION("""COMPUTED_VALUE"""),333)</f>
        <v>333</v>
      </c>
      <c r="D331" s="5" t="str">
        <f ca="1">IFERROR(__xludf.DUMMYFUNCTION("""COMPUTED_VALUE"""),"WildSunburst")</f>
        <v>WildSunburst</v>
      </c>
      <c r="E331" s="5" t="str">
        <f ca="1">IFERROR(__xludf.DUMMYFUNCTION("""COMPUTED_VALUE"""),"Yes")</f>
        <v>Yes</v>
      </c>
      <c r="F331" s="5" t="str">
        <f ca="1">IFERROR(__xludf.DUMMYFUNCTION("""COMPUTED_VALUE"""),"Yes")</f>
        <v>Yes</v>
      </c>
      <c r="G331" s="5" t="str">
        <f ca="1">IFERROR(__xludf.DUMMYFUNCTION("""COMPUTED_VALUE"""),"Yes")</f>
        <v>Yes</v>
      </c>
      <c r="H331" s="5" t="str">
        <f ca="1">IFERROR(__xludf.DUMMYFUNCTION("""COMPUTED_VALUE"""),"Yes")</f>
        <v>Yes</v>
      </c>
      <c r="I331" s="5" t="str">
        <f ca="1">IFERROR(__xludf.DUMMYFUNCTION("""COMPUTED_VALUE"""),"Yes")</f>
        <v>Yes</v>
      </c>
      <c r="J331" s="5" t="str">
        <f ca="1">IFERROR(__xludf.DUMMYFUNCTION("""COMPUTED_VALUE"""),"Yes")</f>
        <v>Yes</v>
      </c>
      <c r="K331" s="5" t="str">
        <f ca="1">IFERROR(__xludf.DUMMYFUNCTION("""COMPUTED_VALUE"""),"Yes")</f>
        <v>Yes</v>
      </c>
      <c r="L331" s="5" t="str">
        <f ca="1">IFERROR(__xludf.DUMMYFUNCTION("""COMPUTED_VALUE"""),"Yes")</f>
        <v>Yes</v>
      </c>
      <c r="M331" s="5" t="str">
        <f ca="1">IFERROR(__xludf.DUMMYFUNCTION("""COMPUTED_VALUE"""),"Yes")</f>
        <v>Yes</v>
      </c>
      <c r="N331" s="5" t="str">
        <f ca="1">IFERROR(__xludf.DUMMYFUNCTION("""COMPUTED_VALUE"""),"Yes")</f>
        <v>Yes</v>
      </c>
      <c r="O331" s="5" t="str">
        <f ca="1">IFERROR(__xludf.DUMMYFUNCTION("""COMPUTED_VALUE"""),"Yes")</f>
        <v>Yes</v>
      </c>
      <c r="P331" s="5" t="str">
        <f ca="1">IFERROR(__xludf.DUMMYFUNCTION("""COMPUTED_VALUE"""),"Yes")</f>
        <v>Yes</v>
      </c>
      <c r="Q331" s="5" t="str">
        <f ca="1">IFERROR(__xludf.DUMMYFUNCTION("""COMPUTED_VALUE"""),"Yes")</f>
        <v>Yes</v>
      </c>
      <c r="R331" s="5" t="str">
        <f ca="1">IFERROR(__xludf.DUMMYFUNCTION("""COMPUTED_VALUE"""),"Yes")</f>
        <v>Yes</v>
      </c>
      <c r="S331" s="5" t="str">
        <f ca="1">IFERROR(__xludf.DUMMYFUNCTION("""COMPUTED_VALUE"""),"Yes")</f>
        <v>Yes</v>
      </c>
      <c r="T331" s="5" t="str">
        <f ca="1">IFERROR(__xludf.DUMMYFUNCTION("""COMPUTED_VALUE"""),"Yes")</f>
        <v>Yes</v>
      </c>
      <c r="U331" s="5" t="str">
        <f ca="1">IFERROR(__xludf.DUMMYFUNCTION("""COMPUTED_VALUE"""),"Yes")</f>
        <v>Yes</v>
      </c>
      <c r="V331" s="5" t="str">
        <f ca="1">IFERROR(__xludf.DUMMYFUNCTION("""COMPUTED_VALUE"""),"Yes")</f>
        <v>Yes</v>
      </c>
      <c r="W331" s="5" t="str">
        <f ca="1">IFERROR(__xludf.DUMMYFUNCTION("""COMPUTED_VALUE"""),"Yes")</f>
        <v>Yes</v>
      </c>
      <c r="X331" s="5" t="str">
        <f ca="1">IFERROR(__xludf.DUMMYFUNCTION("""COMPUTED_VALUE"""),"Yes")</f>
        <v>Yes</v>
      </c>
      <c r="Y331" s="5" t="str">
        <f ca="1">IFERROR(__xludf.DUMMYFUNCTION("""COMPUTED_VALUE"""),"Yes")</f>
        <v>Yes</v>
      </c>
      <c r="Z331" s="5" t="str">
        <f ca="1">IFERROR(__xludf.DUMMYFUNCTION("""COMPUTED_VALUE"""),"Yes")</f>
        <v>Yes</v>
      </c>
      <c r="AA331" s="5" t="str">
        <f ca="1">IFERROR(__xludf.DUMMYFUNCTION("""COMPUTED_VALUE"""),"Yes")</f>
        <v>Yes</v>
      </c>
      <c r="AB331" s="5" t="str">
        <f ca="1">IFERROR(__xludf.DUMMYFUNCTION("""COMPUTED_VALUE"""),"Yes")</f>
        <v>Yes</v>
      </c>
      <c r="AC331" s="5" t="str">
        <f ca="1">IFERROR(__xludf.DUMMYFUNCTION("""COMPUTED_VALUE"""),"Yes")</f>
        <v>Yes</v>
      </c>
      <c r="AD331" s="5" t="str">
        <f ca="1">IFERROR(__xludf.DUMMYFUNCTION("""COMPUTED_VALUE"""),"Yes")</f>
        <v>Yes</v>
      </c>
      <c r="AE331" s="5" t="str">
        <f ca="1">IFERROR(__xludf.DUMMYFUNCTION("""COMPUTED_VALUE"""),"Yes")</f>
        <v>Yes</v>
      </c>
      <c r="AF331" s="5" t="str">
        <f ca="1">IFERROR(__xludf.DUMMYFUNCTION("""COMPUTED_VALUE"""),"Yes")</f>
        <v>Yes</v>
      </c>
      <c r="AG331" s="5" t="str">
        <f ca="1">IFERROR(__xludf.DUMMYFUNCTION("""COMPUTED_VALUE"""),"Yes")</f>
        <v>Yes</v>
      </c>
      <c r="AH331" s="5" t="str">
        <f ca="1">IFERROR(__xludf.DUMMYFUNCTION("""COMPUTED_VALUE"""),"Yes")</f>
        <v>Yes</v>
      </c>
      <c r="AI331" s="5" t="str">
        <f ca="1">IFERROR(__xludf.DUMMYFUNCTION("""COMPUTED_VALUE"""),"No")</f>
        <v>No</v>
      </c>
      <c r="AJ331" s="5" t="str">
        <f ca="1">IFERROR(__xludf.DUMMYFUNCTION("""COMPUTED_VALUE"""),"No")</f>
        <v>No</v>
      </c>
      <c r="AK331" s="5" t="str">
        <f ca="1">IFERROR(__xludf.DUMMYFUNCTION("""COMPUTED_VALUE"""),"No")</f>
        <v>No</v>
      </c>
      <c r="AL331" s="5" t="str">
        <f ca="1">IFERROR(__xludf.DUMMYFUNCTION("""COMPUTED_VALUE"""),"No")</f>
        <v>No</v>
      </c>
      <c r="AM331" s="5"/>
      <c r="AN331" s="5"/>
      <c r="AO331" s="5"/>
      <c r="AP331" s="5"/>
      <c r="AQ331" s="5"/>
      <c r="AR331" s="5"/>
      <c r="AS331" s="5"/>
      <c r="AT331" s="5"/>
      <c r="AU331" s="5"/>
      <c r="AV331" s="5"/>
      <c r="AW331" s="5"/>
      <c r="AX331" s="5"/>
      <c r="AY331" s="5"/>
    </row>
    <row r="332" spans="1:51" x14ac:dyDescent="0.25">
      <c r="A3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2" s="5">
        <f ca="1">IFERROR(__xludf.DUMMYFUNCTION("""COMPUTED_VALUE"""),335)</f>
        <v>335</v>
      </c>
      <c r="C332" s="5">
        <f ca="1">IFERROR(__xludf.DUMMYFUNCTION("""COMPUTED_VALUE"""),334)</f>
        <v>334</v>
      </c>
      <c r="D332" s="5" t="str">
        <f ca="1">IFERROR(__xludf.DUMMYFUNCTION("""COMPUTED_VALUE"""),"ToxicHaze")</f>
        <v>ToxicHaze</v>
      </c>
      <c r="E332" s="5" t="str">
        <f ca="1">IFERROR(__xludf.DUMMYFUNCTION("""COMPUTED_VALUE"""),"Yes")</f>
        <v>Yes</v>
      </c>
      <c r="F332" s="5" t="str">
        <f ca="1">IFERROR(__xludf.DUMMYFUNCTION("""COMPUTED_VALUE"""),"Yes")</f>
        <v>Yes</v>
      </c>
      <c r="G332" s="5" t="str">
        <f ca="1">IFERROR(__xludf.DUMMYFUNCTION("""COMPUTED_VALUE"""),"Yes")</f>
        <v>Yes</v>
      </c>
      <c r="H332" s="5" t="str">
        <f ca="1">IFERROR(__xludf.DUMMYFUNCTION("""COMPUTED_VALUE"""),"Yes")</f>
        <v>Yes</v>
      </c>
      <c r="I332" s="5" t="str">
        <f ca="1">IFERROR(__xludf.DUMMYFUNCTION("""COMPUTED_VALUE"""),"Yes")</f>
        <v>Yes</v>
      </c>
      <c r="J332" s="5" t="str">
        <f ca="1">IFERROR(__xludf.DUMMYFUNCTION("""COMPUTED_VALUE"""),"Yes")</f>
        <v>Yes</v>
      </c>
      <c r="K332" s="5" t="str">
        <f ca="1">IFERROR(__xludf.DUMMYFUNCTION("""COMPUTED_VALUE"""),"Yes")</f>
        <v>Yes</v>
      </c>
      <c r="L332" s="5" t="str">
        <f ca="1">IFERROR(__xludf.DUMMYFUNCTION("""COMPUTED_VALUE"""),"Yes")</f>
        <v>Yes</v>
      </c>
      <c r="M332" s="5" t="str">
        <f ca="1">IFERROR(__xludf.DUMMYFUNCTION("""COMPUTED_VALUE"""),"Yes")</f>
        <v>Yes</v>
      </c>
      <c r="N332" s="5" t="str">
        <f ca="1">IFERROR(__xludf.DUMMYFUNCTION("""COMPUTED_VALUE"""),"Yes")</f>
        <v>Yes</v>
      </c>
      <c r="O332" s="5" t="str">
        <f ca="1">IFERROR(__xludf.DUMMYFUNCTION("""COMPUTED_VALUE"""),"Yes")</f>
        <v>Yes</v>
      </c>
      <c r="P332" s="5" t="str">
        <f ca="1">IFERROR(__xludf.DUMMYFUNCTION("""COMPUTED_VALUE"""),"Yes")</f>
        <v>Yes</v>
      </c>
      <c r="Q332" s="5" t="str">
        <f ca="1">IFERROR(__xludf.DUMMYFUNCTION("""COMPUTED_VALUE"""),"Yes")</f>
        <v>Yes</v>
      </c>
      <c r="R332" s="5" t="str">
        <f ca="1">IFERROR(__xludf.DUMMYFUNCTION("""COMPUTED_VALUE"""),"Yes")</f>
        <v>Yes</v>
      </c>
      <c r="S332" s="5" t="str">
        <f ca="1">IFERROR(__xludf.DUMMYFUNCTION("""COMPUTED_VALUE"""),"Yes")</f>
        <v>Yes</v>
      </c>
      <c r="T332" s="5" t="str">
        <f ca="1">IFERROR(__xludf.DUMMYFUNCTION("""COMPUTED_VALUE"""),"Yes")</f>
        <v>Yes</v>
      </c>
      <c r="U332" s="5" t="str">
        <f ca="1">IFERROR(__xludf.DUMMYFUNCTION("""COMPUTED_VALUE"""),"Yes")</f>
        <v>Yes</v>
      </c>
      <c r="V332" s="5" t="str">
        <f ca="1">IFERROR(__xludf.DUMMYFUNCTION("""COMPUTED_VALUE"""),"Yes")</f>
        <v>Yes</v>
      </c>
      <c r="W332" s="5" t="str">
        <f ca="1">IFERROR(__xludf.DUMMYFUNCTION("""COMPUTED_VALUE"""),"Yes")</f>
        <v>Yes</v>
      </c>
      <c r="X332" s="5" t="str">
        <f ca="1">IFERROR(__xludf.DUMMYFUNCTION("""COMPUTED_VALUE"""),"Yes")</f>
        <v>Yes</v>
      </c>
      <c r="Y332" s="5" t="str">
        <f ca="1">IFERROR(__xludf.DUMMYFUNCTION("""COMPUTED_VALUE"""),"Yes")</f>
        <v>Yes</v>
      </c>
      <c r="Z332" s="5" t="str">
        <f ca="1">IFERROR(__xludf.DUMMYFUNCTION("""COMPUTED_VALUE"""),"Yes")</f>
        <v>Yes</v>
      </c>
      <c r="AA332" s="5" t="str">
        <f ca="1">IFERROR(__xludf.DUMMYFUNCTION("""COMPUTED_VALUE"""),"Yes")</f>
        <v>Yes</v>
      </c>
      <c r="AB332" s="5" t="str">
        <f ca="1">IFERROR(__xludf.DUMMYFUNCTION("""COMPUTED_VALUE"""),"Yes")</f>
        <v>Yes</v>
      </c>
      <c r="AC332" s="5" t="str">
        <f ca="1">IFERROR(__xludf.DUMMYFUNCTION("""COMPUTED_VALUE"""),"Yes")</f>
        <v>Yes</v>
      </c>
      <c r="AD332" s="5" t="str">
        <f ca="1">IFERROR(__xludf.DUMMYFUNCTION("""COMPUTED_VALUE"""),"Yes")</f>
        <v>Yes</v>
      </c>
      <c r="AE332" s="5" t="str">
        <f ca="1">IFERROR(__xludf.DUMMYFUNCTION("""COMPUTED_VALUE"""),"Yes")</f>
        <v>Yes</v>
      </c>
      <c r="AF332" s="5" t="str">
        <f ca="1">IFERROR(__xludf.DUMMYFUNCTION("""COMPUTED_VALUE"""),"Yes")</f>
        <v>Yes</v>
      </c>
      <c r="AG332" s="5" t="str">
        <f ca="1">IFERROR(__xludf.DUMMYFUNCTION("""COMPUTED_VALUE"""),"Yes")</f>
        <v>Yes</v>
      </c>
      <c r="AH332" s="5" t="str">
        <f ca="1">IFERROR(__xludf.DUMMYFUNCTION("""COMPUTED_VALUE"""),"Yes")</f>
        <v>Yes</v>
      </c>
      <c r="AI332" s="5" t="str">
        <f ca="1">IFERROR(__xludf.DUMMYFUNCTION("""COMPUTED_VALUE"""),"No")</f>
        <v>No</v>
      </c>
      <c r="AJ332" s="5" t="str">
        <f ca="1">IFERROR(__xludf.DUMMYFUNCTION("""COMPUTED_VALUE"""),"No")</f>
        <v>No</v>
      </c>
      <c r="AK332" s="5" t="str">
        <f ca="1">IFERROR(__xludf.DUMMYFUNCTION("""COMPUTED_VALUE"""),"No")</f>
        <v>No</v>
      </c>
      <c r="AL332" s="5" t="str">
        <f ca="1">IFERROR(__xludf.DUMMYFUNCTION("""COMPUTED_VALUE"""),"No")</f>
        <v>No</v>
      </c>
      <c r="AM332" s="5"/>
      <c r="AN332" s="5"/>
      <c r="AO332" s="5"/>
      <c r="AP332" s="5"/>
      <c r="AQ332" s="5"/>
      <c r="AR332" s="5"/>
      <c r="AS332" s="5"/>
      <c r="AT332" s="5"/>
      <c r="AU332" s="5"/>
      <c r="AV332" s="5"/>
      <c r="AW332" s="5"/>
      <c r="AX332" s="5"/>
      <c r="AY332" s="5"/>
    </row>
    <row r="333" spans="1:51" x14ac:dyDescent="0.25">
      <c r="A3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33" s="5">
        <f ca="1">IFERROR(__xludf.DUMMYFUNCTION("""COMPUTED_VALUE"""),337)</f>
        <v>337</v>
      </c>
      <c r="C333" s="5">
        <f ca="1">IFERROR(__xludf.DUMMYFUNCTION("""COMPUTED_VALUE"""),336)</f>
        <v>336</v>
      </c>
      <c r="D333" s="5" t="str">
        <f ca="1">IFERROR(__xludf.DUMMYFUNCTION("""COMPUTED_VALUE"""),"UnicornFrootClassic")</f>
        <v>UnicornFrootClassic</v>
      </c>
      <c r="E333" s="5" t="str">
        <f ca="1">IFERROR(__xludf.DUMMYFUNCTION("""COMPUTED_VALUE"""),"Yes")</f>
        <v>Yes</v>
      </c>
      <c r="F333" s="5" t="str">
        <f ca="1">IFERROR(__xludf.DUMMYFUNCTION("""COMPUTED_VALUE"""),"Yes")</f>
        <v>Yes</v>
      </c>
      <c r="G333" s="5" t="str">
        <f ca="1">IFERROR(__xludf.DUMMYFUNCTION("""COMPUTED_VALUE"""),"Yes")</f>
        <v>Yes</v>
      </c>
      <c r="H333" s="5" t="str">
        <f ca="1">IFERROR(__xludf.DUMMYFUNCTION("""COMPUTED_VALUE"""),"Yes")</f>
        <v>Yes</v>
      </c>
      <c r="I333" s="5" t="str">
        <f ca="1">IFERROR(__xludf.DUMMYFUNCTION("""COMPUTED_VALUE"""),"Yes")</f>
        <v>Yes</v>
      </c>
      <c r="J333" s="5" t="str">
        <f ca="1">IFERROR(__xludf.DUMMYFUNCTION("""COMPUTED_VALUE"""),"Yes")</f>
        <v>Yes</v>
      </c>
      <c r="K333" s="5" t="str">
        <f ca="1">IFERROR(__xludf.DUMMYFUNCTION("""COMPUTED_VALUE"""),"Yes")</f>
        <v>Yes</v>
      </c>
      <c r="L333" s="5" t="str">
        <f ca="1">IFERROR(__xludf.DUMMYFUNCTION("""COMPUTED_VALUE"""),"Yes")</f>
        <v>Yes</v>
      </c>
      <c r="M333" s="5" t="str">
        <f ca="1">IFERROR(__xludf.DUMMYFUNCTION("""COMPUTED_VALUE"""),"Yes")</f>
        <v>Yes</v>
      </c>
      <c r="N333" s="5" t="str">
        <f ca="1">IFERROR(__xludf.DUMMYFUNCTION("""COMPUTED_VALUE"""),"Yes")</f>
        <v>Yes</v>
      </c>
      <c r="O333" s="5" t="str">
        <f ca="1">IFERROR(__xludf.DUMMYFUNCTION("""COMPUTED_VALUE"""),"Yes")</f>
        <v>Yes</v>
      </c>
      <c r="P333" s="5" t="str">
        <f ca="1">IFERROR(__xludf.DUMMYFUNCTION("""COMPUTED_VALUE"""),"Yes")</f>
        <v>Yes</v>
      </c>
      <c r="Q333" s="5" t="str">
        <f ca="1">IFERROR(__xludf.DUMMYFUNCTION("""COMPUTED_VALUE"""),"Yes")</f>
        <v>Yes</v>
      </c>
      <c r="R333" s="5" t="str">
        <f ca="1">IFERROR(__xludf.DUMMYFUNCTION("""COMPUTED_VALUE"""),"Yes")</f>
        <v>Yes</v>
      </c>
      <c r="S333" s="5" t="str">
        <f ca="1">IFERROR(__xludf.DUMMYFUNCTION("""COMPUTED_VALUE"""),"Yes")</f>
        <v>Yes</v>
      </c>
      <c r="T333" s="5" t="str">
        <f ca="1">IFERROR(__xludf.DUMMYFUNCTION("""COMPUTED_VALUE"""),"Yes")</f>
        <v>Yes</v>
      </c>
      <c r="U333" s="5" t="str">
        <f ca="1">IFERROR(__xludf.DUMMYFUNCTION("""COMPUTED_VALUE"""),"Yes")</f>
        <v>Yes</v>
      </c>
      <c r="V333" s="5" t="str">
        <f ca="1">IFERROR(__xludf.DUMMYFUNCTION("""COMPUTED_VALUE"""),"Yes")</f>
        <v>Yes</v>
      </c>
      <c r="W333" s="5" t="str">
        <f ca="1">IFERROR(__xludf.DUMMYFUNCTION("""COMPUTED_VALUE"""),"Yes")</f>
        <v>Yes</v>
      </c>
      <c r="X333" s="5"/>
      <c r="Y333" s="5" t="str">
        <f ca="1">IFERROR(__xludf.DUMMYFUNCTION("""COMPUTED_VALUE"""),"Yes")</f>
        <v>Yes</v>
      </c>
      <c r="Z333" s="5"/>
      <c r="AA333" s="5"/>
      <c r="AB333" s="5"/>
      <c r="AC333" s="5" t="str">
        <f ca="1">IFERROR(__xludf.DUMMYFUNCTION("""COMPUTED_VALUE"""),"Yes")</f>
        <v>Yes</v>
      </c>
      <c r="AD333" s="5"/>
      <c r="AE333" s="5"/>
      <c r="AF333" s="5"/>
      <c r="AG333" s="5"/>
      <c r="AH333" s="5"/>
      <c r="AI333" s="5"/>
      <c r="AJ333" s="5"/>
      <c r="AK333" s="5"/>
      <c r="AL333" s="5"/>
      <c r="AM333" s="5"/>
      <c r="AN333" s="5"/>
      <c r="AO333" s="5"/>
      <c r="AP333" s="5"/>
      <c r="AQ333" s="5"/>
      <c r="AR333" s="5"/>
      <c r="AS333" s="5"/>
      <c r="AT333" s="5"/>
      <c r="AU333" s="5"/>
      <c r="AV333" s="5"/>
      <c r="AW333" s="5"/>
      <c r="AX333" s="5"/>
      <c r="AY333" s="5"/>
    </row>
    <row r="334" spans="1:51" x14ac:dyDescent="0.25">
      <c r="A33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34" s="5">
        <f ca="1">IFERROR(__xludf.DUMMYFUNCTION("""COMPUTED_VALUE"""),338)</f>
        <v>338</v>
      </c>
      <c r="C334" s="5">
        <f ca="1">IFERROR(__xludf.DUMMYFUNCTION("""COMPUTED_VALUE"""),337)</f>
        <v>337</v>
      </c>
      <c r="D334" s="5" t="str">
        <f ca="1">IFERROR(__xludf.DUMMYFUNCTION("""COMPUTED_VALUE"""),"UnicornDiceWildLines")</f>
        <v>UnicornDiceWildLines</v>
      </c>
      <c r="E334" s="5" t="str">
        <f ca="1">IFERROR(__xludf.DUMMYFUNCTION("""COMPUTED_VALUE"""),"Yes")</f>
        <v>Yes</v>
      </c>
      <c r="F334" s="5" t="str">
        <f ca="1">IFERROR(__xludf.DUMMYFUNCTION("""COMPUTED_VALUE"""),"Yes")</f>
        <v>Yes</v>
      </c>
      <c r="G334" s="5" t="str">
        <f ca="1">IFERROR(__xludf.DUMMYFUNCTION("""COMPUTED_VALUE"""),"Yes")</f>
        <v>Yes</v>
      </c>
      <c r="H334" s="5" t="str">
        <f ca="1">IFERROR(__xludf.DUMMYFUNCTION("""COMPUTED_VALUE"""),"No")</f>
        <v>No</v>
      </c>
      <c r="I334" s="5" t="str">
        <f ca="1">IFERROR(__xludf.DUMMYFUNCTION("""COMPUTED_VALUE"""),"No")</f>
        <v>No</v>
      </c>
      <c r="J334" s="5" t="str">
        <f ca="1">IFERROR(__xludf.DUMMYFUNCTION("""COMPUTED_VALUE"""),"No")</f>
        <v>No</v>
      </c>
      <c r="K334" s="5" t="str">
        <f ca="1">IFERROR(__xludf.DUMMYFUNCTION("""COMPUTED_VALUE"""),"No")</f>
        <v>No</v>
      </c>
      <c r="L334" s="5" t="str">
        <f ca="1">IFERROR(__xludf.DUMMYFUNCTION("""COMPUTED_VALUE"""),"No")</f>
        <v>No</v>
      </c>
      <c r="M334" s="5" t="str">
        <f ca="1">IFERROR(__xludf.DUMMYFUNCTION("""COMPUTED_VALUE"""),"Yes")</f>
        <v>Yes</v>
      </c>
      <c r="N334" s="5" t="str">
        <f ca="1">IFERROR(__xludf.DUMMYFUNCTION("""COMPUTED_VALUE"""),"Yes")</f>
        <v>Yes</v>
      </c>
      <c r="O334" s="5" t="str">
        <f ca="1">IFERROR(__xludf.DUMMYFUNCTION("""COMPUTED_VALUE"""),"Yes")</f>
        <v>Yes</v>
      </c>
      <c r="P334" s="5" t="str">
        <f ca="1">IFERROR(__xludf.DUMMYFUNCTION("""COMPUTED_VALUE"""),"Yes")</f>
        <v>Yes</v>
      </c>
      <c r="Q334" s="5" t="str">
        <f ca="1">IFERROR(__xludf.DUMMYFUNCTION("""COMPUTED_VALUE"""),"Yes")</f>
        <v>Yes</v>
      </c>
      <c r="R334" s="5" t="str">
        <f ca="1">IFERROR(__xludf.DUMMYFUNCTION("""COMPUTED_VALUE"""),"No")</f>
        <v>No</v>
      </c>
      <c r="S334" s="5" t="str">
        <f ca="1">IFERROR(__xludf.DUMMYFUNCTION("""COMPUTED_VALUE"""),"Yes")</f>
        <v>Yes</v>
      </c>
      <c r="T334" s="5" t="str">
        <f ca="1">IFERROR(__xludf.DUMMYFUNCTION("""COMPUTED_VALUE"""),"No")</f>
        <v>No</v>
      </c>
      <c r="U334" s="5" t="str">
        <f ca="1">IFERROR(__xludf.DUMMYFUNCTION("""COMPUTED_VALUE"""),"No")</f>
        <v>No</v>
      </c>
      <c r="V334" s="5" t="str">
        <f ca="1">IFERROR(__xludf.DUMMYFUNCTION("""COMPUTED_VALUE"""),"No")</f>
        <v>No</v>
      </c>
      <c r="W334" s="5" t="str">
        <f ca="1">IFERROR(__xludf.DUMMYFUNCTION("""COMPUTED_VALUE"""),"No")</f>
        <v>No</v>
      </c>
      <c r="X334" s="5"/>
      <c r="Y334" s="5"/>
      <c r="Z334" s="5"/>
      <c r="AA334" s="5"/>
      <c r="AB334" s="5"/>
      <c r="AC334" s="5" t="str">
        <f ca="1">IFERROR(__xludf.DUMMYFUNCTION("""COMPUTED_VALUE"""),"No")</f>
        <v>No</v>
      </c>
      <c r="AD334" s="5"/>
      <c r="AE334" s="5"/>
      <c r="AF334" s="5"/>
      <c r="AG334" s="5"/>
      <c r="AH334" s="5"/>
      <c r="AI334" s="5"/>
      <c r="AJ334" s="5"/>
      <c r="AK334" s="5"/>
      <c r="AL334" s="5"/>
      <c r="AM334" s="5"/>
      <c r="AN334" s="5"/>
      <c r="AO334" s="5"/>
      <c r="AP334" s="5"/>
      <c r="AQ334" s="5"/>
      <c r="AR334" s="5"/>
      <c r="AS334" s="5"/>
      <c r="AT334" s="5"/>
      <c r="AU334" s="5"/>
      <c r="AV334" s="5"/>
      <c r="AW334" s="5"/>
      <c r="AX334" s="5"/>
      <c r="AY334" s="5"/>
    </row>
    <row r="335" spans="1:51" x14ac:dyDescent="0.25">
      <c r="A33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35" s="5">
        <f ca="1">IFERROR(__xludf.DUMMYFUNCTION("""COMPUTED_VALUE"""),339)</f>
        <v>339</v>
      </c>
      <c r="C335" s="5">
        <f ca="1">IFERROR(__xludf.DUMMYFUNCTION("""COMPUTED_VALUE"""),338)</f>
        <v>338</v>
      </c>
      <c r="D335" s="5" t="str">
        <f ca="1">IFERROR(__xludf.DUMMYFUNCTION("""COMPUTED_VALUE"""),"RedstoneSpinUp")</f>
        <v>RedstoneSpinUp</v>
      </c>
      <c r="E335" s="5" t="str">
        <f ca="1">IFERROR(__xludf.DUMMYFUNCTION("""COMPUTED_VALUE"""),"Yes")</f>
        <v>Yes</v>
      </c>
      <c r="F335" s="5" t="str">
        <f ca="1">IFERROR(__xludf.DUMMYFUNCTION("""COMPUTED_VALUE"""),"Yes")</f>
        <v>Yes</v>
      </c>
      <c r="G335" s="5" t="str">
        <f ca="1">IFERROR(__xludf.DUMMYFUNCTION("""COMPUTED_VALUE"""),"Yes")</f>
        <v>Yes</v>
      </c>
      <c r="H335" s="5" t="str">
        <f ca="1">IFERROR(__xludf.DUMMYFUNCTION("""COMPUTED_VALUE"""),"No")</f>
        <v>No</v>
      </c>
      <c r="I335" s="5" t="str">
        <f ca="1">IFERROR(__xludf.DUMMYFUNCTION("""COMPUTED_VALUE"""),"No")</f>
        <v>No</v>
      </c>
      <c r="J335" s="5" t="str">
        <f ca="1">IFERROR(__xludf.DUMMYFUNCTION("""COMPUTED_VALUE"""),"No")</f>
        <v>No</v>
      </c>
      <c r="K335" s="5" t="str">
        <f ca="1">IFERROR(__xludf.DUMMYFUNCTION("""COMPUTED_VALUE"""),"No")</f>
        <v>No</v>
      </c>
      <c r="L335" s="5" t="str">
        <f ca="1">IFERROR(__xludf.DUMMYFUNCTION("""COMPUTED_VALUE"""),"No")</f>
        <v>No</v>
      </c>
      <c r="M335" s="5" t="str">
        <f ca="1">IFERROR(__xludf.DUMMYFUNCTION("""COMPUTED_VALUE"""),"Yes")</f>
        <v>Yes</v>
      </c>
      <c r="N335" s="5" t="str">
        <f ca="1">IFERROR(__xludf.DUMMYFUNCTION("""COMPUTED_VALUE"""),"Yes")</f>
        <v>Yes</v>
      </c>
      <c r="O335" s="5" t="str">
        <f ca="1">IFERROR(__xludf.DUMMYFUNCTION("""COMPUTED_VALUE"""),"Yes")</f>
        <v>Yes</v>
      </c>
      <c r="P335" s="5" t="str">
        <f ca="1">IFERROR(__xludf.DUMMYFUNCTION("""COMPUTED_VALUE"""),"Yes")</f>
        <v>Yes</v>
      </c>
      <c r="Q335" s="5" t="str">
        <f ca="1">IFERROR(__xludf.DUMMYFUNCTION("""COMPUTED_VALUE"""),"Yes")</f>
        <v>Yes</v>
      </c>
      <c r="R335" s="5" t="str">
        <f ca="1">IFERROR(__xludf.DUMMYFUNCTION("""COMPUTED_VALUE"""),"No")</f>
        <v>No</v>
      </c>
      <c r="S335" s="5" t="str">
        <f ca="1">IFERROR(__xludf.DUMMYFUNCTION("""COMPUTED_VALUE"""),"Yes")</f>
        <v>Yes</v>
      </c>
      <c r="T335" s="5" t="str">
        <f ca="1">IFERROR(__xludf.DUMMYFUNCTION("""COMPUTED_VALUE"""),"No")</f>
        <v>No</v>
      </c>
      <c r="U335" s="5" t="str">
        <f ca="1">IFERROR(__xludf.DUMMYFUNCTION("""COMPUTED_VALUE"""),"No")</f>
        <v>No</v>
      </c>
      <c r="V335" s="5" t="str">
        <f ca="1">IFERROR(__xludf.DUMMYFUNCTION("""COMPUTED_VALUE"""),"No")</f>
        <v>No</v>
      </c>
      <c r="W335" s="5" t="str">
        <f ca="1">IFERROR(__xludf.DUMMYFUNCTION("""COMPUTED_VALUE"""),"No")</f>
        <v>No</v>
      </c>
      <c r="X335" s="5"/>
      <c r="Y335" s="5"/>
      <c r="Z335" s="5"/>
      <c r="AA335" s="5"/>
      <c r="AB335" s="5"/>
      <c r="AC335" s="5" t="str">
        <f ca="1">IFERROR(__xludf.DUMMYFUNCTION("""COMPUTED_VALUE"""),"No")</f>
        <v>No</v>
      </c>
      <c r="AD335" s="5"/>
      <c r="AE335" s="5"/>
      <c r="AF335" s="5"/>
      <c r="AG335" s="5"/>
      <c r="AH335" s="5"/>
      <c r="AI335" s="5"/>
      <c r="AJ335" s="5"/>
      <c r="AK335" s="5"/>
      <c r="AL335" s="5"/>
      <c r="AM335" s="5"/>
      <c r="AN335" s="5"/>
      <c r="AO335" s="5"/>
      <c r="AP335" s="5"/>
      <c r="AQ335" s="5"/>
      <c r="AR335" s="5"/>
      <c r="AS335" s="5"/>
      <c r="AT335" s="5"/>
      <c r="AU335" s="5"/>
      <c r="AV335" s="5"/>
      <c r="AW335" s="5"/>
      <c r="AX335" s="5"/>
      <c r="AY335" s="5"/>
    </row>
    <row r="336" spans="1:51" x14ac:dyDescent="0.25">
      <c r="A336" s="5" t="str">
        <f ca="1">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36" s="5">
        <f ca="1">IFERROR(__xludf.DUMMYFUNCTION("""COMPUTED_VALUE"""),340)</f>
        <v>340</v>
      </c>
      <c r="C336" s="5">
        <f ca="1">IFERROR(__xludf.DUMMYFUNCTION("""COMPUTED_VALUE"""),339)</f>
        <v>339</v>
      </c>
      <c r="D336" s="5" t="str">
        <f ca="1">IFERROR(__xludf.DUMMYFUNCTION("""COMPUTED_VALUE"""),"UnicornStickyHot")</f>
        <v>UnicornStickyHot</v>
      </c>
      <c r="E336" s="5" t="str">
        <f ca="1">IFERROR(__xludf.DUMMYFUNCTION("""COMPUTED_VALUE"""),"Yes")</f>
        <v>Yes</v>
      </c>
      <c r="F336" s="5" t="str">
        <f ca="1">IFERROR(__xludf.DUMMYFUNCTION("""COMPUTED_VALUE"""),"Yes")</f>
        <v>Yes</v>
      </c>
      <c r="G336" s="5" t="str">
        <f ca="1">IFERROR(__xludf.DUMMYFUNCTION("""COMPUTED_VALUE"""),"No")</f>
        <v>No</v>
      </c>
      <c r="H336" s="5" t="str">
        <f ca="1">IFERROR(__xludf.DUMMYFUNCTION("""COMPUTED_VALUE"""),"Yes")</f>
        <v>Yes</v>
      </c>
      <c r="I336" s="5" t="str">
        <f ca="1">IFERROR(__xludf.DUMMYFUNCTION("""COMPUTED_VALUE"""),"Yes")</f>
        <v>Yes</v>
      </c>
      <c r="J336" s="5" t="str">
        <f ca="1">IFERROR(__xludf.DUMMYFUNCTION("""COMPUTED_VALUE"""),"Yes")</f>
        <v>Yes</v>
      </c>
      <c r="K336" s="5" t="str">
        <f ca="1">IFERROR(__xludf.DUMMYFUNCTION("""COMPUTED_VALUE"""),"Yes")</f>
        <v>Yes</v>
      </c>
      <c r="L336" s="5" t="str">
        <f ca="1">IFERROR(__xludf.DUMMYFUNCTION("""COMPUTED_VALUE"""),"Yes")</f>
        <v>Yes</v>
      </c>
      <c r="M336" s="5" t="str">
        <f ca="1">IFERROR(__xludf.DUMMYFUNCTION("""COMPUTED_VALUE"""),"Yes")</f>
        <v>Yes</v>
      </c>
      <c r="N336" s="5" t="str">
        <f ca="1">IFERROR(__xludf.DUMMYFUNCTION("""COMPUTED_VALUE"""),"Yes")</f>
        <v>Yes</v>
      </c>
      <c r="O336" s="5" t="str">
        <f ca="1">IFERROR(__xludf.DUMMYFUNCTION("""COMPUTED_VALUE"""),"Yes")</f>
        <v>Yes</v>
      </c>
      <c r="P336" s="5" t="str">
        <f ca="1">IFERROR(__xludf.DUMMYFUNCTION("""COMPUTED_VALUE"""),"Yes")</f>
        <v>Yes</v>
      </c>
      <c r="Q336" s="5" t="str">
        <f ca="1">IFERROR(__xludf.DUMMYFUNCTION("""COMPUTED_VALUE"""),"Yes")</f>
        <v>Yes</v>
      </c>
      <c r="R336" s="5" t="str">
        <f ca="1">IFERROR(__xludf.DUMMYFUNCTION("""COMPUTED_VALUE"""),"No")</f>
        <v>No</v>
      </c>
      <c r="S336" s="5" t="str">
        <f ca="1">IFERROR(__xludf.DUMMYFUNCTION("""COMPUTED_VALUE"""),"Yes")</f>
        <v>Yes</v>
      </c>
      <c r="T336" s="5" t="str">
        <f ca="1">IFERROR(__xludf.DUMMYFUNCTION("""COMPUTED_VALUE"""),"No")</f>
        <v>No</v>
      </c>
      <c r="U336" s="5" t="str">
        <f ca="1">IFERROR(__xludf.DUMMYFUNCTION("""COMPUTED_VALUE"""),"No")</f>
        <v>No</v>
      </c>
      <c r="V336" s="5" t="str">
        <f ca="1">IFERROR(__xludf.DUMMYFUNCTION("""COMPUTED_VALUE"""),"No")</f>
        <v>No</v>
      </c>
      <c r="W336" s="5" t="str">
        <f ca="1">IFERROR(__xludf.DUMMYFUNCTION("""COMPUTED_VALUE"""),"No")</f>
        <v>No</v>
      </c>
      <c r="X336" s="5" t="str">
        <f ca="1">IFERROR(__xludf.DUMMYFUNCTION("""COMPUTED_VALUE"""),"No")</f>
        <v>No</v>
      </c>
      <c r="Y336" s="5" t="str">
        <f ca="1">IFERROR(__xludf.DUMMYFUNCTION("""COMPUTED_VALUE"""),"No")</f>
        <v>No</v>
      </c>
      <c r="Z336" s="5" t="str">
        <f ca="1">IFERROR(__xludf.DUMMYFUNCTION("""COMPUTED_VALUE"""),"No")</f>
        <v>No</v>
      </c>
      <c r="AA336" s="5" t="str">
        <f ca="1">IFERROR(__xludf.DUMMYFUNCTION("""COMPUTED_VALUE"""),"No")</f>
        <v>No</v>
      </c>
      <c r="AB336" s="5" t="str">
        <f ca="1">IFERROR(__xludf.DUMMYFUNCTION("""COMPUTED_VALUE"""),"No")</f>
        <v>No</v>
      </c>
      <c r="AC336" s="5" t="str">
        <f ca="1">IFERROR(__xludf.DUMMYFUNCTION("""COMPUTED_VALUE"""),"No")</f>
        <v>No</v>
      </c>
      <c r="AD336" s="5" t="str">
        <f ca="1">IFERROR(__xludf.DUMMYFUNCTION("""COMPUTED_VALUE"""),"No")</f>
        <v>No</v>
      </c>
      <c r="AE336" s="5" t="str">
        <f ca="1">IFERROR(__xludf.DUMMYFUNCTION("""COMPUTED_VALUE"""),"No")</f>
        <v>No</v>
      </c>
      <c r="AF336" s="5" t="str">
        <f ca="1">IFERROR(__xludf.DUMMYFUNCTION("""COMPUTED_VALUE"""),"Yes")</f>
        <v>Yes</v>
      </c>
      <c r="AG336" s="5" t="str">
        <f ca="1">IFERROR(__xludf.DUMMYFUNCTION("""COMPUTED_VALUE"""),"No")</f>
        <v>No</v>
      </c>
      <c r="AH336" s="5" t="str">
        <f ca="1">IFERROR(__xludf.DUMMYFUNCTION("""COMPUTED_VALUE"""),"Yes")</f>
        <v>Yes</v>
      </c>
      <c r="AI336" s="5" t="str">
        <f ca="1">IFERROR(__xludf.DUMMYFUNCTION("""COMPUTED_VALUE"""),"No")</f>
        <v>No</v>
      </c>
      <c r="AJ336" s="5" t="str">
        <f ca="1">IFERROR(__xludf.DUMMYFUNCTION("""COMPUTED_VALUE"""),"No")</f>
        <v>No</v>
      </c>
      <c r="AK336" s="5" t="str">
        <f ca="1">IFERROR(__xludf.DUMMYFUNCTION("""COMPUTED_VALUE"""),"No")</f>
        <v>No</v>
      </c>
      <c r="AL336" s="5" t="str">
        <f ca="1">IFERROR(__xludf.DUMMYFUNCTION("""COMPUTED_VALUE"""),"No")</f>
        <v>No</v>
      </c>
      <c r="AM336" s="5"/>
      <c r="AN336" s="5"/>
      <c r="AO336" s="5"/>
      <c r="AP336" s="5"/>
      <c r="AQ336" s="5"/>
      <c r="AR336" s="5"/>
      <c r="AS336" s="5"/>
      <c r="AT336" s="5"/>
      <c r="AU336" s="5"/>
      <c r="AV336" s="5"/>
      <c r="AW336" s="5"/>
      <c r="AX336" s="5"/>
      <c r="AY336" s="5"/>
    </row>
    <row r="337" spans="1:51" x14ac:dyDescent="0.25">
      <c r="A3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7" s="5">
        <f ca="1">IFERROR(__xludf.DUMMYFUNCTION("""COMPUTED_VALUE"""),341)</f>
        <v>341</v>
      </c>
      <c r="C337" s="5">
        <f ca="1">IFERROR(__xludf.DUMMYFUNCTION("""COMPUTED_VALUE"""),344)</f>
        <v>344</v>
      </c>
      <c r="D337" s="5" t="str">
        <f ca="1">IFERROR(__xludf.DUMMYFUNCTION("""COMPUTED_VALUE"""),"MegaHot10")</f>
        <v>MegaHot10</v>
      </c>
      <c r="E337" s="5" t="str">
        <f ca="1">IFERROR(__xludf.DUMMYFUNCTION("""COMPUTED_VALUE"""),"Yes")</f>
        <v>Yes</v>
      </c>
      <c r="F337" s="5" t="str">
        <f ca="1">IFERROR(__xludf.DUMMYFUNCTION("""COMPUTED_VALUE"""),"Yes")</f>
        <v>Yes</v>
      </c>
      <c r="G337" s="5" t="str">
        <f ca="1">IFERROR(__xludf.DUMMYFUNCTION("""COMPUTED_VALUE"""),"Yes")</f>
        <v>Yes</v>
      </c>
      <c r="H337" s="5" t="str">
        <f ca="1">IFERROR(__xludf.DUMMYFUNCTION("""COMPUTED_VALUE"""),"Yes")</f>
        <v>Yes</v>
      </c>
      <c r="I337" s="5" t="str">
        <f ca="1">IFERROR(__xludf.DUMMYFUNCTION("""COMPUTED_VALUE"""),"Yes")</f>
        <v>Yes</v>
      </c>
      <c r="J337" s="5" t="str">
        <f ca="1">IFERROR(__xludf.DUMMYFUNCTION("""COMPUTED_VALUE"""),"Yes")</f>
        <v>Yes</v>
      </c>
      <c r="K337" s="5" t="str">
        <f ca="1">IFERROR(__xludf.DUMMYFUNCTION("""COMPUTED_VALUE"""),"Yes")</f>
        <v>Yes</v>
      </c>
      <c r="L337" s="5" t="str">
        <f ca="1">IFERROR(__xludf.DUMMYFUNCTION("""COMPUTED_VALUE"""),"Yes")</f>
        <v>Yes</v>
      </c>
      <c r="M337" s="5" t="str">
        <f ca="1">IFERROR(__xludf.DUMMYFUNCTION("""COMPUTED_VALUE"""),"Yes")</f>
        <v>Yes</v>
      </c>
      <c r="N337" s="5" t="str">
        <f ca="1">IFERROR(__xludf.DUMMYFUNCTION("""COMPUTED_VALUE"""),"Yes")</f>
        <v>Yes</v>
      </c>
      <c r="O337" s="5" t="str">
        <f ca="1">IFERROR(__xludf.DUMMYFUNCTION("""COMPUTED_VALUE"""),"Yes")</f>
        <v>Yes</v>
      </c>
      <c r="P337" s="5" t="str">
        <f ca="1">IFERROR(__xludf.DUMMYFUNCTION("""COMPUTED_VALUE"""),"Yes")</f>
        <v>Yes</v>
      </c>
      <c r="Q337" s="5" t="str">
        <f ca="1">IFERROR(__xludf.DUMMYFUNCTION("""COMPUTED_VALUE"""),"Yes")</f>
        <v>Yes</v>
      </c>
      <c r="R337" s="5" t="str">
        <f ca="1">IFERROR(__xludf.DUMMYFUNCTION("""COMPUTED_VALUE"""),"Yes")</f>
        <v>Yes</v>
      </c>
      <c r="S337" s="5" t="str">
        <f ca="1">IFERROR(__xludf.DUMMYFUNCTION("""COMPUTED_VALUE"""),"Yes")</f>
        <v>Yes</v>
      </c>
      <c r="T337" s="5" t="str">
        <f ca="1">IFERROR(__xludf.DUMMYFUNCTION("""COMPUTED_VALUE"""),"Yes")</f>
        <v>Yes</v>
      </c>
      <c r="U337" s="5" t="str">
        <f ca="1">IFERROR(__xludf.DUMMYFUNCTION("""COMPUTED_VALUE"""),"Yes")</f>
        <v>Yes</v>
      </c>
      <c r="V337" s="5" t="str">
        <f ca="1">IFERROR(__xludf.DUMMYFUNCTION("""COMPUTED_VALUE"""),"Yes")</f>
        <v>Yes</v>
      </c>
      <c r="W337" s="5" t="str">
        <f ca="1">IFERROR(__xludf.DUMMYFUNCTION("""COMPUTED_VALUE"""),"Yes")</f>
        <v>Yes</v>
      </c>
      <c r="X337" s="5" t="str">
        <f ca="1">IFERROR(__xludf.DUMMYFUNCTION("""COMPUTED_VALUE"""),"Yes")</f>
        <v>Yes</v>
      </c>
      <c r="Y337" s="5" t="str">
        <f ca="1">IFERROR(__xludf.DUMMYFUNCTION("""COMPUTED_VALUE"""),"Yes")</f>
        <v>Yes</v>
      </c>
      <c r="Z337" s="5" t="str">
        <f ca="1">IFERROR(__xludf.DUMMYFUNCTION("""COMPUTED_VALUE"""),"Yes")</f>
        <v>Yes</v>
      </c>
      <c r="AA337" s="5" t="str">
        <f ca="1">IFERROR(__xludf.DUMMYFUNCTION("""COMPUTED_VALUE"""),"Yes")</f>
        <v>Yes</v>
      </c>
      <c r="AB337" s="5" t="str">
        <f ca="1">IFERROR(__xludf.DUMMYFUNCTION("""COMPUTED_VALUE"""),"Yes")</f>
        <v>Yes</v>
      </c>
      <c r="AC337" s="5" t="str">
        <f ca="1">IFERROR(__xludf.DUMMYFUNCTION("""COMPUTED_VALUE"""),"Yes")</f>
        <v>Yes</v>
      </c>
      <c r="AD337" s="5" t="str">
        <f ca="1">IFERROR(__xludf.DUMMYFUNCTION("""COMPUTED_VALUE"""),"Yes")</f>
        <v>Yes</v>
      </c>
      <c r="AE337" s="5" t="str">
        <f ca="1">IFERROR(__xludf.DUMMYFUNCTION("""COMPUTED_VALUE"""),"Yes")</f>
        <v>Yes</v>
      </c>
      <c r="AF337" s="5" t="str">
        <f ca="1">IFERROR(__xludf.DUMMYFUNCTION("""COMPUTED_VALUE"""),"Yes")</f>
        <v>Yes</v>
      </c>
      <c r="AG337" s="5" t="str">
        <f ca="1">IFERROR(__xludf.DUMMYFUNCTION("""COMPUTED_VALUE"""),"Yes")</f>
        <v>Yes</v>
      </c>
      <c r="AH337" s="5" t="str">
        <f ca="1">IFERROR(__xludf.DUMMYFUNCTION("""COMPUTED_VALUE"""),"Yes")</f>
        <v>Yes</v>
      </c>
      <c r="AI337" s="5" t="str">
        <f ca="1">IFERROR(__xludf.DUMMYFUNCTION("""COMPUTED_VALUE"""),"No")</f>
        <v>No</v>
      </c>
      <c r="AJ337" s="5" t="str">
        <f ca="1">IFERROR(__xludf.DUMMYFUNCTION("""COMPUTED_VALUE"""),"No")</f>
        <v>No</v>
      </c>
      <c r="AK337" s="5" t="str">
        <f ca="1">IFERROR(__xludf.DUMMYFUNCTION("""COMPUTED_VALUE"""),"No")</f>
        <v>No</v>
      </c>
      <c r="AL337" s="5" t="str">
        <f ca="1">IFERROR(__xludf.DUMMYFUNCTION("""COMPUTED_VALUE"""),"No")</f>
        <v>No</v>
      </c>
      <c r="AM337" s="5"/>
      <c r="AN337" s="5"/>
      <c r="AO337" s="5"/>
      <c r="AP337" s="5"/>
      <c r="AQ337" s="5"/>
      <c r="AR337" s="5"/>
      <c r="AS337" s="5"/>
      <c r="AT337" s="5"/>
      <c r="AU337" s="5"/>
      <c r="AV337" s="5"/>
      <c r="AW337" s="5"/>
      <c r="AX337" s="5"/>
      <c r="AY337" s="5"/>
    </row>
    <row r="338" spans="1:51" x14ac:dyDescent="0.25">
      <c r="A3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8" s="5">
        <f ca="1">IFERROR(__xludf.DUMMYFUNCTION("""COMPUTED_VALUE"""),342)</f>
        <v>342</v>
      </c>
      <c r="C338" s="5">
        <f ca="1">IFERROR(__xludf.DUMMYFUNCTION("""COMPUTED_VALUE"""),353)</f>
        <v>353</v>
      </c>
      <c r="D338" s="5" t="str">
        <f ca="1">IFERROR(__xludf.DUMMYFUNCTION("""COMPUTED_VALUE"""),"WildHeat40")</f>
        <v>WildHeat40</v>
      </c>
      <c r="E338" s="5" t="str">
        <f ca="1">IFERROR(__xludf.DUMMYFUNCTION("""COMPUTED_VALUE"""),"Yes")</f>
        <v>Yes</v>
      </c>
      <c r="F338" s="5" t="str">
        <f ca="1">IFERROR(__xludf.DUMMYFUNCTION("""COMPUTED_VALUE"""),"Yes")</f>
        <v>Yes</v>
      </c>
      <c r="G338" s="5" t="str">
        <f ca="1">IFERROR(__xludf.DUMMYFUNCTION("""COMPUTED_VALUE"""),"Yes")</f>
        <v>Yes</v>
      </c>
      <c r="H338" s="5" t="str">
        <f ca="1">IFERROR(__xludf.DUMMYFUNCTION("""COMPUTED_VALUE"""),"Yes")</f>
        <v>Yes</v>
      </c>
      <c r="I338" s="5" t="str">
        <f ca="1">IFERROR(__xludf.DUMMYFUNCTION("""COMPUTED_VALUE"""),"Yes")</f>
        <v>Yes</v>
      </c>
      <c r="J338" s="5" t="str">
        <f ca="1">IFERROR(__xludf.DUMMYFUNCTION("""COMPUTED_VALUE"""),"Yes")</f>
        <v>Yes</v>
      </c>
      <c r="K338" s="5" t="str">
        <f ca="1">IFERROR(__xludf.DUMMYFUNCTION("""COMPUTED_VALUE"""),"Yes")</f>
        <v>Yes</v>
      </c>
      <c r="L338" s="5" t="str">
        <f ca="1">IFERROR(__xludf.DUMMYFUNCTION("""COMPUTED_VALUE"""),"Yes")</f>
        <v>Yes</v>
      </c>
      <c r="M338" s="5" t="str">
        <f ca="1">IFERROR(__xludf.DUMMYFUNCTION("""COMPUTED_VALUE"""),"Yes")</f>
        <v>Yes</v>
      </c>
      <c r="N338" s="5" t="str">
        <f ca="1">IFERROR(__xludf.DUMMYFUNCTION("""COMPUTED_VALUE"""),"Yes")</f>
        <v>Yes</v>
      </c>
      <c r="O338" s="5" t="str">
        <f ca="1">IFERROR(__xludf.DUMMYFUNCTION("""COMPUTED_VALUE"""),"Yes")</f>
        <v>Yes</v>
      </c>
      <c r="P338" s="5" t="str">
        <f ca="1">IFERROR(__xludf.DUMMYFUNCTION("""COMPUTED_VALUE"""),"Yes")</f>
        <v>Yes</v>
      </c>
      <c r="Q338" s="5" t="str">
        <f ca="1">IFERROR(__xludf.DUMMYFUNCTION("""COMPUTED_VALUE"""),"Yes")</f>
        <v>Yes</v>
      </c>
      <c r="R338" s="5" t="str">
        <f ca="1">IFERROR(__xludf.DUMMYFUNCTION("""COMPUTED_VALUE"""),"Yes")</f>
        <v>Yes</v>
      </c>
      <c r="S338" s="5" t="str">
        <f ca="1">IFERROR(__xludf.DUMMYFUNCTION("""COMPUTED_VALUE"""),"Yes")</f>
        <v>Yes</v>
      </c>
      <c r="T338" s="5" t="str">
        <f ca="1">IFERROR(__xludf.DUMMYFUNCTION("""COMPUTED_VALUE"""),"Yes")</f>
        <v>Yes</v>
      </c>
      <c r="U338" s="5" t="str">
        <f ca="1">IFERROR(__xludf.DUMMYFUNCTION("""COMPUTED_VALUE"""),"Yes")</f>
        <v>Yes</v>
      </c>
      <c r="V338" s="5" t="str">
        <f ca="1">IFERROR(__xludf.DUMMYFUNCTION("""COMPUTED_VALUE"""),"Yes")</f>
        <v>Yes</v>
      </c>
      <c r="W338" s="5" t="str">
        <f ca="1">IFERROR(__xludf.DUMMYFUNCTION("""COMPUTED_VALUE"""),"Yes")</f>
        <v>Yes</v>
      </c>
      <c r="X338" s="5" t="str">
        <f ca="1">IFERROR(__xludf.DUMMYFUNCTION("""COMPUTED_VALUE"""),"Yes")</f>
        <v>Yes</v>
      </c>
      <c r="Y338" s="5" t="str">
        <f ca="1">IFERROR(__xludf.DUMMYFUNCTION("""COMPUTED_VALUE"""),"Yes")</f>
        <v>Yes</v>
      </c>
      <c r="Z338" s="5" t="str">
        <f ca="1">IFERROR(__xludf.DUMMYFUNCTION("""COMPUTED_VALUE"""),"Yes")</f>
        <v>Yes</v>
      </c>
      <c r="AA338" s="5" t="str">
        <f ca="1">IFERROR(__xludf.DUMMYFUNCTION("""COMPUTED_VALUE"""),"Yes")</f>
        <v>Yes</v>
      </c>
      <c r="AB338" s="5" t="str">
        <f ca="1">IFERROR(__xludf.DUMMYFUNCTION("""COMPUTED_VALUE"""),"Yes")</f>
        <v>Yes</v>
      </c>
      <c r="AC338" s="5" t="str">
        <f ca="1">IFERROR(__xludf.DUMMYFUNCTION("""COMPUTED_VALUE"""),"Yes")</f>
        <v>Yes</v>
      </c>
      <c r="AD338" s="5" t="str">
        <f ca="1">IFERROR(__xludf.DUMMYFUNCTION("""COMPUTED_VALUE"""),"Yes")</f>
        <v>Yes</v>
      </c>
      <c r="AE338" s="5" t="str">
        <f ca="1">IFERROR(__xludf.DUMMYFUNCTION("""COMPUTED_VALUE"""),"Yes")</f>
        <v>Yes</v>
      </c>
      <c r="AF338" s="5" t="str">
        <f ca="1">IFERROR(__xludf.DUMMYFUNCTION("""COMPUTED_VALUE"""),"Yes")</f>
        <v>Yes</v>
      </c>
      <c r="AG338" s="5" t="str">
        <f ca="1">IFERROR(__xludf.DUMMYFUNCTION("""COMPUTED_VALUE"""),"Yes")</f>
        <v>Yes</v>
      </c>
      <c r="AH338" s="5" t="str">
        <f ca="1">IFERROR(__xludf.DUMMYFUNCTION("""COMPUTED_VALUE"""),"Yes")</f>
        <v>Yes</v>
      </c>
      <c r="AI338" s="5" t="str">
        <f ca="1">IFERROR(__xludf.DUMMYFUNCTION("""COMPUTED_VALUE"""),"No")</f>
        <v>No</v>
      </c>
      <c r="AJ338" s="5" t="str">
        <f ca="1">IFERROR(__xludf.DUMMYFUNCTION("""COMPUTED_VALUE"""),"No")</f>
        <v>No</v>
      </c>
      <c r="AK338" s="5" t="str">
        <f ca="1">IFERROR(__xludf.DUMMYFUNCTION("""COMPUTED_VALUE"""),"No")</f>
        <v>No</v>
      </c>
      <c r="AL338" s="5" t="str">
        <f ca="1">IFERROR(__xludf.DUMMYFUNCTION("""COMPUTED_VALUE"""),"No")</f>
        <v>No</v>
      </c>
      <c r="AM338" s="5"/>
      <c r="AN338" s="5"/>
      <c r="AO338" s="5"/>
      <c r="AP338" s="5"/>
      <c r="AQ338" s="5"/>
      <c r="AR338" s="5"/>
      <c r="AS338" s="5"/>
      <c r="AT338" s="5"/>
      <c r="AU338" s="5"/>
      <c r="AV338" s="5"/>
      <c r="AW338" s="5"/>
      <c r="AX338" s="5"/>
      <c r="AY338" s="5"/>
    </row>
    <row r="339" spans="1:51" x14ac:dyDescent="0.25">
      <c r="A3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9" s="5">
        <f ca="1">IFERROR(__xludf.DUMMYFUNCTION("""COMPUTED_VALUE"""),343)</f>
        <v>343</v>
      </c>
      <c r="C339" s="5">
        <f ca="1">IFERROR(__xludf.DUMMYFUNCTION("""COMPUTED_VALUE"""),1001)</f>
        <v>1001</v>
      </c>
      <c r="D339" s="5" t="str">
        <f ca="1">IFERROR(__xludf.DUMMYFUNCTION("""COMPUTED_VALUE"""),"BlowFruits40")</f>
        <v>BlowFruits40</v>
      </c>
      <c r="E339" s="5" t="str">
        <f ca="1">IFERROR(__xludf.DUMMYFUNCTION("""COMPUTED_VALUE"""),"Yes")</f>
        <v>Yes</v>
      </c>
      <c r="F339" s="5" t="str">
        <f ca="1">IFERROR(__xludf.DUMMYFUNCTION("""COMPUTED_VALUE"""),"Yes")</f>
        <v>Yes</v>
      </c>
      <c r="G339" s="5" t="str">
        <f ca="1">IFERROR(__xludf.DUMMYFUNCTION("""COMPUTED_VALUE"""),"Yes")</f>
        <v>Yes</v>
      </c>
      <c r="H339" s="5" t="str">
        <f ca="1">IFERROR(__xludf.DUMMYFUNCTION("""COMPUTED_VALUE"""),"Yes")</f>
        <v>Yes</v>
      </c>
      <c r="I339" s="5" t="str">
        <f ca="1">IFERROR(__xludf.DUMMYFUNCTION("""COMPUTED_VALUE"""),"Yes")</f>
        <v>Yes</v>
      </c>
      <c r="J339" s="5" t="str">
        <f ca="1">IFERROR(__xludf.DUMMYFUNCTION("""COMPUTED_VALUE"""),"Yes")</f>
        <v>Yes</v>
      </c>
      <c r="K339" s="5" t="str">
        <f ca="1">IFERROR(__xludf.DUMMYFUNCTION("""COMPUTED_VALUE"""),"Yes")</f>
        <v>Yes</v>
      </c>
      <c r="L339" s="5" t="str">
        <f ca="1">IFERROR(__xludf.DUMMYFUNCTION("""COMPUTED_VALUE"""),"Yes")</f>
        <v>Yes</v>
      </c>
      <c r="M339" s="5" t="str">
        <f ca="1">IFERROR(__xludf.DUMMYFUNCTION("""COMPUTED_VALUE"""),"Yes")</f>
        <v>Yes</v>
      </c>
      <c r="N339" s="5" t="str">
        <f ca="1">IFERROR(__xludf.DUMMYFUNCTION("""COMPUTED_VALUE"""),"Yes")</f>
        <v>Yes</v>
      </c>
      <c r="O339" s="5" t="str">
        <f ca="1">IFERROR(__xludf.DUMMYFUNCTION("""COMPUTED_VALUE"""),"Yes")</f>
        <v>Yes</v>
      </c>
      <c r="P339" s="5" t="str">
        <f ca="1">IFERROR(__xludf.DUMMYFUNCTION("""COMPUTED_VALUE"""),"Yes")</f>
        <v>Yes</v>
      </c>
      <c r="Q339" s="5" t="str">
        <f ca="1">IFERROR(__xludf.DUMMYFUNCTION("""COMPUTED_VALUE"""),"Yes")</f>
        <v>Yes</v>
      </c>
      <c r="R339" s="5" t="str">
        <f ca="1">IFERROR(__xludf.DUMMYFUNCTION("""COMPUTED_VALUE"""),"Yes")</f>
        <v>Yes</v>
      </c>
      <c r="S339" s="5" t="str">
        <f ca="1">IFERROR(__xludf.DUMMYFUNCTION("""COMPUTED_VALUE"""),"Yes")</f>
        <v>Yes</v>
      </c>
      <c r="T339" s="5" t="str">
        <f ca="1">IFERROR(__xludf.DUMMYFUNCTION("""COMPUTED_VALUE"""),"Yes")</f>
        <v>Yes</v>
      </c>
      <c r="U339" s="5" t="str">
        <f ca="1">IFERROR(__xludf.DUMMYFUNCTION("""COMPUTED_VALUE"""),"Yes")</f>
        <v>Yes</v>
      </c>
      <c r="V339" s="5" t="str">
        <f ca="1">IFERROR(__xludf.DUMMYFUNCTION("""COMPUTED_VALUE"""),"Yes")</f>
        <v>Yes</v>
      </c>
      <c r="W339" s="5" t="str">
        <f ca="1">IFERROR(__xludf.DUMMYFUNCTION("""COMPUTED_VALUE"""),"Yes")</f>
        <v>Yes</v>
      </c>
      <c r="X339" s="5" t="str">
        <f ca="1">IFERROR(__xludf.DUMMYFUNCTION("""COMPUTED_VALUE"""),"Yes")</f>
        <v>Yes</v>
      </c>
      <c r="Y339" s="5" t="str">
        <f ca="1">IFERROR(__xludf.DUMMYFUNCTION("""COMPUTED_VALUE"""),"Yes")</f>
        <v>Yes</v>
      </c>
      <c r="Z339" s="5" t="str">
        <f ca="1">IFERROR(__xludf.DUMMYFUNCTION("""COMPUTED_VALUE"""),"Yes")</f>
        <v>Yes</v>
      </c>
      <c r="AA339" s="5" t="str">
        <f ca="1">IFERROR(__xludf.DUMMYFUNCTION("""COMPUTED_VALUE"""),"Yes")</f>
        <v>Yes</v>
      </c>
      <c r="AB339" s="5" t="str">
        <f ca="1">IFERROR(__xludf.DUMMYFUNCTION("""COMPUTED_VALUE"""),"Yes")</f>
        <v>Yes</v>
      </c>
      <c r="AC339" s="5" t="str">
        <f ca="1">IFERROR(__xludf.DUMMYFUNCTION("""COMPUTED_VALUE"""),"Yes")</f>
        <v>Yes</v>
      </c>
      <c r="AD339" s="5" t="str">
        <f ca="1">IFERROR(__xludf.DUMMYFUNCTION("""COMPUTED_VALUE"""),"Yes")</f>
        <v>Yes</v>
      </c>
      <c r="AE339" s="5" t="str">
        <f ca="1">IFERROR(__xludf.DUMMYFUNCTION("""COMPUTED_VALUE"""),"Yes")</f>
        <v>Yes</v>
      </c>
      <c r="AF339" s="5" t="str">
        <f ca="1">IFERROR(__xludf.DUMMYFUNCTION("""COMPUTED_VALUE"""),"Yes")</f>
        <v>Yes</v>
      </c>
      <c r="AG339" s="5" t="str">
        <f ca="1">IFERROR(__xludf.DUMMYFUNCTION("""COMPUTED_VALUE"""),"Yes")</f>
        <v>Yes</v>
      </c>
      <c r="AH339" s="5" t="str">
        <f ca="1">IFERROR(__xludf.DUMMYFUNCTION("""COMPUTED_VALUE"""),"Yes")</f>
        <v>Yes</v>
      </c>
      <c r="AI339" s="5" t="str">
        <f ca="1">IFERROR(__xludf.DUMMYFUNCTION("""COMPUTED_VALUE"""),"No")</f>
        <v>No</v>
      </c>
      <c r="AJ339" s="5" t="str">
        <f ca="1">IFERROR(__xludf.DUMMYFUNCTION("""COMPUTED_VALUE"""),"No")</f>
        <v>No</v>
      </c>
      <c r="AK339" s="5" t="str">
        <f ca="1">IFERROR(__xludf.DUMMYFUNCTION("""COMPUTED_VALUE"""),"No")</f>
        <v>No</v>
      </c>
      <c r="AL339" s="5" t="str">
        <f ca="1">IFERROR(__xludf.DUMMYFUNCTION("""COMPUTED_VALUE"""),"No")</f>
        <v>No</v>
      </c>
      <c r="AM339" s="5"/>
      <c r="AN339" s="5"/>
      <c r="AO339" s="5"/>
      <c r="AP339" s="5"/>
      <c r="AQ339" s="5"/>
      <c r="AR339" s="5"/>
      <c r="AS339" s="5"/>
      <c r="AT339" s="5"/>
      <c r="AU339" s="5"/>
      <c r="AV339" s="5"/>
      <c r="AW339" s="5"/>
      <c r="AX339" s="5"/>
      <c r="AY339" s="5"/>
    </row>
    <row r="340" spans="1:51" x14ac:dyDescent="0.25">
      <c r="A3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0" s="5">
        <f ca="1">IFERROR(__xludf.DUMMYFUNCTION("""COMPUTED_VALUE"""),344)</f>
        <v>344</v>
      </c>
      <c r="C340" s="5">
        <f ca="1">IFERROR(__xludf.DUMMYFUNCTION("""COMPUTED_VALUE"""),2003)</f>
        <v>2003</v>
      </c>
      <c r="D340" s="5" t="str">
        <f ca="1">IFERROR(__xludf.DUMMYFUNCTION("""COMPUTED_VALUE"""),"AgeOfRome")</f>
        <v>AgeOfRome</v>
      </c>
      <c r="E340" s="5" t="str">
        <f ca="1">IFERROR(__xludf.DUMMYFUNCTION("""COMPUTED_VALUE"""),"Yes")</f>
        <v>Yes</v>
      </c>
      <c r="F340" s="5" t="str">
        <f ca="1">IFERROR(__xludf.DUMMYFUNCTION("""COMPUTED_VALUE"""),"Yes")</f>
        <v>Yes</v>
      </c>
      <c r="G340" s="5" t="str">
        <f ca="1">IFERROR(__xludf.DUMMYFUNCTION("""COMPUTED_VALUE"""),"Yes")</f>
        <v>Yes</v>
      </c>
      <c r="H340" s="5" t="str">
        <f ca="1">IFERROR(__xludf.DUMMYFUNCTION("""COMPUTED_VALUE"""),"Yes")</f>
        <v>Yes</v>
      </c>
      <c r="I340" s="5" t="str">
        <f ca="1">IFERROR(__xludf.DUMMYFUNCTION("""COMPUTED_VALUE"""),"Yes")</f>
        <v>Yes</v>
      </c>
      <c r="J340" s="5" t="str">
        <f ca="1">IFERROR(__xludf.DUMMYFUNCTION("""COMPUTED_VALUE"""),"Yes")</f>
        <v>Yes</v>
      </c>
      <c r="K340" s="5" t="str">
        <f ca="1">IFERROR(__xludf.DUMMYFUNCTION("""COMPUTED_VALUE"""),"Yes")</f>
        <v>Yes</v>
      </c>
      <c r="L340" s="5" t="str">
        <f ca="1">IFERROR(__xludf.DUMMYFUNCTION("""COMPUTED_VALUE"""),"Yes")</f>
        <v>Yes</v>
      </c>
      <c r="M340" s="5" t="str">
        <f ca="1">IFERROR(__xludf.DUMMYFUNCTION("""COMPUTED_VALUE"""),"Yes")</f>
        <v>Yes</v>
      </c>
      <c r="N340" s="5" t="str">
        <f ca="1">IFERROR(__xludf.DUMMYFUNCTION("""COMPUTED_VALUE"""),"Yes")</f>
        <v>Yes</v>
      </c>
      <c r="O340" s="5" t="str">
        <f ca="1">IFERROR(__xludf.DUMMYFUNCTION("""COMPUTED_VALUE"""),"Yes")</f>
        <v>Yes</v>
      </c>
      <c r="P340" s="5" t="str">
        <f ca="1">IFERROR(__xludf.DUMMYFUNCTION("""COMPUTED_VALUE"""),"Yes")</f>
        <v>Yes</v>
      </c>
      <c r="Q340" s="5" t="str">
        <f ca="1">IFERROR(__xludf.DUMMYFUNCTION("""COMPUTED_VALUE"""),"Yes")</f>
        <v>Yes</v>
      </c>
      <c r="R340" s="5" t="str">
        <f ca="1">IFERROR(__xludf.DUMMYFUNCTION("""COMPUTED_VALUE"""),"Yes")</f>
        <v>Yes</v>
      </c>
      <c r="S340" s="5" t="str">
        <f ca="1">IFERROR(__xludf.DUMMYFUNCTION("""COMPUTED_VALUE"""),"Yes")</f>
        <v>Yes</v>
      </c>
      <c r="T340" s="5" t="str">
        <f ca="1">IFERROR(__xludf.DUMMYFUNCTION("""COMPUTED_VALUE"""),"Yes")</f>
        <v>Yes</v>
      </c>
      <c r="U340" s="5" t="str">
        <f ca="1">IFERROR(__xludf.DUMMYFUNCTION("""COMPUTED_VALUE"""),"Yes")</f>
        <v>Yes</v>
      </c>
      <c r="V340" s="5" t="str">
        <f ca="1">IFERROR(__xludf.DUMMYFUNCTION("""COMPUTED_VALUE"""),"Yes")</f>
        <v>Yes</v>
      </c>
      <c r="W340" s="5" t="str">
        <f ca="1">IFERROR(__xludf.DUMMYFUNCTION("""COMPUTED_VALUE"""),"Yes")</f>
        <v>Yes</v>
      </c>
      <c r="X340" s="5" t="str">
        <f ca="1">IFERROR(__xludf.DUMMYFUNCTION("""COMPUTED_VALUE"""),"Yes")</f>
        <v>Yes</v>
      </c>
      <c r="Y340" s="5" t="str">
        <f ca="1">IFERROR(__xludf.DUMMYFUNCTION("""COMPUTED_VALUE"""),"Yes")</f>
        <v>Yes</v>
      </c>
      <c r="Z340" s="5" t="str">
        <f ca="1">IFERROR(__xludf.DUMMYFUNCTION("""COMPUTED_VALUE"""),"Yes")</f>
        <v>Yes</v>
      </c>
      <c r="AA340" s="5" t="str">
        <f ca="1">IFERROR(__xludf.DUMMYFUNCTION("""COMPUTED_VALUE"""),"Yes")</f>
        <v>Yes</v>
      </c>
      <c r="AB340" s="5" t="str">
        <f ca="1">IFERROR(__xludf.DUMMYFUNCTION("""COMPUTED_VALUE"""),"Yes")</f>
        <v>Yes</v>
      </c>
      <c r="AC340" s="5" t="str">
        <f ca="1">IFERROR(__xludf.DUMMYFUNCTION("""COMPUTED_VALUE"""),"Yes")</f>
        <v>Yes</v>
      </c>
      <c r="AD340" s="5" t="str">
        <f ca="1">IFERROR(__xludf.DUMMYFUNCTION("""COMPUTED_VALUE"""),"Yes")</f>
        <v>Yes</v>
      </c>
      <c r="AE340" s="5" t="str">
        <f ca="1">IFERROR(__xludf.DUMMYFUNCTION("""COMPUTED_VALUE"""),"Yes")</f>
        <v>Yes</v>
      </c>
      <c r="AF340" s="5" t="str">
        <f ca="1">IFERROR(__xludf.DUMMYFUNCTION("""COMPUTED_VALUE"""),"Yes")</f>
        <v>Yes</v>
      </c>
      <c r="AG340" s="5" t="str">
        <f ca="1">IFERROR(__xludf.DUMMYFUNCTION("""COMPUTED_VALUE"""),"Yes")</f>
        <v>Yes</v>
      </c>
      <c r="AH340" s="5" t="str">
        <f ca="1">IFERROR(__xludf.DUMMYFUNCTION("""COMPUTED_VALUE"""),"Yes")</f>
        <v>Yes</v>
      </c>
      <c r="AI340" s="5" t="str">
        <f ca="1">IFERROR(__xludf.DUMMYFUNCTION("""COMPUTED_VALUE"""),"No")</f>
        <v>No</v>
      </c>
      <c r="AJ340" s="5" t="str">
        <f ca="1">IFERROR(__xludf.DUMMYFUNCTION("""COMPUTED_VALUE"""),"No")</f>
        <v>No</v>
      </c>
      <c r="AK340" s="5" t="str">
        <f ca="1">IFERROR(__xludf.DUMMYFUNCTION("""COMPUTED_VALUE"""),"No")</f>
        <v>No</v>
      </c>
      <c r="AL340" s="5" t="str">
        <f ca="1">IFERROR(__xludf.DUMMYFUNCTION("""COMPUTED_VALUE"""),"No")</f>
        <v>No</v>
      </c>
      <c r="AM340" s="5"/>
      <c r="AN340" s="5"/>
      <c r="AO340" s="5"/>
      <c r="AP340" s="5"/>
      <c r="AQ340" s="5"/>
      <c r="AR340" s="5"/>
      <c r="AS340" s="5"/>
      <c r="AT340" s="5"/>
      <c r="AU340" s="5"/>
      <c r="AV340" s="5"/>
      <c r="AW340" s="5"/>
      <c r="AX340" s="5"/>
      <c r="AY340" s="5"/>
    </row>
    <row r="341" spans="1:51" x14ac:dyDescent="0.25">
      <c r="A3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1" s="5">
        <f ca="1">IFERROR(__xludf.DUMMYFUNCTION("""COMPUTED_VALUE"""),345)</f>
        <v>345</v>
      </c>
      <c r="C341" s="5">
        <f ca="1">IFERROR(__xludf.DUMMYFUNCTION("""COMPUTED_VALUE"""),2005)</f>
        <v>2005</v>
      </c>
      <c r="D341" s="5" t="str">
        <f ca="1">IFERROR(__xludf.DUMMYFUNCTION("""COMPUTED_VALUE"""),"FruityForce40")</f>
        <v>FruityForce40</v>
      </c>
      <c r="E341" s="5" t="str">
        <f ca="1">IFERROR(__xludf.DUMMYFUNCTION("""COMPUTED_VALUE"""),"Yes")</f>
        <v>Yes</v>
      </c>
      <c r="F341" s="5" t="str">
        <f ca="1">IFERROR(__xludf.DUMMYFUNCTION("""COMPUTED_VALUE"""),"Yes")</f>
        <v>Yes</v>
      </c>
      <c r="G341" s="5" t="str">
        <f ca="1">IFERROR(__xludf.DUMMYFUNCTION("""COMPUTED_VALUE"""),"Yes")</f>
        <v>Yes</v>
      </c>
      <c r="H341" s="5" t="str">
        <f ca="1">IFERROR(__xludf.DUMMYFUNCTION("""COMPUTED_VALUE"""),"Yes")</f>
        <v>Yes</v>
      </c>
      <c r="I341" s="5" t="str">
        <f ca="1">IFERROR(__xludf.DUMMYFUNCTION("""COMPUTED_VALUE"""),"Yes")</f>
        <v>Yes</v>
      </c>
      <c r="J341" s="5" t="str">
        <f ca="1">IFERROR(__xludf.DUMMYFUNCTION("""COMPUTED_VALUE"""),"Yes")</f>
        <v>Yes</v>
      </c>
      <c r="K341" s="5" t="str">
        <f ca="1">IFERROR(__xludf.DUMMYFUNCTION("""COMPUTED_VALUE"""),"Yes")</f>
        <v>Yes</v>
      </c>
      <c r="L341" s="5" t="str">
        <f ca="1">IFERROR(__xludf.DUMMYFUNCTION("""COMPUTED_VALUE"""),"Yes")</f>
        <v>Yes</v>
      </c>
      <c r="M341" s="5" t="str">
        <f ca="1">IFERROR(__xludf.DUMMYFUNCTION("""COMPUTED_VALUE"""),"Yes")</f>
        <v>Yes</v>
      </c>
      <c r="N341" s="5" t="str">
        <f ca="1">IFERROR(__xludf.DUMMYFUNCTION("""COMPUTED_VALUE"""),"Yes")</f>
        <v>Yes</v>
      </c>
      <c r="O341" s="5" t="str">
        <f ca="1">IFERROR(__xludf.DUMMYFUNCTION("""COMPUTED_VALUE"""),"Yes")</f>
        <v>Yes</v>
      </c>
      <c r="P341" s="5" t="str">
        <f ca="1">IFERROR(__xludf.DUMMYFUNCTION("""COMPUTED_VALUE"""),"Yes")</f>
        <v>Yes</v>
      </c>
      <c r="Q341" s="5" t="str">
        <f ca="1">IFERROR(__xludf.DUMMYFUNCTION("""COMPUTED_VALUE"""),"Yes")</f>
        <v>Yes</v>
      </c>
      <c r="R341" s="5" t="str">
        <f ca="1">IFERROR(__xludf.DUMMYFUNCTION("""COMPUTED_VALUE"""),"Yes")</f>
        <v>Yes</v>
      </c>
      <c r="S341" s="5" t="str">
        <f ca="1">IFERROR(__xludf.DUMMYFUNCTION("""COMPUTED_VALUE"""),"Yes")</f>
        <v>Yes</v>
      </c>
      <c r="T341" s="5" t="str">
        <f ca="1">IFERROR(__xludf.DUMMYFUNCTION("""COMPUTED_VALUE"""),"Yes")</f>
        <v>Yes</v>
      </c>
      <c r="U341" s="5" t="str">
        <f ca="1">IFERROR(__xludf.DUMMYFUNCTION("""COMPUTED_VALUE"""),"Yes")</f>
        <v>Yes</v>
      </c>
      <c r="V341" s="5" t="str">
        <f ca="1">IFERROR(__xludf.DUMMYFUNCTION("""COMPUTED_VALUE"""),"Yes")</f>
        <v>Yes</v>
      </c>
      <c r="W341" s="5" t="str">
        <f ca="1">IFERROR(__xludf.DUMMYFUNCTION("""COMPUTED_VALUE"""),"Yes")</f>
        <v>Yes</v>
      </c>
      <c r="X341" s="5" t="str">
        <f ca="1">IFERROR(__xludf.DUMMYFUNCTION("""COMPUTED_VALUE"""),"Yes")</f>
        <v>Yes</v>
      </c>
      <c r="Y341" s="5" t="str">
        <f ca="1">IFERROR(__xludf.DUMMYFUNCTION("""COMPUTED_VALUE"""),"Yes")</f>
        <v>Yes</v>
      </c>
      <c r="Z341" s="5" t="str">
        <f ca="1">IFERROR(__xludf.DUMMYFUNCTION("""COMPUTED_VALUE"""),"Yes")</f>
        <v>Yes</v>
      </c>
      <c r="AA341" s="5" t="str">
        <f ca="1">IFERROR(__xludf.DUMMYFUNCTION("""COMPUTED_VALUE"""),"Yes")</f>
        <v>Yes</v>
      </c>
      <c r="AB341" s="5" t="str">
        <f ca="1">IFERROR(__xludf.DUMMYFUNCTION("""COMPUTED_VALUE"""),"Yes")</f>
        <v>Yes</v>
      </c>
      <c r="AC341" s="5" t="str">
        <f ca="1">IFERROR(__xludf.DUMMYFUNCTION("""COMPUTED_VALUE"""),"Yes")</f>
        <v>Yes</v>
      </c>
      <c r="AD341" s="5" t="str">
        <f ca="1">IFERROR(__xludf.DUMMYFUNCTION("""COMPUTED_VALUE"""),"Yes")</f>
        <v>Yes</v>
      </c>
      <c r="AE341" s="5" t="str">
        <f ca="1">IFERROR(__xludf.DUMMYFUNCTION("""COMPUTED_VALUE"""),"Yes")</f>
        <v>Yes</v>
      </c>
      <c r="AF341" s="5" t="str">
        <f ca="1">IFERROR(__xludf.DUMMYFUNCTION("""COMPUTED_VALUE"""),"Yes")</f>
        <v>Yes</v>
      </c>
      <c r="AG341" s="5" t="str">
        <f ca="1">IFERROR(__xludf.DUMMYFUNCTION("""COMPUTED_VALUE"""),"Yes")</f>
        <v>Yes</v>
      </c>
      <c r="AH341" s="5" t="str">
        <f ca="1">IFERROR(__xludf.DUMMYFUNCTION("""COMPUTED_VALUE"""),"Yes")</f>
        <v>Yes</v>
      </c>
      <c r="AI341" s="5" t="str">
        <f ca="1">IFERROR(__xludf.DUMMYFUNCTION("""COMPUTED_VALUE"""),"No")</f>
        <v>No</v>
      </c>
      <c r="AJ341" s="5" t="str">
        <f ca="1">IFERROR(__xludf.DUMMYFUNCTION("""COMPUTED_VALUE"""),"No")</f>
        <v>No</v>
      </c>
      <c r="AK341" s="5" t="str">
        <f ca="1">IFERROR(__xludf.DUMMYFUNCTION("""COMPUTED_VALUE"""),"No")</f>
        <v>No</v>
      </c>
      <c r="AL341" s="5" t="str">
        <f ca="1">IFERROR(__xludf.DUMMYFUNCTION("""COMPUTED_VALUE"""),"No")</f>
        <v>No</v>
      </c>
      <c r="AM341" s="5"/>
      <c r="AN341" s="5"/>
      <c r="AO341" s="5"/>
      <c r="AP341" s="5"/>
      <c r="AQ341" s="5"/>
      <c r="AR341" s="5"/>
      <c r="AS341" s="5"/>
      <c r="AT341" s="5"/>
      <c r="AU341" s="5"/>
      <c r="AV341" s="5"/>
      <c r="AW341" s="5"/>
      <c r="AX341" s="5"/>
      <c r="AY341" s="5"/>
    </row>
    <row r="342" spans="1:51" x14ac:dyDescent="0.25">
      <c r="A3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2" s="5">
        <f ca="1">IFERROR(__xludf.DUMMYFUNCTION("""COMPUTED_VALUE"""),346)</f>
        <v>346</v>
      </c>
      <c r="C342" s="5">
        <f ca="1">IFERROR(__xludf.DUMMYFUNCTION("""COMPUTED_VALUE"""),2004)</f>
        <v>2004</v>
      </c>
      <c r="D342" s="5" t="str">
        <f ca="1">IFERROR(__xludf.DUMMYFUNCTION("""COMPUTED_VALUE"""),"BonusCrown")</f>
        <v>BonusCrown</v>
      </c>
      <c r="E342" s="5" t="str">
        <f ca="1">IFERROR(__xludf.DUMMYFUNCTION("""COMPUTED_VALUE"""),"Yes")</f>
        <v>Yes</v>
      </c>
      <c r="F342" s="5" t="str">
        <f ca="1">IFERROR(__xludf.DUMMYFUNCTION("""COMPUTED_VALUE"""),"Yes")</f>
        <v>Yes</v>
      </c>
      <c r="G342" s="5" t="str">
        <f ca="1">IFERROR(__xludf.DUMMYFUNCTION("""COMPUTED_VALUE"""),"Yes")</f>
        <v>Yes</v>
      </c>
      <c r="H342" s="5" t="str">
        <f ca="1">IFERROR(__xludf.DUMMYFUNCTION("""COMPUTED_VALUE"""),"Yes")</f>
        <v>Yes</v>
      </c>
      <c r="I342" s="5" t="str">
        <f ca="1">IFERROR(__xludf.DUMMYFUNCTION("""COMPUTED_VALUE"""),"Yes")</f>
        <v>Yes</v>
      </c>
      <c r="J342" s="5" t="str">
        <f ca="1">IFERROR(__xludf.DUMMYFUNCTION("""COMPUTED_VALUE"""),"Yes")</f>
        <v>Yes</v>
      </c>
      <c r="K342" s="5" t="str">
        <f ca="1">IFERROR(__xludf.DUMMYFUNCTION("""COMPUTED_VALUE"""),"Yes")</f>
        <v>Yes</v>
      </c>
      <c r="L342" s="5" t="str">
        <f ca="1">IFERROR(__xludf.DUMMYFUNCTION("""COMPUTED_VALUE"""),"Yes")</f>
        <v>Yes</v>
      </c>
      <c r="M342" s="5" t="str">
        <f ca="1">IFERROR(__xludf.DUMMYFUNCTION("""COMPUTED_VALUE"""),"Yes")</f>
        <v>Yes</v>
      </c>
      <c r="N342" s="5" t="str">
        <f ca="1">IFERROR(__xludf.DUMMYFUNCTION("""COMPUTED_VALUE"""),"Yes")</f>
        <v>Yes</v>
      </c>
      <c r="O342" s="5" t="str">
        <f ca="1">IFERROR(__xludf.DUMMYFUNCTION("""COMPUTED_VALUE"""),"Yes")</f>
        <v>Yes</v>
      </c>
      <c r="P342" s="5" t="str">
        <f ca="1">IFERROR(__xludf.DUMMYFUNCTION("""COMPUTED_VALUE"""),"Yes")</f>
        <v>Yes</v>
      </c>
      <c r="Q342" s="5" t="str">
        <f ca="1">IFERROR(__xludf.DUMMYFUNCTION("""COMPUTED_VALUE"""),"Yes")</f>
        <v>Yes</v>
      </c>
      <c r="R342" s="5" t="str">
        <f ca="1">IFERROR(__xludf.DUMMYFUNCTION("""COMPUTED_VALUE"""),"Yes")</f>
        <v>Yes</v>
      </c>
      <c r="S342" s="5" t="str">
        <f ca="1">IFERROR(__xludf.DUMMYFUNCTION("""COMPUTED_VALUE"""),"Yes")</f>
        <v>Yes</v>
      </c>
      <c r="T342" s="5" t="str">
        <f ca="1">IFERROR(__xludf.DUMMYFUNCTION("""COMPUTED_VALUE"""),"Yes")</f>
        <v>Yes</v>
      </c>
      <c r="U342" s="5" t="str">
        <f ca="1">IFERROR(__xludf.DUMMYFUNCTION("""COMPUTED_VALUE"""),"Yes")</f>
        <v>Yes</v>
      </c>
      <c r="V342" s="5" t="str">
        <f ca="1">IFERROR(__xludf.DUMMYFUNCTION("""COMPUTED_VALUE"""),"Yes")</f>
        <v>Yes</v>
      </c>
      <c r="W342" s="5" t="str">
        <f ca="1">IFERROR(__xludf.DUMMYFUNCTION("""COMPUTED_VALUE"""),"Yes")</f>
        <v>Yes</v>
      </c>
      <c r="X342" s="5" t="str">
        <f ca="1">IFERROR(__xludf.DUMMYFUNCTION("""COMPUTED_VALUE"""),"Yes")</f>
        <v>Yes</v>
      </c>
      <c r="Y342" s="5" t="str">
        <f ca="1">IFERROR(__xludf.DUMMYFUNCTION("""COMPUTED_VALUE"""),"Yes")</f>
        <v>Yes</v>
      </c>
      <c r="Z342" s="5" t="str">
        <f ca="1">IFERROR(__xludf.DUMMYFUNCTION("""COMPUTED_VALUE"""),"Yes")</f>
        <v>Yes</v>
      </c>
      <c r="AA342" s="5" t="str">
        <f ca="1">IFERROR(__xludf.DUMMYFUNCTION("""COMPUTED_VALUE"""),"Yes")</f>
        <v>Yes</v>
      </c>
      <c r="AB342" s="5" t="str">
        <f ca="1">IFERROR(__xludf.DUMMYFUNCTION("""COMPUTED_VALUE"""),"Yes")</f>
        <v>Yes</v>
      </c>
      <c r="AC342" s="5" t="str">
        <f ca="1">IFERROR(__xludf.DUMMYFUNCTION("""COMPUTED_VALUE"""),"Yes")</f>
        <v>Yes</v>
      </c>
      <c r="AD342" s="5" t="str">
        <f ca="1">IFERROR(__xludf.DUMMYFUNCTION("""COMPUTED_VALUE"""),"Yes")</f>
        <v>Yes</v>
      </c>
      <c r="AE342" s="5" t="str">
        <f ca="1">IFERROR(__xludf.DUMMYFUNCTION("""COMPUTED_VALUE"""),"Yes")</f>
        <v>Yes</v>
      </c>
      <c r="AF342" s="5" t="str">
        <f ca="1">IFERROR(__xludf.DUMMYFUNCTION("""COMPUTED_VALUE"""),"Yes")</f>
        <v>Yes</v>
      </c>
      <c r="AG342" s="5" t="str">
        <f ca="1">IFERROR(__xludf.DUMMYFUNCTION("""COMPUTED_VALUE"""),"Yes")</f>
        <v>Yes</v>
      </c>
      <c r="AH342" s="5" t="str">
        <f ca="1">IFERROR(__xludf.DUMMYFUNCTION("""COMPUTED_VALUE"""),"Yes")</f>
        <v>Yes</v>
      </c>
      <c r="AI342" s="5" t="str">
        <f ca="1">IFERROR(__xludf.DUMMYFUNCTION("""COMPUTED_VALUE"""),"No")</f>
        <v>No</v>
      </c>
      <c r="AJ342" s="5" t="str">
        <f ca="1">IFERROR(__xludf.DUMMYFUNCTION("""COMPUTED_VALUE"""),"No")</f>
        <v>No</v>
      </c>
      <c r="AK342" s="5" t="str">
        <f ca="1">IFERROR(__xludf.DUMMYFUNCTION("""COMPUTED_VALUE"""),"No")</f>
        <v>No</v>
      </c>
      <c r="AL342" s="5" t="str">
        <f ca="1">IFERROR(__xludf.DUMMYFUNCTION("""COMPUTED_VALUE"""),"No")</f>
        <v>No</v>
      </c>
      <c r="AM342" s="5"/>
      <c r="AN342" s="5"/>
      <c r="AO342" s="5"/>
      <c r="AP342" s="5"/>
      <c r="AQ342" s="5"/>
      <c r="AR342" s="5"/>
      <c r="AS342" s="5"/>
      <c r="AT342" s="5"/>
      <c r="AU342" s="5"/>
      <c r="AV342" s="5"/>
      <c r="AW342" s="5"/>
      <c r="AX342" s="5"/>
      <c r="AY342" s="5"/>
    </row>
    <row r="343" spans="1:51" x14ac:dyDescent="0.25">
      <c r="A3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3" s="5">
        <f ca="1">IFERROR(__xludf.DUMMYFUNCTION("""COMPUTED_VALUE"""),347)</f>
        <v>347</v>
      </c>
      <c r="C343" s="5">
        <f ca="1">IFERROR(__xludf.DUMMYFUNCTION("""COMPUTED_VALUE"""),2006)</f>
        <v>2006</v>
      </c>
      <c r="D343" s="5" t="str">
        <f ca="1">IFERROR(__xludf.DUMMYFUNCTION("""COMPUTED_VALUE"""),"AquaFlame")</f>
        <v>AquaFlame</v>
      </c>
      <c r="E343" s="5" t="str">
        <f ca="1">IFERROR(__xludf.DUMMYFUNCTION("""COMPUTED_VALUE"""),"Yes")</f>
        <v>Yes</v>
      </c>
      <c r="F343" s="5" t="str">
        <f ca="1">IFERROR(__xludf.DUMMYFUNCTION("""COMPUTED_VALUE"""),"Yes")</f>
        <v>Yes</v>
      </c>
      <c r="G343" s="5" t="str">
        <f ca="1">IFERROR(__xludf.DUMMYFUNCTION("""COMPUTED_VALUE"""),"Yes")</f>
        <v>Yes</v>
      </c>
      <c r="H343" s="5" t="str">
        <f ca="1">IFERROR(__xludf.DUMMYFUNCTION("""COMPUTED_VALUE"""),"Yes")</f>
        <v>Yes</v>
      </c>
      <c r="I343" s="5" t="str">
        <f ca="1">IFERROR(__xludf.DUMMYFUNCTION("""COMPUTED_VALUE"""),"Yes")</f>
        <v>Yes</v>
      </c>
      <c r="J343" s="5" t="str">
        <f ca="1">IFERROR(__xludf.DUMMYFUNCTION("""COMPUTED_VALUE"""),"Yes")</f>
        <v>Yes</v>
      </c>
      <c r="K343" s="5" t="str">
        <f ca="1">IFERROR(__xludf.DUMMYFUNCTION("""COMPUTED_VALUE"""),"Yes")</f>
        <v>Yes</v>
      </c>
      <c r="L343" s="5" t="str">
        <f ca="1">IFERROR(__xludf.DUMMYFUNCTION("""COMPUTED_VALUE"""),"Yes")</f>
        <v>Yes</v>
      </c>
      <c r="M343" s="5" t="str">
        <f ca="1">IFERROR(__xludf.DUMMYFUNCTION("""COMPUTED_VALUE"""),"Yes")</f>
        <v>Yes</v>
      </c>
      <c r="N343" s="5" t="str">
        <f ca="1">IFERROR(__xludf.DUMMYFUNCTION("""COMPUTED_VALUE"""),"Yes")</f>
        <v>Yes</v>
      </c>
      <c r="O343" s="5" t="str">
        <f ca="1">IFERROR(__xludf.DUMMYFUNCTION("""COMPUTED_VALUE"""),"Yes")</f>
        <v>Yes</v>
      </c>
      <c r="P343" s="5" t="str">
        <f ca="1">IFERROR(__xludf.DUMMYFUNCTION("""COMPUTED_VALUE"""),"Yes")</f>
        <v>Yes</v>
      </c>
      <c r="Q343" s="5" t="str">
        <f ca="1">IFERROR(__xludf.DUMMYFUNCTION("""COMPUTED_VALUE"""),"Yes")</f>
        <v>Yes</v>
      </c>
      <c r="R343" s="5" t="str">
        <f ca="1">IFERROR(__xludf.DUMMYFUNCTION("""COMPUTED_VALUE"""),"Yes")</f>
        <v>Yes</v>
      </c>
      <c r="S343" s="5" t="str">
        <f ca="1">IFERROR(__xludf.DUMMYFUNCTION("""COMPUTED_VALUE"""),"Yes")</f>
        <v>Yes</v>
      </c>
      <c r="T343" s="5" t="str">
        <f ca="1">IFERROR(__xludf.DUMMYFUNCTION("""COMPUTED_VALUE"""),"Yes")</f>
        <v>Yes</v>
      </c>
      <c r="U343" s="5" t="str">
        <f ca="1">IFERROR(__xludf.DUMMYFUNCTION("""COMPUTED_VALUE"""),"Yes")</f>
        <v>Yes</v>
      </c>
      <c r="V343" s="5" t="str">
        <f ca="1">IFERROR(__xludf.DUMMYFUNCTION("""COMPUTED_VALUE"""),"Yes")</f>
        <v>Yes</v>
      </c>
      <c r="W343" s="5" t="str">
        <f ca="1">IFERROR(__xludf.DUMMYFUNCTION("""COMPUTED_VALUE"""),"Yes")</f>
        <v>Yes</v>
      </c>
      <c r="X343" s="5" t="str">
        <f ca="1">IFERROR(__xludf.DUMMYFUNCTION("""COMPUTED_VALUE"""),"Yes")</f>
        <v>Yes</v>
      </c>
      <c r="Y343" s="5" t="str">
        <f ca="1">IFERROR(__xludf.DUMMYFUNCTION("""COMPUTED_VALUE"""),"Yes")</f>
        <v>Yes</v>
      </c>
      <c r="Z343" s="5" t="str">
        <f ca="1">IFERROR(__xludf.DUMMYFUNCTION("""COMPUTED_VALUE"""),"Yes")</f>
        <v>Yes</v>
      </c>
      <c r="AA343" s="5" t="str">
        <f ca="1">IFERROR(__xludf.DUMMYFUNCTION("""COMPUTED_VALUE"""),"Yes")</f>
        <v>Yes</v>
      </c>
      <c r="AB343" s="5" t="str">
        <f ca="1">IFERROR(__xludf.DUMMYFUNCTION("""COMPUTED_VALUE"""),"Yes")</f>
        <v>Yes</v>
      </c>
      <c r="AC343" s="5" t="str">
        <f ca="1">IFERROR(__xludf.DUMMYFUNCTION("""COMPUTED_VALUE"""),"Yes")</f>
        <v>Yes</v>
      </c>
      <c r="AD343" s="5" t="str">
        <f ca="1">IFERROR(__xludf.DUMMYFUNCTION("""COMPUTED_VALUE"""),"Yes")</f>
        <v>Yes</v>
      </c>
      <c r="AE343" s="5" t="str">
        <f ca="1">IFERROR(__xludf.DUMMYFUNCTION("""COMPUTED_VALUE"""),"Yes")</f>
        <v>Yes</v>
      </c>
      <c r="AF343" s="5" t="str">
        <f ca="1">IFERROR(__xludf.DUMMYFUNCTION("""COMPUTED_VALUE"""),"Yes")</f>
        <v>Yes</v>
      </c>
      <c r="AG343" s="5" t="str">
        <f ca="1">IFERROR(__xludf.DUMMYFUNCTION("""COMPUTED_VALUE"""),"Yes")</f>
        <v>Yes</v>
      </c>
      <c r="AH343" s="5" t="str">
        <f ca="1">IFERROR(__xludf.DUMMYFUNCTION("""COMPUTED_VALUE"""),"Yes")</f>
        <v>Yes</v>
      </c>
      <c r="AI343" s="5" t="str">
        <f ca="1">IFERROR(__xludf.DUMMYFUNCTION("""COMPUTED_VALUE"""),"No")</f>
        <v>No</v>
      </c>
      <c r="AJ343" s="5" t="str">
        <f ca="1">IFERROR(__xludf.DUMMYFUNCTION("""COMPUTED_VALUE"""),"No")</f>
        <v>No</v>
      </c>
      <c r="AK343" s="5" t="str">
        <f ca="1">IFERROR(__xludf.DUMMYFUNCTION("""COMPUTED_VALUE"""),"No")</f>
        <v>No</v>
      </c>
      <c r="AL343" s="5" t="str">
        <f ca="1">IFERROR(__xludf.DUMMYFUNCTION("""COMPUTED_VALUE"""),"No")</f>
        <v>No</v>
      </c>
      <c r="AM343" s="5"/>
      <c r="AN343" s="5"/>
      <c r="AO343" s="5"/>
      <c r="AP343" s="5"/>
      <c r="AQ343" s="5"/>
      <c r="AR343" s="5"/>
      <c r="AS343" s="5"/>
      <c r="AT343" s="5"/>
      <c r="AU343" s="5"/>
      <c r="AV343" s="5"/>
      <c r="AW343" s="5"/>
      <c r="AX343" s="5"/>
      <c r="AY343" s="5"/>
    </row>
    <row r="344" spans="1:51" x14ac:dyDescent="0.25">
      <c r="A3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4" s="5">
        <f ca="1">IFERROR(__xludf.DUMMYFUNCTION("""COMPUTED_VALUE"""),348)</f>
        <v>348</v>
      </c>
      <c r="C344" s="5">
        <f ca="1">IFERROR(__xludf.DUMMYFUNCTION("""COMPUTED_VALUE"""),1004)</f>
        <v>1004</v>
      </c>
      <c r="D344" s="5" t="str">
        <f ca="1">IFERROR(__xludf.DUMMYFUNCTION("""COMPUTED_VALUE"""),"CrownOfSecret")</f>
        <v>CrownOfSecret</v>
      </c>
      <c r="E344" s="5" t="str">
        <f ca="1">IFERROR(__xludf.DUMMYFUNCTION("""COMPUTED_VALUE"""),"Yes")</f>
        <v>Yes</v>
      </c>
      <c r="F344" s="5" t="str">
        <f ca="1">IFERROR(__xludf.DUMMYFUNCTION("""COMPUTED_VALUE"""),"Yes")</f>
        <v>Yes</v>
      </c>
      <c r="G344" s="5" t="str">
        <f ca="1">IFERROR(__xludf.DUMMYFUNCTION("""COMPUTED_VALUE"""),"Yes")</f>
        <v>Yes</v>
      </c>
      <c r="H344" s="5" t="str">
        <f ca="1">IFERROR(__xludf.DUMMYFUNCTION("""COMPUTED_VALUE"""),"Yes")</f>
        <v>Yes</v>
      </c>
      <c r="I344" s="5" t="str">
        <f ca="1">IFERROR(__xludf.DUMMYFUNCTION("""COMPUTED_VALUE"""),"Yes")</f>
        <v>Yes</v>
      </c>
      <c r="J344" s="5" t="str">
        <f ca="1">IFERROR(__xludf.DUMMYFUNCTION("""COMPUTED_VALUE"""),"Yes")</f>
        <v>Yes</v>
      </c>
      <c r="K344" s="5" t="str">
        <f ca="1">IFERROR(__xludf.DUMMYFUNCTION("""COMPUTED_VALUE"""),"Yes")</f>
        <v>Yes</v>
      </c>
      <c r="L344" s="5" t="str">
        <f ca="1">IFERROR(__xludf.DUMMYFUNCTION("""COMPUTED_VALUE"""),"Yes")</f>
        <v>Yes</v>
      </c>
      <c r="M344" s="5" t="str">
        <f ca="1">IFERROR(__xludf.DUMMYFUNCTION("""COMPUTED_VALUE"""),"Yes")</f>
        <v>Yes</v>
      </c>
      <c r="N344" s="5" t="str">
        <f ca="1">IFERROR(__xludf.DUMMYFUNCTION("""COMPUTED_VALUE"""),"Yes")</f>
        <v>Yes</v>
      </c>
      <c r="O344" s="5" t="str">
        <f ca="1">IFERROR(__xludf.DUMMYFUNCTION("""COMPUTED_VALUE"""),"Yes")</f>
        <v>Yes</v>
      </c>
      <c r="P344" s="5" t="str">
        <f ca="1">IFERROR(__xludf.DUMMYFUNCTION("""COMPUTED_VALUE"""),"Yes")</f>
        <v>Yes</v>
      </c>
      <c r="Q344" s="5" t="str">
        <f ca="1">IFERROR(__xludf.DUMMYFUNCTION("""COMPUTED_VALUE"""),"Yes")</f>
        <v>Yes</v>
      </c>
      <c r="R344" s="5" t="str">
        <f ca="1">IFERROR(__xludf.DUMMYFUNCTION("""COMPUTED_VALUE"""),"Yes")</f>
        <v>Yes</v>
      </c>
      <c r="S344" s="5" t="str">
        <f ca="1">IFERROR(__xludf.DUMMYFUNCTION("""COMPUTED_VALUE"""),"Yes")</f>
        <v>Yes</v>
      </c>
      <c r="T344" s="5" t="str">
        <f ca="1">IFERROR(__xludf.DUMMYFUNCTION("""COMPUTED_VALUE"""),"Yes")</f>
        <v>Yes</v>
      </c>
      <c r="U344" s="5" t="str">
        <f ca="1">IFERROR(__xludf.DUMMYFUNCTION("""COMPUTED_VALUE"""),"Yes")</f>
        <v>Yes</v>
      </c>
      <c r="V344" s="5" t="str">
        <f ca="1">IFERROR(__xludf.DUMMYFUNCTION("""COMPUTED_VALUE"""),"Yes")</f>
        <v>Yes</v>
      </c>
      <c r="W344" s="5" t="str">
        <f ca="1">IFERROR(__xludf.DUMMYFUNCTION("""COMPUTED_VALUE"""),"Yes")</f>
        <v>Yes</v>
      </c>
      <c r="X344" s="5" t="str">
        <f ca="1">IFERROR(__xludf.DUMMYFUNCTION("""COMPUTED_VALUE"""),"Yes")</f>
        <v>Yes</v>
      </c>
      <c r="Y344" s="5" t="str">
        <f ca="1">IFERROR(__xludf.DUMMYFUNCTION("""COMPUTED_VALUE"""),"Yes")</f>
        <v>Yes</v>
      </c>
      <c r="Z344" s="5" t="str">
        <f ca="1">IFERROR(__xludf.DUMMYFUNCTION("""COMPUTED_VALUE"""),"Yes")</f>
        <v>Yes</v>
      </c>
      <c r="AA344" s="5" t="str">
        <f ca="1">IFERROR(__xludf.DUMMYFUNCTION("""COMPUTED_VALUE"""),"Yes")</f>
        <v>Yes</v>
      </c>
      <c r="AB344" s="5" t="str">
        <f ca="1">IFERROR(__xludf.DUMMYFUNCTION("""COMPUTED_VALUE"""),"Yes")</f>
        <v>Yes</v>
      </c>
      <c r="AC344" s="5" t="str">
        <f ca="1">IFERROR(__xludf.DUMMYFUNCTION("""COMPUTED_VALUE"""),"Yes")</f>
        <v>Yes</v>
      </c>
      <c r="AD344" s="5" t="str">
        <f ca="1">IFERROR(__xludf.DUMMYFUNCTION("""COMPUTED_VALUE"""),"Yes")</f>
        <v>Yes</v>
      </c>
      <c r="AE344" s="5" t="str">
        <f ca="1">IFERROR(__xludf.DUMMYFUNCTION("""COMPUTED_VALUE"""),"Yes")</f>
        <v>Yes</v>
      </c>
      <c r="AF344" s="5" t="str">
        <f ca="1">IFERROR(__xludf.DUMMYFUNCTION("""COMPUTED_VALUE"""),"Yes")</f>
        <v>Yes</v>
      </c>
      <c r="AG344" s="5" t="str">
        <f ca="1">IFERROR(__xludf.DUMMYFUNCTION("""COMPUTED_VALUE"""),"Yes")</f>
        <v>Yes</v>
      </c>
      <c r="AH344" s="5" t="str">
        <f ca="1">IFERROR(__xludf.DUMMYFUNCTION("""COMPUTED_VALUE"""),"Yes")</f>
        <v>Yes</v>
      </c>
      <c r="AI344" s="5" t="str">
        <f ca="1">IFERROR(__xludf.DUMMYFUNCTION("""COMPUTED_VALUE"""),"No")</f>
        <v>No</v>
      </c>
      <c r="AJ344" s="5" t="str">
        <f ca="1">IFERROR(__xludf.DUMMYFUNCTION("""COMPUTED_VALUE"""),"No")</f>
        <v>No</v>
      </c>
      <c r="AK344" s="5" t="str">
        <f ca="1">IFERROR(__xludf.DUMMYFUNCTION("""COMPUTED_VALUE"""),"No")</f>
        <v>No</v>
      </c>
      <c r="AL344" s="5" t="str">
        <f ca="1">IFERROR(__xludf.DUMMYFUNCTION("""COMPUTED_VALUE"""),"No")</f>
        <v>No</v>
      </c>
      <c r="AM344" s="5"/>
      <c r="AN344" s="5"/>
      <c r="AO344" s="5"/>
      <c r="AP344" s="5"/>
      <c r="AQ344" s="5"/>
      <c r="AR344" s="5"/>
      <c r="AS344" s="5"/>
      <c r="AT344" s="5"/>
      <c r="AU344" s="5"/>
      <c r="AV344" s="5"/>
      <c r="AW344" s="5"/>
      <c r="AX344" s="5"/>
      <c r="AY344" s="5"/>
    </row>
    <row r="345" spans="1:51" x14ac:dyDescent="0.25">
      <c r="A3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5" s="5">
        <f ca="1">IFERROR(__xludf.DUMMYFUNCTION("""COMPUTED_VALUE"""),349)</f>
        <v>349</v>
      </c>
      <c r="C345" s="5">
        <f ca="1">IFERROR(__xludf.DUMMYFUNCTION("""COMPUTED_VALUE"""),1002)</f>
        <v>1002</v>
      </c>
      <c r="D345" s="5" t="str">
        <f ca="1">IFERROR(__xludf.DUMMYFUNCTION("""COMPUTED_VALUE"""),"VeryHot40Extreme")</f>
        <v>VeryHot40Extreme</v>
      </c>
      <c r="E345" s="5" t="str">
        <f ca="1">IFERROR(__xludf.DUMMYFUNCTION("""COMPUTED_VALUE"""),"Yes")</f>
        <v>Yes</v>
      </c>
      <c r="F345" s="5" t="str">
        <f ca="1">IFERROR(__xludf.DUMMYFUNCTION("""COMPUTED_VALUE"""),"Yes")</f>
        <v>Yes</v>
      </c>
      <c r="G345" s="5" t="str">
        <f ca="1">IFERROR(__xludf.DUMMYFUNCTION("""COMPUTED_VALUE"""),"Yes")</f>
        <v>Yes</v>
      </c>
      <c r="H345" s="5" t="str">
        <f ca="1">IFERROR(__xludf.DUMMYFUNCTION("""COMPUTED_VALUE"""),"Yes")</f>
        <v>Yes</v>
      </c>
      <c r="I345" s="5" t="str">
        <f ca="1">IFERROR(__xludf.DUMMYFUNCTION("""COMPUTED_VALUE"""),"Yes")</f>
        <v>Yes</v>
      </c>
      <c r="J345" s="5" t="str">
        <f ca="1">IFERROR(__xludf.DUMMYFUNCTION("""COMPUTED_VALUE"""),"Yes")</f>
        <v>Yes</v>
      </c>
      <c r="K345" s="5" t="str">
        <f ca="1">IFERROR(__xludf.DUMMYFUNCTION("""COMPUTED_VALUE"""),"Yes")</f>
        <v>Yes</v>
      </c>
      <c r="L345" s="5" t="str">
        <f ca="1">IFERROR(__xludf.DUMMYFUNCTION("""COMPUTED_VALUE"""),"Yes")</f>
        <v>Yes</v>
      </c>
      <c r="M345" s="5" t="str">
        <f ca="1">IFERROR(__xludf.DUMMYFUNCTION("""COMPUTED_VALUE"""),"Yes")</f>
        <v>Yes</v>
      </c>
      <c r="N345" s="5" t="str">
        <f ca="1">IFERROR(__xludf.DUMMYFUNCTION("""COMPUTED_VALUE"""),"Yes")</f>
        <v>Yes</v>
      </c>
      <c r="O345" s="5" t="str">
        <f ca="1">IFERROR(__xludf.DUMMYFUNCTION("""COMPUTED_VALUE"""),"Yes")</f>
        <v>Yes</v>
      </c>
      <c r="P345" s="5" t="str">
        <f ca="1">IFERROR(__xludf.DUMMYFUNCTION("""COMPUTED_VALUE"""),"Yes")</f>
        <v>Yes</v>
      </c>
      <c r="Q345" s="5" t="str">
        <f ca="1">IFERROR(__xludf.DUMMYFUNCTION("""COMPUTED_VALUE"""),"Yes")</f>
        <v>Yes</v>
      </c>
      <c r="R345" s="5" t="str">
        <f ca="1">IFERROR(__xludf.DUMMYFUNCTION("""COMPUTED_VALUE"""),"Yes")</f>
        <v>Yes</v>
      </c>
      <c r="S345" s="5" t="str">
        <f ca="1">IFERROR(__xludf.DUMMYFUNCTION("""COMPUTED_VALUE"""),"Yes")</f>
        <v>Yes</v>
      </c>
      <c r="T345" s="5" t="str">
        <f ca="1">IFERROR(__xludf.DUMMYFUNCTION("""COMPUTED_VALUE"""),"Yes")</f>
        <v>Yes</v>
      </c>
      <c r="U345" s="5" t="str">
        <f ca="1">IFERROR(__xludf.DUMMYFUNCTION("""COMPUTED_VALUE"""),"Yes")</f>
        <v>Yes</v>
      </c>
      <c r="V345" s="5" t="str">
        <f ca="1">IFERROR(__xludf.DUMMYFUNCTION("""COMPUTED_VALUE"""),"Yes")</f>
        <v>Yes</v>
      </c>
      <c r="W345" s="5" t="str">
        <f ca="1">IFERROR(__xludf.DUMMYFUNCTION("""COMPUTED_VALUE"""),"Yes")</f>
        <v>Yes</v>
      </c>
      <c r="X345" s="5" t="str">
        <f ca="1">IFERROR(__xludf.DUMMYFUNCTION("""COMPUTED_VALUE"""),"Yes")</f>
        <v>Yes</v>
      </c>
      <c r="Y345" s="5" t="str">
        <f ca="1">IFERROR(__xludf.DUMMYFUNCTION("""COMPUTED_VALUE"""),"Yes")</f>
        <v>Yes</v>
      </c>
      <c r="Z345" s="5" t="str">
        <f ca="1">IFERROR(__xludf.DUMMYFUNCTION("""COMPUTED_VALUE"""),"Yes")</f>
        <v>Yes</v>
      </c>
      <c r="AA345" s="5" t="str">
        <f ca="1">IFERROR(__xludf.DUMMYFUNCTION("""COMPUTED_VALUE"""),"Yes")</f>
        <v>Yes</v>
      </c>
      <c r="AB345" s="5" t="str">
        <f ca="1">IFERROR(__xludf.DUMMYFUNCTION("""COMPUTED_VALUE"""),"Yes")</f>
        <v>Yes</v>
      </c>
      <c r="AC345" s="5" t="str">
        <f ca="1">IFERROR(__xludf.DUMMYFUNCTION("""COMPUTED_VALUE"""),"Yes")</f>
        <v>Yes</v>
      </c>
      <c r="AD345" s="5" t="str">
        <f ca="1">IFERROR(__xludf.DUMMYFUNCTION("""COMPUTED_VALUE"""),"Yes")</f>
        <v>Yes</v>
      </c>
      <c r="AE345" s="5" t="str">
        <f ca="1">IFERROR(__xludf.DUMMYFUNCTION("""COMPUTED_VALUE"""),"Yes")</f>
        <v>Yes</v>
      </c>
      <c r="AF345" s="5" t="str">
        <f ca="1">IFERROR(__xludf.DUMMYFUNCTION("""COMPUTED_VALUE"""),"Yes")</f>
        <v>Yes</v>
      </c>
      <c r="AG345" s="5" t="str">
        <f ca="1">IFERROR(__xludf.DUMMYFUNCTION("""COMPUTED_VALUE"""),"Yes")</f>
        <v>Yes</v>
      </c>
      <c r="AH345" s="5" t="str">
        <f ca="1">IFERROR(__xludf.DUMMYFUNCTION("""COMPUTED_VALUE"""),"Yes")</f>
        <v>Yes</v>
      </c>
      <c r="AI345" s="5" t="str">
        <f ca="1">IFERROR(__xludf.DUMMYFUNCTION("""COMPUTED_VALUE"""),"No")</f>
        <v>No</v>
      </c>
      <c r="AJ345" s="5" t="str">
        <f ca="1">IFERROR(__xludf.DUMMYFUNCTION("""COMPUTED_VALUE"""),"No")</f>
        <v>No</v>
      </c>
      <c r="AK345" s="5" t="str">
        <f ca="1">IFERROR(__xludf.DUMMYFUNCTION("""COMPUTED_VALUE"""),"No")</f>
        <v>No</v>
      </c>
      <c r="AL345" s="5" t="str">
        <f ca="1">IFERROR(__xludf.DUMMYFUNCTION("""COMPUTED_VALUE"""),"No")</f>
        <v>No</v>
      </c>
      <c r="AM345" s="5"/>
      <c r="AN345" s="5"/>
      <c r="AO345" s="5"/>
      <c r="AP345" s="5"/>
      <c r="AQ345" s="5"/>
      <c r="AR345" s="5"/>
      <c r="AS345" s="5"/>
      <c r="AT345" s="5"/>
      <c r="AU345" s="5"/>
      <c r="AV345" s="5"/>
      <c r="AW345" s="5"/>
      <c r="AX345" s="5"/>
      <c r="AY345" s="5"/>
    </row>
    <row r="346" spans="1:51" x14ac:dyDescent="0.25">
      <c r="A3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6" s="5">
        <f ca="1">IFERROR(__xludf.DUMMYFUNCTION("""COMPUTED_VALUE"""),350)</f>
        <v>350</v>
      </c>
      <c r="C346" s="5">
        <f ca="1">IFERROR(__xludf.DUMMYFUNCTION("""COMPUTED_VALUE"""),1003)</f>
        <v>1003</v>
      </c>
      <c r="D346" s="5" t="str">
        <f ca="1">IFERROR(__xludf.DUMMYFUNCTION("""COMPUTED_VALUE"""),"SpecialFruits")</f>
        <v>SpecialFruits</v>
      </c>
      <c r="E346" s="5" t="str">
        <f ca="1">IFERROR(__xludf.DUMMYFUNCTION("""COMPUTED_VALUE"""),"Yes")</f>
        <v>Yes</v>
      </c>
      <c r="F346" s="5" t="str">
        <f ca="1">IFERROR(__xludf.DUMMYFUNCTION("""COMPUTED_VALUE"""),"Yes")</f>
        <v>Yes</v>
      </c>
      <c r="G346" s="5" t="str">
        <f ca="1">IFERROR(__xludf.DUMMYFUNCTION("""COMPUTED_VALUE"""),"Yes")</f>
        <v>Yes</v>
      </c>
      <c r="H346" s="5" t="str">
        <f ca="1">IFERROR(__xludf.DUMMYFUNCTION("""COMPUTED_VALUE"""),"Yes")</f>
        <v>Yes</v>
      </c>
      <c r="I346" s="5" t="str">
        <f ca="1">IFERROR(__xludf.DUMMYFUNCTION("""COMPUTED_VALUE"""),"Yes")</f>
        <v>Yes</v>
      </c>
      <c r="J346" s="5" t="str">
        <f ca="1">IFERROR(__xludf.DUMMYFUNCTION("""COMPUTED_VALUE"""),"Yes")</f>
        <v>Yes</v>
      </c>
      <c r="K346" s="5" t="str">
        <f ca="1">IFERROR(__xludf.DUMMYFUNCTION("""COMPUTED_VALUE"""),"Yes")</f>
        <v>Yes</v>
      </c>
      <c r="L346" s="5" t="str">
        <f ca="1">IFERROR(__xludf.DUMMYFUNCTION("""COMPUTED_VALUE"""),"Yes")</f>
        <v>Yes</v>
      </c>
      <c r="M346" s="5" t="str">
        <f ca="1">IFERROR(__xludf.DUMMYFUNCTION("""COMPUTED_VALUE"""),"Yes")</f>
        <v>Yes</v>
      </c>
      <c r="N346" s="5" t="str">
        <f ca="1">IFERROR(__xludf.DUMMYFUNCTION("""COMPUTED_VALUE"""),"Yes")</f>
        <v>Yes</v>
      </c>
      <c r="O346" s="5" t="str">
        <f ca="1">IFERROR(__xludf.DUMMYFUNCTION("""COMPUTED_VALUE"""),"Yes")</f>
        <v>Yes</v>
      </c>
      <c r="P346" s="5" t="str">
        <f ca="1">IFERROR(__xludf.DUMMYFUNCTION("""COMPUTED_VALUE"""),"Yes")</f>
        <v>Yes</v>
      </c>
      <c r="Q346" s="5" t="str">
        <f ca="1">IFERROR(__xludf.DUMMYFUNCTION("""COMPUTED_VALUE"""),"Yes")</f>
        <v>Yes</v>
      </c>
      <c r="R346" s="5" t="str">
        <f ca="1">IFERROR(__xludf.DUMMYFUNCTION("""COMPUTED_VALUE"""),"Yes")</f>
        <v>Yes</v>
      </c>
      <c r="S346" s="5" t="str">
        <f ca="1">IFERROR(__xludf.DUMMYFUNCTION("""COMPUTED_VALUE"""),"Yes")</f>
        <v>Yes</v>
      </c>
      <c r="T346" s="5" t="str">
        <f ca="1">IFERROR(__xludf.DUMMYFUNCTION("""COMPUTED_VALUE"""),"Yes")</f>
        <v>Yes</v>
      </c>
      <c r="U346" s="5" t="str">
        <f ca="1">IFERROR(__xludf.DUMMYFUNCTION("""COMPUTED_VALUE"""),"Yes")</f>
        <v>Yes</v>
      </c>
      <c r="V346" s="5" t="str">
        <f ca="1">IFERROR(__xludf.DUMMYFUNCTION("""COMPUTED_VALUE"""),"Yes")</f>
        <v>Yes</v>
      </c>
      <c r="W346" s="5" t="str">
        <f ca="1">IFERROR(__xludf.DUMMYFUNCTION("""COMPUTED_VALUE"""),"Yes")</f>
        <v>Yes</v>
      </c>
      <c r="X346" s="5" t="str">
        <f ca="1">IFERROR(__xludf.DUMMYFUNCTION("""COMPUTED_VALUE"""),"Yes")</f>
        <v>Yes</v>
      </c>
      <c r="Y346" s="5" t="str">
        <f ca="1">IFERROR(__xludf.DUMMYFUNCTION("""COMPUTED_VALUE"""),"Yes")</f>
        <v>Yes</v>
      </c>
      <c r="Z346" s="5" t="str">
        <f ca="1">IFERROR(__xludf.DUMMYFUNCTION("""COMPUTED_VALUE"""),"Yes")</f>
        <v>Yes</v>
      </c>
      <c r="AA346" s="5" t="str">
        <f ca="1">IFERROR(__xludf.DUMMYFUNCTION("""COMPUTED_VALUE"""),"Yes")</f>
        <v>Yes</v>
      </c>
      <c r="AB346" s="5" t="str">
        <f ca="1">IFERROR(__xludf.DUMMYFUNCTION("""COMPUTED_VALUE"""),"Yes")</f>
        <v>Yes</v>
      </c>
      <c r="AC346" s="5" t="str">
        <f ca="1">IFERROR(__xludf.DUMMYFUNCTION("""COMPUTED_VALUE"""),"Yes")</f>
        <v>Yes</v>
      </c>
      <c r="AD346" s="5" t="str">
        <f ca="1">IFERROR(__xludf.DUMMYFUNCTION("""COMPUTED_VALUE"""),"Yes")</f>
        <v>Yes</v>
      </c>
      <c r="AE346" s="5" t="str">
        <f ca="1">IFERROR(__xludf.DUMMYFUNCTION("""COMPUTED_VALUE"""),"Yes")</f>
        <v>Yes</v>
      </c>
      <c r="AF346" s="5" t="str">
        <f ca="1">IFERROR(__xludf.DUMMYFUNCTION("""COMPUTED_VALUE"""),"Yes")</f>
        <v>Yes</v>
      </c>
      <c r="AG346" s="5" t="str">
        <f ca="1">IFERROR(__xludf.DUMMYFUNCTION("""COMPUTED_VALUE"""),"Yes")</f>
        <v>Yes</v>
      </c>
      <c r="AH346" s="5" t="str">
        <f ca="1">IFERROR(__xludf.DUMMYFUNCTION("""COMPUTED_VALUE"""),"Yes")</f>
        <v>Yes</v>
      </c>
      <c r="AI346" s="5" t="str">
        <f ca="1">IFERROR(__xludf.DUMMYFUNCTION("""COMPUTED_VALUE"""),"No")</f>
        <v>No</v>
      </c>
      <c r="AJ346" s="5" t="str">
        <f ca="1">IFERROR(__xludf.DUMMYFUNCTION("""COMPUTED_VALUE"""),"No")</f>
        <v>No</v>
      </c>
      <c r="AK346" s="5" t="str">
        <f ca="1">IFERROR(__xludf.DUMMYFUNCTION("""COMPUTED_VALUE"""),"No")</f>
        <v>No</v>
      </c>
      <c r="AL346" s="5" t="str">
        <f ca="1">IFERROR(__xludf.DUMMYFUNCTION("""COMPUTED_VALUE"""),"No")</f>
        <v>No</v>
      </c>
      <c r="AM346" s="5"/>
      <c r="AN346" s="5"/>
      <c r="AO346" s="5"/>
      <c r="AP346" s="5"/>
      <c r="AQ346" s="5"/>
      <c r="AR346" s="5"/>
      <c r="AS346" s="5"/>
      <c r="AT346" s="5"/>
      <c r="AU346" s="5"/>
      <c r="AV346" s="5"/>
      <c r="AW346" s="5"/>
      <c r="AX346" s="5"/>
      <c r="AY346" s="5"/>
    </row>
    <row r="347" spans="1:51" x14ac:dyDescent="0.25">
      <c r="A3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7" s="5">
        <f ca="1">IFERROR(__xludf.DUMMYFUNCTION("""COMPUTED_VALUE"""),351)</f>
        <v>351</v>
      </c>
      <c r="C347" s="5">
        <f ca="1">IFERROR(__xludf.DUMMYFUNCTION("""COMPUTED_VALUE"""),329)</f>
        <v>329</v>
      </c>
      <c r="D347" s="5" t="str">
        <f ca="1">IFERROR(__xludf.DUMMYFUNCTION("""COMPUTED_VALUE"""),"TurboStars10")</f>
        <v>TurboStars10</v>
      </c>
      <c r="E347" s="5" t="str">
        <f ca="1">IFERROR(__xludf.DUMMYFUNCTION("""COMPUTED_VALUE"""),"Yes")</f>
        <v>Yes</v>
      </c>
      <c r="F347" s="5" t="str">
        <f ca="1">IFERROR(__xludf.DUMMYFUNCTION("""COMPUTED_VALUE"""),"Yes")</f>
        <v>Yes</v>
      </c>
      <c r="G347" s="5" t="str">
        <f ca="1">IFERROR(__xludf.DUMMYFUNCTION("""COMPUTED_VALUE"""),"Yes")</f>
        <v>Yes</v>
      </c>
      <c r="H347" s="5" t="str">
        <f ca="1">IFERROR(__xludf.DUMMYFUNCTION("""COMPUTED_VALUE"""),"Yes")</f>
        <v>Yes</v>
      </c>
      <c r="I347" s="5" t="str">
        <f ca="1">IFERROR(__xludf.DUMMYFUNCTION("""COMPUTED_VALUE"""),"Yes")</f>
        <v>Yes</v>
      </c>
      <c r="J347" s="5" t="str">
        <f ca="1">IFERROR(__xludf.DUMMYFUNCTION("""COMPUTED_VALUE"""),"Yes")</f>
        <v>Yes</v>
      </c>
      <c r="K347" s="5" t="str">
        <f ca="1">IFERROR(__xludf.DUMMYFUNCTION("""COMPUTED_VALUE"""),"Yes")</f>
        <v>Yes</v>
      </c>
      <c r="L347" s="5" t="str">
        <f ca="1">IFERROR(__xludf.DUMMYFUNCTION("""COMPUTED_VALUE"""),"Yes")</f>
        <v>Yes</v>
      </c>
      <c r="M347" s="5" t="str">
        <f ca="1">IFERROR(__xludf.DUMMYFUNCTION("""COMPUTED_VALUE"""),"Yes")</f>
        <v>Yes</v>
      </c>
      <c r="N347" s="5" t="str">
        <f ca="1">IFERROR(__xludf.DUMMYFUNCTION("""COMPUTED_VALUE"""),"Yes")</f>
        <v>Yes</v>
      </c>
      <c r="O347" s="5" t="str">
        <f ca="1">IFERROR(__xludf.DUMMYFUNCTION("""COMPUTED_VALUE"""),"Yes")</f>
        <v>Yes</v>
      </c>
      <c r="P347" s="5" t="str">
        <f ca="1">IFERROR(__xludf.DUMMYFUNCTION("""COMPUTED_VALUE"""),"Yes")</f>
        <v>Yes</v>
      </c>
      <c r="Q347" s="5" t="str">
        <f ca="1">IFERROR(__xludf.DUMMYFUNCTION("""COMPUTED_VALUE"""),"Yes")</f>
        <v>Yes</v>
      </c>
      <c r="R347" s="5" t="str">
        <f ca="1">IFERROR(__xludf.DUMMYFUNCTION("""COMPUTED_VALUE"""),"Yes")</f>
        <v>Yes</v>
      </c>
      <c r="S347" s="5" t="str">
        <f ca="1">IFERROR(__xludf.DUMMYFUNCTION("""COMPUTED_VALUE"""),"Yes")</f>
        <v>Yes</v>
      </c>
      <c r="T347" s="5" t="str">
        <f ca="1">IFERROR(__xludf.DUMMYFUNCTION("""COMPUTED_VALUE"""),"Yes")</f>
        <v>Yes</v>
      </c>
      <c r="U347" s="5" t="str">
        <f ca="1">IFERROR(__xludf.DUMMYFUNCTION("""COMPUTED_VALUE"""),"Yes")</f>
        <v>Yes</v>
      </c>
      <c r="V347" s="5" t="str">
        <f ca="1">IFERROR(__xludf.DUMMYFUNCTION("""COMPUTED_VALUE"""),"Yes")</f>
        <v>Yes</v>
      </c>
      <c r="W347" s="5" t="str">
        <f ca="1">IFERROR(__xludf.DUMMYFUNCTION("""COMPUTED_VALUE"""),"Yes")</f>
        <v>Yes</v>
      </c>
      <c r="X347" s="5" t="str">
        <f ca="1">IFERROR(__xludf.DUMMYFUNCTION("""COMPUTED_VALUE"""),"Yes")</f>
        <v>Yes</v>
      </c>
      <c r="Y347" s="5" t="str">
        <f ca="1">IFERROR(__xludf.DUMMYFUNCTION("""COMPUTED_VALUE"""),"Yes")</f>
        <v>Yes</v>
      </c>
      <c r="Z347" s="5" t="str">
        <f ca="1">IFERROR(__xludf.DUMMYFUNCTION("""COMPUTED_VALUE"""),"No")</f>
        <v>No</v>
      </c>
      <c r="AA347" s="5" t="str">
        <f ca="1">IFERROR(__xludf.DUMMYFUNCTION("""COMPUTED_VALUE"""),"Yes")</f>
        <v>Yes</v>
      </c>
      <c r="AB347" s="5" t="str">
        <f ca="1">IFERROR(__xludf.DUMMYFUNCTION("""COMPUTED_VALUE"""),"Yes")</f>
        <v>Yes</v>
      </c>
      <c r="AC347" s="5" t="str">
        <f ca="1">IFERROR(__xludf.DUMMYFUNCTION("""COMPUTED_VALUE"""),"Yes")</f>
        <v>Yes</v>
      </c>
      <c r="AD347" s="5" t="str">
        <f ca="1">IFERROR(__xludf.DUMMYFUNCTION("""COMPUTED_VALUE"""),"Yes")</f>
        <v>Yes</v>
      </c>
      <c r="AE347" s="5" t="str">
        <f ca="1">IFERROR(__xludf.DUMMYFUNCTION("""COMPUTED_VALUE"""),"No")</f>
        <v>No</v>
      </c>
      <c r="AF347" s="5" t="str">
        <f ca="1">IFERROR(__xludf.DUMMYFUNCTION("""COMPUTED_VALUE"""),"Yes")</f>
        <v>Yes</v>
      </c>
      <c r="AG347" s="5" t="str">
        <f ca="1">IFERROR(__xludf.DUMMYFUNCTION("""COMPUTED_VALUE"""),"No")</f>
        <v>No</v>
      </c>
      <c r="AH347" s="5" t="str">
        <f ca="1">IFERROR(__xludf.DUMMYFUNCTION("""COMPUTED_VALUE"""),"No")</f>
        <v>No</v>
      </c>
      <c r="AI347" s="5" t="str">
        <f ca="1">IFERROR(__xludf.DUMMYFUNCTION("""COMPUTED_VALUE"""),"No")</f>
        <v>No</v>
      </c>
      <c r="AJ347" s="5" t="str">
        <f ca="1">IFERROR(__xludf.DUMMYFUNCTION("""COMPUTED_VALUE"""),"No")</f>
        <v>No</v>
      </c>
      <c r="AK347" s="5" t="str">
        <f ca="1">IFERROR(__xludf.DUMMYFUNCTION("""COMPUTED_VALUE"""),"No")</f>
        <v>No</v>
      </c>
      <c r="AL347" s="5" t="str">
        <f ca="1">IFERROR(__xludf.DUMMYFUNCTION("""COMPUTED_VALUE"""),"No")</f>
        <v>No</v>
      </c>
      <c r="AM347" s="5"/>
      <c r="AN347" s="5"/>
      <c r="AO347" s="5"/>
      <c r="AP347" s="5"/>
      <c r="AQ347" s="5"/>
      <c r="AR347" s="5"/>
      <c r="AS347" s="5"/>
      <c r="AT347" s="5"/>
      <c r="AU347" s="5"/>
      <c r="AV347" s="5"/>
      <c r="AW347" s="5"/>
      <c r="AX347" s="5"/>
      <c r="AY347" s="5"/>
    </row>
    <row r="348" spans="1:51" x14ac:dyDescent="0.25">
      <c r="A3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8" s="5">
        <f ca="1">IFERROR(__xludf.DUMMYFUNCTION("""COMPUTED_VALUE"""),352)</f>
        <v>352</v>
      </c>
      <c r="C348" s="5">
        <f ca="1">IFERROR(__xludf.DUMMYFUNCTION("""COMPUTED_VALUE"""),3003)</f>
        <v>3003</v>
      </c>
      <c r="D348" s="5" t="str">
        <f ca="1">IFERROR(__xludf.DUMMYFUNCTION("""COMPUTED_VALUE"""),"TurboStars40")</f>
        <v>TurboStars40</v>
      </c>
      <c r="E348" s="5" t="str">
        <f ca="1">IFERROR(__xludf.DUMMYFUNCTION("""COMPUTED_VALUE"""),"Yes")</f>
        <v>Yes</v>
      </c>
      <c r="F348" s="5" t="str">
        <f ca="1">IFERROR(__xludf.DUMMYFUNCTION("""COMPUTED_VALUE"""),"Yes")</f>
        <v>Yes</v>
      </c>
      <c r="G348" s="5" t="str">
        <f ca="1">IFERROR(__xludf.DUMMYFUNCTION("""COMPUTED_VALUE"""),"Yes")</f>
        <v>Yes</v>
      </c>
      <c r="H348" s="5" t="str">
        <f ca="1">IFERROR(__xludf.DUMMYFUNCTION("""COMPUTED_VALUE"""),"Yes")</f>
        <v>Yes</v>
      </c>
      <c r="I348" s="5" t="str">
        <f ca="1">IFERROR(__xludf.DUMMYFUNCTION("""COMPUTED_VALUE"""),"Yes")</f>
        <v>Yes</v>
      </c>
      <c r="J348" s="5" t="str">
        <f ca="1">IFERROR(__xludf.DUMMYFUNCTION("""COMPUTED_VALUE"""),"Yes")</f>
        <v>Yes</v>
      </c>
      <c r="K348" s="5" t="str">
        <f ca="1">IFERROR(__xludf.DUMMYFUNCTION("""COMPUTED_VALUE"""),"Yes")</f>
        <v>Yes</v>
      </c>
      <c r="L348" s="5" t="str">
        <f ca="1">IFERROR(__xludf.DUMMYFUNCTION("""COMPUTED_VALUE"""),"Yes")</f>
        <v>Yes</v>
      </c>
      <c r="M348" s="5" t="str">
        <f ca="1">IFERROR(__xludf.DUMMYFUNCTION("""COMPUTED_VALUE"""),"Yes")</f>
        <v>Yes</v>
      </c>
      <c r="N348" s="5" t="str">
        <f ca="1">IFERROR(__xludf.DUMMYFUNCTION("""COMPUTED_VALUE"""),"Yes")</f>
        <v>Yes</v>
      </c>
      <c r="O348" s="5" t="str">
        <f ca="1">IFERROR(__xludf.DUMMYFUNCTION("""COMPUTED_VALUE"""),"Yes")</f>
        <v>Yes</v>
      </c>
      <c r="P348" s="5" t="str">
        <f ca="1">IFERROR(__xludf.DUMMYFUNCTION("""COMPUTED_VALUE"""),"Yes")</f>
        <v>Yes</v>
      </c>
      <c r="Q348" s="5" t="str">
        <f ca="1">IFERROR(__xludf.DUMMYFUNCTION("""COMPUTED_VALUE"""),"Yes")</f>
        <v>Yes</v>
      </c>
      <c r="R348" s="5" t="str">
        <f ca="1">IFERROR(__xludf.DUMMYFUNCTION("""COMPUTED_VALUE"""),"Yes")</f>
        <v>Yes</v>
      </c>
      <c r="S348" s="5" t="str">
        <f ca="1">IFERROR(__xludf.DUMMYFUNCTION("""COMPUTED_VALUE"""),"Yes")</f>
        <v>Yes</v>
      </c>
      <c r="T348" s="5" t="str">
        <f ca="1">IFERROR(__xludf.DUMMYFUNCTION("""COMPUTED_VALUE"""),"Yes")</f>
        <v>Yes</v>
      </c>
      <c r="U348" s="5" t="str">
        <f ca="1">IFERROR(__xludf.DUMMYFUNCTION("""COMPUTED_VALUE"""),"Yes")</f>
        <v>Yes</v>
      </c>
      <c r="V348" s="5" t="str">
        <f ca="1">IFERROR(__xludf.DUMMYFUNCTION("""COMPUTED_VALUE"""),"Yes")</f>
        <v>Yes</v>
      </c>
      <c r="W348" s="5" t="str">
        <f ca="1">IFERROR(__xludf.DUMMYFUNCTION("""COMPUTED_VALUE"""),"Yes")</f>
        <v>Yes</v>
      </c>
      <c r="X348" s="5" t="str">
        <f ca="1">IFERROR(__xludf.DUMMYFUNCTION("""COMPUTED_VALUE"""),"Yes")</f>
        <v>Yes</v>
      </c>
      <c r="Y348" s="5" t="str">
        <f ca="1">IFERROR(__xludf.DUMMYFUNCTION("""COMPUTED_VALUE"""),"Yes")</f>
        <v>Yes</v>
      </c>
      <c r="Z348" s="5" t="str">
        <f ca="1">IFERROR(__xludf.DUMMYFUNCTION("""COMPUTED_VALUE"""),"No")</f>
        <v>No</v>
      </c>
      <c r="AA348" s="5" t="str">
        <f ca="1">IFERROR(__xludf.DUMMYFUNCTION("""COMPUTED_VALUE"""),"Yes")</f>
        <v>Yes</v>
      </c>
      <c r="AB348" s="5" t="str">
        <f ca="1">IFERROR(__xludf.DUMMYFUNCTION("""COMPUTED_VALUE"""),"Yes")</f>
        <v>Yes</v>
      </c>
      <c r="AC348" s="5" t="str">
        <f ca="1">IFERROR(__xludf.DUMMYFUNCTION("""COMPUTED_VALUE"""),"Yes")</f>
        <v>Yes</v>
      </c>
      <c r="AD348" s="5" t="str">
        <f ca="1">IFERROR(__xludf.DUMMYFUNCTION("""COMPUTED_VALUE"""),"Yes")</f>
        <v>Yes</v>
      </c>
      <c r="AE348" s="5" t="str">
        <f ca="1">IFERROR(__xludf.DUMMYFUNCTION("""COMPUTED_VALUE"""),"No")</f>
        <v>No</v>
      </c>
      <c r="AF348" s="5" t="str">
        <f ca="1">IFERROR(__xludf.DUMMYFUNCTION("""COMPUTED_VALUE"""),"Yes")</f>
        <v>Yes</v>
      </c>
      <c r="AG348" s="5" t="str">
        <f ca="1">IFERROR(__xludf.DUMMYFUNCTION("""COMPUTED_VALUE"""),"No")</f>
        <v>No</v>
      </c>
      <c r="AH348" s="5" t="str">
        <f ca="1">IFERROR(__xludf.DUMMYFUNCTION("""COMPUTED_VALUE"""),"No")</f>
        <v>No</v>
      </c>
      <c r="AI348" s="5" t="str">
        <f ca="1">IFERROR(__xludf.DUMMYFUNCTION("""COMPUTED_VALUE"""),"No")</f>
        <v>No</v>
      </c>
      <c r="AJ348" s="5" t="str">
        <f ca="1">IFERROR(__xludf.DUMMYFUNCTION("""COMPUTED_VALUE"""),"No")</f>
        <v>No</v>
      </c>
      <c r="AK348" s="5" t="str">
        <f ca="1">IFERROR(__xludf.DUMMYFUNCTION("""COMPUTED_VALUE"""),"No")</f>
        <v>No</v>
      </c>
      <c r="AL348" s="5" t="str">
        <f ca="1">IFERROR(__xludf.DUMMYFUNCTION("""COMPUTED_VALUE"""),"No")</f>
        <v>No</v>
      </c>
      <c r="AM348" s="5"/>
      <c r="AN348" s="5"/>
      <c r="AO348" s="5"/>
      <c r="AP348" s="5"/>
      <c r="AQ348" s="5"/>
      <c r="AR348" s="5"/>
      <c r="AS348" s="5"/>
      <c r="AT348" s="5"/>
      <c r="AU348" s="5"/>
      <c r="AV348" s="5"/>
      <c r="AW348" s="5"/>
      <c r="AX348" s="5"/>
      <c r="AY348" s="5"/>
    </row>
    <row r="349" spans="1:51" x14ac:dyDescent="0.25">
      <c r="A3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9" s="5">
        <f ca="1">IFERROR(__xludf.DUMMYFUNCTION("""COMPUTED_VALUE"""),353)</f>
        <v>353</v>
      </c>
      <c r="C349" s="5">
        <f ca="1">IFERROR(__xludf.DUMMYFUNCTION("""COMPUTED_VALUE"""),3004)</f>
        <v>3004</v>
      </c>
      <c r="D349" s="5" t="str">
        <f ca="1">IFERROR(__xludf.DUMMYFUNCTION("""COMPUTED_VALUE"""),"TurboStars20")</f>
        <v>TurboStars20</v>
      </c>
      <c r="E349" s="5" t="str">
        <f ca="1">IFERROR(__xludf.DUMMYFUNCTION("""COMPUTED_VALUE"""),"Yes")</f>
        <v>Yes</v>
      </c>
      <c r="F349" s="5" t="str">
        <f ca="1">IFERROR(__xludf.DUMMYFUNCTION("""COMPUTED_VALUE"""),"Yes")</f>
        <v>Yes</v>
      </c>
      <c r="G349" s="5" t="str">
        <f ca="1">IFERROR(__xludf.DUMMYFUNCTION("""COMPUTED_VALUE"""),"Yes")</f>
        <v>Yes</v>
      </c>
      <c r="H349" s="5" t="str">
        <f ca="1">IFERROR(__xludf.DUMMYFUNCTION("""COMPUTED_VALUE"""),"Yes")</f>
        <v>Yes</v>
      </c>
      <c r="I349" s="5" t="str">
        <f ca="1">IFERROR(__xludf.DUMMYFUNCTION("""COMPUTED_VALUE"""),"Yes")</f>
        <v>Yes</v>
      </c>
      <c r="J349" s="5" t="str">
        <f ca="1">IFERROR(__xludf.DUMMYFUNCTION("""COMPUTED_VALUE"""),"Yes")</f>
        <v>Yes</v>
      </c>
      <c r="K349" s="5" t="str">
        <f ca="1">IFERROR(__xludf.DUMMYFUNCTION("""COMPUTED_VALUE"""),"Yes")</f>
        <v>Yes</v>
      </c>
      <c r="L349" s="5" t="str">
        <f ca="1">IFERROR(__xludf.DUMMYFUNCTION("""COMPUTED_VALUE"""),"Yes")</f>
        <v>Yes</v>
      </c>
      <c r="M349" s="5" t="str">
        <f ca="1">IFERROR(__xludf.DUMMYFUNCTION("""COMPUTED_VALUE"""),"Yes")</f>
        <v>Yes</v>
      </c>
      <c r="N349" s="5" t="str">
        <f ca="1">IFERROR(__xludf.DUMMYFUNCTION("""COMPUTED_VALUE"""),"Yes")</f>
        <v>Yes</v>
      </c>
      <c r="O349" s="5" t="str">
        <f ca="1">IFERROR(__xludf.DUMMYFUNCTION("""COMPUTED_VALUE"""),"Yes")</f>
        <v>Yes</v>
      </c>
      <c r="P349" s="5" t="str">
        <f ca="1">IFERROR(__xludf.DUMMYFUNCTION("""COMPUTED_VALUE"""),"Yes")</f>
        <v>Yes</v>
      </c>
      <c r="Q349" s="5" t="str">
        <f ca="1">IFERROR(__xludf.DUMMYFUNCTION("""COMPUTED_VALUE"""),"Yes")</f>
        <v>Yes</v>
      </c>
      <c r="R349" s="5" t="str">
        <f ca="1">IFERROR(__xludf.DUMMYFUNCTION("""COMPUTED_VALUE"""),"Yes")</f>
        <v>Yes</v>
      </c>
      <c r="S349" s="5" t="str">
        <f ca="1">IFERROR(__xludf.DUMMYFUNCTION("""COMPUTED_VALUE"""),"Yes")</f>
        <v>Yes</v>
      </c>
      <c r="T349" s="5" t="str">
        <f ca="1">IFERROR(__xludf.DUMMYFUNCTION("""COMPUTED_VALUE"""),"Yes")</f>
        <v>Yes</v>
      </c>
      <c r="U349" s="5" t="str">
        <f ca="1">IFERROR(__xludf.DUMMYFUNCTION("""COMPUTED_VALUE"""),"Yes")</f>
        <v>Yes</v>
      </c>
      <c r="V349" s="5" t="str">
        <f ca="1">IFERROR(__xludf.DUMMYFUNCTION("""COMPUTED_VALUE"""),"Yes")</f>
        <v>Yes</v>
      </c>
      <c r="W349" s="5" t="str">
        <f ca="1">IFERROR(__xludf.DUMMYFUNCTION("""COMPUTED_VALUE"""),"Yes")</f>
        <v>Yes</v>
      </c>
      <c r="X349" s="5" t="str">
        <f ca="1">IFERROR(__xludf.DUMMYFUNCTION("""COMPUTED_VALUE"""),"Yes")</f>
        <v>Yes</v>
      </c>
      <c r="Y349" s="5" t="str">
        <f ca="1">IFERROR(__xludf.DUMMYFUNCTION("""COMPUTED_VALUE"""),"Yes")</f>
        <v>Yes</v>
      </c>
      <c r="Z349" s="5" t="str">
        <f ca="1">IFERROR(__xludf.DUMMYFUNCTION("""COMPUTED_VALUE"""),"No")</f>
        <v>No</v>
      </c>
      <c r="AA349" s="5" t="str">
        <f ca="1">IFERROR(__xludf.DUMMYFUNCTION("""COMPUTED_VALUE"""),"Yes")</f>
        <v>Yes</v>
      </c>
      <c r="AB349" s="5" t="str">
        <f ca="1">IFERROR(__xludf.DUMMYFUNCTION("""COMPUTED_VALUE"""),"Yes")</f>
        <v>Yes</v>
      </c>
      <c r="AC349" s="5" t="str">
        <f ca="1">IFERROR(__xludf.DUMMYFUNCTION("""COMPUTED_VALUE"""),"Yes")</f>
        <v>Yes</v>
      </c>
      <c r="AD349" s="5" t="str">
        <f ca="1">IFERROR(__xludf.DUMMYFUNCTION("""COMPUTED_VALUE"""),"Yes")</f>
        <v>Yes</v>
      </c>
      <c r="AE349" s="5" t="str">
        <f ca="1">IFERROR(__xludf.DUMMYFUNCTION("""COMPUTED_VALUE"""),"No")</f>
        <v>No</v>
      </c>
      <c r="AF349" s="5" t="str">
        <f ca="1">IFERROR(__xludf.DUMMYFUNCTION("""COMPUTED_VALUE"""),"Yes")</f>
        <v>Yes</v>
      </c>
      <c r="AG349" s="5" t="str">
        <f ca="1">IFERROR(__xludf.DUMMYFUNCTION("""COMPUTED_VALUE"""),"No")</f>
        <v>No</v>
      </c>
      <c r="AH349" s="5" t="str">
        <f ca="1">IFERROR(__xludf.DUMMYFUNCTION("""COMPUTED_VALUE"""),"No")</f>
        <v>No</v>
      </c>
      <c r="AI349" s="5" t="str">
        <f ca="1">IFERROR(__xludf.DUMMYFUNCTION("""COMPUTED_VALUE"""),"No")</f>
        <v>No</v>
      </c>
      <c r="AJ349" s="5" t="str">
        <f ca="1">IFERROR(__xludf.DUMMYFUNCTION("""COMPUTED_VALUE"""),"No")</f>
        <v>No</v>
      </c>
      <c r="AK349" s="5" t="str">
        <f ca="1">IFERROR(__xludf.DUMMYFUNCTION("""COMPUTED_VALUE"""),"No")</f>
        <v>No</v>
      </c>
      <c r="AL349" s="5" t="str">
        <f ca="1">IFERROR(__xludf.DUMMYFUNCTION("""COMPUTED_VALUE"""),"No")</f>
        <v>No</v>
      </c>
      <c r="AM349" s="5"/>
      <c r="AN349" s="5"/>
      <c r="AO349" s="5"/>
      <c r="AP349" s="5"/>
      <c r="AQ349" s="5"/>
      <c r="AR349" s="5"/>
      <c r="AS349" s="5"/>
      <c r="AT349" s="5"/>
      <c r="AU349" s="5"/>
      <c r="AV349" s="5"/>
      <c r="AW349" s="5"/>
      <c r="AX349" s="5"/>
      <c r="AY349" s="5"/>
    </row>
    <row r="350" spans="1:51" x14ac:dyDescent="0.25">
      <c r="A3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0" s="5">
        <f ca="1">IFERROR(__xludf.DUMMYFUNCTION("""COMPUTED_VALUE"""),354)</f>
        <v>354</v>
      </c>
      <c r="C350" s="5">
        <f ca="1">IFERROR(__xludf.DUMMYFUNCTION("""COMPUTED_VALUE"""),332)</f>
        <v>332</v>
      </c>
      <c r="D350" s="5" t="str">
        <f ca="1">IFERROR(__xludf.DUMMYFUNCTION("""COMPUTED_VALUE"""),"RizkHot40")</f>
        <v>RizkHot40</v>
      </c>
      <c r="E350" s="5" t="str">
        <f ca="1">IFERROR(__xludf.DUMMYFUNCTION("""COMPUTED_VALUE"""),"Yes")</f>
        <v>Yes</v>
      </c>
      <c r="F350" s="5" t="str">
        <f ca="1">IFERROR(__xludf.DUMMYFUNCTION("""COMPUTED_VALUE"""),"Yes")</f>
        <v>Yes</v>
      </c>
      <c r="G350" s="5" t="str">
        <f ca="1">IFERROR(__xludf.DUMMYFUNCTION("""COMPUTED_VALUE"""),"Yes")</f>
        <v>Yes</v>
      </c>
      <c r="H350" s="5" t="str">
        <f ca="1">IFERROR(__xludf.DUMMYFUNCTION("""COMPUTED_VALUE"""),"Yes")</f>
        <v>Yes</v>
      </c>
      <c r="I350" s="5" t="str">
        <f ca="1">IFERROR(__xludf.DUMMYFUNCTION("""COMPUTED_VALUE"""),"Yes")</f>
        <v>Yes</v>
      </c>
      <c r="J350" s="5" t="str">
        <f ca="1">IFERROR(__xludf.DUMMYFUNCTION("""COMPUTED_VALUE"""),"Yes")</f>
        <v>Yes</v>
      </c>
      <c r="K350" s="5" t="str">
        <f ca="1">IFERROR(__xludf.DUMMYFUNCTION("""COMPUTED_VALUE"""),"Yes")</f>
        <v>Yes</v>
      </c>
      <c r="L350" s="5" t="str">
        <f ca="1">IFERROR(__xludf.DUMMYFUNCTION("""COMPUTED_VALUE"""),"Yes")</f>
        <v>Yes</v>
      </c>
      <c r="M350" s="5" t="str">
        <f ca="1">IFERROR(__xludf.DUMMYFUNCTION("""COMPUTED_VALUE"""),"Yes")</f>
        <v>Yes</v>
      </c>
      <c r="N350" s="5" t="str">
        <f ca="1">IFERROR(__xludf.DUMMYFUNCTION("""COMPUTED_VALUE"""),"Yes")</f>
        <v>Yes</v>
      </c>
      <c r="O350" s="5" t="str">
        <f ca="1">IFERROR(__xludf.DUMMYFUNCTION("""COMPUTED_VALUE"""),"Yes")</f>
        <v>Yes</v>
      </c>
      <c r="P350" s="5" t="str">
        <f ca="1">IFERROR(__xludf.DUMMYFUNCTION("""COMPUTED_VALUE"""),"Yes")</f>
        <v>Yes</v>
      </c>
      <c r="Q350" s="5" t="str">
        <f ca="1">IFERROR(__xludf.DUMMYFUNCTION("""COMPUTED_VALUE"""),"Yes")</f>
        <v>Yes</v>
      </c>
      <c r="R350" s="5" t="str">
        <f ca="1">IFERROR(__xludf.DUMMYFUNCTION("""COMPUTED_VALUE"""),"Yes")</f>
        <v>Yes</v>
      </c>
      <c r="S350" s="5" t="str">
        <f ca="1">IFERROR(__xludf.DUMMYFUNCTION("""COMPUTED_VALUE"""),"Yes")</f>
        <v>Yes</v>
      </c>
      <c r="T350" s="5" t="str">
        <f ca="1">IFERROR(__xludf.DUMMYFUNCTION("""COMPUTED_VALUE"""),"Yes")</f>
        <v>Yes</v>
      </c>
      <c r="U350" s="5" t="str">
        <f ca="1">IFERROR(__xludf.DUMMYFUNCTION("""COMPUTED_VALUE"""),"Yes")</f>
        <v>Yes</v>
      </c>
      <c r="V350" s="5" t="str">
        <f ca="1">IFERROR(__xludf.DUMMYFUNCTION("""COMPUTED_VALUE"""),"Yes")</f>
        <v>Yes</v>
      </c>
      <c r="W350" s="5" t="str">
        <f ca="1">IFERROR(__xludf.DUMMYFUNCTION("""COMPUTED_VALUE"""),"Yes")</f>
        <v>Yes</v>
      </c>
      <c r="X350" s="5" t="str">
        <f ca="1">IFERROR(__xludf.DUMMYFUNCTION("""COMPUTED_VALUE"""),"Yes")</f>
        <v>Yes</v>
      </c>
      <c r="Y350" s="5" t="str">
        <f ca="1">IFERROR(__xludf.DUMMYFUNCTION("""COMPUTED_VALUE"""),"Yes")</f>
        <v>Yes</v>
      </c>
      <c r="Z350" s="5" t="str">
        <f ca="1">IFERROR(__xludf.DUMMYFUNCTION("""COMPUTED_VALUE"""),"No")</f>
        <v>No</v>
      </c>
      <c r="AA350" s="5" t="str">
        <f ca="1">IFERROR(__xludf.DUMMYFUNCTION("""COMPUTED_VALUE"""),"Yes")</f>
        <v>Yes</v>
      </c>
      <c r="AB350" s="5" t="str">
        <f ca="1">IFERROR(__xludf.DUMMYFUNCTION("""COMPUTED_VALUE"""),"Yes")</f>
        <v>Yes</v>
      </c>
      <c r="AC350" s="5" t="str">
        <f ca="1">IFERROR(__xludf.DUMMYFUNCTION("""COMPUTED_VALUE"""),"Yes")</f>
        <v>Yes</v>
      </c>
      <c r="AD350" s="5" t="str">
        <f ca="1">IFERROR(__xludf.DUMMYFUNCTION("""COMPUTED_VALUE"""),"Yes")</f>
        <v>Yes</v>
      </c>
      <c r="AE350" s="5" t="str">
        <f ca="1">IFERROR(__xludf.DUMMYFUNCTION("""COMPUTED_VALUE"""),"No")</f>
        <v>No</v>
      </c>
      <c r="AF350" s="5" t="str">
        <f ca="1">IFERROR(__xludf.DUMMYFUNCTION("""COMPUTED_VALUE"""),"Yes")</f>
        <v>Yes</v>
      </c>
      <c r="AG350" s="5" t="str">
        <f ca="1">IFERROR(__xludf.DUMMYFUNCTION("""COMPUTED_VALUE"""),"No")</f>
        <v>No</v>
      </c>
      <c r="AH350" s="5" t="str">
        <f ca="1">IFERROR(__xludf.DUMMYFUNCTION("""COMPUTED_VALUE"""),"No")</f>
        <v>No</v>
      </c>
      <c r="AI350" s="5" t="str">
        <f ca="1">IFERROR(__xludf.DUMMYFUNCTION("""COMPUTED_VALUE"""),"No")</f>
        <v>No</v>
      </c>
      <c r="AJ350" s="5" t="str">
        <f ca="1">IFERROR(__xludf.DUMMYFUNCTION("""COMPUTED_VALUE"""),"No")</f>
        <v>No</v>
      </c>
      <c r="AK350" s="5" t="str">
        <f ca="1">IFERROR(__xludf.DUMMYFUNCTION("""COMPUTED_VALUE"""),"No")</f>
        <v>No</v>
      </c>
      <c r="AL350" s="5" t="str">
        <f ca="1">IFERROR(__xludf.DUMMYFUNCTION("""COMPUTED_VALUE"""),"No")</f>
        <v>No</v>
      </c>
      <c r="AM350" s="5"/>
      <c r="AN350" s="5"/>
      <c r="AO350" s="5"/>
      <c r="AP350" s="5"/>
      <c r="AQ350" s="5"/>
      <c r="AR350" s="5"/>
      <c r="AS350" s="5"/>
      <c r="AT350" s="5"/>
      <c r="AU350" s="5"/>
      <c r="AV350" s="5"/>
      <c r="AW350" s="5"/>
      <c r="AX350" s="5"/>
      <c r="AY350" s="5"/>
    </row>
    <row r="351" spans="1:51" x14ac:dyDescent="0.25">
      <c r="A3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1" s="5">
        <f ca="1">IFERROR(__xludf.DUMMYFUNCTION("""COMPUTED_VALUE"""),355)</f>
        <v>355</v>
      </c>
      <c r="C351" s="5">
        <f ca="1">IFERROR(__xludf.DUMMYFUNCTION("""COMPUTED_VALUE"""),4001)</f>
        <v>4001</v>
      </c>
      <c r="D351" s="5" t="str">
        <f ca="1">IFERROR(__xludf.DUMMYFUNCTION("""COMPUTED_VALUE"""),"BetOleHot40")</f>
        <v>BetOleHot40</v>
      </c>
      <c r="E351" s="5" t="str">
        <f ca="1">IFERROR(__xludf.DUMMYFUNCTION("""COMPUTED_VALUE"""),"Yes")</f>
        <v>Yes</v>
      </c>
      <c r="F351" s="5" t="str">
        <f ca="1">IFERROR(__xludf.DUMMYFUNCTION("""COMPUTED_VALUE"""),"Yes")</f>
        <v>Yes</v>
      </c>
      <c r="G351" s="5" t="str">
        <f ca="1">IFERROR(__xludf.DUMMYFUNCTION("""COMPUTED_VALUE"""),"Yes")</f>
        <v>Yes</v>
      </c>
      <c r="H351" s="5" t="str">
        <f ca="1">IFERROR(__xludf.DUMMYFUNCTION("""COMPUTED_VALUE"""),"Yes")</f>
        <v>Yes</v>
      </c>
      <c r="I351" s="5" t="str">
        <f ca="1">IFERROR(__xludf.DUMMYFUNCTION("""COMPUTED_VALUE"""),"Yes")</f>
        <v>Yes</v>
      </c>
      <c r="J351" s="5" t="str">
        <f ca="1">IFERROR(__xludf.DUMMYFUNCTION("""COMPUTED_VALUE"""),"Yes")</f>
        <v>Yes</v>
      </c>
      <c r="K351" s="5" t="str">
        <f ca="1">IFERROR(__xludf.DUMMYFUNCTION("""COMPUTED_VALUE"""),"Yes")</f>
        <v>Yes</v>
      </c>
      <c r="L351" s="5" t="str">
        <f ca="1">IFERROR(__xludf.DUMMYFUNCTION("""COMPUTED_VALUE"""),"Yes")</f>
        <v>Yes</v>
      </c>
      <c r="M351" s="5" t="str">
        <f ca="1">IFERROR(__xludf.DUMMYFUNCTION("""COMPUTED_VALUE"""),"Yes")</f>
        <v>Yes</v>
      </c>
      <c r="N351" s="5" t="str">
        <f ca="1">IFERROR(__xludf.DUMMYFUNCTION("""COMPUTED_VALUE"""),"Yes")</f>
        <v>Yes</v>
      </c>
      <c r="O351" s="5" t="str">
        <f ca="1">IFERROR(__xludf.DUMMYFUNCTION("""COMPUTED_VALUE"""),"Yes")</f>
        <v>Yes</v>
      </c>
      <c r="P351" s="5" t="str">
        <f ca="1">IFERROR(__xludf.DUMMYFUNCTION("""COMPUTED_VALUE"""),"Yes")</f>
        <v>Yes</v>
      </c>
      <c r="Q351" s="5" t="str">
        <f ca="1">IFERROR(__xludf.DUMMYFUNCTION("""COMPUTED_VALUE"""),"Yes")</f>
        <v>Yes</v>
      </c>
      <c r="R351" s="5" t="str">
        <f ca="1">IFERROR(__xludf.DUMMYFUNCTION("""COMPUTED_VALUE"""),"Yes")</f>
        <v>Yes</v>
      </c>
      <c r="S351" s="5" t="str">
        <f ca="1">IFERROR(__xludf.DUMMYFUNCTION("""COMPUTED_VALUE"""),"Yes")</f>
        <v>Yes</v>
      </c>
      <c r="T351" s="5" t="str">
        <f ca="1">IFERROR(__xludf.DUMMYFUNCTION("""COMPUTED_VALUE"""),"Yes")</f>
        <v>Yes</v>
      </c>
      <c r="U351" s="5" t="str">
        <f ca="1">IFERROR(__xludf.DUMMYFUNCTION("""COMPUTED_VALUE"""),"Yes")</f>
        <v>Yes</v>
      </c>
      <c r="V351" s="5" t="str">
        <f ca="1">IFERROR(__xludf.DUMMYFUNCTION("""COMPUTED_VALUE"""),"Yes")</f>
        <v>Yes</v>
      </c>
      <c r="W351" s="5" t="str">
        <f ca="1">IFERROR(__xludf.DUMMYFUNCTION("""COMPUTED_VALUE"""),"Yes")</f>
        <v>Yes</v>
      </c>
      <c r="X351" s="5" t="str">
        <f ca="1">IFERROR(__xludf.DUMMYFUNCTION("""COMPUTED_VALUE"""),"Yes")</f>
        <v>Yes</v>
      </c>
      <c r="Y351" s="5" t="str">
        <f ca="1">IFERROR(__xludf.DUMMYFUNCTION("""COMPUTED_VALUE"""),"Yes")</f>
        <v>Yes</v>
      </c>
      <c r="Z351" s="5" t="str">
        <f ca="1">IFERROR(__xludf.DUMMYFUNCTION("""COMPUTED_VALUE"""),"No")</f>
        <v>No</v>
      </c>
      <c r="AA351" s="5" t="str">
        <f ca="1">IFERROR(__xludf.DUMMYFUNCTION("""COMPUTED_VALUE"""),"Yes")</f>
        <v>Yes</v>
      </c>
      <c r="AB351" s="5" t="str">
        <f ca="1">IFERROR(__xludf.DUMMYFUNCTION("""COMPUTED_VALUE"""),"Yes")</f>
        <v>Yes</v>
      </c>
      <c r="AC351" s="5" t="str">
        <f ca="1">IFERROR(__xludf.DUMMYFUNCTION("""COMPUTED_VALUE"""),"Yes")</f>
        <v>Yes</v>
      </c>
      <c r="AD351" s="5" t="str">
        <f ca="1">IFERROR(__xludf.DUMMYFUNCTION("""COMPUTED_VALUE"""),"Yes")</f>
        <v>Yes</v>
      </c>
      <c r="AE351" s="5" t="str">
        <f ca="1">IFERROR(__xludf.DUMMYFUNCTION("""COMPUTED_VALUE"""),"No")</f>
        <v>No</v>
      </c>
      <c r="AF351" s="5" t="str">
        <f ca="1">IFERROR(__xludf.DUMMYFUNCTION("""COMPUTED_VALUE"""),"Yes")</f>
        <v>Yes</v>
      </c>
      <c r="AG351" s="5" t="str">
        <f ca="1">IFERROR(__xludf.DUMMYFUNCTION("""COMPUTED_VALUE"""),"No")</f>
        <v>No</v>
      </c>
      <c r="AH351" s="5" t="str">
        <f ca="1">IFERROR(__xludf.DUMMYFUNCTION("""COMPUTED_VALUE"""),"No")</f>
        <v>No</v>
      </c>
      <c r="AI351" s="5" t="str">
        <f ca="1">IFERROR(__xludf.DUMMYFUNCTION("""COMPUTED_VALUE"""),"No")</f>
        <v>No</v>
      </c>
      <c r="AJ351" s="5" t="str">
        <f ca="1">IFERROR(__xludf.DUMMYFUNCTION("""COMPUTED_VALUE"""),"No")</f>
        <v>No</v>
      </c>
      <c r="AK351" s="5" t="str">
        <f ca="1">IFERROR(__xludf.DUMMYFUNCTION("""COMPUTED_VALUE"""),"No")</f>
        <v>No</v>
      </c>
      <c r="AL351" s="5" t="str">
        <f ca="1">IFERROR(__xludf.DUMMYFUNCTION("""COMPUTED_VALUE"""),"No")</f>
        <v>No</v>
      </c>
      <c r="AM351" s="5"/>
      <c r="AN351" s="5"/>
      <c r="AO351" s="5"/>
      <c r="AP351" s="5"/>
      <c r="AQ351" s="5"/>
      <c r="AR351" s="5"/>
      <c r="AS351" s="5"/>
      <c r="AT351" s="5"/>
      <c r="AU351" s="5"/>
      <c r="AV351" s="5"/>
      <c r="AW351" s="5"/>
      <c r="AX351" s="5"/>
      <c r="AY351" s="5"/>
    </row>
    <row r="352" spans="1:51" x14ac:dyDescent="0.25">
      <c r="A3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2" s="5">
        <f ca="1">IFERROR(__xludf.DUMMYFUNCTION("""COMPUTED_VALUE"""),356)</f>
        <v>356</v>
      </c>
      <c r="C352" s="5">
        <f ca="1">IFERROR(__xludf.DUMMYFUNCTION("""COMPUTED_VALUE"""),4005)</f>
        <v>4005</v>
      </c>
      <c r="D352" s="5" t="str">
        <f ca="1">IFERROR(__xludf.DUMMYFUNCTION("""COMPUTED_VALUE"""),"WildLuckyBetebet")</f>
        <v>WildLuckyBetebet</v>
      </c>
      <c r="E352" s="5" t="str">
        <f ca="1">IFERROR(__xludf.DUMMYFUNCTION("""COMPUTED_VALUE"""),"Yes")</f>
        <v>Yes</v>
      </c>
      <c r="F352" s="5" t="str">
        <f ca="1">IFERROR(__xludf.DUMMYFUNCTION("""COMPUTED_VALUE"""),"Yes")</f>
        <v>Yes</v>
      </c>
      <c r="G352" s="5" t="str">
        <f ca="1">IFERROR(__xludf.DUMMYFUNCTION("""COMPUTED_VALUE"""),"Yes")</f>
        <v>Yes</v>
      </c>
      <c r="H352" s="5" t="str">
        <f ca="1">IFERROR(__xludf.DUMMYFUNCTION("""COMPUTED_VALUE"""),"Yes")</f>
        <v>Yes</v>
      </c>
      <c r="I352" s="5" t="str">
        <f ca="1">IFERROR(__xludf.DUMMYFUNCTION("""COMPUTED_VALUE"""),"Yes")</f>
        <v>Yes</v>
      </c>
      <c r="J352" s="5" t="str">
        <f ca="1">IFERROR(__xludf.DUMMYFUNCTION("""COMPUTED_VALUE"""),"Yes")</f>
        <v>Yes</v>
      </c>
      <c r="K352" s="5" t="str">
        <f ca="1">IFERROR(__xludf.DUMMYFUNCTION("""COMPUTED_VALUE"""),"Yes")</f>
        <v>Yes</v>
      </c>
      <c r="L352" s="5" t="str">
        <f ca="1">IFERROR(__xludf.DUMMYFUNCTION("""COMPUTED_VALUE"""),"Yes")</f>
        <v>Yes</v>
      </c>
      <c r="M352" s="5" t="str">
        <f ca="1">IFERROR(__xludf.DUMMYFUNCTION("""COMPUTED_VALUE"""),"Yes")</f>
        <v>Yes</v>
      </c>
      <c r="N352" s="5" t="str">
        <f ca="1">IFERROR(__xludf.DUMMYFUNCTION("""COMPUTED_VALUE"""),"Yes")</f>
        <v>Yes</v>
      </c>
      <c r="O352" s="5" t="str">
        <f ca="1">IFERROR(__xludf.DUMMYFUNCTION("""COMPUTED_VALUE"""),"Yes")</f>
        <v>Yes</v>
      </c>
      <c r="P352" s="5" t="str">
        <f ca="1">IFERROR(__xludf.DUMMYFUNCTION("""COMPUTED_VALUE"""),"Yes")</f>
        <v>Yes</v>
      </c>
      <c r="Q352" s="5" t="str">
        <f ca="1">IFERROR(__xludf.DUMMYFUNCTION("""COMPUTED_VALUE"""),"Yes")</f>
        <v>Yes</v>
      </c>
      <c r="R352" s="5" t="str">
        <f ca="1">IFERROR(__xludf.DUMMYFUNCTION("""COMPUTED_VALUE"""),"Yes")</f>
        <v>Yes</v>
      </c>
      <c r="S352" s="5" t="str">
        <f ca="1">IFERROR(__xludf.DUMMYFUNCTION("""COMPUTED_VALUE"""),"Yes")</f>
        <v>Yes</v>
      </c>
      <c r="T352" s="5" t="str">
        <f ca="1">IFERROR(__xludf.DUMMYFUNCTION("""COMPUTED_VALUE"""),"Yes")</f>
        <v>Yes</v>
      </c>
      <c r="U352" s="5" t="str">
        <f ca="1">IFERROR(__xludf.DUMMYFUNCTION("""COMPUTED_VALUE"""),"Yes")</f>
        <v>Yes</v>
      </c>
      <c r="V352" s="5" t="str">
        <f ca="1">IFERROR(__xludf.DUMMYFUNCTION("""COMPUTED_VALUE"""),"Yes")</f>
        <v>Yes</v>
      </c>
      <c r="W352" s="5" t="str">
        <f ca="1">IFERROR(__xludf.DUMMYFUNCTION("""COMPUTED_VALUE"""),"Yes")</f>
        <v>Yes</v>
      </c>
      <c r="X352" s="5" t="str">
        <f ca="1">IFERROR(__xludf.DUMMYFUNCTION("""COMPUTED_VALUE"""),"Yes")</f>
        <v>Yes</v>
      </c>
      <c r="Y352" s="5" t="str">
        <f ca="1">IFERROR(__xludf.DUMMYFUNCTION("""COMPUTED_VALUE"""),"Yes")</f>
        <v>Yes</v>
      </c>
      <c r="Z352" s="5" t="str">
        <f ca="1">IFERROR(__xludf.DUMMYFUNCTION("""COMPUTED_VALUE"""),"No")</f>
        <v>No</v>
      </c>
      <c r="AA352" s="5" t="str">
        <f ca="1">IFERROR(__xludf.DUMMYFUNCTION("""COMPUTED_VALUE"""),"Yes")</f>
        <v>Yes</v>
      </c>
      <c r="AB352" s="5" t="str">
        <f ca="1">IFERROR(__xludf.DUMMYFUNCTION("""COMPUTED_VALUE"""),"Yes")</f>
        <v>Yes</v>
      </c>
      <c r="AC352" s="5" t="str">
        <f ca="1">IFERROR(__xludf.DUMMYFUNCTION("""COMPUTED_VALUE"""),"Yes")</f>
        <v>Yes</v>
      </c>
      <c r="AD352" s="5" t="str">
        <f ca="1">IFERROR(__xludf.DUMMYFUNCTION("""COMPUTED_VALUE"""),"Yes")</f>
        <v>Yes</v>
      </c>
      <c r="AE352" s="5" t="str">
        <f ca="1">IFERROR(__xludf.DUMMYFUNCTION("""COMPUTED_VALUE"""),"No")</f>
        <v>No</v>
      </c>
      <c r="AF352" s="5" t="str">
        <f ca="1">IFERROR(__xludf.DUMMYFUNCTION("""COMPUTED_VALUE"""),"Yes")</f>
        <v>Yes</v>
      </c>
      <c r="AG352" s="5" t="str">
        <f ca="1">IFERROR(__xludf.DUMMYFUNCTION("""COMPUTED_VALUE"""),"No")</f>
        <v>No</v>
      </c>
      <c r="AH352" s="5" t="str">
        <f ca="1">IFERROR(__xludf.DUMMYFUNCTION("""COMPUTED_VALUE"""),"No")</f>
        <v>No</v>
      </c>
      <c r="AI352" s="5" t="str">
        <f ca="1">IFERROR(__xludf.DUMMYFUNCTION("""COMPUTED_VALUE"""),"No")</f>
        <v>No</v>
      </c>
      <c r="AJ352" s="5" t="str">
        <f ca="1">IFERROR(__xludf.DUMMYFUNCTION("""COMPUTED_VALUE"""),"No")</f>
        <v>No</v>
      </c>
      <c r="AK352" s="5" t="str">
        <f ca="1">IFERROR(__xludf.DUMMYFUNCTION("""COMPUTED_VALUE"""),"No")</f>
        <v>No</v>
      </c>
      <c r="AL352" s="5" t="str">
        <f ca="1">IFERROR(__xludf.DUMMYFUNCTION("""COMPUTED_VALUE"""),"No")</f>
        <v>No</v>
      </c>
      <c r="AM352" s="5"/>
      <c r="AN352" s="5"/>
      <c r="AO352" s="5"/>
      <c r="AP352" s="5"/>
      <c r="AQ352" s="5"/>
      <c r="AR352" s="5"/>
      <c r="AS352" s="5"/>
      <c r="AT352" s="5"/>
      <c r="AU352" s="5"/>
      <c r="AV352" s="5"/>
      <c r="AW352" s="5"/>
      <c r="AX352" s="5"/>
      <c r="AY352" s="5"/>
    </row>
    <row r="353" spans="1:51" x14ac:dyDescent="0.25">
      <c r="A3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3" s="5">
        <f ca="1">IFERROR(__xludf.DUMMYFUNCTION("""COMPUTED_VALUE"""),357)</f>
        <v>357</v>
      </c>
      <c r="C353" s="5">
        <f ca="1">IFERROR(__xludf.DUMMYFUNCTION("""COMPUTED_VALUE"""),4006)</f>
        <v>4006</v>
      </c>
      <c r="D353" s="5" t="str">
        <f ca="1">IFERROR(__xludf.DUMMYFUNCTION("""COMPUTED_VALUE"""),"QuickWinCrown10")</f>
        <v>QuickWinCrown10</v>
      </c>
      <c r="E353" s="5" t="str">
        <f ca="1">IFERROR(__xludf.DUMMYFUNCTION("""COMPUTED_VALUE"""),"Yes")</f>
        <v>Yes</v>
      </c>
      <c r="F353" s="5" t="str">
        <f ca="1">IFERROR(__xludf.DUMMYFUNCTION("""COMPUTED_VALUE"""),"Yes")</f>
        <v>Yes</v>
      </c>
      <c r="G353" s="5" t="str">
        <f ca="1">IFERROR(__xludf.DUMMYFUNCTION("""COMPUTED_VALUE"""),"Yes")</f>
        <v>Yes</v>
      </c>
      <c r="H353" s="5" t="str">
        <f ca="1">IFERROR(__xludf.DUMMYFUNCTION("""COMPUTED_VALUE"""),"Yes")</f>
        <v>Yes</v>
      </c>
      <c r="I353" s="5" t="str">
        <f ca="1">IFERROR(__xludf.DUMMYFUNCTION("""COMPUTED_VALUE"""),"Yes")</f>
        <v>Yes</v>
      </c>
      <c r="J353" s="5" t="str">
        <f ca="1">IFERROR(__xludf.DUMMYFUNCTION("""COMPUTED_VALUE"""),"Yes")</f>
        <v>Yes</v>
      </c>
      <c r="K353" s="5" t="str">
        <f ca="1">IFERROR(__xludf.DUMMYFUNCTION("""COMPUTED_VALUE"""),"Yes")</f>
        <v>Yes</v>
      </c>
      <c r="L353" s="5" t="str">
        <f ca="1">IFERROR(__xludf.DUMMYFUNCTION("""COMPUTED_VALUE"""),"Yes")</f>
        <v>Yes</v>
      </c>
      <c r="M353" s="5" t="str">
        <f ca="1">IFERROR(__xludf.DUMMYFUNCTION("""COMPUTED_VALUE"""),"Yes")</f>
        <v>Yes</v>
      </c>
      <c r="N353" s="5" t="str">
        <f ca="1">IFERROR(__xludf.DUMMYFUNCTION("""COMPUTED_VALUE"""),"Yes")</f>
        <v>Yes</v>
      </c>
      <c r="O353" s="5" t="str">
        <f ca="1">IFERROR(__xludf.DUMMYFUNCTION("""COMPUTED_VALUE"""),"Yes")</f>
        <v>Yes</v>
      </c>
      <c r="P353" s="5" t="str">
        <f ca="1">IFERROR(__xludf.DUMMYFUNCTION("""COMPUTED_VALUE"""),"Yes")</f>
        <v>Yes</v>
      </c>
      <c r="Q353" s="5" t="str">
        <f ca="1">IFERROR(__xludf.DUMMYFUNCTION("""COMPUTED_VALUE"""),"Yes")</f>
        <v>Yes</v>
      </c>
      <c r="R353" s="5" t="str">
        <f ca="1">IFERROR(__xludf.DUMMYFUNCTION("""COMPUTED_VALUE"""),"Yes")</f>
        <v>Yes</v>
      </c>
      <c r="S353" s="5" t="str">
        <f ca="1">IFERROR(__xludf.DUMMYFUNCTION("""COMPUTED_VALUE"""),"Yes")</f>
        <v>Yes</v>
      </c>
      <c r="T353" s="5" t="str">
        <f ca="1">IFERROR(__xludf.DUMMYFUNCTION("""COMPUTED_VALUE"""),"Yes")</f>
        <v>Yes</v>
      </c>
      <c r="U353" s="5" t="str">
        <f ca="1">IFERROR(__xludf.DUMMYFUNCTION("""COMPUTED_VALUE"""),"Yes")</f>
        <v>Yes</v>
      </c>
      <c r="V353" s="5" t="str">
        <f ca="1">IFERROR(__xludf.DUMMYFUNCTION("""COMPUTED_VALUE"""),"Yes")</f>
        <v>Yes</v>
      </c>
      <c r="W353" s="5" t="str">
        <f ca="1">IFERROR(__xludf.DUMMYFUNCTION("""COMPUTED_VALUE"""),"Yes")</f>
        <v>Yes</v>
      </c>
      <c r="X353" s="5" t="str">
        <f ca="1">IFERROR(__xludf.DUMMYFUNCTION("""COMPUTED_VALUE"""),"Yes")</f>
        <v>Yes</v>
      </c>
      <c r="Y353" s="5" t="str">
        <f ca="1">IFERROR(__xludf.DUMMYFUNCTION("""COMPUTED_VALUE"""),"Yes")</f>
        <v>Yes</v>
      </c>
      <c r="Z353" s="5" t="str">
        <f ca="1">IFERROR(__xludf.DUMMYFUNCTION("""COMPUTED_VALUE"""),"No")</f>
        <v>No</v>
      </c>
      <c r="AA353" s="5" t="str">
        <f ca="1">IFERROR(__xludf.DUMMYFUNCTION("""COMPUTED_VALUE"""),"Yes")</f>
        <v>Yes</v>
      </c>
      <c r="AB353" s="5" t="str">
        <f ca="1">IFERROR(__xludf.DUMMYFUNCTION("""COMPUTED_VALUE"""),"Yes")</f>
        <v>Yes</v>
      </c>
      <c r="AC353" s="5" t="str">
        <f ca="1">IFERROR(__xludf.DUMMYFUNCTION("""COMPUTED_VALUE"""),"Yes")</f>
        <v>Yes</v>
      </c>
      <c r="AD353" s="5" t="str">
        <f ca="1">IFERROR(__xludf.DUMMYFUNCTION("""COMPUTED_VALUE"""),"Yes")</f>
        <v>Yes</v>
      </c>
      <c r="AE353" s="5" t="str">
        <f ca="1">IFERROR(__xludf.DUMMYFUNCTION("""COMPUTED_VALUE"""),"No")</f>
        <v>No</v>
      </c>
      <c r="AF353" s="5" t="str">
        <f ca="1">IFERROR(__xludf.DUMMYFUNCTION("""COMPUTED_VALUE"""),"Yes")</f>
        <v>Yes</v>
      </c>
      <c r="AG353" s="5" t="str">
        <f ca="1">IFERROR(__xludf.DUMMYFUNCTION("""COMPUTED_VALUE"""),"No")</f>
        <v>No</v>
      </c>
      <c r="AH353" s="5" t="str">
        <f ca="1">IFERROR(__xludf.DUMMYFUNCTION("""COMPUTED_VALUE"""),"No")</f>
        <v>No</v>
      </c>
      <c r="AI353" s="5" t="str">
        <f ca="1">IFERROR(__xludf.DUMMYFUNCTION("""COMPUTED_VALUE"""),"No")</f>
        <v>No</v>
      </c>
      <c r="AJ353" s="5" t="str">
        <f ca="1">IFERROR(__xludf.DUMMYFUNCTION("""COMPUTED_VALUE"""),"No")</f>
        <v>No</v>
      </c>
      <c r="AK353" s="5" t="str">
        <f ca="1">IFERROR(__xludf.DUMMYFUNCTION("""COMPUTED_VALUE"""),"No")</f>
        <v>No</v>
      </c>
      <c r="AL353" s="5" t="str">
        <f ca="1">IFERROR(__xludf.DUMMYFUNCTION("""COMPUTED_VALUE"""),"No")</f>
        <v>No</v>
      </c>
      <c r="AM353" s="5"/>
      <c r="AN353" s="5"/>
      <c r="AO353" s="5"/>
      <c r="AP353" s="5"/>
      <c r="AQ353" s="5"/>
      <c r="AR353" s="5"/>
      <c r="AS353" s="5"/>
      <c r="AT353" s="5"/>
      <c r="AU353" s="5"/>
      <c r="AV353" s="5"/>
      <c r="AW353" s="5"/>
      <c r="AX353" s="5"/>
      <c r="AY353" s="5"/>
    </row>
    <row r="354" spans="1:51" x14ac:dyDescent="0.25">
      <c r="A3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4" s="5">
        <f ca="1">IFERROR(__xludf.DUMMYFUNCTION("""COMPUTED_VALUE"""),358)</f>
        <v>358</v>
      </c>
      <c r="C354" s="5">
        <f ca="1">IFERROR(__xludf.DUMMYFUNCTION("""COMPUTED_VALUE"""),4002)</f>
        <v>4002</v>
      </c>
      <c r="D354" s="5" t="str">
        <f ca="1">IFERROR(__xludf.DUMMYFUNCTION("""COMPUTED_VALUE"""),"LollasSoccerWorld")</f>
        <v>LollasSoccerWorld</v>
      </c>
      <c r="E354" s="5" t="str">
        <f ca="1">IFERROR(__xludf.DUMMYFUNCTION("""COMPUTED_VALUE"""),"Yes")</f>
        <v>Yes</v>
      </c>
      <c r="F354" s="5" t="str">
        <f ca="1">IFERROR(__xludf.DUMMYFUNCTION("""COMPUTED_VALUE"""),"Yes")</f>
        <v>Yes</v>
      </c>
      <c r="G354" s="5" t="str">
        <f ca="1">IFERROR(__xludf.DUMMYFUNCTION("""COMPUTED_VALUE"""),"Yes")</f>
        <v>Yes</v>
      </c>
      <c r="H354" s="5" t="str">
        <f ca="1">IFERROR(__xludf.DUMMYFUNCTION("""COMPUTED_VALUE"""),"Yes")</f>
        <v>Yes</v>
      </c>
      <c r="I354" s="5" t="str">
        <f ca="1">IFERROR(__xludf.DUMMYFUNCTION("""COMPUTED_VALUE"""),"Yes")</f>
        <v>Yes</v>
      </c>
      <c r="J354" s="5" t="str">
        <f ca="1">IFERROR(__xludf.DUMMYFUNCTION("""COMPUTED_VALUE"""),"Yes")</f>
        <v>Yes</v>
      </c>
      <c r="K354" s="5" t="str">
        <f ca="1">IFERROR(__xludf.DUMMYFUNCTION("""COMPUTED_VALUE"""),"Yes")</f>
        <v>Yes</v>
      </c>
      <c r="L354" s="5" t="str">
        <f ca="1">IFERROR(__xludf.DUMMYFUNCTION("""COMPUTED_VALUE"""),"Yes")</f>
        <v>Yes</v>
      </c>
      <c r="M354" s="5" t="str">
        <f ca="1">IFERROR(__xludf.DUMMYFUNCTION("""COMPUTED_VALUE"""),"Yes")</f>
        <v>Yes</v>
      </c>
      <c r="N354" s="5" t="str">
        <f ca="1">IFERROR(__xludf.DUMMYFUNCTION("""COMPUTED_VALUE"""),"Yes")</f>
        <v>Yes</v>
      </c>
      <c r="O354" s="5" t="str">
        <f ca="1">IFERROR(__xludf.DUMMYFUNCTION("""COMPUTED_VALUE"""),"Yes")</f>
        <v>Yes</v>
      </c>
      <c r="P354" s="5" t="str">
        <f ca="1">IFERROR(__xludf.DUMMYFUNCTION("""COMPUTED_VALUE"""),"Yes")</f>
        <v>Yes</v>
      </c>
      <c r="Q354" s="5" t="str">
        <f ca="1">IFERROR(__xludf.DUMMYFUNCTION("""COMPUTED_VALUE"""),"Yes")</f>
        <v>Yes</v>
      </c>
      <c r="R354" s="5" t="str">
        <f ca="1">IFERROR(__xludf.DUMMYFUNCTION("""COMPUTED_VALUE"""),"Yes")</f>
        <v>Yes</v>
      </c>
      <c r="S354" s="5" t="str">
        <f ca="1">IFERROR(__xludf.DUMMYFUNCTION("""COMPUTED_VALUE"""),"Yes")</f>
        <v>Yes</v>
      </c>
      <c r="T354" s="5" t="str">
        <f ca="1">IFERROR(__xludf.DUMMYFUNCTION("""COMPUTED_VALUE"""),"Yes")</f>
        <v>Yes</v>
      </c>
      <c r="U354" s="5" t="str">
        <f ca="1">IFERROR(__xludf.DUMMYFUNCTION("""COMPUTED_VALUE"""),"Yes")</f>
        <v>Yes</v>
      </c>
      <c r="V354" s="5" t="str">
        <f ca="1">IFERROR(__xludf.DUMMYFUNCTION("""COMPUTED_VALUE"""),"Yes")</f>
        <v>Yes</v>
      </c>
      <c r="W354" s="5" t="str">
        <f ca="1">IFERROR(__xludf.DUMMYFUNCTION("""COMPUTED_VALUE"""),"Yes")</f>
        <v>Yes</v>
      </c>
      <c r="X354" s="5" t="str">
        <f ca="1">IFERROR(__xludf.DUMMYFUNCTION("""COMPUTED_VALUE"""),"Yes")</f>
        <v>Yes</v>
      </c>
      <c r="Y354" s="5" t="str">
        <f ca="1">IFERROR(__xludf.DUMMYFUNCTION("""COMPUTED_VALUE"""),"Yes")</f>
        <v>Yes</v>
      </c>
      <c r="Z354" s="5" t="str">
        <f ca="1">IFERROR(__xludf.DUMMYFUNCTION("""COMPUTED_VALUE"""),"No")</f>
        <v>No</v>
      </c>
      <c r="AA354" s="5" t="str">
        <f ca="1">IFERROR(__xludf.DUMMYFUNCTION("""COMPUTED_VALUE"""),"Yes")</f>
        <v>Yes</v>
      </c>
      <c r="AB354" s="5" t="str">
        <f ca="1">IFERROR(__xludf.DUMMYFUNCTION("""COMPUTED_VALUE"""),"Yes")</f>
        <v>Yes</v>
      </c>
      <c r="AC354" s="5" t="str">
        <f ca="1">IFERROR(__xludf.DUMMYFUNCTION("""COMPUTED_VALUE"""),"Yes")</f>
        <v>Yes</v>
      </c>
      <c r="AD354" s="5" t="str">
        <f ca="1">IFERROR(__xludf.DUMMYFUNCTION("""COMPUTED_VALUE"""),"Yes")</f>
        <v>Yes</v>
      </c>
      <c r="AE354" s="5" t="str">
        <f ca="1">IFERROR(__xludf.DUMMYFUNCTION("""COMPUTED_VALUE"""),"No")</f>
        <v>No</v>
      </c>
      <c r="AF354" s="5" t="str">
        <f ca="1">IFERROR(__xludf.DUMMYFUNCTION("""COMPUTED_VALUE"""),"Yes")</f>
        <v>Yes</v>
      </c>
      <c r="AG354" s="5" t="str">
        <f ca="1">IFERROR(__xludf.DUMMYFUNCTION("""COMPUTED_VALUE"""),"No")</f>
        <v>No</v>
      </c>
      <c r="AH354" s="5" t="str">
        <f ca="1">IFERROR(__xludf.DUMMYFUNCTION("""COMPUTED_VALUE"""),"No")</f>
        <v>No</v>
      </c>
      <c r="AI354" s="5" t="str">
        <f ca="1">IFERROR(__xludf.DUMMYFUNCTION("""COMPUTED_VALUE"""),"No")</f>
        <v>No</v>
      </c>
      <c r="AJ354" s="5" t="str">
        <f ca="1">IFERROR(__xludf.DUMMYFUNCTION("""COMPUTED_VALUE"""),"No")</f>
        <v>No</v>
      </c>
      <c r="AK354" s="5" t="str">
        <f ca="1">IFERROR(__xludf.DUMMYFUNCTION("""COMPUTED_VALUE"""),"No")</f>
        <v>No</v>
      </c>
      <c r="AL354" s="5" t="str">
        <f ca="1">IFERROR(__xludf.DUMMYFUNCTION("""COMPUTED_VALUE"""),"No")</f>
        <v>No</v>
      </c>
      <c r="AM354" s="5"/>
      <c r="AN354" s="5"/>
      <c r="AO354" s="5"/>
      <c r="AP354" s="5"/>
      <c r="AQ354" s="5"/>
      <c r="AR354" s="5"/>
      <c r="AS354" s="5"/>
      <c r="AT354" s="5"/>
      <c r="AU354" s="5"/>
      <c r="AV354" s="5"/>
      <c r="AW354" s="5"/>
      <c r="AX354" s="5"/>
      <c r="AY354" s="5"/>
    </row>
    <row r="355" spans="1:51" x14ac:dyDescent="0.25">
      <c r="A3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5" s="5">
        <f ca="1">IFERROR(__xludf.DUMMYFUNCTION("""COMPUTED_VALUE"""),359)</f>
        <v>359</v>
      </c>
      <c r="C355" s="5">
        <f ca="1">IFERROR(__xludf.DUMMYFUNCTION("""COMPUTED_VALUE"""),4003)</f>
        <v>4003</v>
      </c>
      <c r="D355" s="5" t="str">
        <f ca="1">IFERROR(__xludf.DUMMYFUNCTION("""COMPUTED_VALUE"""),"SoccersClover")</f>
        <v>SoccersClover</v>
      </c>
      <c r="E355" s="5" t="str">
        <f ca="1">IFERROR(__xludf.DUMMYFUNCTION("""COMPUTED_VALUE"""),"Yes")</f>
        <v>Yes</v>
      </c>
      <c r="F355" s="5" t="str">
        <f ca="1">IFERROR(__xludf.DUMMYFUNCTION("""COMPUTED_VALUE"""),"Yes")</f>
        <v>Yes</v>
      </c>
      <c r="G355" s="5" t="str">
        <f ca="1">IFERROR(__xludf.DUMMYFUNCTION("""COMPUTED_VALUE"""),"Yes")</f>
        <v>Yes</v>
      </c>
      <c r="H355" s="5" t="str">
        <f ca="1">IFERROR(__xludf.DUMMYFUNCTION("""COMPUTED_VALUE"""),"Yes")</f>
        <v>Yes</v>
      </c>
      <c r="I355" s="5" t="str">
        <f ca="1">IFERROR(__xludf.DUMMYFUNCTION("""COMPUTED_VALUE"""),"Yes")</f>
        <v>Yes</v>
      </c>
      <c r="J355" s="5" t="str">
        <f ca="1">IFERROR(__xludf.DUMMYFUNCTION("""COMPUTED_VALUE"""),"Yes")</f>
        <v>Yes</v>
      </c>
      <c r="K355" s="5" t="str">
        <f ca="1">IFERROR(__xludf.DUMMYFUNCTION("""COMPUTED_VALUE"""),"Yes")</f>
        <v>Yes</v>
      </c>
      <c r="L355" s="5" t="str">
        <f ca="1">IFERROR(__xludf.DUMMYFUNCTION("""COMPUTED_VALUE"""),"Yes")</f>
        <v>Yes</v>
      </c>
      <c r="M355" s="5" t="str">
        <f ca="1">IFERROR(__xludf.DUMMYFUNCTION("""COMPUTED_VALUE"""),"Yes")</f>
        <v>Yes</v>
      </c>
      <c r="N355" s="5" t="str">
        <f ca="1">IFERROR(__xludf.DUMMYFUNCTION("""COMPUTED_VALUE"""),"Yes")</f>
        <v>Yes</v>
      </c>
      <c r="O355" s="5" t="str">
        <f ca="1">IFERROR(__xludf.DUMMYFUNCTION("""COMPUTED_VALUE"""),"Yes")</f>
        <v>Yes</v>
      </c>
      <c r="P355" s="5" t="str">
        <f ca="1">IFERROR(__xludf.DUMMYFUNCTION("""COMPUTED_VALUE"""),"Yes")</f>
        <v>Yes</v>
      </c>
      <c r="Q355" s="5" t="str">
        <f ca="1">IFERROR(__xludf.DUMMYFUNCTION("""COMPUTED_VALUE"""),"Yes")</f>
        <v>Yes</v>
      </c>
      <c r="R355" s="5" t="str">
        <f ca="1">IFERROR(__xludf.DUMMYFUNCTION("""COMPUTED_VALUE"""),"Yes")</f>
        <v>Yes</v>
      </c>
      <c r="S355" s="5" t="str">
        <f ca="1">IFERROR(__xludf.DUMMYFUNCTION("""COMPUTED_VALUE"""),"Yes")</f>
        <v>Yes</v>
      </c>
      <c r="T355" s="5" t="str">
        <f ca="1">IFERROR(__xludf.DUMMYFUNCTION("""COMPUTED_VALUE"""),"Yes")</f>
        <v>Yes</v>
      </c>
      <c r="U355" s="5" t="str">
        <f ca="1">IFERROR(__xludf.DUMMYFUNCTION("""COMPUTED_VALUE"""),"Yes")</f>
        <v>Yes</v>
      </c>
      <c r="V355" s="5" t="str">
        <f ca="1">IFERROR(__xludf.DUMMYFUNCTION("""COMPUTED_VALUE"""),"Yes")</f>
        <v>Yes</v>
      </c>
      <c r="W355" s="5" t="str">
        <f ca="1">IFERROR(__xludf.DUMMYFUNCTION("""COMPUTED_VALUE"""),"Yes")</f>
        <v>Yes</v>
      </c>
      <c r="X355" s="5" t="str">
        <f ca="1">IFERROR(__xludf.DUMMYFUNCTION("""COMPUTED_VALUE"""),"Yes")</f>
        <v>Yes</v>
      </c>
      <c r="Y355" s="5" t="str">
        <f ca="1">IFERROR(__xludf.DUMMYFUNCTION("""COMPUTED_VALUE"""),"Yes")</f>
        <v>Yes</v>
      </c>
      <c r="Z355" s="5" t="str">
        <f ca="1">IFERROR(__xludf.DUMMYFUNCTION("""COMPUTED_VALUE"""),"No")</f>
        <v>No</v>
      </c>
      <c r="AA355" s="5" t="str">
        <f ca="1">IFERROR(__xludf.DUMMYFUNCTION("""COMPUTED_VALUE"""),"Yes")</f>
        <v>Yes</v>
      </c>
      <c r="AB355" s="5" t="str">
        <f ca="1">IFERROR(__xludf.DUMMYFUNCTION("""COMPUTED_VALUE"""),"Yes")</f>
        <v>Yes</v>
      </c>
      <c r="AC355" s="5" t="str">
        <f ca="1">IFERROR(__xludf.DUMMYFUNCTION("""COMPUTED_VALUE"""),"Yes")</f>
        <v>Yes</v>
      </c>
      <c r="AD355" s="5" t="str">
        <f ca="1">IFERROR(__xludf.DUMMYFUNCTION("""COMPUTED_VALUE"""),"Yes")</f>
        <v>Yes</v>
      </c>
      <c r="AE355" s="5" t="str">
        <f ca="1">IFERROR(__xludf.DUMMYFUNCTION("""COMPUTED_VALUE"""),"No")</f>
        <v>No</v>
      </c>
      <c r="AF355" s="5" t="str">
        <f ca="1">IFERROR(__xludf.DUMMYFUNCTION("""COMPUTED_VALUE"""),"Yes")</f>
        <v>Yes</v>
      </c>
      <c r="AG355" s="5" t="str">
        <f ca="1">IFERROR(__xludf.DUMMYFUNCTION("""COMPUTED_VALUE"""),"No")</f>
        <v>No</v>
      </c>
      <c r="AH355" s="5" t="str">
        <f ca="1">IFERROR(__xludf.DUMMYFUNCTION("""COMPUTED_VALUE"""),"No")</f>
        <v>No</v>
      </c>
      <c r="AI355" s="5" t="str">
        <f ca="1">IFERROR(__xludf.DUMMYFUNCTION("""COMPUTED_VALUE"""),"No")</f>
        <v>No</v>
      </c>
      <c r="AJ355" s="5" t="str">
        <f ca="1">IFERROR(__xludf.DUMMYFUNCTION("""COMPUTED_VALUE"""),"No")</f>
        <v>No</v>
      </c>
      <c r="AK355" s="5" t="str">
        <f ca="1">IFERROR(__xludf.DUMMYFUNCTION("""COMPUTED_VALUE"""),"No")</f>
        <v>No</v>
      </c>
      <c r="AL355" s="5" t="str">
        <f ca="1">IFERROR(__xludf.DUMMYFUNCTION("""COMPUTED_VALUE"""),"No")</f>
        <v>No</v>
      </c>
      <c r="AM355" s="5"/>
      <c r="AN355" s="5"/>
      <c r="AO355" s="5"/>
      <c r="AP355" s="5"/>
      <c r="AQ355" s="5"/>
      <c r="AR355" s="5"/>
      <c r="AS355" s="5"/>
      <c r="AT355" s="5"/>
      <c r="AU355" s="5"/>
      <c r="AV355" s="5"/>
      <c r="AW355" s="5"/>
      <c r="AX355" s="5"/>
      <c r="AY355" s="5"/>
    </row>
    <row r="356" spans="1:51" x14ac:dyDescent="0.25">
      <c r="A3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6" s="5">
        <f ca="1">IFERROR(__xludf.DUMMYFUNCTION("""COMPUTED_VALUE"""),360)</f>
        <v>360</v>
      </c>
      <c r="C356" s="5">
        <f ca="1">IFERROR(__xludf.DUMMYFUNCTION("""COMPUTED_VALUE"""),4004)</f>
        <v>4004</v>
      </c>
      <c r="D356" s="5" t="str">
        <f ca="1">IFERROR(__xludf.DUMMYFUNCTION("""COMPUTED_VALUE"""),"SoccerHot40FreeSpins")</f>
        <v>SoccerHot40FreeSpins</v>
      </c>
      <c r="E356" s="5" t="str">
        <f ca="1">IFERROR(__xludf.DUMMYFUNCTION("""COMPUTED_VALUE"""),"Yes")</f>
        <v>Yes</v>
      </c>
      <c r="F356" s="5" t="str">
        <f ca="1">IFERROR(__xludf.DUMMYFUNCTION("""COMPUTED_VALUE"""),"Yes")</f>
        <v>Yes</v>
      </c>
      <c r="G356" s="5" t="str">
        <f ca="1">IFERROR(__xludf.DUMMYFUNCTION("""COMPUTED_VALUE"""),"Yes")</f>
        <v>Yes</v>
      </c>
      <c r="H356" s="5" t="str">
        <f ca="1">IFERROR(__xludf.DUMMYFUNCTION("""COMPUTED_VALUE"""),"Yes")</f>
        <v>Yes</v>
      </c>
      <c r="I356" s="5" t="str">
        <f ca="1">IFERROR(__xludf.DUMMYFUNCTION("""COMPUTED_VALUE"""),"Yes")</f>
        <v>Yes</v>
      </c>
      <c r="J356" s="5" t="str">
        <f ca="1">IFERROR(__xludf.DUMMYFUNCTION("""COMPUTED_VALUE"""),"Yes")</f>
        <v>Yes</v>
      </c>
      <c r="K356" s="5" t="str">
        <f ca="1">IFERROR(__xludf.DUMMYFUNCTION("""COMPUTED_VALUE"""),"Yes")</f>
        <v>Yes</v>
      </c>
      <c r="L356" s="5" t="str">
        <f ca="1">IFERROR(__xludf.DUMMYFUNCTION("""COMPUTED_VALUE"""),"Yes")</f>
        <v>Yes</v>
      </c>
      <c r="M356" s="5" t="str">
        <f ca="1">IFERROR(__xludf.DUMMYFUNCTION("""COMPUTED_VALUE"""),"Yes")</f>
        <v>Yes</v>
      </c>
      <c r="N356" s="5" t="str">
        <f ca="1">IFERROR(__xludf.DUMMYFUNCTION("""COMPUTED_VALUE"""),"Yes")</f>
        <v>Yes</v>
      </c>
      <c r="O356" s="5" t="str">
        <f ca="1">IFERROR(__xludf.DUMMYFUNCTION("""COMPUTED_VALUE"""),"Yes")</f>
        <v>Yes</v>
      </c>
      <c r="P356" s="5" t="str">
        <f ca="1">IFERROR(__xludf.DUMMYFUNCTION("""COMPUTED_VALUE"""),"Yes")</f>
        <v>Yes</v>
      </c>
      <c r="Q356" s="5" t="str">
        <f ca="1">IFERROR(__xludf.DUMMYFUNCTION("""COMPUTED_VALUE"""),"Yes")</f>
        <v>Yes</v>
      </c>
      <c r="R356" s="5" t="str">
        <f ca="1">IFERROR(__xludf.DUMMYFUNCTION("""COMPUTED_VALUE"""),"Yes")</f>
        <v>Yes</v>
      </c>
      <c r="S356" s="5" t="str">
        <f ca="1">IFERROR(__xludf.DUMMYFUNCTION("""COMPUTED_VALUE"""),"Yes")</f>
        <v>Yes</v>
      </c>
      <c r="T356" s="5" t="str">
        <f ca="1">IFERROR(__xludf.DUMMYFUNCTION("""COMPUTED_VALUE"""),"Yes")</f>
        <v>Yes</v>
      </c>
      <c r="U356" s="5" t="str">
        <f ca="1">IFERROR(__xludf.DUMMYFUNCTION("""COMPUTED_VALUE"""),"Yes")</f>
        <v>Yes</v>
      </c>
      <c r="V356" s="5" t="str">
        <f ca="1">IFERROR(__xludf.DUMMYFUNCTION("""COMPUTED_VALUE"""),"Yes")</f>
        <v>Yes</v>
      </c>
      <c r="W356" s="5" t="str">
        <f ca="1">IFERROR(__xludf.DUMMYFUNCTION("""COMPUTED_VALUE"""),"Yes")</f>
        <v>Yes</v>
      </c>
      <c r="X356" s="5" t="str">
        <f ca="1">IFERROR(__xludf.DUMMYFUNCTION("""COMPUTED_VALUE"""),"Yes")</f>
        <v>Yes</v>
      </c>
      <c r="Y356" s="5" t="str">
        <f ca="1">IFERROR(__xludf.DUMMYFUNCTION("""COMPUTED_VALUE"""),"Yes")</f>
        <v>Yes</v>
      </c>
      <c r="Z356" s="5" t="str">
        <f ca="1">IFERROR(__xludf.DUMMYFUNCTION("""COMPUTED_VALUE"""),"No")</f>
        <v>No</v>
      </c>
      <c r="AA356" s="5" t="str">
        <f ca="1">IFERROR(__xludf.DUMMYFUNCTION("""COMPUTED_VALUE"""),"Yes")</f>
        <v>Yes</v>
      </c>
      <c r="AB356" s="5" t="str">
        <f ca="1">IFERROR(__xludf.DUMMYFUNCTION("""COMPUTED_VALUE"""),"Yes")</f>
        <v>Yes</v>
      </c>
      <c r="AC356" s="5" t="str">
        <f ca="1">IFERROR(__xludf.DUMMYFUNCTION("""COMPUTED_VALUE"""),"Yes")</f>
        <v>Yes</v>
      </c>
      <c r="AD356" s="5" t="str">
        <f ca="1">IFERROR(__xludf.DUMMYFUNCTION("""COMPUTED_VALUE"""),"Yes")</f>
        <v>Yes</v>
      </c>
      <c r="AE356" s="5" t="str">
        <f ca="1">IFERROR(__xludf.DUMMYFUNCTION("""COMPUTED_VALUE"""),"No")</f>
        <v>No</v>
      </c>
      <c r="AF356" s="5" t="str">
        <f ca="1">IFERROR(__xludf.DUMMYFUNCTION("""COMPUTED_VALUE"""),"Yes")</f>
        <v>Yes</v>
      </c>
      <c r="AG356" s="5" t="str">
        <f ca="1">IFERROR(__xludf.DUMMYFUNCTION("""COMPUTED_VALUE"""),"No")</f>
        <v>No</v>
      </c>
      <c r="AH356" s="5" t="str">
        <f ca="1">IFERROR(__xludf.DUMMYFUNCTION("""COMPUTED_VALUE"""),"No")</f>
        <v>No</v>
      </c>
      <c r="AI356" s="5" t="str">
        <f ca="1">IFERROR(__xludf.DUMMYFUNCTION("""COMPUTED_VALUE"""),"No")</f>
        <v>No</v>
      </c>
      <c r="AJ356" s="5" t="str">
        <f ca="1">IFERROR(__xludf.DUMMYFUNCTION("""COMPUTED_VALUE"""),"No")</f>
        <v>No</v>
      </c>
      <c r="AK356" s="5" t="str">
        <f ca="1">IFERROR(__xludf.DUMMYFUNCTION("""COMPUTED_VALUE"""),"No")</f>
        <v>No</v>
      </c>
      <c r="AL356" s="5" t="str">
        <f ca="1">IFERROR(__xludf.DUMMYFUNCTION("""COMPUTED_VALUE"""),"No")</f>
        <v>No</v>
      </c>
      <c r="AM356" s="5"/>
      <c r="AN356" s="5"/>
      <c r="AO356" s="5"/>
      <c r="AP356" s="5"/>
      <c r="AQ356" s="5"/>
      <c r="AR356" s="5"/>
      <c r="AS356" s="5"/>
      <c r="AT356" s="5"/>
      <c r="AU356" s="5"/>
      <c r="AV356" s="5"/>
      <c r="AW356" s="5"/>
      <c r="AX356" s="5"/>
      <c r="AY356" s="5"/>
    </row>
    <row r="357" spans="1:51" x14ac:dyDescent="0.25">
      <c r="A3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7" s="5">
        <f ca="1">IFERROR(__xludf.DUMMYFUNCTION("""COMPUTED_VALUE"""),361)</f>
        <v>361</v>
      </c>
      <c r="C357" s="5">
        <f ca="1">IFERROR(__xludf.DUMMYFUNCTION("""COMPUTED_VALUE"""),348)</f>
        <v>348</v>
      </c>
      <c r="D357" s="5" t="str">
        <f ca="1">IFERROR(__xludf.DUMMYFUNCTION("""COMPUTED_VALUE"""),"EpicDice100")</f>
        <v>EpicDice100</v>
      </c>
      <c r="E357" s="5" t="str">
        <f ca="1">IFERROR(__xludf.DUMMYFUNCTION("""COMPUTED_VALUE"""),"Yes")</f>
        <v>Yes</v>
      </c>
      <c r="F357" s="5" t="str">
        <f ca="1">IFERROR(__xludf.DUMMYFUNCTION("""COMPUTED_VALUE"""),"Yes")</f>
        <v>Yes</v>
      </c>
      <c r="G357" s="5" t="str">
        <f ca="1">IFERROR(__xludf.DUMMYFUNCTION("""COMPUTED_VALUE"""),"Yes")</f>
        <v>Yes</v>
      </c>
      <c r="H357" s="5" t="str">
        <f ca="1">IFERROR(__xludf.DUMMYFUNCTION("""COMPUTED_VALUE"""),"Yes")</f>
        <v>Yes</v>
      </c>
      <c r="I357" s="5" t="str">
        <f ca="1">IFERROR(__xludf.DUMMYFUNCTION("""COMPUTED_VALUE"""),"Yes")</f>
        <v>Yes</v>
      </c>
      <c r="J357" s="5" t="str">
        <f ca="1">IFERROR(__xludf.DUMMYFUNCTION("""COMPUTED_VALUE"""),"Yes")</f>
        <v>Yes</v>
      </c>
      <c r="K357" s="5" t="str">
        <f ca="1">IFERROR(__xludf.DUMMYFUNCTION("""COMPUTED_VALUE"""),"Yes")</f>
        <v>Yes</v>
      </c>
      <c r="L357" s="5" t="str">
        <f ca="1">IFERROR(__xludf.DUMMYFUNCTION("""COMPUTED_VALUE"""),"Yes")</f>
        <v>Yes</v>
      </c>
      <c r="M357" s="5" t="str">
        <f ca="1">IFERROR(__xludf.DUMMYFUNCTION("""COMPUTED_VALUE"""),"Yes")</f>
        <v>Yes</v>
      </c>
      <c r="N357" s="5" t="str">
        <f ca="1">IFERROR(__xludf.DUMMYFUNCTION("""COMPUTED_VALUE"""),"Yes")</f>
        <v>Yes</v>
      </c>
      <c r="O357" s="5" t="str">
        <f ca="1">IFERROR(__xludf.DUMMYFUNCTION("""COMPUTED_VALUE"""),"Yes")</f>
        <v>Yes</v>
      </c>
      <c r="P357" s="5" t="str">
        <f ca="1">IFERROR(__xludf.DUMMYFUNCTION("""COMPUTED_VALUE"""),"Yes")</f>
        <v>Yes</v>
      </c>
      <c r="Q357" s="5" t="str">
        <f ca="1">IFERROR(__xludf.DUMMYFUNCTION("""COMPUTED_VALUE"""),"Yes")</f>
        <v>Yes</v>
      </c>
      <c r="R357" s="5" t="str">
        <f ca="1">IFERROR(__xludf.DUMMYFUNCTION("""COMPUTED_VALUE"""),"Yes")</f>
        <v>Yes</v>
      </c>
      <c r="S357" s="5" t="str">
        <f ca="1">IFERROR(__xludf.DUMMYFUNCTION("""COMPUTED_VALUE"""),"Yes")</f>
        <v>Yes</v>
      </c>
      <c r="T357" s="5" t="str">
        <f ca="1">IFERROR(__xludf.DUMMYFUNCTION("""COMPUTED_VALUE"""),"Yes")</f>
        <v>Yes</v>
      </c>
      <c r="U357" s="5" t="str">
        <f ca="1">IFERROR(__xludf.DUMMYFUNCTION("""COMPUTED_VALUE"""),"Yes")</f>
        <v>Yes</v>
      </c>
      <c r="V357" s="5" t="str">
        <f ca="1">IFERROR(__xludf.DUMMYFUNCTION("""COMPUTED_VALUE"""),"Yes")</f>
        <v>Yes</v>
      </c>
      <c r="W357" s="5" t="str">
        <f ca="1">IFERROR(__xludf.DUMMYFUNCTION("""COMPUTED_VALUE"""),"Yes")</f>
        <v>Yes</v>
      </c>
      <c r="X357" s="5" t="str">
        <f ca="1">IFERROR(__xludf.DUMMYFUNCTION("""COMPUTED_VALUE"""),"Yes")</f>
        <v>Yes</v>
      </c>
      <c r="Y357" s="5" t="str">
        <f ca="1">IFERROR(__xludf.DUMMYFUNCTION("""COMPUTED_VALUE"""),"Yes")</f>
        <v>Yes</v>
      </c>
      <c r="Z357" s="5" t="str">
        <f ca="1">IFERROR(__xludf.DUMMYFUNCTION("""COMPUTED_VALUE"""),"No")</f>
        <v>No</v>
      </c>
      <c r="AA357" s="5" t="str">
        <f ca="1">IFERROR(__xludf.DUMMYFUNCTION("""COMPUTED_VALUE"""),"Yes")</f>
        <v>Yes</v>
      </c>
      <c r="AB357" s="5" t="str">
        <f ca="1">IFERROR(__xludf.DUMMYFUNCTION("""COMPUTED_VALUE"""),"Yes")</f>
        <v>Yes</v>
      </c>
      <c r="AC357" s="5" t="str">
        <f ca="1">IFERROR(__xludf.DUMMYFUNCTION("""COMPUTED_VALUE"""),"Yes")</f>
        <v>Yes</v>
      </c>
      <c r="AD357" s="5" t="str">
        <f ca="1">IFERROR(__xludf.DUMMYFUNCTION("""COMPUTED_VALUE"""),"Yes")</f>
        <v>Yes</v>
      </c>
      <c r="AE357" s="5" t="str">
        <f ca="1">IFERROR(__xludf.DUMMYFUNCTION("""COMPUTED_VALUE"""),"No")</f>
        <v>No</v>
      </c>
      <c r="AF357" s="5" t="str">
        <f ca="1">IFERROR(__xludf.DUMMYFUNCTION("""COMPUTED_VALUE"""),"Yes")</f>
        <v>Yes</v>
      </c>
      <c r="AG357" s="5" t="str">
        <f ca="1">IFERROR(__xludf.DUMMYFUNCTION("""COMPUTED_VALUE"""),"No")</f>
        <v>No</v>
      </c>
      <c r="AH357" s="5" t="str">
        <f ca="1">IFERROR(__xludf.DUMMYFUNCTION("""COMPUTED_VALUE"""),"No")</f>
        <v>No</v>
      </c>
      <c r="AI357" s="5" t="str">
        <f ca="1">IFERROR(__xludf.DUMMYFUNCTION("""COMPUTED_VALUE"""),"No")</f>
        <v>No</v>
      </c>
      <c r="AJ357" s="5" t="str">
        <f ca="1">IFERROR(__xludf.DUMMYFUNCTION("""COMPUTED_VALUE"""),"No")</f>
        <v>No</v>
      </c>
      <c r="AK357" s="5" t="str">
        <f ca="1">IFERROR(__xludf.DUMMYFUNCTION("""COMPUTED_VALUE"""),"No")</f>
        <v>No</v>
      </c>
      <c r="AL357" s="5" t="str">
        <f ca="1">IFERROR(__xludf.DUMMYFUNCTION("""COMPUTED_VALUE"""),"No")</f>
        <v>No</v>
      </c>
      <c r="AM357" s="5"/>
      <c r="AN357" s="5"/>
      <c r="AO357" s="5"/>
      <c r="AP357" s="5"/>
      <c r="AQ357" s="5"/>
      <c r="AR357" s="5"/>
      <c r="AS357" s="5"/>
      <c r="AT357" s="5"/>
      <c r="AU357" s="5"/>
      <c r="AV357" s="5"/>
      <c r="AW357" s="5"/>
      <c r="AX357" s="5"/>
      <c r="AY357" s="5"/>
    </row>
    <row r="358" spans="1:51" x14ac:dyDescent="0.25">
      <c r="A3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8" s="5">
        <f ca="1">IFERROR(__xludf.DUMMYFUNCTION("""COMPUTED_VALUE"""),362)</f>
        <v>362</v>
      </c>
      <c r="C358" s="5">
        <f ca="1">IFERROR(__xludf.DUMMYFUNCTION("""COMPUTED_VALUE"""),345)</f>
        <v>345</v>
      </c>
      <c r="D358" s="5" t="str">
        <f ca="1">IFERROR(__xludf.DUMMYFUNCTION("""COMPUTED_VALUE"""),"MegaHot20")</f>
        <v>MegaHot20</v>
      </c>
      <c r="E358" s="5" t="str">
        <f ca="1">IFERROR(__xludf.DUMMYFUNCTION("""COMPUTED_VALUE"""),"Yes")</f>
        <v>Yes</v>
      </c>
      <c r="F358" s="5" t="str">
        <f ca="1">IFERROR(__xludf.DUMMYFUNCTION("""COMPUTED_VALUE"""),"Yes")</f>
        <v>Yes</v>
      </c>
      <c r="G358" s="5" t="str">
        <f ca="1">IFERROR(__xludf.DUMMYFUNCTION("""COMPUTED_VALUE"""),"Yes")</f>
        <v>Yes</v>
      </c>
      <c r="H358" s="5" t="str">
        <f ca="1">IFERROR(__xludf.DUMMYFUNCTION("""COMPUTED_VALUE"""),"Yes")</f>
        <v>Yes</v>
      </c>
      <c r="I358" s="5" t="str">
        <f ca="1">IFERROR(__xludf.DUMMYFUNCTION("""COMPUTED_VALUE"""),"Yes")</f>
        <v>Yes</v>
      </c>
      <c r="J358" s="5" t="str">
        <f ca="1">IFERROR(__xludf.DUMMYFUNCTION("""COMPUTED_VALUE"""),"Yes")</f>
        <v>Yes</v>
      </c>
      <c r="K358" s="5" t="str">
        <f ca="1">IFERROR(__xludf.DUMMYFUNCTION("""COMPUTED_VALUE"""),"Yes")</f>
        <v>Yes</v>
      </c>
      <c r="L358" s="5" t="str">
        <f ca="1">IFERROR(__xludf.DUMMYFUNCTION("""COMPUTED_VALUE"""),"Yes")</f>
        <v>Yes</v>
      </c>
      <c r="M358" s="5" t="str">
        <f ca="1">IFERROR(__xludf.DUMMYFUNCTION("""COMPUTED_VALUE"""),"Yes")</f>
        <v>Yes</v>
      </c>
      <c r="N358" s="5" t="str">
        <f ca="1">IFERROR(__xludf.DUMMYFUNCTION("""COMPUTED_VALUE"""),"Yes")</f>
        <v>Yes</v>
      </c>
      <c r="O358" s="5" t="str">
        <f ca="1">IFERROR(__xludf.DUMMYFUNCTION("""COMPUTED_VALUE"""),"Yes")</f>
        <v>Yes</v>
      </c>
      <c r="P358" s="5" t="str">
        <f ca="1">IFERROR(__xludf.DUMMYFUNCTION("""COMPUTED_VALUE"""),"Yes")</f>
        <v>Yes</v>
      </c>
      <c r="Q358" s="5" t="str">
        <f ca="1">IFERROR(__xludf.DUMMYFUNCTION("""COMPUTED_VALUE"""),"Yes")</f>
        <v>Yes</v>
      </c>
      <c r="R358" s="5" t="str">
        <f ca="1">IFERROR(__xludf.DUMMYFUNCTION("""COMPUTED_VALUE"""),"Yes")</f>
        <v>Yes</v>
      </c>
      <c r="S358" s="5" t="str">
        <f ca="1">IFERROR(__xludf.DUMMYFUNCTION("""COMPUTED_VALUE"""),"Yes")</f>
        <v>Yes</v>
      </c>
      <c r="T358" s="5" t="str">
        <f ca="1">IFERROR(__xludf.DUMMYFUNCTION("""COMPUTED_VALUE"""),"Yes")</f>
        <v>Yes</v>
      </c>
      <c r="U358" s="5" t="str">
        <f ca="1">IFERROR(__xludf.DUMMYFUNCTION("""COMPUTED_VALUE"""),"Yes")</f>
        <v>Yes</v>
      </c>
      <c r="V358" s="5" t="str">
        <f ca="1">IFERROR(__xludf.DUMMYFUNCTION("""COMPUTED_VALUE"""),"Yes")</f>
        <v>Yes</v>
      </c>
      <c r="W358" s="5" t="str">
        <f ca="1">IFERROR(__xludf.DUMMYFUNCTION("""COMPUTED_VALUE"""),"Yes")</f>
        <v>Yes</v>
      </c>
      <c r="X358" s="5" t="str">
        <f ca="1">IFERROR(__xludf.DUMMYFUNCTION("""COMPUTED_VALUE"""),"Yes")</f>
        <v>Yes</v>
      </c>
      <c r="Y358" s="5" t="str">
        <f ca="1">IFERROR(__xludf.DUMMYFUNCTION("""COMPUTED_VALUE"""),"Yes")</f>
        <v>Yes</v>
      </c>
      <c r="Z358" s="5" t="str">
        <f ca="1">IFERROR(__xludf.DUMMYFUNCTION("""COMPUTED_VALUE"""),"No")</f>
        <v>No</v>
      </c>
      <c r="AA358" s="5" t="str">
        <f ca="1">IFERROR(__xludf.DUMMYFUNCTION("""COMPUTED_VALUE"""),"Yes")</f>
        <v>Yes</v>
      </c>
      <c r="AB358" s="5" t="str">
        <f ca="1">IFERROR(__xludf.DUMMYFUNCTION("""COMPUTED_VALUE"""),"Yes")</f>
        <v>Yes</v>
      </c>
      <c r="AC358" s="5" t="str">
        <f ca="1">IFERROR(__xludf.DUMMYFUNCTION("""COMPUTED_VALUE"""),"Yes")</f>
        <v>Yes</v>
      </c>
      <c r="AD358" s="5" t="str">
        <f ca="1">IFERROR(__xludf.DUMMYFUNCTION("""COMPUTED_VALUE"""),"Yes")</f>
        <v>Yes</v>
      </c>
      <c r="AE358" s="5" t="str">
        <f ca="1">IFERROR(__xludf.DUMMYFUNCTION("""COMPUTED_VALUE"""),"No")</f>
        <v>No</v>
      </c>
      <c r="AF358" s="5" t="str">
        <f ca="1">IFERROR(__xludf.DUMMYFUNCTION("""COMPUTED_VALUE"""),"Yes")</f>
        <v>Yes</v>
      </c>
      <c r="AG358" s="5" t="str">
        <f ca="1">IFERROR(__xludf.DUMMYFUNCTION("""COMPUTED_VALUE"""),"No")</f>
        <v>No</v>
      </c>
      <c r="AH358" s="5" t="str">
        <f ca="1">IFERROR(__xludf.DUMMYFUNCTION("""COMPUTED_VALUE"""),"No")</f>
        <v>No</v>
      </c>
      <c r="AI358" s="5" t="str">
        <f ca="1">IFERROR(__xludf.DUMMYFUNCTION("""COMPUTED_VALUE"""),"No")</f>
        <v>No</v>
      </c>
      <c r="AJ358" s="5" t="str">
        <f ca="1">IFERROR(__xludf.DUMMYFUNCTION("""COMPUTED_VALUE"""),"No")</f>
        <v>No</v>
      </c>
      <c r="AK358" s="5" t="str">
        <f ca="1">IFERROR(__xludf.DUMMYFUNCTION("""COMPUTED_VALUE"""),"No")</f>
        <v>No</v>
      </c>
      <c r="AL358" s="5" t="str">
        <f ca="1">IFERROR(__xludf.DUMMYFUNCTION("""COMPUTED_VALUE"""),"No")</f>
        <v>No</v>
      </c>
      <c r="AM358" s="5"/>
      <c r="AN358" s="5"/>
      <c r="AO358" s="5"/>
      <c r="AP358" s="5"/>
      <c r="AQ358" s="5"/>
      <c r="AR358" s="5"/>
      <c r="AS358" s="5"/>
      <c r="AT358" s="5"/>
      <c r="AU358" s="5"/>
      <c r="AV358" s="5"/>
      <c r="AW358" s="5"/>
      <c r="AX358" s="5"/>
      <c r="AY358" s="5"/>
    </row>
    <row r="359" spans="1:51" x14ac:dyDescent="0.25">
      <c r="A3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9" s="5">
        <f ca="1">IFERROR(__xludf.DUMMYFUNCTION("""COMPUTED_VALUE"""),363)</f>
        <v>363</v>
      </c>
      <c r="C359" s="5">
        <f ca="1">IFERROR(__xludf.DUMMYFUNCTION("""COMPUTED_VALUE"""),3001)</f>
        <v>3001</v>
      </c>
      <c r="D359" s="5" t="str">
        <f ca="1">IFERROR(__xludf.DUMMYFUNCTION("""COMPUTED_VALUE"""),"CloversAndStars")</f>
        <v>CloversAndStars</v>
      </c>
      <c r="E359" s="5" t="str">
        <f ca="1">IFERROR(__xludf.DUMMYFUNCTION("""COMPUTED_VALUE"""),"Yes")</f>
        <v>Yes</v>
      </c>
      <c r="F359" s="5" t="str">
        <f ca="1">IFERROR(__xludf.DUMMYFUNCTION("""COMPUTED_VALUE"""),"Yes")</f>
        <v>Yes</v>
      </c>
      <c r="G359" s="5" t="str">
        <f ca="1">IFERROR(__xludf.DUMMYFUNCTION("""COMPUTED_VALUE"""),"Yes")</f>
        <v>Yes</v>
      </c>
      <c r="H359" s="5" t="str">
        <f ca="1">IFERROR(__xludf.DUMMYFUNCTION("""COMPUTED_VALUE"""),"Yes")</f>
        <v>Yes</v>
      </c>
      <c r="I359" s="5" t="str">
        <f ca="1">IFERROR(__xludf.DUMMYFUNCTION("""COMPUTED_VALUE"""),"Yes")</f>
        <v>Yes</v>
      </c>
      <c r="J359" s="5" t="str">
        <f ca="1">IFERROR(__xludf.DUMMYFUNCTION("""COMPUTED_VALUE"""),"Yes")</f>
        <v>Yes</v>
      </c>
      <c r="K359" s="5" t="str">
        <f ca="1">IFERROR(__xludf.DUMMYFUNCTION("""COMPUTED_VALUE"""),"Yes")</f>
        <v>Yes</v>
      </c>
      <c r="L359" s="5" t="str">
        <f ca="1">IFERROR(__xludf.DUMMYFUNCTION("""COMPUTED_VALUE"""),"Yes")</f>
        <v>Yes</v>
      </c>
      <c r="M359" s="5" t="str">
        <f ca="1">IFERROR(__xludf.DUMMYFUNCTION("""COMPUTED_VALUE"""),"Yes")</f>
        <v>Yes</v>
      </c>
      <c r="N359" s="5" t="str">
        <f ca="1">IFERROR(__xludf.DUMMYFUNCTION("""COMPUTED_VALUE"""),"Yes")</f>
        <v>Yes</v>
      </c>
      <c r="O359" s="5" t="str">
        <f ca="1">IFERROR(__xludf.DUMMYFUNCTION("""COMPUTED_VALUE"""),"Yes")</f>
        <v>Yes</v>
      </c>
      <c r="P359" s="5" t="str">
        <f ca="1">IFERROR(__xludf.DUMMYFUNCTION("""COMPUTED_VALUE"""),"Yes")</f>
        <v>Yes</v>
      </c>
      <c r="Q359" s="5" t="str">
        <f ca="1">IFERROR(__xludf.DUMMYFUNCTION("""COMPUTED_VALUE"""),"Yes")</f>
        <v>Yes</v>
      </c>
      <c r="R359" s="5" t="str">
        <f ca="1">IFERROR(__xludf.DUMMYFUNCTION("""COMPUTED_VALUE"""),"Yes")</f>
        <v>Yes</v>
      </c>
      <c r="S359" s="5" t="str">
        <f ca="1">IFERROR(__xludf.DUMMYFUNCTION("""COMPUTED_VALUE"""),"Yes")</f>
        <v>Yes</v>
      </c>
      <c r="T359" s="5" t="str">
        <f ca="1">IFERROR(__xludf.DUMMYFUNCTION("""COMPUTED_VALUE"""),"Yes")</f>
        <v>Yes</v>
      </c>
      <c r="U359" s="5" t="str">
        <f ca="1">IFERROR(__xludf.DUMMYFUNCTION("""COMPUTED_VALUE"""),"Yes")</f>
        <v>Yes</v>
      </c>
      <c r="V359" s="5" t="str">
        <f ca="1">IFERROR(__xludf.DUMMYFUNCTION("""COMPUTED_VALUE"""),"Yes")</f>
        <v>Yes</v>
      </c>
      <c r="W359" s="5" t="str">
        <f ca="1">IFERROR(__xludf.DUMMYFUNCTION("""COMPUTED_VALUE"""),"Yes")</f>
        <v>Yes</v>
      </c>
      <c r="X359" s="5" t="str">
        <f ca="1">IFERROR(__xludf.DUMMYFUNCTION("""COMPUTED_VALUE"""),"Yes")</f>
        <v>Yes</v>
      </c>
      <c r="Y359" s="5" t="str">
        <f ca="1">IFERROR(__xludf.DUMMYFUNCTION("""COMPUTED_VALUE"""),"Yes")</f>
        <v>Yes</v>
      </c>
      <c r="Z359" s="5" t="str">
        <f ca="1">IFERROR(__xludf.DUMMYFUNCTION("""COMPUTED_VALUE"""),"No")</f>
        <v>No</v>
      </c>
      <c r="AA359" s="5" t="str">
        <f ca="1">IFERROR(__xludf.DUMMYFUNCTION("""COMPUTED_VALUE"""),"Yes")</f>
        <v>Yes</v>
      </c>
      <c r="AB359" s="5" t="str">
        <f ca="1">IFERROR(__xludf.DUMMYFUNCTION("""COMPUTED_VALUE"""),"Yes")</f>
        <v>Yes</v>
      </c>
      <c r="AC359" s="5" t="str">
        <f ca="1">IFERROR(__xludf.DUMMYFUNCTION("""COMPUTED_VALUE"""),"Yes")</f>
        <v>Yes</v>
      </c>
      <c r="AD359" s="5" t="str">
        <f ca="1">IFERROR(__xludf.DUMMYFUNCTION("""COMPUTED_VALUE"""),"Yes")</f>
        <v>Yes</v>
      </c>
      <c r="AE359" s="5" t="str">
        <f ca="1">IFERROR(__xludf.DUMMYFUNCTION("""COMPUTED_VALUE"""),"No")</f>
        <v>No</v>
      </c>
      <c r="AF359" s="5" t="str">
        <f ca="1">IFERROR(__xludf.DUMMYFUNCTION("""COMPUTED_VALUE"""),"Yes")</f>
        <v>Yes</v>
      </c>
      <c r="AG359" s="5" t="str">
        <f ca="1">IFERROR(__xludf.DUMMYFUNCTION("""COMPUTED_VALUE"""),"No")</f>
        <v>No</v>
      </c>
      <c r="AH359" s="5" t="str">
        <f ca="1">IFERROR(__xludf.DUMMYFUNCTION("""COMPUTED_VALUE"""),"No")</f>
        <v>No</v>
      </c>
      <c r="AI359" s="5" t="str">
        <f ca="1">IFERROR(__xludf.DUMMYFUNCTION("""COMPUTED_VALUE"""),"No")</f>
        <v>No</v>
      </c>
      <c r="AJ359" s="5" t="str">
        <f ca="1">IFERROR(__xludf.DUMMYFUNCTION("""COMPUTED_VALUE"""),"No")</f>
        <v>No</v>
      </c>
      <c r="AK359" s="5" t="str">
        <f ca="1">IFERROR(__xludf.DUMMYFUNCTION("""COMPUTED_VALUE"""),"No")</f>
        <v>No</v>
      </c>
      <c r="AL359" s="5" t="str">
        <f ca="1">IFERROR(__xludf.DUMMYFUNCTION("""COMPUTED_VALUE"""),"No")</f>
        <v>No</v>
      </c>
      <c r="AM359" s="5"/>
      <c r="AN359" s="5"/>
      <c r="AO359" s="5"/>
      <c r="AP359" s="5"/>
      <c r="AQ359" s="5"/>
      <c r="AR359" s="5"/>
      <c r="AS359" s="5"/>
      <c r="AT359" s="5"/>
      <c r="AU359" s="5"/>
      <c r="AV359" s="5"/>
      <c r="AW359" s="5"/>
      <c r="AX359" s="5"/>
      <c r="AY359" s="5"/>
    </row>
    <row r="360" spans="1:51" x14ac:dyDescent="0.25">
      <c r="A3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0" s="5">
        <f ca="1">IFERROR(__xludf.DUMMYFUNCTION("""COMPUTED_VALUE"""),364)</f>
        <v>364</v>
      </c>
      <c r="C360" s="5">
        <f ca="1">IFERROR(__xludf.DUMMYFUNCTION("""COMPUTED_VALUE"""),3002)</f>
        <v>3002</v>
      </c>
      <c r="D360" s="5" t="str">
        <f ca="1">IFERROR(__xludf.DUMMYFUNCTION("""COMPUTED_VALUE"""),"FortuneParrot")</f>
        <v>FortuneParrot</v>
      </c>
      <c r="E360" s="5" t="str">
        <f ca="1">IFERROR(__xludf.DUMMYFUNCTION("""COMPUTED_VALUE"""),"Yes")</f>
        <v>Yes</v>
      </c>
      <c r="F360" s="5" t="str">
        <f ca="1">IFERROR(__xludf.DUMMYFUNCTION("""COMPUTED_VALUE"""),"Yes")</f>
        <v>Yes</v>
      </c>
      <c r="G360" s="5" t="str">
        <f ca="1">IFERROR(__xludf.DUMMYFUNCTION("""COMPUTED_VALUE"""),"Yes")</f>
        <v>Yes</v>
      </c>
      <c r="H360" s="5" t="str">
        <f ca="1">IFERROR(__xludf.DUMMYFUNCTION("""COMPUTED_VALUE"""),"Yes")</f>
        <v>Yes</v>
      </c>
      <c r="I360" s="5" t="str">
        <f ca="1">IFERROR(__xludf.DUMMYFUNCTION("""COMPUTED_VALUE"""),"Yes")</f>
        <v>Yes</v>
      </c>
      <c r="J360" s="5" t="str">
        <f ca="1">IFERROR(__xludf.DUMMYFUNCTION("""COMPUTED_VALUE"""),"Yes")</f>
        <v>Yes</v>
      </c>
      <c r="K360" s="5" t="str">
        <f ca="1">IFERROR(__xludf.DUMMYFUNCTION("""COMPUTED_VALUE"""),"Yes")</f>
        <v>Yes</v>
      </c>
      <c r="L360" s="5" t="str">
        <f ca="1">IFERROR(__xludf.DUMMYFUNCTION("""COMPUTED_VALUE"""),"Yes")</f>
        <v>Yes</v>
      </c>
      <c r="M360" s="5" t="str">
        <f ca="1">IFERROR(__xludf.DUMMYFUNCTION("""COMPUTED_VALUE"""),"Yes")</f>
        <v>Yes</v>
      </c>
      <c r="N360" s="5" t="str">
        <f ca="1">IFERROR(__xludf.DUMMYFUNCTION("""COMPUTED_VALUE"""),"Yes")</f>
        <v>Yes</v>
      </c>
      <c r="O360" s="5" t="str">
        <f ca="1">IFERROR(__xludf.DUMMYFUNCTION("""COMPUTED_VALUE"""),"Yes")</f>
        <v>Yes</v>
      </c>
      <c r="P360" s="5" t="str">
        <f ca="1">IFERROR(__xludf.DUMMYFUNCTION("""COMPUTED_VALUE"""),"Yes")</f>
        <v>Yes</v>
      </c>
      <c r="Q360" s="5" t="str">
        <f ca="1">IFERROR(__xludf.DUMMYFUNCTION("""COMPUTED_VALUE"""),"Yes")</f>
        <v>Yes</v>
      </c>
      <c r="R360" s="5" t="str">
        <f ca="1">IFERROR(__xludf.DUMMYFUNCTION("""COMPUTED_VALUE"""),"Yes")</f>
        <v>Yes</v>
      </c>
      <c r="S360" s="5" t="str">
        <f ca="1">IFERROR(__xludf.DUMMYFUNCTION("""COMPUTED_VALUE"""),"Yes")</f>
        <v>Yes</v>
      </c>
      <c r="T360" s="5" t="str">
        <f ca="1">IFERROR(__xludf.DUMMYFUNCTION("""COMPUTED_VALUE"""),"Yes")</f>
        <v>Yes</v>
      </c>
      <c r="U360" s="5" t="str">
        <f ca="1">IFERROR(__xludf.DUMMYFUNCTION("""COMPUTED_VALUE"""),"Yes")</f>
        <v>Yes</v>
      </c>
      <c r="V360" s="5" t="str">
        <f ca="1">IFERROR(__xludf.DUMMYFUNCTION("""COMPUTED_VALUE"""),"Yes")</f>
        <v>Yes</v>
      </c>
      <c r="W360" s="5" t="str">
        <f ca="1">IFERROR(__xludf.DUMMYFUNCTION("""COMPUTED_VALUE"""),"Yes")</f>
        <v>Yes</v>
      </c>
      <c r="X360" s="5" t="str">
        <f ca="1">IFERROR(__xludf.DUMMYFUNCTION("""COMPUTED_VALUE"""),"Yes")</f>
        <v>Yes</v>
      </c>
      <c r="Y360" s="5" t="str">
        <f ca="1">IFERROR(__xludf.DUMMYFUNCTION("""COMPUTED_VALUE"""),"Yes")</f>
        <v>Yes</v>
      </c>
      <c r="Z360" s="5" t="str">
        <f ca="1">IFERROR(__xludf.DUMMYFUNCTION("""COMPUTED_VALUE"""),"No")</f>
        <v>No</v>
      </c>
      <c r="AA360" s="5" t="str">
        <f ca="1">IFERROR(__xludf.DUMMYFUNCTION("""COMPUTED_VALUE"""),"Yes")</f>
        <v>Yes</v>
      </c>
      <c r="AB360" s="5" t="str">
        <f ca="1">IFERROR(__xludf.DUMMYFUNCTION("""COMPUTED_VALUE"""),"Yes")</f>
        <v>Yes</v>
      </c>
      <c r="AC360" s="5" t="str">
        <f ca="1">IFERROR(__xludf.DUMMYFUNCTION("""COMPUTED_VALUE"""),"Yes")</f>
        <v>Yes</v>
      </c>
      <c r="AD360" s="5" t="str">
        <f ca="1">IFERROR(__xludf.DUMMYFUNCTION("""COMPUTED_VALUE"""),"Yes")</f>
        <v>Yes</v>
      </c>
      <c r="AE360" s="5" t="str">
        <f ca="1">IFERROR(__xludf.DUMMYFUNCTION("""COMPUTED_VALUE"""),"No")</f>
        <v>No</v>
      </c>
      <c r="AF360" s="5" t="str">
        <f ca="1">IFERROR(__xludf.DUMMYFUNCTION("""COMPUTED_VALUE"""),"Yes")</f>
        <v>Yes</v>
      </c>
      <c r="AG360" s="5" t="str">
        <f ca="1">IFERROR(__xludf.DUMMYFUNCTION("""COMPUTED_VALUE"""),"No")</f>
        <v>No</v>
      </c>
      <c r="AH360" s="5" t="str">
        <f ca="1">IFERROR(__xludf.DUMMYFUNCTION("""COMPUTED_VALUE"""),"No")</f>
        <v>No</v>
      </c>
      <c r="AI360" s="5" t="str">
        <f ca="1">IFERROR(__xludf.DUMMYFUNCTION("""COMPUTED_VALUE"""),"No")</f>
        <v>No</v>
      </c>
      <c r="AJ360" s="5" t="str">
        <f ca="1">IFERROR(__xludf.DUMMYFUNCTION("""COMPUTED_VALUE"""),"No")</f>
        <v>No</v>
      </c>
      <c r="AK360" s="5" t="str">
        <f ca="1">IFERROR(__xludf.DUMMYFUNCTION("""COMPUTED_VALUE"""),"No")</f>
        <v>No</v>
      </c>
      <c r="AL360" s="5" t="str">
        <f ca="1">IFERROR(__xludf.DUMMYFUNCTION("""COMPUTED_VALUE"""),"No")</f>
        <v>No</v>
      </c>
      <c r="AM360" s="5"/>
      <c r="AN360" s="5"/>
      <c r="AO360" s="5"/>
      <c r="AP360" s="5"/>
      <c r="AQ360" s="5"/>
      <c r="AR360" s="5"/>
      <c r="AS360" s="5"/>
      <c r="AT360" s="5"/>
      <c r="AU360" s="5"/>
      <c r="AV360" s="5"/>
      <c r="AW360" s="5"/>
      <c r="AX360" s="5"/>
      <c r="AY360" s="5"/>
    </row>
    <row r="361" spans="1:51" x14ac:dyDescent="0.25">
      <c r="A3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1" s="5">
        <f ca="1">IFERROR(__xludf.DUMMYFUNCTION("""COMPUTED_VALUE"""),365)</f>
        <v>365</v>
      </c>
      <c r="C361" s="5">
        <f ca="1">IFERROR(__xludf.DUMMYFUNCTION("""COMPUTED_VALUE"""),3006)</f>
        <v>3006</v>
      </c>
      <c r="D361" s="5" t="str">
        <f ca="1">IFERROR(__xludf.DUMMYFUNCTION("""COMPUTED_VALUE"""),"GoldenCrownMax")</f>
        <v>GoldenCrownMax</v>
      </c>
      <c r="E361" s="5" t="str">
        <f ca="1">IFERROR(__xludf.DUMMYFUNCTION("""COMPUTED_VALUE"""),"Yes")</f>
        <v>Yes</v>
      </c>
      <c r="F361" s="5" t="str">
        <f ca="1">IFERROR(__xludf.DUMMYFUNCTION("""COMPUTED_VALUE"""),"Yes")</f>
        <v>Yes</v>
      </c>
      <c r="G361" s="5" t="str">
        <f ca="1">IFERROR(__xludf.DUMMYFUNCTION("""COMPUTED_VALUE"""),"Yes")</f>
        <v>Yes</v>
      </c>
      <c r="H361" s="5" t="str">
        <f ca="1">IFERROR(__xludf.DUMMYFUNCTION("""COMPUTED_VALUE"""),"Yes")</f>
        <v>Yes</v>
      </c>
      <c r="I361" s="5" t="str">
        <f ca="1">IFERROR(__xludf.DUMMYFUNCTION("""COMPUTED_VALUE"""),"Yes")</f>
        <v>Yes</v>
      </c>
      <c r="J361" s="5" t="str">
        <f ca="1">IFERROR(__xludf.DUMMYFUNCTION("""COMPUTED_VALUE"""),"Yes")</f>
        <v>Yes</v>
      </c>
      <c r="K361" s="5" t="str">
        <f ca="1">IFERROR(__xludf.DUMMYFUNCTION("""COMPUTED_VALUE"""),"Yes")</f>
        <v>Yes</v>
      </c>
      <c r="L361" s="5" t="str">
        <f ca="1">IFERROR(__xludf.DUMMYFUNCTION("""COMPUTED_VALUE"""),"Yes")</f>
        <v>Yes</v>
      </c>
      <c r="M361" s="5" t="str">
        <f ca="1">IFERROR(__xludf.DUMMYFUNCTION("""COMPUTED_VALUE"""),"Yes")</f>
        <v>Yes</v>
      </c>
      <c r="N361" s="5" t="str">
        <f ca="1">IFERROR(__xludf.DUMMYFUNCTION("""COMPUTED_VALUE"""),"Yes")</f>
        <v>Yes</v>
      </c>
      <c r="O361" s="5" t="str">
        <f ca="1">IFERROR(__xludf.DUMMYFUNCTION("""COMPUTED_VALUE"""),"Yes")</f>
        <v>Yes</v>
      </c>
      <c r="P361" s="5" t="str">
        <f ca="1">IFERROR(__xludf.DUMMYFUNCTION("""COMPUTED_VALUE"""),"Yes")</f>
        <v>Yes</v>
      </c>
      <c r="Q361" s="5" t="str">
        <f ca="1">IFERROR(__xludf.DUMMYFUNCTION("""COMPUTED_VALUE"""),"Yes")</f>
        <v>Yes</v>
      </c>
      <c r="R361" s="5" t="str">
        <f ca="1">IFERROR(__xludf.DUMMYFUNCTION("""COMPUTED_VALUE"""),"Yes")</f>
        <v>Yes</v>
      </c>
      <c r="S361" s="5" t="str">
        <f ca="1">IFERROR(__xludf.DUMMYFUNCTION("""COMPUTED_VALUE"""),"Yes")</f>
        <v>Yes</v>
      </c>
      <c r="T361" s="5" t="str">
        <f ca="1">IFERROR(__xludf.DUMMYFUNCTION("""COMPUTED_VALUE"""),"Yes")</f>
        <v>Yes</v>
      </c>
      <c r="U361" s="5" t="str">
        <f ca="1">IFERROR(__xludf.DUMMYFUNCTION("""COMPUTED_VALUE"""),"Yes")</f>
        <v>Yes</v>
      </c>
      <c r="V361" s="5" t="str">
        <f ca="1">IFERROR(__xludf.DUMMYFUNCTION("""COMPUTED_VALUE"""),"Yes")</f>
        <v>Yes</v>
      </c>
      <c r="W361" s="5" t="str">
        <f ca="1">IFERROR(__xludf.DUMMYFUNCTION("""COMPUTED_VALUE"""),"Yes")</f>
        <v>Yes</v>
      </c>
      <c r="X361" s="5" t="str">
        <f ca="1">IFERROR(__xludf.DUMMYFUNCTION("""COMPUTED_VALUE"""),"Yes")</f>
        <v>Yes</v>
      </c>
      <c r="Y361" s="5" t="str">
        <f ca="1">IFERROR(__xludf.DUMMYFUNCTION("""COMPUTED_VALUE"""),"Yes")</f>
        <v>Yes</v>
      </c>
      <c r="Z361" s="5" t="str">
        <f ca="1">IFERROR(__xludf.DUMMYFUNCTION("""COMPUTED_VALUE"""),"No")</f>
        <v>No</v>
      </c>
      <c r="AA361" s="5" t="str">
        <f ca="1">IFERROR(__xludf.DUMMYFUNCTION("""COMPUTED_VALUE"""),"Yes")</f>
        <v>Yes</v>
      </c>
      <c r="AB361" s="5" t="str">
        <f ca="1">IFERROR(__xludf.DUMMYFUNCTION("""COMPUTED_VALUE"""),"Yes")</f>
        <v>Yes</v>
      </c>
      <c r="AC361" s="5" t="str">
        <f ca="1">IFERROR(__xludf.DUMMYFUNCTION("""COMPUTED_VALUE"""),"Yes")</f>
        <v>Yes</v>
      </c>
      <c r="AD361" s="5" t="str">
        <f ca="1">IFERROR(__xludf.DUMMYFUNCTION("""COMPUTED_VALUE"""),"Yes")</f>
        <v>Yes</v>
      </c>
      <c r="AE361" s="5" t="str">
        <f ca="1">IFERROR(__xludf.DUMMYFUNCTION("""COMPUTED_VALUE"""),"No")</f>
        <v>No</v>
      </c>
      <c r="AF361" s="5" t="str">
        <f ca="1">IFERROR(__xludf.DUMMYFUNCTION("""COMPUTED_VALUE"""),"Yes")</f>
        <v>Yes</v>
      </c>
      <c r="AG361" s="5" t="str">
        <f ca="1">IFERROR(__xludf.DUMMYFUNCTION("""COMPUTED_VALUE"""),"No")</f>
        <v>No</v>
      </c>
      <c r="AH361" s="5" t="str">
        <f ca="1">IFERROR(__xludf.DUMMYFUNCTION("""COMPUTED_VALUE"""),"No")</f>
        <v>No</v>
      </c>
      <c r="AI361" s="5" t="str">
        <f ca="1">IFERROR(__xludf.DUMMYFUNCTION("""COMPUTED_VALUE"""),"No")</f>
        <v>No</v>
      </c>
      <c r="AJ361" s="5" t="str">
        <f ca="1">IFERROR(__xludf.DUMMYFUNCTION("""COMPUTED_VALUE"""),"No")</f>
        <v>No</v>
      </c>
      <c r="AK361" s="5" t="str">
        <f ca="1">IFERROR(__xludf.DUMMYFUNCTION("""COMPUTED_VALUE"""),"No")</f>
        <v>No</v>
      </c>
      <c r="AL361" s="5" t="str">
        <f ca="1">IFERROR(__xludf.DUMMYFUNCTION("""COMPUTED_VALUE"""),"No")</f>
        <v>No</v>
      </c>
      <c r="AM361" s="5"/>
      <c r="AN361" s="5"/>
      <c r="AO361" s="5"/>
      <c r="AP361" s="5"/>
      <c r="AQ361" s="5"/>
      <c r="AR361" s="5"/>
      <c r="AS361" s="5"/>
      <c r="AT361" s="5"/>
      <c r="AU361" s="5"/>
      <c r="AV361" s="5"/>
      <c r="AW361" s="5"/>
      <c r="AX361" s="5"/>
      <c r="AY361" s="5"/>
    </row>
    <row r="362" spans="1:51" x14ac:dyDescent="0.25">
      <c r="A3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62" s="5">
        <f ca="1">IFERROR(__xludf.DUMMYFUNCTION("""COMPUTED_VALUE"""),366)</f>
        <v>366</v>
      </c>
      <c r="C362" s="5">
        <f ca="1">IFERROR(__xludf.DUMMYFUNCTION("""COMPUTED_VALUE"""),340)</f>
        <v>340</v>
      </c>
      <c r="D362" s="5" t="str">
        <f ca="1">IFERROR(__xludf.DUMMYFUNCTION("""COMPUTED_VALUE"""),"UnicornBuffaloDice")</f>
        <v>UnicornBuffaloDice</v>
      </c>
      <c r="E362" s="5" t="str">
        <f ca="1">IFERROR(__xludf.DUMMYFUNCTION("""COMPUTED_VALUE"""),"Yes")</f>
        <v>Yes</v>
      </c>
      <c r="F362" s="5" t="str">
        <f ca="1">IFERROR(__xludf.DUMMYFUNCTION("""COMPUTED_VALUE"""),"Yes")</f>
        <v>Yes</v>
      </c>
      <c r="G362" s="5" t="str">
        <f ca="1">IFERROR(__xludf.DUMMYFUNCTION("""COMPUTED_VALUE"""),"Yes")</f>
        <v>Yes</v>
      </c>
      <c r="H362" s="5" t="str">
        <f ca="1">IFERROR(__xludf.DUMMYFUNCTION("""COMPUTED_VALUE"""),"Yes")</f>
        <v>Yes</v>
      </c>
      <c r="I362" s="5" t="str">
        <f ca="1">IFERROR(__xludf.DUMMYFUNCTION("""COMPUTED_VALUE"""),"Yes")</f>
        <v>Yes</v>
      </c>
      <c r="J362" s="5" t="str">
        <f ca="1">IFERROR(__xludf.DUMMYFUNCTION("""COMPUTED_VALUE"""),"Yes")</f>
        <v>Yes</v>
      </c>
      <c r="K362" s="5" t="str">
        <f ca="1">IFERROR(__xludf.DUMMYFUNCTION("""COMPUTED_VALUE"""),"Yes")</f>
        <v>Yes</v>
      </c>
      <c r="L362" s="5" t="str">
        <f ca="1">IFERROR(__xludf.DUMMYFUNCTION("""COMPUTED_VALUE"""),"Yes")</f>
        <v>Yes</v>
      </c>
      <c r="M362" s="5" t="str">
        <f ca="1">IFERROR(__xludf.DUMMYFUNCTION("""COMPUTED_VALUE"""),"Yes")</f>
        <v>Yes</v>
      </c>
      <c r="N362" s="5" t="str">
        <f ca="1">IFERROR(__xludf.DUMMYFUNCTION("""COMPUTED_VALUE"""),"Yes")</f>
        <v>Yes</v>
      </c>
      <c r="O362" s="5" t="str">
        <f ca="1">IFERROR(__xludf.DUMMYFUNCTION("""COMPUTED_VALUE"""),"Yes")</f>
        <v>Yes</v>
      </c>
      <c r="P362" s="5" t="str">
        <f ca="1">IFERROR(__xludf.DUMMYFUNCTION("""COMPUTED_VALUE"""),"Yes")</f>
        <v>Yes</v>
      </c>
      <c r="Q362" s="5" t="str">
        <f ca="1">IFERROR(__xludf.DUMMYFUNCTION("""COMPUTED_VALUE"""),"Yes")</f>
        <v>Yes</v>
      </c>
      <c r="R362" s="5" t="str">
        <f ca="1">IFERROR(__xludf.DUMMYFUNCTION("""COMPUTED_VALUE"""),"Yes")</f>
        <v>Yes</v>
      </c>
      <c r="S362" s="5" t="str">
        <f ca="1">IFERROR(__xludf.DUMMYFUNCTION("""COMPUTED_VALUE"""),"Yes")</f>
        <v>Yes</v>
      </c>
      <c r="T362" s="5" t="str">
        <f ca="1">IFERROR(__xludf.DUMMYFUNCTION("""COMPUTED_VALUE"""),"Yes")</f>
        <v>Yes</v>
      </c>
      <c r="U362" s="5" t="str">
        <f ca="1">IFERROR(__xludf.DUMMYFUNCTION("""COMPUTED_VALUE"""),"Yes")</f>
        <v>Yes</v>
      </c>
      <c r="V362" s="5" t="str">
        <f ca="1">IFERROR(__xludf.DUMMYFUNCTION("""COMPUTED_VALUE"""),"Yes")</f>
        <v>Yes</v>
      </c>
      <c r="W362" s="5" t="str">
        <f ca="1">IFERROR(__xludf.DUMMYFUNCTION("""COMPUTED_VALUE"""),"Yes")</f>
        <v>Yes</v>
      </c>
      <c r="X362" s="5"/>
      <c r="Y362" s="5" t="str">
        <f ca="1">IFERROR(__xludf.DUMMYFUNCTION("""COMPUTED_VALUE"""),"Yes")</f>
        <v>Yes</v>
      </c>
      <c r="Z362" s="5"/>
      <c r="AA362" s="5" t="str">
        <f ca="1">IFERROR(__xludf.DUMMYFUNCTION("""COMPUTED_VALUE"""),"Yes")</f>
        <v>Yes</v>
      </c>
      <c r="AB362" s="5" t="str">
        <f ca="1">IFERROR(__xludf.DUMMYFUNCTION("""COMPUTED_VALUE"""),"Yes")</f>
        <v>Yes</v>
      </c>
      <c r="AC362" s="5" t="str">
        <f ca="1">IFERROR(__xludf.DUMMYFUNCTION("""COMPUTED_VALUE"""),"Yes")</f>
        <v>Yes</v>
      </c>
      <c r="AD362" s="5" t="str">
        <f ca="1">IFERROR(__xludf.DUMMYFUNCTION("""COMPUTED_VALUE"""),"Yes")</f>
        <v>Yes</v>
      </c>
      <c r="AE362" s="5"/>
      <c r="AF362" s="5" t="str">
        <f ca="1">IFERROR(__xludf.DUMMYFUNCTION("""COMPUTED_VALUE"""),"Yes")</f>
        <v>Yes</v>
      </c>
      <c r="AG362" s="5"/>
      <c r="AH362" s="5"/>
      <c r="AI362" s="5"/>
      <c r="AJ362" s="5"/>
      <c r="AK362" s="5"/>
      <c r="AL362" s="5"/>
      <c r="AM362" s="5"/>
      <c r="AN362" s="5"/>
      <c r="AO362" s="5"/>
      <c r="AP362" s="5"/>
      <c r="AQ362" s="5"/>
      <c r="AR362" s="5"/>
      <c r="AS362" s="5"/>
      <c r="AT362" s="5"/>
      <c r="AU362" s="5"/>
      <c r="AV362" s="5"/>
      <c r="AW362" s="5"/>
      <c r="AX362" s="5"/>
      <c r="AY362" s="5"/>
    </row>
    <row r="363" spans="1:51" x14ac:dyDescent="0.25">
      <c r="A36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63" s="5">
        <f ca="1">IFERROR(__xludf.DUMMYFUNCTION("""COMPUTED_VALUE"""),367)</f>
        <v>367</v>
      </c>
      <c r="C363" s="5">
        <f ca="1">IFERROR(__xludf.DUMMYFUNCTION("""COMPUTED_VALUE"""),341)</f>
        <v>341</v>
      </c>
      <c r="D363" s="5" t="str">
        <f ca="1">IFERROR(__xludf.DUMMYFUNCTION("""COMPUTED_VALUE"""),"Redstone81VegasCrown")</f>
        <v>Redstone81VegasCrown</v>
      </c>
      <c r="E363" s="5" t="str">
        <f ca="1">IFERROR(__xludf.DUMMYFUNCTION("""COMPUTED_VALUE"""),"Yes")</f>
        <v>Yes</v>
      </c>
      <c r="F363" s="5" t="str">
        <f ca="1">IFERROR(__xludf.DUMMYFUNCTION("""COMPUTED_VALUE"""),"Yes")</f>
        <v>Yes</v>
      </c>
      <c r="G363" s="5" t="str">
        <f ca="1">IFERROR(__xludf.DUMMYFUNCTION("""COMPUTED_VALUE"""),"Yes")</f>
        <v>Yes</v>
      </c>
      <c r="H363" s="5" t="str">
        <f ca="1">IFERROR(__xludf.DUMMYFUNCTION("""COMPUTED_VALUE"""),"No")</f>
        <v>No</v>
      </c>
      <c r="I363" s="5" t="str">
        <f ca="1">IFERROR(__xludf.DUMMYFUNCTION("""COMPUTED_VALUE"""),"No")</f>
        <v>No</v>
      </c>
      <c r="J363" s="5" t="str">
        <f ca="1">IFERROR(__xludf.DUMMYFUNCTION("""COMPUTED_VALUE"""),"No")</f>
        <v>No</v>
      </c>
      <c r="K363" s="5" t="str">
        <f ca="1">IFERROR(__xludf.DUMMYFUNCTION("""COMPUTED_VALUE"""),"No")</f>
        <v>No</v>
      </c>
      <c r="L363" s="5" t="str">
        <f ca="1">IFERROR(__xludf.DUMMYFUNCTION("""COMPUTED_VALUE"""),"No")</f>
        <v>No</v>
      </c>
      <c r="M363" s="5" t="str">
        <f ca="1">IFERROR(__xludf.DUMMYFUNCTION("""COMPUTED_VALUE"""),"Yes")</f>
        <v>Yes</v>
      </c>
      <c r="N363" s="5" t="str">
        <f ca="1">IFERROR(__xludf.DUMMYFUNCTION("""COMPUTED_VALUE"""),"Yes")</f>
        <v>Yes</v>
      </c>
      <c r="O363" s="5" t="str">
        <f ca="1">IFERROR(__xludf.DUMMYFUNCTION("""COMPUTED_VALUE"""),"Yes")</f>
        <v>Yes</v>
      </c>
      <c r="P363" s="5" t="str">
        <f ca="1">IFERROR(__xludf.DUMMYFUNCTION("""COMPUTED_VALUE"""),"Yes")</f>
        <v>Yes</v>
      </c>
      <c r="Q363" s="5" t="str">
        <f ca="1">IFERROR(__xludf.DUMMYFUNCTION("""COMPUTED_VALUE"""),"Yes")</f>
        <v>Yes</v>
      </c>
      <c r="R363" s="5" t="str">
        <f ca="1">IFERROR(__xludf.DUMMYFUNCTION("""COMPUTED_VALUE"""),"No")</f>
        <v>No</v>
      </c>
      <c r="S363" s="5" t="str">
        <f ca="1">IFERROR(__xludf.DUMMYFUNCTION("""COMPUTED_VALUE"""),"Yes")</f>
        <v>Yes</v>
      </c>
      <c r="T363" s="5" t="str">
        <f ca="1">IFERROR(__xludf.DUMMYFUNCTION("""COMPUTED_VALUE"""),"No")</f>
        <v>No</v>
      </c>
      <c r="U363" s="5" t="str">
        <f ca="1">IFERROR(__xludf.DUMMYFUNCTION("""COMPUTED_VALUE"""),"No")</f>
        <v>No</v>
      </c>
      <c r="V363" s="5" t="str">
        <f ca="1">IFERROR(__xludf.DUMMYFUNCTION("""COMPUTED_VALUE"""),"No")</f>
        <v>No</v>
      </c>
      <c r="W363" s="5" t="str">
        <f ca="1">IFERROR(__xludf.DUMMYFUNCTION("""COMPUTED_VALUE"""),"No")</f>
        <v>No</v>
      </c>
      <c r="X363" s="5"/>
      <c r="Y363" s="5" t="str">
        <f ca="1">IFERROR(__xludf.DUMMYFUNCTION("""COMPUTED_VALUE"""),"No")</f>
        <v>No</v>
      </c>
      <c r="Z363" s="5"/>
      <c r="AA363" s="5" t="str">
        <f ca="1">IFERROR(__xludf.DUMMYFUNCTION("""COMPUTED_VALUE"""),"No")</f>
        <v>No</v>
      </c>
      <c r="AB363" s="5" t="str">
        <f ca="1">IFERROR(__xludf.DUMMYFUNCTION("""COMPUTED_VALUE"""),"No")</f>
        <v>No</v>
      </c>
      <c r="AC363" s="5" t="str">
        <f ca="1">IFERROR(__xludf.DUMMYFUNCTION("""COMPUTED_VALUE"""),"No")</f>
        <v>No</v>
      </c>
      <c r="AD363" s="5" t="str">
        <f ca="1">IFERROR(__xludf.DUMMYFUNCTION("""COMPUTED_VALUE"""),"No")</f>
        <v>No</v>
      </c>
      <c r="AE363" s="5"/>
      <c r="AF363" s="5" t="str">
        <f ca="1">IFERROR(__xludf.DUMMYFUNCTION("""COMPUTED_VALUE"""),"No")</f>
        <v>No</v>
      </c>
      <c r="AG363" s="5"/>
      <c r="AH363" s="5"/>
      <c r="AI363" s="5"/>
      <c r="AJ363" s="5"/>
      <c r="AK363" s="5"/>
      <c r="AL363" s="5"/>
      <c r="AM363" s="5"/>
      <c r="AN363" s="5"/>
      <c r="AO363" s="5"/>
      <c r="AP363" s="5"/>
      <c r="AQ363" s="5"/>
      <c r="AR363" s="5"/>
      <c r="AS363" s="5"/>
      <c r="AT363" s="5"/>
      <c r="AU363" s="5"/>
      <c r="AV363" s="5"/>
      <c r="AW363" s="5"/>
      <c r="AX363" s="5"/>
      <c r="AY363" s="5"/>
    </row>
    <row r="364" spans="1:51" x14ac:dyDescent="0.25">
      <c r="A364" s="5" t="str">
        <f ca="1">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4" s="5">
        <f ca="1">IFERROR(__xludf.DUMMYFUNCTION("""COMPUTED_VALUE"""),368)</f>
        <v>368</v>
      </c>
      <c r="C364" s="5">
        <f ca="1">IFERROR(__xludf.DUMMYFUNCTION("""COMPUTED_VALUE"""),342)</f>
        <v>342</v>
      </c>
      <c r="D364" s="5" t="str">
        <f ca="1">IFERROR(__xludf.DUMMYFUNCTION("""COMPUTED_VALUE"""),"UnicornLavaDice")</f>
        <v>UnicornLavaDice</v>
      </c>
      <c r="E364" s="5" t="str">
        <f ca="1">IFERROR(__xludf.DUMMYFUNCTION("""COMPUTED_VALUE"""),"Yes")</f>
        <v>Yes</v>
      </c>
      <c r="F364" s="5" t="str">
        <f ca="1">IFERROR(__xludf.DUMMYFUNCTION("""COMPUTED_VALUE"""),"Yes")</f>
        <v>Yes</v>
      </c>
      <c r="G364" s="5" t="str">
        <f ca="1">IFERROR(__xludf.DUMMYFUNCTION("""COMPUTED_VALUE"""),"No")</f>
        <v>No</v>
      </c>
      <c r="H364" s="5" t="str">
        <f ca="1">IFERROR(__xludf.DUMMYFUNCTION("""COMPUTED_VALUE"""),"Yes")</f>
        <v>Yes</v>
      </c>
      <c r="I364" s="5" t="str">
        <f ca="1">IFERROR(__xludf.DUMMYFUNCTION("""COMPUTED_VALUE"""),"Yes")</f>
        <v>Yes</v>
      </c>
      <c r="J364" s="5" t="str">
        <f ca="1">IFERROR(__xludf.DUMMYFUNCTION("""COMPUTED_VALUE"""),"Yes")</f>
        <v>Yes</v>
      </c>
      <c r="K364" s="5" t="str">
        <f ca="1">IFERROR(__xludf.DUMMYFUNCTION("""COMPUTED_VALUE"""),"Yes")</f>
        <v>Yes</v>
      </c>
      <c r="L364" s="5" t="str">
        <f ca="1">IFERROR(__xludf.DUMMYFUNCTION("""COMPUTED_VALUE"""),"Yes")</f>
        <v>Yes</v>
      </c>
      <c r="M364" s="5" t="str">
        <f ca="1">IFERROR(__xludf.DUMMYFUNCTION("""COMPUTED_VALUE"""),"Yes")</f>
        <v>Yes</v>
      </c>
      <c r="N364" s="5" t="str">
        <f ca="1">IFERROR(__xludf.DUMMYFUNCTION("""COMPUTED_VALUE"""),"Yes")</f>
        <v>Yes</v>
      </c>
      <c r="O364" s="5" t="str">
        <f ca="1">IFERROR(__xludf.DUMMYFUNCTION("""COMPUTED_VALUE"""),"Yes")</f>
        <v>Yes</v>
      </c>
      <c r="P364" s="5" t="str">
        <f ca="1">IFERROR(__xludf.DUMMYFUNCTION("""COMPUTED_VALUE"""),"Yes")</f>
        <v>Yes</v>
      </c>
      <c r="Q364" s="5" t="str">
        <f ca="1">IFERROR(__xludf.DUMMYFUNCTION("""COMPUTED_VALUE"""),"Yes")</f>
        <v>Yes</v>
      </c>
      <c r="R364" s="5" t="str">
        <f ca="1">IFERROR(__xludf.DUMMYFUNCTION("""COMPUTED_VALUE"""),"No")</f>
        <v>No</v>
      </c>
      <c r="S364" s="5" t="str">
        <f ca="1">IFERROR(__xludf.DUMMYFUNCTION("""COMPUTED_VALUE"""),"Yes")</f>
        <v>Yes</v>
      </c>
      <c r="T364" s="5" t="str">
        <f ca="1">IFERROR(__xludf.DUMMYFUNCTION("""COMPUTED_VALUE"""),"No")</f>
        <v>No</v>
      </c>
      <c r="U364" s="5" t="str">
        <f ca="1">IFERROR(__xludf.DUMMYFUNCTION("""COMPUTED_VALUE"""),"No")</f>
        <v>No</v>
      </c>
      <c r="V364" s="5" t="str">
        <f ca="1">IFERROR(__xludf.DUMMYFUNCTION("""COMPUTED_VALUE"""),"No")</f>
        <v>No</v>
      </c>
      <c r="W364" s="5" t="str">
        <f ca="1">IFERROR(__xludf.DUMMYFUNCTION("""COMPUTED_VALUE"""),"No")</f>
        <v>No</v>
      </c>
      <c r="X364" s="5" t="str">
        <f ca="1">IFERROR(__xludf.DUMMYFUNCTION("""COMPUTED_VALUE"""),"No")</f>
        <v>No</v>
      </c>
      <c r="Y364" s="5" t="str">
        <f ca="1">IFERROR(__xludf.DUMMYFUNCTION("""COMPUTED_VALUE"""),"No")</f>
        <v>No</v>
      </c>
      <c r="Z364" s="5" t="str">
        <f ca="1">IFERROR(__xludf.DUMMYFUNCTION("""COMPUTED_VALUE"""),"No")</f>
        <v>No</v>
      </c>
      <c r="AA364" s="5" t="str">
        <f ca="1">IFERROR(__xludf.DUMMYFUNCTION("""COMPUTED_VALUE"""),"No")</f>
        <v>No</v>
      </c>
      <c r="AB364" s="5" t="str">
        <f ca="1">IFERROR(__xludf.DUMMYFUNCTION("""COMPUTED_VALUE"""),"No")</f>
        <v>No</v>
      </c>
      <c r="AC364" s="5" t="str">
        <f ca="1">IFERROR(__xludf.DUMMYFUNCTION("""COMPUTED_VALUE"""),"No")</f>
        <v>No</v>
      </c>
      <c r="AD364" s="5" t="str">
        <f ca="1">IFERROR(__xludf.DUMMYFUNCTION("""COMPUTED_VALUE"""),"No")</f>
        <v>No</v>
      </c>
      <c r="AE364" s="5" t="str">
        <f ca="1">IFERROR(__xludf.DUMMYFUNCTION("""COMPUTED_VALUE"""),"No")</f>
        <v>No</v>
      </c>
      <c r="AF364" s="5" t="str">
        <f ca="1">IFERROR(__xludf.DUMMYFUNCTION("""COMPUTED_VALUE"""),"Yes")</f>
        <v>Yes</v>
      </c>
      <c r="AG364" s="5" t="str">
        <f ca="1">IFERROR(__xludf.DUMMYFUNCTION("""COMPUTED_VALUE"""),"No")</f>
        <v>No</v>
      </c>
      <c r="AH364" s="5" t="str">
        <f ca="1">IFERROR(__xludf.DUMMYFUNCTION("""COMPUTED_VALUE"""),"Yes")</f>
        <v>Yes</v>
      </c>
      <c r="AI364" s="5" t="str">
        <f ca="1">IFERROR(__xludf.DUMMYFUNCTION("""COMPUTED_VALUE"""),"No")</f>
        <v>No</v>
      </c>
      <c r="AJ364" s="5" t="str">
        <f ca="1">IFERROR(__xludf.DUMMYFUNCTION("""COMPUTED_VALUE"""),"No")</f>
        <v>No</v>
      </c>
      <c r="AK364" s="5" t="str">
        <f ca="1">IFERROR(__xludf.DUMMYFUNCTION("""COMPUTED_VALUE"""),"No")</f>
        <v>No</v>
      </c>
      <c r="AL364" s="5" t="str">
        <f ca="1">IFERROR(__xludf.DUMMYFUNCTION("""COMPUTED_VALUE"""),"No")</f>
        <v>No</v>
      </c>
      <c r="AM364" s="5"/>
      <c r="AN364" s="5"/>
      <c r="AO364" s="5"/>
      <c r="AP364" s="5"/>
      <c r="AQ364" s="5"/>
      <c r="AR364" s="5"/>
      <c r="AS364" s="5"/>
      <c r="AT364" s="5"/>
      <c r="AU364" s="5"/>
      <c r="AV364" s="5"/>
      <c r="AW364" s="5"/>
      <c r="AX364" s="5"/>
      <c r="AY364" s="5"/>
    </row>
    <row r="365" spans="1:51" x14ac:dyDescent="0.25">
      <c r="A36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65" s="5">
        <f ca="1">IFERROR(__xludf.DUMMYFUNCTION("""COMPUTED_VALUE"""),369)</f>
        <v>369</v>
      </c>
      <c r="C365" s="5">
        <f ca="1">IFERROR(__xludf.DUMMYFUNCTION("""COMPUTED_VALUE"""),343)</f>
        <v>343</v>
      </c>
      <c r="D365" s="5" t="str">
        <f ca="1">IFERROR(__xludf.DUMMYFUNCTION("""COMPUTED_VALUE"""),"RedstoneApollo27Classic")</f>
        <v>RedstoneApollo27Classic</v>
      </c>
      <c r="E365" s="5" t="str">
        <f ca="1">IFERROR(__xludf.DUMMYFUNCTION("""COMPUTED_VALUE"""),"Yes")</f>
        <v>Yes</v>
      </c>
      <c r="F365" s="5" t="str">
        <f ca="1">IFERROR(__xludf.DUMMYFUNCTION("""COMPUTED_VALUE"""),"Yes")</f>
        <v>Yes</v>
      </c>
      <c r="G365" s="5" t="str">
        <f ca="1">IFERROR(__xludf.DUMMYFUNCTION("""COMPUTED_VALUE"""),"Yes")</f>
        <v>Yes</v>
      </c>
      <c r="H365" s="5" t="str">
        <f ca="1">IFERROR(__xludf.DUMMYFUNCTION("""COMPUTED_VALUE"""),"No")</f>
        <v>No</v>
      </c>
      <c r="I365" s="5" t="str">
        <f ca="1">IFERROR(__xludf.DUMMYFUNCTION("""COMPUTED_VALUE"""),"No")</f>
        <v>No</v>
      </c>
      <c r="J365" s="5" t="str">
        <f ca="1">IFERROR(__xludf.DUMMYFUNCTION("""COMPUTED_VALUE"""),"No")</f>
        <v>No</v>
      </c>
      <c r="K365" s="5" t="str">
        <f ca="1">IFERROR(__xludf.DUMMYFUNCTION("""COMPUTED_VALUE"""),"No")</f>
        <v>No</v>
      </c>
      <c r="L365" s="5" t="str">
        <f ca="1">IFERROR(__xludf.DUMMYFUNCTION("""COMPUTED_VALUE"""),"No")</f>
        <v>No</v>
      </c>
      <c r="M365" s="5" t="str">
        <f ca="1">IFERROR(__xludf.DUMMYFUNCTION("""COMPUTED_VALUE"""),"Yes")</f>
        <v>Yes</v>
      </c>
      <c r="N365" s="5" t="str">
        <f ca="1">IFERROR(__xludf.DUMMYFUNCTION("""COMPUTED_VALUE"""),"Yes")</f>
        <v>Yes</v>
      </c>
      <c r="O365" s="5" t="str">
        <f ca="1">IFERROR(__xludf.DUMMYFUNCTION("""COMPUTED_VALUE"""),"Yes")</f>
        <v>Yes</v>
      </c>
      <c r="P365" s="5" t="str">
        <f ca="1">IFERROR(__xludf.DUMMYFUNCTION("""COMPUTED_VALUE"""),"Yes")</f>
        <v>Yes</v>
      </c>
      <c r="Q365" s="5" t="str">
        <f ca="1">IFERROR(__xludf.DUMMYFUNCTION("""COMPUTED_VALUE"""),"Yes")</f>
        <v>Yes</v>
      </c>
      <c r="R365" s="5" t="str">
        <f ca="1">IFERROR(__xludf.DUMMYFUNCTION("""COMPUTED_VALUE"""),"No")</f>
        <v>No</v>
      </c>
      <c r="S365" s="5" t="str">
        <f ca="1">IFERROR(__xludf.DUMMYFUNCTION("""COMPUTED_VALUE"""),"Yes")</f>
        <v>Yes</v>
      </c>
      <c r="T365" s="5" t="str">
        <f ca="1">IFERROR(__xludf.DUMMYFUNCTION("""COMPUTED_VALUE"""),"No")</f>
        <v>No</v>
      </c>
      <c r="U365" s="5" t="str">
        <f ca="1">IFERROR(__xludf.DUMMYFUNCTION("""COMPUTED_VALUE"""),"No")</f>
        <v>No</v>
      </c>
      <c r="V365" s="5" t="str">
        <f ca="1">IFERROR(__xludf.DUMMYFUNCTION("""COMPUTED_VALUE"""),"No")</f>
        <v>No</v>
      </c>
      <c r="W365" s="5" t="str">
        <f ca="1">IFERROR(__xludf.DUMMYFUNCTION("""COMPUTED_VALUE"""),"No")</f>
        <v>No</v>
      </c>
      <c r="X365" s="5"/>
      <c r="Y365" s="5"/>
      <c r="Z365" s="5"/>
      <c r="AA365" s="5"/>
      <c r="AB365" s="5"/>
      <c r="AC365" s="5" t="str">
        <f ca="1">IFERROR(__xludf.DUMMYFUNCTION("""COMPUTED_VALUE"""),"No")</f>
        <v>No</v>
      </c>
      <c r="AD365" s="5"/>
      <c r="AE365" s="5"/>
      <c r="AF365" s="5"/>
      <c r="AG365" s="5"/>
      <c r="AH365" s="5"/>
      <c r="AI365" s="5"/>
      <c r="AJ365" s="5"/>
      <c r="AK365" s="5"/>
      <c r="AL365" s="5"/>
      <c r="AM365" s="5"/>
      <c r="AN365" s="5"/>
      <c r="AO365" s="5"/>
      <c r="AP365" s="5"/>
      <c r="AQ365" s="5"/>
      <c r="AR365" s="5"/>
      <c r="AS365" s="5"/>
      <c r="AT365" s="5"/>
      <c r="AU365" s="5"/>
      <c r="AV365" s="5"/>
      <c r="AW365" s="5"/>
      <c r="AX365" s="5"/>
      <c r="AY365" s="5"/>
    </row>
    <row r="366" spans="1:51" x14ac:dyDescent="0.25">
      <c r="A366" s="5" t="str">
        <f ca="1">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6" s="5">
        <f ca="1">IFERROR(__xludf.DUMMYFUNCTION("""COMPUTED_VALUE"""),370)</f>
        <v>370</v>
      </c>
      <c r="C366" s="5">
        <f ca="1">IFERROR(__xludf.DUMMYFUNCTION("""COMPUTED_VALUE"""),346)</f>
        <v>346</v>
      </c>
      <c r="D366" s="5" t="str">
        <f ca="1">IFERROR(__xludf.DUMMYFUNCTION("""COMPUTED_VALUE"""),"FortuneClover5")</f>
        <v>FortuneClover5</v>
      </c>
      <c r="E366" s="5" t="str">
        <f ca="1">IFERROR(__xludf.DUMMYFUNCTION("""COMPUTED_VALUE"""),"Yes")</f>
        <v>Yes</v>
      </c>
      <c r="F366" s="5" t="str">
        <f ca="1">IFERROR(__xludf.DUMMYFUNCTION("""COMPUTED_VALUE"""),"Yes")</f>
        <v>Yes</v>
      </c>
      <c r="G366" s="5" t="str">
        <f ca="1">IFERROR(__xludf.DUMMYFUNCTION("""COMPUTED_VALUE"""),"No")</f>
        <v>No</v>
      </c>
      <c r="H366" s="5" t="str">
        <f ca="1">IFERROR(__xludf.DUMMYFUNCTION("""COMPUTED_VALUE"""),"Yes")</f>
        <v>Yes</v>
      </c>
      <c r="I366" s="5" t="str">
        <f ca="1">IFERROR(__xludf.DUMMYFUNCTION("""COMPUTED_VALUE"""),"Yes")</f>
        <v>Yes</v>
      </c>
      <c r="J366" s="5" t="str">
        <f ca="1">IFERROR(__xludf.DUMMYFUNCTION("""COMPUTED_VALUE"""),"Yes")</f>
        <v>Yes</v>
      </c>
      <c r="K366" s="5" t="str">
        <f ca="1">IFERROR(__xludf.DUMMYFUNCTION("""COMPUTED_VALUE"""),"Yes")</f>
        <v>Yes</v>
      </c>
      <c r="L366" s="5" t="str">
        <f ca="1">IFERROR(__xludf.DUMMYFUNCTION("""COMPUTED_VALUE"""),"Yes")</f>
        <v>Yes</v>
      </c>
      <c r="M366" s="5" t="str">
        <f ca="1">IFERROR(__xludf.DUMMYFUNCTION("""COMPUTED_VALUE"""),"Yes")</f>
        <v>Yes</v>
      </c>
      <c r="N366" s="5" t="str">
        <f ca="1">IFERROR(__xludf.DUMMYFUNCTION("""COMPUTED_VALUE"""),"Yes")</f>
        <v>Yes</v>
      </c>
      <c r="O366" s="5" t="str">
        <f ca="1">IFERROR(__xludf.DUMMYFUNCTION("""COMPUTED_VALUE"""),"Yes")</f>
        <v>Yes</v>
      </c>
      <c r="P366" s="5" t="str">
        <f ca="1">IFERROR(__xludf.DUMMYFUNCTION("""COMPUTED_VALUE"""),"Yes")</f>
        <v>Yes</v>
      </c>
      <c r="Q366" s="5" t="str">
        <f ca="1">IFERROR(__xludf.DUMMYFUNCTION("""COMPUTED_VALUE"""),"Yes")</f>
        <v>Yes</v>
      </c>
      <c r="R366" s="5" t="str">
        <f ca="1">IFERROR(__xludf.DUMMYFUNCTION("""COMPUTED_VALUE"""),"No")</f>
        <v>No</v>
      </c>
      <c r="S366" s="5" t="str">
        <f ca="1">IFERROR(__xludf.DUMMYFUNCTION("""COMPUTED_VALUE"""),"Yes")</f>
        <v>Yes</v>
      </c>
      <c r="T366" s="5" t="str">
        <f ca="1">IFERROR(__xludf.DUMMYFUNCTION("""COMPUTED_VALUE"""),"No")</f>
        <v>No</v>
      </c>
      <c r="U366" s="5" t="str">
        <f ca="1">IFERROR(__xludf.DUMMYFUNCTION("""COMPUTED_VALUE"""),"No")</f>
        <v>No</v>
      </c>
      <c r="V366" s="5" t="str">
        <f ca="1">IFERROR(__xludf.DUMMYFUNCTION("""COMPUTED_VALUE"""),"No")</f>
        <v>No</v>
      </c>
      <c r="W366" s="5" t="str">
        <f ca="1">IFERROR(__xludf.DUMMYFUNCTION("""COMPUTED_VALUE"""),"No")</f>
        <v>No</v>
      </c>
      <c r="X366" s="5" t="str">
        <f ca="1">IFERROR(__xludf.DUMMYFUNCTION("""COMPUTED_VALUE"""),"No")</f>
        <v>No</v>
      </c>
      <c r="Y366" s="5" t="str">
        <f ca="1">IFERROR(__xludf.DUMMYFUNCTION("""COMPUTED_VALUE"""),"No")</f>
        <v>No</v>
      </c>
      <c r="Z366" s="5" t="str">
        <f ca="1">IFERROR(__xludf.DUMMYFUNCTION("""COMPUTED_VALUE"""),"No")</f>
        <v>No</v>
      </c>
      <c r="AA366" s="5" t="str">
        <f ca="1">IFERROR(__xludf.DUMMYFUNCTION("""COMPUTED_VALUE"""),"No")</f>
        <v>No</v>
      </c>
      <c r="AB366" s="5" t="str">
        <f ca="1">IFERROR(__xludf.DUMMYFUNCTION("""COMPUTED_VALUE"""),"No")</f>
        <v>No</v>
      </c>
      <c r="AC366" s="5" t="str">
        <f ca="1">IFERROR(__xludf.DUMMYFUNCTION("""COMPUTED_VALUE"""),"No")</f>
        <v>No</v>
      </c>
      <c r="AD366" s="5" t="str">
        <f ca="1">IFERROR(__xludf.DUMMYFUNCTION("""COMPUTED_VALUE"""),"No")</f>
        <v>No</v>
      </c>
      <c r="AE366" s="5" t="str">
        <f ca="1">IFERROR(__xludf.DUMMYFUNCTION("""COMPUTED_VALUE"""),"No")</f>
        <v>No</v>
      </c>
      <c r="AF366" s="5" t="str">
        <f ca="1">IFERROR(__xludf.DUMMYFUNCTION("""COMPUTED_VALUE"""),"Yes")</f>
        <v>Yes</v>
      </c>
      <c r="AG366" s="5" t="str">
        <f ca="1">IFERROR(__xludf.DUMMYFUNCTION("""COMPUTED_VALUE"""),"No")</f>
        <v>No</v>
      </c>
      <c r="AH366" s="5" t="str">
        <f ca="1">IFERROR(__xludf.DUMMYFUNCTION("""COMPUTED_VALUE"""),"Yes")</f>
        <v>Yes</v>
      </c>
      <c r="AI366" s="5" t="str">
        <f ca="1">IFERROR(__xludf.DUMMYFUNCTION("""COMPUTED_VALUE"""),"No")</f>
        <v>No</v>
      </c>
      <c r="AJ366" s="5" t="str">
        <f ca="1">IFERROR(__xludf.DUMMYFUNCTION("""COMPUTED_VALUE"""),"No")</f>
        <v>No</v>
      </c>
      <c r="AK366" s="5" t="str">
        <f ca="1">IFERROR(__xludf.DUMMYFUNCTION("""COMPUTED_VALUE"""),"No")</f>
        <v>No</v>
      </c>
      <c r="AL366" s="5" t="str">
        <f ca="1">IFERROR(__xludf.DUMMYFUNCTION("""COMPUTED_VALUE"""),"No")</f>
        <v>No</v>
      </c>
      <c r="AM366" s="5"/>
      <c r="AN366" s="5"/>
      <c r="AO366" s="5"/>
      <c r="AP366" s="5"/>
      <c r="AQ366" s="5"/>
      <c r="AR366" s="5"/>
      <c r="AS366" s="5"/>
      <c r="AT366" s="5"/>
      <c r="AU366" s="5"/>
      <c r="AV366" s="5"/>
      <c r="AW366" s="5"/>
      <c r="AX366" s="5"/>
      <c r="AY366" s="5"/>
    </row>
    <row r="367" spans="1:51" x14ac:dyDescent="0.25">
      <c r="A367"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7" s="5">
        <f ca="1">IFERROR(__xludf.DUMMYFUNCTION("""COMPUTED_VALUE"""),371)</f>
        <v>371</v>
      </c>
      <c r="C367" s="5">
        <f ca="1">IFERROR(__xludf.DUMMYFUNCTION("""COMPUTED_VALUE"""),347)</f>
        <v>347</v>
      </c>
      <c r="D367" s="5" t="str">
        <f ca="1">IFERROR(__xludf.DUMMYFUNCTION("""COMPUTED_VALUE"""),"MajesticCrown10")</f>
        <v>MajesticCrown10</v>
      </c>
      <c r="E367" s="5" t="str">
        <f ca="1">IFERROR(__xludf.DUMMYFUNCTION("""COMPUTED_VALUE"""),"Yes")</f>
        <v>Yes</v>
      </c>
      <c r="F367" s="5" t="str">
        <f ca="1">IFERROR(__xludf.DUMMYFUNCTION("""COMPUTED_VALUE"""),"Yes")</f>
        <v>Yes</v>
      </c>
      <c r="G367" s="5" t="str">
        <f ca="1">IFERROR(__xludf.DUMMYFUNCTION("""COMPUTED_VALUE"""),"Yes")</f>
        <v>Yes</v>
      </c>
      <c r="H367" s="5" t="str">
        <f ca="1">IFERROR(__xludf.DUMMYFUNCTION("""COMPUTED_VALUE"""),"Yes")</f>
        <v>Yes</v>
      </c>
      <c r="I367" s="5" t="str">
        <f ca="1">IFERROR(__xludf.DUMMYFUNCTION("""COMPUTED_VALUE"""),"Yes")</f>
        <v>Yes</v>
      </c>
      <c r="J367" s="5" t="str">
        <f ca="1">IFERROR(__xludf.DUMMYFUNCTION("""COMPUTED_VALUE"""),"Yes")</f>
        <v>Yes</v>
      </c>
      <c r="K367" s="5" t="str">
        <f ca="1">IFERROR(__xludf.DUMMYFUNCTION("""COMPUTED_VALUE"""),"Yes")</f>
        <v>Yes</v>
      </c>
      <c r="L367" s="5" t="str">
        <f ca="1">IFERROR(__xludf.DUMMYFUNCTION("""COMPUTED_VALUE"""),"Yes")</f>
        <v>Yes</v>
      </c>
      <c r="M367" s="5" t="str">
        <f ca="1">IFERROR(__xludf.DUMMYFUNCTION("""COMPUTED_VALUE"""),"Yes")</f>
        <v>Yes</v>
      </c>
      <c r="N367" s="5" t="str">
        <f ca="1">IFERROR(__xludf.DUMMYFUNCTION("""COMPUTED_VALUE"""),"Yes")</f>
        <v>Yes</v>
      </c>
      <c r="O367" s="5" t="str">
        <f ca="1">IFERROR(__xludf.DUMMYFUNCTION("""COMPUTED_VALUE"""),"Yes")</f>
        <v>Yes</v>
      </c>
      <c r="P367" s="5" t="str">
        <f ca="1">IFERROR(__xludf.DUMMYFUNCTION("""COMPUTED_VALUE"""),"Yes")</f>
        <v>Yes</v>
      </c>
      <c r="Q367" s="5" t="str">
        <f ca="1">IFERROR(__xludf.DUMMYFUNCTION("""COMPUTED_VALUE"""),"Yes")</f>
        <v>Yes</v>
      </c>
      <c r="R367" s="5" t="str">
        <f ca="1">IFERROR(__xludf.DUMMYFUNCTION("""COMPUTED_VALUE"""),"Yes")</f>
        <v>Yes</v>
      </c>
      <c r="S367" s="5" t="str">
        <f ca="1">IFERROR(__xludf.DUMMYFUNCTION("""COMPUTED_VALUE"""),"Yes")</f>
        <v>Yes</v>
      </c>
      <c r="T367" s="5" t="str">
        <f ca="1">IFERROR(__xludf.DUMMYFUNCTION("""COMPUTED_VALUE"""),"No")</f>
        <v>No</v>
      </c>
      <c r="U367" s="5" t="str">
        <f ca="1">IFERROR(__xludf.DUMMYFUNCTION("""COMPUTED_VALUE"""),"No")</f>
        <v>No</v>
      </c>
      <c r="V367" s="5" t="str">
        <f ca="1">IFERROR(__xludf.DUMMYFUNCTION("""COMPUTED_VALUE"""),"No")</f>
        <v>No</v>
      </c>
      <c r="W367" s="5" t="str">
        <f ca="1">IFERROR(__xludf.DUMMYFUNCTION("""COMPUTED_VALUE"""),"No")</f>
        <v>No</v>
      </c>
      <c r="X367" s="5"/>
      <c r="Y367" s="5"/>
      <c r="Z367" s="5"/>
      <c r="AA367" s="5"/>
      <c r="AB367" s="5"/>
      <c r="AC367" s="5" t="str">
        <f ca="1">IFERROR(__xludf.DUMMYFUNCTION("""COMPUTED_VALUE"""),"No")</f>
        <v>No</v>
      </c>
      <c r="AD367" s="5"/>
      <c r="AE367" s="5"/>
      <c r="AF367" s="5" t="str">
        <f ca="1">IFERROR(__xludf.DUMMYFUNCTION("""COMPUTED_VALUE"""),"Yes")</f>
        <v>Yes</v>
      </c>
      <c r="AG367" s="5"/>
      <c r="AH367" s="5" t="str">
        <f ca="1">IFERROR(__xludf.DUMMYFUNCTION("""COMPUTED_VALUE"""),"Yes")</f>
        <v>Yes</v>
      </c>
      <c r="AI367" s="5"/>
      <c r="AJ367" s="5"/>
      <c r="AK367" s="5"/>
      <c r="AL367" s="5"/>
      <c r="AM367" s="5"/>
      <c r="AN367" s="5"/>
      <c r="AO367" s="5"/>
      <c r="AP367" s="5"/>
      <c r="AQ367" s="5"/>
      <c r="AR367" s="5"/>
      <c r="AS367" s="5"/>
      <c r="AT367" s="5"/>
      <c r="AU367" s="5"/>
      <c r="AV367" s="5"/>
      <c r="AW367" s="5"/>
      <c r="AX367" s="5"/>
      <c r="AY367" s="5"/>
    </row>
    <row r="368" spans="1:51" x14ac:dyDescent="0.25">
      <c r="A3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68" s="5">
        <f ca="1">IFERROR(__xludf.DUMMYFUNCTION("""COMPUTED_VALUE"""),373)</f>
        <v>373</v>
      </c>
      <c r="C368" s="5">
        <f ca="1">IFERROR(__xludf.DUMMYFUNCTION("""COMPUTED_VALUE"""),350)</f>
        <v>350</v>
      </c>
      <c r="D368" s="5" t="str">
        <f ca="1">IFERROR(__xludf.DUMMYFUNCTION("""COMPUTED_VALUE"""),"RedstoneDoubleFireClover")</f>
        <v>RedstoneDoubleFireClover</v>
      </c>
      <c r="E368" s="5" t="str">
        <f ca="1">IFERROR(__xludf.DUMMYFUNCTION("""COMPUTED_VALUE"""),"Yes")</f>
        <v>Yes</v>
      </c>
      <c r="F368" s="5" t="str">
        <f ca="1">IFERROR(__xludf.DUMMYFUNCTION("""COMPUTED_VALUE"""),"Yes")</f>
        <v>Yes</v>
      </c>
      <c r="G368" s="5" t="str">
        <f ca="1">IFERROR(__xludf.DUMMYFUNCTION("""COMPUTED_VALUE"""),"Yes")</f>
        <v>Yes</v>
      </c>
      <c r="H368" s="5" t="str">
        <f ca="1">IFERROR(__xludf.DUMMYFUNCTION("""COMPUTED_VALUE"""),"Yes")</f>
        <v>Yes</v>
      </c>
      <c r="I368" s="5" t="str">
        <f ca="1">IFERROR(__xludf.DUMMYFUNCTION("""COMPUTED_VALUE"""),"Yes")</f>
        <v>Yes</v>
      </c>
      <c r="J368" s="5" t="str">
        <f ca="1">IFERROR(__xludf.DUMMYFUNCTION("""COMPUTED_VALUE"""),"Yes")</f>
        <v>Yes</v>
      </c>
      <c r="K368" s="5" t="str">
        <f ca="1">IFERROR(__xludf.DUMMYFUNCTION("""COMPUTED_VALUE"""),"Yes")</f>
        <v>Yes</v>
      </c>
      <c r="L368" s="5" t="str">
        <f ca="1">IFERROR(__xludf.DUMMYFUNCTION("""COMPUTED_VALUE"""),"Yes")</f>
        <v>Yes</v>
      </c>
      <c r="M368" s="5" t="str">
        <f ca="1">IFERROR(__xludf.DUMMYFUNCTION("""COMPUTED_VALUE"""),"Yes")</f>
        <v>Yes</v>
      </c>
      <c r="N368" s="5" t="str">
        <f ca="1">IFERROR(__xludf.DUMMYFUNCTION("""COMPUTED_VALUE"""),"Yes")</f>
        <v>Yes</v>
      </c>
      <c r="O368" s="5" t="str">
        <f ca="1">IFERROR(__xludf.DUMMYFUNCTION("""COMPUTED_VALUE"""),"Yes")</f>
        <v>Yes</v>
      </c>
      <c r="P368" s="5" t="str">
        <f ca="1">IFERROR(__xludf.DUMMYFUNCTION("""COMPUTED_VALUE"""),"Yes")</f>
        <v>Yes</v>
      </c>
      <c r="Q368" s="5" t="str">
        <f ca="1">IFERROR(__xludf.DUMMYFUNCTION("""COMPUTED_VALUE"""),"Yes")</f>
        <v>Yes</v>
      </c>
      <c r="R368" s="5" t="str">
        <f ca="1">IFERROR(__xludf.DUMMYFUNCTION("""COMPUTED_VALUE"""),"Yes")</f>
        <v>Yes</v>
      </c>
      <c r="S368" s="5" t="str">
        <f ca="1">IFERROR(__xludf.DUMMYFUNCTION("""COMPUTED_VALUE"""),"Yes")</f>
        <v>Yes</v>
      </c>
      <c r="T368" s="5" t="str">
        <f ca="1">IFERROR(__xludf.DUMMYFUNCTION("""COMPUTED_VALUE"""),"Yes")</f>
        <v>Yes</v>
      </c>
      <c r="U368" s="5" t="str">
        <f ca="1">IFERROR(__xludf.DUMMYFUNCTION("""COMPUTED_VALUE"""),"Yes")</f>
        <v>Yes</v>
      </c>
      <c r="V368" s="5" t="str">
        <f ca="1">IFERROR(__xludf.DUMMYFUNCTION("""COMPUTED_VALUE"""),"Yes")</f>
        <v>Yes</v>
      </c>
      <c r="W368" s="5" t="str">
        <f ca="1">IFERROR(__xludf.DUMMYFUNCTION("""COMPUTED_VALUE"""),"Yes")</f>
        <v>Yes</v>
      </c>
      <c r="X368" s="5"/>
      <c r="Y368" s="5"/>
      <c r="Z368" s="5"/>
      <c r="AA368" s="5"/>
      <c r="AB368" s="5"/>
      <c r="AC368" s="5" t="str">
        <f ca="1">IFERROR(__xludf.DUMMYFUNCTION("""COMPUTED_VALUE"""),"Yes")</f>
        <v>Yes</v>
      </c>
      <c r="AD368" s="5"/>
      <c r="AE368" s="5"/>
      <c r="AF368" s="5"/>
      <c r="AG368" s="5"/>
      <c r="AH368" s="5"/>
      <c r="AI368" s="5"/>
      <c r="AJ368" s="5"/>
      <c r="AK368" s="5"/>
      <c r="AL368" s="5"/>
      <c r="AM368" s="5"/>
      <c r="AN368" s="5"/>
      <c r="AO368" s="5"/>
      <c r="AP368" s="5"/>
      <c r="AQ368" s="5"/>
      <c r="AR368" s="5"/>
      <c r="AS368" s="5"/>
      <c r="AT368" s="5"/>
      <c r="AU368" s="5"/>
      <c r="AV368" s="5"/>
      <c r="AW368" s="5"/>
      <c r="AX368" s="5"/>
      <c r="AY368" s="5"/>
    </row>
    <row r="369" spans="1:51" x14ac:dyDescent="0.25">
      <c r="A369"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9" s="5">
        <f ca="1">IFERROR(__xludf.DUMMYFUNCTION("""COMPUTED_VALUE"""),374)</f>
        <v>374</v>
      </c>
      <c r="C369" s="5">
        <f ca="1">IFERROR(__xludf.DUMMYFUNCTION("""COMPUTED_VALUE"""),351)</f>
        <v>351</v>
      </c>
      <c r="D369" s="5" t="str">
        <f ca="1">IFERROR(__xludf.DUMMYFUNCTION("""COMPUTED_VALUE"""),"PlayNetFortuneClover40")</f>
        <v>PlayNetFortuneClover40</v>
      </c>
      <c r="E369" s="5" t="str">
        <f ca="1">IFERROR(__xludf.DUMMYFUNCTION("""COMPUTED_VALUE"""),"Yes")</f>
        <v>Yes</v>
      </c>
      <c r="F369" s="5" t="str">
        <f ca="1">IFERROR(__xludf.DUMMYFUNCTION("""COMPUTED_VALUE"""),"Yes")</f>
        <v>Yes</v>
      </c>
      <c r="G369" s="5" t="str">
        <f ca="1">IFERROR(__xludf.DUMMYFUNCTION("""COMPUTED_VALUE"""),"Yes")</f>
        <v>Yes</v>
      </c>
      <c r="H369" s="5" t="str">
        <f ca="1">IFERROR(__xludf.DUMMYFUNCTION("""COMPUTED_VALUE"""),"Yes")</f>
        <v>Yes</v>
      </c>
      <c r="I369" s="5" t="str">
        <f ca="1">IFERROR(__xludf.DUMMYFUNCTION("""COMPUTED_VALUE"""),"Yes")</f>
        <v>Yes</v>
      </c>
      <c r="J369" s="5" t="str">
        <f ca="1">IFERROR(__xludf.DUMMYFUNCTION("""COMPUTED_VALUE"""),"Yes")</f>
        <v>Yes</v>
      </c>
      <c r="K369" s="5" t="str">
        <f ca="1">IFERROR(__xludf.DUMMYFUNCTION("""COMPUTED_VALUE"""),"Yes")</f>
        <v>Yes</v>
      </c>
      <c r="L369" s="5" t="str">
        <f ca="1">IFERROR(__xludf.DUMMYFUNCTION("""COMPUTED_VALUE"""),"Yes")</f>
        <v>Yes</v>
      </c>
      <c r="M369" s="5" t="str">
        <f ca="1">IFERROR(__xludf.DUMMYFUNCTION("""COMPUTED_VALUE"""),"Yes")</f>
        <v>Yes</v>
      </c>
      <c r="N369" s="5" t="str">
        <f ca="1">IFERROR(__xludf.DUMMYFUNCTION("""COMPUTED_VALUE"""),"Yes")</f>
        <v>Yes</v>
      </c>
      <c r="O369" s="5" t="str">
        <f ca="1">IFERROR(__xludf.DUMMYFUNCTION("""COMPUTED_VALUE"""),"Yes")</f>
        <v>Yes</v>
      </c>
      <c r="P369" s="5" t="str">
        <f ca="1">IFERROR(__xludf.DUMMYFUNCTION("""COMPUTED_VALUE"""),"Yes")</f>
        <v>Yes</v>
      </c>
      <c r="Q369" s="5" t="str">
        <f ca="1">IFERROR(__xludf.DUMMYFUNCTION("""COMPUTED_VALUE"""),"Yes")</f>
        <v>Yes</v>
      </c>
      <c r="R369" s="5" t="str">
        <f ca="1">IFERROR(__xludf.DUMMYFUNCTION("""COMPUTED_VALUE"""),"Yes")</f>
        <v>Yes</v>
      </c>
      <c r="S369" s="5" t="str">
        <f ca="1">IFERROR(__xludf.DUMMYFUNCTION("""COMPUTED_VALUE"""),"Yes")</f>
        <v>Yes</v>
      </c>
      <c r="T369" s="5" t="str">
        <f ca="1">IFERROR(__xludf.DUMMYFUNCTION("""COMPUTED_VALUE"""),"No")</f>
        <v>No</v>
      </c>
      <c r="U369" s="5" t="str">
        <f ca="1">IFERROR(__xludf.DUMMYFUNCTION("""COMPUTED_VALUE"""),"No")</f>
        <v>No</v>
      </c>
      <c r="V369" s="5" t="str">
        <f ca="1">IFERROR(__xludf.DUMMYFUNCTION("""COMPUTED_VALUE"""),"No")</f>
        <v>No</v>
      </c>
      <c r="W369" s="5" t="str">
        <f ca="1">IFERROR(__xludf.DUMMYFUNCTION("""COMPUTED_VALUE"""),"No")</f>
        <v>No</v>
      </c>
      <c r="X369" s="5" t="str">
        <f ca="1">IFERROR(__xludf.DUMMYFUNCTION("""COMPUTED_VALUE"""),"No")</f>
        <v>No</v>
      </c>
      <c r="Y369" s="5" t="str">
        <f ca="1">IFERROR(__xludf.DUMMYFUNCTION("""COMPUTED_VALUE"""),"No")</f>
        <v>No</v>
      </c>
      <c r="Z369" s="5" t="str">
        <f ca="1">IFERROR(__xludf.DUMMYFUNCTION("""COMPUTED_VALUE"""),"No")</f>
        <v>No</v>
      </c>
      <c r="AA369" s="5" t="str">
        <f ca="1">IFERROR(__xludf.DUMMYFUNCTION("""COMPUTED_VALUE"""),"No")</f>
        <v>No</v>
      </c>
      <c r="AB369" s="5" t="str">
        <f ca="1">IFERROR(__xludf.DUMMYFUNCTION("""COMPUTED_VALUE"""),"No")</f>
        <v>No</v>
      </c>
      <c r="AC369" s="5" t="str">
        <f ca="1">IFERROR(__xludf.DUMMYFUNCTION("""COMPUTED_VALUE"""),"No")</f>
        <v>No</v>
      </c>
      <c r="AD369" s="5" t="str">
        <f ca="1">IFERROR(__xludf.DUMMYFUNCTION("""COMPUTED_VALUE"""),"No")</f>
        <v>No</v>
      </c>
      <c r="AE369" s="5" t="str">
        <f ca="1">IFERROR(__xludf.DUMMYFUNCTION("""COMPUTED_VALUE"""),"No")</f>
        <v>No</v>
      </c>
      <c r="AF369" s="5" t="str">
        <f ca="1">IFERROR(__xludf.DUMMYFUNCTION("""COMPUTED_VALUE"""),"Yes")</f>
        <v>Yes</v>
      </c>
      <c r="AG369" s="5" t="str">
        <f ca="1">IFERROR(__xludf.DUMMYFUNCTION("""COMPUTED_VALUE"""),"No")</f>
        <v>No</v>
      </c>
      <c r="AH369" s="5" t="str">
        <f ca="1">IFERROR(__xludf.DUMMYFUNCTION("""COMPUTED_VALUE"""),"Yes")</f>
        <v>Yes</v>
      </c>
      <c r="AI369" s="5" t="str">
        <f ca="1">IFERROR(__xludf.DUMMYFUNCTION("""COMPUTED_VALUE"""),"No")</f>
        <v>No</v>
      </c>
      <c r="AJ369" s="5" t="str">
        <f ca="1">IFERROR(__xludf.DUMMYFUNCTION("""COMPUTED_VALUE"""),"No")</f>
        <v>No</v>
      </c>
      <c r="AK369" s="5" t="str">
        <f ca="1">IFERROR(__xludf.DUMMYFUNCTION("""COMPUTED_VALUE"""),"No")</f>
        <v>No</v>
      </c>
      <c r="AL369" s="5" t="str">
        <f ca="1">IFERROR(__xludf.DUMMYFUNCTION("""COMPUTED_VALUE"""),"No")</f>
        <v>No</v>
      </c>
      <c r="AM369" s="5"/>
      <c r="AN369" s="5"/>
      <c r="AO369" s="5"/>
      <c r="AP369" s="5"/>
      <c r="AQ369" s="5"/>
      <c r="AR369" s="5"/>
      <c r="AS369" s="5"/>
      <c r="AT369" s="5"/>
      <c r="AU369" s="5"/>
      <c r="AV369" s="5"/>
      <c r="AW369" s="5"/>
      <c r="AX369" s="5"/>
      <c r="AY369" s="5"/>
    </row>
    <row r="370" spans="1:51" x14ac:dyDescent="0.25">
      <c r="A37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0" s="5">
        <f ca="1">IFERROR(__xludf.DUMMYFUNCTION("""COMPUTED_VALUE"""),375)</f>
        <v>375</v>
      </c>
      <c r="C370" s="5">
        <f ca="1">IFERROR(__xludf.DUMMYFUNCTION("""COMPUTED_VALUE"""),352)</f>
        <v>352</v>
      </c>
      <c r="D370" s="5" t="str">
        <f ca="1">IFERROR(__xludf.DUMMYFUNCTION("""COMPUTED_VALUE"""),"PlayNetDiamondHeart5")</f>
        <v>PlayNetDiamondHeart5</v>
      </c>
      <c r="E370" s="5" t="str">
        <f ca="1">IFERROR(__xludf.DUMMYFUNCTION("""COMPUTED_VALUE"""),"Yes")</f>
        <v>Yes</v>
      </c>
      <c r="F370" s="5" t="str">
        <f ca="1">IFERROR(__xludf.DUMMYFUNCTION("""COMPUTED_VALUE"""),"Yes")</f>
        <v>Yes</v>
      </c>
      <c r="G370" s="5" t="str">
        <f ca="1">IFERROR(__xludf.DUMMYFUNCTION("""COMPUTED_VALUE"""),"Yes")</f>
        <v>Yes</v>
      </c>
      <c r="H370" s="5" t="str">
        <f ca="1">IFERROR(__xludf.DUMMYFUNCTION("""COMPUTED_VALUE"""),"Yes")</f>
        <v>Yes</v>
      </c>
      <c r="I370" s="5" t="str">
        <f ca="1">IFERROR(__xludf.DUMMYFUNCTION("""COMPUTED_VALUE"""),"Yes")</f>
        <v>Yes</v>
      </c>
      <c r="J370" s="5" t="str">
        <f ca="1">IFERROR(__xludf.DUMMYFUNCTION("""COMPUTED_VALUE"""),"Yes")</f>
        <v>Yes</v>
      </c>
      <c r="K370" s="5" t="str">
        <f ca="1">IFERROR(__xludf.DUMMYFUNCTION("""COMPUTED_VALUE"""),"Yes")</f>
        <v>Yes</v>
      </c>
      <c r="L370" s="5" t="str">
        <f ca="1">IFERROR(__xludf.DUMMYFUNCTION("""COMPUTED_VALUE"""),"Yes")</f>
        <v>Yes</v>
      </c>
      <c r="M370" s="5" t="str">
        <f ca="1">IFERROR(__xludf.DUMMYFUNCTION("""COMPUTED_VALUE"""),"Yes")</f>
        <v>Yes</v>
      </c>
      <c r="N370" s="5" t="str">
        <f ca="1">IFERROR(__xludf.DUMMYFUNCTION("""COMPUTED_VALUE"""),"Yes")</f>
        <v>Yes</v>
      </c>
      <c r="O370" s="5" t="str">
        <f ca="1">IFERROR(__xludf.DUMMYFUNCTION("""COMPUTED_VALUE"""),"Yes")</f>
        <v>Yes</v>
      </c>
      <c r="P370" s="5" t="str">
        <f ca="1">IFERROR(__xludf.DUMMYFUNCTION("""COMPUTED_VALUE"""),"Yes")</f>
        <v>Yes</v>
      </c>
      <c r="Q370" s="5" t="str">
        <f ca="1">IFERROR(__xludf.DUMMYFUNCTION("""COMPUTED_VALUE"""),"Yes")</f>
        <v>Yes</v>
      </c>
      <c r="R370" s="5" t="str">
        <f ca="1">IFERROR(__xludf.DUMMYFUNCTION("""COMPUTED_VALUE"""),"Yes")</f>
        <v>Yes</v>
      </c>
      <c r="S370" s="5" t="str">
        <f ca="1">IFERROR(__xludf.DUMMYFUNCTION("""COMPUTED_VALUE"""),"Yes")</f>
        <v>Yes</v>
      </c>
      <c r="T370" s="5" t="str">
        <f ca="1">IFERROR(__xludf.DUMMYFUNCTION("""COMPUTED_VALUE"""),"No")</f>
        <v>No</v>
      </c>
      <c r="U370" s="5" t="str">
        <f ca="1">IFERROR(__xludf.DUMMYFUNCTION("""COMPUTED_VALUE"""),"No")</f>
        <v>No</v>
      </c>
      <c r="V370" s="5" t="str">
        <f ca="1">IFERROR(__xludf.DUMMYFUNCTION("""COMPUTED_VALUE"""),"No")</f>
        <v>No</v>
      </c>
      <c r="W370" s="5" t="str">
        <f ca="1">IFERROR(__xludf.DUMMYFUNCTION("""COMPUTED_VALUE"""),"No")</f>
        <v>No</v>
      </c>
      <c r="X370" s="5"/>
      <c r="Y370" s="5"/>
      <c r="Z370" s="5"/>
      <c r="AA370" s="5"/>
      <c r="AB370" s="5"/>
      <c r="AC370" s="5" t="str">
        <f ca="1">IFERROR(__xludf.DUMMYFUNCTION("""COMPUTED_VALUE"""),"No")</f>
        <v>No</v>
      </c>
      <c r="AD370" s="5"/>
      <c r="AE370" s="5"/>
      <c r="AF370" s="5" t="str">
        <f ca="1">IFERROR(__xludf.DUMMYFUNCTION("""COMPUTED_VALUE"""),"Yes")</f>
        <v>Yes</v>
      </c>
      <c r="AG370" s="5"/>
      <c r="AH370" s="5" t="str">
        <f ca="1">IFERROR(__xludf.DUMMYFUNCTION("""COMPUTED_VALUE"""),"Yes")</f>
        <v>Yes</v>
      </c>
      <c r="AI370" s="5"/>
      <c r="AJ370" s="5"/>
      <c r="AK370" s="5"/>
      <c r="AL370" s="5"/>
      <c r="AM370" s="5"/>
      <c r="AN370" s="5"/>
      <c r="AO370" s="5"/>
      <c r="AP370" s="5"/>
      <c r="AQ370" s="5"/>
      <c r="AR370" s="5"/>
      <c r="AS370" s="5"/>
      <c r="AT370" s="5"/>
      <c r="AU370" s="5"/>
      <c r="AV370" s="5"/>
      <c r="AW370" s="5"/>
      <c r="AX370" s="5"/>
      <c r="AY370" s="5"/>
    </row>
    <row r="371" spans="1:51" x14ac:dyDescent="0.25">
      <c r="A3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1" s="5">
        <f ca="1">IFERROR(__xludf.DUMMYFUNCTION("""COMPUTED_VALUE"""),376)</f>
        <v>376</v>
      </c>
      <c r="C371" s="5">
        <f ca="1">IFERROR(__xludf.DUMMYFUNCTION("""COMPUTED_VALUE"""),354)</f>
        <v>354</v>
      </c>
      <c r="D371" s="5" t="str">
        <f ca="1">IFERROR(__xludf.DUMMYFUNCTION("""COMPUTED_VALUE"""),"Redstone100CloverFire")</f>
        <v>Redstone100CloverFire</v>
      </c>
      <c r="E371" s="5" t="str">
        <f ca="1">IFERROR(__xludf.DUMMYFUNCTION("""COMPUTED_VALUE"""),"Yes")</f>
        <v>Yes</v>
      </c>
      <c r="F371" s="5" t="str">
        <f ca="1">IFERROR(__xludf.DUMMYFUNCTION("""COMPUTED_VALUE"""),"Yes")</f>
        <v>Yes</v>
      </c>
      <c r="G371" s="5" t="str">
        <f ca="1">IFERROR(__xludf.DUMMYFUNCTION("""COMPUTED_VALUE"""),"Yes")</f>
        <v>Yes</v>
      </c>
      <c r="H371" s="5" t="str">
        <f ca="1">IFERROR(__xludf.DUMMYFUNCTION("""COMPUTED_VALUE"""),"Yes")</f>
        <v>Yes</v>
      </c>
      <c r="I371" s="5" t="str">
        <f ca="1">IFERROR(__xludf.DUMMYFUNCTION("""COMPUTED_VALUE"""),"Yes")</f>
        <v>Yes</v>
      </c>
      <c r="J371" s="5" t="str">
        <f ca="1">IFERROR(__xludf.DUMMYFUNCTION("""COMPUTED_VALUE"""),"Yes")</f>
        <v>Yes</v>
      </c>
      <c r="K371" s="5" t="str">
        <f ca="1">IFERROR(__xludf.DUMMYFUNCTION("""COMPUTED_VALUE"""),"Yes")</f>
        <v>Yes</v>
      </c>
      <c r="L371" s="5" t="str">
        <f ca="1">IFERROR(__xludf.DUMMYFUNCTION("""COMPUTED_VALUE"""),"Yes")</f>
        <v>Yes</v>
      </c>
      <c r="M371" s="5" t="str">
        <f ca="1">IFERROR(__xludf.DUMMYFUNCTION("""COMPUTED_VALUE"""),"Yes")</f>
        <v>Yes</v>
      </c>
      <c r="N371" s="5" t="str">
        <f ca="1">IFERROR(__xludf.DUMMYFUNCTION("""COMPUTED_VALUE"""),"Yes")</f>
        <v>Yes</v>
      </c>
      <c r="O371" s="5" t="str">
        <f ca="1">IFERROR(__xludf.DUMMYFUNCTION("""COMPUTED_VALUE"""),"Yes")</f>
        <v>Yes</v>
      </c>
      <c r="P371" s="5" t="str">
        <f ca="1">IFERROR(__xludf.DUMMYFUNCTION("""COMPUTED_VALUE"""),"Yes")</f>
        <v>Yes</v>
      </c>
      <c r="Q371" s="5" t="str">
        <f ca="1">IFERROR(__xludf.DUMMYFUNCTION("""COMPUTED_VALUE"""),"Yes")</f>
        <v>Yes</v>
      </c>
      <c r="R371" s="5" t="str">
        <f ca="1">IFERROR(__xludf.DUMMYFUNCTION("""COMPUTED_VALUE"""),"Yes")</f>
        <v>Yes</v>
      </c>
      <c r="S371" s="5" t="str">
        <f ca="1">IFERROR(__xludf.DUMMYFUNCTION("""COMPUTED_VALUE"""),"Yes")</f>
        <v>Yes</v>
      </c>
      <c r="T371" s="5" t="str">
        <f ca="1">IFERROR(__xludf.DUMMYFUNCTION("""COMPUTED_VALUE"""),"Yes")</f>
        <v>Yes</v>
      </c>
      <c r="U371" s="5" t="str">
        <f ca="1">IFERROR(__xludf.DUMMYFUNCTION("""COMPUTED_VALUE"""),"Yes")</f>
        <v>Yes</v>
      </c>
      <c r="V371" s="5" t="str">
        <f ca="1">IFERROR(__xludf.DUMMYFUNCTION("""COMPUTED_VALUE"""),"Yes")</f>
        <v>Yes</v>
      </c>
      <c r="W371" s="5" t="str">
        <f ca="1">IFERROR(__xludf.DUMMYFUNCTION("""COMPUTED_VALUE"""),"Yes")</f>
        <v>Yes</v>
      </c>
      <c r="X371" s="5"/>
      <c r="Y371" s="5"/>
      <c r="Z371" s="5"/>
      <c r="AA371" s="5"/>
      <c r="AB371" s="5"/>
      <c r="AC371" s="5" t="str">
        <f ca="1">IFERROR(__xludf.DUMMYFUNCTION("""COMPUTED_VALUE"""),"Yes")</f>
        <v>Yes</v>
      </c>
      <c r="AD371" s="5"/>
      <c r="AE371" s="5"/>
      <c r="AF371" s="5"/>
      <c r="AG371" s="5"/>
      <c r="AH371" s="5"/>
      <c r="AI371" s="5"/>
      <c r="AJ371" s="5"/>
      <c r="AK371" s="5"/>
      <c r="AL371" s="5"/>
      <c r="AM371" s="5"/>
      <c r="AN371" s="5"/>
      <c r="AO371" s="5"/>
      <c r="AP371" s="5"/>
      <c r="AQ371" s="5"/>
      <c r="AR371" s="5"/>
      <c r="AS371" s="5"/>
      <c r="AT371" s="5"/>
      <c r="AU371" s="5"/>
      <c r="AV371" s="5"/>
      <c r="AW371" s="5"/>
      <c r="AX371" s="5"/>
      <c r="AY371" s="5"/>
    </row>
    <row r="372" spans="1:51" x14ac:dyDescent="0.25">
      <c r="A37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2" s="5">
        <f ca="1">IFERROR(__xludf.DUMMYFUNCTION("""COMPUTED_VALUE"""),377)</f>
        <v>377</v>
      </c>
      <c r="C372" s="5">
        <f ca="1">IFERROR(__xludf.DUMMYFUNCTION("""COMPUTED_VALUE"""),355)</f>
        <v>355</v>
      </c>
      <c r="D372" s="5" t="str">
        <f ca="1">IFERROR(__xludf.DUMMYFUNCTION("""COMPUTED_VALUE"""),"RedstoneVolcanoCrown")</f>
        <v>RedstoneVolcanoCrown</v>
      </c>
      <c r="E372" s="5" t="str">
        <f ca="1">IFERROR(__xludf.DUMMYFUNCTION("""COMPUTED_VALUE"""),"Yes")</f>
        <v>Yes</v>
      </c>
      <c r="F372" s="5" t="str">
        <f ca="1">IFERROR(__xludf.DUMMYFUNCTION("""COMPUTED_VALUE"""),"Yes")</f>
        <v>Yes</v>
      </c>
      <c r="G372" s="5" t="str">
        <f ca="1">IFERROR(__xludf.DUMMYFUNCTION("""COMPUTED_VALUE"""),"No")</f>
        <v>No</v>
      </c>
      <c r="H372" s="5" t="str">
        <f ca="1">IFERROR(__xludf.DUMMYFUNCTION("""COMPUTED_VALUE"""),"Yes")</f>
        <v>Yes</v>
      </c>
      <c r="I372" s="5" t="str">
        <f ca="1">IFERROR(__xludf.DUMMYFUNCTION("""COMPUTED_VALUE"""),"Yes")</f>
        <v>Yes</v>
      </c>
      <c r="J372" s="5" t="str">
        <f ca="1">IFERROR(__xludf.DUMMYFUNCTION("""COMPUTED_VALUE"""),"Yes")</f>
        <v>Yes</v>
      </c>
      <c r="K372" s="5" t="str">
        <f ca="1">IFERROR(__xludf.DUMMYFUNCTION("""COMPUTED_VALUE"""),"Yes")</f>
        <v>Yes</v>
      </c>
      <c r="L372" s="5" t="str">
        <f ca="1">IFERROR(__xludf.DUMMYFUNCTION("""COMPUTED_VALUE"""),"Yes")</f>
        <v>Yes</v>
      </c>
      <c r="M372" s="5" t="str">
        <f ca="1">IFERROR(__xludf.DUMMYFUNCTION("""COMPUTED_VALUE"""),"Yes")</f>
        <v>Yes</v>
      </c>
      <c r="N372" s="5" t="str">
        <f ca="1">IFERROR(__xludf.DUMMYFUNCTION("""COMPUTED_VALUE"""),"Yes")</f>
        <v>Yes</v>
      </c>
      <c r="O372" s="5" t="str">
        <f ca="1">IFERROR(__xludf.DUMMYFUNCTION("""COMPUTED_VALUE"""),"Yes")</f>
        <v>Yes</v>
      </c>
      <c r="P372" s="5" t="str">
        <f ca="1">IFERROR(__xludf.DUMMYFUNCTION("""COMPUTED_VALUE"""),"Yes")</f>
        <v>Yes</v>
      </c>
      <c r="Q372" s="5" t="str">
        <f ca="1">IFERROR(__xludf.DUMMYFUNCTION("""COMPUTED_VALUE"""),"Yes")</f>
        <v>Yes</v>
      </c>
      <c r="R372" s="5" t="str">
        <f ca="1">IFERROR(__xludf.DUMMYFUNCTION("""COMPUTED_VALUE"""),"Yes")</f>
        <v>Yes</v>
      </c>
      <c r="S372" s="5" t="str">
        <f ca="1">IFERROR(__xludf.DUMMYFUNCTION("""COMPUTED_VALUE"""),"Yes")</f>
        <v>Yes</v>
      </c>
      <c r="T372" s="5" t="str">
        <f ca="1">IFERROR(__xludf.DUMMYFUNCTION("""COMPUTED_VALUE"""),"No")</f>
        <v>No</v>
      </c>
      <c r="U372" s="5" t="str">
        <f ca="1">IFERROR(__xludf.DUMMYFUNCTION("""COMPUTED_VALUE"""),"No")</f>
        <v>No</v>
      </c>
      <c r="V372" s="5" t="str">
        <f ca="1">IFERROR(__xludf.DUMMYFUNCTION("""COMPUTED_VALUE"""),"No")</f>
        <v>No</v>
      </c>
      <c r="W372" s="5" t="str">
        <f ca="1">IFERROR(__xludf.DUMMYFUNCTION("""COMPUTED_VALUE"""),"No")</f>
        <v>No</v>
      </c>
      <c r="X372" s="5" t="str">
        <f ca="1">IFERROR(__xludf.DUMMYFUNCTION("""COMPUTED_VALUE"""),"No")</f>
        <v>No</v>
      </c>
      <c r="Y372" s="5" t="str">
        <f ca="1">IFERROR(__xludf.DUMMYFUNCTION("""COMPUTED_VALUE"""),"No")</f>
        <v>No</v>
      </c>
      <c r="Z372" s="5" t="str">
        <f ca="1">IFERROR(__xludf.DUMMYFUNCTION("""COMPUTED_VALUE"""),"No")</f>
        <v>No</v>
      </c>
      <c r="AA372" s="5" t="str">
        <f ca="1">IFERROR(__xludf.DUMMYFUNCTION("""COMPUTED_VALUE"""),"No")</f>
        <v>No</v>
      </c>
      <c r="AB372" s="5" t="str">
        <f ca="1">IFERROR(__xludf.DUMMYFUNCTION("""COMPUTED_VALUE"""),"No")</f>
        <v>No</v>
      </c>
      <c r="AC372" s="5" t="str">
        <f ca="1">IFERROR(__xludf.DUMMYFUNCTION("""COMPUTED_VALUE"""),"No")</f>
        <v>No</v>
      </c>
      <c r="AD372" s="5" t="str">
        <f ca="1">IFERROR(__xludf.DUMMYFUNCTION("""COMPUTED_VALUE"""),"No")</f>
        <v>No</v>
      </c>
      <c r="AE372" s="5" t="str">
        <f ca="1">IFERROR(__xludf.DUMMYFUNCTION("""COMPUTED_VALUE"""),"No")</f>
        <v>No</v>
      </c>
      <c r="AF372" s="5" t="str">
        <f ca="1">IFERROR(__xludf.DUMMYFUNCTION("""COMPUTED_VALUE"""),"Yes")</f>
        <v>Yes</v>
      </c>
      <c r="AG372" s="5" t="str">
        <f ca="1">IFERROR(__xludf.DUMMYFUNCTION("""COMPUTED_VALUE"""),"No")</f>
        <v>No</v>
      </c>
      <c r="AH372" s="5" t="str">
        <f ca="1">IFERROR(__xludf.DUMMYFUNCTION("""COMPUTED_VALUE"""),"Yes")</f>
        <v>Yes</v>
      </c>
      <c r="AI372" s="5" t="str">
        <f ca="1">IFERROR(__xludf.DUMMYFUNCTION("""COMPUTED_VALUE"""),"No")</f>
        <v>No</v>
      </c>
      <c r="AJ372" s="5" t="str">
        <f ca="1">IFERROR(__xludf.DUMMYFUNCTION("""COMPUTED_VALUE"""),"No")</f>
        <v>No</v>
      </c>
      <c r="AK372" s="5" t="str">
        <f ca="1">IFERROR(__xludf.DUMMYFUNCTION("""COMPUTED_VALUE"""),"No")</f>
        <v>No</v>
      </c>
      <c r="AL372" s="5" t="str">
        <f ca="1">IFERROR(__xludf.DUMMYFUNCTION("""COMPUTED_VALUE"""),"No")</f>
        <v>No</v>
      </c>
      <c r="AM372" s="5"/>
      <c r="AN372" s="5"/>
      <c r="AO372" s="5"/>
      <c r="AP372" s="5"/>
      <c r="AQ372" s="5"/>
      <c r="AR372" s="5"/>
      <c r="AS372" s="5"/>
      <c r="AT372" s="5"/>
      <c r="AU372" s="5"/>
      <c r="AV372" s="5"/>
      <c r="AW372" s="5"/>
      <c r="AX372" s="5"/>
      <c r="AY372" s="5"/>
    </row>
    <row r="373" spans="1:51" x14ac:dyDescent="0.25">
      <c r="A373"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3" s="5">
        <f ca="1">IFERROR(__xludf.DUMMYFUNCTION("""COMPUTED_VALUE"""),378)</f>
        <v>378</v>
      </c>
      <c r="C373" s="5">
        <f ca="1">IFERROR(__xludf.DUMMYFUNCTION("""COMPUTED_VALUE"""),356)</f>
        <v>356</v>
      </c>
      <c r="D373" s="5" t="str">
        <f ca="1">IFERROR(__xludf.DUMMYFUNCTION("""COMPUTED_VALUE"""),"UnicornGoldLineDice")</f>
        <v>UnicornGoldLineDice</v>
      </c>
      <c r="E373" s="5" t="str">
        <f ca="1">IFERROR(__xludf.DUMMYFUNCTION("""COMPUTED_VALUE"""),"Yes")</f>
        <v>Yes</v>
      </c>
      <c r="F373" s="5" t="str">
        <f ca="1">IFERROR(__xludf.DUMMYFUNCTION("""COMPUTED_VALUE"""),"Yes")</f>
        <v>Yes</v>
      </c>
      <c r="G373" s="5" t="str">
        <f ca="1">IFERROR(__xludf.DUMMYFUNCTION("""COMPUTED_VALUE"""),"No")</f>
        <v>No</v>
      </c>
      <c r="H373" s="5" t="str">
        <f ca="1">IFERROR(__xludf.DUMMYFUNCTION("""COMPUTED_VALUE"""),"Yes")</f>
        <v>Yes</v>
      </c>
      <c r="I373" s="5" t="str">
        <f ca="1">IFERROR(__xludf.DUMMYFUNCTION("""COMPUTED_VALUE"""),"Yes")</f>
        <v>Yes</v>
      </c>
      <c r="J373" s="5" t="str">
        <f ca="1">IFERROR(__xludf.DUMMYFUNCTION("""COMPUTED_VALUE"""),"Yes")</f>
        <v>Yes</v>
      </c>
      <c r="K373" s="5" t="str">
        <f ca="1">IFERROR(__xludf.DUMMYFUNCTION("""COMPUTED_VALUE"""),"Yes")</f>
        <v>Yes</v>
      </c>
      <c r="L373" s="5" t="str">
        <f ca="1">IFERROR(__xludf.DUMMYFUNCTION("""COMPUTED_VALUE"""),"Yes")</f>
        <v>Yes</v>
      </c>
      <c r="M373" s="5" t="str">
        <f ca="1">IFERROR(__xludf.DUMMYFUNCTION("""COMPUTED_VALUE"""),"Yes")</f>
        <v>Yes</v>
      </c>
      <c r="N373" s="5" t="str">
        <f ca="1">IFERROR(__xludf.DUMMYFUNCTION("""COMPUTED_VALUE"""),"Yes")</f>
        <v>Yes</v>
      </c>
      <c r="O373" s="5" t="str">
        <f ca="1">IFERROR(__xludf.DUMMYFUNCTION("""COMPUTED_VALUE"""),"Yes")</f>
        <v>Yes</v>
      </c>
      <c r="P373" s="5" t="str">
        <f ca="1">IFERROR(__xludf.DUMMYFUNCTION("""COMPUTED_VALUE"""),"Yes")</f>
        <v>Yes</v>
      </c>
      <c r="Q373" s="5" t="str">
        <f ca="1">IFERROR(__xludf.DUMMYFUNCTION("""COMPUTED_VALUE"""),"Yes")</f>
        <v>Yes</v>
      </c>
      <c r="R373" s="5" t="str">
        <f ca="1">IFERROR(__xludf.DUMMYFUNCTION("""COMPUTED_VALUE"""),"Yes")</f>
        <v>Yes</v>
      </c>
      <c r="S373" s="5" t="str">
        <f ca="1">IFERROR(__xludf.DUMMYFUNCTION("""COMPUTED_VALUE"""),"Yes")</f>
        <v>Yes</v>
      </c>
      <c r="T373" s="5" t="str">
        <f ca="1">IFERROR(__xludf.DUMMYFUNCTION("""COMPUTED_VALUE"""),"No")</f>
        <v>No</v>
      </c>
      <c r="U373" s="5" t="str">
        <f ca="1">IFERROR(__xludf.DUMMYFUNCTION("""COMPUTED_VALUE"""),"No")</f>
        <v>No</v>
      </c>
      <c r="V373" s="5" t="str">
        <f ca="1">IFERROR(__xludf.DUMMYFUNCTION("""COMPUTED_VALUE"""),"No")</f>
        <v>No</v>
      </c>
      <c r="W373" s="5" t="str">
        <f ca="1">IFERROR(__xludf.DUMMYFUNCTION("""COMPUTED_VALUE"""),"No")</f>
        <v>No</v>
      </c>
      <c r="X373" s="5" t="str">
        <f ca="1">IFERROR(__xludf.DUMMYFUNCTION("""COMPUTED_VALUE"""),"No")</f>
        <v>No</v>
      </c>
      <c r="Y373" s="5" t="str">
        <f ca="1">IFERROR(__xludf.DUMMYFUNCTION("""COMPUTED_VALUE"""),"No")</f>
        <v>No</v>
      </c>
      <c r="Z373" s="5" t="str">
        <f ca="1">IFERROR(__xludf.DUMMYFUNCTION("""COMPUTED_VALUE"""),"No")</f>
        <v>No</v>
      </c>
      <c r="AA373" s="5" t="str">
        <f ca="1">IFERROR(__xludf.DUMMYFUNCTION("""COMPUTED_VALUE"""),"No")</f>
        <v>No</v>
      </c>
      <c r="AB373" s="5" t="str">
        <f ca="1">IFERROR(__xludf.DUMMYFUNCTION("""COMPUTED_VALUE"""),"No")</f>
        <v>No</v>
      </c>
      <c r="AC373" s="5" t="str">
        <f ca="1">IFERROR(__xludf.DUMMYFUNCTION("""COMPUTED_VALUE"""),"No")</f>
        <v>No</v>
      </c>
      <c r="AD373" s="5" t="str">
        <f ca="1">IFERROR(__xludf.DUMMYFUNCTION("""COMPUTED_VALUE"""),"No")</f>
        <v>No</v>
      </c>
      <c r="AE373" s="5" t="str">
        <f ca="1">IFERROR(__xludf.DUMMYFUNCTION("""COMPUTED_VALUE"""),"No")</f>
        <v>No</v>
      </c>
      <c r="AF373" s="5" t="str">
        <f ca="1">IFERROR(__xludf.DUMMYFUNCTION("""COMPUTED_VALUE"""),"Yes")</f>
        <v>Yes</v>
      </c>
      <c r="AG373" s="5" t="str">
        <f ca="1">IFERROR(__xludf.DUMMYFUNCTION("""COMPUTED_VALUE"""),"No")</f>
        <v>No</v>
      </c>
      <c r="AH373" s="5" t="str">
        <f ca="1">IFERROR(__xludf.DUMMYFUNCTION("""COMPUTED_VALUE"""),"Yes")</f>
        <v>Yes</v>
      </c>
      <c r="AI373" s="5" t="str">
        <f ca="1">IFERROR(__xludf.DUMMYFUNCTION("""COMPUTED_VALUE"""),"No")</f>
        <v>No</v>
      </c>
      <c r="AJ373" s="5" t="str">
        <f ca="1">IFERROR(__xludf.DUMMYFUNCTION("""COMPUTED_VALUE"""),"No")</f>
        <v>No</v>
      </c>
      <c r="AK373" s="5" t="str">
        <f ca="1">IFERROR(__xludf.DUMMYFUNCTION("""COMPUTED_VALUE"""),"No")</f>
        <v>No</v>
      </c>
      <c r="AL373" s="5" t="str">
        <f ca="1">IFERROR(__xludf.DUMMYFUNCTION("""COMPUTED_VALUE"""),"No")</f>
        <v>No</v>
      </c>
      <c r="AM373" s="5"/>
      <c r="AN373" s="5"/>
      <c r="AO373" s="5"/>
      <c r="AP373" s="5"/>
      <c r="AQ373" s="5"/>
      <c r="AR373" s="5"/>
      <c r="AS373" s="5"/>
      <c r="AT373" s="5"/>
      <c r="AU373" s="5"/>
      <c r="AV373" s="5"/>
      <c r="AW373" s="5"/>
      <c r="AX373" s="5"/>
      <c r="AY373" s="5"/>
    </row>
    <row r="374" spans="1:51" x14ac:dyDescent="0.25">
      <c r="A3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4" s="5">
        <f ca="1">IFERROR(__xludf.DUMMYFUNCTION("""COMPUTED_VALUE"""),379)</f>
        <v>379</v>
      </c>
      <c r="C374" s="5">
        <f ca="1">IFERROR(__xludf.DUMMYFUNCTION("""COMPUTED_VALUE"""),357)</f>
        <v>357</v>
      </c>
      <c r="D374" s="5" t="str">
        <f ca="1">IFERROR(__xludf.DUMMYFUNCTION("""COMPUTED_VALUE"""),"UnicornLavaDiamondsChristmas")</f>
        <v>UnicornLavaDiamondsChristmas</v>
      </c>
      <c r="E374" s="5" t="str">
        <f ca="1">IFERROR(__xludf.DUMMYFUNCTION("""COMPUTED_VALUE"""),"Yes")</f>
        <v>Yes</v>
      </c>
      <c r="F374" s="5" t="str">
        <f ca="1">IFERROR(__xludf.DUMMYFUNCTION("""COMPUTED_VALUE"""),"Yes")</f>
        <v>Yes</v>
      </c>
      <c r="G374" s="5" t="str">
        <f ca="1">IFERROR(__xludf.DUMMYFUNCTION("""COMPUTED_VALUE"""),"Yes")</f>
        <v>Yes</v>
      </c>
      <c r="H374" s="5" t="str">
        <f ca="1">IFERROR(__xludf.DUMMYFUNCTION("""COMPUTED_VALUE"""),"Yes")</f>
        <v>Yes</v>
      </c>
      <c r="I374" s="5" t="str">
        <f ca="1">IFERROR(__xludf.DUMMYFUNCTION("""COMPUTED_VALUE"""),"Yes")</f>
        <v>Yes</v>
      </c>
      <c r="J374" s="5" t="str">
        <f ca="1">IFERROR(__xludf.DUMMYFUNCTION("""COMPUTED_VALUE"""),"Yes")</f>
        <v>Yes</v>
      </c>
      <c r="K374" s="5" t="str">
        <f ca="1">IFERROR(__xludf.DUMMYFUNCTION("""COMPUTED_VALUE"""),"Yes")</f>
        <v>Yes</v>
      </c>
      <c r="L374" s="5" t="str">
        <f ca="1">IFERROR(__xludf.DUMMYFUNCTION("""COMPUTED_VALUE"""),"Yes")</f>
        <v>Yes</v>
      </c>
      <c r="M374" s="5" t="str">
        <f ca="1">IFERROR(__xludf.DUMMYFUNCTION("""COMPUTED_VALUE"""),"Yes")</f>
        <v>Yes</v>
      </c>
      <c r="N374" s="5" t="str">
        <f ca="1">IFERROR(__xludf.DUMMYFUNCTION("""COMPUTED_VALUE"""),"Yes")</f>
        <v>Yes</v>
      </c>
      <c r="O374" s="5" t="str">
        <f ca="1">IFERROR(__xludf.DUMMYFUNCTION("""COMPUTED_VALUE"""),"Yes")</f>
        <v>Yes</v>
      </c>
      <c r="P374" s="5" t="str">
        <f ca="1">IFERROR(__xludf.DUMMYFUNCTION("""COMPUTED_VALUE"""),"Yes")</f>
        <v>Yes</v>
      </c>
      <c r="Q374" s="5" t="str">
        <f ca="1">IFERROR(__xludf.DUMMYFUNCTION("""COMPUTED_VALUE"""),"Yes")</f>
        <v>Yes</v>
      </c>
      <c r="R374" s="5" t="str">
        <f ca="1">IFERROR(__xludf.DUMMYFUNCTION("""COMPUTED_VALUE"""),"Yes")</f>
        <v>Yes</v>
      </c>
      <c r="S374" s="5" t="str">
        <f ca="1">IFERROR(__xludf.DUMMYFUNCTION("""COMPUTED_VALUE"""),"Yes")</f>
        <v>Yes</v>
      </c>
      <c r="T374" s="5" t="str">
        <f ca="1">IFERROR(__xludf.DUMMYFUNCTION("""COMPUTED_VALUE"""),"Yes")</f>
        <v>Yes</v>
      </c>
      <c r="U374" s="5" t="str">
        <f ca="1">IFERROR(__xludf.DUMMYFUNCTION("""COMPUTED_VALUE"""),"Yes")</f>
        <v>Yes</v>
      </c>
      <c r="V374" s="5" t="str">
        <f ca="1">IFERROR(__xludf.DUMMYFUNCTION("""COMPUTED_VALUE"""),"Yes")</f>
        <v>Yes</v>
      </c>
      <c r="W374" s="5" t="str">
        <f ca="1">IFERROR(__xludf.DUMMYFUNCTION("""COMPUTED_VALUE"""),"Yes")</f>
        <v>Yes</v>
      </c>
      <c r="X374" s="5"/>
      <c r="Y374" s="5"/>
      <c r="Z374" s="5"/>
      <c r="AA374" s="5"/>
      <c r="AB374" s="5"/>
      <c r="AC374" s="5" t="str">
        <f ca="1">IFERROR(__xludf.DUMMYFUNCTION("""COMPUTED_VALUE"""),"Yes")</f>
        <v>Yes</v>
      </c>
      <c r="AD374" s="5"/>
      <c r="AE374" s="5"/>
      <c r="AF374" s="5"/>
      <c r="AG374" s="5"/>
      <c r="AH374" s="5"/>
      <c r="AI374" s="5"/>
      <c r="AJ374" s="5"/>
      <c r="AK374" s="5"/>
      <c r="AL374" s="5"/>
      <c r="AM374" s="5"/>
      <c r="AN374" s="5"/>
      <c r="AO374" s="5"/>
      <c r="AP374" s="5"/>
      <c r="AQ374" s="5"/>
      <c r="AR374" s="5"/>
      <c r="AS374" s="5"/>
      <c r="AT374" s="5"/>
      <c r="AU374" s="5"/>
      <c r="AV374" s="5"/>
      <c r="AW374" s="5"/>
      <c r="AX374" s="5"/>
      <c r="AY374" s="5"/>
    </row>
    <row r="375" spans="1:51" x14ac:dyDescent="0.25">
      <c r="A37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75" s="5">
        <f ca="1">IFERROR(__xludf.DUMMYFUNCTION("""COMPUTED_VALUE"""),380)</f>
        <v>380</v>
      </c>
      <c r="C375" s="5">
        <f ca="1">IFERROR(__xludf.DUMMYFUNCTION("""COMPUTED_VALUE"""),358)</f>
        <v>358</v>
      </c>
      <c r="D375" s="5" t="str">
        <f ca="1">IFERROR(__xludf.DUMMYFUNCTION("""COMPUTED_VALUE"""),"UnicornPumpkinHorror")</f>
        <v>UnicornPumpkinHorror</v>
      </c>
      <c r="E375" s="5" t="str">
        <f ca="1">IFERROR(__xludf.DUMMYFUNCTION("""COMPUTED_VALUE"""),"Yes")</f>
        <v>Yes</v>
      </c>
      <c r="F375" s="5" t="str">
        <f ca="1">IFERROR(__xludf.DUMMYFUNCTION("""COMPUTED_VALUE"""),"Yes")</f>
        <v>Yes</v>
      </c>
      <c r="G375" s="5" t="str">
        <f ca="1">IFERROR(__xludf.DUMMYFUNCTION("""COMPUTED_VALUE"""),"Yes")</f>
        <v>Yes</v>
      </c>
      <c r="H375" s="5" t="str">
        <f ca="1">IFERROR(__xludf.DUMMYFUNCTION("""COMPUTED_VALUE"""),"No")</f>
        <v>No</v>
      </c>
      <c r="I375" s="5" t="str">
        <f ca="1">IFERROR(__xludf.DUMMYFUNCTION("""COMPUTED_VALUE"""),"No")</f>
        <v>No</v>
      </c>
      <c r="J375" s="5" t="str">
        <f ca="1">IFERROR(__xludf.DUMMYFUNCTION("""COMPUTED_VALUE"""),"No")</f>
        <v>No</v>
      </c>
      <c r="K375" s="5" t="str">
        <f ca="1">IFERROR(__xludf.DUMMYFUNCTION("""COMPUTED_VALUE"""),"No")</f>
        <v>No</v>
      </c>
      <c r="L375" s="5" t="str">
        <f ca="1">IFERROR(__xludf.DUMMYFUNCTION("""COMPUTED_VALUE"""),"No")</f>
        <v>No</v>
      </c>
      <c r="M375" s="5" t="str">
        <f ca="1">IFERROR(__xludf.DUMMYFUNCTION("""COMPUTED_VALUE"""),"Yes")</f>
        <v>Yes</v>
      </c>
      <c r="N375" s="5" t="str">
        <f ca="1">IFERROR(__xludf.DUMMYFUNCTION("""COMPUTED_VALUE"""),"Yes")</f>
        <v>Yes</v>
      </c>
      <c r="O375" s="5" t="str">
        <f ca="1">IFERROR(__xludf.DUMMYFUNCTION("""COMPUTED_VALUE"""),"Yes")</f>
        <v>Yes</v>
      </c>
      <c r="P375" s="5" t="str">
        <f ca="1">IFERROR(__xludf.DUMMYFUNCTION("""COMPUTED_VALUE"""),"Yes")</f>
        <v>Yes</v>
      </c>
      <c r="Q375" s="5" t="str">
        <f ca="1">IFERROR(__xludf.DUMMYFUNCTION("""COMPUTED_VALUE"""),"Yes")</f>
        <v>Yes</v>
      </c>
      <c r="R375" s="5" t="str">
        <f ca="1">IFERROR(__xludf.DUMMYFUNCTION("""COMPUTED_VALUE"""),"No")</f>
        <v>No</v>
      </c>
      <c r="S375" s="5" t="str">
        <f ca="1">IFERROR(__xludf.DUMMYFUNCTION("""COMPUTED_VALUE"""),"Yes")</f>
        <v>Yes</v>
      </c>
      <c r="T375" s="5" t="str">
        <f ca="1">IFERROR(__xludf.DUMMYFUNCTION("""COMPUTED_VALUE"""),"No")</f>
        <v>No</v>
      </c>
      <c r="U375" s="5" t="str">
        <f ca="1">IFERROR(__xludf.DUMMYFUNCTION("""COMPUTED_VALUE"""),"No")</f>
        <v>No</v>
      </c>
      <c r="V375" s="5" t="str">
        <f ca="1">IFERROR(__xludf.DUMMYFUNCTION("""COMPUTED_VALUE"""),"No")</f>
        <v>No</v>
      </c>
      <c r="W375" s="5" t="str">
        <f ca="1">IFERROR(__xludf.DUMMYFUNCTION("""COMPUTED_VALUE"""),"No")</f>
        <v>No</v>
      </c>
      <c r="X375" s="5"/>
      <c r="Y375" s="5"/>
      <c r="Z375" s="5"/>
      <c r="AA375" s="5"/>
      <c r="AB375" s="5"/>
      <c r="AC375" s="5" t="str">
        <f ca="1">IFERROR(__xludf.DUMMYFUNCTION("""COMPUTED_VALUE"""),"No")</f>
        <v>No</v>
      </c>
      <c r="AD375" s="5"/>
      <c r="AE375" s="5"/>
      <c r="AF375" s="5"/>
      <c r="AG375" s="5"/>
      <c r="AH375" s="5"/>
      <c r="AI375" s="5"/>
      <c r="AJ375" s="5"/>
      <c r="AK375" s="5"/>
      <c r="AL375" s="5"/>
      <c r="AM375" s="5"/>
      <c r="AN375" s="5"/>
      <c r="AO375" s="5"/>
      <c r="AP375" s="5"/>
      <c r="AQ375" s="5"/>
      <c r="AR375" s="5"/>
      <c r="AS375" s="5"/>
      <c r="AT375" s="5"/>
      <c r="AU375" s="5"/>
      <c r="AV375" s="5"/>
      <c r="AW375" s="5"/>
      <c r="AX375" s="5"/>
      <c r="AY375" s="5"/>
    </row>
    <row r="376" spans="1:51" x14ac:dyDescent="0.25">
      <c r="A376"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6" s="5">
        <f ca="1">IFERROR(__xludf.DUMMYFUNCTION("""COMPUTED_VALUE"""),381)</f>
        <v>381</v>
      </c>
      <c r="C376" s="5">
        <f ca="1">IFERROR(__xludf.DUMMYFUNCTION("""COMPUTED_VALUE"""),359)</f>
        <v>359</v>
      </c>
      <c r="D376" s="5" t="str">
        <f ca="1">IFERROR(__xludf.DUMMYFUNCTION("""COMPUTED_VALUE"""),"PlayNetMajesticCrown20")</f>
        <v>PlayNetMajesticCrown20</v>
      </c>
      <c r="E376" s="5" t="str">
        <f ca="1">IFERROR(__xludf.DUMMYFUNCTION("""COMPUTED_VALUE"""),"Yes")</f>
        <v>Yes</v>
      </c>
      <c r="F376" s="5" t="str">
        <f ca="1">IFERROR(__xludf.DUMMYFUNCTION("""COMPUTED_VALUE"""),"Yes")</f>
        <v>Yes</v>
      </c>
      <c r="G376" s="5" t="str">
        <f ca="1">IFERROR(__xludf.DUMMYFUNCTION("""COMPUTED_VALUE"""),"Yes")</f>
        <v>Yes</v>
      </c>
      <c r="H376" s="5" t="str">
        <f ca="1">IFERROR(__xludf.DUMMYFUNCTION("""COMPUTED_VALUE"""),"Yes")</f>
        <v>Yes</v>
      </c>
      <c r="I376" s="5" t="str">
        <f ca="1">IFERROR(__xludf.DUMMYFUNCTION("""COMPUTED_VALUE"""),"Yes")</f>
        <v>Yes</v>
      </c>
      <c r="J376" s="5" t="str">
        <f ca="1">IFERROR(__xludf.DUMMYFUNCTION("""COMPUTED_VALUE"""),"Yes")</f>
        <v>Yes</v>
      </c>
      <c r="K376" s="5" t="str">
        <f ca="1">IFERROR(__xludf.DUMMYFUNCTION("""COMPUTED_VALUE"""),"Yes")</f>
        <v>Yes</v>
      </c>
      <c r="L376" s="5" t="str">
        <f ca="1">IFERROR(__xludf.DUMMYFUNCTION("""COMPUTED_VALUE"""),"Yes")</f>
        <v>Yes</v>
      </c>
      <c r="M376" s="5" t="str">
        <f ca="1">IFERROR(__xludf.DUMMYFUNCTION("""COMPUTED_VALUE"""),"Yes")</f>
        <v>Yes</v>
      </c>
      <c r="N376" s="5" t="str">
        <f ca="1">IFERROR(__xludf.DUMMYFUNCTION("""COMPUTED_VALUE"""),"Yes")</f>
        <v>Yes</v>
      </c>
      <c r="O376" s="5" t="str">
        <f ca="1">IFERROR(__xludf.DUMMYFUNCTION("""COMPUTED_VALUE"""),"Yes")</f>
        <v>Yes</v>
      </c>
      <c r="P376" s="5" t="str">
        <f ca="1">IFERROR(__xludf.DUMMYFUNCTION("""COMPUTED_VALUE"""),"Yes")</f>
        <v>Yes</v>
      </c>
      <c r="Q376" s="5" t="str">
        <f ca="1">IFERROR(__xludf.DUMMYFUNCTION("""COMPUTED_VALUE"""),"Yes")</f>
        <v>Yes</v>
      </c>
      <c r="R376" s="5" t="str">
        <f ca="1">IFERROR(__xludf.DUMMYFUNCTION("""COMPUTED_VALUE"""),"Yes")</f>
        <v>Yes</v>
      </c>
      <c r="S376" s="5" t="str">
        <f ca="1">IFERROR(__xludf.DUMMYFUNCTION("""COMPUTED_VALUE"""),"Yes")</f>
        <v>Yes</v>
      </c>
      <c r="T376" s="5" t="str">
        <f ca="1">IFERROR(__xludf.DUMMYFUNCTION("""COMPUTED_VALUE"""),"No")</f>
        <v>No</v>
      </c>
      <c r="U376" s="5" t="str">
        <f ca="1">IFERROR(__xludf.DUMMYFUNCTION("""COMPUTED_VALUE"""),"No")</f>
        <v>No</v>
      </c>
      <c r="V376" s="5" t="str">
        <f ca="1">IFERROR(__xludf.DUMMYFUNCTION("""COMPUTED_VALUE"""),"No")</f>
        <v>No</v>
      </c>
      <c r="W376" s="5" t="str">
        <f ca="1">IFERROR(__xludf.DUMMYFUNCTION("""COMPUTED_VALUE"""),"No")</f>
        <v>No</v>
      </c>
      <c r="X376" s="5"/>
      <c r="Y376" s="5"/>
      <c r="Z376" s="5"/>
      <c r="AA376" s="5"/>
      <c r="AB376" s="5"/>
      <c r="AC376" s="5" t="str">
        <f ca="1">IFERROR(__xludf.DUMMYFUNCTION("""COMPUTED_VALUE"""),"No")</f>
        <v>No</v>
      </c>
      <c r="AD376" s="5"/>
      <c r="AE376" s="5"/>
      <c r="AF376" s="5" t="str">
        <f ca="1">IFERROR(__xludf.DUMMYFUNCTION("""COMPUTED_VALUE"""),"Yes")</f>
        <v>Yes</v>
      </c>
      <c r="AG376" s="5"/>
      <c r="AH376" s="5" t="str">
        <f ca="1">IFERROR(__xludf.DUMMYFUNCTION("""COMPUTED_VALUE"""),"Yes")</f>
        <v>Yes</v>
      </c>
      <c r="AI376" s="5"/>
      <c r="AJ376" s="5"/>
      <c r="AK376" s="5"/>
      <c r="AL376" s="5"/>
      <c r="AM376" s="5"/>
      <c r="AN376" s="5"/>
      <c r="AO376" s="5"/>
      <c r="AP376" s="5"/>
      <c r="AQ376" s="5"/>
      <c r="AR376" s="5"/>
      <c r="AS376" s="5"/>
      <c r="AT376" s="5"/>
      <c r="AU376" s="5"/>
      <c r="AV376" s="5"/>
      <c r="AW376" s="5"/>
      <c r="AX376" s="5"/>
      <c r="AY376" s="5"/>
    </row>
    <row r="377" spans="1:51" x14ac:dyDescent="0.25">
      <c r="A37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77" s="5">
        <f ca="1">IFERROR(__xludf.DUMMYFUNCTION("""COMPUTED_VALUE"""),382)</f>
        <v>382</v>
      </c>
      <c r="C377" s="5">
        <f ca="1">IFERROR(__xludf.DUMMYFUNCTION("""COMPUTED_VALUE"""),360)</f>
        <v>360</v>
      </c>
      <c r="D377" s="5" t="str">
        <f ca="1">IFERROR(__xludf.DUMMYFUNCTION("""COMPUTED_VALUE"""),"PlayNetDiamondHeart40")</f>
        <v>PlayNetDiamondHeart40</v>
      </c>
      <c r="E377" s="5" t="str">
        <f ca="1">IFERROR(__xludf.DUMMYFUNCTION("""COMPUTED_VALUE"""),"Yes")</f>
        <v>Yes</v>
      </c>
      <c r="F377" s="5" t="str">
        <f ca="1">IFERROR(__xludf.DUMMYFUNCTION("""COMPUTED_VALUE"""),"Yes")</f>
        <v>Yes</v>
      </c>
      <c r="G377" s="5" t="str">
        <f ca="1">IFERROR(__xludf.DUMMYFUNCTION("""COMPUTED_VALUE"""),"Yes")</f>
        <v>Yes</v>
      </c>
      <c r="H377" s="5" t="str">
        <f ca="1">IFERROR(__xludf.DUMMYFUNCTION("""COMPUTED_VALUE"""),"No")</f>
        <v>No</v>
      </c>
      <c r="I377" s="5" t="str">
        <f ca="1">IFERROR(__xludf.DUMMYFUNCTION("""COMPUTED_VALUE"""),"No")</f>
        <v>No</v>
      </c>
      <c r="J377" s="5" t="str">
        <f ca="1">IFERROR(__xludf.DUMMYFUNCTION("""COMPUTED_VALUE"""),"No")</f>
        <v>No</v>
      </c>
      <c r="K377" s="5" t="str">
        <f ca="1">IFERROR(__xludf.DUMMYFUNCTION("""COMPUTED_VALUE"""),"No")</f>
        <v>No</v>
      </c>
      <c r="L377" s="5" t="str">
        <f ca="1">IFERROR(__xludf.DUMMYFUNCTION("""COMPUTED_VALUE"""),"No")</f>
        <v>No</v>
      </c>
      <c r="M377" s="5" t="str">
        <f ca="1">IFERROR(__xludf.DUMMYFUNCTION("""COMPUTED_VALUE"""),"Yes")</f>
        <v>Yes</v>
      </c>
      <c r="N377" s="5" t="str">
        <f ca="1">IFERROR(__xludf.DUMMYFUNCTION("""COMPUTED_VALUE"""),"Yes")</f>
        <v>Yes</v>
      </c>
      <c r="O377" s="5" t="str">
        <f ca="1">IFERROR(__xludf.DUMMYFUNCTION("""COMPUTED_VALUE"""),"Yes")</f>
        <v>Yes</v>
      </c>
      <c r="P377" s="5" t="str">
        <f ca="1">IFERROR(__xludf.DUMMYFUNCTION("""COMPUTED_VALUE"""),"Yes")</f>
        <v>Yes</v>
      </c>
      <c r="Q377" s="5" t="str">
        <f ca="1">IFERROR(__xludf.DUMMYFUNCTION("""COMPUTED_VALUE"""),"Yes")</f>
        <v>Yes</v>
      </c>
      <c r="R377" s="5" t="str">
        <f ca="1">IFERROR(__xludf.DUMMYFUNCTION("""COMPUTED_VALUE"""),"No")</f>
        <v>No</v>
      </c>
      <c r="S377" s="5" t="str">
        <f ca="1">IFERROR(__xludf.DUMMYFUNCTION("""COMPUTED_VALUE"""),"Yes")</f>
        <v>Yes</v>
      </c>
      <c r="T377" s="5" t="str">
        <f ca="1">IFERROR(__xludf.DUMMYFUNCTION("""COMPUTED_VALUE"""),"No")</f>
        <v>No</v>
      </c>
      <c r="U377" s="5" t="str">
        <f ca="1">IFERROR(__xludf.DUMMYFUNCTION("""COMPUTED_VALUE"""),"No")</f>
        <v>No</v>
      </c>
      <c r="V377" s="5" t="str">
        <f ca="1">IFERROR(__xludf.DUMMYFUNCTION("""COMPUTED_VALUE"""),"No")</f>
        <v>No</v>
      </c>
      <c r="W377" s="5" t="str">
        <f ca="1">IFERROR(__xludf.DUMMYFUNCTION("""COMPUTED_VALUE"""),"No")</f>
        <v>No</v>
      </c>
      <c r="X377" s="5"/>
      <c r="Y377" s="5"/>
      <c r="Z377" s="5"/>
      <c r="AA377" s="5"/>
      <c r="AB377" s="5"/>
      <c r="AC377" s="5" t="str">
        <f ca="1">IFERROR(__xludf.DUMMYFUNCTION("""COMPUTED_VALUE"""),"No")</f>
        <v>No</v>
      </c>
      <c r="AD377" s="5"/>
      <c r="AE377" s="5"/>
      <c r="AF377" s="5"/>
      <c r="AG377" s="5"/>
      <c r="AH377" s="5"/>
      <c r="AI377" s="5"/>
      <c r="AJ377" s="5"/>
      <c r="AK377" s="5"/>
      <c r="AL377" s="5"/>
      <c r="AM377" s="5"/>
      <c r="AN377" s="5"/>
      <c r="AO377" s="5"/>
      <c r="AP377" s="5"/>
      <c r="AQ377" s="5"/>
      <c r="AR377" s="5"/>
      <c r="AS377" s="5"/>
      <c r="AT377" s="5"/>
      <c r="AU377" s="5"/>
      <c r="AV377" s="5"/>
      <c r="AW377" s="5"/>
      <c r="AX377" s="5"/>
      <c r="AY377" s="5"/>
    </row>
    <row r="378" spans="1:51" x14ac:dyDescent="0.25">
      <c r="A37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78" s="5">
        <f ca="1">IFERROR(__xludf.DUMMYFUNCTION("""COMPUTED_VALUE"""),383)</f>
        <v>383</v>
      </c>
      <c r="C378" s="5">
        <f ca="1">IFERROR(__xludf.DUMMYFUNCTION("""COMPUTED_VALUE"""),361)</f>
        <v>361</v>
      </c>
      <c r="D378" s="5" t="str">
        <f ca="1">IFERROR(__xludf.DUMMYFUNCTION("""COMPUTED_VALUE"""),"UnicornHitLine")</f>
        <v>UnicornHitLine</v>
      </c>
      <c r="E378" s="5" t="str">
        <f ca="1">IFERROR(__xludf.DUMMYFUNCTION("""COMPUTED_VALUE"""),"Yes")</f>
        <v>Yes</v>
      </c>
      <c r="F378" s="5" t="str">
        <f ca="1">IFERROR(__xludf.DUMMYFUNCTION("""COMPUTED_VALUE"""),"Yes")</f>
        <v>Yes</v>
      </c>
      <c r="G378" s="5" t="str">
        <f ca="1">IFERROR(__xludf.DUMMYFUNCTION("""COMPUTED_VALUE"""),"Yes")</f>
        <v>Yes</v>
      </c>
      <c r="H378" s="5" t="str">
        <f ca="1">IFERROR(__xludf.DUMMYFUNCTION("""COMPUTED_VALUE"""),"No")</f>
        <v>No</v>
      </c>
      <c r="I378" s="5" t="str">
        <f ca="1">IFERROR(__xludf.DUMMYFUNCTION("""COMPUTED_VALUE"""),"No")</f>
        <v>No</v>
      </c>
      <c r="J378" s="5" t="str">
        <f ca="1">IFERROR(__xludf.DUMMYFUNCTION("""COMPUTED_VALUE"""),"No")</f>
        <v>No</v>
      </c>
      <c r="K378" s="5" t="str">
        <f ca="1">IFERROR(__xludf.DUMMYFUNCTION("""COMPUTED_VALUE"""),"No")</f>
        <v>No</v>
      </c>
      <c r="L378" s="5" t="str">
        <f ca="1">IFERROR(__xludf.DUMMYFUNCTION("""COMPUTED_VALUE"""),"No")</f>
        <v>No</v>
      </c>
      <c r="M378" s="5" t="str">
        <f ca="1">IFERROR(__xludf.DUMMYFUNCTION("""COMPUTED_VALUE"""),"Yes")</f>
        <v>Yes</v>
      </c>
      <c r="N378" s="5" t="str">
        <f ca="1">IFERROR(__xludf.DUMMYFUNCTION("""COMPUTED_VALUE"""),"Yes")</f>
        <v>Yes</v>
      </c>
      <c r="O378" s="5" t="str">
        <f ca="1">IFERROR(__xludf.DUMMYFUNCTION("""COMPUTED_VALUE"""),"Yes")</f>
        <v>Yes</v>
      </c>
      <c r="P378" s="5" t="str">
        <f ca="1">IFERROR(__xludf.DUMMYFUNCTION("""COMPUTED_VALUE"""),"Yes")</f>
        <v>Yes</v>
      </c>
      <c r="Q378" s="5" t="str">
        <f ca="1">IFERROR(__xludf.DUMMYFUNCTION("""COMPUTED_VALUE"""),"Yes")</f>
        <v>Yes</v>
      </c>
      <c r="R378" s="5" t="str">
        <f ca="1">IFERROR(__xludf.DUMMYFUNCTION("""COMPUTED_VALUE"""),"No")</f>
        <v>No</v>
      </c>
      <c r="S378" s="5" t="str">
        <f ca="1">IFERROR(__xludf.DUMMYFUNCTION("""COMPUTED_VALUE"""),"Yes")</f>
        <v>Yes</v>
      </c>
      <c r="T378" s="5" t="str">
        <f ca="1">IFERROR(__xludf.DUMMYFUNCTION("""COMPUTED_VALUE"""),"No")</f>
        <v>No</v>
      </c>
      <c r="U378" s="5" t="str">
        <f ca="1">IFERROR(__xludf.DUMMYFUNCTION("""COMPUTED_VALUE"""),"No")</f>
        <v>No</v>
      </c>
      <c r="V378" s="5" t="str">
        <f ca="1">IFERROR(__xludf.DUMMYFUNCTION("""COMPUTED_VALUE"""),"No")</f>
        <v>No</v>
      </c>
      <c r="W378" s="5" t="str">
        <f ca="1">IFERROR(__xludf.DUMMYFUNCTION("""COMPUTED_VALUE"""),"No")</f>
        <v>No</v>
      </c>
      <c r="X378" s="5"/>
      <c r="Y378" s="5"/>
      <c r="Z378" s="5"/>
      <c r="AA378" s="5"/>
      <c r="AB378" s="5"/>
      <c r="AC378" s="5" t="str">
        <f ca="1">IFERROR(__xludf.DUMMYFUNCTION("""COMPUTED_VALUE"""),"No")</f>
        <v>No</v>
      </c>
      <c r="AD378" s="5"/>
      <c r="AE378" s="5"/>
      <c r="AF378" s="5"/>
      <c r="AG378" s="5"/>
      <c r="AH378" s="5"/>
      <c r="AI378" s="5"/>
      <c r="AJ378" s="5"/>
      <c r="AK378" s="5"/>
      <c r="AL378" s="5"/>
      <c r="AM378" s="5"/>
      <c r="AN378" s="5"/>
      <c r="AO378" s="5"/>
      <c r="AP378" s="5"/>
      <c r="AQ378" s="5"/>
      <c r="AR378" s="5"/>
      <c r="AS378" s="5"/>
      <c r="AT378" s="5"/>
      <c r="AU378" s="5"/>
      <c r="AV378" s="5"/>
      <c r="AW378" s="5"/>
      <c r="AX378" s="5"/>
      <c r="AY378" s="5"/>
    </row>
    <row r="379" spans="1:51" x14ac:dyDescent="0.25">
      <c r="A3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9" s="5">
        <f ca="1">IFERROR(__xludf.DUMMYFUNCTION("""COMPUTED_VALUE"""),384)</f>
        <v>384</v>
      </c>
      <c r="C379" s="5">
        <f ca="1">IFERROR(__xludf.DUMMYFUNCTION("""COMPUTED_VALUE"""),362)</f>
        <v>362</v>
      </c>
      <c r="D379" s="5" t="str">
        <f ca="1">IFERROR(__xludf.DUMMYFUNCTION("""COMPUTED_VALUE"""),"RedstoneSpookySpins")</f>
        <v>RedstoneSpookySpins</v>
      </c>
      <c r="E379" s="5" t="str">
        <f ca="1">IFERROR(__xludf.DUMMYFUNCTION("""COMPUTED_VALUE"""),"Yes")</f>
        <v>Yes</v>
      </c>
      <c r="F379" s="5" t="str">
        <f ca="1">IFERROR(__xludf.DUMMYFUNCTION("""COMPUTED_VALUE"""),"Yes")</f>
        <v>Yes</v>
      </c>
      <c r="G379" s="5" t="str">
        <f ca="1">IFERROR(__xludf.DUMMYFUNCTION("""COMPUTED_VALUE"""),"Yes")</f>
        <v>Yes</v>
      </c>
      <c r="H379" s="5" t="str">
        <f ca="1">IFERROR(__xludf.DUMMYFUNCTION("""COMPUTED_VALUE"""),"Yes")</f>
        <v>Yes</v>
      </c>
      <c r="I379" s="5" t="str">
        <f ca="1">IFERROR(__xludf.DUMMYFUNCTION("""COMPUTED_VALUE"""),"Yes")</f>
        <v>Yes</v>
      </c>
      <c r="J379" s="5" t="str">
        <f ca="1">IFERROR(__xludf.DUMMYFUNCTION("""COMPUTED_VALUE"""),"Yes")</f>
        <v>Yes</v>
      </c>
      <c r="K379" s="5" t="str">
        <f ca="1">IFERROR(__xludf.DUMMYFUNCTION("""COMPUTED_VALUE"""),"Yes")</f>
        <v>Yes</v>
      </c>
      <c r="L379" s="5" t="str">
        <f ca="1">IFERROR(__xludf.DUMMYFUNCTION("""COMPUTED_VALUE"""),"Yes")</f>
        <v>Yes</v>
      </c>
      <c r="M379" s="5" t="str">
        <f ca="1">IFERROR(__xludf.DUMMYFUNCTION("""COMPUTED_VALUE"""),"Yes")</f>
        <v>Yes</v>
      </c>
      <c r="N379" s="5" t="str">
        <f ca="1">IFERROR(__xludf.DUMMYFUNCTION("""COMPUTED_VALUE"""),"Yes")</f>
        <v>Yes</v>
      </c>
      <c r="O379" s="5" t="str">
        <f ca="1">IFERROR(__xludf.DUMMYFUNCTION("""COMPUTED_VALUE"""),"Yes")</f>
        <v>Yes</v>
      </c>
      <c r="P379" s="5" t="str">
        <f ca="1">IFERROR(__xludf.DUMMYFUNCTION("""COMPUTED_VALUE"""),"Yes")</f>
        <v>Yes</v>
      </c>
      <c r="Q379" s="5" t="str">
        <f ca="1">IFERROR(__xludf.DUMMYFUNCTION("""COMPUTED_VALUE"""),"Yes")</f>
        <v>Yes</v>
      </c>
      <c r="R379" s="5" t="str">
        <f ca="1">IFERROR(__xludf.DUMMYFUNCTION("""COMPUTED_VALUE"""),"Yes")</f>
        <v>Yes</v>
      </c>
      <c r="S379" s="5" t="str">
        <f ca="1">IFERROR(__xludf.DUMMYFUNCTION("""COMPUTED_VALUE"""),"Yes")</f>
        <v>Yes</v>
      </c>
      <c r="T379" s="5" t="str">
        <f ca="1">IFERROR(__xludf.DUMMYFUNCTION("""COMPUTED_VALUE"""),"Yes")</f>
        <v>Yes</v>
      </c>
      <c r="U379" s="5" t="str">
        <f ca="1">IFERROR(__xludf.DUMMYFUNCTION("""COMPUTED_VALUE"""),"Yes")</f>
        <v>Yes</v>
      </c>
      <c r="V379" s="5" t="str">
        <f ca="1">IFERROR(__xludf.DUMMYFUNCTION("""COMPUTED_VALUE"""),"Yes")</f>
        <v>Yes</v>
      </c>
      <c r="W379" s="5" t="str">
        <f ca="1">IFERROR(__xludf.DUMMYFUNCTION("""COMPUTED_VALUE"""),"Yes")</f>
        <v>Yes</v>
      </c>
      <c r="X379" s="5"/>
      <c r="Y379" s="5"/>
      <c r="Z379" s="5"/>
      <c r="AA379" s="5"/>
      <c r="AB379" s="5"/>
      <c r="AC379" s="5" t="str">
        <f ca="1">IFERROR(__xludf.DUMMYFUNCTION("""COMPUTED_VALUE"""),"Yes")</f>
        <v>Yes</v>
      </c>
      <c r="AD379" s="5"/>
      <c r="AE379" s="5"/>
      <c r="AF379" s="5"/>
      <c r="AG379" s="5"/>
      <c r="AH379" s="5"/>
      <c r="AI379" s="5"/>
      <c r="AJ379" s="5"/>
      <c r="AK379" s="5"/>
      <c r="AL379" s="5"/>
      <c r="AM379" s="5"/>
      <c r="AN379" s="5"/>
      <c r="AO379" s="5"/>
      <c r="AP379" s="5"/>
      <c r="AQ379" s="5"/>
      <c r="AR379" s="5"/>
      <c r="AS379" s="5"/>
      <c r="AT379" s="5"/>
      <c r="AU379" s="5"/>
      <c r="AV379" s="5"/>
      <c r="AW379" s="5"/>
      <c r="AX379" s="5"/>
      <c r="AY379" s="5"/>
    </row>
    <row r="380" spans="1:51" x14ac:dyDescent="0.25">
      <c r="A38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0" s="5">
        <f ca="1">IFERROR(__xludf.DUMMYFUNCTION("""COMPUTED_VALUE"""),385)</f>
        <v>385</v>
      </c>
      <c r="C380" s="5">
        <f ca="1">IFERROR(__xludf.DUMMYFUNCTION("""COMPUTED_VALUE"""),363)</f>
        <v>363</v>
      </c>
      <c r="D380" s="5" t="str">
        <f ca="1">IFERROR(__xludf.DUMMYFUNCTION("""COMPUTED_VALUE"""),"Unicorn20SuperFlames")</f>
        <v>Unicorn20SuperFlames</v>
      </c>
      <c r="E380" s="5" t="str">
        <f ca="1">IFERROR(__xludf.DUMMYFUNCTION("""COMPUTED_VALUE"""),"Yes")</f>
        <v>Yes</v>
      </c>
      <c r="F380" s="5" t="str">
        <f ca="1">IFERROR(__xludf.DUMMYFUNCTION("""COMPUTED_VALUE"""),"Yes")</f>
        <v>Yes</v>
      </c>
      <c r="G380" s="5" t="str">
        <f ca="1">IFERROR(__xludf.DUMMYFUNCTION("""COMPUTED_VALUE"""),"No")</f>
        <v>No</v>
      </c>
      <c r="H380" s="5" t="str">
        <f ca="1">IFERROR(__xludf.DUMMYFUNCTION("""COMPUTED_VALUE"""),"Yes")</f>
        <v>Yes</v>
      </c>
      <c r="I380" s="5" t="str">
        <f ca="1">IFERROR(__xludf.DUMMYFUNCTION("""COMPUTED_VALUE"""),"Yes")</f>
        <v>Yes</v>
      </c>
      <c r="J380" s="5" t="str">
        <f ca="1">IFERROR(__xludf.DUMMYFUNCTION("""COMPUTED_VALUE"""),"Yes")</f>
        <v>Yes</v>
      </c>
      <c r="K380" s="5" t="str">
        <f ca="1">IFERROR(__xludf.DUMMYFUNCTION("""COMPUTED_VALUE"""),"Yes")</f>
        <v>Yes</v>
      </c>
      <c r="L380" s="5" t="str">
        <f ca="1">IFERROR(__xludf.DUMMYFUNCTION("""COMPUTED_VALUE"""),"Yes")</f>
        <v>Yes</v>
      </c>
      <c r="M380" s="5" t="str">
        <f ca="1">IFERROR(__xludf.DUMMYFUNCTION("""COMPUTED_VALUE"""),"Yes")</f>
        <v>Yes</v>
      </c>
      <c r="N380" s="5" t="str">
        <f ca="1">IFERROR(__xludf.DUMMYFUNCTION("""COMPUTED_VALUE"""),"Yes")</f>
        <v>Yes</v>
      </c>
      <c r="O380" s="5" t="str">
        <f ca="1">IFERROR(__xludf.DUMMYFUNCTION("""COMPUTED_VALUE"""),"Yes")</f>
        <v>Yes</v>
      </c>
      <c r="P380" s="5" t="str">
        <f ca="1">IFERROR(__xludf.DUMMYFUNCTION("""COMPUTED_VALUE"""),"Yes")</f>
        <v>Yes</v>
      </c>
      <c r="Q380" s="5" t="str">
        <f ca="1">IFERROR(__xludf.DUMMYFUNCTION("""COMPUTED_VALUE"""),"Yes")</f>
        <v>Yes</v>
      </c>
      <c r="R380" s="5" t="str">
        <f ca="1">IFERROR(__xludf.DUMMYFUNCTION("""COMPUTED_VALUE"""),"Yes")</f>
        <v>Yes</v>
      </c>
      <c r="S380" s="5" t="str">
        <f ca="1">IFERROR(__xludf.DUMMYFUNCTION("""COMPUTED_VALUE"""),"Yes")</f>
        <v>Yes</v>
      </c>
      <c r="T380" s="5" t="str">
        <f ca="1">IFERROR(__xludf.DUMMYFUNCTION("""COMPUTED_VALUE"""),"No")</f>
        <v>No</v>
      </c>
      <c r="U380" s="5" t="str">
        <f ca="1">IFERROR(__xludf.DUMMYFUNCTION("""COMPUTED_VALUE"""),"No")</f>
        <v>No</v>
      </c>
      <c r="V380" s="5" t="str">
        <f ca="1">IFERROR(__xludf.DUMMYFUNCTION("""COMPUTED_VALUE"""),"No")</f>
        <v>No</v>
      </c>
      <c r="W380" s="5" t="str">
        <f ca="1">IFERROR(__xludf.DUMMYFUNCTION("""COMPUTED_VALUE"""),"No")</f>
        <v>No</v>
      </c>
      <c r="X380" s="5" t="str">
        <f ca="1">IFERROR(__xludf.DUMMYFUNCTION("""COMPUTED_VALUE"""),"No")</f>
        <v>No</v>
      </c>
      <c r="Y380" s="5" t="str">
        <f ca="1">IFERROR(__xludf.DUMMYFUNCTION("""COMPUTED_VALUE"""),"No")</f>
        <v>No</v>
      </c>
      <c r="Z380" s="5" t="str">
        <f ca="1">IFERROR(__xludf.DUMMYFUNCTION("""COMPUTED_VALUE"""),"No")</f>
        <v>No</v>
      </c>
      <c r="AA380" s="5" t="str">
        <f ca="1">IFERROR(__xludf.DUMMYFUNCTION("""COMPUTED_VALUE"""),"No")</f>
        <v>No</v>
      </c>
      <c r="AB380" s="5" t="str">
        <f ca="1">IFERROR(__xludf.DUMMYFUNCTION("""COMPUTED_VALUE"""),"No")</f>
        <v>No</v>
      </c>
      <c r="AC380" s="5" t="str">
        <f ca="1">IFERROR(__xludf.DUMMYFUNCTION("""COMPUTED_VALUE"""),"No")</f>
        <v>No</v>
      </c>
      <c r="AD380" s="5" t="str">
        <f ca="1">IFERROR(__xludf.DUMMYFUNCTION("""COMPUTED_VALUE"""),"No")</f>
        <v>No</v>
      </c>
      <c r="AE380" s="5" t="str">
        <f ca="1">IFERROR(__xludf.DUMMYFUNCTION("""COMPUTED_VALUE"""),"No")</f>
        <v>No</v>
      </c>
      <c r="AF380" s="5" t="str">
        <f ca="1">IFERROR(__xludf.DUMMYFUNCTION("""COMPUTED_VALUE"""),"Yes")</f>
        <v>Yes</v>
      </c>
      <c r="AG380" s="5" t="str">
        <f ca="1">IFERROR(__xludf.DUMMYFUNCTION("""COMPUTED_VALUE"""),"No")</f>
        <v>No</v>
      </c>
      <c r="AH380" s="5" t="str">
        <f ca="1">IFERROR(__xludf.DUMMYFUNCTION("""COMPUTED_VALUE"""),"Yes")</f>
        <v>Yes</v>
      </c>
      <c r="AI380" s="5" t="str">
        <f ca="1">IFERROR(__xludf.DUMMYFUNCTION("""COMPUTED_VALUE"""),"No")</f>
        <v>No</v>
      </c>
      <c r="AJ380" s="5" t="str">
        <f ca="1">IFERROR(__xludf.DUMMYFUNCTION("""COMPUTED_VALUE"""),"No")</f>
        <v>No</v>
      </c>
      <c r="AK380" s="5" t="str">
        <f ca="1">IFERROR(__xludf.DUMMYFUNCTION("""COMPUTED_VALUE"""),"No")</f>
        <v>No</v>
      </c>
      <c r="AL380" s="5" t="str">
        <f ca="1">IFERROR(__xludf.DUMMYFUNCTION("""COMPUTED_VALUE"""),"No")</f>
        <v>No</v>
      </c>
      <c r="AM380" s="5"/>
      <c r="AN380" s="5"/>
      <c r="AO380" s="5"/>
      <c r="AP380" s="5"/>
      <c r="AQ380" s="5"/>
      <c r="AR380" s="5"/>
      <c r="AS380" s="5"/>
      <c r="AT380" s="5"/>
      <c r="AU380" s="5"/>
      <c r="AV380" s="5"/>
      <c r="AW380" s="5"/>
      <c r="AX380" s="5"/>
      <c r="AY380" s="5"/>
    </row>
    <row r="381" spans="1:51" x14ac:dyDescent="0.25">
      <c r="A381"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1" s="5">
        <f ca="1">IFERROR(__xludf.DUMMYFUNCTION("""COMPUTED_VALUE"""),386)</f>
        <v>386</v>
      </c>
      <c r="C381" s="5">
        <f ca="1">IFERROR(__xludf.DUMMYFUNCTION("""COMPUTED_VALUE"""),364)</f>
        <v>364</v>
      </c>
      <c r="D381" s="5" t="str">
        <f ca="1">IFERROR(__xludf.DUMMYFUNCTION("""COMPUTED_VALUE"""),"PlayNet27WildStacks")</f>
        <v>PlayNet27WildStacks</v>
      </c>
      <c r="E381" s="5" t="str">
        <f ca="1">IFERROR(__xludf.DUMMYFUNCTION("""COMPUTED_VALUE"""),"Yes")</f>
        <v>Yes</v>
      </c>
      <c r="F381" s="5" t="str">
        <f ca="1">IFERROR(__xludf.DUMMYFUNCTION("""COMPUTED_VALUE"""),"Yes")</f>
        <v>Yes</v>
      </c>
      <c r="G381" s="5" t="str">
        <f ca="1">IFERROR(__xludf.DUMMYFUNCTION("""COMPUTED_VALUE"""),"Yes")</f>
        <v>Yes</v>
      </c>
      <c r="H381" s="5" t="str">
        <f ca="1">IFERROR(__xludf.DUMMYFUNCTION("""COMPUTED_VALUE"""),"Yes")</f>
        <v>Yes</v>
      </c>
      <c r="I381" s="5" t="str">
        <f ca="1">IFERROR(__xludf.DUMMYFUNCTION("""COMPUTED_VALUE"""),"Yes")</f>
        <v>Yes</v>
      </c>
      <c r="J381" s="5" t="str">
        <f ca="1">IFERROR(__xludf.DUMMYFUNCTION("""COMPUTED_VALUE"""),"Yes")</f>
        <v>Yes</v>
      </c>
      <c r="K381" s="5" t="str">
        <f ca="1">IFERROR(__xludf.DUMMYFUNCTION("""COMPUTED_VALUE"""),"Yes")</f>
        <v>Yes</v>
      </c>
      <c r="L381" s="5" t="str">
        <f ca="1">IFERROR(__xludf.DUMMYFUNCTION("""COMPUTED_VALUE"""),"Yes")</f>
        <v>Yes</v>
      </c>
      <c r="M381" s="5" t="str">
        <f ca="1">IFERROR(__xludf.DUMMYFUNCTION("""COMPUTED_VALUE"""),"Yes")</f>
        <v>Yes</v>
      </c>
      <c r="N381" s="5" t="str">
        <f ca="1">IFERROR(__xludf.DUMMYFUNCTION("""COMPUTED_VALUE"""),"Yes")</f>
        <v>Yes</v>
      </c>
      <c r="O381" s="5" t="str">
        <f ca="1">IFERROR(__xludf.DUMMYFUNCTION("""COMPUTED_VALUE"""),"Yes")</f>
        <v>Yes</v>
      </c>
      <c r="P381" s="5" t="str">
        <f ca="1">IFERROR(__xludf.DUMMYFUNCTION("""COMPUTED_VALUE"""),"Yes")</f>
        <v>Yes</v>
      </c>
      <c r="Q381" s="5" t="str">
        <f ca="1">IFERROR(__xludf.DUMMYFUNCTION("""COMPUTED_VALUE"""),"Yes")</f>
        <v>Yes</v>
      </c>
      <c r="R381" s="5" t="str">
        <f ca="1">IFERROR(__xludf.DUMMYFUNCTION("""COMPUTED_VALUE"""),"Yes")</f>
        <v>Yes</v>
      </c>
      <c r="S381" s="5" t="str">
        <f ca="1">IFERROR(__xludf.DUMMYFUNCTION("""COMPUTED_VALUE"""),"Yes")</f>
        <v>Yes</v>
      </c>
      <c r="T381" s="5" t="str">
        <f ca="1">IFERROR(__xludf.DUMMYFUNCTION("""COMPUTED_VALUE"""),"No")</f>
        <v>No</v>
      </c>
      <c r="U381" s="5" t="str">
        <f ca="1">IFERROR(__xludf.DUMMYFUNCTION("""COMPUTED_VALUE"""),"No")</f>
        <v>No</v>
      </c>
      <c r="V381" s="5" t="str">
        <f ca="1">IFERROR(__xludf.DUMMYFUNCTION("""COMPUTED_VALUE"""),"No")</f>
        <v>No</v>
      </c>
      <c r="W381" s="5" t="str">
        <f ca="1">IFERROR(__xludf.DUMMYFUNCTION("""COMPUTED_VALUE"""),"No")</f>
        <v>No</v>
      </c>
      <c r="X381" s="5"/>
      <c r="Y381" s="5"/>
      <c r="Z381" s="5"/>
      <c r="AA381" s="5"/>
      <c r="AB381" s="5"/>
      <c r="AC381" s="5" t="str">
        <f ca="1">IFERROR(__xludf.DUMMYFUNCTION("""COMPUTED_VALUE"""),"No")</f>
        <v>No</v>
      </c>
      <c r="AD381" s="5"/>
      <c r="AE381" s="5"/>
      <c r="AF381" s="5" t="str">
        <f ca="1">IFERROR(__xludf.DUMMYFUNCTION("""COMPUTED_VALUE"""),"Yes")</f>
        <v>Yes</v>
      </c>
      <c r="AG381" s="5"/>
      <c r="AH381" s="5" t="str">
        <f ca="1">IFERROR(__xludf.DUMMYFUNCTION("""COMPUTED_VALUE"""),"Yes")</f>
        <v>Yes</v>
      </c>
      <c r="AI381" s="5"/>
      <c r="AJ381" s="5"/>
      <c r="AK381" s="5"/>
      <c r="AL381" s="5"/>
      <c r="AM381" s="5"/>
      <c r="AN381" s="5"/>
      <c r="AO381" s="5"/>
      <c r="AP381" s="5"/>
      <c r="AQ381" s="5"/>
      <c r="AR381" s="5"/>
      <c r="AS381" s="5"/>
      <c r="AT381" s="5"/>
      <c r="AU381" s="5"/>
      <c r="AV381" s="5"/>
      <c r="AW381" s="5"/>
      <c r="AX381" s="5"/>
      <c r="AY381" s="5"/>
    </row>
    <row r="382" spans="1:51" x14ac:dyDescent="0.25">
      <c r="A38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82" s="5">
        <f ca="1">IFERROR(__xludf.DUMMYFUNCTION("""COMPUTED_VALUE"""),387)</f>
        <v>387</v>
      </c>
      <c r="C382" s="5">
        <f ca="1">IFERROR(__xludf.DUMMYFUNCTION("""COMPUTED_VALUE"""),365)</f>
        <v>365</v>
      </c>
      <c r="D382" s="5" t="str">
        <f ca="1">IFERROR(__xludf.DUMMYFUNCTION("""COMPUTED_VALUE"""),"PlayNetDashingHot5")</f>
        <v>PlayNetDashingHot5</v>
      </c>
      <c r="E382" s="5" t="str">
        <f ca="1">IFERROR(__xludf.DUMMYFUNCTION("""COMPUTED_VALUE"""),"Yes")</f>
        <v>Yes</v>
      </c>
      <c r="F382" s="5" t="str">
        <f ca="1">IFERROR(__xludf.DUMMYFUNCTION("""COMPUTED_VALUE"""),"Yes")</f>
        <v>Yes</v>
      </c>
      <c r="G382" s="5" t="str">
        <f ca="1">IFERROR(__xludf.DUMMYFUNCTION("""COMPUTED_VALUE"""),"Yes")</f>
        <v>Yes</v>
      </c>
      <c r="H382" s="5" t="str">
        <f ca="1">IFERROR(__xludf.DUMMYFUNCTION("""COMPUTED_VALUE"""),"No")</f>
        <v>No</v>
      </c>
      <c r="I382" s="5" t="str">
        <f ca="1">IFERROR(__xludf.DUMMYFUNCTION("""COMPUTED_VALUE"""),"No")</f>
        <v>No</v>
      </c>
      <c r="J382" s="5" t="str">
        <f ca="1">IFERROR(__xludf.DUMMYFUNCTION("""COMPUTED_VALUE"""),"No")</f>
        <v>No</v>
      </c>
      <c r="K382" s="5" t="str">
        <f ca="1">IFERROR(__xludf.DUMMYFUNCTION("""COMPUTED_VALUE"""),"No")</f>
        <v>No</v>
      </c>
      <c r="L382" s="5" t="str">
        <f ca="1">IFERROR(__xludf.DUMMYFUNCTION("""COMPUTED_VALUE"""),"No")</f>
        <v>No</v>
      </c>
      <c r="M382" s="5" t="str">
        <f ca="1">IFERROR(__xludf.DUMMYFUNCTION("""COMPUTED_VALUE"""),"Yes")</f>
        <v>Yes</v>
      </c>
      <c r="N382" s="5" t="str">
        <f ca="1">IFERROR(__xludf.DUMMYFUNCTION("""COMPUTED_VALUE"""),"Yes")</f>
        <v>Yes</v>
      </c>
      <c r="O382" s="5" t="str">
        <f ca="1">IFERROR(__xludf.DUMMYFUNCTION("""COMPUTED_VALUE"""),"Yes")</f>
        <v>Yes</v>
      </c>
      <c r="P382" s="5" t="str">
        <f ca="1">IFERROR(__xludf.DUMMYFUNCTION("""COMPUTED_VALUE"""),"Yes")</f>
        <v>Yes</v>
      </c>
      <c r="Q382" s="5" t="str">
        <f ca="1">IFERROR(__xludf.DUMMYFUNCTION("""COMPUTED_VALUE"""),"Yes")</f>
        <v>Yes</v>
      </c>
      <c r="R382" s="5" t="str">
        <f ca="1">IFERROR(__xludf.DUMMYFUNCTION("""COMPUTED_VALUE"""),"No")</f>
        <v>No</v>
      </c>
      <c r="S382" s="5" t="str">
        <f ca="1">IFERROR(__xludf.DUMMYFUNCTION("""COMPUTED_VALUE"""),"Yes")</f>
        <v>Yes</v>
      </c>
      <c r="T382" s="5" t="str">
        <f ca="1">IFERROR(__xludf.DUMMYFUNCTION("""COMPUTED_VALUE"""),"No")</f>
        <v>No</v>
      </c>
      <c r="U382" s="5" t="str">
        <f ca="1">IFERROR(__xludf.DUMMYFUNCTION("""COMPUTED_VALUE"""),"No")</f>
        <v>No</v>
      </c>
      <c r="V382" s="5" t="str">
        <f ca="1">IFERROR(__xludf.DUMMYFUNCTION("""COMPUTED_VALUE"""),"No")</f>
        <v>No</v>
      </c>
      <c r="W382" s="5" t="str">
        <f ca="1">IFERROR(__xludf.DUMMYFUNCTION("""COMPUTED_VALUE"""),"No")</f>
        <v>No</v>
      </c>
      <c r="X382" s="5"/>
      <c r="Y382" s="5"/>
      <c r="Z382" s="5"/>
      <c r="AA382" s="5"/>
      <c r="AB382" s="5"/>
      <c r="AC382" s="5" t="str">
        <f ca="1">IFERROR(__xludf.DUMMYFUNCTION("""COMPUTED_VALUE"""),"No")</f>
        <v>No</v>
      </c>
      <c r="AD382" s="5"/>
      <c r="AE382" s="5"/>
      <c r="AF382" s="5"/>
      <c r="AG382" s="5"/>
      <c r="AH382" s="5"/>
      <c r="AI382" s="5"/>
      <c r="AJ382" s="5"/>
      <c r="AK382" s="5"/>
      <c r="AL382" s="5"/>
      <c r="AM382" s="5"/>
      <c r="AN382" s="5"/>
      <c r="AO382" s="5"/>
      <c r="AP382" s="5"/>
      <c r="AQ382" s="5"/>
      <c r="AR382" s="5"/>
      <c r="AS382" s="5"/>
      <c r="AT382" s="5"/>
      <c r="AU382" s="5"/>
      <c r="AV382" s="5"/>
      <c r="AW382" s="5"/>
      <c r="AX382" s="5"/>
      <c r="AY382" s="5"/>
    </row>
    <row r="383" spans="1:51" x14ac:dyDescent="0.25">
      <c r="A38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83" s="5">
        <f ca="1">IFERROR(__xludf.DUMMYFUNCTION("""COMPUTED_VALUE"""),388)</f>
        <v>388</v>
      </c>
      <c r="C383" s="5">
        <f ca="1">IFERROR(__xludf.DUMMYFUNCTION("""COMPUTED_VALUE"""),366)</f>
        <v>366</v>
      </c>
      <c r="D383" s="5" t="str">
        <f ca="1">IFERROR(__xludf.DUMMYFUNCTION("""COMPUTED_VALUE"""),"Unicorn20HotStrikeJackpot")</f>
        <v>Unicorn20HotStrikeJackpot</v>
      </c>
      <c r="E383" s="5" t="str">
        <f ca="1">IFERROR(__xludf.DUMMYFUNCTION("""COMPUTED_VALUE"""),"Yes")</f>
        <v>Yes</v>
      </c>
      <c r="F383" s="5" t="str">
        <f ca="1">IFERROR(__xludf.DUMMYFUNCTION("""COMPUTED_VALUE"""),"Yes")</f>
        <v>Yes</v>
      </c>
      <c r="G383" s="5" t="str">
        <f ca="1">IFERROR(__xludf.DUMMYFUNCTION("""COMPUTED_VALUE"""),"Yes")</f>
        <v>Yes</v>
      </c>
      <c r="H383" s="5" t="str">
        <f ca="1">IFERROR(__xludf.DUMMYFUNCTION("""COMPUTED_VALUE"""),"No")</f>
        <v>No</v>
      </c>
      <c r="I383" s="5" t="str">
        <f ca="1">IFERROR(__xludf.DUMMYFUNCTION("""COMPUTED_VALUE"""),"No")</f>
        <v>No</v>
      </c>
      <c r="J383" s="5" t="str">
        <f ca="1">IFERROR(__xludf.DUMMYFUNCTION("""COMPUTED_VALUE"""),"No")</f>
        <v>No</v>
      </c>
      <c r="K383" s="5" t="str">
        <f ca="1">IFERROR(__xludf.DUMMYFUNCTION("""COMPUTED_VALUE"""),"No")</f>
        <v>No</v>
      </c>
      <c r="L383" s="5" t="str">
        <f ca="1">IFERROR(__xludf.DUMMYFUNCTION("""COMPUTED_VALUE"""),"No")</f>
        <v>No</v>
      </c>
      <c r="M383" s="5" t="str">
        <f ca="1">IFERROR(__xludf.DUMMYFUNCTION("""COMPUTED_VALUE"""),"Yes")</f>
        <v>Yes</v>
      </c>
      <c r="N383" s="5" t="str">
        <f ca="1">IFERROR(__xludf.DUMMYFUNCTION("""COMPUTED_VALUE"""),"Yes")</f>
        <v>Yes</v>
      </c>
      <c r="O383" s="5" t="str">
        <f ca="1">IFERROR(__xludf.DUMMYFUNCTION("""COMPUTED_VALUE"""),"Yes")</f>
        <v>Yes</v>
      </c>
      <c r="P383" s="5" t="str">
        <f ca="1">IFERROR(__xludf.DUMMYFUNCTION("""COMPUTED_VALUE"""),"Yes")</f>
        <v>Yes</v>
      </c>
      <c r="Q383" s="5" t="str">
        <f ca="1">IFERROR(__xludf.DUMMYFUNCTION("""COMPUTED_VALUE"""),"Yes")</f>
        <v>Yes</v>
      </c>
      <c r="R383" s="5" t="str">
        <f ca="1">IFERROR(__xludf.DUMMYFUNCTION("""COMPUTED_VALUE"""),"No")</f>
        <v>No</v>
      </c>
      <c r="S383" s="5" t="str">
        <f ca="1">IFERROR(__xludf.DUMMYFUNCTION("""COMPUTED_VALUE"""),"Yes")</f>
        <v>Yes</v>
      </c>
      <c r="T383" s="5" t="str">
        <f ca="1">IFERROR(__xludf.DUMMYFUNCTION("""COMPUTED_VALUE"""),"No")</f>
        <v>No</v>
      </c>
      <c r="U383" s="5" t="str">
        <f ca="1">IFERROR(__xludf.DUMMYFUNCTION("""COMPUTED_VALUE"""),"No")</f>
        <v>No</v>
      </c>
      <c r="V383" s="5" t="str">
        <f ca="1">IFERROR(__xludf.DUMMYFUNCTION("""COMPUTED_VALUE"""),"No")</f>
        <v>No</v>
      </c>
      <c r="W383" s="5" t="str">
        <f ca="1">IFERROR(__xludf.DUMMYFUNCTION("""COMPUTED_VALUE"""),"No")</f>
        <v>No</v>
      </c>
      <c r="X383" s="5"/>
      <c r="Y383" s="5"/>
      <c r="Z383" s="5"/>
      <c r="AA383" s="5" t="str">
        <f ca="1">IFERROR(__xludf.DUMMYFUNCTION("""COMPUTED_VALUE"""),"No")</f>
        <v>No</v>
      </c>
      <c r="AB383" s="5"/>
      <c r="AC383" s="5" t="str">
        <f ca="1">IFERROR(__xludf.DUMMYFUNCTION("""COMPUTED_VALUE"""),"No")</f>
        <v>No</v>
      </c>
      <c r="AD383" s="5"/>
      <c r="AE383" s="5"/>
      <c r="AF383" s="5"/>
      <c r="AG383" s="5"/>
      <c r="AH383" s="5"/>
      <c r="AI383" s="5"/>
      <c r="AJ383" s="5"/>
      <c r="AK383" s="5"/>
      <c r="AL383" s="5"/>
      <c r="AM383" s="5"/>
      <c r="AN383" s="5"/>
      <c r="AO383" s="5"/>
      <c r="AP383" s="5"/>
      <c r="AQ383" s="5"/>
      <c r="AR383" s="5"/>
      <c r="AS383" s="5"/>
      <c r="AT383" s="5"/>
      <c r="AU383" s="5"/>
      <c r="AV383" s="5"/>
      <c r="AW383" s="5"/>
      <c r="AX383" s="5"/>
      <c r="AY383" s="5"/>
    </row>
    <row r="384" spans="1:51" x14ac:dyDescent="0.25">
      <c r="A3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84" s="5">
        <f ca="1">IFERROR(__xludf.DUMMYFUNCTION("""COMPUTED_VALUE"""),389)</f>
        <v>389</v>
      </c>
      <c r="C384" s="5">
        <f ca="1">IFERROR(__xludf.DUMMYFUNCTION("""COMPUTED_VALUE"""),367)</f>
        <v>367</v>
      </c>
      <c r="D384" s="5" t="str">
        <f ca="1">IFERROR(__xludf.DUMMYFUNCTION("""COMPUTED_VALUE"""),"Redstone5WildFire")</f>
        <v>Redstone5WildFire</v>
      </c>
      <c r="E384" s="5" t="str">
        <f ca="1">IFERROR(__xludf.DUMMYFUNCTION("""COMPUTED_VALUE"""),"Yes")</f>
        <v>Yes</v>
      </c>
      <c r="F384" s="5" t="str">
        <f ca="1">IFERROR(__xludf.DUMMYFUNCTION("""COMPUTED_VALUE"""),"Yes")</f>
        <v>Yes</v>
      </c>
      <c r="G384" s="5" t="str">
        <f ca="1">IFERROR(__xludf.DUMMYFUNCTION("""COMPUTED_VALUE"""),"Yes")</f>
        <v>Yes</v>
      </c>
      <c r="H384" s="5" t="str">
        <f ca="1">IFERROR(__xludf.DUMMYFUNCTION("""COMPUTED_VALUE"""),"Yes")</f>
        <v>Yes</v>
      </c>
      <c r="I384" s="5" t="str">
        <f ca="1">IFERROR(__xludf.DUMMYFUNCTION("""COMPUTED_VALUE"""),"Yes")</f>
        <v>Yes</v>
      </c>
      <c r="J384" s="5" t="str">
        <f ca="1">IFERROR(__xludf.DUMMYFUNCTION("""COMPUTED_VALUE"""),"Yes")</f>
        <v>Yes</v>
      </c>
      <c r="K384" s="5" t="str">
        <f ca="1">IFERROR(__xludf.DUMMYFUNCTION("""COMPUTED_VALUE"""),"Yes")</f>
        <v>Yes</v>
      </c>
      <c r="L384" s="5" t="str">
        <f ca="1">IFERROR(__xludf.DUMMYFUNCTION("""COMPUTED_VALUE"""),"Yes")</f>
        <v>Yes</v>
      </c>
      <c r="M384" s="5" t="str">
        <f ca="1">IFERROR(__xludf.DUMMYFUNCTION("""COMPUTED_VALUE"""),"Yes")</f>
        <v>Yes</v>
      </c>
      <c r="N384" s="5" t="str">
        <f ca="1">IFERROR(__xludf.DUMMYFUNCTION("""COMPUTED_VALUE"""),"Yes")</f>
        <v>Yes</v>
      </c>
      <c r="O384" s="5" t="str">
        <f ca="1">IFERROR(__xludf.DUMMYFUNCTION("""COMPUTED_VALUE"""),"Yes")</f>
        <v>Yes</v>
      </c>
      <c r="P384" s="5" t="str">
        <f ca="1">IFERROR(__xludf.DUMMYFUNCTION("""COMPUTED_VALUE"""),"Yes")</f>
        <v>Yes</v>
      </c>
      <c r="Q384" s="5" t="str">
        <f ca="1">IFERROR(__xludf.DUMMYFUNCTION("""COMPUTED_VALUE"""),"Yes")</f>
        <v>Yes</v>
      </c>
      <c r="R384" s="5" t="str">
        <f ca="1">IFERROR(__xludf.DUMMYFUNCTION("""COMPUTED_VALUE"""),"Yes")</f>
        <v>Yes</v>
      </c>
      <c r="S384" s="5" t="str">
        <f ca="1">IFERROR(__xludf.DUMMYFUNCTION("""COMPUTED_VALUE"""),"Yes")</f>
        <v>Yes</v>
      </c>
      <c r="T384" s="5" t="str">
        <f ca="1">IFERROR(__xludf.DUMMYFUNCTION("""COMPUTED_VALUE"""),"Yes")</f>
        <v>Yes</v>
      </c>
      <c r="U384" s="5" t="str">
        <f ca="1">IFERROR(__xludf.DUMMYFUNCTION("""COMPUTED_VALUE"""),"Yes")</f>
        <v>Yes</v>
      </c>
      <c r="V384" s="5" t="str">
        <f ca="1">IFERROR(__xludf.DUMMYFUNCTION("""COMPUTED_VALUE"""),"Yes")</f>
        <v>Yes</v>
      </c>
      <c r="W384" s="5" t="str">
        <f ca="1">IFERROR(__xludf.DUMMYFUNCTION("""COMPUTED_VALUE"""),"Yes")</f>
        <v>Yes</v>
      </c>
      <c r="X384" s="5"/>
      <c r="Y384" s="5"/>
      <c r="Z384" s="5"/>
      <c r="AA384" s="5"/>
      <c r="AB384" s="5"/>
      <c r="AC384" s="5" t="str">
        <f ca="1">IFERROR(__xludf.DUMMYFUNCTION("""COMPUTED_VALUE"""),"Yes")</f>
        <v>Yes</v>
      </c>
      <c r="AD384" s="5"/>
      <c r="AE384" s="5"/>
      <c r="AF384" s="5"/>
      <c r="AG384" s="5"/>
      <c r="AH384" s="5"/>
      <c r="AI384" s="5"/>
      <c r="AJ384" s="5"/>
      <c r="AK384" s="5"/>
      <c r="AL384" s="5"/>
      <c r="AM384" s="5"/>
      <c r="AN384" s="5"/>
      <c r="AO384" s="5"/>
      <c r="AP384" s="5"/>
      <c r="AQ384" s="5"/>
      <c r="AR384" s="5"/>
      <c r="AS384" s="5"/>
      <c r="AT384" s="5"/>
      <c r="AU384" s="5"/>
      <c r="AV384" s="5"/>
      <c r="AW384" s="5"/>
      <c r="AX384" s="5"/>
      <c r="AY384" s="5"/>
    </row>
    <row r="385" spans="1:51" x14ac:dyDescent="0.25">
      <c r="A385"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5" s="5">
        <f ca="1">IFERROR(__xludf.DUMMYFUNCTION("""COMPUTED_VALUE"""),390)</f>
        <v>390</v>
      </c>
      <c r="C385" s="5">
        <f ca="1">IFERROR(__xludf.DUMMYFUNCTION("""COMPUTED_VALUE"""),368)</f>
        <v>368</v>
      </c>
      <c r="D385" s="5" t="str">
        <f ca="1">IFERROR(__xludf.DUMMYFUNCTION("""COMPUTED_VALUE"""),"PlayNetWildForties")</f>
        <v>PlayNetWildForties</v>
      </c>
      <c r="E385" s="5" t="str">
        <f ca="1">IFERROR(__xludf.DUMMYFUNCTION("""COMPUTED_VALUE"""),"Yes")</f>
        <v>Yes</v>
      </c>
      <c r="F385" s="5" t="str">
        <f ca="1">IFERROR(__xludf.DUMMYFUNCTION("""COMPUTED_VALUE"""),"Yes")</f>
        <v>Yes</v>
      </c>
      <c r="G385" s="5" t="str">
        <f ca="1">IFERROR(__xludf.DUMMYFUNCTION("""COMPUTED_VALUE"""),"No")</f>
        <v>No</v>
      </c>
      <c r="H385" s="5" t="str">
        <f ca="1">IFERROR(__xludf.DUMMYFUNCTION("""COMPUTED_VALUE"""),"Yes")</f>
        <v>Yes</v>
      </c>
      <c r="I385" s="5" t="str">
        <f ca="1">IFERROR(__xludf.DUMMYFUNCTION("""COMPUTED_VALUE"""),"Yes")</f>
        <v>Yes</v>
      </c>
      <c r="J385" s="5" t="str">
        <f ca="1">IFERROR(__xludf.DUMMYFUNCTION("""COMPUTED_VALUE"""),"Yes")</f>
        <v>Yes</v>
      </c>
      <c r="K385" s="5" t="str">
        <f ca="1">IFERROR(__xludf.DUMMYFUNCTION("""COMPUTED_VALUE"""),"Yes")</f>
        <v>Yes</v>
      </c>
      <c r="L385" s="5" t="str">
        <f ca="1">IFERROR(__xludf.DUMMYFUNCTION("""COMPUTED_VALUE"""),"Yes")</f>
        <v>Yes</v>
      </c>
      <c r="M385" s="5" t="str">
        <f ca="1">IFERROR(__xludf.DUMMYFUNCTION("""COMPUTED_VALUE"""),"Yes")</f>
        <v>Yes</v>
      </c>
      <c r="N385" s="5" t="str">
        <f ca="1">IFERROR(__xludf.DUMMYFUNCTION("""COMPUTED_VALUE"""),"Yes")</f>
        <v>Yes</v>
      </c>
      <c r="O385" s="5" t="str">
        <f ca="1">IFERROR(__xludf.DUMMYFUNCTION("""COMPUTED_VALUE"""),"Yes")</f>
        <v>Yes</v>
      </c>
      <c r="P385" s="5" t="str">
        <f ca="1">IFERROR(__xludf.DUMMYFUNCTION("""COMPUTED_VALUE"""),"Yes")</f>
        <v>Yes</v>
      </c>
      <c r="Q385" s="5" t="str">
        <f ca="1">IFERROR(__xludf.DUMMYFUNCTION("""COMPUTED_VALUE"""),"Yes")</f>
        <v>Yes</v>
      </c>
      <c r="R385" s="5" t="str">
        <f ca="1">IFERROR(__xludf.DUMMYFUNCTION("""COMPUTED_VALUE"""),"Yes")</f>
        <v>Yes</v>
      </c>
      <c r="S385" s="5" t="str">
        <f ca="1">IFERROR(__xludf.DUMMYFUNCTION("""COMPUTED_VALUE"""),"Yes")</f>
        <v>Yes</v>
      </c>
      <c r="T385" s="5" t="str">
        <f ca="1">IFERROR(__xludf.DUMMYFUNCTION("""COMPUTED_VALUE"""),"No")</f>
        <v>No</v>
      </c>
      <c r="U385" s="5" t="str">
        <f ca="1">IFERROR(__xludf.DUMMYFUNCTION("""COMPUTED_VALUE"""),"No")</f>
        <v>No</v>
      </c>
      <c r="V385" s="5" t="str">
        <f ca="1">IFERROR(__xludf.DUMMYFUNCTION("""COMPUTED_VALUE"""),"No")</f>
        <v>No</v>
      </c>
      <c r="W385" s="5" t="str">
        <f ca="1">IFERROR(__xludf.DUMMYFUNCTION("""COMPUTED_VALUE"""),"No")</f>
        <v>No</v>
      </c>
      <c r="X385" s="5" t="str">
        <f ca="1">IFERROR(__xludf.DUMMYFUNCTION("""COMPUTED_VALUE"""),"No")</f>
        <v>No</v>
      </c>
      <c r="Y385" s="5" t="str">
        <f ca="1">IFERROR(__xludf.DUMMYFUNCTION("""COMPUTED_VALUE"""),"No")</f>
        <v>No</v>
      </c>
      <c r="Z385" s="5" t="str">
        <f ca="1">IFERROR(__xludf.DUMMYFUNCTION("""COMPUTED_VALUE"""),"No")</f>
        <v>No</v>
      </c>
      <c r="AA385" s="5" t="str">
        <f ca="1">IFERROR(__xludf.DUMMYFUNCTION("""COMPUTED_VALUE"""),"No")</f>
        <v>No</v>
      </c>
      <c r="AB385" s="5" t="str">
        <f ca="1">IFERROR(__xludf.DUMMYFUNCTION("""COMPUTED_VALUE"""),"No")</f>
        <v>No</v>
      </c>
      <c r="AC385" s="5" t="str">
        <f ca="1">IFERROR(__xludf.DUMMYFUNCTION("""COMPUTED_VALUE"""),"No")</f>
        <v>No</v>
      </c>
      <c r="AD385" s="5" t="str">
        <f ca="1">IFERROR(__xludf.DUMMYFUNCTION("""COMPUTED_VALUE"""),"No")</f>
        <v>No</v>
      </c>
      <c r="AE385" s="5" t="str">
        <f ca="1">IFERROR(__xludf.DUMMYFUNCTION("""COMPUTED_VALUE"""),"No")</f>
        <v>No</v>
      </c>
      <c r="AF385" s="5" t="str">
        <f ca="1">IFERROR(__xludf.DUMMYFUNCTION("""COMPUTED_VALUE"""),"Yes")</f>
        <v>Yes</v>
      </c>
      <c r="AG385" s="5" t="str">
        <f ca="1">IFERROR(__xludf.DUMMYFUNCTION("""COMPUTED_VALUE"""),"No")</f>
        <v>No</v>
      </c>
      <c r="AH385" s="5" t="str">
        <f ca="1">IFERROR(__xludf.DUMMYFUNCTION("""COMPUTED_VALUE"""),"Yes")</f>
        <v>Yes</v>
      </c>
      <c r="AI385" s="5" t="str">
        <f ca="1">IFERROR(__xludf.DUMMYFUNCTION("""COMPUTED_VALUE"""),"No")</f>
        <v>No</v>
      </c>
      <c r="AJ385" s="5" t="str">
        <f ca="1">IFERROR(__xludf.DUMMYFUNCTION("""COMPUTED_VALUE"""),"No")</f>
        <v>No</v>
      </c>
      <c r="AK385" s="5" t="str">
        <f ca="1">IFERROR(__xludf.DUMMYFUNCTION("""COMPUTED_VALUE"""),"No")</f>
        <v>No</v>
      </c>
      <c r="AL385" s="5" t="str">
        <f ca="1">IFERROR(__xludf.DUMMYFUNCTION("""COMPUTED_VALUE"""),"No")</f>
        <v>No</v>
      </c>
      <c r="AM385" s="5"/>
      <c r="AN385" s="5"/>
      <c r="AO385" s="5"/>
      <c r="AP385" s="5"/>
      <c r="AQ385" s="5"/>
      <c r="AR385" s="5"/>
      <c r="AS385" s="5"/>
      <c r="AT385" s="5"/>
      <c r="AU385" s="5"/>
      <c r="AV385" s="5"/>
      <c r="AW385" s="5"/>
      <c r="AX385" s="5"/>
      <c r="AY385" s="5"/>
    </row>
    <row r="386" spans="1:51" x14ac:dyDescent="0.25">
      <c r="A38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86" s="5">
        <f ca="1">IFERROR(__xludf.DUMMYFUNCTION("""COMPUTED_VALUE"""),392)</f>
        <v>392</v>
      </c>
      <c r="C386" s="5">
        <f ca="1">IFERROR(__xludf.DUMMYFUNCTION("""COMPUTED_VALUE"""),370)</f>
        <v>370</v>
      </c>
      <c r="D386" s="5" t="str">
        <f ca="1">IFERROR(__xludf.DUMMYFUNCTION("""COMPUTED_VALUE"""),"UnicornHitLineDice")</f>
        <v>UnicornHitLineDice</v>
      </c>
      <c r="E386" s="5" t="str">
        <f ca="1">IFERROR(__xludf.DUMMYFUNCTION("""COMPUTED_VALUE"""),"Yes")</f>
        <v>Yes</v>
      </c>
      <c r="F386" s="5" t="str">
        <f ca="1">IFERROR(__xludf.DUMMYFUNCTION("""COMPUTED_VALUE"""),"Yes")</f>
        <v>Yes</v>
      </c>
      <c r="G386" s="5" t="str">
        <f ca="1">IFERROR(__xludf.DUMMYFUNCTION("""COMPUTED_VALUE"""),"Yes")</f>
        <v>Yes</v>
      </c>
      <c r="H386" s="5" t="str">
        <f ca="1">IFERROR(__xludf.DUMMYFUNCTION("""COMPUTED_VALUE"""),"No")</f>
        <v>No</v>
      </c>
      <c r="I386" s="5" t="str">
        <f ca="1">IFERROR(__xludf.DUMMYFUNCTION("""COMPUTED_VALUE"""),"No")</f>
        <v>No</v>
      </c>
      <c r="J386" s="5" t="str">
        <f ca="1">IFERROR(__xludf.DUMMYFUNCTION("""COMPUTED_VALUE"""),"No")</f>
        <v>No</v>
      </c>
      <c r="K386" s="5" t="str">
        <f ca="1">IFERROR(__xludf.DUMMYFUNCTION("""COMPUTED_VALUE"""),"No")</f>
        <v>No</v>
      </c>
      <c r="L386" s="5" t="str">
        <f ca="1">IFERROR(__xludf.DUMMYFUNCTION("""COMPUTED_VALUE"""),"No")</f>
        <v>No</v>
      </c>
      <c r="M386" s="5" t="str">
        <f ca="1">IFERROR(__xludf.DUMMYFUNCTION("""COMPUTED_VALUE"""),"Yes")</f>
        <v>Yes</v>
      </c>
      <c r="N386" s="5" t="str">
        <f ca="1">IFERROR(__xludf.DUMMYFUNCTION("""COMPUTED_VALUE"""),"Yes")</f>
        <v>Yes</v>
      </c>
      <c r="O386" s="5" t="str">
        <f ca="1">IFERROR(__xludf.DUMMYFUNCTION("""COMPUTED_VALUE"""),"Yes")</f>
        <v>Yes</v>
      </c>
      <c r="P386" s="5" t="str">
        <f ca="1">IFERROR(__xludf.DUMMYFUNCTION("""COMPUTED_VALUE"""),"Yes")</f>
        <v>Yes</v>
      </c>
      <c r="Q386" s="5" t="str">
        <f ca="1">IFERROR(__xludf.DUMMYFUNCTION("""COMPUTED_VALUE"""),"Yes")</f>
        <v>Yes</v>
      </c>
      <c r="R386" s="5" t="str">
        <f ca="1">IFERROR(__xludf.DUMMYFUNCTION("""COMPUTED_VALUE"""),"No")</f>
        <v>No</v>
      </c>
      <c r="S386" s="5" t="str">
        <f ca="1">IFERROR(__xludf.DUMMYFUNCTION("""COMPUTED_VALUE"""),"Yes")</f>
        <v>Yes</v>
      </c>
      <c r="T386" s="5" t="str">
        <f ca="1">IFERROR(__xludf.DUMMYFUNCTION("""COMPUTED_VALUE"""),"No")</f>
        <v>No</v>
      </c>
      <c r="U386" s="5" t="str">
        <f ca="1">IFERROR(__xludf.DUMMYFUNCTION("""COMPUTED_VALUE"""),"No")</f>
        <v>No</v>
      </c>
      <c r="V386" s="5" t="str">
        <f ca="1">IFERROR(__xludf.DUMMYFUNCTION("""COMPUTED_VALUE"""),"No")</f>
        <v>No</v>
      </c>
      <c r="W386" s="5" t="str">
        <f ca="1">IFERROR(__xludf.DUMMYFUNCTION("""COMPUTED_VALUE"""),"No")</f>
        <v>No</v>
      </c>
      <c r="X386" s="5"/>
      <c r="Y386" s="5"/>
      <c r="Z386" s="5"/>
      <c r="AA386" s="5"/>
      <c r="AB386" s="5"/>
      <c r="AC386" s="5" t="str">
        <f ca="1">IFERROR(__xludf.DUMMYFUNCTION("""COMPUTED_VALUE"""),"No")</f>
        <v>No</v>
      </c>
      <c r="AD386" s="5"/>
      <c r="AE386" s="5"/>
      <c r="AF386" s="5"/>
      <c r="AG386" s="5"/>
      <c r="AH386" s="5"/>
      <c r="AI386" s="5"/>
      <c r="AJ386" s="5"/>
      <c r="AK386" s="5"/>
      <c r="AL386" s="5"/>
      <c r="AM386" s="5"/>
      <c r="AN386" s="5"/>
      <c r="AO386" s="5"/>
      <c r="AP386" s="5"/>
      <c r="AQ386" s="5"/>
      <c r="AR386" s="5"/>
      <c r="AS386" s="5"/>
      <c r="AT386" s="5"/>
      <c r="AU386" s="5"/>
      <c r="AV386" s="5"/>
      <c r="AW386" s="5"/>
      <c r="AX386" s="5"/>
      <c r="AY386" s="5"/>
    </row>
    <row r="387" spans="1:51" x14ac:dyDescent="0.25">
      <c r="A387"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7" s="5">
        <f ca="1">IFERROR(__xludf.DUMMYFUNCTION("""COMPUTED_VALUE"""),393)</f>
        <v>393</v>
      </c>
      <c r="C387" s="5">
        <f ca="1">IFERROR(__xludf.DUMMYFUNCTION("""COMPUTED_VALUE"""),371)</f>
        <v>371</v>
      </c>
      <c r="D387" s="5" t="str">
        <f ca="1">IFERROR(__xludf.DUMMYFUNCTION("""COMPUTED_VALUE"""),"PlayNetBookOfAmun")</f>
        <v>PlayNetBookOfAmun</v>
      </c>
      <c r="E387" s="5" t="str">
        <f ca="1">IFERROR(__xludf.DUMMYFUNCTION("""COMPUTED_VALUE"""),"Yes")</f>
        <v>Yes</v>
      </c>
      <c r="F387" s="5" t="str">
        <f ca="1">IFERROR(__xludf.DUMMYFUNCTION("""COMPUTED_VALUE"""),"Yes")</f>
        <v>Yes</v>
      </c>
      <c r="G387" s="5" t="str">
        <f ca="1">IFERROR(__xludf.DUMMYFUNCTION("""COMPUTED_VALUE"""),"Yes")</f>
        <v>Yes</v>
      </c>
      <c r="H387" s="5" t="str">
        <f ca="1">IFERROR(__xludf.DUMMYFUNCTION("""COMPUTED_VALUE"""),"Yes")</f>
        <v>Yes</v>
      </c>
      <c r="I387" s="5" t="str">
        <f ca="1">IFERROR(__xludf.DUMMYFUNCTION("""COMPUTED_VALUE"""),"Yes")</f>
        <v>Yes</v>
      </c>
      <c r="J387" s="5" t="str">
        <f ca="1">IFERROR(__xludf.DUMMYFUNCTION("""COMPUTED_VALUE"""),"Yes")</f>
        <v>Yes</v>
      </c>
      <c r="K387" s="5" t="str">
        <f ca="1">IFERROR(__xludf.DUMMYFUNCTION("""COMPUTED_VALUE"""),"Yes")</f>
        <v>Yes</v>
      </c>
      <c r="L387" s="5" t="str">
        <f ca="1">IFERROR(__xludf.DUMMYFUNCTION("""COMPUTED_VALUE"""),"Yes")</f>
        <v>Yes</v>
      </c>
      <c r="M387" s="5" t="str">
        <f ca="1">IFERROR(__xludf.DUMMYFUNCTION("""COMPUTED_VALUE"""),"Yes")</f>
        <v>Yes</v>
      </c>
      <c r="N387" s="5" t="str">
        <f ca="1">IFERROR(__xludf.DUMMYFUNCTION("""COMPUTED_VALUE"""),"Yes")</f>
        <v>Yes</v>
      </c>
      <c r="O387" s="5" t="str">
        <f ca="1">IFERROR(__xludf.DUMMYFUNCTION("""COMPUTED_VALUE"""),"Yes")</f>
        <v>Yes</v>
      </c>
      <c r="P387" s="5" t="str">
        <f ca="1">IFERROR(__xludf.DUMMYFUNCTION("""COMPUTED_VALUE"""),"Yes")</f>
        <v>Yes</v>
      </c>
      <c r="Q387" s="5" t="str">
        <f ca="1">IFERROR(__xludf.DUMMYFUNCTION("""COMPUTED_VALUE"""),"Yes")</f>
        <v>Yes</v>
      </c>
      <c r="R387" s="5" t="str">
        <f ca="1">IFERROR(__xludf.DUMMYFUNCTION("""COMPUTED_VALUE"""),"Yes")</f>
        <v>Yes</v>
      </c>
      <c r="S387" s="5" t="str">
        <f ca="1">IFERROR(__xludf.DUMMYFUNCTION("""COMPUTED_VALUE"""),"Yes")</f>
        <v>Yes</v>
      </c>
      <c r="T387" s="5" t="str">
        <f ca="1">IFERROR(__xludf.DUMMYFUNCTION("""COMPUTED_VALUE"""),"No")</f>
        <v>No</v>
      </c>
      <c r="U387" s="5" t="str">
        <f ca="1">IFERROR(__xludf.DUMMYFUNCTION("""COMPUTED_VALUE"""),"No")</f>
        <v>No</v>
      </c>
      <c r="V387" s="5" t="str">
        <f ca="1">IFERROR(__xludf.DUMMYFUNCTION("""COMPUTED_VALUE"""),"No")</f>
        <v>No</v>
      </c>
      <c r="W387" s="5" t="str">
        <f ca="1">IFERROR(__xludf.DUMMYFUNCTION("""COMPUTED_VALUE"""),"No")</f>
        <v>No</v>
      </c>
      <c r="X387" s="5"/>
      <c r="Y387" s="5"/>
      <c r="Z387" s="5"/>
      <c r="AA387" s="5"/>
      <c r="AB387" s="5"/>
      <c r="AC387" s="5" t="str">
        <f ca="1">IFERROR(__xludf.DUMMYFUNCTION("""COMPUTED_VALUE"""),"No")</f>
        <v>No</v>
      </c>
      <c r="AD387" s="5"/>
      <c r="AE387" s="5"/>
      <c r="AF387" s="5" t="str">
        <f ca="1">IFERROR(__xludf.DUMMYFUNCTION("""COMPUTED_VALUE"""),"Yes")</f>
        <v>Yes</v>
      </c>
      <c r="AG387" s="5"/>
      <c r="AH387" s="5" t="str">
        <f ca="1">IFERROR(__xludf.DUMMYFUNCTION("""COMPUTED_VALUE"""),"Yes")</f>
        <v>Yes</v>
      </c>
      <c r="AI387" s="5"/>
      <c r="AJ387" s="5"/>
      <c r="AK387" s="5"/>
      <c r="AL387" s="5"/>
      <c r="AM387" s="5"/>
      <c r="AN387" s="5"/>
      <c r="AO387" s="5"/>
      <c r="AP387" s="5"/>
      <c r="AQ387" s="5"/>
      <c r="AR387" s="5"/>
      <c r="AS387" s="5"/>
      <c r="AT387" s="5"/>
      <c r="AU387" s="5"/>
      <c r="AV387" s="5"/>
      <c r="AW387" s="5"/>
      <c r="AX387" s="5"/>
      <c r="AY387" s="5"/>
    </row>
    <row r="388" spans="1:51" x14ac:dyDescent="0.25">
      <c r="A38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88" s="5">
        <f ca="1">IFERROR(__xludf.DUMMYFUNCTION("""COMPUTED_VALUE"""),394)</f>
        <v>394</v>
      </c>
      <c r="C388" s="5">
        <f ca="1">IFERROR(__xludf.DUMMYFUNCTION("""COMPUTED_VALUE"""),372)</f>
        <v>372</v>
      </c>
      <c r="D388" s="5" t="str">
        <f ca="1">IFERROR(__xludf.DUMMYFUNCTION("""COMPUTED_VALUE"""),"Redstone81DoubleMagic")</f>
        <v>Redstone81DoubleMagic</v>
      </c>
      <c r="E388" s="5" t="str">
        <f ca="1">IFERROR(__xludf.DUMMYFUNCTION("""COMPUTED_VALUE"""),"Yes")</f>
        <v>Yes</v>
      </c>
      <c r="F388" s="5" t="str">
        <f ca="1">IFERROR(__xludf.DUMMYFUNCTION("""COMPUTED_VALUE"""),"Yes")</f>
        <v>Yes</v>
      </c>
      <c r="G388" s="5" t="str">
        <f ca="1">IFERROR(__xludf.DUMMYFUNCTION("""COMPUTED_VALUE"""),"Yes")</f>
        <v>Yes</v>
      </c>
      <c r="H388" s="5" t="str">
        <f ca="1">IFERROR(__xludf.DUMMYFUNCTION("""COMPUTED_VALUE"""),"No")</f>
        <v>No</v>
      </c>
      <c r="I388" s="5" t="str">
        <f ca="1">IFERROR(__xludf.DUMMYFUNCTION("""COMPUTED_VALUE"""),"No")</f>
        <v>No</v>
      </c>
      <c r="J388" s="5" t="str">
        <f ca="1">IFERROR(__xludf.DUMMYFUNCTION("""COMPUTED_VALUE"""),"No")</f>
        <v>No</v>
      </c>
      <c r="K388" s="5" t="str">
        <f ca="1">IFERROR(__xludf.DUMMYFUNCTION("""COMPUTED_VALUE"""),"No")</f>
        <v>No</v>
      </c>
      <c r="L388" s="5" t="str">
        <f ca="1">IFERROR(__xludf.DUMMYFUNCTION("""COMPUTED_VALUE"""),"No")</f>
        <v>No</v>
      </c>
      <c r="M388" s="5" t="str">
        <f ca="1">IFERROR(__xludf.DUMMYFUNCTION("""COMPUTED_VALUE"""),"Yes")</f>
        <v>Yes</v>
      </c>
      <c r="N388" s="5" t="str">
        <f ca="1">IFERROR(__xludf.DUMMYFUNCTION("""COMPUTED_VALUE"""),"Yes")</f>
        <v>Yes</v>
      </c>
      <c r="O388" s="5" t="str">
        <f ca="1">IFERROR(__xludf.DUMMYFUNCTION("""COMPUTED_VALUE"""),"Yes")</f>
        <v>Yes</v>
      </c>
      <c r="P388" s="5" t="str">
        <f ca="1">IFERROR(__xludf.DUMMYFUNCTION("""COMPUTED_VALUE"""),"Yes")</f>
        <v>Yes</v>
      </c>
      <c r="Q388" s="5" t="str">
        <f ca="1">IFERROR(__xludf.DUMMYFUNCTION("""COMPUTED_VALUE"""),"Yes")</f>
        <v>Yes</v>
      </c>
      <c r="R388" s="5" t="str">
        <f ca="1">IFERROR(__xludf.DUMMYFUNCTION("""COMPUTED_VALUE"""),"No")</f>
        <v>No</v>
      </c>
      <c r="S388" s="5" t="str">
        <f ca="1">IFERROR(__xludf.DUMMYFUNCTION("""COMPUTED_VALUE"""),"Yes")</f>
        <v>Yes</v>
      </c>
      <c r="T388" s="5" t="str">
        <f ca="1">IFERROR(__xludf.DUMMYFUNCTION("""COMPUTED_VALUE"""),"No")</f>
        <v>No</v>
      </c>
      <c r="U388" s="5" t="str">
        <f ca="1">IFERROR(__xludf.DUMMYFUNCTION("""COMPUTED_VALUE"""),"No")</f>
        <v>No</v>
      </c>
      <c r="V388" s="5" t="str">
        <f ca="1">IFERROR(__xludf.DUMMYFUNCTION("""COMPUTED_VALUE"""),"No")</f>
        <v>No</v>
      </c>
      <c r="W388" s="5" t="str">
        <f ca="1">IFERROR(__xludf.DUMMYFUNCTION("""COMPUTED_VALUE"""),"No")</f>
        <v>No</v>
      </c>
      <c r="X388" s="5"/>
      <c r="Y388" s="5"/>
      <c r="Z388" s="5"/>
      <c r="AA388" s="5" t="str">
        <f ca="1">IFERROR(__xludf.DUMMYFUNCTION("""COMPUTED_VALUE"""),"No")</f>
        <v>No</v>
      </c>
      <c r="AB388" s="5"/>
      <c r="AC388" s="5" t="str">
        <f ca="1">IFERROR(__xludf.DUMMYFUNCTION("""COMPUTED_VALUE"""),"No")</f>
        <v>No</v>
      </c>
      <c r="AD388" s="5"/>
      <c r="AE388" s="5"/>
      <c r="AF388" s="5" t="str">
        <f ca="1">IFERROR(__xludf.DUMMYFUNCTION("""COMPUTED_VALUE"""),"No")</f>
        <v>No</v>
      </c>
      <c r="AG388" s="5"/>
      <c r="AH388" s="5"/>
      <c r="AI388" s="5"/>
      <c r="AJ388" s="5"/>
      <c r="AK388" s="5"/>
      <c r="AL388" s="5" t="str">
        <f ca="1">IFERROR(__xludf.DUMMYFUNCTION("""COMPUTED_VALUE"""),"No")</f>
        <v>No</v>
      </c>
      <c r="AM388" s="5"/>
      <c r="AN388" s="5"/>
      <c r="AO388" s="5"/>
      <c r="AP388" s="5"/>
      <c r="AQ388" s="5"/>
      <c r="AR388" s="5"/>
      <c r="AS388" s="5"/>
      <c r="AT388" s="5"/>
      <c r="AU388" s="5"/>
      <c r="AV388" s="5"/>
      <c r="AW388" s="5"/>
      <c r="AX388" s="5"/>
      <c r="AY388" s="5"/>
    </row>
    <row r="389" spans="1:51" x14ac:dyDescent="0.25">
      <c r="A389" s="5" t="str">
        <f ca="1">IFERROR(__xludf.DUMMYFUNCTION("""COMPUTED_VALUE"""),"English(""eng""), Serbian(""""srp"",""srb""""), Spanish(""spa""), Portuguese(""por""), Italian(""ita""), Romanian(""rum/ron""), Croatian(""hrv""), French(""fre/fra""), German(""ger/deu""), Dutch(""dut/nld""), Turkish(""tur""), Greek(""gre/ell""), Russian("&amp;"""rus""), Ukrainian(""ukr""), Chinese(""zho/chi"")")</f>
        <v>English("eng"), Serbian(""srp","srb""), Spanish("spa"), Portuguese("por"), Italian("ita"), Romanian("rum/ron"), Croatian("hrv"), French("fre/fra"), German("ger/deu"), Dutch("dut/nld"), Turkish("tur"), Greek("gre/ell"), Russian("rus"), Ukrainian("ukr"), Chinese("zho/chi")</v>
      </c>
      <c r="B389" s="5">
        <f ca="1">IFERROR(__xludf.DUMMYFUNCTION("""COMPUTED_VALUE"""),396)</f>
        <v>396</v>
      </c>
      <c r="C389" s="5">
        <f ca="1">IFERROR(__xludf.DUMMYFUNCTION("""COMPUTED_VALUE"""),374)</f>
        <v>374</v>
      </c>
      <c r="D389" s="5" t="str">
        <f ca="1">IFERROR(__xludf.DUMMYFUNCTION("""COMPUTED_VALUE"""),"UnicornDynamiteRun")</f>
        <v>UnicornDynamiteRun</v>
      </c>
      <c r="E389" s="5" t="str">
        <f ca="1">IFERROR(__xludf.DUMMYFUNCTION("""COMPUTED_VALUE"""),"Yes")</f>
        <v>Yes</v>
      </c>
      <c r="F389" s="5" t="str">
        <f ca="1">IFERROR(__xludf.DUMMYFUNCTION("""COMPUTED_VALUE"""),"Yes")</f>
        <v>Yes</v>
      </c>
      <c r="G389" s="5" t="str">
        <f ca="1">IFERROR(__xludf.DUMMYFUNCTION("""COMPUTED_VALUE"""),"No")</f>
        <v>No</v>
      </c>
      <c r="H389" s="5" t="str">
        <f ca="1">IFERROR(__xludf.DUMMYFUNCTION("""COMPUTED_VALUE"""),"No")</f>
        <v>No</v>
      </c>
      <c r="I389" s="5" t="str">
        <f ca="1">IFERROR(__xludf.DUMMYFUNCTION("""COMPUTED_VALUE"""),"Yes")</f>
        <v>Yes</v>
      </c>
      <c r="J389" s="5" t="str">
        <f ca="1">IFERROR(__xludf.DUMMYFUNCTION("""COMPUTED_VALUE"""),"Yes")</f>
        <v>Yes</v>
      </c>
      <c r="K389" s="5" t="str">
        <f ca="1">IFERROR(__xludf.DUMMYFUNCTION("""COMPUTED_VALUE"""),"Yes")</f>
        <v>Yes</v>
      </c>
      <c r="L389" s="5" t="str">
        <f ca="1">IFERROR(__xludf.DUMMYFUNCTION("""COMPUTED_VALUE"""),"Yes")</f>
        <v>Yes</v>
      </c>
      <c r="M389" s="5" t="str">
        <f ca="1">IFERROR(__xludf.DUMMYFUNCTION("""COMPUTED_VALUE"""),"Yes")</f>
        <v>Yes</v>
      </c>
      <c r="N389" s="5" t="str">
        <f ca="1">IFERROR(__xludf.DUMMYFUNCTION("""COMPUTED_VALUE"""),"Yes")</f>
        <v>Yes</v>
      </c>
      <c r="O389" s="5" t="str">
        <f ca="1">IFERROR(__xludf.DUMMYFUNCTION("""COMPUTED_VALUE"""),"Yes")</f>
        <v>Yes</v>
      </c>
      <c r="P389" s="5" t="str">
        <f ca="1">IFERROR(__xludf.DUMMYFUNCTION("""COMPUTED_VALUE"""),"Yes")</f>
        <v>Yes</v>
      </c>
      <c r="Q389" s="5" t="str">
        <f ca="1">IFERROR(__xludf.DUMMYFUNCTION("""COMPUTED_VALUE"""),"Yes")</f>
        <v>Yes</v>
      </c>
      <c r="R389" s="5" t="str">
        <f ca="1">IFERROR(__xludf.DUMMYFUNCTION("""COMPUTED_VALUE"""),"Yes")</f>
        <v>Yes</v>
      </c>
      <c r="S389" s="5" t="str">
        <f ca="1">IFERROR(__xludf.DUMMYFUNCTION("""COMPUTED_VALUE"""),"Yes")</f>
        <v>Yes</v>
      </c>
      <c r="T389" s="5" t="str">
        <f ca="1">IFERROR(__xludf.DUMMYFUNCTION("""COMPUTED_VALUE"""),"No")</f>
        <v>No</v>
      </c>
      <c r="U389" s="5" t="str">
        <f ca="1">IFERROR(__xludf.DUMMYFUNCTION("""COMPUTED_VALUE"""),"No")</f>
        <v>No</v>
      </c>
      <c r="V389" s="5" t="str">
        <f ca="1">IFERROR(__xludf.DUMMYFUNCTION("""COMPUTED_VALUE"""),"No")</f>
        <v>No</v>
      </c>
      <c r="W389" s="5" t="str">
        <f ca="1">IFERROR(__xludf.DUMMYFUNCTION("""COMPUTED_VALUE"""),"No")</f>
        <v>No</v>
      </c>
      <c r="X389" s="5" t="str">
        <f ca="1">IFERROR(__xludf.DUMMYFUNCTION("""COMPUTED_VALUE"""),"No")</f>
        <v>No</v>
      </c>
      <c r="Y389" s="5" t="str">
        <f ca="1">IFERROR(__xludf.DUMMYFUNCTION("""COMPUTED_VALUE"""),"No")</f>
        <v>No</v>
      </c>
      <c r="Z389" s="5" t="str">
        <f ca="1">IFERROR(__xludf.DUMMYFUNCTION("""COMPUTED_VALUE"""),"No")</f>
        <v>No</v>
      </c>
      <c r="AA389" s="5" t="str">
        <f ca="1">IFERROR(__xludf.DUMMYFUNCTION("""COMPUTED_VALUE"""),"No")</f>
        <v>No</v>
      </c>
      <c r="AB389" s="5" t="str">
        <f ca="1">IFERROR(__xludf.DUMMYFUNCTION("""COMPUTED_VALUE"""),"No")</f>
        <v>No</v>
      </c>
      <c r="AC389" s="5" t="str">
        <f ca="1">IFERROR(__xludf.DUMMYFUNCTION("""COMPUTED_VALUE"""),"No")</f>
        <v>No</v>
      </c>
      <c r="AD389" s="5" t="str">
        <f ca="1">IFERROR(__xludf.DUMMYFUNCTION("""COMPUTED_VALUE"""),"No")</f>
        <v>No</v>
      </c>
      <c r="AE389" s="5" t="str">
        <f ca="1">IFERROR(__xludf.DUMMYFUNCTION("""COMPUTED_VALUE"""),"No")</f>
        <v>No</v>
      </c>
      <c r="AF389" s="5" t="str">
        <f ca="1">IFERROR(__xludf.DUMMYFUNCTION("""COMPUTED_VALUE"""),"Yes")</f>
        <v>Yes</v>
      </c>
      <c r="AG389" s="5" t="str">
        <f ca="1">IFERROR(__xludf.DUMMYFUNCTION("""COMPUTED_VALUE"""),"No")</f>
        <v>No</v>
      </c>
      <c r="AH389" s="5" t="str">
        <f ca="1">IFERROR(__xludf.DUMMYFUNCTION("""COMPUTED_VALUE"""),"Yes")</f>
        <v>Yes</v>
      </c>
      <c r="AI389" s="5" t="str">
        <f ca="1">IFERROR(__xludf.DUMMYFUNCTION("""COMPUTED_VALUE"""),"No")</f>
        <v>No</v>
      </c>
      <c r="AJ389" s="5" t="str">
        <f ca="1">IFERROR(__xludf.DUMMYFUNCTION("""COMPUTED_VALUE"""),"No")</f>
        <v>No</v>
      </c>
      <c r="AK389" s="5" t="str">
        <f ca="1">IFERROR(__xludf.DUMMYFUNCTION("""COMPUTED_VALUE"""),"No")</f>
        <v>No</v>
      </c>
      <c r="AL389" s="5" t="str">
        <f ca="1">IFERROR(__xludf.DUMMYFUNCTION("""COMPUTED_VALUE"""),"No")</f>
        <v>No</v>
      </c>
      <c r="AM389" s="5"/>
      <c r="AN389" s="5"/>
      <c r="AO389" s="5"/>
      <c r="AP389" s="5"/>
      <c r="AQ389" s="5"/>
      <c r="AR389" s="5"/>
      <c r="AS389" s="5"/>
      <c r="AT389" s="5"/>
      <c r="AU389" s="5"/>
      <c r="AV389" s="5"/>
      <c r="AW389" s="5"/>
      <c r="AX389" s="5"/>
      <c r="AY389" s="5"/>
    </row>
    <row r="390" spans="1:51" x14ac:dyDescent="0.25">
      <c r="A3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0" s="5">
        <f ca="1">IFERROR(__xludf.DUMMYFUNCTION("""COMPUTED_VALUE"""),398)</f>
        <v>398</v>
      </c>
      <c r="C390" s="5">
        <f ca="1">IFERROR(__xludf.DUMMYFUNCTION("""COMPUTED_VALUE"""),376)</f>
        <v>376</v>
      </c>
      <c r="D390" s="5" t="str">
        <f ca="1">IFERROR(__xludf.DUMMYFUNCTION("""COMPUTED_VALUE"""),"RedstoneOnlyAnime")</f>
        <v>RedstoneOnlyAnime</v>
      </c>
      <c r="E390" s="5" t="str">
        <f ca="1">IFERROR(__xludf.DUMMYFUNCTION("""COMPUTED_VALUE"""),"Yes")</f>
        <v>Yes</v>
      </c>
      <c r="F390" s="5" t="str">
        <f ca="1">IFERROR(__xludf.DUMMYFUNCTION("""COMPUTED_VALUE"""),"Yes")</f>
        <v>Yes</v>
      </c>
      <c r="G390" s="5" t="str">
        <f ca="1">IFERROR(__xludf.DUMMYFUNCTION("""COMPUTED_VALUE"""),"Yes")</f>
        <v>Yes</v>
      </c>
      <c r="H390" s="5" t="str">
        <f ca="1">IFERROR(__xludf.DUMMYFUNCTION("""COMPUTED_VALUE"""),"Yes")</f>
        <v>Yes</v>
      </c>
      <c r="I390" s="5" t="str">
        <f ca="1">IFERROR(__xludf.DUMMYFUNCTION("""COMPUTED_VALUE"""),"Yes")</f>
        <v>Yes</v>
      </c>
      <c r="J390" s="5" t="str">
        <f ca="1">IFERROR(__xludf.DUMMYFUNCTION("""COMPUTED_VALUE"""),"Yes")</f>
        <v>Yes</v>
      </c>
      <c r="K390" s="5" t="str">
        <f ca="1">IFERROR(__xludf.DUMMYFUNCTION("""COMPUTED_VALUE"""),"Yes")</f>
        <v>Yes</v>
      </c>
      <c r="L390" s="5" t="str">
        <f ca="1">IFERROR(__xludf.DUMMYFUNCTION("""COMPUTED_VALUE"""),"Yes")</f>
        <v>Yes</v>
      </c>
      <c r="M390" s="5" t="str">
        <f ca="1">IFERROR(__xludf.DUMMYFUNCTION("""COMPUTED_VALUE"""),"Yes")</f>
        <v>Yes</v>
      </c>
      <c r="N390" s="5" t="str">
        <f ca="1">IFERROR(__xludf.DUMMYFUNCTION("""COMPUTED_VALUE"""),"Yes")</f>
        <v>Yes</v>
      </c>
      <c r="O390" s="5" t="str">
        <f ca="1">IFERROR(__xludf.DUMMYFUNCTION("""COMPUTED_VALUE"""),"Yes")</f>
        <v>Yes</v>
      </c>
      <c r="P390" s="5" t="str">
        <f ca="1">IFERROR(__xludf.DUMMYFUNCTION("""COMPUTED_VALUE"""),"Yes")</f>
        <v>Yes</v>
      </c>
      <c r="Q390" s="5" t="str">
        <f ca="1">IFERROR(__xludf.DUMMYFUNCTION("""COMPUTED_VALUE"""),"Yes")</f>
        <v>Yes</v>
      </c>
      <c r="R390" s="5" t="str">
        <f ca="1">IFERROR(__xludf.DUMMYFUNCTION("""COMPUTED_VALUE"""),"Yes")</f>
        <v>Yes</v>
      </c>
      <c r="S390" s="5" t="str">
        <f ca="1">IFERROR(__xludf.DUMMYFUNCTION("""COMPUTED_VALUE"""),"Yes")</f>
        <v>Yes</v>
      </c>
      <c r="T390" s="5" t="str">
        <f ca="1">IFERROR(__xludf.DUMMYFUNCTION("""COMPUTED_VALUE"""),"Yes")</f>
        <v>Yes</v>
      </c>
      <c r="U390" s="5" t="str">
        <f ca="1">IFERROR(__xludf.DUMMYFUNCTION("""COMPUTED_VALUE"""),"Yes")</f>
        <v>Yes</v>
      </c>
      <c r="V390" s="5" t="str">
        <f ca="1">IFERROR(__xludf.DUMMYFUNCTION("""COMPUTED_VALUE"""),"Yes")</f>
        <v>Yes</v>
      </c>
      <c r="W390" s="5" t="str">
        <f ca="1">IFERROR(__xludf.DUMMYFUNCTION("""COMPUTED_VALUE"""),"Yes")</f>
        <v>Yes</v>
      </c>
      <c r="X390" s="5"/>
      <c r="Y390" s="5"/>
      <c r="Z390" s="5"/>
      <c r="AA390" s="5"/>
      <c r="AB390" s="5"/>
      <c r="AC390" s="5" t="str">
        <f ca="1">IFERROR(__xludf.DUMMYFUNCTION("""COMPUTED_VALUE"""),"Yes")</f>
        <v>Yes</v>
      </c>
      <c r="AD390" s="5"/>
      <c r="AE390" s="5"/>
      <c r="AF390" s="5"/>
      <c r="AG390" s="5"/>
      <c r="AH390" s="5"/>
      <c r="AI390" s="5"/>
      <c r="AJ390" s="5"/>
      <c r="AK390" s="5"/>
      <c r="AL390" s="5"/>
      <c r="AM390" s="5"/>
      <c r="AN390" s="5"/>
      <c r="AO390" s="5"/>
      <c r="AP390" s="5"/>
      <c r="AQ390" s="5"/>
      <c r="AR390" s="5"/>
      <c r="AS390" s="5"/>
      <c r="AT390" s="5"/>
      <c r="AU390" s="5"/>
      <c r="AV390" s="5"/>
      <c r="AW390" s="5"/>
      <c r="AX390" s="5"/>
      <c r="AY390" s="5"/>
    </row>
    <row r="391" spans="1:51" x14ac:dyDescent="0.25">
      <c r="A391"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91" s="5">
        <f ca="1">IFERROR(__xludf.DUMMYFUNCTION("""COMPUTED_VALUE"""),399)</f>
        <v>399</v>
      </c>
      <c r="C391" s="5">
        <f ca="1">IFERROR(__xludf.DUMMYFUNCTION("""COMPUTED_VALUE"""),377)</f>
        <v>377</v>
      </c>
      <c r="D391" s="5" t="str">
        <f ca="1">IFERROR(__xludf.DUMMYFUNCTION("""COMPUTED_VALUE"""),"Redstone27DoubleFruit")</f>
        <v>Redstone27DoubleFruit</v>
      </c>
      <c r="E391" s="5" t="str">
        <f ca="1">IFERROR(__xludf.DUMMYFUNCTION("""COMPUTED_VALUE"""),"Yes")</f>
        <v>Yes</v>
      </c>
      <c r="F391" s="5" t="str">
        <f ca="1">IFERROR(__xludf.DUMMYFUNCTION("""COMPUTED_VALUE"""),"Yes")</f>
        <v>Yes</v>
      </c>
      <c r="G391" s="5" t="str">
        <f ca="1">IFERROR(__xludf.DUMMYFUNCTION("""COMPUTED_VALUE"""),"No")</f>
        <v>No</v>
      </c>
      <c r="H391" s="5" t="str">
        <f ca="1">IFERROR(__xludf.DUMMYFUNCTION("""COMPUTED_VALUE"""),"Yes")</f>
        <v>Yes</v>
      </c>
      <c r="I391" s="5" t="str">
        <f ca="1">IFERROR(__xludf.DUMMYFUNCTION("""COMPUTED_VALUE"""),"Yes")</f>
        <v>Yes</v>
      </c>
      <c r="J391" s="5" t="str">
        <f ca="1">IFERROR(__xludf.DUMMYFUNCTION("""COMPUTED_VALUE"""),"Yes")</f>
        <v>Yes</v>
      </c>
      <c r="K391" s="5" t="str">
        <f ca="1">IFERROR(__xludf.DUMMYFUNCTION("""COMPUTED_VALUE"""),"Yes")</f>
        <v>Yes</v>
      </c>
      <c r="L391" s="5" t="str">
        <f ca="1">IFERROR(__xludf.DUMMYFUNCTION("""COMPUTED_VALUE"""),"Yes")</f>
        <v>Yes</v>
      </c>
      <c r="M391" s="5" t="str">
        <f ca="1">IFERROR(__xludf.DUMMYFUNCTION("""COMPUTED_VALUE"""),"Yes")</f>
        <v>Yes</v>
      </c>
      <c r="N391" s="5" t="str">
        <f ca="1">IFERROR(__xludf.DUMMYFUNCTION("""COMPUTED_VALUE"""),"Yes")</f>
        <v>Yes</v>
      </c>
      <c r="O391" s="5" t="str">
        <f ca="1">IFERROR(__xludf.DUMMYFUNCTION("""COMPUTED_VALUE"""),"Yes")</f>
        <v>Yes</v>
      </c>
      <c r="P391" s="5" t="str">
        <f ca="1">IFERROR(__xludf.DUMMYFUNCTION("""COMPUTED_VALUE"""),"Yes")</f>
        <v>Yes</v>
      </c>
      <c r="Q391" s="5" t="str">
        <f ca="1">IFERROR(__xludf.DUMMYFUNCTION("""COMPUTED_VALUE"""),"Yes")</f>
        <v>Yes</v>
      </c>
      <c r="R391" s="5" t="str">
        <f ca="1">IFERROR(__xludf.DUMMYFUNCTION("""COMPUTED_VALUE"""),"Yes")</f>
        <v>Yes</v>
      </c>
      <c r="S391" s="5" t="str">
        <f ca="1">IFERROR(__xludf.DUMMYFUNCTION("""COMPUTED_VALUE"""),"Yes")</f>
        <v>Yes</v>
      </c>
      <c r="T391" s="5" t="str">
        <f ca="1">IFERROR(__xludf.DUMMYFUNCTION("""COMPUTED_VALUE"""),"No")</f>
        <v>No</v>
      </c>
      <c r="U391" s="5" t="str">
        <f ca="1">IFERROR(__xludf.DUMMYFUNCTION("""COMPUTED_VALUE"""),"No")</f>
        <v>No</v>
      </c>
      <c r="V391" s="5" t="str">
        <f ca="1">IFERROR(__xludf.DUMMYFUNCTION("""COMPUTED_VALUE"""),"No")</f>
        <v>No</v>
      </c>
      <c r="W391" s="5" t="str">
        <f ca="1">IFERROR(__xludf.DUMMYFUNCTION("""COMPUTED_VALUE"""),"No")</f>
        <v>No</v>
      </c>
      <c r="X391" s="5" t="str">
        <f ca="1">IFERROR(__xludf.DUMMYFUNCTION("""COMPUTED_VALUE"""),"No")</f>
        <v>No</v>
      </c>
      <c r="Y391" s="5" t="str">
        <f ca="1">IFERROR(__xludf.DUMMYFUNCTION("""COMPUTED_VALUE"""),"No")</f>
        <v>No</v>
      </c>
      <c r="Z391" s="5" t="str">
        <f ca="1">IFERROR(__xludf.DUMMYFUNCTION("""COMPUTED_VALUE"""),"No")</f>
        <v>No</v>
      </c>
      <c r="AA391" s="5" t="str">
        <f ca="1">IFERROR(__xludf.DUMMYFUNCTION("""COMPUTED_VALUE"""),"No")</f>
        <v>No</v>
      </c>
      <c r="AB391" s="5" t="str">
        <f ca="1">IFERROR(__xludf.DUMMYFUNCTION("""COMPUTED_VALUE"""),"No")</f>
        <v>No</v>
      </c>
      <c r="AC391" s="5" t="str">
        <f ca="1">IFERROR(__xludf.DUMMYFUNCTION("""COMPUTED_VALUE"""),"No")</f>
        <v>No</v>
      </c>
      <c r="AD391" s="5" t="str">
        <f ca="1">IFERROR(__xludf.DUMMYFUNCTION("""COMPUTED_VALUE"""),"No")</f>
        <v>No</v>
      </c>
      <c r="AE391" s="5" t="str">
        <f ca="1">IFERROR(__xludf.DUMMYFUNCTION("""COMPUTED_VALUE"""),"No")</f>
        <v>No</v>
      </c>
      <c r="AF391" s="5" t="str">
        <f ca="1">IFERROR(__xludf.DUMMYFUNCTION("""COMPUTED_VALUE"""),"Yes")</f>
        <v>Yes</v>
      </c>
      <c r="AG391" s="5" t="str">
        <f ca="1">IFERROR(__xludf.DUMMYFUNCTION("""COMPUTED_VALUE"""),"No")</f>
        <v>No</v>
      </c>
      <c r="AH391" s="5" t="str">
        <f ca="1">IFERROR(__xludf.DUMMYFUNCTION("""COMPUTED_VALUE"""),"Yes")</f>
        <v>Yes</v>
      </c>
      <c r="AI391" s="5" t="str">
        <f ca="1">IFERROR(__xludf.DUMMYFUNCTION("""COMPUTED_VALUE"""),"No")</f>
        <v>No</v>
      </c>
      <c r="AJ391" s="5" t="str">
        <f ca="1">IFERROR(__xludf.DUMMYFUNCTION("""COMPUTED_VALUE"""),"No")</f>
        <v>No</v>
      </c>
      <c r="AK391" s="5" t="str">
        <f ca="1">IFERROR(__xludf.DUMMYFUNCTION("""COMPUTED_VALUE"""),"No")</f>
        <v>No</v>
      </c>
      <c r="AL391" s="5" t="str">
        <f ca="1">IFERROR(__xludf.DUMMYFUNCTION("""COMPUTED_VALUE"""),"No")</f>
        <v>No</v>
      </c>
      <c r="AM391" s="5"/>
      <c r="AN391" s="5"/>
      <c r="AO391" s="5"/>
      <c r="AP391" s="5"/>
      <c r="AQ391" s="5"/>
      <c r="AR391" s="5"/>
      <c r="AS391" s="5"/>
      <c r="AT391" s="5"/>
      <c r="AU391" s="5"/>
      <c r="AV391" s="5"/>
      <c r="AW391" s="5"/>
      <c r="AX391" s="5"/>
      <c r="AY391" s="5"/>
    </row>
    <row r="392" spans="1:51" x14ac:dyDescent="0.25">
      <c r="A392"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92" s="5">
        <f ca="1">IFERROR(__xludf.DUMMYFUNCTION("""COMPUTED_VALUE"""),401)</f>
        <v>401</v>
      </c>
      <c r="C392" s="5">
        <f ca="1">IFERROR(__xludf.DUMMYFUNCTION("""COMPUTED_VALUE"""),379)</f>
        <v>379</v>
      </c>
      <c r="D392" s="5" t="str">
        <f ca="1">IFERROR(__xludf.DUMMYFUNCTION("""COMPUTED_VALUE"""),"PlayNet27WildStacksXmas")</f>
        <v>PlayNet27WildStacksXmas</v>
      </c>
      <c r="E392" s="5" t="str">
        <f ca="1">IFERROR(__xludf.DUMMYFUNCTION("""COMPUTED_VALUE"""),"Yes")</f>
        <v>Yes</v>
      </c>
      <c r="F392" s="5" t="str">
        <f ca="1">IFERROR(__xludf.DUMMYFUNCTION("""COMPUTED_VALUE"""),"Yes")</f>
        <v>Yes</v>
      </c>
      <c r="G392" s="5" t="str">
        <f ca="1">IFERROR(__xludf.DUMMYFUNCTION("""COMPUTED_VALUE"""),"Yes")</f>
        <v>Yes</v>
      </c>
      <c r="H392" s="5" t="str">
        <f ca="1">IFERROR(__xludf.DUMMYFUNCTION("""COMPUTED_VALUE"""),"Yes")</f>
        <v>Yes</v>
      </c>
      <c r="I392" s="5" t="str">
        <f ca="1">IFERROR(__xludf.DUMMYFUNCTION("""COMPUTED_VALUE"""),"Yes")</f>
        <v>Yes</v>
      </c>
      <c r="J392" s="5" t="str">
        <f ca="1">IFERROR(__xludf.DUMMYFUNCTION("""COMPUTED_VALUE"""),"Yes")</f>
        <v>Yes</v>
      </c>
      <c r="K392" s="5" t="str">
        <f ca="1">IFERROR(__xludf.DUMMYFUNCTION("""COMPUTED_VALUE"""),"Yes")</f>
        <v>Yes</v>
      </c>
      <c r="L392" s="5" t="str">
        <f ca="1">IFERROR(__xludf.DUMMYFUNCTION("""COMPUTED_VALUE"""),"Yes")</f>
        <v>Yes</v>
      </c>
      <c r="M392" s="5" t="str">
        <f ca="1">IFERROR(__xludf.DUMMYFUNCTION("""COMPUTED_VALUE"""),"Yes")</f>
        <v>Yes</v>
      </c>
      <c r="N392" s="5" t="str">
        <f ca="1">IFERROR(__xludf.DUMMYFUNCTION("""COMPUTED_VALUE"""),"Yes")</f>
        <v>Yes</v>
      </c>
      <c r="O392" s="5" t="str">
        <f ca="1">IFERROR(__xludf.DUMMYFUNCTION("""COMPUTED_VALUE"""),"Yes")</f>
        <v>Yes</v>
      </c>
      <c r="P392" s="5" t="str">
        <f ca="1">IFERROR(__xludf.DUMMYFUNCTION("""COMPUTED_VALUE"""),"Yes")</f>
        <v>Yes</v>
      </c>
      <c r="Q392" s="5" t="str">
        <f ca="1">IFERROR(__xludf.DUMMYFUNCTION("""COMPUTED_VALUE"""),"Yes")</f>
        <v>Yes</v>
      </c>
      <c r="R392" s="5" t="str">
        <f ca="1">IFERROR(__xludf.DUMMYFUNCTION("""COMPUTED_VALUE"""),"Yes")</f>
        <v>Yes</v>
      </c>
      <c r="S392" s="5" t="str">
        <f ca="1">IFERROR(__xludf.DUMMYFUNCTION("""COMPUTED_VALUE"""),"Yes")</f>
        <v>Yes</v>
      </c>
      <c r="T392" s="5" t="str">
        <f ca="1">IFERROR(__xludf.DUMMYFUNCTION("""COMPUTED_VALUE"""),"No")</f>
        <v>No</v>
      </c>
      <c r="U392" s="5" t="str">
        <f ca="1">IFERROR(__xludf.DUMMYFUNCTION("""COMPUTED_VALUE"""),"No")</f>
        <v>No</v>
      </c>
      <c r="V392" s="5" t="str">
        <f ca="1">IFERROR(__xludf.DUMMYFUNCTION("""COMPUTED_VALUE"""),"No")</f>
        <v>No</v>
      </c>
      <c r="W392" s="5" t="str">
        <f ca="1">IFERROR(__xludf.DUMMYFUNCTION("""COMPUTED_VALUE"""),"No")</f>
        <v>No</v>
      </c>
      <c r="X392" s="5" t="str">
        <f ca="1">IFERROR(__xludf.DUMMYFUNCTION("""COMPUTED_VALUE"""),"No")</f>
        <v>No</v>
      </c>
      <c r="Y392" s="5" t="str">
        <f ca="1">IFERROR(__xludf.DUMMYFUNCTION("""COMPUTED_VALUE"""),"No")</f>
        <v>No</v>
      </c>
      <c r="Z392" s="5" t="str">
        <f ca="1">IFERROR(__xludf.DUMMYFUNCTION("""COMPUTED_VALUE"""),"No")</f>
        <v>No</v>
      </c>
      <c r="AA392" s="5" t="str">
        <f ca="1">IFERROR(__xludf.DUMMYFUNCTION("""COMPUTED_VALUE"""),"No")</f>
        <v>No</v>
      </c>
      <c r="AB392" s="5" t="str">
        <f ca="1">IFERROR(__xludf.DUMMYFUNCTION("""COMPUTED_VALUE"""),"No")</f>
        <v>No</v>
      </c>
      <c r="AC392" s="5" t="str">
        <f ca="1">IFERROR(__xludf.DUMMYFUNCTION("""COMPUTED_VALUE"""),"No")</f>
        <v>No</v>
      </c>
      <c r="AD392" s="5" t="str">
        <f ca="1">IFERROR(__xludf.DUMMYFUNCTION("""COMPUTED_VALUE"""),"No")</f>
        <v>No</v>
      </c>
      <c r="AE392" s="5" t="str">
        <f ca="1">IFERROR(__xludf.DUMMYFUNCTION("""COMPUTED_VALUE"""),"No")</f>
        <v>No</v>
      </c>
      <c r="AF392" s="5" t="str">
        <f ca="1">IFERROR(__xludf.DUMMYFUNCTION("""COMPUTED_VALUE"""),"Yes")</f>
        <v>Yes</v>
      </c>
      <c r="AG392" s="5" t="str">
        <f ca="1">IFERROR(__xludf.DUMMYFUNCTION("""COMPUTED_VALUE"""),"No")</f>
        <v>No</v>
      </c>
      <c r="AH392" s="5" t="str">
        <f ca="1">IFERROR(__xludf.DUMMYFUNCTION("""COMPUTED_VALUE"""),"Yes")</f>
        <v>Yes</v>
      </c>
      <c r="AI392" s="5" t="str">
        <f ca="1">IFERROR(__xludf.DUMMYFUNCTION("""COMPUTED_VALUE"""),"No")</f>
        <v>No</v>
      </c>
      <c r="AJ392" s="5" t="str">
        <f ca="1">IFERROR(__xludf.DUMMYFUNCTION("""COMPUTED_VALUE"""),"No")</f>
        <v>No</v>
      </c>
      <c r="AK392" s="5" t="str">
        <f ca="1">IFERROR(__xludf.DUMMYFUNCTION("""COMPUTED_VALUE"""),"No")</f>
        <v>No</v>
      </c>
      <c r="AL392" s="5" t="str">
        <f ca="1">IFERROR(__xludf.DUMMYFUNCTION("""COMPUTED_VALUE"""),"No")</f>
        <v>No</v>
      </c>
      <c r="AM392" s="5"/>
      <c r="AN392" s="5"/>
      <c r="AO392" s="5"/>
      <c r="AP392" s="5"/>
      <c r="AQ392" s="5"/>
      <c r="AR392" s="5"/>
      <c r="AS392" s="5"/>
      <c r="AT392" s="5"/>
      <c r="AU392" s="5"/>
      <c r="AV392" s="5"/>
      <c r="AW392" s="5"/>
      <c r="AX392" s="5"/>
      <c r="AY392" s="5"/>
    </row>
    <row r="393" spans="1:51" x14ac:dyDescent="0.25">
      <c r="A393" s="5" t="str">
        <f ca="1">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3" s="5">
        <f ca="1">IFERROR(__xludf.DUMMYFUNCTION("""COMPUTED_VALUE"""),402)</f>
        <v>402</v>
      </c>
      <c r="C393" s="5">
        <f ca="1">IFERROR(__xludf.DUMMYFUNCTION("""COMPUTED_VALUE"""),380)</f>
        <v>380</v>
      </c>
      <c r="D393" s="5" t="str">
        <f ca="1">IFERROR(__xludf.DUMMYFUNCTION("""COMPUTED_VALUE"""),"PlayNetMajesticCrown20Xmas")</f>
        <v>PlayNetMajesticCrown20Xmas</v>
      </c>
      <c r="E393" s="5" t="str">
        <f ca="1">IFERROR(__xludf.DUMMYFUNCTION("""COMPUTED_VALUE"""),"Yes")</f>
        <v>Yes</v>
      </c>
      <c r="F393" s="5" t="str">
        <f ca="1">IFERROR(__xludf.DUMMYFUNCTION("""COMPUTED_VALUE"""),"Yes")</f>
        <v>Yes</v>
      </c>
      <c r="G393" s="5" t="str">
        <f ca="1">IFERROR(__xludf.DUMMYFUNCTION("""COMPUTED_VALUE"""),"Yes")</f>
        <v>Yes</v>
      </c>
      <c r="H393" s="5" t="str">
        <f ca="1">IFERROR(__xludf.DUMMYFUNCTION("""COMPUTED_VALUE"""),"Yes")</f>
        <v>Yes</v>
      </c>
      <c r="I393" s="5" t="str">
        <f ca="1">IFERROR(__xludf.DUMMYFUNCTION("""COMPUTED_VALUE"""),"Yes")</f>
        <v>Yes</v>
      </c>
      <c r="J393" s="5" t="str">
        <f ca="1">IFERROR(__xludf.DUMMYFUNCTION("""COMPUTED_VALUE"""),"Yes")</f>
        <v>Yes</v>
      </c>
      <c r="K393" s="5" t="str">
        <f ca="1">IFERROR(__xludf.DUMMYFUNCTION("""COMPUTED_VALUE"""),"Yes")</f>
        <v>Yes</v>
      </c>
      <c r="L393" s="5" t="str">
        <f ca="1">IFERROR(__xludf.DUMMYFUNCTION("""COMPUTED_VALUE"""),"Yes")</f>
        <v>Yes</v>
      </c>
      <c r="M393" s="5" t="str">
        <f ca="1">IFERROR(__xludf.DUMMYFUNCTION("""COMPUTED_VALUE"""),"Yes")</f>
        <v>Yes</v>
      </c>
      <c r="N393" s="5" t="str">
        <f ca="1">IFERROR(__xludf.DUMMYFUNCTION("""COMPUTED_VALUE"""),"Yes")</f>
        <v>Yes</v>
      </c>
      <c r="O393" s="5" t="str">
        <f ca="1">IFERROR(__xludf.DUMMYFUNCTION("""COMPUTED_VALUE"""),"Yes")</f>
        <v>Yes</v>
      </c>
      <c r="P393" s="5" t="str">
        <f ca="1">IFERROR(__xludf.DUMMYFUNCTION("""COMPUTED_VALUE"""),"Yes")</f>
        <v>Yes</v>
      </c>
      <c r="Q393" s="5" t="str">
        <f ca="1">IFERROR(__xludf.DUMMYFUNCTION("""COMPUTED_VALUE"""),"Yes")</f>
        <v>Yes</v>
      </c>
      <c r="R393" s="5" t="str">
        <f ca="1">IFERROR(__xludf.DUMMYFUNCTION("""COMPUTED_VALUE"""),"No")</f>
        <v>No</v>
      </c>
      <c r="S393" s="5" t="str">
        <f ca="1">IFERROR(__xludf.DUMMYFUNCTION("""COMPUTED_VALUE"""),"Yes")</f>
        <v>Yes</v>
      </c>
      <c r="T393" s="5" t="str">
        <f ca="1">IFERROR(__xludf.DUMMYFUNCTION("""COMPUTED_VALUE"""),"No")</f>
        <v>No</v>
      </c>
      <c r="U393" s="5" t="str">
        <f ca="1">IFERROR(__xludf.DUMMYFUNCTION("""COMPUTED_VALUE"""),"No")</f>
        <v>No</v>
      </c>
      <c r="V393" s="5" t="str">
        <f ca="1">IFERROR(__xludf.DUMMYFUNCTION("""COMPUTED_VALUE"""),"No")</f>
        <v>No</v>
      </c>
      <c r="W393" s="5" t="str">
        <f ca="1">IFERROR(__xludf.DUMMYFUNCTION("""COMPUTED_VALUE"""),"No")</f>
        <v>No</v>
      </c>
      <c r="X393" s="5"/>
      <c r="Y393" s="5"/>
      <c r="Z393" s="5"/>
      <c r="AA393" s="5" t="str">
        <f ca="1">IFERROR(__xludf.DUMMYFUNCTION("""COMPUTED_VALUE"""),"No")</f>
        <v>No</v>
      </c>
      <c r="AB393" s="5"/>
      <c r="AC393" s="5" t="str">
        <f ca="1">IFERROR(__xludf.DUMMYFUNCTION("""COMPUTED_VALUE"""),"No")</f>
        <v>No</v>
      </c>
      <c r="AD393" s="5"/>
      <c r="AE393" s="5"/>
      <c r="AF393" s="5" t="str">
        <f ca="1">IFERROR(__xludf.DUMMYFUNCTION("""COMPUTED_VALUE"""),"Yes")</f>
        <v>Yes</v>
      </c>
      <c r="AG393" s="5"/>
      <c r="AH393" s="5" t="str">
        <f ca="1">IFERROR(__xludf.DUMMYFUNCTION("""COMPUTED_VALUE"""),"Yes")</f>
        <v>Yes</v>
      </c>
      <c r="AI393" s="5"/>
      <c r="AJ393" s="5"/>
      <c r="AK393" s="5"/>
      <c r="AL393" s="5" t="str">
        <f ca="1">IFERROR(__xludf.DUMMYFUNCTION("""COMPUTED_VALUE"""),"Yes")</f>
        <v>Yes</v>
      </c>
      <c r="AM393" s="5"/>
      <c r="AN393" s="5"/>
      <c r="AO393" s="5"/>
      <c r="AP393" s="5"/>
      <c r="AQ393" s="5"/>
      <c r="AR393" s="5"/>
      <c r="AS393" s="5"/>
      <c r="AT393" s="5"/>
      <c r="AU393" s="5"/>
      <c r="AV393" s="5"/>
      <c r="AW393" s="5"/>
      <c r="AX393" s="5"/>
      <c r="AY393" s="5"/>
    </row>
    <row r="394" spans="1:51" x14ac:dyDescent="0.25">
      <c r="A394" s="5" t="str">
        <f ca="1">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4" s="5">
        <f ca="1">IFERROR(__xludf.DUMMYFUNCTION("""COMPUTED_VALUE"""),403)</f>
        <v>403</v>
      </c>
      <c r="C394" s="5">
        <f ca="1">IFERROR(__xludf.DUMMYFUNCTION("""COMPUTED_VALUE"""),381)</f>
        <v>381</v>
      </c>
      <c r="D394" s="5" t="str">
        <f ca="1">IFERROR(__xludf.DUMMYFUNCTION("""COMPUTED_VALUE"""),"PlayNetWildFortiesXmas")</f>
        <v>PlayNetWildFortiesXmas</v>
      </c>
      <c r="E394" s="5" t="str">
        <f ca="1">IFERROR(__xludf.DUMMYFUNCTION("""COMPUTED_VALUE"""),"Yes")</f>
        <v>Yes</v>
      </c>
      <c r="F394" s="5" t="str">
        <f ca="1">IFERROR(__xludf.DUMMYFUNCTION("""COMPUTED_VALUE"""),"Yes")</f>
        <v>Yes</v>
      </c>
      <c r="G394" s="5" t="str">
        <f ca="1">IFERROR(__xludf.DUMMYFUNCTION("""COMPUTED_VALUE"""),"Yes")</f>
        <v>Yes</v>
      </c>
      <c r="H394" s="5" t="str">
        <f ca="1">IFERROR(__xludf.DUMMYFUNCTION("""COMPUTED_VALUE"""),"Yes")</f>
        <v>Yes</v>
      </c>
      <c r="I394" s="5" t="str">
        <f ca="1">IFERROR(__xludf.DUMMYFUNCTION("""COMPUTED_VALUE"""),"Yes")</f>
        <v>Yes</v>
      </c>
      <c r="J394" s="5" t="str">
        <f ca="1">IFERROR(__xludf.DUMMYFUNCTION("""COMPUTED_VALUE"""),"Yes")</f>
        <v>Yes</v>
      </c>
      <c r="K394" s="5" t="str">
        <f ca="1">IFERROR(__xludf.DUMMYFUNCTION("""COMPUTED_VALUE"""),"Yes")</f>
        <v>Yes</v>
      </c>
      <c r="L394" s="5" t="str">
        <f ca="1">IFERROR(__xludf.DUMMYFUNCTION("""COMPUTED_VALUE"""),"Yes")</f>
        <v>Yes</v>
      </c>
      <c r="M394" s="5" t="str">
        <f ca="1">IFERROR(__xludf.DUMMYFUNCTION("""COMPUTED_VALUE"""),"Yes")</f>
        <v>Yes</v>
      </c>
      <c r="N394" s="5" t="str">
        <f ca="1">IFERROR(__xludf.DUMMYFUNCTION("""COMPUTED_VALUE"""),"Yes")</f>
        <v>Yes</v>
      </c>
      <c r="O394" s="5" t="str">
        <f ca="1">IFERROR(__xludf.DUMMYFUNCTION("""COMPUTED_VALUE"""),"Yes")</f>
        <v>Yes</v>
      </c>
      <c r="P394" s="5" t="str">
        <f ca="1">IFERROR(__xludf.DUMMYFUNCTION("""COMPUTED_VALUE"""),"Yes")</f>
        <v>Yes</v>
      </c>
      <c r="Q394" s="5" t="str">
        <f ca="1">IFERROR(__xludf.DUMMYFUNCTION("""COMPUTED_VALUE"""),"Yes")</f>
        <v>Yes</v>
      </c>
      <c r="R394" s="5" t="str">
        <f ca="1">IFERROR(__xludf.DUMMYFUNCTION("""COMPUTED_VALUE"""),"No")</f>
        <v>No</v>
      </c>
      <c r="S394" s="5" t="str">
        <f ca="1">IFERROR(__xludf.DUMMYFUNCTION("""COMPUTED_VALUE"""),"Yes")</f>
        <v>Yes</v>
      </c>
      <c r="T394" s="5" t="str">
        <f ca="1">IFERROR(__xludf.DUMMYFUNCTION("""COMPUTED_VALUE"""),"No")</f>
        <v>No</v>
      </c>
      <c r="U394" s="5" t="str">
        <f ca="1">IFERROR(__xludf.DUMMYFUNCTION("""COMPUTED_VALUE"""),"No")</f>
        <v>No</v>
      </c>
      <c r="V394" s="5" t="str">
        <f ca="1">IFERROR(__xludf.DUMMYFUNCTION("""COMPUTED_VALUE"""),"No")</f>
        <v>No</v>
      </c>
      <c r="W394" s="5" t="str">
        <f ca="1">IFERROR(__xludf.DUMMYFUNCTION("""COMPUTED_VALUE"""),"No")</f>
        <v>No</v>
      </c>
      <c r="X394" s="5"/>
      <c r="Y394" s="5"/>
      <c r="Z394" s="5"/>
      <c r="AA394" s="5" t="str">
        <f ca="1">IFERROR(__xludf.DUMMYFUNCTION("""COMPUTED_VALUE"""),"No")</f>
        <v>No</v>
      </c>
      <c r="AB394" s="5"/>
      <c r="AC394" s="5" t="str">
        <f ca="1">IFERROR(__xludf.DUMMYFUNCTION("""COMPUTED_VALUE"""),"No")</f>
        <v>No</v>
      </c>
      <c r="AD394" s="5"/>
      <c r="AE394" s="5"/>
      <c r="AF394" s="5" t="str">
        <f ca="1">IFERROR(__xludf.DUMMYFUNCTION("""COMPUTED_VALUE"""),"Yes")</f>
        <v>Yes</v>
      </c>
      <c r="AG394" s="5"/>
      <c r="AH394" s="5" t="str">
        <f ca="1">IFERROR(__xludf.DUMMYFUNCTION("""COMPUTED_VALUE"""),"Yes")</f>
        <v>Yes</v>
      </c>
      <c r="AI394" s="5"/>
      <c r="AJ394" s="5"/>
      <c r="AK394" s="5"/>
      <c r="AL394" s="5" t="str">
        <f ca="1">IFERROR(__xludf.DUMMYFUNCTION("""COMPUTED_VALUE"""),"Yes")</f>
        <v>Yes</v>
      </c>
      <c r="AM394" s="5"/>
      <c r="AN394" s="5"/>
      <c r="AO394" s="5"/>
      <c r="AP394" s="5"/>
      <c r="AQ394" s="5"/>
      <c r="AR394" s="5"/>
      <c r="AS394" s="5"/>
      <c r="AT394" s="5"/>
      <c r="AU394" s="5"/>
      <c r="AV394" s="5"/>
      <c r="AW394" s="5"/>
      <c r="AX394" s="5"/>
      <c r="AY394" s="5"/>
    </row>
    <row r="395" spans="1:51" x14ac:dyDescent="0.25">
      <c r="A3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5" s="5">
        <f ca="1">IFERROR(__xludf.DUMMYFUNCTION("""COMPUTED_VALUE"""),404)</f>
        <v>404</v>
      </c>
      <c r="C395" s="5">
        <f ca="1">IFERROR(__xludf.DUMMYFUNCTION("""COMPUTED_VALUE"""),382)</f>
        <v>382</v>
      </c>
      <c r="D395" s="5" t="str">
        <f ca="1">IFERROR(__xludf.DUMMYFUNCTION("""COMPUTED_VALUE"""),"RedstoneJuicyHeat20")</f>
        <v>RedstoneJuicyHeat20</v>
      </c>
      <c r="E395" s="5" t="str">
        <f ca="1">IFERROR(__xludf.DUMMYFUNCTION("""COMPUTED_VALUE"""),"Yes")</f>
        <v>Yes</v>
      </c>
      <c r="F395" s="5" t="str">
        <f ca="1">IFERROR(__xludf.DUMMYFUNCTION("""COMPUTED_VALUE"""),"Yes")</f>
        <v>Yes</v>
      </c>
      <c r="G395" s="5" t="str">
        <f ca="1">IFERROR(__xludf.DUMMYFUNCTION("""COMPUTED_VALUE"""),"Yes")</f>
        <v>Yes</v>
      </c>
      <c r="H395" s="5" t="str">
        <f ca="1">IFERROR(__xludf.DUMMYFUNCTION("""COMPUTED_VALUE"""),"Yes")</f>
        <v>Yes</v>
      </c>
      <c r="I395" s="5" t="str">
        <f ca="1">IFERROR(__xludf.DUMMYFUNCTION("""COMPUTED_VALUE"""),"Yes")</f>
        <v>Yes</v>
      </c>
      <c r="J395" s="5" t="str">
        <f ca="1">IFERROR(__xludf.DUMMYFUNCTION("""COMPUTED_VALUE"""),"Yes")</f>
        <v>Yes</v>
      </c>
      <c r="K395" s="5" t="str">
        <f ca="1">IFERROR(__xludf.DUMMYFUNCTION("""COMPUTED_VALUE"""),"Yes")</f>
        <v>Yes</v>
      </c>
      <c r="L395" s="5" t="str">
        <f ca="1">IFERROR(__xludf.DUMMYFUNCTION("""COMPUTED_VALUE"""),"Yes")</f>
        <v>Yes</v>
      </c>
      <c r="M395" s="5" t="str">
        <f ca="1">IFERROR(__xludf.DUMMYFUNCTION("""COMPUTED_VALUE"""),"Yes")</f>
        <v>Yes</v>
      </c>
      <c r="N395" s="5" t="str">
        <f ca="1">IFERROR(__xludf.DUMMYFUNCTION("""COMPUTED_VALUE"""),"Yes")</f>
        <v>Yes</v>
      </c>
      <c r="O395" s="5" t="str">
        <f ca="1">IFERROR(__xludf.DUMMYFUNCTION("""COMPUTED_VALUE"""),"Yes")</f>
        <v>Yes</v>
      </c>
      <c r="P395" s="5" t="str">
        <f ca="1">IFERROR(__xludf.DUMMYFUNCTION("""COMPUTED_VALUE"""),"Yes")</f>
        <v>Yes</v>
      </c>
      <c r="Q395" s="5" t="str">
        <f ca="1">IFERROR(__xludf.DUMMYFUNCTION("""COMPUTED_VALUE"""),"Yes")</f>
        <v>Yes</v>
      </c>
      <c r="R395" s="5" t="str">
        <f ca="1">IFERROR(__xludf.DUMMYFUNCTION("""COMPUTED_VALUE"""),"Yes")</f>
        <v>Yes</v>
      </c>
      <c r="S395" s="5" t="str">
        <f ca="1">IFERROR(__xludf.DUMMYFUNCTION("""COMPUTED_VALUE"""),"Yes")</f>
        <v>Yes</v>
      </c>
      <c r="T395" s="5" t="str">
        <f ca="1">IFERROR(__xludf.DUMMYFUNCTION("""COMPUTED_VALUE"""),"Yes")</f>
        <v>Yes</v>
      </c>
      <c r="U395" s="5" t="str">
        <f ca="1">IFERROR(__xludf.DUMMYFUNCTION("""COMPUTED_VALUE"""),"Yes")</f>
        <v>Yes</v>
      </c>
      <c r="V395" s="5" t="str">
        <f ca="1">IFERROR(__xludf.DUMMYFUNCTION("""COMPUTED_VALUE"""),"Yes")</f>
        <v>Yes</v>
      </c>
      <c r="W395" s="5" t="str">
        <f ca="1">IFERROR(__xludf.DUMMYFUNCTION("""COMPUTED_VALUE"""),"Yes")</f>
        <v>Yes</v>
      </c>
      <c r="X395" s="5"/>
      <c r="Y395" s="5"/>
      <c r="Z395" s="5"/>
      <c r="AA395" s="5"/>
      <c r="AB395" s="5"/>
      <c r="AC395" s="5" t="str">
        <f ca="1">IFERROR(__xludf.DUMMYFUNCTION("""COMPUTED_VALUE"""),"Yes")</f>
        <v>Yes</v>
      </c>
      <c r="AD395" s="5"/>
      <c r="AE395" s="5"/>
      <c r="AF395" s="5"/>
      <c r="AG395" s="5"/>
      <c r="AH395" s="5"/>
      <c r="AI395" s="5"/>
      <c r="AJ395" s="5"/>
      <c r="AK395" s="5"/>
      <c r="AL395" s="5"/>
      <c r="AM395" s="5"/>
      <c r="AN395" s="5"/>
      <c r="AO395" s="5"/>
      <c r="AP395" s="5"/>
      <c r="AQ395" s="5"/>
      <c r="AR395" s="5"/>
      <c r="AS395" s="5"/>
      <c r="AT395" s="5"/>
      <c r="AU395" s="5"/>
      <c r="AV395" s="5"/>
      <c r="AW395" s="5"/>
      <c r="AX395" s="5"/>
      <c r="AY395" s="5"/>
    </row>
    <row r="396" spans="1:51" x14ac:dyDescent="0.25">
      <c r="A396"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6" s="5">
        <f ca="1">IFERROR(__xludf.DUMMYFUNCTION("""COMPUTED_VALUE"""),405)</f>
        <v>405</v>
      </c>
      <c r="C396" s="5">
        <f ca="1">IFERROR(__xludf.DUMMYFUNCTION("""COMPUTED_VALUE"""),383)</f>
        <v>383</v>
      </c>
      <c r="D396" s="5" t="str">
        <f ca="1">IFERROR(__xludf.DUMMYFUNCTION("""COMPUTED_VALUE"""),"RedstoneChristmasDelight")</f>
        <v>RedstoneChristmasDelight</v>
      </c>
      <c r="E396" s="5" t="str">
        <f ca="1">IFERROR(__xludf.DUMMYFUNCTION("""COMPUTED_VALUE"""),"Yes")</f>
        <v>Yes</v>
      </c>
      <c r="F396" s="5" t="str">
        <f ca="1">IFERROR(__xludf.DUMMYFUNCTION("""COMPUTED_VALUE"""),"Yes")</f>
        <v>Yes</v>
      </c>
      <c r="G396" s="5" t="str">
        <f ca="1">IFERROR(__xludf.DUMMYFUNCTION("""COMPUTED_VALUE"""),"No")</f>
        <v>No</v>
      </c>
      <c r="H396" s="5" t="str">
        <f ca="1">IFERROR(__xludf.DUMMYFUNCTION("""COMPUTED_VALUE"""),"Yes")</f>
        <v>Yes</v>
      </c>
      <c r="I396" s="5" t="str">
        <f ca="1">IFERROR(__xludf.DUMMYFUNCTION("""COMPUTED_VALUE"""),"Yes")</f>
        <v>Yes</v>
      </c>
      <c r="J396" s="5" t="str">
        <f ca="1">IFERROR(__xludf.DUMMYFUNCTION("""COMPUTED_VALUE"""),"Yes")</f>
        <v>Yes</v>
      </c>
      <c r="K396" s="5" t="str">
        <f ca="1">IFERROR(__xludf.DUMMYFUNCTION("""COMPUTED_VALUE"""),"Yes")</f>
        <v>Yes</v>
      </c>
      <c r="L396" s="5" t="str">
        <f ca="1">IFERROR(__xludf.DUMMYFUNCTION("""COMPUTED_VALUE"""),"Yes")</f>
        <v>Yes</v>
      </c>
      <c r="M396" s="5" t="str">
        <f ca="1">IFERROR(__xludf.DUMMYFUNCTION("""COMPUTED_VALUE"""),"Yes")</f>
        <v>Yes</v>
      </c>
      <c r="N396" s="5" t="str">
        <f ca="1">IFERROR(__xludf.DUMMYFUNCTION("""COMPUTED_VALUE"""),"Yes")</f>
        <v>Yes</v>
      </c>
      <c r="O396" s="5" t="str">
        <f ca="1">IFERROR(__xludf.DUMMYFUNCTION("""COMPUTED_VALUE"""),"Yes")</f>
        <v>Yes</v>
      </c>
      <c r="P396" s="5" t="str">
        <f ca="1">IFERROR(__xludf.DUMMYFUNCTION("""COMPUTED_VALUE"""),"Yes")</f>
        <v>Yes</v>
      </c>
      <c r="Q396" s="5" t="str">
        <f ca="1">IFERROR(__xludf.DUMMYFUNCTION("""COMPUTED_VALUE"""),"Yes")</f>
        <v>Yes</v>
      </c>
      <c r="R396" s="5" t="str">
        <f ca="1">IFERROR(__xludf.DUMMYFUNCTION("""COMPUTED_VALUE"""),"Yes")</f>
        <v>Yes</v>
      </c>
      <c r="S396" s="5" t="str">
        <f ca="1">IFERROR(__xludf.DUMMYFUNCTION("""COMPUTED_VALUE"""),"Yes")</f>
        <v>Yes</v>
      </c>
      <c r="T396" s="5" t="str">
        <f ca="1">IFERROR(__xludf.DUMMYFUNCTION("""COMPUTED_VALUE"""),"No")</f>
        <v>No</v>
      </c>
      <c r="U396" s="5" t="str">
        <f ca="1">IFERROR(__xludf.DUMMYFUNCTION("""COMPUTED_VALUE"""),"No")</f>
        <v>No</v>
      </c>
      <c r="V396" s="5" t="str">
        <f ca="1">IFERROR(__xludf.DUMMYFUNCTION("""COMPUTED_VALUE"""),"No")</f>
        <v>No</v>
      </c>
      <c r="W396" s="5" t="str">
        <f ca="1">IFERROR(__xludf.DUMMYFUNCTION("""COMPUTED_VALUE"""),"No")</f>
        <v>No</v>
      </c>
      <c r="X396" s="5" t="str">
        <f ca="1">IFERROR(__xludf.DUMMYFUNCTION("""COMPUTED_VALUE"""),"No")</f>
        <v>No</v>
      </c>
      <c r="Y396" s="5" t="str">
        <f ca="1">IFERROR(__xludf.DUMMYFUNCTION("""COMPUTED_VALUE"""),"No")</f>
        <v>No</v>
      </c>
      <c r="Z396" s="5" t="str">
        <f ca="1">IFERROR(__xludf.DUMMYFUNCTION("""COMPUTED_VALUE"""),"No")</f>
        <v>No</v>
      </c>
      <c r="AA396" s="5" t="str">
        <f ca="1">IFERROR(__xludf.DUMMYFUNCTION("""COMPUTED_VALUE"""),"Yes")</f>
        <v>Yes</v>
      </c>
      <c r="AB396" s="5" t="str">
        <f ca="1">IFERROR(__xludf.DUMMYFUNCTION("""COMPUTED_VALUE"""),"No")</f>
        <v>No</v>
      </c>
      <c r="AC396" s="5" t="str">
        <f ca="1">IFERROR(__xludf.DUMMYFUNCTION("""COMPUTED_VALUE"""),"No")</f>
        <v>No</v>
      </c>
      <c r="AD396" s="5" t="str">
        <f ca="1">IFERROR(__xludf.DUMMYFUNCTION("""COMPUTED_VALUE"""),"No")</f>
        <v>No</v>
      </c>
      <c r="AE396" s="5" t="str">
        <f ca="1">IFERROR(__xludf.DUMMYFUNCTION("""COMPUTED_VALUE"""),"No")</f>
        <v>No</v>
      </c>
      <c r="AF396" s="5" t="str">
        <f ca="1">IFERROR(__xludf.DUMMYFUNCTION("""COMPUTED_VALUE"""),"Yes")</f>
        <v>Yes</v>
      </c>
      <c r="AG396" s="5" t="str">
        <f ca="1">IFERROR(__xludf.DUMMYFUNCTION("""COMPUTED_VALUE"""),"No")</f>
        <v>No</v>
      </c>
      <c r="AH396" s="5" t="str">
        <f ca="1">IFERROR(__xludf.DUMMYFUNCTION("""COMPUTED_VALUE"""),"Yes")</f>
        <v>Yes</v>
      </c>
      <c r="AI396" s="5" t="str">
        <f ca="1">IFERROR(__xludf.DUMMYFUNCTION("""COMPUTED_VALUE"""),"No")</f>
        <v>No</v>
      </c>
      <c r="AJ396" s="5" t="str">
        <f ca="1">IFERROR(__xludf.DUMMYFUNCTION("""COMPUTED_VALUE"""),"No")</f>
        <v>No</v>
      </c>
      <c r="AK396" s="5" t="str">
        <f ca="1">IFERROR(__xludf.DUMMYFUNCTION("""COMPUTED_VALUE"""),"No")</f>
        <v>No</v>
      </c>
      <c r="AL396" s="5" t="str">
        <f ca="1">IFERROR(__xludf.DUMMYFUNCTION("""COMPUTED_VALUE"""),"No")</f>
        <v>No</v>
      </c>
      <c r="AM396" s="5"/>
      <c r="AN396" s="5"/>
      <c r="AO396" s="5"/>
      <c r="AP396" s="5"/>
      <c r="AQ396" s="5"/>
      <c r="AR396" s="5"/>
      <c r="AS396" s="5"/>
      <c r="AT396" s="5"/>
      <c r="AU396" s="5"/>
      <c r="AV396" s="5"/>
      <c r="AW396" s="5"/>
      <c r="AX396" s="5"/>
      <c r="AY396" s="5"/>
    </row>
    <row r="397" spans="1:51" x14ac:dyDescent="0.25">
      <c r="A3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7" s="5">
        <f ca="1">IFERROR(__xludf.DUMMYFUNCTION("""COMPUTED_VALUE"""),406)</f>
        <v>406</v>
      </c>
      <c r="C397" s="5">
        <f ca="1">IFERROR(__xludf.DUMMYFUNCTION("""COMPUTED_VALUE"""),384)</f>
        <v>384</v>
      </c>
      <c r="D397" s="5" t="str">
        <f ca="1">IFERROR(__xludf.DUMMYFUNCTION("""COMPUTED_VALUE"""),"RedstoneFunkyFruits")</f>
        <v>RedstoneFunkyFruits</v>
      </c>
      <c r="E397" s="5" t="str">
        <f ca="1">IFERROR(__xludf.DUMMYFUNCTION("""COMPUTED_VALUE"""),"Yes")</f>
        <v>Yes</v>
      </c>
      <c r="F397" s="5" t="str">
        <f ca="1">IFERROR(__xludf.DUMMYFUNCTION("""COMPUTED_VALUE"""),"Yes")</f>
        <v>Yes</v>
      </c>
      <c r="G397" s="5" t="str">
        <f ca="1">IFERROR(__xludf.DUMMYFUNCTION("""COMPUTED_VALUE"""),"Yes")</f>
        <v>Yes</v>
      </c>
      <c r="H397" s="5" t="str">
        <f ca="1">IFERROR(__xludf.DUMMYFUNCTION("""COMPUTED_VALUE"""),"Yes")</f>
        <v>Yes</v>
      </c>
      <c r="I397" s="5" t="str">
        <f ca="1">IFERROR(__xludf.DUMMYFUNCTION("""COMPUTED_VALUE"""),"Yes")</f>
        <v>Yes</v>
      </c>
      <c r="J397" s="5" t="str">
        <f ca="1">IFERROR(__xludf.DUMMYFUNCTION("""COMPUTED_VALUE"""),"Yes")</f>
        <v>Yes</v>
      </c>
      <c r="K397" s="5" t="str">
        <f ca="1">IFERROR(__xludf.DUMMYFUNCTION("""COMPUTED_VALUE"""),"Yes")</f>
        <v>Yes</v>
      </c>
      <c r="L397" s="5" t="str">
        <f ca="1">IFERROR(__xludf.DUMMYFUNCTION("""COMPUTED_VALUE"""),"Yes")</f>
        <v>Yes</v>
      </c>
      <c r="M397" s="5" t="str">
        <f ca="1">IFERROR(__xludf.DUMMYFUNCTION("""COMPUTED_VALUE"""),"Yes")</f>
        <v>Yes</v>
      </c>
      <c r="N397" s="5" t="str">
        <f ca="1">IFERROR(__xludf.DUMMYFUNCTION("""COMPUTED_VALUE"""),"Yes")</f>
        <v>Yes</v>
      </c>
      <c r="O397" s="5" t="str">
        <f ca="1">IFERROR(__xludf.DUMMYFUNCTION("""COMPUTED_VALUE"""),"Yes")</f>
        <v>Yes</v>
      </c>
      <c r="P397" s="5" t="str">
        <f ca="1">IFERROR(__xludf.DUMMYFUNCTION("""COMPUTED_VALUE"""),"Yes")</f>
        <v>Yes</v>
      </c>
      <c r="Q397" s="5" t="str">
        <f ca="1">IFERROR(__xludf.DUMMYFUNCTION("""COMPUTED_VALUE"""),"Yes")</f>
        <v>Yes</v>
      </c>
      <c r="R397" s="5" t="str">
        <f ca="1">IFERROR(__xludf.DUMMYFUNCTION("""COMPUTED_VALUE"""),"Yes")</f>
        <v>Yes</v>
      </c>
      <c r="S397" s="5" t="str">
        <f ca="1">IFERROR(__xludf.DUMMYFUNCTION("""COMPUTED_VALUE"""),"Yes")</f>
        <v>Yes</v>
      </c>
      <c r="T397" s="5" t="str">
        <f ca="1">IFERROR(__xludf.DUMMYFUNCTION("""COMPUTED_VALUE"""),"Yes")</f>
        <v>Yes</v>
      </c>
      <c r="U397" s="5" t="str">
        <f ca="1">IFERROR(__xludf.DUMMYFUNCTION("""COMPUTED_VALUE"""),"Yes")</f>
        <v>Yes</v>
      </c>
      <c r="V397" s="5" t="str">
        <f ca="1">IFERROR(__xludf.DUMMYFUNCTION("""COMPUTED_VALUE"""),"Yes")</f>
        <v>Yes</v>
      </c>
      <c r="W397" s="5" t="str">
        <f ca="1">IFERROR(__xludf.DUMMYFUNCTION("""COMPUTED_VALUE"""),"Yes")</f>
        <v>Yes</v>
      </c>
      <c r="X397" s="5"/>
      <c r="Y397" s="5"/>
      <c r="Z397" s="5"/>
      <c r="AA397" s="5"/>
      <c r="AB397" s="5"/>
      <c r="AC397" s="5" t="str">
        <f ca="1">IFERROR(__xludf.DUMMYFUNCTION("""COMPUTED_VALUE"""),"Yes")</f>
        <v>Yes</v>
      </c>
      <c r="AD397" s="5"/>
      <c r="AE397" s="5"/>
      <c r="AF397" s="5"/>
      <c r="AG397" s="5"/>
      <c r="AH397" s="5"/>
      <c r="AI397" s="5"/>
      <c r="AJ397" s="5"/>
      <c r="AK397" s="5"/>
      <c r="AL397" s="5"/>
      <c r="AM397" s="5"/>
      <c r="AN397" s="5"/>
      <c r="AO397" s="5"/>
      <c r="AP397" s="5"/>
      <c r="AQ397" s="5"/>
      <c r="AR397" s="5"/>
      <c r="AS397" s="5"/>
      <c r="AT397" s="5"/>
      <c r="AU397" s="5"/>
      <c r="AV397" s="5"/>
      <c r="AW397" s="5"/>
      <c r="AX397" s="5"/>
      <c r="AY397" s="5"/>
    </row>
    <row r="398" spans="1:51" x14ac:dyDescent="0.25">
      <c r="A39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8" s="5">
        <f ca="1">IFERROR(__xludf.DUMMYFUNCTION("""COMPUTED_VALUE"""),407)</f>
        <v>407</v>
      </c>
      <c r="C398" s="5">
        <f ca="1">IFERROR(__xludf.DUMMYFUNCTION("""COMPUTED_VALUE"""),2001)</f>
        <v>2001</v>
      </c>
      <c r="D398" s="5" t="str">
        <f ca="1">IFERROR(__xludf.DUMMYFUNCTION("""COMPUTED_VALUE"""),"RedstoneDiceDouble")</f>
        <v>RedstoneDiceDouble</v>
      </c>
      <c r="E398" s="5" t="str">
        <f ca="1">IFERROR(__xludf.DUMMYFUNCTION("""COMPUTED_VALUE"""),"Yes")</f>
        <v>Yes</v>
      </c>
      <c r="F398" s="5" t="str">
        <f ca="1">IFERROR(__xludf.DUMMYFUNCTION("""COMPUTED_VALUE"""),"Yes")</f>
        <v>Yes</v>
      </c>
      <c r="G398" s="5" t="str">
        <f ca="1">IFERROR(__xludf.DUMMYFUNCTION("""COMPUTED_VALUE"""),"No")</f>
        <v>No</v>
      </c>
      <c r="H398" s="5" t="str">
        <f ca="1">IFERROR(__xludf.DUMMYFUNCTION("""COMPUTED_VALUE"""),"Yes")</f>
        <v>Yes</v>
      </c>
      <c r="I398" s="5" t="str">
        <f ca="1">IFERROR(__xludf.DUMMYFUNCTION("""COMPUTED_VALUE"""),"Yes")</f>
        <v>Yes</v>
      </c>
      <c r="J398" s="5" t="str">
        <f ca="1">IFERROR(__xludf.DUMMYFUNCTION("""COMPUTED_VALUE"""),"Yes")</f>
        <v>Yes</v>
      </c>
      <c r="K398" s="5" t="str">
        <f ca="1">IFERROR(__xludf.DUMMYFUNCTION("""COMPUTED_VALUE"""),"Yes")</f>
        <v>Yes</v>
      </c>
      <c r="L398" s="5" t="str">
        <f ca="1">IFERROR(__xludf.DUMMYFUNCTION("""COMPUTED_VALUE"""),"Yes")</f>
        <v>Yes</v>
      </c>
      <c r="M398" s="5" t="str">
        <f ca="1">IFERROR(__xludf.DUMMYFUNCTION("""COMPUTED_VALUE"""),"Yes")</f>
        <v>Yes</v>
      </c>
      <c r="N398" s="5" t="str">
        <f ca="1">IFERROR(__xludf.DUMMYFUNCTION("""COMPUTED_VALUE"""),"Yes")</f>
        <v>Yes</v>
      </c>
      <c r="O398" s="5" t="str">
        <f ca="1">IFERROR(__xludf.DUMMYFUNCTION("""COMPUTED_VALUE"""),"Yes")</f>
        <v>Yes</v>
      </c>
      <c r="P398" s="5" t="str">
        <f ca="1">IFERROR(__xludf.DUMMYFUNCTION("""COMPUTED_VALUE"""),"Yes")</f>
        <v>Yes</v>
      </c>
      <c r="Q398" s="5" t="str">
        <f ca="1">IFERROR(__xludf.DUMMYFUNCTION("""COMPUTED_VALUE"""),"Yes")</f>
        <v>Yes</v>
      </c>
      <c r="R398" s="5" t="str">
        <f ca="1">IFERROR(__xludf.DUMMYFUNCTION("""COMPUTED_VALUE"""),"Yes")</f>
        <v>Yes</v>
      </c>
      <c r="S398" s="5" t="str">
        <f ca="1">IFERROR(__xludf.DUMMYFUNCTION("""COMPUTED_VALUE"""),"Yes")</f>
        <v>Yes</v>
      </c>
      <c r="T398" s="5" t="str">
        <f ca="1">IFERROR(__xludf.DUMMYFUNCTION("""COMPUTED_VALUE"""),"No")</f>
        <v>No</v>
      </c>
      <c r="U398" s="5" t="str">
        <f ca="1">IFERROR(__xludf.DUMMYFUNCTION("""COMPUTED_VALUE"""),"No")</f>
        <v>No</v>
      </c>
      <c r="V398" s="5" t="str">
        <f ca="1">IFERROR(__xludf.DUMMYFUNCTION("""COMPUTED_VALUE"""),"No")</f>
        <v>No</v>
      </c>
      <c r="W398" s="5" t="str">
        <f ca="1">IFERROR(__xludf.DUMMYFUNCTION("""COMPUTED_VALUE"""),"No")</f>
        <v>No</v>
      </c>
      <c r="X398" s="5" t="str">
        <f ca="1">IFERROR(__xludf.DUMMYFUNCTION("""COMPUTED_VALUE"""),"No")</f>
        <v>No</v>
      </c>
      <c r="Y398" s="5" t="str">
        <f ca="1">IFERROR(__xludf.DUMMYFUNCTION("""COMPUTED_VALUE"""),"No")</f>
        <v>No</v>
      </c>
      <c r="Z398" s="5" t="str">
        <f ca="1">IFERROR(__xludf.DUMMYFUNCTION("""COMPUTED_VALUE"""),"No")</f>
        <v>No</v>
      </c>
      <c r="AA398" s="5" t="str">
        <f ca="1">IFERROR(__xludf.DUMMYFUNCTION("""COMPUTED_VALUE"""),"Yes")</f>
        <v>Yes</v>
      </c>
      <c r="AB398" s="5" t="str">
        <f ca="1">IFERROR(__xludf.DUMMYFUNCTION("""COMPUTED_VALUE"""),"No")</f>
        <v>No</v>
      </c>
      <c r="AC398" s="5" t="str">
        <f ca="1">IFERROR(__xludf.DUMMYFUNCTION("""COMPUTED_VALUE"""),"No")</f>
        <v>No</v>
      </c>
      <c r="AD398" s="5" t="str">
        <f ca="1">IFERROR(__xludf.DUMMYFUNCTION("""COMPUTED_VALUE"""),"No")</f>
        <v>No</v>
      </c>
      <c r="AE398" s="5" t="str">
        <f ca="1">IFERROR(__xludf.DUMMYFUNCTION("""COMPUTED_VALUE"""),"No")</f>
        <v>No</v>
      </c>
      <c r="AF398" s="5" t="str">
        <f ca="1">IFERROR(__xludf.DUMMYFUNCTION("""COMPUTED_VALUE"""),"Yes")</f>
        <v>Yes</v>
      </c>
      <c r="AG398" s="5" t="str">
        <f ca="1">IFERROR(__xludf.DUMMYFUNCTION("""COMPUTED_VALUE"""),"No")</f>
        <v>No</v>
      </c>
      <c r="AH398" s="5" t="str">
        <f ca="1">IFERROR(__xludf.DUMMYFUNCTION("""COMPUTED_VALUE"""),"Yes")</f>
        <v>Yes</v>
      </c>
      <c r="AI398" s="5" t="str">
        <f ca="1">IFERROR(__xludf.DUMMYFUNCTION("""COMPUTED_VALUE"""),"No")</f>
        <v>No</v>
      </c>
      <c r="AJ398" s="5" t="str">
        <f ca="1">IFERROR(__xludf.DUMMYFUNCTION("""COMPUTED_VALUE"""),"No")</f>
        <v>No</v>
      </c>
      <c r="AK398" s="5" t="str">
        <f ca="1">IFERROR(__xludf.DUMMYFUNCTION("""COMPUTED_VALUE"""),"No")</f>
        <v>No</v>
      </c>
      <c r="AL398" s="5" t="str">
        <f ca="1">IFERROR(__xludf.DUMMYFUNCTION("""COMPUTED_VALUE"""),"No")</f>
        <v>No</v>
      </c>
      <c r="AM398" s="5"/>
      <c r="AN398" s="5"/>
      <c r="AO398" s="5"/>
      <c r="AP398" s="5"/>
      <c r="AQ398" s="5"/>
      <c r="AR398" s="5"/>
      <c r="AS398" s="5"/>
      <c r="AT398" s="5"/>
      <c r="AU398" s="5"/>
      <c r="AV398" s="5"/>
      <c r="AW398" s="5"/>
      <c r="AX398" s="5"/>
      <c r="AY398" s="5"/>
    </row>
    <row r="399" spans="1:51" x14ac:dyDescent="0.25">
      <c r="A39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9" s="5">
        <f ca="1">IFERROR(__xludf.DUMMYFUNCTION("""COMPUTED_VALUE"""),408)</f>
        <v>408</v>
      </c>
      <c r="C399" s="5">
        <f ca="1">IFERROR(__xludf.DUMMYFUNCTION("""COMPUTED_VALUE"""),2002)</f>
        <v>2002</v>
      </c>
      <c r="D399" s="5" t="str">
        <f ca="1">IFERROR(__xludf.DUMMYFUNCTION("""COMPUTED_VALUE"""),"RedstoneVolcanoHot")</f>
        <v>RedstoneVolcanoHot</v>
      </c>
      <c r="E399" s="5" t="str">
        <f ca="1">IFERROR(__xludf.DUMMYFUNCTION("""COMPUTED_VALUE"""),"Yes")</f>
        <v>Yes</v>
      </c>
      <c r="F399" s="5" t="str">
        <f ca="1">IFERROR(__xludf.DUMMYFUNCTION("""COMPUTED_VALUE"""),"Yes")</f>
        <v>Yes</v>
      </c>
      <c r="G399" s="5" t="str">
        <f ca="1">IFERROR(__xludf.DUMMYFUNCTION("""COMPUTED_VALUE"""),"No")</f>
        <v>No</v>
      </c>
      <c r="H399" s="5" t="str">
        <f ca="1">IFERROR(__xludf.DUMMYFUNCTION("""COMPUTED_VALUE"""),"Yes")</f>
        <v>Yes</v>
      </c>
      <c r="I399" s="5" t="str">
        <f ca="1">IFERROR(__xludf.DUMMYFUNCTION("""COMPUTED_VALUE"""),"Yes")</f>
        <v>Yes</v>
      </c>
      <c r="J399" s="5" t="str">
        <f ca="1">IFERROR(__xludf.DUMMYFUNCTION("""COMPUTED_VALUE"""),"Yes")</f>
        <v>Yes</v>
      </c>
      <c r="K399" s="5" t="str">
        <f ca="1">IFERROR(__xludf.DUMMYFUNCTION("""COMPUTED_VALUE"""),"Yes")</f>
        <v>Yes</v>
      </c>
      <c r="L399" s="5" t="str">
        <f ca="1">IFERROR(__xludf.DUMMYFUNCTION("""COMPUTED_VALUE"""),"Yes")</f>
        <v>Yes</v>
      </c>
      <c r="M399" s="5" t="str">
        <f ca="1">IFERROR(__xludf.DUMMYFUNCTION("""COMPUTED_VALUE"""),"Yes")</f>
        <v>Yes</v>
      </c>
      <c r="N399" s="5" t="str">
        <f ca="1">IFERROR(__xludf.DUMMYFUNCTION("""COMPUTED_VALUE"""),"Yes")</f>
        <v>Yes</v>
      </c>
      <c r="O399" s="5" t="str">
        <f ca="1">IFERROR(__xludf.DUMMYFUNCTION("""COMPUTED_VALUE"""),"Yes")</f>
        <v>Yes</v>
      </c>
      <c r="P399" s="5" t="str">
        <f ca="1">IFERROR(__xludf.DUMMYFUNCTION("""COMPUTED_VALUE"""),"Yes")</f>
        <v>Yes</v>
      </c>
      <c r="Q399" s="5" t="str">
        <f ca="1">IFERROR(__xludf.DUMMYFUNCTION("""COMPUTED_VALUE"""),"Yes")</f>
        <v>Yes</v>
      </c>
      <c r="R399" s="5" t="str">
        <f ca="1">IFERROR(__xludf.DUMMYFUNCTION("""COMPUTED_VALUE"""),"Yes")</f>
        <v>Yes</v>
      </c>
      <c r="S399" s="5" t="str">
        <f ca="1">IFERROR(__xludf.DUMMYFUNCTION("""COMPUTED_VALUE"""),"Yes")</f>
        <v>Yes</v>
      </c>
      <c r="T399" s="5" t="str">
        <f ca="1">IFERROR(__xludf.DUMMYFUNCTION("""COMPUTED_VALUE"""),"No")</f>
        <v>No</v>
      </c>
      <c r="U399" s="5" t="str">
        <f ca="1">IFERROR(__xludf.DUMMYFUNCTION("""COMPUTED_VALUE"""),"No")</f>
        <v>No</v>
      </c>
      <c r="V399" s="5" t="str">
        <f ca="1">IFERROR(__xludf.DUMMYFUNCTION("""COMPUTED_VALUE"""),"No")</f>
        <v>No</v>
      </c>
      <c r="W399" s="5" t="str">
        <f ca="1">IFERROR(__xludf.DUMMYFUNCTION("""COMPUTED_VALUE"""),"No")</f>
        <v>No</v>
      </c>
      <c r="X399" s="5" t="str">
        <f ca="1">IFERROR(__xludf.DUMMYFUNCTION("""COMPUTED_VALUE"""),"No")</f>
        <v>No</v>
      </c>
      <c r="Y399" s="5" t="str">
        <f ca="1">IFERROR(__xludf.DUMMYFUNCTION("""COMPUTED_VALUE"""),"No")</f>
        <v>No</v>
      </c>
      <c r="Z399" s="5" t="str">
        <f ca="1">IFERROR(__xludf.DUMMYFUNCTION("""COMPUTED_VALUE"""),"No")</f>
        <v>No</v>
      </c>
      <c r="AA399" s="5" t="str">
        <f ca="1">IFERROR(__xludf.DUMMYFUNCTION("""COMPUTED_VALUE"""),"Yes")</f>
        <v>Yes</v>
      </c>
      <c r="AB399" s="5" t="str">
        <f ca="1">IFERROR(__xludf.DUMMYFUNCTION("""COMPUTED_VALUE"""),"No")</f>
        <v>No</v>
      </c>
      <c r="AC399" s="5" t="str">
        <f ca="1">IFERROR(__xludf.DUMMYFUNCTION("""COMPUTED_VALUE"""),"No")</f>
        <v>No</v>
      </c>
      <c r="AD399" s="5" t="str">
        <f ca="1">IFERROR(__xludf.DUMMYFUNCTION("""COMPUTED_VALUE"""),"No")</f>
        <v>No</v>
      </c>
      <c r="AE399" s="5" t="str">
        <f ca="1">IFERROR(__xludf.DUMMYFUNCTION("""COMPUTED_VALUE"""),"No")</f>
        <v>No</v>
      </c>
      <c r="AF399" s="5" t="str">
        <f ca="1">IFERROR(__xludf.DUMMYFUNCTION("""COMPUTED_VALUE"""),"Yes")</f>
        <v>Yes</v>
      </c>
      <c r="AG399" s="5" t="str">
        <f ca="1">IFERROR(__xludf.DUMMYFUNCTION("""COMPUTED_VALUE"""),"No")</f>
        <v>No</v>
      </c>
      <c r="AH399" s="5" t="str">
        <f ca="1">IFERROR(__xludf.DUMMYFUNCTION("""COMPUTED_VALUE"""),"Yes")</f>
        <v>Yes</v>
      </c>
      <c r="AI399" s="5" t="str">
        <f ca="1">IFERROR(__xludf.DUMMYFUNCTION("""COMPUTED_VALUE"""),"No")</f>
        <v>No</v>
      </c>
      <c r="AJ399" s="5" t="str">
        <f ca="1">IFERROR(__xludf.DUMMYFUNCTION("""COMPUTED_VALUE"""),"No")</f>
        <v>No</v>
      </c>
      <c r="AK399" s="5" t="str">
        <f ca="1">IFERROR(__xludf.DUMMYFUNCTION("""COMPUTED_VALUE"""),"No")</f>
        <v>No</v>
      </c>
      <c r="AL399" s="5" t="str">
        <f ca="1">IFERROR(__xludf.DUMMYFUNCTION("""COMPUTED_VALUE"""),"No")</f>
        <v>No</v>
      </c>
      <c r="AM399" s="5"/>
      <c r="AN399" s="5"/>
      <c r="AO399" s="5"/>
      <c r="AP399" s="5"/>
      <c r="AQ399" s="5"/>
      <c r="AR399" s="5"/>
      <c r="AS399" s="5"/>
      <c r="AT399" s="5"/>
      <c r="AU399" s="5"/>
      <c r="AV399" s="5"/>
      <c r="AW399" s="5"/>
      <c r="AX399" s="5"/>
      <c r="AY399" s="5"/>
    </row>
    <row r="400" spans="1:51" x14ac:dyDescent="0.25">
      <c r="A40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0" s="5">
        <f ca="1">IFERROR(__xludf.DUMMYFUNCTION("""COMPUTED_VALUE"""),409)</f>
        <v>409</v>
      </c>
      <c r="C400" s="5">
        <f ca="1">IFERROR(__xludf.DUMMYFUNCTION("""COMPUTED_VALUE"""),180001)</f>
        <v>180001</v>
      </c>
      <c r="D400" s="5" t="str">
        <f ca="1">IFERROR(__xludf.DUMMYFUNCTION("""COMPUTED_VALUE"""),"Redstone10CloverFire")</f>
        <v>Redstone10CloverFire</v>
      </c>
      <c r="E400" s="5" t="str">
        <f ca="1">IFERROR(__xludf.DUMMYFUNCTION("""COMPUTED_VALUE"""),"Yes")</f>
        <v>Yes</v>
      </c>
      <c r="F400" s="5" t="str">
        <f ca="1">IFERROR(__xludf.DUMMYFUNCTION("""COMPUTED_VALUE"""),"Yes")</f>
        <v>Yes</v>
      </c>
      <c r="G400" s="5" t="str">
        <f ca="1">IFERROR(__xludf.DUMMYFUNCTION("""COMPUTED_VALUE"""),"No")</f>
        <v>No</v>
      </c>
      <c r="H400" s="5" t="str">
        <f ca="1">IFERROR(__xludf.DUMMYFUNCTION("""COMPUTED_VALUE"""),"Yes")</f>
        <v>Yes</v>
      </c>
      <c r="I400" s="5" t="str">
        <f ca="1">IFERROR(__xludf.DUMMYFUNCTION("""COMPUTED_VALUE"""),"Yes")</f>
        <v>Yes</v>
      </c>
      <c r="J400" s="5" t="str">
        <f ca="1">IFERROR(__xludf.DUMMYFUNCTION("""COMPUTED_VALUE"""),"Yes")</f>
        <v>Yes</v>
      </c>
      <c r="K400" s="5" t="str">
        <f ca="1">IFERROR(__xludf.DUMMYFUNCTION("""COMPUTED_VALUE"""),"Yes")</f>
        <v>Yes</v>
      </c>
      <c r="L400" s="5" t="str">
        <f ca="1">IFERROR(__xludf.DUMMYFUNCTION("""COMPUTED_VALUE"""),"Yes")</f>
        <v>Yes</v>
      </c>
      <c r="M400" s="5" t="str">
        <f ca="1">IFERROR(__xludf.DUMMYFUNCTION("""COMPUTED_VALUE"""),"Yes")</f>
        <v>Yes</v>
      </c>
      <c r="N400" s="5" t="str">
        <f ca="1">IFERROR(__xludf.DUMMYFUNCTION("""COMPUTED_VALUE"""),"Yes")</f>
        <v>Yes</v>
      </c>
      <c r="O400" s="5" t="str">
        <f ca="1">IFERROR(__xludf.DUMMYFUNCTION("""COMPUTED_VALUE"""),"Yes")</f>
        <v>Yes</v>
      </c>
      <c r="P400" s="5" t="str">
        <f ca="1">IFERROR(__xludf.DUMMYFUNCTION("""COMPUTED_VALUE"""),"Yes")</f>
        <v>Yes</v>
      </c>
      <c r="Q400" s="5" t="str">
        <f ca="1">IFERROR(__xludf.DUMMYFUNCTION("""COMPUTED_VALUE"""),"Yes")</f>
        <v>Yes</v>
      </c>
      <c r="R400" s="5" t="str">
        <f ca="1">IFERROR(__xludf.DUMMYFUNCTION("""COMPUTED_VALUE"""),"Yes")</f>
        <v>Yes</v>
      </c>
      <c r="S400" s="5" t="str">
        <f ca="1">IFERROR(__xludf.DUMMYFUNCTION("""COMPUTED_VALUE"""),"Yes")</f>
        <v>Yes</v>
      </c>
      <c r="T400" s="5" t="str">
        <f ca="1">IFERROR(__xludf.DUMMYFUNCTION("""COMPUTED_VALUE"""),"No")</f>
        <v>No</v>
      </c>
      <c r="U400" s="5" t="str">
        <f ca="1">IFERROR(__xludf.DUMMYFUNCTION("""COMPUTED_VALUE"""),"No")</f>
        <v>No</v>
      </c>
      <c r="V400" s="5" t="str">
        <f ca="1">IFERROR(__xludf.DUMMYFUNCTION("""COMPUTED_VALUE"""),"No")</f>
        <v>No</v>
      </c>
      <c r="W400" s="5" t="str">
        <f ca="1">IFERROR(__xludf.DUMMYFUNCTION("""COMPUTED_VALUE"""),"No")</f>
        <v>No</v>
      </c>
      <c r="X400" s="5" t="str">
        <f ca="1">IFERROR(__xludf.DUMMYFUNCTION("""COMPUTED_VALUE"""),"No")</f>
        <v>No</v>
      </c>
      <c r="Y400" s="5" t="str">
        <f ca="1">IFERROR(__xludf.DUMMYFUNCTION("""COMPUTED_VALUE"""),"No")</f>
        <v>No</v>
      </c>
      <c r="Z400" s="5" t="str">
        <f ca="1">IFERROR(__xludf.DUMMYFUNCTION("""COMPUTED_VALUE"""),"No")</f>
        <v>No</v>
      </c>
      <c r="AA400" s="5" t="str">
        <f ca="1">IFERROR(__xludf.DUMMYFUNCTION("""COMPUTED_VALUE"""),"Yes")</f>
        <v>Yes</v>
      </c>
      <c r="AB400" s="5" t="str">
        <f ca="1">IFERROR(__xludf.DUMMYFUNCTION("""COMPUTED_VALUE"""),"No")</f>
        <v>No</v>
      </c>
      <c r="AC400" s="5" t="str">
        <f ca="1">IFERROR(__xludf.DUMMYFUNCTION("""COMPUTED_VALUE"""),"No")</f>
        <v>No</v>
      </c>
      <c r="AD400" s="5" t="str">
        <f ca="1">IFERROR(__xludf.DUMMYFUNCTION("""COMPUTED_VALUE"""),"No")</f>
        <v>No</v>
      </c>
      <c r="AE400" s="5" t="str">
        <f ca="1">IFERROR(__xludf.DUMMYFUNCTION("""COMPUTED_VALUE"""),"No")</f>
        <v>No</v>
      </c>
      <c r="AF400" s="5" t="str">
        <f ca="1">IFERROR(__xludf.DUMMYFUNCTION("""COMPUTED_VALUE"""),"Yes")</f>
        <v>Yes</v>
      </c>
      <c r="AG400" s="5" t="str">
        <f ca="1">IFERROR(__xludf.DUMMYFUNCTION("""COMPUTED_VALUE"""),"No")</f>
        <v>No</v>
      </c>
      <c r="AH400" s="5" t="str">
        <f ca="1">IFERROR(__xludf.DUMMYFUNCTION("""COMPUTED_VALUE"""),"Yes")</f>
        <v>Yes</v>
      </c>
      <c r="AI400" s="5" t="str">
        <f ca="1">IFERROR(__xludf.DUMMYFUNCTION("""COMPUTED_VALUE"""),"No")</f>
        <v>No</v>
      </c>
      <c r="AJ400" s="5" t="str">
        <f ca="1">IFERROR(__xludf.DUMMYFUNCTION("""COMPUTED_VALUE"""),"No")</f>
        <v>No</v>
      </c>
      <c r="AK400" s="5" t="str">
        <f ca="1">IFERROR(__xludf.DUMMYFUNCTION("""COMPUTED_VALUE"""),"No")</f>
        <v>No</v>
      </c>
      <c r="AL400" s="5" t="str">
        <f ca="1">IFERROR(__xludf.DUMMYFUNCTION("""COMPUTED_VALUE"""),"No")</f>
        <v>No</v>
      </c>
      <c r="AM400" s="5"/>
      <c r="AN400" s="5"/>
      <c r="AO400" s="5"/>
      <c r="AP400" s="5"/>
      <c r="AQ400" s="5"/>
      <c r="AR400" s="5"/>
      <c r="AS400" s="5"/>
      <c r="AT400" s="5"/>
      <c r="AU400" s="5"/>
      <c r="AV400" s="5"/>
      <c r="AW400" s="5"/>
      <c r="AX400" s="5"/>
      <c r="AY400" s="5"/>
    </row>
    <row r="401" spans="1:51" x14ac:dyDescent="0.25">
      <c r="A4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1" s="5">
        <f ca="1">IFERROR(__xludf.DUMMYFUNCTION("""COMPUTED_VALUE"""),410)</f>
        <v>410</v>
      </c>
      <c r="C401" s="5">
        <f ca="1">IFERROR(__xludf.DUMMYFUNCTION("""COMPUTED_VALUE"""),2000001)</f>
        <v>2000001</v>
      </c>
      <c r="D401" s="5"/>
      <c r="E401" s="5" t="str">
        <f ca="1">IFERROR(__xludf.DUMMYFUNCTION("""COMPUTED_VALUE"""),"Yes")</f>
        <v>Yes</v>
      </c>
      <c r="F401" s="5" t="str">
        <f ca="1">IFERROR(__xludf.DUMMYFUNCTION("""COMPUTED_VALUE"""),"Yes")</f>
        <v>Yes</v>
      </c>
      <c r="G401" s="5" t="str">
        <f ca="1">IFERROR(__xludf.DUMMYFUNCTION("""COMPUTED_VALUE"""),"Yes")</f>
        <v>Yes</v>
      </c>
      <c r="H401" s="5" t="str">
        <f ca="1">IFERROR(__xludf.DUMMYFUNCTION("""COMPUTED_VALUE"""),"Yes")</f>
        <v>Yes</v>
      </c>
      <c r="I401" s="5" t="str">
        <f ca="1">IFERROR(__xludf.DUMMYFUNCTION("""COMPUTED_VALUE"""),"Yes")</f>
        <v>Yes</v>
      </c>
      <c r="J401" s="5" t="str">
        <f ca="1">IFERROR(__xludf.DUMMYFUNCTION("""COMPUTED_VALUE"""),"Yes")</f>
        <v>Yes</v>
      </c>
      <c r="K401" s="5" t="str">
        <f ca="1">IFERROR(__xludf.DUMMYFUNCTION("""COMPUTED_VALUE"""),"Yes")</f>
        <v>Yes</v>
      </c>
      <c r="L401" s="5" t="str">
        <f ca="1">IFERROR(__xludf.DUMMYFUNCTION("""COMPUTED_VALUE"""),"Yes")</f>
        <v>Yes</v>
      </c>
      <c r="M401" s="5" t="str">
        <f ca="1">IFERROR(__xludf.DUMMYFUNCTION("""COMPUTED_VALUE"""),"Yes")</f>
        <v>Yes</v>
      </c>
      <c r="N401" s="5" t="str">
        <f ca="1">IFERROR(__xludf.DUMMYFUNCTION("""COMPUTED_VALUE"""),"Yes")</f>
        <v>Yes</v>
      </c>
      <c r="O401" s="5" t="str">
        <f ca="1">IFERROR(__xludf.DUMMYFUNCTION("""COMPUTED_VALUE"""),"Yes")</f>
        <v>Yes</v>
      </c>
      <c r="P401" s="5" t="str">
        <f ca="1">IFERROR(__xludf.DUMMYFUNCTION("""COMPUTED_VALUE"""),"Yes")</f>
        <v>Yes</v>
      </c>
      <c r="Q401" s="5" t="str">
        <f ca="1">IFERROR(__xludf.DUMMYFUNCTION("""COMPUTED_VALUE"""),"Yes")</f>
        <v>Yes</v>
      </c>
      <c r="R401" s="5" t="str">
        <f ca="1">IFERROR(__xludf.DUMMYFUNCTION("""COMPUTED_VALUE"""),"Yes")</f>
        <v>Yes</v>
      </c>
      <c r="S401" s="5" t="str">
        <f ca="1">IFERROR(__xludf.DUMMYFUNCTION("""COMPUTED_VALUE"""),"Yes")</f>
        <v>Yes</v>
      </c>
      <c r="T401" s="5" t="str">
        <f ca="1">IFERROR(__xludf.DUMMYFUNCTION("""COMPUTED_VALUE"""),"Yes")</f>
        <v>Yes</v>
      </c>
      <c r="U401" s="5" t="str">
        <f ca="1">IFERROR(__xludf.DUMMYFUNCTION("""COMPUTED_VALUE"""),"Yes")</f>
        <v>Yes</v>
      </c>
      <c r="V401" s="5" t="str">
        <f ca="1">IFERROR(__xludf.DUMMYFUNCTION("""COMPUTED_VALUE"""),"Yes")</f>
        <v>Yes</v>
      </c>
      <c r="W401" s="5" t="str">
        <f ca="1">IFERROR(__xludf.DUMMYFUNCTION("""COMPUTED_VALUE"""),"Yes")</f>
        <v>Yes</v>
      </c>
      <c r="X401" s="5"/>
      <c r="Y401" s="5"/>
      <c r="Z401" s="5"/>
      <c r="AA401" s="5"/>
      <c r="AB401" s="5"/>
      <c r="AC401" s="5" t="str">
        <f ca="1">IFERROR(__xludf.DUMMYFUNCTION("""COMPUTED_VALUE"""),"Yes")</f>
        <v>Yes</v>
      </c>
      <c r="AD401" s="5"/>
      <c r="AE401" s="5"/>
      <c r="AF401" s="5"/>
      <c r="AG401" s="5"/>
      <c r="AH401" s="5"/>
      <c r="AI401" s="5"/>
      <c r="AJ401" s="5"/>
      <c r="AK401" s="5"/>
      <c r="AL401" s="5"/>
      <c r="AM401" s="5"/>
      <c r="AN401" s="5"/>
      <c r="AO401" s="5"/>
      <c r="AP401" s="5"/>
      <c r="AQ401" s="5"/>
      <c r="AR401" s="5"/>
      <c r="AS401" s="5"/>
      <c r="AT401" s="5"/>
      <c r="AU401" s="5"/>
      <c r="AV401" s="5"/>
      <c r="AW401" s="5"/>
      <c r="AX401" s="5"/>
      <c r="AY401" s="5"/>
    </row>
    <row r="402" spans="1:51" x14ac:dyDescent="0.25">
      <c r="A4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2" s="5">
        <f ca="1">IFERROR(__xludf.DUMMYFUNCTION("""COMPUTED_VALUE"""),413)</f>
        <v>413</v>
      </c>
      <c r="C402" s="5">
        <f ca="1">IFERROR(__xludf.DUMMYFUNCTION("""COMPUTED_VALUE"""),3005)</f>
        <v>3005</v>
      </c>
      <c r="D402" s="5" t="str">
        <f ca="1">IFERROR(__xludf.DUMMYFUNCTION("""COMPUTED_VALUE"""),"CrownsAndStars")</f>
        <v>CrownsAndStars</v>
      </c>
      <c r="E402" s="5" t="str">
        <f ca="1">IFERROR(__xludf.DUMMYFUNCTION("""COMPUTED_VALUE"""),"Yes")</f>
        <v>Yes</v>
      </c>
      <c r="F402" s="5" t="str">
        <f ca="1">IFERROR(__xludf.DUMMYFUNCTION("""COMPUTED_VALUE"""),"Yes")</f>
        <v>Yes</v>
      </c>
      <c r="G402" s="5" t="str">
        <f ca="1">IFERROR(__xludf.DUMMYFUNCTION("""COMPUTED_VALUE"""),"Yes")</f>
        <v>Yes</v>
      </c>
      <c r="H402" s="5" t="str">
        <f ca="1">IFERROR(__xludf.DUMMYFUNCTION("""COMPUTED_VALUE"""),"Yes")</f>
        <v>Yes</v>
      </c>
      <c r="I402" s="5" t="str">
        <f ca="1">IFERROR(__xludf.DUMMYFUNCTION("""COMPUTED_VALUE"""),"Yes")</f>
        <v>Yes</v>
      </c>
      <c r="J402" s="5" t="str">
        <f ca="1">IFERROR(__xludf.DUMMYFUNCTION("""COMPUTED_VALUE"""),"Yes")</f>
        <v>Yes</v>
      </c>
      <c r="K402" s="5" t="str">
        <f ca="1">IFERROR(__xludf.DUMMYFUNCTION("""COMPUTED_VALUE"""),"Yes")</f>
        <v>Yes</v>
      </c>
      <c r="L402" s="5" t="str">
        <f ca="1">IFERROR(__xludf.DUMMYFUNCTION("""COMPUTED_VALUE"""),"Yes")</f>
        <v>Yes</v>
      </c>
      <c r="M402" s="5" t="str">
        <f ca="1">IFERROR(__xludf.DUMMYFUNCTION("""COMPUTED_VALUE"""),"Yes")</f>
        <v>Yes</v>
      </c>
      <c r="N402" s="5" t="str">
        <f ca="1">IFERROR(__xludf.DUMMYFUNCTION("""COMPUTED_VALUE"""),"Yes")</f>
        <v>Yes</v>
      </c>
      <c r="O402" s="5" t="str">
        <f ca="1">IFERROR(__xludf.DUMMYFUNCTION("""COMPUTED_VALUE"""),"Yes")</f>
        <v>Yes</v>
      </c>
      <c r="P402" s="5" t="str">
        <f ca="1">IFERROR(__xludf.DUMMYFUNCTION("""COMPUTED_VALUE"""),"Yes")</f>
        <v>Yes</v>
      </c>
      <c r="Q402" s="5" t="str">
        <f ca="1">IFERROR(__xludf.DUMMYFUNCTION("""COMPUTED_VALUE"""),"Yes")</f>
        <v>Yes</v>
      </c>
      <c r="R402" s="5" t="str">
        <f ca="1">IFERROR(__xludf.DUMMYFUNCTION("""COMPUTED_VALUE"""),"Yes")</f>
        <v>Yes</v>
      </c>
      <c r="S402" s="5" t="str">
        <f ca="1">IFERROR(__xludf.DUMMYFUNCTION("""COMPUTED_VALUE"""),"Yes")</f>
        <v>Yes</v>
      </c>
      <c r="T402" s="5" t="str">
        <f ca="1">IFERROR(__xludf.DUMMYFUNCTION("""COMPUTED_VALUE"""),"Yes")</f>
        <v>Yes</v>
      </c>
      <c r="U402" s="5" t="str">
        <f ca="1">IFERROR(__xludf.DUMMYFUNCTION("""COMPUTED_VALUE"""),"Yes")</f>
        <v>Yes</v>
      </c>
      <c r="V402" s="5" t="str">
        <f ca="1">IFERROR(__xludf.DUMMYFUNCTION("""COMPUTED_VALUE"""),"Yes")</f>
        <v>Yes</v>
      </c>
      <c r="W402" s="5" t="str">
        <f ca="1">IFERROR(__xludf.DUMMYFUNCTION("""COMPUTED_VALUE"""),"Yes")</f>
        <v>Yes</v>
      </c>
      <c r="X402" s="5" t="str">
        <f ca="1">IFERROR(__xludf.DUMMYFUNCTION("""COMPUTED_VALUE"""),"Yes")</f>
        <v>Yes</v>
      </c>
      <c r="Y402" s="5" t="str">
        <f ca="1">IFERROR(__xludf.DUMMYFUNCTION("""COMPUTED_VALUE"""),"Yes")</f>
        <v>Yes</v>
      </c>
      <c r="Z402" s="5" t="str">
        <f ca="1">IFERROR(__xludf.DUMMYFUNCTION("""COMPUTED_VALUE"""),"No")</f>
        <v>No</v>
      </c>
      <c r="AA402" s="5" t="str">
        <f ca="1">IFERROR(__xludf.DUMMYFUNCTION("""COMPUTED_VALUE"""),"Yes")</f>
        <v>Yes</v>
      </c>
      <c r="AB402" s="5" t="str">
        <f ca="1">IFERROR(__xludf.DUMMYFUNCTION("""COMPUTED_VALUE"""),"Yes")</f>
        <v>Yes</v>
      </c>
      <c r="AC402" s="5" t="str">
        <f ca="1">IFERROR(__xludf.DUMMYFUNCTION("""COMPUTED_VALUE"""),"Yes")</f>
        <v>Yes</v>
      </c>
      <c r="AD402" s="5" t="str">
        <f ca="1">IFERROR(__xludf.DUMMYFUNCTION("""COMPUTED_VALUE"""),"Yes")</f>
        <v>Yes</v>
      </c>
      <c r="AE402" s="5" t="str">
        <f ca="1">IFERROR(__xludf.DUMMYFUNCTION("""COMPUTED_VALUE"""),"No")</f>
        <v>No</v>
      </c>
      <c r="AF402" s="5" t="str">
        <f ca="1">IFERROR(__xludf.DUMMYFUNCTION("""COMPUTED_VALUE"""),"Yes")</f>
        <v>Yes</v>
      </c>
      <c r="AG402" s="5" t="str">
        <f ca="1">IFERROR(__xludf.DUMMYFUNCTION("""COMPUTED_VALUE"""),"No")</f>
        <v>No</v>
      </c>
      <c r="AH402" s="5" t="str">
        <f ca="1">IFERROR(__xludf.DUMMYFUNCTION("""COMPUTED_VALUE"""),"No")</f>
        <v>No</v>
      </c>
      <c r="AI402" s="5" t="str">
        <f ca="1">IFERROR(__xludf.DUMMYFUNCTION("""COMPUTED_VALUE"""),"No")</f>
        <v>No</v>
      </c>
      <c r="AJ402" s="5" t="str">
        <f ca="1">IFERROR(__xludf.DUMMYFUNCTION("""COMPUTED_VALUE"""),"No")</f>
        <v>No</v>
      </c>
      <c r="AK402" s="5" t="str">
        <f ca="1">IFERROR(__xludf.DUMMYFUNCTION("""COMPUTED_VALUE"""),"No")</f>
        <v>No</v>
      </c>
      <c r="AL402" s="5" t="str">
        <f ca="1">IFERROR(__xludf.DUMMYFUNCTION("""COMPUTED_VALUE"""),"No")</f>
        <v>No</v>
      </c>
      <c r="AM402" s="5"/>
      <c r="AN402" s="5"/>
      <c r="AO402" s="5"/>
      <c r="AP402" s="5"/>
      <c r="AQ402" s="5"/>
      <c r="AR402" s="5"/>
      <c r="AS402" s="5"/>
      <c r="AT402" s="5"/>
      <c r="AU402" s="5"/>
      <c r="AV402" s="5"/>
      <c r="AW402" s="5"/>
      <c r="AX402" s="5"/>
      <c r="AY402" s="5"/>
    </row>
    <row r="403" spans="1:51" x14ac:dyDescent="0.25">
      <c r="A403"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3" s="5">
        <f ca="1">IFERROR(__xludf.DUMMYFUNCTION("""COMPUTED_VALUE"""),414)</f>
        <v>414</v>
      </c>
      <c r="C403" s="5">
        <f ca="1">IFERROR(__xludf.DUMMYFUNCTION("""COMPUTED_VALUE"""),390)</f>
        <v>390</v>
      </c>
      <c r="D403" s="5" t="str">
        <f ca="1">IFERROR(__xludf.DUMMYFUNCTION("""COMPUTED_VALUE"""),"PlayNetFortuneCloverX2")</f>
        <v>PlayNetFortuneCloverX2</v>
      </c>
      <c r="E403" s="5" t="str">
        <f ca="1">IFERROR(__xludf.DUMMYFUNCTION("""COMPUTED_VALUE"""),"Yes")</f>
        <v>Yes</v>
      </c>
      <c r="F403" s="5" t="str">
        <f ca="1">IFERROR(__xludf.DUMMYFUNCTION("""COMPUTED_VALUE"""),"Yes")</f>
        <v>Yes</v>
      </c>
      <c r="G403" s="5" t="str">
        <f ca="1">IFERROR(__xludf.DUMMYFUNCTION("""COMPUTED_VALUE"""),"Yes")</f>
        <v>Yes</v>
      </c>
      <c r="H403" s="5" t="str">
        <f ca="1">IFERROR(__xludf.DUMMYFUNCTION("""COMPUTED_VALUE"""),"Yes")</f>
        <v>Yes</v>
      </c>
      <c r="I403" s="5" t="str">
        <f ca="1">IFERROR(__xludf.DUMMYFUNCTION("""COMPUTED_VALUE"""),"Yes")</f>
        <v>Yes</v>
      </c>
      <c r="J403" s="5" t="str">
        <f ca="1">IFERROR(__xludf.DUMMYFUNCTION("""COMPUTED_VALUE"""),"Yes")</f>
        <v>Yes</v>
      </c>
      <c r="K403" s="5" t="str">
        <f ca="1">IFERROR(__xludf.DUMMYFUNCTION("""COMPUTED_VALUE"""),"Yes")</f>
        <v>Yes</v>
      </c>
      <c r="L403" s="5" t="str">
        <f ca="1">IFERROR(__xludf.DUMMYFUNCTION("""COMPUTED_VALUE"""),"Yes")</f>
        <v>Yes</v>
      </c>
      <c r="M403" s="5" t="str">
        <f ca="1">IFERROR(__xludf.DUMMYFUNCTION("""COMPUTED_VALUE"""),"Yes")</f>
        <v>Yes</v>
      </c>
      <c r="N403" s="5" t="str">
        <f ca="1">IFERROR(__xludf.DUMMYFUNCTION("""COMPUTED_VALUE"""),"Yes")</f>
        <v>Yes</v>
      </c>
      <c r="O403" s="5" t="str">
        <f ca="1">IFERROR(__xludf.DUMMYFUNCTION("""COMPUTED_VALUE"""),"Yes")</f>
        <v>Yes</v>
      </c>
      <c r="P403" s="5" t="str">
        <f ca="1">IFERROR(__xludf.DUMMYFUNCTION("""COMPUTED_VALUE"""),"Yes")</f>
        <v>Yes</v>
      </c>
      <c r="Q403" s="5" t="str">
        <f ca="1">IFERROR(__xludf.DUMMYFUNCTION("""COMPUTED_VALUE"""),"Yes")</f>
        <v>Yes</v>
      </c>
      <c r="R403" s="5" t="str">
        <f ca="1">IFERROR(__xludf.DUMMYFUNCTION("""COMPUTED_VALUE"""),"Yes")</f>
        <v>Yes</v>
      </c>
      <c r="S403" s="5" t="str">
        <f ca="1">IFERROR(__xludf.DUMMYFUNCTION("""COMPUTED_VALUE"""),"Yes")</f>
        <v>Yes</v>
      </c>
      <c r="T403" s="5" t="str">
        <f ca="1">IFERROR(__xludf.DUMMYFUNCTION("""COMPUTED_VALUE"""),"No")</f>
        <v>No</v>
      </c>
      <c r="U403" s="5" t="str">
        <f ca="1">IFERROR(__xludf.DUMMYFUNCTION("""COMPUTED_VALUE"""),"No")</f>
        <v>No</v>
      </c>
      <c r="V403" s="5" t="str">
        <f ca="1">IFERROR(__xludf.DUMMYFUNCTION("""COMPUTED_VALUE"""),"No")</f>
        <v>No</v>
      </c>
      <c r="W403" s="5" t="str">
        <f ca="1">IFERROR(__xludf.DUMMYFUNCTION("""COMPUTED_VALUE"""),"No")</f>
        <v>No</v>
      </c>
      <c r="X403" s="5"/>
      <c r="Y403" s="5"/>
      <c r="Z403" s="5"/>
      <c r="AA403" s="5"/>
      <c r="AB403" s="5"/>
      <c r="AC403" s="5" t="str">
        <f ca="1">IFERROR(__xludf.DUMMYFUNCTION("""COMPUTED_VALUE"""),"No")</f>
        <v>No</v>
      </c>
      <c r="AD403" s="5"/>
      <c r="AE403" s="5"/>
      <c r="AF403" s="5" t="str">
        <f ca="1">IFERROR(__xludf.DUMMYFUNCTION("""COMPUTED_VALUE"""),"Yes")</f>
        <v>Yes</v>
      </c>
      <c r="AG403" s="5"/>
      <c r="AH403" s="5" t="str">
        <f ca="1">IFERROR(__xludf.DUMMYFUNCTION("""COMPUTED_VALUE"""),"Yes")</f>
        <v>Yes</v>
      </c>
      <c r="AI403" s="5"/>
      <c r="AJ403" s="5"/>
      <c r="AK403" s="5"/>
      <c r="AL403" s="5"/>
      <c r="AM403" s="5"/>
      <c r="AN403" s="5"/>
      <c r="AO403" s="5"/>
      <c r="AP403" s="5"/>
      <c r="AQ403" s="5"/>
      <c r="AR403" s="5"/>
      <c r="AS403" s="5"/>
      <c r="AT403" s="5"/>
      <c r="AU403" s="5"/>
      <c r="AV403" s="5"/>
      <c r="AW403" s="5"/>
      <c r="AX403" s="5"/>
      <c r="AY403" s="5"/>
    </row>
    <row r="404" spans="1:51" x14ac:dyDescent="0.25">
      <c r="A404" s="5" t="str">
        <f ca="1">IFERROR(__xludf.DUMMYFUNCTION("""COMPUTED_VALUE"""),"English(""eng""), Serbian(""""srp"",""srb""""), Montenegrian(""mne""), Bulgarian(""bul""), Spanish(""spa""), Portuguese(""por""), Italian(""ita""), Romanian(""rum/ron""), Croatian(""hrv""), French(""fre/fra""), German(""ger/deu""), Dutch(""dut/nld""), Tur"&amp;"kish(""tur""), Greek(""gre/ell""), Russian(""rus""), Social English(""sen""), Ukrainian(""ukr""), Chinese(""zho/chi"")")</f>
        <v>English("eng"), Serbian(""srp","srb""), Montenegrian("mne"), Bulgarian("bul"), Spanish("spa"), Portuguese("por"), Italian("ita"), Romanian("rum/ron"), Croatian("hrv"), French("fre/fra"), German("ger/deu"), Dutch("dut/nld"), Turkish("tur"), Greek("gre/ell"), Russian("rus"), Social English("sen"), Ukrainian("ukr"), Chinese("zho/chi")</v>
      </c>
      <c r="B404" s="5">
        <f ca="1">IFERROR(__xludf.DUMMYFUNCTION("""COMPUTED_VALUE"""),415)</f>
        <v>415</v>
      </c>
      <c r="C404" s="5">
        <f ca="1">IFERROR(__xludf.DUMMYFUNCTION("""COMPUTED_VALUE"""),391)</f>
        <v>391</v>
      </c>
      <c r="D404" s="5" t="str">
        <f ca="1">IFERROR(__xludf.DUMMYFUNCTION("""COMPUTED_VALUE"""),"PlayNetDiamondHeartX2")</f>
        <v>PlayNetDiamondHeartX2</v>
      </c>
      <c r="E404" s="5" t="str">
        <f ca="1">IFERROR(__xludf.DUMMYFUNCTION("""COMPUTED_VALUE"""),"Yes")</f>
        <v>Yes</v>
      </c>
      <c r="F404" s="5" t="str">
        <f ca="1">IFERROR(__xludf.DUMMYFUNCTION("""COMPUTED_VALUE"""),"Yes")</f>
        <v>Yes</v>
      </c>
      <c r="G404" s="5" t="str">
        <f ca="1">IFERROR(__xludf.DUMMYFUNCTION("""COMPUTED_VALUE"""),"Yes")</f>
        <v>Yes</v>
      </c>
      <c r="H404" s="5" t="str">
        <f ca="1">IFERROR(__xludf.DUMMYFUNCTION("""COMPUTED_VALUE"""),"Yes")</f>
        <v>Yes</v>
      </c>
      <c r="I404" s="5" t="str">
        <f ca="1">IFERROR(__xludf.DUMMYFUNCTION("""COMPUTED_VALUE"""),"Yes")</f>
        <v>Yes</v>
      </c>
      <c r="J404" s="5" t="str">
        <f ca="1">IFERROR(__xludf.DUMMYFUNCTION("""COMPUTED_VALUE"""),"Yes")</f>
        <v>Yes</v>
      </c>
      <c r="K404" s="5" t="str">
        <f ca="1">IFERROR(__xludf.DUMMYFUNCTION("""COMPUTED_VALUE"""),"Yes")</f>
        <v>Yes</v>
      </c>
      <c r="L404" s="5" t="str">
        <f ca="1">IFERROR(__xludf.DUMMYFUNCTION("""COMPUTED_VALUE"""),"Yes")</f>
        <v>Yes</v>
      </c>
      <c r="M404" s="5" t="str">
        <f ca="1">IFERROR(__xludf.DUMMYFUNCTION("""COMPUTED_VALUE"""),"Yes")</f>
        <v>Yes</v>
      </c>
      <c r="N404" s="5" t="str">
        <f ca="1">IFERROR(__xludf.DUMMYFUNCTION("""COMPUTED_VALUE"""),"Yes")</f>
        <v>Yes</v>
      </c>
      <c r="O404" s="5" t="str">
        <f ca="1">IFERROR(__xludf.DUMMYFUNCTION("""COMPUTED_VALUE"""),"Yes")</f>
        <v>Yes</v>
      </c>
      <c r="P404" s="5" t="str">
        <f ca="1">IFERROR(__xludf.DUMMYFUNCTION("""COMPUTED_VALUE"""),"Yes")</f>
        <v>Yes</v>
      </c>
      <c r="Q404" s="5" t="str">
        <f ca="1">IFERROR(__xludf.DUMMYFUNCTION("""COMPUTED_VALUE"""),"Yes")</f>
        <v>Yes</v>
      </c>
      <c r="R404" s="5" t="str">
        <f ca="1">IFERROR(__xludf.DUMMYFUNCTION("""COMPUTED_VALUE"""),"Yes")</f>
        <v>Yes</v>
      </c>
      <c r="S404" s="5" t="str">
        <f ca="1">IFERROR(__xludf.DUMMYFUNCTION("""COMPUTED_VALUE"""),"Yes")</f>
        <v>Yes</v>
      </c>
      <c r="T404" s="5" t="str">
        <f ca="1">IFERROR(__xludf.DUMMYFUNCTION("""COMPUTED_VALUE"""),"No")</f>
        <v>No</v>
      </c>
      <c r="U404" s="5" t="str">
        <f ca="1">IFERROR(__xludf.DUMMYFUNCTION("""COMPUTED_VALUE"""),"No")</f>
        <v>No</v>
      </c>
      <c r="V404" s="5" t="str">
        <f ca="1">IFERROR(__xludf.DUMMYFUNCTION("""COMPUTED_VALUE"""),"No")</f>
        <v>No</v>
      </c>
      <c r="W404" s="5" t="str">
        <f ca="1">IFERROR(__xludf.DUMMYFUNCTION("""COMPUTED_VALUE"""),"No")</f>
        <v>No</v>
      </c>
      <c r="X404" s="5" t="str">
        <f ca="1">IFERROR(__xludf.DUMMYFUNCTION("""COMPUTED_VALUE"""),"No")</f>
        <v>No</v>
      </c>
      <c r="Y404" s="5" t="str">
        <f ca="1">IFERROR(__xludf.DUMMYFUNCTION("""COMPUTED_VALUE"""),"Yes")</f>
        <v>Yes</v>
      </c>
      <c r="Z404" s="5"/>
      <c r="AA404" s="5"/>
      <c r="AB404" s="5" t="str">
        <f ca="1">IFERROR(__xludf.DUMMYFUNCTION("""COMPUTED_VALUE"""),"No")</f>
        <v>No</v>
      </c>
      <c r="AC404" s="5" t="str">
        <f ca="1">IFERROR(__xludf.DUMMYFUNCTION("""COMPUTED_VALUE"""),"No")</f>
        <v>No</v>
      </c>
      <c r="AD404" s="5"/>
      <c r="AE404" s="5"/>
      <c r="AF404" s="5" t="str">
        <f ca="1">IFERROR(__xludf.DUMMYFUNCTION("""COMPUTED_VALUE"""),"Yes")</f>
        <v>Yes</v>
      </c>
      <c r="AG404" s="5"/>
      <c r="AH404" s="5" t="str">
        <f ca="1">IFERROR(__xludf.DUMMYFUNCTION("""COMPUTED_VALUE"""),"Yes")</f>
        <v>Yes</v>
      </c>
      <c r="AI404" s="5"/>
      <c r="AJ404" s="5"/>
      <c r="AK404" s="5"/>
      <c r="AL404" s="5"/>
      <c r="AM404" s="5"/>
      <c r="AN404" s="5"/>
      <c r="AO404" s="5"/>
      <c r="AP404" s="5"/>
      <c r="AQ404" s="5"/>
      <c r="AR404" s="5"/>
      <c r="AS404" s="5"/>
      <c r="AT404" s="5"/>
      <c r="AU404" s="5"/>
      <c r="AV404" s="5"/>
      <c r="AW404" s="5"/>
      <c r="AX404" s="5"/>
      <c r="AY404" s="5"/>
    </row>
    <row r="405" spans="1:51" x14ac:dyDescent="0.25">
      <c r="A405"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5" s="5">
        <f ca="1">IFERROR(__xludf.DUMMYFUNCTION("""COMPUTED_VALUE"""),416)</f>
        <v>416</v>
      </c>
      <c r="C405" s="5">
        <f ca="1">IFERROR(__xludf.DUMMYFUNCTION("""COMPUTED_VALUE"""),392)</f>
        <v>392</v>
      </c>
      <c r="D405" s="5" t="str">
        <f ca="1">IFERROR(__xludf.DUMMYFUNCTION("""COMPUTED_VALUE"""),"PlayNetFortuneClover100")</f>
        <v>PlayNetFortuneClover100</v>
      </c>
      <c r="E405" s="5" t="str">
        <f ca="1">IFERROR(__xludf.DUMMYFUNCTION("""COMPUTED_VALUE"""),"Yes")</f>
        <v>Yes</v>
      </c>
      <c r="F405" s="5" t="str">
        <f ca="1">IFERROR(__xludf.DUMMYFUNCTION("""COMPUTED_VALUE"""),"Yes")</f>
        <v>Yes</v>
      </c>
      <c r="G405" s="5" t="str">
        <f ca="1">IFERROR(__xludf.DUMMYFUNCTION("""COMPUTED_VALUE"""),"Yes")</f>
        <v>Yes</v>
      </c>
      <c r="H405" s="5" t="str">
        <f ca="1">IFERROR(__xludf.DUMMYFUNCTION("""COMPUTED_VALUE"""),"Yes")</f>
        <v>Yes</v>
      </c>
      <c r="I405" s="5" t="str">
        <f ca="1">IFERROR(__xludf.DUMMYFUNCTION("""COMPUTED_VALUE"""),"Yes")</f>
        <v>Yes</v>
      </c>
      <c r="J405" s="5" t="str">
        <f ca="1">IFERROR(__xludf.DUMMYFUNCTION("""COMPUTED_VALUE"""),"Yes")</f>
        <v>Yes</v>
      </c>
      <c r="K405" s="5" t="str">
        <f ca="1">IFERROR(__xludf.DUMMYFUNCTION("""COMPUTED_VALUE"""),"Yes")</f>
        <v>Yes</v>
      </c>
      <c r="L405" s="5" t="str">
        <f ca="1">IFERROR(__xludf.DUMMYFUNCTION("""COMPUTED_VALUE"""),"Yes")</f>
        <v>Yes</v>
      </c>
      <c r="M405" s="5" t="str">
        <f ca="1">IFERROR(__xludf.DUMMYFUNCTION("""COMPUTED_VALUE"""),"Yes")</f>
        <v>Yes</v>
      </c>
      <c r="N405" s="5" t="str">
        <f ca="1">IFERROR(__xludf.DUMMYFUNCTION("""COMPUTED_VALUE"""),"Yes")</f>
        <v>Yes</v>
      </c>
      <c r="O405" s="5" t="str">
        <f ca="1">IFERROR(__xludf.DUMMYFUNCTION("""COMPUTED_VALUE"""),"Yes")</f>
        <v>Yes</v>
      </c>
      <c r="P405" s="5" t="str">
        <f ca="1">IFERROR(__xludf.DUMMYFUNCTION("""COMPUTED_VALUE"""),"Yes")</f>
        <v>Yes</v>
      </c>
      <c r="Q405" s="5" t="str">
        <f ca="1">IFERROR(__xludf.DUMMYFUNCTION("""COMPUTED_VALUE"""),"Yes")</f>
        <v>Yes</v>
      </c>
      <c r="R405" s="5" t="str">
        <f ca="1">IFERROR(__xludf.DUMMYFUNCTION("""COMPUTED_VALUE"""),"Yes")</f>
        <v>Yes</v>
      </c>
      <c r="S405" s="5" t="str">
        <f ca="1">IFERROR(__xludf.DUMMYFUNCTION("""COMPUTED_VALUE"""),"Yes")</f>
        <v>Yes</v>
      </c>
      <c r="T405" s="5" t="str">
        <f ca="1">IFERROR(__xludf.DUMMYFUNCTION("""COMPUTED_VALUE"""),"No")</f>
        <v>No</v>
      </c>
      <c r="U405" s="5" t="str">
        <f ca="1">IFERROR(__xludf.DUMMYFUNCTION("""COMPUTED_VALUE"""),"No")</f>
        <v>No</v>
      </c>
      <c r="V405" s="5" t="str">
        <f ca="1">IFERROR(__xludf.DUMMYFUNCTION("""COMPUTED_VALUE"""),"No")</f>
        <v>No</v>
      </c>
      <c r="W405" s="5" t="str">
        <f ca="1">IFERROR(__xludf.DUMMYFUNCTION("""COMPUTED_VALUE"""),"No")</f>
        <v>No</v>
      </c>
      <c r="X405" s="5"/>
      <c r="Y405" s="5"/>
      <c r="Z405" s="5"/>
      <c r="AA405" s="5"/>
      <c r="AB405" s="5"/>
      <c r="AC405" s="5" t="str">
        <f ca="1">IFERROR(__xludf.DUMMYFUNCTION("""COMPUTED_VALUE"""),"No")</f>
        <v>No</v>
      </c>
      <c r="AD405" s="5"/>
      <c r="AE405" s="5"/>
      <c r="AF405" s="5" t="str">
        <f ca="1">IFERROR(__xludf.DUMMYFUNCTION("""COMPUTED_VALUE"""),"Yes")</f>
        <v>Yes</v>
      </c>
      <c r="AG405" s="5"/>
      <c r="AH405" s="5" t="str">
        <f ca="1">IFERROR(__xludf.DUMMYFUNCTION("""COMPUTED_VALUE"""),"Yes")</f>
        <v>Yes</v>
      </c>
      <c r="AI405" s="5"/>
      <c r="AJ405" s="5"/>
      <c r="AK405" s="5"/>
      <c r="AL405" s="5"/>
      <c r="AM405" s="5"/>
      <c r="AN405" s="5"/>
      <c r="AO405" s="5"/>
      <c r="AP405" s="5"/>
      <c r="AQ405" s="5"/>
      <c r="AR405" s="5"/>
      <c r="AS405" s="5"/>
      <c r="AT405" s="5"/>
      <c r="AU405" s="5"/>
      <c r="AV405" s="5"/>
      <c r="AW405" s="5"/>
      <c r="AX405" s="5"/>
      <c r="AY405" s="5"/>
    </row>
    <row r="406" spans="1:51" x14ac:dyDescent="0.25">
      <c r="A4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6" s="5">
        <f ca="1">IFERROR(__xludf.DUMMYFUNCTION("""COMPUTED_VALUE"""),417)</f>
        <v>417</v>
      </c>
      <c r="C406" s="5">
        <f ca="1">IFERROR(__xludf.DUMMYFUNCTION("""COMPUTED_VALUE"""),180002)</f>
        <v>180002</v>
      </c>
      <c r="D406" s="5" t="str">
        <f ca="1">IFERROR(__xludf.DUMMYFUNCTION("""COMPUTED_VALUE"""),"RedstoneCosmicSevens")</f>
        <v>RedstoneCosmicSevens</v>
      </c>
      <c r="E406" s="5" t="str">
        <f ca="1">IFERROR(__xludf.DUMMYFUNCTION("""COMPUTED_VALUE"""),"Yes")</f>
        <v>Yes</v>
      </c>
      <c r="F406" s="5" t="str">
        <f ca="1">IFERROR(__xludf.DUMMYFUNCTION("""COMPUTED_VALUE"""),"Yes")</f>
        <v>Yes</v>
      </c>
      <c r="G406" s="5" t="str">
        <f ca="1">IFERROR(__xludf.DUMMYFUNCTION("""COMPUTED_VALUE"""),"Yes")</f>
        <v>Yes</v>
      </c>
      <c r="H406" s="5" t="str">
        <f ca="1">IFERROR(__xludf.DUMMYFUNCTION("""COMPUTED_VALUE"""),"Yes")</f>
        <v>Yes</v>
      </c>
      <c r="I406" s="5" t="str">
        <f ca="1">IFERROR(__xludf.DUMMYFUNCTION("""COMPUTED_VALUE"""),"Yes")</f>
        <v>Yes</v>
      </c>
      <c r="J406" s="5" t="str">
        <f ca="1">IFERROR(__xludf.DUMMYFUNCTION("""COMPUTED_VALUE"""),"Yes")</f>
        <v>Yes</v>
      </c>
      <c r="K406" s="5" t="str">
        <f ca="1">IFERROR(__xludf.DUMMYFUNCTION("""COMPUTED_VALUE"""),"Yes")</f>
        <v>Yes</v>
      </c>
      <c r="L406" s="5" t="str">
        <f ca="1">IFERROR(__xludf.DUMMYFUNCTION("""COMPUTED_VALUE"""),"Yes")</f>
        <v>Yes</v>
      </c>
      <c r="M406" s="5" t="str">
        <f ca="1">IFERROR(__xludf.DUMMYFUNCTION("""COMPUTED_VALUE"""),"Yes")</f>
        <v>Yes</v>
      </c>
      <c r="N406" s="5" t="str">
        <f ca="1">IFERROR(__xludf.DUMMYFUNCTION("""COMPUTED_VALUE"""),"Yes")</f>
        <v>Yes</v>
      </c>
      <c r="O406" s="5" t="str">
        <f ca="1">IFERROR(__xludf.DUMMYFUNCTION("""COMPUTED_VALUE"""),"Yes")</f>
        <v>Yes</v>
      </c>
      <c r="P406" s="5" t="str">
        <f ca="1">IFERROR(__xludf.DUMMYFUNCTION("""COMPUTED_VALUE"""),"Yes")</f>
        <v>Yes</v>
      </c>
      <c r="Q406" s="5" t="str">
        <f ca="1">IFERROR(__xludf.DUMMYFUNCTION("""COMPUTED_VALUE"""),"Yes")</f>
        <v>Yes</v>
      </c>
      <c r="R406" s="5" t="str">
        <f ca="1">IFERROR(__xludf.DUMMYFUNCTION("""COMPUTED_VALUE"""),"Yes")</f>
        <v>Yes</v>
      </c>
      <c r="S406" s="5" t="str">
        <f ca="1">IFERROR(__xludf.DUMMYFUNCTION("""COMPUTED_VALUE"""),"Yes")</f>
        <v>Yes</v>
      </c>
      <c r="T406" s="5" t="str">
        <f ca="1">IFERROR(__xludf.DUMMYFUNCTION("""COMPUTED_VALUE"""),"Yes")</f>
        <v>Yes</v>
      </c>
      <c r="U406" s="5" t="str">
        <f ca="1">IFERROR(__xludf.DUMMYFUNCTION("""COMPUTED_VALUE"""),"Yes")</f>
        <v>Yes</v>
      </c>
      <c r="V406" s="5" t="str">
        <f ca="1">IFERROR(__xludf.DUMMYFUNCTION("""COMPUTED_VALUE"""),"Yes")</f>
        <v>Yes</v>
      </c>
      <c r="W406" s="5" t="str">
        <f ca="1">IFERROR(__xludf.DUMMYFUNCTION("""COMPUTED_VALUE"""),"Yes")</f>
        <v>Yes</v>
      </c>
      <c r="X406" s="5"/>
      <c r="Y406" s="5"/>
      <c r="Z406" s="5"/>
      <c r="AA406" s="5"/>
      <c r="AB406" s="5"/>
      <c r="AC406" s="5" t="str">
        <f ca="1">IFERROR(__xludf.DUMMYFUNCTION("""COMPUTED_VALUE"""),"Yes")</f>
        <v>Yes</v>
      </c>
      <c r="AD406" s="5"/>
      <c r="AE406" s="5"/>
      <c r="AF406" s="5"/>
      <c r="AG406" s="5"/>
      <c r="AH406" s="5"/>
      <c r="AI406" s="5"/>
      <c r="AJ406" s="5"/>
      <c r="AK406" s="5"/>
      <c r="AL406" s="5"/>
      <c r="AM406" s="5"/>
      <c r="AN406" s="5"/>
      <c r="AO406" s="5"/>
      <c r="AP406" s="5"/>
      <c r="AQ406" s="5"/>
      <c r="AR406" s="5"/>
      <c r="AS406" s="5"/>
      <c r="AT406" s="5"/>
      <c r="AU406" s="5"/>
      <c r="AV406" s="5"/>
      <c r="AW406" s="5"/>
      <c r="AX406" s="5"/>
      <c r="AY406" s="5"/>
    </row>
    <row r="407" spans="1:51" x14ac:dyDescent="0.25">
      <c r="A407"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7" s="5">
        <f ca="1">IFERROR(__xludf.DUMMYFUNCTION("""COMPUTED_VALUE"""),418)</f>
        <v>418</v>
      </c>
      <c r="C407" s="5">
        <f ca="1">IFERROR(__xludf.DUMMYFUNCTION("""COMPUTED_VALUE"""),369)</f>
        <v>369</v>
      </c>
      <c r="D407" s="5" t="str">
        <f ca="1">IFERROR(__xludf.DUMMYFUNCTION("""COMPUTED_VALUE"""),"Unicorn20HotStrikeDiceJackpot")</f>
        <v>Unicorn20HotStrikeDiceJackpot</v>
      </c>
      <c r="E407" s="5" t="str">
        <f ca="1">IFERROR(__xludf.DUMMYFUNCTION("""COMPUTED_VALUE"""),"Yes")</f>
        <v>Yes</v>
      </c>
      <c r="F407" s="5" t="str">
        <f ca="1">IFERROR(__xludf.DUMMYFUNCTION("""COMPUTED_VALUE"""),"Yes")</f>
        <v>Yes</v>
      </c>
      <c r="G407" s="5" t="str">
        <f ca="1">IFERROR(__xludf.DUMMYFUNCTION("""COMPUTED_VALUE"""),"No")</f>
        <v>No</v>
      </c>
      <c r="H407" s="5" t="str">
        <f ca="1">IFERROR(__xludf.DUMMYFUNCTION("""COMPUTED_VALUE"""),"Yes")</f>
        <v>Yes</v>
      </c>
      <c r="I407" s="5" t="str">
        <f ca="1">IFERROR(__xludf.DUMMYFUNCTION("""COMPUTED_VALUE"""),"Yes")</f>
        <v>Yes</v>
      </c>
      <c r="J407" s="5" t="str">
        <f ca="1">IFERROR(__xludf.DUMMYFUNCTION("""COMPUTED_VALUE"""),"Yes")</f>
        <v>Yes</v>
      </c>
      <c r="K407" s="5" t="str">
        <f ca="1">IFERROR(__xludf.DUMMYFUNCTION("""COMPUTED_VALUE"""),"Yes")</f>
        <v>Yes</v>
      </c>
      <c r="L407" s="5" t="str">
        <f ca="1">IFERROR(__xludf.DUMMYFUNCTION("""COMPUTED_VALUE"""),"Yes")</f>
        <v>Yes</v>
      </c>
      <c r="M407" s="5" t="str">
        <f ca="1">IFERROR(__xludf.DUMMYFUNCTION("""COMPUTED_VALUE"""),"Yes")</f>
        <v>Yes</v>
      </c>
      <c r="N407" s="5" t="str">
        <f ca="1">IFERROR(__xludf.DUMMYFUNCTION("""COMPUTED_VALUE"""),"Yes")</f>
        <v>Yes</v>
      </c>
      <c r="O407" s="5" t="str">
        <f ca="1">IFERROR(__xludf.DUMMYFUNCTION("""COMPUTED_VALUE"""),"Yes")</f>
        <v>Yes</v>
      </c>
      <c r="P407" s="5" t="str">
        <f ca="1">IFERROR(__xludf.DUMMYFUNCTION("""COMPUTED_VALUE"""),"Yes")</f>
        <v>Yes</v>
      </c>
      <c r="Q407" s="5" t="str">
        <f ca="1">IFERROR(__xludf.DUMMYFUNCTION("""COMPUTED_VALUE"""),"Yes")</f>
        <v>Yes</v>
      </c>
      <c r="R407" s="5" t="str">
        <f ca="1">IFERROR(__xludf.DUMMYFUNCTION("""COMPUTED_VALUE"""),"Yes")</f>
        <v>Yes</v>
      </c>
      <c r="S407" s="5" t="str">
        <f ca="1">IFERROR(__xludf.DUMMYFUNCTION("""COMPUTED_VALUE"""),"Yes")</f>
        <v>Yes</v>
      </c>
      <c r="T407" s="5" t="str">
        <f ca="1">IFERROR(__xludf.DUMMYFUNCTION("""COMPUTED_VALUE"""),"No")</f>
        <v>No</v>
      </c>
      <c r="U407" s="5" t="str">
        <f ca="1">IFERROR(__xludf.DUMMYFUNCTION("""COMPUTED_VALUE"""),"No")</f>
        <v>No</v>
      </c>
      <c r="V407" s="5" t="str">
        <f ca="1">IFERROR(__xludf.DUMMYFUNCTION("""COMPUTED_VALUE"""),"No")</f>
        <v>No</v>
      </c>
      <c r="W407" s="5" t="str">
        <f ca="1">IFERROR(__xludf.DUMMYFUNCTION("""COMPUTED_VALUE"""),"No")</f>
        <v>No</v>
      </c>
      <c r="X407" s="5" t="str">
        <f ca="1">IFERROR(__xludf.DUMMYFUNCTION("""COMPUTED_VALUE"""),"No")</f>
        <v>No</v>
      </c>
      <c r="Y407" s="5" t="str">
        <f ca="1">IFERROR(__xludf.DUMMYFUNCTION("""COMPUTED_VALUE"""),"No")</f>
        <v>No</v>
      </c>
      <c r="Z407" s="5" t="str">
        <f ca="1">IFERROR(__xludf.DUMMYFUNCTION("""COMPUTED_VALUE"""),"No")</f>
        <v>No</v>
      </c>
      <c r="AA407" s="5" t="str">
        <f ca="1">IFERROR(__xludf.DUMMYFUNCTION("""COMPUTED_VALUE"""),"Yes")</f>
        <v>Yes</v>
      </c>
      <c r="AB407" s="5" t="str">
        <f ca="1">IFERROR(__xludf.DUMMYFUNCTION("""COMPUTED_VALUE"""),"No")</f>
        <v>No</v>
      </c>
      <c r="AC407" s="5" t="str">
        <f ca="1">IFERROR(__xludf.DUMMYFUNCTION("""COMPUTED_VALUE"""),"No")</f>
        <v>No</v>
      </c>
      <c r="AD407" s="5" t="str">
        <f ca="1">IFERROR(__xludf.DUMMYFUNCTION("""COMPUTED_VALUE"""),"No")</f>
        <v>No</v>
      </c>
      <c r="AE407" s="5" t="str">
        <f ca="1">IFERROR(__xludf.DUMMYFUNCTION("""COMPUTED_VALUE"""),"No")</f>
        <v>No</v>
      </c>
      <c r="AF407" s="5" t="str">
        <f ca="1">IFERROR(__xludf.DUMMYFUNCTION("""COMPUTED_VALUE"""),"Yes")</f>
        <v>Yes</v>
      </c>
      <c r="AG407" s="5" t="str">
        <f ca="1">IFERROR(__xludf.DUMMYFUNCTION("""COMPUTED_VALUE"""),"No")</f>
        <v>No</v>
      </c>
      <c r="AH407" s="5" t="str">
        <f ca="1">IFERROR(__xludf.DUMMYFUNCTION("""COMPUTED_VALUE"""),"Yes")</f>
        <v>Yes</v>
      </c>
      <c r="AI407" s="5" t="str">
        <f ca="1">IFERROR(__xludf.DUMMYFUNCTION("""COMPUTED_VALUE"""),"No")</f>
        <v>No</v>
      </c>
      <c r="AJ407" s="5" t="str">
        <f ca="1">IFERROR(__xludf.DUMMYFUNCTION("""COMPUTED_VALUE"""),"No")</f>
        <v>No</v>
      </c>
      <c r="AK407" s="5" t="str">
        <f ca="1">IFERROR(__xludf.DUMMYFUNCTION("""COMPUTED_VALUE"""),"No")</f>
        <v>No</v>
      </c>
      <c r="AL407" s="5" t="str">
        <f ca="1">IFERROR(__xludf.DUMMYFUNCTION("""COMPUTED_VALUE"""),"No")</f>
        <v>No</v>
      </c>
      <c r="AM407" s="5"/>
      <c r="AN407" s="5"/>
      <c r="AO407" s="5"/>
      <c r="AP407" s="5"/>
      <c r="AQ407" s="5"/>
      <c r="AR407" s="5"/>
      <c r="AS407" s="5"/>
      <c r="AT407" s="5"/>
      <c r="AU407" s="5"/>
      <c r="AV407" s="5"/>
      <c r="AW407" s="5"/>
      <c r="AX407" s="5"/>
      <c r="AY407" s="5"/>
    </row>
    <row r="408" spans="1:51" x14ac:dyDescent="0.25">
      <c r="A4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8" s="5">
        <f ca="1">IFERROR(__xludf.DUMMYFUNCTION("""COMPUTED_VALUE"""),419)</f>
        <v>419</v>
      </c>
      <c r="C408" s="5">
        <f ca="1">IFERROR(__xludf.DUMMYFUNCTION("""COMPUTED_VALUE"""),389)</f>
        <v>389</v>
      </c>
      <c r="D408" s="5" t="str">
        <f ca="1">IFERROR(__xludf.DUMMYFUNCTION("""COMPUTED_VALUE"""),"UnicornDiceMachine")</f>
        <v>UnicornDiceMachine</v>
      </c>
      <c r="E408" s="5" t="str">
        <f ca="1">IFERROR(__xludf.DUMMYFUNCTION("""COMPUTED_VALUE"""),"Yes")</f>
        <v>Yes</v>
      </c>
      <c r="F408" s="5" t="str">
        <f ca="1">IFERROR(__xludf.DUMMYFUNCTION("""COMPUTED_VALUE"""),"Yes")</f>
        <v>Yes</v>
      </c>
      <c r="G408" s="5" t="str">
        <f ca="1">IFERROR(__xludf.DUMMYFUNCTION("""COMPUTED_VALUE"""),"Yes")</f>
        <v>Yes</v>
      </c>
      <c r="H408" s="5" t="str">
        <f ca="1">IFERROR(__xludf.DUMMYFUNCTION("""COMPUTED_VALUE"""),"Yes")</f>
        <v>Yes</v>
      </c>
      <c r="I408" s="5" t="str">
        <f ca="1">IFERROR(__xludf.DUMMYFUNCTION("""COMPUTED_VALUE"""),"Yes")</f>
        <v>Yes</v>
      </c>
      <c r="J408" s="5" t="str">
        <f ca="1">IFERROR(__xludf.DUMMYFUNCTION("""COMPUTED_VALUE"""),"Yes")</f>
        <v>Yes</v>
      </c>
      <c r="K408" s="5" t="str">
        <f ca="1">IFERROR(__xludf.DUMMYFUNCTION("""COMPUTED_VALUE"""),"Yes")</f>
        <v>Yes</v>
      </c>
      <c r="L408" s="5" t="str">
        <f ca="1">IFERROR(__xludf.DUMMYFUNCTION("""COMPUTED_VALUE"""),"Yes")</f>
        <v>Yes</v>
      </c>
      <c r="M408" s="5" t="str">
        <f ca="1">IFERROR(__xludf.DUMMYFUNCTION("""COMPUTED_VALUE"""),"Yes")</f>
        <v>Yes</v>
      </c>
      <c r="N408" s="5" t="str">
        <f ca="1">IFERROR(__xludf.DUMMYFUNCTION("""COMPUTED_VALUE"""),"Yes")</f>
        <v>Yes</v>
      </c>
      <c r="O408" s="5" t="str">
        <f ca="1">IFERROR(__xludf.DUMMYFUNCTION("""COMPUTED_VALUE"""),"Yes")</f>
        <v>Yes</v>
      </c>
      <c r="P408" s="5" t="str">
        <f ca="1">IFERROR(__xludf.DUMMYFUNCTION("""COMPUTED_VALUE"""),"Yes")</f>
        <v>Yes</v>
      </c>
      <c r="Q408" s="5" t="str">
        <f ca="1">IFERROR(__xludf.DUMMYFUNCTION("""COMPUTED_VALUE"""),"Yes")</f>
        <v>Yes</v>
      </c>
      <c r="R408" s="5" t="str">
        <f ca="1">IFERROR(__xludf.DUMMYFUNCTION("""COMPUTED_VALUE"""),"Yes")</f>
        <v>Yes</v>
      </c>
      <c r="S408" s="5" t="str">
        <f ca="1">IFERROR(__xludf.DUMMYFUNCTION("""COMPUTED_VALUE"""),"Yes")</f>
        <v>Yes</v>
      </c>
      <c r="T408" s="5" t="str">
        <f ca="1">IFERROR(__xludf.DUMMYFUNCTION("""COMPUTED_VALUE"""),"Yes")</f>
        <v>Yes</v>
      </c>
      <c r="U408" s="5" t="str">
        <f ca="1">IFERROR(__xludf.DUMMYFUNCTION("""COMPUTED_VALUE"""),"Yes")</f>
        <v>Yes</v>
      </c>
      <c r="V408" s="5" t="str">
        <f ca="1">IFERROR(__xludf.DUMMYFUNCTION("""COMPUTED_VALUE"""),"Yes")</f>
        <v>Yes</v>
      </c>
      <c r="W408" s="5" t="str">
        <f ca="1">IFERROR(__xludf.DUMMYFUNCTION("""COMPUTED_VALUE"""),"Yes")</f>
        <v>Yes</v>
      </c>
      <c r="X408" s="5"/>
      <c r="Y408" s="5"/>
      <c r="Z408" s="5"/>
      <c r="AA408" s="5"/>
      <c r="AB408" s="5"/>
      <c r="AC408" s="5" t="str">
        <f ca="1">IFERROR(__xludf.DUMMYFUNCTION("""COMPUTED_VALUE"""),"Yes")</f>
        <v>Yes</v>
      </c>
      <c r="AD408" s="5"/>
      <c r="AE408" s="5"/>
      <c r="AF408" s="5"/>
      <c r="AG408" s="5"/>
      <c r="AH408" s="5"/>
      <c r="AI408" s="5"/>
      <c r="AJ408" s="5"/>
      <c r="AK408" s="5"/>
      <c r="AL408" s="5"/>
      <c r="AM408" s="5"/>
      <c r="AN408" s="5"/>
      <c r="AO408" s="5"/>
      <c r="AP408" s="5"/>
      <c r="AQ408" s="5"/>
      <c r="AR408" s="5"/>
      <c r="AS408" s="5"/>
      <c r="AT408" s="5"/>
      <c r="AU408" s="5"/>
      <c r="AV408" s="5"/>
      <c r="AW408" s="5"/>
      <c r="AX408" s="5"/>
      <c r="AY408" s="5"/>
    </row>
    <row r="409" spans="1:51" x14ac:dyDescent="0.25">
      <c r="A40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09" s="5">
        <f ca="1">IFERROR(__xludf.DUMMYFUNCTION("""COMPUTED_VALUE"""),421)</f>
        <v>421</v>
      </c>
      <c r="C409" s="5">
        <f ca="1">IFERROR(__xludf.DUMMYFUNCTION("""COMPUTED_VALUE"""),180004)</f>
        <v>180004</v>
      </c>
      <c r="D409" s="5" t="str">
        <f ca="1">IFERROR(__xludf.DUMMYFUNCTION("""COMPUTED_VALUE"""),"RedstoneCloverRoyale")</f>
        <v>RedstoneCloverRoyale</v>
      </c>
      <c r="E409" s="5" t="str">
        <f ca="1">IFERROR(__xludf.DUMMYFUNCTION("""COMPUTED_VALUE"""),"Yes")</f>
        <v>Yes</v>
      </c>
      <c r="F409" s="5" t="str">
        <f ca="1">IFERROR(__xludf.DUMMYFUNCTION("""COMPUTED_VALUE"""),"Yes")</f>
        <v>Yes</v>
      </c>
      <c r="G409" s="5" t="str">
        <f ca="1">IFERROR(__xludf.DUMMYFUNCTION("""COMPUTED_VALUE"""),"Yes")</f>
        <v>Yes</v>
      </c>
      <c r="H409" s="5" t="str">
        <f ca="1">IFERROR(__xludf.DUMMYFUNCTION("""COMPUTED_VALUE"""),"No")</f>
        <v>No</v>
      </c>
      <c r="I409" s="5" t="str">
        <f ca="1">IFERROR(__xludf.DUMMYFUNCTION("""COMPUTED_VALUE"""),"No")</f>
        <v>No</v>
      </c>
      <c r="J409" s="5" t="str">
        <f ca="1">IFERROR(__xludf.DUMMYFUNCTION("""COMPUTED_VALUE"""),"No")</f>
        <v>No</v>
      </c>
      <c r="K409" s="5" t="str">
        <f ca="1">IFERROR(__xludf.DUMMYFUNCTION("""COMPUTED_VALUE"""),"No")</f>
        <v>No</v>
      </c>
      <c r="L409" s="5" t="str">
        <f ca="1">IFERROR(__xludf.DUMMYFUNCTION("""COMPUTED_VALUE"""),"No")</f>
        <v>No</v>
      </c>
      <c r="M409" s="5" t="str">
        <f ca="1">IFERROR(__xludf.DUMMYFUNCTION("""COMPUTED_VALUE"""),"Yes")</f>
        <v>Yes</v>
      </c>
      <c r="N409" s="5" t="str">
        <f ca="1">IFERROR(__xludf.DUMMYFUNCTION("""COMPUTED_VALUE"""),"Yes")</f>
        <v>Yes</v>
      </c>
      <c r="O409" s="5" t="str">
        <f ca="1">IFERROR(__xludf.DUMMYFUNCTION("""COMPUTED_VALUE"""),"Yes")</f>
        <v>Yes</v>
      </c>
      <c r="P409" s="5" t="str">
        <f ca="1">IFERROR(__xludf.DUMMYFUNCTION("""COMPUTED_VALUE"""),"Yes")</f>
        <v>Yes</v>
      </c>
      <c r="Q409" s="5" t="str">
        <f ca="1">IFERROR(__xludf.DUMMYFUNCTION("""COMPUTED_VALUE"""),"Yes")</f>
        <v>Yes</v>
      </c>
      <c r="R409" s="5" t="str">
        <f ca="1">IFERROR(__xludf.DUMMYFUNCTION("""COMPUTED_VALUE"""),"No")</f>
        <v>No</v>
      </c>
      <c r="S409" s="5" t="str">
        <f ca="1">IFERROR(__xludf.DUMMYFUNCTION("""COMPUTED_VALUE"""),"Yes")</f>
        <v>Yes</v>
      </c>
      <c r="T409" s="5" t="str">
        <f ca="1">IFERROR(__xludf.DUMMYFUNCTION("""COMPUTED_VALUE"""),"No")</f>
        <v>No</v>
      </c>
      <c r="U409" s="5" t="str">
        <f ca="1">IFERROR(__xludf.DUMMYFUNCTION("""COMPUTED_VALUE"""),"No")</f>
        <v>No</v>
      </c>
      <c r="V409" s="5" t="str">
        <f ca="1">IFERROR(__xludf.DUMMYFUNCTION("""COMPUTED_VALUE"""),"No")</f>
        <v>No</v>
      </c>
      <c r="W409" s="5" t="str">
        <f ca="1">IFERROR(__xludf.DUMMYFUNCTION("""COMPUTED_VALUE"""),"No")</f>
        <v>No</v>
      </c>
      <c r="X409" s="5"/>
      <c r="Y409" s="5"/>
      <c r="Z409" s="5"/>
      <c r="AA409" s="5" t="str">
        <f ca="1">IFERROR(__xludf.DUMMYFUNCTION("""COMPUTED_VALUE"""),"Yes")</f>
        <v>Yes</v>
      </c>
      <c r="AB409" s="5"/>
      <c r="AC409" s="5" t="str">
        <f ca="1">IFERROR(__xludf.DUMMYFUNCTION("""COMPUTED_VALUE"""),"No")</f>
        <v>No</v>
      </c>
      <c r="AD409" s="5"/>
      <c r="AE409" s="5"/>
      <c r="AF409" s="5" t="str">
        <f ca="1">IFERROR(__xludf.DUMMYFUNCTION("""COMPUTED_VALUE"""),"Yes")</f>
        <v>Yes</v>
      </c>
      <c r="AG409" s="5"/>
      <c r="AH409" s="5"/>
      <c r="AI409" s="5"/>
      <c r="AJ409" s="5"/>
      <c r="AK409" s="5"/>
      <c r="AL409" s="5" t="str">
        <f ca="1">IFERROR(__xludf.DUMMYFUNCTION("""COMPUTED_VALUE"""),"Yes")</f>
        <v>Yes</v>
      </c>
      <c r="AM409" s="5"/>
      <c r="AN409" s="5"/>
      <c r="AO409" s="5"/>
      <c r="AP409" s="5"/>
      <c r="AQ409" s="5"/>
      <c r="AR409" s="5"/>
      <c r="AS409" s="5"/>
      <c r="AT409" s="5"/>
      <c r="AU409" s="5"/>
      <c r="AV409" s="5"/>
      <c r="AW409" s="5"/>
      <c r="AX409" s="5"/>
      <c r="AY409" s="5"/>
    </row>
    <row r="410" spans="1:51" x14ac:dyDescent="0.25">
      <c r="A41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0" s="5">
        <f ca="1">IFERROR(__xludf.DUMMYFUNCTION("""COMPUTED_VALUE"""),422)</f>
        <v>422</v>
      </c>
      <c r="C410" s="5">
        <f ca="1">IFERROR(__xludf.DUMMYFUNCTION("""COMPUTED_VALUE"""),378)</f>
        <v>378</v>
      </c>
      <c r="D410" s="5" t="str">
        <f ca="1">IFERROR(__xludf.DUMMYFUNCTION("""COMPUTED_VALUE"""),"UnicornThunderFruits")</f>
        <v>UnicornThunderFruits</v>
      </c>
      <c r="E410" s="5" t="str">
        <f ca="1">IFERROR(__xludf.DUMMYFUNCTION("""COMPUTED_VALUE"""),"Yes")</f>
        <v>Yes</v>
      </c>
      <c r="F410" s="5" t="str">
        <f ca="1">IFERROR(__xludf.DUMMYFUNCTION("""COMPUTED_VALUE"""),"Yes")</f>
        <v>Yes</v>
      </c>
      <c r="G410" s="5" t="str">
        <f ca="1">IFERROR(__xludf.DUMMYFUNCTION("""COMPUTED_VALUE"""),"No")</f>
        <v>No</v>
      </c>
      <c r="H410" s="5" t="str">
        <f ca="1">IFERROR(__xludf.DUMMYFUNCTION("""COMPUTED_VALUE"""),"Yes")</f>
        <v>Yes</v>
      </c>
      <c r="I410" s="5" t="str">
        <f ca="1">IFERROR(__xludf.DUMMYFUNCTION("""COMPUTED_VALUE"""),"Yes")</f>
        <v>Yes</v>
      </c>
      <c r="J410" s="5" t="str">
        <f ca="1">IFERROR(__xludf.DUMMYFUNCTION("""COMPUTED_VALUE"""),"Yes")</f>
        <v>Yes</v>
      </c>
      <c r="K410" s="5" t="str">
        <f ca="1">IFERROR(__xludf.DUMMYFUNCTION("""COMPUTED_VALUE"""),"Yes")</f>
        <v>Yes</v>
      </c>
      <c r="L410" s="5" t="str">
        <f ca="1">IFERROR(__xludf.DUMMYFUNCTION("""COMPUTED_VALUE"""),"Yes")</f>
        <v>Yes</v>
      </c>
      <c r="M410" s="5" t="str">
        <f ca="1">IFERROR(__xludf.DUMMYFUNCTION("""COMPUTED_VALUE"""),"Yes")</f>
        <v>Yes</v>
      </c>
      <c r="N410" s="5" t="str">
        <f ca="1">IFERROR(__xludf.DUMMYFUNCTION("""COMPUTED_VALUE"""),"Yes")</f>
        <v>Yes</v>
      </c>
      <c r="O410" s="5" t="str">
        <f ca="1">IFERROR(__xludf.DUMMYFUNCTION("""COMPUTED_VALUE"""),"Yes")</f>
        <v>Yes</v>
      </c>
      <c r="P410" s="5" t="str">
        <f ca="1">IFERROR(__xludf.DUMMYFUNCTION("""COMPUTED_VALUE"""),"Yes")</f>
        <v>Yes</v>
      </c>
      <c r="Q410" s="5" t="str">
        <f ca="1">IFERROR(__xludf.DUMMYFUNCTION("""COMPUTED_VALUE"""),"Yes")</f>
        <v>Yes</v>
      </c>
      <c r="R410" s="5" t="str">
        <f ca="1">IFERROR(__xludf.DUMMYFUNCTION("""COMPUTED_VALUE"""),"Yes")</f>
        <v>Yes</v>
      </c>
      <c r="S410" s="5" t="str">
        <f ca="1">IFERROR(__xludf.DUMMYFUNCTION("""COMPUTED_VALUE"""),"Yes")</f>
        <v>Yes</v>
      </c>
      <c r="T410" s="5" t="str">
        <f ca="1">IFERROR(__xludf.DUMMYFUNCTION("""COMPUTED_VALUE"""),"No")</f>
        <v>No</v>
      </c>
      <c r="U410" s="5" t="str">
        <f ca="1">IFERROR(__xludf.DUMMYFUNCTION("""COMPUTED_VALUE"""),"No")</f>
        <v>No</v>
      </c>
      <c r="V410" s="5" t="str">
        <f ca="1">IFERROR(__xludf.DUMMYFUNCTION("""COMPUTED_VALUE"""),"No")</f>
        <v>No</v>
      </c>
      <c r="W410" s="5" t="str">
        <f ca="1">IFERROR(__xludf.DUMMYFUNCTION("""COMPUTED_VALUE"""),"No")</f>
        <v>No</v>
      </c>
      <c r="X410" s="5" t="str">
        <f ca="1">IFERROR(__xludf.DUMMYFUNCTION("""COMPUTED_VALUE"""),"No")</f>
        <v>No</v>
      </c>
      <c r="Y410" s="5" t="str">
        <f ca="1">IFERROR(__xludf.DUMMYFUNCTION("""COMPUTED_VALUE"""),"No")</f>
        <v>No</v>
      </c>
      <c r="Z410" s="5" t="str">
        <f ca="1">IFERROR(__xludf.DUMMYFUNCTION("""COMPUTED_VALUE"""),"No")</f>
        <v>No</v>
      </c>
      <c r="AA410" s="5" t="str">
        <f ca="1">IFERROR(__xludf.DUMMYFUNCTION("""COMPUTED_VALUE"""),"Yes")</f>
        <v>Yes</v>
      </c>
      <c r="AB410" s="5" t="str">
        <f ca="1">IFERROR(__xludf.DUMMYFUNCTION("""COMPUTED_VALUE"""),"No")</f>
        <v>No</v>
      </c>
      <c r="AC410" s="5" t="str">
        <f ca="1">IFERROR(__xludf.DUMMYFUNCTION("""COMPUTED_VALUE"""),"No")</f>
        <v>No</v>
      </c>
      <c r="AD410" s="5" t="str">
        <f ca="1">IFERROR(__xludf.DUMMYFUNCTION("""COMPUTED_VALUE"""),"No")</f>
        <v>No</v>
      </c>
      <c r="AE410" s="5" t="str">
        <f ca="1">IFERROR(__xludf.DUMMYFUNCTION("""COMPUTED_VALUE"""),"No")</f>
        <v>No</v>
      </c>
      <c r="AF410" s="5" t="str">
        <f ca="1">IFERROR(__xludf.DUMMYFUNCTION("""COMPUTED_VALUE"""),"Yes")</f>
        <v>Yes</v>
      </c>
      <c r="AG410" s="5" t="str">
        <f ca="1">IFERROR(__xludf.DUMMYFUNCTION("""COMPUTED_VALUE"""),"No")</f>
        <v>No</v>
      </c>
      <c r="AH410" s="5" t="str">
        <f ca="1">IFERROR(__xludf.DUMMYFUNCTION("""COMPUTED_VALUE"""),"Yes")</f>
        <v>Yes</v>
      </c>
      <c r="AI410" s="5" t="str">
        <f ca="1">IFERROR(__xludf.DUMMYFUNCTION("""COMPUTED_VALUE"""),"No")</f>
        <v>No</v>
      </c>
      <c r="AJ410" s="5" t="str">
        <f ca="1">IFERROR(__xludf.DUMMYFUNCTION("""COMPUTED_VALUE"""),"No")</f>
        <v>No</v>
      </c>
      <c r="AK410" s="5" t="str">
        <f ca="1">IFERROR(__xludf.DUMMYFUNCTION("""COMPUTED_VALUE"""),"No")</f>
        <v>No</v>
      </c>
      <c r="AL410" s="5" t="str">
        <f ca="1">IFERROR(__xludf.DUMMYFUNCTION("""COMPUTED_VALUE"""),"No")</f>
        <v>No</v>
      </c>
      <c r="AM410" s="5"/>
      <c r="AN410" s="5"/>
      <c r="AO410" s="5"/>
      <c r="AP410" s="5"/>
      <c r="AQ410" s="5"/>
      <c r="AR410" s="5"/>
      <c r="AS410" s="5"/>
      <c r="AT410" s="5"/>
      <c r="AU410" s="5"/>
      <c r="AV410" s="5"/>
      <c r="AW410" s="5"/>
      <c r="AX410" s="5"/>
      <c r="AY410" s="5"/>
    </row>
    <row r="411" spans="1:51" x14ac:dyDescent="0.25">
      <c r="A4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1" s="5">
        <f ca="1">IFERROR(__xludf.DUMMYFUNCTION("""COMPUTED_VALUE"""),423)</f>
        <v>423</v>
      </c>
      <c r="C411" s="5">
        <f ca="1">IFERROR(__xludf.DUMMYFUNCTION("""COMPUTED_VALUE"""),385)</f>
        <v>385</v>
      </c>
      <c r="D411" s="5" t="str">
        <f ca="1">IFERROR(__xludf.DUMMYFUNCTION("""COMPUTED_VALUE"""),"UnicornEpicMegaCash")</f>
        <v>UnicornEpicMegaCash</v>
      </c>
      <c r="E411" s="5" t="str">
        <f ca="1">IFERROR(__xludf.DUMMYFUNCTION("""COMPUTED_VALUE"""),"Yes")</f>
        <v>Yes</v>
      </c>
      <c r="F411" s="5" t="str">
        <f ca="1">IFERROR(__xludf.DUMMYFUNCTION("""COMPUTED_VALUE"""),"Yes")</f>
        <v>Yes</v>
      </c>
      <c r="G411" s="5" t="str">
        <f ca="1">IFERROR(__xludf.DUMMYFUNCTION("""COMPUTED_VALUE"""),"Yes")</f>
        <v>Yes</v>
      </c>
      <c r="H411" s="5" t="str">
        <f ca="1">IFERROR(__xludf.DUMMYFUNCTION("""COMPUTED_VALUE"""),"Yes")</f>
        <v>Yes</v>
      </c>
      <c r="I411" s="5" t="str">
        <f ca="1">IFERROR(__xludf.DUMMYFUNCTION("""COMPUTED_VALUE"""),"Yes")</f>
        <v>Yes</v>
      </c>
      <c r="J411" s="5" t="str">
        <f ca="1">IFERROR(__xludf.DUMMYFUNCTION("""COMPUTED_VALUE"""),"Yes")</f>
        <v>Yes</v>
      </c>
      <c r="K411" s="5" t="str">
        <f ca="1">IFERROR(__xludf.DUMMYFUNCTION("""COMPUTED_VALUE"""),"Yes")</f>
        <v>Yes</v>
      </c>
      <c r="L411" s="5" t="str">
        <f ca="1">IFERROR(__xludf.DUMMYFUNCTION("""COMPUTED_VALUE"""),"Yes")</f>
        <v>Yes</v>
      </c>
      <c r="M411" s="5" t="str">
        <f ca="1">IFERROR(__xludf.DUMMYFUNCTION("""COMPUTED_VALUE"""),"Yes")</f>
        <v>Yes</v>
      </c>
      <c r="N411" s="5" t="str">
        <f ca="1">IFERROR(__xludf.DUMMYFUNCTION("""COMPUTED_VALUE"""),"Yes")</f>
        <v>Yes</v>
      </c>
      <c r="O411" s="5" t="str">
        <f ca="1">IFERROR(__xludf.DUMMYFUNCTION("""COMPUTED_VALUE"""),"Yes")</f>
        <v>Yes</v>
      </c>
      <c r="P411" s="5" t="str">
        <f ca="1">IFERROR(__xludf.DUMMYFUNCTION("""COMPUTED_VALUE"""),"Yes")</f>
        <v>Yes</v>
      </c>
      <c r="Q411" s="5" t="str">
        <f ca="1">IFERROR(__xludf.DUMMYFUNCTION("""COMPUTED_VALUE"""),"Yes")</f>
        <v>Yes</v>
      </c>
      <c r="R411" s="5" t="str">
        <f ca="1">IFERROR(__xludf.DUMMYFUNCTION("""COMPUTED_VALUE"""),"Yes")</f>
        <v>Yes</v>
      </c>
      <c r="S411" s="5" t="str">
        <f ca="1">IFERROR(__xludf.DUMMYFUNCTION("""COMPUTED_VALUE"""),"Yes")</f>
        <v>Yes</v>
      </c>
      <c r="T411" s="5" t="str">
        <f ca="1">IFERROR(__xludf.DUMMYFUNCTION("""COMPUTED_VALUE"""),"Yes")</f>
        <v>Yes</v>
      </c>
      <c r="U411" s="5" t="str">
        <f ca="1">IFERROR(__xludf.DUMMYFUNCTION("""COMPUTED_VALUE"""),"Yes")</f>
        <v>Yes</v>
      </c>
      <c r="V411" s="5" t="str">
        <f ca="1">IFERROR(__xludf.DUMMYFUNCTION("""COMPUTED_VALUE"""),"Yes")</f>
        <v>Yes</v>
      </c>
      <c r="W411" s="5" t="str">
        <f ca="1">IFERROR(__xludf.DUMMYFUNCTION("""COMPUTED_VALUE"""),"Yes")</f>
        <v>Yes</v>
      </c>
      <c r="X411" s="5"/>
      <c r="Y411" s="5"/>
      <c r="Z411" s="5"/>
      <c r="AA411" s="5"/>
      <c r="AB411" s="5"/>
      <c r="AC411" s="5" t="str">
        <f ca="1">IFERROR(__xludf.DUMMYFUNCTION("""COMPUTED_VALUE"""),"Yes")</f>
        <v>Yes</v>
      </c>
      <c r="AD411" s="5"/>
      <c r="AE411" s="5"/>
      <c r="AF411" s="5"/>
      <c r="AG411" s="5"/>
      <c r="AH411" s="5"/>
      <c r="AI411" s="5"/>
      <c r="AJ411" s="5"/>
      <c r="AK411" s="5"/>
      <c r="AL411" s="5"/>
      <c r="AM411" s="5"/>
      <c r="AN411" s="5"/>
      <c r="AO411" s="5"/>
      <c r="AP411" s="5"/>
      <c r="AQ411" s="5"/>
      <c r="AR411" s="5"/>
      <c r="AS411" s="5"/>
      <c r="AT411" s="5"/>
      <c r="AU411" s="5"/>
      <c r="AV411" s="5"/>
      <c r="AW411" s="5"/>
      <c r="AX411" s="5"/>
      <c r="AY411" s="5"/>
    </row>
    <row r="412" spans="1:51" x14ac:dyDescent="0.25">
      <c r="A41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2" s="5">
        <f ca="1">IFERROR(__xludf.DUMMYFUNCTION("""COMPUTED_VALUE"""),424)</f>
        <v>424</v>
      </c>
      <c r="C412" s="5">
        <f ca="1">IFERROR(__xludf.DUMMYFUNCTION("""COMPUTED_VALUE"""),180005)</f>
        <v>180005</v>
      </c>
      <c r="D412" s="5" t="str">
        <f ca="1">IFERROR(__xludf.DUMMYFUNCTION("""COMPUTED_VALUE"""),"RedstoneEternalHearts10")</f>
        <v>RedstoneEternalHearts10</v>
      </c>
      <c r="E412" s="5" t="str">
        <f ca="1">IFERROR(__xludf.DUMMYFUNCTION("""COMPUTED_VALUE"""),"Yes")</f>
        <v>Yes</v>
      </c>
      <c r="F412" s="5" t="str">
        <f ca="1">IFERROR(__xludf.DUMMYFUNCTION("""COMPUTED_VALUE"""),"Yes")</f>
        <v>Yes</v>
      </c>
      <c r="G412" s="5" t="str">
        <f ca="1">IFERROR(__xludf.DUMMYFUNCTION("""COMPUTED_VALUE"""),"Yes")</f>
        <v>Yes</v>
      </c>
      <c r="H412" s="5" t="str">
        <f ca="1">IFERROR(__xludf.DUMMYFUNCTION("""COMPUTED_VALUE"""),"No")</f>
        <v>No</v>
      </c>
      <c r="I412" s="5" t="str">
        <f ca="1">IFERROR(__xludf.DUMMYFUNCTION("""COMPUTED_VALUE"""),"No")</f>
        <v>No</v>
      </c>
      <c r="J412" s="5" t="str">
        <f ca="1">IFERROR(__xludf.DUMMYFUNCTION("""COMPUTED_VALUE"""),"No")</f>
        <v>No</v>
      </c>
      <c r="K412" s="5" t="str">
        <f ca="1">IFERROR(__xludf.DUMMYFUNCTION("""COMPUTED_VALUE"""),"No")</f>
        <v>No</v>
      </c>
      <c r="L412" s="5" t="str">
        <f ca="1">IFERROR(__xludf.DUMMYFUNCTION("""COMPUTED_VALUE"""),"No")</f>
        <v>No</v>
      </c>
      <c r="M412" s="5" t="str">
        <f ca="1">IFERROR(__xludf.DUMMYFUNCTION("""COMPUTED_VALUE"""),"Yes")</f>
        <v>Yes</v>
      </c>
      <c r="N412" s="5" t="str">
        <f ca="1">IFERROR(__xludf.DUMMYFUNCTION("""COMPUTED_VALUE"""),"Yes")</f>
        <v>Yes</v>
      </c>
      <c r="O412" s="5" t="str">
        <f ca="1">IFERROR(__xludf.DUMMYFUNCTION("""COMPUTED_VALUE"""),"Yes")</f>
        <v>Yes</v>
      </c>
      <c r="P412" s="5" t="str">
        <f ca="1">IFERROR(__xludf.DUMMYFUNCTION("""COMPUTED_VALUE"""),"Yes")</f>
        <v>Yes</v>
      </c>
      <c r="Q412" s="5" t="str">
        <f ca="1">IFERROR(__xludf.DUMMYFUNCTION("""COMPUTED_VALUE"""),"Yes")</f>
        <v>Yes</v>
      </c>
      <c r="R412" s="5" t="str">
        <f ca="1">IFERROR(__xludf.DUMMYFUNCTION("""COMPUTED_VALUE"""),"No")</f>
        <v>No</v>
      </c>
      <c r="S412" s="5" t="str">
        <f ca="1">IFERROR(__xludf.DUMMYFUNCTION("""COMPUTED_VALUE"""),"Yes")</f>
        <v>Yes</v>
      </c>
      <c r="T412" s="5" t="str">
        <f ca="1">IFERROR(__xludf.DUMMYFUNCTION("""COMPUTED_VALUE"""),"No")</f>
        <v>No</v>
      </c>
      <c r="U412" s="5" t="str">
        <f ca="1">IFERROR(__xludf.DUMMYFUNCTION("""COMPUTED_VALUE"""),"No")</f>
        <v>No</v>
      </c>
      <c r="V412" s="5" t="str">
        <f ca="1">IFERROR(__xludf.DUMMYFUNCTION("""COMPUTED_VALUE"""),"No")</f>
        <v>No</v>
      </c>
      <c r="W412" s="5" t="str">
        <f ca="1">IFERROR(__xludf.DUMMYFUNCTION("""COMPUTED_VALUE"""),"No")</f>
        <v>No</v>
      </c>
      <c r="X412" s="5"/>
      <c r="Y412" s="5"/>
      <c r="Z412" s="5"/>
      <c r="AA412" s="5" t="str">
        <f ca="1">IFERROR(__xludf.DUMMYFUNCTION("""COMPUTED_VALUE"""),"Yes")</f>
        <v>Yes</v>
      </c>
      <c r="AB412" s="5"/>
      <c r="AC412" s="5" t="str">
        <f ca="1">IFERROR(__xludf.DUMMYFUNCTION("""COMPUTED_VALUE"""),"No")</f>
        <v>No</v>
      </c>
      <c r="AD412" s="5"/>
      <c r="AE412" s="5"/>
      <c r="AF412" s="5" t="str">
        <f ca="1">IFERROR(__xludf.DUMMYFUNCTION("""COMPUTED_VALUE"""),"Yes")</f>
        <v>Yes</v>
      </c>
      <c r="AG412" s="5"/>
      <c r="AH412" s="5"/>
      <c r="AI412" s="5"/>
      <c r="AJ412" s="5"/>
      <c r="AK412" s="5"/>
      <c r="AL412" s="5" t="str">
        <f ca="1">IFERROR(__xludf.DUMMYFUNCTION("""COMPUTED_VALUE"""),"Yes")</f>
        <v>Yes</v>
      </c>
      <c r="AM412" s="5"/>
      <c r="AN412" s="5"/>
      <c r="AO412" s="5"/>
      <c r="AP412" s="5"/>
      <c r="AQ412" s="5"/>
      <c r="AR412" s="5"/>
      <c r="AS412" s="5"/>
      <c r="AT412" s="5"/>
      <c r="AU412" s="5"/>
      <c r="AV412" s="5"/>
      <c r="AW412" s="5"/>
      <c r="AX412" s="5"/>
      <c r="AY412" s="5"/>
    </row>
    <row r="413" spans="1:51" x14ac:dyDescent="0.25">
      <c r="A413"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3" s="5">
        <f ca="1">IFERROR(__xludf.DUMMYFUNCTION("""COMPUTED_VALUE"""),425)</f>
        <v>425</v>
      </c>
      <c r="C413" s="5">
        <f ca="1">IFERROR(__xludf.DUMMYFUNCTION("""COMPUTED_VALUE"""),180006)</f>
        <v>180006</v>
      </c>
      <c r="D413" s="5" t="str">
        <f ca="1">IFERROR(__xludf.DUMMYFUNCTION("""COMPUTED_VALUE"""),"RedstoneStarChaser")</f>
        <v>RedstoneStarChaser</v>
      </c>
      <c r="E413" s="5" t="str">
        <f ca="1">IFERROR(__xludf.DUMMYFUNCTION("""COMPUTED_VALUE"""),"Yes")</f>
        <v>Yes</v>
      </c>
      <c r="F413" s="5" t="str">
        <f ca="1">IFERROR(__xludf.DUMMYFUNCTION("""COMPUTED_VALUE"""),"Yes")</f>
        <v>Yes</v>
      </c>
      <c r="G413" s="5" t="str">
        <f ca="1">IFERROR(__xludf.DUMMYFUNCTION("""COMPUTED_VALUE"""),"No")</f>
        <v>No</v>
      </c>
      <c r="H413" s="5" t="str">
        <f ca="1">IFERROR(__xludf.DUMMYFUNCTION("""COMPUTED_VALUE"""),"Yes")</f>
        <v>Yes</v>
      </c>
      <c r="I413" s="5" t="str">
        <f ca="1">IFERROR(__xludf.DUMMYFUNCTION("""COMPUTED_VALUE"""),"Yes")</f>
        <v>Yes</v>
      </c>
      <c r="J413" s="5" t="str">
        <f ca="1">IFERROR(__xludf.DUMMYFUNCTION("""COMPUTED_VALUE"""),"Yes")</f>
        <v>Yes</v>
      </c>
      <c r="K413" s="5" t="str">
        <f ca="1">IFERROR(__xludf.DUMMYFUNCTION("""COMPUTED_VALUE"""),"Yes")</f>
        <v>Yes</v>
      </c>
      <c r="L413" s="5" t="str">
        <f ca="1">IFERROR(__xludf.DUMMYFUNCTION("""COMPUTED_VALUE"""),"Yes")</f>
        <v>Yes</v>
      </c>
      <c r="M413" s="5" t="str">
        <f ca="1">IFERROR(__xludf.DUMMYFUNCTION("""COMPUTED_VALUE"""),"Yes")</f>
        <v>Yes</v>
      </c>
      <c r="N413" s="5" t="str">
        <f ca="1">IFERROR(__xludf.DUMMYFUNCTION("""COMPUTED_VALUE"""),"Yes")</f>
        <v>Yes</v>
      </c>
      <c r="O413" s="5" t="str">
        <f ca="1">IFERROR(__xludf.DUMMYFUNCTION("""COMPUTED_VALUE"""),"Yes")</f>
        <v>Yes</v>
      </c>
      <c r="P413" s="5" t="str">
        <f ca="1">IFERROR(__xludf.DUMMYFUNCTION("""COMPUTED_VALUE"""),"Yes")</f>
        <v>Yes</v>
      </c>
      <c r="Q413" s="5" t="str">
        <f ca="1">IFERROR(__xludf.DUMMYFUNCTION("""COMPUTED_VALUE"""),"Yes")</f>
        <v>Yes</v>
      </c>
      <c r="R413" s="5" t="str">
        <f ca="1">IFERROR(__xludf.DUMMYFUNCTION("""COMPUTED_VALUE"""),"Yes")</f>
        <v>Yes</v>
      </c>
      <c r="S413" s="5" t="str">
        <f ca="1">IFERROR(__xludf.DUMMYFUNCTION("""COMPUTED_VALUE"""),"Yes")</f>
        <v>Yes</v>
      </c>
      <c r="T413" s="5" t="str">
        <f ca="1">IFERROR(__xludf.DUMMYFUNCTION("""COMPUTED_VALUE"""),"No")</f>
        <v>No</v>
      </c>
      <c r="U413" s="5" t="str">
        <f ca="1">IFERROR(__xludf.DUMMYFUNCTION("""COMPUTED_VALUE"""),"No")</f>
        <v>No</v>
      </c>
      <c r="V413" s="5" t="str">
        <f ca="1">IFERROR(__xludf.DUMMYFUNCTION("""COMPUTED_VALUE"""),"No")</f>
        <v>No</v>
      </c>
      <c r="W413" s="5" t="str">
        <f ca="1">IFERROR(__xludf.DUMMYFUNCTION("""COMPUTED_VALUE"""),"No")</f>
        <v>No</v>
      </c>
      <c r="X413" s="5" t="str">
        <f ca="1">IFERROR(__xludf.DUMMYFUNCTION("""COMPUTED_VALUE"""),"No")</f>
        <v>No</v>
      </c>
      <c r="Y413" s="5" t="str">
        <f ca="1">IFERROR(__xludf.DUMMYFUNCTION("""COMPUTED_VALUE"""),"No")</f>
        <v>No</v>
      </c>
      <c r="Z413" s="5" t="str">
        <f ca="1">IFERROR(__xludf.DUMMYFUNCTION("""COMPUTED_VALUE"""),"No")</f>
        <v>No</v>
      </c>
      <c r="AA413" s="5" t="str">
        <f ca="1">IFERROR(__xludf.DUMMYFUNCTION("""COMPUTED_VALUE"""),"Yes")</f>
        <v>Yes</v>
      </c>
      <c r="AB413" s="5" t="str">
        <f ca="1">IFERROR(__xludf.DUMMYFUNCTION("""COMPUTED_VALUE"""),"No")</f>
        <v>No</v>
      </c>
      <c r="AC413" s="5" t="str">
        <f ca="1">IFERROR(__xludf.DUMMYFUNCTION("""COMPUTED_VALUE"""),"No")</f>
        <v>No</v>
      </c>
      <c r="AD413" s="5" t="str">
        <f ca="1">IFERROR(__xludf.DUMMYFUNCTION("""COMPUTED_VALUE"""),"No")</f>
        <v>No</v>
      </c>
      <c r="AE413" s="5" t="str">
        <f ca="1">IFERROR(__xludf.DUMMYFUNCTION("""COMPUTED_VALUE"""),"No")</f>
        <v>No</v>
      </c>
      <c r="AF413" s="5" t="str">
        <f ca="1">IFERROR(__xludf.DUMMYFUNCTION("""COMPUTED_VALUE"""),"Yes")</f>
        <v>Yes</v>
      </c>
      <c r="AG413" s="5" t="str">
        <f ca="1">IFERROR(__xludf.DUMMYFUNCTION("""COMPUTED_VALUE"""),"No")</f>
        <v>No</v>
      </c>
      <c r="AH413" s="5" t="str">
        <f ca="1">IFERROR(__xludf.DUMMYFUNCTION("""COMPUTED_VALUE"""),"Yes")</f>
        <v>Yes</v>
      </c>
      <c r="AI413" s="5" t="str">
        <f ca="1">IFERROR(__xludf.DUMMYFUNCTION("""COMPUTED_VALUE"""),"No")</f>
        <v>No</v>
      </c>
      <c r="AJ413" s="5" t="str">
        <f ca="1">IFERROR(__xludf.DUMMYFUNCTION("""COMPUTED_VALUE"""),"No")</f>
        <v>No</v>
      </c>
      <c r="AK413" s="5" t="str">
        <f ca="1">IFERROR(__xludf.DUMMYFUNCTION("""COMPUTED_VALUE"""),"No")</f>
        <v>No</v>
      </c>
      <c r="AL413" s="5" t="str">
        <f ca="1">IFERROR(__xludf.DUMMYFUNCTION("""COMPUTED_VALUE"""),"No")</f>
        <v>No</v>
      </c>
      <c r="AM413" s="5"/>
      <c r="AN413" s="5"/>
      <c r="AO413" s="5"/>
      <c r="AP413" s="5"/>
      <c r="AQ413" s="5"/>
      <c r="AR413" s="5"/>
      <c r="AS413" s="5"/>
      <c r="AT413" s="5"/>
      <c r="AU413" s="5"/>
      <c r="AV413" s="5"/>
      <c r="AW413" s="5"/>
      <c r="AX413" s="5"/>
      <c r="AY413" s="5"/>
    </row>
    <row r="414" spans="1:51" x14ac:dyDescent="0.25">
      <c r="A414"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4" s="5">
        <f ca="1">IFERROR(__xludf.DUMMYFUNCTION("""COMPUTED_VALUE"""),426)</f>
        <v>426</v>
      </c>
      <c r="C414" s="5">
        <f ca="1">IFERROR(__xludf.DUMMYFUNCTION("""COMPUTED_VALUE"""),393)</f>
        <v>393</v>
      </c>
      <c r="D414" s="5" t="str">
        <f ca="1">IFERROR(__xludf.DUMMYFUNCTION("""COMPUTED_VALUE"""),"UnicornWildHoppers")</f>
        <v>UnicornWildHoppers</v>
      </c>
      <c r="E414" s="5" t="str">
        <f ca="1">IFERROR(__xludf.DUMMYFUNCTION("""COMPUTED_VALUE"""),"Yes")</f>
        <v>Yes</v>
      </c>
      <c r="F414" s="5" t="str">
        <f ca="1">IFERROR(__xludf.DUMMYFUNCTION("""COMPUTED_VALUE"""),"Yes")</f>
        <v>Yes</v>
      </c>
      <c r="G414" s="5" t="str">
        <f ca="1">IFERROR(__xludf.DUMMYFUNCTION("""COMPUTED_VALUE"""),"No")</f>
        <v>No</v>
      </c>
      <c r="H414" s="5" t="str">
        <f ca="1">IFERROR(__xludf.DUMMYFUNCTION("""COMPUTED_VALUE"""),"Yes")</f>
        <v>Yes</v>
      </c>
      <c r="I414" s="5" t="str">
        <f ca="1">IFERROR(__xludf.DUMMYFUNCTION("""COMPUTED_VALUE"""),"Yes")</f>
        <v>Yes</v>
      </c>
      <c r="J414" s="5" t="str">
        <f ca="1">IFERROR(__xludf.DUMMYFUNCTION("""COMPUTED_VALUE"""),"Yes")</f>
        <v>Yes</v>
      </c>
      <c r="K414" s="5" t="str">
        <f ca="1">IFERROR(__xludf.DUMMYFUNCTION("""COMPUTED_VALUE"""),"Yes")</f>
        <v>Yes</v>
      </c>
      <c r="L414" s="5" t="str">
        <f ca="1">IFERROR(__xludf.DUMMYFUNCTION("""COMPUTED_VALUE"""),"Yes")</f>
        <v>Yes</v>
      </c>
      <c r="M414" s="5" t="str">
        <f ca="1">IFERROR(__xludf.DUMMYFUNCTION("""COMPUTED_VALUE"""),"Yes")</f>
        <v>Yes</v>
      </c>
      <c r="N414" s="5" t="str">
        <f ca="1">IFERROR(__xludf.DUMMYFUNCTION("""COMPUTED_VALUE"""),"Yes")</f>
        <v>Yes</v>
      </c>
      <c r="O414" s="5" t="str">
        <f ca="1">IFERROR(__xludf.DUMMYFUNCTION("""COMPUTED_VALUE"""),"Yes")</f>
        <v>Yes</v>
      </c>
      <c r="P414" s="5" t="str">
        <f ca="1">IFERROR(__xludf.DUMMYFUNCTION("""COMPUTED_VALUE"""),"Yes")</f>
        <v>Yes</v>
      </c>
      <c r="Q414" s="5" t="str">
        <f ca="1">IFERROR(__xludf.DUMMYFUNCTION("""COMPUTED_VALUE"""),"Yes")</f>
        <v>Yes</v>
      </c>
      <c r="R414" s="5" t="str">
        <f ca="1">IFERROR(__xludf.DUMMYFUNCTION("""COMPUTED_VALUE"""),"Yes")</f>
        <v>Yes</v>
      </c>
      <c r="S414" s="5" t="str">
        <f ca="1">IFERROR(__xludf.DUMMYFUNCTION("""COMPUTED_VALUE"""),"Yes")</f>
        <v>Yes</v>
      </c>
      <c r="T414" s="5" t="str">
        <f ca="1">IFERROR(__xludf.DUMMYFUNCTION("""COMPUTED_VALUE"""),"No")</f>
        <v>No</v>
      </c>
      <c r="U414" s="5" t="str">
        <f ca="1">IFERROR(__xludf.DUMMYFUNCTION("""COMPUTED_VALUE"""),"No")</f>
        <v>No</v>
      </c>
      <c r="V414" s="5" t="str">
        <f ca="1">IFERROR(__xludf.DUMMYFUNCTION("""COMPUTED_VALUE"""),"No")</f>
        <v>No</v>
      </c>
      <c r="W414" s="5" t="str">
        <f ca="1">IFERROR(__xludf.DUMMYFUNCTION("""COMPUTED_VALUE"""),"No")</f>
        <v>No</v>
      </c>
      <c r="X414" s="5" t="str">
        <f ca="1">IFERROR(__xludf.DUMMYFUNCTION("""COMPUTED_VALUE"""),"No")</f>
        <v>No</v>
      </c>
      <c r="Y414" s="5" t="str">
        <f ca="1">IFERROR(__xludf.DUMMYFUNCTION("""COMPUTED_VALUE"""),"No")</f>
        <v>No</v>
      </c>
      <c r="Z414" s="5" t="str">
        <f ca="1">IFERROR(__xludf.DUMMYFUNCTION("""COMPUTED_VALUE"""),"No")</f>
        <v>No</v>
      </c>
      <c r="AA414" s="5" t="str">
        <f ca="1">IFERROR(__xludf.DUMMYFUNCTION("""COMPUTED_VALUE"""),"Yes")</f>
        <v>Yes</v>
      </c>
      <c r="AB414" s="5" t="str">
        <f ca="1">IFERROR(__xludf.DUMMYFUNCTION("""COMPUTED_VALUE"""),"No")</f>
        <v>No</v>
      </c>
      <c r="AC414" s="5" t="str">
        <f ca="1">IFERROR(__xludf.DUMMYFUNCTION("""COMPUTED_VALUE"""),"No")</f>
        <v>No</v>
      </c>
      <c r="AD414" s="5" t="str">
        <f ca="1">IFERROR(__xludf.DUMMYFUNCTION("""COMPUTED_VALUE"""),"No")</f>
        <v>No</v>
      </c>
      <c r="AE414" s="5" t="str">
        <f ca="1">IFERROR(__xludf.DUMMYFUNCTION("""COMPUTED_VALUE"""),"No")</f>
        <v>No</v>
      </c>
      <c r="AF414" s="5" t="str">
        <f ca="1">IFERROR(__xludf.DUMMYFUNCTION("""COMPUTED_VALUE"""),"Yes")</f>
        <v>Yes</v>
      </c>
      <c r="AG414" s="5" t="str">
        <f ca="1">IFERROR(__xludf.DUMMYFUNCTION("""COMPUTED_VALUE"""),"No")</f>
        <v>No</v>
      </c>
      <c r="AH414" s="5" t="str">
        <f ca="1">IFERROR(__xludf.DUMMYFUNCTION("""COMPUTED_VALUE"""),"Yes")</f>
        <v>Yes</v>
      </c>
      <c r="AI414" s="5" t="str">
        <f ca="1">IFERROR(__xludf.DUMMYFUNCTION("""COMPUTED_VALUE"""),"No")</f>
        <v>No</v>
      </c>
      <c r="AJ414" s="5" t="str">
        <f ca="1">IFERROR(__xludf.DUMMYFUNCTION("""COMPUTED_VALUE"""),"No")</f>
        <v>No</v>
      </c>
      <c r="AK414" s="5" t="str">
        <f ca="1">IFERROR(__xludf.DUMMYFUNCTION("""COMPUTED_VALUE"""),"No")</f>
        <v>No</v>
      </c>
      <c r="AL414" s="5" t="str">
        <f ca="1">IFERROR(__xludf.DUMMYFUNCTION("""COMPUTED_VALUE"""),"No")</f>
        <v>No</v>
      </c>
      <c r="AM414" s="5"/>
      <c r="AN414" s="5"/>
      <c r="AO414" s="5"/>
      <c r="AP414" s="5"/>
      <c r="AQ414" s="5"/>
      <c r="AR414" s="5"/>
      <c r="AS414" s="5"/>
      <c r="AT414" s="5"/>
      <c r="AU414" s="5"/>
      <c r="AV414" s="5"/>
      <c r="AW414" s="5"/>
      <c r="AX414" s="5"/>
      <c r="AY414" s="5"/>
    </row>
    <row r="415" spans="1:51" x14ac:dyDescent="0.25">
      <c r="A4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5" s="5">
        <f ca="1">IFERROR(__xludf.DUMMYFUNCTION("""COMPUTED_VALUE"""),427)</f>
        <v>427</v>
      </c>
      <c r="C415" s="5">
        <f ca="1">IFERROR(__xludf.DUMMYFUNCTION("""COMPUTED_VALUE"""),394)</f>
        <v>394</v>
      </c>
      <c r="D415" s="5" t="str">
        <f ca="1">IFERROR(__xludf.DUMMYFUNCTION("""COMPUTED_VALUE"""),"UnicornSimplySevensDiceEaster")</f>
        <v>UnicornSimplySevensDiceEaster</v>
      </c>
      <c r="E415" s="5" t="str">
        <f ca="1">IFERROR(__xludf.DUMMYFUNCTION("""COMPUTED_VALUE"""),"Yes")</f>
        <v>Yes</v>
      </c>
      <c r="F415" s="5" t="str">
        <f ca="1">IFERROR(__xludf.DUMMYFUNCTION("""COMPUTED_VALUE"""),"Yes")</f>
        <v>Yes</v>
      </c>
      <c r="G415" s="5" t="str">
        <f ca="1">IFERROR(__xludf.DUMMYFUNCTION("""COMPUTED_VALUE"""),"Yes")</f>
        <v>Yes</v>
      </c>
      <c r="H415" s="5" t="str">
        <f ca="1">IFERROR(__xludf.DUMMYFUNCTION("""COMPUTED_VALUE"""),"Yes")</f>
        <v>Yes</v>
      </c>
      <c r="I415" s="5" t="str">
        <f ca="1">IFERROR(__xludf.DUMMYFUNCTION("""COMPUTED_VALUE"""),"Yes")</f>
        <v>Yes</v>
      </c>
      <c r="J415" s="5" t="str">
        <f ca="1">IFERROR(__xludf.DUMMYFUNCTION("""COMPUTED_VALUE"""),"Yes")</f>
        <v>Yes</v>
      </c>
      <c r="K415" s="5" t="str">
        <f ca="1">IFERROR(__xludf.DUMMYFUNCTION("""COMPUTED_VALUE"""),"Yes")</f>
        <v>Yes</v>
      </c>
      <c r="L415" s="5" t="str">
        <f ca="1">IFERROR(__xludf.DUMMYFUNCTION("""COMPUTED_VALUE"""),"Yes")</f>
        <v>Yes</v>
      </c>
      <c r="M415" s="5" t="str">
        <f ca="1">IFERROR(__xludf.DUMMYFUNCTION("""COMPUTED_VALUE"""),"Yes")</f>
        <v>Yes</v>
      </c>
      <c r="N415" s="5" t="str">
        <f ca="1">IFERROR(__xludf.DUMMYFUNCTION("""COMPUTED_VALUE"""),"Yes")</f>
        <v>Yes</v>
      </c>
      <c r="O415" s="5" t="str">
        <f ca="1">IFERROR(__xludf.DUMMYFUNCTION("""COMPUTED_VALUE"""),"Yes")</f>
        <v>Yes</v>
      </c>
      <c r="P415" s="5" t="str">
        <f ca="1">IFERROR(__xludf.DUMMYFUNCTION("""COMPUTED_VALUE"""),"Yes")</f>
        <v>Yes</v>
      </c>
      <c r="Q415" s="5" t="str">
        <f ca="1">IFERROR(__xludf.DUMMYFUNCTION("""COMPUTED_VALUE"""),"Yes")</f>
        <v>Yes</v>
      </c>
      <c r="R415" s="5" t="str">
        <f ca="1">IFERROR(__xludf.DUMMYFUNCTION("""COMPUTED_VALUE"""),"Yes")</f>
        <v>Yes</v>
      </c>
      <c r="S415" s="5" t="str">
        <f ca="1">IFERROR(__xludf.DUMMYFUNCTION("""COMPUTED_VALUE"""),"Yes")</f>
        <v>Yes</v>
      </c>
      <c r="T415" s="5" t="str">
        <f ca="1">IFERROR(__xludf.DUMMYFUNCTION("""COMPUTED_VALUE"""),"Yes")</f>
        <v>Yes</v>
      </c>
      <c r="U415" s="5" t="str">
        <f ca="1">IFERROR(__xludf.DUMMYFUNCTION("""COMPUTED_VALUE"""),"Yes")</f>
        <v>Yes</v>
      </c>
      <c r="V415" s="5" t="str">
        <f ca="1">IFERROR(__xludf.DUMMYFUNCTION("""COMPUTED_VALUE"""),"Yes")</f>
        <v>Yes</v>
      </c>
      <c r="W415" s="5" t="str">
        <f ca="1">IFERROR(__xludf.DUMMYFUNCTION("""COMPUTED_VALUE"""),"Yes")</f>
        <v>Yes</v>
      </c>
      <c r="X415" s="5"/>
      <c r="Y415" s="5"/>
      <c r="Z415" s="5"/>
      <c r="AA415" s="5"/>
      <c r="AB415" s="5"/>
      <c r="AC415" s="5" t="str">
        <f ca="1">IFERROR(__xludf.DUMMYFUNCTION("""COMPUTED_VALUE"""),"Yes")</f>
        <v>Yes</v>
      </c>
      <c r="AD415" s="5"/>
      <c r="AE415" s="5"/>
      <c r="AF415" s="5"/>
      <c r="AG415" s="5"/>
      <c r="AH415" s="5"/>
      <c r="AI415" s="5"/>
      <c r="AJ415" s="5"/>
      <c r="AK415" s="5"/>
      <c r="AL415" s="5"/>
      <c r="AM415" s="5"/>
      <c r="AN415" s="5"/>
      <c r="AO415" s="5"/>
      <c r="AP415" s="5"/>
      <c r="AQ415" s="5"/>
      <c r="AR415" s="5"/>
      <c r="AS415" s="5"/>
      <c r="AT415" s="5"/>
      <c r="AU415" s="5"/>
      <c r="AV415" s="5"/>
      <c r="AW415" s="5"/>
      <c r="AX415" s="5"/>
      <c r="AY415" s="5"/>
    </row>
    <row r="416" spans="1:51" x14ac:dyDescent="0.25">
      <c r="A41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6" s="5">
        <f ca="1">IFERROR(__xludf.DUMMYFUNCTION("""COMPUTED_VALUE"""),428)</f>
        <v>428</v>
      </c>
      <c r="C416" s="5">
        <f ca="1">IFERROR(__xludf.DUMMYFUNCTION("""COMPUTED_VALUE"""),180007)</f>
        <v>180007</v>
      </c>
      <c r="D416" s="5" t="str">
        <f ca="1">IFERROR(__xludf.DUMMYFUNCTION("""COMPUTED_VALUE"""),"RedstoneMultiClover10")</f>
        <v>RedstoneMultiClover10</v>
      </c>
      <c r="E416" s="5" t="str">
        <f ca="1">IFERROR(__xludf.DUMMYFUNCTION("""COMPUTED_VALUE"""),"Yes")</f>
        <v>Yes</v>
      </c>
      <c r="F416" s="5" t="str">
        <f ca="1">IFERROR(__xludf.DUMMYFUNCTION("""COMPUTED_VALUE"""),"Yes")</f>
        <v>Yes</v>
      </c>
      <c r="G416" s="5" t="str">
        <f ca="1">IFERROR(__xludf.DUMMYFUNCTION("""COMPUTED_VALUE"""),"Yes")</f>
        <v>Yes</v>
      </c>
      <c r="H416" s="5" t="str">
        <f ca="1">IFERROR(__xludf.DUMMYFUNCTION("""COMPUTED_VALUE"""),"No")</f>
        <v>No</v>
      </c>
      <c r="I416" s="5" t="str">
        <f ca="1">IFERROR(__xludf.DUMMYFUNCTION("""COMPUTED_VALUE"""),"No")</f>
        <v>No</v>
      </c>
      <c r="J416" s="5" t="str">
        <f ca="1">IFERROR(__xludf.DUMMYFUNCTION("""COMPUTED_VALUE"""),"No")</f>
        <v>No</v>
      </c>
      <c r="K416" s="5" t="str">
        <f ca="1">IFERROR(__xludf.DUMMYFUNCTION("""COMPUTED_VALUE"""),"No")</f>
        <v>No</v>
      </c>
      <c r="L416" s="5" t="str">
        <f ca="1">IFERROR(__xludf.DUMMYFUNCTION("""COMPUTED_VALUE"""),"No")</f>
        <v>No</v>
      </c>
      <c r="M416" s="5" t="str">
        <f ca="1">IFERROR(__xludf.DUMMYFUNCTION("""COMPUTED_VALUE"""),"Yes")</f>
        <v>Yes</v>
      </c>
      <c r="N416" s="5" t="str">
        <f ca="1">IFERROR(__xludf.DUMMYFUNCTION("""COMPUTED_VALUE"""),"Yes")</f>
        <v>Yes</v>
      </c>
      <c r="O416" s="5" t="str">
        <f ca="1">IFERROR(__xludf.DUMMYFUNCTION("""COMPUTED_VALUE"""),"Yes")</f>
        <v>Yes</v>
      </c>
      <c r="P416" s="5" t="str">
        <f ca="1">IFERROR(__xludf.DUMMYFUNCTION("""COMPUTED_VALUE"""),"Yes")</f>
        <v>Yes</v>
      </c>
      <c r="Q416" s="5" t="str">
        <f ca="1">IFERROR(__xludf.DUMMYFUNCTION("""COMPUTED_VALUE"""),"Yes")</f>
        <v>Yes</v>
      </c>
      <c r="R416" s="5" t="str">
        <f ca="1">IFERROR(__xludf.DUMMYFUNCTION("""COMPUTED_VALUE"""),"No")</f>
        <v>No</v>
      </c>
      <c r="S416" s="5" t="str">
        <f ca="1">IFERROR(__xludf.DUMMYFUNCTION("""COMPUTED_VALUE"""),"Yes")</f>
        <v>Yes</v>
      </c>
      <c r="T416" s="5" t="str">
        <f ca="1">IFERROR(__xludf.DUMMYFUNCTION("""COMPUTED_VALUE"""),"No")</f>
        <v>No</v>
      </c>
      <c r="U416" s="5" t="str">
        <f ca="1">IFERROR(__xludf.DUMMYFUNCTION("""COMPUTED_VALUE"""),"No")</f>
        <v>No</v>
      </c>
      <c r="V416" s="5" t="str">
        <f ca="1">IFERROR(__xludf.DUMMYFUNCTION("""COMPUTED_VALUE"""),"No")</f>
        <v>No</v>
      </c>
      <c r="W416" s="5" t="str">
        <f ca="1">IFERROR(__xludf.DUMMYFUNCTION("""COMPUTED_VALUE"""),"No")</f>
        <v>No</v>
      </c>
      <c r="X416" s="5"/>
      <c r="Y416" s="5"/>
      <c r="Z416" s="5"/>
      <c r="AA416" s="5" t="str">
        <f ca="1">IFERROR(__xludf.DUMMYFUNCTION("""COMPUTED_VALUE"""),"Yes")</f>
        <v>Yes</v>
      </c>
      <c r="AB416" s="5"/>
      <c r="AC416" s="5" t="str">
        <f ca="1">IFERROR(__xludf.DUMMYFUNCTION("""COMPUTED_VALUE"""),"No")</f>
        <v>No</v>
      </c>
      <c r="AD416" s="5"/>
      <c r="AE416" s="5"/>
      <c r="AF416" s="5" t="str">
        <f ca="1">IFERROR(__xludf.DUMMYFUNCTION("""COMPUTED_VALUE"""),"Yes")</f>
        <v>Yes</v>
      </c>
      <c r="AG416" s="5"/>
      <c r="AH416" s="5"/>
      <c r="AI416" s="5"/>
      <c r="AJ416" s="5"/>
      <c r="AK416" s="5"/>
      <c r="AL416" s="5" t="str">
        <f ca="1">IFERROR(__xludf.DUMMYFUNCTION("""COMPUTED_VALUE"""),"Yes")</f>
        <v>Yes</v>
      </c>
      <c r="AM416" s="5"/>
      <c r="AN416" s="5"/>
      <c r="AO416" s="5"/>
      <c r="AP416" s="5"/>
      <c r="AQ416" s="5"/>
      <c r="AR416" s="5"/>
      <c r="AS416" s="5"/>
      <c r="AT416" s="5"/>
      <c r="AU416" s="5"/>
      <c r="AV416" s="5"/>
      <c r="AW416" s="5"/>
      <c r="AX416" s="5"/>
      <c r="AY416" s="5"/>
    </row>
    <row r="417" spans="1:51" x14ac:dyDescent="0.25">
      <c r="A417"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7" s="5">
        <f ca="1">IFERROR(__xludf.DUMMYFUNCTION("""COMPUTED_VALUE"""),429)</f>
        <v>429</v>
      </c>
      <c r="C417" s="5">
        <f ca="1">IFERROR(__xludf.DUMMYFUNCTION("""COMPUTED_VALUE"""),180008)</f>
        <v>180008</v>
      </c>
      <c r="D417" s="5" t="str">
        <f ca="1">IFERROR(__xludf.DUMMYFUNCTION("""COMPUTED_VALUE"""),"RedstoneReelX5")</f>
        <v>RedstoneReelX5</v>
      </c>
      <c r="E417" s="5" t="str">
        <f ca="1">IFERROR(__xludf.DUMMYFUNCTION("""COMPUTED_VALUE"""),"Yes")</f>
        <v>Yes</v>
      </c>
      <c r="F417" s="5" t="str">
        <f ca="1">IFERROR(__xludf.DUMMYFUNCTION("""COMPUTED_VALUE"""),"Yes")</f>
        <v>Yes</v>
      </c>
      <c r="G417" s="5" t="str">
        <f ca="1">IFERROR(__xludf.DUMMYFUNCTION("""COMPUTED_VALUE"""),"No")</f>
        <v>No</v>
      </c>
      <c r="H417" s="5" t="str">
        <f ca="1">IFERROR(__xludf.DUMMYFUNCTION("""COMPUTED_VALUE"""),"Yes")</f>
        <v>Yes</v>
      </c>
      <c r="I417" s="5" t="str">
        <f ca="1">IFERROR(__xludf.DUMMYFUNCTION("""COMPUTED_VALUE"""),"Yes")</f>
        <v>Yes</v>
      </c>
      <c r="J417" s="5" t="str">
        <f ca="1">IFERROR(__xludf.DUMMYFUNCTION("""COMPUTED_VALUE"""),"Yes")</f>
        <v>Yes</v>
      </c>
      <c r="K417" s="5" t="str">
        <f ca="1">IFERROR(__xludf.DUMMYFUNCTION("""COMPUTED_VALUE"""),"Yes")</f>
        <v>Yes</v>
      </c>
      <c r="L417" s="5" t="str">
        <f ca="1">IFERROR(__xludf.DUMMYFUNCTION("""COMPUTED_VALUE"""),"Yes")</f>
        <v>Yes</v>
      </c>
      <c r="M417" s="5" t="str">
        <f ca="1">IFERROR(__xludf.DUMMYFUNCTION("""COMPUTED_VALUE"""),"Yes")</f>
        <v>Yes</v>
      </c>
      <c r="N417" s="5" t="str">
        <f ca="1">IFERROR(__xludf.DUMMYFUNCTION("""COMPUTED_VALUE"""),"Yes")</f>
        <v>Yes</v>
      </c>
      <c r="O417" s="5" t="str">
        <f ca="1">IFERROR(__xludf.DUMMYFUNCTION("""COMPUTED_VALUE"""),"Yes")</f>
        <v>Yes</v>
      </c>
      <c r="P417" s="5" t="str">
        <f ca="1">IFERROR(__xludf.DUMMYFUNCTION("""COMPUTED_VALUE"""),"Yes")</f>
        <v>Yes</v>
      </c>
      <c r="Q417" s="5" t="str">
        <f ca="1">IFERROR(__xludf.DUMMYFUNCTION("""COMPUTED_VALUE"""),"Yes")</f>
        <v>Yes</v>
      </c>
      <c r="R417" s="5" t="str">
        <f ca="1">IFERROR(__xludf.DUMMYFUNCTION("""COMPUTED_VALUE"""),"Yes")</f>
        <v>Yes</v>
      </c>
      <c r="S417" s="5" t="str">
        <f ca="1">IFERROR(__xludf.DUMMYFUNCTION("""COMPUTED_VALUE"""),"Yes")</f>
        <v>Yes</v>
      </c>
      <c r="T417" s="5" t="str">
        <f ca="1">IFERROR(__xludf.DUMMYFUNCTION("""COMPUTED_VALUE"""),"No")</f>
        <v>No</v>
      </c>
      <c r="U417" s="5" t="str">
        <f ca="1">IFERROR(__xludf.DUMMYFUNCTION("""COMPUTED_VALUE"""),"No")</f>
        <v>No</v>
      </c>
      <c r="V417" s="5" t="str">
        <f ca="1">IFERROR(__xludf.DUMMYFUNCTION("""COMPUTED_VALUE"""),"No")</f>
        <v>No</v>
      </c>
      <c r="W417" s="5" t="str">
        <f ca="1">IFERROR(__xludf.DUMMYFUNCTION("""COMPUTED_VALUE"""),"No")</f>
        <v>No</v>
      </c>
      <c r="X417" s="5" t="str">
        <f ca="1">IFERROR(__xludf.DUMMYFUNCTION("""COMPUTED_VALUE"""),"No")</f>
        <v>No</v>
      </c>
      <c r="Y417" s="5" t="str">
        <f ca="1">IFERROR(__xludf.DUMMYFUNCTION("""COMPUTED_VALUE"""),"No")</f>
        <v>No</v>
      </c>
      <c r="Z417" s="5" t="str">
        <f ca="1">IFERROR(__xludf.DUMMYFUNCTION("""COMPUTED_VALUE"""),"No")</f>
        <v>No</v>
      </c>
      <c r="AA417" s="5" t="str">
        <f ca="1">IFERROR(__xludf.DUMMYFUNCTION("""COMPUTED_VALUE"""),"Yes")</f>
        <v>Yes</v>
      </c>
      <c r="AB417" s="5" t="str">
        <f ca="1">IFERROR(__xludf.DUMMYFUNCTION("""COMPUTED_VALUE"""),"No")</f>
        <v>No</v>
      </c>
      <c r="AC417" s="5" t="str">
        <f ca="1">IFERROR(__xludf.DUMMYFUNCTION("""COMPUTED_VALUE"""),"No")</f>
        <v>No</v>
      </c>
      <c r="AD417" s="5" t="str">
        <f ca="1">IFERROR(__xludf.DUMMYFUNCTION("""COMPUTED_VALUE"""),"No")</f>
        <v>No</v>
      </c>
      <c r="AE417" s="5" t="str">
        <f ca="1">IFERROR(__xludf.DUMMYFUNCTION("""COMPUTED_VALUE"""),"No")</f>
        <v>No</v>
      </c>
      <c r="AF417" s="5" t="str">
        <f ca="1">IFERROR(__xludf.DUMMYFUNCTION("""COMPUTED_VALUE"""),"Yes")</f>
        <v>Yes</v>
      </c>
      <c r="AG417" s="5" t="str">
        <f ca="1">IFERROR(__xludf.DUMMYFUNCTION("""COMPUTED_VALUE"""),"No")</f>
        <v>No</v>
      </c>
      <c r="AH417" s="5" t="str">
        <f ca="1">IFERROR(__xludf.DUMMYFUNCTION("""COMPUTED_VALUE"""),"Yes")</f>
        <v>Yes</v>
      </c>
      <c r="AI417" s="5" t="str">
        <f ca="1">IFERROR(__xludf.DUMMYFUNCTION("""COMPUTED_VALUE"""),"No")</f>
        <v>No</v>
      </c>
      <c r="AJ417" s="5" t="str">
        <f ca="1">IFERROR(__xludf.DUMMYFUNCTION("""COMPUTED_VALUE"""),"No")</f>
        <v>No</v>
      </c>
      <c r="AK417" s="5" t="str">
        <f ca="1">IFERROR(__xludf.DUMMYFUNCTION("""COMPUTED_VALUE"""),"No")</f>
        <v>No</v>
      </c>
      <c r="AL417" s="5" t="str">
        <f ca="1">IFERROR(__xludf.DUMMYFUNCTION("""COMPUTED_VALUE"""),"No")</f>
        <v>No</v>
      </c>
      <c r="AM417" s="5"/>
      <c r="AN417" s="5"/>
      <c r="AO417" s="5"/>
      <c r="AP417" s="5"/>
      <c r="AQ417" s="5"/>
      <c r="AR417" s="5"/>
      <c r="AS417" s="5"/>
      <c r="AT417" s="5"/>
      <c r="AU417" s="5"/>
      <c r="AV417" s="5"/>
      <c r="AW417" s="5"/>
      <c r="AX417" s="5"/>
      <c r="AY417" s="5"/>
    </row>
    <row r="418" spans="1:51" x14ac:dyDescent="0.25">
      <c r="A41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8" s="5">
        <f ca="1">IFERROR(__xludf.DUMMYFUNCTION("""COMPUTED_VALUE"""),430)</f>
        <v>430</v>
      </c>
      <c r="C418" s="5">
        <f ca="1">IFERROR(__xludf.DUMMYFUNCTION("""COMPUTED_VALUE"""),397)</f>
        <v>397</v>
      </c>
      <c r="D418" s="5" t="str">
        <f ca="1">IFERROR(__xludf.DUMMYFUNCTION("""COMPUTED_VALUE"""),"UnicornFruitIslandGems")</f>
        <v>UnicornFruitIslandGems</v>
      </c>
      <c r="E418" s="5" t="str">
        <f ca="1">IFERROR(__xludf.DUMMYFUNCTION("""COMPUTED_VALUE"""),"Yes")</f>
        <v>Yes</v>
      </c>
      <c r="F418" s="5" t="str">
        <f ca="1">IFERROR(__xludf.DUMMYFUNCTION("""COMPUTED_VALUE"""),"Yes")</f>
        <v>Yes</v>
      </c>
      <c r="G418" s="5" t="str">
        <f ca="1">IFERROR(__xludf.DUMMYFUNCTION("""COMPUTED_VALUE"""),"No")</f>
        <v>No</v>
      </c>
      <c r="H418" s="5" t="str">
        <f ca="1">IFERROR(__xludf.DUMMYFUNCTION("""COMPUTED_VALUE"""),"Yes")</f>
        <v>Yes</v>
      </c>
      <c r="I418" s="5" t="str">
        <f ca="1">IFERROR(__xludf.DUMMYFUNCTION("""COMPUTED_VALUE"""),"Yes")</f>
        <v>Yes</v>
      </c>
      <c r="J418" s="5" t="str">
        <f ca="1">IFERROR(__xludf.DUMMYFUNCTION("""COMPUTED_VALUE"""),"Yes")</f>
        <v>Yes</v>
      </c>
      <c r="K418" s="5" t="str">
        <f ca="1">IFERROR(__xludf.DUMMYFUNCTION("""COMPUTED_VALUE"""),"Yes")</f>
        <v>Yes</v>
      </c>
      <c r="L418" s="5" t="str">
        <f ca="1">IFERROR(__xludf.DUMMYFUNCTION("""COMPUTED_VALUE"""),"Yes")</f>
        <v>Yes</v>
      </c>
      <c r="M418" s="5" t="str">
        <f ca="1">IFERROR(__xludf.DUMMYFUNCTION("""COMPUTED_VALUE"""),"Yes")</f>
        <v>Yes</v>
      </c>
      <c r="N418" s="5" t="str">
        <f ca="1">IFERROR(__xludf.DUMMYFUNCTION("""COMPUTED_VALUE"""),"Yes")</f>
        <v>Yes</v>
      </c>
      <c r="O418" s="5" t="str">
        <f ca="1">IFERROR(__xludf.DUMMYFUNCTION("""COMPUTED_VALUE"""),"Yes")</f>
        <v>Yes</v>
      </c>
      <c r="P418" s="5" t="str">
        <f ca="1">IFERROR(__xludf.DUMMYFUNCTION("""COMPUTED_VALUE"""),"Yes")</f>
        <v>Yes</v>
      </c>
      <c r="Q418" s="5" t="str">
        <f ca="1">IFERROR(__xludf.DUMMYFUNCTION("""COMPUTED_VALUE"""),"Yes")</f>
        <v>Yes</v>
      </c>
      <c r="R418" s="5" t="str">
        <f ca="1">IFERROR(__xludf.DUMMYFUNCTION("""COMPUTED_VALUE"""),"Yes")</f>
        <v>Yes</v>
      </c>
      <c r="S418" s="5" t="str">
        <f ca="1">IFERROR(__xludf.DUMMYFUNCTION("""COMPUTED_VALUE"""),"Yes")</f>
        <v>Yes</v>
      </c>
      <c r="T418" s="5" t="str">
        <f ca="1">IFERROR(__xludf.DUMMYFUNCTION("""COMPUTED_VALUE"""),"No")</f>
        <v>No</v>
      </c>
      <c r="U418" s="5" t="str">
        <f ca="1">IFERROR(__xludf.DUMMYFUNCTION("""COMPUTED_VALUE"""),"No")</f>
        <v>No</v>
      </c>
      <c r="V418" s="5" t="str">
        <f ca="1">IFERROR(__xludf.DUMMYFUNCTION("""COMPUTED_VALUE"""),"No")</f>
        <v>No</v>
      </c>
      <c r="W418" s="5" t="str">
        <f ca="1">IFERROR(__xludf.DUMMYFUNCTION("""COMPUTED_VALUE"""),"No")</f>
        <v>No</v>
      </c>
      <c r="X418" s="5" t="str">
        <f ca="1">IFERROR(__xludf.DUMMYFUNCTION("""COMPUTED_VALUE"""),"No")</f>
        <v>No</v>
      </c>
      <c r="Y418" s="5" t="str">
        <f ca="1">IFERROR(__xludf.DUMMYFUNCTION("""COMPUTED_VALUE"""),"No")</f>
        <v>No</v>
      </c>
      <c r="Z418" s="5" t="str">
        <f ca="1">IFERROR(__xludf.DUMMYFUNCTION("""COMPUTED_VALUE"""),"No")</f>
        <v>No</v>
      </c>
      <c r="AA418" s="5" t="str">
        <f ca="1">IFERROR(__xludf.DUMMYFUNCTION("""COMPUTED_VALUE"""),"Yes")</f>
        <v>Yes</v>
      </c>
      <c r="AB418" s="5" t="str">
        <f ca="1">IFERROR(__xludf.DUMMYFUNCTION("""COMPUTED_VALUE"""),"No")</f>
        <v>No</v>
      </c>
      <c r="AC418" s="5" t="str">
        <f ca="1">IFERROR(__xludf.DUMMYFUNCTION("""COMPUTED_VALUE"""),"No")</f>
        <v>No</v>
      </c>
      <c r="AD418" s="5" t="str">
        <f ca="1">IFERROR(__xludf.DUMMYFUNCTION("""COMPUTED_VALUE"""),"No")</f>
        <v>No</v>
      </c>
      <c r="AE418" s="5" t="str">
        <f ca="1">IFERROR(__xludf.DUMMYFUNCTION("""COMPUTED_VALUE"""),"No")</f>
        <v>No</v>
      </c>
      <c r="AF418" s="5" t="str">
        <f ca="1">IFERROR(__xludf.DUMMYFUNCTION("""COMPUTED_VALUE"""),"Yes")</f>
        <v>Yes</v>
      </c>
      <c r="AG418" s="5" t="str">
        <f ca="1">IFERROR(__xludf.DUMMYFUNCTION("""COMPUTED_VALUE"""),"No")</f>
        <v>No</v>
      </c>
      <c r="AH418" s="5" t="str">
        <f ca="1">IFERROR(__xludf.DUMMYFUNCTION("""COMPUTED_VALUE"""),"Yes")</f>
        <v>Yes</v>
      </c>
      <c r="AI418" s="5" t="str">
        <f ca="1">IFERROR(__xludf.DUMMYFUNCTION("""COMPUTED_VALUE"""),"No")</f>
        <v>No</v>
      </c>
      <c r="AJ418" s="5" t="str">
        <f ca="1">IFERROR(__xludf.DUMMYFUNCTION("""COMPUTED_VALUE"""),"No")</f>
        <v>No</v>
      </c>
      <c r="AK418" s="5" t="str">
        <f ca="1">IFERROR(__xludf.DUMMYFUNCTION("""COMPUTED_VALUE"""),"No")</f>
        <v>No</v>
      </c>
      <c r="AL418" s="5" t="str">
        <f ca="1">IFERROR(__xludf.DUMMYFUNCTION("""COMPUTED_VALUE"""),"No")</f>
        <v>No</v>
      </c>
      <c r="AM418" s="5"/>
      <c r="AN418" s="5"/>
      <c r="AO418" s="5"/>
      <c r="AP418" s="5"/>
      <c r="AQ418" s="5"/>
      <c r="AR418" s="5"/>
      <c r="AS418" s="5"/>
      <c r="AT418" s="5"/>
      <c r="AU418" s="5"/>
      <c r="AV418" s="5"/>
      <c r="AW418" s="5"/>
      <c r="AX418" s="5"/>
      <c r="AY418" s="5"/>
    </row>
    <row r="419" spans="1:51" x14ac:dyDescent="0.25">
      <c r="A4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9" s="5">
        <f ca="1">IFERROR(__xludf.DUMMYFUNCTION("""COMPUTED_VALUE"""),431)</f>
        <v>431</v>
      </c>
      <c r="C419" s="5">
        <f ca="1">IFERROR(__xludf.DUMMYFUNCTION("""COMPUTED_VALUE"""),398)</f>
        <v>398</v>
      </c>
      <c r="D419" s="5" t="str">
        <f ca="1">IFERROR(__xludf.DUMMYFUNCTION("""COMPUTED_VALUE"""),"UnicornBunnyDice")</f>
        <v>UnicornBunnyDice</v>
      </c>
      <c r="E419" s="5" t="str">
        <f ca="1">IFERROR(__xludf.DUMMYFUNCTION("""COMPUTED_VALUE"""),"Yes")</f>
        <v>Yes</v>
      </c>
      <c r="F419" s="5" t="str">
        <f ca="1">IFERROR(__xludf.DUMMYFUNCTION("""COMPUTED_VALUE"""),"Yes")</f>
        <v>Yes</v>
      </c>
      <c r="G419" s="5" t="str">
        <f ca="1">IFERROR(__xludf.DUMMYFUNCTION("""COMPUTED_VALUE"""),"Yes")</f>
        <v>Yes</v>
      </c>
      <c r="H419" s="5" t="str">
        <f ca="1">IFERROR(__xludf.DUMMYFUNCTION("""COMPUTED_VALUE"""),"Yes")</f>
        <v>Yes</v>
      </c>
      <c r="I419" s="5" t="str">
        <f ca="1">IFERROR(__xludf.DUMMYFUNCTION("""COMPUTED_VALUE"""),"Yes")</f>
        <v>Yes</v>
      </c>
      <c r="J419" s="5" t="str">
        <f ca="1">IFERROR(__xludf.DUMMYFUNCTION("""COMPUTED_VALUE"""),"Yes")</f>
        <v>Yes</v>
      </c>
      <c r="K419" s="5" t="str">
        <f ca="1">IFERROR(__xludf.DUMMYFUNCTION("""COMPUTED_VALUE"""),"Yes")</f>
        <v>Yes</v>
      </c>
      <c r="L419" s="5" t="str">
        <f ca="1">IFERROR(__xludf.DUMMYFUNCTION("""COMPUTED_VALUE"""),"Yes")</f>
        <v>Yes</v>
      </c>
      <c r="M419" s="5" t="str">
        <f ca="1">IFERROR(__xludf.DUMMYFUNCTION("""COMPUTED_VALUE"""),"Yes")</f>
        <v>Yes</v>
      </c>
      <c r="N419" s="5" t="str">
        <f ca="1">IFERROR(__xludf.DUMMYFUNCTION("""COMPUTED_VALUE"""),"Yes")</f>
        <v>Yes</v>
      </c>
      <c r="O419" s="5" t="str">
        <f ca="1">IFERROR(__xludf.DUMMYFUNCTION("""COMPUTED_VALUE"""),"Yes")</f>
        <v>Yes</v>
      </c>
      <c r="P419" s="5" t="str">
        <f ca="1">IFERROR(__xludf.DUMMYFUNCTION("""COMPUTED_VALUE"""),"Yes")</f>
        <v>Yes</v>
      </c>
      <c r="Q419" s="5" t="str">
        <f ca="1">IFERROR(__xludf.DUMMYFUNCTION("""COMPUTED_VALUE"""),"Yes")</f>
        <v>Yes</v>
      </c>
      <c r="R419" s="5" t="str">
        <f ca="1">IFERROR(__xludf.DUMMYFUNCTION("""COMPUTED_VALUE"""),"Yes")</f>
        <v>Yes</v>
      </c>
      <c r="S419" s="5" t="str">
        <f ca="1">IFERROR(__xludf.DUMMYFUNCTION("""COMPUTED_VALUE"""),"Yes")</f>
        <v>Yes</v>
      </c>
      <c r="T419" s="5" t="str">
        <f ca="1">IFERROR(__xludf.DUMMYFUNCTION("""COMPUTED_VALUE"""),"Yes")</f>
        <v>Yes</v>
      </c>
      <c r="U419" s="5" t="str">
        <f ca="1">IFERROR(__xludf.DUMMYFUNCTION("""COMPUTED_VALUE"""),"Yes")</f>
        <v>Yes</v>
      </c>
      <c r="V419" s="5" t="str">
        <f ca="1">IFERROR(__xludf.DUMMYFUNCTION("""COMPUTED_VALUE"""),"Yes")</f>
        <v>Yes</v>
      </c>
      <c r="W419" s="5" t="str">
        <f ca="1">IFERROR(__xludf.DUMMYFUNCTION("""COMPUTED_VALUE"""),"Yes")</f>
        <v>Yes</v>
      </c>
      <c r="X419" s="5"/>
      <c r="Y419" s="5"/>
      <c r="Z419" s="5"/>
      <c r="AA419" s="5"/>
      <c r="AB419" s="5"/>
      <c r="AC419" s="5" t="str">
        <f ca="1">IFERROR(__xludf.DUMMYFUNCTION("""COMPUTED_VALUE"""),"Yes")</f>
        <v>Yes</v>
      </c>
      <c r="AD419" s="5"/>
      <c r="AE419" s="5"/>
      <c r="AF419" s="5"/>
      <c r="AG419" s="5"/>
      <c r="AH419" s="5"/>
      <c r="AI419" s="5"/>
      <c r="AJ419" s="5"/>
      <c r="AK419" s="5"/>
      <c r="AL419" s="5"/>
      <c r="AM419" s="5"/>
      <c r="AN419" s="5"/>
      <c r="AO419" s="5"/>
      <c r="AP419" s="5"/>
      <c r="AQ419" s="5"/>
      <c r="AR419" s="5"/>
      <c r="AS419" s="5"/>
      <c r="AT419" s="5"/>
      <c r="AU419" s="5"/>
      <c r="AV419" s="5"/>
      <c r="AW419" s="5"/>
      <c r="AX419" s="5"/>
      <c r="AY419" s="5"/>
    </row>
    <row r="420" spans="1:51" x14ac:dyDescent="0.25">
      <c r="A42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0" s="5">
        <f ca="1">IFERROR(__xludf.DUMMYFUNCTION("""COMPUTED_VALUE"""),432)</f>
        <v>432</v>
      </c>
      <c r="C420" s="5">
        <f ca="1">IFERROR(__xludf.DUMMYFUNCTION("""COMPUTED_VALUE"""),180009)</f>
        <v>180009</v>
      </c>
      <c r="D420" s="5" t="str">
        <f ca="1">IFERROR(__xludf.DUMMYFUNCTION("""COMPUTED_VALUE"""),"RedstoneFarmFiesta")</f>
        <v>RedstoneFarmFiesta</v>
      </c>
      <c r="E420" s="5" t="str">
        <f ca="1">IFERROR(__xludf.DUMMYFUNCTION("""COMPUTED_VALUE"""),"Yes")</f>
        <v>Yes</v>
      </c>
      <c r="F420" s="5" t="str">
        <f ca="1">IFERROR(__xludf.DUMMYFUNCTION("""COMPUTED_VALUE"""),"Yes")</f>
        <v>Yes</v>
      </c>
      <c r="G420" s="5" t="str">
        <f ca="1">IFERROR(__xludf.DUMMYFUNCTION("""COMPUTED_VALUE"""),"Yes")</f>
        <v>Yes</v>
      </c>
      <c r="H420" s="5" t="str">
        <f ca="1">IFERROR(__xludf.DUMMYFUNCTION("""COMPUTED_VALUE"""),"No")</f>
        <v>No</v>
      </c>
      <c r="I420" s="5" t="str">
        <f ca="1">IFERROR(__xludf.DUMMYFUNCTION("""COMPUTED_VALUE"""),"No")</f>
        <v>No</v>
      </c>
      <c r="J420" s="5" t="str">
        <f ca="1">IFERROR(__xludf.DUMMYFUNCTION("""COMPUTED_VALUE"""),"No")</f>
        <v>No</v>
      </c>
      <c r="K420" s="5" t="str">
        <f ca="1">IFERROR(__xludf.DUMMYFUNCTION("""COMPUTED_VALUE"""),"No")</f>
        <v>No</v>
      </c>
      <c r="L420" s="5" t="str">
        <f ca="1">IFERROR(__xludf.DUMMYFUNCTION("""COMPUTED_VALUE"""),"No")</f>
        <v>No</v>
      </c>
      <c r="M420" s="5" t="str">
        <f ca="1">IFERROR(__xludf.DUMMYFUNCTION("""COMPUTED_VALUE"""),"Yes")</f>
        <v>Yes</v>
      </c>
      <c r="N420" s="5" t="str">
        <f ca="1">IFERROR(__xludf.DUMMYFUNCTION("""COMPUTED_VALUE"""),"Yes")</f>
        <v>Yes</v>
      </c>
      <c r="O420" s="5" t="str">
        <f ca="1">IFERROR(__xludf.DUMMYFUNCTION("""COMPUTED_VALUE"""),"Yes")</f>
        <v>Yes</v>
      </c>
      <c r="P420" s="5" t="str">
        <f ca="1">IFERROR(__xludf.DUMMYFUNCTION("""COMPUTED_VALUE"""),"Yes")</f>
        <v>Yes</v>
      </c>
      <c r="Q420" s="5" t="str">
        <f ca="1">IFERROR(__xludf.DUMMYFUNCTION("""COMPUTED_VALUE"""),"Yes")</f>
        <v>Yes</v>
      </c>
      <c r="R420" s="5" t="str">
        <f ca="1">IFERROR(__xludf.DUMMYFUNCTION("""COMPUTED_VALUE"""),"No")</f>
        <v>No</v>
      </c>
      <c r="S420" s="5" t="str">
        <f ca="1">IFERROR(__xludf.DUMMYFUNCTION("""COMPUTED_VALUE"""),"Yes")</f>
        <v>Yes</v>
      </c>
      <c r="T420" s="5" t="str">
        <f ca="1">IFERROR(__xludf.DUMMYFUNCTION("""COMPUTED_VALUE"""),"No")</f>
        <v>No</v>
      </c>
      <c r="U420" s="5" t="str">
        <f ca="1">IFERROR(__xludf.DUMMYFUNCTION("""COMPUTED_VALUE"""),"No")</f>
        <v>No</v>
      </c>
      <c r="V420" s="5" t="str">
        <f ca="1">IFERROR(__xludf.DUMMYFUNCTION("""COMPUTED_VALUE"""),"No")</f>
        <v>No</v>
      </c>
      <c r="W420" s="5" t="str">
        <f ca="1">IFERROR(__xludf.DUMMYFUNCTION("""COMPUTED_VALUE"""),"No")</f>
        <v>No</v>
      </c>
      <c r="X420" s="5"/>
      <c r="Y420" s="5"/>
      <c r="Z420" s="5"/>
      <c r="AA420" s="5" t="str">
        <f ca="1">IFERROR(__xludf.DUMMYFUNCTION("""COMPUTED_VALUE"""),"Yes")</f>
        <v>Yes</v>
      </c>
      <c r="AB420" s="5"/>
      <c r="AC420" s="5" t="str">
        <f ca="1">IFERROR(__xludf.DUMMYFUNCTION("""COMPUTED_VALUE"""),"No")</f>
        <v>No</v>
      </c>
      <c r="AD420" s="5"/>
      <c r="AE420" s="5"/>
      <c r="AF420" s="5" t="str">
        <f ca="1">IFERROR(__xludf.DUMMYFUNCTION("""COMPUTED_VALUE"""),"Yes")</f>
        <v>Yes</v>
      </c>
      <c r="AG420" s="5"/>
      <c r="AH420" s="5"/>
      <c r="AI420" s="5"/>
      <c r="AJ420" s="5"/>
      <c r="AK420" s="5"/>
      <c r="AL420" s="5" t="str">
        <f ca="1">IFERROR(__xludf.DUMMYFUNCTION("""COMPUTED_VALUE"""),"Yes")</f>
        <v>Yes</v>
      </c>
      <c r="AM420" s="5"/>
      <c r="AN420" s="5"/>
      <c r="AO420" s="5"/>
      <c r="AP420" s="5"/>
      <c r="AQ420" s="5"/>
      <c r="AR420" s="5"/>
      <c r="AS420" s="5"/>
      <c r="AT420" s="5"/>
      <c r="AU420" s="5"/>
      <c r="AV420" s="5"/>
      <c r="AW420" s="5"/>
      <c r="AX420" s="5"/>
      <c r="AY420" s="5"/>
    </row>
    <row r="421" spans="1:51" x14ac:dyDescent="0.25">
      <c r="A42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1" s="5">
        <f ca="1">IFERROR(__xludf.DUMMYFUNCTION("""COMPUTED_VALUE"""),433)</f>
        <v>433</v>
      </c>
      <c r="C421" s="5">
        <f ca="1">IFERROR(__xludf.DUMMYFUNCTION("""COMPUTED_VALUE"""),180010)</f>
        <v>180010</v>
      </c>
      <c r="D421" s="5" t="str">
        <f ca="1">IFERROR(__xludf.DUMMYFUNCTION("""COMPUTED_VALUE"""),"RedstoneSweetRespins")</f>
        <v>RedstoneSweetRespins</v>
      </c>
      <c r="E421" s="5" t="str">
        <f ca="1">IFERROR(__xludf.DUMMYFUNCTION("""COMPUTED_VALUE"""),"Yes")</f>
        <v>Yes</v>
      </c>
      <c r="F421" s="5" t="str">
        <f ca="1">IFERROR(__xludf.DUMMYFUNCTION("""COMPUTED_VALUE"""),"Yes")</f>
        <v>Yes</v>
      </c>
      <c r="G421" s="5" t="str">
        <f ca="1">IFERROR(__xludf.DUMMYFUNCTION("""COMPUTED_VALUE"""),"Yes")</f>
        <v>Yes</v>
      </c>
      <c r="H421" s="5" t="str">
        <f ca="1">IFERROR(__xludf.DUMMYFUNCTION("""COMPUTED_VALUE"""),"No")</f>
        <v>No</v>
      </c>
      <c r="I421" s="5" t="str">
        <f ca="1">IFERROR(__xludf.DUMMYFUNCTION("""COMPUTED_VALUE"""),"No")</f>
        <v>No</v>
      </c>
      <c r="J421" s="5" t="str">
        <f ca="1">IFERROR(__xludf.DUMMYFUNCTION("""COMPUTED_VALUE"""),"No")</f>
        <v>No</v>
      </c>
      <c r="K421" s="5" t="str">
        <f ca="1">IFERROR(__xludf.DUMMYFUNCTION("""COMPUTED_VALUE"""),"No")</f>
        <v>No</v>
      </c>
      <c r="L421" s="5" t="str">
        <f ca="1">IFERROR(__xludf.DUMMYFUNCTION("""COMPUTED_VALUE"""),"No")</f>
        <v>No</v>
      </c>
      <c r="M421" s="5" t="str">
        <f ca="1">IFERROR(__xludf.DUMMYFUNCTION("""COMPUTED_VALUE"""),"Yes")</f>
        <v>Yes</v>
      </c>
      <c r="N421" s="5" t="str">
        <f ca="1">IFERROR(__xludf.DUMMYFUNCTION("""COMPUTED_VALUE"""),"Yes")</f>
        <v>Yes</v>
      </c>
      <c r="O421" s="5" t="str">
        <f ca="1">IFERROR(__xludf.DUMMYFUNCTION("""COMPUTED_VALUE"""),"Yes")</f>
        <v>Yes</v>
      </c>
      <c r="P421" s="5" t="str">
        <f ca="1">IFERROR(__xludf.DUMMYFUNCTION("""COMPUTED_VALUE"""),"Yes")</f>
        <v>Yes</v>
      </c>
      <c r="Q421" s="5" t="str">
        <f ca="1">IFERROR(__xludf.DUMMYFUNCTION("""COMPUTED_VALUE"""),"Yes")</f>
        <v>Yes</v>
      </c>
      <c r="R421" s="5" t="str">
        <f ca="1">IFERROR(__xludf.DUMMYFUNCTION("""COMPUTED_VALUE"""),"No")</f>
        <v>No</v>
      </c>
      <c r="S421" s="5" t="str">
        <f ca="1">IFERROR(__xludf.DUMMYFUNCTION("""COMPUTED_VALUE"""),"Yes")</f>
        <v>Yes</v>
      </c>
      <c r="T421" s="5" t="str">
        <f ca="1">IFERROR(__xludf.DUMMYFUNCTION("""COMPUTED_VALUE"""),"No")</f>
        <v>No</v>
      </c>
      <c r="U421" s="5" t="str">
        <f ca="1">IFERROR(__xludf.DUMMYFUNCTION("""COMPUTED_VALUE"""),"No")</f>
        <v>No</v>
      </c>
      <c r="V421" s="5" t="str">
        <f ca="1">IFERROR(__xludf.DUMMYFUNCTION("""COMPUTED_VALUE"""),"No")</f>
        <v>No</v>
      </c>
      <c r="W421" s="5" t="str">
        <f ca="1">IFERROR(__xludf.DUMMYFUNCTION("""COMPUTED_VALUE"""),"No")</f>
        <v>No</v>
      </c>
      <c r="X421" s="5"/>
      <c r="Y421" s="5"/>
      <c r="Z421" s="5"/>
      <c r="AA421" s="5" t="str">
        <f ca="1">IFERROR(__xludf.DUMMYFUNCTION("""COMPUTED_VALUE"""),"Yes")</f>
        <v>Yes</v>
      </c>
      <c r="AB421" s="5"/>
      <c r="AC421" s="5" t="str">
        <f ca="1">IFERROR(__xludf.DUMMYFUNCTION("""COMPUTED_VALUE"""),"No")</f>
        <v>No</v>
      </c>
      <c r="AD421" s="5"/>
      <c r="AE421" s="5"/>
      <c r="AF421" s="5" t="str">
        <f ca="1">IFERROR(__xludf.DUMMYFUNCTION("""COMPUTED_VALUE"""),"Yes")</f>
        <v>Yes</v>
      </c>
      <c r="AG421" s="5"/>
      <c r="AH421" s="5"/>
      <c r="AI421" s="5"/>
      <c r="AJ421" s="5"/>
      <c r="AK421" s="5"/>
      <c r="AL421" s="5" t="str">
        <f ca="1">IFERROR(__xludf.DUMMYFUNCTION("""COMPUTED_VALUE"""),"Yes")</f>
        <v>Yes</v>
      </c>
      <c r="AM421" s="5"/>
      <c r="AN421" s="5"/>
      <c r="AO421" s="5"/>
      <c r="AP421" s="5"/>
      <c r="AQ421" s="5"/>
      <c r="AR421" s="5"/>
      <c r="AS421" s="5"/>
      <c r="AT421" s="5"/>
      <c r="AU421" s="5"/>
      <c r="AV421" s="5"/>
      <c r="AW421" s="5"/>
      <c r="AX421" s="5"/>
      <c r="AY421" s="5"/>
    </row>
    <row r="422" spans="1:51" x14ac:dyDescent="0.25">
      <c r="A42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2" s="5">
        <f ca="1">IFERROR(__xludf.DUMMYFUNCTION("""COMPUTED_VALUE"""),434)</f>
        <v>434</v>
      </c>
      <c r="C422" s="5">
        <f ca="1">IFERROR(__xludf.DUMMYFUNCTION("""COMPUTED_VALUE"""),999977)</f>
        <v>999977</v>
      </c>
      <c r="D422" s="5" t="str">
        <f ca="1">IFERROR(__xludf.DUMMYFUNCTION("""COMPUTED_VALUE"""),"TBD-T1")</f>
        <v>TBD-T1</v>
      </c>
      <c r="E422" s="5" t="str">
        <f ca="1">IFERROR(__xludf.DUMMYFUNCTION("""COMPUTED_VALUE"""),"Yes")</f>
        <v>Yes</v>
      </c>
      <c r="F422" s="5" t="str">
        <f ca="1">IFERROR(__xludf.DUMMYFUNCTION("""COMPUTED_VALUE"""),"Yes")</f>
        <v>Yes</v>
      </c>
      <c r="G422" s="5" t="str">
        <f ca="1">IFERROR(__xludf.DUMMYFUNCTION("""COMPUTED_VALUE"""),"No")</f>
        <v>No</v>
      </c>
      <c r="H422" s="5" t="str">
        <f ca="1">IFERROR(__xludf.DUMMYFUNCTION("""COMPUTED_VALUE"""),"Yes")</f>
        <v>Yes</v>
      </c>
      <c r="I422" s="5" t="str">
        <f ca="1">IFERROR(__xludf.DUMMYFUNCTION("""COMPUTED_VALUE"""),"Yes")</f>
        <v>Yes</v>
      </c>
      <c r="J422" s="5" t="str">
        <f ca="1">IFERROR(__xludf.DUMMYFUNCTION("""COMPUTED_VALUE"""),"Yes")</f>
        <v>Yes</v>
      </c>
      <c r="K422" s="5" t="str">
        <f ca="1">IFERROR(__xludf.DUMMYFUNCTION("""COMPUTED_VALUE"""),"Yes")</f>
        <v>Yes</v>
      </c>
      <c r="L422" s="5" t="str">
        <f ca="1">IFERROR(__xludf.DUMMYFUNCTION("""COMPUTED_VALUE"""),"Yes")</f>
        <v>Yes</v>
      </c>
      <c r="M422" s="5" t="str">
        <f ca="1">IFERROR(__xludf.DUMMYFUNCTION("""COMPUTED_VALUE"""),"Yes")</f>
        <v>Yes</v>
      </c>
      <c r="N422" s="5" t="str">
        <f ca="1">IFERROR(__xludf.DUMMYFUNCTION("""COMPUTED_VALUE"""),"Yes")</f>
        <v>Yes</v>
      </c>
      <c r="O422" s="5" t="str">
        <f ca="1">IFERROR(__xludf.DUMMYFUNCTION("""COMPUTED_VALUE"""),"Yes")</f>
        <v>Yes</v>
      </c>
      <c r="P422" s="5" t="str">
        <f ca="1">IFERROR(__xludf.DUMMYFUNCTION("""COMPUTED_VALUE"""),"Yes")</f>
        <v>Yes</v>
      </c>
      <c r="Q422" s="5" t="str">
        <f ca="1">IFERROR(__xludf.DUMMYFUNCTION("""COMPUTED_VALUE"""),"Yes")</f>
        <v>Yes</v>
      </c>
      <c r="R422" s="5" t="str">
        <f ca="1">IFERROR(__xludf.DUMMYFUNCTION("""COMPUTED_VALUE"""),"Yes")</f>
        <v>Yes</v>
      </c>
      <c r="S422" s="5" t="str">
        <f ca="1">IFERROR(__xludf.DUMMYFUNCTION("""COMPUTED_VALUE"""),"Yes")</f>
        <v>Yes</v>
      </c>
      <c r="T422" s="5" t="str">
        <f ca="1">IFERROR(__xludf.DUMMYFUNCTION("""COMPUTED_VALUE"""),"No")</f>
        <v>No</v>
      </c>
      <c r="U422" s="5" t="str">
        <f ca="1">IFERROR(__xludf.DUMMYFUNCTION("""COMPUTED_VALUE"""),"No")</f>
        <v>No</v>
      </c>
      <c r="V422" s="5" t="str">
        <f ca="1">IFERROR(__xludf.DUMMYFUNCTION("""COMPUTED_VALUE"""),"No")</f>
        <v>No</v>
      </c>
      <c r="W422" s="5" t="str">
        <f ca="1">IFERROR(__xludf.DUMMYFUNCTION("""COMPUTED_VALUE"""),"No")</f>
        <v>No</v>
      </c>
      <c r="X422" s="5" t="str">
        <f ca="1">IFERROR(__xludf.DUMMYFUNCTION("""COMPUTED_VALUE"""),"No")</f>
        <v>No</v>
      </c>
      <c r="Y422" s="5" t="str">
        <f ca="1">IFERROR(__xludf.DUMMYFUNCTION("""COMPUTED_VALUE"""),"No")</f>
        <v>No</v>
      </c>
      <c r="Z422" s="5" t="str">
        <f ca="1">IFERROR(__xludf.DUMMYFUNCTION("""COMPUTED_VALUE"""),"No")</f>
        <v>No</v>
      </c>
      <c r="AA422" s="5" t="str">
        <f ca="1">IFERROR(__xludf.DUMMYFUNCTION("""COMPUTED_VALUE"""),"Yes")</f>
        <v>Yes</v>
      </c>
      <c r="AB422" s="5" t="str">
        <f ca="1">IFERROR(__xludf.DUMMYFUNCTION("""COMPUTED_VALUE"""),"No")</f>
        <v>No</v>
      </c>
      <c r="AC422" s="5" t="str">
        <f ca="1">IFERROR(__xludf.DUMMYFUNCTION("""COMPUTED_VALUE"""),"No")</f>
        <v>No</v>
      </c>
      <c r="AD422" s="5" t="str">
        <f ca="1">IFERROR(__xludf.DUMMYFUNCTION("""COMPUTED_VALUE"""),"No")</f>
        <v>No</v>
      </c>
      <c r="AE422" s="5" t="str">
        <f ca="1">IFERROR(__xludf.DUMMYFUNCTION("""COMPUTED_VALUE"""),"No")</f>
        <v>No</v>
      </c>
      <c r="AF422" s="5" t="str">
        <f ca="1">IFERROR(__xludf.DUMMYFUNCTION("""COMPUTED_VALUE"""),"Yes")</f>
        <v>Yes</v>
      </c>
      <c r="AG422" s="5" t="str">
        <f ca="1">IFERROR(__xludf.DUMMYFUNCTION("""COMPUTED_VALUE"""),"No")</f>
        <v>No</v>
      </c>
      <c r="AH422" s="5" t="str">
        <f ca="1">IFERROR(__xludf.DUMMYFUNCTION("""COMPUTED_VALUE"""),"Yes")</f>
        <v>Yes</v>
      </c>
      <c r="AI422" s="5" t="str">
        <f ca="1">IFERROR(__xludf.DUMMYFUNCTION("""COMPUTED_VALUE"""),"No")</f>
        <v>No</v>
      </c>
      <c r="AJ422" s="5" t="str">
        <f ca="1">IFERROR(__xludf.DUMMYFUNCTION("""COMPUTED_VALUE"""),"No")</f>
        <v>No</v>
      </c>
      <c r="AK422" s="5" t="str">
        <f ca="1">IFERROR(__xludf.DUMMYFUNCTION("""COMPUTED_VALUE"""),"No")</f>
        <v>No</v>
      </c>
      <c r="AL422" s="5" t="str">
        <f ca="1">IFERROR(__xludf.DUMMYFUNCTION("""COMPUTED_VALUE"""),"No")</f>
        <v>No</v>
      </c>
      <c r="AM422" s="5"/>
      <c r="AN422" s="5"/>
      <c r="AO422" s="5"/>
      <c r="AP422" s="5"/>
      <c r="AQ422" s="5"/>
      <c r="AR422" s="5"/>
      <c r="AS422" s="5"/>
      <c r="AT422" s="5"/>
      <c r="AU422" s="5"/>
      <c r="AV422" s="5"/>
      <c r="AW422" s="5"/>
      <c r="AX422" s="5"/>
      <c r="AY422" s="5"/>
    </row>
    <row r="423" spans="1:51" x14ac:dyDescent="0.25">
      <c r="A4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23" s="5">
        <f ca="1">IFERROR(__xludf.DUMMYFUNCTION("""COMPUTED_VALUE"""),435)</f>
        <v>435</v>
      </c>
      <c r="C423" s="5">
        <f ca="1">IFERROR(__xludf.DUMMYFUNCTION("""COMPUTED_VALUE"""),375)</f>
        <v>375</v>
      </c>
      <c r="D423" s="5" t="str">
        <f ca="1">IFERROR(__xludf.DUMMYFUNCTION("""COMPUTED_VALUE"""),"UnicornSavanaFruits")</f>
        <v>UnicornSavanaFruits</v>
      </c>
      <c r="E423" s="5" t="str">
        <f ca="1">IFERROR(__xludf.DUMMYFUNCTION("""COMPUTED_VALUE"""),"Yes")</f>
        <v>Yes</v>
      </c>
      <c r="F423" s="5" t="str">
        <f ca="1">IFERROR(__xludf.DUMMYFUNCTION("""COMPUTED_VALUE"""),"Yes")</f>
        <v>Yes</v>
      </c>
      <c r="G423" s="5" t="str">
        <f ca="1">IFERROR(__xludf.DUMMYFUNCTION("""COMPUTED_VALUE"""),"Yes")</f>
        <v>Yes</v>
      </c>
      <c r="H423" s="5" t="str">
        <f ca="1">IFERROR(__xludf.DUMMYFUNCTION("""COMPUTED_VALUE"""),"Yes")</f>
        <v>Yes</v>
      </c>
      <c r="I423" s="5" t="str">
        <f ca="1">IFERROR(__xludf.DUMMYFUNCTION("""COMPUTED_VALUE"""),"Yes")</f>
        <v>Yes</v>
      </c>
      <c r="J423" s="5" t="str">
        <f ca="1">IFERROR(__xludf.DUMMYFUNCTION("""COMPUTED_VALUE"""),"Yes")</f>
        <v>Yes</v>
      </c>
      <c r="K423" s="5" t="str">
        <f ca="1">IFERROR(__xludf.DUMMYFUNCTION("""COMPUTED_VALUE"""),"Yes")</f>
        <v>Yes</v>
      </c>
      <c r="L423" s="5" t="str">
        <f ca="1">IFERROR(__xludf.DUMMYFUNCTION("""COMPUTED_VALUE"""),"Yes")</f>
        <v>Yes</v>
      </c>
      <c r="M423" s="5" t="str">
        <f ca="1">IFERROR(__xludf.DUMMYFUNCTION("""COMPUTED_VALUE"""),"Yes")</f>
        <v>Yes</v>
      </c>
      <c r="N423" s="5" t="str">
        <f ca="1">IFERROR(__xludf.DUMMYFUNCTION("""COMPUTED_VALUE"""),"Yes")</f>
        <v>Yes</v>
      </c>
      <c r="O423" s="5" t="str">
        <f ca="1">IFERROR(__xludf.DUMMYFUNCTION("""COMPUTED_VALUE"""),"Yes")</f>
        <v>Yes</v>
      </c>
      <c r="P423" s="5" t="str">
        <f ca="1">IFERROR(__xludf.DUMMYFUNCTION("""COMPUTED_VALUE"""),"Yes")</f>
        <v>Yes</v>
      </c>
      <c r="Q423" s="5" t="str">
        <f ca="1">IFERROR(__xludf.DUMMYFUNCTION("""COMPUTED_VALUE"""),"Yes")</f>
        <v>Yes</v>
      </c>
      <c r="R423" s="5" t="str">
        <f ca="1">IFERROR(__xludf.DUMMYFUNCTION("""COMPUTED_VALUE"""),"Yes")</f>
        <v>Yes</v>
      </c>
      <c r="S423" s="5" t="str">
        <f ca="1">IFERROR(__xludf.DUMMYFUNCTION("""COMPUTED_VALUE"""),"Yes")</f>
        <v>Yes</v>
      </c>
      <c r="T423" s="5" t="str">
        <f ca="1">IFERROR(__xludf.DUMMYFUNCTION("""COMPUTED_VALUE"""),"Yes")</f>
        <v>Yes</v>
      </c>
      <c r="U423" s="5" t="str">
        <f ca="1">IFERROR(__xludf.DUMMYFUNCTION("""COMPUTED_VALUE"""),"Yes")</f>
        <v>Yes</v>
      </c>
      <c r="V423" s="5" t="str">
        <f ca="1">IFERROR(__xludf.DUMMYFUNCTION("""COMPUTED_VALUE"""),"Yes")</f>
        <v>Yes</v>
      </c>
      <c r="W423" s="5" t="str">
        <f ca="1">IFERROR(__xludf.DUMMYFUNCTION("""COMPUTED_VALUE"""),"Yes")</f>
        <v>Yes</v>
      </c>
      <c r="X423" s="5"/>
      <c r="Y423" s="5"/>
      <c r="Z423" s="5"/>
      <c r="AA423" s="5"/>
      <c r="AB423" s="5"/>
      <c r="AC423" s="5" t="str">
        <f ca="1">IFERROR(__xludf.DUMMYFUNCTION("""COMPUTED_VALUE"""),"Yes")</f>
        <v>Yes</v>
      </c>
      <c r="AD423" s="5"/>
      <c r="AE423" s="5"/>
      <c r="AF423" s="5"/>
      <c r="AG423" s="5"/>
      <c r="AH423" s="5"/>
      <c r="AI423" s="5"/>
      <c r="AJ423" s="5"/>
      <c r="AK423" s="5"/>
      <c r="AL423" s="5"/>
      <c r="AM423" s="5"/>
      <c r="AN423" s="5"/>
      <c r="AO423" s="5"/>
      <c r="AP423" s="5"/>
      <c r="AQ423" s="5"/>
      <c r="AR423" s="5"/>
      <c r="AS423" s="5"/>
      <c r="AT423" s="5"/>
      <c r="AU423" s="5"/>
      <c r="AV423" s="5"/>
      <c r="AW423" s="5"/>
      <c r="AX423" s="5"/>
      <c r="AY423" s="5"/>
    </row>
    <row r="424" spans="1:51" x14ac:dyDescent="0.25">
      <c r="A42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4" s="5">
        <f ca="1">IFERROR(__xludf.DUMMYFUNCTION("""COMPUTED_VALUE"""),436)</f>
        <v>436</v>
      </c>
      <c r="C424" s="5">
        <f ca="1">IFERROR(__xludf.DUMMYFUNCTION("""COMPUTED_VALUE"""),180012)</f>
        <v>180012</v>
      </c>
      <c r="D424" s="5" t="str">
        <f ca="1">IFERROR(__xludf.DUMMYFUNCTION("""COMPUTED_VALUE"""),"RedstoneStickyTiki")</f>
        <v>RedstoneStickyTiki</v>
      </c>
      <c r="E424" s="5" t="str">
        <f ca="1">IFERROR(__xludf.DUMMYFUNCTION("""COMPUTED_VALUE"""),"Yes")</f>
        <v>Yes</v>
      </c>
      <c r="F424" s="5" t="str">
        <f ca="1">IFERROR(__xludf.DUMMYFUNCTION("""COMPUTED_VALUE"""),"Yes")</f>
        <v>Yes</v>
      </c>
      <c r="G424" s="5" t="str">
        <f ca="1">IFERROR(__xludf.DUMMYFUNCTION("""COMPUTED_VALUE"""),"Yes")</f>
        <v>Yes</v>
      </c>
      <c r="H424" s="5" t="str">
        <f ca="1">IFERROR(__xludf.DUMMYFUNCTION("""COMPUTED_VALUE"""),"No")</f>
        <v>No</v>
      </c>
      <c r="I424" s="5" t="str">
        <f ca="1">IFERROR(__xludf.DUMMYFUNCTION("""COMPUTED_VALUE"""),"No")</f>
        <v>No</v>
      </c>
      <c r="J424" s="5" t="str">
        <f ca="1">IFERROR(__xludf.DUMMYFUNCTION("""COMPUTED_VALUE"""),"No")</f>
        <v>No</v>
      </c>
      <c r="K424" s="5" t="str">
        <f ca="1">IFERROR(__xludf.DUMMYFUNCTION("""COMPUTED_VALUE"""),"No")</f>
        <v>No</v>
      </c>
      <c r="L424" s="5" t="str">
        <f ca="1">IFERROR(__xludf.DUMMYFUNCTION("""COMPUTED_VALUE"""),"No")</f>
        <v>No</v>
      </c>
      <c r="M424" s="5" t="str">
        <f ca="1">IFERROR(__xludf.DUMMYFUNCTION("""COMPUTED_VALUE"""),"Yes")</f>
        <v>Yes</v>
      </c>
      <c r="N424" s="5" t="str">
        <f ca="1">IFERROR(__xludf.DUMMYFUNCTION("""COMPUTED_VALUE"""),"Yes")</f>
        <v>Yes</v>
      </c>
      <c r="O424" s="5" t="str">
        <f ca="1">IFERROR(__xludf.DUMMYFUNCTION("""COMPUTED_VALUE"""),"Yes")</f>
        <v>Yes</v>
      </c>
      <c r="P424" s="5" t="str">
        <f ca="1">IFERROR(__xludf.DUMMYFUNCTION("""COMPUTED_VALUE"""),"Yes")</f>
        <v>Yes</v>
      </c>
      <c r="Q424" s="5" t="str">
        <f ca="1">IFERROR(__xludf.DUMMYFUNCTION("""COMPUTED_VALUE"""),"Yes")</f>
        <v>Yes</v>
      </c>
      <c r="R424" s="5" t="str">
        <f ca="1">IFERROR(__xludf.DUMMYFUNCTION("""COMPUTED_VALUE"""),"No")</f>
        <v>No</v>
      </c>
      <c r="S424" s="5" t="str">
        <f ca="1">IFERROR(__xludf.DUMMYFUNCTION("""COMPUTED_VALUE"""),"Yes")</f>
        <v>Yes</v>
      </c>
      <c r="T424" s="5" t="str">
        <f ca="1">IFERROR(__xludf.DUMMYFUNCTION("""COMPUTED_VALUE"""),"No")</f>
        <v>No</v>
      </c>
      <c r="U424" s="5" t="str">
        <f ca="1">IFERROR(__xludf.DUMMYFUNCTION("""COMPUTED_VALUE"""),"No")</f>
        <v>No</v>
      </c>
      <c r="V424" s="5" t="str">
        <f ca="1">IFERROR(__xludf.DUMMYFUNCTION("""COMPUTED_VALUE"""),"No")</f>
        <v>No</v>
      </c>
      <c r="W424" s="5" t="str">
        <f ca="1">IFERROR(__xludf.DUMMYFUNCTION("""COMPUTED_VALUE"""),"No")</f>
        <v>No</v>
      </c>
      <c r="X424" s="5"/>
      <c r="Y424" s="5"/>
      <c r="Z424" s="5"/>
      <c r="AA424" s="5" t="str">
        <f ca="1">IFERROR(__xludf.DUMMYFUNCTION("""COMPUTED_VALUE"""),"Yes")</f>
        <v>Yes</v>
      </c>
      <c r="AB424" s="5"/>
      <c r="AC424" s="5" t="str">
        <f ca="1">IFERROR(__xludf.DUMMYFUNCTION("""COMPUTED_VALUE"""),"No")</f>
        <v>No</v>
      </c>
      <c r="AD424" s="5"/>
      <c r="AE424" s="5"/>
      <c r="AF424" s="5" t="str">
        <f ca="1">IFERROR(__xludf.DUMMYFUNCTION("""COMPUTED_VALUE"""),"Yes")</f>
        <v>Yes</v>
      </c>
      <c r="AG424" s="5"/>
      <c r="AH424" s="5"/>
      <c r="AI424" s="5"/>
      <c r="AJ424" s="5"/>
      <c r="AK424" s="5"/>
      <c r="AL424" s="5" t="str">
        <f ca="1">IFERROR(__xludf.DUMMYFUNCTION("""COMPUTED_VALUE"""),"Yes")</f>
        <v>Yes</v>
      </c>
      <c r="AM424" s="5"/>
      <c r="AN424" s="5"/>
      <c r="AO424" s="5"/>
      <c r="AP424" s="5"/>
      <c r="AQ424" s="5"/>
      <c r="AR424" s="5"/>
      <c r="AS424" s="5"/>
      <c r="AT424" s="5"/>
      <c r="AU424" s="5"/>
      <c r="AV424" s="5"/>
      <c r="AW424" s="5"/>
      <c r="AX424" s="5"/>
      <c r="AY424" s="5"/>
    </row>
    <row r="425" spans="1:51" x14ac:dyDescent="0.25">
      <c r="A425"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5" s="5">
        <f ca="1">IFERROR(__xludf.DUMMYFUNCTION("""COMPUTED_VALUE"""),437)</f>
        <v>437</v>
      </c>
      <c r="C425" s="5">
        <f ca="1">IFERROR(__xludf.DUMMYFUNCTION("""COMPUTED_VALUE"""),180011)</f>
        <v>180011</v>
      </c>
      <c r="D425" s="5" t="str">
        <f ca="1">IFERROR(__xludf.DUMMYFUNCTION("""COMPUTED_VALUE"""),"RedstoneHotRushTripleStar")</f>
        <v>RedstoneHotRushTripleStar</v>
      </c>
      <c r="E425" s="5" t="str">
        <f ca="1">IFERROR(__xludf.DUMMYFUNCTION("""COMPUTED_VALUE"""),"Yes")</f>
        <v>Yes</v>
      </c>
      <c r="F425" s="5" t="str">
        <f ca="1">IFERROR(__xludf.DUMMYFUNCTION("""COMPUTED_VALUE"""),"Yes")</f>
        <v>Yes</v>
      </c>
      <c r="G425" s="5" t="str">
        <f ca="1">IFERROR(__xludf.DUMMYFUNCTION("""COMPUTED_VALUE"""),"No")</f>
        <v>No</v>
      </c>
      <c r="H425" s="5" t="str">
        <f ca="1">IFERROR(__xludf.DUMMYFUNCTION("""COMPUTED_VALUE"""),"Yes")</f>
        <v>Yes</v>
      </c>
      <c r="I425" s="5" t="str">
        <f ca="1">IFERROR(__xludf.DUMMYFUNCTION("""COMPUTED_VALUE"""),"Yes")</f>
        <v>Yes</v>
      </c>
      <c r="J425" s="5" t="str">
        <f ca="1">IFERROR(__xludf.DUMMYFUNCTION("""COMPUTED_VALUE"""),"Yes")</f>
        <v>Yes</v>
      </c>
      <c r="K425" s="5" t="str">
        <f ca="1">IFERROR(__xludf.DUMMYFUNCTION("""COMPUTED_VALUE"""),"Yes")</f>
        <v>Yes</v>
      </c>
      <c r="L425" s="5" t="str">
        <f ca="1">IFERROR(__xludf.DUMMYFUNCTION("""COMPUTED_VALUE"""),"Yes")</f>
        <v>Yes</v>
      </c>
      <c r="M425" s="5" t="str">
        <f ca="1">IFERROR(__xludf.DUMMYFUNCTION("""COMPUTED_VALUE"""),"Yes")</f>
        <v>Yes</v>
      </c>
      <c r="N425" s="5" t="str">
        <f ca="1">IFERROR(__xludf.DUMMYFUNCTION("""COMPUTED_VALUE"""),"Yes")</f>
        <v>Yes</v>
      </c>
      <c r="O425" s="5" t="str">
        <f ca="1">IFERROR(__xludf.DUMMYFUNCTION("""COMPUTED_VALUE"""),"Yes")</f>
        <v>Yes</v>
      </c>
      <c r="P425" s="5" t="str">
        <f ca="1">IFERROR(__xludf.DUMMYFUNCTION("""COMPUTED_VALUE"""),"Yes")</f>
        <v>Yes</v>
      </c>
      <c r="Q425" s="5" t="str">
        <f ca="1">IFERROR(__xludf.DUMMYFUNCTION("""COMPUTED_VALUE"""),"Yes")</f>
        <v>Yes</v>
      </c>
      <c r="R425" s="5" t="str">
        <f ca="1">IFERROR(__xludf.DUMMYFUNCTION("""COMPUTED_VALUE"""),"Yes")</f>
        <v>Yes</v>
      </c>
      <c r="S425" s="5" t="str">
        <f ca="1">IFERROR(__xludf.DUMMYFUNCTION("""COMPUTED_VALUE"""),"Yes")</f>
        <v>Yes</v>
      </c>
      <c r="T425" s="5" t="str">
        <f ca="1">IFERROR(__xludf.DUMMYFUNCTION("""COMPUTED_VALUE"""),"No")</f>
        <v>No</v>
      </c>
      <c r="U425" s="5" t="str">
        <f ca="1">IFERROR(__xludf.DUMMYFUNCTION("""COMPUTED_VALUE"""),"No")</f>
        <v>No</v>
      </c>
      <c r="V425" s="5" t="str">
        <f ca="1">IFERROR(__xludf.DUMMYFUNCTION("""COMPUTED_VALUE"""),"No")</f>
        <v>No</v>
      </c>
      <c r="W425" s="5" t="str">
        <f ca="1">IFERROR(__xludf.DUMMYFUNCTION("""COMPUTED_VALUE"""),"No")</f>
        <v>No</v>
      </c>
      <c r="X425" s="5" t="str">
        <f ca="1">IFERROR(__xludf.DUMMYFUNCTION("""COMPUTED_VALUE"""),"No")</f>
        <v>No</v>
      </c>
      <c r="Y425" s="5" t="str">
        <f ca="1">IFERROR(__xludf.DUMMYFUNCTION("""COMPUTED_VALUE"""),"No")</f>
        <v>No</v>
      </c>
      <c r="Z425" s="5" t="str">
        <f ca="1">IFERROR(__xludf.DUMMYFUNCTION("""COMPUTED_VALUE"""),"No")</f>
        <v>No</v>
      </c>
      <c r="AA425" s="5" t="str">
        <f ca="1">IFERROR(__xludf.DUMMYFUNCTION("""COMPUTED_VALUE"""),"Yes")</f>
        <v>Yes</v>
      </c>
      <c r="AB425" s="5" t="str">
        <f ca="1">IFERROR(__xludf.DUMMYFUNCTION("""COMPUTED_VALUE"""),"No")</f>
        <v>No</v>
      </c>
      <c r="AC425" s="5" t="str">
        <f ca="1">IFERROR(__xludf.DUMMYFUNCTION("""COMPUTED_VALUE"""),"No")</f>
        <v>No</v>
      </c>
      <c r="AD425" s="5" t="str">
        <f ca="1">IFERROR(__xludf.DUMMYFUNCTION("""COMPUTED_VALUE"""),"No")</f>
        <v>No</v>
      </c>
      <c r="AE425" s="5" t="str">
        <f ca="1">IFERROR(__xludf.DUMMYFUNCTION("""COMPUTED_VALUE"""),"No")</f>
        <v>No</v>
      </c>
      <c r="AF425" s="5" t="str">
        <f ca="1">IFERROR(__xludf.DUMMYFUNCTION("""COMPUTED_VALUE"""),"Yes")</f>
        <v>Yes</v>
      </c>
      <c r="AG425" s="5" t="str">
        <f ca="1">IFERROR(__xludf.DUMMYFUNCTION("""COMPUTED_VALUE"""),"No")</f>
        <v>No</v>
      </c>
      <c r="AH425" s="5" t="str">
        <f ca="1">IFERROR(__xludf.DUMMYFUNCTION("""COMPUTED_VALUE"""),"Yes")</f>
        <v>Yes</v>
      </c>
      <c r="AI425" s="5" t="str">
        <f ca="1">IFERROR(__xludf.DUMMYFUNCTION("""COMPUTED_VALUE"""),"No")</f>
        <v>No</v>
      </c>
      <c r="AJ425" s="5" t="str">
        <f ca="1">IFERROR(__xludf.DUMMYFUNCTION("""COMPUTED_VALUE"""),"No")</f>
        <v>No</v>
      </c>
      <c r="AK425" s="5" t="str">
        <f ca="1">IFERROR(__xludf.DUMMYFUNCTION("""COMPUTED_VALUE"""),"No")</f>
        <v>No</v>
      </c>
      <c r="AL425" s="5" t="str">
        <f ca="1">IFERROR(__xludf.DUMMYFUNCTION("""COMPUTED_VALUE"""),"No")</f>
        <v>No</v>
      </c>
      <c r="AM425" s="5"/>
      <c r="AN425" s="5"/>
      <c r="AO425" s="5"/>
      <c r="AP425" s="5"/>
      <c r="AQ425" s="5"/>
      <c r="AR425" s="5"/>
      <c r="AS425" s="5"/>
      <c r="AT425" s="5"/>
      <c r="AU425" s="5"/>
      <c r="AV425" s="5"/>
      <c r="AW425" s="5"/>
      <c r="AX425" s="5"/>
      <c r="AY425" s="5"/>
    </row>
    <row r="426" spans="1:51" x14ac:dyDescent="0.25">
      <c r="A4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6" s="5">
        <f ca="1">IFERROR(__xludf.DUMMYFUNCTION("""COMPUTED_VALUE"""),439)</f>
        <v>439</v>
      </c>
      <c r="C426" s="5">
        <f ca="1">IFERROR(__xludf.DUMMYFUNCTION("""COMPUTED_VALUE"""),4011)</f>
        <v>4011</v>
      </c>
      <c r="D426" s="5" t="str">
        <f ca="1">IFERROR(__xludf.DUMMYFUNCTION("""COMPUTED_VALUE"""),"HeartsAndStars")</f>
        <v>HeartsAndStars</v>
      </c>
      <c r="E426" s="5" t="str">
        <f ca="1">IFERROR(__xludf.DUMMYFUNCTION("""COMPUTED_VALUE"""),"Yes")</f>
        <v>Yes</v>
      </c>
      <c r="F426" s="5" t="str">
        <f ca="1">IFERROR(__xludf.DUMMYFUNCTION("""COMPUTED_VALUE"""),"Yes")</f>
        <v>Yes</v>
      </c>
      <c r="G426" s="5" t="str">
        <f ca="1">IFERROR(__xludf.DUMMYFUNCTION("""COMPUTED_VALUE"""),"Yes")</f>
        <v>Yes</v>
      </c>
      <c r="H426" s="5" t="str">
        <f ca="1">IFERROR(__xludf.DUMMYFUNCTION("""COMPUTED_VALUE"""),"Yes")</f>
        <v>Yes</v>
      </c>
      <c r="I426" s="5" t="str">
        <f ca="1">IFERROR(__xludf.DUMMYFUNCTION("""COMPUTED_VALUE"""),"Yes")</f>
        <v>Yes</v>
      </c>
      <c r="J426" s="5" t="str">
        <f ca="1">IFERROR(__xludf.DUMMYFUNCTION("""COMPUTED_VALUE"""),"Yes")</f>
        <v>Yes</v>
      </c>
      <c r="K426" s="5" t="str">
        <f ca="1">IFERROR(__xludf.DUMMYFUNCTION("""COMPUTED_VALUE"""),"Yes")</f>
        <v>Yes</v>
      </c>
      <c r="L426" s="5" t="str">
        <f ca="1">IFERROR(__xludf.DUMMYFUNCTION("""COMPUTED_VALUE"""),"Yes")</f>
        <v>Yes</v>
      </c>
      <c r="M426" s="5" t="str">
        <f ca="1">IFERROR(__xludf.DUMMYFUNCTION("""COMPUTED_VALUE"""),"Yes")</f>
        <v>Yes</v>
      </c>
      <c r="N426" s="5" t="str">
        <f ca="1">IFERROR(__xludf.DUMMYFUNCTION("""COMPUTED_VALUE"""),"Yes")</f>
        <v>Yes</v>
      </c>
      <c r="O426" s="5" t="str">
        <f ca="1">IFERROR(__xludf.DUMMYFUNCTION("""COMPUTED_VALUE"""),"Yes")</f>
        <v>Yes</v>
      </c>
      <c r="P426" s="5" t="str">
        <f ca="1">IFERROR(__xludf.DUMMYFUNCTION("""COMPUTED_VALUE"""),"Yes")</f>
        <v>Yes</v>
      </c>
      <c r="Q426" s="5" t="str">
        <f ca="1">IFERROR(__xludf.DUMMYFUNCTION("""COMPUTED_VALUE"""),"Yes")</f>
        <v>Yes</v>
      </c>
      <c r="R426" s="5" t="str">
        <f ca="1">IFERROR(__xludf.DUMMYFUNCTION("""COMPUTED_VALUE"""),"Yes")</f>
        <v>Yes</v>
      </c>
      <c r="S426" s="5" t="str">
        <f ca="1">IFERROR(__xludf.DUMMYFUNCTION("""COMPUTED_VALUE"""),"Yes")</f>
        <v>Yes</v>
      </c>
      <c r="T426" s="5" t="str">
        <f ca="1">IFERROR(__xludf.DUMMYFUNCTION("""COMPUTED_VALUE"""),"Yes")</f>
        <v>Yes</v>
      </c>
      <c r="U426" s="5" t="str">
        <f ca="1">IFERROR(__xludf.DUMMYFUNCTION("""COMPUTED_VALUE"""),"Yes")</f>
        <v>Yes</v>
      </c>
      <c r="V426" s="5" t="str">
        <f ca="1">IFERROR(__xludf.DUMMYFUNCTION("""COMPUTED_VALUE"""),"Yes")</f>
        <v>Yes</v>
      </c>
      <c r="W426" s="5" t="str">
        <f ca="1">IFERROR(__xludf.DUMMYFUNCTION("""COMPUTED_VALUE"""),"Yes")</f>
        <v>Yes</v>
      </c>
      <c r="X426" s="5" t="str">
        <f ca="1">IFERROR(__xludf.DUMMYFUNCTION("""COMPUTED_VALUE"""),"Yes")</f>
        <v>Yes</v>
      </c>
      <c r="Y426" s="5" t="str">
        <f ca="1">IFERROR(__xludf.DUMMYFUNCTION("""COMPUTED_VALUE"""),"Yes")</f>
        <v>Yes</v>
      </c>
      <c r="Z426" s="5" t="str">
        <f ca="1">IFERROR(__xludf.DUMMYFUNCTION("""COMPUTED_VALUE"""),"No")</f>
        <v>No</v>
      </c>
      <c r="AA426" s="5" t="str">
        <f ca="1">IFERROR(__xludf.DUMMYFUNCTION("""COMPUTED_VALUE"""),"Yes")</f>
        <v>Yes</v>
      </c>
      <c r="AB426" s="5" t="str">
        <f ca="1">IFERROR(__xludf.DUMMYFUNCTION("""COMPUTED_VALUE"""),"Yes")</f>
        <v>Yes</v>
      </c>
      <c r="AC426" s="5" t="str">
        <f ca="1">IFERROR(__xludf.DUMMYFUNCTION("""COMPUTED_VALUE"""),"Yes")</f>
        <v>Yes</v>
      </c>
      <c r="AD426" s="5" t="str">
        <f ca="1">IFERROR(__xludf.DUMMYFUNCTION("""COMPUTED_VALUE"""),"Yes")</f>
        <v>Yes</v>
      </c>
      <c r="AE426" s="5" t="str">
        <f ca="1">IFERROR(__xludf.DUMMYFUNCTION("""COMPUTED_VALUE"""),"No")</f>
        <v>No</v>
      </c>
      <c r="AF426" s="5" t="str">
        <f ca="1">IFERROR(__xludf.DUMMYFUNCTION("""COMPUTED_VALUE"""),"Yes")</f>
        <v>Yes</v>
      </c>
      <c r="AG426" s="5" t="str">
        <f ca="1">IFERROR(__xludf.DUMMYFUNCTION("""COMPUTED_VALUE"""),"No")</f>
        <v>No</v>
      </c>
      <c r="AH426" s="5" t="str">
        <f ca="1">IFERROR(__xludf.DUMMYFUNCTION("""COMPUTED_VALUE"""),"No")</f>
        <v>No</v>
      </c>
      <c r="AI426" s="5" t="str">
        <f ca="1">IFERROR(__xludf.DUMMYFUNCTION("""COMPUTED_VALUE"""),"No")</f>
        <v>No</v>
      </c>
      <c r="AJ426" s="5" t="str">
        <f ca="1">IFERROR(__xludf.DUMMYFUNCTION("""COMPUTED_VALUE"""),"No")</f>
        <v>No</v>
      </c>
      <c r="AK426" s="5" t="str">
        <f ca="1">IFERROR(__xludf.DUMMYFUNCTION("""COMPUTED_VALUE"""),"No")</f>
        <v>No</v>
      </c>
      <c r="AL426" s="5" t="str">
        <f ca="1">IFERROR(__xludf.DUMMYFUNCTION("""COMPUTED_VALUE"""),"No")</f>
        <v>No</v>
      </c>
      <c r="AM426" s="5"/>
      <c r="AN426" s="5"/>
      <c r="AO426" s="5"/>
      <c r="AP426" s="5"/>
      <c r="AQ426" s="5"/>
      <c r="AR426" s="5"/>
      <c r="AS426" s="5"/>
      <c r="AT426" s="5"/>
      <c r="AU426" s="5"/>
      <c r="AV426" s="5"/>
      <c r="AW426" s="5"/>
      <c r="AX426" s="5"/>
      <c r="AY426" s="5"/>
    </row>
    <row r="427" spans="1:51" x14ac:dyDescent="0.25">
      <c r="A4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27" s="5">
        <f ca="1">IFERROR(__xludf.DUMMYFUNCTION("""COMPUTED_VALUE"""),440)</f>
        <v>440</v>
      </c>
      <c r="C427" s="5">
        <f ca="1">IFERROR(__xludf.DUMMYFUNCTION("""COMPUTED_VALUE"""),3007)</f>
        <v>3007</v>
      </c>
      <c r="D427" s="5" t="str">
        <f ca="1">IFERROR(__xludf.DUMMYFUNCTION("""COMPUTED_VALUE"""),"TopHot5")</f>
        <v>TopHot5</v>
      </c>
      <c r="E427" s="5" t="str">
        <f ca="1">IFERROR(__xludf.DUMMYFUNCTION("""COMPUTED_VALUE"""),"Yes")</f>
        <v>Yes</v>
      </c>
      <c r="F427" s="5" t="str">
        <f ca="1">IFERROR(__xludf.DUMMYFUNCTION("""COMPUTED_VALUE"""),"Yes")</f>
        <v>Yes</v>
      </c>
      <c r="G427" s="5" t="str">
        <f ca="1">IFERROR(__xludf.DUMMYFUNCTION("""COMPUTED_VALUE"""),"Yes")</f>
        <v>Yes</v>
      </c>
      <c r="H427" s="5" t="str">
        <f ca="1">IFERROR(__xludf.DUMMYFUNCTION("""COMPUTED_VALUE"""),"Yes")</f>
        <v>Yes</v>
      </c>
      <c r="I427" s="5" t="str">
        <f ca="1">IFERROR(__xludf.DUMMYFUNCTION("""COMPUTED_VALUE"""),"Yes")</f>
        <v>Yes</v>
      </c>
      <c r="J427" s="5" t="str">
        <f ca="1">IFERROR(__xludf.DUMMYFUNCTION("""COMPUTED_VALUE"""),"Yes")</f>
        <v>Yes</v>
      </c>
      <c r="K427" s="5" t="str">
        <f ca="1">IFERROR(__xludf.DUMMYFUNCTION("""COMPUTED_VALUE"""),"Yes")</f>
        <v>Yes</v>
      </c>
      <c r="L427" s="5" t="str">
        <f ca="1">IFERROR(__xludf.DUMMYFUNCTION("""COMPUTED_VALUE"""),"Yes")</f>
        <v>Yes</v>
      </c>
      <c r="M427" s="5" t="str">
        <f ca="1">IFERROR(__xludf.DUMMYFUNCTION("""COMPUTED_VALUE"""),"Yes")</f>
        <v>Yes</v>
      </c>
      <c r="N427" s="5" t="str">
        <f ca="1">IFERROR(__xludf.DUMMYFUNCTION("""COMPUTED_VALUE"""),"Yes")</f>
        <v>Yes</v>
      </c>
      <c r="O427" s="5" t="str">
        <f ca="1">IFERROR(__xludf.DUMMYFUNCTION("""COMPUTED_VALUE"""),"Yes")</f>
        <v>Yes</v>
      </c>
      <c r="P427" s="5" t="str">
        <f ca="1">IFERROR(__xludf.DUMMYFUNCTION("""COMPUTED_VALUE"""),"Yes")</f>
        <v>Yes</v>
      </c>
      <c r="Q427" s="5" t="str">
        <f ca="1">IFERROR(__xludf.DUMMYFUNCTION("""COMPUTED_VALUE"""),"Yes")</f>
        <v>Yes</v>
      </c>
      <c r="R427" s="5" t="str">
        <f ca="1">IFERROR(__xludf.DUMMYFUNCTION("""COMPUTED_VALUE"""),"Yes")</f>
        <v>Yes</v>
      </c>
      <c r="S427" s="5" t="str">
        <f ca="1">IFERROR(__xludf.DUMMYFUNCTION("""COMPUTED_VALUE"""),"Yes")</f>
        <v>Yes</v>
      </c>
      <c r="T427" s="5" t="str">
        <f ca="1">IFERROR(__xludf.DUMMYFUNCTION("""COMPUTED_VALUE"""),"Yes")</f>
        <v>Yes</v>
      </c>
      <c r="U427" s="5" t="str">
        <f ca="1">IFERROR(__xludf.DUMMYFUNCTION("""COMPUTED_VALUE"""),"Yes")</f>
        <v>Yes</v>
      </c>
      <c r="V427" s="5" t="str">
        <f ca="1">IFERROR(__xludf.DUMMYFUNCTION("""COMPUTED_VALUE"""),"Yes")</f>
        <v>Yes</v>
      </c>
      <c r="W427" s="5" t="str">
        <f ca="1">IFERROR(__xludf.DUMMYFUNCTION("""COMPUTED_VALUE"""),"Yes")</f>
        <v>Yes</v>
      </c>
      <c r="X427" s="5" t="str">
        <f ca="1">IFERROR(__xludf.DUMMYFUNCTION("""COMPUTED_VALUE"""),"Yes")</f>
        <v>Yes</v>
      </c>
      <c r="Y427" s="5" t="str">
        <f ca="1">IFERROR(__xludf.DUMMYFUNCTION("""COMPUTED_VALUE"""),"Yes")</f>
        <v>Yes</v>
      </c>
      <c r="Z427" s="5" t="str">
        <f ca="1">IFERROR(__xludf.DUMMYFUNCTION("""COMPUTED_VALUE"""),"Yes")</f>
        <v>Yes</v>
      </c>
      <c r="AA427" s="5" t="str">
        <f ca="1">IFERROR(__xludf.DUMMYFUNCTION("""COMPUTED_VALUE"""),"Yes")</f>
        <v>Yes</v>
      </c>
      <c r="AB427" s="5" t="str">
        <f ca="1">IFERROR(__xludf.DUMMYFUNCTION("""COMPUTED_VALUE"""),"Yes")</f>
        <v>Yes</v>
      </c>
      <c r="AC427" s="5" t="str">
        <f ca="1">IFERROR(__xludf.DUMMYFUNCTION("""COMPUTED_VALUE"""),"Yes")</f>
        <v>Yes</v>
      </c>
      <c r="AD427" s="5" t="str">
        <f ca="1">IFERROR(__xludf.DUMMYFUNCTION("""COMPUTED_VALUE"""),"Yes")</f>
        <v>Yes</v>
      </c>
      <c r="AE427" s="5" t="str">
        <f ca="1">IFERROR(__xludf.DUMMYFUNCTION("""COMPUTED_VALUE"""),"Yes")</f>
        <v>Yes</v>
      </c>
      <c r="AF427" s="5" t="str">
        <f ca="1">IFERROR(__xludf.DUMMYFUNCTION("""COMPUTED_VALUE"""),"Yes")</f>
        <v>Yes</v>
      </c>
      <c r="AG427" s="5" t="str">
        <f ca="1">IFERROR(__xludf.DUMMYFUNCTION("""COMPUTED_VALUE"""),"Yes")</f>
        <v>Yes</v>
      </c>
      <c r="AH427" s="5" t="str">
        <f ca="1">IFERROR(__xludf.DUMMYFUNCTION("""COMPUTED_VALUE"""),"Yes")</f>
        <v>Yes</v>
      </c>
      <c r="AI427" s="5" t="str">
        <f ca="1">IFERROR(__xludf.DUMMYFUNCTION("""COMPUTED_VALUE"""),"No")</f>
        <v>No</v>
      </c>
      <c r="AJ427" s="5" t="str">
        <f ca="1">IFERROR(__xludf.DUMMYFUNCTION("""COMPUTED_VALUE"""),"No")</f>
        <v>No</v>
      </c>
      <c r="AK427" s="5" t="str">
        <f ca="1">IFERROR(__xludf.DUMMYFUNCTION("""COMPUTED_VALUE"""),"No")</f>
        <v>No</v>
      </c>
      <c r="AL427" s="5" t="str">
        <f ca="1">IFERROR(__xludf.DUMMYFUNCTION("""COMPUTED_VALUE"""),"No")</f>
        <v>No</v>
      </c>
      <c r="AM427" s="5"/>
      <c r="AN427" s="5"/>
      <c r="AO427" s="5"/>
      <c r="AP427" s="5"/>
      <c r="AQ427" s="5"/>
      <c r="AR427" s="5"/>
      <c r="AS427" s="5"/>
      <c r="AT427" s="5"/>
      <c r="AU427" s="5"/>
      <c r="AV427" s="5"/>
      <c r="AW427" s="5"/>
      <c r="AX427" s="5"/>
      <c r="AY427" s="5"/>
    </row>
    <row r="428" spans="1:51" x14ac:dyDescent="0.25">
      <c r="A428" s="5" t="str">
        <f ca="1">IFERROR(__xludf.DUMMYFUNCTION("""COMPUTED_VALUE"""),"English(""eng"")")</f>
        <v>English("eng")</v>
      </c>
      <c r="B428" s="5">
        <f ca="1">IFERROR(__xludf.DUMMYFUNCTION("""COMPUTED_VALUE"""),441)</f>
        <v>441</v>
      </c>
      <c r="C428" s="5">
        <f ca="1">IFERROR(__xludf.DUMMYFUNCTION("""COMPUTED_VALUE"""),327)</f>
        <v>327</v>
      </c>
      <c r="D428" s="5" t="str">
        <f ca="1">IFERROR(__xludf.DUMMYFUNCTION("""COMPUTED_VALUE"""),"UnicornBigSpinSevens")</f>
        <v>UnicornBigSpinSevens</v>
      </c>
      <c r="E428" s="5" t="str">
        <f ca="1">IFERROR(__xludf.DUMMYFUNCTION("""COMPUTED_VALUE"""),"Yes")</f>
        <v>Yes</v>
      </c>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row>
    <row r="429" spans="1:51" x14ac:dyDescent="0.25">
      <c r="A42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9" s="5">
        <f ca="1">IFERROR(__xludf.DUMMYFUNCTION("""COMPUTED_VALUE"""),442)</f>
        <v>442</v>
      </c>
      <c r="C429" s="5">
        <f ca="1">IFERROR(__xludf.DUMMYFUNCTION("""COMPUTED_VALUE"""),335)</f>
        <v>335</v>
      </c>
      <c r="D429" s="5" t="str">
        <f ca="1">IFERROR(__xludf.DUMMYFUNCTION("""COMPUTED_VALUE"""),"RedstoneHotRushFruitLines")</f>
        <v>RedstoneHotRushFruitLines</v>
      </c>
      <c r="E429" s="5" t="str">
        <f ca="1">IFERROR(__xludf.DUMMYFUNCTION("""COMPUTED_VALUE"""),"Yes")</f>
        <v>Yes</v>
      </c>
      <c r="F429" s="5" t="str">
        <f ca="1">IFERROR(__xludf.DUMMYFUNCTION("""COMPUTED_VALUE"""),"Yes")</f>
        <v>Yes</v>
      </c>
      <c r="G429" s="5" t="str">
        <f ca="1">IFERROR(__xludf.DUMMYFUNCTION("""COMPUTED_VALUE"""),"Yes")</f>
        <v>Yes</v>
      </c>
      <c r="H429" s="5" t="str">
        <f ca="1">IFERROR(__xludf.DUMMYFUNCTION("""COMPUTED_VALUE"""),"No")</f>
        <v>No</v>
      </c>
      <c r="I429" s="5" t="str">
        <f ca="1">IFERROR(__xludf.DUMMYFUNCTION("""COMPUTED_VALUE"""),"No")</f>
        <v>No</v>
      </c>
      <c r="J429" s="5" t="str">
        <f ca="1">IFERROR(__xludf.DUMMYFUNCTION("""COMPUTED_VALUE"""),"No")</f>
        <v>No</v>
      </c>
      <c r="K429" s="5" t="str">
        <f ca="1">IFERROR(__xludf.DUMMYFUNCTION("""COMPUTED_VALUE"""),"No")</f>
        <v>No</v>
      </c>
      <c r="L429" s="5" t="str">
        <f ca="1">IFERROR(__xludf.DUMMYFUNCTION("""COMPUTED_VALUE"""),"No")</f>
        <v>No</v>
      </c>
      <c r="M429" s="5" t="str">
        <f ca="1">IFERROR(__xludf.DUMMYFUNCTION("""COMPUTED_VALUE"""),"Yes")</f>
        <v>Yes</v>
      </c>
      <c r="N429" s="5" t="str">
        <f ca="1">IFERROR(__xludf.DUMMYFUNCTION("""COMPUTED_VALUE"""),"Yes")</f>
        <v>Yes</v>
      </c>
      <c r="O429" s="5" t="str">
        <f ca="1">IFERROR(__xludf.DUMMYFUNCTION("""COMPUTED_VALUE"""),"Yes")</f>
        <v>Yes</v>
      </c>
      <c r="P429" s="5" t="str">
        <f ca="1">IFERROR(__xludf.DUMMYFUNCTION("""COMPUTED_VALUE"""),"Yes")</f>
        <v>Yes</v>
      </c>
      <c r="Q429" s="5" t="str">
        <f ca="1">IFERROR(__xludf.DUMMYFUNCTION("""COMPUTED_VALUE"""),"Yes")</f>
        <v>Yes</v>
      </c>
      <c r="R429" s="5" t="str">
        <f ca="1">IFERROR(__xludf.DUMMYFUNCTION("""COMPUTED_VALUE"""),"No")</f>
        <v>No</v>
      </c>
      <c r="S429" s="5" t="str">
        <f ca="1">IFERROR(__xludf.DUMMYFUNCTION("""COMPUTED_VALUE"""),"Yes")</f>
        <v>Yes</v>
      </c>
      <c r="T429" s="5" t="str">
        <f ca="1">IFERROR(__xludf.DUMMYFUNCTION("""COMPUTED_VALUE"""),"No")</f>
        <v>No</v>
      </c>
      <c r="U429" s="5" t="str">
        <f ca="1">IFERROR(__xludf.DUMMYFUNCTION("""COMPUTED_VALUE"""),"No")</f>
        <v>No</v>
      </c>
      <c r="V429" s="5" t="str">
        <f ca="1">IFERROR(__xludf.DUMMYFUNCTION("""COMPUTED_VALUE"""),"No")</f>
        <v>No</v>
      </c>
      <c r="W429" s="5" t="str">
        <f ca="1">IFERROR(__xludf.DUMMYFUNCTION("""COMPUTED_VALUE"""),"No")</f>
        <v>No</v>
      </c>
      <c r="X429" s="5"/>
      <c r="Y429" s="5"/>
      <c r="Z429" s="5"/>
      <c r="AA429" s="5" t="str">
        <f ca="1">IFERROR(__xludf.DUMMYFUNCTION("""COMPUTED_VALUE"""),"Yes")</f>
        <v>Yes</v>
      </c>
      <c r="AB429" s="5"/>
      <c r="AC429" s="5" t="str">
        <f ca="1">IFERROR(__xludf.DUMMYFUNCTION("""COMPUTED_VALUE"""),"No")</f>
        <v>No</v>
      </c>
      <c r="AD429" s="5"/>
      <c r="AE429" s="5"/>
      <c r="AF429" s="5" t="str">
        <f ca="1">IFERROR(__xludf.DUMMYFUNCTION("""COMPUTED_VALUE"""),"Yes")</f>
        <v>Yes</v>
      </c>
      <c r="AG429" s="5"/>
      <c r="AH429" s="5"/>
      <c r="AI429" s="5"/>
      <c r="AJ429" s="5"/>
      <c r="AK429" s="5"/>
      <c r="AL429" s="5" t="str">
        <f ca="1">IFERROR(__xludf.DUMMYFUNCTION("""COMPUTED_VALUE"""),"Yes")</f>
        <v>Yes</v>
      </c>
      <c r="AM429" s="5"/>
      <c r="AN429" s="5"/>
      <c r="AO429" s="5"/>
      <c r="AP429" s="5"/>
      <c r="AQ429" s="5"/>
      <c r="AR429" s="5"/>
      <c r="AS429" s="5"/>
      <c r="AT429" s="5"/>
      <c r="AU429" s="5"/>
      <c r="AV429" s="5"/>
      <c r="AW429" s="5"/>
      <c r="AX429" s="5"/>
      <c r="AY429" s="5"/>
    </row>
    <row r="430" spans="1:51" x14ac:dyDescent="0.25">
      <c r="A43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30" s="5">
        <f ca="1">IFERROR(__xludf.DUMMYFUNCTION("""COMPUTED_VALUE"""),445)</f>
        <v>445</v>
      </c>
      <c r="C430" s="5">
        <f ca="1">IFERROR(__xludf.DUMMYFUNCTION("""COMPUTED_VALUE"""),2000002)</f>
        <v>2000002</v>
      </c>
      <c r="D430" s="5" t="str">
        <f ca="1">IFERROR(__xludf.DUMMYFUNCTION("""COMPUTED_VALUE"""),"HinamisForestOfMagic")</f>
        <v>HinamisForestOfMagic</v>
      </c>
      <c r="E430" s="5" t="str">
        <f ca="1">IFERROR(__xludf.DUMMYFUNCTION("""COMPUTED_VALUE"""),"Yes")</f>
        <v>Yes</v>
      </c>
      <c r="F430" s="5" t="str">
        <f ca="1">IFERROR(__xludf.DUMMYFUNCTION("""COMPUTED_VALUE"""),"Yes")</f>
        <v>Yes</v>
      </c>
      <c r="G430" s="5" t="str">
        <f ca="1">IFERROR(__xludf.DUMMYFUNCTION("""COMPUTED_VALUE"""),"No")</f>
        <v>No</v>
      </c>
      <c r="H430" s="5" t="str">
        <f ca="1">IFERROR(__xludf.DUMMYFUNCTION("""COMPUTED_VALUE"""),"Yes")</f>
        <v>Yes</v>
      </c>
      <c r="I430" s="5" t="str">
        <f ca="1">IFERROR(__xludf.DUMMYFUNCTION("""COMPUTED_VALUE"""),"Yes")</f>
        <v>Yes</v>
      </c>
      <c r="J430" s="5" t="str">
        <f ca="1">IFERROR(__xludf.DUMMYFUNCTION("""COMPUTED_VALUE"""),"Yes")</f>
        <v>Yes</v>
      </c>
      <c r="K430" s="5" t="str">
        <f ca="1">IFERROR(__xludf.DUMMYFUNCTION("""COMPUTED_VALUE"""),"Yes")</f>
        <v>Yes</v>
      </c>
      <c r="L430" s="5" t="str">
        <f ca="1">IFERROR(__xludf.DUMMYFUNCTION("""COMPUTED_VALUE"""),"Yes")</f>
        <v>Yes</v>
      </c>
      <c r="M430" s="5" t="str">
        <f ca="1">IFERROR(__xludf.DUMMYFUNCTION("""COMPUTED_VALUE"""),"Yes")</f>
        <v>Yes</v>
      </c>
      <c r="N430" s="5" t="str">
        <f ca="1">IFERROR(__xludf.DUMMYFUNCTION("""COMPUTED_VALUE"""),"Yes")</f>
        <v>Yes</v>
      </c>
      <c r="O430" s="5" t="str">
        <f ca="1">IFERROR(__xludf.DUMMYFUNCTION("""COMPUTED_VALUE"""),"Yes")</f>
        <v>Yes</v>
      </c>
      <c r="P430" s="5" t="str">
        <f ca="1">IFERROR(__xludf.DUMMYFUNCTION("""COMPUTED_VALUE"""),"Yes")</f>
        <v>Yes</v>
      </c>
      <c r="Q430" s="5" t="str">
        <f ca="1">IFERROR(__xludf.DUMMYFUNCTION("""COMPUTED_VALUE"""),"Yes")</f>
        <v>Yes</v>
      </c>
      <c r="R430" s="5" t="str">
        <f ca="1">IFERROR(__xludf.DUMMYFUNCTION("""COMPUTED_VALUE"""),"Yes")</f>
        <v>Yes</v>
      </c>
      <c r="S430" s="5" t="str">
        <f ca="1">IFERROR(__xludf.DUMMYFUNCTION("""COMPUTED_VALUE"""),"Yes")</f>
        <v>Yes</v>
      </c>
      <c r="T430" s="5" t="str">
        <f ca="1">IFERROR(__xludf.DUMMYFUNCTION("""COMPUTED_VALUE"""),"No")</f>
        <v>No</v>
      </c>
      <c r="U430" s="5" t="str">
        <f ca="1">IFERROR(__xludf.DUMMYFUNCTION("""COMPUTED_VALUE"""),"No")</f>
        <v>No</v>
      </c>
      <c r="V430" s="5" t="str">
        <f ca="1">IFERROR(__xludf.DUMMYFUNCTION("""COMPUTED_VALUE"""),"No")</f>
        <v>No</v>
      </c>
      <c r="W430" s="5" t="str">
        <f ca="1">IFERROR(__xludf.DUMMYFUNCTION("""COMPUTED_VALUE"""),"No")</f>
        <v>No</v>
      </c>
      <c r="X430" s="5" t="str">
        <f ca="1">IFERROR(__xludf.DUMMYFUNCTION("""COMPUTED_VALUE"""),"No")</f>
        <v>No</v>
      </c>
      <c r="Y430" s="5" t="str">
        <f ca="1">IFERROR(__xludf.DUMMYFUNCTION("""COMPUTED_VALUE"""),"No")</f>
        <v>No</v>
      </c>
      <c r="Z430" s="5" t="str">
        <f ca="1">IFERROR(__xludf.DUMMYFUNCTION("""COMPUTED_VALUE"""),"No")</f>
        <v>No</v>
      </c>
      <c r="AA430" s="5" t="str">
        <f ca="1">IFERROR(__xludf.DUMMYFUNCTION("""COMPUTED_VALUE"""),"No")</f>
        <v>No</v>
      </c>
      <c r="AB430" s="5" t="str">
        <f ca="1">IFERROR(__xludf.DUMMYFUNCTION("""COMPUTED_VALUE"""),"No")</f>
        <v>No</v>
      </c>
      <c r="AC430" s="5" t="str">
        <f ca="1">IFERROR(__xludf.DUMMYFUNCTION("""COMPUTED_VALUE"""),"No")</f>
        <v>No</v>
      </c>
      <c r="AD430" s="5" t="str">
        <f ca="1">IFERROR(__xludf.DUMMYFUNCTION("""COMPUTED_VALUE"""),"No")</f>
        <v>No</v>
      </c>
      <c r="AE430" s="5" t="str">
        <f ca="1">IFERROR(__xludf.DUMMYFUNCTION("""COMPUTED_VALUE"""),"No")</f>
        <v>No</v>
      </c>
      <c r="AF430" s="5" t="str">
        <f ca="1">IFERROR(__xludf.DUMMYFUNCTION("""COMPUTED_VALUE"""),"Yes")</f>
        <v>Yes</v>
      </c>
      <c r="AG430" s="5" t="str">
        <f ca="1">IFERROR(__xludf.DUMMYFUNCTION("""COMPUTED_VALUE"""),"No")</f>
        <v>No</v>
      </c>
      <c r="AH430" s="5" t="str">
        <f ca="1">IFERROR(__xludf.DUMMYFUNCTION("""COMPUTED_VALUE"""),"Yes")</f>
        <v>Yes</v>
      </c>
      <c r="AI430" s="5" t="str">
        <f ca="1">IFERROR(__xludf.DUMMYFUNCTION("""COMPUTED_VALUE"""),"No")</f>
        <v>No</v>
      </c>
      <c r="AJ430" s="5" t="str">
        <f ca="1">IFERROR(__xludf.DUMMYFUNCTION("""COMPUTED_VALUE"""),"No")</f>
        <v>No</v>
      </c>
      <c r="AK430" s="5" t="str">
        <f ca="1">IFERROR(__xludf.DUMMYFUNCTION("""COMPUTED_VALUE"""),"No")</f>
        <v>No</v>
      </c>
      <c r="AL430" s="5" t="str">
        <f ca="1">IFERROR(__xludf.DUMMYFUNCTION("""COMPUTED_VALUE"""),"No")</f>
        <v>No</v>
      </c>
      <c r="AM430" s="5"/>
      <c r="AN430" s="5"/>
      <c r="AO430" s="5"/>
      <c r="AP430" s="5"/>
      <c r="AQ430" s="5"/>
      <c r="AR430" s="5"/>
      <c r="AS430" s="5"/>
      <c r="AT430" s="5"/>
      <c r="AU430" s="5"/>
      <c r="AV430" s="5"/>
      <c r="AW430" s="5"/>
      <c r="AX430" s="5"/>
      <c r="AY430" s="5"/>
    </row>
    <row r="431" spans="1:51" x14ac:dyDescent="0.25">
      <c r="A43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431" s="5">
        <f ca="1">IFERROR(__xludf.DUMMYFUNCTION("""COMPUTED_VALUE"""),447)</f>
        <v>447</v>
      </c>
      <c r="C431" s="5">
        <f ca="1">IFERROR(__xludf.DUMMYFUNCTION("""COMPUTED_VALUE"""),2000003)</f>
        <v>2000003</v>
      </c>
      <c r="D431" s="5" t="str">
        <f ca="1">IFERROR(__xludf.DUMMYFUNCTION("""COMPUTED_VALUE"""),"RunningMice")</f>
        <v>RunningMice</v>
      </c>
      <c r="E431" s="5" t="str">
        <f ca="1">IFERROR(__xludf.DUMMYFUNCTION("""COMPUTED_VALUE"""),"Yes")</f>
        <v>Yes</v>
      </c>
      <c r="F431" s="5" t="str">
        <f ca="1">IFERROR(__xludf.DUMMYFUNCTION("""COMPUTED_VALUE"""),"Yes")</f>
        <v>Yes</v>
      </c>
      <c r="G431" s="5" t="str">
        <f ca="1">IFERROR(__xludf.DUMMYFUNCTION("""COMPUTED_VALUE"""),"Yes")</f>
        <v>Yes</v>
      </c>
      <c r="H431" s="5" t="str">
        <f ca="1">IFERROR(__xludf.DUMMYFUNCTION("""COMPUTED_VALUE"""),"No")</f>
        <v>No</v>
      </c>
      <c r="I431" s="5" t="str">
        <f ca="1">IFERROR(__xludf.DUMMYFUNCTION("""COMPUTED_VALUE"""),"No")</f>
        <v>No</v>
      </c>
      <c r="J431" s="5" t="str">
        <f ca="1">IFERROR(__xludf.DUMMYFUNCTION("""COMPUTED_VALUE"""),"No")</f>
        <v>No</v>
      </c>
      <c r="K431" s="5" t="str">
        <f ca="1">IFERROR(__xludf.DUMMYFUNCTION("""COMPUTED_VALUE"""),"No")</f>
        <v>No</v>
      </c>
      <c r="L431" s="5" t="str">
        <f ca="1">IFERROR(__xludf.DUMMYFUNCTION("""COMPUTED_VALUE"""),"No")</f>
        <v>No</v>
      </c>
      <c r="M431" s="5" t="str">
        <f ca="1">IFERROR(__xludf.DUMMYFUNCTION("""COMPUTED_VALUE"""),"Yes")</f>
        <v>Yes</v>
      </c>
      <c r="N431" s="5" t="str">
        <f ca="1">IFERROR(__xludf.DUMMYFUNCTION("""COMPUTED_VALUE"""),"Yes")</f>
        <v>Yes</v>
      </c>
      <c r="O431" s="5" t="str">
        <f ca="1">IFERROR(__xludf.DUMMYFUNCTION("""COMPUTED_VALUE"""),"Yes")</f>
        <v>Yes</v>
      </c>
      <c r="P431" s="5" t="str">
        <f ca="1">IFERROR(__xludf.DUMMYFUNCTION("""COMPUTED_VALUE"""),"Yes")</f>
        <v>Yes</v>
      </c>
      <c r="Q431" s="5" t="str">
        <f ca="1">IFERROR(__xludf.DUMMYFUNCTION("""COMPUTED_VALUE"""),"Yes")</f>
        <v>Yes</v>
      </c>
      <c r="R431" s="5" t="str">
        <f ca="1">IFERROR(__xludf.DUMMYFUNCTION("""COMPUTED_VALUE"""),"No")</f>
        <v>No</v>
      </c>
      <c r="S431" s="5" t="str">
        <f ca="1">IFERROR(__xludf.DUMMYFUNCTION("""COMPUTED_VALUE"""),"Yes")</f>
        <v>Yes</v>
      </c>
      <c r="T431" s="5" t="str">
        <f ca="1">IFERROR(__xludf.DUMMYFUNCTION("""COMPUTED_VALUE"""),"No")</f>
        <v>No</v>
      </c>
      <c r="U431" s="5" t="str">
        <f ca="1">IFERROR(__xludf.DUMMYFUNCTION("""COMPUTED_VALUE"""),"No")</f>
        <v>No</v>
      </c>
      <c r="V431" s="5" t="str">
        <f ca="1">IFERROR(__xludf.DUMMYFUNCTION("""COMPUTED_VALUE"""),"No")</f>
        <v>No</v>
      </c>
      <c r="W431" s="5" t="str">
        <f ca="1">IFERROR(__xludf.DUMMYFUNCTION("""COMPUTED_VALUE"""),"No")</f>
        <v>No</v>
      </c>
      <c r="X431" s="5"/>
      <c r="Y431" s="5"/>
      <c r="Z431" s="5"/>
      <c r="AA431" s="5"/>
      <c r="AB431" s="5"/>
      <c r="AC431" s="5" t="str">
        <f ca="1">IFERROR(__xludf.DUMMYFUNCTION("""COMPUTED_VALUE"""),"No")</f>
        <v>No</v>
      </c>
      <c r="AD431" s="5"/>
      <c r="AE431" s="5"/>
      <c r="AF431" s="5"/>
      <c r="AG431" s="5"/>
      <c r="AH431" s="5"/>
      <c r="AI431" s="5"/>
      <c r="AJ431" s="5"/>
      <c r="AK431" s="5"/>
      <c r="AL431" s="5"/>
      <c r="AM431" s="5"/>
      <c r="AN431" s="5"/>
      <c r="AO431" s="5"/>
      <c r="AP431" s="5"/>
      <c r="AQ431" s="5"/>
      <c r="AR431" s="5"/>
      <c r="AS431" s="5"/>
      <c r="AT431" s="5"/>
      <c r="AU431" s="5"/>
      <c r="AV431" s="5"/>
      <c r="AW431" s="5"/>
      <c r="AX431" s="5"/>
      <c r="AY431" s="5"/>
    </row>
    <row r="432" spans="1:51" x14ac:dyDescent="0.25">
      <c r="A4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32" s="5">
        <f ca="1">IFERROR(__xludf.DUMMYFUNCTION("""COMPUTED_VALUE"""),448)</f>
        <v>448</v>
      </c>
      <c r="C432" s="5">
        <f ca="1">IFERROR(__xludf.DUMMYFUNCTION("""COMPUTED_VALUE"""),1005)</f>
        <v>1005</v>
      </c>
      <c r="D432" s="5" t="str">
        <f ca="1">IFERROR(__xludf.DUMMYFUNCTION("""COMPUTED_VALUE"""),"Wild5")</f>
        <v>Wild5</v>
      </c>
      <c r="E432" s="5" t="str">
        <f ca="1">IFERROR(__xludf.DUMMYFUNCTION("""COMPUTED_VALUE"""),"Yes")</f>
        <v>Yes</v>
      </c>
      <c r="F432" s="5" t="str">
        <f ca="1">IFERROR(__xludf.DUMMYFUNCTION("""COMPUTED_VALUE"""),"Yes")</f>
        <v>Yes</v>
      </c>
      <c r="G432" s="5" t="str">
        <f ca="1">IFERROR(__xludf.DUMMYFUNCTION("""COMPUTED_VALUE"""),"Yes")</f>
        <v>Yes</v>
      </c>
      <c r="H432" s="5" t="str">
        <f ca="1">IFERROR(__xludf.DUMMYFUNCTION("""COMPUTED_VALUE"""),"Yes")</f>
        <v>Yes</v>
      </c>
      <c r="I432" s="5" t="str">
        <f ca="1">IFERROR(__xludf.DUMMYFUNCTION("""COMPUTED_VALUE"""),"Yes")</f>
        <v>Yes</v>
      </c>
      <c r="J432" s="5" t="str">
        <f ca="1">IFERROR(__xludf.DUMMYFUNCTION("""COMPUTED_VALUE"""),"Yes")</f>
        <v>Yes</v>
      </c>
      <c r="K432" s="5" t="str">
        <f ca="1">IFERROR(__xludf.DUMMYFUNCTION("""COMPUTED_VALUE"""),"Yes")</f>
        <v>Yes</v>
      </c>
      <c r="L432" s="5" t="str">
        <f ca="1">IFERROR(__xludf.DUMMYFUNCTION("""COMPUTED_VALUE"""),"Yes")</f>
        <v>Yes</v>
      </c>
      <c r="M432" s="5" t="str">
        <f ca="1">IFERROR(__xludf.DUMMYFUNCTION("""COMPUTED_VALUE"""),"Yes")</f>
        <v>Yes</v>
      </c>
      <c r="N432" s="5" t="str">
        <f ca="1">IFERROR(__xludf.DUMMYFUNCTION("""COMPUTED_VALUE"""),"Yes")</f>
        <v>Yes</v>
      </c>
      <c r="O432" s="5" t="str">
        <f ca="1">IFERROR(__xludf.DUMMYFUNCTION("""COMPUTED_VALUE"""),"Yes")</f>
        <v>Yes</v>
      </c>
      <c r="P432" s="5" t="str">
        <f ca="1">IFERROR(__xludf.DUMMYFUNCTION("""COMPUTED_VALUE"""),"Yes")</f>
        <v>Yes</v>
      </c>
      <c r="Q432" s="5" t="str">
        <f ca="1">IFERROR(__xludf.DUMMYFUNCTION("""COMPUTED_VALUE"""),"Yes")</f>
        <v>Yes</v>
      </c>
      <c r="R432" s="5" t="str">
        <f ca="1">IFERROR(__xludf.DUMMYFUNCTION("""COMPUTED_VALUE"""),"Yes")</f>
        <v>Yes</v>
      </c>
      <c r="S432" s="5" t="str">
        <f ca="1">IFERROR(__xludf.DUMMYFUNCTION("""COMPUTED_VALUE"""),"Yes")</f>
        <v>Yes</v>
      </c>
      <c r="T432" s="5" t="str">
        <f ca="1">IFERROR(__xludf.DUMMYFUNCTION("""COMPUTED_VALUE"""),"Yes")</f>
        <v>Yes</v>
      </c>
      <c r="U432" s="5" t="str">
        <f ca="1">IFERROR(__xludf.DUMMYFUNCTION("""COMPUTED_VALUE"""),"Yes")</f>
        <v>Yes</v>
      </c>
      <c r="V432" s="5" t="str">
        <f ca="1">IFERROR(__xludf.DUMMYFUNCTION("""COMPUTED_VALUE"""),"Yes")</f>
        <v>Yes</v>
      </c>
      <c r="W432" s="5" t="str">
        <f ca="1">IFERROR(__xludf.DUMMYFUNCTION("""COMPUTED_VALUE"""),"Yes")</f>
        <v>Yes</v>
      </c>
      <c r="X432" s="5" t="str">
        <f ca="1">IFERROR(__xludf.DUMMYFUNCTION("""COMPUTED_VALUE"""),"Yes")</f>
        <v>Yes</v>
      </c>
      <c r="Y432" s="5" t="str">
        <f ca="1">IFERROR(__xludf.DUMMYFUNCTION("""COMPUTED_VALUE"""),"Yes")</f>
        <v>Yes</v>
      </c>
      <c r="Z432" s="5" t="str">
        <f ca="1">IFERROR(__xludf.DUMMYFUNCTION("""COMPUTED_VALUE"""),"Yes")</f>
        <v>Yes</v>
      </c>
      <c r="AA432" s="5" t="str">
        <f ca="1">IFERROR(__xludf.DUMMYFUNCTION("""COMPUTED_VALUE"""),"Yes")</f>
        <v>Yes</v>
      </c>
      <c r="AB432" s="5" t="str">
        <f ca="1">IFERROR(__xludf.DUMMYFUNCTION("""COMPUTED_VALUE"""),"Yes")</f>
        <v>Yes</v>
      </c>
      <c r="AC432" s="5" t="str">
        <f ca="1">IFERROR(__xludf.DUMMYFUNCTION("""COMPUTED_VALUE"""),"Yes")</f>
        <v>Yes</v>
      </c>
      <c r="AD432" s="5" t="str">
        <f ca="1">IFERROR(__xludf.DUMMYFUNCTION("""COMPUTED_VALUE"""),"Yes")</f>
        <v>Yes</v>
      </c>
      <c r="AE432" s="5" t="str">
        <f ca="1">IFERROR(__xludf.DUMMYFUNCTION("""COMPUTED_VALUE"""),"Yes")</f>
        <v>Yes</v>
      </c>
      <c r="AF432" s="5" t="str">
        <f ca="1">IFERROR(__xludf.DUMMYFUNCTION("""COMPUTED_VALUE"""),"Yes")</f>
        <v>Yes</v>
      </c>
      <c r="AG432" s="5" t="str">
        <f ca="1">IFERROR(__xludf.DUMMYFUNCTION("""COMPUTED_VALUE"""),"Yes")</f>
        <v>Yes</v>
      </c>
      <c r="AH432" s="5" t="str">
        <f ca="1">IFERROR(__xludf.DUMMYFUNCTION("""COMPUTED_VALUE"""),"Yes")</f>
        <v>Yes</v>
      </c>
      <c r="AI432" s="5" t="str">
        <f ca="1">IFERROR(__xludf.DUMMYFUNCTION("""COMPUTED_VALUE"""),"No")</f>
        <v>No</v>
      </c>
      <c r="AJ432" s="5" t="str">
        <f ca="1">IFERROR(__xludf.DUMMYFUNCTION("""COMPUTED_VALUE"""),"No")</f>
        <v>No</v>
      </c>
      <c r="AK432" s="5" t="str">
        <f ca="1">IFERROR(__xludf.DUMMYFUNCTION("""COMPUTED_VALUE"""),"No")</f>
        <v>No</v>
      </c>
      <c r="AL432" s="5" t="str">
        <f ca="1">IFERROR(__xludf.DUMMYFUNCTION("""COMPUTED_VALUE"""),"No")</f>
        <v>No</v>
      </c>
      <c r="AM432" s="5"/>
      <c r="AN432" s="5"/>
      <c r="AO432" s="5"/>
      <c r="AP432" s="5"/>
      <c r="AQ432" s="5"/>
      <c r="AR432" s="5"/>
      <c r="AS432" s="5"/>
      <c r="AT432" s="5"/>
      <c r="AU432" s="5"/>
      <c r="AV432" s="5"/>
      <c r="AW432" s="5"/>
      <c r="AX432" s="5"/>
      <c r="AY432" s="5"/>
    </row>
    <row r="433" spans="1:51" x14ac:dyDescent="0.25">
      <c r="A4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3" s="5">
        <f ca="1">IFERROR(__xludf.DUMMYFUNCTION("""COMPUTED_VALUE"""),449)</f>
        <v>449</v>
      </c>
      <c r="C433" s="5">
        <f ca="1">IFERROR(__xludf.DUMMYFUNCTION("""COMPUTED_VALUE"""),3008)</f>
        <v>3008</v>
      </c>
      <c r="D433" s="5" t="str">
        <f ca="1">IFERROR(__xludf.DUMMYFUNCTION("""COMPUTED_VALUE"""),"BrilliantHeart")</f>
        <v>BrilliantHeart</v>
      </c>
      <c r="E433" s="5" t="str">
        <f ca="1">IFERROR(__xludf.DUMMYFUNCTION("""COMPUTED_VALUE"""),"Yes")</f>
        <v>Yes</v>
      </c>
      <c r="F433" s="5" t="str">
        <f ca="1">IFERROR(__xludf.DUMMYFUNCTION("""COMPUTED_VALUE"""),"Yes")</f>
        <v>Yes</v>
      </c>
      <c r="G433" s="5" t="str">
        <f ca="1">IFERROR(__xludf.DUMMYFUNCTION("""COMPUTED_VALUE"""),"Yes")</f>
        <v>Yes</v>
      </c>
      <c r="H433" s="5" t="str">
        <f ca="1">IFERROR(__xludf.DUMMYFUNCTION("""COMPUTED_VALUE"""),"Yes")</f>
        <v>Yes</v>
      </c>
      <c r="I433" s="5" t="str">
        <f ca="1">IFERROR(__xludf.DUMMYFUNCTION("""COMPUTED_VALUE"""),"Yes")</f>
        <v>Yes</v>
      </c>
      <c r="J433" s="5" t="str">
        <f ca="1">IFERROR(__xludf.DUMMYFUNCTION("""COMPUTED_VALUE"""),"Yes")</f>
        <v>Yes</v>
      </c>
      <c r="K433" s="5" t="str">
        <f ca="1">IFERROR(__xludf.DUMMYFUNCTION("""COMPUTED_VALUE"""),"Yes")</f>
        <v>Yes</v>
      </c>
      <c r="L433" s="5" t="str">
        <f ca="1">IFERROR(__xludf.DUMMYFUNCTION("""COMPUTED_VALUE"""),"Yes")</f>
        <v>Yes</v>
      </c>
      <c r="M433" s="5" t="str">
        <f ca="1">IFERROR(__xludf.DUMMYFUNCTION("""COMPUTED_VALUE"""),"Yes")</f>
        <v>Yes</v>
      </c>
      <c r="N433" s="5" t="str">
        <f ca="1">IFERROR(__xludf.DUMMYFUNCTION("""COMPUTED_VALUE"""),"Yes")</f>
        <v>Yes</v>
      </c>
      <c r="O433" s="5" t="str">
        <f ca="1">IFERROR(__xludf.DUMMYFUNCTION("""COMPUTED_VALUE"""),"Yes")</f>
        <v>Yes</v>
      </c>
      <c r="P433" s="5" t="str">
        <f ca="1">IFERROR(__xludf.DUMMYFUNCTION("""COMPUTED_VALUE"""),"Yes")</f>
        <v>Yes</v>
      </c>
      <c r="Q433" s="5" t="str">
        <f ca="1">IFERROR(__xludf.DUMMYFUNCTION("""COMPUTED_VALUE"""),"Yes")</f>
        <v>Yes</v>
      </c>
      <c r="R433" s="5" t="str">
        <f ca="1">IFERROR(__xludf.DUMMYFUNCTION("""COMPUTED_VALUE"""),"Yes")</f>
        <v>Yes</v>
      </c>
      <c r="S433" s="5" t="str">
        <f ca="1">IFERROR(__xludf.DUMMYFUNCTION("""COMPUTED_VALUE"""),"Yes")</f>
        <v>Yes</v>
      </c>
      <c r="T433" s="5" t="str">
        <f ca="1">IFERROR(__xludf.DUMMYFUNCTION("""COMPUTED_VALUE"""),"Yes")</f>
        <v>Yes</v>
      </c>
      <c r="U433" s="5" t="str">
        <f ca="1">IFERROR(__xludf.DUMMYFUNCTION("""COMPUTED_VALUE"""),"Yes")</f>
        <v>Yes</v>
      </c>
      <c r="V433" s="5" t="str">
        <f ca="1">IFERROR(__xludf.DUMMYFUNCTION("""COMPUTED_VALUE"""),"Yes")</f>
        <v>Yes</v>
      </c>
      <c r="W433" s="5" t="str">
        <f ca="1">IFERROR(__xludf.DUMMYFUNCTION("""COMPUTED_VALUE"""),"Yes")</f>
        <v>Yes</v>
      </c>
      <c r="X433" s="5" t="str">
        <f ca="1">IFERROR(__xludf.DUMMYFUNCTION("""COMPUTED_VALUE"""),"Yes")</f>
        <v>Yes</v>
      </c>
      <c r="Y433" s="5" t="str">
        <f ca="1">IFERROR(__xludf.DUMMYFUNCTION("""COMPUTED_VALUE"""),"Yes")</f>
        <v>Yes</v>
      </c>
      <c r="Z433" s="5" t="str">
        <f ca="1">IFERROR(__xludf.DUMMYFUNCTION("""COMPUTED_VALUE"""),"No")</f>
        <v>No</v>
      </c>
      <c r="AA433" s="5" t="str">
        <f ca="1">IFERROR(__xludf.DUMMYFUNCTION("""COMPUTED_VALUE"""),"Yes")</f>
        <v>Yes</v>
      </c>
      <c r="AB433" s="5" t="str">
        <f ca="1">IFERROR(__xludf.DUMMYFUNCTION("""COMPUTED_VALUE"""),"Yes")</f>
        <v>Yes</v>
      </c>
      <c r="AC433" s="5" t="str">
        <f ca="1">IFERROR(__xludf.DUMMYFUNCTION("""COMPUTED_VALUE"""),"Yes")</f>
        <v>Yes</v>
      </c>
      <c r="AD433" s="5" t="str">
        <f ca="1">IFERROR(__xludf.DUMMYFUNCTION("""COMPUTED_VALUE"""),"Yes")</f>
        <v>Yes</v>
      </c>
      <c r="AE433" s="5" t="str">
        <f ca="1">IFERROR(__xludf.DUMMYFUNCTION("""COMPUTED_VALUE"""),"No")</f>
        <v>No</v>
      </c>
      <c r="AF433" s="5" t="str">
        <f ca="1">IFERROR(__xludf.DUMMYFUNCTION("""COMPUTED_VALUE"""),"Yes")</f>
        <v>Yes</v>
      </c>
      <c r="AG433" s="5" t="str">
        <f ca="1">IFERROR(__xludf.DUMMYFUNCTION("""COMPUTED_VALUE"""),"No")</f>
        <v>No</v>
      </c>
      <c r="AH433" s="5" t="str">
        <f ca="1">IFERROR(__xludf.DUMMYFUNCTION("""COMPUTED_VALUE"""),"No")</f>
        <v>No</v>
      </c>
      <c r="AI433" s="5" t="str">
        <f ca="1">IFERROR(__xludf.DUMMYFUNCTION("""COMPUTED_VALUE"""),"No")</f>
        <v>No</v>
      </c>
      <c r="AJ433" s="5" t="str">
        <f ca="1">IFERROR(__xludf.DUMMYFUNCTION("""COMPUTED_VALUE"""),"No")</f>
        <v>No</v>
      </c>
      <c r="AK433" s="5" t="str">
        <f ca="1">IFERROR(__xludf.DUMMYFUNCTION("""COMPUTED_VALUE"""),"No")</f>
        <v>No</v>
      </c>
      <c r="AL433" s="5" t="str">
        <f ca="1">IFERROR(__xludf.DUMMYFUNCTION("""COMPUTED_VALUE"""),"No")</f>
        <v>No</v>
      </c>
      <c r="AM433" s="5"/>
      <c r="AN433" s="5"/>
      <c r="AO433" s="5"/>
      <c r="AP433" s="5"/>
      <c r="AQ433" s="5"/>
      <c r="AR433" s="5"/>
      <c r="AS433" s="5"/>
      <c r="AT433" s="5"/>
      <c r="AU433" s="5"/>
      <c r="AV433" s="5"/>
      <c r="AW433" s="5"/>
      <c r="AX433" s="5"/>
      <c r="AY433" s="5"/>
    </row>
    <row r="434" spans="1:51" x14ac:dyDescent="0.25">
      <c r="A434" s="5" t="str">
        <f ca="1">IFERROR(__xludf.DUMMYFUNCTION("""COMPUTED_VALUE"""),"English(""eng""), Serbian(""""srp"",""srb""""), Montenegrian(""mne""), Bulgarian(""bul""), Spanish(""spa""), Portuguese(""por""), Italian(""ita""), Romanian(""rum/ron""), Croatian(""hrv""), French(""fre/fra""), German(""ger/deu""), Dutch(""dut/nld""), Tur"&amp;"kish(""tur""), Russian(""rus""), Ukrainian(""ukr""), Chinese(""zho/chi"")")</f>
        <v>English("eng"), Serbian(""srp","srb""), Montenegrian("mne"), Bulgarian("bul"), Spanish("spa"), Portuguese("por"), Italian("ita"), Romanian("rum/ron"), Croatian("hrv"), French("fre/fra"), German("ger/deu"), Dutch("dut/nld"), Turkish("tur"), Russian("rus"), Ukrainian("ukr"), Chinese("zho/chi")</v>
      </c>
      <c r="B434" s="5">
        <f ca="1">IFERROR(__xludf.DUMMYFUNCTION("""COMPUTED_VALUE"""),450)</f>
        <v>450</v>
      </c>
      <c r="C434" s="5">
        <f ca="1">IFERROR(__xludf.DUMMYFUNCTION("""COMPUTED_VALUE"""),395)</f>
        <v>395</v>
      </c>
      <c r="D434" s="5" t="str">
        <f ca="1">IFERROR(__xludf.DUMMYFUNCTION("""COMPUTED_VALUE"""),"PlayNetCrownStacks40")</f>
        <v>PlayNetCrownStacks40</v>
      </c>
      <c r="E434" s="5" t="str">
        <f ca="1">IFERROR(__xludf.DUMMYFUNCTION("""COMPUTED_VALUE"""),"Yes")</f>
        <v>Yes</v>
      </c>
      <c r="F434" s="5" t="str">
        <f ca="1">IFERROR(__xludf.DUMMYFUNCTION("""COMPUTED_VALUE"""),"Yes")</f>
        <v>Yes</v>
      </c>
      <c r="G434" s="5" t="str">
        <f ca="1">IFERROR(__xludf.DUMMYFUNCTION("""COMPUTED_VALUE"""),"Yes")</f>
        <v>Yes</v>
      </c>
      <c r="H434" s="5" t="str">
        <f ca="1">IFERROR(__xludf.DUMMYFUNCTION("""COMPUTED_VALUE"""),"Yes")</f>
        <v>Yes</v>
      </c>
      <c r="I434" s="5" t="str">
        <f ca="1">IFERROR(__xludf.DUMMYFUNCTION("""COMPUTED_VALUE"""),"Yes")</f>
        <v>Yes</v>
      </c>
      <c r="J434" s="5" t="str">
        <f ca="1">IFERROR(__xludf.DUMMYFUNCTION("""COMPUTED_VALUE"""),"Yes")</f>
        <v>Yes</v>
      </c>
      <c r="K434" s="5" t="str">
        <f ca="1">IFERROR(__xludf.DUMMYFUNCTION("""COMPUTED_VALUE"""),"Yes")</f>
        <v>Yes</v>
      </c>
      <c r="L434" s="5" t="str">
        <f ca="1">IFERROR(__xludf.DUMMYFUNCTION("""COMPUTED_VALUE"""),"Yes")</f>
        <v>Yes</v>
      </c>
      <c r="M434" s="5" t="str">
        <f ca="1">IFERROR(__xludf.DUMMYFUNCTION("""COMPUTED_VALUE"""),"Yes")</f>
        <v>Yes</v>
      </c>
      <c r="N434" s="5" t="str">
        <f ca="1">IFERROR(__xludf.DUMMYFUNCTION("""COMPUTED_VALUE"""),"Yes")</f>
        <v>Yes</v>
      </c>
      <c r="O434" s="5" t="str">
        <f ca="1">IFERROR(__xludf.DUMMYFUNCTION("""COMPUTED_VALUE"""),"Yes")</f>
        <v>Yes</v>
      </c>
      <c r="P434" s="5" t="str">
        <f ca="1">IFERROR(__xludf.DUMMYFUNCTION("""COMPUTED_VALUE"""),"Yes")</f>
        <v>Yes</v>
      </c>
      <c r="Q434" s="5" t="str">
        <f ca="1">IFERROR(__xludf.DUMMYFUNCTION("""COMPUTED_VALUE"""),"Yes")</f>
        <v>Yes</v>
      </c>
      <c r="R434" s="5" t="str">
        <f ca="1">IFERROR(__xludf.DUMMYFUNCTION("""COMPUTED_VALUE"""),"No")</f>
        <v>No</v>
      </c>
      <c r="S434" s="5" t="str">
        <f ca="1">IFERROR(__xludf.DUMMYFUNCTION("""COMPUTED_VALUE"""),"Yes")</f>
        <v>Yes</v>
      </c>
      <c r="T434" s="5" t="str">
        <f ca="1">IFERROR(__xludf.DUMMYFUNCTION("""COMPUTED_VALUE"""),"No")</f>
        <v>No</v>
      </c>
      <c r="U434" s="5" t="str">
        <f ca="1">IFERROR(__xludf.DUMMYFUNCTION("""COMPUTED_VALUE"""),"No")</f>
        <v>No</v>
      </c>
      <c r="V434" s="5" t="str">
        <f ca="1">IFERROR(__xludf.DUMMYFUNCTION("""COMPUTED_VALUE"""),"No")</f>
        <v>No</v>
      </c>
      <c r="W434" s="5" t="str">
        <f ca="1">IFERROR(__xludf.DUMMYFUNCTION("""COMPUTED_VALUE"""),"No")</f>
        <v>No</v>
      </c>
      <c r="X434" s="5"/>
      <c r="Y434" s="5"/>
      <c r="Z434" s="5"/>
      <c r="AA434" s="5" t="str">
        <f ca="1">IFERROR(__xludf.DUMMYFUNCTION("""COMPUTED_VALUE"""),"No")</f>
        <v>No</v>
      </c>
      <c r="AB434" s="5"/>
      <c r="AC434" s="5" t="str">
        <f ca="1">IFERROR(__xludf.DUMMYFUNCTION("""COMPUTED_VALUE"""),"No")</f>
        <v>No</v>
      </c>
      <c r="AD434" s="5"/>
      <c r="AE434" s="5"/>
      <c r="AF434" s="5" t="str">
        <f ca="1">IFERROR(__xludf.DUMMYFUNCTION("""COMPUTED_VALUE"""),"Yes")</f>
        <v>Yes</v>
      </c>
      <c r="AG434" s="5"/>
      <c r="AH434" s="5" t="str">
        <f ca="1">IFERROR(__xludf.DUMMYFUNCTION("""COMPUTED_VALUE"""),"Yes")</f>
        <v>Yes</v>
      </c>
      <c r="AI434" s="5"/>
      <c r="AJ434" s="5"/>
      <c r="AK434" s="5"/>
      <c r="AL434" s="5"/>
      <c r="AM434" s="5"/>
      <c r="AN434" s="5"/>
      <c r="AO434" s="5"/>
      <c r="AP434" s="5"/>
      <c r="AQ434" s="5"/>
      <c r="AR434" s="5"/>
      <c r="AS434" s="5"/>
      <c r="AT434" s="5"/>
      <c r="AU434" s="5"/>
      <c r="AV434" s="5"/>
      <c r="AW434" s="5"/>
      <c r="AX434" s="5"/>
      <c r="AY434" s="5"/>
    </row>
    <row r="435" spans="1:51" x14ac:dyDescent="0.25">
      <c r="A435" s="5" t="str">
        <f ca="1">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B435" s="5">
        <f ca="1">IFERROR(__xludf.DUMMYFUNCTION("""COMPUTED_VALUE"""),451)</f>
        <v>451</v>
      </c>
      <c r="C435" s="5">
        <f ca="1">IFERROR(__xludf.DUMMYFUNCTION("""COMPUTED_VALUE"""),396)</f>
        <v>396</v>
      </c>
      <c r="D435" s="5" t="str">
        <f ca="1">IFERROR(__xludf.DUMMYFUNCTION("""COMPUTED_VALUE"""),"PlayNetWildSpread40")</f>
        <v>PlayNetWildSpread40</v>
      </c>
      <c r="E435" s="5" t="str">
        <f ca="1">IFERROR(__xludf.DUMMYFUNCTION("""COMPUTED_VALUE"""),"Yes")</f>
        <v>Yes</v>
      </c>
      <c r="F435" s="5" t="str">
        <f ca="1">IFERROR(__xludf.DUMMYFUNCTION("""COMPUTED_VALUE"""),"Yes")</f>
        <v>Yes</v>
      </c>
      <c r="G435" s="5" t="str">
        <f ca="1">IFERROR(__xludf.DUMMYFUNCTION("""COMPUTED_VALUE"""),"Yes")</f>
        <v>Yes</v>
      </c>
      <c r="H435" s="5" t="str">
        <f ca="1">IFERROR(__xludf.DUMMYFUNCTION("""COMPUTED_VALUE"""),"Yes")</f>
        <v>Yes</v>
      </c>
      <c r="I435" s="5" t="str">
        <f ca="1">IFERROR(__xludf.DUMMYFUNCTION("""COMPUTED_VALUE"""),"Yes")</f>
        <v>Yes</v>
      </c>
      <c r="J435" s="5" t="str">
        <f ca="1">IFERROR(__xludf.DUMMYFUNCTION("""COMPUTED_VALUE"""),"Yes")</f>
        <v>Yes</v>
      </c>
      <c r="K435" s="5" t="str">
        <f ca="1">IFERROR(__xludf.DUMMYFUNCTION("""COMPUTED_VALUE"""),"Yes")</f>
        <v>Yes</v>
      </c>
      <c r="L435" s="5" t="str">
        <f ca="1">IFERROR(__xludf.DUMMYFUNCTION("""COMPUTED_VALUE"""),"Yes")</f>
        <v>Yes</v>
      </c>
      <c r="M435" s="5" t="str">
        <f ca="1">IFERROR(__xludf.DUMMYFUNCTION("""COMPUTED_VALUE"""),"Yes")</f>
        <v>Yes</v>
      </c>
      <c r="N435" s="5" t="str">
        <f ca="1">IFERROR(__xludf.DUMMYFUNCTION("""COMPUTED_VALUE"""),"Yes")</f>
        <v>Yes</v>
      </c>
      <c r="O435" s="5" t="str">
        <f ca="1">IFERROR(__xludf.DUMMYFUNCTION("""COMPUTED_VALUE"""),"Yes")</f>
        <v>Yes</v>
      </c>
      <c r="P435" s="5" t="str">
        <f ca="1">IFERROR(__xludf.DUMMYFUNCTION("""COMPUTED_VALUE"""),"Yes")</f>
        <v>Yes</v>
      </c>
      <c r="Q435" s="5" t="str">
        <f ca="1">IFERROR(__xludf.DUMMYFUNCTION("""COMPUTED_VALUE"""),"Yes")</f>
        <v>Yes</v>
      </c>
      <c r="R435" s="5" t="str">
        <f ca="1">IFERROR(__xludf.DUMMYFUNCTION("""COMPUTED_VALUE"""),"Yes")</f>
        <v>Yes</v>
      </c>
      <c r="S435" s="5" t="str">
        <f ca="1">IFERROR(__xludf.DUMMYFUNCTION("""COMPUTED_VALUE"""),"Yes")</f>
        <v>Yes</v>
      </c>
      <c r="T435" s="5" t="str">
        <f ca="1">IFERROR(__xludf.DUMMYFUNCTION("""COMPUTED_VALUE"""),"No")</f>
        <v>No</v>
      </c>
      <c r="U435" s="5" t="str">
        <f ca="1">IFERROR(__xludf.DUMMYFUNCTION("""COMPUTED_VALUE"""),"No")</f>
        <v>No</v>
      </c>
      <c r="V435" s="5" t="str">
        <f ca="1">IFERROR(__xludf.DUMMYFUNCTION("""COMPUTED_VALUE"""),"No")</f>
        <v>No</v>
      </c>
      <c r="W435" s="5" t="str">
        <f ca="1">IFERROR(__xludf.DUMMYFUNCTION("""COMPUTED_VALUE"""),"No")</f>
        <v>No</v>
      </c>
      <c r="X435" s="5"/>
      <c r="Y435" s="5" t="str">
        <f ca="1">IFERROR(__xludf.DUMMYFUNCTION("""COMPUTED_VALUE"""),"Yes")</f>
        <v>Yes</v>
      </c>
      <c r="Z435" s="5"/>
      <c r="AA435" s="5"/>
      <c r="AB435" s="5"/>
      <c r="AC435" s="5" t="str">
        <f ca="1">IFERROR(__xludf.DUMMYFUNCTION("""COMPUTED_VALUE"""),"No")</f>
        <v>No</v>
      </c>
      <c r="AD435" s="5"/>
      <c r="AE435" s="5"/>
      <c r="AF435" s="5" t="str">
        <f ca="1">IFERROR(__xludf.DUMMYFUNCTION("""COMPUTED_VALUE"""),"No")</f>
        <v>No</v>
      </c>
      <c r="AG435" s="5"/>
      <c r="AH435" s="5"/>
      <c r="AI435" s="5"/>
      <c r="AJ435" s="5"/>
      <c r="AK435" s="5"/>
      <c r="AL435" s="5"/>
      <c r="AM435" s="5"/>
      <c r="AN435" s="5"/>
      <c r="AO435" s="5"/>
      <c r="AP435" s="5"/>
      <c r="AQ435" s="5"/>
      <c r="AR435" s="5"/>
      <c r="AS435" s="5"/>
      <c r="AT435" s="5"/>
      <c r="AU435" s="5"/>
      <c r="AV435" s="5"/>
      <c r="AW435" s="5"/>
      <c r="AX435" s="5"/>
      <c r="AY435" s="5"/>
    </row>
    <row r="436" spans="1:51" x14ac:dyDescent="0.25">
      <c r="A436" s="5" t="str">
        <f ca="1">IFERROR(__xludf.DUMMYFUNCTION("""COMPUTED_VALUE"""),"English(""eng""), Serbian(""""srp"",""srb""""), Montenegrian(""mne""), Bulgarian(""bul""), Spanish(""spa""), Portuguese(""por""), Italian(""ita""), Romanian(""rum/ron""), Croatian(""hrv""), French(""fre/fra""), German(""ger/deu""), Dutch(""dut/nld""), Tur"&amp;"kish(""tur""), Greek(""gre/ell""), Russian(""rus""), Social English(""sen""), Latvian(""lav""), Ukrainian(""ukr""), Chinese(""zho/chi"")")</f>
        <v>English("eng"), Serbian(""srp","srb""), Montenegrian("mne"), Bulgarian("bul"), Spanish("spa"), Portuguese("por"), Italian("ita"), Romanian("rum/ron"), Croatian("hrv"), French("fre/fra"), German("ger/deu"), Dutch("dut/nld"), Turkish("tur"), Greek("gre/ell"), Russian("rus"), Social English("sen"), Latvian("lav"), Ukrainian("ukr"), Chinese("zho/chi")</v>
      </c>
      <c r="B436" s="5">
        <f ca="1">IFERROR(__xludf.DUMMYFUNCTION("""COMPUTED_VALUE"""),452)</f>
        <v>452</v>
      </c>
      <c r="C436" s="5">
        <f ca="1">IFERROR(__xludf.DUMMYFUNCTION("""COMPUTED_VALUE"""),402)</f>
        <v>402</v>
      </c>
      <c r="D436" s="5" t="str">
        <f ca="1">IFERROR(__xludf.DUMMYFUNCTION("""COMPUTED_VALUE"""),"PlayNetCrownSpread40")</f>
        <v>PlayNetCrownSpread40</v>
      </c>
      <c r="E436" s="5" t="str">
        <f ca="1">IFERROR(__xludf.DUMMYFUNCTION("""COMPUTED_VALUE"""),"Yes")</f>
        <v>Yes</v>
      </c>
      <c r="F436" s="5" t="str">
        <f ca="1">IFERROR(__xludf.DUMMYFUNCTION("""COMPUTED_VALUE"""),"Yes")</f>
        <v>Yes</v>
      </c>
      <c r="G436" s="5" t="str">
        <f ca="1">IFERROR(__xludf.DUMMYFUNCTION("""COMPUTED_VALUE"""),"Yes")</f>
        <v>Yes</v>
      </c>
      <c r="H436" s="5" t="str">
        <f ca="1">IFERROR(__xludf.DUMMYFUNCTION("""COMPUTED_VALUE"""),"Yes")</f>
        <v>Yes</v>
      </c>
      <c r="I436" s="5" t="str">
        <f ca="1">IFERROR(__xludf.DUMMYFUNCTION("""COMPUTED_VALUE"""),"Yes")</f>
        <v>Yes</v>
      </c>
      <c r="J436" s="5" t="str">
        <f ca="1">IFERROR(__xludf.DUMMYFUNCTION("""COMPUTED_VALUE"""),"Yes")</f>
        <v>Yes</v>
      </c>
      <c r="K436" s="5" t="str">
        <f ca="1">IFERROR(__xludf.DUMMYFUNCTION("""COMPUTED_VALUE"""),"Yes")</f>
        <v>Yes</v>
      </c>
      <c r="L436" s="5" t="str">
        <f ca="1">IFERROR(__xludf.DUMMYFUNCTION("""COMPUTED_VALUE"""),"Yes")</f>
        <v>Yes</v>
      </c>
      <c r="M436" s="5" t="str">
        <f ca="1">IFERROR(__xludf.DUMMYFUNCTION("""COMPUTED_VALUE"""),"Yes")</f>
        <v>Yes</v>
      </c>
      <c r="N436" s="5" t="str">
        <f ca="1">IFERROR(__xludf.DUMMYFUNCTION("""COMPUTED_VALUE"""),"Yes")</f>
        <v>Yes</v>
      </c>
      <c r="O436" s="5" t="str">
        <f ca="1">IFERROR(__xludf.DUMMYFUNCTION("""COMPUTED_VALUE"""),"Yes")</f>
        <v>Yes</v>
      </c>
      <c r="P436" s="5" t="str">
        <f ca="1">IFERROR(__xludf.DUMMYFUNCTION("""COMPUTED_VALUE"""),"Yes")</f>
        <v>Yes</v>
      </c>
      <c r="Q436" s="5" t="str">
        <f ca="1">IFERROR(__xludf.DUMMYFUNCTION("""COMPUTED_VALUE"""),"Yes")</f>
        <v>Yes</v>
      </c>
      <c r="R436" s="5" t="str">
        <f ca="1">IFERROR(__xludf.DUMMYFUNCTION("""COMPUTED_VALUE"""),"Yes")</f>
        <v>Yes</v>
      </c>
      <c r="S436" s="5" t="str">
        <f ca="1">IFERROR(__xludf.DUMMYFUNCTION("""COMPUTED_VALUE"""),"Yes")</f>
        <v>Yes</v>
      </c>
      <c r="T436" s="5" t="str">
        <f ca="1">IFERROR(__xludf.DUMMYFUNCTION("""COMPUTED_VALUE"""),"No")</f>
        <v>No</v>
      </c>
      <c r="U436" s="5" t="str">
        <f ca="1">IFERROR(__xludf.DUMMYFUNCTION("""COMPUTED_VALUE"""),"No")</f>
        <v>No</v>
      </c>
      <c r="V436" s="5" t="str">
        <f ca="1">IFERROR(__xludf.DUMMYFUNCTION("""COMPUTED_VALUE"""),"No")</f>
        <v>No</v>
      </c>
      <c r="W436" s="5" t="str">
        <f ca="1">IFERROR(__xludf.DUMMYFUNCTION("""COMPUTED_VALUE"""),"No")</f>
        <v>No</v>
      </c>
      <c r="X436" s="5"/>
      <c r="Y436" s="5" t="str">
        <f ca="1">IFERROR(__xludf.DUMMYFUNCTION("""COMPUTED_VALUE"""),"Yes")</f>
        <v>Yes</v>
      </c>
      <c r="Z436" s="5"/>
      <c r="AA436" s="5"/>
      <c r="AB436" s="5"/>
      <c r="AC436" s="5" t="str">
        <f ca="1">IFERROR(__xludf.DUMMYFUNCTION("""COMPUTED_VALUE"""),"Yes")</f>
        <v>Yes</v>
      </c>
      <c r="AD436" s="5"/>
      <c r="AE436" s="5"/>
      <c r="AF436" s="5" t="str">
        <f ca="1">IFERROR(__xludf.DUMMYFUNCTION("""COMPUTED_VALUE"""),"Yes")</f>
        <v>Yes</v>
      </c>
      <c r="AG436" s="5"/>
      <c r="AH436" s="5" t="str">
        <f ca="1">IFERROR(__xludf.DUMMYFUNCTION("""COMPUTED_VALUE"""),"Yes")</f>
        <v>Yes</v>
      </c>
      <c r="AI436" s="5"/>
      <c r="AJ436" s="5"/>
      <c r="AK436" s="5"/>
      <c r="AL436" s="5"/>
      <c r="AM436" s="5"/>
      <c r="AN436" s="5"/>
      <c r="AO436" s="5"/>
      <c r="AP436" s="5"/>
      <c r="AQ436" s="5"/>
      <c r="AR436" s="5"/>
      <c r="AS436" s="5"/>
      <c r="AT436" s="5"/>
      <c r="AU436" s="5"/>
      <c r="AV436" s="5"/>
      <c r="AW436" s="5"/>
      <c r="AX436" s="5"/>
      <c r="AY436" s="5"/>
    </row>
    <row r="437" spans="1:51" x14ac:dyDescent="0.25">
      <c r="A4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7" s="5">
        <f ca="1">IFERROR(__xludf.DUMMYFUNCTION("""COMPUTED_VALUE"""),453)</f>
        <v>453</v>
      </c>
      <c r="C437" s="5">
        <f ca="1">IFERROR(__xludf.DUMMYFUNCTION("""COMPUTED_VALUE"""),401)</f>
        <v>401</v>
      </c>
      <c r="D437" s="5" t="str">
        <f ca="1">IFERROR(__xludf.DUMMYFUNCTION("""COMPUTED_VALUE"""),"UnicornDynamiteRunPlatinum")</f>
        <v>UnicornDynamiteRunPlatinum</v>
      </c>
      <c r="E437" s="5" t="str">
        <f ca="1">IFERROR(__xludf.DUMMYFUNCTION("""COMPUTED_VALUE"""),"Yes")</f>
        <v>Yes</v>
      </c>
      <c r="F437" s="5" t="str">
        <f ca="1">IFERROR(__xludf.DUMMYFUNCTION("""COMPUTED_VALUE"""),"Yes")</f>
        <v>Yes</v>
      </c>
      <c r="G437" s="5" t="str">
        <f ca="1">IFERROR(__xludf.DUMMYFUNCTION("""COMPUTED_VALUE"""),"Yes")</f>
        <v>Yes</v>
      </c>
      <c r="H437" s="5" t="str">
        <f ca="1">IFERROR(__xludf.DUMMYFUNCTION("""COMPUTED_VALUE"""),"Yes")</f>
        <v>Yes</v>
      </c>
      <c r="I437" s="5" t="str">
        <f ca="1">IFERROR(__xludf.DUMMYFUNCTION("""COMPUTED_VALUE"""),"Yes")</f>
        <v>Yes</v>
      </c>
      <c r="J437" s="5" t="str">
        <f ca="1">IFERROR(__xludf.DUMMYFUNCTION("""COMPUTED_VALUE"""),"Yes")</f>
        <v>Yes</v>
      </c>
      <c r="K437" s="5" t="str">
        <f ca="1">IFERROR(__xludf.DUMMYFUNCTION("""COMPUTED_VALUE"""),"Yes")</f>
        <v>Yes</v>
      </c>
      <c r="L437" s="5" t="str">
        <f ca="1">IFERROR(__xludf.DUMMYFUNCTION("""COMPUTED_VALUE"""),"Yes")</f>
        <v>Yes</v>
      </c>
      <c r="M437" s="5" t="str">
        <f ca="1">IFERROR(__xludf.DUMMYFUNCTION("""COMPUTED_VALUE"""),"Yes")</f>
        <v>Yes</v>
      </c>
      <c r="N437" s="5" t="str">
        <f ca="1">IFERROR(__xludf.DUMMYFUNCTION("""COMPUTED_VALUE"""),"Yes")</f>
        <v>Yes</v>
      </c>
      <c r="O437" s="5" t="str">
        <f ca="1">IFERROR(__xludf.DUMMYFUNCTION("""COMPUTED_VALUE"""),"Yes")</f>
        <v>Yes</v>
      </c>
      <c r="P437" s="5" t="str">
        <f ca="1">IFERROR(__xludf.DUMMYFUNCTION("""COMPUTED_VALUE"""),"Yes")</f>
        <v>Yes</v>
      </c>
      <c r="Q437" s="5" t="str">
        <f ca="1">IFERROR(__xludf.DUMMYFUNCTION("""COMPUTED_VALUE"""),"Yes")</f>
        <v>Yes</v>
      </c>
      <c r="R437" s="5" t="str">
        <f ca="1">IFERROR(__xludf.DUMMYFUNCTION("""COMPUTED_VALUE"""),"Yes")</f>
        <v>Yes</v>
      </c>
      <c r="S437" s="5" t="str">
        <f ca="1">IFERROR(__xludf.DUMMYFUNCTION("""COMPUTED_VALUE"""),"Yes")</f>
        <v>Yes</v>
      </c>
      <c r="T437" s="5" t="str">
        <f ca="1">IFERROR(__xludf.DUMMYFUNCTION("""COMPUTED_VALUE"""),"Yes")</f>
        <v>Yes</v>
      </c>
      <c r="U437" s="5" t="str">
        <f ca="1">IFERROR(__xludf.DUMMYFUNCTION("""COMPUTED_VALUE"""),"Yes")</f>
        <v>Yes</v>
      </c>
      <c r="V437" s="5" t="str">
        <f ca="1">IFERROR(__xludf.DUMMYFUNCTION("""COMPUTED_VALUE"""),"Yes")</f>
        <v>Yes</v>
      </c>
      <c r="W437" s="5" t="str">
        <f ca="1">IFERROR(__xludf.DUMMYFUNCTION("""COMPUTED_VALUE"""),"Yes")</f>
        <v>Yes</v>
      </c>
      <c r="X437" s="5"/>
      <c r="Y437" s="5"/>
      <c r="Z437" s="5"/>
      <c r="AA437" s="5"/>
      <c r="AB437" s="5"/>
      <c r="AC437" s="5" t="str">
        <f ca="1">IFERROR(__xludf.DUMMYFUNCTION("""COMPUTED_VALUE"""),"Yes")</f>
        <v>Yes</v>
      </c>
      <c r="AD437" s="5"/>
      <c r="AE437" s="5"/>
      <c r="AF437" s="5"/>
      <c r="AG437" s="5"/>
      <c r="AH437" s="5"/>
      <c r="AI437" s="5"/>
      <c r="AJ437" s="5"/>
      <c r="AK437" s="5"/>
      <c r="AL437" s="5"/>
      <c r="AM437" s="5"/>
      <c r="AN437" s="5"/>
      <c r="AO437" s="5"/>
      <c r="AP437" s="5"/>
      <c r="AQ437" s="5"/>
      <c r="AR437" s="5"/>
      <c r="AS437" s="5"/>
      <c r="AT437" s="5"/>
      <c r="AU437" s="5"/>
      <c r="AV437" s="5"/>
      <c r="AW437" s="5"/>
      <c r="AX437" s="5"/>
      <c r="AY437" s="5"/>
    </row>
    <row r="438" spans="1:51" x14ac:dyDescent="0.25">
      <c r="A4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8" s="5">
        <f ca="1">IFERROR(__xludf.DUMMYFUNCTION("""COMPUTED_VALUE"""),457)</f>
        <v>457</v>
      </c>
      <c r="C438" s="5">
        <f ca="1">IFERROR(__xludf.DUMMYFUNCTION("""COMPUTED_VALUE"""),399)</f>
        <v>399</v>
      </c>
      <c r="D438" s="5" t="str">
        <f ca="1">IFERROR(__xludf.DUMMYFUNCTION("""COMPUTED_VALUE"""),"UnicornBigHitSevens")</f>
        <v>UnicornBigHitSevens</v>
      </c>
      <c r="E438" s="5" t="str">
        <f ca="1">IFERROR(__xludf.DUMMYFUNCTION("""COMPUTED_VALUE"""),"Yes")</f>
        <v>Yes</v>
      </c>
      <c r="F438" s="5" t="str">
        <f ca="1">IFERROR(__xludf.DUMMYFUNCTION("""COMPUTED_VALUE"""),"Yes")</f>
        <v>Yes</v>
      </c>
      <c r="G438" s="5" t="str">
        <f ca="1">IFERROR(__xludf.DUMMYFUNCTION("""COMPUTED_VALUE"""),"Yes")</f>
        <v>Yes</v>
      </c>
      <c r="H438" s="5" t="str">
        <f ca="1">IFERROR(__xludf.DUMMYFUNCTION("""COMPUTED_VALUE"""),"Yes")</f>
        <v>Yes</v>
      </c>
      <c r="I438" s="5" t="str">
        <f ca="1">IFERROR(__xludf.DUMMYFUNCTION("""COMPUTED_VALUE"""),"Yes")</f>
        <v>Yes</v>
      </c>
      <c r="J438" s="5" t="str">
        <f ca="1">IFERROR(__xludf.DUMMYFUNCTION("""COMPUTED_VALUE"""),"Yes")</f>
        <v>Yes</v>
      </c>
      <c r="K438" s="5" t="str">
        <f ca="1">IFERROR(__xludf.DUMMYFUNCTION("""COMPUTED_VALUE"""),"Yes")</f>
        <v>Yes</v>
      </c>
      <c r="L438" s="5" t="str">
        <f ca="1">IFERROR(__xludf.DUMMYFUNCTION("""COMPUTED_VALUE"""),"Yes")</f>
        <v>Yes</v>
      </c>
      <c r="M438" s="5" t="str">
        <f ca="1">IFERROR(__xludf.DUMMYFUNCTION("""COMPUTED_VALUE"""),"Yes")</f>
        <v>Yes</v>
      </c>
      <c r="N438" s="5" t="str">
        <f ca="1">IFERROR(__xludf.DUMMYFUNCTION("""COMPUTED_VALUE"""),"Yes")</f>
        <v>Yes</v>
      </c>
      <c r="O438" s="5" t="str">
        <f ca="1">IFERROR(__xludf.DUMMYFUNCTION("""COMPUTED_VALUE"""),"Yes")</f>
        <v>Yes</v>
      </c>
      <c r="P438" s="5" t="str">
        <f ca="1">IFERROR(__xludf.DUMMYFUNCTION("""COMPUTED_VALUE"""),"Yes")</f>
        <v>Yes</v>
      </c>
      <c r="Q438" s="5" t="str">
        <f ca="1">IFERROR(__xludf.DUMMYFUNCTION("""COMPUTED_VALUE"""),"Yes")</f>
        <v>Yes</v>
      </c>
      <c r="R438" s="5" t="str">
        <f ca="1">IFERROR(__xludf.DUMMYFUNCTION("""COMPUTED_VALUE"""),"Yes")</f>
        <v>Yes</v>
      </c>
      <c r="S438" s="5" t="str">
        <f ca="1">IFERROR(__xludf.DUMMYFUNCTION("""COMPUTED_VALUE"""),"Yes")</f>
        <v>Yes</v>
      </c>
      <c r="T438" s="5" t="str">
        <f ca="1">IFERROR(__xludf.DUMMYFUNCTION("""COMPUTED_VALUE"""),"Yes")</f>
        <v>Yes</v>
      </c>
      <c r="U438" s="5" t="str">
        <f ca="1">IFERROR(__xludf.DUMMYFUNCTION("""COMPUTED_VALUE"""),"Yes")</f>
        <v>Yes</v>
      </c>
      <c r="V438" s="5" t="str">
        <f ca="1">IFERROR(__xludf.DUMMYFUNCTION("""COMPUTED_VALUE"""),"Yes")</f>
        <v>Yes</v>
      </c>
      <c r="W438" s="5" t="str">
        <f ca="1">IFERROR(__xludf.DUMMYFUNCTION("""COMPUTED_VALUE"""),"Yes")</f>
        <v>Yes</v>
      </c>
      <c r="X438" s="5"/>
      <c r="Y438" s="5"/>
      <c r="Z438" s="5"/>
      <c r="AA438" s="5"/>
      <c r="AB438" s="5"/>
      <c r="AC438" s="5" t="str">
        <f ca="1">IFERROR(__xludf.DUMMYFUNCTION("""COMPUTED_VALUE"""),"Yes")</f>
        <v>Yes</v>
      </c>
      <c r="AD438" s="5"/>
      <c r="AE438" s="5"/>
      <c r="AF438" s="5"/>
      <c r="AG438" s="5"/>
      <c r="AH438" s="5"/>
      <c r="AI438" s="5"/>
      <c r="AJ438" s="5"/>
      <c r="AK438" s="5"/>
      <c r="AL438" s="5"/>
      <c r="AM438" s="5"/>
      <c r="AN438" s="5"/>
      <c r="AO438" s="5"/>
      <c r="AP438" s="5"/>
      <c r="AQ438" s="5"/>
      <c r="AR438" s="5"/>
      <c r="AS438" s="5"/>
      <c r="AT438" s="5"/>
      <c r="AU438" s="5"/>
      <c r="AV438" s="5"/>
      <c r="AW438" s="5"/>
      <c r="AX438" s="5"/>
      <c r="AY438" s="5"/>
    </row>
    <row r="439" spans="1:51" x14ac:dyDescent="0.25">
      <c r="A4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9" s="5">
        <f ca="1">IFERROR(__xludf.DUMMYFUNCTION("""COMPUTED_VALUE"""),461)</f>
        <v>461</v>
      </c>
      <c r="C439" s="5">
        <f ca="1">IFERROR(__xludf.DUMMYFUNCTION("""COMPUTED_VALUE"""),999965)</f>
        <v>999965</v>
      </c>
      <c r="D439" s="5" t="str">
        <f ca="1">IFERROR(__xludf.DUMMYFUNCTION("""COMPUTED_VALUE"""),"Placeholder 1")</f>
        <v>Placeholder 1</v>
      </c>
      <c r="E439" s="5" t="str">
        <f ca="1">IFERROR(__xludf.DUMMYFUNCTION("""COMPUTED_VALUE"""),"Yes")</f>
        <v>Yes</v>
      </c>
      <c r="F439" s="5" t="str">
        <f ca="1">IFERROR(__xludf.DUMMYFUNCTION("""COMPUTED_VALUE"""),"Yes")</f>
        <v>Yes</v>
      </c>
      <c r="G439" s="5" t="str">
        <f ca="1">IFERROR(__xludf.DUMMYFUNCTION("""COMPUTED_VALUE"""),"Yes")</f>
        <v>Yes</v>
      </c>
      <c r="H439" s="5" t="str">
        <f ca="1">IFERROR(__xludf.DUMMYFUNCTION("""COMPUTED_VALUE"""),"Yes")</f>
        <v>Yes</v>
      </c>
      <c r="I439" s="5" t="str">
        <f ca="1">IFERROR(__xludf.DUMMYFUNCTION("""COMPUTED_VALUE"""),"Yes")</f>
        <v>Yes</v>
      </c>
      <c r="J439" s="5" t="str">
        <f ca="1">IFERROR(__xludf.DUMMYFUNCTION("""COMPUTED_VALUE"""),"Yes")</f>
        <v>Yes</v>
      </c>
      <c r="K439" s="5" t="str">
        <f ca="1">IFERROR(__xludf.DUMMYFUNCTION("""COMPUTED_VALUE"""),"Yes")</f>
        <v>Yes</v>
      </c>
      <c r="L439" s="5" t="str">
        <f ca="1">IFERROR(__xludf.DUMMYFUNCTION("""COMPUTED_VALUE"""),"Yes")</f>
        <v>Yes</v>
      </c>
      <c r="M439" s="5" t="str">
        <f ca="1">IFERROR(__xludf.DUMMYFUNCTION("""COMPUTED_VALUE"""),"Yes")</f>
        <v>Yes</v>
      </c>
      <c r="N439" s="5" t="str">
        <f ca="1">IFERROR(__xludf.DUMMYFUNCTION("""COMPUTED_VALUE"""),"Yes")</f>
        <v>Yes</v>
      </c>
      <c r="O439" s="5" t="str">
        <f ca="1">IFERROR(__xludf.DUMMYFUNCTION("""COMPUTED_VALUE"""),"Yes")</f>
        <v>Yes</v>
      </c>
      <c r="P439" s="5" t="str">
        <f ca="1">IFERROR(__xludf.DUMMYFUNCTION("""COMPUTED_VALUE"""),"Yes")</f>
        <v>Yes</v>
      </c>
      <c r="Q439" s="5" t="str">
        <f ca="1">IFERROR(__xludf.DUMMYFUNCTION("""COMPUTED_VALUE"""),"Yes")</f>
        <v>Yes</v>
      </c>
      <c r="R439" s="5" t="str">
        <f ca="1">IFERROR(__xludf.DUMMYFUNCTION("""COMPUTED_VALUE"""),"Yes")</f>
        <v>Yes</v>
      </c>
      <c r="S439" s="5" t="str">
        <f ca="1">IFERROR(__xludf.DUMMYFUNCTION("""COMPUTED_VALUE"""),"Yes")</f>
        <v>Yes</v>
      </c>
      <c r="T439" s="5" t="str">
        <f ca="1">IFERROR(__xludf.DUMMYFUNCTION("""COMPUTED_VALUE"""),"Yes")</f>
        <v>Yes</v>
      </c>
      <c r="U439" s="5" t="str">
        <f ca="1">IFERROR(__xludf.DUMMYFUNCTION("""COMPUTED_VALUE"""),"Yes")</f>
        <v>Yes</v>
      </c>
      <c r="V439" s="5" t="str">
        <f ca="1">IFERROR(__xludf.DUMMYFUNCTION("""COMPUTED_VALUE"""),"Yes")</f>
        <v>Yes</v>
      </c>
      <c r="W439" s="5" t="str">
        <f ca="1">IFERROR(__xludf.DUMMYFUNCTION("""COMPUTED_VALUE"""),"Yes")</f>
        <v>Yes</v>
      </c>
      <c r="X439" s="5"/>
      <c r="Y439" s="5"/>
      <c r="Z439" s="5"/>
      <c r="AA439" s="5"/>
      <c r="AB439" s="5"/>
      <c r="AC439" s="5" t="str">
        <f ca="1">IFERROR(__xludf.DUMMYFUNCTION("""COMPUTED_VALUE"""),"Yes")</f>
        <v>Yes</v>
      </c>
      <c r="AD439" s="5"/>
      <c r="AE439" s="5"/>
      <c r="AF439" s="5"/>
      <c r="AG439" s="5"/>
      <c r="AH439" s="5"/>
      <c r="AI439" s="5"/>
      <c r="AJ439" s="5"/>
      <c r="AK439" s="5"/>
      <c r="AL439" s="5"/>
      <c r="AM439" s="5"/>
      <c r="AN439" s="5"/>
      <c r="AO439" s="5"/>
      <c r="AP439" s="5"/>
      <c r="AQ439" s="5"/>
      <c r="AR439" s="5"/>
      <c r="AS439" s="5"/>
      <c r="AT439" s="5"/>
      <c r="AU439" s="5"/>
      <c r="AV439" s="5"/>
      <c r="AW439" s="5"/>
      <c r="AX439" s="5"/>
      <c r="AY439" s="5"/>
    </row>
    <row r="440" spans="1:51" x14ac:dyDescent="0.25">
      <c r="A44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0" s="5">
        <f ca="1">IFERROR(__xludf.DUMMYFUNCTION("""COMPUTED_VALUE"""),462)</f>
        <v>462</v>
      </c>
      <c r="C440" s="5">
        <f ca="1">IFERROR(__xludf.DUMMYFUNCTION("""COMPUTED_VALUE"""),999964)</f>
        <v>999964</v>
      </c>
      <c r="D440" s="5" t="str">
        <f ca="1">IFERROR(__xludf.DUMMYFUNCTION("""COMPUTED_VALUE"""),"Placeholder 2")</f>
        <v>Placeholder 2</v>
      </c>
      <c r="E440" s="5" t="str">
        <f ca="1">IFERROR(__xludf.DUMMYFUNCTION("""COMPUTED_VALUE"""),"Yes")</f>
        <v>Yes</v>
      </c>
      <c r="F440" s="5" t="str">
        <f ca="1">IFERROR(__xludf.DUMMYFUNCTION("""COMPUTED_VALUE"""),"Yes")</f>
        <v>Yes</v>
      </c>
      <c r="G440" s="5" t="str">
        <f ca="1">IFERROR(__xludf.DUMMYFUNCTION("""COMPUTED_VALUE"""),"Yes")</f>
        <v>Yes</v>
      </c>
      <c r="H440" s="5" t="str">
        <f ca="1">IFERROR(__xludf.DUMMYFUNCTION("""COMPUTED_VALUE"""),"No")</f>
        <v>No</v>
      </c>
      <c r="I440" s="5" t="str">
        <f ca="1">IFERROR(__xludf.DUMMYFUNCTION("""COMPUTED_VALUE"""),"No")</f>
        <v>No</v>
      </c>
      <c r="J440" s="5" t="str">
        <f ca="1">IFERROR(__xludf.DUMMYFUNCTION("""COMPUTED_VALUE"""),"No")</f>
        <v>No</v>
      </c>
      <c r="K440" s="5" t="str">
        <f ca="1">IFERROR(__xludf.DUMMYFUNCTION("""COMPUTED_VALUE"""),"No")</f>
        <v>No</v>
      </c>
      <c r="L440" s="5" t="str">
        <f ca="1">IFERROR(__xludf.DUMMYFUNCTION("""COMPUTED_VALUE"""),"No")</f>
        <v>No</v>
      </c>
      <c r="M440" s="5" t="str">
        <f ca="1">IFERROR(__xludf.DUMMYFUNCTION("""COMPUTED_VALUE"""),"Yes")</f>
        <v>Yes</v>
      </c>
      <c r="N440" s="5" t="str">
        <f ca="1">IFERROR(__xludf.DUMMYFUNCTION("""COMPUTED_VALUE"""),"Yes")</f>
        <v>Yes</v>
      </c>
      <c r="O440" s="5" t="str">
        <f ca="1">IFERROR(__xludf.DUMMYFUNCTION("""COMPUTED_VALUE"""),"Yes")</f>
        <v>Yes</v>
      </c>
      <c r="P440" s="5" t="str">
        <f ca="1">IFERROR(__xludf.DUMMYFUNCTION("""COMPUTED_VALUE"""),"Yes")</f>
        <v>Yes</v>
      </c>
      <c r="Q440" s="5" t="str">
        <f ca="1">IFERROR(__xludf.DUMMYFUNCTION("""COMPUTED_VALUE"""),"Yes")</f>
        <v>Yes</v>
      </c>
      <c r="R440" s="5" t="str">
        <f ca="1">IFERROR(__xludf.DUMMYFUNCTION("""COMPUTED_VALUE"""),"No")</f>
        <v>No</v>
      </c>
      <c r="S440" s="5" t="str">
        <f ca="1">IFERROR(__xludf.DUMMYFUNCTION("""COMPUTED_VALUE"""),"Yes")</f>
        <v>Yes</v>
      </c>
      <c r="T440" s="5" t="str">
        <f ca="1">IFERROR(__xludf.DUMMYFUNCTION("""COMPUTED_VALUE"""),"No")</f>
        <v>No</v>
      </c>
      <c r="U440" s="5" t="str">
        <f ca="1">IFERROR(__xludf.DUMMYFUNCTION("""COMPUTED_VALUE"""),"No")</f>
        <v>No</v>
      </c>
      <c r="V440" s="5" t="str">
        <f ca="1">IFERROR(__xludf.DUMMYFUNCTION("""COMPUTED_VALUE"""),"No")</f>
        <v>No</v>
      </c>
      <c r="W440" s="5" t="str">
        <f ca="1">IFERROR(__xludf.DUMMYFUNCTION("""COMPUTED_VALUE"""),"No")</f>
        <v>No</v>
      </c>
      <c r="X440" s="5"/>
      <c r="Y440" s="5"/>
      <c r="Z440" s="5"/>
      <c r="AA440" s="5" t="str">
        <f ca="1">IFERROR(__xludf.DUMMYFUNCTION("""COMPUTED_VALUE"""),"Yes")</f>
        <v>Yes</v>
      </c>
      <c r="AB440" s="5"/>
      <c r="AC440" s="5" t="str">
        <f ca="1">IFERROR(__xludf.DUMMYFUNCTION("""COMPUTED_VALUE"""),"No")</f>
        <v>No</v>
      </c>
      <c r="AD440" s="5"/>
      <c r="AE440" s="5"/>
      <c r="AF440" s="5" t="str">
        <f ca="1">IFERROR(__xludf.DUMMYFUNCTION("""COMPUTED_VALUE"""),"Yes")</f>
        <v>Yes</v>
      </c>
      <c r="AG440" s="5"/>
      <c r="AH440" s="5"/>
      <c r="AI440" s="5"/>
      <c r="AJ440" s="5"/>
      <c r="AK440" s="5"/>
      <c r="AL440" s="5" t="str">
        <f ca="1">IFERROR(__xludf.DUMMYFUNCTION("""COMPUTED_VALUE"""),"Yes")</f>
        <v>Yes</v>
      </c>
      <c r="AM440" s="5"/>
      <c r="AN440" s="5"/>
      <c r="AO440" s="5"/>
      <c r="AP440" s="5"/>
      <c r="AQ440" s="5"/>
      <c r="AR440" s="5"/>
      <c r="AS440" s="5"/>
      <c r="AT440" s="5"/>
      <c r="AU440" s="5"/>
      <c r="AV440" s="5"/>
      <c r="AW440" s="5"/>
      <c r="AX440" s="5"/>
      <c r="AY440" s="5"/>
    </row>
    <row r="441" spans="1:51" x14ac:dyDescent="0.25">
      <c r="A44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1" s="5">
        <f ca="1">IFERROR(__xludf.DUMMYFUNCTION("""COMPUTED_VALUE"""),463)</f>
        <v>463</v>
      </c>
      <c r="C441" s="5">
        <f ca="1">IFERROR(__xludf.DUMMYFUNCTION("""COMPUTED_VALUE"""),999963)</f>
        <v>999963</v>
      </c>
      <c r="D441" s="5" t="str">
        <f ca="1">IFERROR(__xludf.DUMMYFUNCTION("""COMPUTED_VALUE"""),"Placeholder 3")</f>
        <v>Placeholder 3</v>
      </c>
      <c r="E441" s="5" t="str">
        <f ca="1">IFERROR(__xludf.DUMMYFUNCTION("""COMPUTED_VALUE"""),"Yes")</f>
        <v>Yes</v>
      </c>
      <c r="F441" s="5" t="str">
        <f ca="1">IFERROR(__xludf.DUMMYFUNCTION("""COMPUTED_VALUE"""),"Yes")</f>
        <v>Yes</v>
      </c>
      <c r="G441" s="5" t="str">
        <f ca="1">IFERROR(__xludf.DUMMYFUNCTION("""COMPUTED_VALUE"""),"Yes")</f>
        <v>Yes</v>
      </c>
      <c r="H441" s="5" t="str">
        <f ca="1">IFERROR(__xludf.DUMMYFUNCTION("""COMPUTED_VALUE"""),"No")</f>
        <v>No</v>
      </c>
      <c r="I441" s="5" t="str">
        <f ca="1">IFERROR(__xludf.DUMMYFUNCTION("""COMPUTED_VALUE"""),"No")</f>
        <v>No</v>
      </c>
      <c r="J441" s="5" t="str">
        <f ca="1">IFERROR(__xludf.DUMMYFUNCTION("""COMPUTED_VALUE"""),"No")</f>
        <v>No</v>
      </c>
      <c r="K441" s="5" t="str">
        <f ca="1">IFERROR(__xludf.DUMMYFUNCTION("""COMPUTED_VALUE"""),"No")</f>
        <v>No</v>
      </c>
      <c r="L441" s="5" t="str">
        <f ca="1">IFERROR(__xludf.DUMMYFUNCTION("""COMPUTED_VALUE"""),"No")</f>
        <v>No</v>
      </c>
      <c r="M441" s="5" t="str">
        <f ca="1">IFERROR(__xludf.DUMMYFUNCTION("""COMPUTED_VALUE"""),"Yes")</f>
        <v>Yes</v>
      </c>
      <c r="N441" s="5" t="str">
        <f ca="1">IFERROR(__xludf.DUMMYFUNCTION("""COMPUTED_VALUE"""),"Yes")</f>
        <v>Yes</v>
      </c>
      <c r="O441" s="5" t="str">
        <f ca="1">IFERROR(__xludf.DUMMYFUNCTION("""COMPUTED_VALUE"""),"Yes")</f>
        <v>Yes</v>
      </c>
      <c r="P441" s="5" t="str">
        <f ca="1">IFERROR(__xludf.DUMMYFUNCTION("""COMPUTED_VALUE"""),"Yes")</f>
        <v>Yes</v>
      </c>
      <c r="Q441" s="5" t="str">
        <f ca="1">IFERROR(__xludf.DUMMYFUNCTION("""COMPUTED_VALUE"""),"Yes")</f>
        <v>Yes</v>
      </c>
      <c r="R441" s="5" t="str">
        <f ca="1">IFERROR(__xludf.DUMMYFUNCTION("""COMPUTED_VALUE"""),"No")</f>
        <v>No</v>
      </c>
      <c r="S441" s="5" t="str">
        <f ca="1">IFERROR(__xludf.DUMMYFUNCTION("""COMPUTED_VALUE"""),"Yes")</f>
        <v>Yes</v>
      </c>
      <c r="T441" s="5" t="str">
        <f ca="1">IFERROR(__xludf.DUMMYFUNCTION("""COMPUTED_VALUE"""),"No")</f>
        <v>No</v>
      </c>
      <c r="U441" s="5" t="str">
        <f ca="1">IFERROR(__xludf.DUMMYFUNCTION("""COMPUTED_VALUE"""),"No")</f>
        <v>No</v>
      </c>
      <c r="V441" s="5" t="str">
        <f ca="1">IFERROR(__xludf.DUMMYFUNCTION("""COMPUTED_VALUE"""),"No")</f>
        <v>No</v>
      </c>
      <c r="W441" s="5" t="str">
        <f ca="1">IFERROR(__xludf.DUMMYFUNCTION("""COMPUTED_VALUE"""),"No")</f>
        <v>No</v>
      </c>
      <c r="X441" s="5"/>
      <c r="Y441" s="5"/>
      <c r="Z441" s="5"/>
      <c r="AA441" s="5" t="str">
        <f ca="1">IFERROR(__xludf.DUMMYFUNCTION("""COMPUTED_VALUE"""),"Yes")</f>
        <v>Yes</v>
      </c>
      <c r="AB441" s="5"/>
      <c r="AC441" s="5" t="str">
        <f ca="1">IFERROR(__xludf.DUMMYFUNCTION("""COMPUTED_VALUE"""),"No")</f>
        <v>No</v>
      </c>
      <c r="AD441" s="5"/>
      <c r="AE441" s="5"/>
      <c r="AF441" s="5" t="str">
        <f ca="1">IFERROR(__xludf.DUMMYFUNCTION("""COMPUTED_VALUE"""),"Yes")</f>
        <v>Yes</v>
      </c>
      <c r="AG441" s="5"/>
      <c r="AH441" s="5"/>
      <c r="AI441" s="5"/>
      <c r="AJ441" s="5"/>
      <c r="AK441" s="5"/>
      <c r="AL441" s="5" t="str">
        <f ca="1">IFERROR(__xludf.DUMMYFUNCTION("""COMPUTED_VALUE"""),"Yes")</f>
        <v>Yes</v>
      </c>
      <c r="AM441" s="5"/>
      <c r="AN441" s="5"/>
      <c r="AO441" s="5"/>
      <c r="AP441" s="5"/>
      <c r="AQ441" s="5"/>
      <c r="AR441" s="5"/>
      <c r="AS441" s="5"/>
      <c r="AT441" s="5"/>
      <c r="AU441" s="5"/>
      <c r="AV441" s="5"/>
      <c r="AW441" s="5"/>
      <c r="AX441" s="5"/>
      <c r="AY441" s="5"/>
    </row>
    <row r="442" spans="1:51" x14ac:dyDescent="0.25">
      <c r="A4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42" s="5">
        <f ca="1">IFERROR(__xludf.DUMMYFUNCTION("""COMPUTED_VALUE"""),464)</f>
        <v>464</v>
      </c>
      <c r="C442" s="5">
        <f ca="1">IFERROR(__xludf.DUMMYFUNCTION("""COMPUTED_VALUE"""),999962)</f>
        <v>999962</v>
      </c>
      <c r="D442" s="5" t="str">
        <f ca="1">IFERROR(__xludf.DUMMYFUNCTION("""COMPUTED_VALUE"""),"Placeholder 4")</f>
        <v>Placeholder 4</v>
      </c>
      <c r="E442" s="5" t="str">
        <f ca="1">IFERROR(__xludf.DUMMYFUNCTION("""COMPUTED_VALUE"""),"Yes")</f>
        <v>Yes</v>
      </c>
      <c r="F442" s="5" t="str">
        <f ca="1">IFERROR(__xludf.DUMMYFUNCTION("""COMPUTED_VALUE"""),"Yes")</f>
        <v>Yes</v>
      </c>
      <c r="G442" s="5" t="str">
        <f ca="1">IFERROR(__xludf.DUMMYFUNCTION("""COMPUTED_VALUE"""),"Yes")</f>
        <v>Yes</v>
      </c>
      <c r="H442" s="5" t="str">
        <f ca="1">IFERROR(__xludf.DUMMYFUNCTION("""COMPUTED_VALUE"""),"Yes")</f>
        <v>Yes</v>
      </c>
      <c r="I442" s="5" t="str">
        <f ca="1">IFERROR(__xludf.DUMMYFUNCTION("""COMPUTED_VALUE"""),"Yes")</f>
        <v>Yes</v>
      </c>
      <c r="J442" s="5" t="str">
        <f ca="1">IFERROR(__xludf.DUMMYFUNCTION("""COMPUTED_VALUE"""),"Yes")</f>
        <v>Yes</v>
      </c>
      <c r="K442" s="5" t="str">
        <f ca="1">IFERROR(__xludf.DUMMYFUNCTION("""COMPUTED_VALUE"""),"Yes")</f>
        <v>Yes</v>
      </c>
      <c r="L442" s="5" t="str">
        <f ca="1">IFERROR(__xludf.DUMMYFUNCTION("""COMPUTED_VALUE"""),"Yes")</f>
        <v>Yes</v>
      </c>
      <c r="M442" s="5" t="str">
        <f ca="1">IFERROR(__xludf.DUMMYFUNCTION("""COMPUTED_VALUE"""),"Yes")</f>
        <v>Yes</v>
      </c>
      <c r="N442" s="5" t="str">
        <f ca="1">IFERROR(__xludf.DUMMYFUNCTION("""COMPUTED_VALUE"""),"Yes")</f>
        <v>Yes</v>
      </c>
      <c r="O442" s="5" t="str">
        <f ca="1">IFERROR(__xludf.DUMMYFUNCTION("""COMPUTED_VALUE"""),"Yes")</f>
        <v>Yes</v>
      </c>
      <c r="P442" s="5" t="str">
        <f ca="1">IFERROR(__xludf.DUMMYFUNCTION("""COMPUTED_VALUE"""),"Yes")</f>
        <v>Yes</v>
      </c>
      <c r="Q442" s="5" t="str">
        <f ca="1">IFERROR(__xludf.DUMMYFUNCTION("""COMPUTED_VALUE"""),"Yes")</f>
        <v>Yes</v>
      </c>
      <c r="R442" s="5" t="str">
        <f ca="1">IFERROR(__xludf.DUMMYFUNCTION("""COMPUTED_VALUE"""),"Yes")</f>
        <v>Yes</v>
      </c>
      <c r="S442" s="5" t="str">
        <f ca="1">IFERROR(__xludf.DUMMYFUNCTION("""COMPUTED_VALUE"""),"Yes")</f>
        <v>Yes</v>
      </c>
      <c r="T442" s="5" t="str">
        <f ca="1">IFERROR(__xludf.DUMMYFUNCTION("""COMPUTED_VALUE"""),"Yes")</f>
        <v>Yes</v>
      </c>
      <c r="U442" s="5" t="str">
        <f ca="1">IFERROR(__xludf.DUMMYFUNCTION("""COMPUTED_VALUE"""),"Yes")</f>
        <v>Yes</v>
      </c>
      <c r="V442" s="5" t="str">
        <f ca="1">IFERROR(__xludf.DUMMYFUNCTION("""COMPUTED_VALUE"""),"Yes")</f>
        <v>Yes</v>
      </c>
      <c r="W442" s="5" t="str">
        <f ca="1">IFERROR(__xludf.DUMMYFUNCTION("""COMPUTED_VALUE"""),"Yes")</f>
        <v>Yes</v>
      </c>
      <c r="X442" s="5"/>
      <c r="Y442" s="5"/>
      <c r="Z442" s="5"/>
      <c r="AA442" s="5"/>
      <c r="AB442" s="5"/>
      <c r="AC442" s="5" t="str">
        <f ca="1">IFERROR(__xludf.DUMMYFUNCTION("""COMPUTED_VALUE"""),"Yes")</f>
        <v>Yes</v>
      </c>
      <c r="AD442" s="5"/>
      <c r="AE442" s="5"/>
      <c r="AF442" s="5"/>
      <c r="AG442" s="5"/>
      <c r="AH442" s="5"/>
      <c r="AI442" s="5"/>
      <c r="AJ442" s="5"/>
      <c r="AK442" s="5"/>
      <c r="AL442" s="5"/>
      <c r="AM442" s="5"/>
      <c r="AN442" s="5"/>
      <c r="AO442" s="5"/>
      <c r="AP442" s="5"/>
      <c r="AQ442" s="5"/>
      <c r="AR442" s="5"/>
      <c r="AS442" s="5"/>
      <c r="AT442" s="5"/>
      <c r="AU442" s="5"/>
      <c r="AV442" s="5"/>
      <c r="AW442" s="5"/>
      <c r="AX442" s="5"/>
      <c r="AY442" s="5"/>
    </row>
    <row r="443" spans="1:51" x14ac:dyDescent="0.25">
      <c r="A44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3" s="5">
        <f ca="1">IFERROR(__xludf.DUMMYFUNCTION("""COMPUTED_VALUE"""),466)</f>
        <v>466</v>
      </c>
      <c r="C443" s="5">
        <f ca="1">IFERROR(__xludf.DUMMYFUNCTION("""COMPUTED_VALUE"""),387)</f>
        <v>387</v>
      </c>
      <c r="D443" s="5" t="str">
        <f ca="1">IFERROR(__xludf.DUMMYFUNCTION("""COMPUTED_VALUE"""),"UnicornSupremeSevens")</f>
        <v>UnicornSupremeSevens</v>
      </c>
      <c r="E443" s="5" t="str">
        <f ca="1">IFERROR(__xludf.DUMMYFUNCTION("""COMPUTED_VALUE"""),"Yes")</f>
        <v>Yes</v>
      </c>
      <c r="F443" s="5" t="str">
        <f ca="1">IFERROR(__xludf.DUMMYFUNCTION("""COMPUTED_VALUE"""),"Yes")</f>
        <v>Yes</v>
      </c>
      <c r="G443" s="5" t="str">
        <f ca="1">IFERROR(__xludf.DUMMYFUNCTION("""COMPUTED_VALUE"""),"Yes")</f>
        <v>Yes</v>
      </c>
      <c r="H443" s="5" t="str">
        <f ca="1">IFERROR(__xludf.DUMMYFUNCTION("""COMPUTED_VALUE"""),"No")</f>
        <v>No</v>
      </c>
      <c r="I443" s="5" t="str">
        <f ca="1">IFERROR(__xludf.DUMMYFUNCTION("""COMPUTED_VALUE"""),"No")</f>
        <v>No</v>
      </c>
      <c r="J443" s="5" t="str">
        <f ca="1">IFERROR(__xludf.DUMMYFUNCTION("""COMPUTED_VALUE"""),"No")</f>
        <v>No</v>
      </c>
      <c r="K443" s="5" t="str">
        <f ca="1">IFERROR(__xludf.DUMMYFUNCTION("""COMPUTED_VALUE"""),"No")</f>
        <v>No</v>
      </c>
      <c r="L443" s="5" t="str">
        <f ca="1">IFERROR(__xludf.DUMMYFUNCTION("""COMPUTED_VALUE"""),"No")</f>
        <v>No</v>
      </c>
      <c r="M443" s="5" t="str">
        <f ca="1">IFERROR(__xludf.DUMMYFUNCTION("""COMPUTED_VALUE"""),"Yes")</f>
        <v>Yes</v>
      </c>
      <c r="N443" s="5" t="str">
        <f ca="1">IFERROR(__xludf.DUMMYFUNCTION("""COMPUTED_VALUE"""),"Yes")</f>
        <v>Yes</v>
      </c>
      <c r="O443" s="5" t="str">
        <f ca="1">IFERROR(__xludf.DUMMYFUNCTION("""COMPUTED_VALUE"""),"Yes")</f>
        <v>Yes</v>
      </c>
      <c r="P443" s="5" t="str">
        <f ca="1">IFERROR(__xludf.DUMMYFUNCTION("""COMPUTED_VALUE"""),"Yes")</f>
        <v>Yes</v>
      </c>
      <c r="Q443" s="5" t="str">
        <f ca="1">IFERROR(__xludf.DUMMYFUNCTION("""COMPUTED_VALUE"""),"Yes")</f>
        <v>Yes</v>
      </c>
      <c r="R443" s="5" t="str">
        <f ca="1">IFERROR(__xludf.DUMMYFUNCTION("""COMPUTED_VALUE"""),"No")</f>
        <v>No</v>
      </c>
      <c r="S443" s="5" t="str">
        <f ca="1">IFERROR(__xludf.DUMMYFUNCTION("""COMPUTED_VALUE"""),"Yes")</f>
        <v>Yes</v>
      </c>
      <c r="T443" s="5" t="str">
        <f ca="1">IFERROR(__xludf.DUMMYFUNCTION("""COMPUTED_VALUE"""),"No")</f>
        <v>No</v>
      </c>
      <c r="U443" s="5" t="str">
        <f ca="1">IFERROR(__xludf.DUMMYFUNCTION("""COMPUTED_VALUE"""),"No")</f>
        <v>No</v>
      </c>
      <c r="V443" s="5" t="str">
        <f ca="1">IFERROR(__xludf.DUMMYFUNCTION("""COMPUTED_VALUE"""),"No")</f>
        <v>No</v>
      </c>
      <c r="W443" s="5" t="str">
        <f ca="1">IFERROR(__xludf.DUMMYFUNCTION("""COMPUTED_VALUE"""),"No")</f>
        <v>No</v>
      </c>
      <c r="X443" s="5"/>
      <c r="Y443" s="5"/>
      <c r="Z443" s="5"/>
      <c r="AA443" s="5" t="str">
        <f ca="1">IFERROR(__xludf.DUMMYFUNCTION("""COMPUTED_VALUE"""),"Yes")</f>
        <v>Yes</v>
      </c>
      <c r="AB443" s="5"/>
      <c r="AC443" s="5" t="str">
        <f ca="1">IFERROR(__xludf.DUMMYFUNCTION("""COMPUTED_VALUE"""),"No")</f>
        <v>No</v>
      </c>
      <c r="AD443" s="5"/>
      <c r="AE443" s="5"/>
      <c r="AF443" s="5" t="str">
        <f ca="1">IFERROR(__xludf.DUMMYFUNCTION("""COMPUTED_VALUE"""),"Yes")</f>
        <v>Yes</v>
      </c>
      <c r="AG443" s="5"/>
      <c r="AH443" s="5"/>
      <c r="AI443" s="5"/>
      <c r="AJ443" s="5"/>
      <c r="AK443" s="5"/>
      <c r="AL443" s="5" t="str">
        <f ca="1">IFERROR(__xludf.DUMMYFUNCTION("""COMPUTED_VALUE"""),"Yes")</f>
        <v>Yes</v>
      </c>
      <c r="AM443" s="5"/>
      <c r="AN443" s="5"/>
      <c r="AO443" s="5"/>
      <c r="AP443" s="5"/>
      <c r="AQ443" s="5"/>
      <c r="AR443" s="5"/>
      <c r="AS443" s="5"/>
      <c r="AT443" s="5"/>
      <c r="AU443" s="5"/>
      <c r="AV443" s="5"/>
      <c r="AW443" s="5"/>
      <c r="AX443" s="5"/>
      <c r="AY443" s="5"/>
    </row>
    <row r="444" spans="1:51" x14ac:dyDescent="0.25">
      <c r="A444" s="5" t="str">
        <f ca="1">IFERROR(__xludf.DUMMYFUNCTION("""COMPUTED_VALUE"""),"English(""eng"")")</f>
        <v>English("eng")</v>
      </c>
      <c r="B444" s="5">
        <f ca="1">IFERROR(__xludf.DUMMYFUNCTION("""COMPUTED_VALUE"""),467)</f>
        <v>467</v>
      </c>
      <c r="C444" s="5">
        <f ca="1">IFERROR(__xludf.DUMMYFUNCTION("""COMPUTED_VALUE"""),388)</f>
        <v>388</v>
      </c>
      <c r="D444" s="5" t="str">
        <f ca="1">IFERROR(__xludf.DUMMYFUNCTION("""COMPUTED_VALUE"""),"UnicornTripleStackedDiamonds")</f>
        <v>UnicornTripleStackedDiamonds</v>
      </c>
      <c r="E444" s="5" t="str">
        <f ca="1">IFERROR(__xludf.DUMMYFUNCTION("""COMPUTED_VALUE"""),"Yes")</f>
        <v>Yes</v>
      </c>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row>
    <row r="445" spans="1:51" x14ac:dyDescent="0.25">
      <c r="A44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5" s="5">
        <f ca="1">IFERROR(__xludf.DUMMYFUNCTION("""COMPUTED_VALUE"""),468)</f>
        <v>468</v>
      </c>
      <c r="C445" s="5">
        <f ca="1">IFERROR(__xludf.DUMMYFUNCTION("""COMPUTED_VALUE"""),403)</f>
        <v>403</v>
      </c>
      <c r="D445" s="5" t="str">
        <f ca="1">IFERROR(__xludf.DUMMYFUNCTION("""COMPUTED_VALUE"""),"UnicornDynamiteBoom")</f>
        <v>UnicornDynamiteBoom</v>
      </c>
      <c r="E445" s="5" t="str">
        <f ca="1">IFERROR(__xludf.DUMMYFUNCTION("""COMPUTED_VALUE"""),"Yes")</f>
        <v>Yes</v>
      </c>
      <c r="F445" s="5" t="str">
        <f ca="1">IFERROR(__xludf.DUMMYFUNCTION("""COMPUTED_VALUE"""),"Yes")</f>
        <v>Yes</v>
      </c>
      <c r="G445" s="5" t="str">
        <f ca="1">IFERROR(__xludf.DUMMYFUNCTION("""COMPUTED_VALUE"""),"Yes")</f>
        <v>Yes</v>
      </c>
      <c r="H445" s="5" t="str">
        <f ca="1">IFERROR(__xludf.DUMMYFUNCTION("""COMPUTED_VALUE"""),"No")</f>
        <v>No</v>
      </c>
      <c r="I445" s="5" t="str">
        <f ca="1">IFERROR(__xludf.DUMMYFUNCTION("""COMPUTED_VALUE"""),"No")</f>
        <v>No</v>
      </c>
      <c r="J445" s="5" t="str">
        <f ca="1">IFERROR(__xludf.DUMMYFUNCTION("""COMPUTED_VALUE"""),"No")</f>
        <v>No</v>
      </c>
      <c r="K445" s="5" t="str">
        <f ca="1">IFERROR(__xludf.DUMMYFUNCTION("""COMPUTED_VALUE"""),"No")</f>
        <v>No</v>
      </c>
      <c r="L445" s="5" t="str">
        <f ca="1">IFERROR(__xludf.DUMMYFUNCTION("""COMPUTED_VALUE"""),"No")</f>
        <v>No</v>
      </c>
      <c r="M445" s="5" t="str">
        <f ca="1">IFERROR(__xludf.DUMMYFUNCTION("""COMPUTED_VALUE"""),"Yes")</f>
        <v>Yes</v>
      </c>
      <c r="N445" s="5" t="str">
        <f ca="1">IFERROR(__xludf.DUMMYFUNCTION("""COMPUTED_VALUE"""),"Yes")</f>
        <v>Yes</v>
      </c>
      <c r="O445" s="5" t="str">
        <f ca="1">IFERROR(__xludf.DUMMYFUNCTION("""COMPUTED_VALUE"""),"Yes")</f>
        <v>Yes</v>
      </c>
      <c r="P445" s="5" t="str">
        <f ca="1">IFERROR(__xludf.DUMMYFUNCTION("""COMPUTED_VALUE"""),"Yes")</f>
        <v>Yes</v>
      </c>
      <c r="Q445" s="5" t="str">
        <f ca="1">IFERROR(__xludf.DUMMYFUNCTION("""COMPUTED_VALUE"""),"Yes")</f>
        <v>Yes</v>
      </c>
      <c r="R445" s="5" t="str">
        <f ca="1">IFERROR(__xludf.DUMMYFUNCTION("""COMPUTED_VALUE"""),"No")</f>
        <v>No</v>
      </c>
      <c r="S445" s="5" t="str">
        <f ca="1">IFERROR(__xludf.DUMMYFUNCTION("""COMPUTED_VALUE"""),"Yes")</f>
        <v>Yes</v>
      </c>
      <c r="T445" s="5" t="str">
        <f ca="1">IFERROR(__xludf.DUMMYFUNCTION("""COMPUTED_VALUE"""),"No")</f>
        <v>No</v>
      </c>
      <c r="U445" s="5" t="str">
        <f ca="1">IFERROR(__xludf.DUMMYFUNCTION("""COMPUTED_VALUE"""),"No")</f>
        <v>No</v>
      </c>
      <c r="V445" s="5" t="str">
        <f ca="1">IFERROR(__xludf.DUMMYFUNCTION("""COMPUTED_VALUE"""),"No")</f>
        <v>No</v>
      </c>
      <c r="W445" s="5" t="str">
        <f ca="1">IFERROR(__xludf.DUMMYFUNCTION("""COMPUTED_VALUE"""),"No")</f>
        <v>No</v>
      </c>
      <c r="X445" s="5"/>
      <c r="Y445" s="5"/>
      <c r="Z445" s="5"/>
      <c r="AA445" s="5" t="str">
        <f ca="1">IFERROR(__xludf.DUMMYFUNCTION("""COMPUTED_VALUE"""),"Yes")</f>
        <v>Yes</v>
      </c>
      <c r="AB445" s="5"/>
      <c r="AC445" s="5" t="str">
        <f ca="1">IFERROR(__xludf.DUMMYFUNCTION("""COMPUTED_VALUE"""),"No")</f>
        <v>No</v>
      </c>
      <c r="AD445" s="5"/>
      <c r="AE445" s="5"/>
      <c r="AF445" s="5" t="str">
        <f ca="1">IFERROR(__xludf.DUMMYFUNCTION("""COMPUTED_VALUE"""),"Yes")</f>
        <v>Yes</v>
      </c>
      <c r="AG445" s="5"/>
      <c r="AH445" s="5"/>
      <c r="AI445" s="5"/>
      <c r="AJ445" s="5"/>
      <c r="AK445" s="5"/>
      <c r="AL445" s="5" t="str">
        <f ca="1">IFERROR(__xludf.DUMMYFUNCTION("""COMPUTED_VALUE"""),"Yes")</f>
        <v>Yes</v>
      </c>
      <c r="AM445" s="5"/>
      <c r="AN445" s="5"/>
      <c r="AO445" s="5"/>
      <c r="AP445" s="5"/>
      <c r="AQ445" s="5"/>
      <c r="AR445" s="5"/>
      <c r="AS445" s="5"/>
      <c r="AT445" s="5"/>
      <c r="AU445" s="5"/>
      <c r="AV445" s="5"/>
      <c r="AW445" s="5"/>
      <c r="AX445" s="5"/>
      <c r="AY445" s="5"/>
    </row>
    <row r="446" spans="1:51" x14ac:dyDescent="0.25">
      <c r="A44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6" s="5">
        <f ca="1">IFERROR(__xludf.DUMMYFUNCTION("""COMPUTED_VALUE"""),469)</f>
        <v>469</v>
      </c>
      <c r="C446" s="5">
        <f ca="1">IFERROR(__xludf.DUMMYFUNCTION("""COMPUTED_VALUE"""),404)</f>
        <v>404</v>
      </c>
      <c r="D446" s="5" t="str">
        <f ca="1">IFERROR(__xludf.DUMMYFUNCTION("""COMPUTED_VALUE"""),"UnicornFastPay")</f>
        <v>UnicornFastPay</v>
      </c>
      <c r="E446" s="5" t="str">
        <f ca="1">IFERROR(__xludf.DUMMYFUNCTION("""COMPUTED_VALUE"""),"Yes")</f>
        <v>Yes</v>
      </c>
      <c r="F446" s="5" t="str">
        <f ca="1">IFERROR(__xludf.DUMMYFUNCTION("""COMPUTED_VALUE"""),"Yes")</f>
        <v>Yes</v>
      </c>
      <c r="G446" s="5" t="str">
        <f ca="1">IFERROR(__xludf.DUMMYFUNCTION("""COMPUTED_VALUE"""),"Yes")</f>
        <v>Yes</v>
      </c>
      <c r="H446" s="5"/>
      <c r="I446" s="5"/>
      <c r="J446" s="5"/>
      <c r="K446" s="5"/>
      <c r="L446" s="5"/>
      <c r="M446" s="5" t="str">
        <f ca="1">IFERROR(__xludf.DUMMYFUNCTION("""COMPUTED_VALUE"""),"Yes")</f>
        <v>Yes</v>
      </c>
      <c r="N446" s="5" t="str">
        <f ca="1">IFERROR(__xludf.DUMMYFUNCTION("""COMPUTED_VALUE"""),"Yes")</f>
        <v>Yes</v>
      </c>
      <c r="O446" s="5" t="str">
        <f ca="1">IFERROR(__xludf.DUMMYFUNCTION("""COMPUTED_VALUE"""),"Yes")</f>
        <v>Yes</v>
      </c>
      <c r="P446" s="5" t="str">
        <f ca="1">IFERROR(__xludf.DUMMYFUNCTION("""COMPUTED_VALUE"""),"Yes")</f>
        <v>Yes</v>
      </c>
      <c r="Q446" s="5" t="str">
        <f ca="1">IFERROR(__xludf.DUMMYFUNCTION("""COMPUTED_VALUE"""),"Yes")</f>
        <v>Yes</v>
      </c>
      <c r="R446" s="5"/>
      <c r="S446" s="5" t="str">
        <f ca="1">IFERROR(__xludf.DUMMYFUNCTION("""COMPUTED_VALUE"""),"Yes")</f>
        <v>Yes</v>
      </c>
      <c r="T446" s="5"/>
      <c r="U446" s="5"/>
      <c r="V446" s="5"/>
      <c r="W446" s="5"/>
      <c r="X446" s="5"/>
      <c r="Y446" s="5"/>
      <c r="Z446" s="5"/>
      <c r="AA446" s="5" t="str">
        <f ca="1">IFERROR(__xludf.DUMMYFUNCTION("""COMPUTED_VALUE"""),"Yes")</f>
        <v>Yes</v>
      </c>
      <c r="AB446" s="5"/>
      <c r="AC446" s="5"/>
      <c r="AD446" s="5"/>
      <c r="AE446" s="5"/>
      <c r="AF446" s="5" t="str">
        <f ca="1">IFERROR(__xludf.DUMMYFUNCTION("""COMPUTED_VALUE"""),"Yes")</f>
        <v>Yes</v>
      </c>
      <c r="AG446" s="5"/>
      <c r="AH446" s="5"/>
      <c r="AI446" s="5"/>
      <c r="AJ446" s="5"/>
      <c r="AK446" s="5"/>
      <c r="AL446" s="5" t="str">
        <f ca="1">IFERROR(__xludf.DUMMYFUNCTION("""COMPUTED_VALUE"""),"Yes")</f>
        <v>Yes</v>
      </c>
      <c r="AM446" s="5"/>
      <c r="AN446" s="5"/>
      <c r="AO446" s="5"/>
      <c r="AP446" s="5"/>
      <c r="AQ446" s="5"/>
      <c r="AR446" s="5"/>
      <c r="AS446" s="5"/>
      <c r="AT446" s="5"/>
      <c r="AU446" s="5"/>
      <c r="AV446" s="5"/>
      <c r="AW446" s="5"/>
      <c r="AX446" s="5"/>
      <c r="AY446" s="5"/>
    </row>
    <row r="447" spans="1:51" x14ac:dyDescent="0.25">
      <c r="A44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7" s="5">
        <f ca="1">IFERROR(__xludf.DUMMYFUNCTION("""COMPUTED_VALUE"""),470)</f>
        <v>470</v>
      </c>
      <c r="C447" s="5">
        <f ca="1">IFERROR(__xludf.DUMMYFUNCTION("""COMPUTED_VALUE"""),406)</f>
        <v>406</v>
      </c>
      <c r="D447" s="5" t="str">
        <f ca="1">IFERROR(__xludf.DUMMYFUNCTION("""COMPUTED_VALUE"""),"UnicornSuperFireJackpot")</f>
        <v>UnicornSuperFireJackpot</v>
      </c>
      <c r="E447" s="5" t="str">
        <f ca="1">IFERROR(__xludf.DUMMYFUNCTION("""COMPUTED_VALUE"""),"Yes")</f>
        <v>Yes</v>
      </c>
      <c r="F447" s="5" t="str">
        <f ca="1">IFERROR(__xludf.DUMMYFUNCTION("""COMPUTED_VALUE"""),"Yes")</f>
        <v>Yes</v>
      </c>
      <c r="G447" s="5" t="str">
        <f ca="1">IFERROR(__xludf.DUMMYFUNCTION("""COMPUTED_VALUE"""),"Yes")</f>
        <v>Yes</v>
      </c>
      <c r="H447" s="5"/>
      <c r="I447" s="5"/>
      <c r="J447" s="5"/>
      <c r="K447" s="5"/>
      <c r="L447" s="5"/>
      <c r="M447" s="5" t="str">
        <f ca="1">IFERROR(__xludf.DUMMYFUNCTION("""COMPUTED_VALUE"""),"Yes")</f>
        <v>Yes</v>
      </c>
      <c r="N447" s="5" t="str">
        <f ca="1">IFERROR(__xludf.DUMMYFUNCTION("""COMPUTED_VALUE"""),"Yes")</f>
        <v>Yes</v>
      </c>
      <c r="O447" s="5" t="str">
        <f ca="1">IFERROR(__xludf.DUMMYFUNCTION("""COMPUTED_VALUE"""),"Yes")</f>
        <v>Yes</v>
      </c>
      <c r="P447" s="5" t="str">
        <f ca="1">IFERROR(__xludf.DUMMYFUNCTION("""COMPUTED_VALUE"""),"Yes")</f>
        <v>Yes</v>
      </c>
      <c r="Q447" s="5" t="str">
        <f ca="1">IFERROR(__xludf.DUMMYFUNCTION("""COMPUTED_VALUE"""),"Yes")</f>
        <v>Yes</v>
      </c>
      <c r="R447" s="5"/>
      <c r="S447" s="5" t="str">
        <f ca="1">IFERROR(__xludf.DUMMYFUNCTION("""COMPUTED_VALUE"""),"Yes")</f>
        <v>Yes</v>
      </c>
      <c r="T447" s="5"/>
      <c r="U447" s="5"/>
      <c r="V447" s="5"/>
      <c r="W447" s="5"/>
      <c r="X447" s="5"/>
      <c r="Y447" s="5"/>
      <c r="Z447" s="5"/>
      <c r="AA447" s="5" t="str">
        <f ca="1">IFERROR(__xludf.DUMMYFUNCTION("""COMPUTED_VALUE"""),"Yes")</f>
        <v>Yes</v>
      </c>
      <c r="AB447" s="5"/>
      <c r="AC447" s="5"/>
      <c r="AD447" s="5"/>
      <c r="AE447" s="5"/>
      <c r="AF447" s="5" t="str">
        <f ca="1">IFERROR(__xludf.DUMMYFUNCTION("""COMPUTED_VALUE"""),"Yes")</f>
        <v>Yes</v>
      </c>
      <c r="AG447" s="5"/>
      <c r="AH447" s="5"/>
      <c r="AI447" s="5"/>
      <c r="AJ447" s="5"/>
      <c r="AK447" s="5"/>
      <c r="AL447" s="5" t="str">
        <f ca="1">IFERROR(__xludf.DUMMYFUNCTION("""COMPUTED_VALUE"""),"Yes")</f>
        <v>Yes</v>
      </c>
      <c r="AM447" s="5"/>
      <c r="AN447" s="5"/>
      <c r="AO447" s="5"/>
      <c r="AP447" s="5"/>
      <c r="AQ447" s="5"/>
      <c r="AR447" s="5"/>
      <c r="AS447" s="5"/>
      <c r="AT447" s="5"/>
      <c r="AU447" s="5"/>
      <c r="AV447" s="5"/>
      <c r="AW447" s="5"/>
      <c r="AX447" s="5"/>
      <c r="AY447" s="5"/>
    </row>
    <row r="448" spans="1:51" x14ac:dyDescent="0.25">
      <c r="A44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8" s="5">
        <f ca="1">IFERROR(__xludf.DUMMYFUNCTION("""COMPUTED_VALUE"""),471)</f>
        <v>471</v>
      </c>
      <c r="C448" s="5">
        <f ca="1">IFERROR(__xludf.DUMMYFUNCTION("""COMPUTED_VALUE"""),411)</f>
        <v>411</v>
      </c>
      <c r="D448" s="5" t="str">
        <f ca="1">IFERROR(__xludf.DUMMYFUNCTION("""COMPUTED_VALUE"""),"UnicornCoyoteGems")</f>
        <v>UnicornCoyoteGems</v>
      </c>
      <c r="E448" s="5" t="str">
        <f ca="1">IFERROR(__xludf.DUMMYFUNCTION("""COMPUTED_VALUE"""),"Yes")</f>
        <v>Yes</v>
      </c>
      <c r="F448" s="5" t="str">
        <f ca="1">IFERROR(__xludf.DUMMYFUNCTION("""COMPUTED_VALUE"""),"Yes")</f>
        <v>Yes</v>
      </c>
      <c r="G448" s="5" t="str">
        <f ca="1">IFERROR(__xludf.DUMMYFUNCTION("""COMPUTED_VALUE"""),"Yes")</f>
        <v>Yes</v>
      </c>
      <c r="H448" s="5"/>
      <c r="I448" s="5"/>
      <c r="J448" s="5"/>
      <c r="K448" s="5"/>
      <c r="L448" s="5"/>
      <c r="M448" s="5" t="str">
        <f ca="1">IFERROR(__xludf.DUMMYFUNCTION("""COMPUTED_VALUE"""),"Yes")</f>
        <v>Yes</v>
      </c>
      <c r="N448" s="5" t="str">
        <f ca="1">IFERROR(__xludf.DUMMYFUNCTION("""COMPUTED_VALUE"""),"Yes")</f>
        <v>Yes</v>
      </c>
      <c r="O448" s="5" t="str">
        <f ca="1">IFERROR(__xludf.DUMMYFUNCTION("""COMPUTED_VALUE"""),"Yes")</f>
        <v>Yes</v>
      </c>
      <c r="P448" s="5" t="str">
        <f ca="1">IFERROR(__xludf.DUMMYFUNCTION("""COMPUTED_VALUE"""),"Yes")</f>
        <v>Yes</v>
      </c>
      <c r="Q448" s="5" t="str">
        <f ca="1">IFERROR(__xludf.DUMMYFUNCTION("""COMPUTED_VALUE"""),"Yes")</f>
        <v>Yes</v>
      </c>
      <c r="R448" s="5"/>
      <c r="S448" s="5" t="str">
        <f ca="1">IFERROR(__xludf.DUMMYFUNCTION("""COMPUTED_VALUE"""),"Yes")</f>
        <v>Yes</v>
      </c>
      <c r="T448" s="5"/>
      <c r="U448" s="5"/>
      <c r="V448" s="5"/>
      <c r="W448" s="5"/>
      <c r="X448" s="5"/>
      <c r="Y448" s="5"/>
      <c r="Z448" s="5"/>
      <c r="AA448" s="5" t="str">
        <f ca="1">IFERROR(__xludf.DUMMYFUNCTION("""COMPUTED_VALUE"""),"Yes")</f>
        <v>Yes</v>
      </c>
      <c r="AB448" s="5"/>
      <c r="AC448" s="5"/>
      <c r="AD448" s="5"/>
      <c r="AE448" s="5"/>
      <c r="AF448" s="5" t="str">
        <f ca="1">IFERROR(__xludf.DUMMYFUNCTION("""COMPUTED_VALUE"""),"Yes")</f>
        <v>Yes</v>
      </c>
      <c r="AG448" s="5"/>
      <c r="AH448" s="5"/>
      <c r="AI448" s="5"/>
      <c r="AJ448" s="5"/>
      <c r="AK448" s="5"/>
      <c r="AL448" s="5" t="str">
        <f ca="1">IFERROR(__xludf.DUMMYFUNCTION("""COMPUTED_VALUE"""),"Yes")</f>
        <v>Yes</v>
      </c>
      <c r="AM448" s="5"/>
      <c r="AN448" s="5"/>
      <c r="AO448" s="5"/>
      <c r="AP448" s="5"/>
      <c r="AQ448" s="5"/>
      <c r="AR448" s="5"/>
      <c r="AS448" s="5"/>
      <c r="AT448" s="5"/>
      <c r="AU448" s="5"/>
      <c r="AV448" s="5"/>
      <c r="AW448" s="5"/>
      <c r="AX448" s="5"/>
      <c r="AY448" s="5"/>
    </row>
    <row r="449" spans="1:51" x14ac:dyDescent="0.25">
      <c r="A44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9" s="5">
        <f ca="1">IFERROR(__xludf.DUMMYFUNCTION("""COMPUTED_VALUE"""),472)</f>
        <v>472</v>
      </c>
      <c r="C449" s="5">
        <f ca="1">IFERROR(__xludf.DUMMYFUNCTION("""COMPUTED_VALUE"""),412)</f>
        <v>412</v>
      </c>
      <c r="D449" s="5" t="str">
        <f ca="1">IFERROR(__xludf.DUMMYFUNCTION("""COMPUTED_VALUE"""),"UnicornDynamiteRunDice")</f>
        <v>UnicornDynamiteRunDice</v>
      </c>
      <c r="E449" s="5" t="str">
        <f ca="1">IFERROR(__xludf.DUMMYFUNCTION("""COMPUTED_VALUE"""),"Yes")</f>
        <v>Yes</v>
      </c>
      <c r="F449" s="5" t="str">
        <f ca="1">IFERROR(__xludf.DUMMYFUNCTION("""COMPUTED_VALUE"""),"Yes")</f>
        <v>Yes</v>
      </c>
      <c r="G449" s="5" t="str">
        <f ca="1">IFERROR(__xludf.DUMMYFUNCTION("""COMPUTED_VALUE"""),"Yes")</f>
        <v>Yes</v>
      </c>
      <c r="H449" s="5"/>
      <c r="I449" s="5"/>
      <c r="J449" s="5"/>
      <c r="K449" s="5"/>
      <c r="L449" s="5"/>
      <c r="M449" s="5" t="str">
        <f ca="1">IFERROR(__xludf.DUMMYFUNCTION("""COMPUTED_VALUE"""),"Yes")</f>
        <v>Yes</v>
      </c>
      <c r="N449" s="5" t="str">
        <f ca="1">IFERROR(__xludf.DUMMYFUNCTION("""COMPUTED_VALUE"""),"Yes")</f>
        <v>Yes</v>
      </c>
      <c r="O449" s="5" t="str">
        <f ca="1">IFERROR(__xludf.DUMMYFUNCTION("""COMPUTED_VALUE"""),"Yes")</f>
        <v>Yes</v>
      </c>
      <c r="P449" s="5" t="str">
        <f ca="1">IFERROR(__xludf.DUMMYFUNCTION("""COMPUTED_VALUE"""),"Yes")</f>
        <v>Yes</v>
      </c>
      <c r="Q449" s="5" t="str">
        <f ca="1">IFERROR(__xludf.DUMMYFUNCTION("""COMPUTED_VALUE"""),"Yes")</f>
        <v>Yes</v>
      </c>
      <c r="R449" s="5"/>
      <c r="S449" s="5" t="str">
        <f ca="1">IFERROR(__xludf.DUMMYFUNCTION("""COMPUTED_VALUE"""),"Yes")</f>
        <v>Yes</v>
      </c>
      <c r="T449" s="5"/>
      <c r="U449" s="5"/>
      <c r="V449" s="5"/>
      <c r="W449" s="5"/>
      <c r="X449" s="5"/>
      <c r="Y449" s="5"/>
      <c r="Z449" s="5"/>
      <c r="AA449" s="5" t="str">
        <f ca="1">IFERROR(__xludf.DUMMYFUNCTION("""COMPUTED_VALUE"""),"Yes")</f>
        <v>Yes</v>
      </c>
      <c r="AB449" s="5"/>
      <c r="AC449" s="5"/>
      <c r="AD449" s="5"/>
      <c r="AE449" s="5"/>
      <c r="AF449" s="5" t="str">
        <f ca="1">IFERROR(__xludf.DUMMYFUNCTION("""COMPUTED_VALUE"""),"Yes")</f>
        <v>Yes</v>
      </c>
      <c r="AG449" s="5"/>
      <c r="AH449" s="5"/>
      <c r="AI449" s="5"/>
      <c r="AJ449" s="5"/>
      <c r="AK449" s="5"/>
      <c r="AL449" s="5" t="str">
        <f ca="1">IFERROR(__xludf.DUMMYFUNCTION("""COMPUTED_VALUE"""),"Yes")</f>
        <v>Yes</v>
      </c>
      <c r="AM449" s="5"/>
      <c r="AN449" s="5"/>
      <c r="AO449" s="5"/>
      <c r="AP449" s="5"/>
      <c r="AQ449" s="5"/>
      <c r="AR449" s="5"/>
      <c r="AS449" s="5"/>
      <c r="AT449" s="5"/>
      <c r="AU449" s="5"/>
      <c r="AV449" s="5"/>
      <c r="AW449" s="5"/>
      <c r="AX449" s="5"/>
      <c r="AY449" s="5"/>
    </row>
    <row r="450" spans="1:51" x14ac:dyDescent="0.25">
      <c r="A45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0" s="5">
        <f ca="1">IFERROR(__xludf.DUMMYFUNCTION("""COMPUTED_VALUE"""),473)</f>
        <v>473</v>
      </c>
      <c r="C450" s="5">
        <f ca="1">IFERROR(__xludf.DUMMYFUNCTION("""COMPUTED_VALUE"""),400)</f>
        <v>400</v>
      </c>
      <c r="D450" s="5" t="str">
        <f ca="1">IFERROR(__xludf.DUMMYFUNCTION("""COMPUTED_VALUE"""),"UnicornBigSpinDragons")</f>
        <v>UnicornBigSpinDragons</v>
      </c>
      <c r="E450" s="5" t="str">
        <f ca="1">IFERROR(__xludf.DUMMYFUNCTION("""COMPUTED_VALUE"""),"Yes")</f>
        <v>Yes</v>
      </c>
      <c r="F450" s="5" t="str">
        <f ca="1">IFERROR(__xludf.DUMMYFUNCTION("""COMPUTED_VALUE"""),"Yes")</f>
        <v>Yes</v>
      </c>
      <c r="G450" s="5" t="str">
        <f ca="1">IFERROR(__xludf.DUMMYFUNCTION("""COMPUTED_VALUE"""),"Yes")</f>
        <v>Yes</v>
      </c>
      <c r="H450" s="5" t="str">
        <f ca="1">IFERROR(__xludf.DUMMYFUNCTION("""COMPUTED_VALUE"""),"No")</f>
        <v>No</v>
      </c>
      <c r="I450" s="5" t="str">
        <f ca="1">IFERROR(__xludf.DUMMYFUNCTION("""COMPUTED_VALUE"""),"No")</f>
        <v>No</v>
      </c>
      <c r="J450" s="5" t="str">
        <f ca="1">IFERROR(__xludf.DUMMYFUNCTION("""COMPUTED_VALUE"""),"No")</f>
        <v>No</v>
      </c>
      <c r="K450" s="5" t="str">
        <f ca="1">IFERROR(__xludf.DUMMYFUNCTION("""COMPUTED_VALUE"""),"No")</f>
        <v>No</v>
      </c>
      <c r="L450" s="5" t="str">
        <f ca="1">IFERROR(__xludf.DUMMYFUNCTION("""COMPUTED_VALUE"""),"No")</f>
        <v>No</v>
      </c>
      <c r="M450" s="5" t="str">
        <f ca="1">IFERROR(__xludf.DUMMYFUNCTION("""COMPUTED_VALUE"""),"Yes")</f>
        <v>Yes</v>
      </c>
      <c r="N450" s="5" t="str">
        <f ca="1">IFERROR(__xludf.DUMMYFUNCTION("""COMPUTED_VALUE"""),"Yes")</f>
        <v>Yes</v>
      </c>
      <c r="O450" s="5" t="str">
        <f ca="1">IFERROR(__xludf.DUMMYFUNCTION("""COMPUTED_VALUE"""),"Yes")</f>
        <v>Yes</v>
      </c>
      <c r="P450" s="5" t="str">
        <f ca="1">IFERROR(__xludf.DUMMYFUNCTION("""COMPUTED_VALUE"""),"Yes")</f>
        <v>Yes</v>
      </c>
      <c r="Q450" s="5" t="str">
        <f ca="1">IFERROR(__xludf.DUMMYFUNCTION("""COMPUTED_VALUE"""),"Yes")</f>
        <v>Yes</v>
      </c>
      <c r="R450" s="5" t="str">
        <f ca="1">IFERROR(__xludf.DUMMYFUNCTION("""COMPUTED_VALUE"""),"No")</f>
        <v>No</v>
      </c>
      <c r="S450" s="5" t="str">
        <f ca="1">IFERROR(__xludf.DUMMYFUNCTION("""COMPUTED_VALUE"""),"Yes")</f>
        <v>Yes</v>
      </c>
      <c r="T450" s="5" t="str">
        <f ca="1">IFERROR(__xludf.DUMMYFUNCTION("""COMPUTED_VALUE"""),"No")</f>
        <v>No</v>
      </c>
      <c r="U450" s="5" t="str">
        <f ca="1">IFERROR(__xludf.DUMMYFUNCTION("""COMPUTED_VALUE"""),"No")</f>
        <v>No</v>
      </c>
      <c r="V450" s="5" t="str">
        <f ca="1">IFERROR(__xludf.DUMMYFUNCTION("""COMPUTED_VALUE"""),"No")</f>
        <v>No</v>
      </c>
      <c r="W450" s="5" t="str">
        <f ca="1">IFERROR(__xludf.DUMMYFUNCTION("""COMPUTED_VALUE"""),"No")</f>
        <v>No</v>
      </c>
      <c r="X450" s="5"/>
      <c r="Y450" s="5"/>
      <c r="Z450" s="5"/>
      <c r="AA450" s="5" t="str">
        <f ca="1">IFERROR(__xludf.DUMMYFUNCTION("""COMPUTED_VALUE"""),"Yes")</f>
        <v>Yes</v>
      </c>
      <c r="AB450" s="5"/>
      <c r="AC450" s="5" t="str">
        <f ca="1">IFERROR(__xludf.DUMMYFUNCTION("""COMPUTED_VALUE"""),"No")</f>
        <v>No</v>
      </c>
      <c r="AD450" s="5"/>
      <c r="AE450" s="5"/>
      <c r="AF450" s="5" t="str">
        <f ca="1">IFERROR(__xludf.DUMMYFUNCTION("""COMPUTED_VALUE"""),"Yes")</f>
        <v>Yes</v>
      </c>
      <c r="AG450" s="5"/>
      <c r="AH450" s="5"/>
      <c r="AI450" s="5"/>
      <c r="AJ450" s="5"/>
      <c r="AK450" s="5"/>
      <c r="AL450" s="5" t="str">
        <f ca="1">IFERROR(__xludf.DUMMYFUNCTION("""COMPUTED_VALUE"""),"Yes")</f>
        <v>Yes</v>
      </c>
      <c r="AM450" s="5"/>
      <c r="AN450" s="5"/>
      <c r="AO450" s="5"/>
      <c r="AP450" s="5"/>
      <c r="AQ450" s="5"/>
      <c r="AR450" s="5"/>
      <c r="AS450" s="5"/>
      <c r="AT450" s="5"/>
      <c r="AU450" s="5"/>
      <c r="AV450" s="5"/>
      <c r="AW450" s="5"/>
      <c r="AX450" s="5"/>
      <c r="AY450" s="5"/>
    </row>
    <row r="451" spans="1:51" x14ac:dyDescent="0.25">
      <c r="A45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1" s="5">
        <f ca="1">IFERROR(__xludf.DUMMYFUNCTION("""COMPUTED_VALUE"""),474)</f>
        <v>474</v>
      </c>
      <c r="C451" s="5">
        <f ca="1">IFERROR(__xludf.DUMMYFUNCTION("""COMPUTED_VALUE"""),415)</f>
        <v>415</v>
      </c>
      <c r="D451" s="5" t="str">
        <f ca="1">IFERROR(__xludf.DUMMYFUNCTION("""COMPUTED_VALUE"""),"UnicornSimplySevensGems")</f>
        <v>UnicornSimplySevensGems</v>
      </c>
      <c r="E451" s="5" t="str">
        <f ca="1">IFERROR(__xludf.DUMMYFUNCTION("""COMPUTED_VALUE"""),"Yes")</f>
        <v>Yes</v>
      </c>
      <c r="F451" s="5" t="str">
        <f ca="1">IFERROR(__xludf.DUMMYFUNCTION("""COMPUTED_VALUE"""),"Yes")</f>
        <v>Yes</v>
      </c>
      <c r="G451" s="5" t="str">
        <f ca="1">IFERROR(__xludf.DUMMYFUNCTION("""COMPUTED_VALUE"""),"Yes")</f>
        <v>Yes</v>
      </c>
      <c r="H451" s="5" t="str">
        <f ca="1">IFERROR(__xludf.DUMMYFUNCTION("""COMPUTED_VALUE"""),"No")</f>
        <v>No</v>
      </c>
      <c r="I451" s="5" t="str">
        <f ca="1">IFERROR(__xludf.DUMMYFUNCTION("""COMPUTED_VALUE"""),"No")</f>
        <v>No</v>
      </c>
      <c r="J451" s="5" t="str">
        <f ca="1">IFERROR(__xludf.DUMMYFUNCTION("""COMPUTED_VALUE"""),"No")</f>
        <v>No</v>
      </c>
      <c r="K451" s="5" t="str">
        <f ca="1">IFERROR(__xludf.DUMMYFUNCTION("""COMPUTED_VALUE"""),"No")</f>
        <v>No</v>
      </c>
      <c r="L451" s="5" t="str">
        <f ca="1">IFERROR(__xludf.DUMMYFUNCTION("""COMPUTED_VALUE"""),"No")</f>
        <v>No</v>
      </c>
      <c r="M451" s="5" t="str">
        <f ca="1">IFERROR(__xludf.DUMMYFUNCTION("""COMPUTED_VALUE"""),"Yes")</f>
        <v>Yes</v>
      </c>
      <c r="N451" s="5" t="str">
        <f ca="1">IFERROR(__xludf.DUMMYFUNCTION("""COMPUTED_VALUE"""),"Yes")</f>
        <v>Yes</v>
      </c>
      <c r="O451" s="5" t="str">
        <f ca="1">IFERROR(__xludf.DUMMYFUNCTION("""COMPUTED_VALUE"""),"Yes")</f>
        <v>Yes</v>
      </c>
      <c r="P451" s="5" t="str">
        <f ca="1">IFERROR(__xludf.DUMMYFUNCTION("""COMPUTED_VALUE"""),"Yes")</f>
        <v>Yes</v>
      </c>
      <c r="Q451" s="5" t="str">
        <f ca="1">IFERROR(__xludf.DUMMYFUNCTION("""COMPUTED_VALUE"""),"Yes")</f>
        <v>Yes</v>
      </c>
      <c r="R451" s="5" t="str">
        <f ca="1">IFERROR(__xludf.DUMMYFUNCTION("""COMPUTED_VALUE"""),"No")</f>
        <v>No</v>
      </c>
      <c r="S451" s="5" t="str">
        <f ca="1">IFERROR(__xludf.DUMMYFUNCTION("""COMPUTED_VALUE"""),"Yes")</f>
        <v>Yes</v>
      </c>
      <c r="T451" s="5" t="str">
        <f ca="1">IFERROR(__xludf.DUMMYFUNCTION("""COMPUTED_VALUE"""),"No")</f>
        <v>No</v>
      </c>
      <c r="U451" s="5" t="str">
        <f ca="1">IFERROR(__xludf.DUMMYFUNCTION("""COMPUTED_VALUE"""),"No")</f>
        <v>No</v>
      </c>
      <c r="V451" s="5" t="str">
        <f ca="1">IFERROR(__xludf.DUMMYFUNCTION("""COMPUTED_VALUE"""),"No")</f>
        <v>No</v>
      </c>
      <c r="W451" s="5" t="str">
        <f ca="1">IFERROR(__xludf.DUMMYFUNCTION("""COMPUTED_VALUE"""),"No")</f>
        <v>No</v>
      </c>
      <c r="X451" s="5"/>
      <c r="Y451" s="5"/>
      <c r="Z451" s="5"/>
      <c r="AA451" s="5" t="str">
        <f ca="1">IFERROR(__xludf.DUMMYFUNCTION("""COMPUTED_VALUE"""),"Yes")</f>
        <v>Yes</v>
      </c>
      <c r="AB451" s="5"/>
      <c r="AC451" s="5" t="str">
        <f ca="1">IFERROR(__xludf.DUMMYFUNCTION("""COMPUTED_VALUE"""),"No")</f>
        <v>No</v>
      </c>
      <c r="AD451" s="5"/>
      <c r="AE451" s="5"/>
      <c r="AF451" s="5" t="str">
        <f ca="1">IFERROR(__xludf.DUMMYFUNCTION("""COMPUTED_VALUE"""),"Yes")</f>
        <v>Yes</v>
      </c>
      <c r="AG451" s="5"/>
      <c r="AH451" s="5"/>
      <c r="AI451" s="5"/>
      <c r="AJ451" s="5"/>
      <c r="AK451" s="5"/>
      <c r="AL451" s="5" t="str">
        <f ca="1">IFERROR(__xludf.DUMMYFUNCTION("""COMPUTED_VALUE"""),"Yes")</f>
        <v>Yes</v>
      </c>
      <c r="AM451" s="5"/>
      <c r="AN451" s="5"/>
      <c r="AO451" s="5"/>
      <c r="AP451" s="5"/>
      <c r="AQ451" s="5"/>
      <c r="AR451" s="5"/>
      <c r="AS451" s="5"/>
      <c r="AT451" s="5"/>
      <c r="AU451" s="5"/>
      <c r="AV451" s="5"/>
      <c r="AW451" s="5"/>
      <c r="AX451" s="5"/>
      <c r="AY451" s="5"/>
    </row>
    <row r="452" spans="1:51" x14ac:dyDescent="0.25">
      <c r="A45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2" s="5">
        <f ca="1">IFERROR(__xludf.DUMMYFUNCTION("""COMPUTED_VALUE"""),475)</f>
        <v>475</v>
      </c>
      <c r="C452" s="5">
        <f ca="1">IFERROR(__xludf.DUMMYFUNCTION("""COMPUTED_VALUE"""),407)</f>
        <v>407</v>
      </c>
      <c r="D452" s="5" t="str">
        <f ca="1">IFERROR(__xludf.DUMMYFUNCTION("""COMPUTED_VALUE"""),"UnicornSuperFireDiceJackpot")</f>
        <v>UnicornSuperFireDiceJackpot</v>
      </c>
      <c r="E452" s="5" t="str">
        <f ca="1">IFERROR(__xludf.DUMMYFUNCTION("""COMPUTED_VALUE"""),"Yes")</f>
        <v>Yes</v>
      </c>
      <c r="F452" s="5" t="str">
        <f ca="1">IFERROR(__xludf.DUMMYFUNCTION("""COMPUTED_VALUE"""),"Yes")</f>
        <v>Yes</v>
      </c>
      <c r="G452" s="5" t="str">
        <f ca="1">IFERROR(__xludf.DUMMYFUNCTION("""COMPUTED_VALUE"""),"Yes")</f>
        <v>Yes</v>
      </c>
      <c r="H452" s="5" t="str">
        <f ca="1">IFERROR(__xludf.DUMMYFUNCTION("""COMPUTED_VALUE"""),"No")</f>
        <v>No</v>
      </c>
      <c r="I452" s="5" t="str">
        <f ca="1">IFERROR(__xludf.DUMMYFUNCTION("""COMPUTED_VALUE"""),"No")</f>
        <v>No</v>
      </c>
      <c r="J452" s="5" t="str">
        <f ca="1">IFERROR(__xludf.DUMMYFUNCTION("""COMPUTED_VALUE"""),"No")</f>
        <v>No</v>
      </c>
      <c r="K452" s="5" t="str">
        <f ca="1">IFERROR(__xludf.DUMMYFUNCTION("""COMPUTED_VALUE"""),"No")</f>
        <v>No</v>
      </c>
      <c r="L452" s="5" t="str">
        <f ca="1">IFERROR(__xludf.DUMMYFUNCTION("""COMPUTED_VALUE"""),"No")</f>
        <v>No</v>
      </c>
      <c r="M452" s="5" t="str">
        <f ca="1">IFERROR(__xludf.DUMMYFUNCTION("""COMPUTED_VALUE"""),"Yes")</f>
        <v>Yes</v>
      </c>
      <c r="N452" s="5" t="str">
        <f ca="1">IFERROR(__xludf.DUMMYFUNCTION("""COMPUTED_VALUE"""),"Yes")</f>
        <v>Yes</v>
      </c>
      <c r="O452" s="5" t="str">
        <f ca="1">IFERROR(__xludf.DUMMYFUNCTION("""COMPUTED_VALUE"""),"Yes")</f>
        <v>Yes</v>
      </c>
      <c r="P452" s="5" t="str">
        <f ca="1">IFERROR(__xludf.DUMMYFUNCTION("""COMPUTED_VALUE"""),"Yes")</f>
        <v>Yes</v>
      </c>
      <c r="Q452" s="5" t="str">
        <f ca="1">IFERROR(__xludf.DUMMYFUNCTION("""COMPUTED_VALUE"""),"Yes")</f>
        <v>Yes</v>
      </c>
      <c r="R452" s="5" t="str">
        <f ca="1">IFERROR(__xludf.DUMMYFUNCTION("""COMPUTED_VALUE"""),"No")</f>
        <v>No</v>
      </c>
      <c r="S452" s="5" t="str">
        <f ca="1">IFERROR(__xludf.DUMMYFUNCTION("""COMPUTED_VALUE"""),"Yes")</f>
        <v>Yes</v>
      </c>
      <c r="T452" s="5" t="str">
        <f ca="1">IFERROR(__xludf.DUMMYFUNCTION("""COMPUTED_VALUE"""),"No")</f>
        <v>No</v>
      </c>
      <c r="U452" s="5" t="str">
        <f ca="1">IFERROR(__xludf.DUMMYFUNCTION("""COMPUTED_VALUE"""),"No")</f>
        <v>No</v>
      </c>
      <c r="V452" s="5" t="str">
        <f ca="1">IFERROR(__xludf.DUMMYFUNCTION("""COMPUTED_VALUE"""),"No")</f>
        <v>No</v>
      </c>
      <c r="W452" s="5" t="str">
        <f ca="1">IFERROR(__xludf.DUMMYFUNCTION("""COMPUTED_VALUE"""),"No")</f>
        <v>No</v>
      </c>
      <c r="X452" s="5"/>
      <c r="Y452" s="5"/>
      <c r="Z452" s="5"/>
      <c r="AA452" s="5" t="str">
        <f ca="1">IFERROR(__xludf.DUMMYFUNCTION("""COMPUTED_VALUE"""),"Yes")</f>
        <v>Yes</v>
      </c>
      <c r="AB452" s="5"/>
      <c r="AC452" s="5" t="str">
        <f ca="1">IFERROR(__xludf.DUMMYFUNCTION("""COMPUTED_VALUE"""),"No")</f>
        <v>No</v>
      </c>
      <c r="AD452" s="5"/>
      <c r="AE452" s="5"/>
      <c r="AF452" s="5" t="str">
        <f ca="1">IFERROR(__xludf.DUMMYFUNCTION("""COMPUTED_VALUE"""),"Yes")</f>
        <v>Yes</v>
      </c>
      <c r="AG452" s="5"/>
      <c r="AH452" s="5"/>
      <c r="AI452" s="5"/>
      <c r="AJ452" s="5"/>
      <c r="AK452" s="5"/>
      <c r="AL452" s="5" t="str">
        <f ca="1">IFERROR(__xludf.DUMMYFUNCTION("""COMPUTED_VALUE"""),"Yes")</f>
        <v>Yes</v>
      </c>
      <c r="AM452" s="5"/>
      <c r="AN452" s="5"/>
      <c r="AO452" s="5"/>
      <c r="AP452" s="5"/>
      <c r="AQ452" s="5"/>
      <c r="AR452" s="5"/>
      <c r="AS452" s="5"/>
      <c r="AT452" s="5"/>
      <c r="AU452" s="5"/>
      <c r="AV452" s="5"/>
      <c r="AW452" s="5"/>
      <c r="AX452" s="5"/>
      <c r="AY452" s="5"/>
    </row>
    <row r="453" spans="1:51" x14ac:dyDescent="0.25">
      <c r="A45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3" s="5">
        <f ca="1">IFERROR(__xludf.DUMMYFUNCTION("""COMPUTED_VALUE"""),476)</f>
        <v>476</v>
      </c>
      <c r="C453" s="5">
        <f ca="1">IFERROR(__xludf.DUMMYFUNCTION("""COMPUTED_VALUE"""),418)</f>
        <v>418</v>
      </c>
      <c r="D453" s="5" t="str">
        <f ca="1">IFERROR(__xludf.DUMMYFUNCTION("""COMPUTED_VALUE"""),"UnicornMisterDice")</f>
        <v>UnicornMisterDice</v>
      </c>
      <c r="E453" s="5" t="str">
        <f ca="1">IFERROR(__xludf.DUMMYFUNCTION("""COMPUTED_VALUE"""),"Yes")</f>
        <v>Yes</v>
      </c>
      <c r="F453" s="5" t="str">
        <f ca="1">IFERROR(__xludf.DUMMYFUNCTION("""COMPUTED_VALUE"""),"Yes")</f>
        <v>Yes</v>
      </c>
      <c r="G453" s="5" t="str">
        <f ca="1">IFERROR(__xludf.DUMMYFUNCTION("""COMPUTED_VALUE"""),"Yes")</f>
        <v>Yes</v>
      </c>
      <c r="H453" s="5" t="str">
        <f ca="1">IFERROR(__xludf.DUMMYFUNCTION("""COMPUTED_VALUE"""),"No")</f>
        <v>No</v>
      </c>
      <c r="I453" s="5" t="str">
        <f ca="1">IFERROR(__xludf.DUMMYFUNCTION("""COMPUTED_VALUE"""),"No")</f>
        <v>No</v>
      </c>
      <c r="J453" s="5" t="str">
        <f ca="1">IFERROR(__xludf.DUMMYFUNCTION("""COMPUTED_VALUE"""),"No")</f>
        <v>No</v>
      </c>
      <c r="K453" s="5" t="str">
        <f ca="1">IFERROR(__xludf.DUMMYFUNCTION("""COMPUTED_VALUE"""),"No")</f>
        <v>No</v>
      </c>
      <c r="L453" s="5" t="str">
        <f ca="1">IFERROR(__xludf.DUMMYFUNCTION("""COMPUTED_VALUE"""),"No")</f>
        <v>No</v>
      </c>
      <c r="M453" s="5" t="str">
        <f ca="1">IFERROR(__xludf.DUMMYFUNCTION("""COMPUTED_VALUE"""),"Yes")</f>
        <v>Yes</v>
      </c>
      <c r="N453" s="5" t="str">
        <f ca="1">IFERROR(__xludf.DUMMYFUNCTION("""COMPUTED_VALUE"""),"Yes")</f>
        <v>Yes</v>
      </c>
      <c r="O453" s="5" t="str">
        <f ca="1">IFERROR(__xludf.DUMMYFUNCTION("""COMPUTED_VALUE"""),"Yes")</f>
        <v>Yes</v>
      </c>
      <c r="P453" s="5" t="str">
        <f ca="1">IFERROR(__xludf.DUMMYFUNCTION("""COMPUTED_VALUE"""),"Yes")</f>
        <v>Yes</v>
      </c>
      <c r="Q453" s="5" t="str">
        <f ca="1">IFERROR(__xludf.DUMMYFUNCTION("""COMPUTED_VALUE"""),"Yes")</f>
        <v>Yes</v>
      </c>
      <c r="R453" s="5" t="str">
        <f ca="1">IFERROR(__xludf.DUMMYFUNCTION("""COMPUTED_VALUE"""),"No")</f>
        <v>No</v>
      </c>
      <c r="S453" s="5" t="str">
        <f ca="1">IFERROR(__xludf.DUMMYFUNCTION("""COMPUTED_VALUE"""),"Yes")</f>
        <v>Yes</v>
      </c>
      <c r="T453" s="5" t="str">
        <f ca="1">IFERROR(__xludf.DUMMYFUNCTION("""COMPUTED_VALUE"""),"No")</f>
        <v>No</v>
      </c>
      <c r="U453" s="5" t="str">
        <f ca="1">IFERROR(__xludf.DUMMYFUNCTION("""COMPUTED_VALUE"""),"No")</f>
        <v>No</v>
      </c>
      <c r="V453" s="5" t="str">
        <f ca="1">IFERROR(__xludf.DUMMYFUNCTION("""COMPUTED_VALUE"""),"No")</f>
        <v>No</v>
      </c>
      <c r="W453" s="5" t="str">
        <f ca="1">IFERROR(__xludf.DUMMYFUNCTION("""COMPUTED_VALUE"""),"No")</f>
        <v>No</v>
      </c>
      <c r="X453" s="5"/>
      <c r="Y453" s="5"/>
      <c r="Z453" s="5"/>
      <c r="AA453" s="5" t="str">
        <f ca="1">IFERROR(__xludf.DUMMYFUNCTION("""COMPUTED_VALUE"""),"Yes")</f>
        <v>Yes</v>
      </c>
      <c r="AB453" s="5"/>
      <c r="AC453" s="5" t="str">
        <f ca="1">IFERROR(__xludf.DUMMYFUNCTION("""COMPUTED_VALUE"""),"No")</f>
        <v>No</v>
      </c>
      <c r="AD453" s="5"/>
      <c r="AE453" s="5"/>
      <c r="AF453" s="5" t="str">
        <f ca="1">IFERROR(__xludf.DUMMYFUNCTION("""COMPUTED_VALUE"""),"Yes")</f>
        <v>Yes</v>
      </c>
      <c r="AG453" s="5"/>
      <c r="AH453" s="5"/>
      <c r="AI453" s="5"/>
      <c r="AJ453" s="5"/>
      <c r="AK453" s="5"/>
      <c r="AL453" s="5" t="str">
        <f ca="1">IFERROR(__xludf.DUMMYFUNCTION("""COMPUTED_VALUE"""),"Yes")</f>
        <v>Yes</v>
      </c>
      <c r="AM453" s="5"/>
      <c r="AN453" s="5"/>
      <c r="AO453" s="5"/>
      <c r="AP453" s="5"/>
      <c r="AQ453" s="5"/>
      <c r="AR453" s="5"/>
      <c r="AS453" s="5"/>
      <c r="AT453" s="5"/>
      <c r="AU453" s="5"/>
      <c r="AV453" s="5"/>
      <c r="AW453" s="5"/>
      <c r="AX453" s="5"/>
      <c r="AY453" s="5"/>
    </row>
    <row r="454" spans="1:51" x14ac:dyDescent="0.25">
      <c r="A45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4" s="5">
        <f ca="1">IFERROR(__xludf.DUMMYFUNCTION("""COMPUTED_VALUE"""),477)</f>
        <v>477</v>
      </c>
      <c r="C454" s="5">
        <f ca="1">IFERROR(__xludf.DUMMYFUNCTION("""COMPUTED_VALUE"""),414)</f>
        <v>414</v>
      </c>
      <c r="D454" s="5" t="str">
        <f ca="1">IFERROR(__xludf.DUMMYFUNCTION("""COMPUTED_VALUE"""),"UnicornThreeReelSevens")</f>
        <v>UnicornThreeReelSevens</v>
      </c>
      <c r="E454" s="5" t="str">
        <f ca="1">IFERROR(__xludf.DUMMYFUNCTION("""COMPUTED_VALUE"""),"Yes")</f>
        <v>Yes</v>
      </c>
      <c r="F454" s="5" t="str">
        <f ca="1">IFERROR(__xludf.DUMMYFUNCTION("""COMPUTED_VALUE"""),"Yes")</f>
        <v>Yes</v>
      </c>
      <c r="G454" s="5" t="str">
        <f ca="1">IFERROR(__xludf.DUMMYFUNCTION("""COMPUTED_VALUE"""),"Yes")</f>
        <v>Yes</v>
      </c>
      <c r="H454" s="5" t="str">
        <f ca="1">IFERROR(__xludf.DUMMYFUNCTION("""COMPUTED_VALUE"""),"No")</f>
        <v>No</v>
      </c>
      <c r="I454" s="5" t="str">
        <f ca="1">IFERROR(__xludf.DUMMYFUNCTION("""COMPUTED_VALUE"""),"No")</f>
        <v>No</v>
      </c>
      <c r="J454" s="5" t="str">
        <f ca="1">IFERROR(__xludf.DUMMYFUNCTION("""COMPUTED_VALUE"""),"No")</f>
        <v>No</v>
      </c>
      <c r="K454" s="5" t="str">
        <f ca="1">IFERROR(__xludf.DUMMYFUNCTION("""COMPUTED_VALUE"""),"No")</f>
        <v>No</v>
      </c>
      <c r="L454" s="5" t="str">
        <f ca="1">IFERROR(__xludf.DUMMYFUNCTION("""COMPUTED_VALUE"""),"No")</f>
        <v>No</v>
      </c>
      <c r="M454" s="5" t="str">
        <f ca="1">IFERROR(__xludf.DUMMYFUNCTION("""COMPUTED_VALUE"""),"Yes")</f>
        <v>Yes</v>
      </c>
      <c r="N454" s="5" t="str">
        <f ca="1">IFERROR(__xludf.DUMMYFUNCTION("""COMPUTED_VALUE"""),"Yes")</f>
        <v>Yes</v>
      </c>
      <c r="O454" s="5" t="str">
        <f ca="1">IFERROR(__xludf.DUMMYFUNCTION("""COMPUTED_VALUE"""),"Yes")</f>
        <v>Yes</v>
      </c>
      <c r="P454" s="5" t="str">
        <f ca="1">IFERROR(__xludf.DUMMYFUNCTION("""COMPUTED_VALUE"""),"Yes")</f>
        <v>Yes</v>
      </c>
      <c r="Q454" s="5" t="str">
        <f ca="1">IFERROR(__xludf.DUMMYFUNCTION("""COMPUTED_VALUE"""),"Yes")</f>
        <v>Yes</v>
      </c>
      <c r="R454" s="5" t="str">
        <f ca="1">IFERROR(__xludf.DUMMYFUNCTION("""COMPUTED_VALUE"""),"No")</f>
        <v>No</v>
      </c>
      <c r="S454" s="5" t="str">
        <f ca="1">IFERROR(__xludf.DUMMYFUNCTION("""COMPUTED_VALUE"""),"Yes")</f>
        <v>Yes</v>
      </c>
      <c r="T454" s="5" t="str">
        <f ca="1">IFERROR(__xludf.DUMMYFUNCTION("""COMPUTED_VALUE"""),"No")</f>
        <v>No</v>
      </c>
      <c r="U454" s="5" t="str">
        <f ca="1">IFERROR(__xludf.DUMMYFUNCTION("""COMPUTED_VALUE"""),"No")</f>
        <v>No</v>
      </c>
      <c r="V454" s="5" t="str">
        <f ca="1">IFERROR(__xludf.DUMMYFUNCTION("""COMPUTED_VALUE"""),"No")</f>
        <v>No</v>
      </c>
      <c r="W454" s="5" t="str">
        <f ca="1">IFERROR(__xludf.DUMMYFUNCTION("""COMPUTED_VALUE"""),"No")</f>
        <v>No</v>
      </c>
      <c r="X454" s="5"/>
      <c r="Y454" s="5"/>
      <c r="Z454" s="5"/>
      <c r="AA454" s="5" t="str">
        <f ca="1">IFERROR(__xludf.DUMMYFUNCTION("""COMPUTED_VALUE"""),"Yes")</f>
        <v>Yes</v>
      </c>
      <c r="AB454" s="5"/>
      <c r="AC454" s="5" t="str">
        <f ca="1">IFERROR(__xludf.DUMMYFUNCTION("""COMPUTED_VALUE"""),"No")</f>
        <v>No</v>
      </c>
      <c r="AD454" s="5"/>
      <c r="AE454" s="5"/>
      <c r="AF454" s="5" t="str">
        <f ca="1">IFERROR(__xludf.DUMMYFUNCTION("""COMPUTED_VALUE"""),"Yes")</f>
        <v>Yes</v>
      </c>
      <c r="AG454" s="5"/>
      <c r="AH454" s="5"/>
      <c r="AI454" s="5"/>
      <c r="AJ454" s="5"/>
      <c r="AK454" s="5"/>
      <c r="AL454" s="5" t="str">
        <f ca="1">IFERROR(__xludf.DUMMYFUNCTION("""COMPUTED_VALUE"""),"Yes")</f>
        <v>Yes</v>
      </c>
      <c r="AM454" s="5"/>
      <c r="AN454" s="5"/>
      <c r="AO454" s="5"/>
      <c r="AP454" s="5"/>
      <c r="AQ454" s="5"/>
      <c r="AR454" s="5"/>
      <c r="AS454" s="5"/>
      <c r="AT454" s="5"/>
      <c r="AU454" s="5"/>
      <c r="AV454" s="5"/>
      <c r="AW454" s="5"/>
      <c r="AX454" s="5"/>
      <c r="AY454" s="5"/>
    </row>
    <row r="455" spans="1:51" x14ac:dyDescent="0.25">
      <c r="A4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5" s="5">
        <f ca="1">IFERROR(__xludf.DUMMYFUNCTION("""COMPUTED_VALUE"""),478)</f>
        <v>478</v>
      </c>
      <c r="C455" s="5">
        <f ca="1">IFERROR(__xludf.DUMMYFUNCTION("""COMPUTED_VALUE"""),1006)</f>
        <v>1006</v>
      </c>
      <c r="D455" s="5" t="str">
        <f ca="1">IFERROR(__xludf.DUMMYFUNCTION("""COMPUTED_VALUE"""),"LuckySheriff")</f>
        <v>LuckySheriff</v>
      </c>
      <c r="E455" s="5" t="str">
        <f ca="1">IFERROR(__xludf.DUMMYFUNCTION("""COMPUTED_VALUE"""),"Yes")</f>
        <v>Yes</v>
      </c>
      <c r="F455" s="5" t="str">
        <f ca="1">IFERROR(__xludf.DUMMYFUNCTION("""COMPUTED_VALUE"""),"Yes")</f>
        <v>Yes</v>
      </c>
      <c r="G455" s="5" t="str">
        <f ca="1">IFERROR(__xludf.DUMMYFUNCTION("""COMPUTED_VALUE"""),"Yes")</f>
        <v>Yes</v>
      </c>
      <c r="H455" s="5" t="str">
        <f ca="1">IFERROR(__xludf.DUMMYFUNCTION("""COMPUTED_VALUE"""),"Yes")</f>
        <v>Yes</v>
      </c>
      <c r="I455" s="5" t="str">
        <f ca="1">IFERROR(__xludf.DUMMYFUNCTION("""COMPUTED_VALUE"""),"Yes")</f>
        <v>Yes</v>
      </c>
      <c r="J455" s="5" t="str">
        <f ca="1">IFERROR(__xludf.DUMMYFUNCTION("""COMPUTED_VALUE"""),"Yes")</f>
        <v>Yes</v>
      </c>
      <c r="K455" s="5" t="str">
        <f ca="1">IFERROR(__xludf.DUMMYFUNCTION("""COMPUTED_VALUE"""),"Yes")</f>
        <v>Yes</v>
      </c>
      <c r="L455" s="5" t="str">
        <f ca="1">IFERROR(__xludf.DUMMYFUNCTION("""COMPUTED_VALUE"""),"Yes")</f>
        <v>Yes</v>
      </c>
      <c r="M455" s="5" t="str">
        <f ca="1">IFERROR(__xludf.DUMMYFUNCTION("""COMPUTED_VALUE"""),"Yes")</f>
        <v>Yes</v>
      </c>
      <c r="N455" s="5" t="str">
        <f ca="1">IFERROR(__xludf.DUMMYFUNCTION("""COMPUTED_VALUE"""),"Yes")</f>
        <v>Yes</v>
      </c>
      <c r="O455" s="5" t="str">
        <f ca="1">IFERROR(__xludf.DUMMYFUNCTION("""COMPUTED_VALUE"""),"Yes")</f>
        <v>Yes</v>
      </c>
      <c r="P455" s="5" t="str">
        <f ca="1">IFERROR(__xludf.DUMMYFUNCTION("""COMPUTED_VALUE"""),"Yes")</f>
        <v>Yes</v>
      </c>
      <c r="Q455" s="5" t="str">
        <f ca="1">IFERROR(__xludf.DUMMYFUNCTION("""COMPUTED_VALUE"""),"Yes")</f>
        <v>Yes</v>
      </c>
      <c r="R455" s="5" t="str">
        <f ca="1">IFERROR(__xludf.DUMMYFUNCTION("""COMPUTED_VALUE"""),"Yes")</f>
        <v>Yes</v>
      </c>
      <c r="S455" s="5" t="str">
        <f ca="1">IFERROR(__xludf.DUMMYFUNCTION("""COMPUTED_VALUE"""),"Yes")</f>
        <v>Yes</v>
      </c>
      <c r="T455" s="5" t="str">
        <f ca="1">IFERROR(__xludf.DUMMYFUNCTION("""COMPUTED_VALUE"""),"Yes")</f>
        <v>Yes</v>
      </c>
      <c r="U455" s="5" t="str">
        <f ca="1">IFERROR(__xludf.DUMMYFUNCTION("""COMPUTED_VALUE"""),"Yes")</f>
        <v>Yes</v>
      </c>
      <c r="V455" s="5" t="str">
        <f ca="1">IFERROR(__xludf.DUMMYFUNCTION("""COMPUTED_VALUE"""),"Yes")</f>
        <v>Yes</v>
      </c>
      <c r="W455" s="5" t="str">
        <f ca="1">IFERROR(__xludf.DUMMYFUNCTION("""COMPUTED_VALUE"""),"Yes")</f>
        <v>Yes</v>
      </c>
      <c r="X455" s="5" t="str">
        <f ca="1">IFERROR(__xludf.DUMMYFUNCTION("""COMPUTED_VALUE"""),"Yes")</f>
        <v>Yes</v>
      </c>
      <c r="Y455" s="5" t="str">
        <f ca="1">IFERROR(__xludf.DUMMYFUNCTION("""COMPUTED_VALUE"""),"Yes")</f>
        <v>Yes</v>
      </c>
      <c r="Z455" s="5" t="str">
        <f ca="1">IFERROR(__xludf.DUMMYFUNCTION("""COMPUTED_VALUE"""),"Yes")</f>
        <v>Yes</v>
      </c>
      <c r="AA455" s="5" t="str">
        <f ca="1">IFERROR(__xludf.DUMMYFUNCTION("""COMPUTED_VALUE"""),"Yes")</f>
        <v>Yes</v>
      </c>
      <c r="AB455" s="5" t="str">
        <f ca="1">IFERROR(__xludf.DUMMYFUNCTION("""COMPUTED_VALUE"""),"Yes")</f>
        <v>Yes</v>
      </c>
      <c r="AC455" s="5" t="str">
        <f ca="1">IFERROR(__xludf.DUMMYFUNCTION("""COMPUTED_VALUE"""),"Yes")</f>
        <v>Yes</v>
      </c>
      <c r="AD455" s="5" t="str">
        <f ca="1">IFERROR(__xludf.DUMMYFUNCTION("""COMPUTED_VALUE"""),"Yes")</f>
        <v>Yes</v>
      </c>
      <c r="AE455" s="5" t="str">
        <f ca="1">IFERROR(__xludf.DUMMYFUNCTION("""COMPUTED_VALUE"""),"Yes")</f>
        <v>Yes</v>
      </c>
      <c r="AF455" s="5" t="str">
        <f ca="1">IFERROR(__xludf.DUMMYFUNCTION("""COMPUTED_VALUE"""),"Yes")</f>
        <v>Yes</v>
      </c>
      <c r="AG455" s="5" t="str">
        <f ca="1">IFERROR(__xludf.DUMMYFUNCTION("""COMPUTED_VALUE"""),"Yes")</f>
        <v>Yes</v>
      </c>
      <c r="AH455" s="5" t="str">
        <f ca="1">IFERROR(__xludf.DUMMYFUNCTION("""COMPUTED_VALUE"""),"Yes")</f>
        <v>Yes</v>
      </c>
      <c r="AI455" s="5" t="str">
        <f ca="1">IFERROR(__xludf.DUMMYFUNCTION("""COMPUTED_VALUE"""),"No")</f>
        <v>No</v>
      </c>
      <c r="AJ455" s="5" t="str">
        <f ca="1">IFERROR(__xludf.DUMMYFUNCTION("""COMPUTED_VALUE"""),"No")</f>
        <v>No</v>
      </c>
      <c r="AK455" s="5" t="str">
        <f ca="1">IFERROR(__xludf.DUMMYFUNCTION("""COMPUTED_VALUE"""),"No")</f>
        <v>No</v>
      </c>
      <c r="AL455" s="5" t="str">
        <f ca="1">IFERROR(__xludf.DUMMYFUNCTION("""COMPUTED_VALUE"""),"No")</f>
        <v>No</v>
      </c>
      <c r="AM455" s="5"/>
      <c r="AN455" s="5"/>
      <c r="AO455" s="5"/>
      <c r="AP455" s="5"/>
      <c r="AQ455" s="5"/>
      <c r="AR455" s="5"/>
      <c r="AS455" s="5"/>
      <c r="AT455" s="5"/>
      <c r="AU455" s="5"/>
      <c r="AV455" s="5"/>
      <c r="AW455" s="5"/>
      <c r="AX455" s="5"/>
      <c r="AY455" s="5"/>
    </row>
    <row r="456" spans="1:51" x14ac:dyDescent="0.25">
      <c r="A4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6" s="5">
        <f ca="1">IFERROR(__xludf.DUMMYFUNCTION("""COMPUTED_VALUE"""),479)</f>
        <v>479</v>
      </c>
      <c r="C456" s="5">
        <f ca="1">IFERROR(__xludf.DUMMYFUNCTION("""COMPUTED_VALUE"""),1007)</f>
        <v>1007</v>
      </c>
      <c r="D456" s="5" t="str">
        <f ca="1">IFERROR(__xludf.DUMMYFUNCTION("""COMPUTED_VALUE"""),"CoinSplash")</f>
        <v>CoinSplash</v>
      </c>
      <c r="E456" s="5" t="str">
        <f ca="1">IFERROR(__xludf.DUMMYFUNCTION("""COMPUTED_VALUE"""),"Yes")</f>
        <v>Yes</v>
      </c>
      <c r="F456" s="5" t="str">
        <f ca="1">IFERROR(__xludf.DUMMYFUNCTION("""COMPUTED_VALUE"""),"Yes")</f>
        <v>Yes</v>
      </c>
      <c r="G456" s="5" t="str">
        <f ca="1">IFERROR(__xludf.DUMMYFUNCTION("""COMPUTED_VALUE"""),"Yes")</f>
        <v>Yes</v>
      </c>
      <c r="H456" s="5" t="str">
        <f ca="1">IFERROR(__xludf.DUMMYFUNCTION("""COMPUTED_VALUE"""),"Yes")</f>
        <v>Yes</v>
      </c>
      <c r="I456" s="5" t="str">
        <f ca="1">IFERROR(__xludf.DUMMYFUNCTION("""COMPUTED_VALUE"""),"Yes")</f>
        <v>Yes</v>
      </c>
      <c r="J456" s="5" t="str">
        <f ca="1">IFERROR(__xludf.DUMMYFUNCTION("""COMPUTED_VALUE"""),"Yes")</f>
        <v>Yes</v>
      </c>
      <c r="K456" s="5" t="str">
        <f ca="1">IFERROR(__xludf.DUMMYFUNCTION("""COMPUTED_VALUE"""),"Yes")</f>
        <v>Yes</v>
      </c>
      <c r="L456" s="5" t="str">
        <f ca="1">IFERROR(__xludf.DUMMYFUNCTION("""COMPUTED_VALUE"""),"Yes")</f>
        <v>Yes</v>
      </c>
      <c r="M456" s="5" t="str">
        <f ca="1">IFERROR(__xludf.DUMMYFUNCTION("""COMPUTED_VALUE"""),"Yes")</f>
        <v>Yes</v>
      </c>
      <c r="N456" s="5" t="str">
        <f ca="1">IFERROR(__xludf.DUMMYFUNCTION("""COMPUTED_VALUE"""),"Yes")</f>
        <v>Yes</v>
      </c>
      <c r="O456" s="5" t="str">
        <f ca="1">IFERROR(__xludf.DUMMYFUNCTION("""COMPUTED_VALUE"""),"Yes")</f>
        <v>Yes</v>
      </c>
      <c r="P456" s="5" t="str">
        <f ca="1">IFERROR(__xludf.DUMMYFUNCTION("""COMPUTED_VALUE"""),"Yes")</f>
        <v>Yes</v>
      </c>
      <c r="Q456" s="5" t="str">
        <f ca="1">IFERROR(__xludf.DUMMYFUNCTION("""COMPUTED_VALUE"""),"Yes")</f>
        <v>Yes</v>
      </c>
      <c r="R456" s="5" t="str">
        <f ca="1">IFERROR(__xludf.DUMMYFUNCTION("""COMPUTED_VALUE"""),"Yes")</f>
        <v>Yes</v>
      </c>
      <c r="S456" s="5" t="str">
        <f ca="1">IFERROR(__xludf.DUMMYFUNCTION("""COMPUTED_VALUE"""),"Yes")</f>
        <v>Yes</v>
      </c>
      <c r="T456" s="5" t="str">
        <f ca="1">IFERROR(__xludf.DUMMYFUNCTION("""COMPUTED_VALUE"""),"Yes")</f>
        <v>Yes</v>
      </c>
      <c r="U456" s="5" t="str">
        <f ca="1">IFERROR(__xludf.DUMMYFUNCTION("""COMPUTED_VALUE"""),"Yes")</f>
        <v>Yes</v>
      </c>
      <c r="V456" s="5" t="str">
        <f ca="1">IFERROR(__xludf.DUMMYFUNCTION("""COMPUTED_VALUE"""),"Yes")</f>
        <v>Yes</v>
      </c>
      <c r="W456" s="5" t="str">
        <f ca="1">IFERROR(__xludf.DUMMYFUNCTION("""COMPUTED_VALUE"""),"Yes")</f>
        <v>Yes</v>
      </c>
      <c r="X456" s="5" t="str">
        <f ca="1">IFERROR(__xludf.DUMMYFUNCTION("""COMPUTED_VALUE"""),"Yes")</f>
        <v>Yes</v>
      </c>
      <c r="Y456" s="5" t="str">
        <f ca="1">IFERROR(__xludf.DUMMYFUNCTION("""COMPUTED_VALUE"""),"Yes")</f>
        <v>Yes</v>
      </c>
      <c r="Z456" s="5" t="str">
        <f ca="1">IFERROR(__xludf.DUMMYFUNCTION("""COMPUTED_VALUE"""),"Yes")</f>
        <v>Yes</v>
      </c>
      <c r="AA456" s="5" t="str">
        <f ca="1">IFERROR(__xludf.DUMMYFUNCTION("""COMPUTED_VALUE"""),"Yes")</f>
        <v>Yes</v>
      </c>
      <c r="AB456" s="5" t="str">
        <f ca="1">IFERROR(__xludf.DUMMYFUNCTION("""COMPUTED_VALUE"""),"Yes")</f>
        <v>Yes</v>
      </c>
      <c r="AC456" s="5" t="str">
        <f ca="1">IFERROR(__xludf.DUMMYFUNCTION("""COMPUTED_VALUE"""),"Yes")</f>
        <v>Yes</v>
      </c>
      <c r="AD456" s="5" t="str">
        <f ca="1">IFERROR(__xludf.DUMMYFUNCTION("""COMPUTED_VALUE"""),"Yes")</f>
        <v>Yes</v>
      </c>
      <c r="AE456" s="5" t="str">
        <f ca="1">IFERROR(__xludf.DUMMYFUNCTION("""COMPUTED_VALUE"""),"Yes")</f>
        <v>Yes</v>
      </c>
      <c r="AF456" s="5" t="str">
        <f ca="1">IFERROR(__xludf.DUMMYFUNCTION("""COMPUTED_VALUE"""),"Yes")</f>
        <v>Yes</v>
      </c>
      <c r="AG456" s="5" t="str">
        <f ca="1">IFERROR(__xludf.DUMMYFUNCTION("""COMPUTED_VALUE"""),"Yes")</f>
        <v>Yes</v>
      </c>
      <c r="AH456" s="5" t="str">
        <f ca="1">IFERROR(__xludf.DUMMYFUNCTION("""COMPUTED_VALUE"""),"Yes")</f>
        <v>Yes</v>
      </c>
      <c r="AI456" s="5" t="str">
        <f ca="1">IFERROR(__xludf.DUMMYFUNCTION("""COMPUTED_VALUE"""),"No")</f>
        <v>No</v>
      </c>
      <c r="AJ456" s="5" t="str">
        <f ca="1">IFERROR(__xludf.DUMMYFUNCTION("""COMPUTED_VALUE"""),"No")</f>
        <v>No</v>
      </c>
      <c r="AK456" s="5" t="str">
        <f ca="1">IFERROR(__xludf.DUMMYFUNCTION("""COMPUTED_VALUE"""),"No")</f>
        <v>No</v>
      </c>
      <c r="AL456" s="5" t="str">
        <f ca="1">IFERROR(__xludf.DUMMYFUNCTION("""COMPUTED_VALUE"""),"No")</f>
        <v>No</v>
      </c>
      <c r="AM456" s="5"/>
      <c r="AN456" s="5"/>
      <c r="AO456" s="5"/>
      <c r="AP456" s="5"/>
      <c r="AQ456" s="5"/>
      <c r="AR456" s="5"/>
      <c r="AS456" s="5"/>
      <c r="AT456" s="5"/>
      <c r="AU456" s="5"/>
      <c r="AV456" s="5"/>
      <c r="AW456" s="5"/>
      <c r="AX456" s="5"/>
      <c r="AY456" s="5"/>
    </row>
    <row r="457" spans="1:51" x14ac:dyDescent="0.25">
      <c r="A45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7" s="5">
        <f ca="1">IFERROR(__xludf.DUMMYFUNCTION("""COMPUTED_VALUE"""),480)</f>
        <v>480</v>
      </c>
      <c r="C457" s="5">
        <f ca="1">IFERROR(__xludf.DUMMYFUNCTION("""COMPUTED_VALUE"""),180013)</f>
        <v>180013</v>
      </c>
      <c r="D457" s="5" t="str">
        <f ca="1">IFERROR(__xludf.DUMMYFUNCTION("""COMPUTED_VALUE"""),"Redstone10WildHeart")</f>
        <v>Redstone10WildHeart</v>
      </c>
      <c r="E457" s="5" t="str">
        <f ca="1">IFERROR(__xludf.DUMMYFUNCTION("""COMPUTED_VALUE"""),"Yes")</f>
        <v>Yes</v>
      </c>
      <c r="F457" s="5" t="str">
        <f ca="1">IFERROR(__xludf.DUMMYFUNCTION("""COMPUTED_VALUE"""),"Yes")</f>
        <v>Yes</v>
      </c>
      <c r="G457" s="5" t="str">
        <f ca="1">IFERROR(__xludf.DUMMYFUNCTION("""COMPUTED_VALUE"""),"Yes")</f>
        <v>Yes</v>
      </c>
      <c r="H457" s="5" t="str">
        <f ca="1">IFERROR(__xludf.DUMMYFUNCTION("""COMPUTED_VALUE"""),"No")</f>
        <v>No</v>
      </c>
      <c r="I457" s="5" t="str">
        <f ca="1">IFERROR(__xludf.DUMMYFUNCTION("""COMPUTED_VALUE"""),"No")</f>
        <v>No</v>
      </c>
      <c r="J457" s="5" t="str">
        <f ca="1">IFERROR(__xludf.DUMMYFUNCTION("""COMPUTED_VALUE"""),"No")</f>
        <v>No</v>
      </c>
      <c r="K457" s="5" t="str">
        <f ca="1">IFERROR(__xludf.DUMMYFUNCTION("""COMPUTED_VALUE"""),"No")</f>
        <v>No</v>
      </c>
      <c r="L457" s="5" t="str">
        <f ca="1">IFERROR(__xludf.DUMMYFUNCTION("""COMPUTED_VALUE"""),"No")</f>
        <v>No</v>
      </c>
      <c r="M457" s="5" t="str">
        <f ca="1">IFERROR(__xludf.DUMMYFUNCTION("""COMPUTED_VALUE"""),"Yes")</f>
        <v>Yes</v>
      </c>
      <c r="N457" s="5" t="str">
        <f ca="1">IFERROR(__xludf.DUMMYFUNCTION("""COMPUTED_VALUE"""),"Yes")</f>
        <v>Yes</v>
      </c>
      <c r="O457" s="5" t="str">
        <f ca="1">IFERROR(__xludf.DUMMYFUNCTION("""COMPUTED_VALUE"""),"Yes")</f>
        <v>Yes</v>
      </c>
      <c r="P457" s="5" t="str">
        <f ca="1">IFERROR(__xludf.DUMMYFUNCTION("""COMPUTED_VALUE"""),"Yes")</f>
        <v>Yes</v>
      </c>
      <c r="Q457" s="5" t="str">
        <f ca="1">IFERROR(__xludf.DUMMYFUNCTION("""COMPUTED_VALUE"""),"Yes")</f>
        <v>Yes</v>
      </c>
      <c r="R457" s="5" t="str">
        <f ca="1">IFERROR(__xludf.DUMMYFUNCTION("""COMPUTED_VALUE"""),"No")</f>
        <v>No</v>
      </c>
      <c r="S457" s="5" t="str">
        <f ca="1">IFERROR(__xludf.DUMMYFUNCTION("""COMPUTED_VALUE"""),"Yes")</f>
        <v>Yes</v>
      </c>
      <c r="T457" s="5" t="str">
        <f ca="1">IFERROR(__xludf.DUMMYFUNCTION("""COMPUTED_VALUE"""),"No")</f>
        <v>No</v>
      </c>
      <c r="U457" s="5" t="str">
        <f ca="1">IFERROR(__xludf.DUMMYFUNCTION("""COMPUTED_VALUE"""),"No")</f>
        <v>No</v>
      </c>
      <c r="V457" s="5" t="str">
        <f ca="1">IFERROR(__xludf.DUMMYFUNCTION("""COMPUTED_VALUE"""),"No")</f>
        <v>No</v>
      </c>
      <c r="W457" s="5" t="str">
        <f ca="1">IFERROR(__xludf.DUMMYFUNCTION("""COMPUTED_VALUE"""),"No")</f>
        <v>No</v>
      </c>
      <c r="X457" s="5"/>
      <c r="Y457" s="5"/>
      <c r="Z457" s="5"/>
      <c r="AA457" s="5" t="str">
        <f ca="1">IFERROR(__xludf.DUMMYFUNCTION("""COMPUTED_VALUE"""),"Yes")</f>
        <v>Yes</v>
      </c>
      <c r="AB457" s="5"/>
      <c r="AC457" s="5" t="str">
        <f ca="1">IFERROR(__xludf.DUMMYFUNCTION("""COMPUTED_VALUE"""),"No")</f>
        <v>No</v>
      </c>
      <c r="AD457" s="5"/>
      <c r="AE457" s="5"/>
      <c r="AF457" s="5" t="str">
        <f ca="1">IFERROR(__xludf.DUMMYFUNCTION("""COMPUTED_VALUE"""),"Yes")</f>
        <v>Yes</v>
      </c>
      <c r="AG457" s="5"/>
      <c r="AH457" s="5"/>
      <c r="AI457" s="5"/>
      <c r="AJ457" s="5"/>
      <c r="AK457" s="5"/>
      <c r="AL457" s="5" t="str">
        <f ca="1">IFERROR(__xludf.DUMMYFUNCTION("""COMPUTED_VALUE"""),"Yes")</f>
        <v>Yes</v>
      </c>
      <c r="AM457" s="5"/>
      <c r="AN457" s="5"/>
      <c r="AO457" s="5"/>
      <c r="AP457" s="5"/>
      <c r="AQ457" s="5"/>
      <c r="AR457" s="5"/>
      <c r="AS457" s="5"/>
      <c r="AT457" s="5"/>
      <c r="AU457" s="5"/>
      <c r="AV457" s="5"/>
      <c r="AW457" s="5"/>
      <c r="AX457" s="5"/>
      <c r="AY457" s="5"/>
    </row>
    <row r="458" spans="1:51" x14ac:dyDescent="0.25">
      <c r="A458" s="5" t="str">
        <f ca="1">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B458" s="5">
        <f ca="1">IFERROR(__xludf.DUMMYFUNCTION("""COMPUTED_VALUE"""),481)</f>
        <v>481</v>
      </c>
      <c r="C458" s="5">
        <f ca="1">IFERROR(__xludf.DUMMYFUNCTION("""COMPUTED_VALUE"""),180014)</f>
        <v>180014</v>
      </c>
      <c r="D458" s="5" t="str">
        <f ca="1">IFERROR(__xludf.DUMMYFUNCTION("""COMPUTED_VALUE"""),"Redstone40JokerFire")</f>
        <v>Redstone40JokerFire</v>
      </c>
      <c r="E458" s="5" t="str">
        <f ca="1">IFERROR(__xludf.DUMMYFUNCTION("""COMPUTED_VALUE"""),"Yes")</f>
        <v>Yes</v>
      </c>
      <c r="F458" s="5" t="str">
        <f ca="1">IFERROR(__xludf.DUMMYFUNCTION("""COMPUTED_VALUE"""),"Yes")</f>
        <v>Yes</v>
      </c>
      <c r="G458" s="5" t="str">
        <f ca="1">IFERROR(__xludf.DUMMYFUNCTION("""COMPUTED_VALUE"""),"Yes")</f>
        <v>Yes</v>
      </c>
      <c r="H458" s="5" t="str">
        <f ca="1">IFERROR(__xludf.DUMMYFUNCTION("""COMPUTED_VALUE"""),"No")</f>
        <v>No</v>
      </c>
      <c r="I458" s="5" t="str">
        <f ca="1">IFERROR(__xludf.DUMMYFUNCTION("""COMPUTED_VALUE"""),"No")</f>
        <v>No</v>
      </c>
      <c r="J458" s="5" t="str">
        <f ca="1">IFERROR(__xludf.DUMMYFUNCTION("""COMPUTED_VALUE"""),"No")</f>
        <v>No</v>
      </c>
      <c r="K458" s="5" t="str">
        <f ca="1">IFERROR(__xludf.DUMMYFUNCTION("""COMPUTED_VALUE"""),"No")</f>
        <v>No</v>
      </c>
      <c r="L458" s="5" t="str">
        <f ca="1">IFERROR(__xludf.DUMMYFUNCTION("""COMPUTED_VALUE"""),"No")</f>
        <v>No</v>
      </c>
      <c r="M458" s="5" t="str">
        <f ca="1">IFERROR(__xludf.DUMMYFUNCTION("""COMPUTED_VALUE"""),"Yes")</f>
        <v>Yes</v>
      </c>
      <c r="N458" s="5" t="str">
        <f ca="1">IFERROR(__xludf.DUMMYFUNCTION("""COMPUTED_VALUE"""),"Yes")</f>
        <v>Yes</v>
      </c>
      <c r="O458" s="5" t="str">
        <f ca="1">IFERROR(__xludf.DUMMYFUNCTION("""COMPUTED_VALUE"""),"Yes")</f>
        <v>Yes</v>
      </c>
      <c r="P458" s="5" t="str">
        <f ca="1">IFERROR(__xludf.DUMMYFUNCTION("""COMPUTED_VALUE"""),"Yes")</f>
        <v>Yes</v>
      </c>
      <c r="Q458" s="5" t="str">
        <f ca="1">IFERROR(__xludf.DUMMYFUNCTION("""COMPUTED_VALUE"""),"Yes")</f>
        <v>Yes</v>
      </c>
      <c r="R458" s="5" t="str">
        <f ca="1">IFERROR(__xludf.DUMMYFUNCTION("""COMPUTED_VALUE"""),"No")</f>
        <v>No</v>
      </c>
      <c r="S458" s="5" t="str">
        <f ca="1">IFERROR(__xludf.DUMMYFUNCTION("""COMPUTED_VALUE"""),"Yes")</f>
        <v>Yes</v>
      </c>
      <c r="T458" s="5" t="str">
        <f ca="1">IFERROR(__xludf.DUMMYFUNCTION("""COMPUTED_VALUE"""),"No")</f>
        <v>No</v>
      </c>
      <c r="U458" s="5" t="str">
        <f ca="1">IFERROR(__xludf.DUMMYFUNCTION("""COMPUTED_VALUE"""),"No")</f>
        <v>No</v>
      </c>
      <c r="V458" s="5" t="str">
        <f ca="1">IFERROR(__xludf.DUMMYFUNCTION("""COMPUTED_VALUE"""),"No")</f>
        <v>No</v>
      </c>
      <c r="W458" s="5" t="str">
        <f ca="1">IFERROR(__xludf.DUMMYFUNCTION("""COMPUTED_VALUE"""),"No")</f>
        <v>No</v>
      </c>
      <c r="X458" s="5"/>
      <c r="Y458" s="5" t="str">
        <f ca="1">IFERROR(__xludf.DUMMYFUNCTION("""COMPUTED_VALUE"""),"Yes")</f>
        <v>Yes</v>
      </c>
      <c r="Z458" s="5"/>
      <c r="AA458" s="5" t="str">
        <f ca="1">IFERROR(__xludf.DUMMYFUNCTION("""COMPUTED_VALUE"""),"Yes")</f>
        <v>Yes</v>
      </c>
      <c r="AB458" s="5"/>
      <c r="AC458" s="5" t="str">
        <f ca="1">IFERROR(__xludf.DUMMYFUNCTION("""COMPUTED_VALUE"""),"No")</f>
        <v>No</v>
      </c>
      <c r="AD458" s="5"/>
      <c r="AE458" s="5"/>
      <c r="AF458" s="5" t="str">
        <f ca="1">IFERROR(__xludf.DUMMYFUNCTION("""COMPUTED_VALUE"""),"Yes")</f>
        <v>Yes</v>
      </c>
      <c r="AG458" s="5"/>
      <c r="AH458" s="5"/>
      <c r="AI458" s="5"/>
      <c r="AJ458" s="5"/>
      <c r="AK458" s="5"/>
      <c r="AL458" s="5"/>
      <c r="AM458" s="5"/>
      <c r="AN458" s="5"/>
      <c r="AO458" s="5"/>
      <c r="AP458" s="5"/>
      <c r="AQ458" s="5"/>
      <c r="AR458" s="5"/>
      <c r="AS458" s="5"/>
      <c r="AT458" s="5"/>
      <c r="AU458" s="5"/>
      <c r="AV458" s="5"/>
      <c r="AW458" s="5"/>
      <c r="AX458" s="5"/>
      <c r="AY458" s="5"/>
    </row>
    <row r="459" spans="1:51" x14ac:dyDescent="0.25">
      <c r="A45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59" s="5">
        <f ca="1">IFERROR(__xludf.DUMMYFUNCTION("""COMPUTED_VALUE"""),482)</f>
        <v>482</v>
      </c>
      <c r="C459" s="5">
        <f ca="1">IFERROR(__xludf.DUMMYFUNCTION("""COMPUTED_VALUE"""),180015)</f>
        <v>180015</v>
      </c>
      <c r="D459" s="5" t="str">
        <f ca="1">IFERROR(__xludf.DUMMYFUNCTION("""COMPUTED_VALUE"""),"RedstoneBonusStars")</f>
        <v>RedstoneBonusStars</v>
      </c>
      <c r="E459" s="5" t="str">
        <f ca="1">IFERROR(__xludf.DUMMYFUNCTION("""COMPUTED_VALUE"""),"Yes")</f>
        <v>Yes</v>
      </c>
      <c r="F459" s="5" t="str">
        <f ca="1">IFERROR(__xludf.DUMMYFUNCTION("""COMPUTED_VALUE"""),"Yes")</f>
        <v>Yes</v>
      </c>
      <c r="G459" s="5" t="str">
        <f ca="1">IFERROR(__xludf.DUMMYFUNCTION("""COMPUTED_VALUE"""),"No")</f>
        <v>No</v>
      </c>
      <c r="H459" s="5" t="str">
        <f ca="1">IFERROR(__xludf.DUMMYFUNCTION("""COMPUTED_VALUE"""),"Yes")</f>
        <v>Yes</v>
      </c>
      <c r="I459" s="5" t="str">
        <f ca="1">IFERROR(__xludf.DUMMYFUNCTION("""COMPUTED_VALUE"""),"Yes")</f>
        <v>Yes</v>
      </c>
      <c r="J459" s="5" t="str">
        <f ca="1">IFERROR(__xludf.DUMMYFUNCTION("""COMPUTED_VALUE"""),"Yes")</f>
        <v>Yes</v>
      </c>
      <c r="K459" s="5" t="str">
        <f ca="1">IFERROR(__xludf.DUMMYFUNCTION("""COMPUTED_VALUE"""),"Yes")</f>
        <v>Yes</v>
      </c>
      <c r="L459" s="5" t="str">
        <f ca="1">IFERROR(__xludf.DUMMYFUNCTION("""COMPUTED_VALUE"""),"Yes")</f>
        <v>Yes</v>
      </c>
      <c r="M459" s="5" t="str">
        <f ca="1">IFERROR(__xludf.DUMMYFUNCTION("""COMPUTED_VALUE"""),"Yes")</f>
        <v>Yes</v>
      </c>
      <c r="N459" s="5" t="str">
        <f ca="1">IFERROR(__xludf.DUMMYFUNCTION("""COMPUTED_VALUE"""),"Yes")</f>
        <v>Yes</v>
      </c>
      <c r="O459" s="5" t="str">
        <f ca="1">IFERROR(__xludf.DUMMYFUNCTION("""COMPUTED_VALUE"""),"Yes")</f>
        <v>Yes</v>
      </c>
      <c r="P459" s="5" t="str">
        <f ca="1">IFERROR(__xludf.DUMMYFUNCTION("""COMPUTED_VALUE"""),"Yes")</f>
        <v>Yes</v>
      </c>
      <c r="Q459" s="5" t="str">
        <f ca="1">IFERROR(__xludf.DUMMYFUNCTION("""COMPUTED_VALUE"""),"Yes")</f>
        <v>Yes</v>
      </c>
      <c r="R459" s="5" t="str">
        <f ca="1">IFERROR(__xludf.DUMMYFUNCTION("""COMPUTED_VALUE"""),"Yes")</f>
        <v>Yes</v>
      </c>
      <c r="S459" s="5" t="str">
        <f ca="1">IFERROR(__xludf.DUMMYFUNCTION("""COMPUTED_VALUE"""),"Yes")</f>
        <v>Yes</v>
      </c>
      <c r="T459" s="5" t="str">
        <f ca="1">IFERROR(__xludf.DUMMYFUNCTION("""COMPUTED_VALUE"""),"No")</f>
        <v>No</v>
      </c>
      <c r="U459" s="5" t="str">
        <f ca="1">IFERROR(__xludf.DUMMYFUNCTION("""COMPUTED_VALUE"""),"No")</f>
        <v>No</v>
      </c>
      <c r="V459" s="5" t="str">
        <f ca="1">IFERROR(__xludf.DUMMYFUNCTION("""COMPUTED_VALUE"""),"No")</f>
        <v>No</v>
      </c>
      <c r="W459" s="5" t="str">
        <f ca="1">IFERROR(__xludf.DUMMYFUNCTION("""COMPUTED_VALUE"""),"No")</f>
        <v>No</v>
      </c>
      <c r="X459" s="5" t="str">
        <f ca="1">IFERROR(__xludf.DUMMYFUNCTION("""COMPUTED_VALUE"""),"No")</f>
        <v>No</v>
      </c>
      <c r="Y459" s="5" t="str">
        <f ca="1">IFERROR(__xludf.DUMMYFUNCTION("""COMPUTED_VALUE"""),"No")</f>
        <v>No</v>
      </c>
      <c r="Z459" s="5" t="str">
        <f ca="1">IFERROR(__xludf.DUMMYFUNCTION("""COMPUTED_VALUE"""),"No")</f>
        <v>No</v>
      </c>
      <c r="AA459" s="5" t="str">
        <f ca="1">IFERROR(__xludf.DUMMYFUNCTION("""COMPUTED_VALUE"""),"Yes")</f>
        <v>Yes</v>
      </c>
      <c r="AB459" s="5" t="str">
        <f ca="1">IFERROR(__xludf.DUMMYFUNCTION("""COMPUTED_VALUE"""),"No")</f>
        <v>No</v>
      </c>
      <c r="AC459" s="5" t="str">
        <f ca="1">IFERROR(__xludf.DUMMYFUNCTION("""COMPUTED_VALUE"""),"No")</f>
        <v>No</v>
      </c>
      <c r="AD459" s="5" t="str">
        <f ca="1">IFERROR(__xludf.DUMMYFUNCTION("""COMPUTED_VALUE"""),"No")</f>
        <v>No</v>
      </c>
      <c r="AE459" s="5" t="str">
        <f ca="1">IFERROR(__xludf.DUMMYFUNCTION("""COMPUTED_VALUE"""),"No")</f>
        <v>No</v>
      </c>
      <c r="AF459" s="5" t="str">
        <f ca="1">IFERROR(__xludf.DUMMYFUNCTION("""COMPUTED_VALUE"""),"Yes")</f>
        <v>Yes</v>
      </c>
      <c r="AG459" s="5" t="str">
        <f ca="1">IFERROR(__xludf.DUMMYFUNCTION("""COMPUTED_VALUE"""),"No")</f>
        <v>No</v>
      </c>
      <c r="AH459" s="5" t="str">
        <f ca="1">IFERROR(__xludf.DUMMYFUNCTION("""COMPUTED_VALUE"""),"Yes")</f>
        <v>Yes</v>
      </c>
      <c r="AI459" s="5" t="str">
        <f ca="1">IFERROR(__xludf.DUMMYFUNCTION("""COMPUTED_VALUE"""),"No")</f>
        <v>No</v>
      </c>
      <c r="AJ459" s="5" t="str">
        <f ca="1">IFERROR(__xludf.DUMMYFUNCTION("""COMPUTED_VALUE"""),"No")</f>
        <v>No</v>
      </c>
      <c r="AK459" s="5" t="str">
        <f ca="1">IFERROR(__xludf.DUMMYFUNCTION("""COMPUTED_VALUE"""),"No")</f>
        <v>No</v>
      </c>
      <c r="AL459" s="5" t="str">
        <f ca="1">IFERROR(__xludf.DUMMYFUNCTION("""COMPUTED_VALUE"""),"No")</f>
        <v>No</v>
      </c>
      <c r="AM459" s="5"/>
      <c r="AN459" s="5"/>
      <c r="AO459" s="5"/>
      <c r="AP459" s="5"/>
      <c r="AQ459" s="5"/>
      <c r="AR459" s="5"/>
      <c r="AS459" s="5"/>
      <c r="AT459" s="5"/>
      <c r="AU459" s="5"/>
      <c r="AV459" s="5"/>
      <c r="AW459" s="5"/>
      <c r="AX459" s="5"/>
      <c r="AY459" s="5"/>
    </row>
    <row r="460" spans="1:51" x14ac:dyDescent="0.25">
      <c r="A46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0" s="5">
        <f ca="1">IFERROR(__xludf.DUMMYFUNCTION("""COMPUTED_VALUE"""),483)</f>
        <v>483</v>
      </c>
      <c r="C460" s="5">
        <f ca="1">IFERROR(__xludf.DUMMYFUNCTION("""COMPUTED_VALUE"""),180017)</f>
        <v>180017</v>
      </c>
      <c r="D460" s="5" t="str">
        <f ca="1">IFERROR(__xludf.DUMMYFUNCTION("""COMPUTED_VALUE"""),"Redstone5StarFire")</f>
        <v>Redstone5StarFire</v>
      </c>
      <c r="E460" s="5" t="str">
        <f ca="1">IFERROR(__xludf.DUMMYFUNCTION("""COMPUTED_VALUE"""),"Yes")</f>
        <v>Yes</v>
      </c>
      <c r="F460" s="5" t="str">
        <f ca="1">IFERROR(__xludf.DUMMYFUNCTION("""COMPUTED_VALUE"""),"Yes")</f>
        <v>Yes</v>
      </c>
      <c r="G460" s="5" t="str">
        <f ca="1">IFERROR(__xludf.DUMMYFUNCTION("""COMPUTED_VALUE"""),"No")</f>
        <v>No</v>
      </c>
      <c r="H460" s="5" t="str">
        <f ca="1">IFERROR(__xludf.DUMMYFUNCTION("""COMPUTED_VALUE"""),"Yes")</f>
        <v>Yes</v>
      </c>
      <c r="I460" s="5" t="str">
        <f ca="1">IFERROR(__xludf.DUMMYFUNCTION("""COMPUTED_VALUE"""),"Yes")</f>
        <v>Yes</v>
      </c>
      <c r="J460" s="5" t="str">
        <f ca="1">IFERROR(__xludf.DUMMYFUNCTION("""COMPUTED_VALUE"""),"Yes")</f>
        <v>Yes</v>
      </c>
      <c r="K460" s="5" t="str">
        <f ca="1">IFERROR(__xludf.DUMMYFUNCTION("""COMPUTED_VALUE"""),"Yes")</f>
        <v>Yes</v>
      </c>
      <c r="L460" s="5" t="str">
        <f ca="1">IFERROR(__xludf.DUMMYFUNCTION("""COMPUTED_VALUE"""),"Yes")</f>
        <v>Yes</v>
      </c>
      <c r="M460" s="5" t="str">
        <f ca="1">IFERROR(__xludf.DUMMYFUNCTION("""COMPUTED_VALUE"""),"Yes")</f>
        <v>Yes</v>
      </c>
      <c r="N460" s="5" t="str">
        <f ca="1">IFERROR(__xludf.DUMMYFUNCTION("""COMPUTED_VALUE"""),"Yes")</f>
        <v>Yes</v>
      </c>
      <c r="O460" s="5" t="str">
        <f ca="1">IFERROR(__xludf.DUMMYFUNCTION("""COMPUTED_VALUE"""),"Yes")</f>
        <v>Yes</v>
      </c>
      <c r="P460" s="5" t="str">
        <f ca="1">IFERROR(__xludf.DUMMYFUNCTION("""COMPUTED_VALUE"""),"Yes")</f>
        <v>Yes</v>
      </c>
      <c r="Q460" s="5" t="str">
        <f ca="1">IFERROR(__xludf.DUMMYFUNCTION("""COMPUTED_VALUE"""),"Yes")</f>
        <v>Yes</v>
      </c>
      <c r="R460" s="5" t="str">
        <f ca="1">IFERROR(__xludf.DUMMYFUNCTION("""COMPUTED_VALUE"""),"Yes")</f>
        <v>Yes</v>
      </c>
      <c r="S460" s="5" t="str">
        <f ca="1">IFERROR(__xludf.DUMMYFUNCTION("""COMPUTED_VALUE"""),"Yes")</f>
        <v>Yes</v>
      </c>
      <c r="T460" s="5" t="str">
        <f ca="1">IFERROR(__xludf.DUMMYFUNCTION("""COMPUTED_VALUE"""),"No")</f>
        <v>No</v>
      </c>
      <c r="U460" s="5" t="str">
        <f ca="1">IFERROR(__xludf.DUMMYFUNCTION("""COMPUTED_VALUE"""),"No")</f>
        <v>No</v>
      </c>
      <c r="V460" s="5" t="str">
        <f ca="1">IFERROR(__xludf.DUMMYFUNCTION("""COMPUTED_VALUE"""),"No")</f>
        <v>No</v>
      </c>
      <c r="W460" s="5" t="str">
        <f ca="1">IFERROR(__xludf.DUMMYFUNCTION("""COMPUTED_VALUE"""),"No")</f>
        <v>No</v>
      </c>
      <c r="X460" s="5" t="str">
        <f ca="1">IFERROR(__xludf.DUMMYFUNCTION("""COMPUTED_VALUE"""),"No")</f>
        <v>No</v>
      </c>
      <c r="Y460" s="5" t="str">
        <f ca="1">IFERROR(__xludf.DUMMYFUNCTION("""COMPUTED_VALUE"""),"No")</f>
        <v>No</v>
      </c>
      <c r="Z460" s="5" t="str">
        <f ca="1">IFERROR(__xludf.DUMMYFUNCTION("""COMPUTED_VALUE"""),"No")</f>
        <v>No</v>
      </c>
      <c r="AA460" s="5" t="str">
        <f ca="1">IFERROR(__xludf.DUMMYFUNCTION("""COMPUTED_VALUE"""),"Yes")</f>
        <v>Yes</v>
      </c>
      <c r="AB460" s="5" t="str">
        <f ca="1">IFERROR(__xludf.DUMMYFUNCTION("""COMPUTED_VALUE"""),"No")</f>
        <v>No</v>
      </c>
      <c r="AC460" s="5" t="str">
        <f ca="1">IFERROR(__xludf.DUMMYFUNCTION("""COMPUTED_VALUE"""),"No")</f>
        <v>No</v>
      </c>
      <c r="AD460" s="5" t="str">
        <f ca="1">IFERROR(__xludf.DUMMYFUNCTION("""COMPUTED_VALUE"""),"No")</f>
        <v>No</v>
      </c>
      <c r="AE460" s="5" t="str">
        <f ca="1">IFERROR(__xludf.DUMMYFUNCTION("""COMPUTED_VALUE"""),"No")</f>
        <v>No</v>
      </c>
      <c r="AF460" s="5" t="str">
        <f ca="1">IFERROR(__xludf.DUMMYFUNCTION("""COMPUTED_VALUE"""),"Yes")</f>
        <v>Yes</v>
      </c>
      <c r="AG460" s="5" t="str">
        <f ca="1">IFERROR(__xludf.DUMMYFUNCTION("""COMPUTED_VALUE"""),"No")</f>
        <v>No</v>
      </c>
      <c r="AH460" s="5" t="str">
        <f ca="1">IFERROR(__xludf.DUMMYFUNCTION("""COMPUTED_VALUE"""),"Yes")</f>
        <v>Yes</v>
      </c>
      <c r="AI460" s="5" t="str">
        <f ca="1">IFERROR(__xludf.DUMMYFUNCTION("""COMPUTED_VALUE"""),"No")</f>
        <v>No</v>
      </c>
      <c r="AJ460" s="5" t="str">
        <f ca="1">IFERROR(__xludf.DUMMYFUNCTION("""COMPUTED_VALUE"""),"No")</f>
        <v>No</v>
      </c>
      <c r="AK460" s="5" t="str">
        <f ca="1">IFERROR(__xludf.DUMMYFUNCTION("""COMPUTED_VALUE"""),"No")</f>
        <v>No</v>
      </c>
      <c r="AL460" s="5" t="str">
        <f ca="1">IFERROR(__xludf.DUMMYFUNCTION("""COMPUTED_VALUE"""),"No")</f>
        <v>No</v>
      </c>
      <c r="AM460" s="5"/>
      <c r="AN460" s="5"/>
      <c r="AO460" s="5"/>
      <c r="AP460" s="5"/>
      <c r="AQ460" s="5"/>
      <c r="AR460" s="5"/>
      <c r="AS460" s="5"/>
      <c r="AT460" s="5"/>
      <c r="AU460" s="5"/>
      <c r="AV460" s="5"/>
      <c r="AW460" s="5"/>
      <c r="AX460" s="5"/>
      <c r="AY460" s="5"/>
    </row>
    <row r="461" spans="1:51" x14ac:dyDescent="0.25">
      <c r="A461"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1" s="5">
        <f ca="1">IFERROR(__xludf.DUMMYFUNCTION("""COMPUTED_VALUE"""),484)</f>
        <v>484</v>
      </c>
      <c r="C461" s="5">
        <f ca="1">IFERROR(__xludf.DUMMYFUNCTION("""COMPUTED_VALUE"""),180034)</f>
        <v>180034</v>
      </c>
      <c r="D461" s="5" t="str">
        <f ca="1">IFERROR(__xludf.DUMMYFUNCTION("""COMPUTED_VALUE"""),"RedstoneCrushBonanza")</f>
        <v>RedstoneCrushBonanza</v>
      </c>
      <c r="E461" s="5" t="str">
        <f ca="1">IFERROR(__xludf.DUMMYFUNCTION("""COMPUTED_VALUE"""),"Yes")</f>
        <v>Yes</v>
      </c>
      <c r="F461" s="5" t="str">
        <f ca="1">IFERROR(__xludf.DUMMYFUNCTION("""COMPUTED_VALUE"""),"Yes")</f>
        <v>Yes</v>
      </c>
      <c r="G461" s="5" t="str">
        <f ca="1">IFERROR(__xludf.DUMMYFUNCTION("""COMPUTED_VALUE"""),"No")</f>
        <v>No</v>
      </c>
      <c r="H461" s="5" t="str">
        <f ca="1">IFERROR(__xludf.DUMMYFUNCTION("""COMPUTED_VALUE"""),"Yes")</f>
        <v>Yes</v>
      </c>
      <c r="I461" s="5" t="str">
        <f ca="1">IFERROR(__xludf.DUMMYFUNCTION("""COMPUTED_VALUE"""),"Yes")</f>
        <v>Yes</v>
      </c>
      <c r="J461" s="5" t="str">
        <f ca="1">IFERROR(__xludf.DUMMYFUNCTION("""COMPUTED_VALUE"""),"Yes")</f>
        <v>Yes</v>
      </c>
      <c r="K461" s="5" t="str">
        <f ca="1">IFERROR(__xludf.DUMMYFUNCTION("""COMPUTED_VALUE"""),"Yes")</f>
        <v>Yes</v>
      </c>
      <c r="L461" s="5" t="str">
        <f ca="1">IFERROR(__xludf.DUMMYFUNCTION("""COMPUTED_VALUE"""),"Yes")</f>
        <v>Yes</v>
      </c>
      <c r="M461" s="5" t="str">
        <f ca="1">IFERROR(__xludf.DUMMYFUNCTION("""COMPUTED_VALUE"""),"Yes")</f>
        <v>Yes</v>
      </c>
      <c r="N461" s="5" t="str">
        <f ca="1">IFERROR(__xludf.DUMMYFUNCTION("""COMPUTED_VALUE"""),"Yes")</f>
        <v>Yes</v>
      </c>
      <c r="O461" s="5" t="str">
        <f ca="1">IFERROR(__xludf.DUMMYFUNCTION("""COMPUTED_VALUE"""),"Yes")</f>
        <v>Yes</v>
      </c>
      <c r="P461" s="5" t="str">
        <f ca="1">IFERROR(__xludf.DUMMYFUNCTION("""COMPUTED_VALUE"""),"Yes")</f>
        <v>Yes</v>
      </c>
      <c r="Q461" s="5" t="str">
        <f ca="1">IFERROR(__xludf.DUMMYFUNCTION("""COMPUTED_VALUE"""),"Yes")</f>
        <v>Yes</v>
      </c>
      <c r="R461" s="5" t="str">
        <f ca="1">IFERROR(__xludf.DUMMYFUNCTION("""COMPUTED_VALUE"""),"Yes")</f>
        <v>Yes</v>
      </c>
      <c r="S461" s="5" t="str">
        <f ca="1">IFERROR(__xludf.DUMMYFUNCTION("""COMPUTED_VALUE"""),"Yes")</f>
        <v>Yes</v>
      </c>
      <c r="T461" s="5" t="str">
        <f ca="1">IFERROR(__xludf.DUMMYFUNCTION("""COMPUTED_VALUE"""),"No")</f>
        <v>No</v>
      </c>
      <c r="U461" s="5" t="str">
        <f ca="1">IFERROR(__xludf.DUMMYFUNCTION("""COMPUTED_VALUE"""),"No")</f>
        <v>No</v>
      </c>
      <c r="V461" s="5" t="str">
        <f ca="1">IFERROR(__xludf.DUMMYFUNCTION("""COMPUTED_VALUE"""),"No")</f>
        <v>No</v>
      </c>
      <c r="W461" s="5" t="str">
        <f ca="1">IFERROR(__xludf.DUMMYFUNCTION("""COMPUTED_VALUE"""),"No")</f>
        <v>No</v>
      </c>
      <c r="X461" s="5" t="str">
        <f ca="1">IFERROR(__xludf.DUMMYFUNCTION("""COMPUTED_VALUE"""),"No")</f>
        <v>No</v>
      </c>
      <c r="Y461" s="5" t="str">
        <f ca="1">IFERROR(__xludf.DUMMYFUNCTION("""COMPUTED_VALUE"""),"No")</f>
        <v>No</v>
      </c>
      <c r="Z461" s="5" t="str">
        <f ca="1">IFERROR(__xludf.DUMMYFUNCTION("""COMPUTED_VALUE"""),"No")</f>
        <v>No</v>
      </c>
      <c r="AA461" s="5" t="str">
        <f ca="1">IFERROR(__xludf.DUMMYFUNCTION("""COMPUTED_VALUE"""),"Yes")</f>
        <v>Yes</v>
      </c>
      <c r="AB461" s="5" t="str">
        <f ca="1">IFERROR(__xludf.DUMMYFUNCTION("""COMPUTED_VALUE"""),"No")</f>
        <v>No</v>
      </c>
      <c r="AC461" s="5" t="str">
        <f ca="1">IFERROR(__xludf.DUMMYFUNCTION("""COMPUTED_VALUE"""),"No")</f>
        <v>No</v>
      </c>
      <c r="AD461" s="5" t="str">
        <f ca="1">IFERROR(__xludf.DUMMYFUNCTION("""COMPUTED_VALUE"""),"No")</f>
        <v>No</v>
      </c>
      <c r="AE461" s="5" t="str">
        <f ca="1">IFERROR(__xludf.DUMMYFUNCTION("""COMPUTED_VALUE"""),"No")</f>
        <v>No</v>
      </c>
      <c r="AF461" s="5" t="str">
        <f ca="1">IFERROR(__xludf.DUMMYFUNCTION("""COMPUTED_VALUE"""),"Yes")</f>
        <v>Yes</v>
      </c>
      <c r="AG461" s="5" t="str">
        <f ca="1">IFERROR(__xludf.DUMMYFUNCTION("""COMPUTED_VALUE"""),"No")</f>
        <v>No</v>
      </c>
      <c r="AH461" s="5" t="str">
        <f ca="1">IFERROR(__xludf.DUMMYFUNCTION("""COMPUTED_VALUE"""),"Yes")</f>
        <v>Yes</v>
      </c>
      <c r="AI461" s="5" t="str">
        <f ca="1">IFERROR(__xludf.DUMMYFUNCTION("""COMPUTED_VALUE"""),"No")</f>
        <v>No</v>
      </c>
      <c r="AJ461" s="5" t="str">
        <f ca="1">IFERROR(__xludf.DUMMYFUNCTION("""COMPUTED_VALUE"""),"No")</f>
        <v>No</v>
      </c>
      <c r="AK461" s="5" t="str">
        <f ca="1">IFERROR(__xludf.DUMMYFUNCTION("""COMPUTED_VALUE"""),"No")</f>
        <v>No</v>
      </c>
      <c r="AL461" s="5" t="str">
        <f ca="1">IFERROR(__xludf.DUMMYFUNCTION("""COMPUTED_VALUE"""),"No")</f>
        <v>No</v>
      </c>
      <c r="AM461" s="5"/>
      <c r="AN461" s="5"/>
      <c r="AO461" s="5"/>
      <c r="AP461" s="5"/>
      <c r="AQ461" s="5"/>
      <c r="AR461" s="5"/>
      <c r="AS461" s="5"/>
      <c r="AT461" s="5"/>
      <c r="AU461" s="5"/>
      <c r="AV461" s="5"/>
      <c r="AW461" s="5"/>
      <c r="AX461" s="5"/>
      <c r="AY461" s="5"/>
    </row>
    <row r="462" spans="1:51" x14ac:dyDescent="0.25">
      <c r="A4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2" s="5">
        <f ca="1">IFERROR(__xludf.DUMMYFUNCTION("""COMPUTED_VALUE"""),485)</f>
        <v>485</v>
      </c>
      <c r="C462" s="5">
        <f ca="1">IFERROR(__xludf.DUMMYFUNCTION("""COMPUTED_VALUE"""),180031)</f>
        <v>180031</v>
      </c>
      <c r="D462" s="5" t="str">
        <f ca="1">IFERROR(__xludf.DUMMYFUNCTION("""COMPUTED_VALUE"""),"RedstoneStickyBrilliants")</f>
        <v>RedstoneStickyBrilliants</v>
      </c>
      <c r="E462" s="5" t="str">
        <f ca="1">IFERROR(__xludf.DUMMYFUNCTION("""COMPUTED_VALUE"""),"Yes")</f>
        <v>Yes</v>
      </c>
      <c r="F462" s="5" t="str">
        <f ca="1">IFERROR(__xludf.DUMMYFUNCTION("""COMPUTED_VALUE"""),"Yes")</f>
        <v>Yes</v>
      </c>
      <c r="G462" s="5" t="str">
        <f ca="1">IFERROR(__xludf.DUMMYFUNCTION("""COMPUTED_VALUE"""),"Yes")</f>
        <v>Yes</v>
      </c>
      <c r="H462" s="5" t="str">
        <f ca="1">IFERROR(__xludf.DUMMYFUNCTION("""COMPUTED_VALUE"""),"Yes")</f>
        <v>Yes</v>
      </c>
      <c r="I462" s="5" t="str">
        <f ca="1">IFERROR(__xludf.DUMMYFUNCTION("""COMPUTED_VALUE"""),"Yes")</f>
        <v>Yes</v>
      </c>
      <c r="J462" s="5" t="str">
        <f ca="1">IFERROR(__xludf.DUMMYFUNCTION("""COMPUTED_VALUE"""),"Yes")</f>
        <v>Yes</v>
      </c>
      <c r="K462" s="5" t="str">
        <f ca="1">IFERROR(__xludf.DUMMYFUNCTION("""COMPUTED_VALUE"""),"Yes")</f>
        <v>Yes</v>
      </c>
      <c r="L462" s="5" t="str">
        <f ca="1">IFERROR(__xludf.DUMMYFUNCTION("""COMPUTED_VALUE"""),"Yes")</f>
        <v>Yes</v>
      </c>
      <c r="M462" s="5" t="str">
        <f ca="1">IFERROR(__xludf.DUMMYFUNCTION("""COMPUTED_VALUE"""),"Yes")</f>
        <v>Yes</v>
      </c>
      <c r="N462" s="5" t="str">
        <f ca="1">IFERROR(__xludf.DUMMYFUNCTION("""COMPUTED_VALUE"""),"Yes")</f>
        <v>Yes</v>
      </c>
      <c r="O462" s="5" t="str">
        <f ca="1">IFERROR(__xludf.DUMMYFUNCTION("""COMPUTED_VALUE"""),"Yes")</f>
        <v>Yes</v>
      </c>
      <c r="P462" s="5" t="str">
        <f ca="1">IFERROR(__xludf.DUMMYFUNCTION("""COMPUTED_VALUE"""),"Yes")</f>
        <v>Yes</v>
      </c>
      <c r="Q462" s="5" t="str">
        <f ca="1">IFERROR(__xludf.DUMMYFUNCTION("""COMPUTED_VALUE"""),"Yes")</f>
        <v>Yes</v>
      </c>
      <c r="R462" s="5" t="str">
        <f ca="1">IFERROR(__xludf.DUMMYFUNCTION("""COMPUTED_VALUE"""),"Yes")</f>
        <v>Yes</v>
      </c>
      <c r="S462" s="5" t="str">
        <f ca="1">IFERROR(__xludf.DUMMYFUNCTION("""COMPUTED_VALUE"""),"Yes")</f>
        <v>Yes</v>
      </c>
      <c r="T462" s="5" t="str">
        <f ca="1">IFERROR(__xludf.DUMMYFUNCTION("""COMPUTED_VALUE"""),"Yes")</f>
        <v>Yes</v>
      </c>
      <c r="U462" s="5" t="str">
        <f ca="1">IFERROR(__xludf.DUMMYFUNCTION("""COMPUTED_VALUE"""),"Yes")</f>
        <v>Yes</v>
      </c>
      <c r="V462" s="5" t="str">
        <f ca="1">IFERROR(__xludf.DUMMYFUNCTION("""COMPUTED_VALUE"""),"Yes")</f>
        <v>Yes</v>
      </c>
      <c r="W462" s="5" t="str">
        <f ca="1">IFERROR(__xludf.DUMMYFUNCTION("""COMPUTED_VALUE"""),"Yes")</f>
        <v>Yes</v>
      </c>
      <c r="X462" s="5"/>
      <c r="Y462" s="5"/>
      <c r="Z462" s="5"/>
      <c r="AA462" s="5"/>
      <c r="AB462" s="5"/>
      <c r="AC462" s="5" t="str">
        <f ca="1">IFERROR(__xludf.DUMMYFUNCTION("""COMPUTED_VALUE"""),"Yes")</f>
        <v>Yes</v>
      </c>
      <c r="AD462" s="5"/>
      <c r="AE462" s="5"/>
      <c r="AF462" s="5"/>
      <c r="AG462" s="5"/>
      <c r="AH462" s="5"/>
      <c r="AI462" s="5"/>
      <c r="AJ462" s="5"/>
      <c r="AK462" s="5"/>
      <c r="AL462" s="5"/>
      <c r="AM462" s="5"/>
      <c r="AN462" s="5"/>
      <c r="AO462" s="5"/>
      <c r="AP462" s="5"/>
      <c r="AQ462" s="5"/>
      <c r="AR462" s="5"/>
      <c r="AS462" s="5"/>
      <c r="AT462" s="5"/>
      <c r="AU462" s="5"/>
      <c r="AV462" s="5"/>
      <c r="AW462" s="5"/>
      <c r="AX462" s="5"/>
      <c r="AY462" s="5"/>
    </row>
    <row r="463" spans="1:51" x14ac:dyDescent="0.25">
      <c r="A4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3" s="5">
        <f ca="1">IFERROR(__xludf.DUMMYFUNCTION("""COMPUTED_VALUE"""),486)</f>
        <v>486</v>
      </c>
      <c r="C463" s="5">
        <f ca="1">IFERROR(__xludf.DUMMYFUNCTION("""COMPUTED_VALUE"""),180022)</f>
        <v>180022</v>
      </c>
      <c r="D463" s="5" t="str">
        <f ca="1">IFERROR(__xludf.DUMMYFUNCTION("""COMPUTED_VALUE"""),"RedstoneBookOfMystic")</f>
        <v>RedstoneBookOfMystic</v>
      </c>
      <c r="E463" s="5" t="str">
        <f ca="1">IFERROR(__xludf.DUMMYFUNCTION("""COMPUTED_VALUE"""),"Yes")</f>
        <v>Yes</v>
      </c>
      <c r="F463" s="5" t="str">
        <f ca="1">IFERROR(__xludf.DUMMYFUNCTION("""COMPUTED_VALUE"""),"Yes")</f>
        <v>Yes</v>
      </c>
      <c r="G463" s="5" t="str">
        <f ca="1">IFERROR(__xludf.DUMMYFUNCTION("""COMPUTED_VALUE"""),"Yes")</f>
        <v>Yes</v>
      </c>
      <c r="H463" s="5" t="str">
        <f ca="1">IFERROR(__xludf.DUMMYFUNCTION("""COMPUTED_VALUE"""),"Yes")</f>
        <v>Yes</v>
      </c>
      <c r="I463" s="5" t="str">
        <f ca="1">IFERROR(__xludf.DUMMYFUNCTION("""COMPUTED_VALUE"""),"Yes")</f>
        <v>Yes</v>
      </c>
      <c r="J463" s="5" t="str">
        <f ca="1">IFERROR(__xludf.DUMMYFUNCTION("""COMPUTED_VALUE"""),"Yes")</f>
        <v>Yes</v>
      </c>
      <c r="K463" s="5" t="str">
        <f ca="1">IFERROR(__xludf.DUMMYFUNCTION("""COMPUTED_VALUE"""),"Yes")</f>
        <v>Yes</v>
      </c>
      <c r="L463" s="5" t="str">
        <f ca="1">IFERROR(__xludf.DUMMYFUNCTION("""COMPUTED_VALUE"""),"Yes")</f>
        <v>Yes</v>
      </c>
      <c r="M463" s="5" t="str">
        <f ca="1">IFERROR(__xludf.DUMMYFUNCTION("""COMPUTED_VALUE"""),"Yes")</f>
        <v>Yes</v>
      </c>
      <c r="N463" s="5" t="str">
        <f ca="1">IFERROR(__xludf.DUMMYFUNCTION("""COMPUTED_VALUE"""),"Yes")</f>
        <v>Yes</v>
      </c>
      <c r="O463" s="5" t="str">
        <f ca="1">IFERROR(__xludf.DUMMYFUNCTION("""COMPUTED_VALUE"""),"Yes")</f>
        <v>Yes</v>
      </c>
      <c r="P463" s="5" t="str">
        <f ca="1">IFERROR(__xludf.DUMMYFUNCTION("""COMPUTED_VALUE"""),"Yes")</f>
        <v>Yes</v>
      </c>
      <c r="Q463" s="5" t="str">
        <f ca="1">IFERROR(__xludf.DUMMYFUNCTION("""COMPUTED_VALUE"""),"Yes")</f>
        <v>Yes</v>
      </c>
      <c r="R463" s="5" t="str">
        <f ca="1">IFERROR(__xludf.DUMMYFUNCTION("""COMPUTED_VALUE"""),"Yes")</f>
        <v>Yes</v>
      </c>
      <c r="S463" s="5" t="str">
        <f ca="1">IFERROR(__xludf.DUMMYFUNCTION("""COMPUTED_VALUE"""),"Yes")</f>
        <v>Yes</v>
      </c>
      <c r="T463" s="5" t="str">
        <f ca="1">IFERROR(__xludf.DUMMYFUNCTION("""COMPUTED_VALUE"""),"Yes")</f>
        <v>Yes</v>
      </c>
      <c r="U463" s="5" t="str">
        <f ca="1">IFERROR(__xludf.DUMMYFUNCTION("""COMPUTED_VALUE"""),"Yes")</f>
        <v>Yes</v>
      </c>
      <c r="V463" s="5" t="str">
        <f ca="1">IFERROR(__xludf.DUMMYFUNCTION("""COMPUTED_VALUE"""),"Yes")</f>
        <v>Yes</v>
      </c>
      <c r="W463" s="5" t="str">
        <f ca="1">IFERROR(__xludf.DUMMYFUNCTION("""COMPUTED_VALUE"""),"Yes")</f>
        <v>Yes</v>
      </c>
      <c r="X463" s="5"/>
      <c r="Y463" s="5"/>
      <c r="Z463" s="5"/>
      <c r="AA463" s="5"/>
      <c r="AB463" s="5"/>
      <c r="AC463" s="5" t="str">
        <f ca="1">IFERROR(__xludf.DUMMYFUNCTION("""COMPUTED_VALUE"""),"Yes")</f>
        <v>Yes</v>
      </c>
      <c r="AD463" s="5"/>
      <c r="AE463" s="5"/>
      <c r="AF463" s="5"/>
      <c r="AG463" s="5"/>
      <c r="AH463" s="5"/>
      <c r="AI463" s="5"/>
      <c r="AJ463" s="5"/>
      <c r="AK463" s="5"/>
      <c r="AL463" s="5"/>
      <c r="AM463" s="5"/>
      <c r="AN463" s="5"/>
      <c r="AO463" s="5"/>
      <c r="AP463" s="5"/>
      <c r="AQ463" s="5"/>
      <c r="AR463" s="5"/>
      <c r="AS463" s="5"/>
      <c r="AT463" s="5"/>
      <c r="AU463" s="5"/>
      <c r="AV463" s="5"/>
      <c r="AW463" s="5"/>
      <c r="AX463" s="5"/>
      <c r="AY463" s="5"/>
    </row>
    <row r="464" spans="1:51" x14ac:dyDescent="0.25">
      <c r="A4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4" s="5">
        <f ca="1">IFERROR(__xludf.DUMMYFUNCTION("""COMPUTED_VALUE"""),488)</f>
        <v>488</v>
      </c>
      <c r="C464" s="5">
        <f ca="1">IFERROR(__xludf.DUMMYFUNCTION("""COMPUTED_VALUE"""),180018)</f>
        <v>180018</v>
      </c>
      <c r="D464" s="5" t="str">
        <f ca="1">IFERROR(__xludf.DUMMYFUNCTION("""COMPUTED_VALUE"""),"RedstoneCloverDrop")</f>
        <v>RedstoneCloverDrop</v>
      </c>
      <c r="E464" s="5" t="str">
        <f ca="1">IFERROR(__xludf.DUMMYFUNCTION("""COMPUTED_VALUE"""),"Yes")</f>
        <v>Yes</v>
      </c>
      <c r="F464" s="5" t="str">
        <f ca="1">IFERROR(__xludf.DUMMYFUNCTION("""COMPUTED_VALUE"""),"Yes")</f>
        <v>Yes</v>
      </c>
      <c r="G464" s="5" t="str">
        <f ca="1">IFERROR(__xludf.DUMMYFUNCTION("""COMPUTED_VALUE"""),"Yes")</f>
        <v>Yes</v>
      </c>
      <c r="H464" s="5" t="str">
        <f ca="1">IFERROR(__xludf.DUMMYFUNCTION("""COMPUTED_VALUE"""),"Yes")</f>
        <v>Yes</v>
      </c>
      <c r="I464" s="5" t="str">
        <f ca="1">IFERROR(__xludf.DUMMYFUNCTION("""COMPUTED_VALUE"""),"Yes")</f>
        <v>Yes</v>
      </c>
      <c r="J464" s="5" t="str">
        <f ca="1">IFERROR(__xludf.DUMMYFUNCTION("""COMPUTED_VALUE"""),"Yes")</f>
        <v>Yes</v>
      </c>
      <c r="K464" s="5" t="str">
        <f ca="1">IFERROR(__xludf.DUMMYFUNCTION("""COMPUTED_VALUE"""),"Yes")</f>
        <v>Yes</v>
      </c>
      <c r="L464" s="5" t="str">
        <f ca="1">IFERROR(__xludf.DUMMYFUNCTION("""COMPUTED_VALUE"""),"Yes")</f>
        <v>Yes</v>
      </c>
      <c r="M464" s="5" t="str">
        <f ca="1">IFERROR(__xludf.DUMMYFUNCTION("""COMPUTED_VALUE"""),"Yes")</f>
        <v>Yes</v>
      </c>
      <c r="N464" s="5" t="str">
        <f ca="1">IFERROR(__xludf.DUMMYFUNCTION("""COMPUTED_VALUE"""),"Yes")</f>
        <v>Yes</v>
      </c>
      <c r="O464" s="5" t="str">
        <f ca="1">IFERROR(__xludf.DUMMYFUNCTION("""COMPUTED_VALUE"""),"Yes")</f>
        <v>Yes</v>
      </c>
      <c r="P464" s="5" t="str">
        <f ca="1">IFERROR(__xludf.DUMMYFUNCTION("""COMPUTED_VALUE"""),"Yes")</f>
        <v>Yes</v>
      </c>
      <c r="Q464" s="5" t="str">
        <f ca="1">IFERROR(__xludf.DUMMYFUNCTION("""COMPUTED_VALUE"""),"Yes")</f>
        <v>Yes</v>
      </c>
      <c r="R464" s="5" t="str">
        <f ca="1">IFERROR(__xludf.DUMMYFUNCTION("""COMPUTED_VALUE"""),"Yes")</f>
        <v>Yes</v>
      </c>
      <c r="S464" s="5" t="str">
        <f ca="1">IFERROR(__xludf.DUMMYFUNCTION("""COMPUTED_VALUE"""),"Yes")</f>
        <v>Yes</v>
      </c>
      <c r="T464" s="5" t="str">
        <f ca="1">IFERROR(__xludf.DUMMYFUNCTION("""COMPUTED_VALUE"""),"Yes")</f>
        <v>Yes</v>
      </c>
      <c r="U464" s="5" t="str">
        <f ca="1">IFERROR(__xludf.DUMMYFUNCTION("""COMPUTED_VALUE"""),"Yes")</f>
        <v>Yes</v>
      </c>
      <c r="V464" s="5" t="str">
        <f ca="1">IFERROR(__xludf.DUMMYFUNCTION("""COMPUTED_VALUE"""),"Yes")</f>
        <v>Yes</v>
      </c>
      <c r="W464" s="5" t="str">
        <f ca="1">IFERROR(__xludf.DUMMYFUNCTION("""COMPUTED_VALUE"""),"Yes")</f>
        <v>Yes</v>
      </c>
      <c r="X464" s="5"/>
      <c r="Y464" s="5"/>
      <c r="Z464" s="5"/>
      <c r="AA464" s="5"/>
      <c r="AB464" s="5"/>
      <c r="AC464" s="5" t="str">
        <f ca="1">IFERROR(__xludf.DUMMYFUNCTION("""COMPUTED_VALUE"""),"Yes")</f>
        <v>Yes</v>
      </c>
      <c r="AD464" s="5"/>
      <c r="AE464" s="5"/>
      <c r="AF464" s="5"/>
      <c r="AG464" s="5"/>
      <c r="AH464" s="5"/>
      <c r="AI464" s="5"/>
      <c r="AJ464" s="5"/>
      <c r="AK464" s="5"/>
      <c r="AL464" s="5"/>
      <c r="AM464" s="5"/>
      <c r="AN464" s="5"/>
      <c r="AO464" s="5"/>
      <c r="AP464" s="5"/>
      <c r="AQ464" s="5"/>
      <c r="AR464" s="5"/>
      <c r="AS464" s="5"/>
      <c r="AT464" s="5"/>
      <c r="AU464" s="5"/>
      <c r="AV464" s="5"/>
      <c r="AW464" s="5"/>
      <c r="AX464" s="5"/>
      <c r="AY464" s="5"/>
    </row>
    <row r="465" spans="1:51" x14ac:dyDescent="0.25">
      <c r="A465"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65" s="5">
        <f ca="1">IFERROR(__xludf.DUMMYFUNCTION("""COMPUTED_VALUE"""),489)</f>
        <v>489</v>
      </c>
      <c r="C465" s="5">
        <f ca="1">IFERROR(__xludf.DUMMYFUNCTION("""COMPUTED_VALUE"""),405)</f>
        <v>405</v>
      </c>
      <c r="D465" s="5" t="str">
        <f ca="1">IFERROR(__xludf.DUMMYFUNCTION("""COMPUTED_VALUE"""),"PlayNetCloverSpread40")</f>
        <v>PlayNetCloverSpread40</v>
      </c>
      <c r="E465" s="5" t="str">
        <f ca="1">IFERROR(__xludf.DUMMYFUNCTION("""COMPUTED_VALUE"""),"Yes")</f>
        <v>Yes</v>
      </c>
      <c r="F465" s="5" t="str">
        <f ca="1">IFERROR(__xludf.DUMMYFUNCTION("""COMPUTED_VALUE"""),"Yes")</f>
        <v>Yes</v>
      </c>
      <c r="G465" s="5" t="str">
        <f ca="1">IFERROR(__xludf.DUMMYFUNCTION("""COMPUTED_VALUE"""),"No")</f>
        <v>No</v>
      </c>
      <c r="H465" s="5" t="str">
        <f ca="1">IFERROR(__xludf.DUMMYFUNCTION("""COMPUTED_VALUE"""),"Yes")</f>
        <v>Yes</v>
      </c>
      <c r="I465" s="5" t="str">
        <f ca="1">IFERROR(__xludf.DUMMYFUNCTION("""COMPUTED_VALUE"""),"Yes")</f>
        <v>Yes</v>
      </c>
      <c r="J465" s="5" t="str">
        <f ca="1">IFERROR(__xludf.DUMMYFUNCTION("""COMPUTED_VALUE"""),"Yes")</f>
        <v>Yes</v>
      </c>
      <c r="K465" s="5" t="str">
        <f ca="1">IFERROR(__xludf.DUMMYFUNCTION("""COMPUTED_VALUE"""),"Yes")</f>
        <v>Yes</v>
      </c>
      <c r="L465" s="5" t="str">
        <f ca="1">IFERROR(__xludf.DUMMYFUNCTION("""COMPUTED_VALUE"""),"Yes")</f>
        <v>Yes</v>
      </c>
      <c r="M465" s="5" t="str">
        <f ca="1">IFERROR(__xludf.DUMMYFUNCTION("""COMPUTED_VALUE"""),"Yes")</f>
        <v>Yes</v>
      </c>
      <c r="N465" s="5" t="str">
        <f ca="1">IFERROR(__xludf.DUMMYFUNCTION("""COMPUTED_VALUE"""),"Yes")</f>
        <v>Yes</v>
      </c>
      <c r="O465" s="5" t="str">
        <f ca="1">IFERROR(__xludf.DUMMYFUNCTION("""COMPUTED_VALUE"""),"Yes")</f>
        <v>Yes</v>
      </c>
      <c r="P465" s="5" t="str">
        <f ca="1">IFERROR(__xludf.DUMMYFUNCTION("""COMPUTED_VALUE"""),"Yes")</f>
        <v>Yes</v>
      </c>
      <c r="Q465" s="5" t="str">
        <f ca="1">IFERROR(__xludf.DUMMYFUNCTION("""COMPUTED_VALUE"""),"Yes")</f>
        <v>Yes</v>
      </c>
      <c r="R465" s="5" t="str">
        <f ca="1">IFERROR(__xludf.DUMMYFUNCTION("""COMPUTED_VALUE"""),"Yes")</f>
        <v>Yes</v>
      </c>
      <c r="S465" s="5" t="str">
        <f ca="1">IFERROR(__xludf.DUMMYFUNCTION("""COMPUTED_VALUE"""),"Yes")</f>
        <v>Yes</v>
      </c>
      <c r="T465" s="5" t="str">
        <f ca="1">IFERROR(__xludf.DUMMYFUNCTION("""COMPUTED_VALUE"""),"No")</f>
        <v>No</v>
      </c>
      <c r="U465" s="5" t="str">
        <f ca="1">IFERROR(__xludf.DUMMYFUNCTION("""COMPUTED_VALUE"""),"No")</f>
        <v>No</v>
      </c>
      <c r="V465" s="5" t="str">
        <f ca="1">IFERROR(__xludf.DUMMYFUNCTION("""COMPUTED_VALUE"""),"No")</f>
        <v>No</v>
      </c>
      <c r="W465" s="5" t="str">
        <f ca="1">IFERROR(__xludf.DUMMYFUNCTION("""COMPUTED_VALUE"""),"No")</f>
        <v>No</v>
      </c>
      <c r="X465" s="5" t="str">
        <f ca="1">IFERROR(__xludf.DUMMYFUNCTION("""COMPUTED_VALUE"""),"No")</f>
        <v>No</v>
      </c>
      <c r="Y465" s="5" t="str">
        <f ca="1">IFERROR(__xludf.DUMMYFUNCTION("""COMPUTED_VALUE"""),"No")</f>
        <v>No</v>
      </c>
      <c r="Z465" s="5" t="str">
        <f ca="1">IFERROR(__xludf.DUMMYFUNCTION("""COMPUTED_VALUE"""),"No")</f>
        <v>No</v>
      </c>
      <c r="AA465" s="5" t="str">
        <f ca="1">IFERROR(__xludf.DUMMYFUNCTION("""COMPUTED_VALUE"""),"No")</f>
        <v>No</v>
      </c>
      <c r="AB465" s="5" t="str">
        <f ca="1">IFERROR(__xludf.DUMMYFUNCTION("""COMPUTED_VALUE"""),"No")</f>
        <v>No</v>
      </c>
      <c r="AC465" s="5" t="str">
        <f ca="1">IFERROR(__xludf.DUMMYFUNCTION("""COMPUTED_VALUE"""),"No")</f>
        <v>No</v>
      </c>
      <c r="AD465" s="5" t="str">
        <f ca="1">IFERROR(__xludf.DUMMYFUNCTION("""COMPUTED_VALUE"""),"No")</f>
        <v>No</v>
      </c>
      <c r="AE465" s="5" t="str">
        <f ca="1">IFERROR(__xludf.DUMMYFUNCTION("""COMPUTED_VALUE"""),"No")</f>
        <v>No</v>
      </c>
      <c r="AF465" s="5" t="str">
        <f ca="1">IFERROR(__xludf.DUMMYFUNCTION("""COMPUTED_VALUE"""),"Yes")</f>
        <v>Yes</v>
      </c>
      <c r="AG465" s="5" t="str">
        <f ca="1">IFERROR(__xludf.DUMMYFUNCTION("""COMPUTED_VALUE"""),"No")</f>
        <v>No</v>
      </c>
      <c r="AH465" s="5" t="str">
        <f ca="1">IFERROR(__xludf.DUMMYFUNCTION("""COMPUTED_VALUE"""),"Yes")</f>
        <v>Yes</v>
      </c>
      <c r="AI465" s="5" t="str">
        <f ca="1">IFERROR(__xludf.DUMMYFUNCTION("""COMPUTED_VALUE"""),"No")</f>
        <v>No</v>
      </c>
      <c r="AJ465" s="5" t="str">
        <f ca="1">IFERROR(__xludf.DUMMYFUNCTION("""COMPUTED_VALUE"""),"No")</f>
        <v>No</v>
      </c>
      <c r="AK465" s="5" t="str">
        <f ca="1">IFERROR(__xludf.DUMMYFUNCTION("""COMPUTED_VALUE"""),"No")</f>
        <v>No</v>
      </c>
      <c r="AL465" s="5" t="str">
        <f ca="1">IFERROR(__xludf.DUMMYFUNCTION("""COMPUTED_VALUE"""),"No")</f>
        <v>No</v>
      </c>
      <c r="AM465" s="5"/>
      <c r="AN465" s="5"/>
      <c r="AO465" s="5"/>
      <c r="AP465" s="5"/>
      <c r="AQ465" s="5"/>
      <c r="AR465" s="5"/>
      <c r="AS465" s="5"/>
      <c r="AT465" s="5"/>
      <c r="AU465" s="5"/>
      <c r="AV465" s="5"/>
      <c r="AW465" s="5"/>
      <c r="AX465" s="5"/>
      <c r="AY465" s="5"/>
    </row>
    <row r="466" spans="1:51" x14ac:dyDescent="0.25">
      <c r="A466"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6" s="5">
        <f ca="1">IFERROR(__xludf.DUMMYFUNCTION("""COMPUTED_VALUE"""),490)</f>
        <v>490</v>
      </c>
      <c r="C466" s="5">
        <f ca="1">IFERROR(__xludf.DUMMYFUNCTION("""COMPUTED_VALUE"""),408)</f>
        <v>408</v>
      </c>
      <c r="D466" s="5" t="str">
        <f ca="1">IFERROR(__xludf.DUMMYFUNCTION("""COMPUTED_VALUE"""),"PlayNetMajesticCrownX2")</f>
        <v>PlayNetMajesticCrownX2</v>
      </c>
      <c r="E466" s="5" t="str">
        <f ca="1">IFERROR(__xludf.DUMMYFUNCTION("""COMPUTED_VALUE"""),"Yes")</f>
        <v>Yes</v>
      </c>
      <c r="F466" s="5" t="str">
        <f ca="1">IFERROR(__xludf.DUMMYFUNCTION("""COMPUTED_VALUE"""),"Yes")</f>
        <v>Yes</v>
      </c>
      <c r="G466" s="5" t="str">
        <f ca="1">IFERROR(__xludf.DUMMYFUNCTION("""COMPUTED_VALUE"""),"Yes")</f>
        <v>Yes</v>
      </c>
      <c r="H466" s="5" t="str">
        <f ca="1">IFERROR(__xludf.DUMMYFUNCTION("""COMPUTED_VALUE"""),"Yes")</f>
        <v>Yes</v>
      </c>
      <c r="I466" s="5" t="str">
        <f ca="1">IFERROR(__xludf.DUMMYFUNCTION("""COMPUTED_VALUE"""),"Yes")</f>
        <v>Yes</v>
      </c>
      <c r="J466" s="5" t="str">
        <f ca="1">IFERROR(__xludf.DUMMYFUNCTION("""COMPUTED_VALUE"""),"Yes")</f>
        <v>Yes</v>
      </c>
      <c r="K466" s="5" t="str">
        <f ca="1">IFERROR(__xludf.DUMMYFUNCTION("""COMPUTED_VALUE"""),"Yes")</f>
        <v>Yes</v>
      </c>
      <c r="L466" s="5" t="str">
        <f ca="1">IFERROR(__xludf.DUMMYFUNCTION("""COMPUTED_VALUE"""),"Yes")</f>
        <v>Yes</v>
      </c>
      <c r="M466" s="5" t="str">
        <f ca="1">IFERROR(__xludf.DUMMYFUNCTION("""COMPUTED_VALUE"""),"Yes")</f>
        <v>Yes</v>
      </c>
      <c r="N466" s="5" t="str">
        <f ca="1">IFERROR(__xludf.DUMMYFUNCTION("""COMPUTED_VALUE"""),"Yes")</f>
        <v>Yes</v>
      </c>
      <c r="O466" s="5" t="str">
        <f ca="1">IFERROR(__xludf.DUMMYFUNCTION("""COMPUTED_VALUE"""),"Yes")</f>
        <v>Yes</v>
      </c>
      <c r="P466" s="5" t="str">
        <f ca="1">IFERROR(__xludf.DUMMYFUNCTION("""COMPUTED_VALUE"""),"Yes")</f>
        <v>Yes</v>
      </c>
      <c r="Q466" s="5" t="str">
        <f ca="1">IFERROR(__xludf.DUMMYFUNCTION("""COMPUTED_VALUE"""),"Yes")</f>
        <v>Yes</v>
      </c>
      <c r="R466" s="5" t="str">
        <f ca="1">IFERROR(__xludf.DUMMYFUNCTION("""COMPUTED_VALUE"""),"Yes")</f>
        <v>Yes</v>
      </c>
      <c r="S466" s="5" t="str">
        <f ca="1">IFERROR(__xludf.DUMMYFUNCTION("""COMPUTED_VALUE"""),"Yes")</f>
        <v>Yes</v>
      </c>
      <c r="T466" s="5" t="str">
        <f ca="1">IFERROR(__xludf.DUMMYFUNCTION("""COMPUTED_VALUE"""),"No")</f>
        <v>No</v>
      </c>
      <c r="U466" s="5" t="str">
        <f ca="1">IFERROR(__xludf.DUMMYFUNCTION("""COMPUTED_VALUE"""),"No")</f>
        <v>No</v>
      </c>
      <c r="V466" s="5" t="str">
        <f ca="1">IFERROR(__xludf.DUMMYFUNCTION("""COMPUTED_VALUE"""),"No")</f>
        <v>No</v>
      </c>
      <c r="W466" s="5" t="str">
        <f ca="1">IFERROR(__xludf.DUMMYFUNCTION("""COMPUTED_VALUE"""),"No")</f>
        <v>No</v>
      </c>
      <c r="X466" s="5"/>
      <c r="Y466" s="5"/>
      <c r="Z466" s="5"/>
      <c r="AA466" s="5"/>
      <c r="AB466" s="5"/>
      <c r="AC466" s="5" t="str">
        <f ca="1">IFERROR(__xludf.DUMMYFUNCTION("""COMPUTED_VALUE"""),"No")</f>
        <v>No</v>
      </c>
      <c r="AD466" s="5"/>
      <c r="AE466" s="5"/>
      <c r="AF466" s="5" t="str">
        <f ca="1">IFERROR(__xludf.DUMMYFUNCTION("""COMPUTED_VALUE"""),"Yes")</f>
        <v>Yes</v>
      </c>
      <c r="AG466" s="5"/>
      <c r="AH466" s="5" t="str">
        <f ca="1">IFERROR(__xludf.DUMMYFUNCTION("""COMPUTED_VALUE"""),"Yes")</f>
        <v>Yes</v>
      </c>
      <c r="AI466" s="5"/>
      <c r="AJ466" s="5"/>
      <c r="AK466" s="5"/>
      <c r="AL466" s="5"/>
      <c r="AM466" s="5"/>
      <c r="AN466" s="5"/>
      <c r="AO466" s="5"/>
      <c r="AP466" s="5"/>
      <c r="AQ466" s="5"/>
      <c r="AR466" s="5"/>
      <c r="AS466" s="5"/>
      <c r="AT466" s="5"/>
      <c r="AU466" s="5"/>
      <c r="AV466" s="5"/>
      <c r="AW466" s="5"/>
      <c r="AX466" s="5"/>
      <c r="AY466" s="5"/>
    </row>
    <row r="467" spans="1:51" x14ac:dyDescent="0.25">
      <c r="A467" s="5" t="str">
        <f ca="1">IFERROR(__xludf.DUMMYFUNCTION("""COMPUTED_VALUE"""),"English(""eng""), Serbian(""""srp"",""srb""""), Montenegrian(""mne""), Bulgarian(""bul""), Spanish(""spa""), Portuguese(""por""), Italian(""ita""), Romanian(""rum/ron""), Croatian(""hrv""), French(""fre/fra""), German(""ger/deu""), Dutch(""dut/nld""), Tur"&amp;"kish(""tur""), Greek(""gre/ell""), Russian(""rus""), Latvian(""lav""), Ukrainian(""ukr""), Chinese(""zho/chi"")")</f>
        <v>English("eng"), Serbian(""srp","srb""), Montenegrian("mne"), Bulgarian("bul"), Spanish("spa"), Portuguese("por"), Italian("ita"), Romanian("rum/ron"), Croatian("hrv"), French("fre/fra"), German("ger/deu"), Dutch("dut/nld"), Turkish("tur"), Greek("gre/ell"), Russian("rus"), Latvian("lav"), Ukrainian("ukr"), Chinese("zho/chi")</v>
      </c>
      <c r="B467" s="5">
        <f ca="1">IFERROR(__xludf.DUMMYFUNCTION("""COMPUTED_VALUE"""),491)</f>
        <v>491</v>
      </c>
      <c r="C467" s="5">
        <f ca="1">IFERROR(__xludf.DUMMYFUNCTION("""COMPUTED_VALUE"""),409)</f>
        <v>409</v>
      </c>
      <c r="D467" s="5" t="str">
        <f ca="1">IFERROR(__xludf.DUMMYFUNCTION("""COMPUTED_VALUE"""),"PlayNetBitSlot")</f>
        <v>PlayNetBitSlot</v>
      </c>
      <c r="E467" s="5" t="str">
        <f ca="1">IFERROR(__xludf.DUMMYFUNCTION("""COMPUTED_VALUE"""),"Yes")</f>
        <v>Yes</v>
      </c>
      <c r="F467" s="5" t="str">
        <f ca="1">IFERROR(__xludf.DUMMYFUNCTION("""COMPUTED_VALUE"""),"Yes")</f>
        <v>Yes</v>
      </c>
      <c r="G467" s="5" t="str">
        <f ca="1">IFERROR(__xludf.DUMMYFUNCTION("""COMPUTED_VALUE"""),"Yes")</f>
        <v>Yes</v>
      </c>
      <c r="H467" s="5" t="str">
        <f ca="1">IFERROR(__xludf.DUMMYFUNCTION("""COMPUTED_VALUE"""),"Yes")</f>
        <v>Yes</v>
      </c>
      <c r="I467" s="5" t="str">
        <f ca="1">IFERROR(__xludf.DUMMYFUNCTION("""COMPUTED_VALUE"""),"Yes")</f>
        <v>Yes</v>
      </c>
      <c r="J467" s="5" t="str">
        <f ca="1">IFERROR(__xludf.DUMMYFUNCTION("""COMPUTED_VALUE"""),"Yes")</f>
        <v>Yes</v>
      </c>
      <c r="K467" s="5" t="str">
        <f ca="1">IFERROR(__xludf.DUMMYFUNCTION("""COMPUTED_VALUE"""),"Yes")</f>
        <v>Yes</v>
      </c>
      <c r="L467" s="5" t="str">
        <f ca="1">IFERROR(__xludf.DUMMYFUNCTION("""COMPUTED_VALUE"""),"Yes")</f>
        <v>Yes</v>
      </c>
      <c r="M467" s="5" t="str">
        <f ca="1">IFERROR(__xludf.DUMMYFUNCTION("""COMPUTED_VALUE"""),"Yes")</f>
        <v>Yes</v>
      </c>
      <c r="N467" s="5" t="str">
        <f ca="1">IFERROR(__xludf.DUMMYFUNCTION("""COMPUTED_VALUE"""),"Yes")</f>
        <v>Yes</v>
      </c>
      <c r="O467" s="5" t="str">
        <f ca="1">IFERROR(__xludf.DUMMYFUNCTION("""COMPUTED_VALUE"""),"Yes")</f>
        <v>Yes</v>
      </c>
      <c r="P467" s="5" t="str">
        <f ca="1">IFERROR(__xludf.DUMMYFUNCTION("""COMPUTED_VALUE"""),"Yes")</f>
        <v>Yes</v>
      </c>
      <c r="Q467" s="5" t="str">
        <f ca="1">IFERROR(__xludf.DUMMYFUNCTION("""COMPUTED_VALUE"""),"Yes")</f>
        <v>Yes</v>
      </c>
      <c r="R467" s="5" t="str">
        <f ca="1">IFERROR(__xludf.DUMMYFUNCTION("""COMPUTED_VALUE"""),"Yes")</f>
        <v>Yes</v>
      </c>
      <c r="S467" s="5" t="str">
        <f ca="1">IFERROR(__xludf.DUMMYFUNCTION("""COMPUTED_VALUE"""),"Yes")</f>
        <v>Yes</v>
      </c>
      <c r="T467" s="5" t="str">
        <f ca="1">IFERROR(__xludf.DUMMYFUNCTION("""COMPUTED_VALUE"""),"No")</f>
        <v>No</v>
      </c>
      <c r="U467" s="5" t="str">
        <f ca="1">IFERROR(__xludf.DUMMYFUNCTION("""COMPUTED_VALUE"""),"No")</f>
        <v>No</v>
      </c>
      <c r="V467" s="5" t="str">
        <f ca="1">IFERROR(__xludf.DUMMYFUNCTION("""COMPUTED_VALUE"""),"No")</f>
        <v>No</v>
      </c>
      <c r="W467" s="5" t="str">
        <f ca="1">IFERROR(__xludf.DUMMYFUNCTION("""COMPUTED_VALUE"""),"No")</f>
        <v>No</v>
      </c>
      <c r="X467" s="5"/>
      <c r="Y467" s="5"/>
      <c r="Z467" s="5"/>
      <c r="AA467" s="5"/>
      <c r="AB467" s="5"/>
      <c r="AC467" s="5" t="str">
        <f ca="1">IFERROR(__xludf.DUMMYFUNCTION("""COMPUTED_VALUE"""),"Yes")</f>
        <v>Yes</v>
      </c>
      <c r="AD467" s="5"/>
      <c r="AE467" s="5"/>
      <c r="AF467" s="5" t="str">
        <f ca="1">IFERROR(__xludf.DUMMYFUNCTION("""COMPUTED_VALUE"""),"Yes")</f>
        <v>Yes</v>
      </c>
      <c r="AG467" s="5"/>
      <c r="AH467" s="5" t="str">
        <f ca="1">IFERROR(__xludf.DUMMYFUNCTION("""COMPUTED_VALUE"""),"Yes")</f>
        <v>Yes</v>
      </c>
      <c r="AI467" s="5"/>
      <c r="AJ467" s="5"/>
      <c r="AK467" s="5"/>
      <c r="AL467" s="5"/>
      <c r="AM467" s="5"/>
      <c r="AN467" s="5"/>
      <c r="AO467" s="5"/>
      <c r="AP467" s="5"/>
      <c r="AQ467" s="5"/>
      <c r="AR467" s="5"/>
      <c r="AS467" s="5"/>
      <c r="AT467" s="5"/>
      <c r="AU467" s="5"/>
      <c r="AV467" s="5"/>
      <c r="AW467" s="5"/>
      <c r="AX467" s="5"/>
      <c r="AY467" s="5"/>
    </row>
    <row r="468" spans="1:51" x14ac:dyDescent="0.25">
      <c r="A468"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8" s="5">
        <f ca="1">IFERROR(__xludf.DUMMYFUNCTION("""COMPUTED_VALUE"""),492)</f>
        <v>492</v>
      </c>
      <c r="C468" s="5">
        <f ca="1">IFERROR(__xludf.DUMMYFUNCTION("""COMPUTED_VALUE"""),413)</f>
        <v>413</v>
      </c>
      <c r="D468" s="5" t="str">
        <f ca="1">IFERROR(__xludf.DUMMYFUNCTION("""COMPUTED_VALUE"""),"PlayNetFortuneClover10")</f>
        <v>PlayNetFortuneClover10</v>
      </c>
      <c r="E468" s="5" t="str">
        <f ca="1">IFERROR(__xludf.DUMMYFUNCTION("""COMPUTED_VALUE"""),"Yes")</f>
        <v>Yes</v>
      </c>
      <c r="F468" s="5" t="str">
        <f ca="1">IFERROR(__xludf.DUMMYFUNCTION("""COMPUTED_VALUE"""),"Yes")</f>
        <v>Yes</v>
      </c>
      <c r="G468" s="5" t="str">
        <f ca="1">IFERROR(__xludf.DUMMYFUNCTION("""COMPUTED_VALUE"""),"Yes")</f>
        <v>Yes</v>
      </c>
      <c r="H468" s="5" t="str">
        <f ca="1">IFERROR(__xludf.DUMMYFUNCTION("""COMPUTED_VALUE"""),"Yes")</f>
        <v>Yes</v>
      </c>
      <c r="I468" s="5" t="str">
        <f ca="1">IFERROR(__xludf.DUMMYFUNCTION("""COMPUTED_VALUE"""),"Yes")</f>
        <v>Yes</v>
      </c>
      <c r="J468" s="5" t="str">
        <f ca="1">IFERROR(__xludf.DUMMYFUNCTION("""COMPUTED_VALUE"""),"Yes")</f>
        <v>Yes</v>
      </c>
      <c r="K468" s="5" t="str">
        <f ca="1">IFERROR(__xludf.DUMMYFUNCTION("""COMPUTED_VALUE"""),"Yes")</f>
        <v>Yes</v>
      </c>
      <c r="L468" s="5" t="str">
        <f ca="1">IFERROR(__xludf.DUMMYFUNCTION("""COMPUTED_VALUE"""),"Yes")</f>
        <v>Yes</v>
      </c>
      <c r="M468" s="5" t="str">
        <f ca="1">IFERROR(__xludf.DUMMYFUNCTION("""COMPUTED_VALUE"""),"Yes")</f>
        <v>Yes</v>
      </c>
      <c r="N468" s="5" t="str">
        <f ca="1">IFERROR(__xludf.DUMMYFUNCTION("""COMPUTED_VALUE"""),"Yes")</f>
        <v>Yes</v>
      </c>
      <c r="O468" s="5" t="str">
        <f ca="1">IFERROR(__xludf.DUMMYFUNCTION("""COMPUTED_VALUE"""),"Yes")</f>
        <v>Yes</v>
      </c>
      <c r="P468" s="5" t="str">
        <f ca="1">IFERROR(__xludf.DUMMYFUNCTION("""COMPUTED_VALUE"""),"Yes")</f>
        <v>Yes</v>
      </c>
      <c r="Q468" s="5" t="str">
        <f ca="1">IFERROR(__xludf.DUMMYFUNCTION("""COMPUTED_VALUE"""),"Yes")</f>
        <v>Yes</v>
      </c>
      <c r="R468" s="5" t="str">
        <f ca="1">IFERROR(__xludf.DUMMYFUNCTION("""COMPUTED_VALUE"""),"Yes")</f>
        <v>Yes</v>
      </c>
      <c r="S468" s="5" t="str">
        <f ca="1">IFERROR(__xludf.DUMMYFUNCTION("""COMPUTED_VALUE"""),"Yes")</f>
        <v>Yes</v>
      </c>
      <c r="T468" s="5" t="str">
        <f ca="1">IFERROR(__xludf.DUMMYFUNCTION("""COMPUTED_VALUE"""),"No")</f>
        <v>No</v>
      </c>
      <c r="U468" s="5" t="str">
        <f ca="1">IFERROR(__xludf.DUMMYFUNCTION("""COMPUTED_VALUE"""),"No")</f>
        <v>No</v>
      </c>
      <c r="V468" s="5" t="str">
        <f ca="1">IFERROR(__xludf.DUMMYFUNCTION("""COMPUTED_VALUE"""),"No")</f>
        <v>No</v>
      </c>
      <c r="W468" s="5" t="str">
        <f ca="1">IFERROR(__xludf.DUMMYFUNCTION("""COMPUTED_VALUE"""),"No")</f>
        <v>No</v>
      </c>
      <c r="X468" s="5" t="str">
        <f ca="1">IFERROR(__xludf.DUMMYFUNCTION("""COMPUTED_VALUE"""),"No")</f>
        <v>No</v>
      </c>
      <c r="Y468" s="5" t="str">
        <f ca="1">IFERROR(__xludf.DUMMYFUNCTION("""COMPUTED_VALUE"""),"No")</f>
        <v>No</v>
      </c>
      <c r="Z468" s="5" t="str">
        <f ca="1">IFERROR(__xludf.DUMMYFUNCTION("""COMPUTED_VALUE"""),"No")</f>
        <v>No</v>
      </c>
      <c r="AA468" s="5" t="str">
        <f ca="1">IFERROR(__xludf.DUMMYFUNCTION("""COMPUTED_VALUE"""),"No")</f>
        <v>No</v>
      </c>
      <c r="AB468" s="5" t="str">
        <f ca="1">IFERROR(__xludf.DUMMYFUNCTION("""COMPUTED_VALUE"""),"No")</f>
        <v>No</v>
      </c>
      <c r="AC468" s="5" t="str">
        <f ca="1">IFERROR(__xludf.DUMMYFUNCTION("""COMPUTED_VALUE"""),"No")</f>
        <v>No</v>
      </c>
      <c r="AD468" s="5" t="str">
        <f ca="1">IFERROR(__xludf.DUMMYFUNCTION("""COMPUTED_VALUE"""),"No")</f>
        <v>No</v>
      </c>
      <c r="AE468" s="5" t="str">
        <f ca="1">IFERROR(__xludf.DUMMYFUNCTION("""COMPUTED_VALUE"""),"No")</f>
        <v>No</v>
      </c>
      <c r="AF468" s="5" t="str">
        <f ca="1">IFERROR(__xludf.DUMMYFUNCTION("""COMPUTED_VALUE"""),"Yes")</f>
        <v>Yes</v>
      </c>
      <c r="AG468" s="5" t="str">
        <f ca="1">IFERROR(__xludf.DUMMYFUNCTION("""COMPUTED_VALUE"""),"No")</f>
        <v>No</v>
      </c>
      <c r="AH468" s="5" t="str">
        <f ca="1">IFERROR(__xludf.DUMMYFUNCTION("""COMPUTED_VALUE"""),"Yes")</f>
        <v>Yes</v>
      </c>
      <c r="AI468" s="5" t="str">
        <f ca="1">IFERROR(__xludf.DUMMYFUNCTION("""COMPUTED_VALUE"""),"No")</f>
        <v>No</v>
      </c>
      <c r="AJ468" s="5" t="str">
        <f ca="1">IFERROR(__xludf.DUMMYFUNCTION("""COMPUTED_VALUE"""),"No")</f>
        <v>No</v>
      </c>
      <c r="AK468" s="5" t="str">
        <f ca="1">IFERROR(__xludf.DUMMYFUNCTION("""COMPUTED_VALUE"""),"No")</f>
        <v>No</v>
      </c>
      <c r="AL468" s="5" t="str">
        <f ca="1">IFERROR(__xludf.DUMMYFUNCTION("""COMPUTED_VALUE"""),"No")</f>
        <v>No</v>
      </c>
      <c r="AM468" s="5"/>
      <c r="AN468" s="5"/>
      <c r="AO468" s="5"/>
      <c r="AP468" s="5"/>
      <c r="AQ468" s="5"/>
      <c r="AR468" s="5"/>
      <c r="AS468" s="5"/>
      <c r="AT468" s="5"/>
      <c r="AU468" s="5"/>
      <c r="AV468" s="5"/>
      <c r="AW468" s="5"/>
      <c r="AX468" s="5"/>
      <c r="AY468" s="5"/>
    </row>
    <row r="469" spans="1:51" x14ac:dyDescent="0.25">
      <c r="A469"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9" s="5">
        <f ca="1">IFERROR(__xludf.DUMMYFUNCTION("""COMPUTED_VALUE"""),493)</f>
        <v>493</v>
      </c>
      <c r="C469" s="5">
        <f ca="1">IFERROR(__xludf.DUMMYFUNCTION("""COMPUTED_VALUE"""),416)</f>
        <v>416</v>
      </c>
      <c r="D469" s="5" t="str">
        <f ca="1">IFERROR(__xludf.DUMMYFUNCTION("""COMPUTED_VALUE"""),"PlayNetMajesticCrown100")</f>
        <v>PlayNetMajesticCrown100</v>
      </c>
      <c r="E469" s="5" t="str">
        <f ca="1">IFERROR(__xludf.DUMMYFUNCTION("""COMPUTED_VALUE"""),"Yes")</f>
        <v>Yes</v>
      </c>
      <c r="F469" s="5" t="str">
        <f ca="1">IFERROR(__xludf.DUMMYFUNCTION("""COMPUTED_VALUE"""),"Yes")</f>
        <v>Yes</v>
      </c>
      <c r="G469" s="5" t="str">
        <f ca="1">IFERROR(__xludf.DUMMYFUNCTION("""COMPUTED_VALUE"""),"Yes")</f>
        <v>Yes</v>
      </c>
      <c r="H469" s="5" t="str">
        <f ca="1">IFERROR(__xludf.DUMMYFUNCTION("""COMPUTED_VALUE"""),"Yes")</f>
        <v>Yes</v>
      </c>
      <c r="I469" s="5" t="str">
        <f ca="1">IFERROR(__xludf.DUMMYFUNCTION("""COMPUTED_VALUE"""),"Yes")</f>
        <v>Yes</v>
      </c>
      <c r="J469" s="5" t="str">
        <f ca="1">IFERROR(__xludf.DUMMYFUNCTION("""COMPUTED_VALUE"""),"Yes")</f>
        <v>Yes</v>
      </c>
      <c r="K469" s="5" t="str">
        <f ca="1">IFERROR(__xludf.DUMMYFUNCTION("""COMPUTED_VALUE"""),"Yes")</f>
        <v>Yes</v>
      </c>
      <c r="L469" s="5" t="str">
        <f ca="1">IFERROR(__xludf.DUMMYFUNCTION("""COMPUTED_VALUE"""),"Yes")</f>
        <v>Yes</v>
      </c>
      <c r="M469" s="5" t="str">
        <f ca="1">IFERROR(__xludf.DUMMYFUNCTION("""COMPUTED_VALUE"""),"Yes")</f>
        <v>Yes</v>
      </c>
      <c r="N469" s="5" t="str">
        <f ca="1">IFERROR(__xludf.DUMMYFUNCTION("""COMPUTED_VALUE"""),"Yes")</f>
        <v>Yes</v>
      </c>
      <c r="O469" s="5" t="str">
        <f ca="1">IFERROR(__xludf.DUMMYFUNCTION("""COMPUTED_VALUE"""),"Yes")</f>
        <v>Yes</v>
      </c>
      <c r="P469" s="5" t="str">
        <f ca="1">IFERROR(__xludf.DUMMYFUNCTION("""COMPUTED_VALUE"""),"Yes")</f>
        <v>Yes</v>
      </c>
      <c r="Q469" s="5" t="str">
        <f ca="1">IFERROR(__xludf.DUMMYFUNCTION("""COMPUTED_VALUE"""),"Yes")</f>
        <v>Yes</v>
      </c>
      <c r="R469" s="5" t="str">
        <f ca="1">IFERROR(__xludf.DUMMYFUNCTION("""COMPUTED_VALUE"""),"Yes")</f>
        <v>Yes</v>
      </c>
      <c r="S469" s="5" t="str">
        <f ca="1">IFERROR(__xludf.DUMMYFUNCTION("""COMPUTED_VALUE"""),"Yes")</f>
        <v>Yes</v>
      </c>
      <c r="T469" s="5" t="str">
        <f ca="1">IFERROR(__xludf.DUMMYFUNCTION("""COMPUTED_VALUE"""),"No")</f>
        <v>No</v>
      </c>
      <c r="U469" s="5" t="str">
        <f ca="1">IFERROR(__xludf.DUMMYFUNCTION("""COMPUTED_VALUE"""),"No")</f>
        <v>No</v>
      </c>
      <c r="V469" s="5" t="str">
        <f ca="1">IFERROR(__xludf.DUMMYFUNCTION("""COMPUTED_VALUE"""),"No")</f>
        <v>No</v>
      </c>
      <c r="W469" s="5" t="str">
        <f ca="1">IFERROR(__xludf.DUMMYFUNCTION("""COMPUTED_VALUE"""),"No")</f>
        <v>No</v>
      </c>
      <c r="X469" s="5"/>
      <c r="Y469" s="5"/>
      <c r="Z469" s="5"/>
      <c r="AA469" s="5"/>
      <c r="AB469" s="5"/>
      <c r="AC469" s="5" t="str">
        <f ca="1">IFERROR(__xludf.DUMMYFUNCTION("""COMPUTED_VALUE"""),"No")</f>
        <v>No</v>
      </c>
      <c r="AD469" s="5"/>
      <c r="AE469" s="5"/>
      <c r="AF469" s="5" t="str">
        <f ca="1">IFERROR(__xludf.DUMMYFUNCTION("""COMPUTED_VALUE"""),"Yes")</f>
        <v>Yes</v>
      </c>
      <c r="AG469" s="5"/>
      <c r="AH469" s="5" t="str">
        <f ca="1">IFERROR(__xludf.DUMMYFUNCTION("""COMPUTED_VALUE"""),"Yes")</f>
        <v>Yes</v>
      </c>
      <c r="AI469" s="5"/>
      <c r="AJ469" s="5"/>
      <c r="AK469" s="5"/>
      <c r="AL469" s="5"/>
      <c r="AM469" s="5"/>
      <c r="AN469" s="5"/>
      <c r="AO469" s="5"/>
      <c r="AP469" s="5"/>
      <c r="AQ469" s="5"/>
      <c r="AR469" s="5"/>
      <c r="AS469" s="5"/>
      <c r="AT469" s="5"/>
      <c r="AU469" s="5"/>
      <c r="AV469" s="5"/>
      <c r="AW469" s="5"/>
      <c r="AX469" s="5"/>
      <c r="AY469" s="5"/>
    </row>
    <row r="470" spans="1:51" x14ac:dyDescent="0.25">
      <c r="A47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70" s="5">
        <f ca="1">IFERROR(__xludf.DUMMYFUNCTION("""COMPUTED_VALUE"""),494)</f>
        <v>494</v>
      </c>
      <c r="C470" s="5">
        <f ca="1">IFERROR(__xludf.DUMMYFUNCTION("""COMPUTED_VALUE"""),417)</f>
        <v>417</v>
      </c>
      <c r="D470" s="5" t="str">
        <f ca="1">IFERROR(__xludf.DUMMYFUNCTION("""COMPUTED_VALUE"""),"PlayNetFortuneClover20")</f>
        <v>PlayNetFortuneClover20</v>
      </c>
      <c r="E470" s="5" t="str">
        <f ca="1">IFERROR(__xludf.DUMMYFUNCTION("""COMPUTED_VALUE"""),"Yes")</f>
        <v>Yes</v>
      </c>
      <c r="F470" s="5" t="str">
        <f ca="1">IFERROR(__xludf.DUMMYFUNCTION("""COMPUTED_VALUE"""),"Yes")</f>
        <v>Yes</v>
      </c>
      <c r="G470" s="5" t="str">
        <f ca="1">IFERROR(__xludf.DUMMYFUNCTION("""COMPUTED_VALUE"""),"Yes")</f>
        <v>Yes</v>
      </c>
      <c r="H470" s="5" t="str">
        <f ca="1">IFERROR(__xludf.DUMMYFUNCTION("""COMPUTED_VALUE"""),"Yes")</f>
        <v>Yes</v>
      </c>
      <c r="I470" s="5" t="str">
        <f ca="1">IFERROR(__xludf.DUMMYFUNCTION("""COMPUTED_VALUE"""),"Yes")</f>
        <v>Yes</v>
      </c>
      <c r="J470" s="5" t="str">
        <f ca="1">IFERROR(__xludf.DUMMYFUNCTION("""COMPUTED_VALUE"""),"Yes")</f>
        <v>Yes</v>
      </c>
      <c r="K470" s="5" t="str">
        <f ca="1">IFERROR(__xludf.DUMMYFUNCTION("""COMPUTED_VALUE"""),"Yes")</f>
        <v>Yes</v>
      </c>
      <c r="L470" s="5" t="str">
        <f ca="1">IFERROR(__xludf.DUMMYFUNCTION("""COMPUTED_VALUE"""),"Yes")</f>
        <v>Yes</v>
      </c>
      <c r="M470" s="5" t="str">
        <f ca="1">IFERROR(__xludf.DUMMYFUNCTION("""COMPUTED_VALUE"""),"Yes")</f>
        <v>Yes</v>
      </c>
      <c r="N470" s="5" t="str">
        <f ca="1">IFERROR(__xludf.DUMMYFUNCTION("""COMPUTED_VALUE"""),"Yes")</f>
        <v>Yes</v>
      </c>
      <c r="O470" s="5" t="str">
        <f ca="1">IFERROR(__xludf.DUMMYFUNCTION("""COMPUTED_VALUE"""),"Yes")</f>
        <v>Yes</v>
      </c>
      <c r="P470" s="5" t="str">
        <f ca="1">IFERROR(__xludf.DUMMYFUNCTION("""COMPUTED_VALUE"""),"Yes")</f>
        <v>Yes</v>
      </c>
      <c r="Q470" s="5" t="str">
        <f ca="1">IFERROR(__xludf.DUMMYFUNCTION("""COMPUTED_VALUE"""),"Yes")</f>
        <v>Yes</v>
      </c>
      <c r="R470" s="5" t="str">
        <f ca="1">IFERROR(__xludf.DUMMYFUNCTION("""COMPUTED_VALUE"""),"Yes")</f>
        <v>Yes</v>
      </c>
      <c r="S470" s="5" t="str">
        <f ca="1">IFERROR(__xludf.DUMMYFUNCTION("""COMPUTED_VALUE"""),"Yes")</f>
        <v>Yes</v>
      </c>
      <c r="T470" s="5" t="str">
        <f ca="1">IFERROR(__xludf.DUMMYFUNCTION("""COMPUTED_VALUE"""),"No")</f>
        <v>No</v>
      </c>
      <c r="U470" s="5" t="str">
        <f ca="1">IFERROR(__xludf.DUMMYFUNCTION("""COMPUTED_VALUE"""),"No")</f>
        <v>No</v>
      </c>
      <c r="V470" s="5" t="str">
        <f ca="1">IFERROR(__xludf.DUMMYFUNCTION("""COMPUTED_VALUE"""),"No")</f>
        <v>No</v>
      </c>
      <c r="W470" s="5" t="str">
        <f ca="1">IFERROR(__xludf.DUMMYFUNCTION("""COMPUTED_VALUE"""),"No")</f>
        <v>No</v>
      </c>
      <c r="X470" s="5"/>
      <c r="Y470" s="5"/>
      <c r="Z470" s="5"/>
      <c r="AA470" s="5"/>
      <c r="AB470" s="5"/>
      <c r="AC470" s="5" t="str">
        <f ca="1">IFERROR(__xludf.DUMMYFUNCTION("""COMPUTED_VALUE"""),"No")</f>
        <v>No</v>
      </c>
      <c r="AD470" s="5"/>
      <c r="AE470" s="5"/>
      <c r="AF470" s="5" t="str">
        <f ca="1">IFERROR(__xludf.DUMMYFUNCTION("""COMPUTED_VALUE"""),"Yes")</f>
        <v>Yes</v>
      </c>
      <c r="AG470" s="5"/>
      <c r="AH470" s="5" t="str">
        <f ca="1">IFERROR(__xludf.DUMMYFUNCTION("""COMPUTED_VALUE"""),"Yes")</f>
        <v>Yes</v>
      </c>
      <c r="AI470" s="5"/>
      <c r="AJ470" s="5"/>
      <c r="AK470" s="5"/>
      <c r="AL470" s="5"/>
      <c r="AM470" s="5"/>
      <c r="AN470" s="5"/>
      <c r="AO470" s="5"/>
      <c r="AP470" s="5"/>
      <c r="AQ470" s="5"/>
      <c r="AR470" s="5"/>
      <c r="AS470" s="5"/>
      <c r="AT470" s="5"/>
      <c r="AU470" s="5"/>
      <c r="AV470" s="5"/>
      <c r="AW470" s="5"/>
      <c r="AX470" s="5"/>
      <c r="AY470" s="5"/>
    </row>
    <row r="471" spans="1:51" x14ac:dyDescent="0.25">
      <c r="A4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1" s="5">
        <f ca="1">IFERROR(__xludf.DUMMYFUNCTION("""COMPUTED_VALUE"""),495)</f>
        <v>495</v>
      </c>
      <c r="C471" s="5">
        <f ca="1">IFERROR(__xludf.DUMMYFUNCTION("""COMPUTED_VALUE"""),3000001)</f>
        <v>3000001</v>
      </c>
      <c r="D471" s="5" t="str">
        <f ca="1">IFERROR(__xludf.DUMMYFUNCTION("""COMPUTED_VALUE"""),"rocket-roll")</f>
        <v>rocket-roll</v>
      </c>
      <c r="E471" s="5" t="str">
        <f ca="1">IFERROR(__xludf.DUMMYFUNCTION("""COMPUTED_VALUE"""),"Yes")</f>
        <v>Yes</v>
      </c>
      <c r="F471" s="5" t="str">
        <f ca="1">IFERROR(__xludf.DUMMYFUNCTION("""COMPUTED_VALUE"""),"Yes")</f>
        <v>Yes</v>
      </c>
      <c r="G471" s="5" t="str">
        <f ca="1">IFERROR(__xludf.DUMMYFUNCTION("""COMPUTED_VALUE"""),"Yes")</f>
        <v>Yes</v>
      </c>
      <c r="H471" s="5" t="str">
        <f ca="1">IFERROR(__xludf.DUMMYFUNCTION("""COMPUTED_VALUE"""),"Yes")</f>
        <v>Yes</v>
      </c>
      <c r="I471" s="5" t="str">
        <f ca="1">IFERROR(__xludf.DUMMYFUNCTION("""COMPUTED_VALUE"""),"Yes")</f>
        <v>Yes</v>
      </c>
      <c r="J471" s="5" t="str">
        <f ca="1">IFERROR(__xludf.DUMMYFUNCTION("""COMPUTED_VALUE"""),"Yes")</f>
        <v>Yes</v>
      </c>
      <c r="K471" s="5" t="str">
        <f ca="1">IFERROR(__xludf.DUMMYFUNCTION("""COMPUTED_VALUE"""),"Yes")</f>
        <v>Yes</v>
      </c>
      <c r="L471" s="5" t="str">
        <f ca="1">IFERROR(__xludf.DUMMYFUNCTION("""COMPUTED_VALUE"""),"Yes")</f>
        <v>Yes</v>
      </c>
      <c r="M471" s="5" t="str">
        <f ca="1">IFERROR(__xludf.DUMMYFUNCTION("""COMPUTED_VALUE"""),"Yes")</f>
        <v>Yes</v>
      </c>
      <c r="N471" s="5" t="str">
        <f ca="1">IFERROR(__xludf.DUMMYFUNCTION("""COMPUTED_VALUE"""),"Yes")</f>
        <v>Yes</v>
      </c>
      <c r="O471" s="5" t="str">
        <f ca="1">IFERROR(__xludf.DUMMYFUNCTION("""COMPUTED_VALUE"""),"Yes")</f>
        <v>Yes</v>
      </c>
      <c r="P471" s="5" t="str">
        <f ca="1">IFERROR(__xludf.DUMMYFUNCTION("""COMPUTED_VALUE"""),"Yes")</f>
        <v>Yes</v>
      </c>
      <c r="Q471" s="5" t="str">
        <f ca="1">IFERROR(__xludf.DUMMYFUNCTION("""COMPUTED_VALUE"""),"Yes")</f>
        <v>Yes</v>
      </c>
      <c r="R471" s="5" t="str">
        <f ca="1">IFERROR(__xludf.DUMMYFUNCTION("""COMPUTED_VALUE"""),"Yes")</f>
        <v>Yes</v>
      </c>
      <c r="S471" s="5" t="str">
        <f ca="1">IFERROR(__xludf.DUMMYFUNCTION("""COMPUTED_VALUE"""),"Yes")</f>
        <v>Yes</v>
      </c>
      <c r="T471" s="5" t="str">
        <f ca="1">IFERROR(__xludf.DUMMYFUNCTION("""COMPUTED_VALUE"""),"Yes")</f>
        <v>Yes</v>
      </c>
      <c r="U471" s="5" t="str">
        <f ca="1">IFERROR(__xludf.DUMMYFUNCTION("""COMPUTED_VALUE"""),"Yes")</f>
        <v>Yes</v>
      </c>
      <c r="V471" s="5" t="str">
        <f ca="1">IFERROR(__xludf.DUMMYFUNCTION("""COMPUTED_VALUE"""),"Yes")</f>
        <v>Yes</v>
      </c>
      <c r="W471" s="5" t="str">
        <f ca="1">IFERROR(__xludf.DUMMYFUNCTION("""COMPUTED_VALUE"""),"Yes")</f>
        <v>Yes</v>
      </c>
      <c r="X471" s="5"/>
      <c r="Y471" s="5"/>
      <c r="Z471" s="5"/>
      <c r="AA471" s="5"/>
      <c r="AB471" s="5"/>
      <c r="AC471" s="5" t="str">
        <f ca="1">IFERROR(__xludf.DUMMYFUNCTION("""COMPUTED_VALUE"""),"Yes")</f>
        <v>Yes</v>
      </c>
      <c r="AD471" s="5"/>
      <c r="AE471" s="5"/>
      <c r="AF471" s="5"/>
      <c r="AG471" s="5"/>
      <c r="AH471" s="5"/>
      <c r="AI471" s="5"/>
      <c r="AJ471" s="5"/>
      <c r="AK471" s="5"/>
      <c r="AL471" s="5"/>
      <c r="AM471" s="5"/>
      <c r="AN471" s="5"/>
      <c r="AO471" s="5"/>
      <c r="AP471" s="5"/>
      <c r="AQ471" s="5"/>
      <c r="AR471" s="5"/>
      <c r="AS471" s="5"/>
      <c r="AT471" s="5"/>
      <c r="AU471" s="5"/>
      <c r="AV471" s="5"/>
      <c r="AW471" s="5"/>
      <c r="AX471" s="5"/>
      <c r="AY471" s="5"/>
    </row>
    <row r="472" spans="1:51" x14ac:dyDescent="0.25">
      <c r="A4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2" s="5">
        <f ca="1">IFERROR(__xludf.DUMMYFUNCTION("""COMPUTED_VALUE"""),496)</f>
        <v>496</v>
      </c>
      <c r="C472" s="5">
        <f ca="1">IFERROR(__xludf.DUMMYFUNCTION("""COMPUTED_VALUE"""),3000002)</f>
        <v>3000002</v>
      </c>
      <c r="D472" s="5" t="str">
        <f ca="1">IFERROR(__xludf.DUMMYFUNCTION("""COMPUTED_VALUE"""),"cosmic-comet-chase")</f>
        <v>cosmic-comet-chase</v>
      </c>
      <c r="E472" s="5" t="str">
        <f ca="1">IFERROR(__xludf.DUMMYFUNCTION("""COMPUTED_VALUE"""),"Yes")</f>
        <v>Yes</v>
      </c>
      <c r="F472" s="5" t="str">
        <f ca="1">IFERROR(__xludf.DUMMYFUNCTION("""COMPUTED_VALUE"""),"Yes")</f>
        <v>Yes</v>
      </c>
      <c r="G472" s="5" t="str">
        <f ca="1">IFERROR(__xludf.DUMMYFUNCTION("""COMPUTED_VALUE"""),"Yes")</f>
        <v>Yes</v>
      </c>
      <c r="H472" s="5" t="str">
        <f ca="1">IFERROR(__xludf.DUMMYFUNCTION("""COMPUTED_VALUE"""),"Yes")</f>
        <v>Yes</v>
      </c>
      <c r="I472" s="5" t="str">
        <f ca="1">IFERROR(__xludf.DUMMYFUNCTION("""COMPUTED_VALUE"""),"Yes")</f>
        <v>Yes</v>
      </c>
      <c r="J472" s="5" t="str">
        <f ca="1">IFERROR(__xludf.DUMMYFUNCTION("""COMPUTED_VALUE"""),"Yes")</f>
        <v>Yes</v>
      </c>
      <c r="K472" s="5" t="str">
        <f ca="1">IFERROR(__xludf.DUMMYFUNCTION("""COMPUTED_VALUE"""),"Yes")</f>
        <v>Yes</v>
      </c>
      <c r="L472" s="5" t="str">
        <f ca="1">IFERROR(__xludf.DUMMYFUNCTION("""COMPUTED_VALUE"""),"Yes")</f>
        <v>Yes</v>
      </c>
      <c r="M472" s="5" t="str">
        <f ca="1">IFERROR(__xludf.DUMMYFUNCTION("""COMPUTED_VALUE"""),"Yes")</f>
        <v>Yes</v>
      </c>
      <c r="N472" s="5" t="str">
        <f ca="1">IFERROR(__xludf.DUMMYFUNCTION("""COMPUTED_VALUE"""),"Yes")</f>
        <v>Yes</v>
      </c>
      <c r="O472" s="5" t="str">
        <f ca="1">IFERROR(__xludf.DUMMYFUNCTION("""COMPUTED_VALUE"""),"Yes")</f>
        <v>Yes</v>
      </c>
      <c r="P472" s="5" t="str">
        <f ca="1">IFERROR(__xludf.DUMMYFUNCTION("""COMPUTED_VALUE"""),"Yes")</f>
        <v>Yes</v>
      </c>
      <c r="Q472" s="5" t="str">
        <f ca="1">IFERROR(__xludf.DUMMYFUNCTION("""COMPUTED_VALUE"""),"Yes")</f>
        <v>Yes</v>
      </c>
      <c r="R472" s="5" t="str">
        <f ca="1">IFERROR(__xludf.DUMMYFUNCTION("""COMPUTED_VALUE"""),"Yes")</f>
        <v>Yes</v>
      </c>
      <c r="S472" s="5" t="str">
        <f ca="1">IFERROR(__xludf.DUMMYFUNCTION("""COMPUTED_VALUE"""),"Yes")</f>
        <v>Yes</v>
      </c>
      <c r="T472" s="5" t="str">
        <f ca="1">IFERROR(__xludf.DUMMYFUNCTION("""COMPUTED_VALUE"""),"Yes")</f>
        <v>Yes</v>
      </c>
      <c r="U472" s="5" t="str">
        <f ca="1">IFERROR(__xludf.DUMMYFUNCTION("""COMPUTED_VALUE"""),"Yes")</f>
        <v>Yes</v>
      </c>
      <c r="V472" s="5" t="str">
        <f ca="1">IFERROR(__xludf.DUMMYFUNCTION("""COMPUTED_VALUE"""),"Yes")</f>
        <v>Yes</v>
      </c>
      <c r="W472" s="5" t="str">
        <f ca="1">IFERROR(__xludf.DUMMYFUNCTION("""COMPUTED_VALUE"""),"Yes")</f>
        <v>Yes</v>
      </c>
      <c r="X472" s="5"/>
      <c r="Y472" s="5"/>
      <c r="Z472" s="5"/>
      <c r="AA472" s="5"/>
      <c r="AB472" s="5"/>
      <c r="AC472" s="5" t="str">
        <f ca="1">IFERROR(__xludf.DUMMYFUNCTION("""COMPUTED_VALUE"""),"Yes")</f>
        <v>Yes</v>
      </c>
      <c r="AD472" s="5"/>
      <c r="AE472" s="5"/>
      <c r="AF472" s="5"/>
      <c r="AG472" s="5"/>
      <c r="AH472" s="5"/>
      <c r="AI472" s="5"/>
      <c r="AJ472" s="5"/>
      <c r="AK472" s="5"/>
      <c r="AL472" s="5"/>
      <c r="AM472" s="5"/>
      <c r="AN472" s="5"/>
      <c r="AO472" s="5"/>
      <c r="AP472" s="5"/>
      <c r="AQ472" s="5"/>
      <c r="AR472" s="5"/>
      <c r="AS472" s="5"/>
      <c r="AT472" s="5"/>
      <c r="AU472" s="5"/>
      <c r="AV472" s="5"/>
      <c r="AW472" s="5"/>
      <c r="AX472" s="5"/>
      <c r="AY472" s="5"/>
    </row>
    <row r="473" spans="1:51" x14ac:dyDescent="0.25">
      <c r="A4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3" s="5">
        <f ca="1">IFERROR(__xludf.DUMMYFUNCTION("""COMPUTED_VALUE"""),499)</f>
        <v>499</v>
      </c>
      <c r="C473" s="5">
        <f ca="1">IFERROR(__xludf.DUMMYFUNCTION("""COMPUTED_VALUE"""),3000003)</f>
        <v>3000003</v>
      </c>
      <c r="D473" s="5" t="str">
        <f ca="1">IFERROR(__xludf.DUMMYFUNCTION("""COMPUTED_VALUE"""),"neon-fruits")</f>
        <v>neon-fruits</v>
      </c>
      <c r="E473" s="5" t="str">
        <f ca="1">IFERROR(__xludf.DUMMYFUNCTION("""COMPUTED_VALUE"""),"Yes")</f>
        <v>Yes</v>
      </c>
      <c r="F473" s="5" t="str">
        <f ca="1">IFERROR(__xludf.DUMMYFUNCTION("""COMPUTED_VALUE"""),"Yes")</f>
        <v>Yes</v>
      </c>
      <c r="G473" s="5" t="str">
        <f ca="1">IFERROR(__xludf.DUMMYFUNCTION("""COMPUTED_VALUE"""),"Yes")</f>
        <v>Yes</v>
      </c>
      <c r="H473" s="5" t="str">
        <f ca="1">IFERROR(__xludf.DUMMYFUNCTION("""COMPUTED_VALUE"""),"Yes")</f>
        <v>Yes</v>
      </c>
      <c r="I473" s="5" t="str">
        <f ca="1">IFERROR(__xludf.DUMMYFUNCTION("""COMPUTED_VALUE"""),"Yes")</f>
        <v>Yes</v>
      </c>
      <c r="J473" s="5" t="str">
        <f ca="1">IFERROR(__xludf.DUMMYFUNCTION("""COMPUTED_VALUE"""),"Yes")</f>
        <v>Yes</v>
      </c>
      <c r="K473" s="5" t="str">
        <f ca="1">IFERROR(__xludf.DUMMYFUNCTION("""COMPUTED_VALUE"""),"Yes")</f>
        <v>Yes</v>
      </c>
      <c r="L473" s="5" t="str">
        <f ca="1">IFERROR(__xludf.DUMMYFUNCTION("""COMPUTED_VALUE"""),"Yes")</f>
        <v>Yes</v>
      </c>
      <c r="M473" s="5" t="str">
        <f ca="1">IFERROR(__xludf.DUMMYFUNCTION("""COMPUTED_VALUE"""),"Yes")</f>
        <v>Yes</v>
      </c>
      <c r="N473" s="5" t="str">
        <f ca="1">IFERROR(__xludf.DUMMYFUNCTION("""COMPUTED_VALUE"""),"Yes")</f>
        <v>Yes</v>
      </c>
      <c r="O473" s="5" t="str">
        <f ca="1">IFERROR(__xludf.DUMMYFUNCTION("""COMPUTED_VALUE"""),"Yes")</f>
        <v>Yes</v>
      </c>
      <c r="P473" s="5" t="str">
        <f ca="1">IFERROR(__xludf.DUMMYFUNCTION("""COMPUTED_VALUE"""),"Yes")</f>
        <v>Yes</v>
      </c>
      <c r="Q473" s="5" t="str">
        <f ca="1">IFERROR(__xludf.DUMMYFUNCTION("""COMPUTED_VALUE"""),"Yes")</f>
        <v>Yes</v>
      </c>
      <c r="R473" s="5" t="str">
        <f ca="1">IFERROR(__xludf.DUMMYFUNCTION("""COMPUTED_VALUE"""),"Yes")</f>
        <v>Yes</v>
      </c>
      <c r="S473" s="5" t="str">
        <f ca="1">IFERROR(__xludf.DUMMYFUNCTION("""COMPUTED_VALUE"""),"Yes")</f>
        <v>Yes</v>
      </c>
      <c r="T473" s="5" t="str">
        <f ca="1">IFERROR(__xludf.DUMMYFUNCTION("""COMPUTED_VALUE"""),"Yes")</f>
        <v>Yes</v>
      </c>
      <c r="U473" s="5" t="str">
        <f ca="1">IFERROR(__xludf.DUMMYFUNCTION("""COMPUTED_VALUE"""),"Yes")</f>
        <v>Yes</v>
      </c>
      <c r="V473" s="5" t="str">
        <f ca="1">IFERROR(__xludf.DUMMYFUNCTION("""COMPUTED_VALUE"""),"Yes")</f>
        <v>Yes</v>
      </c>
      <c r="W473" s="5" t="str">
        <f ca="1">IFERROR(__xludf.DUMMYFUNCTION("""COMPUTED_VALUE"""),"Yes")</f>
        <v>Yes</v>
      </c>
      <c r="X473" s="5"/>
      <c r="Y473" s="5"/>
      <c r="Z473" s="5"/>
      <c r="AA473" s="5"/>
      <c r="AB473" s="5"/>
      <c r="AC473" s="5" t="str">
        <f ca="1">IFERROR(__xludf.DUMMYFUNCTION("""COMPUTED_VALUE"""),"Yes")</f>
        <v>Yes</v>
      </c>
      <c r="AD473" s="5"/>
      <c r="AE473" s="5"/>
      <c r="AF473" s="5"/>
      <c r="AG473" s="5"/>
      <c r="AH473" s="5"/>
      <c r="AI473" s="5"/>
      <c r="AJ473" s="5"/>
      <c r="AK473" s="5"/>
      <c r="AL473" s="5"/>
      <c r="AM473" s="5"/>
      <c r="AN473" s="5"/>
      <c r="AO473" s="5"/>
      <c r="AP473" s="5"/>
      <c r="AQ473" s="5"/>
      <c r="AR473" s="5"/>
      <c r="AS473" s="5"/>
      <c r="AT473" s="5"/>
      <c r="AU473" s="5"/>
      <c r="AV473" s="5"/>
      <c r="AW473" s="5"/>
      <c r="AX473" s="5"/>
      <c r="AY473" s="5"/>
    </row>
    <row r="474" spans="1:51" x14ac:dyDescent="0.25">
      <c r="A4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4" s="5">
        <f ca="1">IFERROR(__xludf.DUMMYFUNCTION("""COMPUTED_VALUE"""),500)</f>
        <v>500</v>
      </c>
      <c r="C474" s="5">
        <f ca="1">IFERROR(__xludf.DUMMYFUNCTION("""COMPUTED_VALUE"""),3011)</f>
        <v>3011</v>
      </c>
      <c r="D474" s="5" t="str">
        <f ca="1">IFERROR(__xludf.DUMMYFUNCTION("""COMPUTED_VALUE"""),"GoldenCrownBooster")</f>
        <v>GoldenCrownBooster</v>
      </c>
      <c r="E474" s="5" t="str">
        <f ca="1">IFERROR(__xludf.DUMMYFUNCTION("""COMPUTED_VALUE"""),"Yes")</f>
        <v>Yes</v>
      </c>
      <c r="F474" s="5" t="str">
        <f ca="1">IFERROR(__xludf.DUMMYFUNCTION("""COMPUTED_VALUE"""),"Yes")</f>
        <v>Yes</v>
      </c>
      <c r="G474" s="5" t="str">
        <f ca="1">IFERROR(__xludf.DUMMYFUNCTION("""COMPUTED_VALUE"""),"Yes")</f>
        <v>Yes</v>
      </c>
      <c r="H474" s="5" t="str">
        <f ca="1">IFERROR(__xludf.DUMMYFUNCTION("""COMPUTED_VALUE"""),"Yes")</f>
        <v>Yes</v>
      </c>
      <c r="I474" s="5" t="str">
        <f ca="1">IFERROR(__xludf.DUMMYFUNCTION("""COMPUTED_VALUE"""),"Yes")</f>
        <v>Yes</v>
      </c>
      <c r="J474" s="5" t="str">
        <f ca="1">IFERROR(__xludf.DUMMYFUNCTION("""COMPUTED_VALUE"""),"Yes")</f>
        <v>Yes</v>
      </c>
      <c r="K474" s="5" t="str">
        <f ca="1">IFERROR(__xludf.DUMMYFUNCTION("""COMPUTED_VALUE"""),"Yes")</f>
        <v>Yes</v>
      </c>
      <c r="L474" s="5" t="str">
        <f ca="1">IFERROR(__xludf.DUMMYFUNCTION("""COMPUTED_VALUE"""),"Yes")</f>
        <v>Yes</v>
      </c>
      <c r="M474" s="5" t="str">
        <f ca="1">IFERROR(__xludf.DUMMYFUNCTION("""COMPUTED_VALUE"""),"Yes")</f>
        <v>Yes</v>
      </c>
      <c r="N474" s="5" t="str">
        <f ca="1">IFERROR(__xludf.DUMMYFUNCTION("""COMPUTED_VALUE"""),"Yes")</f>
        <v>Yes</v>
      </c>
      <c r="O474" s="5" t="str">
        <f ca="1">IFERROR(__xludf.DUMMYFUNCTION("""COMPUTED_VALUE"""),"Yes")</f>
        <v>Yes</v>
      </c>
      <c r="P474" s="5" t="str">
        <f ca="1">IFERROR(__xludf.DUMMYFUNCTION("""COMPUTED_VALUE"""),"Yes")</f>
        <v>Yes</v>
      </c>
      <c r="Q474" s="5" t="str">
        <f ca="1">IFERROR(__xludf.DUMMYFUNCTION("""COMPUTED_VALUE"""),"Yes")</f>
        <v>Yes</v>
      </c>
      <c r="R474" s="5" t="str">
        <f ca="1">IFERROR(__xludf.DUMMYFUNCTION("""COMPUTED_VALUE"""),"Yes")</f>
        <v>Yes</v>
      </c>
      <c r="S474" s="5" t="str">
        <f ca="1">IFERROR(__xludf.DUMMYFUNCTION("""COMPUTED_VALUE"""),"Yes")</f>
        <v>Yes</v>
      </c>
      <c r="T474" s="5" t="str">
        <f ca="1">IFERROR(__xludf.DUMMYFUNCTION("""COMPUTED_VALUE"""),"Yes")</f>
        <v>Yes</v>
      </c>
      <c r="U474" s="5" t="str">
        <f ca="1">IFERROR(__xludf.DUMMYFUNCTION("""COMPUTED_VALUE"""),"Yes")</f>
        <v>Yes</v>
      </c>
      <c r="V474" s="5" t="str">
        <f ca="1">IFERROR(__xludf.DUMMYFUNCTION("""COMPUTED_VALUE"""),"Yes")</f>
        <v>Yes</v>
      </c>
      <c r="W474" s="5" t="str">
        <f ca="1">IFERROR(__xludf.DUMMYFUNCTION("""COMPUTED_VALUE"""),"Yes")</f>
        <v>Yes</v>
      </c>
      <c r="X474" s="5" t="str">
        <f ca="1">IFERROR(__xludf.DUMMYFUNCTION("""COMPUTED_VALUE"""),"Yes")</f>
        <v>Yes</v>
      </c>
      <c r="Y474" s="5" t="str">
        <f ca="1">IFERROR(__xludf.DUMMYFUNCTION("""COMPUTED_VALUE"""),"Yes")</f>
        <v>Yes</v>
      </c>
      <c r="Z474" s="5" t="str">
        <f ca="1">IFERROR(__xludf.DUMMYFUNCTION("""COMPUTED_VALUE"""),"No")</f>
        <v>No</v>
      </c>
      <c r="AA474" s="5" t="str">
        <f ca="1">IFERROR(__xludf.DUMMYFUNCTION("""COMPUTED_VALUE"""),"Yes")</f>
        <v>Yes</v>
      </c>
      <c r="AB474" s="5" t="str">
        <f ca="1">IFERROR(__xludf.DUMMYFUNCTION("""COMPUTED_VALUE"""),"Yes")</f>
        <v>Yes</v>
      </c>
      <c r="AC474" s="5" t="str">
        <f ca="1">IFERROR(__xludf.DUMMYFUNCTION("""COMPUTED_VALUE"""),"Yes")</f>
        <v>Yes</v>
      </c>
      <c r="AD474" s="5" t="str">
        <f ca="1">IFERROR(__xludf.DUMMYFUNCTION("""COMPUTED_VALUE"""),"Yes")</f>
        <v>Yes</v>
      </c>
      <c r="AE474" s="5" t="str">
        <f ca="1">IFERROR(__xludf.DUMMYFUNCTION("""COMPUTED_VALUE"""),"No")</f>
        <v>No</v>
      </c>
      <c r="AF474" s="5" t="str">
        <f ca="1">IFERROR(__xludf.DUMMYFUNCTION("""COMPUTED_VALUE"""),"Yes")</f>
        <v>Yes</v>
      </c>
      <c r="AG474" s="5" t="str">
        <f ca="1">IFERROR(__xludf.DUMMYFUNCTION("""COMPUTED_VALUE"""),"No")</f>
        <v>No</v>
      </c>
      <c r="AH474" s="5" t="str">
        <f ca="1">IFERROR(__xludf.DUMMYFUNCTION("""COMPUTED_VALUE"""),"No")</f>
        <v>No</v>
      </c>
      <c r="AI474" s="5" t="str">
        <f ca="1">IFERROR(__xludf.DUMMYFUNCTION("""COMPUTED_VALUE"""),"No")</f>
        <v>No</v>
      </c>
      <c r="AJ474" s="5" t="str">
        <f ca="1">IFERROR(__xludf.DUMMYFUNCTION("""COMPUTED_VALUE"""),"No")</f>
        <v>No</v>
      </c>
      <c r="AK474" s="5" t="str">
        <f ca="1">IFERROR(__xludf.DUMMYFUNCTION("""COMPUTED_VALUE"""),"No")</f>
        <v>No</v>
      </c>
      <c r="AL474" s="5" t="str">
        <f ca="1">IFERROR(__xludf.DUMMYFUNCTION("""COMPUTED_VALUE"""),"No")</f>
        <v>No</v>
      </c>
      <c r="AM474" s="5"/>
      <c r="AN474" s="5"/>
      <c r="AO474" s="5"/>
      <c r="AP474" s="5"/>
      <c r="AQ474" s="5"/>
      <c r="AR474" s="5"/>
      <c r="AS474" s="5"/>
      <c r="AT474" s="5"/>
      <c r="AU474" s="5"/>
      <c r="AV474" s="5"/>
      <c r="AW474" s="5"/>
      <c r="AX474" s="5"/>
      <c r="AY474" s="5"/>
    </row>
    <row r="475" spans="1:51" x14ac:dyDescent="0.25">
      <c r="A4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5" s="5">
        <f ca="1">IFERROR(__xludf.DUMMYFUNCTION("""COMPUTED_VALUE"""),501)</f>
        <v>501</v>
      </c>
      <c r="C475" s="5">
        <f ca="1">IFERROR(__xludf.DUMMYFUNCTION("""COMPUTED_VALUE"""),3012)</f>
        <v>3012</v>
      </c>
      <c r="D475" s="5" t="str">
        <f ca="1">IFERROR(__xludf.DUMMYFUNCTION("""COMPUTED_VALUE"""),"VeryHot5Booster")</f>
        <v>VeryHot5Booster</v>
      </c>
      <c r="E475" s="5" t="str">
        <f ca="1">IFERROR(__xludf.DUMMYFUNCTION("""COMPUTED_VALUE"""),"Yes")</f>
        <v>Yes</v>
      </c>
      <c r="F475" s="5" t="str">
        <f ca="1">IFERROR(__xludf.DUMMYFUNCTION("""COMPUTED_VALUE"""),"Yes")</f>
        <v>Yes</v>
      </c>
      <c r="G475" s="5" t="str">
        <f ca="1">IFERROR(__xludf.DUMMYFUNCTION("""COMPUTED_VALUE"""),"Yes")</f>
        <v>Yes</v>
      </c>
      <c r="H475" s="5" t="str">
        <f ca="1">IFERROR(__xludf.DUMMYFUNCTION("""COMPUTED_VALUE"""),"Yes")</f>
        <v>Yes</v>
      </c>
      <c r="I475" s="5" t="str">
        <f ca="1">IFERROR(__xludf.DUMMYFUNCTION("""COMPUTED_VALUE"""),"Yes")</f>
        <v>Yes</v>
      </c>
      <c r="J475" s="5" t="str">
        <f ca="1">IFERROR(__xludf.DUMMYFUNCTION("""COMPUTED_VALUE"""),"Yes")</f>
        <v>Yes</v>
      </c>
      <c r="K475" s="5" t="str">
        <f ca="1">IFERROR(__xludf.DUMMYFUNCTION("""COMPUTED_VALUE"""),"Yes")</f>
        <v>Yes</v>
      </c>
      <c r="L475" s="5" t="str">
        <f ca="1">IFERROR(__xludf.DUMMYFUNCTION("""COMPUTED_VALUE"""),"Yes")</f>
        <v>Yes</v>
      </c>
      <c r="M475" s="5" t="str">
        <f ca="1">IFERROR(__xludf.DUMMYFUNCTION("""COMPUTED_VALUE"""),"Yes")</f>
        <v>Yes</v>
      </c>
      <c r="N475" s="5" t="str">
        <f ca="1">IFERROR(__xludf.DUMMYFUNCTION("""COMPUTED_VALUE"""),"Yes")</f>
        <v>Yes</v>
      </c>
      <c r="O475" s="5" t="str">
        <f ca="1">IFERROR(__xludf.DUMMYFUNCTION("""COMPUTED_VALUE"""),"Yes")</f>
        <v>Yes</v>
      </c>
      <c r="P475" s="5" t="str">
        <f ca="1">IFERROR(__xludf.DUMMYFUNCTION("""COMPUTED_VALUE"""),"Yes")</f>
        <v>Yes</v>
      </c>
      <c r="Q475" s="5" t="str">
        <f ca="1">IFERROR(__xludf.DUMMYFUNCTION("""COMPUTED_VALUE"""),"Yes")</f>
        <v>Yes</v>
      </c>
      <c r="R475" s="5" t="str">
        <f ca="1">IFERROR(__xludf.DUMMYFUNCTION("""COMPUTED_VALUE"""),"Yes")</f>
        <v>Yes</v>
      </c>
      <c r="S475" s="5" t="str">
        <f ca="1">IFERROR(__xludf.DUMMYFUNCTION("""COMPUTED_VALUE"""),"Yes")</f>
        <v>Yes</v>
      </c>
      <c r="T475" s="5" t="str">
        <f ca="1">IFERROR(__xludf.DUMMYFUNCTION("""COMPUTED_VALUE"""),"Yes")</f>
        <v>Yes</v>
      </c>
      <c r="U475" s="5" t="str">
        <f ca="1">IFERROR(__xludf.DUMMYFUNCTION("""COMPUTED_VALUE"""),"Yes")</f>
        <v>Yes</v>
      </c>
      <c r="V475" s="5" t="str">
        <f ca="1">IFERROR(__xludf.DUMMYFUNCTION("""COMPUTED_VALUE"""),"Yes")</f>
        <v>Yes</v>
      </c>
      <c r="W475" s="5" t="str">
        <f ca="1">IFERROR(__xludf.DUMMYFUNCTION("""COMPUTED_VALUE"""),"Yes")</f>
        <v>Yes</v>
      </c>
      <c r="X475" s="5" t="str">
        <f ca="1">IFERROR(__xludf.DUMMYFUNCTION("""COMPUTED_VALUE"""),"Yes")</f>
        <v>Yes</v>
      </c>
      <c r="Y475" s="5" t="str">
        <f ca="1">IFERROR(__xludf.DUMMYFUNCTION("""COMPUTED_VALUE"""),"Yes")</f>
        <v>Yes</v>
      </c>
      <c r="Z475" s="5" t="str">
        <f ca="1">IFERROR(__xludf.DUMMYFUNCTION("""COMPUTED_VALUE"""),"No")</f>
        <v>No</v>
      </c>
      <c r="AA475" s="5" t="str">
        <f ca="1">IFERROR(__xludf.DUMMYFUNCTION("""COMPUTED_VALUE"""),"Yes")</f>
        <v>Yes</v>
      </c>
      <c r="AB475" s="5" t="str">
        <f ca="1">IFERROR(__xludf.DUMMYFUNCTION("""COMPUTED_VALUE"""),"Yes")</f>
        <v>Yes</v>
      </c>
      <c r="AC475" s="5" t="str">
        <f ca="1">IFERROR(__xludf.DUMMYFUNCTION("""COMPUTED_VALUE"""),"Yes")</f>
        <v>Yes</v>
      </c>
      <c r="AD475" s="5" t="str">
        <f ca="1">IFERROR(__xludf.DUMMYFUNCTION("""COMPUTED_VALUE"""),"Yes")</f>
        <v>Yes</v>
      </c>
      <c r="AE475" s="5" t="str">
        <f ca="1">IFERROR(__xludf.DUMMYFUNCTION("""COMPUTED_VALUE"""),"No")</f>
        <v>No</v>
      </c>
      <c r="AF475" s="5" t="str">
        <f ca="1">IFERROR(__xludf.DUMMYFUNCTION("""COMPUTED_VALUE"""),"Yes")</f>
        <v>Yes</v>
      </c>
      <c r="AG475" s="5" t="str">
        <f ca="1">IFERROR(__xludf.DUMMYFUNCTION("""COMPUTED_VALUE"""),"No")</f>
        <v>No</v>
      </c>
      <c r="AH475" s="5" t="str">
        <f ca="1">IFERROR(__xludf.DUMMYFUNCTION("""COMPUTED_VALUE"""),"No")</f>
        <v>No</v>
      </c>
      <c r="AI475" s="5" t="str">
        <f ca="1">IFERROR(__xludf.DUMMYFUNCTION("""COMPUTED_VALUE"""),"No")</f>
        <v>No</v>
      </c>
      <c r="AJ475" s="5" t="str">
        <f ca="1">IFERROR(__xludf.DUMMYFUNCTION("""COMPUTED_VALUE"""),"No")</f>
        <v>No</v>
      </c>
      <c r="AK475" s="5" t="str">
        <f ca="1">IFERROR(__xludf.DUMMYFUNCTION("""COMPUTED_VALUE"""),"No")</f>
        <v>No</v>
      </c>
      <c r="AL475" s="5" t="str">
        <f ca="1">IFERROR(__xludf.DUMMYFUNCTION("""COMPUTED_VALUE"""),"No")</f>
        <v>No</v>
      </c>
      <c r="AM475" s="5"/>
      <c r="AN475" s="5"/>
      <c r="AO475" s="5"/>
      <c r="AP475" s="5"/>
      <c r="AQ475" s="5"/>
      <c r="AR475" s="5"/>
      <c r="AS475" s="5"/>
      <c r="AT475" s="5"/>
      <c r="AU475" s="5"/>
      <c r="AV475" s="5"/>
      <c r="AW475" s="5"/>
      <c r="AX475" s="5"/>
      <c r="AY475" s="5"/>
    </row>
    <row r="476" spans="1:51" x14ac:dyDescent="0.25">
      <c r="A4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6" s="5">
        <f ca="1">IFERROR(__xludf.DUMMYFUNCTION("""COMPUTED_VALUE"""),502)</f>
        <v>502</v>
      </c>
      <c r="C476" s="5">
        <f ca="1">IFERROR(__xludf.DUMMYFUNCTION("""COMPUTED_VALUE"""),3016)</f>
        <v>3016</v>
      </c>
      <c r="D476" s="5" t="str">
        <f ca="1">IFERROR(__xludf.DUMMYFUNCTION("""COMPUTED_VALUE"""),"EpicClover40Booster")</f>
        <v>EpicClover40Booster</v>
      </c>
      <c r="E476" s="5" t="str">
        <f ca="1">IFERROR(__xludf.DUMMYFUNCTION("""COMPUTED_VALUE"""),"Yes")</f>
        <v>Yes</v>
      </c>
      <c r="F476" s="5" t="str">
        <f ca="1">IFERROR(__xludf.DUMMYFUNCTION("""COMPUTED_VALUE"""),"Yes")</f>
        <v>Yes</v>
      </c>
      <c r="G476" s="5" t="str">
        <f ca="1">IFERROR(__xludf.DUMMYFUNCTION("""COMPUTED_VALUE"""),"Yes")</f>
        <v>Yes</v>
      </c>
      <c r="H476" s="5" t="str">
        <f ca="1">IFERROR(__xludf.DUMMYFUNCTION("""COMPUTED_VALUE"""),"Yes")</f>
        <v>Yes</v>
      </c>
      <c r="I476" s="5" t="str">
        <f ca="1">IFERROR(__xludf.DUMMYFUNCTION("""COMPUTED_VALUE"""),"Yes")</f>
        <v>Yes</v>
      </c>
      <c r="J476" s="5" t="str">
        <f ca="1">IFERROR(__xludf.DUMMYFUNCTION("""COMPUTED_VALUE"""),"Yes")</f>
        <v>Yes</v>
      </c>
      <c r="K476" s="5" t="str">
        <f ca="1">IFERROR(__xludf.DUMMYFUNCTION("""COMPUTED_VALUE"""),"Yes")</f>
        <v>Yes</v>
      </c>
      <c r="L476" s="5" t="str">
        <f ca="1">IFERROR(__xludf.DUMMYFUNCTION("""COMPUTED_VALUE"""),"Yes")</f>
        <v>Yes</v>
      </c>
      <c r="M476" s="5" t="str">
        <f ca="1">IFERROR(__xludf.DUMMYFUNCTION("""COMPUTED_VALUE"""),"Yes")</f>
        <v>Yes</v>
      </c>
      <c r="N476" s="5" t="str">
        <f ca="1">IFERROR(__xludf.DUMMYFUNCTION("""COMPUTED_VALUE"""),"Yes")</f>
        <v>Yes</v>
      </c>
      <c r="O476" s="5" t="str">
        <f ca="1">IFERROR(__xludf.DUMMYFUNCTION("""COMPUTED_VALUE"""),"Yes")</f>
        <v>Yes</v>
      </c>
      <c r="P476" s="5" t="str">
        <f ca="1">IFERROR(__xludf.DUMMYFUNCTION("""COMPUTED_VALUE"""),"Yes")</f>
        <v>Yes</v>
      </c>
      <c r="Q476" s="5" t="str">
        <f ca="1">IFERROR(__xludf.DUMMYFUNCTION("""COMPUTED_VALUE"""),"Yes")</f>
        <v>Yes</v>
      </c>
      <c r="R476" s="5" t="str">
        <f ca="1">IFERROR(__xludf.DUMMYFUNCTION("""COMPUTED_VALUE"""),"Yes")</f>
        <v>Yes</v>
      </c>
      <c r="S476" s="5" t="str">
        <f ca="1">IFERROR(__xludf.DUMMYFUNCTION("""COMPUTED_VALUE"""),"Yes")</f>
        <v>Yes</v>
      </c>
      <c r="T476" s="5" t="str">
        <f ca="1">IFERROR(__xludf.DUMMYFUNCTION("""COMPUTED_VALUE"""),"Yes")</f>
        <v>Yes</v>
      </c>
      <c r="U476" s="5" t="str">
        <f ca="1">IFERROR(__xludf.DUMMYFUNCTION("""COMPUTED_VALUE"""),"Yes")</f>
        <v>Yes</v>
      </c>
      <c r="V476" s="5" t="str">
        <f ca="1">IFERROR(__xludf.DUMMYFUNCTION("""COMPUTED_VALUE"""),"Yes")</f>
        <v>Yes</v>
      </c>
      <c r="W476" s="5" t="str">
        <f ca="1">IFERROR(__xludf.DUMMYFUNCTION("""COMPUTED_VALUE"""),"Yes")</f>
        <v>Yes</v>
      </c>
      <c r="X476" s="5" t="str">
        <f ca="1">IFERROR(__xludf.DUMMYFUNCTION("""COMPUTED_VALUE"""),"Yes")</f>
        <v>Yes</v>
      </c>
      <c r="Y476" s="5" t="str">
        <f ca="1">IFERROR(__xludf.DUMMYFUNCTION("""COMPUTED_VALUE"""),"Yes")</f>
        <v>Yes</v>
      </c>
      <c r="Z476" s="5" t="str">
        <f ca="1">IFERROR(__xludf.DUMMYFUNCTION("""COMPUTED_VALUE"""),"No")</f>
        <v>No</v>
      </c>
      <c r="AA476" s="5" t="str">
        <f ca="1">IFERROR(__xludf.DUMMYFUNCTION("""COMPUTED_VALUE"""),"Yes")</f>
        <v>Yes</v>
      </c>
      <c r="AB476" s="5" t="str">
        <f ca="1">IFERROR(__xludf.DUMMYFUNCTION("""COMPUTED_VALUE"""),"Yes")</f>
        <v>Yes</v>
      </c>
      <c r="AC476" s="5" t="str">
        <f ca="1">IFERROR(__xludf.DUMMYFUNCTION("""COMPUTED_VALUE"""),"Yes")</f>
        <v>Yes</v>
      </c>
      <c r="AD476" s="5" t="str">
        <f ca="1">IFERROR(__xludf.DUMMYFUNCTION("""COMPUTED_VALUE"""),"Yes")</f>
        <v>Yes</v>
      </c>
      <c r="AE476" s="5" t="str">
        <f ca="1">IFERROR(__xludf.DUMMYFUNCTION("""COMPUTED_VALUE"""),"No")</f>
        <v>No</v>
      </c>
      <c r="AF476" s="5" t="str">
        <f ca="1">IFERROR(__xludf.DUMMYFUNCTION("""COMPUTED_VALUE"""),"Yes")</f>
        <v>Yes</v>
      </c>
      <c r="AG476" s="5" t="str">
        <f ca="1">IFERROR(__xludf.DUMMYFUNCTION("""COMPUTED_VALUE"""),"No")</f>
        <v>No</v>
      </c>
      <c r="AH476" s="5" t="str">
        <f ca="1">IFERROR(__xludf.DUMMYFUNCTION("""COMPUTED_VALUE"""),"No")</f>
        <v>No</v>
      </c>
      <c r="AI476" s="5" t="str">
        <f ca="1">IFERROR(__xludf.DUMMYFUNCTION("""COMPUTED_VALUE"""),"No")</f>
        <v>No</v>
      </c>
      <c r="AJ476" s="5" t="str">
        <f ca="1">IFERROR(__xludf.DUMMYFUNCTION("""COMPUTED_VALUE"""),"No")</f>
        <v>No</v>
      </c>
      <c r="AK476" s="5" t="str">
        <f ca="1">IFERROR(__xludf.DUMMYFUNCTION("""COMPUTED_VALUE"""),"No")</f>
        <v>No</v>
      </c>
      <c r="AL476" s="5" t="str">
        <f ca="1">IFERROR(__xludf.DUMMYFUNCTION("""COMPUTED_VALUE"""),"No")</f>
        <v>No</v>
      </c>
      <c r="AM476" s="5"/>
      <c r="AN476" s="5"/>
      <c r="AO476" s="5"/>
      <c r="AP476" s="5"/>
      <c r="AQ476" s="5"/>
      <c r="AR476" s="5"/>
      <c r="AS476" s="5"/>
      <c r="AT476" s="5"/>
      <c r="AU476" s="5"/>
      <c r="AV476" s="5"/>
      <c r="AW476" s="5"/>
      <c r="AX476" s="5"/>
      <c r="AY476" s="5"/>
    </row>
    <row r="477" spans="1:51" x14ac:dyDescent="0.25">
      <c r="A4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77" s="5">
        <f ca="1">IFERROR(__xludf.DUMMYFUNCTION("""COMPUTED_VALUE"""),506)</f>
        <v>506</v>
      </c>
      <c r="C477" s="5">
        <f ca="1">IFERROR(__xludf.DUMMYFUNCTION("""COMPUTED_VALUE"""),180016)</f>
        <v>180016</v>
      </c>
      <c r="D477" s="5" t="str">
        <f ca="1">IFERROR(__xludf.DUMMYFUNCTION("""COMPUTED_VALUE"""),"RedstoneMultiCrown10")</f>
        <v>RedstoneMultiCrown10</v>
      </c>
      <c r="E477" s="5" t="str">
        <f ca="1">IFERROR(__xludf.DUMMYFUNCTION("""COMPUTED_VALUE"""),"Yes")</f>
        <v>Yes</v>
      </c>
      <c r="F477" s="5" t="str">
        <f ca="1">IFERROR(__xludf.DUMMYFUNCTION("""COMPUTED_VALUE"""),"Yes")</f>
        <v>Yes</v>
      </c>
      <c r="G477" s="5" t="str">
        <f ca="1">IFERROR(__xludf.DUMMYFUNCTION("""COMPUTED_VALUE"""),"Yes")</f>
        <v>Yes</v>
      </c>
      <c r="H477" s="5" t="str">
        <f ca="1">IFERROR(__xludf.DUMMYFUNCTION("""COMPUTED_VALUE"""),"Yes")</f>
        <v>Yes</v>
      </c>
      <c r="I477" s="5" t="str">
        <f ca="1">IFERROR(__xludf.DUMMYFUNCTION("""COMPUTED_VALUE"""),"Yes")</f>
        <v>Yes</v>
      </c>
      <c r="J477" s="5" t="str">
        <f ca="1">IFERROR(__xludf.DUMMYFUNCTION("""COMPUTED_VALUE"""),"Yes")</f>
        <v>Yes</v>
      </c>
      <c r="K477" s="5" t="str">
        <f ca="1">IFERROR(__xludf.DUMMYFUNCTION("""COMPUTED_VALUE"""),"Yes")</f>
        <v>Yes</v>
      </c>
      <c r="L477" s="5" t="str">
        <f ca="1">IFERROR(__xludf.DUMMYFUNCTION("""COMPUTED_VALUE"""),"Yes")</f>
        <v>Yes</v>
      </c>
      <c r="M477" s="5" t="str">
        <f ca="1">IFERROR(__xludf.DUMMYFUNCTION("""COMPUTED_VALUE"""),"Yes")</f>
        <v>Yes</v>
      </c>
      <c r="N477" s="5" t="str">
        <f ca="1">IFERROR(__xludf.DUMMYFUNCTION("""COMPUTED_VALUE"""),"Yes")</f>
        <v>Yes</v>
      </c>
      <c r="O477" s="5" t="str">
        <f ca="1">IFERROR(__xludf.DUMMYFUNCTION("""COMPUTED_VALUE"""),"Yes")</f>
        <v>Yes</v>
      </c>
      <c r="P477" s="5" t="str">
        <f ca="1">IFERROR(__xludf.DUMMYFUNCTION("""COMPUTED_VALUE"""),"Yes")</f>
        <v>Yes</v>
      </c>
      <c r="Q477" s="5" t="str">
        <f ca="1">IFERROR(__xludf.DUMMYFUNCTION("""COMPUTED_VALUE"""),"Yes")</f>
        <v>Yes</v>
      </c>
      <c r="R477" s="5" t="str">
        <f ca="1">IFERROR(__xludf.DUMMYFUNCTION("""COMPUTED_VALUE"""),"Yes")</f>
        <v>Yes</v>
      </c>
      <c r="S477" s="5" t="str">
        <f ca="1">IFERROR(__xludf.DUMMYFUNCTION("""COMPUTED_VALUE"""),"Yes")</f>
        <v>Yes</v>
      </c>
      <c r="T477" s="5" t="str">
        <f ca="1">IFERROR(__xludf.DUMMYFUNCTION("""COMPUTED_VALUE"""),"Yes")</f>
        <v>Yes</v>
      </c>
      <c r="U477" s="5" t="str">
        <f ca="1">IFERROR(__xludf.DUMMYFUNCTION("""COMPUTED_VALUE"""),"Yes")</f>
        <v>Yes</v>
      </c>
      <c r="V477" s="5" t="str">
        <f ca="1">IFERROR(__xludf.DUMMYFUNCTION("""COMPUTED_VALUE"""),"Yes")</f>
        <v>Yes</v>
      </c>
      <c r="W477" s="5" t="str">
        <f ca="1">IFERROR(__xludf.DUMMYFUNCTION("""COMPUTED_VALUE"""),"Yes")</f>
        <v>Yes</v>
      </c>
      <c r="X477" s="5"/>
      <c r="Y477" s="5" t="str">
        <f ca="1">IFERROR(__xludf.DUMMYFUNCTION("""COMPUTED_VALUE"""),"Yes")</f>
        <v>Yes</v>
      </c>
      <c r="Z477" s="5"/>
      <c r="AA477" s="5"/>
      <c r="AB477" s="5"/>
      <c r="AC477" s="5" t="str">
        <f ca="1">IFERROR(__xludf.DUMMYFUNCTION("""COMPUTED_VALUE"""),"Yes")</f>
        <v>Yes</v>
      </c>
      <c r="AD477" s="5"/>
      <c r="AE477" s="5"/>
      <c r="AF477" s="5"/>
      <c r="AG477" s="5"/>
      <c r="AH477" s="5"/>
      <c r="AI477" s="5"/>
      <c r="AJ477" s="5"/>
      <c r="AK477" s="5"/>
      <c r="AL477" s="5"/>
      <c r="AM477" s="5"/>
      <c r="AN477" s="5"/>
      <c r="AO477" s="5"/>
      <c r="AP477" s="5"/>
      <c r="AQ477" s="5"/>
      <c r="AR477" s="5"/>
      <c r="AS477" s="5"/>
      <c r="AT477" s="5"/>
      <c r="AU477" s="5"/>
      <c r="AV477" s="5"/>
      <c r="AW477" s="5"/>
      <c r="AX477" s="5"/>
      <c r="AY477" s="5"/>
    </row>
    <row r="478" spans="1:51" x14ac:dyDescent="0.25">
      <c r="A47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78" s="5">
        <f ca="1">IFERROR(__xludf.DUMMYFUNCTION("""COMPUTED_VALUE"""),507)</f>
        <v>507</v>
      </c>
      <c r="C478" s="5">
        <f ca="1">IFERROR(__xludf.DUMMYFUNCTION("""COMPUTED_VALUE"""),4010)</f>
        <v>4010</v>
      </c>
      <c r="D478" s="5" t="str">
        <f ca="1">IFERROR(__xludf.DUMMYFUNCTION("""COMPUTED_VALUE"""),"BetwoonHot5")</f>
        <v>BetwoonHot5</v>
      </c>
      <c r="E478" s="5" t="str">
        <f ca="1">IFERROR(__xludf.DUMMYFUNCTION("""COMPUTED_VALUE"""),"Yes")</f>
        <v>Yes</v>
      </c>
      <c r="F478" s="5" t="str">
        <f ca="1">IFERROR(__xludf.DUMMYFUNCTION("""COMPUTED_VALUE"""),"Yes")</f>
        <v>Yes</v>
      </c>
      <c r="G478" s="5" t="str">
        <f ca="1">IFERROR(__xludf.DUMMYFUNCTION("""COMPUTED_VALUE"""),"No")</f>
        <v>No</v>
      </c>
      <c r="H478" s="5" t="str">
        <f ca="1">IFERROR(__xludf.DUMMYFUNCTION("""COMPUTED_VALUE"""),"Yes")</f>
        <v>Yes</v>
      </c>
      <c r="I478" s="5" t="str">
        <f ca="1">IFERROR(__xludf.DUMMYFUNCTION("""COMPUTED_VALUE"""),"Yes")</f>
        <v>Yes</v>
      </c>
      <c r="J478" s="5" t="str">
        <f ca="1">IFERROR(__xludf.DUMMYFUNCTION("""COMPUTED_VALUE"""),"Yes")</f>
        <v>Yes</v>
      </c>
      <c r="K478" s="5" t="str">
        <f ca="1">IFERROR(__xludf.DUMMYFUNCTION("""COMPUTED_VALUE"""),"Yes")</f>
        <v>Yes</v>
      </c>
      <c r="L478" s="5" t="str">
        <f ca="1">IFERROR(__xludf.DUMMYFUNCTION("""COMPUTED_VALUE"""),"Yes")</f>
        <v>Yes</v>
      </c>
      <c r="M478" s="5" t="str">
        <f ca="1">IFERROR(__xludf.DUMMYFUNCTION("""COMPUTED_VALUE"""),"Yes")</f>
        <v>Yes</v>
      </c>
      <c r="N478" s="5" t="str">
        <f ca="1">IFERROR(__xludf.DUMMYFUNCTION("""COMPUTED_VALUE"""),"Yes")</f>
        <v>Yes</v>
      </c>
      <c r="O478" s="5" t="str">
        <f ca="1">IFERROR(__xludf.DUMMYFUNCTION("""COMPUTED_VALUE"""),"Yes")</f>
        <v>Yes</v>
      </c>
      <c r="P478" s="5" t="str">
        <f ca="1">IFERROR(__xludf.DUMMYFUNCTION("""COMPUTED_VALUE"""),"Yes")</f>
        <v>Yes</v>
      </c>
      <c r="Q478" s="5" t="str">
        <f ca="1">IFERROR(__xludf.DUMMYFUNCTION("""COMPUTED_VALUE"""),"Yes")</f>
        <v>Yes</v>
      </c>
      <c r="R478" s="5" t="str">
        <f ca="1">IFERROR(__xludf.DUMMYFUNCTION("""COMPUTED_VALUE"""),"Yes")</f>
        <v>Yes</v>
      </c>
      <c r="S478" s="5" t="str">
        <f ca="1">IFERROR(__xludf.DUMMYFUNCTION("""COMPUTED_VALUE"""),"Yes")</f>
        <v>Yes</v>
      </c>
      <c r="T478" s="5" t="str">
        <f ca="1">IFERROR(__xludf.DUMMYFUNCTION("""COMPUTED_VALUE"""),"No")</f>
        <v>No</v>
      </c>
      <c r="U478" s="5" t="str">
        <f ca="1">IFERROR(__xludf.DUMMYFUNCTION("""COMPUTED_VALUE"""),"No")</f>
        <v>No</v>
      </c>
      <c r="V478" s="5" t="str">
        <f ca="1">IFERROR(__xludf.DUMMYFUNCTION("""COMPUTED_VALUE"""),"No")</f>
        <v>No</v>
      </c>
      <c r="W478" s="5" t="str">
        <f ca="1">IFERROR(__xludf.DUMMYFUNCTION("""COMPUTED_VALUE"""),"No")</f>
        <v>No</v>
      </c>
      <c r="X478" s="5" t="str">
        <f ca="1">IFERROR(__xludf.DUMMYFUNCTION("""COMPUTED_VALUE"""),"No")</f>
        <v>No</v>
      </c>
      <c r="Y478" s="5" t="str">
        <f ca="1">IFERROR(__xludf.DUMMYFUNCTION("""COMPUTED_VALUE"""),"No")</f>
        <v>No</v>
      </c>
      <c r="Z478" s="5" t="str">
        <f ca="1">IFERROR(__xludf.DUMMYFUNCTION("""COMPUTED_VALUE"""),"No")</f>
        <v>No</v>
      </c>
      <c r="AA478" s="5" t="str">
        <f ca="1">IFERROR(__xludf.DUMMYFUNCTION("""COMPUTED_VALUE"""),"Yes")</f>
        <v>Yes</v>
      </c>
      <c r="AB478" s="5" t="str">
        <f ca="1">IFERROR(__xludf.DUMMYFUNCTION("""COMPUTED_VALUE"""),"No")</f>
        <v>No</v>
      </c>
      <c r="AC478" s="5" t="str">
        <f ca="1">IFERROR(__xludf.DUMMYFUNCTION("""COMPUTED_VALUE"""),"No")</f>
        <v>No</v>
      </c>
      <c r="AD478" s="5" t="str">
        <f ca="1">IFERROR(__xludf.DUMMYFUNCTION("""COMPUTED_VALUE"""),"No")</f>
        <v>No</v>
      </c>
      <c r="AE478" s="5" t="str">
        <f ca="1">IFERROR(__xludf.DUMMYFUNCTION("""COMPUTED_VALUE"""),"No")</f>
        <v>No</v>
      </c>
      <c r="AF478" s="5" t="str">
        <f ca="1">IFERROR(__xludf.DUMMYFUNCTION("""COMPUTED_VALUE"""),"Yes")</f>
        <v>Yes</v>
      </c>
      <c r="AG478" s="5" t="str">
        <f ca="1">IFERROR(__xludf.DUMMYFUNCTION("""COMPUTED_VALUE"""),"No")</f>
        <v>No</v>
      </c>
      <c r="AH478" s="5" t="str">
        <f ca="1">IFERROR(__xludf.DUMMYFUNCTION("""COMPUTED_VALUE"""),"Yes")</f>
        <v>Yes</v>
      </c>
      <c r="AI478" s="5" t="str">
        <f ca="1">IFERROR(__xludf.DUMMYFUNCTION("""COMPUTED_VALUE"""),"No")</f>
        <v>No</v>
      </c>
      <c r="AJ478" s="5" t="str">
        <f ca="1">IFERROR(__xludf.DUMMYFUNCTION("""COMPUTED_VALUE"""),"No")</f>
        <v>No</v>
      </c>
      <c r="AK478" s="5" t="str">
        <f ca="1">IFERROR(__xludf.DUMMYFUNCTION("""COMPUTED_VALUE"""),"No")</f>
        <v>No</v>
      </c>
      <c r="AL478" s="5" t="str">
        <f ca="1">IFERROR(__xludf.DUMMYFUNCTION("""COMPUTED_VALUE"""),"No")</f>
        <v>No</v>
      </c>
      <c r="AM478" s="5"/>
      <c r="AN478" s="5"/>
      <c r="AO478" s="5"/>
      <c r="AP478" s="5"/>
      <c r="AQ478" s="5"/>
      <c r="AR478" s="5"/>
      <c r="AS478" s="5"/>
      <c r="AT478" s="5"/>
      <c r="AU478" s="5"/>
      <c r="AV478" s="5"/>
      <c r="AW478" s="5"/>
      <c r="AX478" s="5"/>
      <c r="AY478" s="5"/>
    </row>
    <row r="479" spans="1:51" x14ac:dyDescent="0.25">
      <c r="A4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79" s="5">
        <f ca="1">IFERROR(__xludf.DUMMYFUNCTION("""COMPUTED_VALUE"""),508)</f>
        <v>508</v>
      </c>
      <c r="C479" s="5">
        <f ca="1">IFERROR(__xludf.DUMMYFUNCTION("""COMPUTED_VALUE"""),3009)</f>
        <v>3009</v>
      </c>
      <c r="D479" s="5" t="str">
        <f ca="1">IFERROR(__xludf.DUMMYFUNCTION("""COMPUTED_VALUE"""),"GoldenCrownExtreme")</f>
        <v>GoldenCrownExtreme</v>
      </c>
      <c r="E479" s="5" t="str">
        <f ca="1">IFERROR(__xludf.DUMMYFUNCTION("""COMPUTED_VALUE"""),"Yes")</f>
        <v>Yes</v>
      </c>
      <c r="F479" s="5" t="str">
        <f ca="1">IFERROR(__xludf.DUMMYFUNCTION("""COMPUTED_VALUE"""),"Yes")</f>
        <v>Yes</v>
      </c>
      <c r="G479" s="5" t="str">
        <f ca="1">IFERROR(__xludf.DUMMYFUNCTION("""COMPUTED_VALUE"""),"Yes")</f>
        <v>Yes</v>
      </c>
      <c r="H479" s="5" t="str">
        <f ca="1">IFERROR(__xludf.DUMMYFUNCTION("""COMPUTED_VALUE"""),"Yes")</f>
        <v>Yes</v>
      </c>
      <c r="I479" s="5" t="str">
        <f ca="1">IFERROR(__xludf.DUMMYFUNCTION("""COMPUTED_VALUE"""),"Yes")</f>
        <v>Yes</v>
      </c>
      <c r="J479" s="5" t="str">
        <f ca="1">IFERROR(__xludf.DUMMYFUNCTION("""COMPUTED_VALUE"""),"Yes")</f>
        <v>Yes</v>
      </c>
      <c r="K479" s="5" t="str">
        <f ca="1">IFERROR(__xludf.DUMMYFUNCTION("""COMPUTED_VALUE"""),"Yes")</f>
        <v>Yes</v>
      </c>
      <c r="L479" s="5" t="str">
        <f ca="1">IFERROR(__xludf.DUMMYFUNCTION("""COMPUTED_VALUE"""),"Yes")</f>
        <v>Yes</v>
      </c>
      <c r="M479" s="5" t="str">
        <f ca="1">IFERROR(__xludf.DUMMYFUNCTION("""COMPUTED_VALUE"""),"Yes")</f>
        <v>Yes</v>
      </c>
      <c r="N479" s="5" t="str">
        <f ca="1">IFERROR(__xludf.DUMMYFUNCTION("""COMPUTED_VALUE"""),"Yes")</f>
        <v>Yes</v>
      </c>
      <c r="O479" s="5" t="str">
        <f ca="1">IFERROR(__xludf.DUMMYFUNCTION("""COMPUTED_VALUE"""),"Yes")</f>
        <v>Yes</v>
      </c>
      <c r="P479" s="5" t="str">
        <f ca="1">IFERROR(__xludf.DUMMYFUNCTION("""COMPUTED_VALUE"""),"Yes")</f>
        <v>Yes</v>
      </c>
      <c r="Q479" s="5" t="str">
        <f ca="1">IFERROR(__xludf.DUMMYFUNCTION("""COMPUTED_VALUE"""),"Yes")</f>
        <v>Yes</v>
      </c>
      <c r="R479" s="5" t="str">
        <f ca="1">IFERROR(__xludf.DUMMYFUNCTION("""COMPUTED_VALUE"""),"Yes")</f>
        <v>Yes</v>
      </c>
      <c r="S479" s="5" t="str">
        <f ca="1">IFERROR(__xludf.DUMMYFUNCTION("""COMPUTED_VALUE"""),"Yes")</f>
        <v>Yes</v>
      </c>
      <c r="T479" s="5" t="str">
        <f ca="1">IFERROR(__xludf.DUMMYFUNCTION("""COMPUTED_VALUE"""),"Yes")</f>
        <v>Yes</v>
      </c>
      <c r="U479" s="5" t="str">
        <f ca="1">IFERROR(__xludf.DUMMYFUNCTION("""COMPUTED_VALUE"""),"Yes")</f>
        <v>Yes</v>
      </c>
      <c r="V479" s="5" t="str">
        <f ca="1">IFERROR(__xludf.DUMMYFUNCTION("""COMPUTED_VALUE"""),"Yes")</f>
        <v>Yes</v>
      </c>
      <c r="W479" s="5" t="str">
        <f ca="1">IFERROR(__xludf.DUMMYFUNCTION("""COMPUTED_VALUE"""),"Yes")</f>
        <v>Yes</v>
      </c>
      <c r="X479" s="5" t="str">
        <f ca="1">IFERROR(__xludf.DUMMYFUNCTION("""COMPUTED_VALUE"""),"Yes")</f>
        <v>Yes</v>
      </c>
      <c r="Y479" s="5" t="str">
        <f ca="1">IFERROR(__xludf.DUMMYFUNCTION("""COMPUTED_VALUE"""),"Yes")</f>
        <v>Yes</v>
      </c>
      <c r="Z479" s="5" t="str">
        <f ca="1">IFERROR(__xludf.DUMMYFUNCTION("""COMPUTED_VALUE"""),"Yes")</f>
        <v>Yes</v>
      </c>
      <c r="AA479" s="5" t="str">
        <f ca="1">IFERROR(__xludf.DUMMYFUNCTION("""COMPUTED_VALUE"""),"Yes")</f>
        <v>Yes</v>
      </c>
      <c r="AB479" s="5" t="str">
        <f ca="1">IFERROR(__xludf.DUMMYFUNCTION("""COMPUTED_VALUE"""),"Yes")</f>
        <v>Yes</v>
      </c>
      <c r="AC479" s="5" t="str">
        <f ca="1">IFERROR(__xludf.DUMMYFUNCTION("""COMPUTED_VALUE"""),"Yes")</f>
        <v>Yes</v>
      </c>
      <c r="AD479" s="5" t="str">
        <f ca="1">IFERROR(__xludf.DUMMYFUNCTION("""COMPUTED_VALUE"""),"Yes")</f>
        <v>Yes</v>
      </c>
      <c r="AE479" s="5" t="str">
        <f ca="1">IFERROR(__xludf.DUMMYFUNCTION("""COMPUTED_VALUE"""),"Yes")</f>
        <v>Yes</v>
      </c>
      <c r="AF479" s="5" t="str">
        <f ca="1">IFERROR(__xludf.DUMMYFUNCTION("""COMPUTED_VALUE"""),"Yes")</f>
        <v>Yes</v>
      </c>
      <c r="AG479" s="5" t="str">
        <f ca="1">IFERROR(__xludf.DUMMYFUNCTION("""COMPUTED_VALUE"""),"Yes")</f>
        <v>Yes</v>
      </c>
      <c r="AH479" s="5" t="str">
        <f ca="1">IFERROR(__xludf.DUMMYFUNCTION("""COMPUTED_VALUE"""),"Yes")</f>
        <v>Yes</v>
      </c>
      <c r="AI479" s="5" t="str">
        <f ca="1">IFERROR(__xludf.DUMMYFUNCTION("""COMPUTED_VALUE"""),"No")</f>
        <v>No</v>
      </c>
      <c r="AJ479" s="5" t="str">
        <f ca="1">IFERROR(__xludf.DUMMYFUNCTION("""COMPUTED_VALUE"""),"No")</f>
        <v>No</v>
      </c>
      <c r="AK479" s="5" t="str">
        <f ca="1">IFERROR(__xludf.DUMMYFUNCTION("""COMPUTED_VALUE"""),"No")</f>
        <v>No</v>
      </c>
      <c r="AL479" s="5" t="str">
        <f ca="1">IFERROR(__xludf.DUMMYFUNCTION("""COMPUTED_VALUE"""),"No")</f>
        <v>No</v>
      </c>
      <c r="AM479" s="5"/>
      <c r="AN479" s="5"/>
      <c r="AO479" s="5"/>
      <c r="AP479" s="5"/>
      <c r="AQ479" s="5"/>
      <c r="AR479" s="5"/>
      <c r="AS479" s="5"/>
      <c r="AT479" s="5"/>
      <c r="AU479" s="5"/>
      <c r="AV479" s="5"/>
      <c r="AW479" s="5"/>
      <c r="AX479" s="5"/>
      <c r="AY479" s="5"/>
    </row>
    <row r="480" spans="1:51" x14ac:dyDescent="0.25">
      <c r="A48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0" s="5">
        <f ca="1">IFERROR(__xludf.DUMMYFUNCTION("""COMPUTED_VALUE"""),509)</f>
        <v>509</v>
      </c>
      <c r="C480" s="5">
        <f ca="1">IFERROR(__xludf.DUMMYFUNCTION("""COMPUTED_VALUE"""),503)</f>
        <v>503</v>
      </c>
      <c r="D480" s="5" t="str">
        <f ca="1">IFERROR(__xludf.DUMMYFUNCTION("""COMPUTED_VALUE"""),"PlayNetMajesticCrown5")</f>
        <v>PlayNetMajesticCrown5</v>
      </c>
      <c r="E480" s="5" t="str">
        <f ca="1">IFERROR(__xludf.DUMMYFUNCTION("""COMPUTED_VALUE"""),"Yes")</f>
        <v>Yes</v>
      </c>
      <c r="F480" s="5" t="str">
        <f ca="1">IFERROR(__xludf.DUMMYFUNCTION("""COMPUTED_VALUE"""),"Yes")</f>
        <v>Yes</v>
      </c>
      <c r="G480" s="5" t="str">
        <f ca="1">IFERROR(__xludf.DUMMYFUNCTION("""COMPUTED_VALUE"""),"Yes")</f>
        <v>Yes</v>
      </c>
      <c r="H480" s="5" t="str">
        <f ca="1">IFERROR(__xludf.DUMMYFUNCTION("""COMPUTED_VALUE"""),"Yes")</f>
        <v>Yes</v>
      </c>
      <c r="I480" s="5" t="str">
        <f ca="1">IFERROR(__xludf.DUMMYFUNCTION("""COMPUTED_VALUE"""),"Yes")</f>
        <v>Yes</v>
      </c>
      <c r="J480" s="5" t="str">
        <f ca="1">IFERROR(__xludf.DUMMYFUNCTION("""COMPUTED_VALUE"""),"Yes")</f>
        <v>Yes</v>
      </c>
      <c r="K480" s="5" t="str">
        <f ca="1">IFERROR(__xludf.DUMMYFUNCTION("""COMPUTED_VALUE"""),"Yes")</f>
        <v>Yes</v>
      </c>
      <c r="L480" s="5" t="str">
        <f ca="1">IFERROR(__xludf.DUMMYFUNCTION("""COMPUTED_VALUE"""),"Yes")</f>
        <v>Yes</v>
      </c>
      <c r="M480" s="5" t="str">
        <f ca="1">IFERROR(__xludf.DUMMYFUNCTION("""COMPUTED_VALUE"""),"Yes")</f>
        <v>Yes</v>
      </c>
      <c r="N480" s="5" t="str">
        <f ca="1">IFERROR(__xludf.DUMMYFUNCTION("""COMPUTED_VALUE"""),"Yes")</f>
        <v>Yes</v>
      </c>
      <c r="O480" s="5" t="str">
        <f ca="1">IFERROR(__xludf.DUMMYFUNCTION("""COMPUTED_VALUE"""),"Yes")</f>
        <v>Yes</v>
      </c>
      <c r="P480" s="5" t="str">
        <f ca="1">IFERROR(__xludf.DUMMYFUNCTION("""COMPUTED_VALUE"""),"Yes")</f>
        <v>Yes</v>
      </c>
      <c r="Q480" s="5" t="str">
        <f ca="1">IFERROR(__xludf.DUMMYFUNCTION("""COMPUTED_VALUE"""),"Yes")</f>
        <v>Yes</v>
      </c>
      <c r="R480" s="5" t="str">
        <f ca="1">IFERROR(__xludf.DUMMYFUNCTION("""COMPUTED_VALUE"""),"Yes")</f>
        <v>Yes</v>
      </c>
      <c r="S480" s="5" t="str">
        <f ca="1">IFERROR(__xludf.DUMMYFUNCTION("""COMPUTED_VALUE"""),"Yes")</f>
        <v>Yes</v>
      </c>
      <c r="T480" s="5" t="str">
        <f ca="1">IFERROR(__xludf.DUMMYFUNCTION("""COMPUTED_VALUE"""),"No")</f>
        <v>No</v>
      </c>
      <c r="U480" s="5" t="str">
        <f ca="1">IFERROR(__xludf.DUMMYFUNCTION("""COMPUTED_VALUE"""),"No")</f>
        <v>No</v>
      </c>
      <c r="V480" s="5" t="str">
        <f ca="1">IFERROR(__xludf.DUMMYFUNCTION("""COMPUTED_VALUE"""),"No")</f>
        <v>No</v>
      </c>
      <c r="W480" s="5" t="str">
        <f ca="1">IFERROR(__xludf.DUMMYFUNCTION("""COMPUTED_VALUE"""),"No")</f>
        <v>No</v>
      </c>
      <c r="X480" s="5"/>
      <c r="Y480" s="5"/>
      <c r="Z480" s="5"/>
      <c r="AA480" s="5"/>
      <c r="AB480" s="5"/>
      <c r="AC480" s="5" t="str">
        <f ca="1">IFERROR(__xludf.DUMMYFUNCTION("""COMPUTED_VALUE"""),"No")</f>
        <v>No</v>
      </c>
      <c r="AD480" s="5"/>
      <c r="AE480" s="5"/>
      <c r="AF480" s="5" t="str">
        <f ca="1">IFERROR(__xludf.DUMMYFUNCTION("""COMPUTED_VALUE"""),"Yes")</f>
        <v>Yes</v>
      </c>
      <c r="AG480" s="5"/>
      <c r="AH480" s="5" t="str">
        <f ca="1">IFERROR(__xludf.DUMMYFUNCTION("""COMPUTED_VALUE"""),"Yes")</f>
        <v>Yes</v>
      </c>
      <c r="AI480" s="5"/>
      <c r="AJ480" s="5"/>
      <c r="AK480" s="5"/>
      <c r="AL480" s="5"/>
      <c r="AM480" s="5"/>
      <c r="AN480" s="5"/>
      <c r="AO480" s="5"/>
      <c r="AP480" s="5"/>
      <c r="AQ480" s="5"/>
      <c r="AR480" s="5"/>
      <c r="AS480" s="5"/>
      <c r="AT480" s="5"/>
      <c r="AU480" s="5"/>
      <c r="AV480" s="5"/>
      <c r="AW480" s="5"/>
      <c r="AX480" s="5"/>
      <c r="AY480" s="5"/>
    </row>
    <row r="481" spans="1:51" x14ac:dyDescent="0.25">
      <c r="A481"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1" s="5">
        <f ca="1">IFERROR(__xludf.DUMMYFUNCTION("""COMPUTED_VALUE"""),510)</f>
        <v>510</v>
      </c>
      <c r="C481" s="5">
        <f ca="1">IFERROR(__xludf.DUMMYFUNCTION("""COMPUTED_VALUE"""),504)</f>
        <v>504</v>
      </c>
      <c r="D481" s="5" t="str">
        <f ca="1">IFERROR(__xludf.DUMMYFUNCTION("""COMPUTED_VALUE"""),"PlayNetRoyalFlame")</f>
        <v>PlayNetRoyalFlame</v>
      </c>
      <c r="E481" s="5" t="str">
        <f ca="1">IFERROR(__xludf.DUMMYFUNCTION("""COMPUTED_VALUE"""),"Yes")</f>
        <v>Yes</v>
      </c>
      <c r="F481" s="5" t="str">
        <f ca="1">IFERROR(__xludf.DUMMYFUNCTION("""COMPUTED_VALUE"""),"Yes")</f>
        <v>Yes</v>
      </c>
      <c r="G481" s="5" t="str">
        <f ca="1">IFERROR(__xludf.DUMMYFUNCTION("""COMPUTED_VALUE"""),"Yes")</f>
        <v>Yes</v>
      </c>
      <c r="H481" s="5" t="str">
        <f ca="1">IFERROR(__xludf.DUMMYFUNCTION("""COMPUTED_VALUE"""),"Yes")</f>
        <v>Yes</v>
      </c>
      <c r="I481" s="5" t="str">
        <f ca="1">IFERROR(__xludf.DUMMYFUNCTION("""COMPUTED_VALUE"""),"Yes")</f>
        <v>Yes</v>
      </c>
      <c r="J481" s="5" t="str">
        <f ca="1">IFERROR(__xludf.DUMMYFUNCTION("""COMPUTED_VALUE"""),"Yes")</f>
        <v>Yes</v>
      </c>
      <c r="K481" s="5" t="str">
        <f ca="1">IFERROR(__xludf.DUMMYFUNCTION("""COMPUTED_VALUE"""),"Yes")</f>
        <v>Yes</v>
      </c>
      <c r="L481" s="5" t="str">
        <f ca="1">IFERROR(__xludf.DUMMYFUNCTION("""COMPUTED_VALUE"""),"Yes")</f>
        <v>Yes</v>
      </c>
      <c r="M481" s="5" t="str">
        <f ca="1">IFERROR(__xludf.DUMMYFUNCTION("""COMPUTED_VALUE"""),"Yes")</f>
        <v>Yes</v>
      </c>
      <c r="N481" s="5" t="str">
        <f ca="1">IFERROR(__xludf.DUMMYFUNCTION("""COMPUTED_VALUE"""),"Yes")</f>
        <v>Yes</v>
      </c>
      <c r="O481" s="5" t="str">
        <f ca="1">IFERROR(__xludf.DUMMYFUNCTION("""COMPUTED_VALUE"""),"Yes")</f>
        <v>Yes</v>
      </c>
      <c r="P481" s="5" t="str">
        <f ca="1">IFERROR(__xludf.DUMMYFUNCTION("""COMPUTED_VALUE"""),"Yes")</f>
        <v>Yes</v>
      </c>
      <c r="Q481" s="5" t="str">
        <f ca="1">IFERROR(__xludf.DUMMYFUNCTION("""COMPUTED_VALUE"""),"Yes")</f>
        <v>Yes</v>
      </c>
      <c r="R481" s="5" t="str">
        <f ca="1">IFERROR(__xludf.DUMMYFUNCTION("""COMPUTED_VALUE"""),"Yes")</f>
        <v>Yes</v>
      </c>
      <c r="S481" s="5" t="str">
        <f ca="1">IFERROR(__xludf.DUMMYFUNCTION("""COMPUTED_VALUE"""),"Yes")</f>
        <v>Yes</v>
      </c>
      <c r="T481" s="5" t="str">
        <f ca="1">IFERROR(__xludf.DUMMYFUNCTION("""COMPUTED_VALUE"""),"No")</f>
        <v>No</v>
      </c>
      <c r="U481" s="5" t="str">
        <f ca="1">IFERROR(__xludf.DUMMYFUNCTION("""COMPUTED_VALUE"""),"No")</f>
        <v>No</v>
      </c>
      <c r="V481" s="5" t="str">
        <f ca="1">IFERROR(__xludf.DUMMYFUNCTION("""COMPUTED_VALUE"""),"No")</f>
        <v>No</v>
      </c>
      <c r="W481" s="5" t="str">
        <f ca="1">IFERROR(__xludf.DUMMYFUNCTION("""COMPUTED_VALUE"""),"No")</f>
        <v>No</v>
      </c>
      <c r="X481" s="5"/>
      <c r="Y481" s="5"/>
      <c r="Z481" s="5"/>
      <c r="AA481" s="5"/>
      <c r="AB481" s="5"/>
      <c r="AC481" s="5" t="str">
        <f ca="1">IFERROR(__xludf.DUMMYFUNCTION("""COMPUTED_VALUE"""),"No")</f>
        <v>No</v>
      </c>
      <c r="AD481" s="5"/>
      <c r="AE481" s="5"/>
      <c r="AF481" s="5" t="str">
        <f ca="1">IFERROR(__xludf.DUMMYFUNCTION("""COMPUTED_VALUE"""),"Yes")</f>
        <v>Yes</v>
      </c>
      <c r="AG481" s="5"/>
      <c r="AH481" s="5" t="str">
        <f ca="1">IFERROR(__xludf.DUMMYFUNCTION("""COMPUTED_VALUE"""),"Yes")</f>
        <v>Yes</v>
      </c>
      <c r="AI481" s="5"/>
      <c r="AJ481" s="5"/>
      <c r="AK481" s="5"/>
      <c r="AL481" s="5"/>
      <c r="AM481" s="5"/>
      <c r="AN481" s="5"/>
      <c r="AO481" s="5"/>
      <c r="AP481" s="5"/>
      <c r="AQ481" s="5"/>
      <c r="AR481" s="5"/>
      <c r="AS481" s="5"/>
      <c r="AT481" s="5"/>
      <c r="AU481" s="5"/>
      <c r="AV481" s="5"/>
      <c r="AW481" s="5"/>
      <c r="AX481" s="5"/>
      <c r="AY481" s="5"/>
    </row>
    <row r="482" spans="1:51" x14ac:dyDescent="0.25">
      <c r="A482"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2" s="5">
        <f ca="1">IFERROR(__xludf.DUMMYFUNCTION("""COMPUTED_VALUE"""),511)</f>
        <v>511</v>
      </c>
      <c r="C482" s="5">
        <f ca="1">IFERROR(__xludf.DUMMYFUNCTION("""COMPUTED_VALUE"""),505)</f>
        <v>505</v>
      </c>
      <c r="D482" s="5" t="str">
        <f ca="1">IFERROR(__xludf.DUMMYFUNCTION("""COMPUTED_VALUE"""),"PlayNetDiamondHeart100")</f>
        <v>PlayNetDiamondHeart100</v>
      </c>
      <c r="E482" s="5" t="str">
        <f ca="1">IFERROR(__xludf.DUMMYFUNCTION("""COMPUTED_VALUE"""),"Yes")</f>
        <v>Yes</v>
      </c>
      <c r="F482" s="5" t="str">
        <f ca="1">IFERROR(__xludf.DUMMYFUNCTION("""COMPUTED_VALUE"""),"Yes")</f>
        <v>Yes</v>
      </c>
      <c r="G482" s="5" t="str">
        <f ca="1">IFERROR(__xludf.DUMMYFUNCTION("""COMPUTED_VALUE"""),"Yes")</f>
        <v>Yes</v>
      </c>
      <c r="H482" s="5" t="str">
        <f ca="1">IFERROR(__xludf.DUMMYFUNCTION("""COMPUTED_VALUE"""),"Yes")</f>
        <v>Yes</v>
      </c>
      <c r="I482" s="5" t="str">
        <f ca="1">IFERROR(__xludf.DUMMYFUNCTION("""COMPUTED_VALUE"""),"Yes")</f>
        <v>Yes</v>
      </c>
      <c r="J482" s="5" t="str">
        <f ca="1">IFERROR(__xludf.DUMMYFUNCTION("""COMPUTED_VALUE"""),"Yes")</f>
        <v>Yes</v>
      </c>
      <c r="K482" s="5" t="str">
        <f ca="1">IFERROR(__xludf.DUMMYFUNCTION("""COMPUTED_VALUE"""),"Yes")</f>
        <v>Yes</v>
      </c>
      <c r="L482" s="5" t="str">
        <f ca="1">IFERROR(__xludf.DUMMYFUNCTION("""COMPUTED_VALUE"""),"Yes")</f>
        <v>Yes</v>
      </c>
      <c r="M482" s="5" t="str">
        <f ca="1">IFERROR(__xludf.DUMMYFUNCTION("""COMPUTED_VALUE"""),"Yes")</f>
        <v>Yes</v>
      </c>
      <c r="N482" s="5" t="str">
        <f ca="1">IFERROR(__xludf.DUMMYFUNCTION("""COMPUTED_VALUE"""),"Yes")</f>
        <v>Yes</v>
      </c>
      <c r="O482" s="5" t="str">
        <f ca="1">IFERROR(__xludf.DUMMYFUNCTION("""COMPUTED_VALUE"""),"Yes")</f>
        <v>Yes</v>
      </c>
      <c r="P482" s="5" t="str">
        <f ca="1">IFERROR(__xludf.DUMMYFUNCTION("""COMPUTED_VALUE"""),"Yes")</f>
        <v>Yes</v>
      </c>
      <c r="Q482" s="5" t="str">
        <f ca="1">IFERROR(__xludf.DUMMYFUNCTION("""COMPUTED_VALUE"""),"Yes")</f>
        <v>Yes</v>
      </c>
      <c r="R482" s="5" t="str">
        <f ca="1">IFERROR(__xludf.DUMMYFUNCTION("""COMPUTED_VALUE"""),"Yes")</f>
        <v>Yes</v>
      </c>
      <c r="S482" s="5" t="str">
        <f ca="1">IFERROR(__xludf.DUMMYFUNCTION("""COMPUTED_VALUE"""),"Yes")</f>
        <v>Yes</v>
      </c>
      <c r="T482" s="5" t="str">
        <f ca="1">IFERROR(__xludf.DUMMYFUNCTION("""COMPUTED_VALUE"""),"No")</f>
        <v>No</v>
      </c>
      <c r="U482" s="5" t="str">
        <f ca="1">IFERROR(__xludf.DUMMYFUNCTION("""COMPUTED_VALUE"""),"No")</f>
        <v>No</v>
      </c>
      <c r="V482" s="5" t="str">
        <f ca="1">IFERROR(__xludf.DUMMYFUNCTION("""COMPUTED_VALUE"""),"No")</f>
        <v>No</v>
      </c>
      <c r="W482" s="5" t="str">
        <f ca="1">IFERROR(__xludf.DUMMYFUNCTION("""COMPUTED_VALUE"""),"No")</f>
        <v>No</v>
      </c>
      <c r="X482" s="5"/>
      <c r="Y482" s="5" t="str">
        <f ca="1">IFERROR(__xludf.DUMMYFUNCTION("""COMPUTED_VALUE"""),"No")</f>
        <v>No</v>
      </c>
      <c r="Z482" s="5"/>
      <c r="AA482" s="5" t="str">
        <f ca="1">IFERROR(__xludf.DUMMYFUNCTION("""COMPUTED_VALUE"""),"No")</f>
        <v>No</v>
      </c>
      <c r="AB482" s="5" t="str">
        <f ca="1">IFERROR(__xludf.DUMMYFUNCTION("""COMPUTED_VALUE"""),"No")</f>
        <v>No</v>
      </c>
      <c r="AC482" s="5" t="str">
        <f ca="1">IFERROR(__xludf.DUMMYFUNCTION("""COMPUTED_VALUE"""),"No")</f>
        <v>No</v>
      </c>
      <c r="AD482" s="5" t="str">
        <f ca="1">IFERROR(__xludf.DUMMYFUNCTION("""COMPUTED_VALUE"""),"No")</f>
        <v>No</v>
      </c>
      <c r="AE482" s="5"/>
      <c r="AF482" s="5" t="str">
        <f ca="1">IFERROR(__xludf.DUMMYFUNCTION("""COMPUTED_VALUE"""),"Yes")</f>
        <v>Yes</v>
      </c>
      <c r="AG482" s="5"/>
      <c r="AH482" s="5" t="str">
        <f ca="1">IFERROR(__xludf.DUMMYFUNCTION("""COMPUTED_VALUE"""),"Yes")</f>
        <v>Yes</v>
      </c>
      <c r="AI482" s="5"/>
      <c r="AJ482" s="5"/>
      <c r="AK482" s="5"/>
      <c r="AL482" s="5"/>
      <c r="AM482" s="5"/>
      <c r="AN482" s="5"/>
      <c r="AO482" s="5"/>
      <c r="AP482" s="5"/>
      <c r="AQ482" s="5"/>
      <c r="AR482" s="5"/>
      <c r="AS482" s="5"/>
      <c r="AT482" s="5"/>
      <c r="AU482" s="5"/>
      <c r="AV482" s="5"/>
      <c r="AW482" s="5"/>
      <c r="AX482" s="5"/>
      <c r="AY482" s="5"/>
    </row>
    <row r="483" spans="1:51" x14ac:dyDescent="0.25">
      <c r="A483"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3" s="5">
        <f ca="1">IFERROR(__xludf.DUMMYFUNCTION("""COMPUTED_VALUE"""),512)</f>
        <v>512</v>
      </c>
      <c r="C483" s="5">
        <f ca="1">IFERROR(__xludf.DUMMYFUNCTION("""COMPUTED_VALUE"""),506)</f>
        <v>506</v>
      </c>
      <c r="D483" s="5" t="str">
        <f ca="1">IFERROR(__xludf.DUMMYFUNCTION("""COMPUTED_VALUE"""),"PlayNetGoldenGetsby")</f>
        <v>PlayNetGoldenGetsby</v>
      </c>
      <c r="E483" s="5" t="str">
        <f ca="1">IFERROR(__xludf.DUMMYFUNCTION("""COMPUTED_VALUE"""),"Yes")</f>
        <v>Yes</v>
      </c>
      <c r="F483" s="5" t="str">
        <f ca="1">IFERROR(__xludf.DUMMYFUNCTION("""COMPUTED_VALUE"""),"Yes")</f>
        <v>Yes</v>
      </c>
      <c r="G483" s="5" t="str">
        <f ca="1">IFERROR(__xludf.DUMMYFUNCTION("""COMPUTED_VALUE"""),"Yes")</f>
        <v>Yes</v>
      </c>
      <c r="H483" s="5" t="str">
        <f ca="1">IFERROR(__xludf.DUMMYFUNCTION("""COMPUTED_VALUE"""),"Yes")</f>
        <v>Yes</v>
      </c>
      <c r="I483" s="5" t="str">
        <f ca="1">IFERROR(__xludf.DUMMYFUNCTION("""COMPUTED_VALUE"""),"Yes")</f>
        <v>Yes</v>
      </c>
      <c r="J483" s="5" t="str">
        <f ca="1">IFERROR(__xludf.DUMMYFUNCTION("""COMPUTED_VALUE"""),"Yes")</f>
        <v>Yes</v>
      </c>
      <c r="K483" s="5" t="str">
        <f ca="1">IFERROR(__xludf.DUMMYFUNCTION("""COMPUTED_VALUE"""),"Yes")</f>
        <v>Yes</v>
      </c>
      <c r="L483" s="5" t="str">
        <f ca="1">IFERROR(__xludf.DUMMYFUNCTION("""COMPUTED_VALUE"""),"Yes")</f>
        <v>Yes</v>
      </c>
      <c r="M483" s="5" t="str">
        <f ca="1">IFERROR(__xludf.DUMMYFUNCTION("""COMPUTED_VALUE"""),"Yes")</f>
        <v>Yes</v>
      </c>
      <c r="N483" s="5" t="str">
        <f ca="1">IFERROR(__xludf.DUMMYFUNCTION("""COMPUTED_VALUE"""),"Yes")</f>
        <v>Yes</v>
      </c>
      <c r="O483" s="5" t="str">
        <f ca="1">IFERROR(__xludf.DUMMYFUNCTION("""COMPUTED_VALUE"""),"Yes")</f>
        <v>Yes</v>
      </c>
      <c r="P483" s="5" t="str">
        <f ca="1">IFERROR(__xludf.DUMMYFUNCTION("""COMPUTED_VALUE"""),"Yes")</f>
        <v>Yes</v>
      </c>
      <c r="Q483" s="5" t="str">
        <f ca="1">IFERROR(__xludf.DUMMYFUNCTION("""COMPUTED_VALUE"""),"Yes")</f>
        <v>Yes</v>
      </c>
      <c r="R483" s="5" t="str">
        <f ca="1">IFERROR(__xludf.DUMMYFUNCTION("""COMPUTED_VALUE"""),"Yes")</f>
        <v>Yes</v>
      </c>
      <c r="S483" s="5" t="str">
        <f ca="1">IFERROR(__xludf.DUMMYFUNCTION("""COMPUTED_VALUE"""),"Yes")</f>
        <v>Yes</v>
      </c>
      <c r="T483" s="5" t="str">
        <f ca="1">IFERROR(__xludf.DUMMYFUNCTION("""COMPUTED_VALUE"""),"No")</f>
        <v>No</v>
      </c>
      <c r="U483" s="5" t="str">
        <f ca="1">IFERROR(__xludf.DUMMYFUNCTION("""COMPUTED_VALUE"""),"No")</f>
        <v>No</v>
      </c>
      <c r="V483" s="5" t="str">
        <f ca="1">IFERROR(__xludf.DUMMYFUNCTION("""COMPUTED_VALUE"""),"No")</f>
        <v>No</v>
      </c>
      <c r="W483" s="5" t="str">
        <f ca="1">IFERROR(__xludf.DUMMYFUNCTION("""COMPUTED_VALUE"""),"No")</f>
        <v>No</v>
      </c>
      <c r="X483" s="5"/>
      <c r="Y483" s="5" t="str">
        <f ca="1">IFERROR(__xludf.DUMMYFUNCTION("""COMPUTED_VALUE"""),"No")</f>
        <v>No</v>
      </c>
      <c r="Z483" s="5"/>
      <c r="AA483" s="5" t="str">
        <f ca="1">IFERROR(__xludf.DUMMYFUNCTION("""COMPUTED_VALUE"""),"No")</f>
        <v>No</v>
      </c>
      <c r="AB483" s="5" t="str">
        <f ca="1">IFERROR(__xludf.DUMMYFUNCTION("""COMPUTED_VALUE"""),"No")</f>
        <v>No</v>
      </c>
      <c r="AC483" s="5" t="str">
        <f ca="1">IFERROR(__xludf.DUMMYFUNCTION("""COMPUTED_VALUE"""),"No")</f>
        <v>No</v>
      </c>
      <c r="AD483" s="5" t="str">
        <f ca="1">IFERROR(__xludf.DUMMYFUNCTION("""COMPUTED_VALUE"""),"No")</f>
        <v>No</v>
      </c>
      <c r="AE483" s="5"/>
      <c r="AF483" s="5" t="str">
        <f ca="1">IFERROR(__xludf.DUMMYFUNCTION("""COMPUTED_VALUE"""),"Yes")</f>
        <v>Yes</v>
      </c>
      <c r="AG483" s="5"/>
      <c r="AH483" s="5" t="str">
        <f ca="1">IFERROR(__xludf.DUMMYFUNCTION("""COMPUTED_VALUE"""),"Yes")</f>
        <v>Yes</v>
      </c>
      <c r="AI483" s="5"/>
      <c r="AJ483" s="5"/>
      <c r="AK483" s="5"/>
      <c r="AL483" s="5"/>
      <c r="AM483" s="5"/>
      <c r="AN483" s="5"/>
      <c r="AO483" s="5"/>
      <c r="AP483" s="5"/>
      <c r="AQ483" s="5"/>
      <c r="AR483" s="5"/>
      <c r="AS483" s="5"/>
      <c r="AT483" s="5"/>
      <c r="AU483" s="5"/>
      <c r="AV483" s="5"/>
      <c r="AW483" s="5"/>
      <c r="AX483" s="5"/>
      <c r="AY483" s="5"/>
    </row>
    <row r="484" spans="1:51" x14ac:dyDescent="0.25">
      <c r="A484" s="5" t="str">
        <f ca="1">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4" s="5">
        <f ca="1">IFERROR(__xludf.DUMMYFUNCTION("""COMPUTED_VALUE"""),513)</f>
        <v>513</v>
      </c>
      <c r="C484" s="5">
        <f ca="1">IFERROR(__xludf.DUMMYFUNCTION("""COMPUTED_VALUE"""),507)</f>
        <v>507</v>
      </c>
      <c r="D484" s="5" t="str">
        <f ca="1">IFERROR(__xludf.DUMMYFUNCTION("""COMPUTED_VALUE"""),"PlayNetDashingHot20")</f>
        <v>PlayNetDashingHot20</v>
      </c>
      <c r="E484" s="5" t="str">
        <f ca="1">IFERROR(__xludf.DUMMYFUNCTION("""COMPUTED_VALUE"""),"Yes")</f>
        <v>Yes</v>
      </c>
      <c r="F484" s="5" t="str">
        <f ca="1">IFERROR(__xludf.DUMMYFUNCTION("""COMPUTED_VALUE"""),"Yes")</f>
        <v>Yes</v>
      </c>
      <c r="G484" s="5" t="str">
        <f ca="1">IFERROR(__xludf.DUMMYFUNCTION("""COMPUTED_VALUE"""),"Yes")</f>
        <v>Yes</v>
      </c>
      <c r="H484" s="5" t="str">
        <f ca="1">IFERROR(__xludf.DUMMYFUNCTION("""COMPUTED_VALUE"""),"Yes")</f>
        <v>Yes</v>
      </c>
      <c r="I484" s="5" t="str">
        <f ca="1">IFERROR(__xludf.DUMMYFUNCTION("""COMPUTED_VALUE"""),"Yes")</f>
        <v>Yes</v>
      </c>
      <c r="J484" s="5" t="str">
        <f ca="1">IFERROR(__xludf.DUMMYFUNCTION("""COMPUTED_VALUE"""),"Yes")</f>
        <v>Yes</v>
      </c>
      <c r="K484" s="5" t="str">
        <f ca="1">IFERROR(__xludf.DUMMYFUNCTION("""COMPUTED_VALUE"""),"Yes")</f>
        <v>Yes</v>
      </c>
      <c r="L484" s="5" t="str">
        <f ca="1">IFERROR(__xludf.DUMMYFUNCTION("""COMPUTED_VALUE"""),"Yes")</f>
        <v>Yes</v>
      </c>
      <c r="M484" s="5" t="str">
        <f ca="1">IFERROR(__xludf.DUMMYFUNCTION("""COMPUTED_VALUE"""),"Yes")</f>
        <v>Yes</v>
      </c>
      <c r="N484" s="5" t="str">
        <f ca="1">IFERROR(__xludf.DUMMYFUNCTION("""COMPUTED_VALUE"""),"Yes")</f>
        <v>Yes</v>
      </c>
      <c r="O484" s="5" t="str">
        <f ca="1">IFERROR(__xludf.DUMMYFUNCTION("""COMPUTED_VALUE"""),"Yes")</f>
        <v>Yes</v>
      </c>
      <c r="P484" s="5" t="str">
        <f ca="1">IFERROR(__xludf.DUMMYFUNCTION("""COMPUTED_VALUE"""),"Yes")</f>
        <v>Yes</v>
      </c>
      <c r="Q484" s="5" t="str">
        <f ca="1">IFERROR(__xludf.DUMMYFUNCTION("""COMPUTED_VALUE"""),"Yes")</f>
        <v>Yes</v>
      </c>
      <c r="R484" s="5" t="str">
        <f ca="1">IFERROR(__xludf.DUMMYFUNCTION("""COMPUTED_VALUE"""),"Yes")</f>
        <v>Yes</v>
      </c>
      <c r="S484" s="5" t="str">
        <f ca="1">IFERROR(__xludf.DUMMYFUNCTION("""COMPUTED_VALUE"""),"Yes")</f>
        <v>Yes</v>
      </c>
      <c r="T484" s="5" t="str">
        <f ca="1">IFERROR(__xludf.DUMMYFUNCTION("""COMPUTED_VALUE"""),"No")</f>
        <v>No</v>
      </c>
      <c r="U484" s="5" t="str">
        <f ca="1">IFERROR(__xludf.DUMMYFUNCTION("""COMPUTED_VALUE"""),"No")</f>
        <v>No</v>
      </c>
      <c r="V484" s="5" t="str">
        <f ca="1">IFERROR(__xludf.DUMMYFUNCTION("""COMPUTED_VALUE"""),"No")</f>
        <v>No</v>
      </c>
      <c r="W484" s="5" t="str">
        <f ca="1">IFERROR(__xludf.DUMMYFUNCTION("""COMPUTED_VALUE"""),"No")</f>
        <v>No</v>
      </c>
      <c r="X484" s="5"/>
      <c r="Y484" s="5"/>
      <c r="Z484" s="5"/>
      <c r="AA484" s="5"/>
      <c r="AB484" s="5"/>
      <c r="AC484" s="5" t="str">
        <f ca="1">IFERROR(__xludf.DUMMYFUNCTION("""COMPUTED_VALUE"""),"No")</f>
        <v>No</v>
      </c>
      <c r="AD484" s="5"/>
      <c r="AE484" s="5"/>
      <c r="AF484" s="5" t="str">
        <f ca="1">IFERROR(__xludf.DUMMYFUNCTION("""COMPUTED_VALUE"""),"Yes")</f>
        <v>Yes</v>
      </c>
      <c r="AG484" s="5"/>
      <c r="AH484" s="5" t="str">
        <f ca="1">IFERROR(__xludf.DUMMYFUNCTION("""COMPUTED_VALUE"""),"Yes")</f>
        <v>Yes</v>
      </c>
      <c r="AI484" s="5"/>
      <c r="AJ484" s="5"/>
      <c r="AK484" s="5"/>
      <c r="AL484" s="5" t="str">
        <f ca="1">IFERROR(__xludf.DUMMYFUNCTION("""COMPUTED_VALUE"""),"Yes")</f>
        <v>Yes</v>
      </c>
      <c r="AM484" s="5"/>
      <c r="AN484" s="5"/>
      <c r="AO484" s="5"/>
      <c r="AP484" s="5"/>
      <c r="AQ484" s="5"/>
      <c r="AR484" s="5"/>
      <c r="AS484" s="5"/>
      <c r="AT484" s="5"/>
      <c r="AU484" s="5"/>
      <c r="AV484" s="5"/>
      <c r="AW484" s="5"/>
      <c r="AX484" s="5"/>
      <c r="AY484" s="5"/>
    </row>
    <row r="485" spans="1:51" x14ac:dyDescent="0.25">
      <c r="A485" s="5" t="str">
        <f ca="1">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5" s="5">
        <f ca="1">IFERROR(__xludf.DUMMYFUNCTION("""COMPUTED_VALUE"""),514)</f>
        <v>514</v>
      </c>
      <c r="C485" s="5">
        <f ca="1">IFERROR(__xludf.DUMMYFUNCTION("""COMPUTED_VALUE"""),509)</f>
        <v>509</v>
      </c>
      <c r="D485" s="5" t="str">
        <f ca="1">IFERROR(__xludf.DUMMYFUNCTION("""COMPUTED_VALUE"""),"PlayNetDarkTemptress")</f>
        <v>PlayNetDarkTemptress</v>
      </c>
      <c r="E485" s="5" t="str">
        <f ca="1">IFERROR(__xludf.DUMMYFUNCTION("""COMPUTED_VALUE"""),"Yes")</f>
        <v>Yes</v>
      </c>
      <c r="F485" s="5" t="str">
        <f ca="1">IFERROR(__xludf.DUMMYFUNCTION("""COMPUTED_VALUE"""),"Yes")</f>
        <v>Yes</v>
      </c>
      <c r="G485" s="5" t="str">
        <f ca="1">IFERROR(__xludf.DUMMYFUNCTION("""COMPUTED_VALUE"""),"Yes")</f>
        <v>Yes</v>
      </c>
      <c r="H485" s="5" t="str">
        <f ca="1">IFERROR(__xludf.DUMMYFUNCTION("""COMPUTED_VALUE"""),"Yes")</f>
        <v>Yes</v>
      </c>
      <c r="I485" s="5" t="str">
        <f ca="1">IFERROR(__xludf.DUMMYFUNCTION("""COMPUTED_VALUE"""),"Yes")</f>
        <v>Yes</v>
      </c>
      <c r="J485" s="5" t="str">
        <f ca="1">IFERROR(__xludf.DUMMYFUNCTION("""COMPUTED_VALUE"""),"Yes")</f>
        <v>Yes</v>
      </c>
      <c r="K485" s="5" t="str">
        <f ca="1">IFERROR(__xludf.DUMMYFUNCTION("""COMPUTED_VALUE"""),"Yes")</f>
        <v>Yes</v>
      </c>
      <c r="L485" s="5" t="str">
        <f ca="1">IFERROR(__xludf.DUMMYFUNCTION("""COMPUTED_VALUE"""),"Yes")</f>
        <v>Yes</v>
      </c>
      <c r="M485" s="5" t="str">
        <f ca="1">IFERROR(__xludf.DUMMYFUNCTION("""COMPUTED_VALUE"""),"Yes")</f>
        <v>Yes</v>
      </c>
      <c r="N485" s="5" t="str">
        <f ca="1">IFERROR(__xludf.DUMMYFUNCTION("""COMPUTED_VALUE"""),"Yes")</f>
        <v>Yes</v>
      </c>
      <c r="O485" s="5" t="str">
        <f ca="1">IFERROR(__xludf.DUMMYFUNCTION("""COMPUTED_VALUE"""),"Yes")</f>
        <v>Yes</v>
      </c>
      <c r="P485" s="5" t="str">
        <f ca="1">IFERROR(__xludf.DUMMYFUNCTION("""COMPUTED_VALUE"""),"Yes")</f>
        <v>Yes</v>
      </c>
      <c r="Q485" s="5" t="str">
        <f ca="1">IFERROR(__xludf.DUMMYFUNCTION("""COMPUTED_VALUE"""),"Yes")</f>
        <v>Yes</v>
      </c>
      <c r="R485" s="5" t="str">
        <f ca="1">IFERROR(__xludf.DUMMYFUNCTION("""COMPUTED_VALUE"""),"Yes")</f>
        <v>Yes</v>
      </c>
      <c r="S485" s="5" t="str">
        <f ca="1">IFERROR(__xludf.DUMMYFUNCTION("""COMPUTED_VALUE"""),"Yes")</f>
        <v>Yes</v>
      </c>
      <c r="T485" s="5" t="str">
        <f ca="1">IFERROR(__xludf.DUMMYFUNCTION("""COMPUTED_VALUE"""),"No")</f>
        <v>No</v>
      </c>
      <c r="U485" s="5" t="str">
        <f ca="1">IFERROR(__xludf.DUMMYFUNCTION("""COMPUTED_VALUE"""),"No")</f>
        <v>No</v>
      </c>
      <c r="V485" s="5" t="str">
        <f ca="1">IFERROR(__xludf.DUMMYFUNCTION("""COMPUTED_VALUE"""),"No")</f>
        <v>No</v>
      </c>
      <c r="W485" s="5" t="str">
        <f ca="1">IFERROR(__xludf.DUMMYFUNCTION("""COMPUTED_VALUE"""),"No")</f>
        <v>No</v>
      </c>
      <c r="X485" s="5"/>
      <c r="Y485" s="5"/>
      <c r="Z485" s="5"/>
      <c r="AA485" s="5"/>
      <c r="AB485" s="5"/>
      <c r="AC485" s="5" t="str">
        <f ca="1">IFERROR(__xludf.DUMMYFUNCTION("""COMPUTED_VALUE"""),"No")</f>
        <v>No</v>
      </c>
      <c r="AD485" s="5"/>
      <c r="AE485" s="5"/>
      <c r="AF485" s="5" t="str">
        <f ca="1">IFERROR(__xludf.DUMMYFUNCTION("""COMPUTED_VALUE"""),"Yes")</f>
        <v>Yes</v>
      </c>
      <c r="AG485" s="5"/>
      <c r="AH485" s="5" t="str">
        <f ca="1">IFERROR(__xludf.DUMMYFUNCTION("""COMPUTED_VALUE"""),"Yes")</f>
        <v>Yes</v>
      </c>
      <c r="AI485" s="5"/>
      <c r="AJ485" s="5"/>
      <c r="AK485" s="5"/>
      <c r="AL485" s="5" t="str">
        <f ca="1">IFERROR(__xludf.DUMMYFUNCTION("""COMPUTED_VALUE"""),"Yes")</f>
        <v>Yes</v>
      </c>
      <c r="AM485" s="5"/>
      <c r="AN485" s="5"/>
      <c r="AO485" s="5"/>
      <c r="AP485" s="5"/>
      <c r="AQ485" s="5"/>
      <c r="AR485" s="5"/>
      <c r="AS485" s="5"/>
      <c r="AT485" s="5"/>
      <c r="AU485" s="5"/>
      <c r="AV485" s="5"/>
      <c r="AW485" s="5"/>
      <c r="AX485" s="5"/>
      <c r="AY485" s="5"/>
    </row>
    <row r="486" spans="1:51" x14ac:dyDescent="0.25">
      <c r="A4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6" s="5">
        <f ca="1">IFERROR(__xludf.DUMMYFUNCTION("""COMPUTED_VALUE"""),515)</f>
        <v>515</v>
      </c>
      <c r="C486" s="5">
        <f ca="1">IFERROR(__xludf.DUMMYFUNCTION("""COMPUTED_VALUE"""),2007)</f>
        <v>2007</v>
      </c>
      <c r="D486" s="5" t="str">
        <f ca="1">IFERROR(__xludf.DUMMYFUNCTION("""COMPUTED_VALUE"""),"WildStickyClover")</f>
        <v>WildStickyClover</v>
      </c>
      <c r="E486" s="5" t="str">
        <f ca="1">IFERROR(__xludf.DUMMYFUNCTION("""COMPUTED_VALUE"""),"Yes")</f>
        <v>Yes</v>
      </c>
      <c r="F486" s="5" t="str">
        <f ca="1">IFERROR(__xludf.DUMMYFUNCTION("""COMPUTED_VALUE"""),"Yes")</f>
        <v>Yes</v>
      </c>
      <c r="G486" s="5" t="str">
        <f ca="1">IFERROR(__xludf.DUMMYFUNCTION("""COMPUTED_VALUE"""),"Yes")</f>
        <v>Yes</v>
      </c>
      <c r="H486" s="5" t="str">
        <f ca="1">IFERROR(__xludf.DUMMYFUNCTION("""COMPUTED_VALUE"""),"Yes")</f>
        <v>Yes</v>
      </c>
      <c r="I486" s="5" t="str">
        <f ca="1">IFERROR(__xludf.DUMMYFUNCTION("""COMPUTED_VALUE"""),"Yes")</f>
        <v>Yes</v>
      </c>
      <c r="J486" s="5" t="str">
        <f ca="1">IFERROR(__xludf.DUMMYFUNCTION("""COMPUTED_VALUE"""),"Yes")</f>
        <v>Yes</v>
      </c>
      <c r="K486" s="5" t="str">
        <f ca="1">IFERROR(__xludf.DUMMYFUNCTION("""COMPUTED_VALUE"""),"Yes")</f>
        <v>Yes</v>
      </c>
      <c r="L486" s="5" t="str">
        <f ca="1">IFERROR(__xludf.DUMMYFUNCTION("""COMPUTED_VALUE"""),"Yes")</f>
        <v>Yes</v>
      </c>
      <c r="M486" s="5" t="str">
        <f ca="1">IFERROR(__xludf.DUMMYFUNCTION("""COMPUTED_VALUE"""),"Yes")</f>
        <v>Yes</v>
      </c>
      <c r="N486" s="5" t="str">
        <f ca="1">IFERROR(__xludf.DUMMYFUNCTION("""COMPUTED_VALUE"""),"Yes")</f>
        <v>Yes</v>
      </c>
      <c r="O486" s="5" t="str">
        <f ca="1">IFERROR(__xludf.DUMMYFUNCTION("""COMPUTED_VALUE"""),"Yes")</f>
        <v>Yes</v>
      </c>
      <c r="P486" s="5" t="str">
        <f ca="1">IFERROR(__xludf.DUMMYFUNCTION("""COMPUTED_VALUE"""),"Yes")</f>
        <v>Yes</v>
      </c>
      <c r="Q486" s="5" t="str">
        <f ca="1">IFERROR(__xludf.DUMMYFUNCTION("""COMPUTED_VALUE"""),"Yes")</f>
        <v>Yes</v>
      </c>
      <c r="R486" s="5" t="str">
        <f ca="1">IFERROR(__xludf.DUMMYFUNCTION("""COMPUTED_VALUE"""),"Yes")</f>
        <v>Yes</v>
      </c>
      <c r="S486" s="5" t="str">
        <f ca="1">IFERROR(__xludf.DUMMYFUNCTION("""COMPUTED_VALUE"""),"Yes")</f>
        <v>Yes</v>
      </c>
      <c r="T486" s="5" t="str">
        <f ca="1">IFERROR(__xludf.DUMMYFUNCTION("""COMPUTED_VALUE"""),"Yes")</f>
        <v>Yes</v>
      </c>
      <c r="U486" s="5" t="str">
        <f ca="1">IFERROR(__xludf.DUMMYFUNCTION("""COMPUTED_VALUE"""),"Yes")</f>
        <v>Yes</v>
      </c>
      <c r="V486" s="5" t="str">
        <f ca="1">IFERROR(__xludf.DUMMYFUNCTION("""COMPUTED_VALUE"""),"Yes")</f>
        <v>Yes</v>
      </c>
      <c r="W486" s="5" t="str">
        <f ca="1">IFERROR(__xludf.DUMMYFUNCTION("""COMPUTED_VALUE"""),"Yes")</f>
        <v>Yes</v>
      </c>
      <c r="X486" s="5" t="str">
        <f ca="1">IFERROR(__xludf.DUMMYFUNCTION("""COMPUTED_VALUE"""),"Yes")</f>
        <v>Yes</v>
      </c>
      <c r="Y486" s="5" t="str">
        <f ca="1">IFERROR(__xludf.DUMMYFUNCTION("""COMPUTED_VALUE"""),"Yes")</f>
        <v>Yes</v>
      </c>
      <c r="Z486" s="5" t="str">
        <f ca="1">IFERROR(__xludf.DUMMYFUNCTION("""COMPUTED_VALUE"""),"Yes")</f>
        <v>Yes</v>
      </c>
      <c r="AA486" s="5" t="str">
        <f ca="1">IFERROR(__xludf.DUMMYFUNCTION("""COMPUTED_VALUE"""),"Yes")</f>
        <v>Yes</v>
      </c>
      <c r="AB486" s="5" t="str">
        <f ca="1">IFERROR(__xludf.DUMMYFUNCTION("""COMPUTED_VALUE"""),"Yes")</f>
        <v>Yes</v>
      </c>
      <c r="AC486" s="5" t="str">
        <f ca="1">IFERROR(__xludf.DUMMYFUNCTION("""COMPUTED_VALUE"""),"Yes")</f>
        <v>Yes</v>
      </c>
      <c r="AD486" s="5" t="str">
        <f ca="1">IFERROR(__xludf.DUMMYFUNCTION("""COMPUTED_VALUE"""),"Yes")</f>
        <v>Yes</v>
      </c>
      <c r="AE486" s="5" t="str">
        <f ca="1">IFERROR(__xludf.DUMMYFUNCTION("""COMPUTED_VALUE"""),"Yes")</f>
        <v>Yes</v>
      </c>
      <c r="AF486" s="5" t="str">
        <f ca="1">IFERROR(__xludf.DUMMYFUNCTION("""COMPUTED_VALUE"""),"Yes")</f>
        <v>Yes</v>
      </c>
      <c r="AG486" s="5" t="str">
        <f ca="1">IFERROR(__xludf.DUMMYFUNCTION("""COMPUTED_VALUE"""),"Yes")</f>
        <v>Yes</v>
      </c>
      <c r="AH486" s="5" t="str">
        <f ca="1">IFERROR(__xludf.DUMMYFUNCTION("""COMPUTED_VALUE"""),"Yes")</f>
        <v>Yes</v>
      </c>
      <c r="AI486" s="5" t="str">
        <f ca="1">IFERROR(__xludf.DUMMYFUNCTION("""COMPUTED_VALUE"""),"No")</f>
        <v>No</v>
      </c>
      <c r="AJ486" s="5" t="str">
        <f ca="1">IFERROR(__xludf.DUMMYFUNCTION("""COMPUTED_VALUE"""),"No")</f>
        <v>No</v>
      </c>
      <c r="AK486" s="5" t="str">
        <f ca="1">IFERROR(__xludf.DUMMYFUNCTION("""COMPUTED_VALUE"""),"No")</f>
        <v>No</v>
      </c>
      <c r="AL486" s="5" t="str">
        <f ca="1">IFERROR(__xludf.DUMMYFUNCTION("""COMPUTED_VALUE"""),"No")</f>
        <v>No</v>
      </c>
      <c r="AM486" s="5"/>
      <c r="AN486" s="5"/>
      <c r="AO486" s="5"/>
      <c r="AP486" s="5"/>
      <c r="AQ486" s="5"/>
      <c r="AR486" s="5"/>
      <c r="AS486" s="5"/>
      <c r="AT486" s="5"/>
      <c r="AU486" s="5"/>
      <c r="AV486" s="5"/>
      <c r="AW486" s="5"/>
      <c r="AX486" s="5"/>
      <c r="AY486" s="5"/>
    </row>
    <row r="487" spans="1:51" x14ac:dyDescent="0.25">
      <c r="A4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7" s="5">
        <f ca="1">IFERROR(__xludf.DUMMYFUNCTION("""COMPUTED_VALUE"""),516)</f>
        <v>516</v>
      </c>
      <c r="C487" s="5">
        <f ca="1">IFERROR(__xludf.DUMMYFUNCTION("""COMPUTED_VALUE"""),2013)</f>
        <v>2013</v>
      </c>
      <c r="D487" s="5" t="str">
        <f ca="1">IFERROR(__xludf.DUMMYFUNCTION("""COMPUTED_VALUE"""),"XSpins")</f>
        <v>XSpins</v>
      </c>
      <c r="E487" s="5" t="str">
        <f ca="1">IFERROR(__xludf.DUMMYFUNCTION("""COMPUTED_VALUE"""),"Yes")</f>
        <v>Yes</v>
      </c>
      <c r="F487" s="5" t="str">
        <f ca="1">IFERROR(__xludf.DUMMYFUNCTION("""COMPUTED_VALUE"""),"Yes")</f>
        <v>Yes</v>
      </c>
      <c r="G487" s="5" t="str">
        <f ca="1">IFERROR(__xludf.DUMMYFUNCTION("""COMPUTED_VALUE"""),"Yes")</f>
        <v>Yes</v>
      </c>
      <c r="H487" s="5" t="str">
        <f ca="1">IFERROR(__xludf.DUMMYFUNCTION("""COMPUTED_VALUE"""),"Yes")</f>
        <v>Yes</v>
      </c>
      <c r="I487" s="5" t="str">
        <f ca="1">IFERROR(__xludf.DUMMYFUNCTION("""COMPUTED_VALUE"""),"Yes")</f>
        <v>Yes</v>
      </c>
      <c r="J487" s="5" t="str">
        <f ca="1">IFERROR(__xludf.DUMMYFUNCTION("""COMPUTED_VALUE"""),"Yes")</f>
        <v>Yes</v>
      </c>
      <c r="K487" s="5" t="str">
        <f ca="1">IFERROR(__xludf.DUMMYFUNCTION("""COMPUTED_VALUE"""),"Yes")</f>
        <v>Yes</v>
      </c>
      <c r="L487" s="5" t="str">
        <f ca="1">IFERROR(__xludf.DUMMYFUNCTION("""COMPUTED_VALUE"""),"Yes")</f>
        <v>Yes</v>
      </c>
      <c r="M487" s="5" t="str">
        <f ca="1">IFERROR(__xludf.DUMMYFUNCTION("""COMPUTED_VALUE"""),"Yes")</f>
        <v>Yes</v>
      </c>
      <c r="N487" s="5" t="str">
        <f ca="1">IFERROR(__xludf.DUMMYFUNCTION("""COMPUTED_VALUE"""),"Yes")</f>
        <v>Yes</v>
      </c>
      <c r="O487" s="5" t="str">
        <f ca="1">IFERROR(__xludf.DUMMYFUNCTION("""COMPUTED_VALUE"""),"Yes")</f>
        <v>Yes</v>
      </c>
      <c r="P487" s="5" t="str">
        <f ca="1">IFERROR(__xludf.DUMMYFUNCTION("""COMPUTED_VALUE"""),"Yes")</f>
        <v>Yes</v>
      </c>
      <c r="Q487" s="5" t="str">
        <f ca="1">IFERROR(__xludf.DUMMYFUNCTION("""COMPUTED_VALUE"""),"Yes")</f>
        <v>Yes</v>
      </c>
      <c r="R487" s="5" t="str">
        <f ca="1">IFERROR(__xludf.DUMMYFUNCTION("""COMPUTED_VALUE"""),"Yes")</f>
        <v>Yes</v>
      </c>
      <c r="S487" s="5" t="str">
        <f ca="1">IFERROR(__xludf.DUMMYFUNCTION("""COMPUTED_VALUE"""),"Yes")</f>
        <v>Yes</v>
      </c>
      <c r="T487" s="5" t="str">
        <f ca="1">IFERROR(__xludf.DUMMYFUNCTION("""COMPUTED_VALUE"""),"Yes")</f>
        <v>Yes</v>
      </c>
      <c r="U487" s="5" t="str">
        <f ca="1">IFERROR(__xludf.DUMMYFUNCTION("""COMPUTED_VALUE"""),"Yes")</f>
        <v>Yes</v>
      </c>
      <c r="V487" s="5" t="str">
        <f ca="1">IFERROR(__xludf.DUMMYFUNCTION("""COMPUTED_VALUE"""),"Yes")</f>
        <v>Yes</v>
      </c>
      <c r="W487" s="5" t="str">
        <f ca="1">IFERROR(__xludf.DUMMYFUNCTION("""COMPUTED_VALUE"""),"Yes")</f>
        <v>Yes</v>
      </c>
      <c r="X487" s="5" t="str">
        <f ca="1">IFERROR(__xludf.DUMMYFUNCTION("""COMPUTED_VALUE"""),"Yes")</f>
        <v>Yes</v>
      </c>
      <c r="Y487" s="5" t="str">
        <f ca="1">IFERROR(__xludf.DUMMYFUNCTION("""COMPUTED_VALUE"""),"Yes")</f>
        <v>Yes</v>
      </c>
      <c r="Z487" s="5" t="str">
        <f ca="1">IFERROR(__xludf.DUMMYFUNCTION("""COMPUTED_VALUE"""),"Yes")</f>
        <v>Yes</v>
      </c>
      <c r="AA487" s="5" t="str">
        <f ca="1">IFERROR(__xludf.DUMMYFUNCTION("""COMPUTED_VALUE"""),"Yes")</f>
        <v>Yes</v>
      </c>
      <c r="AB487" s="5" t="str">
        <f ca="1">IFERROR(__xludf.DUMMYFUNCTION("""COMPUTED_VALUE"""),"Yes")</f>
        <v>Yes</v>
      </c>
      <c r="AC487" s="5" t="str">
        <f ca="1">IFERROR(__xludf.DUMMYFUNCTION("""COMPUTED_VALUE"""),"Yes")</f>
        <v>Yes</v>
      </c>
      <c r="AD487" s="5" t="str">
        <f ca="1">IFERROR(__xludf.DUMMYFUNCTION("""COMPUTED_VALUE"""),"Yes")</f>
        <v>Yes</v>
      </c>
      <c r="AE487" s="5" t="str">
        <f ca="1">IFERROR(__xludf.DUMMYFUNCTION("""COMPUTED_VALUE"""),"Yes")</f>
        <v>Yes</v>
      </c>
      <c r="AF487" s="5" t="str">
        <f ca="1">IFERROR(__xludf.DUMMYFUNCTION("""COMPUTED_VALUE"""),"Yes")</f>
        <v>Yes</v>
      </c>
      <c r="AG487" s="5" t="str">
        <f ca="1">IFERROR(__xludf.DUMMYFUNCTION("""COMPUTED_VALUE"""),"Yes")</f>
        <v>Yes</v>
      </c>
      <c r="AH487" s="5" t="str">
        <f ca="1">IFERROR(__xludf.DUMMYFUNCTION("""COMPUTED_VALUE"""),"Yes")</f>
        <v>Yes</v>
      </c>
      <c r="AI487" s="5" t="str">
        <f ca="1">IFERROR(__xludf.DUMMYFUNCTION("""COMPUTED_VALUE"""),"No")</f>
        <v>No</v>
      </c>
      <c r="AJ487" s="5" t="str">
        <f ca="1">IFERROR(__xludf.DUMMYFUNCTION("""COMPUTED_VALUE"""),"No")</f>
        <v>No</v>
      </c>
      <c r="AK487" s="5" t="str">
        <f ca="1">IFERROR(__xludf.DUMMYFUNCTION("""COMPUTED_VALUE"""),"No")</f>
        <v>No</v>
      </c>
      <c r="AL487" s="5" t="str">
        <f ca="1">IFERROR(__xludf.DUMMYFUNCTION("""COMPUTED_VALUE"""),"No")</f>
        <v>No</v>
      </c>
      <c r="AM487" s="5"/>
      <c r="AN487" s="5"/>
      <c r="AO487" s="5"/>
      <c r="AP487" s="5"/>
      <c r="AQ487" s="5"/>
      <c r="AR487" s="5"/>
      <c r="AS487" s="5"/>
      <c r="AT487" s="5"/>
      <c r="AU487" s="5"/>
      <c r="AV487" s="5"/>
      <c r="AW487" s="5"/>
      <c r="AX487" s="5"/>
      <c r="AY487" s="5"/>
    </row>
    <row r="488" spans="1:51" x14ac:dyDescent="0.25">
      <c r="A4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88" s="5">
        <f ca="1">IFERROR(__xludf.DUMMYFUNCTION("""COMPUTED_VALUE"""),517)</f>
        <v>517</v>
      </c>
      <c r="C488" s="5">
        <f ca="1">IFERROR(__xludf.DUMMYFUNCTION("""COMPUTED_VALUE"""),3019)</f>
        <v>3019</v>
      </c>
      <c r="D488" s="5" t="str">
        <f ca="1">IFERROR(__xludf.DUMMYFUNCTION("""COMPUTED_VALUE"""),"EpicCrown5Booster")</f>
        <v>EpicCrown5Booster</v>
      </c>
      <c r="E488" s="5" t="str">
        <f ca="1">IFERROR(__xludf.DUMMYFUNCTION("""COMPUTED_VALUE"""),"Yes")</f>
        <v>Yes</v>
      </c>
      <c r="F488" s="5" t="str">
        <f ca="1">IFERROR(__xludf.DUMMYFUNCTION("""COMPUTED_VALUE"""),"Yes")</f>
        <v>Yes</v>
      </c>
      <c r="G488" s="5" t="str">
        <f ca="1">IFERROR(__xludf.DUMMYFUNCTION("""COMPUTED_VALUE"""),"Yes")</f>
        <v>Yes</v>
      </c>
      <c r="H488" s="5" t="str">
        <f ca="1">IFERROR(__xludf.DUMMYFUNCTION("""COMPUTED_VALUE"""),"Yes")</f>
        <v>Yes</v>
      </c>
      <c r="I488" s="5" t="str">
        <f ca="1">IFERROR(__xludf.DUMMYFUNCTION("""COMPUTED_VALUE"""),"Yes")</f>
        <v>Yes</v>
      </c>
      <c r="J488" s="5" t="str">
        <f ca="1">IFERROR(__xludf.DUMMYFUNCTION("""COMPUTED_VALUE"""),"Yes")</f>
        <v>Yes</v>
      </c>
      <c r="K488" s="5" t="str">
        <f ca="1">IFERROR(__xludf.DUMMYFUNCTION("""COMPUTED_VALUE"""),"Yes")</f>
        <v>Yes</v>
      </c>
      <c r="L488" s="5" t="str">
        <f ca="1">IFERROR(__xludf.DUMMYFUNCTION("""COMPUTED_VALUE"""),"Yes")</f>
        <v>Yes</v>
      </c>
      <c r="M488" s="5" t="str">
        <f ca="1">IFERROR(__xludf.DUMMYFUNCTION("""COMPUTED_VALUE"""),"Yes")</f>
        <v>Yes</v>
      </c>
      <c r="N488" s="5" t="str">
        <f ca="1">IFERROR(__xludf.DUMMYFUNCTION("""COMPUTED_VALUE"""),"Yes")</f>
        <v>Yes</v>
      </c>
      <c r="O488" s="5" t="str">
        <f ca="1">IFERROR(__xludf.DUMMYFUNCTION("""COMPUTED_VALUE"""),"Yes")</f>
        <v>Yes</v>
      </c>
      <c r="P488" s="5" t="str">
        <f ca="1">IFERROR(__xludf.DUMMYFUNCTION("""COMPUTED_VALUE"""),"Yes")</f>
        <v>Yes</v>
      </c>
      <c r="Q488" s="5" t="str">
        <f ca="1">IFERROR(__xludf.DUMMYFUNCTION("""COMPUTED_VALUE"""),"Yes")</f>
        <v>Yes</v>
      </c>
      <c r="R488" s="5" t="str">
        <f ca="1">IFERROR(__xludf.DUMMYFUNCTION("""COMPUTED_VALUE"""),"Yes")</f>
        <v>Yes</v>
      </c>
      <c r="S488" s="5" t="str">
        <f ca="1">IFERROR(__xludf.DUMMYFUNCTION("""COMPUTED_VALUE"""),"Yes")</f>
        <v>Yes</v>
      </c>
      <c r="T488" s="5" t="str">
        <f ca="1">IFERROR(__xludf.DUMMYFUNCTION("""COMPUTED_VALUE"""),"Yes")</f>
        <v>Yes</v>
      </c>
      <c r="U488" s="5" t="str">
        <f ca="1">IFERROR(__xludf.DUMMYFUNCTION("""COMPUTED_VALUE"""),"Yes")</f>
        <v>Yes</v>
      </c>
      <c r="V488" s="5" t="str">
        <f ca="1">IFERROR(__xludf.DUMMYFUNCTION("""COMPUTED_VALUE"""),"Yes")</f>
        <v>Yes</v>
      </c>
      <c r="W488" s="5" t="str">
        <f ca="1">IFERROR(__xludf.DUMMYFUNCTION("""COMPUTED_VALUE"""),"Yes")</f>
        <v>Yes</v>
      </c>
      <c r="X488" s="5"/>
      <c r="Y488" s="5"/>
      <c r="Z488" s="5"/>
      <c r="AA488" s="5"/>
      <c r="AB488" s="5"/>
      <c r="AC488" s="5" t="str">
        <f ca="1">IFERROR(__xludf.DUMMYFUNCTION("""COMPUTED_VALUE"""),"Yes")</f>
        <v>Yes</v>
      </c>
      <c r="AD488" s="5"/>
      <c r="AE488" s="5"/>
      <c r="AF488" s="5"/>
      <c r="AG488" s="5"/>
      <c r="AH488" s="5"/>
      <c r="AI488" s="5"/>
      <c r="AJ488" s="5"/>
      <c r="AK488" s="5"/>
      <c r="AL488" s="5"/>
      <c r="AM488" s="5"/>
      <c r="AN488" s="5"/>
      <c r="AO488" s="5"/>
      <c r="AP488" s="5"/>
      <c r="AQ488" s="5"/>
      <c r="AR488" s="5"/>
      <c r="AS488" s="5"/>
      <c r="AT488" s="5"/>
      <c r="AU488" s="5"/>
      <c r="AV488" s="5"/>
      <c r="AW488" s="5"/>
      <c r="AX488" s="5"/>
      <c r="AY488" s="5"/>
    </row>
    <row r="489" spans="1:51" x14ac:dyDescent="0.25">
      <c r="A4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89" s="5">
        <f ca="1">IFERROR(__xludf.DUMMYFUNCTION("""COMPUTED_VALUE"""),518)</f>
        <v>518</v>
      </c>
      <c r="C489" s="5">
        <f ca="1">IFERROR(__xludf.DUMMYFUNCTION("""COMPUTED_VALUE"""),3017)</f>
        <v>3017</v>
      </c>
      <c r="D489" s="5" t="str">
        <f ca="1">IFERROR(__xludf.DUMMYFUNCTION("""COMPUTED_VALUE"""),"EpicCrown10Booster")</f>
        <v>EpicCrown10Booster</v>
      </c>
      <c r="E489" s="5" t="str">
        <f ca="1">IFERROR(__xludf.DUMMYFUNCTION("""COMPUTED_VALUE"""),"Yes")</f>
        <v>Yes</v>
      </c>
      <c r="F489" s="5" t="str">
        <f ca="1">IFERROR(__xludf.DUMMYFUNCTION("""COMPUTED_VALUE"""),"Yes")</f>
        <v>Yes</v>
      </c>
      <c r="G489" s="5" t="str">
        <f ca="1">IFERROR(__xludf.DUMMYFUNCTION("""COMPUTED_VALUE"""),"Yes")</f>
        <v>Yes</v>
      </c>
      <c r="H489" s="5" t="str">
        <f ca="1">IFERROR(__xludf.DUMMYFUNCTION("""COMPUTED_VALUE"""),"Yes")</f>
        <v>Yes</v>
      </c>
      <c r="I489" s="5" t="str">
        <f ca="1">IFERROR(__xludf.DUMMYFUNCTION("""COMPUTED_VALUE"""),"Yes")</f>
        <v>Yes</v>
      </c>
      <c r="J489" s="5" t="str">
        <f ca="1">IFERROR(__xludf.DUMMYFUNCTION("""COMPUTED_VALUE"""),"Yes")</f>
        <v>Yes</v>
      </c>
      <c r="K489" s="5" t="str">
        <f ca="1">IFERROR(__xludf.DUMMYFUNCTION("""COMPUTED_VALUE"""),"Yes")</f>
        <v>Yes</v>
      </c>
      <c r="L489" s="5" t="str">
        <f ca="1">IFERROR(__xludf.DUMMYFUNCTION("""COMPUTED_VALUE"""),"Yes")</f>
        <v>Yes</v>
      </c>
      <c r="M489" s="5" t="str">
        <f ca="1">IFERROR(__xludf.DUMMYFUNCTION("""COMPUTED_VALUE"""),"Yes")</f>
        <v>Yes</v>
      </c>
      <c r="N489" s="5" t="str">
        <f ca="1">IFERROR(__xludf.DUMMYFUNCTION("""COMPUTED_VALUE"""),"Yes")</f>
        <v>Yes</v>
      </c>
      <c r="O489" s="5" t="str">
        <f ca="1">IFERROR(__xludf.DUMMYFUNCTION("""COMPUTED_VALUE"""),"Yes")</f>
        <v>Yes</v>
      </c>
      <c r="P489" s="5" t="str">
        <f ca="1">IFERROR(__xludf.DUMMYFUNCTION("""COMPUTED_VALUE"""),"Yes")</f>
        <v>Yes</v>
      </c>
      <c r="Q489" s="5" t="str">
        <f ca="1">IFERROR(__xludf.DUMMYFUNCTION("""COMPUTED_VALUE"""),"Yes")</f>
        <v>Yes</v>
      </c>
      <c r="R489" s="5" t="str">
        <f ca="1">IFERROR(__xludf.DUMMYFUNCTION("""COMPUTED_VALUE"""),"Yes")</f>
        <v>Yes</v>
      </c>
      <c r="S489" s="5" t="str">
        <f ca="1">IFERROR(__xludf.DUMMYFUNCTION("""COMPUTED_VALUE"""),"Yes")</f>
        <v>Yes</v>
      </c>
      <c r="T489" s="5" t="str">
        <f ca="1">IFERROR(__xludf.DUMMYFUNCTION("""COMPUTED_VALUE"""),"Yes")</f>
        <v>Yes</v>
      </c>
      <c r="U489" s="5" t="str">
        <f ca="1">IFERROR(__xludf.DUMMYFUNCTION("""COMPUTED_VALUE"""),"Yes")</f>
        <v>Yes</v>
      </c>
      <c r="V489" s="5" t="str">
        <f ca="1">IFERROR(__xludf.DUMMYFUNCTION("""COMPUTED_VALUE"""),"Yes")</f>
        <v>Yes</v>
      </c>
      <c r="W489" s="5" t="str">
        <f ca="1">IFERROR(__xludf.DUMMYFUNCTION("""COMPUTED_VALUE"""),"Yes")</f>
        <v>Yes</v>
      </c>
      <c r="X489" s="5"/>
      <c r="Y489" s="5" t="str">
        <f ca="1">IFERROR(__xludf.DUMMYFUNCTION("""COMPUTED_VALUE"""),"Yes")</f>
        <v>Yes</v>
      </c>
      <c r="Z489" s="5"/>
      <c r="AA489" s="5"/>
      <c r="AB489" s="5"/>
      <c r="AC489" s="5" t="str">
        <f ca="1">IFERROR(__xludf.DUMMYFUNCTION("""COMPUTED_VALUE"""),"Yes")</f>
        <v>Yes</v>
      </c>
      <c r="AD489" s="5"/>
      <c r="AE489" s="5"/>
      <c r="AF489" s="5"/>
      <c r="AG489" s="5"/>
      <c r="AH489" s="5"/>
      <c r="AI489" s="5"/>
      <c r="AJ489" s="5"/>
      <c r="AK489" s="5"/>
      <c r="AL489" s="5"/>
      <c r="AM489" s="5"/>
      <c r="AN489" s="5"/>
      <c r="AO489" s="5"/>
      <c r="AP489" s="5"/>
      <c r="AQ489" s="5"/>
      <c r="AR489" s="5"/>
      <c r="AS489" s="5"/>
      <c r="AT489" s="5"/>
      <c r="AU489" s="5"/>
      <c r="AV489" s="5"/>
      <c r="AW489" s="5"/>
      <c r="AX489" s="5"/>
      <c r="AY489" s="5"/>
    </row>
    <row r="490" spans="1:51" x14ac:dyDescent="0.25">
      <c r="A4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490" s="5">
        <f ca="1">IFERROR(__xludf.DUMMYFUNCTION("""COMPUTED_VALUE"""),519)</f>
        <v>519</v>
      </c>
      <c r="C490" s="5">
        <f ca="1">IFERROR(__xludf.DUMMYFUNCTION("""COMPUTED_VALUE"""),180020)</f>
        <v>180020</v>
      </c>
      <c r="D490" s="5" t="str">
        <f ca="1">IFERROR(__xludf.DUMMYFUNCTION("""COMPUTED_VALUE"""),"Redstone777Expand")</f>
        <v>Redstone777Expand</v>
      </c>
      <c r="E490" s="5" t="str">
        <f ca="1">IFERROR(__xludf.DUMMYFUNCTION("""COMPUTED_VALUE"""),"Yes")</f>
        <v>Yes</v>
      </c>
      <c r="F490" s="5" t="str">
        <f ca="1">IFERROR(__xludf.DUMMYFUNCTION("""COMPUTED_VALUE"""),"Yes")</f>
        <v>Yes</v>
      </c>
      <c r="G490" s="5" t="str">
        <f ca="1">IFERROR(__xludf.DUMMYFUNCTION("""COMPUTED_VALUE"""),"Yes")</f>
        <v>Yes</v>
      </c>
      <c r="H490" s="5" t="str">
        <f ca="1">IFERROR(__xludf.DUMMYFUNCTION("""COMPUTED_VALUE"""),"Yes")</f>
        <v>Yes</v>
      </c>
      <c r="I490" s="5" t="str">
        <f ca="1">IFERROR(__xludf.DUMMYFUNCTION("""COMPUTED_VALUE"""),"Yes")</f>
        <v>Yes</v>
      </c>
      <c r="J490" s="5" t="str">
        <f ca="1">IFERROR(__xludf.DUMMYFUNCTION("""COMPUTED_VALUE"""),"Yes")</f>
        <v>Yes</v>
      </c>
      <c r="K490" s="5" t="str">
        <f ca="1">IFERROR(__xludf.DUMMYFUNCTION("""COMPUTED_VALUE"""),"Yes")</f>
        <v>Yes</v>
      </c>
      <c r="L490" s="5" t="str">
        <f ca="1">IFERROR(__xludf.DUMMYFUNCTION("""COMPUTED_VALUE"""),"Yes")</f>
        <v>Yes</v>
      </c>
      <c r="M490" s="5" t="str">
        <f ca="1">IFERROR(__xludf.DUMMYFUNCTION("""COMPUTED_VALUE"""),"Yes")</f>
        <v>Yes</v>
      </c>
      <c r="N490" s="5" t="str">
        <f ca="1">IFERROR(__xludf.DUMMYFUNCTION("""COMPUTED_VALUE"""),"Yes")</f>
        <v>Yes</v>
      </c>
      <c r="O490" s="5" t="str">
        <f ca="1">IFERROR(__xludf.DUMMYFUNCTION("""COMPUTED_VALUE"""),"Yes")</f>
        <v>Yes</v>
      </c>
      <c r="P490" s="5" t="str">
        <f ca="1">IFERROR(__xludf.DUMMYFUNCTION("""COMPUTED_VALUE"""),"Yes")</f>
        <v>Yes</v>
      </c>
      <c r="Q490" s="5" t="str">
        <f ca="1">IFERROR(__xludf.DUMMYFUNCTION("""COMPUTED_VALUE"""),"Yes")</f>
        <v>Yes</v>
      </c>
      <c r="R490" s="5" t="str">
        <f ca="1">IFERROR(__xludf.DUMMYFUNCTION("""COMPUTED_VALUE"""),"Yes")</f>
        <v>Yes</v>
      </c>
      <c r="S490" s="5" t="str">
        <f ca="1">IFERROR(__xludf.DUMMYFUNCTION("""COMPUTED_VALUE"""),"Yes")</f>
        <v>Yes</v>
      </c>
      <c r="T490" s="5" t="str">
        <f ca="1">IFERROR(__xludf.DUMMYFUNCTION("""COMPUTED_VALUE"""),"Yes")</f>
        <v>Yes</v>
      </c>
      <c r="U490" s="5" t="str">
        <f ca="1">IFERROR(__xludf.DUMMYFUNCTION("""COMPUTED_VALUE"""),"Yes")</f>
        <v>Yes</v>
      </c>
      <c r="V490" s="5" t="str">
        <f ca="1">IFERROR(__xludf.DUMMYFUNCTION("""COMPUTED_VALUE"""),"Yes")</f>
        <v>Yes</v>
      </c>
      <c r="W490" s="5" t="str">
        <f ca="1">IFERROR(__xludf.DUMMYFUNCTION("""COMPUTED_VALUE"""),"Yes")</f>
        <v>Yes</v>
      </c>
      <c r="X490" s="5" t="str">
        <f ca="1">IFERROR(__xludf.DUMMYFUNCTION("""COMPUTED_VALUE"""),"Yes")</f>
        <v>Yes</v>
      </c>
      <c r="Y490" s="5" t="str">
        <f ca="1">IFERROR(__xludf.DUMMYFUNCTION("""COMPUTED_VALUE"""),"Yes")</f>
        <v>Yes</v>
      </c>
      <c r="Z490" s="5" t="str">
        <f ca="1">IFERROR(__xludf.DUMMYFUNCTION("""COMPUTED_VALUE"""),"Yes")</f>
        <v>Yes</v>
      </c>
      <c r="AA490" s="5" t="str">
        <f ca="1">IFERROR(__xludf.DUMMYFUNCTION("""COMPUTED_VALUE"""),"Yes")</f>
        <v>Yes</v>
      </c>
      <c r="AB490" s="5" t="str">
        <f ca="1">IFERROR(__xludf.DUMMYFUNCTION("""COMPUTED_VALUE"""),"Yes")</f>
        <v>Yes</v>
      </c>
      <c r="AC490" s="5" t="str">
        <f ca="1">IFERROR(__xludf.DUMMYFUNCTION("""COMPUTED_VALUE"""),"Yes")</f>
        <v>Yes</v>
      </c>
      <c r="AD490" s="5" t="str">
        <f ca="1">IFERROR(__xludf.DUMMYFUNCTION("""COMPUTED_VALUE"""),"Yes")</f>
        <v>Yes</v>
      </c>
      <c r="AE490" s="5" t="str">
        <f ca="1">IFERROR(__xludf.DUMMYFUNCTION("""COMPUTED_VALUE"""),"Yes")</f>
        <v>Yes</v>
      </c>
      <c r="AF490" s="5" t="str">
        <f ca="1">IFERROR(__xludf.DUMMYFUNCTION("""COMPUTED_VALUE"""),"Yes")</f>
        <v>Yes</v>
      </c>
      <c r="AG490" s="5" t="str">
        <f ca="1">IFERROR(__xludf.DUMMYFUNCTION("""COMPUTED_VALUE"""),"Yes")</f>
        <v>Yes</v>
      </c>
      <c r="AH490" s="5" t="str">
        <f ca="1">IFERROR(__xludf.DUMMYFUNCTION("""COMPUTED_VALUE"""),"Yes")</f>
        <v>Yes</v>
      </c>
      <c r="AI490" s="5" t="str">
        <f ca="1">IFERROR(__xludf.DUMMYFUNCTION("""COMPUTED_VALUE"""),"Yes")</f>
        <v>Yes</v>
      </c>
      <c r="AJ490" s="5" t="str">
        <f ca="1">IFERROR(__xludf.DUMMYFUNCTION("""COMPUTED_VALUE"""),"Yes")</f>
        <v>Yes</v>
      </c>
      <c r="AK490" s="5" t="str">
        <f ca="1">IFERROR(__xludf.DUMMYFUNCTION("""COMPUTED_VALUE"""),"Yes")</f>
        <v>Yes</v>
      </c>
      <c r="AL490" s="5" t="str">
        <f ca="1">IFERROR(__xludf.DUMMYFUNCTION("""COMPUTED_VALUE"""),"Yes")</f>
        <v>Yes</v>
      </c>
      <c r="AM490" s="5"/>
      <c r="AN490" s="5"/>
      <c r="AO490" s="5"/>
      <c r="AP490" s="5"/>
      <c r="AQ490" s="5"/>
      <c r="AR490" s="5"/>
      <c r="AS490" s="5"/>
      <c r="AT490" s="5"/>
      <c r="AU490" s="5"/>
      <c r="AV490" s="5"/>
      <c r="AW490" s="5"/>
      <c r="AX490" s="5"/>
      <c r="AY490" s="5"/>
    </row>
    <row r="491" spans="1:51" x14ac:dyDescent="0.25">
      <c r="A491" s="5" t="str">
        <f ca="1">IFERROR(__xludf.DUMMYFUNCTION("""COMPUTED_VALUE"""),"English(""eng""), Serbian(""""srp"",""srb""""), Bulgarian(""bul""), Spanish(""spa""), Portuguese(""por""), Italian(""ita""), Romanian(""rum/ron""), Croatian(""hrv""), French(""fre/fra""), German(""ger/deu""), Dutch(""dut/nld""), Turkish(""tur""), Greek("""&amp;"gre/ell""), Russian(""rus""), Czech(""cze/ces""), Hungarian(""hun""), Swahili(""swa""), Ukrainian(""ukr""), Chinese(""zho/chi"")")</f>
        <v>English("eng"), Serbian(""srp","srb""), Bulgarian("bul"), Spanish("spa"), Portuguese("por"), Italian("ita"), Romanian("rum/ron"), Croatian("hrv"), French("fre/fra"), German("ger/deu"), Dutch("dut/nld"), Turkish("tur"), Greek("gre/ell"), Russian("rus"), Czech("cze/ces"), Hungarian("hun"), Swahili("swa"), Ukrainian("ukr"), Chinese("zho/chi")</v>
      </c>
      <c r="B491" s="5">
        <f ca="1">IFERROR(__xludf.DUMMYFUNCTION("""COMPUTED_VALUE"""),520)</f>
        <v>520</v>
      </c>
      <c r="C491" s="5">
        <f ca="1">IFERROR(__xludf.DUMMYFUNCTION("""COMPUTED_VALUE"""),180019)</f>
        <v>180019</v>
      </c>
      <c r="D491" s="5" t="str">
        <f ca="1">IFERROR(__xludf.DUMMYFUNCTION("""COMPUTED_VALUE"""),"RedstoneDoubleWildCrown")</f>
        <v>RedstoneDoubleWildCrown</v>
      </c>
      <c r="E491" s="5" t="str">
        <f ca="1">IFERROR(__xludf.DUMMYFUNCTION("""COMPUTED_VALUE"""),"Yes")</f>
        <v>Yes</v>
      </c>
      <c r="F491" s="5" t="str">
        <f ca="1">IFERROR(__xludf.DUMMYFUNCTION("""COMPUTED_VALUE"""),"Yes")</f>
        <v>Yes</v>
      </c>
      <c r="G491" s="5" t="str">
        <f ca="1">IFERROR(__xludf.DUMMYFUNCTION("""COMPUTED_VALUE"""),"No")</f>
        <v>No</v>
      </c>
      <c r="H491" s="5" t="str">
        <f ca="1">IFERROR(__xludf.DUMMYFUNCTION("""COMPUTED_VALUE"""),"Yes")</f>
        <v>Yes</v>
      </c>
      <c r="I491" s="5" t="str">
        <f ca="1">IFERROR(__xludf.DUMMYFUNCTION("""COMPUTED_VALUE"""),"Yes")</f>
        <v>Yes</v>
      </c>
      <c r="J491" s="5" t="str">
        <f ca="1">IFERROR(__xludf.DUMMYFUNCTION("""COMPUTED_VALUE"""),"Yes")</f>
        <v>Yes</v>
      </c>
      <c r="K491" s="5" t="str">
        <f ca="1">IFERROR(__xludf.DUMMYFUNCTION("""COMPUTED_VALUE"""),"Yes")</f>
        <v>Yes</v>
      </c>
      <c r="L491" s="5" t="str">
        <f ca="1">IFERROR(__xludf.DUMMYFUNCTION("""COMPUTED_VALUE"""),"Yes")</f>
        <v>Yes</v>
      </c>
      <c r="M491" s="5" t="str">
        <f ca="1">IFERROR(__xludf.DUMMYFUNCTION("""COMPUTED_VALUE"""),"Yes")</f>
        <v>Yes</v>
      </c>
      <c r="N491" s="5" t="str">
        <f ca="1">IFERROR(__xludf.DUMMYFUNCTION("""COMPUTED_VALUE"""),"Yes")</f>
        <v>Yes</v>
      </c>
      <c r="O491" s="5" t="str">
        <f ca="1">IFERROR(__xludf.DUMMYFUNCTION("""COMPUTED_VALUE"""),"Yes")</f>
        <v>Yes</v>
      </c>
      <c r="P491" s="5" t="str">
        <f ca="1">IFERROR(__xludf.DUMMYFUNCTION("""COMPUTED_VALUE"""),"Yes")</f>
        <v>Yes</v>
      </c>
      <c r="Q491" s="5" t="str">
        <f ca="1">IFERROR(__xludf.DUMMYFUNCTION("""COMPUTED_VALUE"""),"Yes")</f>
        <v>Yes</v>
      </c>
      <c r="R491" s="5" t="str">
        <f ca="1">IFERROR(__xludf.DUMMYFUNCTION("""COMPUTED_VALUE"""),"Yes")</f>
        <v>Yes</v>
      </c>
      <c r="S491" s="5" t="str">
        <f ca="1">IFERROR(__xludf.DUMMYFUNCTION("""COMPUTED_VALUE"""),"Yes")</f>
        <v>Yes</v>
      </c>
      <c r="T491" s="5" t="str">
        <f ca="1">IFERROR(__xludf.DUMMYFUNCTION("""COMPUTED_VALUE"""),"Yes")</f>
        <v>Yes</v>
      </c>
      <c r="U491" s="5" t="str">
        <f ca="1">IFERROR(__xludf.DUMMYFUNCTION("""COMPUTED_VALUE"""),"Yes")</f>
        <v>Yes</v>
      </c>
      <c r="V491" s="5" t="str">
        <f ca="1">IFERROR(__xludf.DUMMYFUNCTION("""COMPUTED_VALUE"""),"No")</f>
        <v>No</v>
      </c>
      <c r="W491" s="5" t="str">
        <f ca="1">IFERROR(__xludf.DUMMYFUNCTION("""COMPUTED_VALUE"""),"No")</f>
        <v>No</v>
      </c>
      <c r="X491" s="5" t="str">
        <f ca="1">IFERROR(__xludf.DUMMYFUNCTION("""COMPUTED_VALUE"""),"No")</f>
        <v>No</v>
      </c>
      <c r="Y491" s="5" t="str">
        <f ca="1">IFERROR(__xludf.DUMMYFUNCTION("""COMPUTED_VALUE"""),"No")</f>
        <v>No</v>
      </c>
      <c r="Z491" s="5" t="str">
        <f ca="1">IFERROR(__xludf.DUMMYFUNCTION("""COMPUTED_VALUE"""),"No")</f>
        <v>No</v>
      </c>
      <c r="AA491" s="5" t="str">
        <f ca="1">IFERROR(__xludf.DUMMYFUNCTION("""COMPUTED_VALUE"""),"Yes")</f>
        <v>Yes</v>
      </c>
      <c r="AB491" s="5" t="str">
        <f ca="1">IFERROR(__xludf.DUMMYFUNCTION("""COMPUTED_VALUE"""),"No")</f>
        <v>No</v>
      </c>
      <c r="AC491" s="5" t="str">
        <f ca="1">IFERROR(__xludf.DUMMYFUNCTION("""COMPUTED_VALUE"""),"No")</f>
        <v>No</v>
      </c>
      <c r="AD491" s="5" t="str">
        <f ca="1">IFERROR(__xludf.DUMMYFUNCTION("""COMPUTED_VALUE"""),"No")</f>
        <v>No</v>
      </c>
      <c r="AE491" s="5" t="str">
        <f ca="1">IFERROR(__xludf.DUMMYFUNCTION("""COMPUTED_VALUE"""),"No")</f>
        <v>No</v>
      </c>
      <c r="AF491" s="5" t="str">
        <f ca="1">IFERROR(__xludf.DUMMYFUNCTION("""COMPUTED_VALUE"""),"Yes")</f>
        <v>Yes</v>
      </c>
      <c r="AG491" s="5" t="str">
        <f ca="1">IFERROR(__xludf.DUMMYFUNCTION("""COMPUTED_VALUE"""),"No")</f>
        <v>No</v>
      </c>
      <c r="AH491" s="5" t="str">
        <f ca="1">IFERROR(__xludf.DUMMYFUNCTION("""COMPUTED_VALUE"""),"Yes")</f>
        <v>Yes</v>
      </c>
      <c r="AI491" s="5" t="str">
        <f ca="1">IFERROR(__xludf.DUMMYFUNCTION("""COMPUTED_VALUE"""),"No")</f>
        <v>No</v>
      </c>
      <c r="AJ491" s="5" t="str">
        <f ca="1">IFERROR(__xludf.DUMMYFUNCTION("""COMPUTED_VALUE"""),"No")</f>
        <v>No</v>
      </c>
      <c r="AK491" s="5" t="str">
        <f ca="1">IFERROR(__xludf.DUMMYFUNCTION("""COMPUTED_VALUE"""),"No")</f>
        <v>No</v>
      </c>
      <c r="AL491" s="5" t="str">
        <f ca="1">IFERROR(__xludf.DUMMYFUNCTION("""COMPUTED_VALUE"""),"No")</f>
        <v>No</v>
      </c>
      <c r="AM491" s="5"/>
      <c r="AN491" s="5"/>
      <c r="AO491" s="5"/>
      <c r="AP491" s="5"/>
      <c r="AQ491" s="5"/>
      <c r="AR491" s="5"/>
      <c r="AS491" s="5"/>
      <c r="AT491" s="5"/>
      <c r="AU491" s="5"/>
      <c r="AV491" s="5"/>
      <c r="AW491" s="5"/>
      <c r="AX491" s="5"/>
      <c r="AY491" s="5"/>
    </row>
    <row r="492" spans="1:51" x14ac:dyDescent="0.25">
      <c r="A492" s="5" t="str">
        <f ca="1">IFERROR(__xludf.DUMMYFUNCTION("""COMPUTED_VALUE"""),"English(""eng""), Serbian(""""srp"",""srb""""), Bulgarian(""bul""), Spanish(""spa""), Portuguese(""por""), Italian(""ita""), Romanian(""rum/ron""), Croatian(""hrv""), French(""fre/fra""), German(""ger/deu""), Dutch(""dut/nld""), Turkish(""tur""), Greek("""&amp;"gre/ell""), Russian(""rus""), Social English(""sen""), Swahili(""swa""), Ukrainian(""ukr""), Chinese(""zho/chi"")")</f>
        <v>English("eng"), Serbian(""srp","srb""), Bulgarian("bul"), Spanish("spa"), Portuguese("por"), Italian("ita"), Romanian("rum/ron"), Croatian("hrv"), French("fre/fra"), German("ger/deu"), Dutch("dut/nld"), Turkish("tur"), Greek("gre/ell"), Russian("rus"), Social English("sen"), Swahili("swa"), Ukrainian("ukr"), Chinese("zho/chi")</v>
      </c>
      <c r="B492" s="5">
        <f ca="1">IFERROR(__xludf.DUMMYFUNCTION("""COMPUTED_VALUE"""),521)</f>
        <v>521</v>
      </c>
      <c r="C492" s="5">
        <f ca="1">IFERROR(__xludf.DUMMYFUNCTION("""COMPUTED_VALUE"""),180021)</f>
        <v>180021</v>
      </c>
      <c r="D492" s="5" t="str">
        <f ca="1">IFERROR(__xludf.DUMMYFUNCTION("""COMPUTED_VALUE"""),"RedstoneDoubleWildHeart")</f>
        <v>RedstoneDoubleWildHeart</v>
      </c>
      <c r="E492" s="5" t="str">
        <f ca="1">IFERROR(__xludf.DUMMYFUNCTION("""COMPUTED_VALUE"""),"Yes")</f>
        <v>Yes</v>
      </c>
      <c r="F492" s="5" t="str">
        <f ca="1">IFERROR(__xludf.DUMMYFUNCTION("""COMPUTED_VALUE"""),"Yes")</f>
        <v>Yes</v>
      </c>
      <c r="G492" s="5" t="str">
        <f ca="1">IFERROR(__xludf.DUMMYFUNCTION("""COMPUTED_VALUE"""),"No")</f>
        <v>No</v>
      </c>
      <c r="H492" s="5" t="str">
        <f ca="1">IFERROR(__xludf.DUMMYFUNCTION("""COMPUTED_VALUE"""),"Yes")</f>
        <v>Yes</v>
      </c>
      <c r="I492" s="5" t="str">
        <f ca="1">IFERROR(__xludf.DUMMYFUNCTION("""COMPUTED_VALUE"""),"Yes")</f>
        <v>Yes</v>
      </c>
      <c r="J492" s="5" t="str">
        <f ca="1">IFERROR(__xludf.DUMMYFUNCTION("""COMPUTED_VALUE"""),"Yes")</f>
        <v>Yes</v>
      </c>
      <c r="K492" s="5" t="str">
        <f ca="1">IFERROR(__xludf.DUMMYFUNCTION("""COMPUTED_VALUE"""),"Yes")</f>
        <v>Yes</v>
      </c>
      <c r="L492" s="5" t="str">
        <f ca="1">IFERROR(__xludf.DUMMYFUNCTION("""COMPUTED_VALUE"""),"Yes")</f>
        <v>Yes</v>
      </c>
      <c r="M492" s="5" t="str">
        <f ca="1">IFERROR(__xludf.DUMMYFUNCTION("""COMPUTED_VALUE"""),"Yes")</f>
        <v>Yes</v>
      </c>
      <c r="N492" s="5" t="str">
        <f ca="1">IFERROR(__xludf.DUMMYFUNCTION("""COMPUTED_VALUE"""),"Yes")</f>
        <v>Yes</v>
      </c>
      <c r="O492" s="5" t="str">
        <f ca="1">IFERROR(__xludf.DUMMYFUNCTION("""COMPUTED_VALUE"""),"Yes")</f>
        <v>Yes</v>
      </c>
      <c r="P492" s="5" t="str">
        <f ca="1">IFERROR(__xludf.DUMMYFUNCTION("""COMPUTED_VALUE"""),"Yes")</f>
        <v>Yes</v>
      </c>
      <c r="Q492" s="5" t="str">
        <f ca="1">IFERROR(__xludf.DUMMYFUNCTION("""COMPUTED_VALUE"""),"Yes")</f>
        <v>Yes</v>
      </c>
      <c r="R492" s="5" t="str">
        <f ca="1">IFERROR(__xludf.DUMMYFUNCTION("""COMPUTED_VALUE"""),"Yes")</f>
        <v>Yes</v>
      </c>
      <c r="S492" s="5" t="str">
        <f ca="1">IFERROR(__xludf.DUMMYFUNCTION("""COMPUTED_VALUE"""),"Yes")</f>
        <v>Yes</v>
      </c>
      <c r="T492" s="5" t="str">
        <f ca="1">IFERROR(__xludf.DUMMYFUNCTION("""COMPUTED_VALUE"""),"No")</f>
        <v>No</v>
      </c>
      <c r="U492" s="5" t="str">
        <f ca="1">IFERROR(__xludf.DUMMYFUNCTION("""COMPUTED_VALUE"""),"No")</f>
        <v>No</v>
      </c>
      <c r="V492" s="5" t="str">
        <f ca="1">IFERROR(__xludf.DUMMYFUNCTION("""COMPUTED_VALUE"""),"No")</f>
        <v>No</v>
      </c>
      <c r="W492" s="5" t="str">
        <f ca="1">IFERROR(__xludf.DUMMYFUNCTION("""COMPUTED_VALUE"""),"No")</f>
        <v>No</v>
      </c>
      <c r="X492" s="5" t="str">
        <f ca="1">IFERROR(__xludf.DUMMYFUNCTION("""COMPUTED_VALUE"""),"No")</f>
        <v>No</v>
      </c>
      <c r="Y492" s="5" t="str">
        <f ca="1">IFERROR(__xludf.DUMMYFUNCTION("""COMPUTED_VALUE"""),"Yes")</f>
        <v>Yes</v>
      </c>
      <c r="Z492" s="5" t="str">
        <f ca="1">IFERROR(__xludf.DUMMYFUNCTION("""COMPUTED_VALUE"""),"No")</f>
        <v>No</v>
      </c>
      <c r="AA492" s="5" t="str">
        <f ca="1">IFERROR(__xludf.DUMMYFUNCTION("""COMPUTED_VALUE"""),"Yes")</f>
        <v>Yes</v>
      </c>
      <c r="AB492" s="5" t="str">
        <f ca="1">IFERROR(__xludf.DUMMYFUNCTION("""COMPUTED_VALUE"""),"No")</f>
        <v>No</v>
      </c>
      <c r="AC492" s="5" t="str">
        <f ca="1">IFERROR(__xludf.DUMMYFUNCTION("""COMPUTED_VALUE"""),"No")</f>
        <v>No</v>
      </c>
      <c r="AD492" s="5" t="str">
        <f ca="1">IFERROR(__xludf.DUMMYFUNCTION("""COMPUTED_VALUE"""),"No")</f>
        <v>No</v>
      </c>
      <c r="AE492" s="5" t="str">
        <f ca="1">IFERROR(__xludf.DUMMYFUNCTION("""COMPUTED_VALUE"""),"No")</f>
        <v>No</v>
      </c>
      <c r="AF492" s="5" t="str">
        <f ca="1">IFERROR(__xludf.DUMMYFUNCTION("""COMPUTED_VALUE"""),"Yes")</f>
        <v>Yes</v>
      </c>
      <c r="AG492" s="5" t="str">
        <f ca="1">IFERROR(__xludf.DUMMYFUNCTION("""COMPUTED_VALUE"""),"No")</f>
        <v>No</v>
      </c>
      <c r="AH492" s="5" t="str">
        <f ca="1">IFERROR(__xludf.DUMMYFUNCTION("""COMPUTED_VALUE"""),"Yes")</f>
        <v>Yes</v>
      </c>
      <c r="AI492" s="5" t="str">
        <f ca="1">IFERROR(__xludf.DUMMYFUNCTION("""COMPUTED_VALUE"""),"No")</f>
        <v>No</v>
      </c>
      <c r="AJ492" s="5" t="str">
        <f ca="1">IFERROR(__xludf.DUMMYFUNCTION("""COMPUTED_VALUE"""),"No")</f>
        <v>No</v>
      </c>
      <c r="AK492" s="5" t="str">
        <f ca="1">IFERROR(__xludf.DUMMYFUNCTION("""COMPUTED_VALUE"""),"No")</f>
        <v>No</v>
      </c>
      <c r="AL492" s="5" t="str">
        <f ca="1">IFERROR(__xludf.DUMMYFUNCTION("""COMPUTED_VALUE"""),"No")</f>
        <v>No</v>
      </c>
      <c r="AM492" s="5"/>
      <c r="AN492" s="5"/>
      <c r="AO492" s="5"/>
      <c r="AP492" s="5"/>
      <c r="AQ492" s="5"/>
      <c r="AR492" s="5"/>
      <c r="AS492" s="5"/>
      <c r="AT492" s="5"/>
      <c r="AU492" s="5"/>
      <c r="AV492" s="5"/>
      <c r="AW492" s="5"/>
      <c r="AX492" s="5"/>
      <c r="AY492" s="5"/>
    </row>
    <row r="493" spans="1:51" x14ac:dyDescent="0.25">
      <c r="A493" s="5" t="str">
        <f ca="1">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 Chinese(""zho/chi"")")</f>
        <v>English("eng"), Serbian(""srp","srb""), Bulgarian("bul"), Spanish("spa"), Portuguese("por"), Italian("ita"), Romanian("rum/ron"), Croatian("hrv"), French("fre/fra"), German("ger/deu"), Dutch("dut/nld"), Turkish("tur"), Greek("gre/ell"), Russian("rus"), Czech("cze/ces"), Hungarian("hun"), N. Macedonian("mkd/mac"), Finnish("fin"), Swahili("swa"), Latvian("lav"), Ukrainian("ukr"), Chinese("zho/chi")</v>
      </c>
      <c r="B493" s="5">
        <f ca="1">IFERROR(__xludf.DUMMYFUNCTION("""COMPUTED_VALUE"""),522)</f>
        <v>522</v>
      </c>
      <c r="C493" s="5">
        <f ca="1">IFERROR(__xludf.DUMMYFUNCTION("""COMPUTED_VALUE"""),2000004)</f>
        <v>2000004</v>
      </c>
      <c r="D493" s="5" t="str">
        <f ca="1">IFERROR(__xludf.DUMMYFUNCTION("""COMPUTED_VALUE"""),"NovaPixelWheelOfJoker")</f>
        <v>NovaPixelWheelOfJoker</v>
      </c>
      <c r="E493" s="5" t="str">
        <f ca="1">IFERROR(__xludf.DUMMYFUNCTION("""COMPUTED_VALUE"""),"Yes")</f>
        <v>Yes</v>
      </c>
      <c r="F493" s="5" t="str">
        <f ca="1">IFERROR(__xludf.DUMMYFUNCTION("""COMPUTED_VALUE"""),"Yes")</f>
        <v>Yes</v>
      </c>
      <c r="G493" s="5" t="str">
        <f ca="1">IFERROR(__xludf.DUMMYFUNCTION("""COMPUTED_VALUE"""),"No")</f>
        <v>No</v>
      </c>
      <c r="H493" s="5" t="str">
        <f ca="1">IFERROR(__xludf.DUMMYFUNCTION("""COMPUTED_VALUE"""),"Yes")</f>
        <v>Yes</v>
      </c>
      <c r="I493" s="5" t="str">
        <f ca="1">IFERROR(__xludf.DUMMYFUNCTION("""COMPUTED_VALUE"""),"Yes")</f>
        <v>Yes</v>
      </c>
      <c r="J493" s="5" t="str">
        <f ca="1">IFERROR(__xludf.DUMMYFUNCTION("""COMPUTED_VALUE"""),"Yes")</f>
        <v>Yes</v>
      </c>
      <c r="K493" s="5" t="str">
        <f ca="1">IFERROR(__xludf.DUMMYFUNCTION("""COMPUTED_VALUE"""),"Yes")</f>
        <v>Yes</v>
      </c>
      <c r="L493" s="5" t="str">
        <f ca="1">IFERROR(__xludf.DUMMYFUNCTION("""COMPUTED_VALUE"""),"Yes")</f>
        <v>Yes</v>
      </c>
      <c r="M493" s="5" t="str">
        <f ca="1">IFERROR(__xludf.DUMMYFUNCTION("""COMPUTED_VALUE"""),"Yes")</f>
        <v>Yes</v>
      </c>
      <c r="N493" s="5" t="str">
        <f ca="1">IFERROR(__xludf.DUMMYFUNCTION("""COMPUTED_VALUE"""),"Yes")</f>
        <v>Yes</v>
      </c>
      <c r="O493" s="5" t="str">
        <f ca="1">IFERROR(__xludf.DUMMYFUNCTION("""COMPUTED_VALUE"""),"Yes")</f>
        <v>Yes</v>
      </c>
      <c r="P493" s="5" t="str">
        <f ca="1">IFERROR(__xludf.DUMMYFUNCTION("""COMPUTED_VALUE"""),"Yes")</f>
        <v>Yes</v>
      </c>
      <c r="Q493" s="5" t="str">
        <f ca="1">IFERROR(__xludf.DUMMYFUNCTION("""COMPUTED_VALUE"""),"Yes")</f>
        <v>Yes</v>
      </c>
      <c r="R493" s="5" t="str">
        <f ca="1">IFERROR(__xludf.DUMMYFUNCTION("""COMPUTED_VALUE"""),"Yes")</f>
        <v>Yes</v>
      </c>
      <c r="S493" s="5" t="str">
        <f ca="1">IFERROR(__xludf.DUMMYFUNCTION("""COMPUTED_VALUE"""),"Yes")</f>
        <v>Yes</v>
      </c>
      <c r="T493" s="5" t="str">
        <f ca="1">IFERROR(__xludf.DUMMYFUNCTION("""COMPUTED_VALUE"""),"Yes")</f>
        <v>Yes</v>
      </c>
      <c r="U493" s="5" t="str">
        <f ca="1">IFERROR(__xludf.DUMMYFUNCTION("""COMPUTED_VALUE"""),"Yes")</f>
        <v>Yes</v>
      </c>
      <c r="V493" s="5" t="str">
        <f ca="1">IFERROR(__xludf.DUMMYFUNCTION("""COMPUTED_VALUE"""),"Yes")</f>
        <v>Yes</v>
      </c>
      <c r="W493" s="5" t="str">
        <f ca="1">IFERROR(__xludf.DUMMYFUNCTION("""COMPUTED_VALUE"""),"Yes")</f>
        <v>Yes</v>
      </c>
      <c r="X493" s="5" t="str">
        <f ca="1">IFERROR(__xludf.DUMMYFUNCTION("""COMPUTED_VALUE"""),"No")</f>
        <v>No</v>
      </c>
      <c r="Y493" s="5" t="str">
        <f ca="1">IFERROR(__xludf.DUMMYFUNCTION("""COMPUTED_VALUE"""),"No")</f>
        <v>No</v>
      </c>
      <c r="Z493" s="5" t="str">
        <f ca="1">IFERROR(__xludf.DUMMYFUNCTION("""COMPUTED_VALUE"""),"No")</f>
        <v>No</v>
      </c>
      <c r="AA493" s="5" t="str">
        <f ca="1">IFERROR(__xludf.DUMMYFUNCTION("""COMPUTED_VALUE"""),"Yes")</f>
        <v>Yes</v>
      </c>
      <c r="AB493" s="5" t="str">
        <f ca="1">IFERROR(__xludf.DUMMYFUNCTION("""COMPUTED_VALUE"""),"No")</f>
        <v>No</v>
      </c>
      <c r="AC493" s="5" t="str">
        <f ca="1">IFERROR(__xludf.DUMMYFUNCTION("""COMPUTED_VALUE"""),"Yes")</f>
        <v>Yes</v>
      </c>
      <c r="AD493" s="5" t="str">
        <f ca="1">IFERROR(__xludf.DUMMYFUNCTION("""COMPUTED_VALUE"""),"No")</f>
        <v>No</v>
      </c>
      <c r="AE493" s="5" t="str">
        <f ca="1">IFERROR(__xludf.DUMMYFUNCTION("""COMPUTED_VALUE"""),"No")</f>
        <v>No</v>
      </c>
      <c r="AF493" s="5" t="str">
        <f ca="1">IFERROR(__xludf.DUMMYFUNCTION("""COMPUTED_VALUE"""),"Yes")</f>
        <v>Yes</v>
      </c>
      <c r="AG493" s="5" t="str">
        <f ca="1">IFERROR(__xludf.DUMMYFUNCTION("""COMPUTED_VALUE"""),"No")</f>
        <v>No</v>
      </c>
      <c r="AH493" s="5" t="str">
        <f ca="1">IFERROR(__xludf.DUMMYFUNCTION("""COMPUTED_VALUE"""),"Yes")</f>
        <v>Yes</v>
      </c>
      <c r="AI493" s="5" t="str">
        <f ca="1">IFERROR(__xludf.DUMMYFUNCTION("""COMPUTED_VALUE"""),"No")</f>
        <v>No</v>
      </c>
      <c r="AJ493" s="5" t="str">
        <f ca="1">IFERROR(__xludf.DUMMYFUNCTION("""COMPUTED_VALUE"""),"No")</f>
        <v>No</v>
      </c>
      <c r="AK493" s="5" t="str">
        <f ca="1">IFERROR(__xludf.DUMMYFUNCTION("""COMPUTED_VALUE"""),"No")</f>
        <v>No</v>
      </c>
      <c r="AL493" s="5" t="str">
        <f ca="1">IFERROR(__xludf.DUMMYFUNCTION("""COMPUTED_VALUE"""),"No")</f>
        <v>No</v>
      </c>
      <c r="AM493" s="5"/>
      <c r="AN493" s="5"/>
      <c r="AO493" s="5"/>
      <c r="AP493" s="5"/>
      <c r="AQ493" s="5"/>
      <c r="AR493" s="5"/>
      <c r="AS493" s="5"/>
      <c r="AT493" s="5"/>
      <c r="AU493" s="5"/>
      <c r="AV493" s="5"/>
      <c r="AW493" s="5"/>
      <c r="AX493" s="5"/>
      <c r="AY493" s="5"/>
    </row>
    <row r="494" spans="1:51" x14ac:dyDescent="0.25">
      <c r="A4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4" s="5">
        <f ca="1">IFERROR(__xludf.DUMMYFUNCTION("""COMPUTED_VALUE"""),523)</f>
        <v>523</v>
      </c>
      <c r="C494" s="5">
        <f ca="1">IFERROR(__xludf.DUMMYFUNCTION("""COMPUTED_VALUE"""),999988)</f>
        <v>999988</v>
      </c>
      <c r="D494" s="5" t="str">
        <f ca="1">IFERROR(__xludf.DUMMYFUNCTION("""COMPUTED_VALUE"""),"TBD-F2")</f>
        <v>TBD-F2</v>
      </c>
      <c r="E494" s="5" t="str">
        <f ca="1">IFERROR(__xludf.DUMMYFUNCTION("""COMPUTED_VALUE"""),"Yes")</f>
        <v>Yes</v>
      </c>
      <c r="F494" s="5" t="str">
        <f ca="1">IFERROR(__xludf.DUMMYFUNCTION("""COMPUTED_VALUE"""),"Yes")</f>
        <v>Yes</v>
      </c>
      <c r="G494" s="5" t="str">
        <f ca="1">IFERROR(__xludf.DUMMYFUNCTION("""COMPUTED_VALUE"""),"Yes")</f>
        <v>Yes</v>
      </c>
      <c r="H494" s="5" t="str">
        <f ca="1">IFERROR(__xludf.DUMMYFUNCTION("""COMPUTED_VALUE"""),"Yes")</f>
        <v>Yes</v>
      </c>
      <c r="I494" s="5" t="str">
        <f ca="1">IFERROR(__xludf.DUMMYFUNCTION("""COMPUTED_VALUE"""),"Yes")</f>
        <v>Yes</v>
      </c>
      <c r="J494" s="5" t="str">
        <f ca="1">IFERROR(__xludf.DUMMYFUNCTION("""COMPUTED_VALUE"""),"Yes")</f>
        <v>Yes</v>
      </c>
      <c r="K494" s="5" t="str">
        <f ca="1">IFERROR(__xludf.DUMMYFUNCTION("""COMPUTED_VALUE"""),"Yes")</f>
        <v>Yes</v>
      </c>
      <c r="L494" s="5" t="str">
        <f ca="1">IFERROR(__xludf.DUMMYFUNCTION("""COMPUTED_VALUE"""),"Yes")</f>
        <v>Yes</v>
      </c>
      <c r="M494" s="5" t="str">
        <f ca="1">IFERROR(__xludf.DUMMYFUNCTION("""COMPUTED_VALUE"""),"Yes")</f>
        <v>Yes</v>
      </c>
      <c r="N494" s="5" t="str">
        <f ca="1">IFERROR(__xludf.DUMMYFUNCTION("""COMPUTED_VALUE"""),"Yes")</f>
        <v>Yes</v>
      </c>
      <c r="O494" s="5" t="str">
        <f ca="1">IFERROR(__xludf.DUMMYFUNCTION("""COMPUTED_VALUE"""),"Yes")</f>
        <v>Yes</v>
      </c>
      <c r="P494" s="5" t="str">
        <f ca="1">IFERROR(__xludf.DUMMYFUNCTION("""COMPUTED_VALUE"""),"Yes")</f>
        <v>Yes</v>
      </c>
      <c r="Q494" s="5" t="str">
        <f ca="1">IFERROR(__xludf.DUMMYFUNCTION("""COMPUTED_VALUE"""),"Yes")</f>
        <v>Yes</v>
      </c>
      <c r="R494" s="5" t="str">
        <f ca="1">IFERROR(__xludf.DUMMYFUNCTION("""COMPUTED_VALUE"""),"Yes")</f>
        <v>Yes</v>
      </c>
      <c r="S494" s="5" t="str">
        <f ca="1">IFERROR(__xludf.DUMMYFUNCTION("""COMPUTED_VALUE"""),"Yes")</f>
        <v>Yes</v>
      </c>
      <c r="T494" s="5" t="str">
        <f ca="1">IFERROR(__xludf.DUMMYFUNCTION("""COMPUTED_VALUE"""),"Yes")</f>
        <v>Yes</v>
      </c>
      <c r="U494" s="5" t="str">
        <f ca="1">IFERROR(__xludf.DUMMYFUNCTION("""COMPUTED_VALUE"""),"Yes")</f>
        <v>Yes</v>
      </c>
      <c r="V494" s="5" t="str">
        <f ca="1">IFERROR(__xludf.DUMMYFUNCTION("""COMPUTED_VALUE"""),"Yes")</f>
        <v>Yes</v>
      </c>
      <c r="W494" s="5" t="str">
        <f ca="1">IFERROR(__xludf.DUMMYFUNCTION("""COMPUTED_VALUE"""),"Yes")</f>
        <v>Yes</v>
      </c>
      <c r="X494" s="5"/>
      <c r="Y494" s="5"/>
      <c r="Z494" s="5"/>
      <c r="AA494" s="5"/>
      <c r="AB494" s="5"/>
      <c r="AC494" s="5" t="str">
        <f ca="1">IFERROR(__xludf.DUMMYFUNCTION("""COMPUTED_VALUE"""),"Yes")</f>
        <v>Yes</v>
      </c>
      <c r="AD494" s="5"/>
      <c r="AE494" s="5"/>
      <c r="AF494" s="5"/>
      <c r="AG494" s="5"/>
      <c r="AH494" s="5"/>
      <c r="AI494" s="5"/>
      <c r="AJ494" s="5"/>
      <c r="AK494" s="5"/>
      <c r="AL494" s="5"/>
      <c r="AM494" s="5"/>
      <c r="AN494" s="5"/>
      <c r="AO494" s="5"/>
      <c r="AP494" s="5"/>
      <c r="AQ494" s="5"/>
      <c r="AR494" s="5"/>
      <c r="AS494" s="5"/>
      <c r="AT494" s="5"/>
      <c r="AU494" s="5"/>
      <c r="AV494" s="5"/>
      <c r="AW494" s="5"/>
      <c r="AX494" s="5"/>
      <c r="AY494" s="5"/>
    </row>
    <row r="495" spans="1:51" x14ac:dyDescent="0.25">
      <c r="A4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5" s="5">
        <f ca="1">IFERROR(__xludf.DUMMYFUNCTION("""COMPUTED_VALUE"""),524)</f>
        <v>524</v>
      </c>
      <c r="C495" s="5">
        <f ca="1">IFERROR(__xludf.DUMMYFUNCTION("""COMPUTED_VALUE"""),999985)</f>
        <v>999985</v>
      </c>
      <c r="D495" s="5" t="str">
        <f ca="1">IFERROR(__xludf.DUMMYFUNCTION("""COMPUTED_VALUE"""),"TBD-F3")</f>
        <v>TBD-F3</v>
      </c>
      <c r="E495" s="5" t="str">
        <f ca="1">IFERROR(__xludf.DUMMYFUNCTION("""COMPUTED_VALUE"""),"Yes")</f>
        <v>Yes</v>
      </c>
      <c r="F495" s="5" t="str">
        <f ca="1">IFERROR(__xludf.DUMMYFUNCTION("""COMPUTED_VALUE"""),"Yes")</f>
        <v>Yes</v>
      </c>
      <c r="G495" s="5" t="str">
        <f ca="1">IFERROR(__xludf.DUMMYFUNCTION("""COMPUTED_VALUE"""),"Yes")</f>
        <v>Yes</v>
      </c>
      <c r="H495" s="5" t="str">
        <f ca="1">IFERROR(__xludf.DUMMYFUNCTION("""COMPUTED_VALUE"""),"Yes")</f>
        <v>Yes</v>
      </c>
      <c r="I495" s="5" t="str">
        <f ca="1">IFERROR(__xludf.DUMMYFUNCTION("""COMPUTED_VALUE"""),"Yes")</f>
        <v>Yes</v>
      </c>
      <c r="J495" s="5" t="str">
        <f ca="1">IFERROR(__xludf.DUMMYFUNCTION("""COMPUTED_VALUE"""),"Yes")</f>
        <v>Yes</v>
      </c>
      <c r="K495" s="5" t="str">
        <f ca="1">IFERROR(__xludf.DUMMYFUNCTION("""COMPUTED_VALUE"""),"Yes")</f>
        <v>Yes</v>
      </c>
      <c r="L495" s="5" t="str">
        <f ca="1">IFERROR(__xludf.DUMMYFUNCTION("""COMPUTED_VALUE"""),"Yes")</f>
        <v>Yes</v>
      </c>
      <c r="M495" s="5" t="str">
        <f ca="1">IFERROR(__xludf.DUMMYFUNCTION("""COMPUTED_VALUE"""),"Yes")</f>
        <v>Yes</v>
      </c>
      <c r="N495" s="5" t="str">
        <f ca="1">IFERROR(__xludf.DUMMYFUNCTION("""COMPUTED_VALUE"""),"Yes")</f>
        <v>Yes</v>
      </c>
      <c r="O495" s="5" t="str">
        <f ca="1">IFERROR(__xludf.DUMMYFUNCTION("""COMPUTED_VALUE"""),"Yes")</f>
        <v>Yes</v>
      </c>
      <c r="P495" s="5" t="str">
        <f ca="1">IFERROR(__xludf.DUMMYFUNCTION("""COMPUTED_VALUE"""),"Yes")</f>
        <v>Yes</v>
      </c>
      <c r="Q495" s="5" t="str">
        <f ca="1">IFERROR(__xludf.DUMMYFUNCTION("""COMPUTED_VALUE"""),"Yes")</f>
        <v>Yes</v>
      </c>
      <c r="R495" s="5" t="str">
        <f ca="1">IFERROR(__xludf.DUMMYFUNCTION("""COMPUTED_VALUE"""),"Yes")</f>
        <v>Yes</v>
      </c>
      <c r="S495" s="5" t="str">
        <f ca="1">IFERROR(__xludf.DUMMYFUNCTION("""COMPUTED_VALUE"""),"Yes")</f>
        <v>Yes</v>
      </c>
      <c r="T495" s="5" t="str">
        <f ca="1">IFERROR(__xludf.DUMMYFUNCTION("""COMPUTED_VALUE"""),"Yes")</f>
        <v>Yes</v>
      </c>
      <c r="U495" s="5" t="str">
        <f ca="1">IFERROR(__xludf.DUMMYFUNCTION("""COMPUTED_VALUE"""),"Yes")</f>
        <v>Yes</v>
      </c>
      <c r="V495" s="5" t="str">
        <f ca="1">IFERROR(__xludf.DUMMYFUNCTION("""COMPUTED_VALUE"""),"Yes")</f>
        <v>Yes</v>
      </c>
      <c r="W495" s="5" t="str">
        <f ca="1">IFERROR(__xludf.DUMMYFUNCTION("""COMPUTED_VALUE"""),"Yes")</f>
        <v>Yes</v>
      </c>
      <c r="X495" s="5"/>
      <c r="Y495" s="5"/>
      <c r="Z495" s="5"/>
      <c r="AA495" s="5"/>
      <c r="AB495" s="5"/>
      <c r="AC495" s="5" t="str">
        <f ca="1">IFERROR(__xludf.DUMMYFUNCTION("""COMPUTED_VALUE"""),"Yes")</f>
        <v>Yes</v>
      </c>
      <c r="AD495" s="5"/>
      <c r="AE495" s="5"/>
      <c r="AF495" s="5"/>
      <c r="AG495" s="5"/>
      <c r="AH495" s="5"/>
      <c r="AI495" s="5"/>
      <c r="AJ495" s="5"/>
      <c r="AK495" s="5"/>
      <c r="AL495" s="5"/>
      <c r="AM495" s="5"/>
      <c r="AN495" s="5"/>
      <c r="AO495" s="5"/>
      <c r="AP495" s="5"/>
      <c r="AQ495" s="5"/>
      <c r="AR495" s="5"/>
      <c r="AS495" s="5"/>
      <c r="AT495" s="5"/>
      <c r="AU495" s="5"/>
      <c r="AV495" s="5"/>
      <c r="AW495" s="5"/>
      <c r="AX495" s="5"/>
      <c r="AY495" s="5"/>
    </row>
    <row r="496" spans="1:51" x14ac:dyDescent="0.25">
      <c r="A4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6" s="5">
        <f ca="1">IFERROR(__xludf.DUMMYFUNCTION("""COMPUTED_VALUE"""),525)</f>
        <v>525</v>
      </c>
      <c r="C496" s="5">
        <f ca="1">IFERROR(__xludf.DUMMYFUNCTION("""COMPUTED_VALUE"""),999982)</f>
        <v>999982</v>
      </c>
      <c r="D496" s="5" t="str">
        <f ca="1">IFERROR(__xludf.DUMMYFUNCTION("""COMPUTED_VALUE"""),"TBD-F4")</f>
        <v>TBD-F4</v>
      </c>
      <c r="E496" s="5" t="str">
        <f ca="1">IFERROR(__xludf.DUMMYFUNCTION("""COMPUTED_VALUE"""),"Yes")</f>
        <v>Yes</v>
      </c>
      <c r="F496" s="5" t="str">
        <f ca="1">IFERROR(__xludf.DUMMYFUNCTION("""COMPUTED_VALUE"""),"Yes")</f>
        <v>Yes</v>
      </c>
      <c r="G496" s="5" t="str">
        <f ca="1">IFERROR(__xludf.DUMMYFUNCTION("""COMPUTED_VALUE"""),"Yes")</f>
        <v>Yes</v>
      </c>
      <c r="H496" s="5" t="str">
        <f ca="1">IFERROR(__xludf.DUMMYFUNCTION("""COMPUTED_VALUE"""),"Yes")</f>
        <v>Yes</v>
      </c>
      <c r="I496" s="5" t="str">
        <f ca="1">IFERROR(__xludf.DUMMYFUNCTION("""COMPUTED_VALUE"""),"Yes")</f>
        <v>Yes</v>
      </c>
      <c r="J496" s="5" t="str">
        <f ca="1">IFERROR(__xludf.DUMMYFUNCTION("""COMPUTED_VALUE"""),"Yes")</f>
        <v>Yes</v>
      </c>
      <c r="K496" s="5" t="str">
        <f ca="1">IFERROR(__xludf.DUMMYFUNCTION("""COMPUTED_VALUE"""),"Yes")</f>
        <v>Yes</v>
      </c>
      <c r="L496" s="5" t="str">
        <f ca="1">IFERROR(__xludf.DUMMYFUNCTION("""COMPUTED_VALUE"""),"Yes")</f>
        <v>Yes</v>
      </c>
      <c r="M496" s="5" t="str">
        <f ca="1">IFERROR(__xludf.DUMMYFUNCTION("""COMPUTED_VALUE"""),"Yes")</f>
        <v>Yes</v>
      </c>
      <c r="N496" s="5" t="str">
        <f ca="1">IFERROR(__xludf.DUMMYFUNCTION("""COMPUTED_VALUE"""),"Yes")</f>
        <v>Yes</v>
      </c>
      <c r="O496" s="5" t="str">
        <f ca="1">IFERROR(__xludf.DUMMYFUNCTION("""COMPUTED_VALUE"""),"Yes")</f>
        <v>Yes</v>
      </c>
      <c r="P496" s="5" t="str">
        <f ca="1">IFERROR(__xludf.DUMMYFUNCTION("""COMPUTED_VALUE"""),"Yes")</f>
        <v>Yes</v>
      </c>
      <c r="Q496" s="5" t="str">
        <f ca="1">IFERROR(__xludf.DUMMYFUNCTION("""COMPUTED_VALUE"""),"Yes")</f>
        <v>Yes</v>
      </c>
      <c r="R496" s="5" t="str">
        <f ca="1">IFERROR(__xludf.DUMMYFUNCTION("""COMPUTED_VALUE"""),"Yes")</f>
        <v>Yes</v>
      </c>
      <c r="S496" s="5" t="str">
        <f ca="1">IFERROR(__xludf.DUMMYFUNCTION("""COMPUTED_VALUE"""),"Yes")</f>
        <v>Yes</v>
      </c>
      <c r="T496" s="5" t="str">
        <f ca="1">IFERROR(__xludf.DUMMYFUNCTION("""COMPUTED_VALUE"""),"Yes")</f>
        <v>Yes</v>
      </c>
      <c r="U496" s="5" t="str">
        <f ca="1">IFERROR(__xludf.DUMMYFUNCTION("""COMPUTED_VALUE"""),"Yes")</f>
        <v>Yes</v>
      </c>
      <c r="V496" s="5" t="str">
        <f ca="1">IFERROR(__xludf.DUMMYFUNCTION("""COMPUTED_VALUE"""),"Yes")</f>
        <v>Yes</v>
      </c>
      <c r="W496" s="5" t="str">
        <f ca="1">IFERROR(__xludf.DUMMYFUNCTION("""COMPUTED_VALUE"""),"Yes")</f>
        <v>Yes</v>
      </c>
      <c r="X496" s="5"/>
      <c r="Y496" s="5"/>
      <c r="Z496" s="5"/>
      <c r="AA496" s="5"/>
      <c r="AB496" s="5"/>
      <c r="AC496" s="5" t="str">
        <f ca="1">IFERROR(__xludf.DUMMYFUNCTION("""COMPUTED_VALUE"""),"Yes")</f>
        <v>Yes</v>
      </c>
      <c r="AD496" s="5"/>
      <c r="AE496" s="5"/>
      <c r="AF496" s="5"/>
      <c r="AG496" s="5"/>
      <c r="AH496" s="5"/>
      <c r="AI496" s="5"/>
      <c r="AJ496" s="5"/>
      <c r="AK496" s="5"/>
      <c r="AL496" s="5"/>
      <c r="AM496" s="5"/>
      <c r="AN496" s="5"/>
      <c r="AO496" s="5"/>
      <c r="AP496" s="5"/>
      <c r="AQ496" s="5"/>
      <c r="AR496" s="5"/>
      <c r="AS496" s="5"/>
      <c r="AT496" s="5"/>
      <c r="AU496" s="5"/>
      <c r="AV496" s="5"/>
      <c r="AW496" s="5"/>
      <c r="AX496" s="5"/>
      <c r="AY496" s="5"/>
    </row>
    <row r="497" spans="1:51" x14ac:dyDescent="0.25">
      <c r="A4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7" s="5">
        <f ca="1">IFERROR(__xludf.DUMMYFUNCTION("""COMPUTED_VALUE"""),526)</f>
        <v>526</v>
      </c>
      <c r="C497" s="5">
        <f ca="1">IFERROR(__xludf.DUMMYFUNCTION("""COMPUTED_VALUE"""),999981)</f>
        <v>999981</v>
      </c>
      <c r="D497" s="5" t="str">
        <f ca="1">IFERROR(__xludf.DUMMYFUNCTION("""COMPUTED_VALUE"""),"TBD-F5")</f>
        <v>TBD-F5</v>
      </c>
      <c r="E497" s="5" t="str">
        <f ca="1">IFERROR(__xludf.DUMMYFUNCTION("""COMPUTED_VALUE"""),"Yes")</f>
        <v>Yes</v>
      </c>
      <c r="F497" s="5" t="str">
        <f ca="1">IFERROR(__xludf.DUMMYFUNCTION("""COMPUTED_VALUE"""),"Yes")</f>
        <v>Yes</v>
      </c>
      <c r="G497" s="5" t="str">
        <f ca="1">IFERROR(__xludf.DUMMYFUNCTION("""COMPUTED_VALUE"""),"Yes")</f>
        <v>Yes</v>
      </c>
      <c r="H497" s="5" t="str">
        <f ca="1">IFERROR(__xludf.DUMMYFUNCTION("""COMPUTED_VALUE"""),"Yes")</f>
        <v>Yes</v>
      </c>
      <c r="I497" s="5" t="str">
        <f ca="1">IFERROR(__xludf.DUMMYFUNCTION("""COMPUTED_VALUE"""),"Yes")</f>
        <v>Yes</v>
      </c>
      <c r="J497" s="5" t="str">
        <f ca="1">IFERROR(__xludf.DUMMYFUNCTION("""COMPUTED_VALUE"""),"Yes")</f>
        <v>Yes</v>
      </c>
      <c r="K497" s="5" t="str">
        <f ca="1">IFERROR(__xludf.DUMMYFUNCTION("""COMPUTED_VALUE"""),"Yes")</f>
        <v>Yes</v>
      </c>
      <c r="L497" s="5" t="str">
        <f ca="1">IFERROR(__xludf.DUMMYFUNCTION("""COMPUTED_VALUE"""),"Yes")</f>
        <v>Yes</v>
      </c>
      <c r="M497" s="5" t="str">
        <f ca="1">IFERROR(__xludf.DUMMYFUNCTION("""COMPUTED_VALUE"""),"Yes")</f>
        <v>Yes</v>
      </c>
      <c r="N497" s="5" t="str">
        <f ca="1">IFERROR(__xludf.DUMMYFUNCTION("""COMPUTED_VALUE"""),"Yes")</f>
        <v>Yes</v>
      </c>
      <c r="O497" s="5" t="str">
        <f ca="1">IFERROR(__xludf.DUMMYFUNCTION("""COMPUTED_VALUE"""),"Yes")</f>
        <v>Yes</v>
      </c>
      <c r="P497" s="5" t="str">
        <f ca="1">IFERROR(__xludf.DUMMYFUNCTION("""COMPUTED_VALUE"""),"Yes")</f>
        <v>Yes</v>
      </c>
      <c r="Q497" s="5" t="str">
        <f ca="1">IFERROR(__xludf.DUMMYFUNCTION("""COMPUTED_VALUE"""),"Yes")</f>
        <v>Yes</v>
      </c>
      <c r="R497" s="5" t="str">
        <f ca="1">IFERROR(__xludf.DUMMYFUNCTION("""COMPUTED_VALUE"""),"Yes")</f>
        <v>Yes</v>
      </c>
      <c r="S497" s="5" t="str">
        <f ca="1">IFERROR(__xludf.DUMMYFUNCTION("""COMPUTED_VALUE"""),"Yes")</f>
        <v>Yes</v>
      </c>
      <c r="T497" s="5" t="str">
        <f ca="1">IFERROR(__xludf.DUMMYFUNCTION("""COMPUTED_VALUE"""),"Yes")</f>
        <v>Yes</v>
      </c>
      <c r="U497" s="5" t="str">
        <f ca="1">IFERROR(__xludf.DUMMYFUNCTION("""COMPUTED_VALUE"""),"Yes")</f>
        <v>Yes</v>
      </c>
      <c r="V497" s="5" t="str">
        <f ca="1">IFERROR(__xludf.DUMMYFUNCTION("""COMPUTED_VALUE"""),"Yes")</f>
        <v>Yes</v>
      </c>
      <c r="W497" s="5" t="str">
        <f ca="1">IFERROR(__xludf.DUMMYFUNCTION("""COMPUTED_VALUE"""),"Yes")</f>
        <v>Yes</v>
      </c>
      <c r="X497" s="5"/>
      <c r="Y497" s="5"/>
      <c r="Z497" s="5"/>
      <c r="AA497" s="5"/>
      <c r="AB497" s="5"/>
      <c r="AC497" s="5" t="str">
        <f ca="1">IFERROR(__xludf.DUMMYFUNCTION("""COMPUTED_VALUE"""),"Yes")</f>
        <v>Yes</v>
      </c>
      <c r="AD497" s="5"/>
      <c r="AE497" s="5"/>
      <c r="AF497" s="5"/>
      <c r="AG497" s="5"/>
      <c r="AH497" s="5"/>
      <c r="AI497" s="5"/>
      <c r="AJ497" s="5"/>
      <c r="AK497" s="5"/>
      <c r="AL497" s="5"/>
      <c r="AM497" s="5"/>
      <c r="AN497" s="5"/>
      <c r="AO497" s="5"/>
      <c r="AP497" s="5"/>
      <c r="AQ497" s="5"/>
      <c r="AR497" s="5"/>
      <c r="AS497" s="5"/>
      <c r="AT497" s="5"/>
      <c r="AU497" s="5"/>
      <c r="AV497" s="5"/>
      <c r="AW497" s="5"/>
      <c r="AX497" s="5"/>
      <c r="AY497" s="5"/>
    </row>
    <row r="498" spans="1:51" x14ac:dyDescent="0.25">
      <c r="A4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8" s="5">
        <f ca="1">IFERROR(__xludf.DUMMYFUNCTION("""COMPUTED_VALUE"""),527)</f>
        <v>527</v>
      </c>
      <c r="C498" s="5">
        <f ca="1">IFERROR(__xludf.DUMMYFUNCTION("""COMPUTED_VALUE"""),999980)</f>
        <v>999980</v>
      </c>
      <c r="D498" s="5" t="str">
        <f ca="1">IFERROR(__xludf.DUMMYFUNCTION("""COMPUTED_VALUE"""),"TBD-F6")</f>
        <v>TBD-F6</v>
      </c>
      <c r="E498" s="5" t="str">
        <f ca="1">IFERROR(__xludf.DUMMYFUNCTION("""COMPUTED_VALUE"""),"Yes")</f>
        <v>Yes</v>
      </c>
      <c r="F498" s="5" t="str">
        <f ca="1">IFERROR(__xludf.DUMMYFUNCTION("""COMPUTED_VALUE"""),"Yes")</f>
        <v>Yes</v>
      </c>
      <c r="G498" s="5" t="str">
        <f ca="1">IFERROR(__xludf.DUMMYFUNCTION("""COMPUTED_VALUE"""),"Yes")</f>
        <v>Yes</v>
      </c>
      <c r="H498" s="5" t="str">
        <f ca="1">IFERROR(__xludf.DUMMYFUNCTION("""COMPUTED_VALUE"""),"Yes")</f>
        <v>Yes</v>
      </c>
      <c r="I498" s="5" t="str">
        <f ca="1">IFERROR(__xludf.DUMMYFUNCTION("""COMPUTED_VALUE"""),"Yes")</f>
        <v>Yes</v>
      </c>
      <c r="J498" s="5" t="str">
        <f ca="1">IFERROR(__xludf.DUMMYFUNCTION("""COMPUTED_VALUE"""),"Yes")</f>
        <v>Yes</v>
      </c>
      <c r="K498" s="5" t="str">
        <f ca="1">IFERROR(__xludf.DUMMYFUNCTION("""COMPUTED_VALUE"""),"Yes")</f>
        <v>Yes</v>
      </c>
      <c r="L498" s="5" t="str">
        <f ca="1">IFERROR(__xludf.DUMMYFUNCTION("""COMPUTED_VALUE"""),"Yes")</f>
        <v>Yes</v>
      </c>
      <c r="M498" s="5" t="str">
        <f ca="1">IFERROR(__xludf.DUMMYFUNCTION("""COMPUTED_VALUE"""),"Yes")</f>
        <v>Yes</v>
      </c>
      <c r="N498" s="5" t="str">
        <f ca="1">IFERROR(__xludf.DUMMYFUNCTION("""COMPUTED_VALUE"""),"Yes")</f>
        <v>Yes</v>
      </c>
      <c r="O498" s="5" t="str">
        <f ca="1">IFERROR(__xludf.DUMMYFUNCTION("""COMPUTED_VALUE"""),"Yes")</f>
        <v>Yes</v>
      </c>
      <c r="P498" s="5" t="str">
        <f ca="1">IFERROR(__xludf.DUMMYFUNCTION("""COMPUTED_VALUE"""),"Yes")</f>
        <v>Yes</v>
      </c>
      <c r="Q498" s="5" t="str">
        <f ca="1">IFERROR(__xludf.DUMMYFUNCTION("""COMPUTED_VALUE"""),"Yes")</f>
        <v>Yes</v>
      </c>
      <c r="R498" s="5" t="str">
        <f ca="1">IFERROR(__xludf.DUMMYFUNCTION("""COMPUTED_VALUE"""),"Yes")</f>
        <v>Yes</v>
      </c>
      <c r="S498" s="5" t="str">
        <f ca="1">IFERROR(__xludf.DUMMYFUNCTION("""COMPUTED_VALUE"""),"Yes")</f>
        <v>Yes</v>
      </c>
      <c r="T498" s="5" t="str">
        <f ca="1">IFERROR(__xludf.DUMMYFUNCTION("""COMPUTED_VALUE"""),"Yes")</f>
        <v>Yes</v>
      </c>
      <c r="U498" s="5" t="str">
        <f ca="1">IFERROR(__xludf.DUMMYFUNCTION("""COMPUTED_VALUE"""),"Yes")</f>
        <v>Yes</v>
      </c>
      <c r="V498" s="5" t="str">
        <f ca="1">IFERROR(__xludf.DUMMYFUNCTION("""COMPUTED_VALUE"""),"Yes")</f>
        <v>Yes</v>
      </c>
      <c r="W498" s="5" t="str">
        <f ca="1">IFERROR(__xludf.DUMMYFUNCTION("""COMPUTED_VALUE"""),"Yes")</f>
        <v>Yes</v>
      </c>
      <c r="X498" s="5"/>
      <c r="Y498" s="5"/>
      <c r="Z498" s="5"/>
      <c r="AA498" s="5"/>
      <c r="AB498" s="5"/>
      <c r="AC498" s="5" t="str">
        <f ca="1">IFERROR(__xludf.DUMMYFUNCTION("""COMPUTED_VALUE"""),"Yes")</f>
        <v>Yes</v>
      </c>
      <c r="AD498" s="5"/>
      <c r="AE498" s="5"/>
      <c r="AF498" s="5"/>
      <c r="AG498" s="5"/>
      <c r="AH498" s="5"/>
      <c r="AI498" s="5"/>
      <c r="AJ498" s="5"/>
      <c r="AK498" s="5"/>
      <c r="AL498" s="5"/>
      <c r="AM498" s="5"/>
      <c r="AN498" s="5"/>
      <c r="AO498" s="5"/>
      <c r="AP498" s="5"/>
      <c r="AQ498" s="5"/>
      <c r="AR498" s="5"/>
      <c r="AS498" s="5"/>
      <c r="AT498" s="5"/>
      <c r="AU498" s="5"/>
      <c r="AV498" s="5"/>
      <c r="AW498" s="5"/>
      <c r="AX498" s="5"/>
      <c r="AY498" s="5"/>
    </row>
    <row r="499" spans="1:51" x14ac:dyDescent="0.25">
      <c r="A4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9" s="5">
        <f ca="1">IFERROR(__xludf.DUMMYFUNCTION("""COMPUTED_VALUE"""),528)</f>
        <v>528</v>
      </c>
      <c r="C499" s="5">
        <f ca="1">IFERROR(__xludf.DUMMYFUNCTION("""COMPUTED_VALUE"""),999979)</f>
        <v>999979</v>
      </c>
      <c r="D499" s="5" t="str">
        <f ca="1">IFERROR(__xludf.DUMMYFUNCTION("""COMPUTED_VALUE"""),"TBD-F7")</f>
        <v>TBD-F7</v>
      </c>
      <c r="E499" s="5" t="str">
        <f ca="1">IFERROR(__xludf.DUMMYFUNCTION("""COMPUTED_VALUE"""),"Yes")</f>
        <v>Yes</v>
      </c>
      <c r="F499" s="5" t="str">
        <f ca="1">IFERROR(__xludf.DUMMYFUNCTION("""COMPUTED_VALUE"""),"Yes")</f>
        <v>Yes</v>
      </c>
      <c r="G499" s="5" t="str">
        <f ca="1">IFERROR(__xludf.DUMMYFUNCTION("""COMPUTED_VALUE"""),"Yes")</f>
        <v>Yes</v>
      </c>
      <c r="H499" s="5" t="str">
        <f ca="1">IFERROR(__xludf.DUMMYFUNCTION("""COMPUTED_VALUE"""),"Yes")</f>
        <v>Yes</v>
      </c>
      <c r="I499" s="5" t="str">
        <f ca="1">IFERROR(__xludf.DUMMYFUNCTION("""COMPUTED_VALUE"""),"Yes")</f>
        <v>Yes</v>
      </c>
      <c r="J499" s="5" t="str">
        <f ca="1">IFERROR(__xludf.DUMMYFUNCTION("""COMPUTED_VALUE"""),"Yes")</f>
        <v>Yes</v>
      </c>
      <c r="K499" s="5" t="str">
        <f ca="1">IFERROR(__xludf.DUMMYFUNCTION("""COMPUTED_VALUE"""),"Yes")</f>
        <v>Yes</v>
      </c>
      <c r="L499" s="5" t="str">
        <f ca="1">IFERROR(__xludf.DUMMYFUNCTION("""COMPUTED_VALUE"""),"Yes")</f>
        <v>Yes</v>
      </c>
      <c r="M499" s="5" t="str">
        <f ca="1">IFERROR(__xludf.DUMMYFUNCTION("""COMPUTED_VALUE"""),"Yes")</f>
        <v>Yes</v>
      </c>
      <c r="N499" s="5" t="str">
        <f ca="1">IFERROR(__xludf.DUMMYFUNCTION("""COMPUTED_VALUE"""),"Yes")</f>
        <v>Yes</v>
      </c>
      <c r="O499" s="5" t="str">
        <f ca="1">IFERROR(__xludf.DUMMYFUNCTION("""COMPUTED_VALUE"""),"Yes")</f>
        <v>Yes</v>
      </c>
      <c r="P499" s="5" t="str">
        <f ca="1">IFERROR(__xludf.DUMMYFUNCTION("""COMPUTED_VALUE"""),"Yes")</f>
        <v>Yes</v>
      </c>
      <c r="Q499" s="5" t="str">
        <f ca="1">IFERROR(__xludf.DUMMYFUNCTION("""COMPUTED_VALUE"""),"Yes")</f>
        <v>Yes</v>
      </c>
      <c r="R499" s="5" t="str">
        <f ca="1">IFERROR(__xludf.DUMMYFUNCTION("""COMPUTED_VALUE"""),"Yes")</f>
        <v>Yes</v>
      </c>
      <c r="S499" s="5" t="str">
        <f ca="1">IFERROR(__xludf.DUMMYFUNCTION("""COMPUTED_VALUE"""),"Yes")</f>
        <v>Yes</v>
      </c>
      <c r="T499" s="5" t="str">
        <f ca="1">IFERROR(__xludf.DUMMYFUNCTION("""COMPUTED_VALUE"""),"Yes")</f>
        <v>Yes</v>
      </c>
      <c r="U499" s="5" t="str">
        <f ca="1">IFERROR(__xludf.DUMMYFUNCTION("""COMPUTED_VALUE"""),"Yes")</f>
        <v>Yes</v>
      </c>
      <c r="V499" s="5" t="str">
        <f ca="1">IFERROR(__xludf.DUMMYFUNCTION("""COMPUTED_VALUE"""),"Yes")</f>
        <v>Yes</v>
      </c>
      <c r="W499" s="5" t="str">
        <f ca="1">IFERROR(__xludf.DUMMYFUNCTION("""COMPUTED_VALUE"""),"Yes")</f>
        <v>Yes</v>
      </c>
      <c r="X499" s="5"/>
      <c r="Y499" s="5"/>
      <c r="Z499" s="5"/>
      <c r="AA499" s="5"/>
      <c r="AB499" s="5"/>
      <c r="AC499" s="5" t="str">
        <f ca="1">IFERROR(__xludf.DUMMYFUNCTION("""COMPUTED_VALUE"""),"Yes")</f>
        <v>Yes</v>
      </c>
      <c r="AD499" s="5"/>
      <c r="AE499" s="5"/>
      <c r="AF499" s="5"/>
      <c r="AG499" s="5"/>
      <c r="AH499" s="5"/>
      <c r="AI499" s="5"/>
      <c r="AJ499" s="5"/>
      <c r="AK499" s="5"/>
      <c r="AL499" s="5"/>
      <c r="AM499" s="5"/>
      <c r="AN499" s="5"/>
      <c r="AO499" s="5"/>
      <c r="AP499" s="5"/>
      <c r="AQ499" s="5"/>
      <c r="AR499" s="5"/>
      <c r="AS499" s="5"/>
      <c r="AT499" s="5"/>
      <c r="AU499" s="5"/>
      <c r="AV499" s="5"/>
      <c r="AW499" s="5"/>
      <c r="AX499" s="5"/>
      <c r="AY499" s="5"/>
    </row>
    <row r="500" spans="1:51" x14ac:dyDescent="0.25">
      <c r="A500" s="5" t="str">
        <f ca="1">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B500" s="5">
        <f ca="1">IFERROR(__xludf.DUMMYFUNCTION("""COMPUTED_VALUE"""),529)</f>
        <v>529</v>
      </c>
      <c r="C500" s="5">
        <f ca="1">IFERROR(__xludf.DUMMYFUNCTION("""COMPUTED_VALUE"""),999978)</f>
        <v>999978</v>
      </c>
      <c r="D500" s="5" t="str">
        <f ca="1">IFERROR(__xludf.DUMMYFUNCTION("""COMPUTED_VALUE"""),"TBD-F8")</f>
        <v>TBD-F8</v>
      </c>
      <c r="E500" s="5" t="str">
        <f ca="1">IFERROR(__xludf.DUMMYFUNCTION("""COMPUTED_VALUE"""),"Yes")</f>
        <v>Yes</v>
      </c>
      <c r="F500" s="5" t="str">
        <f ca="1">IFERROR(__xludf.DUMMYFUNCTION("""COMPUTED_VALUE"""),"Yes")</f>
        <v>Yes</v>
      </c>
      <c r="G500" s="5" t="str">
        <f ca="1">IFERROR(__xludf.DUMMYFUNCTION("""COMPUTED_VALUE"""),"Yes")</f>
        <v>Yes</v>
      </c>
      <c r="H500" s="5" t="str">
        <f ca="1">IFERROR(__xludf.DUMMYFUNCTION("""COMPUTED_VALUE"""),"Yes")</f>
        <v>Yes</v>
      </c>
      <c r="I500" s="5" t="str">
        <f ca="1">IFERROR(__xludf.DUMMYFUNCTION("""COMPUTED_VALUE"""),"Yes")</f>
        <v>Yes</v>
      </c>
      <c r="J500" s="5" t="str">
        <f ca="1">IFERROR(__xludf.DUMMYFUNCTION("""COMPUTED_VALUE"""),"Yes")</f>
        <v>Yes</v>
      </c>
      <c r="K500" s="5" t="str">
        <f ca="1">IFERROR(__xludf.DUMMYFUNCTION("""COMPUTED_VALUE"""),"Yes")</f>
        <v>Yes</v>
      </c>
      <c r="L500" s="5" t="str">
        <f ca="1">IFERROR(__xludf.DUMMYFUNCTION("""COMPUTED_VALUE"""),"Yes")</f>
        <v>Yes</v>
      </c>
      <c r="M500" s="5" t="str">
        <f ca="1">IFERROR(__xludf.DUMMYFUNCTION("""COMPUTED_VALUE"""),"Yes")</f>
        <v>Yes</v>
      </c>
      <c r="N500" s="5" t="str">
        <f ca="1">IFERROR(__xludf.DUMMYFUNCTION("""COMPUTED_VALUE"""),"Yes")</f>
        <v>Yes</v>
      </c>
      <c r="O500" s="5" t="str">
        <f ca="1">IFERROR(__xludf.DUMMYFUNCTION("""COMPUTED_VALUE"""),"Yes")</f>
        <v>Yes</v>
      </c>
      <c r="P500" s="5" t="str">
        <f ca="1">IFERROR(__xludf.DUMMYFUNCTION("""COMPUTED_VALUE"""),"Yes")</f>
        <v>Yes</v>
      </c>
      <c r="Q500" s="5" t="str">
        <f ca="1">IFERROR(__xludf.DUMMYFUNCTION("""COMPUTED_VALUE"""),"Yes")</f>
        <v>Yes</v>
      </c>
      <c r="R500" s="5" t="str">
        <f ca="1">IFERROR(__xludf.DUMMYFUNCTION("""COMPUTED_VALUE"""),"Yes")</f>
        <v>Yes</v>
      </c>
      <c r="S500" s="5" t="str">
        <f ca="1">IFERROR(__xludf.DUMMYFUNCTION("""COMPUTED_VALUE"""),"Yes")</f>
        <v>Yes</v>
      </c>
      <c r="T500" s="5"/>
      <c r="U500" s="5" t="str">
        <f ca="1">IFERROR(__xludf.DUMMYFUNCTION("""COMPUTED_VALUE"""),"Yes")</f>
        <v>Yes</v>
      </c>
      <c r="V500" s="5" t="str">
        <f ca="1">IFERROR(__xludf.DUMMYFUNCTION("""COMPUTED_VALUE"""),"Yes")</f>
        <v>Yes</v>
      </c>
      <c r="W500" s="5" t="str">
        <f ca="1">IFERROR(__xludf.DUMMYFUNCTION("""COMPUTED_VALUE"""),"Yes")</f>
        <v>Yes</v>
      </c>
      <c r="X500" s="5" t="str">
        <f ca="1">IFERROR(__xludf.DUMMYFUNCTION("""COMPUTED_VALUE"""),"Yes")</f>
        <v>Yes</v>
      </c>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row>
    <row r="501" spans="1:51" x14ac:dyDescent="0.25">
      <c r="A501" s="5" t="str">
        <f ca="1">IFERROR(__xludf.DUMMYFUNCTION("""COMPUTED_VALUE"""),"")</f>
        <v/>
      </c>
      <c r="B501" s="5">
        <f ca="1">IFERROR(__xludf.DUMMYFUNCTION("""COMPUTED_VALUE"""),530)</f>
        <v>530</v>
      </c>
      <c r="C501" s="5">
        <f ca="1">IFERROR(__xludf.DUMMYFUNCTION("""COMPUTED_VALUE"""),999975)</f>
        <v>999975</v>
      </c>
      <c r="D501" s="5" t="str">
        <f ca="1">IFERROR(__xludf.DUMMYFUNCTION("""COMPUTED_VALUE"""),"TBD-F9")</f>
        <v>TBD-F9</v>
      </c>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row>
    <row r="502" spans="1:51" x14ac:dyDescent="0.25">
      <c r="A502" s="5" t="str">
        <f ca="1">IFERROR(__xludf.DUMMYFUNCTION("""COMPUTED_VALUE"""),"")</f>
        <v/>
      </c>
      <c r="B502" s="5">
        <f ca="1">IFERROR(__xludf.DUMMYFUNCTION("""COMPUTED_VALUE"""),531)</f>
        <v>531</v>
      </c>
      <c r="C502" s="5">
        <f ca="1">IFERROR(__xludf.DUMMYFUNCTION("""COMPUTED_VALUE"""),999974)</f>
        <v>999974</v>
      </c>
      <c r="D502" s="5" t="str">
        <f ca="1">IFERROR(__xludf.DUMMYFUNCTION("""COMPUTED_VALUE"""),"TBD-F10")</f>
        <v>TBD-F10</v>
      </c>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row>
    <row r="503" spans="1:51" x14ac:dyDescent="0.25">
      <c r="A503" s="5" t="str">
        <f ca="1">IFERROR(__xludf.DUMMYFUNCTION("""COMPUTED_VALUE"""),"")</f>
        <v/>
      </c>
      <c r="B503" s="5">
        <f ca="1">IFERROR(__xludf.DUMMYFUNCTION("""COMPUTED_VALUE"""),532)</f>
        <v>532</v>
      </c>
      <c r="C503" s="5">
        <f ca="1">IFERROR(__xludf.DUMMYFUNCTION("""COMPUTED_VALUE"""),999973)</f>
        <v>999973</v>
      </c>
      <c r="D503" s="5" t="str">
        <f ca="1">IFERROR(__xludf.DUMMYFUNCTION("""COMPUTED_VALUE"""),"TBD-F11")</f>
        <v>TBD-F11</v>
      </c>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row>
    <row r="504" spans="1:51" x14ac:dyDescent="0.25">
      <c r="A504" s="5" t="str">
        <f ca="1">IFERROR(__xludf.DUMMYFUNCTION("""COMPUTED_VALUE"""),"")</f>
        <v/>
      </c>
      <c r="B504" s="5">
        <f ca="1">IFERROR(__xludf.DUMMYFUNCTION("""COMPUTED_VALUE"""),533)</f>
        <v>533</v>
      </c>
      <c r="C504" s="5">
        <f ca="1">IFERROR(__xludf.DUMMYFUNCTION("""COMPUTED_VALUE"""),999972)</f>
        <v>999972</v>
      </c>
      <c r="D504" s="5" t="str">
        <f ca="1">IFERROR(__xludf.DUMMYFUNCTION("""COMPUTED_VALUE"""),"TBD-F12")</f>
        <v>TBD-F12</v>
      </c>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row>
    <row r="505" spans="1:51" x14ac:dyDescent="0.25">
      <c r="A505" s="5" t="str">
        <f ca="1">IFERROR(__xludf.DUMMYFUNCTION("""COMPUTED_VALUE"""),"")</f>
        <v/>
      </c>
      <c r="B505" s="5">
        <f ca="1">IFERROR(__xludf.DUMMYFUNCTION("""COMPUTED_VALUE"""),534)</f>
        <v>534</v>
      </c>
      <c r="C505" s="5">
        <f ca="1">IFERROR(__xludf.DUMMYFUNCTION("""COMPUTED_VALUE"""),999971)</f>
        <v>999971</v>
      </c>
      <c r="D505" s="5" t="str">
        <f ca="1">IFERROR(__xludf.DUMMYFUNCTION("""COMPUTED_VALUE"""),"TBD-F13")</f>
        <v>TBD-F13</v>
      </c>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row>
    <row r="506" spans="1:51" x14ac:dyDescent="0.25">
      <c r="A506"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6" s="5">
        <f ca="1">IFERROR(__xludf.DUMMYFUNCTION("""COMPUTED_VALUE"""),536)</f>
        <v>536</v>
      </c>
      <c r="C506" s="5">
        <f ca="1">IFERROR(__xludf.DUMMYFUNCTION("""COMPUTED_VALUE"""),180023)</f>
        <v>180023</v>
      </c>
      <c r="D506" s="5" t="str">
        <f ca="1">IFERROR(__xludf.DUMMYFUNCTION("""COMPUTED_VALUE"""),"Redstone40WildCrown")</f>
        <v>Redstone40WildCrown</v>
      </c>
      <c r="E506" s="5" t="str">
        <f ca="1">IFERROR(__xludf.DUMMYFUNCTION("""COMPUTED_VALUE"""),"Yes")</f>
        <v>Yes</v>
      </c>
      <c r="F506" s="5" t="str">
        <f ca="1">IFERROR(__xludf.DUMMYFUNCTION("""COMPUTED_VALUE"""),"Yes")</f>
        <v>Yes</v>
      </c>
      <c r="G506" s="5" t="str">
        <f ca="1">IFERROR(__xludf.DUMMYFUNCTION("""COMPUTED_VALUE"""),"Yes")</f>
        <v>Yes</v>
      </c>
      <c r="H506" s="5" t="str">
        <f ca="1">IFERROR(__xludf.DUMMYFUNCTION("""COMPUTED_VALUE"""),"Yes")</f>
        <v>Yes</v>
      </c>
      <c r="I506" s="5" t="str">
        <f ca="1">IFERROR(__xludf.DUMMYFUNCTION("""COMPUTED_VALUE"""),"Yes")</f>
        <v>Yes</v>
      </c>
      <c r="J506" s="5" t="str">
        <f ca="1">IFERROR(__xludf.DUMMYFUNCTION("""COMPUTED_VALUE"""),"Yes")</f>
        <v>Yes</v>
      </c>
      <c r="K506" s="5" t="str">
        <f ca="1">IFERROR(__xludf.DUMMYFUNCTION("""COMPUTED_VALUE"""),"Yes")</f>
        <v>Yes</v>
      </c>
      <c r="L506" s="5" t="str">
        <f ca="1">IFERROR(__xludf.DUMMYFUNCTION("""COMPUTED_VALUE"""),"Yes")</f>
        <v>Yes</v>
      </c>
      <c r="M506" s="5" t="str">
        <f ca="1">IFERROR(__xludf.DUMMYFUNCTION("""COMPUTED_VALUE"""),"Yes")</f>
        <v>Yes</v>
      </c>
      <c r="N506" s="5" t="str">
        <f ca="1">IFERROR(__xludf.DUMMYFUNCTION("""COMPUTED_VALUE"""),"Yes")</f>
        <v>Yes</v>
      </c>
      <c r="O506" s="5" t="str">
        <f ca="1">IFERROR(__xludf.DUMMYFUNCTION("""COMPUTED_VALUE"""),"Yes")</f>
        <v>Yes</v>
      </c>
      <c r="P506" s="5" t="str">
        <f ca="1">IFERROR(__xludf.DUMMYFUNCTION("""COMPUTED_VALUE"""),"Yes")</f>
        <v>Yes</v>
      </c>
      <c r="Q506" s="5" t="str">
        <f ca="1">IFERROR(__xludf.DUMMYFUNCTION("""COMPUTED_VALUE"""),"Yes")</f>
        <v>Yes</v>
      </c>
      <c r="R506" s="5" t="str">
        <f ca="1">IFERROR(__xludf.DUMMYFUNCTION("""COMPUTED_VALUE"""),"Yes")</f>
        <v>Yes</v>
      </c>
      <c r="S506" s="5" t="str">
        <f ca="1">IFERROR(__xludf.DUMMYFUNCTION("""COMPUTED_VALUE"""),"Yes")</f>
        <v>Yes</v>
      </c>
      <c r="T506" s="5" t="str">
        <f ca="1">IFERROR(__xludf.DUMMYFUNCTION("""COMPUTED_VALUE"""),"No")</f>
        <v>No</v>
      </c>
      <c r="U506" s="5" t="str">
        <f ca="1">IFERROR(__xludf.DUMMYFUNCTION("""COMPUTED_VALUE"""),"No")</f>
        <v>No</v>
      </c>
      <c r="V506" s="5" t="str">
        <f ca="1">IFERROR(__xludf.DUMMYFUNCTION("""COMPUTED_VALUE"""),"No")</f>
        <v>No</v>
      </c>
      <c r="W506" s="5" t="str">
        <f ca="1">IFERROR(__xludf.DUMMYFUNCTION("""COMPUTED_VALUE"""),"No")</f>
        <v>No</v>
      </c>
      <c r="X506" s="5" t="str">
        <f ca="1">IFERROR(__xludf.DUMMYFUNCTION("""COMPUTED_VALUE"""),"No")</f>
        <v>No</v>
      </c>
      <c r="Y506" s="5" t="str">
        <f ca="1">IFERROR(__xludf.DUMMYFUNCTION("""COMPUTED_VALUE"""),"No")</f>
        <v>No</v>
      </c>
      <c r="Z506" s="5" t="str">
        <f ca="1">IFERROR(__xludf.DUMMYFUNCTION("""COMPUTED_VALUE"""),"No")</f>
        <v>No</v>
      </c>
      <c r="AA506" s="5" t="str">
        <f ca="1">IFERROR(__xludf.DUMMYFUNCTION("""COMPUTED_VALUE"""),"Yes")</f>
        <v>Yes</v>
      </c>
      <c r="AB506" s="5" t="str">
        <f ca="1">IFERROR(__xludf.DUMMYFUNCTION("""COMPUTED_VALUE"""),"No")</f>
        <v>No</v>
      </c>
      <c r="AC506" s="5" t="str">
        <f ca="1">IFERROR(__xludf.DUMMYFUNCTION("""COMPUTED_VALUE"""),"No")</f>
        <v>No</v>
      </c>
      <c r="AD506" s="5" t="str">
        <f ca="1">IFERROR(__xludf.DUMMYFUNCTION("""COMPUTED_VALUE"""),"No")</f>
        <v>No</v>
      </c>
      <c r="AE506" s="5" t="str">
        <f ca="1">IFERROR(__xludf.DUMMYFUNCTION("""COMPUTED_VALUE"""),"No")</f>
        <v>No</v>
      </c>
      <c r="AF506" s="5" t="str">
        <f ca="1">IFERROR(__xludf.DUMMYFUNCTION("""COMPUTED_VALUE"""),"Yes")</f>
        <v>Yes</v>
      </c>
      <c r="AG506" s="5" t="str">
        <f ca="1">IFERROR(__xludf.DUMMYFUNCTION("""COMPUTED_VALUE"""),"No")</f>
        <v>No</v>
      </c>
      <c r="AH506" s="5" t="str">
        <f ca="1">IFERROR(__xludf.DUMMYFUNCTION("""COMPUTED_VALUE"""),"Yes")</f>
        <v>Yes</v>
      </c>
      <c r="AI506" s="5" t="str">
        <f ca="1">IFERROR(__xludf.DUMMYFUNCTION("""COMPUTED_VALUE"""),"No")</f>
        <v>No</v>
      </c>
      <c r="AJ506" s="5" t="str">
        <f ca="1">IFERROR(__xludf.DUMMYFUNCTION("""COMPUTED_VALUE"""),"No")</f>
        <v>No</v>
      </c>
      <c r="AK506" s="5" t="str">
        <f ca="1">IFERROR(__xludf.DUMMYFUNCTION("""COMPUTED_VALUE"""),"No")</f>
        <v>No</v>
      </c>
      <c r="AL506" s="5" t="str">
        <f ca="1">IFERROR(__xludf.DUMMYFUNCTION("""COMPUTED_VALUE"""),"No")</f>
        <v>No</v>
      </c>
      <c r="AM506" s="5"/>
      <c r="AN506" s="5"/>
      <c r="AO506" s="5"/>
      <c r="AP506" s="5"/>
      <c r="AQ506" s="5"/>
      <c r="AR506" s="5"/>
      <c r="AS506" s="5"/>
      <c r="AT506" s="5"/>
      <c r="AU506" s="5"/>
      <c r="AV506" s="5"/>
      <c r="AW506" s="5"/>
      <c r="AX506" s="5"/>
      <c r="AY506" s="5"/>
    </row>
    <row r="507" spans="1:51" x14ac:dyDescent="0.25">
      <c r="A507"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7" s="5">
        <f ca="1">IFERROR(__xludf.DUMMYFUNCTION("""COMPUTED_VALUE"""),537)</f>
        <v>537</v>
      </c>
      <c r="C507" s="5">
        <f ca="1">IFERROR(__xludf.DUMMYFUNCTION("""COMPUTED_VALUE"""),180024)</f>
        <v>180024</v>
      </c>
      <c r="D507" s="5" t="str">
        <f ca="1">IFERROR(__xludf.DUMMYFUNCTION("""COMPUTED_VALUE"""),"RedstoneDoubleCrown5")</f>
        <v>RedstoneDoubleCrown5</v>
      </c>
      <c r="E507" s="5" t="str">
        <f ca="1">IFERROR(__xludf.DUMMYFUNCTION("""COMPUTED_VALUE"""),"Yes")</f>
        <v>Yes</v>
      </c>
      <c r="F507" s="5" t="str">
        <f ca="1">IFERROR(__xludf.DUMMYFUNCTION("""COMPUTED_VALUE"""),"Yes")</f>
        <v>Yes</v>
      </c>
      <c r="G507" s="5" t="str">
        <f ca="1">IFERROR(__xludf.DUMMYFUNCTION("""COMPUTED_VALUE"""),"Yes")</f>
        <v>Yes</v>
      </c>
      <c r="H507" s="5" t="str">
        <f ca="1">IFERROR(__xludf.DUMMYFUNCTION("""COMPUTED_VALUE"""),"Yes")</f>
        <v>Yes</v>
      </c>
      <c r="I507" s="5" t="str">
        <f ca="1">IFERROR(__xludf.DUMMYFUNCTION("""COMPUTED_VALUE"""),"Yes")</f>
        <v>Yes</v>
      </c>
      <c r="J507" s="5" t="str">
        <f ca="1">IFERROR(__xludf.DUMMYFUNCTION("""COMPUTED_VALUE"""),"Yes")</f>
        <v>Yes</v>
      </c>
      <c r="K507" s="5" t="str">
        <f ca="1">IFERROR(__xludf.DUMMYFUNCTION("""COMPUTED_VALUE"""),"Yes")</f>
        <v>Yes</v>
      </c>
      <c r="L507" s="5" t="str">
        <f ca="1">IFERROR(__xludf.DUMMYFUNCTION("""COMPUTED_VALUE"""),"Yes")</f>
        <v>Yes</v>
      </c>
      <c r="M507" s="5" t="str">
        <f ca="1">IFERROR(__xludf.DUMMYFUNCTION("""COMPUTED_VALUE"""),"Yes")</f>
        <v>Yes</v>
      </c>
      <c r="N507" s="5" t="str">
        <f ca="1">IFERROR(__xludf.DUMMYFUNCTION("""COMPUTED_VALUE"""),"Yes")</f>
        <v>Yes</v>
      </c>
      <c r="O507" s="5" t="str">
        <f ca="1">IFERROR(__xludf.DUMMYFUNCTION("""COMPUTED_VALUE"""),"Yes")</f>
        <v>Yes</v>
      </c>
      <c r="P507" s="5" t="str">
        <f ca="1">IFERROR(__xludf.DUMMYFUNCTION("""COMPUTED_VALUE"""),"Yes")</f>
        <v>Yes</v>
      </c>
      <c r="Q507" s="5" t="str">
        <f ca="1">IFERROR(__xludf.DUMMYFUNCTION("""COMPUTED_VALUE"""),"Yes")</f>
        <v>Yes</v>
      </c>
      <c r="R507" s="5" t="str">
        <f ca="1">IFERROR(__xludf.DUMMYFUNCTION("""COMPUTED_VALUE"""),"Yes")</f>
        <v>Yes</v>
      </c>
      <c r="S507" s="5" t="str">
        <f ca="1">IFERROR(__xludf.DUMMYFUNCTION("""COMPUTED_VALUE"""),"Yes")</f>
        <v>Yes</v>
      </c>
      <c r="T507" s="5" t="str">
        <f ca="1">IFERROR(__xludf.DUMMYFUNCTION("""COMPUTED_VALUE"""),"No")</f>
        <v>No</v>
      </c>
      <c r="U507" s="5" t="str">
        <f ca="1">IFERROR(__xludf.DUMMYFUNCTION("""COMPUTED_VALUE"""),"No")</f>
        <v>No</v>
      </c>
      <c r="V507" s="5" t="str">
        <f ca="1">IFERROR(__xludf.DUMMYFUNCTION("""COMPUTED_VALUE"""),"No")</f>
        <v>No</v>
      </c>
      <c r="W507" s="5" t="str">
        <f ca="1">IFERROR(__xludf.DUMMYFUNCTION("""COMPUTED_VALUE"""),"No")</f>
        <v>No</v>
      </c>
      <c r="X507" s="5" t="str">
        <f ca="1">IFERROR(__xludf.DUMMYFUNCTION("""COMPUTED_VALUE"""),"No")</f>
        <v>No</v>
      </c>
      <c r="Y507" s="5" t="str">
        <f ca="1">IFERROR(__xludf.DUMMYFUNCTION("""COMPUTED_VALUE"""),"No")</f>
        <v>No</v>
      </c>
      <c r="Z507" s="5" t="str">
        <f ca="1">IFERROR(__xludf.DUMMYFUNCTION("""COMPUTED_VALUE"""),"No")</f>
        <v>No</v>
      </c>
      <c r="AA507" s="5" t="str">
        <f ca="1">IFERROR(__xludf.DUMMYFUNCTION("""COMPUTED_VALUE"""),"Yes")</f>
        <v>Yes</v>
      </c>
      <c r="AB507" s="5" t="str">
        <f ca="1">IFERROR(__xludf.DUMMYFUNCTION("""COMPUTED_VALUE"""),"No")</f>
        <v>No</v>
      </c>
      <c r="AC507" s="5" t="str">
        <f ca="1">IFERROR(__xludf.DUMMYFUNCTION("""COMPUTED_VALUE"""),"No")</f>
        <v>No</v>
      </c>
      <c r="AD507" s="5" t="str">
        <f ca="1">IFERROR(__xludf.DUMMYFUNCTION("""COMPUTED_VALUE"""),"No")</f>
        <v>No</v>
      </c>
      <c r="AE507" s="5" t="str">
        <f ca="1">IFERROR(__xludf.DUMMYFUNCTION("""COMPUTED_VALUE"""),"No")</f>
        <v>No</v>
      </c>
      <c r="AF507" s="5" t="str">
        <f ca="1">IFERROR(__xludf.DUMMYFUNCTION("""COMPUTED_VALUE"""),"Yes")</f>
        <v>Yes</v>
      </c>
      <c r="AG507" s="5" t="str">
        <f ca="1">IFERROR(__xludf.DUMMYFUNCTION("""COMPUTED_VALUE"""),"No")</f>
        <v>No</v>
      </c>
      <c r="AH507" s="5" t="str">
        <f ca="1">IFERROR(__xludf.DUMMYFUNCTION("""COMPUTED_VALUE"""),"Yes")</f>
        <v>Yes</v>
      </c>
      <c r="AI507" s="5" t="str">
        <f ca="1">IFERROR(__xludf.DUMMYFUNCTION("""COMPUTED_VALUE"""),"No")</f>
        <v>No</v>
      </c>
      <c r="AJ507" s="5" t="str">
        <f ca="1">IFERROR(__xludf.DUMMYFUNCTION("""COMPUTED_VALUE"""),"No")</f>
        <v>No</v>
      </c>
      <c r="AK507" s="5" t="str">
        <f ca="1">IFERROR(__xludf.DUMMYFUNCTION("""COMPUTED_VALUE"""),"No")</f>
        <v>No</v>
      </c>
      <c r="AL507" s="5" t="str">
        <f ca="1">IFERROR(__xludf.DUMMYFUNCTION("""COMPUTED_VALUE"""),"No")</f>
        <v>No</v>
      </c>
      <c r="AM507" s="5"/>
      <c r="AN507" s="5"/>
      <c r="AO507" s="5"/>
      <c r="AP507" s="5"/>
      <c r="AQ507" s="5"/>
      <c r="AR507" s="5"/>
      <c r="AS507" s="5"/>
      <c r="AT507" s="5"/>
      <c r="AU507" s="5"/>
      <c r="AV507" s="5"/>
      <c r="AW507" s="5"/>
      <c r="AX507" s="5"/>
      <c r="AY507" s="5"/>
    </row>
    <row r="508" spans="1:51" x14ac:dyDescent="0.25">
      <c r="A50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8" s="5">
        <f ca="1">IFERROR(__xludf.DUMMYFUNCTION("""COMPUTED_VALUE"""),538)</f>
        <v>538</v>
      </c>
      <c r="C508" s="5">
        <f ca="1">IFERROR(__xludf.DUMMYFUNCTION("""COMPUTED_VALUE"""),180025)</f>
        <v>180025</v>
      </c>
      <c r="D508" s="5" t="str">
        <f ca="1">IFERROR(__xludf.DUMMYFUNCTION("""COMPUTED_VALUE"""),"RedstoneHeartRoyale")</f>
        <v>RedstoneHeartRoyale</v>
      </c>
      <c r="E508" s="5" t="str">
        <f ca="1">IFERROR(__xludf.DUMMYFUNCTION("""COMPUTED_VALUE"""),"Yes")</f>
        <v>Yes</v>
      </c>
      <c r="F508" s="5" t="str">
        <f ca="1">IFERROR(__xludf.DUMMYFUNCTION("""COMPUTED_VALUE"""),"Yes")</f>
        <v>Yes</v>
      </c>
      <c r="G508" s="5" t="str">
        <f ca="1">IFERROR(__xludf.DUMMYFUNCTION("""COMPUTED_VALUE"""),"No")</f>
        <v>No</v>
      </c>
      <c r="H508" s="5" t="str">
        <f ca="1">IFERROR(__xludf.DUMMYFUNCTION("""COMPUTED_VALUE"""),"Yes")</f>
        <v>Yes</v>
      </c>
      <c r="I508" s="5" t="str">
        <f ca="1">IFERROR(__xludf.DUMMYFUNCTION("""COMPUTED_VALUE"""),"Yes")</f>
        <v>Yes</v>
      </c>
      <c r="J508" s="5" t="str">
        <f ca="1">IFERROR(__xludf.DUMMYFUNCTION("""COMPUTED_VALUE"""),"Yes")</f>
        <v>Yes</v>
      </c>
      <c r="K508" s="5" t="str">
        <f ca="1">IFERROR(__xludf.DUMMYFUNCTION("""COMPUTED_VALUE"""),"Yes")</f>
        <v>Yes</v>
      </c>
      <c r="L508" s="5" t="str">
        <f ca="1">IFERROR(__xludf.DUMMYFUNCTION("""COMPUTED_VALUE"""),"Yes")</f>
        <v>Yes</v>
      </c>
      <c r="M508" s="5" t="str">
        <f ca="1">IFERROR(__xludf.DUMMYFUNCTION("""COMPUTED_VALUE"""),"Yes")</f>
        <v>Yes</v>
      </c>
      <c r="N508" s="5" t="str">
        <f ca="1">IFERROR(__xludf.DUMMYFUNCTION("""COMPUTED_VALUE"""),"Yes")</f>
        <v>Yes</v>
      </c>
      <c r="O508" s="5" t="str">
        <f ca="1">IFERROR(__xludf.DUMMYFUNCTION("""COMPUTED_VALUE"""),"Yes")</f>
        <v>Yes</v>
      </c>
      <c r="P508" s="5" t="str">
        <f ca="1">IFERROR(__xludf.DUMMYFUNCTION("""COMPUTED_VALUE"""),"Yes")</f>
        <v>Yes</v>
      </c>
      <c r="Q508" s="5" t="str">
        <f ca="1">IFERROR(__xludf.DUMMYFUNCTION("""COMPUTED_VALUE"""),"Yes")</f>
        <v>Yes</v>
      </c>
      <c r="R508" s="5" t="str">
        <f ca="1">IFERROR(__xludf.DUMMYFUNCTION("""COMPUTED_VALUE"""),"Yes")</f>
        <v>Yes</v>
      </c>
      <c r="S508" s="5" t="str">
        <f ca="1">IFERROR(__xludf.DUMMYFUNCTION("""COMPUTED_VALUE"""),"Yes")</f>
        <v>Yes</v>
      </c>
      <c r="T508" s="5" t="str">
        <f ca="1">IFERROR(__xludf.DUMMYFUNCTION("""COMPUTED_VALUE"""),"No")</f>
        <v>No</v>
      </c>
      <c r="U508" s="5" t="str">
        <f ca="1">IFERROR(__xludf.DUMMYFUNCTION("""COMPUTED_VALUE"""),"No")</f>
        <v>No</v>
      </c>
      <c r="V508" s="5" t="str">
        <f ca="1">IFERROR(__xludf.DUMMYFUNCTION("""COMPUTED_VALUE"""),"No")</f>
        <v>No</v>
      </c>
      <c r="W508" s="5" t="str">
        <f ca="1">IFERROR(__xludf.DUMMYFUNCTION("""COMPUTED_VALUE"""),"No")</f>
        <v>No</v>
      </c>
      <c r="X508" s="5" t="str">
        <f ca="1">IFERROR(__xludf.DUMMYFUNCTION("""COMPUTED_VALUE"""),"No")</f>
        <v>No</v>
      </c>
      <c r="Y508" s="5" t="str">
        <f ca="1">IFERROR(__xludf.DUMMYFUNCTION("""COMPUTED_VALUE"""),"No")</f>
        <v>No</v>
      </c>
      <c r="Z508" s="5" t="str">
        <f ca="1">IFERROR(__xludf.DUMMYFUNCTION("""COMPUTED_VALUE"""),"No")</f>
        <v>No</v>
      </c>
      <c r="AA508" s="5" t="str">
        <f ca="1">IFERROR(__xludf.DUMMYFUNCTION("""COMPUTED_VALUE"""),"Yes")</f>
        <v>Yes</v>
      </c>
      <c r="AB508" s="5" t="str">
        <f ca="1">IFERROR(__xludf.DUMMYFUNCTION("""COMPUTED_VALUE"""),"No")</f>
        <v>No</v>
      </c>
      <c r="AC508" s="5" t="str">
        <f ca="1">IFERROR(__xludf.DUMMYFUNCTION("""COMPUTED_VALUE"""),"No")</f>
        <v>No</v>
      </c>
      <c r="AD508" s="5" t="str">
        <f ca="1">IFERROR(__xludf.DUMMYFUNCTION("""COMPUTED_VALUE"""),"No")</f>
        <v>No</v>
      </c>
      <c r="AE508" s="5" t="str">
        <f ca="1">IFERROR(__xludf.DUMMYFUNCTION("""COMPUTED_VALUE"""),"No")</f>
        <v>No</v>
      </c>
      <c r="AF508" s="5" t="str">
        <f ca="1">IFERROR(__xludf.DUMMYFUNCTION("""COMPUTED_VALUE"""),"Yes")</f>
        <v>Yes</v>
      </c>
      <c r="AG508" s="5" t="str">
        <f ca="1">IFERROR(__xludf.DUMMYFUNCTION("""COMPUTED_VALUE"""),"No")</f>
        <v>No</v>
      </c>
      <c r="AH508" s="5" t="str">
        <f ca="1">IFERROR(__xludf.DUMMYFUNCTION("""COMPUTED_VALUE"""),"Yes")</f>
        <v>Yes</v>
      </c>
      <c r="AI508" s="5" t="str">
        <f ca="1">IFERROR(__xludf.DUMMYFUNCTION("""COMPUTED_VALUE"""),"No")</f>
        <v>No</v>
      </c>
      <c r="AJ508" s="5" t="str">
        <f ca="1">IFERROR(__xludf.DUMMYFUNCTION("""COMPUTED_VALUE"""),"No")</f>
        <v>No</v>
      </c>
      <c r="AK508" s="5" t="str">
        <f ca="1">IFERROR(__xludf.DUMMYFUNCTION("""COMPUTED_VALUE"""),"No")</f>
        <v>No</v>
      </c>
      <c r="AL508" s="5" t="str">
        <f ca="1">IFERROR(__xludf.DUMMYFUNCTION("""COMPUTED_VALUE"""),"No")</f>
        <v>No</v>
      </c>
      <c r="AM508" s="5"/>
      <c r="AN508" s="5"/>
      <c r="AO508" s="5"/>
      <c r="AP508" s="5"/>
      <c r="AQ508" s="5"/>
      <c r="AR508" s="5"/>
      <c r="AS508" s="5"/>
      <c r="AT508" s="5"/>
      <c r="AU508" s="5"/>
      <c r="AV508" s="5"/>
      <c r="AW508" s="5"/>
      <c r="AX508" s="5"/>
      <c r="AY508" s="5"/>
    </row>
    <row r="509" spans="1:51" x14ac:dyDescent="0.25">
      <c r="A50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9" s="5">
        <f ca="1">IFERROR(__xludf.DUMMYFUNCTION("""COMPUTED_VALUE"""),539)</f>
        <v>539</v>
      </c>
      <c r="C509" s="5">
        <f ca="1">IFERROR(__xludf.DUMMYFUNCTION("""COMPUTED_VALUE"""),180026)</f>
        <v>180026</v>
      </c>
      <c r="D509" s="5" t="str">
        <f ca="1">IFERROR(__xludf.DUMMYFUNCTION("""COMPUTED_VALUE"""),"RedstoneReelX527Ways")</f>
        <v>RedstoneReelX527Ways</v>
      </c>
      <c r="E509" s="5" t="str">
        <f ca="1">IFERROR(__xludf.DUMMYFUNCTION("""COMPUTED_VALUE"""),"Yes")</f>
        <v>Yes</v>
      </c>
      <c r="F509" s="5" t="str">
        <f ca="1">IFERROR(__xludf.DUMMYFUNCTION("""COMPUTED_VALUE"""),"Yes")</f>
        <v>Yes</v>
      </c>
      <c r="G509" s="5" t="str">
        <f ca="1">IFERROR(__xludf.DUMMYFUNCTION("""COMPUTED_VALUE"""),"No")</f>
        <v>No</v>
      </c>
      <c r="H509" s="5" t="str">
        <f ca="1">IFERROR(__xludf.DUMMYFUNCTION("""COMPUTED_VALUE"""),"Yes")</f>
        <v>Yes</v>
      </c>
      <c r="I509" s="5" t="str">
        <f ca="1">IFERROR(__xludf.DUMMYFUNCTION("""COMPUTED_VALUE"""),"Yes")</f>
        <v>Yes</v>
      </c>
      <c r="J509" s="5" t="str">
        <f ca="1">IFERROR(__xludf.DUMMYFUNCTION("""COMPUTED_VALUE"""),"Yes")</f>
        <v>Yes</v>
      </c>
      <c r="K509" s="5" t="str">
        <f ca="1">IFERROR(__xludf.DUMMYFUNCTION("""COMPUTED_VALUE"""),"Yes")</f>
        <v>Yes</v>
      </c>
      <c r="L509" s="5" t="str">
        <f ca="1">IFERROR(__xludf.DUMMYFUNCTION("""COMPUTED_VALUE"""),"Yes")</f>
        <v>Yes</v>
      </c>
      <c r="M509" s="5" t="str">
        <f ca="1">IFERROR(__xludf.DUMMYFUNCTION("""COMPUTED_VALUE"""),"Yes")</f>
        <v>Yes</v>
      </c>
      <c r="N509" s="5" t="str">
        <f ca="1">IFERROR(__xludf.DUMMYFUNCTION("""COMPUTED_VALUE"""),"Yes")</f>
        <v>Yes</v>
      </c>
      <c r="O509" s="5" t="str">
        <f ca="1">IFERROR(__xludf.DUMMYFUNCTION("""COMPUTED_VALUE"""),"Yes")</f>
        <v>Yes</v>
      </c>
      <c r="P509" s="5" t="str">
        <f ca="1">IFERROR(__xludf.DUMMYFUNCTION("""COMPUTED_VALUE"""),"Yes")</f>
        <v>Yes</v>
      </c>
      <c r="Q509" s="5" t="str">
        <f ca="1">IFERROR(__xludf.DUMMYFUNCTION("""COMPUTED_VALUE"""),"Yes")</f>
        <v>Yes</v>
      </c>
      <c r="R509" s="5" t="str">
        <f ca="1">IFERROR(__xludf.DUMMYFUNCTION("""COMPUTED_VALUE"""),"Yes")</f>
        <v>Yes</v>
      </c>
      <c r="S509" s="5" t="str">
        <f ca="1">IFERROR(__xludf.DUMMYFUNCTION("""COMPUTED_VALUE"""),"Yes")</f>
        <v>Yes</v>
      </c>
      <c r="T509" s="5" t="str">
        <f ca="1">IFERROR(__xludf.DUMMYFUNCTION("""COMPUTED_VALUE"""),"No")</f>
        <v>No</v>
      </c>
      <c r="U509" s="5" t="str">
        <f ca="1">IFERROR(__xludf.DUMMYFUNCTION("""COMPUTED_VALUE"""),"No")</f>
        <v>No</v>
      </c>
      <c r="V509" s="5" t="str">
        <f ca="1">IFERROR(__xludf.DUMMYFUNCTION("""COMPUTED_VALUE"""),"No")</f>
        <v>No</v>
      </c>
      <c r="W509" s="5" t="str">
        <f ca="1">IFERROR(__xludf.DUMMYFUNCTION("""COMPUTED_VALUE"""),"No")</f>
        <v>No</v>
      </c>
      <c r="X509" s="5" t="str">
        <f ca="1">IFERROR(__xludf.DUMMYFUNCTION("""COMPUTED_VALUE"""),"No")</f>
        <v>No</v>
      </c>
      <c r="Y509" s="5" t="str">
        <f ca="1">IFERROR(__xludf.DUMMYFUNCTION("""COMPUTED_VALUE"""),"No")</f>
        <v>No</v>
      </c>
      <c r="Z509" s="5" t="str">
        <f ca="1">IFERROR(__xludf.DUMMYFUNCTION("""COMPUTED_VALUE"""),"No")</f>
        <v>No</v>
      </c>
      <c r="AA509" s="5" t="str">
        <f ca="1">IFERROR(__xludf.DUMMYFUNCTION("""COMPUTED_VALUE"""),"Yes")</f>
        <v>Yes</v>
      </c>
      <c r="AB509" s="5" t="str">
        <f ca="1">IFERROR(__xludf.DUMMYFUNCTION("""COMPUTED_VALUE"""),"No")</f>
        <v>No</v>
      </c>
      <c r="AC509" s="5" t="str">
        <f ca="1">IFERROR(__xludf.DUMMYFUNCTION("""COMPUTED_VALUE"""),"No")</f>
        <v>No</v>
      </c>
      <c r="AD509" s="5" t="str">
        <f ca="1">IFERROR(__xludf.DUMMYFUNCTION("""COMPUTED_VALUE"""),"No")</f>
        <v>No</v>
      </c>
      <c r="AE509" s="5" t="str">
        <f ca="1">IFERROR(__xludf.DUMMYFUNCTION("""COMPUTED_VALUE"""),"No")</f>
        <v>No</v>
      </c>
      <c r="AF509" s="5" t="str">
        <f ca="1">IFERROR(__xludf.DUMMYFUNCTION("""COMPUTED_VALUE"""),"Yes")</f>
        <v>Yes</v>
      </c>
      <c r="AG509" s="5" t="str">
        <f ca="1">IFERROR(__xludf.DUMMYFUNCTION("""COMPUTED_VALUE"""),"No")</f>
        <v>No</v>
      </c>
      <c r="AH509" s="5" t="str">
        <f ca="1">IFERROR(__xludf.DUMMYFUNCTION("""COMPUTED_VALUE"""),"Yes")</f>
        <v>Yes</v>
      </c>
      <c r="AI509" s="5" t="str">
        <f ca="1">IFERROR(__xludf.DUMMYFUNCTION("""COMPUTED_VALUE"""),"No")</f>
        <v>No</v>
      </c>
      <c r="AJ509" s="5" t="str">
        <f ca="1">IFERROR(__xludf.DUMMYFUNCTION("""COMPUTED_VALUE"""),"No")</f>
        <v>No</v>
      </c>
      <c r="AK509" s="5" t="str">
        <f ca="1">IFERROR(__xludf.DUMMYFUNCTION("""COMPUTED_VALUE"""),"No")</f>
        <v>No</v>
      </c>
      <c r="AL509" s="5" t="str">
        <f ca="1">IFERROR(__xludf.DUMMYFUNCTION("""COMPUTED_VALUE"""),"No")</f>
        <v>No</v>
      </c>
      <c r="AM509" s="5"/>
      <c r="AN509" s="5"/>
      <c r="AO509" s="5"/>
      <c r="AP509" s="5"/>
      <c r="AQ509" s="5"/>
      <c r="AR509" s="5"/>
      <c r="AS509" s="5"/>
      <c r="AT509" s="5"/>
      <c r="AU509" s="5"/>
      <c r="AV509" s="5"/>
      <c r="AW509" s="5"/>
      <c r="AX509" s="5"/>
      <c r="AY509" s="5"/>
    </row>
    <row r="510" spans="1:51" x14ac:dyDescent="0.25">
      <c r="A51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0" s="5">
        <f ca="1">IFERROR(__xludf.DUMMYFUNCTION("""COMPUTED_VALUE"""),540)</f>
        <v>540</v>
      </c>
      <c r="C510" s="5">
        <f ca="1">IFERROR(__xludf.DUMMYFUNCTION("""COMPUTED_VALUE"""),180027)</f>
        <v>180027</v>
      </c>
      <c r="D510" s="5" t="str">
        <f ca="1">IFERROR(__xludf.DUMMYFUNCTION("""COMPUTED_VALUE"""),"RedstoneCrownDrop")</f>
        <v>RedstoneCrownDrop</v>
      </c>
      <c r="E510" s="5" t="str">
        <f ca="1">IFERROR(__xludf.DUMMYFUNCTION("""COMPUTED_VALUE"""),"Yes")</f>
        <v>Yes</v>
      </c>
      <c r="F510" s="5" t="str">
        <f ca="1">IFERROR(__xludf.DUMMYFUNCTION("""COMPUTED_VALUE"""),"Yes")</f>
        <v>Yes</v>
      </c>
      <c r="G510" s="5" t="str">
        <f ca="1">IFERROR(__xludf.DUMMYFUNCTION("""COMPUTED_VALUE"""),"No")</f>
        <v>No</v>
      </c>
      <c r="H510" s="5" t="str">
        <f ca="1">IFERROR(__xludf.DUMMYFUNCTION("""COMPUTED_VALUE"""),"Yes")</f>
        <v>Yes</v>
      </c>
      <c r="I510" s="5" t="str">
        <f ca="1">IFERROR(__xludf.DUMMYFUNCTION("""COMPUTED_VALUE"""),"Yes")</f>
        <v>Yes</v>
      </c>
      <c r="J510" s="5" t="str">
        <f ca="1">IFERROR(__xludf.DUMMYFUNCTION("""COMPUTED_VALUE"""),"Yes")</f>
        <v>Yes</v>
      </c>
      <c r="K510" s="5" t="str">
        <f ca="1">IFERROR(__xludf.DUMMYFUNCTION("""COMPUTED_VALUE"""),"Yes")</f>
        <v>Yes</v>
      </c>
      <c r="L510" s="5" t="str">
        <f ca="1">IFERROR(__xludf.DUMMYFUNCTION("""COMPUTED_VALUE"""),"Yes")</f>
        <v>Yes</v>
      </c>
      <c r="M510" s="5" t="str">
        <f ca="1">IFERROR(__xludf.DUMMYFUNCTION("""COMPUTED_VALUE"""),"Yes")</f>
        <v>Yes</v>
      </c>
      <c r="N510" s="5" t="str">
        <f ca="1">IFERROR(__xludf.DUMMYFUNCTION("""COMPUTED_VALUE"""),"Yes")</f>
        <v>Yes</v>
      </c>
      <c r="O510" s="5" t="str">
        <f ca="1">IFERROR(__xludf.DUMMYFUNCTION("""COMPUTED_VALUE"""),"Yes")</f>
        <v>Yes</v>
      </c>
      <c r="P510" s="5" t="str">
        <f ca="1">IFERROR(__xludf.DUMMYFUNCTION("""COMPUTED_VALUE"""),"Yes")</f>
        <v>Yes</v>
      </c>
      <c r="Q510" s="5" t="str">
        <f ca="1">IFERROR(__xludf.DUMMYFUNCTION("""COMPUTED_VALUE"""),"Yes")</f>
        <v>Yes</v>
      </c>
      <c r="R510" s="5" t="str">
        <f ca="1">IFERROR(__xludf.DUMMYFUNCTION("""COMPUTED_VALUE"""),"Yes")</f>
        <v>Yes</v>
      </c>
      <c r="S510" s="5" t="str">
        <f ca="1">IFERROR(__xludf.DUMMYFUNCTION("""COMPUTED_VALUE"""),"Yes")</f>
        <v>Yes</v>
      </c>
      <c r="T510" s="5" t="str">
        <f ca="1">IFERROR(__xludf.DUMMYFUNCTION("""COMPUTED_VALUE"""),"No")</f>
        <v>No</v>
      </c>
      <c r="U510" s="5" t="str">
        <f ca="1">IFERROR(__xludf.DUMMYFUNCTION("""COMPUTED_VALUE"""),"No")</f>
        <v>No</v>
      </c>
      <c r="V510" s="5" t="str">
        <f ca="1">IFERROR(__xludf.DUMMYFUNCTION("""COMPUTED_VALUE"""),"No")</f>
        <v>No</v>
      </c>
      <c r="W510" s="5" t="str">
        <f ca="1">IFERROR(__xludf.DUMMYFUNCTION("""COMPUTED_VALUE"""),"No")</f>
        <v>No</v>
      </c>
      <c r="X510" s="5" t="str">
        <f ca="1">IFERROR(__xludf.DUMMYFUNCTION("""COMPUTED_VALUE"""),"No")</f>
        <v>No</v>
      </c>
      <c r="Y510" s="5" t="str">
        <f ca="1">IFERROR(__xludf.DUMMYFUNCTION("""COMPUTED_VALUE"""),"No")</f>
        <v>No</v>
      </c>
      <c r="Z510" s="5" t="str">
        <f ca="1">IFERROR(__xludf.DUMMYFUNCTION("""COMPUTED_VALUE"""),"No")</f>
        <v>No</v>
      </c>
      <c r="AA510" s="5" t="str">
        <f ca="1">IFERROR(__xludf.DUMMYFUNCTION("""COMPUTED_VALUE"""),"Yes")</f>
        <v>Yes</v>
      </c>
      <c r="AB510" s="5" t="str">
        <f ca="1">IFERROR(__xludf.DUMMYFUNCTION("""COMPUTED_VALUE"""),"No")</f>
        <v>No</v>
      </c>
      <c r="AC510" s="5" t="str">
        <f ca="1">IFERROR(__xludf.DUMMYFUNCTION("""COMPUTED_VALUE"""),"No")</f>
        <v>No</v>
      </c>
      <c r="AD510" s="5" t="str">
        <f ca="1">IFERROR(__xludf.DUMMYFUNCTION("""COMPUTED_VALUE"""),"No")</f>
        <v>No</v>
      </c>
      <c r="AE510" s="5" t="str">
        <f ca="1">IFERROR(__xludf.DUMMYFUNCTION("""COMPUTED_VALUE"""),"No")</f>
        <v>No</v>
      </c>
      <c r="AF510" s="5" t="str">
        <f ca="1">IFERROR(__xludf.DUMMYFUNCTION("""COMPUTED_VALUE"""),"Yes")</f>
        <v>Yes</v>
      </c>
      <c r="AG510" s="5" t="str">
        <f ca="1">IFERROR(__xludf.DUMMYFUNCTION("""COMPUTED_VALUE"""),"No")</f>
        <v>No</v>
      </c>
      <c r="AH510" s="5" t="str">
        <f ca="1">IFERROR(__xludf.DUMMYFUNCTION("""COMPUTED_VALUE"""),"Yes")</f>
        <v>Yes</v>
      </c>
      <c r="AI510" s="5" t="str">
        <f ca="1">IFERROR(__xludf.DUMMYFUNCTION("""COMPUTED_VALUE"""),"No")</f>
        <v>No</v>
      </c>
      <c r="AJ510" s="5" t="str">
        <f ca="1">IFERROR(__xludf.DUMMYFUNCTION("""COMPUTED_VALUE"""),"No")</f>
        <v>No</v>
      </c>
      <c r="AK510" s="5" t="str">
        <f ca="1">IFERROR(__xludf.DUMMYFUNCTION("""COMPUTED_VALUE"""),"No")</f>
        <v>No</v>
      </c>
      <c r="AL510" s="5" t="str">
        <f ca="1">IFERROR(__xludf.DUMMYFUNCTION("""COMPUTED_VALUE"""),"No")</f>
        <v>No</v>
      </c>
      <c r="AM510" s="5"/>
      <c r="AN510" s="5"/>
      <c r="AO510" s="5"/>
      <c r="AP510" s="5"/>
      <c r="AQ510" s="5"/>
      <c r="AR510" s="5"/>
      <c r="AS510" s="5"/>
      <c r="AT510" s="5"/>
      <c r="AU510" s="5"/>
      <c r="AV510" s="5"/>
      <c r="AW510" s="5"/>
      <c r="AX510" s="5"/>
      <c r="AY510" s="5"/>
    </row>
    <row r="511" spans="1:51" x14ac:dyDescent="0.25">
      <c r="A511"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1" s="5">
        <f ca="1">IFERROR(__xludf.DUMMYFUNCTION("""COMPUTED_VALUE"""),541)</f>
        <v>541</v>
      </c>
      <c r="C511" s="5">
        <f ca="1">IFERROR(__xludf.DUMMYFUNCTION("""COMPUTED_VALUE"""),180028)</f>
        <v>180028</v>
      </c>
      <c r="D511" s="5" t="str">
        <f ca="1">IFERROR(__xludf.DUMMYFUNCTION("""COMPUTED_VALUE"""),"Redstone5CloverFire6Reels")</f>
        <v>Redstone5CloverFire6Reels</v>
      </c>
      <c r="E511" s="5" t="str">
        <f ca="1">IFERROR(__xludf.DUMMYFUNCTION("""COMPUTED_VALUE"""),"Yes")</f>
        <v>Yes</v>
      </c>
      <c r="F511" s="5" t="str">
        <f ca="1">IFERROR(__xludf.DUMMYFUNCTION("""COMPUTED_VALUE"""),"Yes")</f>
        <v>Yes</v>
      </c>
      <c r="G511" s="5" t="str">
        <f ca="1">IFERROR(__xludf.DUMMYFUNCTION("""COMPUTED_VALUE"""),"No")</f>
        <v>No</v>
      </c>
      <c r="H511" s="5" t="str">
        <f ca="1">IFERROR(__xludf.DUMMYFUNCTION("""COMPUTED_VALUE"""),"Yes")</f>
        <v>Yes</v>
      </c>
      <c r="I511" s="5" t="str">
        <f ca="1">IFERROR(__xludf.DUMMYFUNCTION("""COMPUTED_VALUE"""),"Yes")</f>
        <v>Yes</v>
      </c>
      <c r="J511" s="5" t="str">
        <f ca="1">IFERROR(__xludf.DUMMYFUNCTION("""COMPUTED_VALUE"""),"Yes")</f>
        <v>Yes</v>
      </c>
      <c r="K511" s="5" t="str">
        <f ca="1">IFERROR(__xludf.DUMMYFUNCTION("""COMPUTED_VALUE"""),"Yes")</f>
        <v>Yes</v>
      </c>
      <c r="L511" s="5" t="str">
        <f ca="1">IFERROR(__xludf.DUMMYFUNCTION("""COMPUTED_VALUE"""),"Yes")</f>
        <v>Yes</v>
      </c>
      <c r="M511" s="5" t="str">
        <f ca="1">IFERROR(__xludf.DUMMYFUNCTION("""COMPUTED_VALUE"""),"Yes")</f>
        <v>Yes</v>
      </c>
      <c r="N511" s="5" t="str">
        <f ca="1">IFERROR(__xludf.DUMMYFUNCTION("""COMPUTED_VALUE"""),"Yes")</f>
        <v>Yes</v>
      </c>
      <c r="O511" s="5" t="str">
        <f ca="1">IFERROR(__xludf.DUMMYFUNCTION("""COMPUTED_VALUE"""),"Yes")</f>
        <v>Yes</v>
      </c>
      <c r="P511" s="5" t="str">
        <f ca="1">IFERROR(__xludf.DUMMYFUNCTION("""COMPUTED_VALUE"""),"Yes")</f>
        <v>Yes</v>
      </c>
      <c r="Q511" s="5" t="str">
        <f ca="1">IFERROR(__xludf.DUMMYFUNCTION("""COMPUTED_VALUE"""),"Yes")</f>
        <v>Yes</v>
      </c>
      <c r="R511" s="5" t="str">
        <f ca="1">IFERROR(__xludf.DUMMYFUNCTION("""COMPUTED_VALUE"""),"Yes")</f>
        <v>Yes</v>
      </c>
      <c r="S511" s="5" t="str">
        <f ca="1">IFERROR(__xludf.DUMMYFUNCTION("""COMPUTED_VALUE"""),"Yes")</f>
        <v>Yes</v>
      </c>
      <c r="T511" s="5" t="str">
        <f ca="1">IFERROR(__xludf.DUMMYFUNCTION("""COMPUTED_VALUE"""),"No")</f>
        <v>No</v>
      </c>
      <c r="U511" s="5" t="str">
        <f ca="1">IFERROR(__xludf.DUMMYFUNCTION("""COMPUTED_VALUE"""),"No")</f>
        <v>No</v>
      </c>
      <c r="V511" s="5" t="str">
        <f ca="1">IFERROR(__xludf.DUMMYFUNCTION("""COMPUTED_VALUE"""),"No")</f>
        <v>No</v>
      </c>
      <c r="W511" s="5" t="str">
        <f ca="1">IFERROR(__xludf.DUMMYFUNCTION("""COMPUTED_VALUE"""),"No")</f>
        <v>No</v>
      </c>
      <c r="X511" s="5" t="str">
        <f ca="1">IFERROR(__xludf.DUMMYFUNCTION("""COMPUTED_VALUE"""),"No")</f>
        <v>No</v>
      </c>
      <c r="Y511" s="5" t="str">
        <f ca="1">IFERROR(__xludf.DUMMYFUNCTION("""COMPUTED_VALUE"""),"No")</f>
        <v>No</v>
      </c>
      <c r="Z511" s="5" t="str">
        <f ca="1">IFERROR(__xludf.DUMMYFUNCTION("""COMPUTED_VALUE"""),"No")</f>
        <v>No</v>
      </c>
      <c r="AA511" s="5" t="str">
        <f ca="1">IFERROR(__xludf.DUMMYFUNCTION("""COMPUTED_VALUE"""),"Yes")</f>
        <v>Yes</v>
      </c>
      <c r="AB511" s="5" t="str">
        <f ca="1">IFERROR(__xludf.DUMMYFUNCTION("""COMPUTED_VALUE"""),"No")</f>
        <v>No</v>
      </c>
      <c r="AC511" s="5" t="str">
        <f ca="1">IFERROR(__xludf.DUMMYFUNCTION("""COMPUTED_VALUE"""),"No")</f>
        <v>No</v>
      </c>
      <c r="AD511" s="5" t="str">
        <f ca="1">IFERROR(__xludf.DUMMYFUNCTION("""COMPUTED_VALUE"""),"No")</f>
        <v>No</v>
      </c>
      <c r="AE511" s="5" t="str">
        <f ca="1">IFERROR(__xludf.DUMMYFUNCTION("""COMPUTED_VALUE"""),"No")</f>
        <v>No</v>
      </c>
      <c r="AF511" s="5" t="str">
        <f ca="1">IFERROR(__xludf.DUMMYFUNCTION("""COMPUTED_VALUE"""),"Yes")</f>
        <v>Yes</v>
      </c>
      <c r="AG511" s="5" t="str">
        <f ca="1">IFERROR(__xludf.DUMMYFUNCTION("""COMPUTED_VALUE"""),"No")</f>
        <v>No</v>
      </c>
      <c r="AH511" s="5" t="str">
        <f ca="1">IFERROR(__xludf.DUMMYFUNCTION("""COMPUTED_VALUE"""),"Yes")</f>
        <v>Yes</v>
      </c>
      <c r="AI511" s="5" t="str">
        <f ca="1">IFERROR(__xludf.DUMMYFUNCTION("""COMPUTED_VALUE"""),"No")</f>
        <v>No</v>
      </c>
      <c r="AJ511" s="5" t="str">
        <f ca="1">IFERROR(__xludf.DUMMYFUNCTION("""COMPUTED_VALUE"""),"No")</f>
        <v>No</v>
      </c>
      <c r="AK511" s="5" t="str">
        <f ca="1">IFERROR(__xludf.DUMMYFUNCTION("""COMPUTED_VALUE"""),"No")</f>
        <v>No</v>
      </c>
      <c r="AL511" s="5" t="str">
        <f ca="1">IFERROR(__xludf.DUMMYFUNCTION("""COMPUTED_VALUE"""),"No")</f>
        <v>No</v>
      </c>
      <c r="AM511" s="5"/>
      <c r="AN511" s="5"/>
      <c r="AO511" s="5"/>
      <c r="AP511" s="5"/>
      <c r="AQ511" s="5"/>
      <c r="AR511" s="5"/>
      <c r="AS511" s="5"/>
      <c r="AT511" s="5"/>
      <c r="AU511" s="5"/>
      <c r="AV511" s="5"/>
      <c r="AW511" s="5"/>
      <c r="AX511" s="5"/>
      <c r="AY511" s="5"/>
    </row>
    <row r="512" spans="1:51" x14ac:dyDescent="0.25">
      <c r="A51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2" s="5">
        <f ca="1">IFERROR(__xludf.DUMMYFUNCTION("""COMPUTED_VALUE"""),542)</f>
        <v>542</v>
      </c>
      <c r="C512" s="5">
        <f ca="1">IFERROR(__xludf.DUMMYFUNCTION("""COMPUTED_VALUE"""),180029)</f>
        <v>180029</v>
      </c>
      <c r="D512" s="5" t="str">
        <f ca="1">IFERROR(__xludf.DUMMYFUNCTION("""COMPUTED_VALUE"""),"Redstone10ExtraBank")</f>
        <v>Redstone10ExtraBank</v>
      </c>
      <c r="E512" s="5" t="str">
        <f ca="1">IFERROR(__xludf.DUMMYFUNCTION("""COMPUTED_VALUE"""),"Yes")</f>
        <v>Yes</v>
      </c>
      <c r="F512" s="5" t="str">
        <f ca="1">IFERROR(__xludf.DUMMYFUNCTION("""COMPUTED_VALUE"""),"Yes")</f>
        <v>Yes</v>
      </c>
      <c r="G512" s="5" t="str">
        <f ca="1">IFERROR(__xludf.DUMMYFUNCTION("""COMPUTED_VALUE"""),"No")</f>
        <v>No</v>
      </c>
      <c r="H512" s="5" t="str">
        <f ca="1">IFERROR(__xludf.DUMMYFUNCTION("""COMPUTED_VALUE"""),"Yes")</f>
        <v>Yes</v>
      </c>
      <c r="I512" s="5" t="str">
        <f ca="1">IFERROR(__xludf.DUMMYFUNCTION("""COMPUTED_VALUE"""),"Yes")</f>
        <v>Yes</v>
      </c>
      <c r="J512" s="5" t="str">
        <f ca="1">IFERROR(__xludf.DUMMYFUNCTION("""COMPUTED_VALUE"""),"Yes")</f>
        <v>Yes</v>
      </c>
      <c r="K512" s="5" t="str">
        <f ca="1">IFERROR(__xludf.DUMMYFUNCTION("""COMPUTED_VALUE"""),"Yes")</f>
        <v>Yes</v>
      </c>
      <c r="L512" s="5" t="str">
        <f ca="1">IFERROR(__xludf.DUMMYFUNCTION("""COMPUTED_VALUE"""),"Yes")</f>
        <v>Yes</v>
      </c>
      <c r="M512" s="5" t="str">
        <f ca="1">IFERROR(__xludf.DUMMYFUNCTION("""COMPUTED_VALUE"""),"Yes")</f>
        <v>Yes</v>
      </c>
      <c r="N512" s="5" t="str">
        <f ca="1">IFERROR(__xludf.DUMMYFUNCTION("""COMPUTED_VALUE"""),"Yes")</f>
        <v>Yes</v>
      </c>
      <c r="O512" s="5" t="str">
        <f ca="1">IFERROR(__xludf.DUMMYFUNCTION("""COMPUTED_VALUE"""),"Yes")</f>
        <v>Yes</v>
      </c>
      <c r="P512" s="5" t="str">
        <f ca="1">IFERROR(__xludf.DUMMYFUNCTION("""COMPUTED_VALUE"""),"Yes")</f>
        <v>Yes</v>
      </c>
      <c r="Q512" s="5" t="str">
        <f ca="1">IFERROR(__xludf.DUMMYFUNCTION("""COMPUTED_VALUE"""),"Yes")</f>
        <v>Yes</v>
      </c>
      <c r="R512" s="5" t="str">
        <f ca="1">IFERROR(__xludf.DUMMYFUNCTION("""COMPUTED_VALUE"""),"Yes")</f>
        <v>Yes</v>
      </c>
      <c r="S512" s="5" t="str">
        <f ca="1">IFERROR(__xludf.DUMMYFUNCTION("""COMPUTED_VALUE"""),"Yes")</f>
        <v>Yes</v>
      </c>
      <c r="T512" s="5" t="str">
        <f ca="1">IFERROR(__xludf.DUMMYFUNCTION("""COMPUTED_VALUE"""),"No")</f>
        <v>No</v>
      </c>
      <c r="U512" s="5" t="str">
        <f ca="1">IFERROR(__xludf.DUMMYFUNCTION("""COMPUTED_VALUE"""),"No")</f>
        <v>No</v>
      </c>
      <c r="V512" s="5" t="str">
        <f ca="1">IFERROR(__xludf.DUMMYFUNCTION("""COMPUTED_VALUE"""),"No")</f>
        <v>No</v>
      </c>
      <c r="W512" s="5" t="str">
        <f ca="1">IFERROR(__xludf.DUMMYFUNCTION("""COMPUTED_VALUE"""),"No")</f>
        <v>No</v>
      </c>
      <c r="X512" s="5" t="str">
        <f ca="1">IFERROR(__xludf.DUMMYFUNCTION("""COMPUTED_VALUE"""),"No")</f>
        <v>No</v>
      </c>
      <c r="Y512" s="5" t="str">
        <f ca="1">IFERROR(__xludf.DUMMYFUNCTION("""COMPUTED_VALUE"""),"No")</f>
        <v>No</v>
      </c>
      <c r="Z512" s="5" t="str">
        <f ca="1">IFERROR(__xludf.DUMMYFUNCTION("""COMPUTED_VALUE"""),"No")</f>
        <v>No</v>
      </c>
      <c r="AA512" s="5" t="str">
        <f ca="1">IFERROR(__xludf.DUMMYFUNCTION("""COMPUTED_VALUE"""),"Yes")</f>
        <v>Yes</v>
      </c>
      <c r="AB512" s="5" t="str">
        <f ca="1">IFERROR(__xludf.DUMMYFUNCTION("""COMPUTED_VALUE"""),"No")</f>
        <v>No</v>
      </c>
      <c r="AC512" s="5" t="str">
        <f ca="1">IFERROR(__xludf.DUMMYFUNCTION("""COMPUTED_VALUE"""),"No")</f>
        <v>No</v>
      </c>
      <c r="AD512" s="5" t="str">
        <f ca="1">IFERROR(__xludf.DUMMYFUNCTION("""COMPUTED_VALUE"""),"No")</f>
        <v>No</v>
      </c>
      <c r="AE512" s="5" t="str">
        <f ca="1">IFERROR(__xludf.DUMMYFUNCTION("""COMPUTED_VALUE"""),"No")</f>
        <v>No</v>
      </c>
      <c r="AF512" s="5" t="str">
        <f ca="1">IFERROR(__xludf.DUMMYFUNCTION("""COMPUTED_VALUE"""),"Yes")</f>
        <v>Yes</v>
      </c>
      <c r="AG512" s="5" t="str">
        <f ca="1">IFERROR(__xludf.DUMMYFUNCTION("""COMPUTED_VALUE"""),"No")</f>
        <v>No</v>
      </c>
      <c r="AH512" s="5" t="str">
        <f ca="1">IFERROR(__xludf.DUMMYFUNCTION("""COMPUTED_VALUE"""),"Yes")</f>
        <v>Yes</v>
      </c>
      <c r="AI512" s="5" t="str">
        <f ca="1">IFERROR(__xludf.DUMMYFUNCTION("""COMPUTED_VALUE"""),"No")</f>
        <v>No</v>
      </c>
      <c r="AJ512" s="5" t="str">
        <f ca="1">IFERROR(__xludf.DUMMYFUNCTION("""COMPUTED_VALUE"""),"No")</f>
        <v>No</v>
      </c>
      <c r="AK512" s="5" t="str">
        <f ca="1">IFERROR(__xludf.DUMMYFUNCTION("""COMPUTED_VALUE"""),"No")</f>
        <v>No</v>
      </c>
      <c r="AL512" s="5" t="str">
        <f ca="1">IFERROR(__xludf.DUMMYFUNCTION("""COMPUTED_VALUE"""),"No")</f>
        <v>No</v>
      </c>
      <c r="AM512" s="5"/>
      <c r="AN512" s="5"/>
      <c r="AO512" s="5"/>
      <c r="AP512" s="5"/>
      <c r="AQ512" s="5"/>
      <c r="AR512" s="5"/>
      <c r="AS512" s="5"/>
      <c r="AT512" s="5"/>
      <c r="AU512" s="5"/>
      <c r="AV512" s="5"/>
      <c r="AW512" s="5"/>
      <c r="AX512" s="5"/>
      <c r="AY512" s="5"/>
    </row>
    <row r="513" spans="1:51" x14ac:dyDescent="0.25">
      <c r="A5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3" s="5">
        <f ca="1">IFERROR(__xludf.DUMMYFUNCTION("""COMPUTED_VALUE"""),543)</f>
        <v>543</v>
      </c>
      <c r="C513" s="5">
        <f ca="1">IFERROR(__xludf.DUMMYFUNCTION("""COMPUTED_VALUE"""),180030)</f>
        <v>180030</v>
      </c>
      <c r="D513" s="5" t="str">
        <f ca="1">IFERROR(__xludf.DUMMYFUNCTION("""COMPUTED_VALUE"""),"RedstoneSevensHeaven")</f>
        <v>RedstoneSevensHeaven</v>
      </c>
      <c r="E513" s="5" t="str">
        <f ca="1">IFERROR(__xludf.DUMMYFUNCTION("""COMPUTED_VALUE"""),"Yes")</f>
        <v>Yes</v>
      </c>
      <c r="F513" s="5" t="str">
        <f ca="1">IFERROR(__xludf.DUMMYFUNCTION("""COMPUTED_VALUE"""),"Yes")</f>
        <v>Yes</v>
      </c>
      <c r="G513" s="5" t="str">
        <f ca="1">IFERROR(__xludf.DUMMYFUNCTION("""COMPUTED_VALUE"""),"Yes")</f>
        <v>Yes</v>
      </c>
      <c r="H513" s="5" t="str">
        <f ca="1">IFERROR(__xludf.DUMMYFUNCTION("""COMPUTED_VALUE"""),"Yes")</f>
        <v>Yes</v>
      </c>
      <c r="I513" s="5" t="str">
        <f ca="1">IFERROR(__xludf.DUMMYFUNCTION("""COMPUTED_VALUE"""),"Yes")</f>
        <v>Yes</v>
      </c>
      <c r="J513" s="5" t="str">
        <f ca="1">IFERROR(__xludf.DUMMYFUNCTION("""COMPUTED_VALUE"""),"Yes")</f>
        <v>Yes</v>
      </c>
      <c r="K513" s="5" t="str">
        <f ca="1">IFERROR(__xludf.DUMMYFUNCTION("""COMPUTED_VALUE"""),"Yes")</f>
        <v>Yes</v>
      </c>
      <c r="L513" s="5" t="str">
        <f ca="1">IFERROR(__xludf.DUMMYFUNCTION("""COMPUTED_VALUE"""),"Yes")</f>
        <v>Yes</v>
      </c>
      <c r="M513" s="5" t="str">
        <f ca="1">IFERROR(__xludf.DUMMYFUNCTION("""COMPUTED_VALUE"""),"Yes")</f>
        <v>Yes</v>
      </c>
      <c r="N513" s="5" t="str">
        <f ca="1">IFERROR(__xludf.DUMMYFUNCTION("""COMPUTED_VALUE"""),"Yes")</f>
        <v>Yes</v>
      </c>
      <c r="O513" s="5" t="str">
        <f ca="1">IFERROR(__xludf.DUMMYFUNCTION("""COMPUTED_VALUE"""),"Yes")</f>
        <v>Yes</v>
      </c>
      <c r="P513" s="5" t="str">
        <f ca="1">IFERROR(__xludf.DUMMYFUNCTION("""COMPUTED_VALUE"""),"Yes")</f>
        <v>Yes</v>
      </c>
      <c r="Q513" s="5" t="str">
        <f ca="1">IFERROR(__xludf.DUMMYFUNCTION("""COMPUTED_VALUE"""),"Yes")</f>
        <v>Yes</v>
      </c>
      <c r="R513" s="5" t="str">
        <f ca="1">IFERROR(__xludf.DUMMYFUNCTION("""COMPUTED_VALUE"""),"Yes")</f>
        <v>Yes</v>
      </c>
      <c r="S513" s="5" t="str">
        <f ca="1">IFERROR(__xludf.DUMMYFUNCTION("""COMPUTED_VALUE"""),"Yes")</f>
        <v>Yes</v>
      </c>
      <c r="T513" s="5" t="str">
        <f ca="1">IFERROR(__xludf.DUMMYFUNCTION("""COMPUTED_VALUE"""),"Yes")</f>
        <v>Yes</v>
      </c>
      <c r="U513" s="5" t="str">
        <f ca="1">IFERROR(__xludf.DUMMYFUNCTION("""COMPUTED_VALUE"""),"Yes")</f>
        <v>Yes</v>
      </c>
      <c r="V513" s="5" t="str">
        <f ca="1">IFERROR(__xludf.DUMMYFUNCTION("""COMPUTED_VALUE"""),"Yes")</f>
        <v>Yes</v>
      </c>
      <c r="W513" s="5" t="str">
        <f ca="1">IFERROR(__xludf.DUMMYFUNCTION("""COMPUTED_VALUE"""),"Yes")</f>
        <v>Yes</v>
      </c>
      <c r="X513" s="5"/>
      <c r="Y513" s="5"/>
      <c r="Z513" s="5"/>
      <c r="AA513" s="5"/>
      <c r="AB513" s="5"/>
      <c r="AC513" s="5" t="str">
        <f ca="1">IFERROR(__xludf.DUMMYFUNCTION("""COMPUTED_VALUE"""),"Yes")</f>
        <v>Yes</v>
      </c>
      <c r="AD513" s="5"/>
      <c r="AE513" s="5"/>
      <c r="AF513" s="5"/>
      <c r="AG513" s="5"/>
      <c r="AH513" s="5"/>
      <c r="AI513" s="5"/>
      <c r="AJ513" s="5"/>
      <c r="AK513" s="5"/>
      <c r="AL513" s="5"/>
      <c r="AM513" s="5"/>
      <c r="AN513" s="5"/>
      <c r="AO513" s="5"/>
      <c r="AP513" s="5"/>
      <c r="AQ513" s="5"/>
      <c r="AR513" s="5"/>
      <c r="AS513" s="5"/>
      <c r="AT513" s="5"/>
      <c r="AU513" s="5"/>
      <c r="AV513" s="5"/>
      <c r="AW513" s="5"/>
      <c r="AX513" s="5"/>
      <c r="AY513" s="5"/>
    </row>
    <row r="514" spans="1:51" x14ac:dyDescent="0.25">
      <c r="A5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4" s="5">
        <f ca="1">IFERROR(__xludf.DUMMYFUNCTION("""COMPUTED_VALUE"""),544)</f>
        <v>544</v>
      </c>
      <c r="C514" s="5">
        <f ca="1">IFERROR(__xludf.DUMMYFUNCTION("""COMPUTED_VALUE"""),180032)</f>
        <v>180032</v>
      </c>
      <c r="D514" s="5" t="str">
        <f ca="1">IFERROR(__xludf.DUMMYFUNCTION("""COMPUTED_VALUE"""),"Redstone777ExtraChance")</f>
        <v>Redstone777ExtraChance</v>
      </c>
      <c r="E514" s="5" t="str">
        <f ca="1">IFERROR(__xludf.DUMMYFUNCTION("""COMPUTED_VALUE"""),"Yes")</f>
        <v>Yes</v>
      </c>
      <c r="F514" s="5" t="str">
        <f ca="1">IFERROR(__xludf.DUMMYFUNCTION("""COMPUTED_VALUE"""),"Yes")</f>
        <v>Yes</v>
      </c>
      <c r="G514" s="5" t="str">
        <f ca="1">IFERROR(__xludf.DUMMYFUNCTION("""COMPUTED_VALUE"""),"Yes")</f>
        <v>Yes</v>
      </c>
      <c r="H514" s="5" t="str">
        <f ca="1">IFERROR(__xludf.DUMMYFUNCTION("""COMPUTED_VALUE"""),"Yes")</f>
        <v>Yes</v>
      </c>
      <c r="I514" s="5" t="str">
        <f ca="1">IFERROR(__xludf.DUMMYFUNCTION("""COMPUTED_VALUE"""),"Yes")</f>
        <v>Yes</v>
      </c>
      <c r="J514" s="5" t="str">
        <f ca="1">IFERROR(__xludf.DUMMYFUNCTION("""COMPUTED_VALUE"""),"Yes")</f>
        <v>Yes</v>
      </c>
      <c r="K514" s="5" t="str">
        <f ca="1">IFERROR(__xludf.DUMMYFUNCTION("""COMPUTED_VALUE"""),"Yes")</f>
        <v>Yes</v>
      </c>
      <c r="L514" s="5" t="str">
        <f ca="1">IFERROR(__xludf.DUMMYFUNCTION("""COMPUTED_VALUE"""),"Yes")</f>
        <v>Yes</v>
      </c>
      <c r="M514" s="5" t="str">
        <f ca="1">IFERROR(__xludf.DUMMYFUNCTION("""COMPUTED_VALUE"""),"Yes")</f>
        <v>Yes</v>
      </c>
      <c r="N514" s="5" t="str">
        <f ca="1">IFERROR(__xludf.DUMMYFUNCTION("""COMPUTED_VALUE"""),"Yes")</f>
        <v>Yes</v>
      </c>
      <c r="O514" s="5" t="str">
        <f ca="1">IFERROR(__xludf.DUMMYFUNCTION("""COMPUTED_VALUE"""),"Yes")</f>
        <v>Yes</v>
      </c>
      <c r="P514" s="5" t="str">
        <f ca="1">IFERROR(__xludf.DUMMYFUNCTION("""COMPUTED_VALUE"""),"Yes")</f>
        <v>Yes</v>
      </c>
      <c r="Q514" s="5" t="str">
        <f ca="1">IFERROR(__xludf.DUMMYFUNCTION("""COMPUTED_VALUE"""),"Yes")</f>
        <v>Yes</v>
      </c>
      <c r="R514" s="5" t="str">
        <f ca="1">IFERROR(__xludf.DUMMYFUNCTION("""COMPUTED_VALUE"""),"Yes")</f>
        <v>Yes</v>
      </c>
      <c r="S514" s="5" t="str">
        <f ca="1">IFERROR(__xludf.DUMMYFUNCTION("""COMPUTED_VALUE"""),"Yes")</f>
        <v>Yes</v>
      </c>
      <c r="T514" s="5" t="str">
        <f ca="1">IFERROR(__xludf.DUMMYFUNCTION("""COMPUTED_VALUE"""),"Yes")</f>
        <v>Yes</v>
      </c>
      <c r="U514" s="5" t="str">
        <f ca="1">IFERROR(__xludf.DUMMYFUNCTION("""COMPUTED_VALUE"""),"Yes")</f>
        <v>Yes</v>
      </c>
      <c r="V514" s="5" t="str">
        <f ca="1">IFERROR(__xludf.DUMMYFUNCTION("""COMPUTED_VALUE"""),"Yes")</f>
        <v>Yes</v>
      </c>
      <c r="W514" s="5" t="str">
        <f ca="1">IFERROR(__xludf.DUMMYFUNCTION("""COMPUTED_VALUE"""),"Yes")</f>
        <v>Yes</v>
      </c>
      <c r="X514" s="5"/>
      <c r="Y514" s="5"/>
      <c r="Z514" s="5"/>
      <c r="AA514" s="5"/>
      <c r="AB514" s="5"/>
      <c r="AC514" s="5" t="str">
        <f ca="1">IFERROR(__xludf.DUMMYFUNCTION("""COMPUTED_VALUE"""),"Yes")</f>
        <v>Yes</v>
      </c>
      <c r="AD514" s="5"/>
      <c r="AE514" s="5"/>
      <c r="AF514" s="5"/>
      <c r="AG514" s="5"/>
      <c r="AH514" s="5"/>
      <c r="AI514" s="5"/>
      <c r="AJ514" s="5"/>
      <c r="AK514" s="5"/>
      <c r="AL514" s="5"/>
      <c r="AM514" s="5"/>
      <c r="AN514" s="5"/>
      <c r="AO514" s="5"/>
      <c r="AP514" s="5"/>
      <c r="AQ514" s="5"/>
      <c r="AR514" s="5"/>
      <c r="AS514" s="5"/>
      <c r="AT514" s="5"/>
      <c r="AU514" s="5"/>
      <c r="AV514" s="5"/>
      <c r="AW514" s="5"/>
      <c r="AX514" s="5"/>
      <c r="AY514" s="5"/>
    </row>
    <row r="515" spans="1:51" x14ac:dyDescent="0.25">
      <c r="A5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5" s="5">
        <f ca="1">IFERROR(__xludf.DUMMYFUNCTION("""COMPUTED_VALUE"""),546)</f>
        <v>546</v>
      </c>
      <c r="C515" s="5">
        <f ca="1">IFERROR(__xludf.DUMMYFUNCTION("""COMPUTED_VALUE"""),180035)</f>
        <v>180035</v>
      </c>
      <c r="D515" s="5" t="str">
        <f ca="1">IFERROR(__xludf.DUMMYFUNCTION("""COMPUTED_VALUE"""),"Redstone81RespinFire")</f>
        <v>Redstone81RespinFire</v>
      </c>
      <c r="E515" s="5" t="str">
        <f ca="1">IFERROR(__xludf.DUMMYFUNCTION("""COMPUTED_VALUE"""),"Yes")</f>
        <v>Yes</v>
      </c>
      <c r="F515" s="5" t="str">
        <f ca="1">IFERROR(__xludf.DUMMYFUNCTION("""COMPUTED_VALUE"""),"Yes")</f>
        <v>Yes</v>
      </c>
      <c r="G515" s="5" t="str">
        <f ca="1">IFERROR(__xludf.DUMMYFUNCTION("""COMPUTED_VALUE"""),"Yes")</f>
        <v>Yes</v>
      </c>
      <c r="H515" s="5" t="str">
        <f ca="1">IFERROR(__xludf.DUMMYFUNCTION("""COMPUTED_VALUE"""),"Yes")</f>
        <v>Yes</v>
      </c>
      <c r="I515" s="5" t="str">
        <f ca="1">IFERROR(__xludf.DUMMYFUNCTION("""COMPUTED_VALUE"""),"Yes")</f>
        <v>Yes</v>
      </c>
      <c r="J515" s="5" t="str">
        <f ca="1">IFERROR(__xludf.DUMMYFUNCTION("""COMPUTED_VALUE"""),"Yes")</f>
        <v>Yes</v>
      </c>
      <c r="K515" s="5" t="str">
        <f ca="1">IFERROR(__xludf.DUMMYFUNCTION("""COMPUTED_VALUE"""),"Yes")</f>
        <v>Yes</v>
      </c>
      <c r="L515" s="5" t="str">
        <f ca="1">IFERROR(__xludf.DUMMYFUNCTION("""COMPUTED_VALUE"""),"Yes")</f>
        <v>Yes</v>
      </c>
      <c r="M515" s="5" t="str">
        <f ca="1">IFERROR(__xludf.DUMMYFUNCTION("""COMPUTED_VALUE"""),"Yes")</f>
        <v>Yes</v>
      </c>
      <c r="N515" s="5" t="str">
        <f ca="1">IFERROR(__xludf.DUMMYFUNCTION("""COMPUTED_VALUE"""),"Yes")</f>
        <v>Yes</v>
      </c>
      <c r="O515" s="5" t="str">
        <f ca="1">IFERROR(__xludf.DUMMYFUNCTION("""COMPUTED_VALUE"""),"Yes")</f>
        <v>Yes</v>
      </c>
      <c r="P515" s="5" t="str">
        <f ca="1">IFERROR(__xludf.DUMMYFUNCTION("""COMPUTED_VALUE"""),"Yes")</f>
        <v>Yes</v>
      </c>
      <c r="Q515" s="5" t="str">
        <f ca="1">IFERROR(__xludf.DUMMYFUNCTION("""COMPUTED_VALUE"""),"Yes")</f>
        <v>Yes</v>
      </c>
      <c r="R515" s="5" t="str">
        <f ca="1">IFERROR(__xludf.DUMMYFUNCTION("""COMPUTED_VALUE"""),"Yes")</f>
        <v>Yes</v>
      </c>
      <c r="S515" s="5" t="str">
        <f ca="1">IFERROR(__xludf.DUMMYFUNCTION("""COMPUTED_VALUE"""),"Yes")</f>
        <v>Yes</v>
      </c>
      <c r="T515" s="5" t="str">
        <f ca="1">IFERROR(__xludf.DUMMYFUNCTION("""COMPUTED_VALUE"""),"Yes")</f>
        <v>Yes</v>
      </c>
      <c r="U515" s="5" t="str">
        <f ca="1">IFERROR(__xludf.DUMMYFUNCTION("""COMPUTED_VALUE"""),"Yes")</f>
        <v>Yes</v>
      </c>
      <c r="V515" s="5" t="str">
        <f ca="1">IFERROR(__xludf.DUMMYFUNCTION("""COMPUTED_VALUE"""),"Yes")</f>
        <v>Yes</v>
      </c>
      <c r="W515" s="5" t="str">
        <f ca="1">IFERROR(__xludf.DUMMYFUNCTION("""COMPUTED_VALUE"""),"Yes")</f>
        <v>Yes</v>
      </c>
      <c r="X515" s="5"/>
      <c r="Y515" s="5"/>
      <c r="Z515" s="5"/>
      <c r="AA515" s="5"/>
      <c r="AB515" s="5"/>
      <c r="AC515" s="5" t="str">
        <f ca="1">IFERROR(__xludf.DUMMYFUNCTION("""COMPUTED_VALUE"""),"Yes")</f>
        <v>Yes</v>
      </c>
      <c r="AD515" s="5"/>
      <c r="AE515" s="5"/>
      <c r="AF515" s="5"/>
      <c r="AG515" s="5"/>
      <c r="AH515" s="5"/>
      <c r="AI515" s="5"/>
      <c r="AJ515" s="5"/>
      <c r="AK515" s="5"/>
      <c r="AL515" s="5"/>
      <c r="AM515" s="5"/>
      <c r="AN515" s="5"/>
      <c r="AO515" s="5"/>
      <c r="AP515" s="5"/>
      <c r="AQ515" s="5"/>
      <c r="AR515" s="5"/>
      <c r="AS515" s="5"/>
      <c r="AT515" s="5"/>
      <c r="AU515" s="5"/>
      <c r="AV515" s="5"/>
      <c r="AW515" s="5"/>
      <c r="AX515" s="5"/>
      <c r="AY515" s="5"/>
    </row>
    <row r="516" spans="1:51" x14ac:dyDescent="0.25">
      <c r="A5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6" s="5">
        <f ca="1">IFERROR(__xludf.DUMMYFUNCTION("""COMPUTED_VALUE"""),547)</f>
        <v>547</v>
      </c>
      <c r="C516" s="5">
        <f ca="1">IFERROR(__xludf.DUMMYFUNCTION("""COMPUTED_VALUE"""),180036)</f>
        <v>180036</v>
      </c>
      <c r="D516" s="5" t="str">
        <f ca="1">IFERROR(__xludf.DUMMYFUNCTION("""COMPUTED_VALUE"""),"RedstoneHangThatWitch")</f>
        <v>RedstoneHangThatWitch</v>
      </c>
      <c r="E516" s="5" t="str">
        <f ca="1">IFERROR(__xludf.DUMMYFUNCTION("""COMPUTED_VALUE"""),"Yes")</f>
        <v>Yes</v>
      </c>
      <c r="F516" s="5" t="str">
        <f ca="1">IFERROR(__xludf.DUMMYFUNCTION("""COMPUTED_VALUE"""),"Yes")</f>
        <v>Yes</v>
      </c>
      <c r="G516" s="5" t="str">
        <f ca="1">IFERROR(__xludf.DUMMYFUNCTION("""COMPUTED_VALUE"""),"Yes")</f>
        <v>Yes</v>
      </c>
      <c r="H516" s="5" t="str">
        <f ca="1">IFERROR(__xludf.DUMMYFUNCTION("""COMPUTED_VALUE"""),"Yes")</f>
        <v>Yes</v>
      </c>
      <c r="I516" s="5" t="str">
        <f ca="1">IFERROR(__xludf.DUMMYFUNCTION("""COMPUTED_VALUE"""),"Yes")</f>
        <v>Yes</v>
      </c>
      <c r="J516" s="5" t="str">
        <f ca="1">IFERROR(__xludf.DUMMYFUNCTION("""COMPUTED_VALUE"""),"Yes")</f>
        <v>Yes</v>
      </c>
      <c r="K516" s="5" t="str">
        <f ca="1">IFERROR(__xludf.DUMMYFUNCTION("""COMPUTED_VALUE"""),"Yes")</f>
        <v>Yes</v>
      </c>
      <c r="L516" s="5" t="str">
        <f ca="1">IFERROR(__xludf.DUMMYFUNCTION("""COMPUTED_VALUE"""),"Yes")</f>
        <v>Yes</v>
      </c>
      <c r="M516" s="5" t="str">
        <f ca="1">IFERROR(__xludf.DUMMYFUNCTION("""COMPUTED_VALUE"""),"Yes")</f>
        <v>Yes</v>
      </c>
      <c r="N516" s="5" t="str">
        <f ca="1">IFERROR(__xludf.DUMMYFUNCTION("""COMPUTED_VALUE"""),"Yes")</f>
        <v>Yes</v>
      </c>
      <c r="O516" s="5" t="str">
        <f ca="1">IFERROR(__xludf.DUMMYFUNCTION("""COMPUTED_VALUE"""),"Yes")</f>
        <v>Yes</v>
      </c>
      <c r="P516" s="5" t="str">
        <f ca="1">IFERROR(__xludf.DUMMYFUNCTION("""COMPUTED_VALUE"""),"Yes")</f>
        <v>Yes</v>
      </c>
      <c r="Q516" s="5" t="str">
        <f ca="1">IFERROR(__xludf.DUMMYFUNCTION("""COMPUTED_VALUE"""),"Yes")</f>
        <v>Yes</v>
      </c>
      <c r="R516" s="5" t="str">
        <f ca="1">IFERROR(__xludf.DUMMYFUNCTION("""COMPUTED_VALUE"""),"Yes")</f>
        <v>Yes</v>
      </c>
      <c r="S516" s="5" t="str">
        <f ca="1">IFERROR(__xludf.DUMMYFUNCTION("""COMPUTED_VALUE"""),"Yes")</f>
        <v>Yes</v>
      </c>
      <c r="T516" s="5" t="str">
        <f ca="1">IFERROR(__xludf.DUMMYFUNCTION("""COMPUTED_VALUE"""),"Yes")</f>
        <v>Yes</v>
      </c>
      <c r="U516" s="5" t="str">
        <f ca="1">IFERROR(__xludf.DUMMYFUNCTION("""COMPUTED_VALUE"""),"Yes")</f>
        <v>Yes</v>
      </c>
      <c r="V516" s="5" t="str">
        <f ca="1">IFERROR(__xludf.DUMMYFUNCTION("""COMPUTED_VALUE"""),"Yes")</f>
        <v>Yes</v>
      </c>
      <c r="W516" s="5" t="str">
        <f ca="1">IFERROR(__xludf.DUMMYFUNCTION("""COMPUTED_VALUE"""),"Yes")</f>
        <v>Yes</v>
      </c>
      <c r="X516" s="5"/>
      <c r="Y516" s="5"/>
      <c r="Z516" s="5"/>
      <c r="AA516" s="5"/>
      <c r="AB516" s="5"/>
      <c r="AC516" s="5" t="str">
        <f ca="1">IFERROR(__xludf.DUMMYFUNCTION("""COMPUTED_VALUE"""),"Yes")</f>
        <v>Yes</v>
      </c>
      <c r="AD516" s="5"/>
      <c r="AE516" s="5"/>
      <c r="AF516" s="5"/>
      <c r="AG516" s="5"/>
      <c r="AH516" s="5"/>
      <c r="AI516" s="5"/>
      <c r="AJ516" s="5"/>
      <c r="AK516" s="5"/>
      <c r="AL516" s="5"/>
      <c r="AM516" s="5"/>
      <c r="AN516" s="5"/>
      <c r="AO516" s="5"/>
      <c r="AP516" s="5"/>
      <c r="AQ516" s="5"/>
      <c r="AR516" s="5"/>
      <c r="AS516" s="5"/>
      <c r="AT516" s="5"/>
      <c r="AU516" s="5"/>
      <c r="AV516" s="5"/>
      <c r="AW516" s="5"/>
      <c r="AX516" s="5"/>
      <c r="AY516" s="5"/>
    </row>
    <row r="517" spans="1:51" x14ac:dyDescent="0.25">
      <c r="A5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7" s="5">
        <f ca="1">IFERROR(__xludf.DUMMYFUNCTION("""COMPUTED_VALUE"""),548)</f>
        <v>548</v>
      </c>
      <c r="C517" s="5">
        <f ca="1">IFERROR(__xludf.DUMMYFUNCTION("""COMPUTED_VALUE"""),180003)</f>
        <v>180003</v>
      </c>
      <c r="D517" s="5" t="str">
        <f ca="1">IFERROR(__xludf.DUMMYFUNCTION("""COMPUTED_VALUE"""),"RedstoneDivineStrike")</f>
        <v>RedstoneDivineStrike</v>
      </c>
      <c r="E517" s="5" t="str">
        <f ca="1">IFERROR(__xludf.DUMMYFUNCTION("""COMPUTED_VALUE"""),"Yes")</f>
        <v>Yes</v>
      </c>
      <c r="F517" s="5" t="str">
        <f ca="1">IFERROR(__xludf.DUMMYFUNCTION("""COMPUTED_VALUE"""),"Yes")</f>
        <v>Yes</v>
      </c>
      <c r="G517" s="5" t="str">
        <f ca="1">IFERROR(__xludf.DUMMYFUNCTION("""COMPUTED_VALUE"""),"Yes")</f>
        <v>Yes</v>
      </c>
      <c r="H517" s="5" t="str">
        <f ca="1">IFERROR(__xludf.DUMMYFUNCTION("""COMPUTED_VALUE"""),"Yes")</f>
        <v>Yes</v>
      </c>
      <c r="I517" s="5" t="str">
        <f ca="1">IFERROR(__xludf.DUMMYFUNCTION("""COMPUTED_VALUE"""),"Yes")</f>
        <v>Yes</v>
      </c>
      <c r="J517" s="5" t="str">
        <f ca="1">IFERROR(__xludf.DUMMYFUNCTION("""COMPUTED_VALUE"""),"Yes")</f>
        <v>Yes</v>
      </c>
      <c r="K517" s="5" t="str">
        <f ca="1">IFERROR(__xludf.DUMMYFUNCTION("""COMPUTED_VALUE"""),"Yes")</f>
        <v>Yes</v>
      </c>
      <c r="L517" s="5" t="str">
        <f ca="1">IFERROR(__xludf.DUMMYFUNCTION("""COMPUTED_VALUE"""),"Yes")</f>
        <v>Yes</v>
      </c>
      <c r="M517" s="5" t="str">
        <f ca="1">IFERROR(__xludf.DUMMYFUNCTION("""COMPUTED_VALUE"""),"Yes")</f>
        <v>Yes</v>
      </c>
      <c r="N517" s="5" t="str">
        <f ca="1">IFERROR(__xludf.DUMMYFUNCTION("""COMPUTED_VALUE"""),"Yes")</f>
        <v>Yes</v>
      </c>
      <c r="O517" s="5" t="str">
        <f ca="1">IFERROR(__xludf.DUMMYFUNCTION("""COMPUTED_VALUE"""),"Yes")</f>
        <v>Yes</v>
      </c>
      <c r="P517" s="5" t="str">
        <f ca="1">IFERROR(__xludf.DUMMYFUNCTION("""COMPUTED_VALUE"""),"Yes")</f>
        <v>Yes</v>
      </c>
      <c r="Q517" s="5" t="str">
        <f ca="1">IFERROR(__xludf.DUMMYFUNCTION("""COMPUTED_VALUE"""),"Yes")</f>
        <v>Yes</v>
      </c>
      <c r="R517" s="5" t="str">
        <f ca="1">IFERROR(__xludf.DUMMYFUNCTION("""COMPUTED_VALUE"""),"Yes")</f>
        <v>Yes</v>
      </c>
      <c r="S517" s="5" t="str">
        <f ca="1">IFERROR(__xludf.DUMMYFUNCTION("""COMPUTED_VALUE"""),"Yes")</f>
        <v>Yes</v>
      </c>
      <c r="T517" s="5" t="str">
        <f ca="1">IFERROR(__xludf.DUMMYFUNCTION("""COMPUTED_VALUE"""),"Yes")</f>
        <v>Yes</v>
      </c>
      <c r="U517" s="5" t="str">
        <f ca="1">IFERROR(__xludf.DUMMYFUNCTION("""COMPUTED_VALUE"""),"Yes")</f>
        <v>Yes</v>
      </c>
      <c r="V517" s="5" t="str">
        <f ca="1">IFERROR(__xludf.DUMMYFUNCTION("""COMPUTED_VALUE"""),"Yes")</f>
        <v>Yes</v>
      </c>
      <c r="W517" s="5" t="str">
        <f ca="1">IFERROR(__xludf.DUMMYFUNCTION("""COMPUTED_VALUE"""),"Yes")</f>
        <v>Yes</v>
      </c>
      <c r="X517" s="5"/>
      <c r="Y517" s="5"/>
      <c r="Z517" s="5"/>
      <c r="AA517" s="5"/>
      <c r="AB517" s="5"/>
      <c r="AC517" s="5" t="str">
        <f ca="1">IFERROR(__xludf.DUMMYFUNCTION("""COMPUTED_VALUE"""),"Yes")</f>
        <v>Yes</v>
      </c>
      <c r="AD517" s="5"/>
      <c r="AE517" s="5"/>
      <c r="AF517" s="5"/>
      <c r="AG517" s="5"/>
      <c r="AH517" s="5"/>
      <c r="AI517" s="5"/>
      <c r="AJ517" s="5"/>
      <c r="AK517" s="5"/>
      <c r="AL517" s="5"/>
      <c r="AM517" s="5"/>
      <c r="AN517" s="5"/>
      <c r="AO517" s="5"/>
      <c r="AP517" s="5"/>
      <c r="AQ517" s="5"/>
      <c r="AR517" s="5"/>
      <c r="AS517" s="5"/>
      <c r="AT517" s="5"/>
      <c r="AU517" s="5"/>
      <c r="AV517" s="5"/>
      <c r="AW517" s="5"/>
      <c r="AX517" s="5"/>
      <c r="AY517" s="5"/>
    </row>
    <row r="518" spans="1:51" x14ac:dyDescent="0.25">
      <c r="A5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8" s="5">
        <f ca="1">IFERROR(__xludf.DUMMYFUNCTION("""COMPUTED_VALUE"""),549)</f>
        <v>549</v>
      </c>
      <c r="C518" s="5">
        <f ca="1">IFERROR(__xludf.DUMMYFUNCTION("""COMPUTED_VALUE"""),4007)</f>
        <v>4007</v>
      </c>
      <c r="D518" s="5" t="str">
        <f ca="1">IFERROR(__xludf.DUMMYFUNCTION("""COMPUTED_VALUE"""),"TotoWildHot40")</f>
        <v>TotoWildHot40</v>
      </c>
      <c r="E518" s="5" t="str">
        <f ca="1">IFERROR(__xludf.DUMMYFUNCTION("""COMPUTED_VALUE"""),"Yes")</f>
        <v>Yes</v>
      </c>
      <c r="F518" s="5" t="str">
        <f ca="1">IFERROR(__xludf.DUMMYFUNCTION("""COMPUTED_VALUE"""),"Yes")</f>
        <v>Yes</v>
      </c>
      <c r="G518" s="5" t="str">
        <f ca="1">IFERROR(__xludf.DUMMYFUNCTION("""COMPUTED_VALUE"""),"Yes")</f>
        <v>Yes</v>
      </c>
      <c r="H518" s="5" t="str">
        <f ca="1">IFERROR(__xludf.DUMMYFUNCTION("""COMPUTED_VALUE"""),"Yes")</f>
        <v>Yes</v>
      </c>
      <c r="I518" s="5" t="str">
        <f ca="1">IFERROR(__xludf.DUMMYFUNCTION("""COMPUTED_VALUE"""),"Yes")</f>
        <v>Yes</v>
      </c>
      <c r="J518" s="5" t="str">
        <f ca="1">IFERROR(__xludf.DUMMYFUNCTION("""COMPUTED_VALUE"""),"Yes")</f>
        <v>Yes</v>
      </c>
      <c r="K518" s="5" t="str">
        <f ca="1">IFERROR(__xludf.DUMMYFUNCTION("""COMPUTED_VALUE"""),"Yes")</f>
        <v>Yes</v>
      </c>
      <c r="L518" s="5" t="str">
        <f ca="1">IFERROR(__xludf.DUMMYFUNCTION("""COMPUTED_VALUE"""),"Yes")</f>
        <v>Yes</v>
      </c>
      <c r="M518" s="5" t="str">
        <f ca="1">IFERROR(__xludf.DUMMYFUNCTION("""COMPUTED_VALUE"""),"Yes")</f>
        <v>Yes</v>
      </c>
      <c r="N518" s="5" t="str">
        <f ca="1">IFERROR(__xludf.DUMMYFUNCTION("""COMPUTED_VALUE"""),"Yes")</f>
        <v>Yes</v>
      </c>
      <c r="O518" s="5" t="str">
        <f ca="1">IFERROR(__xludf.DUMMYFUNCTION("""COMPUTED_VALUE"""),"Yes")</f>
        <v>Yes</v>
      </c>
      <c r="P518" s="5" t="str">
        <f ca="1">IFERROR(__xludf.DUMMYFUNCTION("""COMPUTED_VALUE"""),"Yes")</f>
        <v>Yes</v>
      </c>
      <c r="Q518" s="5" t="str">
        <f ca="1">IFERROR(__xludf.DUMMYFUNCTION("""COMPUTED_VALUE"""),"Yes")</f>
        <v>Yes</v>
      </c>
      <c r="R518" s="5" t="str">
        <f ca="1">IFERROR(__xludf.DUMMYFUNCTION("""COMPUTED_VALUE"""),"Yes")</f>
        <v>Yes</v>
      </c>
      <c r="S518" s="5" t="str">
        <f ca="1">IFERROR(__xludf.DUMMYFUNCTION("""COMPUTED_VALUE"""),"Yes")</f>
        <v>Yes</v>
      </c>
      <c r="T518" s="5" t="str">
        <f ca="1">IFERROR(__xludf.DUMMYFUNCTION("""COMPUTED_VALUE"""),"Yes")</f>
        <v>Yes</v>
      </c>
      <c r="U518" s="5" t="str">
        <f ca="1">IFERROR(__xludf.DUMMYFUNCTION("""COMPUTED_VALUE"""),"Yes")</f>
        <v>Yes</v>
      </c>
      <c r="V518" s="5" t="str">
        <f ca="1">IFERROR(__xludf.DUMMYFUNCTION("""COMPUTED_VALUE"""),"Yes")</f>
        <v>Yes</v>
      </c>
      <c r="W518" s="5" t="str">
        <f ca="1">IFERROR(__xludf.DUMMYFUNCTION("""COMPUTED_VALUE"""),"Yes")</f>
        <v>Yes</v>
      </c>
      <c r="X518" s="5" t="str">
        <f ca="1">IFERROR(__xludf.DUMMYFUNCTION("""COMPUTED_VALUE"""),"Yes")</f>
        <v>Yes</v>
      </c>
      <c r="Y518" s="5" t="str">
        <f ca="1">IFERROR(__xludf.DUMMYFUNCTION("""COMPUTED_VALUE"""),"Yes")</f>
        <v>Yes</v>
      </c>
      <c r="Z518" s="5" t="str">
        <f ca="1">IFERROR(__xludf.DUMMYFUNCTION("""COMPUTED_VALUE"""),"No")</f>
        <v>No</v>
      </c>
      <c r="AA518" s="5" t="str">
        <f ca="1">IFERROR(__xludf.DUMMYFUNCTION("""COMPUTED_VALUE"""),"Yes")</f>
        <v>Yes</v>
      </c>
      <c r="AB518" s="5" t="str">
        <f ca="1">IFERROR(__xludf.DUMMYFUNCTION("""COMPUTED_VALUE"""),"Yes")</f>
        <v>Yes</v>
      </c>
      <c r="AC518" s="5" t="str">
        <f ca="1">IFERROR(__xludf.DUMMYFUNCTION("""COMPUTED_VALUE"""),"Yes")</f>
        <v>Yes</v>
      </c>
      <c r="AD518" s="5" t="str">
        <f ca="1">IFERROR(__xludf.DUMMYFUNCTION("""COMPUTED_VALUE"""),"Yes")</f>
        <v>Yes</v>
      </c>
      <c r="AE518" s="5" t="str">
        <f ca="1">IFERROR(__xludf.DUMMYFUNCTION("""COMPUTED_VALUE"""),"No")</f>
        <v>No</v>
      </c>
      <c r="AF518" s="5" t="str">
        <f ca="1">IFERROR(__xludf.DUMMYFUNCTION("""COMPUTED_VALUE"""),"Yes")</f>
        <v>Yes</v>
      </c>
      <c r="AG518" s="5" t="str">
        <f ca="1">IFERROR(__xludf.DUMMYFUNCTION("""COMPUTED_VALUE"""),"No")</f>
        <v>No</v>
      </c>
      <c r="AH518" s="5" t="str">
        <f ca="1">IFERROR(__xludf.DUMMYFUNCTION("""COMPUTED_VALUE"""),"No")</f>
        <v>No</v>
      </c>
      <c r="AI518" s="5" t="str">
        <f ca="1">IFERROR(__xludf.DUMMYFUNCTION("""COMPUTED_VALUE"""),"No")</f>
        <v>No</v>
      </c>
      <c r="AJ518" s="5" t="str">
        <f ca="1">IFERROR(__xludf.DUMMYFUNCTION("""COMPUTED_VALUE"""),"No")</f>
        <v>No</v>
      </c>
      <c r="AK518" s="5" t="str">
        <f ca="1">IFERROR(__xludf.DUMMYFUNCTION("""COMPUTED_VALUE"""),"No")</f>
        <v>No</v>
      </c>
      <c r="AL518" s="5" t="str">
        <f ca="1">IFERROR(__xludf.DUMMYFUNCTION("""COMPUTED_VALUE"""),"No")</f>
        <v>No</v>
      </c>
      <c r="AM518" s="5"/>
      <c r="AN518" s="5"/>
      <c r="AO518" s="5"/>
      <c r="AP518" s="5"/>
      <c r="AQ518" s="5"/>
      <c r="AR518" s="5"/>
      <c r="AS518" s="5"/>
      <c r="AT518" s="5"/>
      <c r="AU518" s="5"/>
      <c r="AV518" s="5"/>
      <c r="AW518" s="5"/>
      <c r="AX518" s="5"/>
      <c r="AY518" s="5"/>
    </row>
    <row r="519" spans="1:51" x14ac:dyDescent="0.25">
      <c r="A5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9" s="5">
        <f ca="1">IFERROR(__xludf.DUMMYFUNCTION("""COMPUTED_VALUE"""),550)</f>
        <v>550</v>
      </c>
      <c r="C519" s="5">
        <f ca="1">IFERROR(__xludf.DUMMYFUNCTION("""COMPUTED_VALUE"""),4008)</f>
        <v>4008</v>
      </c>
      <c r="D519" s="5" t="str">
        <f ca="1">IFERROR(__xludf.DUMMYFUNCTION("""COMPUTED_VALUE"""),"TotoFruityWin40")</f>
        <v>TotoFruityWin40</v>
      </c>
      <c r="E519" s="5" t="str">
        <f ca="1">IFERROR(__xludf.DUMMYFUNCTION("""COMPUTED_VALUE"""),"Yes")</f>
        <v>Yes</v>
      </c>
      <c r="F519" s="5" t="str">
        <f ca="1">IFERROR(__xludf.DUMMYFUNCTION("""COMPUTED_VALUE"""),"Yes")</f>
        <v>Yes</v>
      </c>
      <c r="G519" s="5" t="str">
        <f ca="1">IFERROR(__xludf.DUMMYFUNCTION("""COMPUTED_VALUE"""),"Yes")</f>
        <v>Yes</v>
      </c>
      <c r="H519" s="5" t="str">
        <f ca="1">IFERROR(__xludf.DUMMYFUNCTION("""COMPUTED_VALUE"""),"Yes")</f>
        <v>Yes</v>
      </c>
      <c r="I519" s="5" t="str">
        <f ca="1">IFERROR(__xludf.DUMMYFUNCTION("""COMPUTED_VALUE"""),"Yes")</f>
        <v>Yes</v>
      </c>
      <c r="J519" s="5" t="str">
        <f ca="1">IFERROR(__xludf.DUMMYFUNCTION("""COMPUTED_VALUE"""),"Yes")</f>
        <v>Yes</v>
      </c>
      <c r="K519" s="5" t="str">
        <f ca="1">IFERROR(__xludf.DUMMYFUNCTION("""COMPUTED_VALUE"""),"Yes")</f>
        <v>Yes</v>
      </c>
      <c r="L519" s="5" t="str">
        <f ca="1">IFERROR(__xludf.DUMMYFUNCTION("""COMPUTED_VALUE"""),"Yes")</f>
        <v>Yes</v>
      </c>
      <c r="M519" s="5" t="str">
        <f ca="1">IFERROR(__xludf.DUMMYFUNCTION("""COMPUTED_VALUE"""),"Yes")</f>
        <v>Yes</v>
      </c>
      <c r="N519" s="5" t="str">
        <f ca="1">IFERROR(__xludf.DUMMYFUNCTION("""COMPUTED_VALUE"""),"Yes")</f>
        <v>Yes</v>
      </c>
      <c r="O519" s="5" t="str">
        <f ca="1">IFERROR(__xludf.DUMMYFUNCTION("""COMPUTED_VALUE"""),"Yes")</f>
        <v>Yes</v>
      </c>
      <c r="P519" s="5" t="str">
        <f ca="1">IFERROR(__xludf.DUMMYFUNCTION("""COMPUTED_VALUE"""),"Yes")</f>
        <v>Yes</v>
      </c>
      <c r="Q519" s="5" t="str">
        <f ca="1">IFERROR(__xludf.DUMMYFUNCTION("""COMPUTED_VALUE"""),"Yes")</f>
        <v>Yes</v>
      </c>
      <c r="R519" s="5" t="str">
        <f ca="1">IFERROR(__xludf.DUMMYFUNCTION("""COMPUTED_VALUE"""),"Yes")</f>
        <v>Yes</v>
      </c>
      <c r="S519" s="5" t="str">
        <f ca="1">IFERROR(__xludf.DUMMYFUNCTION("""COMPUTED_VALUE"""),"Yes")</f>
        <v>Yes</v>
      </c>
      <c r="T519" s="5" t="str">
        <f ca="1">IFERROR(__xludf.DUMMYFUNCTION("""COMPUTED_VALUE"""),"Yes")</f>
        <v>Yes</v>
      </c>
      <c r="U519" s="5" t="str">
        <f ca="1">IFERROR(__xludf.DUMMYFUNCTION("""COMPUTED_VALUE"""),"Yes")</f>
        <v>Yes</v>
      </c>
      <c r="V519" s="5" t="str">
        <f ca="1">IFERROR(__xludf.DUMMYFUNCTION("""COMPUTED_VALUE"""),"Yes")</f>
        <v>Yes</v>
      </c>
      <c r="W519" s="5" t="str">
        <f ca="1">IFERROR(__xludf.DUMMYFUNCTION("""COMPUTED_VALUE"""),"Yes")</f>
        <v>Yes</v>
      </c>
      <c r="X519" s="5" t="str">
        <f ca="1">IFERROR(__xludf.DUMMYFUNCTION("""COMPUTED_VALUE"""),"Yes")</f>
        <v>Yes</v>
      </c>
      <c r="Y519" s="5" t="str">
        <f ca="1">IFERROR(__xludf.DUMMYFUNCTION("""COMPUTED_VALUE"""),"Yes")</f>
        <v>Yes</v>
      </c>
      <c r="Z519" s="5" t="str">
        <f ca="1">IFERROR(__xludf.DUMMYFUNCTION("""COMPUTED_VALUE"""),"No")</f>
        <v>No</v>
      </c>
      <c r="AA519" s="5" t="str">
        <f ca="1">IFERROR(__xludf.DUMMYFUNCTION("""COMPUTED_VALUE"""),"Yes")</f>
        <v>Yes</v>
      </c>
      <c r="AB519" s="5" t="str">
        <f ca="1">IFERROR(__xludf.DUMMYFUNCTION("""COMPUTED_VALUE"""),"Yes")</f>
        <v>Yes</v>
      </c>
      <c r="AC519" s="5" t="str">
        <f ca="1">IFERROR(__xludf.DUMMYFUNCTION("""COMPUTED_VALUE"""),"Yes")</f>
        <v>Yes</v>
      </c>
      <c r="AD519" s="5" t="str">
        <f ca="1">IFERROR(__xludf.DUMMYFUNCTION("""COMPUTED_VALUE"""),"Yes")</f>
        <v>Yes</v>
      </c>
      <c r="AE519" s="5" t="str">
        <f ca="1">IFERROR(__xludf.DUMMYFUNCTION("""COMPUTED_VALUE"""),"No")</f>
        <v>No</v>
      </c>
      <c r="AF519" s="5" t="str">
        <f ca="1">IFERROR(__xludf.DUMMYFUNCTION("""COMPUTED_VALUE"""),"Yes")</f>
        <v>Yes</v>
      </c>
      <c r="AG519" s="5" t="str">
        <f ca="1">IFERROR(__xludf.DUMMYFUNCTION("""COMPUTED_VALUE"""),"No")</f>
        <v>No</v>
      </c>
      <c r="AH519" s="5" t="str">
        <f ca="1">IFERROR(__xludf.DUMMYFUNCTION("""COMPUTED_VALUE"""),"No")</f>
        <v>No</v>
      </c>
      <c r="AI519" s="5" t="str">
        <f ca="1">IFERROR(__xludf.DUMMYFUNCTION("""COMPUTED_VALUE"""),"No")</f>
        <v>No</v>
      </c>
      <c r="AJ519" s="5" t="str">
        <f ca="1">IFERROR(__xludf.DUMMYFUNCTION("""COMPUTED_VALUE"""),"No")</f>
        <v>No</v>
      </c>
      <c r="AK519" s="5" t="str">
        <f ca="1">IFERROR(__xludf.DUMMYFUNCTION("""COMPUTED_VALUE"""),"No")</f>
        <v>No</v>
      </c>
      <c r="AL519" s="5" t="str">
        <f ca="1">IFERROR(__xludf.DUMMYFUNCTION("""COMPUTED_VALUE"""),"No")</f>
        <v>No</v>
      </c>
      <c r="AM519" s="5"/>
      <c r="AN519" s="5"/>
      <c r="AO519" s="5"/>
      <c r="AP519" s="5"/>
      <c r="AQ519" s="5"/>
      <c r="AR519" s="5"/>
      <c r="AS519" s="5"/>
      <c r="AT519" s="5"/>
      <c r="AU519" s="5"/>
      <c r="AV519" s="5"/>
      <c r="AW519" s="5"/>
      <c r="AX519" s="5"/>
      <c r="AY519" s="5"/>
    </row>
    <row r="520" spans="1:51" x14ac:dyDescent="0.25">
      <c r="A5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0" s="5">
        <f ca="1">IFERROR(__xludf.DUMMYFUNCTION("""COMPUTED_VALUE"""),551)</f>
        <v>551</v>
      </c>
      <c r="C520" s="5">
        <f ca="1">IFERROR(__xludf.DUMMYFUNCTION("""COMPUTED_VALUE"""),4009)</f>
        <v>4009</v>
      </c>
      <c r="D520" s="5" t="str">
        <f ca="1">IFERROR(__xludf.DUMMYFUNCTION("""COMPUTED_VALUE"""),"BetAndreasWild")</f>
        <v>BetAndreasWild</v>
      </c>
      <c r="E520" s="5" t="str">
        <f ca="1">IFERROR(__xludf.DUMMYFUNCTION("""COMPUTED_VALUE"""),"Yes")</f>
        <v>Yes</v>
      </c>
      <c r="F520" s="5" t="str">
        <f ca="1">IFERROR(__xludf.DUMMYFUNCTION("""COMPUTED_VALUE"""),"Yes")</f>
        <v>Yes</v>
      </c>
      <c r="G520" s="5" t="str">
        <f ca="1">IFERROR(__xludf.DUMMYFUNCTION("""COMPUTED_VALUE"""),"Yes")</f>
        <v>Yes</v>
      </c>
      <c r="H520" s="5" t="str">
        <f ca="1">IFERROR(__xludf.DUMMYFUNCTION("""COMPUTED_VALUE"""),"Yes")</f>
        <v>Yes</v>
      </c>
      <c r="I520" s="5" t="str">
        <f ca="1">IFERROR(__xludf.DUMMYFUNCTION("""COMPUTED_VALUE"""),"Yes")</f>
        <v>Yes</v>
      </c>
      <c r="J520" s="5" t="str">
        <f ca="1">IFERROR(__xludf.DUMMYFUNCTION("""COMPUTED_VALUE"""),"Yes")</f>
        <v>Yes</v>
      </c>
      <c r="K520" s="5" t="str">
        <f ca="1">IFERROR(__xludf.DUMMYFUNCTION("""COMPUTED_VALUE"""),"Yes")</f>
        <v>Yes</v>
      </c>
      <c r="L520" s="5" t="str">
        <f ca="1">IFERROR(__xludf.DUMMYFUNCTION("""COMPUTED_VALUE"""),"Yes")</f>
        <v>Yes</v>
      </c>
      <c r="M520" s="5" t="str">
        <f ca="1">IFERROR(__xludf.DUMMYFUNCTION("""COMPUTED_VALUE"""),"Yes")</f>
        <v>Yes</v>
      </c>
      <c r="N520" s="5" t="str">
        <f ca="1">IFERROR(__xludf.DUMMYFUNCTION("""COMPUTED_VALUE"""),"Yes")</f>
        <v>Yes</v>
      </c>
      <c r="O520" s="5" t="str">
        <f ca="1">IFERROR(__xludf.DUMMYFUNCTION("""COMPUTED_VALUE"""),"Yes")</f>
        <v>Yes</v>
      </c>
      <c r="P520" s="5" t="str">
        <f ca="1">IFERROR(__xludf.DUMMYFUNCTION("""COMPUTED_VALUE"""),"Yes")</f>
        <v>Yes</v>
      </c>
      <c r="Q520" s="5" t="str">
        <f ca="1">IFERROR(__xludf.DUMMYFUNCTION("""COMPUTED_VALUE"""),"Yes")</f>
        <v>Yes</v>
      </c>
      <c r="R520" s="5" t="str">
        <f ca="1">IFERROR(__xludf.DUMMYFUNCTION("""COMPUTED_VALUE"""),"Yes")</f>
        <v>Yes</v>
      </c>
      <c r="S520" s="5" t="str">
        <f ca="1">IFERROR(__xludf.DUMMYFUNCTION("""COMPUTED_VALUE"""),"Yes")</f>
        <v>Yes</v>
      </c>
      <c r="T520" s="5" t="str">
        <f ca="1">IFERROR(__xludf.DUMMYFUNCTION("""COMPUTED_VALUE"""),"Yes")</f>
        <v>Yes</v>
      </c>
      <c r="U520" s="5" t="str">
        <f ca="1">IFERROR(__xludf.DUMMYFUNCTION("""COMPUTED_VALUE"""),"Yes")</f>
        <v>Yes</v>
      </c>
      <c r="V520" s="5" t="str">
        <f ca="1">IFERROR(__xludf.DUMMYFUNCTION("""COMPUTED_VALUE"""),"Yes")</f>
        <v>Yes</v>
      </c>
      <c r="W520" s="5" t="str">
        <f ca="1">IFERROR(__xludf.DUMMYFUNCTION("""COMPUTED_VALUE"""),"Yes")</f>
        <v>Yes</v>
      </c>
      <c r="X520" s="5" t="str">
        <f ca="1">IFERROR(__xludf.DUMMYFUNCTION("""COMPUTED_VALUE"""),"Yes")</f>
        <v>Yes</v>
      </c>
      <c r="Y520" s="5" t="str">
        <f ca="1">IFERROR(__xludf.DUMMYFUNCTION("""COMPUTED_VALUE"""),"Yes")</f>
        <v>Yes</v>
      </c>
      <c r="Z520" s="5" t="str">
        <f ca="1">IFERROR(__xludf.DUMMYFUNCTION("""COMPUTED_VALUE"""),"Yes")</f>
        <v>Yes</v>
      </c>
      <c r="AA520" s="5" t="str">
        <f ca="1">IFERROR(__xludf.DUMMYFUNCTION("""COMPUTED_VALUE"""),"Yes")</f>
        <v>Yes</v>
      </c>
      <c r="AB520" s="5" t="str">
        <f ca="1">IFERROR(__xludf.DUMMYFUNCTION("""COMPUTED_VALUE"""),"Yes")</f>
        <v>Yes</v>
      </c>
      <c r="AC520" s="5" t="str">
        <f ca="1">IFERROR(__xludf.DUMMYFUNCTION("""COMPUTED_VALUE"""),"Yes")</f>
        <v>Yes</v>
      </c>
      <c r="AD520" s="5" t="str">
        <f ca="1">IFERROR(__xludf.DUMMYFUNCTION("""COMPUTED_VALUE"""),"Yes")</f>
        <v>Yes</v>
      </c>
      <c r="AE520" s="5" t="str">
        <f ca="1">IFERROR(__xludf.DUMMYFUNCTION("""COMPUTED_VALUE"""),"Yes")</f>
        <v>Yes</v>
      </c>
      <c r="AF520" s="5" t="str">
        <f ca="1">IFERROR(__xludf.DUMMYFUNCTION("""COMPUTED_VALUE"""),"Yes")</f>
        <v>Yes</v>
      </c>
      <c r="AG520" s="5" t="str">
        <f ca="1">IFERROR(__xludf.DUMMYFUNCTION("""COMPUTED_VALUE"""),"Yes")</f>
        <v>Yes</v>
      </c>
      <c r="AH520" s="5" t="str">
        <f ca="1">IFERROR(__xludf.DUMMYFUNCTION("""COMPUTED_VALUE"""),"Yes")</f>
        <v>Yes</v>
      </c>
      <c r="AI520" s="5" t="str">
        <f ca="1">IFERROR(__xludf.DUMMYFUNCTION("""COMPUTED_VALUE"""),"No")</f>
        <v>No</v>
      </c>
      <c r="AJ520" s="5" t="str">
        <f ca="1">IFERROR(__xludf.DUMMYFUNCTION("""COMPUTED_VALUE"""),"No")</f>
        <v>No</v>
      </c>
      <c r="AK520" s="5" t="str">
        <f ca="1">IFERROR(__xludf.DUMMYFUNCTION("""COMPUTED_VALUE"""),"No")</f>
        <v>No</v>
      </c>
      <c r="AL520" s="5" t="str">
        <f ca="1">IFERROR(__xludf.DUMMYFUNCTION("""COMPUTED_VALUE"""),"No")</f>
        <v>No</v>
      </c>
      <c r="AM520" s="5"/>
      <c r="AN520" s="5"/>
      <c r="AO520" s="5"/>
      <c r="AP520" s="5"/>
      <c r="AQ520" s="5"/>
      <c r="AR520" s="5"/>
      <c r="AS520" s="5"/>
      <c r="AT520" s="5"/>
      <c r="AU520" s="5"/>
      <c r="AV520" s="5"/>
      <c r="AW520" s="5"/>
      <c r="AX520" s="5"/>
      <c r="AY520" s="5"/>
    </row>
    <row r="521" spans="1:51" x14ac:dyDescent="0.25">
      <c r="A5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1" s="5">
        <f ca="1">IFERROR(__xludf.DUMMYFUNCTION("""COMPUTED_VALUE"""),552)</f>
        <v>552</v>
      </c>
      <c r="C521" s="5">
        <f ca="1">IFERROR(__xludf.DUMMYFUNCTION("""COMPUTED_VALUE"""),4013)</f>
        <v>4013</v>
      </c>
      <c r="D521" s="5" t="str">
        <f ca="1">IFERROR(__xludf.DUMMYFUNCTION("""COMPUTED_VALUE"""),"MaxBetHot40Blow")</f>
        <v>MaxBetHot40Blow</v>
      </c>
      <c r="E521" s="5" t="str">
        <f ca="1">IFERROR(__xludf.DUMMYFUNCTION("""COMPUTED_VALUE"""),"Yes")</f>
        <v>Yes</v>
      </c>
      <c r="F521" s="5" t="str">
        <f ca="1">IFERROR(__xludf.DUMMYFUNCTION("""COMPUTED_VALUE"""),"Yes")</f>
        <v>Yes</v>
      </c>
      <c r="G521" s="5" t="str">
        <f ca="1">IFERROR(__xludf.DUMMYFUNCTION("""COMPUTED_VALUE"""),"Yes")</f>
        <v>Yes</v>
      </c>
      <c r="H521" s="5" t="str">
        <f ca="1">IFERROR(__xludf.DUMMYFUNCTION("""COMPUTED_VALUE"""),"Yes")</f>
        <v>Yes</v>
      </c>
      <c r="I521" s="5" t="str">
        <f ca="1">IFERROR(__xludf.DUMMYFUNCTION("""COMPUTED_VALUE"""),"Yes")</f>
        <v>Yes</v>
      </c>
      <c r="J521" s="5" t="str">
        <f ca="1">IFERROR(__xludf.DUMMYFUNCTION("""COMPUTED_VALUE"""),"Yes")</f>
        <v>Yes</v>
      </c>
      <c r="K521" s="5" t="str">
        <f ca="1">IFERROR(__xludf.DUMMYFUNCTION("""COMPUTED_VALUE"""),"Yes")</f>
        <v>Yes</v>
      </c>
      <c r="L521" s="5" t="str">
        <f ca="1">IFERROR(__xludf.DUMMYFUNCTION("""COMPUTED_VALUE"""),"Yes")</f>
        <v>Yes</v>
      </c>
      <c r="M521" s="5" t="str">
        <f ca="1">IFERROR(__xludf.DUMMYFUNCTION("""COMPUTED_VALUE"""),"Yes")</f>
        <v>Yes</v>
      </c>
      <c r="N521" s="5" t="str">
        <f ca="1">IFERROR(__xludf.DUMMYFUNCTION("""COMPUTED_VALUE"""),"Yes")</f>
        <v>Yes</v>
      </c>
      <c r="O521" s="5" t="str">
        <f ca="1">IFERROR(__xludf.DUMMYFUNCTION("""COMPUTED_VALUE"""),"Yes")</f>
        <v>Yes</v>
      </c>
      <c r="P521" s="5" t="str">
        <f ca="1">IFERROR(__xludf.DUMMYFUNCTION("""COMPUTED_VALUE"""),"Yes")</f>
        <v>Yes</v>
      </c>
      <c r="Q521" s="5" t="str">
        <f ca="1">IFERROR(__xludf.DUMMYFUNCTION("""COMPUTED_VALUE"""),"Yes")</f>
        <v>Yes</v>
      </c>
      <c r="R521" s="5" t="str">
        <f ca="1">IFERROR(__xludf.DUMMYFUNCTION("""COMPUTED_VALUE"""),"Yes")</f>
        <v>Yes</v>
      </c>
      <c r="S521" s="5" t="str">
        <f ca="1">IFERROR(__xludf.DUMMYFUNCTION("""COMPUTED_VALUE"""),"Yes")</f>
        <v>Yes</v>
      </c>
      <c r="T521" s="5" t="str">
        <f ca="1">IFERROR(__xludf.DUMMYFUNCTION("""COMPUTED_VALUE"""),"Yes")</f>
        <v>Yes</v>
      </c>
      <c r="U521" s="5" t="str">
        <f ca="1">IFERROR(__xludf.DUMMYFUNCTION("""COMPUTED_VALUE"""),"Yes")</f>
        <v>Yes</v>
      </c>
      <c r="V521" s="5" t="str">
        <f ca="1">IFERROR(__xludf.DUMMYFUNCTION("""COMPUTED_VALUE"""),"Yes")</f>
        <v>Yes</v>
      </c>
      <c r="W521" s="5" t="str">
        <f ca="1">IFERROR(__xludf.DUMMYFUNCTION("""COMPUTED_VALUE"""),"Yes")</f>
        <v>Yes</v>
      </c>
      <c r="X521" s="5" t="str">
        <f ca="1">IFERROR(__xludf.DUMMYFUNCTION("""COMPUTED_VALUE"""),"Yes")</f>
        <v>Yes</v>
      </c>
      <c r="Y521" s="5" t="str">
        <f ca="1">IFERROR(__xludf.DUMMYFUNCTION("""COMPUTED_VALUE"""),"Yes")</f>
        <v>Yes</v>
      </c>
      <c r="Z521" s="5" t="str">
        <f ca="1">IFERROR(__xludf.DUMMYFUNCTION("""COMPUTED_VALUE"""),"No")</f>
        <v>No</v>
      </c>
      <c r="AA521" s="5" t="str">
        <f ca="1">IFERROR(__xludf.DUMMYFUNCTION("""COMPUTED_VALUE"""),"Yes")</f>
        <v>Yes</v>
      </c>
      <c r="AB521" s="5" t="str">
        <f ca="1">IFERROR(__xludf.DUMMYFUNCTION("""COMPUTED_VALUE"""),"Yes")</f>
        <v>Yes</v>
      </c>
      <c r="AC521" s="5" t="str">
        <f ca="1">IFERROR(__xludf.DUMMYFUNCTION("""COMPUTED_VALUE"""),"Yes")</f>
        <v>Yes</v>
      </c>
      <c r="AD521" s="5" t="str">
        <f ca="1">IFERROR(__xludf.DUMMYFUNCTION("""COMPUTED_VALUE"""),"Yes")</f>
        <v>Yes</v>
      </c>
      <c r="AE521" s="5" t="str">
        <f ca="1">IFERROR(__xludf.DUMMYFUNCTION("""COMPUTED_VALUE"""),"No")</f>
        <v>No</v>
      </c>
      <c r="AF521" s="5" t="str">
        <f ca="1">IFERROR(__xludf.DUMMYFUNCTION("""COMPUTED_VALUE"""),"Yes")</f>
        <v>Yes</v>
      </c>
      <c r="AG521" s="5" t="str">
        <f ca="1">IFERROR(__xludf.DUMMYFUNCTION("""COMPUTED_VALUE"""),"No")</f>
        <v>No</v>
      </c>
      <c r="AH521" s="5" t="str">
        <f ca="1">IFERROR(__xludf.DUMMYFUNCTION("""COMPUTED_VALUE"""),"No")</f>
        <v>No</v>
      </c>
      <c r="AI521" s="5" t="str">
        <f ca="1">IFERROR(__xludf.DUMMYFUNCTION("""COMPUTED_VALUE"""),"No")</f>
        <v>No</v>
      </c>
      <c r="AJ521" s="5" t="str">
        <f ca="1">IFERROR(__xludf.DUMMYFUNCTION("""COMPUTED_VALUE"""),"No")</f>
        <v>No</v>
      </c>
      <c r="AK521" s="5" t="str">
        <f ca="1">IFERROR(__xludf.DUMMYFUNCTION("""COMPUTED_VALUE"""),"No")</f>
        <v>No</v>
      </c>
      <c r="AL521" s="5" t="str">
        <f ca="1">IFERROR(__xludf.DUMMYFUNCTION("""COMPUTED_VALUE"""),"No")</f>
        <v>No</v>
      </c>
      <c r="AM521" s="5"/>
      <c r="AN521" s="5"/>
      <c r="AO521" s="5"/>
      <c r="AP521" s="5"/>
      <c r="AQ521" s="5"/>
      <c r="AR521" s="5"/>
      <c r="AS521" s="5"/>
      <c r="AT521" s="5"/>
      <c r="AU521" s="5"/>
      <c r="AV521" s="5"/>
      <c r="AW521" s="5"/>
      <c r="AX521" s="5"/>
      <c r="AY521" s="5"/>
    </row>
    <row r="522" spans="1:51" x14ac:dyDescent="0.25">
      <c r="A5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2" s="5">
        <f ca="1">IFERROR(__xludf.DUMMYFUNCTION("""COMPUTED_VALUE"""),553)</f>
        <v>553</v>
      </c>
      <c r="C522" s="5">
        <f ca="1">IFERROR(__xludf.DUMMYFUNCTION("""COMPUTED_VALUE"""),4014)</f>
        <v>4014</v>
      </c>
      <c r="D522" s="5" t="str">
        <f ca="1">IFERROR(__xludf.DUMMYFUNCTION("""COMPUTED_VALUE"""),"MaxBetClover2")</f>
        <v>MaxBetClover2</v>
      </c>
      <c r="E522" s="5" t="str">
        <f ca="1">IFERROR(__xludf.DUMMYFUNCTION("""COMPUTED_VALUE"""),"Yes")</f>
        <v>Yes</v>
      </c>
      <c r="F522" s="5" t="str">
        <f ca="1">IFERROR(__xludf.DUMMYFUNCTION("""COMPUTED_VALUE"""),"Yes")</f>
        <v>Yes</v>
      </c>
      <c r="G522" s="5" t="str">
        <f ca="1">IFERROR(__xludf.DUMMYFUNCTION("""COMPUTED_VALUE"""),"Yes")</f>
        <v>Yes</v>
      </c>
      <c r="H522" s="5" t="str">
        <f ca="1">IFERROR(__xludf.DUMMYFUNCTION("""COMPUTED_VALUE"""),"Yes")</f>
        <v>Yes</v>
      </c>
      <c r="I522" s="5" t="str">
        <f ca="1">IFERROR(__xludf.DUMMYFUNCTION("""COMPUTED_VALUE"""),"Yes")</f>
        <v>Yes</v>
      </c>
      <c r="J522" s="5" t="str">
        <f ca="1">IFERROR(__xludf.DUMMYFUNCTION("""COMPUTED_VALUE"""),"Yes")</f>
        <v>Yes</v>
      </c>
      <c r="K522" s="5" t="str">
        <f ca="1">IFERROR(__xludf.DUMMYFUNCTION("""COMPUTED_VALUE"""),"Yes")</f>
        <v>Yes</v>
      </c>
      <c r="L522" s="5" t="str">
        <f ca="1">IFERROR(__xludf.DUMMYFUNCTION("""COMPUTED_VALUE"""),"Yes")</f>
        <v>Yes</v>
      </c>
      <c r="M522" s="5" t="str">
        <f ca="1">IFERROR(__xludf.DUMMYFUNCTION("""COMPUTED_VALUE"""),"Yes")</f>
        <v>Yes</v>
      </c>
      <c r="N522" s="5" t="str">
        <f ca="1">IFERROR(__xludf.DUMMYFUNCTION("""COMPUTED_VALUE"""),"Yes")</f>
        <v>Yes</v>
      </c>
      <c r="O522" s="5" t="str">
        <f ca="1">IFERROR(__xludf.DUMMYFUNCTION("""COMPUTED_VALUE"""),"Yes")</f>
        <v>Yes</v>
      </c>
      <c r="P522" s="5" t="str">
        <f ca="1">IFERROR(__xludf.DUMMYFUNCTION("""COMPUTED_VALUE"""),"Yes")</f>
        <v>Yes</v>
      </c>
      <c r="Q522" s="5" t="str">
        <f ca="1">IFERROR(__xludf.DUMMYFUNCTION("""COMPUTED_VALUE"""),"Yes")</f>
        <v>Yes</v>
      </c>
      <c r="R522" s="5" t="str">
        <f ca="1">IFERROR(__xludf.DUMMYFUNCTION("""COMPUTED_VALUE"""),"Yes")</f>
        <v>Yes</v>
      </c>
      <c r="S522" s="5" t="str">
        <f ca="1">IFERROR(__xludf.DUMMYFUNCTION("""COMPUTED_VALUE"""),"Yes")</f>
        <v>Yes</v>
      </c>
      <c r="T522" s="5" t="str">
        <f ca="1">IFERROR(__xludf.DUMMYFUNCTION("""COMPUTED_VALUE"""),"Yes")</f>
        <v>Yes</v>
      </c>
      <c r="U522" s="5" t="str">
        <f ca="1">IFERROR(__xludf.DUMMYFUNCTION("""COMPUTED_VALUE"""),"Yes")</f>
        <v>Yes</v>
      </c>
      <c r="V522" s="5" t="str">
        <f ca="1">IFERROR(__xludf.DUMMYFUNCTION("""COMPUTED_VALUE"""),"Yes")</f>
        <v>Yes</v>
      </c>
      <c r="W522" s="5" t="str">
        <f ca="1">IFERROR(__xludf.DUMMYFUNCTION("""COMPUTED_VALUE"""),"Yes")</f>
        <v>Yes</v>
      </c>
      <c r="X522" s="5" t="str">
        <f ca="1">IFERROR(__xludf.DUMMYFUNCTION("""COMPUTED_VALUE"""),"Yes")</f>
        <v>Yes</v>
      </c>
      <c r="Y522" s="5" t="str">
        <f ca="1">IFERROR(__xludf.DUMMYFUNCTION("""COMPUTED_VALUE"""),"Yes")</f>
        <v>Yes</v>
      </c>
      <c r="Z522" s="5" t="str">
        <f ca="1">IFERROR(__xludf.DUMMYFUNCTION("""COMPUTED_VALUE"""),"No")</f>
        <v>No</v>
      </c>
      <c r="AA522" s="5" t="str">
        <f ca="1">IFERROR(__xludf.DUMMYFUNCTION("""COMPUTED_VALUE"""),"Yes")</f>
        <v>Yes</v>
      </c>
      <c r="AB522" s="5" t="str">
        <f ca="1">IFERROR(__xludf.DUMMYFUNCTION("""COMPUTED_VALUE"""),"Yes")</f>
        <v>Yes</v>
      </c>
      <c r="AC522" s="5" t="str">
        <f ca="1">IFERROR(__xludf.DUMMYFUNCTION("""COMPUTED_VALUE"""),"Yes")</f>
        <v>Yes</v>
      </c>
      <c r="AD522" s="5" t="str">
        <f ca="1">IFERROR(__xludf.DUMMYFUNCTION("""COMPUTED_VALUE"""),"Yes")</f>
        <v>Yes</v>
      </c>
      <c r="AE522" s="5" t="str">
        <f ca="1">IFERROR(__xludf.DUMMYFUNCTION("""COMPUTED_VALUE"""),"No")</f>
        <v>No</v>
      </c>
      <c r="AF522" s="5" t="str">
        <f ca="1">IFERROR(__xludf.DUMMYFUNCTION("""COMPUTED_VALUE"""),"Yes")</f>
        <v>Yes</v>
      </c>
      <c r="AG522" s="5" t="str">
        <f ca="1">IFERROR(__xludf.DUMMYFUNCTION("""COMPUTED_VALUE"""),"No")</f>
        <v>No</v>
      </c>
      <c r="AH522" s="5" t="str">
        <f ca="1">IFERROR(__xludf.DUMMYFUNCTION("""COMPUTED_VALUE"""),"No")</f>
        <v>No</v>
      </c>
      <c r="AI522" s="5" t="str">
        <f ca="1">IFERROR(__xludf.DUMMYFUNCTION("""COMPUTED_VALUE"""),"No")</f>
        <v>No</v>
      </c>
      <c r="AJ522" s="5" t="str">
        <f ca="1">IFERROR(__xludf.DUMMYFUNCTION("""COMPUTED_VALUE"""),"No")</f>
        <v>No</v>
      </c>
      <c r="AK522" s="5" t="str">
        <f ca="1">IFERROR(__xludf.DUMMYFUNCTION("""COMPUTED_VALUE"""),"No")</f>
        <v>No</v>
      </c>
      <c r="AL522" s="5" t="str">
        <f ca="1">IFERROR(__xludf.DUMMYFUNCTION("""COMPUTED_VALUE"""),"No")</f>
        <v>No</v>
      </c>
      <c r="AM522" s="5"/>
      <c r="AN522" s="5"/>
      <c r="AO522" s="5"/>
      <c r="AP522" s="5"/>
      <c r="AQ522" s="5"/>
      <c r="AR522" s="5"/>
      <c r="AS522" s="5"/>
      <c r="AT522" s="5"/>
      <c r="AU522" s="5"/>
      <c r="AV522" s="5"/>
      <c r="AW522" s="5"/>
      <c r="AX522" s="5"/>
      <c r="AY522" s="5"/>
    </row>
    <row r="523" spans="1:51" x14ac:dyDescent="0.25">
      <c r="A5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3" s="5">
        <f ca="1">IFERROR(__xludf.DUMMYFUNCTION("""COMPUTED_VALUE"""),554)</f>
        <v>554</v>
      </c>
      <c r="C523" s="5">
        <f ca="1">IFERROR(__xludf.DUMMYFUNCTION("""COMPUTED_VALUE"""),4015)</f>
        <v>4015</v>
      </c>
      <c r="D523" s="5" t="str">
        <f ca="1">IFERROR(__xludf.DUMMYFUNCTION("""COMPUTED_VALUE"""),"MaxBetHot40")</f>
        <v>MaxBetHot40</v>
      </c>
      <c r="E523" s="5" t="str">
        <f ca="1">IFERROR(__xludf.DUMMYFUNCTION("""COMPUTED_VALUE"""),"Yes")</f>
        <v>Yes</v>
      </c>
      <c r="F523" s="5" t="str">
        <f ca="1">IFERROR(__xludf.DUMMYFUNCTION("""COMPUTED_VALUE"""),"Yes")</f>
        <v>Yes</v>
      </c>
      <c r="G523" s="5" t="str">
        <f ca="1">IFERROR(__xludf.DUMMYFUNCTION("""COMPUTED_VALUE"""),"Yes")</f>
        <v>Yes</v>
      </c>
      <c r="H523" s="5" t="str">
        <f ca="1">IFERROR(__xludf.DUMMYFUNCTION("""COMPUTED_VALUE"""),"Yes")</f>
        <v>Yes</v>
      </c>
      <c r="I523" s="5" t="str">
        <f ca="1">IFERROR(__xludf.DUMMYFUNCTION("""COMPUTED_VALUE"""),"Yes")</f>
        <v>Yes</v>
      </c>
      <c r="J523" s="5" t="str">
        <f ca="1">IFERROR(__xludf.DUMMYFUNCTION("""COMPUTED_VALUE"""),"Yes")</f>
        <v>Yes</v>
      </c>
      <c r="K523" s="5" t="str">
        <f ca="1">IFERROR(__xludf.DUMMYFUNCTION("""COMPUTED_VALUE"""),"Yes")</f>
        <v>Yes</v>
      </c>
      <c r="L523" s="5" t="str">
        <f ca="1">IFERROR(__xludf.DUMMYFUNCTION("""COMPUTED_VALUE"""),"Yes")</f>
        <v>Yes</v>
      </c>
      <c r="M523" s="5" t="str">
        <f ca="1">IFERROR(__xludf.DUMMYFUNCTION("""COMPUTED_VALUE"""),"Yes")</f>
        <v>Yes</v>
      </c>
      <c r="N523" s="5" t="str">
        <f ca="1">IFERROR(__xludf.DUMMYFUNCTION("""COMPUTED_VALUE"""),"Yes")</f>
        <v>Yes</v>
      </c>
      <c r="O523" s="5" t="str">
        <f ca="1">IFERROR(__xludf.DUMMYFUNCTION("""COMPUTED_VALUE"""),"Yes")</f>
        <v>Yes</v>
      </c>
      <c r="P523" s="5" t="str">
        <f ca="1">IFERROR(__xludf.DUMMYFUNCTION("""COMPUTED_VALUE"""),"Yes")</f>
        <v>Yes</v>
      </c>
      <c r="Q523" s="5" t="str">
        <f ca="1">IFERROR(__xludf.DUMMYFUNCTION("""COMPUTED_VALUE"""),"Yes")</f>
        <v>Yes</v>
      </c>
      <c r="R523" s="5" t="str">
        <f ca="1">IFERROR(__xludf.DUMMYFUNCTION("""COMPUTED_VALUE"""),"Yes")</f>
        <v>Yes</v>
      </c>
      <c r="S523" s="5" t="str">
        <f ca="1">IFERROR(__xludf.DUMMYFUNCTION("""COMPUTED_VALUE"""),"Yes")</f>
        <v>Yes</v>
      </c>
      <c r="T523" s="5" t="str">
        <f ca="1">IFERROR(__xludf.DUMMYFUNCTION("""COMPUTED_VALUE"""),"Yes")</f>
        <v>Yes</v>
      </c>
      <c r="U523" s="5" t="str">
        <f ca="1">IFERROR(__xludf.DUMMYFUNCTION("""COMPUTED_VALUE"""),"Yes")</f>
        <v>Yes</v>
      </c>
      <c r="V523" s="5" t="str">
        <f ca="1">IFERROR(__xludf.DUMMYFUNCTION("""COMPUTED_VALUE"""),"Yes")</f>
        <v>Yes</v>
      </c>
      <c r="W523" s="5" t="str">
        <f ca="1">IFERROR(__xludf.DUMMYFUNCTION("""COMPUTED_VALUE"""),"Yes")</f>
        <v>Yes</v>
      </c>
      <c r="X523" s="5" t="str">
        <f ca="1">IFERROR(__xludf.DUMMYFUNCTION("""COMPUTED_VALUE"""),"Yes")</f>
        <v>Yes</v>
      </c>
      <c r="Y523" s="5" t="str">
        <f ca="1">IFERROR(__xludf.DUMMYFUNCTION("""COMPUTED_VALUE"""),"Yes")</f>
        <v>Yes</v>
      </c>
      <c r="Z523" s="5" t="str">
        <f ca="1">IFERROR(__xludf.DUMMYFUNCTION("""COMPUTED_VALUE"""),"No")</f>
        <v>No</v>
      </c>
      <c r="AA523" s="5" t="str">
        <f ca="1">IFERROR(__xludf.DUMMYFUNCTION("""COMPUTED_VALUE"""),"Yes")</f>
        <v>Yes</v>
      </c>
      <c r="AB523" s="5" t="str">
        <f ca="1">IFERROR(__xludf.DUMMYFUNCTION("""COMPUTED_VALUE"""),"Yes")</f>
        <v>Yes</v>
      </c>
      <c r="AC523" s="5" t="str">
        <f ca="1">IFERROR(__xludf.DUMMYFUNCTION("""COMPUTED_VALUE"""),"Yes")</f>
        <v>Yes</v>
      </c>
      <c r="AD523" s="5" t="str">
        <f ca="1">IFERROR(__xludf.DUMMYFUNCTION("""COMPUTED_VALUE"""),"Yes")</f>
        <v>Yes</v>
      </c>
      <c r="AE523" s="5" t="str">
        <f ca="1">IFERROR(__xludf.DUMMYFUNCTION("""COMPUTED_VALUE"""),"No")</f>
        <v>No</v>
      </c>
      <c r="AF523" s="5" t="str">
        <f ca="1">IFERROR(__xludf.DUMMYFUNCTION("""COMPUTED_VALUE"""),"Yes")</f>
        <v>Yes</v>
      </c>
      <c r="AG523" s="5" t="str">
        <f ca="1">IFERROR(__xludf.DUMMYFUNCTION("""COMPUTED_VALUE"""),"No")</f>
        <v>No</v>
      </c>
      <c r="AH523" s="5" t="str">
        <f ca="1">IFERROR(__xludf.DUMMYFUNCTION("""COMPUTED_VALUE"""),"No")</f>
        <v>No</v>
      </c>
      <c r="AI523" s="5" t="str">
        <f ca="1">IFERROR(__xludf.DUMMYFUNCTION("""COMPUTED_VALUE"""),"No")</f>
        <v>No</v>
      </c>
      <c r="AJ523" s="5" t="str">
        <f ca="1">IFERROR(__xludf.DUMMYFUNCTION("""COMPUTED_VALUE"""),"No")</f>
        <v>No</v>
      </c>
      <c r="AK523" s="5" t="str">
        <f ca="1">IFERROR(__xludf.DUMMYFUNCTION("""COMPUTED_VALUE"""),"No")</f>
        <v>No</v>
      </c>
      <c r="AL523" s="5" t="str">
        <f ca="1">IFERROR(__xludf.DUMMYFUNCTION("""COMPUTED_VALUE"""),"No")</f>
        <v>No</v>
      </c>
      <c r="AM523" s="5"/>
      <c r="AN523" s="5"/>
      <c r="AO523" s="5"/>
      <c r="AP523" s="5"/>
      <c r="AQ523" s="5"/>
      <c r="AR523" s="5"/>
      <c r="AS523" s="5"/>
      <c r="AT523" s="5"/>
      <c r="AU523" s="5"/>
      <c r="AV523" s="5"/>
      <c r="AW523" s="5"/>
      <c r="AX523" s="5"/>
      <c r="AY523" s="5"/>
    </row>
    <row r="524" spans="1:51" x14ac:dyDescent="0.25">
      <c r="A5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4" s="5">
        <f ca="1">IFERROR(__xludf.DUMMYFUNCTION("""COMPUTED_VALUE"""),555)</f>
        <v>555</v>
      </c>
      <c r="C524" s="5">
        <f ca="1">IFERROR(__xludf.DUMMYFUNCTION("""COMPUTED_VALUE"""),4012)</f>
        <v>4012</v>
      </c>
      <c r="D524" s="5" t="str">
        <f ca="1">IFERROR(__xludf.DUMMYFUNCTION("""COMPUTED_VALUE"""),"SenatorHot5")</f>
        <v>SenatorHot5</v>
      </c>
      <c r="E524" s="5" t="str">
        <f ca="1">IFERROR(__xludf.DUMMYFUNCTION("""COMPUTED_VALUE"""),"Yes")</f>
        <v>Yes</v>
      </c>
      <c r="F524" s="5" t="str">
        <f ca="1">IFERROR(__xludf.DUMMYFUNCTION("""COMPUTED_VALUE"""),"Yes")</f>
        <v>Yes</v>
      </c>
      <c r="G524" s="5" t="str">
        <f ca="1">IFERROR(__xludf.DUMMYFUNCTION("""COMPUTED_VALUE"""),"Yes")</f>
        <v>Yes</v>
      </c>
      <c r="H524" s="5" t="str">
        <f ca="1">IFERROR(__xludf.DUMMYFUNCTION("""COMPUTED_VALUE"""),"Yes")</f>
        <v>Yes</v>
      </c>
      <c r="I524" s="5" t="str">
        <f ca="1">IFERROR(__xludf.DUMMYFUNCTION("""COMPUTED_VALUE"""),"Yes")</f>
        <v>Yes</v>
      </c>
      <c r="J524" s="5" t="str">
        <f ca="1">IFERROR(__xludf.DUMMYFUNCTION("""COMPUTED_VALUE"""),"Yes")</f>
        <v>Yes</v>
      </c>
      <c r="K524" s="5" t="str">
        <f ca="1">IFERROR(__xludf.DUMMYFUNCTION("""COMPUTED_VALUE"""),"Yes")</f>
        <v>Yes</v>
      </c>
      <c r="L524" s="5" t="str">
        <f ca="1">IFERROR(__xludf.DUMMYFUNCTION("""COMPUTED_VALUE"""),"Yes")</f>
        <v>Yes</v>
      </c>
      <c r="M524" s="5" t="str">
        <f ca="1">IFERROR(__xludf.DUMMYFUNCTION("""COMPUTED_VALUE"""),"Yes")</f>
        <v>Yes</v>
      </c>
      <c r="N524" s="5" t="str">
        <f ca="1">IFERROR(__xludf.DUMMYFUNCTION("""COMPUTED_VALUE"""),"Yes")</f>
        <v>Yes</v>
      </c>
      <c r="O524" s="5" t="str">
        <f ca="1">IFERROR(__xludf.DUMMYFUNCTION("""COMPUTED_VALUE"""),"Yes")</f>
        <v>Yes</v>
      </c>
      <c r="P524" s="5" t="str">
        <f ca="1">IFERROR(__xludf.DUMMYFUNCTION("""COMPUTED_VALUE"""),"Yes")</f>
        <v>Yes</v>
      </c>
      <c r="Q524" s="5" t="str">
        <f ca="1">IFERROR(__xludf.DUMMYFUNCTION("""COMPUTED_VALUE"""),"Yes")</f>
        <v>Yes</v>
      </c>
      <c r="R524" s="5" t="str">
        <f ca="1">IFERROR(__xludf.DUMMYFUNCTION("""COMPUTED_VALUE"""),"Yes")</f>
        <v>Yes</v>
      </c>
      <c r="S524" s="5" t="str">
        <f ca="1">IFERROR(__xludf.DUMMYFUNCTION("""COMPUTED_VALUE"""),"Yes")</f>
        <v>Yes</v>
      </c>
      <c r="T524" s="5" t="str">
        <f ca="1">IFERROR(__xludf.DUMMYFUNCTION("""COMPUTED_VALUE"""),"Yes")</f>
        <v>Yes</v>
      </c>
      <c r="U524" s="5" t="str">
        <f ca="1">IFERROR(__xludf.DUMMYFUNCTION("""COMPUTED_VALUE"""),"Yes")</f>
        <v>Yes</v>
      </c>
      <c r="V524" s="5" t="str">
        <f ca="1">IFERROR(__xludf.DUMMYFUNCTION("""COMPUTED_VALUE"""),"Yes")</f>
        <v>Yes</v>
      </c>
      <c r="W524" s="5" t="str">
        <f ca="1">IFERROR(__xludf.DUMMYFUNCTION("""COMPUTED_VALUE"""),"Yes")</f>
        <v>Yes</v>
      </c>
      <c r="X524" s="5" t="str">
        <f ca="1">IFERROR(__xludf.DUMMYFUNCTION("""COMPUTED_VALUE"""),"Yes")</f>
        <v>Yes</v>
      </c>
      <c r="Y524" s="5" t="str">
        <f ca="1">IFERROR(__xludf.DUMMYFUNCTION("""COMPUTED_VALUE"""),"Yes")</f>
        <v>Yes</v>
      </c>
      <c r="Z524" s="5" t="str">
        <f ca="1">IFERROR(__xludf.DUMMYFUNCTION("""COMPUTED_VALUE"""),"No")</f>
        <v>No</v>
      </c>
      <c r="AA524" s="5" t="str">
        <f ca="1">IFERROR(__xludf.DUMMYFUNCTION("""COMPUTED_VALUE"""),"Yes")</f>
        <v>Yes</v>
      </c>
      <c r="AB524" s="5" t="str">
        <f ca="1">IFERROR(__xludf.DUMMYFUNCTION("""COMPUTED_VALUE"""),"Yes")</f>
        <v>Yes</v>
      </c>
      <c r="AC524" s="5" t="str">
        <f ca="1">IFERROR(__xludf.DUMMYFUNCTION("""COMPUTED_VALUE"""),"Yes")</f>
        <v>Yes</v>
      </c>
      <c r="AD524" s="5" t="str">
        <f ca="1">IFERROR(__xludf.DUMMYFUNCTION("""COMPUTED_VALUE"""),"Yes")</f>
        <v>Yes</v>
      </c>
      <c r="AE524" s="5" t="str">
        <f ca="1">IFERROR(__xludf.DUMMYFUNCTION("""COMPUTED_VALUE"""),"No")</f>
        <v>No</v>
      </c>
      <c r="AF524" s="5" t="str">
        <f ca="1">IFERROR(__xludf.DUMMYFUNCTION("""COMPUTED_VALUE"""),"Yes")</f>
        <v>Yes</v>
      </c>
      <c r="AG524" s="5" t="str">
        <f ca="1">IFERROR(__xludf.DUMMYFUNCTION("""COMPUTED_VALUE"""),"No")</f>
        <v>No</v>
      </c>
      <c r="AH524" s="5" t="str">
        <f ca="1">IFERROR(__xludf.DUMMYFUNCTION("""COMPUTED_VALUE"""),"No")</f>
        <v>No</v>
      </c>
      <c r="AI524" s="5" t="str">
        <f ca="1">IFERROR(__xludf.DUMMYFUNCTION("""COMPUTED_VALUE"""),"No")</f>
        <v>No</v>
      </c>
      <c r="AJ524" s="5" t="str">
        <f ca="1">IFERROR(__xludf.DUMMYFUNCTION("""COMPUTED_VALUE"""),"No")</f>
        <v>No</v>
      </c>
      <c r="AK524" s="5" t="str">
        <f ca="1">IFERROR(__xludf.DUMMYFUNCTION("""COMPUTED_VALUE"""),"No")</f>
        <v>No</v>
      </c>
      <c r="AL524" s="5" t="str">
        <f ca="1">IFERROR(__xludf.DUMMYFUNCTION("""COMPUTED_VALUE"""),"No")</f>
        <v>No</v>
      </c>
      <c r="AM524" s="5"/>
      <c r="AN524" s="5"/>
      <c r="AO524" s="5"/>
      <c r="AP524" s="5"/>
      <c r="AQ524" s="5"/>
      <c r="AR524" s="5"/>
      <c r="AS524" s="5"/>
      <c r="AT524" s="5"/>
      <c r="AU524" s="5"/>
      <c r="AV524" s="5"/>
      <c r="AW524" s="5"/>
      <c r="AX524" s="5"/>
      <c r="AY524" s="5"/>
    </row>
    <row r="525" spans="1:51" x14ac:dyDescent="0.25">
      <c r="A5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5" s="5">
        <f ca="1">IFERROR(__xludf.DUMMYFUNCTION("""COMPUTED_VALUE"""),556)</f>
        <v>556</v>
      </c>
      <c r="C525" s="5">
        <f ca="1">IFERROR(__xludf.DUMMYFUNCTION("""COMPUTED_VALUE"""),4016)</f>
        <v>4016</v>
      </c>
      <c r="D525" s="5" t="str">
        <f ca="1">IFERROR(__xludf.DUMMYFUNCTION("""COMPUTED_VALUE"""),"MostBet27")</f>
        <v>MostBet27</v>
      </c>
      <c r="E525" s="5" t="str">
        <f ca="1">IFERROR(__xludf.DUMMYFUNCTION("""COMPUTED_VALUE"""),"Yes")</f>
        <v>Yes</v>
      </c>
      <c r="F525" s="5" t="str">
        <f ca="1">IFERROR(__xludf.DUMMYFUNCTION("""COMPUTED_VALUE"""),"Yes")</f>
        <v>Yes</v>
      </c>
      <c r="G525" s="5" t="str">
        <f ca="1">IFERROR(__xludf.DUMMYFUNCTION("""COMPUTED_VALUE"""),"Yes")</f>
        <v>Yes</v>
      </c>
      <c r="H525" s="5" t="str">
        <f ca="1">IFERROR(__xludf.DUMMYFUNCTION("""COMPUTED_VALUE"""),"Yes")</f>
        <v>Yes</v>
      </c>
      <c r="I525" s="5" t="str">
        <f ca="1">IFERROR(__xludf.DUMMYFUNCTION("""COMPUTED_VALUE"""),"Yes")</f>
        <v>Yes</v>
      </c>
      <c r="J525" s="5" t="str">
        <f ca="1">IFERROR(__xludf.DUMMYFUNCTION("""COMPUTED_VALUE"""),"Yes")</f>
        <v>Yes</v>
      </c>
      <c r="K525" s="5" t="str">
        <f ca="1">IFERROR(__xludf.DUMMYFUNCTION("""COMPUTED_VALUE"""),"Yes")</f>
        <v>Yes</v>
      </c>
      <c r="L525" s="5" t="str">
        <f ca="1">IFERROR(__xludf.DUMMYFUNCTION("""COMPUTED_VALUE"""),"Yes")</f>
        <v>Yes</v>
      </c>
      <c r="M525" s="5" t="str">
        <f ca="1">IFERROR(__xludf.DUMMYFUNCTION("""COMPUTED_VALUE"""),"Yes")</f>
        <v>Yes</v>
      </c>
      <c r="N525" s="5" t="str">
        <f ca="1">IFERROR(__xludf.DUMMYFUNCTION("""COMPUTED_VALUE"""),"Yes")</f>
        <v>Yes</v>
      </c>
      <c r="O525" s="5" t="str">
        <f ca="1">IFERROR(__xludf.DUMMYFUNCTION("""COMPUTED_VALUE"""),"Yes")</f>
        <v>Yes</v>
      </c>
      <c r="P525" s="5" t="str">
        <f ca="1">IFERROR(__xludf.DUMMYFUNCTION("""COMPUTED_VALUE"""),"Yes")</f>
        <v>Yes</v>
      </c>
      <c r="Q525" s="5" t="str">
        <f ca="1">IFERROR(__xludf.DUMMYFUNCTION("""COMPUTED_VALUE"""),"Yes")</f>
        <v>Yes</v>
      </c>
      <c r="R525" s="5" t="str">
        <f ca="1">IFERROR(__xludf.DUMMYFUNCTION("""COMPUTED_VALUE"""),"Yes")</f>
        <v>Yes</v>
      </c>
      <c r="S525" s="5" t="str">
        <f ca="1">IFERROR(__xludf.DUMMYFUNCTION("""COMPUTED_VALUE"""),"Yes")</f>
        <v>Yes</v>
      </c>
      <c r="T525" s="5" t="str">
        <f ca="1">IFERROR(__xludf.DUMMYFUNCTION("""COMPUTED_VALUE"""),"Yes")</f>
        <v>Yes</v>
      </c>
      <c r="U525" s="5" t="str">
        <f ca="1">IFERROR(__xludf.DUMMYFUNCTION("""COMPUTED_VALUE"""),"Yes")</f>
        <v>Yes</v>
      </c>
      <c r="V525" s="5" t="str">
        <f ca="1">IFERROR(__xludf.DUMMYFUNCTION("""COMPUTED_VALUE"""),"Yes")</f>
        <v>Yes</v>
      </c>
      <c r="W525" s="5" t="str">
        <f ca="1">IFERROR(__xludf.DUMMYFUNCTION("""COMPUTED_VALUE"""),"Yes")</f>
        <v>Yes</v>
      </c>
      <c r="X525" s="5" t="str">
        <f ca="1">IFERROR(__xludf.DUMMYFUNCTION("""COMPUTED_VALUE"""),"Yes")</f>
        <v>Yes</v>
      </c>
      <c r="Y525" s="5" t="str">
        <f ca="1">IFERROR(__xludf.DUMMYFUNCTION("""COMPUTED_VALUE"""),"Yes")</f>
        <v>Yes</v>
      </c>
      <c r="Z525" s="5" t="str">
        <f ca="1">IFERROR(__xludf.DUMMYFUNCTION("""COMPUTED_VALUE"""),"Yes")</f>
        <v>Yes</v>
      </c>
      <c r="AA525" s="5" t="str">
        <f ca="1">IFERROR(__xludf.DUMMYFUNCTION("""COMPUTED_VALUE"""),"Yes")</f>
        <v>Yes</v>
      </c>
      <c r="AB525" s="5" t="str">
        <f ca="1">IFERROR(__xludf.DUMMYFUNCTION("""COMPUTED_VALUE"""),"Yes")</f>
        <v>Yes</v>
      </c>
      <c r="AC525" s="5" t="str">
        <f ca="1">IFERROR(__xludf.DUMMYFUNCTION("""COMPUTED_VALUE"""),"Yes")</f>
        <v>Yes</v>
      </c>
      <c r="AD525" s="5" t="str">
        <f ca="1">IFERROR(__xludf.DUMMYFUNCTION("""COMPUTED_VALUE"""),"Yes")</f>
        <v>Yes</v>
      </c>
      <c r="AE525" s="5" t="str">
        <f ca="1">IFERROR(__xludf.DUMMYFUNCTION("""COMPUTED_VALUE"""),"Yes")</f>
        <v>Yes</v>
      </c>
      <c r="AF525" s="5" t="str">
        <f ca="1">IFERROR(__xludf.DUMMYFUNCTION("""COMPUTED_VALUE"""),"Yes")</f>
        <v>Yes</v>
      </c>
      <c r="AG525" s="5" t="str">
        <f ca="1">IFERROR(__xludf.DUMMYFUNCTION("""COMPUTED_VALUE"""),"Yes")</f>
        <v>Yes</v>
      </c>
      <c r="AH525" s="5" t="str">
        <f ca="1">IFERROR(__xludf.DUMMYFUNCTION("""COMPUTED_VALUE"""),"Yes")</f>
        <v>Yes</v>
      </c>
      <c r="AI525" s="5" t="str">
        <f ca="1">IFERROR(__xludf.DUMMYFUNCTION("""COMPUTED_VALUE"""),"No")</f>
        <v>No</v>
      </c>
      <c r="AJ525" s="5" t="str">
        <f ca="1">IFERROR(__xludf.DUMMYFUNCTION("""COMPUTED_VALUE"""),"No")</f>
        <v>No</v>
      </c>
      <c r="AK525" s="5" t="str">
        <f ca="1">IFERROR(__xludf.DUMMYFUNCTION("""COMPUTED_VALUE"""),"No")</f>
        <v>No</v>
      </c>
      <c r="AL525" s="5" t="str">
        <f ca="1">IFERROR(__xludf.DUMMYFUNCTION("""COMPUTED_VALUE"""),"No")</f>
        <v>No</v>
      </c>
      <c r="AM525" s="5"/>
      <c r="AN525" s="5"/>
      <c r="AO525" s="5"/>
      <c r="AP525" s="5"/>
      <c r="AQ525" s="5"/>
      <c r="AR525" s="5"/>
      <c r="AS525" s="5"/>
      <c r="AT525" s="5"/>
      <c r="AU525" s="5"/>
      <c r="AV525" s="5"/>
      <c r="AW525" s="5"/>
      <c r="AX525" s="5"/>
      <c r="AY525" s="5"/>
    </row>
    <row r="526" spans="1:51" x14ac:dyDescent="0.25">
      <c r="A5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6" s="5">
        <f ca="1">IFERROR(__xludf.DUMMYFUNCTION("""COMPUTED_VALUE"""),557)</f>
        <v>557</v>
      </c>
      <c r="C526" s="5">
        <f ca="1">IFERROR(__xludf.DUMMYFUNCTION("""COMPUTED_VALUE"""),501)</f>
        <v>501</v>
      </c>
      <c r="D526" s="5" t="str">
        <f ca="1">IFERROR(__xludf.DUMMYFUNCTION("""COMPUTED_VALUE"""),"UnicornEnchantedGems")</f>
        <v>UnicornEnchantedGems</v>
      </c>
      <c r="E526" s="5" t="str">
        <f ca="1">IFERROR(__xludf.DUMMYFUNCTION("""COMPUTED_VALUE"""),"Yes")</f>
        <v>Yes</v>
      </c>
      <c r="F526" s="5" t="str">
        <f ca="1">IFERROR(__xludf.DUMMYFUNCTION("""COMPUTED_VALUE"""),"Yes")</f>
        <v>Yes</v>
      </c>
      <c r="G526" s="5" t="str">
        <f ca="1">IFERROR(__xludf.DUMMYFUNCTION("""COMPUTED_VALUE"""),"Yes")</f>
        <v>Yes</v>
      </c>
      <c r="H526" s="5" t="str">
        <f ca="1">IFERROR(__xludf.DUMMYFUNCTION("""COMPUTED_VALUE"""),"Yes")</f>
        <v>Yes</v>
      </c>
      <c r="I526" s="5" t="str">
        <f ca="1">IFERROR(__xludf.DUMMYFUNCTION("""COMPUTED_VALUE"""),"Yes")</f>
        <v>Yes</v>
      </c>
      <c r="J526" s="5" t="str">
        <f ca="1">IFERROR(__xludf.DUMMYFUNCTION("""COMPUTED_VALUE"""),"Yes")</f>
        <v>Yes</v>
      </c>
      <c r="K526" s="5" t="str">
        <f ca="1">IFERROR(__xludf.DUMMYFUNCTION("""COMPUTED_VALUE"""),"Yes")</f>
        <v>Yes</v>
      </c>
      <c r="L526" s="5" t="str">
        <f ca="1">IFERROR(__xludf.DUMMYFUNCTION("""COMPUTED_VALUE"""),"Yes")</f>
        <v>Yes</v>
      </c>
      <c r="M526" s="5" t="str">
        <f ca="1">IFERROR(__xludf.DUMMYFUNCTION("""COMPUTED_VALUE"""),"Yes")</f>
        <v>Yes</v>
      </c>
      <c r="N526" s="5" t="str">
        <f ca="1">IFERROR(__xludf.DUMMYFUNCTION("""COMPUTED_VALUE"""),"Yes")</f>
        <v>Yes</v>
      </c>
      <c r="O526" s="5" t="str">
        <f ca="1">IFERROR(__xludf.DUMMYFUNCTION("""COMPUTED_VALUE"""),"Yes")</f>
        <v>Yes</v>
      </c>
      <c r="P526" s="5" t="str">
        <f ca="1">IFERROR(__xludf.DUMMYFUNCTION("""COMPUTED_VALUE"""),"Yes")</f>
        <v>Yes</v>
      </c>
      <c r="Q526" s="5" t="str">
        <f ca="1">IFERROR(__xludf.DUMMYFUNCTION("""COMPUTED_VALUE"""),"Yes")</f>
        <v>Yes</v>
      </c>
      <c r="R526" s="5" t="str">
        <f ca="1">IFERROR(__xludf.DUMMYFUNCTION("""COMPUTED_VALUE"""),"Yes")</f>
        <v>Yes</v>
      </c>
      <c r="S526" s="5" t="str">
        <f ca="1">IFERROR(__xludf.DUMMYFUNCTION("""COMPUTED_VALUE"""),"Yes")</f>
        <v>Yes</v>
      </c>
      <c r="T526" s="5" t="str">
        <f ca="1">IFERROR(__xludf.DUMMYFUNCTION("""COMPUTED_VALUE"""),"Yes")</f>
        <v>Yes</v>
      </c>
      <c r="U526" s="5" t="str">
        <f ca="1">IFERROR(__xludf.DUMMYFUNCTION("""COMPUTED_VALUE"""),"Yes")</f>
        <v>Yes</v>
      </c>
      <c r="V526" s="5" t="str">
        <f ca="1">IFERROR(__xludf.DUMMYFUNCTION("""COMPUTED_VALUE"""),"Yes")</f>
        <v>Yes</v>
      </c>
      <c r="W526" s="5" t="str">
        <f ca="1">IFERROR(__xludf.DUMMYFUNCTION("""COMPUTED_VALUE"""),"Yes")</f>
        <v>Yes</v>
      </c>
      <c r="X526" s="5"/>
      <c r="Y526" s="5"/>
      <c r="Z526" s="5"/>
      <c r="AA526" s="5"/>
      <c r="AB526" s="5"/>
      <c r="AC526" s="5" t="str">
        <f ca="1">IFERROR(__xludf.DUMMYFUNCTION("""COMPUTED_VALUE"""),"Yes")</f>
        <v>Yes</v>
      </c>
      <c r="AD526" s="5"/>
      <c r="AE526" s="5"/>
      <c r="AF526" s="5"/>
      <c r="AG526" s="5"/>
      <c r="AH526" s="5"/>
      <c r="AI526" s="5"/>
      <c r="AJ526" s="5"/>
      <c r="AK526" s="5"/>
      <c r="AL526" s="5"/>
      <c r="AM526" s="5"/>
      <c r="AN526" s="5"/>
      <c r="AO526" s="5"/>
      <c r="AP526" s="5"/>
      <c r="AQ526" s="5"/>
      <c r="AR526" s="5"/>
      <c r="AS526" s="5"/>
      <c r="AT526" s="5"/>
      <c r="AU526" s="5"/>
      <c r="AV526" s="5"/>
      <c r="AW526" s="5"/>
      <c r="AX526" s="5"/>
      <c r="AY526" s="5"/>
    </row>
    <row r="527" spans="1:51" x14ac:dyDescent="0.25">
      <c r="A5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7" s="5">
        <f ca="1">IFERROR(__xludf.DUMMYFUNCTION("""COMPUTED_VALUE"""),558)</f>
        <v>558</v>
      </c>
      <c r="C527" s="5">
        <f ca="1">IFERROR(__xludf.DUMMYFUNCTION("""COMPUTED_VALUE"""),502)</f>
        <v>502</v>
      </c>
      <c r="D527" s="5" t="str">
        <f ca="1">IFERROR(__xludf.DUMMYFUNCTION("""COMPUTED_VALUE"""),"UnicornSupremeSevensDice")</f>
        <v>UnicornSupremeSevensDice</v>
      </c>
      <c r="E527" s="5" t="str">
        <f ca="1">IFERROR(__xludf.DUMMYFUNCTION("""COMPUTED_VALUE"""),"Yes")</f>
        <v>Yes</v>
      </c>
      <c r="F527" s="5" t="str">
        <f ca="1">IFERROR(__xludf.DUMMYFUNCTION("""COMPUTED_VALUE"""),"Yes")</f>
        <v>Yes</v>
      </c>
      <c r="G527" s="5" t="str">
        <f ca="1">IFERROR(__xludf.DUMMYFUNCTION("""COMPUTED_VALUE"""),"Yes")</f>
        <v>Yes</v>
      </c>
      <c r="H527" s="5" t="str">
        <f ca="1">IFERROR(__xludf.DUMMYFUNCTION("""COMPUTED_VALUE"""),"Yes")</f>
        <v>Yes</v>
      </c>
      <c r="I527" s="5" t="str">
        <f ca="1">IFERROR(__xludf.DUMMYFUNCTION("""COMPUTED_VALUE"""),"Yes")</f>
        <v>Yes</v>
      </c>
      <c r="J527" s="5" t="str">
        <f ca="1">IFERROR(__xludf.DUMMYFUNCTION("""COMPUTED_VALUE"""),"Yes")</f>
        <v>Yes</v>
      </c>
      <c r="K527" s="5" t="str">
        <f ca="1">IFERROR(__xludf.DUMMYFUNCTION("""COMPUTED_VALUE"""),"Yes")</f>
        <v>Yes</v>
      </c>
      <c r="L527" s="5" t="str">
        <f ca="1">IFERROR(__xludf.DUMMYFUNCTION("""COMPUTED_VALUE"""),"Yes")</f>
        <v>Yes</v>
      </c>
      <c r="M527" s="5" t="str">
        <f ca="1">IFERROR(__xludf.DUMMYFUNCTION("""COMPUTED_VALUE"""),"Yes")</f>
        <v>Yes</v>
      </c>
      <c r="N527" s="5" t="str">
        <f ca="1">IFERROR(__xludf.DUMMYFUNCTION("""COMPUTED_VALUE"""),"Yes")</f>
        <v>Yes</v>
      </c>
      <c r="O527" s="5" t="str">
        <f ca="1">IFERROR(__xludf.DUMMYFUNCTION("""COMPUTED_VALUE"""),"Yes")</f>
        <v>Yes</v>
      </c>
      <c r="P527" s="5" t="str">
        <f ca="1">IFERROR(__xludf.DUMMYFUNCTION("""COMPUTED_VALUE"""),"Yes")</f>
        <v>Yes</v>
      </c>
      <c r="Q527" s="5" t="str">
        <f ca="1">IFERROR(__xludf.DUMMYFUNCTION("""COMPUTED_VALUE"""),"Yes")</f>
        <v>Yes</v>
      </c>
      <c r="R527" s="5" t="str">
        <f ca="1">IFERROR(__xludf.DUMMYFUNCTION("""COMPUTED_VALUE"""),"Yes")</f>
        <v>Yes</v>
      </c>
      <c r="S527" s="5" t="str">
        <f ca="1">IFERROR(__xludf.DUMMYFUNCTION("""COMPUTED_VALUE"""),"Yes")</f>
        <v>Yes</v>
      </c>
      <c r="T527" s="5" t="str">
        <f ca="1">IFERROR(__xludf.DUMMYFUNCTION("""COMPUTED_VALUE"""),"Yes")</f>
        <v>Yes</v>
      </c>
      <c r="U527" s="5" t="str">
        <f ca="1">IFERROR(__xludf.DUMMYFUNCTION("""COMPUTED_VALUE"""),"Yes")</f>
        <v>Yes</v>
      </c>
      <c r="V527" s="5" t="str">
        <f ca="1">IFERROR(__xludf.DUMMYFUNCTION("""COMPUTED_VALUE"""),"Yes")</f>
        <v>Yes</v>
      </c>
      <c r="W527" s="5" t="str">
        <f ca="1">IFERROR(__xludf.DUMMYFUNCTION("""COMPUTED_VALUE"""),"Yes")</f>
        <v>Yes</v>
      </c>
      <c r="X527" s="5"/>
      <c r="Y527" s="5"/>
      <c r="Z527" s="5"/>
      <c r="AA527" s="5"/>
      <c r="AB527" s="5"/>
      <c r="AC527" s="5" t="str">
        <f ca="1">IFERROR(__xludf.DUMMYFUNCTION("""COMPUTED_VALUE"""),"Yes")</f>
        <v>Yes</v>
      </c>
      <c r="AD527" s="5"/>
      <c r="AE527" s="5"/>
      <c r="AF527" s="5"/>
      <c r="AG527" s="5"/>
      <c r="AH527" s="5"/>
      <c r="AI527" s="5"/>
      <c r="AJ527" s="5"/>
      <c r="AK527" s="5"/>
      <c r="AL527" s="5"/>
      <c r="AM527" s="5"/>
      <c r="AN527" s="5"/>
      <c r="AO527" s="5"/>
      <c r="AP527" s="5"/>
      <c r="AQ527" s="5"/>
      <c r="AR527" s="5"/>
      <c r="AS527" s="5"/>
      <c r="AT527" s="5"/>
      <c r="AU527" s="5"/>
      <c r="AV527" s="5"/>
      <c r="AW527" s="5"/>
      <c r="AX527" s="5"/>
      <c r="AY527" s="5"/>
    </row>
    <row r="528" spans="1:51" x14ac:dyDescent="0.25">
      <c r="A5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8" s="5">
        <f ca="1">IFERROR(__xludf.DUMMYFUNCTION("""COMPUTED_VALUE"""),559)</f>
        <v>559</v>
      </c>
      <c r="C528" s="5">
        <f ca="1">IFERROR(__xludf.DUMMYFUNCTION("""COMPUTED_VALUE"""),373)</f>
        <v>373</v>
      </c>
      <c r="D528" s="5" t="str">
        <f ca="1">IFERROR(__xludf.DUMMYFUNCTION("""COMPUTED_VALUE"""),"UnicornReelyWildReels")</f>
        <v>UnicornReelyWildReels</v>
      </c>
      <c r="E528" s="5" t="str">
        <f ca="1">IFERROR(__xludf.DUMMYFUNCTION("""COMPUTED_VALUE"""),"Yes")</f>
        <v>Yes</v>
      </c>
      <c r="F528" s="5" t="str">
        <f ca="1">IFERROR(__xludf.DUMMYFUNCTION("""COMPUTED_VALUE"""),"Yes")</f>
        <v>Yes</v>
      </c>
      <c r="G528" s="5" t="str">
        <f ca="1">IFERROR(__xludf.DUMMYFUNCTION("""COMPUTED_VALUE"""),"Yes")</f>
        <v>Yes</v>
      </c>
      <c r="H528" s="5" t="str">
        <f ca="1">IFERROR(__xludf.DUMMYFUNCTION("""COMPUTED_VALUE"""),"Yes")</f>
        <v>Yes</v>
      </c>
      <c r="I528" s="5" t="str">
        <f ca="1">IFERROR(__xludf.DUMMYFUNCTION("""COMPUTED_VALUE"""),"Yes")</f>
        <v>Yes</v>
      </c>
      <c r="J528" s="5" t="str">
        <f ca="1">IFERROR(__xludf.DUMMYFUNCTION("""COMPUTED_VALUE"""),"Yes")</f>
        <v>Yes</v>
      </c>
      <c r="K528" s="5" t="str">
        <f ca="1">IFERROR(__xludf.DUMMYFUNCTION("""COMPUTED_VALUE"""),"Yes")</f>
        <v>Yes</v>
      </c>
      <c r="L528" s="5" t="str">
        <f ca="1">IFERROR(__xludf.DUMMYFUNCTION("""COMPUTED_VALUE"""),"Yes")</f>
        <v>Yes</v>
      </c>
      <c r="M528" s="5" t="str">
        <f ca="1">IFERROR(__xludf.DUMMYFUNCTION("""COMPUTED_VALUE"""),"Yes")</f>
        <v>Yes</v>
      </c>
      <c r="N528" s="5" t="str">
        <f ca="1">IFERROR(__xludf.DUMMYFUNCTION("""COMPUTED_VALUE"""),"Yes")</f>
        <v>Yes</v>
      </c>
      <c r="O528" s="5" t="str">
        <f ca="1">IFERROR(__xludf.DUMMYFUNCTION("""COMPUTED_VALUE"""),"Yes")</f>
        <v>Yes</v>
      </c>
      <c r="P528" s="5" t="str">
        <f ca="1">IFERROR(__xludf.DUMMYFUNCTION("""COMPUTED_VALUE"""),"Yes")</f>
        <v>Yes</v>
      </c>
      <c r="Q528" s="5" t="str">
        <f ca="1">IFERROR(__xludf.DUMMYFUNCTION("""COMPUTED_VALUE"""),"Yes")</f>
        <v>Yes</v>
      </c>
      <c r="R528" s="5" t="str">
        <f ca="1">IFERROR(__xludf.DUMMYFUNCTION("""COMPUTED_VALUE"""),"Yes")</f>
        <v>Yes</v>
      </c>
      <c r="S528" s="5" t="str">
        <f ca="1">IFERROR(__xludf.DUMMYFUNCTION("""COMPUTED_VALUE"""),"Yes")</f>
        <v>Yes</v>
      </c>
      <c r="T528" s="5" t="str">
        <f ca="1">IFERROR(__xludf.DUMMYFUNCTION("""COMPUTED_VALUE"""),"Yes")</f>
        <v>Yes</v>
      </c>
      <c r="U528" s="5" t="str">
        <f ca="1">IFERROR(__xludf.DUMMYFUNCTION("""COMPUTED_VALUE"""),"Yes")</f>
        <v>Yes</v>
      </c>
      <c r="V528" s="5" t="str">
        <f ca="1">IFERROR(__xludf.DUMMYFUNCTION("""COMPUTED_VALUE"""),"Yes")</f>
        <v>Yes</v>
      </c>
      <c r="W528" s="5" t="str">
        <f ca="1">IFERROR(__xludf.DUMMYFUNCTION("""COMPUTED_VALUE"""),"Yes")</f>
        <v>Yes</v>
      </c>
      <c r="X528" s="5"/>
      <c r="Y528" s="5"/>
      <c r="Z528" s="5"/>
      <c r="AA528" s="5"/>
      <c r="AB528" s="5"/>
      <c r="AC528" s="5" t="str">
        <f ca="1">IFERROR(__xludf.DUMMYFUNCTION("""COMPUTED_VALUE"""),"Yes")</f>
        <v>Yes</v>
      </c>
      <c r="AD528" s="5"/>
      <c r="AE528" s="5"/>
      <c r="AF528" s="5"/>
      <c r="AG528" s="5"/>
      <c r="AH528" s="5"/>
      <c r="AI528" s="5"/>
      <c r="AJ528" s="5"/>
      <c r="AK528" s="5"/>
      <c r="AL528" s="5"/>
      <c r="AM528" s="5"/>
      <c r="AN528" s="5"/>
      <c r="AO528" s="5"/>
      <c r="AP528" s="5"/>
      <c r="AQ528" s="5"/>
      <c r="AR528" s="5"/>
      <c r="AS528" s="5"/>
      <c r="AT528" s="5"/>
      <c r="AU528" s="5"/>
      <c r="AV528" s="5"/>
      <c r="AW528" s="5"/>
      <c r="AX528" s="5"/>
      <c r="AY528" s="5"/>
    </row>
    <row r="529" spans="1:51" x14ac:dyDescent="0.25">
      <c r="A52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29" s="5">
        <f ca="1">IFERROR(__xludf.DUMMYFUNCTION("""COMPUTED_VALUE"""),560)</f>
        <v>560</v>
      </c>
      <c r="C529" s="5">
        <f ca="1">IFERROR(__xludf.DUMMYFUNCTION("""COMPUTED_VALUE"""),422)</f>
        <v>422</v>
      </c>
      <c r="D529" s="5" t="str">
        <f ca="1">IFERROR(__xludf.DUMMYFUNCTION("""COMPUTED_VALUE"""),"UnicornDynamiteEscape")</f>
        <v>UnicornDynamiteEscape</v>
      </c>
      <c r="E529" s="5" t="str">
        <f ca="1">IFERROR(__xludf.DUMMYFUNCTION("""COMPUTED_VALUE"""),"Yes")</f>
        <v>Yes</v>
      </c>
      <c r="F529" s="5" t="str">
        <f ca="1">IFERROR(__xludf.DUMMYFUNCTION("""COMPUTED_VALUE"""),"Yes")</f>
        <v>Yes</v>
      </c>
      <c r="G529" s="5" t="str">
        <f ca="1">IFERROR(__xludf.DUMMYFUNCTION("""COMPUTED_VALUE"""),"Yes")</f>
        <v>Yes</v>
      </c>
      <c r="H529" s="5" t="str">
        <f ca="1">IFERROR(__xludf.DUMMYFUNCTION("""COMPUTED_VALUE"""),"No")</f>
        <v>No</v>
      </c>
      <c r="I529" s="5" t="str">
        <f ca="1">IFERROR(__xludf.DUMMYFUNCTION("""COMPUTED_VALUE"""),"No")</f>
        <v>No</v>
      </c>
      <c r="J529" s="5" t="str">
        <f ca="1">IFERROR(__xludf.DUMMYFUNCTION("""COMPUTED_VALUE"""),"No")</f>
        <v>No</v>
      </c>
      <c r="K529" s="5" t="str">
        <f ca="1">IFERROR(__xludf.DUMMYFUNCTION("""COMPUTED_VALUE"""),"No")</f>
        <v>No</v>
      </c>
      <c r="L529" s="5" t="str">
        <f ca="1">IFERROR(__xludf.DUMMYFUNCTION("""COMPUTED_VALUE"""),"No")</f>
        <v>No</v>
      </c>
      <c r="M529" s="5" t="str">
        <f ca="1">IFERROR(__xludf.DUMMYFUNCTION("""COMPUTED_VALUE"""),"Yes")</f>
        <v>Yes</v>
      </c>
      <c r="N529" s="5" t="str">
        <f ca="1">IFERROR(__xludf.DUMMYFUNCTION("""COMPUTED_VALUE"""),"Yes")</f>
        <v>Yes</v>
      </c>
      <c r="O529" s="5" t="str">
        <f ca="1">IFERROR(__xludf.DUMMYFUNCTION("""COMPUTED_VALUE"""),"Yes")</f>
        <v>Yes</v>
      </c>
      <c r="P529" s="5" t="str">
        <f ca="1">IFERROR(__xludf.DUMMYFUNCTION("""COMPUTED_VALUE"""),"Yes")</f>
        <v>Yes</v>
      </c>
      <c r="Q529" s="5" t="str">
        <f ca="1">IFERROR(__xludf.DUMMYFUNCTION("""COMPUTED_VALUE"""),"Yes")</f>
        <v>Yes</v>
      </c>
      <c r="R529" s="5" t="str">
        <f ca="1">IFERROR(__xludf.DUMMYFUNCTION("""COMPUTED_VALUE"""),"No")</f>
        <v>No</v>
      </c>
      <c r="S529" s="5" t="str">
        <f ca="1">IFERROR(__xludf.DUMMYFUNCTION("""COMPUTED_VALUE"""),"Yes")</f>
        <v>Yes</v>
      </c>
      <c r="T529" s="5" t="str">
        <f ca="1">IFERROR(__xludf.DUMMYFUNCTION("""COMPUTED_VALUE"""),"No")</f>
        <v>No</v>
      </c>
      <c r="U529" s="5" t="str">
        <f ca="1">IFERROR(__xludf.DUMMYFUNCTION("""COMPUTED_VALUE"""),"No")</f>
        <v>No</v>
      </c>
      <c r="V529" s="5" t="str">
        <f ca="1">IFERROR(__xludf.DUMMYFUNCTION("""COMPUTED_VALUE"""),"No")</f>
        <v>No</v>
      </c>
      <c r="W529" s="5" t="str">
        <f ca="1">IFERROR(__xludf.DUMMYFUNCTION("""COMPUTED_VALUE"""),"No")</f>
        <v>No</v>
      </c>
      <c r="X529" s="5"/>
      <c r="Y529" s="5"/>
      <c r="Z529" s="5"/>
      <c r="AA529" s="5" t="str">
        <f ca="1">IFERROR(__xludf.DUMMYFUNCTION("""COMPUTED_VALUE"""),"Yes")</f>
        <v>Yes</v>
      </c>
      <c r="AB529" s="5"/>
      <c r="AC529" s="5" t="str">
        <f ca="1">IFERROR(__xludf.DUMMYFUNCTION("""COMPUTED_VALUE"""),"No")</f>
        <v>No</v>
      </c>
      <c r="AD529" s="5"/>
      <c r="AE529" s="5"/>
      <c r="AF529" s="5" t="str">
        <f ca="1">IFERROR(__xludf.DUMMYFUNCTION("""COMPUTED_VALUE"""),"Yes")</f>
        <v>Yes</v>
      </c>
      <c r="AG529" s="5"/>
      <c r="AH529" s="5"/>
      <c r="AI529" s="5"/>
      <c r="AJ529" s="5"/>
      <c r="AK529" s="5"/>
      <c r="AL529" s="5" t="str">
        <f ca="1">IFERROR(__xludf.DUMMYFUNCTION("""COMPUTED_VALUE"""),"Yes")</f>
        <v>Yes</v>
      </c>
      <c r="AM529" s="5"/>
      <c r="AN529" s="5"/>
      <c r="AO529" s="5"/>
      <c r="AP529" s="5"/>
      <c r="AQ529" s="5"/>
      <c r="AR529" s="5"/>
      <c r="AS529" s="5"/>
      <c r="AT529" s="5"/>
      <c r="AU529" s="5"/>
      <c r="AV529" s="5"/>
      <c r="AW529" s="5"/>
      <c r="AX529" s="5"/>
      <c r="AY529" s="5"/>
    </row>
    <row r="530" spans="1:51" x14ac:dyDescent="0.25">
      <c r="A53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0" s="5">
        <f ca="1">IFERROR(__xludf.DUMMYFUNCTION("""COMPUTED_VALUE"""),561)</f>
        <v>561</v>
      </c>
      <c r="C530" s="5">
        <f ca="1">IFERROR(__xludf.DUMMYFUNCTION("""COMPUTED_VALUE"""),423)</f>
        <v>423</v>
      </c>
      <c r="D530" s="5" t="str">
        <f ca="1">IFERROR(__xludf.DUMMYFUNCTION("""COMPUTED_VALUE"""),"UnicornBuffaloSevensJackpot")</f>
        <v>UnicornBuffaloSevensJackpot</v>
      </c>
      <c r="E530" s="5" t="str">
        <f ca="1">IFERROR(__xludf.DUMMYFUNCTION("""COMPUTED_VALUE"""),"Yes")</f>
        <v>Yes</v>
      </c>
      <c r="F530" s="5" t="str">
        <f ca="1">IFERROR(__xludf.DUMMYFUNCTION("""COMPUTED_VALUE"""),"Yes")</f>
        <v>Yes</v>
      </c>
      <c r="G530" s="5" t="str">
        <f ca="1">IFERROR(__xludf.DUMMYFUNCTION("""COMPUTED_VALUE"""),"Yes")</f>
        <v>Yes</v>
      </c>
      <c r="H530" s="5" t="str">
        <f ca="1">IFERROR(__xludf.DUMMYFUNCTION("""COMPUTED_VALUE"""),"No")</f>
        <v>No</v>
      </c>
      <c r="I530" s="5" t="str">
        <f ca="1">IFERROR(__xludf.DUMMYFUNCTION("""COMPUTED_VALUE"""),"No")</f>
        <v>No</v>
      </c>
      <c r="J530" s="5" t="str">
        <f ca="1">IFERROR(__xludf.DUMMYFUNCTION("""COMPUTED_VALUE"""),"No")</f>
        <v>No</v>
      </c>
      <c r="K530" s="5" t="str">
        <f ca="1">IFERROR(__xludf.DUMMYFUNCTION("""COMPUTED_VALUE"""),"No")</f>
        <v>No</v>
      </c>
      <c r="L530" s="5" t="str">
        <f ca="1">IFERROR(__xludf.DUMMYFUNCTION("""COMPUTED_VALUE"""),"No")</f>
        <v>No</v>
      </c>
      <c r="M530" s="5" t="str">
        <f ca="1">IFERROR(__xludf.DUMMYFUNCTION("""COMPUTED_VALUE"""),"Yes")</f>
        <v>Yes</v>
      </c>
      <c r="N530" s="5" t="str">
        <f ca="1">IFERROR(__xludf.DUMMYFUNCTION("""COMPUTED_VALUE"""),"Yes")</f>
        <v>Yes</v>
      </c>
      <c r="O530" s="5" t="str">
        <f ca="1">IFERROR(__xludf.DUMMYFUNCTION("""COMPUTED_VALUE"""),"Yes")</f>
        <v>Yes</v>
      </c>
      <c r="P530" s="5" t="str">
        <f ca="1">IFERROR(__xludf.DUMMYFUNCTION("""COMPUTED_VALUE"""),"Yes")</f>
        <v>Yes</v>
      </c>
      <c r="Q530" s="5" t="str">
        <f ca="1">IFERROR(__xludf.DUMMYFUNCTION("""COMPUTED_VALUE"""),"Yes")</f>
        <v>Yes</v>
      </c>
      <c r="R530" s="5" t="str">
        <f ca="1">IFERROR(__xludf.DUMMYFUNCTION("""COMPUTED_VALUE"""),"No")</f>
        <v>No</v>
      </c>
      <c r="S530" s="5" t="str">
        <f ca="1">IFERROR(__xludf.DUMMYFUNCTION("""COMPUTED_VALUE"""),"Yes")</f>
        <v>Yes</v>
      </c>
      <c r="T530" s="5" t="str">
        <f ca="1">IFERROR(__xludf.DUMMYFUNCTION("""COMPUTED_VALUE"""),"No")</f>
        <v>No</v>
      </c>
      <c r="U530" s="5" t="str">
        <f ca="1">IFERROR(__xludf.DUMMYFUNCTION("""COMPUTED_VALUE"""),"No")</f>
        <v>No</v>
      </c>
      <c r="V530" s="5" t="str">
        <f ca="1">IFERROR(__xludf.DUMMYFUNCTION("""COMPUTED_VALUE"""),"No")</f>
        <v>No</v>
      </c>
      <c r="W530" s="5" t="str">
        <f ca="1">IFERROR(__xludf.DUMMYFUNCTION("""COMPUTED_VALUE"""),"No")</f>
        <v>No</v>
      </c>
      <c r="X530" s="5"/>
      <c r="Y530" s="5"/>
      <c r="Z530" s="5"/>
      <c r="AA530" s="5" t="str">
        <f ca="1">IFERROR(__xludf.DUMMYFUNCTION("""COMPUTED_VALUE"""),"Yes")</f>
        <v>Yes</v>
      </c>
      <c r="AB530" s="5"/>
      <c r="AC530" s="5" t="str">
        <f ca="1">IFERROR(__xludf.DUMMYFUNCTION("""COMPUTED_VALUE"""),"No")</f>
        <v>No</v>
      </c>
      <c r="AD530" s="5"/>
      <c r="AE530" s="5"/>
      <c r="AF530" s="5" t="str">
        <f ca="1">IFERROR(__xludf.DUMMYFUNCTION("""COMPUTED_VALUE"""),"Yes")</f>
        <v>Yes</v>
      </c>
      <c r="AG530" s="5"/>
      <c r="AH530" s="5"/>
      <c r="AI530" s="5"/>
      <c r="AJ530" s="5"/>
      <c r="AK530" s="5"/>
      <c r="AL530" s="5" t="str">
        <f ca="1">IFERROR(__xludf.DUMMYFUNCTION("""COMPUTED_VALUE"""),"Yes")</f>
        <v>Yes</v>
      </c>
      <c r="AM530" s="5"/>
      <c r="AN530" s="5"/>
      <c r="AO530" s="5"/>
      <c r="AP530" s="5"/>
      <c r="AQ530" s="5"/>
      <c r="AR530" s="5"/>
      <c r="AS530" s="5"/>
      <c r="AT530" s="5"/>
      <c r="AU530" s="5"/>
      <c r="AV530" s="5"/>
      <c r="AW530" s="5"/>
      <c r="AX530" s="5"/>
      <c r="AY530" s="5"/>
    </row>
    <row r="531" spans="1:51" x14ac:dyDescent="0.25">
      <c r="A53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1" s="5">
        <f ca="1">IFERROR(__xludf.DUMMYFUNCTION("""COMPUTED_VALUE"""),562)</f>
        <v>562</v>
      </c>
      <c r="C531" s="5">
        <f ca="1">IFERROR(__xludf.DUMMYFUNCTION("""COMPUTED_VALUE"""),425)</f>
        <v>425</v>
      </c>
      <c r="D531" s="5" t="str">
        <f ca="1">IFERROR(__xludf.DUMMYFUNCTION("""COMPUTED_VALUE"""),"UnicornScatterKaChing")</f>
        <v>UnicornScatterKaChing</v>
      </c>
      <c r="E531" s="5" t="str">
        <f ca="1">IFERROR(__xludf.DUMMYFUNCTION("""COMPUTED_VALUE"""),"Yes")</f>
        <v>Yes</v>
      </c>
      <c r="F531" s="5" t="str">
        <f ca="1">IFERROR(__xludf.DUMMYFUNCTION("""COMPUTED_VALUE"""),"Yes")</f>
        <v>Yes</v>
      </c>
      <c r="G531" s="5" t="str">
        <f ca="1">IFERROR(__xludf.DUMMYFUNCTION("""COMPUTED_VALUE"""),"Yes")</f>
        <v>Yes</v>
      </c>
      <c r="H531" s="5" t="str">
        <f ca="1">IFERROR(__xludf.DUMMYFUNCTION("""COMPUTED_VALUE"""),"No")</f>
        <v>No</v>
      </c>
      <c r="I531" s="5" t="str">
        <f ca="1">IFERROR(__xludf.DUMMYFUNCTION("""COMPUTED_VALUE"""),"No")</f>
        <v>No</v>
      </c>
      <c r="J531" s="5" t="str">
        <f ca="1">IFERROR(__xludf.DUMMYFUNCTION("""COMPUTED_VALUE"""),"No")</f>
        <v>No</v>
      </c>
      <c r="K531" s="5" t="str">
        <f ca="1">IFERROR(__xludf.DUMMYFUNCTION("""COMPUTED_VALUE"""),"No")</f>
        <v>No</v>
      </c>
      <c r="L531" s="5" t="str">
        <f ca="1">IFERROR(__xludf.DUMMYFUNCTION("""COMPUTED_VALUE"""),"No")</f>
        <v>No</v>
      </c>
      <c r="M531" s="5" t="str">
        <f ca="1">IFERROR(__xludf.DUMMYFUNCTION("""COMPUTED_VALUE"""),"Yes")</f>
        <v>Yes</v>
      </c>
      <c r="N531" s="5" t="str">
        <f ca="1">IFERROR(__xludf.DUMMYFUNCTION("""COMPUTED_VALUE"""),"Yes")</f>
        <v>Yes</v>
      </c>
      <c r="O531" s="5" t="str">
        <f ca="1">IFERROR(__xludf.DUMMYFUNCTION("""COMPUTED_VALUE"""),"Yes")</f>
        <v>Yes</v>
      </c>
      <c r="P531" s="5" t="str">
        <f ca="1">IFERROR(__xludf.DUMMYFUNCTION("""COMPUTED_VALUE"""),"Yes")</f>
        <v>Yes</v>
      </c>
      <c r="Q531" s="5" t="str">
        <f ca="1">IFERROR(__xludf.DUMMYFUNCTION("""COMPUTED_VALUE"""),"Yes")</f>
        <v>Yes</v>
      </c>
      <c r="R531" s="5" t="str">
        <f ca="1">IFERROR(__xludf.DUMMYFUNCTION("""COMPUTED_VALUE"""),"No")</f>
        <v>No</v>
      </c>
      <c r="S531" s="5" t="str">
        <f ca="1">IFERROR(__xludf.DUMMYFUNCTION("""COMPUTED_VALUE"""),"Yes")</f>
        <v>Yes</v>
      </c>
      <c r="T531" s="5" t="str">
        <f ca="1">IFERROR(__xludf.DUMMYFUNCTION("""COMPUTED_VALUE"""),"No")</f>
        <v>No</v>
      </c>
      <c r="U531" s="5" t="str">
        <f ca="1">IFERROR(__xludf.DUMMYFUNCTION("""COMPUTED_VALUE"""),"No")</f>
        <v>No</v>
      </c>
      <c r="V531" s="5" t="str">
        <f ca="1">IFERROR(__xludf.DUMMYFUNCTION("""COMPUTED_VALUE"""),"No")</f>
        <v>No</v>
      </c>
      <c r="W531" s="5" t="str">
        <f ca="1">IFERROR(__xludf.DUMMYFUNCTION("""COMPUTED_VALUE"""),"No")</f>
        <v>No</v>
      </c>
      <c r="X531" s="5"/>
      <c r="Y531" s="5"/>
      <c r="Z531" s="5"/>
      <c r="AA531" s="5" t="str">
        <f ca="1">IFERROR(__xludf.DUMMYFUNCTION("""COMPUTED_VALUE"""),"Yes")</f>
        <v>Yes</v>
      </c>
      <c r="AB531" s="5"/>
      <c r="AC531" s="5" t="str">
        <f ca="1">IFERROR(__xludf.DUMMYFUNCTION("""COMPUTED_VALUE"""),"No")</f>
        <v>No</v>
      </c>
      <c r="AD531" s="5"/>
      <c r="AE531" s="5"/>
      <c r="AF531" s="5" t="str">
        <f ca="1">IFERROR(__xludf.DUMMYFUNCTION("""COMPUTED_VALUE"""),"Yes")</f>
        <v>Yes</v>
      </c>
      <c r="AG531" s="5"/>
      <c r="AH531" s="5"/>
      <c r="AI531" s="5"/>
      <c r="AJ531" s="5"/>
      <c r="AK531" s="5"/>
      <c r="AL531" s="5" t="str">
        <f ca="1">IFERROR(__xludf.DUMMYFUNCTION("""COMPUTED_VALUE"""),"Yes")</f>
        <v>Yes</v>
      </c>
      <c r="AM531" s="5"/>
      <c r="AN531" s="5"/>
      <c r="AO531" s="5"/>
      <c r="AP531" s="5"/>
      <c r="AQ531" s="5"/>
      <c r="AR531" s="5"/>
      <c r="AS531" s="5"/>
      <c r="AT531" s="5"/>
      <c r="AU531" s="5"/>
      <c r="AV531" s="5"/>
      <c r="AW531" s="5"/>
      <c r="AX531" s="5"/>
      <c r="AY531" s="5"/>
    </row>
    <row r="532" spans="1:51" x14ac:dyDescent="0.25">
      <c r="A53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2" s="5">
        <f ca="1">IFERROR(__xludf.DUMMYFUNCTION("""COMPUTED_VALUE"""),563)</f>
        <v>563</v>
      </c>
      <c r="C532" s="5">
        <f ca="1">IFERROR(__xludf.DUMMYFUNCTION("""COMPUTED_VALUE"""),426)</f>
        <v>426</v>
      </c>
      <c r="D532" s="5" t="str">
        <f ca="1">IFERROR(__xludf.DUMMYFUNCTION("""COMPUTED_VALUE"""),"UnicornFruitPlay")</f>
        <v>UnicornFruitPlay</v>
      </c>
      <c r="E532" s="5" t="str">
        <f ca="1">IFERROR(__xludf.DUMMYFUNCTION("""COMPUTED_VALUE"""),"Yes")</f>
        <v>Yes</v>
      </c>
      <c r="F532" s="5" t="str">
        <f ca="1">IFERROR(__xludf.DUMMYFUNCTION("""COMPUTED_VALUE"""),"Yes")</f>
        <v>Yes</v>
      </c>
      <c r="G532" s="5" t="str">
        <f ca="1">IFERROR(__xludf.DUMMYFUNCTION("""COMPUTED_VALUE"""),"Yes")</f>
        <v>Yes</v>
      </c>
      <c r="H532" s="5" t="str">
        <f ca="1">IFERROR(__xludf.DUMMYFUNCTION("""COMPUTED_VALUE"""),"No")</f>
        <v>No</v>
      </c>
      <c r="I532" s="5" t="str">
        <f ca="1">IFERROR(__xludf.DUMMYFUNCTION("""COMPUTED_VALUE"""),"No")</f>
        <v>No</v>
      </c>
      <c r="J532" s="5" t="str">
        <f ca="1">IFERROR(__xludf.DUMMYFUNCTION("""COMPUTED_VALUE"""),"No")</f>
        <v>No</v>
      </c>
      <c r="K532" s="5" t="str">
        <f ca="1">IFERROR(__xludf.DUMMYFUNCTION("""COMPUTED_VALUE"""),"No")</f>
        <v>No</v>
      </c>
      <c r="L532" s="5" t="str">
        <f ca="1">IFERROR(__xludf.DUMMYFUNCTION("""COMPUTED_VALUE"""),"No")</f>
        <v>No</v>
      </c>
      <c r="M532" s="5" t="str">
        <f ca="1">IFERROR(__xludf.DUMMYFUNCTION("""COMPUTED_VALUE"""),"Yes")</f>
        <v>Yes</v>
      </c>
      <c r="N532" s="5" t="str">
        <f ca="1">IFERROR(__xludf.DUMMYFUNCTION("""COMPUTED_VALUE"""),"Yes")</f>
        <v>Yes</v>
      </c>
      <c r="O532" s="5" t="str">
        <f ca="1">IFERROR(__xludf.DUMMYFUNCTION("""COMPUTED_VALUE"""),"Yes")</f>
        <v>Yes</v>
      </c>
      <c r="P532" s="5" t="str">
        <f ca="1">IFERROR(__xludf.DUMMYFUNCTION("""COMPUTED_VALUE"""),"Yes")</f>
        <v>Yes</v>
      </c>
      <c r="Q532" s="5" t="str">
        <f ca="1">IFERROR(__xludf.DUMMYFUNCTION("""COMPUTED_VALUE"""),"Yes")</f>
        <v>Yes</v>
      </c>
      <c r="R532" s="5" t="str">
        <f ca="1">IFERROR(__xludf.DUMMYFUNCTION("""COMPUTED_VALUE"""),"No")</f>
        <v>No</v>
      </c>
      <c r="S532" s="5" t="str">
        <f ca="1">IFERROR(__xludf.DUMMYFUNCTION("""COMPUTED_VALUE"""),"Yes")</f>
        <v>Yes</v>
      </c>
      <c r="T532" s="5" t="str">
        <f ca="1">IFERROR(__xludf.DUMMYFUNCTION("""COMPUTED_VALUE"""),"No")</f>
        <v>No</v>
      </c>
      <c r="U532" s="5" t="str">
        <f ca="1">IFERROR(__xludf.DUMMYFUNCTION("""COMPUTED_VALUE"""),"No")</f>
        <v>No</v>
      </c>
      <c r="V532" s="5" t="str">
        <f ca="1">IFERROR(__xludf.DUMMYFUNCTION("""COMPUTED_VALUE"""),"No")</f>
        <v>No</v>
      </c>
      <c r="W532" s="5" t="str">
        <f ca="1">IFERROR(__xludf.DUMMYFUNCTION("""COMPUTED_VALUE"""),"No")</f>
        <v>No</v>
      </c>
      <c r="X532" s="5"/>
      <c r="Y532" s="5"/>
      <c r="Z532" s="5"/>
      <c r="AA532" s="5" t="str">
        <f ca="1">IFERROR(__xludf.DUMMYFUNCTION("""COMPUTED_VALUE"""),"Yes")</f>
        <v>Yes</v>
      </c>
      <c r="AB532" s="5"/>
      <c r="AC532" s="5" t="str">
        <f ca="1">IFERROR(__xludf.DUMMYFUNCTION("""COMPUTED_VALUE"""),"No")</f>
        <v>No</v>
      </c>
      <c r="AD532" s="5"/>
      <c r="AE532" s="5"/>
      <c r="AF532" s="5" t="str">
        <f ca="1">IFERROR(__xludf.DUMMYFUNCTION("""COMPUTED_VALUE"""),"Yes")</f>
        <v>Yes</v>
      </c>
      <c r="AG532" s="5"/>
      <c r="AH532" s="5"/>
      <c r="AI532" s="5"/>
      <c r="AJ532" s="5"/>
      <c r="AK532" s="5"/>
      <c r="AL532" s="5" t="str">
        <f ca="1">IFERROR(__xludf.DUMMYFUNCTION("""COMPUTED_VALUE"""),"Yes")</f>
        <v>Yes</v>
      </c>
      <c r="AM532" s="5"/>
      <c r="AN532" s="5"/>
      <c r="AO532" s="5"/>
      <c r="AP532" s="5"/>
      <c r="AQ532" s="5"/>
      <c r="AR532" s="5"/>
      <c r="AS532" s="5"/>
      <c r="AT532" s="5"/>
      <c r="AU532" s="5"/>
      <c r="AV532" s="5"/>
      <c r="AW532" s="5"/>
      <c r="AX532" s="5"/>
      <c r="AY532" s="5"/>
    </row>
    <row r="533" spans="1:51" x14ac:dyDescent="0.25">
      <c r="A53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3" s="5">
        <f ca="1">IFERROR(__xludf.DUMMYFUNCTION("""COMPUTED_VALUE"""),564)</f>
        <v>564</v>
      </c>
      <c r="C533" s="5">
        <f ca="1">IFERROR(__xludf.DUMMYFUNCTION("""COMPUTED_VALUE"""),424)</f>
        <v>424</v>
      </c>
      <c r="D533" s="5" t="str">
        <f ca="1">IFERROR(__xludf.DUMMYFUNCTION("""COMPUTED_VALUE"""),"UnicornFruitIslandJackpot")</f>
        <v>UnicornFruitIslandJackpot</v>
      </c>
      <c r="E533" s="5" t="str">
        <f ca="1">IFERROR(__xludf.DUMMYFUNCTION("""COMPUTED_VALUE"""),"Yes")</f>
        <v>Yes</v>
      </c>
      <c r="F533" s="5" t="str">
        <f ca="1">IFERROR(__xludf.DUMMYFUNCTION("""COMPUTED_VALUE"""),"Yes")</f>
        <v>Yes</v>
      </c>
      <c r="G533" s="5" t="str">
        <f ca="1">IFERROR(__xludf.DUMMYFUNCTION("""COMPUTED_VALUE"""),"Yes")</f>
        <v>Yes</v>
      </c>
      <c r="H533" s="5" t="str">
        <f ca="1">IFERROR(__xludf.DUMMYFUNCTION("""COMPUTED_VALUE"""),"No")</f>
        <v>No</v>
      </c>
      <c r="I533" s="5" t="str">
        <f ca="1">IFERROR(__xludf.DUMMYFUNCTION("""COMPUTED_VALUE"""),"No")</f>
        <v>No</v>
      </c>
      <c r="J533" s="5" t="str">
        <f ca="1">IFERROR(__xludf.DUMMYFUNCTION("""COMPUTED_VALUE"""),"No")</f>
        <v>No</v>
      </c>
      <c r="K533" s="5" t="str">
        <f ca="1">IFERROR(__xludf.DUMMYFUNCTION("""COMPUTED_VALUE"""),"No")</f>
        <v>No</v>
      </c>
      <c r="L533" s="5" t="str">
        <f ca="1">IFERROR(__xludf.DUMMYFUNCTION("""COMPUTED_VALUE"""),"No")</f>
        <v>No</v>
      </c>
      <c r="M533" s="5" t="str">
        <f ca="1">IFERROR(__xludf.DUMMYFUNCTION("""COMPUTED_VALUE"""),"Yes")</f>
        <v>Yes</v>
      </c>
      <c r="N533" s="5" t="str">
        <f ca="1">IFERROR(__xludf.DUMMYFUNCTION("""COMPUTED_VALUE"""),"Yes")</f>
        <v>Yes</v>
      </c>
      <c r="O533" s="5" t="str">
        <f ca="1">IFERROR(__xludf.DUMMYFUNCTION("""COMPUTED_VALUE"""),"Yes")</f>
        <v>Yes</v>
      </c>
      <c r="P533" s="5" t="str">
        <f ca="1">IFERROR(__xludf.DUMMYFUNCTION("""COMPUTED_VALUE"""),"Yes")</f>
        <v>Yes</v>
      </c>
      <c r="Q533" s="5" t="str">
        <f ca="1">IFERROR(__xludf.DUMMYFUNCTION("""COMPUTED_VALUE"""),"Yes")</f>
        <v>Yes</v>
      </c>
      <c r="R533" s="5" t="str">
        <f ca="1">IFERROR(__xludf.DUMMYFUNCTION("""COMPUTED_VALUE"""),"No")</f>
        <v>No</v>
      </c>
      <c r="S533" s="5" t="str">
        <f ca="1">IFERROR(__xludf.DUMMYFUNCTION("""COMPUTED_VALUE"""),"Yes")</f>
        <v>Yes</v>
      </c>
      <c r="T533" s="5" t="str">
        <f ca="1">IFERROR(__xludf.DUMMYFUNCTION("""COMPUTED_VALUE"""),"No")</f>
        <v>No</v>
      </c>
      <c r="U533" s="5" t="str">
        <f ca="1">IFERROR(__xludf.DUMMYFUNCTION("""COMPUTED_VALUE"""),"No")</f>
        <v>No</v>
      </c>
      <c r="V533" s="5" t="str">
        <f ca="1">IFERROR(__xludf.DUMMYFUNCTION("""COMPUTED_VALUE"""),"No")</f>
        <v>No</v>
      </c>
      <c r="W533" s="5" t="str">
        <f ca="1">IFERROR(__xludf.DUMMYFUNCTION("""COMPUTED_VALUE"""),"No")</f>
        <v>No</v>
      </c>
      <c r="X533" s="5"/>
      <c r="Y533" s="5"/>
      <c r="Z533" s="5"/>
      <c r="AA533" s="5" t="str">
        <f ca="1">IFERROR(__xludf.DUMMYFUNCTION("""COMPUTED_VALUE"""),"Yes")</f>
        <v>Yes</v>
      </c>
      <c r="AB533" s="5"/>
      <c r="AC533" s="5" t="str">
        <f ca="1">IFERROR(__xludf.DUMMYFUNCTION("""COMPUTED_VALUE"""),"No")</f>
        <v>No</v>
      </c>
      <c r="AD533" s="5"/>
      <c r="AE533" s="5"/>
      <c r="AF533" s="5" t="str">
        <f ca="1">IFERROR(__xludf.DUMMYFUNCTION("""COMPUTED_VALUE"""),"Yes")</f>
        <v>Yes</v>
      </c>
      <c r="AG533" s="5"/>
      <c r="AH533" s="5"/>
      <c r="AI533" s="5"/>
      <c r="AJ533" s="5"/>
      <c r="AK533" s="5"/>
      <c r="AL533" s="5" t="str">
        <f ca="1">IFERROR(__xludf.DUMMYFUNCTION("""COMPUTED_VALUE"""),"Yes")</f>
        <v>Yes</v>
      </c>
      <c r="AM533" s="5"/>
      <c r="AN533" s="5"/>
      <c r="AO533" s="5"/>
      <c r="AP533" s="5"/>
      <c r="AQ533" s="5"/>
      <c r="AR533" s="5"/>
      <c r="AS533" s="5"/>
      <c r="AT533" s="5"/>
      <c r="AU533" s="5"/>
      <c r="AV533" s="5"/>
      <c r="AW533" s="5"/>
      <c r="AX533" s="5"/>
      <c r="AY533" s="5"/>
    </row>
    <row r="534" spans="1:51" x14ac:dyDescent="0.25">
      <c r="A53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4" s="5">
        <f ca="1">IFERROR(__xludf.DUMMYFUNCTION("""COMPUTED_VALUE"""),565)</f>
        <v>565</v>
      </c>
      <c r="C534" s="5">
        <f ca="1">IFERROR(__xludf.DUMMYFUNCTION("""COMPUTED_VALUE"""),427)</f>
        <v>427</v>
      </c>
      <c r="D534" s="5" t="str">
        <f ca="1">IFERROR(__xludf.DUMMYFUNCTION("""COMPUTED_VALUE"""),"UnicornCollectCall")</f>
        <v>UnicornCollectCall</v>
      </c>
      <c r="E534" s="5" t="str">
        <f ca="1">IFERROR(__xludf.DUMMYFUNCTION("""COMPUTED_VALUE"""),"Yes")</f>
        <v>Yes</v>
      </c>
      <c r="F534" s="5" t="str">
        <f ca="1">IFERROR(__xludf.DUMMYFUNCTION("""COMPUTED_VALUE"""),"Yes")</f>
        <v>Yes</v>
      </c>
      <c r="G534" s="5" t="str">
        <f ca="1">IFERROR(__xludf.DUMMYFUNCTION("""COMPUTED_VALUE"""),"Yes")</f>
        <v>Yes</v>
      </c>
      <c r="H534" s="5" t="str">
        <f ca="1">IFERROR(__xludf.DUMMYFUNCTION("""COMPUTED_VALUE"""),"No")</f>
        <v>No</v>
      </c>
      <c r="I534" s="5" t="str">
        <f ca="1">IFERROR(__xludf.DUMMYFUNCTION("""COMPUTED_VALUE"""),"No")</f>
        <v>No</v>
      </c>
      <c r="J534" s="5" t="str">
        <f ca="1">IFERROR(__xludf.DUMMYFUNCTION("""COMPUTED_VALUE"""),"No")</f>
        <v>No</v>
      </c>
      <c r="K534" s="5" t="str">
        <f ca="1">IFERROR(__xludf.DUMMYFUNCTION("""COMPUTED_VALUE"""),"No")</f>
        <v>No</v>
      </c>
      <c r="L534" s="5" t="str">
        <f ca="1">IFERROR(__xludf.DUMMYFUNCTION("""COMPUTED_VALUE"""),"No")</f>
        <v>No</v>
      </c>
      <c r="M534" s="5" t="str">
        <f ca="1">IFERROR(__xludf.DUMMYFUNCTION("""COMPUTED_VALUE"""),"Yes")</f>
        <v>Yes</v>
      </c>
      <c r="N534" s="5" t="str">
        <f ca="1">IFERROR(__xludf.DUMMYFUNCTION("""COMPUTED_VALUE"""),"Yes")</f>
        <v>Yes</v>
      </c>
      <c r="O534" s="5" t="str">
        <f ca="1">IFERROR(__xludf.DUMMYFUNCTION("""COMPUTED_VALUE"""),"Yes")</f>
        <v>Yes</v>
      </c>
      <c r="P534" s="5" t="str">
        <f ca="1">IFERROR(__xludf.DUMMYFUNCTION("""COMPUTED_VALUE"""),"Yes")</f>
        <v>Yes</v>
      </c>
      <c r="Q534" s="5" t="str">
        <f ca="1">IFERROR(__xludf.DUMMYFUNCTION("""COMPUTED_VALUE"""),"Yes")</f>
        <v>Yes</v>
      </c>
      <c r="R534" s="5" t="str">
        <f ca="1">IFERROR(__xludf.DUMMYFUNCTION("""COMPUTED_VALUE"""),"No")</f>
        <v>No</v>
      </c>
      <c r="S534" s="5" t="str">
        <f ca="1">IFERROR(__xludf.DUMMYFUNCTION("""COMPUTED_VALUE"""),"Yes")</f>
        <v>Yes</v>
      </c>
      <c r="T534" s="5" t="str">
        <f ca="1">IFERROR(__xludf.DUMMYFUNCTION("""COMPUTED_VALUE"""),"No")</f>
        <v>No</v>
      </c>
      <c r="U534" s="5" t="str">
        <f ca="1">IFERROR(__xludf.DUMMYFUNCTION("""COMPUTED_VALUE"""),"No")</f>
        <v>No</v>
      </c>
      <c r="V534" s="5" t="str">
        <f ca="1">IFERROR(__xludf.DUMMYFUNCTION("""COMPUTED_VALUE"""),"No")</f>
        <v>No</v>
      </c>
      <c r="W534" s="5" t="str">
        <f ca="1">IFERROR(__xludf.DUMMYFUNCTION("""COMPUTED_VALUE"""),"No")</f>
        <v>No</v>
      </c>
      <c r="X534" s="5" t="str">
        <f ca="1">IFERROR(__xludf.DUMMYFUNCTION("""COMPUTED_VALUE"""),"No")</f>
        <v>No</v>
      </c>
      <c r="Y534" s="5" t="str">
        <f ca="1">IFERROR(__xludf.DUMMYFUNCTION("""COMPUTED_VALUE"""),"No")</f>
        <v>No</v>
      </c>
      <c r="Z534" s="5" t="str">
        <f ca="1">IFERROR(__xludf.DUMMYFUNCTION("""COMPUTED_VALUE"""),"No")</f>
        <v>No</v>
      </c>
      <c r="AA534" s="5" t="str">
        <f ca="1">IFERROR(__xludf.DUMMYFUNCTION("""COMPUTED_VALUE"""),"Yes")</f>
        <v>Yes</v>
      </c>
      <c r="AB534" s="5" t="str">
        <f ca="1">IFERROR(__xludf.DUMMYFUNCTION("""COMPUTED_VALUE"""),"No")</f>
        <v>No</v>
      </c>
      <c r="AC534" s="5" t="str">
        <f ca="1">IFERROR(__xludf.DUMMYFUNCTION("""COMPUTED_VALUE"""),"No")</f>
        <v>No</v>
      </c>
      <c r="AD534" s="5" t="str">
        <f ca="1">IFERROR(__xludf.DUMMYFUNCTION("""COMPUTED_VALUE"""),"No")</f>
        <v>No</v>
      </c>
      <c r="AE534" s="5" t="str">
        <f ca="1">IFERROR(__xludf.DUMMYFUNCTION("""COMPUTED_VALUE"""),"No")</f>
        <v>No</v>
      </c>
      <c r="AF534" s="5" t="str">
        <f ca="1">IFERROR(__xludf.DUMMYFUNCTION("""COMPUTED_VALUE"""),"Yes")</f>
        <v>Yes</v>
      </c>
      <c r="AG534" s="5" t="str">
        <f ca="1">IFERROR(__xludf.DUMMYFUNCTION("""COMPUTED_VALUE"""),"No")</f>
        <v>No</v>
      </c>
      <c r="AH534" s="5" t="str">
        <f ca="1">IFERROR(__xludf.DUMMYFUNCTION("""COMPUTED_VALUE"""),"No")</f>
        <v>No</v>
      </c>
      <c r="AI534" s="5" t="str">
        <f ca="1">IFERROR(__xludf.DUMMYFUNCTION("""COMPUTED_VALUE"""),"No")</f>
        <v>No</v>
      </c>
      <c r="AJ534" s="5" t="str">
        <f ca="1">IFERROR(__xludf.DUMMYFUNCTION("""COMPUTED_VALUE"""),"No")</f>
        <v>No</v>
      </c>
      <c r="AK534" s="5" t="str">
        <f ca="1">IFERROR(__xludf.DUMMYFUNCTION("""COMPUTED_VALUE"""),"No")</f>
        <v>No</v>
      </c>
      <c r="AL534" s="5" t="str">
        <f ca="1">IFERROR(__xludf.DUMMYFUNCTION("""COMPUTED_VALUE"""),"Yes")</f>
        <v>Yes</v>
      </c>
      <c r="AM534" s="5"/>
      <c r="AN534" s="5"/>
      <c r="AO534" s="5"/>
      <c r="AP534" s="5"/>
      <c r="AQ534" s="5"/>
      <c r="AR534" s="5"/>
      <c r="AS534" s="5"/>
      <c r="AT534" s="5"/>
      <c r="AU534" s="5"/>
      <c r="AV534" s="5"/>
      <c r="AW534" s="5"/>
      <c r="AX534" s="5"/>
      <c r="AY534" s="5"/>
    </row>
    <row r="535" spans="1:51" x14ac:dyDescent="0.25">
      <c r="A53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5" s="5">
        <f ca="1">IFERROR(__xludf.DUMMYFUNCTION("""COMPUTED_VALUE"""),566)</f>
        <v>566</v>
      </c>
      <c r="C535" s="5">
        <f ca="1">IFERROR(__xludf.DUMMYFUNCTION("""COMPUTED_VALUE"""),508)</f>
        <v>508</v>
      </c>
      <c r="D535" s="5" t="str">
        <f ca="1">IFERROR(__xludf.DUMMYFUNCTION("""COMPUTED_VALUE"""),"UnicornCoyoteSevensHalloween")</f>
        <v>UnicornCoyoteSevensHalloween</v>
      </c>
      <c r="E535" s="5" t="str">
        <f ca="1">IFERROR(__xludf.DUMMYFUNCTION("""COMPUTED_VALUE"""),"Yes")</f>
        <v>Yes</v>
      </c>
      <c r="F535" s="5" t="str">
        <f ca="1">IFERROR(__xludf.DUMMYFUNCTION("""COMPUTED_VALUE"""),"Yes")</f>
        <v>Yes</v>
      </c>
      <c r="G535" s="5" t="str">
        <f ca="1">IFERROR(__xludf.DUMMYFUNCTION("""COMPUTED_VALUE"""),"Yes")</f>
        <v>Yes</v>
      </c>
      <c r="H535" s="5" t="str">
        <f ca="1">IFERROR(__xludf.DUMMYFUNCTION("""COMPUTED_VALUE"""),"No")</f>
        <v>No</v>
      </c>
      <c r="I535" s="5" t="str">
        <f ca="1">IFERROR(__xludf.DUMMYFUNCTION("""COMPUTED_VALUE"""),"No")</f>
        <v>No</v>
      </c>
      <c r="J535" s="5" t="str">
        <f ca="1">IFERROR(__xludf.DUMMYFUNCTION("""COMPUTED_VALUE"""),"No")</f>
        <v>No</v>
      </c>
      <c r="K535" s="5" t="str">
        <f ca="1">IFERROR(__xludf.DUMMYFUNCTION("""COMPUTED_VALUE"""),"No")</f>
        <v>No</v>
      </c>
      <c r="L535" s="5" t="str">
        <f ca="1">IFERROR(__xludf.DUMMYFUNCTION("""COMPUTED_VALUE"""),"No")</f>
        <v>No</v>
      </c>
      <c r="M535" s="5" t="str">
        <f ca="1">IFERROR(__xludf.DUMMYFUNCTION("""COMPUTED_VALUE"""),"Yes")</f>
        <v>Yes</v>
      </c>
      <c r="N535" s="5" t="str">
        <f ca="1">IFERROR(__xludf.DUMMYFUNCTION("""COMPUTED_VALUE"""),"Yes")</f>
        <v>Yes</v>
      </c>
      <c r="O535" s="5" t="str">
        <f ca="1">IFERROR(__xludf.DUMMYFUNCTION("""COMPUTED_VALUE"""),"Yes")</f>
        <v>Yes</v>
      </c>
      <c r="P535" s="5" t="str">
        <f ca="1">IFERROR(__xludf.DUMMYFUNCTION("""COMPUTED_VALUE"""),"Yes")</f>
        <v>Yes</v>
      </c>
      <c r="Q535" s="5" t="str">
        <f ca="1">IFERROR(__xludf.DUMMYFUNCTION("""COMPUTED_VALUE"""),"Yes")</f>
        <v>Yes</v>
      </c>
      <c r="R535" s="5" t="str">
        <f ca="1">IFERROR(__xludf.DUMMYFUNCTION("""COMPUTED_VALUE"""),"No")</f>
        <v>No</v>
      </c>
      <c r="S535" s="5" t="str">
        <f ca="1">IFERROR(__xludf.DUMMYFUNCTION("""COMPUTED_VALUE"""),"Yes")</f>
        <v>Yes</v>
      </c>
      <c r="T535" s="5" t="str">
        <f ca="1">IFERROR(__xludf.DUMMYFUNCTION("""COMPUTED_VALUE"""),"No")</f>
        <v>No</v>
      </c>
      <c r="U535" s="5" t="str">
        <f ca="1">IFERROR(__xludf.DUMMYFUNCTION("""COMPUTED_VALUE"""),"No")</f>
        <v>No</v>
      </c>
      <c r="V535" s="5" t="str">
        <f ca="1">IFERROR(__xludf.DUMMYFUNCTION("""COMPUTED_VALUE"""),"No")</f>
        <v>No</v>
      </c>
      <c r="W535" s="5" t="str">
        <f ca="1">IFERROR(__xludf.DUMMYFUNCTION("""COMPUTED_VALUE"""),"No")</f>
        <v>No</v>
      </c>
      <c r="X535" s="5"/>
      <c r="Y535" s="5"/>
      <c r="Z535" s="5"/>
      <c r="AA535" s="5" t="str">
        <f ca="1">IFERROR(__xludf.DUMMYFUNCTION("""COMPUTED_VALUE"""),"Yes")</f>
        <v>Yes</v>
      </c>
      <c r="AB535" s="5"/>
      <c r="AC535" s="5" t="str">
        <f ca="1">IFERROR(__xludf.DUMMYFUNCTION("""COMPUTED_VALUE"""),"No")</f>
        <v>No</v>
      </c>
      <c r="AD535" s="5"/>
      <c r="AE535" s="5"/>
      <c r="AF535" s="5" t="str">
        <f ca="1">IFERROR(__xludf.DUMMYFUNCTION("""COMPUTED_VALUE"""),"Yes")</f>
        <v>Yes</v>
      </c>
      <c r="AG535" s="5"/>
      <c r="AH535" s="5"/>
      <c r="AI535" s="5"/>
      <c r="AJ535" s="5"/>
      <c r="AK535" s="5"/>
      <c r="AL535" s="5" t="str">
        <f ca="1">IFERROR(__xludf.DUMMYFUNCTION("""COMPUTED_VALUE"""),"Yes")</f>
        <v>Yes</v>
      </c>
      <c r="AM535" s="5"/>
      <c r="AN535" s="5"/>
      <c r="AO535" s="5"/>
      <c r="AP535" s="5"/>
      <c r="AQ535" s="5"/>
      <c r="AR535" s="5"/>
      <c r="AS535" s="5"/>
      <c r="AT535" s="5"/>
      <c r="AU535" s="5"/>
      <c r="AV535" s="5"/>
      <c r="AW535" s="5"/>
      <c r="AX535" s="5"/>
      <c r="AY535" s="5"/>
    </row>
    <row r="536" spans="1:51" x14ac:dyDescent="0.25">
      <c r="A53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6" s="5">
        <f ca="1">IFERROR(__xludf.DUMMYFUNCTION("""COMPUTED_VALUE"""),567)</f>
        <v>567</v>
      </c>
      <c r="C536" s="5">
        <f ca="1">IFERROR(__xludf.DUMMYFUNCTION("""COMPUTED_VALUE"""),510)</f>
        <v>510</v>
      </c>
      <c r="D536" s="5" t="str">
        <f ca="1">IFERROR(__xludf.DUMMYFUNCTION("""COMPUTED_VALUE"""),"UnicornLavaGems")</f>
        <v>UnicornLavaGems</v>
      </c>
      <c r="E536" s="5" t="str">
        <f ca="1">IFERROR(__xludf.DUMMYFUNCTION("""COMPUTED_VALUE"""),"Yes")</f>
        <v>Yes</v>
      </c>
      <c r="F536" s="5" t="str">
        <f ca="1">IFERROR(__xludf.DUMMYFUNCTION("""COMPUTED_VALUE"""),"Yes")</f>
        <v>Yes</v>
      </c>
      <c r="G536" s="5" t="str">
        <f ca="1">IFERROR(__xludf.DUMMYFUNCTION("""COMPUTED_VALUE"""),"Yes")</f>
        <v>Yes</v>
      </c>
      <c r="H536" s="5" t="str">
        <f ca="1">IFERROR(__xludf.DUMMYFUNCTION("""COMPUTED_VALUE"""),"No")</f>
        <v>No</v>
      </c>
      <c r="I536" s="5" t="str">
        <f ca="1">IFERROR(__xludf.DUMMYFUNCTION("""COMPUTED_VALUE"""),"No")</f>
        <v>No</v>
      </c>
      <c r="J536" s="5" t="str">
        <f ca="1">IFERROR(__xludf.DUMMYFUNCTION("""COMPUTED_VALUE"""),"No")</f>
        <v>No</v>
      </c>
      <c r="K536" s="5" t="str">
        <f ca="1">IFERROR(__xludf.DUMMYFUNCTION("""COMPUTED_VALUE"""),"No")</f>
        <v>No</v>
      </c>
      <c r="L536" s="5" t="str">
        <f ca="1">IFERROR(__xludf.DUMMYFUNCTION("""COMPUTED_VALUE"""),"No")</f>
        <v>No</v>
      </c>
      <c r="M536" s="5" t="str">
        <f ca="1">IFERROR(__xludf.DUMMYFUNCTION("""COMPUTED_VALUE"""),"Yes")</f>
        <v>Yes</v>
      </c>
      <c r="N536" s="5" t="str">
        <f ca="1">IFERROR(__xludf.DUMMYFUNCTION("""COMPUTED_VALUE"""),"Yes")</f>
        <v>Yes</v>
      </c>
      <c r="O536" s="5" t="str">
        <f ca="1">IFERROR(__xludf.DUMMYFUNCTION("""COMPUTED_VALUE"""),"Yes")</f>
        <v>Yes</v>
      </c>
      <c r="P536" s="5" t="str">
        <f ca="1">IFERROR(__xludf.DUMMYFUNCTION("""COMPUTED_VALUE"""),"Yes")</f>
        <v>Yes</v>
      </c>
      <c r="Q536" s="5" t="str">
        <f ca="1">IFERROR(__xludf.DUMMYFUNCTION("""COMPUTED_VALUE"""),"Yes")</f>
        <v>Yes</v>
      </c>
      <c r="R536" s="5" t="str">
        <f ca="1">IFERROR(__xludf.DUMMYFUNCTION("""COMPUTED_VALUE"""),"No")</f>
        <v>No</v>
      </c>
      <c r="S536" s="5" t="str">
        <f ca="1">IFERROR(__xludf.DUMMYFUNCTION("""COMPUTED_VALUE"""),"Yes")</f>
        <v>Yes</v>
      </c>
      <c r="T536" s="5" t="str">
        <f ca="1">IFERROR(__xludf.DUMMYFUNCTION("""COMPUTED_VALUE"""),"No")</f>
        <v>No</v>
      </c>
      <c r="U536" s="5" t="str">
        <f ca="1">IFERROR(__xludf.DUMMYFUNCTION("""COMPUTED_VALUE"""),"No")</f>
        <v>No</v>
      </c>
      <c r="V536" s="5" t="str">
        <f ca="1">IFERROR(__xludf.DUMMYFUNCTION("""COMPUTED_VALUE"""),"No")</f>
        <v>No</v>
      </c>
      <c r="W536" s="5" t="str">
        <f ca="1">IFERROR(__xludf.DUMMYFUNCTION("""COMPUTED_VALUE"""),"No")</f>
        <v>No</v>
      </c>
      <c r="X536" s="5"/>
      <c r="Y536" s="5"/>
      <c r="Z536" s="5"/>
      <c r="AA536" s="5" t="str">
        <f ca="1">IFERROR(__xludf.DUMMYFUNCTION("""COMPUTED_VALUE"""),"Yes")</f>
        <v>Yes</v>
      </c>
      <c r="AB536" s="5"/>
      <c r="AC536" s="5" t="str">
        <f ca="1">IFERROR(__xludf.DUMMYFUNCTION("""COMPUTED_VALUE"""),"No")</f>
        <v>No</v>
      </c>
      <c r="AD536" s="5"/>
      <c r="AE536" s="5"/>
      <c r="AF536" s="5" t="str">
        <f ca="1">IFERROR(__xludf.DUMMYFUNCTION("""COMPUTED_VALUE"""),"Yes")</f>
        <v>Yes</v>
      </c>
      <c r="AG536" s="5"/>
      <c r="AH536" s="5"/>
      <c r="AI536" s="5"/>
      <c r="AJ536" s="5"/>
      <c r="AK536" s="5"/>
      <c r="AL536" s="5" t="str">
        <f ca="1">IFERROR(__xludf.DUMMYFUNCTION("""COMPUTED_VALUE"""),"Yes")</f>
        <v>Yes</v>
      </c>
      <c r="AM536" s="5"/>
      <c r="AN536" s="5"/>
      <c r="AO536" s="5"/>
      <c r="AP536" s="5"/>
      <c r="AQ536" s="5"/>
      <c r="AR536" s="5"/>
      <c r="AS536" s="5"/>
      <c r="AT536" s="5"/>
      <c r="AU536" s="5"/>
      <c r="AV536" s="5"/>
      <c r="AW536" s="5"/>
      <c r="AX536" s="5"/>
      <c r="AY536" s="5"/>
    </row>
    <row r="537" spans="1:51" x14ac:dyDescent="0.25">
      <c r="A53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7" s="5">
        <f ca="1">IFERROR(__xludf.DUMMYFUNCTION("""COMPUTED_VALUE"""),568)</f>
        <v>568</v>
      </c>
      <c r="C537" s="5">
        <f ca="1">IFERROR(__xludf.DUMMYFUNCTION("""COMPUTED_VALUE"""),4000000)</f>
        <v>4000000</v>
      </c>
      <c r="D537" s="5" t="str">
        <f ca="1">IFERROR(__xludf.DUMMYFUNCTION("""COMPUTED_VALUE"""),"UnicornTheKingsHalloween")</f>
        <v>UnicornTheKingsHalloween</v>
      </c>
      <c r="E537" s="5" t="str">
        <f ca="1">IFERROR(__xludf.DUMMYFUNCTION("""COMPUTED_VALUE"""),"Yes")</f>
        <v>Yes</v>
      </c>
      <c r="F537" s="5" t="str">
        <f ca="1">IFERROR(__xludf.DUMMYFUNCTION("""COMPUTED_VALUE"""),"Yes")</f>
        <v>Yes</v>
      </c>
      <c r="G537" s="5" t="str">
        <f ca="1">IFERROR(__xludf.DUMMYFUNCTION("""COMPUTED_VALUE"""),"Yes")</f>
        <v>Yes</v>
      </c>
      <c r="H537" s="5"/>
      <c r="I537" s="5"/>
      <c r="J537" s="5"/>
      <c r="K537" s="5"/>
      <c r="L537" s="5"/>
      <c r="M537" s="5" t="str">
        <f ca="1">IFERROR(__xludf.DUMMYFUNCTION("""COMPUTED_VALUE"""),"Yes")</f>
        <v>Yes</v>
      </c>
      <c r="N537" s="5" t="str">
        <f ca="1">IFERROR(__xludf.DUMMYFUNCTION("""COMPUTED_VALUE"""),"Yes")</f>
        <v>Yes</v>
      </c>
      <c r="O537" s="5" t="str">
        <f ca="1">IFERROR(__xludf.DUMMYFUNCTION("""COMPUTED_VALUE"""),"Yes")</f>
        <v>Yes</v>
      </c>
      <c r="P537" s="5" t="str">
        <f ca="1">IFERROR(__xludf.DUMMYFUNCTION("""COMPUTED_VALUE"""),"Yes")</f>
        <v>Yes</v>
      </c>
      <c r="Q537" s="5" t="str">
        <f ca="1">IFERROR(__xludf.DUMMYFUNCTION("""COMPUTED_VALUE"""),"Yes")</f>
        <v>Yes</v>
      </c>
      <c r="R537" s="5"/>
      <c r="S537" s="5" t="str">
        <f ca="1">IFERROR(__xludf.DUMMYFUNCTION("""COMPUTED_VALUE"""),"Yes")</f>
        <v>Yes</v>
      </c>
      <c r="T537" s="5"/>
      <c r="U537" s="5"/>
      <c r="V537" s="5"/>
      <c r="W537" s="5"/>
      <c r="X537" s="5"/>
      <c r="Y537" s="5"/>
      <c r="Z537" s="5"/>
      <c r="AA537" s="5" t="str">
        <f ca="1">IFERROR(__xludf.DUMMYFUNCTION("""COMPUTED_VALUE"""),"Yes")</f>
        <v>Yes</v>
      </c>
      <c r="AB537" s="5"/>
      <c r="AC537" s="5"/>
      <c r="AD537" s="5"/>
      <c r="AE537" s="5"/>
      <c r="AF537" s="5" t="str">
        <f ca="1">IFERROR(__xludf.DUMMYFUNCTION("""COMPUTED_VALUE"""),"Yes")</f>
        <v>Yes</v>
      </c>
      <c r="AG537" s="5"/>
      <c r="AH537" s="5"/>
      <c r="AI537" s="5"/>
      <c r="AJ537" s="5"/>
      <c r="AK537" s="5"/>
      <c r="AL537" s="5" t="str">
        <f ca="1">IFERROR(__xludf.DUMMYFUNCTION("""COMPUTED_VALUE"""),"Yes")</f>
        <v>Yes</v>
      </c>
      <c r="AM537" s="5"/>
      <c r="AN537" s="5"/>
      <c r="AO537" s="5"/>
      <c r="AP537" s="5"/>
      <c r="AQ537" s="5"/>
      <c r="AR537" s="5"/>
      <c r="AS537" s="5"/>
      <c r="AT537" s="5"/>
      <c r="AU537" s="5"/>
      <c r="AV537" s="5"/>
      <c r="AW537" s="5"/>
      <c r="AX537" s="5"/>
      <c r="AY537" s="5"/>
    </row>
    <row r="538" spans="1:51" x14ac:dyDescent="0.25">
      <c r="A5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38" s="5">
        <f ca="1">IFERROR(__xludf.DUMMYFUNCTION("""COMPUTED_VALUE"""),571)</f>
        <v>571</v>
      </c>
      <c r="C538" s="5">
        <f ca="1">IFERROR(__xludf.DUMMYFUNCTION("""COMPUTED_VALUE"""),3010)</f>
        <v>3010</v>
      </c>
      <c r="D538" s="5" t="str">
        <f ca="1">IFERROR(__xludf.DUMMYFUNCTION("""COMPUTED_VALUE"""),"WildSunflower")</f>
        <v>WildSunflower</v>
      </c>
      <c r="E538" s="5" t="str">
        <f ca="1">IFERROR(__xludf.DUMMYFUNCTION("""COMPUTED_VALUE"""),"Yes")</f>
        <v>Yes</v>
      </c>
      <c r="F538" s="5" t="str">
        <f ca="1">IFERROR(__xludf.DUMMYFUNCTION("""COMPUTED_VALUE"""),"Yes")</f>
        <v>Yes</v>
      </c>
      <c r="G538" s="5" t="str">
        <f ca="1">IFERROR(__xludf.DUMMYFUNCTION("""COMPUTED_VALUE"""),"Yes")</f>
        <v>Yes</v>
      </c>
      <c r="H538" s="5" t="str">
        <f ca="1">IFERROR(__xludf.DUMMYFUNCTION("""COMPUTED_VALUE"""),"Yes")</f>
        <v>Yes</v>
      </c>
      <c r="I538" s="5" t="str">
        <f ca="1">IFERROR(__xludf.DUMMYFUNCTION("""COMPUTED_VALUE"""),"Yes")</f>
        <v>Yes</v>
      </c>
      <c r="J538" s="5" t="str">
        <f ca="1">IFERROR(__xludf.DUMMYFUNCTION("""COMPUTED_VALUE"""),"Yes")</f>
        <v>Yes</v>
      </c>
      <c r="K538" s="5" t="str">
        <f ca="1">IFERROR(__xludf.DUMMYFUNCTION("""COMPUTED_VALUE"""),"Yes")</f>
        <v>Yes</v>
      </c>
      <c r="L538" s="5" t="str">
        <f ca="1">IFERROR(__xludf.DUMMYFUNCTION("""COMPUTED_VALUE"""),"Yes")</f>
        <v>Yes</v>
      </c>
      <c r="M538" s="5" t="str">
        <f ca="1">IFERROR(__xludf.DUMMYFUNCTION("""COMPUTED_VALUE"""),"Yes")</f>
        <v>Yes</v>
      </c>
      <c r="N538" s="5" t="str">
        <f ca="1">IFERROR(__xludf.DUMMYFUNCTION("""COMPUTED_VALUE"""),"Yes")</f>
        <v>Yes</v>
      </c>
      <c r="O538" s="5" t="str">
        <f ca="1">IFERROR(__xludf.DUMMYFUNCTION("""COMPUTED_VALUE"""),"Yes")</f>
        <v>Yes</v>
      </c>
      <c r="P538" s="5" t="str">
        <f ca="1">IFERROR(__xludf.DUMMYFUNCTION("""COMPUTED_VALUE"""),"Yes")</f>
        <v>Yes</v>
      </c>
      <c r="Q538" s="5" t="str">
        <f ca="1">IFERROR(__xludf.DUMMYFUNCTION("""COMPUTED_VALUE"""),"Yes")</f>
        <v>Yes</v>
      </c>
      <c r="R538" s="5" t="str">
        <f ca="1">IFERROR(__xludf.DUMMYFUNCTION("""COMPUTED_VALUE"""),"Yes")</f>
        <v>Yes</v>
      </c>
      <c r="S538" s="5" t="str">
        <f ca="1">IFERROR(__xludf.DUMMYFUNCTION("""COMPUTED_VALUE"""),"Yes")</f>
        <v>Yes</v>
      </c>
      <c r="T538" s="5" t="str">
        <f ca="1">IFERROR(__xludf.DUMMYFUNCTION("""COMPUTED_VALUE"""),"Yes")</f>
        <v>Yes</v>
      </c>
      <c r="U538" s="5" t="str">
        <f ca="1">IFERROR(__xludf.DUMMYFUNCTION("""COMPUTED_VALUE"""),"Yes")</f>
        <v>Yes</v>
      </c>
      <c r="V538" s="5" t="str">
        <f ca="1">IFERROR(__xludf.DUMMYFUNCTION("""COMPUTED_VALUE"""),"Yes")</f>
        <v>Yes</v>
      </c>
      <c r="W538" s="5" t="str">
        <f ca="1">IFERROR(__xludf.DUMMYFUNCTION("""COMPUTED_VALUE"""),"Yes")</f>
        <v>Yes</v>
      </c>
      <c r="X538" s="5" t="str">
        <f ca="1">IFERROR(__xludf.DUMMYFUNCTION("""COMPUTED_VALUE"""),"Yes")</f>
        <v>Yes</v>
      </c>
      <c r="Y538" s="5" t="str">
        <f ca="1">IFERROR(__xludf.DUMMYFUNCTION("""COMPUTED_VALUE"""),"Yes")</f>
        <v>Yes</v>
      </c>
      <c r="Z538" s="5" t="str">
        <f ca="1">IFERROR(__xludf.DUMMYFUNCTION("""COMPUTED_VALUE"""),"Yes")</f>
        <v>Yes</v>
      </c>
      <c r="AA538" s="5" t="str">
        <f ca="1">IFERROR(__xludf.DUMMYFUNCTION("""COMPUTED_VALUE"""),"Yes")</f>
        <v>Yes</v>
      </c>
      <c r="AB538" s="5" t="str">
        <f ca="1">IFERROR(__xludf.DUMMYFUNCTION("""COMPUTED_VALUE"""),"Yes")</f>
        <v>Yes</v>
      </c>
      <c r="AC538" s="5" t="str">
        <f ca="1">IFERROR(__xludf.DUMMYFUNCTION("""COMPUTED_VALUE"""),"Yes")</f>
        <v>Yes</v>
      </c>
      <c r="AD538" s="5" t="str">
        <f ca="1">IFERROR(__xludf.DUMMYFUNCTION("""COMPUTED_VALUE"""),"Yes")</f>
        <v>Yes</v>
      </c>
      <c r="AE538" s="5" t="str">
        <f ca="1">IFERROR(__xludf.DUMMYFUNCTION("""COMPUTED_VALUE"""),"Yes")</f>
        <v>Yes</v>
      </c>
      <c r="AF538" s="5" t="str">
        <f ca="1">IFERROR(__xludf.DUMMYFUNCTION("""COMPUTED_VALUE"""),"Yes")</f>
        <v>Yes</v>
      </c>
      <c r="AG538" s="5" t="str">
        <f ca="1">IFERROR(__xludf.DUMMYFUNCTION("""COMPUTED_VALUE"""),"Yes")</f>
        <v>Yes</v>
      </c>
      <c r="AH538" s="5" t="str">
        <f ca="1">IFERROR(__xludf.DUMMYFUNCTION("""COMPUTED_VALUE"""),"Yes")</f>
        <v>Yes</v>
      </c>
      <c r="AI538" s="5" t="str">
        <f ca="1">IFERROR(__xludf.DUMMYFUNCTION("""COMPUTED_VALUE"""),"No")</f>
        <v>No</v>
      </c>
      <c r="AJ538" s="5" t="str">
        <f ca="1">IFERROR(__xludf.DUMMYFUNCTION("""COMPUTED_VALUE"""),"No")</f>
        <v>No</v>
      </c>
      <c r="AK538" s="5" t="str">
        <f ca="1">IFERROR(__xludf.DUMMYFUNCTION("""COMPUTED_VALUE"""),"No")</f>
        <v>No</v>
      </c>
      <c r="AL538" s="5" t="str">
        <f ca="1">IFERROR(__xludf.DUMMYFUNCTION("""COMPUTED_VALUE"""),"No")</f>
        <v>No</v>
      </c>
      <c r="AM538" s="5"/>
      <c r="AN538" s="5"/>
      <c r="AO538" s="5"/>
      <c r="AP538" s="5"/>
      <c r="AQ538" s="5"/>
      <c r="AR538" s="5"/>
      <c r="AS538" s="5"/>
      <c r="AT538" s="5"/>
      <c r="AU538" s="5"/>
      <c r="AV538" s="5"/>
      <c r="AW538" s="5"/>
      <c r="AX538" s="5"/>
      <c r="AY538" s="5"/>
    </row>
    <row r="539" spans="1:51" x14ac:dyDescent="0.25">
      <c r="A5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9" s="5">
        <f ca="1">IFERROR(__xludf.DUMMYFUNCTION("""COMPUTED_VALUE"""),572)</f>
        <v>572</v>
      </c>
      <c r="C539" s="5">
        <f ca="1">IFERROR(__xludf.DUMMYFUNCTION("""COMPUTED_VALUE"""),3013)</f>
        <v>3013</v>
      </c>
      <c r="D539" s="5" t="str">
        <f ca="1">IFERROR(__xludf.DUMMYFUNCTION("""COMPUTED_VALUE"""),"GoldenCrownMaxBooster")</f>
        <v>GoldenCrownMaxBooster</v>
      </c>
      <c r="E539" s="5" t="str">
        <f ca="1">IFERROR(__xludf.DUMMYFUNCTION("""COMPUTED_VALUE"""),"Yes")</f>
        <v>Yes</v>
      </c>
      <c r="F539" s="5" t="str">
        <f ca="1">IFERROR(__xludf.DUMMYFUNCTION("""COMPUTED_VALUE"""),"Yes")</f>
        <v>Yes</v>
      </c>
      <c r="G539" s="5" t="str">
        <f ca="1">IFERROR(__xludf.DUMMYFUNCTION("""COMPUTED_VALUE"""),"Yes")</f>
        <v>Yes</v>
      </c>
      <c r="H539" s="5" t="str">
        <f ca="1">IFERROR(__xludf.DUMMYFUNCTION("""COMPUTED_VALUE"""),"Yes")</f>
        <v>Yes</v>
      </c>
      <c r="I539" s="5" t="str">
        <f ca="1">IFERROR(__xludf.DUMMYFUNCTION("""COMPUTED_VALUE"""),"Yes")</f>
        <v>Yes</v>
      </c>
      <c r="J539" s="5" t="str">
        <f ca="1">IFERROR(__xludf.DUMMYFUNCTION("""COMPUTED_VALUE"""),"Yes")</f>
        <v>Yes</v>
      </c>
      <c r="K539" s="5" t="str">
        <f ca="1">IFERROR(__xludf.DUMMYFUNCTION("""COMPUTED_VALUE"""),"Yes")</f>
        <v>Yes</v>
      </c>
      <c r="L539" s="5" t="str">
        <f ca="1">IFERROR(__xludf.DUMMYFUNCTION("""COMPUTED_VALUE"""),"Yes")</f>
        <v>Yes</v>
      </c>
      <c r="M539" s="5" t="str">
        <f ca="1">IFERROR(__xludf.DUMMYFUNCTION("""COMPUTED_VALUE"""),"Yes")</f>
        <v>Yes</v>
      </c>
      <c r="N539" s="5" t="str">
        <f ca="1">IFERROR(__xludf.DUMMYFUNCTION("""COMPUTED_VALUE"""),"Yes")</f>
        <v>Yes</v>
      </c>
      <c r="O539" s="5" t="str">
        <f ca="1">IFERROR(__xludf.DUMMYFUNCTION("""COMPUTED_VALUE"""),"Yes")</f>
        <v>Yes</v>
      </c>
      <c r="P539" s="5" t="str">
        <f ca="1">IFERROR(__xludf.DUMMYFUNCTION("""COMPUTED_VALUE"""),"Yes")</f>
        <v>Yes</v>
      </c>
      <c r="Q539" s="5" t="str">
        <f ca="1">IFERROR(__xludf.DUMMYFUNCTION("""COMPUTED_VALUE"""),"Yes")</f>
        <v>Yes</v>
      </c>
      <c r="R539" s="5" t="str">
        <f ca="1">IFERROR(__xludf.DUMMYFUNCTION("""COMPUTED_VALUE"""),"Yes")</f>
        <v>Yes</v>
      </c>
      <c r="S539" s="5" t="str">
        <f ca="1">IFERROR(__xludf.DUMMYFUNCTION("""COMPUTED_VALUE"""),"Yes")</f>
        <v>Yes</v>
      </c>
      <c r="T539" s="5" t="str">
        <f ca="1">IFERROR(__xludf.DUMMYFUNCTION("""COMPUTED_VALUE"""),"Yes")</f>
        <v>Yes</v>
      </c>
      <c r="U539" s="5" t="str">
        <f ca="1">IFERROR(__xludf.DUMMYFUNCTION("""COMPUTED_VALUE"""),"Yes")</f>
        <v>Yes</v>
      </c>
      <c r="V539" s="5" t="str">
        <f ca="1">IFERROR(__xludf.DUMMYFUNCTION("""COMPUTED_VALUE"""),"Yes")</f>
        <v>Yes</v>
      </c>
      <c r="W539" s="5" t="str">
        <f ca="1">IFERROR(__xludf.DUMMYFUNCTION("""COMPUTED_VALUE"""),"Yes")</f>
        <v>Yes</v>
      </c>
      <c r="X539" s="5" t="str">
        <f ca="1">IFERROR(__xludf.DUMMYFUNCTION("""COMPUTED_VALUE"""),"Yes")</f>
        <v>Yes</v>
      </c>
      <c r="Y539" s="5" t="str">
        <f ca="1">IFERROR(__xludf.DUMMYFUNCTION("""COMPUTED_VALUE"""),"Yes")</f>
        <v>Yes</v>
      </c>
      <c r="Z539" s="5" t="str">
        <f ca="1">IFERROR(__xludf.DUMMYFUNCTION("""COMPUTED_VALUE"""),"No")</f>
        <v>No</v>
      </c>
      <c r="AA539" s="5" t="str">
        <f ca="1">IFERROR(__xludf.DUMMYFUNCTION("""COMPUTED_VALUE"""),"Yes")</f>
        <v>Yes</v>
      </c>
      <c r="AB539" s="5" t="str">
        <f ca="1">IFERROR(__xludf.DUMMYFUNCTION("""COMPUTED_VALUE"""),"Yes")</f>
        <v>Yes</v>
      </c>
      <c r="AC539" s="5" t="str">
        <f ca="1">IFERROR(__xludf.DUMMYFUNCTION("""COMPUTED_VALUE"""),"Yes")</f>
        <v>Yes</v>
      </c>
      <c r="AD539" s="5" t="str">
        <f ca="1">IFERROR(__xludf.DUMMYFUNCTION("""COMPUTED_VALUE"""),"Yes")</f>
        <v>Yes</v>
      </c>
      <c r="AE539" s="5" t="str">
        <f ca="1">IFERROR(__xludf.DUMMYFUNCTION("""COMPUTED_VALUE"""),"No")</f>
        <v>No</v>
      </c>
      <c r="AF539" s="5" t="str">
        <f ca="1">IFERROR(__xludf.DUMMYFUNCTION("""COMPUTED_VALUE"""),"Yes")</f>
        <v>Yes</v>
      </c>
      <c r="AG539" s="5" t="str">
        <f ca="1">IFERROR(__xludf.DUMMYFUNCTION("""COMPUTED_VALUE"""),"No")</f>
        <v>No</v>
      </c>
      <c r="AH539" s="5" t="str">
        <f ca="1">IFERROR(__xludf.DUMMYFUNCTION("""COMPUTED_VALUE"""),"No")</f>
        <v>No</v>
      </c>
      <c r="AI539" s="5" t="str">
        <f ca="1">IFERROR(__xludf.DUMMYFUNCTION("""COMPUTED_VALUE"""),"No")</f>
        <v>No</v>
      </c>
      <c r="AJ539" s="5" t="str">
        <f ca="1">IFERROR(__xludf.DUMMYFUNCTION("""COMPUTED_VALUE"""),"No")</f>
        <v>No</v>
      </c>
      <c r="AK539" s="5" t="str">
        <f ca="1">IFERROR(__xludf.DUMMYFUNCTION("""COMPUTED_VALUE"""),"No")</f>
        <v>No</v>
      </c>
      <c r="AL539" s="5" t="str">
        <f ca="1">IFERROR(__xludf.DUMMYFUNCTION("""COMPUTED_VALUE"""),"No")</f>
        <v>No</v>
      </c>
      <c r="AM539" s="5"/>
      <c r="AN539" s="5"/>
      <c r="AO539" s="5"/>
      <c r="AP539" s="5"/>
      <c r="AQ539" s="5"/>
      <c r="AR539" s="5"/>
      <c r="AS539" s="5"/>
      <c r="AT539" s="5"/>
      <c r="AU539" s="5"/>
      <c r="AV539" s="5"/>
      <c r="AW539" s="5"/>
      <c r="AX539" s="5"/>
      <c r="AY539" s="5"/>
    </row>
    <row r="540" spans="1:51" x14ac:dyDescent="0.25">
      <c r="A5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0" s="5">
        <f ca="1">IFERROR(__xludf.DUMMYFUNCTION("""COMPUTED_VALUE"""),573)</f>
        <v>573</v>
      </c>
      <c r="C540" s="5">
        <f ca="1">IFERROR(__xludf.DUMMYFUNCTION("""COMPUTED_VALUE"""),3014)</f>
        <v>3014</v>
      </c>
      <c r="D540" s="5" t="str">
        <f ca="1">IFERROR(__xludf.DUMMYFUNCTION("""COMPUTED_VALUE"""),"VeryHot40Booster")</f>
        <v>VeryHot40Booster</v>
      </c>
      <c r="E540" s="5" t="str">
        <f ca="1">IFERROR(__xludf.DUMMYFUNCTION("""COMPUTED_VALUE"""),"Yes")</f>
        <v>Yes</v>
      </c>
      <c r="F540" s="5" t="str">
        <f ca="1">IFERROR(__xludf.DUMMYFUNCTION("""COMPUTED_VALUE"""),"Yes")</f>
        <v>Yes</v>
      </c>
      <c r="G540" s="5" t="str">
        <f ca="1">IFERROR(__xludf.DUMMYFUNCTION("""COMPUTED_VALUE"""),"Yes")</f>
        <v>Yes</v>
      </c>
      <c r="H540" s="5" t="str">
        <f ca="1">IFERROR(__xludf.DUMMYFUNCTION("""COMPUTED_VALUE"""),"Yes")</f>
        <v>Yes</v>
      </c>
      <c r="I540" s="5" t="str">
        <f ca="1">IFERROR(__xludf.DUMMYFUNCTION("""COMPUTED_VALUE"""),"Yes")</f>
        <v>Yes</v>
      </c>
      <c r="J540" s="5" t="str">
        <f ca="1">IFERROR(__xludf.DUMMYFUNCTION("""COMPUTED_VALUE"""),"Yes")</f>
        <v>Yes</v>
      </c>
      <c r="K540" s="5" t="str">
        <f ca="1">IFERROR(__xludf.DUMMYFUNCTION("""COMPUTED_VALUE"""),"Yes")</f>
        <v>Yes</v>
      </c>
      <c r="L540" s="5" t="str">
        <f ca="1">IFERROR(__xludf.DUMMYFUNCTION("""COMPUTED_VALUE"""),"Yes")</f>
        <v>Yes</v>
      </c>
      <c r="M540" s="5" t="str">
        <f ca="1">IFERROR(__xludf.DUMMYFUNCTION("""COMPUTED_VALUE"""),"Yes")</f>
        <v>Yes</v>
      </c>
      <c r="N540" s="5" t="str">
        <f ca="1">IFERROR(__xludf.DUMMYFUNCTION("""COMPUTED_VALUE"""),"Yes")</f>
        <v>Yes</v>
      </c>
      <c r="O540" s="5" t="str">
        <f ca="1">IFERROR(__xludf.DUMMYFUNCTION("""COMPUTED_VALUE"""),"Yes")</f>
        <v>Yes</v>
      </c>
      <c r="P540" s="5" t="str">
        <f ca="1">IFERROR(__xludf.DUMMYFUNCTION("""COMPUTED_VALUE"""),"Yes")</f>
        <v>Yes</v>
      </c>
      <c r="Q540" s="5" t="str">
        <f ca="1">IFERROR(__xludf.DUMMYFUNCTION("""COMPUTED_VALUE"""),"Yes")</f>
        <v>Yes</v>
      </c>
      <c r="R540" s="5" t="str">
        <f ca="1">IFERROR(__xludf.DUMMYFUNCTION("""COMPUTED_VALUE"""),"Yes")</f>
        <v>Yes</v>
      </c>
      <c r="S540" s="5" t="str">
        <f ca="1">IFERROR(__xludf.DUMMYFUNCTION("""COMPUTED_VALUE"""),"Yes")</f>
        <v>Yes</v>
      </c>
      <c r="T540" s="5" t="str">
        <f ca="1">IFERROR(__xludf.DUMMYFUNCTION("""COMPUTED_VALUE"""),"Yes")</f>
        <v>Yes</v>
      </c>
      <c r="U540" s="5" t="str">
        <f ca="1">IFERROR(__xludf.DUMMYFUNCTION("""COMPUTED_VALUE"""),"Yes")</f>
        <v>Yes</v>
      </c>
      <c r="V540" s="5" t="str">
        <f ca="1">IFERROR(__xludf.DUMMYFUNCTION("""COMPUTED_VALUE"""),"Yes")</f>
        <v>Yes</v>
      </c>
      <c r="W540" s="5" t="str">
        <f ca="1">IFERROR(__xludf.DUMMYFUNCTION("""COMPUTED_VALUE"""),"Yes")</f>
        <v>Yes</v>
      </c>
      <c r="X540" s="5" t="str">
        <f ca="1">IFERROR(__xludf.DUMMYFUNCTION("""COMPUTED_VALUE"""),"Yes")</f>
        <v>Yes</v>
      </c>
      <c r="Y540" s="5" t="str">
        <f ca="1">IFERROR(__xludf.DUMMYFUNCTION("""COMPUTED_VALUE"""),"Yes")</f>
        <v>Yes</v>
      </c>
      <c r="Z540" s="5" t="str">
        <f ca="1">IFERROR(__xludf.DUMMYFUNCTION("""COMPUTED_VALUE"""),"No")</f>
        <v>No</v>
      </c>
      <c r="AA540" s="5" t="str">
        <f ca="1">IFERROR(__xludf.DUMMYFUNCTION("""COMPUTED_VALUE"""),"Yes")</f>
        <v>Yes</v>
      </c>
      <c r="AB540" s="5" t="str">
        <f ca="1">IFERROR(__xludf.DUMMYFUNCTION("""COMPUTED_VALUE"""),"Yes")</f>
        <v>Yes</v>
      </c>
      <c r="AC540" s="5" t="str">
        <f ca="1">IFERROR(__xludf.DUMMYFUNCTION("""COMPUTED_VALUE"""),"Yes")</f>
        <v>Yes</v>
      </c>
      <c r="AD540" s="5" t="str">
        <f ca="1">IFERROR(__xludf.DUMMYFUNCTION("""COMPUTED_VALUE"""),"Yes")</f>
        <v>Yes</v>
      </c>
      <c r="AE540" s="5" t="str">
        <f ca="1">IFERROR(__xludf.DUMMYFUNCTION("""COMPUTED_VALUE"""),"No")</f>
        <v>No</v>
      </c>
      <c r="AF540" s="5" t="str">
        <f ca="1">IFERROR(__xludf.DUMMYFUNCTION("""COMPUTED_VALUE"""),"Yes")</f>
        <v>Yes</v>
      </c>
      <c r="AG540" s="5" t="str">
        <f ca="1">IFERROR(__xludf.DUMMYFUNCTION("""COMPUTED_VALUE"""),"No")</f>
        <v>No</v>
      </c>
      <c r="AH540" s="5" t="str">
        <f ca="1">IFERROR(__xludf.DUMMYFUNCTION("""COMPUTED_VALUE"""),"No")</f>
        <v>No</v>
      </c>
      <c r="AI540" s="5" t="str">
        <f ca="1">IFERROR(__xludf.DUMMYFUNCTION("""COMPUTED_VALUE"""),"No")</f>
        <v>No</v>
      </c>
      <c r="AJ540" s="5" t="str">
        <f ca="1">IFERROR(__xludf.DUMMYFUNCTION("""COMPUTED_VALUE"""),"No")</f>
        <v>No</v>
      </c>
      <c r="AK540" s="5" t="str">
        <f ca="1">IFERROR(__xludf.DUMMYFUNCTION("""COMPUTED_VALUE"""),"No")</f>
        <v>No</v>
      </c>
      <c r="AL540" s="5" t="str">
        <f ca="1">IFERROR(__xludf.DUMMYFUNCTION("""COMPUTED_VALUE"""),"No")</f>
        <v>No</v>
      </c>
      <c r="AM540" s="5"/>
      <c r="AN540" s="5"/>
      <c r="AO540" s="5"/>
      <c r="AP540" s="5"/>
      <c r="AQ540" s="5"/>
      <c r="AR540" s="5"/>
      <c r="AS540" s="5"/>
      <c r="AT540" s="5"/>
      <c r="AU540" s="5"/>
      <c r="AV540" s="5"/>
      <c r="AW540" s="5"/>
      <c r="AX540" s="5"/>
      <c r="AY540" s="5"/>
    </row>
    <row r="541" spans="1:51" x14ac:dyDescent="0.25">
      <c r="A5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1" s="5">
        <f ca="1">IFERROR(__xludf.DUMMYFUNCTION("""COMPUTED_VALUE"""),574)</f>
        <v>574</v>
      </c>
      <c r="C541" s="5">
        <f ca="1">IFERROR(__xludf.DUMMYFUNCTION("""COMPUTED_VALUE"""),3015)</f>
        <v>3015</v>
      </c>
      <c r="D541" s="5" t="str">
        <f ca="1">IFERROR(__xludf.DUMMYFUNCTION("""COMPUTED_VALUE"""),"GoldenCrown40Booster")</f>
        <v>GoldenCrown40Booster</v>
      </c>
      <c r="E541" s="5" t="str">
        <f ca="1">IFERROR(__xludf.DUMMYFUNCTION("""COMPUTED_VALUE"""),"Yes")</f>
        <v>Yes</v>
      </c>
      <c r="F541" s="5" t="str">
        <f ca="1">IFERROR(__xludf.DUMMYFUNCTION("""COMPUTED_VALUE"""),"Yes")</f>
        <v>Yes</v>
      </c>
      <c r="G541" s="5" t="str">
        <f ca="1">IFERROR(__xludf.DUMMYFUNCTION("""COMPUTED_VALUE"""),"Yes")</f>
        <v>Yes</v>
      </c>
      <c r="H541" s="5" t="str">
        <f ca="1">IFERROR(__xludf.DUMMYFUNCTION("""COMPUTED_VALUE"""),"Yes")</f>
        <v>Yes</v>
      </c>
      <c r="I541" s="5" t="str">
        <f ca="1">IFERROR(__xludf.DUMMYFUNCTION("""COMPUTED_VALUE"""),"Yes")</f>
        <v>Yes</v>
      </c>
      <c r="J541" s="5" t="str">
        <f ca="1">IFERROR(__xludf.DUMMYFUNCTION("""COMPUTED_VALUE"""),"Yes")</f>
        <v>Yes</v>
      </c>
      <c r="K541" s="5" t="str">
        <f ca="1">IFERROR(__xludf.DUMMYFUNCTION("""COMPUTED_VALUE"""),"Yes")</f>
        <v>Yes</v>
      </c>
      <c r="L541" s="5" t="str">
        <f ca="1">IFERROR(__xludf.DUMMYFUNCTION("""COMPUTED_VALUE"""),"Yes")</f>
        <v>Yes</v>
      </c>
      <c r="M541" s="5" t="str">
        <f ca="1">IFERROR(__xludf.DUMMYFUNCTION("""COMPUTED_VALUE"""),"Yes")</f>
        <v>Yes</v>
      </c>
      <c r="N541" s="5" t="str">
        <f ca="1">IFERROR(__xludf.DUMMYFUNCTION("""COMPUTED_VALUE"""),"Yes")</f>
        <v>Yes</v>
      </c>
      <c r="O541" s="5" t="str">
        <f ca="1">IFERROR(__xludf.DUMMYFUNCTION("""COMPUTED_VALUE"""),"Yes")</f>
        <v>Yes</v>
      </c>
      <c r="P541" s="5" t="str">
        <f ca="1">IFERROR(__xludf.DUMMYFUNCTION("""COMPUTED_VALUE"""),"Yes")</f>
        <v>Yes</v>
      </c>
      <c r="Q541" s="5" t="str">
        <f ca="1">IFERROR(__xludf.DUMMYFUNCTION("""COMPUTED_VALUE"""),"Yes")</f>
        <v>Yes</v>
      </c>
      <c r="R541" s="5" t="str">
        <f ca="1">IFERROR(__xludf.DUMMYFUNCTION("""COMPUTED_VALUE"""),"Yes")</f>
        <v>Yes</v>
      </c>
      <c r="S541" s="5" t="str">
        <f ca="1">IFERROR(__xludf.DUMMYFUNCTION("""COMPUTED_VALUE"""),"Yes")</f>
        <v>Yes</v>
      </c>
      <c r="T541" s="5" t="str">
        <f ca="1">IFERROR(__xludf.DUMMYFUNCTION("""COMPUTED_VALUE"""),"Yes")</f>
        <v>Yes</v>
      </c>
      <c r="U541" s="5" t="str">
        <f ca="1">IFERROR(__xludf.DUMMYFUNCTION("""COMPUTED_VALUE"""),"Yes")</f>
        <v>Yes</v>
      </c>
      <c r="V541" s="5" t="str">
        <f ca="1">IFERROR(__xludf.DUMMYFUNCTION("""COMPUTED_VALUE"""),"Yes")</f>
        <v>Yes</v>
      </c>
      <c r="W541" s="5" t="str">
        <f ca="1">IFERROR(__xludf.DUMMYFUNCTION("""COMPUTED_VALUE"""),"Yes")</f>
        <v>Yes</v>
      </c>
      <c r="X541" s="5" t="str">
        <f ca="1">IFERROR(__xludf.DUMMYFUNCTION("""COMPUTED_VALUE"""),"Yes")</f>
        <v>Yes</v>
      </c>
      <c r="Y541" s="5" t="str">
        <f ca="1">IFERROR(__xludf.DUMMYFUNCTION("""COMPUTED_VALUE"""),"Yes")</f>
        <v>Yes</v>
      </c>
      <c r="Z541" s="5" t="str">
        <f ca="1">IFERROR(__xludf.DUMMYFUNCTION("""COMPUTED_VALUE"""),"No")</f>
        <v>No</v>
      </c>
      <c r="AA541" s="5" t="str">
        <f ca="1">IFERROR(__xludf.DUMMYFUNCTION("""COMPUTED_VALUE"""),"Yes")</f>
        <v>Yes</v>
      </c>
      <c r="AB541" s="5" t="str">
        <f ca="1">IFERROR(__xludf.DUMMYFUNCTION("""COMPUTED_VALUE"""),"Yes")</f>
        <v>Yes</v>
      </c>
      <c r="AC541" s="5" t="str">
        <f ca="1">IFERROR(__xludf.DUMMYFUNCTION("""COMPUTED_VALUE"""),"Yes")</f>
        <v>Yes</v>
      </c>
      <c r="AD541" s="5" t="str">
        <f ca="1">IFERROR(__xludf.DUMMYFUNCTION("""COMPUTED_VALUE"""),"Yes")</f>
        <v>Yes</v>
      </c>
      <c r="AE541" s="5" t="str">
        <f ca="1">IFERROR(__xludf.DUMMYFUNCTION("""COMPUTED_VALUE"""),"No")</f>
        <v>No</v>
      </c>
      <c r="AF541" s="5" t="str">
        <f ca="1">IFERROR(__xludf.DUMMYFUNCTION("""COMPUTED_VALUE"""),"Yes")</f>
        <v>Yes</v>
      </c>
      <c r="AG541" s="5" t="str">
        <f ca="1">IFERROR(__xludf.DUMMYFUNCTION("""COMPUTED_VALUE"""),"No")</f>
        <v>No</v>
      </c>
      <c r="AH541" s="5" t="str">
        <f ca="1">IFERROR(__xludf.DUMMYFUNCTION("""COMPUTED_VALUE"""),"No")</f>
        <v>No</v>
      </c>
      <c r="AI541" s="5" t="str">
        <f ca="1">IFERROR(__xludf.DUMMYFUNCTION("""COMPUTED_VALUE"""),"No")</f>
        <v>No</v>
      </c>
      <c r="AJ541" s="5" t="str">
        <f ca="1">IFERROR(__xludf.DUMMYFUNCTION("""COMPUTED_VALUE"""),"No")</f>
        <v>No</v>
      </c>
      <c r="AK541" s="5" t="str">
        <f ca="1">IFERROR(__xludf.DUMMYFUNCTION("""COMPUTED_VALUE"""),"No")</f>
        <v>No</v>
      </c>
      <c r="AL541" s="5" t="str">
        <f ca="1">IFERROR(__xludf.DUMMYFUNCTION("""COMPUTED_VALUE"""),"No")</f>
        <v>No</v>
      </c>
      <c r="AM541" s="5"/>
      <c r="AN541" s="5"/>
      <c r="AO541" s="5"/>
      <c r="AP541" s="5"/>
      <c r="AQ541" s="5"/>
      <c r="AR541" s="5"/>
      <c r="AS541" s="5"/>
      <c r="AT541" s="5"/>
      <c r="AU541" s="5"/>
      <c r="AV541" s="5"/>
      <c r="AW541" s="5"/>
      <c r="AX541" s="5"/>
      <c r="AY541" s="5"/>
    </row>
    <row r="542" spans="1:51" x14ac:dyDescent="0.25">
      <c r="A5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2" s="5">
        <f ca="1">IFERROR(__xludf.DUMMYFUNCTION("""COMPUTED_VALUE"""),575)</f>
        <v>575</v>
      </c>
      <c r="C542" s="5">
        <f ca="1">IFERROR(__xludf.DUMMYFUNCTION("""COMPUTED_VALUE"""),3020)</f>
        <v>3020</v>
      </c>
      <c r="D542" s="5" t="str">
        <f ca="1">IFERROR(__xludf.DUMMYFUNCTION("""COMPUTED_VALUE"""),"BrilliantHeartBooster")</f>
        <v>BrilliantHeartBooster</v>
      </c>
      <c r="E542" s="5" t="str">
        <f ca="1">IFERROR(__xludf.DUMMYFUNCTION("""COMPUTED_VALUE"""),"Yes")</f>
        <v>Yes</v>
      </c>
      <c r="F542" s="5" t="str">
        <f ca="1">IFERROR(__xludf.DUMMYFUNCTION("""COMPUTED_VALUE"""),"Yes")</f>
        <v>Yes</v>
      </c>
      <c r="G542" s="5" t="str">
        <f ca="1">IFERROR(__xludf.DUMMYFUNCTION("""COMPUTED_VALUE"""),"Yes")</f>
        <v>Yes</v>
      </c>
      <c r="H542" s="5" t="str">
        <f ca="1">IFERROR(__xludf.DUMMYFUNCTION("""COMPUTED_VALUE"""),"Yes")</f>
        <v>Yes</v>
      </c>
      <c r="I542" s="5" t="str">
        <f ca="1">IFERROR(__xludf.DUMMYFUNCTION("""COMPUTED_VALUE"""),"Yes")</f>
        <v>Yes</v>
      </c>
      <c r="J542" s="5" t="str">
        <f ca="1">IFERROR(__xludf.DUMMYFUNCTION("""COMPUTED_VALUE"""),"Yes")</f>
        <v>Yes</v>
      </c>
      <c r="K542" s="5" t="str">
        <f ca="1">IFERROR(__xludf.DUMMYFUNCTION("""COMPUTED_VALUE"""),"Yes")</f>
        <v>Yes</v>
      </c>
      <c r="L542" s="5" t="str">
        <f ca="1">IFERROR(__xludf.DUMMYFUNCTION("""COMPUTED_VALUE"""),"Yes")</f>
        <v>Yes</v>
      </c>
      <c r="M542" s="5" t="str">
        <f ca="1">IFERROR(__xludf.DUMMYFUNCTION("""COMPUTED_VALUE"""),"Yes")</f>
        <v>Yes</v>
      </c>
      <c r="N542" s="5" t="str">
        <f ca="1">IFERROR(__xludf.DUMMYFUNCTION("""COMPUTED_VALUE"""),"Yes")</f>
        <v>Yes</v>
      </c>
      <c r="O542" s="5" t="str">
        <f ca="1">IFERROR(__xludf.DUMMYFUNCTION("""COMPUTED_VALUE"""),"Yes")</f>
        <v>Yes</v>
      </c>
      <c r="P542" s="5" t="str">
        <f ca="1">IFERROR(__xludf.DUMMYFUNCTION("""COMPUTED_VALUE"""),"Yes")</f>
        <v>Yes</v>
      </c>
      <c r="Q542" s="5" t="str">
        <f ca="1">IFERROR(__xludf.DUMMYFUNCTION("""COMPUTED_VALUE"""),"Yes")</f>
        <v>Yes</v>
      </c>
      <c r="R542" s="5" t="str">
        <f ca="1">IFERROR(__xludf.DUMMYFUNCTION("""COMPUTED_VALUE"""),"Yes")</f>
        <v>Yes</v>
      </c>
      <c r="S542" s="5" t="str">
        <f ca="1">IFERROR(__xludf.DUMMYFUNCTION("""COMPUTED_VALUE"""),"Yes")</f>
        <v>Yes</v>
      </c>
      <c r="T542" s="5" t="str">
        <f ca="1">IFERROR(__xludf.DUMMYFUNCTION("""COMPUTED_VALUE"""),"Yes")</f>
        <v>Yes</v>
      </c>
      <c r="U542" s="5" t="str">
        <f ca="1">IFERROR(__xludf.DUMMYFUNCTION("""COMPUTED_VALUE"""),"Yes")</f>
        <v>Yes</v>
      </c>
      <c r="V542" s="5" t="str">
        <f ca="1">IFERROR(__xludf.DUMMYFUNCTION("""COMPUTED_VALUE"""),"Yes")</f>
        <v>Yes</v>
      </c>
      <c r="W542" s="5" t="str">
        <f ca="1">IFERROR(__xludf.DUMMYFUNCTION("""COMPUTED_VALUE"""),"Yes")</f>
        <v>Yes</v>
      </c>
      <c r="X542" s="5" t="str">
        <f ca="1">IFERROR(__xludf.DUMMYFUNCTION("""COMPUTED_VALUE"""),"Yes")</f>
        <v>Yes</v>
      </c>
      <c r="Y542" s="5" t="str">
        <f ca="1">IFERROR(__xludf.DUMMYFUNCTION("""COMPUTED_VALUE"""),"Yes")</f>
        <v>Yes</v>
      </c>
      <c r="Z542" s="5" t="str">
        <f ca="1">IFERROR(__xludf.DUMMYFUNCTION("""COMPUTED_VALUE"""),"No")</f>
        <v>No</v>
      </c>
      <c r="AA542" s="5" t="str">
        <f ca="1">IFERROR(__xludf.DUMMYFUNCTION("""COMPUTED_VALUE"""),"Yes")</f>
        <v>Yes</v>
      </c>
      <c r="AB542" s="5" t="str">
        <f ca="1">IFERROR(__xludf.DUMMYFUNCTION("""COMPUTED_VALUE"""),"Yes")</f>
        <v>Yes</v>
      </c>
      <c r="AC542" s="5" t="str">
        <f ca="1">IFERROR(__xludf.DUMMYFUNCTION("""COMPUTED_VALUE"""),"Yes")</f>
        <v>Yes</v>
      </c>
      <c r="AD542" s="5" t="str">
        <f ca="1">IFERROR(__xludf.DUMMYFUNCTION("""COMPUTED_VALUE"""),"Yes")</f>
        <v>Yes</v>
      </c>
      <c r="AE542" s="5" t="str">
        <f ca="1">IFERROR(__xludf.DUMMYFUNCTION("""COMPUTED_VALUE"""),"No")</f>
        <v>No</v>
      </c>
      <c r="AF542" s="5" t="str">
        <f ca="1">IFERROR(__xludf.DUMMYFUNCTION("""COMPUTED_VALUE"""),"Yes")</f>
        <v>Yes</v>
      </c>
      <c r="AG542" s="5" t="str">
        <f ca="1">IFERROR(__xludf.DUMMYFUNCTION("""COMPUTED_VALUE"""),"No")</f>
        <v>No</v>
      </c>
      <c r="AH542" s="5" t="str">
        <f ca="1">IFERROR(__xludf.DUMMYFUNCTION("""COMPUTED_VALUE"""),"No")</f>
        <v>No</v>
      </c>
      <c r="AI542" s="5" t="str">
        <f ca="1">IFERROR(__xludf.DUMMYFUNCTION("""COMPUTED_VALUE"""),"No")</f>
        <v>No</v>
      </c>
      <c r="AJ542" s="5" t="str">
        <f ca="1">IFERROR(__xludf.DUMMYFUNCTION("""COMPUTED_VALUE"""),"No")</f>
        <v>No</v>
      </c>
      <c r="AK542" s="5" t="str">
        <f ca="1">IFERROR(__xludf.DUMMYFUNCTION("""COMPUTED_VALUE"""),"No")</f>
        <v>No</v>
      </c>
      <c r="AL542" s="5" t="str">
        <f ca="1">IFERROR(__xludf.DUMMYFUNCTION("""COMPUTED_VALUE"""),"No")</f>
        <v>No</v>
      </c>
      <c r="AM542" s="5"/>
      <c r="AN542" s="5"/>
      <c r="AO542" s="5"/>
      <c r="AP542" s="5"/>
      <c r="AQ542" s="5"/>
      <c r="AR542" s="5"/>
      <c r="AS542" s="5"/>
      <c r="AT542" s="5"/>
      <c r="AU542" s="5"/>
      <c r="AV542" s="5"/>
      <c r="AW542" s="5"/>
      <c r="AX542" s="5"/>
      <c r="AY542" s="5"/>
    </row>
    <row r="543" spans="1:51" x14ac:dyDescent="0.25">
      <c r="A5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3" s="5">
        <f ca="1">IFERROR(__xludf.DUMMYFUNCTION("""COMPUTED_VALUE"""),576)</f>
        <v>576</v>
      </c>
      <c r="C543" s="5">
        <f ca="1">IFERROR(__xludf.DUMMYFUNCTION("""COMPUTED_VALUE"""),3018)</f>
        <v>3018</v>
      </c>
      <c r="D543" s="5" t="str">
        <f ca="1">IFERROR(__xludf.DUMMYFUNCTION("""COMPUTED_VALUE"""),"EpicClover100Booster")</f>
        <v>EpicClover100Booster</v>
      </c>
      <c r="E543" s="5" t="str">
        <f ca="1">IFERROR(__xludf.DUMMYFUNCTION("""COMPUTED_VALUE"""),"Yes")</f>
        <v>Yes</v>
      </c>
      <c r="F543" s="5" t="str">
        <f ca="1">IFERROR(__xludf.DUMMYFUNCTION("""COMPUTED_VALUE"""),"Yes")</f>
        <v>Yes</v>
      </c>
      <c r="G543" s="5" t="str">
        <f ca="1">IFERROR(__xludf.DUMMYFUNCTION("""COMPUTED_VALUE"""),"Yes")</f>
        <v>Yes</v>
      </c>
      <c r="H543" s="5" t="str">
        <f ca="1">IFERROR(__xludf.DUMMYFUNCTION("""COMPUTED_VALUE"""),"Yes")</f>
        <v>Yes</v>
      </c>
      <c r="I543" s="5" t="str">
        <f ca="1">IFERROR(__xludf.DUMMYFUNCTION("""COMPUTED_VALUE"""),"Yes")</f>
        <v>Yes</v>
      </c>
      <c r="J543" s="5" t="str">
        <f ca="1">IFERROR(__xludf.DUMMYFUNCTION("""COMPUTED_VALUE"""),"Yes")</f>
        <v>Yes</v>
      </c>
      <c r="K543" s="5" t="str">
        <f ca="1">IFERROR(__xludf.DUMMYFUNCTION("""COMPUTED_VALUE"""),"Yes")</f>
        <v>Yes</v>
      </c>
      <c r="L543" s="5" t="str">
        <f ca="1">IFERROR(__xludf.DUMMYFUNCTION("""COMPUTED_VALUE"""),"Yes")</f>
        <v>Yes</v>
      </c>
      <c r="M543" s="5" t="str">
        <f ca="1">IFERROR(__xludf.DUMMYFUNCTION("""COMPUTED_VALUE"""),"Yes")</f>
        <v>Yes</v>
      </c>
      <c r="N543" s="5" t="str">
        <f ca="1">IFERROR(__xludf.DUMMYFUNCTION("""COMPUTED_VALUE"""),"Yes")</f>
        <v>Yes</v>
      </c>
      <c r="O543" s="5" t="str">
        <f ca="1">IFERROR(__xludf.DUMMYFUNCTION("""COMPUTED_VALUE"""),"Yes")</f>
        <v>Yes</v>
      </c>
      <c r="P543" s="5" t="str">
        <f ca="1">IFERROR(__xludf.DUMMYFUNCTION("""COMPUTED_VALUE"""),"Yes")</f>
        <v>Yes</v>
      </c>
      <c r="Q543" s="5" t="str">
        <f ca="1">IFERROR(__xludf.DUMMYFUNCTION("""COMPUTED_VALUE"""),"Yes")</f>
        <v>Yes</v>
      </c>
      <c r="R543" s="5" t="str">
        <f ca="1">IFERROR(__xludf.DUMMYFUNCTION("""COMPUTED_VALUE"""),"Yes")</f>
        <v>Yes</v>
      </c>
      <c r="S543" s="5" t="str">
        <f ca="1">IFERROR(__xludf.DUMMYFUNCTION("""COMPUTED_VALUE"""),"Yes")</f>
        <v>Yes</v>
      </c>
      <c r="T543" s="5" t="str">
        <f ca="1">IFERROR(__xludf.DUMMYFUNCTION("""COMPUTED_VALUE"""),"Yes")</f>
        <v>Yes</v>
      </c>
      <c r="U543" s="5" t="str">
        <f ca="1">IFERROR(__xludf.DUMMYFUNCTION("""COMPUTED_VALUE"""),"Yes")</f>
        <v>Yes</v>
      </c>
      <c r="V543" s="5" t="str">
        <f ca="1">IFERROR(__xludf.DUMMYFUNCTION("""COMPUTED_VALUE"""),"Yes")</f>
        <v>Yes</v>
      </c>
      <c r="W543" s="5" t="str">
        <f ca="1">IFERROR(__xludf.DUMMYFUNCTION("""COMPUTED_VALUE"""),"Yes")</f>
        <v>Yes</v>
      </c>
      <c r="X543" s="5" t="str">
        <f ca="1">IFERROR(__xludf.DUMMYFUNCTION("""COMPUTED_VALUE"""),"Yes")</f>
        <v>Yes</v>
      </c>
      <c r="Y543" s="5" t="str">
        <f ca="1">IFERROR(__xludf.DUMMYFUNCTION("""COMPUTED_VALUE"""),"Yes")</f>
        <v>Yes</v>
      </c>
      <c r="Z543" s="5" t="str">
        <f ca="1">IFERROR(__xludf.DUMMYFUNCTION("""COMPUTED_VALUE"""),"No")</f>
        <v>No</v>
      </c>
      <c r="AA543" s="5" t="str">
        <f ca="1">IFERROR(__xludf.DUMMYFUNCTION("""COMPUTED_VALUE"""),"Yes")</f>
        <v>Yes</v>
      </c>
      <c r="AB543" s="5" t="str">
        <f ca="1">IFERROR(__xludf.DUMMYFUNCTION("""COMPUTED_VALUE"""),"Yes")</f>
        <v>Yes</v>
      </c>
      <c r="AC543" s="5" t="str">
        <f ca="1">IFERROR(__xludf.DUMMYFUNCTION("""COMPUTED_VALUE"""),"Yes")</f>
        <v>Yes</v>
      </c>
      <c r="AD543" s="5" t="str">
        <f ca="1">IFERROR(__xludf.DUMMYFUNCTION("""COMPUTED_VALUE"""),"Yes")</f>
        <v>Yes</v>
      </c>
      <c r="AE543" s="5" t="str">
        <f ca="1">IFERROR(__xludf.DUMMYFUNCTION("""COMPUTED_VALUE"""),"No")</f>
        <v>No</v>
      </c>
      <c r="AF543" s="5" t="str">
        <f ca="1">IFERROR(__xludf.DUMMYFUNCTION("""COMPUTED_VALUE"""),"Yes")</f>
        <v>Yes</v>
      </c>
      <c r="AG543" s="5" t="str">
        <f ca="1">IFERROR(__xludf.DUMMYFUNCTION("""COMPUTED_VALUE"""),"No")</f>
        <v>No</v>
      </c>
      <c r="AH543" s="5" t="str">
        <f ca="1">IFERROR(__xludf.DUMMYFUNCTION("""COMPUTED_VALUE"""),"No")</f>
        <v>No</v>
      </c>
      <c r="AI543" s="5" t="str">
        <f ca="1">IFERROR(__xludf.DUMMYFUNCTION("""COMPUTED_VALUE"""),"No")</f>
        <v>No</v>
      </c>
      <c r="AJ543" s="5" t="str">
        <f ca="1">IFERROR(__xludf.DUMMYFUNCTION("""COMPUTED_VALUE"""),"No")</f>
        <v>No</v>
      </c>
      <c r="AK543" s="5" t="str">
        <f ca="1">IFERROR(__xludf.DUMMYFUNCTION("""COMPUTED_VALUE"""),"No")</f>
        <v>No</v>
      </c>
      <c r="AL543" s="5" t="str">
        <f ca="1">IFERROR(__xludf.DUMMYFUNCTION("""COMPUTED_VALUE"""),"No")</f>
        <v>No</v>
      </c>
      <c r="AM543" s="5"/>
      <c r="AN543" s="5"/>
      <c r="AO543" s="5"/>
      <c r="AP543" s="5"/>
      <c r="AQ543" s="5"/>
      <c r="AR543" s="5"/>
      <c r="AS543" s="5"/>
      <c r="AT543" s="5"/>
      <c r="AU543" s="5"/>
      <c r="AV543" s="5"/>
      <c r="AW543" s="5"/>
      <c r="AX543" s="5"/>
      <c r="AY543" s="5"/>
    </row>
    <row r="544" spans="1:51" x14ac:dyDescent="0.25">
      <c r="A5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4" s="5">
        <f ca="1">IFERROR(__xludf.DUMMYFUNCTION("""COMPUTED_VALUE"""),578)</f>
        <v>578</v>
      </c>
      <c r="C544" s="5">
        <f ca="1">IFERROR(__xludf.DUMMYFUNCTION("""COMPUTED_VALUE"""),4019)</f>
        <v>4019</v>
      </c>
      <c r="D544" s="5" t="str">
        <f ca="1">IFERROR(__xludf.DUMMYFUNCTION("""COMPUTED_VALUE"""),"AdmiralBetWildHot40FreeSpins")</f>
        <v>AdmiralBetWildHot40FreeSpins</v>
      </c>
      <c r="E544" s="5" t="str">
        <f ca="1">IFERROR(__xludf.DUMMYFUNCTION("""COMPUTED_VALUE"""),"Yes")</f>
        <v>Yes</v>
      </c>
      <c r="F544" s="5" t="str">
        <f ca="1">IFERROR(__xludf.DUMMYFUNCTION("""COMPUTED_VALUE"""),"Yes")</f>
        <v>Yes</v>
      </c>
      <c r="G544" s="5" t="str">
        <f ca="1">IFERROR(__xludf.DUMMYFUNCTION("""COMPUTED_VALUE"""),"Yes")</f>
        <v>Yes</v>
      </c>
      <c r="H544" s="5" t="str">
        <f ca="1">IFERROR(__xludf.DUMMYFUNCTION("""COMPUTED_VALUE"""),"Yes")</f>
        <v>Yes</v>
      </c>
      <c r="I544" s="5" t="str">
        <f ca="1">IFERROR(__xludf.DUMMYFUNCTION("""COMPUTED_VALUE"""),"Yes")</f>
        <v>Yes</v>
      </c>
      <c r="J544" s="5" t="str">
        <f ca="1">IFERROR(__xludf.DUMMYFUNCTION("""COMPUTED_VALUE"""),"Yes")</f>
        <v>Yes</v>
      </c>
      <c r="K544" s="5" t="str">
        <f ca="1">IFERROR(__xludf.DUMMYFUNCTION("""COMPUTED_VALUE"""),"Yes")</f>
        <v>Yes</v>
      </c>
      <c r="L544" s="5" t="str">
        <f ca="1">IFERROR(__xludf.DUMMYFUNCTION("""COMPUTED_VALUE"""),"Yes")</f>
        <v>Yes</v>
      </c>
      <c r="M544" s="5" t="str">
        <f ca="1">IFERROR(__xludf.DUMMYFUNCTION("""COMPUTED_VALUE"""),"Yes")</f>
        <v>Yes</v>
      </c>
      <c r="N544" s="5" t="str">
        <f ca="1">IFERROR(__xludf.DUMMYFUNCTION("""COMPUTED_VALUE"""),"Yes")</f>
        <v>Yes</v>
      </c>
      <c r="O544" s="5" t="str">
        <f ca="1">IFERROR(__xludf.DUMMYFUNCTION("""COMPUTED_VALUE"""),"Yes")</f>
        <v>Yes</v>
      </c>
      <c r="P544" s="5" t="str">
        <f ca="1">IFERROR(__xludf.DUMMYFUNCTION("""COMPUTED_VALUE"""),"Yes")</f>
        <v>Yes</v>
      </c>
      <c r="Q544" s="5" t="str">
        <f ca="1">IFERROR(__xludf.DUMMYFUNCTION("""COMPUTED_VALUE"""),"Yes")</f>
        <v>Yes</v>
      </c>
      <c r="R544" s="5" t="str">
        <f ca="1">IFERROR(__xludf.DUMMYFUNCTION("""COMPUTED_VALUE"""),"Yes")</f>
        <v>Yes</v>
      </c>
      <c r="S544" s="5" t="str">
        <f ca="1">IFERROR(__xludf.DUMMYFUNCTION("""COMPUTED_VALUE"""),"Yes")</f>
        <v>Yes</v>
      </c>
      <c r="T544" s="5" t="str">
        <f ca="1">IFERROR(__xludf.DUMMYFUNCTION("""COMPUTED_VALUE"""),"Yes")</f>
        <v>Yes</v>
      </c>
      <c r="U544" s="5" t="str">
        <f ca="1">IFERROR(__xludf.DUMMYFUNCTION("""COMPUTED_VALUE"""),"Yes")</f>
        <v>Yes</v>
      </c>
      <c r="V544" s="5" t="str">
        <f ca="1">IFERROR(__xludf.DUMMYFUNCTION("""COMPUTED_VALUE"""),"Yes")</f>
        <v>Yes</v>
      </c>
      <c r="W544" s="5" t="str">
        <f ca="1">IFERROR(__xludf.DUMMYFUNCTION("""COMPUTED_VALUE"""),"Yes")</f>
        <v>Yes</v>
      </c>
      <c r="X544" s="5" t="str">
        <f ca="1">IFERROR(__xludf.DUMMYFUNCTION("""COMPUTED_VALUE"""),"Yes")</f>
        <v>Yes</v>
      </c>
      <c r="Y544" s="5" t="str">
        <f ca="1">IFERROR(__xludf.DUMMYFUNCTION("""COMPUTED_VALUE"""),"Yes")</f>
        <v>Yes</v>
      </c>
      <c r="Z544" s="5" t="str">
        <f ca="1">IFERROR(__xludf.DUMMYFUNCTION("""COMPUTED_VALUE"""),"No")</f>
        <v>No</v>
      </c>
      <c r="AA544" s="5" t="str">
        <f ca="1">IFERROR(__xludf.DUMMYFUNCTION("""COMPUTED_VALUE"""),"Yes")</f>
        <v>Yes</v>
      </c>
      <c r="AB544" s="5" t="str">
        <f ca="1">IFERROR(__xludf.DUMMYFUNCTION("""COMPUTED_VALUE"""),"Yes")</f>
        <v>Yes</v>
      </c>
      <c r="AC544" s="5" t="str">
        <f ca="1">IFERROR(__xludf.DUMMYFUNCTION("""COMPUTED_VALUE"""),"Yes")</f>
        <v>Yes</v>
      </c>
      <c r="AD544" s="5" t="str">
        <f ca="1">IFERROR(__xludf.DUMMYFUNCTION("""COMPUTED_VALUE"""),"Yes")</f>
        <v>Yes</v>
      </c>
      <c r="AE544" s="5" t="str">
        <f ca="1">IFERROR(__xludf.DUMMYFUNCTION("""COMPUTED_VALUE"""),"No")</f>
        <v>No</v>
      </c>
      <c r="AF544" s="5" t="str">
        <f ca="1">IFERROR(__xludf.DUMMYFUNCTION("""COMPUTED_VALUE"""),"Yes")</f>
        <v>Yes</v>
      </c>
      <c r="AG544" s="5" t="str">
        <f ca="1">IFERROR(__xludf.DUMMYFUNCTION("""COMPUTED_VALUE"""),"No")</f>
        <v>No</v>
      </c>
      <c r="AH544" s="5" t="str">
        <f ca="1">IFERROR(__xludf.DUMMYFUNCTION("""COMPUTED_VALUE"""),"No")</f>
        <v>No</v>
      </c>
      <c r="AI544" s="5" t="str">
        <f ca="1">IFERROR(__xludf.DUMMYFUNCTION("""COMPUTED_VALUE"""),"No")</f>
        <v>No</v>
      </c>
      <c r="AJ544" s="5" t="str">
        <f ca="1">IFERROR(__xludf.DUMMYFUNCTION("""COMPUTED_VALUE"""),"No")</f>
        <v>No</v>
      </c>
      <c r="AK544" s="5" t="str">
        <f ca="1">IFERROR(__xludf.DUMMYFUNCTION("""COMPUTED_VALUE"""),"No")</f>
        <v>No</v>
      </c>
      <c r="AL544" s="5" t="str">
        <f ca="1">IFERROR(__xludf.DUMMYFUNCTION("""COMPUTED_VALUE"""),"No")</f>
        <v>No</v>
      </c>
      <c r="AM544" s="5"/>
      <c r="AN544" s="5"/>
      <c r="AO544" s="5"/>
      <c r="AP544" s="5"/>
      <c r="AQ544" s="5"/>
      <c r="AR544" s="5"/>
      <c r="AS544" s="5"/>
      <c r="AT544" s="5"/>
      <c r="AU544" s="5"/>
      <c r="AV544" s="5"/>
      <c r="AW544" s="5"/>
      <c r="AX544" s="5"/>
      <c r="AY544" s="5"/>
    </row>
    <row r="545" spans="1:51" x14ac:dyDescent="0.25">
      <c r="A5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5" s="5">
        <f ca="1">IFERROR(__xludf.DUMMYFUNCTION("""COMPUTED_VALUE"""),579)</f>
        <v>579</v>
      </c>
      <c r="C545" s="5">
        <f ca="1">IFERROR(__xludf.DUMMYFUNCTION("""COMPUTED_VALUE"""),1008)</f>
        <v>1008</v>
      </c>
      <c r="D545" s="5" t="str">
        <f ca="1">IFERROR(__xludf.DUMMYFUNCTION("""COMPUTED_VALUE"""),"CoinSplashExtreme")</f>
        <v>CoinSplashExtreme</v>
      </c>
      <c r="E545" s="5" t="str">
        <f ca="1">IFERROR(__xludf.DUMMYFUNCTION("""COMPUTED_VALUE"""),"Yes")</f>
        <v>Yes</v>
      </c>
      <c r="F545" s="5" t="str">
        <f ca="1">IFERROR(__xludf.DUMMYFUNCTION("""COMPUTED_VALUE"""),"Yes")</f>
        <v>Yes</v>
      </c>
      <c r="G545" s="5" t="str">
        <f ca="1">IFERROR(__xludf.DUMMYFUNCTION("""COMPUTED_VALUE"""),"Yes")</f>
        <v>Yes</v>
      </c>
      <c r="H545" s="5" t="str">
        <f ca="1">IFERROR(__xludf.DUMMYFUNCTION("""COMPUTED_VALUE"""),"Yes")</f>
        <v>Yes</v>
      </c>
      <c r="I545" s="5" t="str">
        <f ca="1">IFERROR(__xludf.DUMMYFUNCTION("""COMPUTED_VALUE"""),"Yes")</f>
        <v>Yes</v>
      </c>
      <c r="J545" s="5" t="str">
        <f ca="1">IFERROR(__xludf.DUMMYFUNCTION("""COMPUTED_VALUE"""),"Yes")</f>
        <v>Yes</v>
      </c>
      <c r="K545" s="5" t="str">
        <f ca="1">IFERROR(__xludf.DUMMYFUNCTION("""COMPUTED_VALUE"""),"Yes")</f>
        <v>Yes</v>
      </c>
      <c r="L545" s="5" t="str">
        <f ca="1">IFERROR(__xludf.DUMMYFUNCTION("""COMPUTED_VALUE"""),"Yes")</f>
        <v>Yes</v>
      </c>
      <c r="M545" s="5" t="str">
        <f ca="1">IFERROR(__xludf.DUMMYFUNCTION("""COMPUTED_VALUE"""),"Yes")</f>
        <v>Yes</v>
      </c>
      <c r="N545" s="5" t="str">
        <f ca="1">IFERROR(__xludf.DUMMYFUNCTION("""COMPUTED_VALUE"""),"Yes")</f>
        <v>Yes</v>
      </c>
      <c r="O545" s="5" t="str">
        <f ca="1">IFERROR(__xludf.DUMMYFUNCTION("""COMPUTED_VALUE"""),"Yes")</f>
        <v>Yes</v>
      </c>
      <c r="P545" s="5" t="str">
        <f ca="1">IFERROR(__xludf.DUMMYFUNCTION("""COMPUTED_VALUE"""),"Yes")</f>
        <v>Yes</v>
      </c>
      <c r="Q545" s="5" t="str">
        <f ca="1">IFERROR(__xludf.DUMMYFUNCTION("""COMPUTED_VALUE"""),"Yes")</f>
        <v>Yes</v>
      </c>
      <c r="R545" s="5" t="str">
        <f ca="1">IFERROR(__xludf.DUMMYFUNCTION("""COMPUTED_VALUE"""),"Yes")</f>
        <v>Yes</v>
      </c>
      <c r="S545" s="5" t="str">
        <f ca="1">IFERROR(__xludf.DUMMYFUNCTION("""COMPUTED_VALUE"""),"Yes")</f>
        <v>Yes</v>
      </c>
      <c r="T545" s="5" t="str">
        <f ca="1">IFERROR(__xludf.DUMMYFUNCTION("""COMPUTED_VALUE"""),"Yes")</f>
        <v>Yes</v>
      </c>
      <c r="U545" s="5" t="str">
        <f ca="1">IFERROR(__xludf.DUMMYFUNCTION("""COMPUTED_VALUE"""),"Yes")</f>
        <v>Yes</v>
      </c>
      <c r="V545" s="5" t="str">
        <f ca="1">IFERROR(__xludf.DUMMYFUNCTION("""COMPUTED_VALUE"""),"Yes")</f>
        <v>Yes</v>
      </c>
      <c r="W545" s="5" t="str">
        <f ca="1">IFERROR(__xludf.DUMMYFUNCTION("""COMPUTED_VALUE"""),"Yes")</f>
        <v>Yes</v>
      </c>
      <c r="X545" s="5" t="str">
        <f ca="1">IFERROR(__xludf.DUMMYFUNCTION("""COMPUTED_VALUE"""),"Yes")</f>
        <v>Yes</v>
      </c>
      <c r="Y545" s="5" t="str">
        <f ca="1">IFERROR(__xludf.DUMMYFUNCTION("""COMPUTED_VALUE"""),"Yes")</f>
        <v>Yes</v>
      </c>
      <c r="Z545" s="5" t="str">
        <f ca="1">IFERROR(__xludf.DUMMYFUNCTION("""COMPUTED_VALUE"""),"Yes")</f>
        <v>Yes</v>
      </c>
      <c r="AA545" s="5" t="str">
        <f ca="1">IFERROR(__xludf.DUMMYFUNCTION("""COMPUTED_VALUE"""),"Yes")</f>
        <v>Yes</v>
      </c>
      <c r="AB545" s="5" t="str">
        <f ca="1">IFERROR(__xludf.DUMMYFUNCTION("""COMPUTED_VALUE"""),"Yes")</f>
        <v>Yes</v>
      </c>
      <c r="AC545" s="5" t="str">
        <f ca="1">IFERROR(__xludf.DUMMYFUNCTION("""COMPUTED_VALUE"""),"Yes")</f>
        <v>Yes</v>
      </c>
      <c r="AD545" s="5" t="str">
        <f ca="1">IFERROR(__xludf.DUMMYFUNCTION("""COMPUTED_VALUE"""),"Yes")</f>
        <v>Yes</v>
      </c>
      <c r="AE545" s="5" t="str">
        <f ca="1">IFERROR(__xludf.DUMMYFUNCTION("""COMPUTED_VALUE"""),"Yes")</f>
        <v>Yes</v>
      </c>
      <c r="AF545" s="5" t="str">
        <f ca="1">IFERROR(__xludf.DUMMYFUNCTION("""COMPUTED_VALUE"""),"Yes")</f>
        <v>Yes</v>
      </c>
      <c r="AG545" s="5" t="str">
        <f ca="1">IFERROR(__xludf.DUMMYFUNCTION("""COMPUTED_VALUE"""),"Yes")</f>
        <v>Yes</v>
      </c>
      <c r="AH545" s="5" t="str">
        <f ca="1">IFERROR(__xludf.DUMMYFUNCTION("""COMPUTED_VALUE"""),"Yes")</f>
        <v>Yes</v>
      </c>
      <c r="AI545" s="5" t="str">
        <f ca="1">IFERROR(__xludf.DUMMYFUNCTION("""COMPUTED_VALUE"""),"No")</f>
        <v>No</v>
      </c>
      <c r="AJ545" s="5" t="str">
        <f ca="1">IFERROR(__xludf.DUMMYFUNCTION("""COMPUTED_VALUE"""),"No")</f>
        <v>No</v>
      </c>
      <c r="AK545" s="5" t="str">
        <f ca="1">IFERROR(__xludf.DUMMYFUNCTION("""COMPUTED_VALUE"""),"No")</f>
        <v>No</v>
      </c>
      <c r="AL545" s="5" t="str">
        <f ca="1">IFERROR(__xludf.DUMMYFUNCTION("""COMPUTED_VALUE"""),"No")</f>
        <v>No</v>
      </c>
      <c r="AM545" s="5"/>
      <c r="AN545" s="5"/>
      <c r="AO545" s="5"/>
      <c r="AP545" s="5"/>
      <c r="AQ545" s="5"/>
      <c r="AR545" s="5"/>
      <c r="AS545" s="5"/>
      <c r="AT545" s="5"/>
      <c r="AU545" s="5"/>
      <c r="AV545" s="5"/>
      <c r="AW545" s="5"/>
      <c r="AX545" s="5"/>
      <c r="AY545" s="5"/>
    </row>
    <row r="546" spans="1:51" x14ac:dyDescent="0.25">
      <c r="A5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6" s="5">
        <f ca="1">IFERROR(__xludf.DUMMYFUNCTION("""COMPUTED_VALUE"""),580)</f>
        <v>580</v>
      </c>
      <c r="C546" s="5">
        <f ca="1">IFERROR(__xludf.DUMMYFUNCTION("""COMPUTED_VALUE"""),2008)</f>
        <v>2008</v>
      </c>
      <c r="D546" s="5" t="str">
        <f ca="1">IFERROR(__xludf.DUMMYFUNCTION("""COMPUTED_VALUE"""),"HotClock")</f>
        <v>HotClock</v>
      </c>
      <c r="E546" s="5" t="str">
        <f ca="1">IFERROR(__xludf.DUMMYFUNCTION("""COMPUTED_VALUE"""),"Yes")</f>
        <v>Yes</v>
      </c>
      <c r="F546" s="5" t="str">
        <f ca="1">IFERROR(__xludf.DUMMYFUNCTION("""COMPUTED_VALUE"""),"Yes")</f>
        <v>Yes</v>
      </c>
      <c r="G546" s="5" t="str">
        <f ca="1">IFERROR(__xludf.DUMMYFUNCTION("""COMPUTED_VALUE"""),"Yes")</f>
        <v>Yes</v>
      </c>
      <c r="H546" s="5" t="str">
        <f ca="1">IFERROR(__xludf.DUMMYFUNCTION("""COMPUTED_VALUE"""),"Yes")</f>
        <v>Yes</v>
      </c>
      <c r="I546" s="5" t="str">
        <f ca="1">IFERROR(__xludf.DUMMYFUNCTION("""COMPUTED_VALUE"""),"Yes")</f>
        <v>Yes</v>
      </c>
      <c r="J546" s="5" t="str">
        <f ca="1">IFERROR(__xludf.DUMMYFUNCTION("""COMPUTED_VALUE"""),"Yes")</f>
        <v>Yes</v>
      </c>
      <c r="K546" s="5" t="str">
        <f ca="1">IFERROR(__xludf.DUMMYFUNCTION("""COMPUTED_VALUE"""),"Yes")</f>
        <v>Yes</v>
      </c>
      <c r="L546" s="5" t="str">
        <f ca="1">IFERROR(__xludf.DUMMYFUNCTION("""COMPUTED_VALUE"""),"Yes")</f>
        <v>Yes</v>
      </c>
      <c r="M546" s="5" t="str">
        <f ca="1">IFERROR(__xludf.DUMMYFUNCTION("""COMPUTED_VALUE"""),"Yes")</f>
        <v>Yes</v>
      </c>
      <c r="N546" s="5" t="str">
        <f ca="1">IFERROR(__xludf.DUMMYFUNCTION("""COMPUTED_VALUE"""),"Yes")</f>
        <v>Yes</v>
      </c>
      <c r="O546" s="5" t="str">
        <f ca="1">IFERROR(__xludf.DUMMYFUNCTION("""COMPUTED_VALUE"""),"Yes")</f>
        <v>Yes</v>
      </c>
      <c r="P546" s="5" t="str">
        <f ca="1">IFERROR(__xludf.DUMMYFUNCTION("""COMPUTED_VALUE"""),"Yes")</f>
        <v>Yes</v>
      </c>
      <c r="Q546" s="5" t="str">
        <f ca="1">IFERROR(__xludf.DUMMYFUNCTION("""COMPUTED_VALUE"""),"Yes")</f>
        <v>Yes</v>
      </c>
      <c r="R546" s="5" t="str">
        <f ca="1">IFERROR(__xludf.DUMMYFUNCTION("""COMPUTED_VALUE"""),"Yes")</f>
        <v>Yes</v>
      </c>
      <c r="S546" s="5" t="str">
        <f ca="1">IFERROR(__xludf.DUMMYFUNCTION("""COMPUTED_VALUE"""),"Yes")</f>
        <v>Yes</v>
      </c>
      <c r="T546" s="5" t="str">
        <f ca="1">IFERROR(__xludf.DUMMYFUNCTION("""COMPUTED_VALUE"""),"Yes")</f>
        <v>Yes</v>
      </c>
      <c r="U546" s="5" t="str">
        <f ca="1">IFERROR(__xludf.DUMMYFUNCTION("""COMPUTED_VALUE"""),"Yes")</f>
        <v>Yes</v>
      </c>
      <c r="V546" s="5" t="str">
        <f ca="1">IFERROR(__xludf.DUMMYFUNCTION("""COMPUTED_VALUE"""),"Yes")</f>
        <v>Yes</v>
      </c>
      <c r="W546" s="5" t="str">
        <f ca="1">IFERROR(__xludf.DUMMYFUNCTION("""COMPUTED_VALUE"""),"Yes")</f>
        <v>Yes</v>
      </c>
      <c r="X546" s="5" t="str">
        <f ca="1">IFERROR(__xludf.DUMMYFUNCTION("""COMPUTED_VALUE"""),"Yes")</f>
        <v>Yes</v>
      </c>
      <c r="Y546" s="5" t="str">
        <f ca="1">IFERROR(__xludf.DUMMYFUNCTION("""COMPUTED_VALUE"""),"Yes")</f>
        <v>Yes</v>
      </c>
      <c r="Z546" s="5" t="str">
        <f ca="1">IFERROR(__xludf.DUMMYFUNCTION("""COMPUTED_VALUE"""),"Yes")</f>
        <v>Yes</v>
      </c>
      <c r="AA546" s="5" t="str">
        <f ca="1">IFERROR(__xludf.DUMMYFUNCTION("""COMPUTED_VALUE"""),"Yes")</f>
        <v>Yes</v>
      </c>
      <c r="AB546" s="5" t="str">
        <f ca="1">IFERROR(__xludf.DUMMYFUNCTION("""COMPUTED_VALUE"""),"Yes")</f>
        <v>Yes</v>
      </c>
      <c r="AC546" s="5" t="str">
        <f ca="1">IFERROR(__xludf.DUMMYFUNCTION("""COMPUTED_VALUE"""),"Yes")</f>
        <v>Yes</v>
      </c>
      <c r="AD546" s="5" t="str">
        <f ca="1">IFERROR(__xludf.DUMMYFUNCTION("""COMPUTED_VALUE"""),"Yes")</f>
        <v>Yes</v>
      </c>
      <c r="AE546" s="5" t="str">
        <f ca="1">IFERROR(__xludf.DUMMYFUNCTION("""COMPUTED_VALUE"""),"Yes")</f>
        <v>Yes</v>
      </c>
      <c r="AF546" s="5" t="str">
        <f ca="1">IFERROR(__xludf.DUMMYFUNCTION("""COMPUTED_VALUE"""),"Yes")</f>
        <v>Yes</v>
      </c>
      <c r="AG546" s="5" t="str">
        <f ca="1">IFERROR(__xludf.DUMMYFUNCTION("""COMPUTED_VALUE"""),"Yes")</f>
        <v>Yes</v>
      </c>
      <c r="AH546" s="5" t="str">
        <f ca="1">IFERROR(__xludf.DUMMYFUNCTION("""COMPUTED_VALUE"""),"Yes")</f>
        <v>Yes</v>
      </c>
      <c r="AI546" s="5" t="str">
        <f ca="1">IFERROR(__xludf.DUMMYFUNCTION("""COMPUTED_VALUE"""),"No")</f>
        <v>No</v>
      </c>
      <c r="AJ546" s="5" t="str">
        <f ca="1">IFERROR(__xludf.DUMMYFUNCTION("""COMPUTED_VALUE"""),"No")</f>
        <v>No</v>
      </c>
      <c r="AK546" s="5" t="str">
        <f ca="1">IFERROR(__xludf.DUMMYFUNCTION("""COMPUTED_VALUE"""),"No")</f>
        <v>No</v>
      </c>
      <c r="AL546" s="5" t="str">
        <f ca="1">IFERROR(__xludf.DUMMYFUNCTION("""COMPUTED_VALUE"""),"No")</f>
        <v>No</v>
      </c>
      <c r="AM546" s="5"/>
      <c r="AN546" s="5"/>
      <c r="AO546" s="5"/>
      <c r="AP546" s="5"/>
      <c r="AQ546" s="5"/>
      <c r="AR546" s="5"/>
      <c r="AS546" s="5"/>
      <c r="AT546" s="5"/>
      <c r="AU546" s="5"/>
      <c r="AV546" s="5"/>
      <c r="AW546" s="5"/>
      <c r="AX546" s="5"/>
      <c r="AY546" s="5"/>
    </row>
    <row r="547" spans="1:51" x14ac:dyDescent="0.25">
      <c r="A5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B547" s="5">
        <f ca="1">IFERROR(__xludf.DUMMYFUNCTION("""COMPUTED_VALUE"""),581)</f>
        <v>581</v>
      </c>
      <c r="C547" s="5">
        <f ca="1">IFERROR(__xludf.DUMMYFUNCTION("""COMPUTED_VALUE"""),180038)</f>
        <v>180038</v>
      </c>
      <c r="D547" s="5" t="str">
        <f ca="1">IFERROR(__xludf.DUMMYFUNCTION("""COMPUTED_VALUE"""),"Redstone10WildCrownHalloween")</f>
        <v>Redstone10WildCrownHalloween</v>
      </c>
      <c r="E547" s="5" t="str">
        <f ca="1">IFERROR(__xludf.DUMMYFUNCTION("""COMPUTED_VALUE"""),"Yes")</f>
        <v>Yes</v>
      </c>
      <c r="F547" s="5" t="str">
        <f ca="1">IFERROR(__xludf.DUMMYFUNCTION("""COMPUTED_VALUE"""),"Yes")</f>
        <v>Yes</v>
      </c>
      <c r="G547" s="5" t="str">
        <f ca="1">IFERROR(__xludf.DUMMYFUNCTION("""COMPUTED_VALUE"""),"Yes")</f>
        <v>Yes</v>
      </c>
      <c r="H547" s="5" t="str">
        <f ca="1">IFERROR(__xludf.DUMMYFUNCTION("""COMPUTED_VALUE"""),"Yes")</f>
        <v>Yes</v>
      </c>
      <c r="I547" s="5" t="str">
        <f ca="1">IFERROR(__xludf.DUMMYFUNCTION("""COMPUTED_VALUE"""),"Yes")</f>
        <v>Yes</v>
      </c>
      <c r="J547" s="5" t="str">
        <f ca="1">IFERROR(__xludf.DUMMYFUNCTION("""COMPUTED_VALUE"""),"Yes")</f>
        <v>Yes</v>
      </c>
      <c r="K547" s="5" t="str">
        <f ca="1">IFERROR(__xludf.DUMMYFUNCTION("""COMPUTED_VALUE"""),"Yes")</f>
        <v>Yes</v>
      </c>
      <c r="L547" s="5" t="str">
        <f ca="1">IFERROR(__xludf.DUMMYFUNCTION("""COMPUTED_VALUE"""),"Yes")</f>
        <v>Yes</v>
      </c>
      <c r="M547" s="5" t="str">
        <f ca="1">IFERROR(__xludf.DUMMYFUNCTION("""COMPUTED_VALUE"""),"Yes")</f>
        <v>Yes</v>
      </c>
      <c r="N547" s="5" t="str">
        <f ca="1">IFERROR(__xludf.DUMMYFUNCTION("""COMPUTED_VALUE"""),"Yes")</f>
        <v>Yes</v>
      </c>
      <c r="O547" s="5" t="str">
        <f ca="1">IFERROR(__xludf.DUMMYFUNCTION("""COMPUTED_VALUE"""),"Yes")</f>
        <v>Yes</v>
      </c>
      <c r="P547" s="5" t="str">
        <f ca="1">IFERROR(__xludf.DUMMYFUNCTION("""COMPUTED_VALUE"""),"Yes")</f>
        <v>Yes</v>
      </c>
      <c r="Q547" s="5" t="str">
        <f ca="1">IFERROR(__xludf.DUMMYFUNCTION("""COMPUTED_VALUE"""),"Yes")</f>
        <v>Yes</v>
      </c>
      <c r="R547" s="5" t="str">
        <f ca="1">IFERROR(__xludf.DUMMYFUNCTION("""COMPUTED_VALUE"""),"Yes")</f>
        <v>Yes</v>
      </c>
      <c r="S547" s="5" t="str">
        <f ca="1">IFERROR(__xludf.DUMMYFUNCTION("""COMPUTED_VALUE"""),"Yes")</f>
        <v>Yes</v>
      </c>
      <c r="T547" s="5" t="str">
        <f ca="1">IFERROR(__xludf.DUMMYFUNCTION("""COMPUTED_VALUE"""),"Yes")</f>
        <v>Yes</v>
      </c>
      <c r="U547" s="5" t="str">
        <f ca="1">IFERROR(__xludf.DUMMYFUNCTION("""COMPUTED_VALUE"""),"Yes")</f>
        <v>Yes</v>
      </c>
      <c r="V547" s="5" t="str">
        <f ca="1">IFERROR(__xludf.DUMMYFUNCTION("""COMPUTED_VALUE"""),"Yes")</f>
        <v>Yes</v>
      </c>
      <c r="W547" s="5" t="str">
        <f ca="1">IFERROR(__xludf.DUMMYFUNCTION("""COMPUTED_VALUE"""),"Yes")</f>
        <v>Yes</v>
      </c>
      <c r="X547" s="5"/>
      <c r="Y547" s="5"/>
      <c r="Z547" s="5"/>
      <c r="AA547" s="5"/>
      <c r="AB547" s="5"/>
      <c r="AC547" s="5" t="str">
        <f ca="1">IFERROR(__xludf.DUMMYFUNCTION("""COMPUTED_VALUE"""),"Yes")</f>
        <v>Yes</v>
      </c>
      <c r="AD547" s="5"/>
      <c r="AE547" s="5"/>
      <c r="AF547" s="5" t="str">
        <f ca="1">IFERROR(__xludf.DUMMYFUNCTION("""COMPUTED_VALUE"""),"Yes")</f>
        <v>Yes</v>
      </c>
      <c r="AG547" s="5"/>
      <c r="AH547" s="5"/>
      <c r="AI547" s="5"/>
      <c r="AJ547" s="5"/>
      <c r="AK547" s="5"/>
      <c r="AL547" s="5"/>
      <c r="AM547" s="5"/>
      <c r="AN547" s="5"/>
      <c r="AO547" s="5"/>
      <c r="AP547" s="5"/>
      <c r="AQ547" s="5"/>
      <c r="AR547" s="5"/>
      <c r="AS547" s="5"/>
      <c r="AT547" s="5"/>
      <c r="AU547" s="5"/>
      <c r="AV547" s="5"/>
      <c r="AW547" s="5"/>
      <c r="AX547" s="5"/>
      <c r="AY547" s="5"/>
    </row>
    <row r="548" spans="1:51" x14ac:dyDescent="0.25">
      <c r="A5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B548" s="5">
        <f ca="1">IFERROR(__xludf.DUMMYFUNCTION("""COMPUTED_VALUE"""),582)</f>
        <v>582</v>
      </c>
      <c r="C548" s="5">
        <f ca="1">IFERROR(__xludf.DUMMYFUNCTION("""COMPUTED_VALUE"""),180037)</f>
        <v>180037</v>
      </c>
      <c r="D548" s="5" t="str">
        <f ca="1">IFERROR(__xludf.DUMMYFUNCTION("""COMPUTED_VALUE"""),"Redstone5CloverFireHalloween")</f>
        <v>Redstone5CloverFireHalloween</v>
      </c>
      <c r="E548" s="5" t="str">
        <f ca="1">IFERROR(__xludf.DUMMYFUNCTION("""COMPUTED_VALUE"""),"Yes")</f>
        <v>Yes</v>
      </c>
      <c r="F548" s="5" t="str">
        <f ca="1">IFERROR(__xludf.DUMMYFUNCTION("""COMPUTED_VALUE"""),"Yes")</f>
        <v>Yes</v>
      </c>
      <c r="G548" s="5" t="str">
        <f ca="1">IFERROR(__xludf.DUMMYFUNCTION("""COMPUTED_VALUE"""),"Yes")</f>
        <v>Yes</v>
      </c>
      <c r="H548" s="5" t="str">
        <f ca="1">IFERROR(__xludf.DUMMYFUNCTION("""COMPUTED_VALUE"""),"Yes")</f>
        <v>Yes</v>
      </c>
      <c r="I548" s="5" t="str">
        <f ca="1">IFERROR(__xludf.DUMMYFUNCTION("""COMPUTED_VALUE"""),"Yes")</f>
        <v>Yes</v>
      </c>
      <c r="J548" s="5" t="str">
        <f ca="1">IFERROR(__xludf.DUMMYFUNCTION("""COMPUTED_VALUE"""),"Yes")</f>
        <v>Yes</v>
      </c>
      <c r="K548" s="5" t="str">
        <f ca="1">IFERROR(__xludf.DUMMYFUNCTION("""COMPUTED_VALUE"""),"Yes")</f>
        <v>Yes</v>
      </c>
      <c r="L548" s="5" t="str">
        <f ca="1">IFERROR(__xludf.DUMMYFUNCTION("""COMPUTED_VALUE"""),"Yes")</f>
        <v>Yes</v>
      </c>
      <c r="M548" s="5" t="str">
        <f ca="1">IFERROR(__xludf.DUMMYFUNCTION("""COMPUTED_VALUE"""),"Yes")</f>
        <v>Yes</v>
      </c>
      <c r="N548" s="5" t="str">
        <f ca="1">IFERROR(__xludf.DUMMYFUNCTION("""COMPUTED_VALUE"""),"Yes")</f>
        <v>Yes</v>
      </c>
      <c r="O548" s="5" t="str">
        <f ca="1">IFERROR(__xludf.DUMMYFUNCTION("""COMPUTED_VALUE"""),"Yes")</f>
        <v>Yes</v>
      </c>
      <c r="P548" s="5" t="str">
        <f ca="1">IFERROR(__xludf.DUMMYFUNCTION("""COMPUTED_VALUE"""),"Yes")</f>
        <v>Yes</v>
      </c>
      <c r="Q548" s="5" t="str">
        <f ca="1">IFERROR(__xludf.DUMMYFUNCTION("""COMPUTED_VALUE"""),"Yes")</f>
        <v>Yes</v>
      </c>
      <c r="R548" s="5" t="str">
        <f ca="1">IFERROR(__xludf.DUMMYFUNCTION("""COMPUTED_VALUE"""),"Yes")</f>
        <v>Yes</v>
      </c>
      <c r="S548" s="5" t="str">
        <f ca="1">IFERROR(__xludf.DUMMYFUNCTION("""COMPUTED_VALUE"""),"Yes")</f>
        <v>Yes</v>
      </c>
      <c r="T548" s="5" t="str">
        <f ca="1">IFERROR(__xludf.DUMMYFUNCTION("""COMPUTED_VALUE"""),"Yes")</f>
        <v>Yes</v>
      </c>
      <c r="U548" s="5" t="str">
        <f ca="1">IFERROR(__xludf.DUMMYFUNCTION("""COMPUTED_VALUE"""),"Yes")</f>
        <v>Yes</v>
      </c>
      <c r="V548" s="5" t="str">
        <f ca="1">IFERROR(__xludf.DUMMYFUNCTION("""COMPUTED_VALUE"""),"Yes")</f>
        <v>Yes</v>
      </c>
      <c r="W548" s="5" t="str">
        <f ca="1">IFERROR(__xludf.DUMMYFUNCTION("""COMPUTED_VALUE"""),"Yes")</f>
        <v>Yes</v>
      </c>
      <c r="X548" s="5" t="str">
        <f ca="1">IFERROR(__xludf.DUMMYFUNCTION("""COMPUTED_VALUE"""),"Yes")</f>
        <v>Yes</v>
      </c>
      <c r="Y548" s="5" t="str">
        <f ca="1">IFERROR(__xludf.DUMMYFUNCTION("""COMPUTED_VALUE"""),"Yes")</f>
        <v>Yes</v>
      </c>
      <c r="Z548" s="5"/>
      <c r="AA548" s="5"/>
      <c r="AB548" s="5"/>
      <c r="AC548" s="5" t="str">
        <f ca="1">IFERROR(__xludf.DUMMYFUNCTION("""COMPUTED_VALUE"""),"Yes")</f>
        <v>Yes</v>
      </c>
      <c r="AD548" s="5"/>
      <c r="AE548" s="5"/>
      <c r="AF548" s="5" t="str">
        <f ca="1">IFERROR(__xludf.DUMMYFUNCTION("""COMPUTED_VALUE"""),"Yes")</f>
        <v>Yes</v>
      </c>
      <c r="AG548" s="5"/>
      <c r="AH548" s="5"/>
      <c r="AI548" s="5"/>
      <c r="AJ548" s="5"/>
      <c r="AK548" s="5"/>
      <c r="AL548" s="5"/>
      <c r="AM548" s="5"/>
      <c r="AN548" s="5"/>
      <c r="AO548" s="5"/>
      <c r="AP548" s="5"/>
      <c r="AQ548" s="5"/>
      <c r="AR548" s="5"/>
      <c r="AS548" s="5"/>
      <c r="AT548" s="5"/>
      <c r="AU548" s="5"/>
      <c r="AV548" s="5"/>
      <c r="AW548" s="5"/>
      <c r="AX548" s="5"/>
      <c r="AY548" s="5"/>
    </row>
    <row r="549" spans="1:51" x14ac:dyDescent="0.25">
      <c r="A5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9" s="5">
        <f ca="1">IFERROR(__xludf.DUMMYFUNCTION("""COMPUTED_VALUE"""),583)</f>
        <v>583</v>
      </c>
      <c r="C549" s="5">
        <f ca="1">IFERROR(__xludf.DUMMYFUNCTION("""COMPUTED_VALUE"""),5001)</f>
        <v>5001</v>
      </c>
      <c r="D549" s="5" t="str">
        <f ca="1">IFERROR(__xludf.DUMMYFUNCTION("""COMPUTED_VALUE"""),"FruitLock7")</f>
        <v>FruitLock7</v>
      </c>
      <c r="E549" s="5" t="str">
        <f ca="1">IFERROR(__xludf.DUMMYFUNCTION("""COMPUTED_VALUE"""),"Yes")</f>
        <v>Yes</v>
      </c>
      <c r="F549" s="5" t="str">
        <f ca="1">IFERROR(__xludf.DUMMYFUNCTION("""COMPUTED_VALUE"""),"Yes")</f>
        <v>Yes</v>
      </c>
      <c r="G549" s="5" t="str">
        <f ca="1">IFERROR(__xludf.DUMMYFUNCTION("""COMPUTED_VALUE"""),"Yes")</f>
        <v>Yes</v>
      </c>
      <c r="H549" s="5" t="str">
        <f ca="1">IFERROR(__xludf.DUMMYFUNCTION("""COMPUTED_VALUE"""),"Yes")</f>
        <v>Yes</v>
      </c>
      <c r="I549" s="5" t="str">
        <f ca="1">IFERROR(__xludf.DUMMYFUNCTION("""COMPUTED_VALUE"""),"Yes")</f>
        <v>Yes</v>
      </c>
      <c r="J549" s="5" t="str">
        <f ca="1">IFERROR(__xludf.DUMMYFUNCTION("""COMPUTED_VALUE"""),"Yes")</f>
        <v>Yes</v>
      </c>
      <c r="K549" s="5" t="str">
        <f ca="1">IFERROR(__xludf.DUMMYFUNCTION("""COMPUTED_VALUE"""),"Yes")</f>
        <v>Yes</v>
      </c>
      <c r="L549" s="5" t="str">
        <f ca="1">IFERROR(__xludf.DUMMYFUNCTION("""COMPUTED_VALUE"""),"Yes")</f>
        <v>Yes</v>
      </c>
      <c r="M549" s="5" t="str">
        <f ca="1">IFERROR(__xludf.DUMMYFUNCTION("""COMPUTED_VALUE"""),"Yes")</f>
        <v>Yes</v>
      </c>
      <c r="N549" s="5" t="str">
        <f ca="1">IFERROR(__xludf.DUMMYFUNCTION("""COMPUTED_VALUE"""),"Yes")</f>
        <v>Yes</v>
      </c>
      <c r="O549" s="5" t="str">
        <f ca="1">IFERROR(__xludf.DUMMYFUNCTION("""COMPUTED_VALUE"""),"Yes")</f>
        <v>Yes</v>
      </c>
      <c r="P549" s="5" t="str">
        <f ca="1">IFERROR(__xludf.DUMMYFUNCTION("""COMPUTED_VALUE"""),"Yes")</f>
        <v>Yes</v>
      </c>
      <c r="Q549" s="5" t="str">
        <f ca="1">IFERROR(__xludf.DUMMYFUNCTION("""COMPUTED_VALUE"""),"Yes")</f>
        <v>Yes</v>
      </c>
      <c r="R549" s="5" t="str">
        <f ca="1">IFERROR(__xludf.DUMMYFUNCTION("""COMPUTED_VALUE"""),"Yes")</f>
        <v>Yes</v>
      </c>
      <c r="S549" s="5" t="str">
        <f ca="1">IFERROR(__xludf.DUMMYFUNCTION("""COMPUTED_VALUE"""),"Yes")</f>
        <v>Yes</v>
      </c>
      <c r="T549" s="5" t="str">
        <f ca="1">IFERROR(__xludf.DUMMYFUNCTION("""COMPUTED_VALUE"""),"Yes")</f>
        <v>Yes</v>
      </c>
      <c r="U549" s="5" t="str">
        <f ca="1">IFERROR(__xludf.DUMMYFUNCTION("""COMPUTED_VALUE"""),"Yes")</f>
        <v>Yes</v>
      </c>
      <c r="V549" s="5" t="str">
        <f ca="1">IFERROR(__xludf.DUMMYFUNCTION("""COMPUTED_VALUE"""),"Yes")</f>
        <v>Yes</v>
      </c>
      <c r="W549" s="5" t="str">
        <f ca="1">IFERROR(__xludf.DUMMYFUNCTION("""COMPUTED_VALUE"""),"Yes")</f>
        <v>Yes</v>
      </c>
      <c r="X549" s="5" t="str">
        <f ca="1">IFERROR(__xludf.DUMMYFUNCTION("""COMPUTED_VALUE"""),"Yes")</f>
        <v>Yes</v>
      </c>
      <c r="Y549" s="5" t="str">
        <f ca="1">IFERROR(__xludf.DUMMYFUNCTION("""COMPUTED_VALUE"""),"Yes")</f>
        <v>Yes</v>
      </c>
      <c r="Z549" s="5" t="str">
        <f ca="1">IFERROR(__xludf.DUMMYFUNCTION("""COMPUTED_VALUE"""),"Yes")</f>
        <v>Yes</v>
      </c>
      <c r="AA549" s="5" t="str">
        <f ca="1">IFERROR(__xludf.DUMMYFUNCTION("""COMPUTED_VALUE"""),"Yes")</f>
        <v>Yes</v>
      </c>
      <c r="AB549" s="5" t="str">
        <f ca="1">IFERROR(__xludf.DUMMYFUNCTION("""COMPUTED_VALUE"""),"Yes")</f>
        <v>Yes</v>
      </c>
      <c r="AC549" s="5" t="str">
        <f ca="1">IFERROR(__xludf.DUMMYFUNCTION("""COMPUTED_VALUE"""),"Yes")</f>
        <v>Yes</v>
      </c>
      <c r="AD549" s="5" t="str">
        <f ca="1">IFERROR(__xludf.DUMMYFUNCTION("""COMPUTED_VALUE"""),"Yes")</f>
        <v>Yes</v>
      </c>
      <c r="AE549" s="5" t="str">
        <f ca="1">IFERROR(__xludf.DUMMYFUNCTION("""COMPUTED_VALUE"""),"Yes")</f>
        <v>Yes</v>
      </c>
      <c r="AF549" s="5" t="str">
        <f ca="1">IFERROR(__xludf.DUMMYFUNCTION("""COMPUTED_VALUE"""),"Yes")</f>
        <v>Yes</v>
      </c>
      <c r="AG549" s="5" t="str">
        <f ca="1">IFERROR(__xludf.DUMMYFUNCTION("""COMPUTED_VALUE"""),"Yes")</f>
        <v>Yes</v>
      </c>
      <c r="AH549" s="5" t="str">
        <f ca="1">IFERROR(__xludf.DUMMYFUNCTION("""COMPUTED_VALUE"""),"Yes")</f>
        <v>Yes</v>
      </c>
      <c r="AI549" s="5" t="str">
        <f ca="1">IFERROR(__xludf.DUMMYFUNCTION("""COMPUTED_VALUE"""),"No")</f>
        <v>No</v>
      </c>
      <c r="AJ549" s="5" t="str">
        <f ca="1">IFERROR(__xludf.DUMMYFUNCTION("""COMPUTED_VALUE"""),"No")</f>
        <v>No</v>
      </c>
      <c r="AK549" s="5" t="str">
        <f ca="1">IFERROR(__xludf.DUMMYFUNCTION("""COMPUTED_VALUE"""),"No")</f>
        <v>No</v>
      </c>
      <c r="AL549" s="5" t="str">
        <f ca="1">IFERROR(__xludf.DUMMYFUNCTION("""COMPUTED_VALUE"""),"No")</f>
        <v>No</v>
      </c>
      <c r="AM549" s="5"/>
      <c r="AN549" s="5"/>
      <c r="AO549" s="5"/>
      <c r="AP549" s="5"/>
      <c r="AQ549" s="5"/>
      <c r="AR549" s="5"/>
      <c r="AS549" s="5"/>
      <c r="AT549" s="5"/>
      <c r="AU549" s="5"/>
      <c r="AV549" s="5"/>
      <c r="AW549" s="5"/>
      <c r="AX549" s="5"/>
      <c r="AY549" s="5"/>
    </row>
    <row r="550" spans="1:51" x14ac:dyDescent="0.25">
      <c r="A5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0" s="5">
        <f ca="1">IFERROR(__xludf.DUMMYFUNCTION("""COMPUTED_VALUE"""),584)</f>
        <v>584</v>
      </c>
      <c r="C550" s="5">
        <f ca="1">IFERROR(__xludf.DUMMYFUNCTION("""COMPUTED_VALUE"""),4023)</f>
        <v>4023</v>
      </c>
      <c r="D550" s="5" t="str">
        <f ca="1">IFERROR(__xludf.DUMMYFUNCTION("""COMPUTED_VALUE"""),"GoldenCrownHalloween")</f>
        <v>GoldenCrownHalloween</v>
      </c>
      <c r="E550" s="5" t="str">
        <f ca="1">IFERROR(__xludf.DUMMYFUNCTION("""COMPUTED_VALUE"""),"Yes")</f>
        <v>Yes</v>
      </c>
      <c r="F550" s="5" t="str">
        <f ca="1">IFERROR(__xludf.DUMMYFUNCTION("""COMPUTED_VALUE"""),"Yes")</f>
        <v>Yes</v>
      </c>
      <c r="G550" s="5" t="str">
        <f ca="1">IFERROR(__xludf.DUMMYFUNCTION("""COMPUTED_VALUE"""),"Yes")</f>
        <v>Yes</v>
      </c>
      <c r="H550" s="5" t="str">
        <f ca="1">IFERROR(__xludf.DUMMYFUNCTION("""COMPUTED_VALUE"""),"Yes")</f>
        <v>Yes</v>
      </c>
      <c r="I550" s="5" t="str">
        <f ca="1">IFERROR(__xludf.DUMMYFUNCTION("""COMPUTED_VALUE"""),"Yes")</f>
        <v>Yes</v>
      </c>
      <c r="J550" s="5" t="str">
        <f ca="1">IFERROR(__xludf.DUMMYFUNCTION("""COMPUTED_VALUE"""),"Yes")</f>
        <v>Yes</v>
      </c>
      <c r="K550" s="5" t="str">
        <f ca="1">IFERROR(__xludf.DUMMYFUNCTION("""COMPUTED_VALUE"""),"Yes")</f>
        <v>Yes</v>
      </c>
      <c r="L550" s="5" t="str">
        <f ca="1">IFERROR(__xludf.DUMMYFUNCTION("""COMPUTED_VALUE"""),"Yes")</f>
        <v>Yes</v>
      </c>
      <c r="M550" s="5" t="str">
        <f ca="1">IFERROR(__xludf.DUMMYFUNCTION("""COMPUTED_VALUE"""),"Yes")</f>
        <v>Yes</v>
      </c>
      <c r="N550" s="5" t="str">
        <f ca="1">IFERROR(__xludf.DUMMYFUNCTION("""COMPUTED_VALUE"""),"Yes")</f>
        <v>Yes</v>
      </c>
      <c r="O550" s="5" t="str">
        <f ca="1">IFERROR(__xludf.DUMMYFUNCTION("""COMPUTED_VALUE"""),"Yes")</f>
        <v>Yes</v>
      </c>
      <c r="P550" s="5" t="str">
        <f ca="1">IFERROR(__xludf.DUMMYFUNCTION("""COMPUTED_VALUE"""),"Yes")</f>
        <v>Yes</v>
      </c>
      <c r="Q550" s="5" t="str">
        <f ca="1">IFERROR(__xludf.DUMMYFUNCTION("""COMPUTED_VALUE"""),"Yes")</f>
        <v>Yes</v>
      </c>
      <c r="R550" s="5" t="str">
        <f ca="1">IFERROR(__xludf.DUMMYFUNCTION("""COMPUTED_VALUE"""),"Yes")</f>
        <v>Yes</v>
      </c>
      <c r="S550" s="5" t="str">
        <f ca="1">IFERROR(__xludf.DUMMYFUNCTION("""COMPUTED_VALUE"""),"Yes")</f>
        <v>Yes</v>
      </c>
      <c r="T550" s="5" t="str">
        <f ca="1">IFERROR(__xludf.DUMMYFUNCTION("""COMPUTED_VALUE"""),"Yes")</f>
        <v>Yes</v>
      </c>
      <c r="U550" s="5" t="str">
        <f ca="1">IFERROR(__xludf.DUMMYFUNCTION("""COMPUTED_VALUE"""),"Yes")</f>
        <v>Yes</v>
      </c>
      <c r="V550" s="5" t="str">
        <f ca="1">IFERROR(__xludf.DUMMYFUNCTION("""COMPUTED_VALUE"""),"Yes")</f>
        <v>Yes</v>
      </c>
      <c r="W550" s="5" t="str">
        <f ca="1">IFERROR(__xludf.DUMMYFUNCTION("""COMPUTED_VALUE"""),"Yes")</f>
        <v>Yes</v>
      </c>
      <c r="X550" s="5" t="str">
        <f ca="1">IFERROR(__xludf.DUMMYFUNCTION("""COMPUTED_VALUE"""),"Yes")</f>
        <v>Yes</v>
      </c>
      <c r="Y550" s="5" t="str">
        <f ca="1">IFERROR(__xludf.DUMMYFUNCTION("""COMPUTED_VALUE"""),"Yes")</f>
        <v>Yes</v>
      </c>
      <c r="Z550" s="5" t="str">
        <f ca="1">IFERROR(__xludf.DUMMYFUNCTION("""COMPUTED_VALUE"""),"No")</f>
        <v>No</v>
      </c>
      <c r="AA550" s="5" t="str">
        <f ca="1">IFERROR(__xludf.DUMMYFUNCTION("""COMPUTED_VALUE"""),"Yes")</f>
        <v>Yes</v>
      </c>
      <c r="AB550" s="5" t="str">
        <f ca="1">IFERROR(__xludf.DUMMYFUNCTION("""COMPUTED_VALUE"""),"Yes")</f>
        <v>Yes</v>
      </c>
      <c r="AC550" s="5" t="str">
        <f ca="1">IFERROR(__xludf.DUMMYFUNCTION("""COMPUTED_VALUE"""),"Yes")</f>
        <v>Yes</v>
      </c>
      <c r="AD550" s="5" t="str">
        <f ca="1">IFERROR(__xludf.DUMMYFUNCTION("""COMPUTED_VALUE"""),"Yes")</f>
        <v>Yes</v>
      </c>
      <c r="AE550" s="5" t="str">
        <f ca="1">IFERROR(__xludf.DUMMYFUNCTION("""COMPUTED_VALUE"""),"No")</f>
        <v>No</v>
      </c>
      <c r="AF550" s="5" t="str">
        <f ca="1">IFERROR(__xludf.DUMMYFUNCTION("""COMPUTED_VALUE"""),"Yes")</f>
        <v>Yes</v>
      </c>
      <c r="AG550" s="5" t="str">
        <f ca="1">IFERROR(__xludf.DUMMYFUNCTION("""COMPUTED_VALUE"""),"No")</f>
        <v>No</v>
      </c>
      <c r="AH550" s="5" t="str">
        <f ca="1">IFERROR(__xludf.DUMMYFUNCTION("""COMPUTED_VALUE"""),"No")</f>
        <v>No</v>
      </c>
      <c r="AI550" s="5" t="str">
        <f ca="1">IFERROR(__xludf.DUMMYFUNCTION("""COMPUTED_VALUE"""),"No")</f>
        <v>No</v>
      </c>
      <c r="AJ550" s="5" t="str">
        <f ca="1">IFERROR(__xludf.DUMMYFUNCTION("""COMPUTED_VALUE"""),"No")</f>
        <v>No</v>
      </c>
      <c r="AK550" s="5" t="str">
        <f ca="1">IFERROR(__xludf.DUMMYFUNCTION("""COMPUTED_VALUE"""),"No")</f>
        <v>No</v>
      </c>
      <c r="AL550" s="5" t="str">
        <f ca="1">IFERROR(__xludf.DUMMYFUNCTION("""COMPUTED_VALUE"""),"No")</f>
        <v>No</v>
      </c>
      <c r="AM550" s="5"/>
      <c r="AN550" s="5"/>
      <c r="AO550" s="5"/>
      <c r="AP550" s="5"/>
      <c r="AQ550" s="5"/>
      <c r="AR550" s="5"/>
      <c r="AS550" s="5"/>
      <c r="AT550" s="5"/>
      <c r="AU550" s="5"/>
      <c r="AV550" s="5"/>
      <c r="AW550" s="5"/>
      <c r="AX550" s="5"/>
      <c r="AY550" s="5"/>
    </row>
    <row r="551" spans="1:51" x14ac:dyDescent="0.25">
      <c r="A5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51" s="5">
        <f ca="1">IFERROR(__xludf.DUMMYFUNCTION("""COMPUTED_VALUE"""),585)</f>
        <v>585</v>
      </c>
      <c r="C551" s="5">
        <f ca="1">IFERROR(__xludf.DUMMYFUNCTION("""COMPUTED_VALUE"""),4024)</f>
        <v>4024</v>
      </c>
      <c r="D551" s="5" t="str">
        <f ca="1">IFERROR(__xludf.DUMMYFUNCTION("""COMPUTED_VALUE"""),"Wild27Halloween")</f>
        <v>Wild27Halloween</v>
      </c>
      <c r="E551" s="5" t="str">
        <f ca="1">IFERROR(__xludf.DUMMYFUNCTION("""COMPUTED_VALUE"""),"Yes")</f>
        <v>Yes</v>
      </c>
      <c r="F551" s="5" t="str">
        <f ca="1">IFERROR(__xludf.DUMMYFUNCTION("""COMPUTED_VALUE"""),"Yes")</f>
        <v>Yes</v>
      </c>
      <c r="G551" s="5" t="str">
        <f ca="1">IFERROR(__xludf.DUMMYFUNCTION("""COMPUTED_VALUE"""),"Yes")</f>
        <v>Yes</v>
      </c>
      <c r="H551" s="5" t="str">
        <f ca="1">IFERROR(__xludf.DUMMYFUNCTION("""COMPUTED_VALUE"""),"Yes")</f>
        <v>Yes</v>
      </c>
      <c r="I551" s="5" t="str">
        <f ca="1">IFERROR(__xludf.DUMMYFUNCTION("""COMPUTED_VALUE"""),"Yes")</f>
        <v>Yes</v>
      </c>
      <c r="J551" s="5" t="str">
        <f ca="1">IFERROR(__xludf.DUMMYFUNCTION("""COMPUTED_VALUE"""),"Yes")</f>
        <v>Yes</v>
      </c>
      <c r="K551" s="5" t="str">
        <f ca="1">IFERROR(__xludf.DUMMYFUNCTION("""COMPUTED_VALUE"""),"Yes")</f>
        <v>Yes</v>
      </c>
      <c r="L551" s="5" t="str">
        <f ca="1">IFERROR(__xludf.DUMMYFUNCTION("""COMPUTED_VALUE"""),"Yes")</f>
        <v>Yes</v>
      </c>
      <c r="M551" s="5" t="str">
        <f ca="1">IFERROR(__xludf.DUMMYFUNCTION("""COMPUTED_VALUE"""),"Yes")</f>
        <v>Yes</v>
      </c>
      <c r="N551" s="5" t="str">
        <f ca="1">IFERROR(__xludf.DUMMYFUNCTION("""COMPUTED_VALUE"""),"Yes")</f>
        <v>Yes</v>
      </c>
      <c r="O551" s="5" t="str">
        <f ca="1">IFERROR(__xludf.DUMMYFUNCTION("""COMPUTED_VALUE"""),"Yes")</f>
        <v>Yes</v>
      </c>
      <c r="P551" s="5" t="str">
        <f ca="1">IFERROR(__xludf.DUMMYFUNCTION("""COMPUTED_VALUE"""),"Yes")</f>
        <v>Yes</v>
      </c>
      <c r="Q551" s="5" t="str">
        <f ca="1">IFERROR(__xludf.DUMMYFUNCTION("""COMPUTED_VALUE"""),"Yes")</f>
        <v>Yes</v>
      </c>
      <c r="R551" s="5" t="str">
        <f ca="1">IFERROR(__xludf.DUMMYFUNCTION("""COMPUTED_VALUE"""),"Yes")</f>
        <v>Yes</v>
      </c>
      <c r="S551" s="5" t="str">
        <f ca="1">IFERROR(__xludf.DUMMYFUNCTION("""COMPUTED_VALUE"""),"Yes")</f>
        <v>Yes</v>
      </c>
      <c r="T551" s="5" t="str">
        <f ca="1">IFERROR(__xludf.DUMMYFUNCTION("""COMPUTED_VALUE"""),"Yes")</f>
        <v>Yes</v>
      </c>
      <c r="U551" s="5" t="str">
        <f ca="1">IFERROR(__xludf.DUMMYFUNCTION("""COMPUTED_VALUE"""),"Yes")</f>
        <v>Yes</v>
      </c>
      <c r="V551" s="5" t="str">
        <f ca="1">IFERROR(__xludf.DUMMYFUNCTION("""COMPUTED_VALUE"""),"Yes")</f>
        <v>Yes</v>
      </c>
      <c r="W551" s="5" t="str">
        <f ca="1">IFERROR(__xludf.DUMMYFUNCTION("""COMPUTED_VALUE"""),"Yes")</f>
        <v>Yes</v>
      </c>
      <c r="X551" s="5" t="str">
        <f ca="1">IFERROR(__xludf.DUMMYFUNCTION("""COMPUTED_VALUE"""),"Yes")</f>
        <v>Yes</v>
      </c>
      <c r="Y551" s="5" t="str">
        <f ca="1">IFERROR(__xludf.DUMMYFUNCTION("""COMPUTED_VALUE"""),"Yes")</f>
        <v>Yes</v>
      </c>
      <c r="Z551" s="5" t="str">
        <f ca="1">IFERROR(__xludf.DUMMYFUNCTION("""COMPUTED_VALUE"""),"Yes")</f>
        <v>Yes</v>
      </c>
      <c r="AA551" s="5" t="str">
        <f ca="1">IFERROR(__xludf.DUMMYFUNCTION("""COMPUTED_VALUE"""),"Yes")</f>
        <v>Yes</v>
      </c>
      <c r="AB551" s="5" t="str">
        <f ca="1">IFERROR(__xludf.DUMMYFUNCTION("""COMPUTED_VALUE"""),"Yes")</f>
        <v>Yes</v>
      </c>
      <c r="AC551" s="5" t="str">
        <f ca="1">IFERROR(__xludf.DUMMYFUNCTION("""COMPUTED_VALUE"""),"Yes")</f>
        <v>Yes</v>
      </c>
      <c r="AD551" s="5" t="str">
        <f ca="1">IFERROR(__xludf.DUMMYFUNCTION("""COMPUTED_VALUE"""),"Yes")</f>
        <v>Yes</v>
      </c>
      <c r="AE551" s="5" t="str">
        <f ca="1">IFERROR(__xludf.DUMMYFUNCTION("""COMPUTED_VALUE"""),"Yes")</f>
        <v>Yes</v>
      </c>
      <c r="AF551" s="5" t="str">
        <f ca="1">IFERROR(__xludf.DUMMYFUNCTION("""COMPUTED_VALUE"""),"Yes")</f>
        <v>Yes</v>
      </c>
      <c r="AG551" s="5" t="str">
        <f ca="1">IFERROR(__xludf.DUMMYFUNCTION("""COMPUTED_VALUE"""),"Yes")</f>
        <v>Yes</v>
      </c>
      <c r="AH551" s="5" t="str">
        <f ca="1">IFERROR(__xludf.DUMMYFUNCTION("""COMPUTED_VALUE"""),"Yes")</f>
        <v>Yes</v>
      </c>
      <c r="AI551" s="5" t="str">
        <f ca="1">IFERROR(__xludf.DUMMYFUNCTION("""COMPUTED_VALUE"""),"No")</f>
        <v>No</v>
      </c>
      <c r="AJ551" s="5" t="str">
        <f ca="1">IFERROR(__xludf.DUMMYFUNCTION("""COMPUTED_VALUE"""),"No")</f>
        <v>No</v>
      </c>
      <c r="AK551" s="5" t="str">
        <f ca="1">IFERROR(__xludf.DUMMYFUNCTION("""COMPUTED_VALUE"""),"No")</f>
        <v>No</v>
      </c>
      <c r="AL551" s="5" t="str">
        <f ca="1">IFERROR(__xludf.DUMMYFUNCTION("""COMPUTED_VALUE"""),"No")</f>
        <v>No</v>
      </c>
      <c r="AM551" s="5"/>
      <c r="AN551" s="5"/>
      <c r="AO551" s="5"/>
      <c r="AP551" s="5"/>
      <c r="AQ551" s="5"/>
      <c r="AR551" s="5"/>
      <c r="AS551" s="5"/>
      <c r="AT551" s="5"/>
      <c r="AU551" s="5"/>
      <c r="AV551" s="5"/>
      <c r="AW551" s="5"/>
      <c r="AX551" s="5"/>
      <c r="AY551" s="5"/>
    </row>
    <row r="552" spans="1:51" x14ac:dyDescent="0.25">
      <c r="A5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2" s="5">
        <f ca="1">IFERROR(__xludf.DUMMYFUNCTION("""COMPUTED_VALUE"""),586)</f>
        <v>586</v>
      </c>
      <c r="C552" s="5">
        <f ca="1">IFERROR(__xludf.DUMMYFUNCTION("""COMPUTED_VALUE"""),4021)</f>
        <v>4021</v>
      </c>
      <c r="D552" s="5" t="str">
        <f ca="1">IFERROR(__xludf.DUMMYFUNCTION("""COMPUTED_VALUE"""),"WildWins40")</f>
        <v>WildWins40</v>
      </c>
      <c r="E552" s="5" t="str">
        <f ca="1">IFERROR(__xludf.DUMMYFUNCTION("""COMPUTED_VALUE"""),"Yes")</f>
        <v>Yes</v>
      </c>
      <c r="F552" s="5" t="str">
        <f ca="1">IFERROR(__xludf.DUMMYFUNCTION("""COMPUTED_VALUE"""),"Yes")</f>
        <v>Yes</v>
      </c>
      <c r="G552" s="5" t="str">
        <f ca="1">IFERROR(__xludf.DUMMYFUNCTION("""COMPUTED_VALUE"""),"Yes")</f>
        <v>Yes</v>
      </c>
      <c r="H552" s="5" t="str">
        <f ca="1">IFERROR(__xludf.DUMMYFUNCTION("""COMPUTED_VALUE"""),"Yes")</f>
        <v>Yes</v>
      </c>
      <c r="I552" s="5" t="str">
        <f ca="1">IFERROR(__xludf.DUMMYFUNCTION("""COMPUTED_VALUE"""),"Yes")</f>
        <v>Yes</v>
      </c>
      <c r="J552" s="5" t="str">
        <f ca="1">IFERROR(__xludf.DUMMYFUNCTION("""COMPUTED_VALUE"""),"Yes")</f>
        <v>Yes</v>
      </c>
      <c r="K552" s="5" t="str">
        <f ca="1">IFERROR(__xludf.DUMMYFUNCTION("""COMPUTED_VALUE"""),"Yes")</f>
        <v>Yes</v>
      </c>
      <c r="L552" s="5" t="str">
        <f ca="1">IFERROR(__xludf.DUMMYFUNCTION("""COMPUTED_VALUE"""),"Yes")</f>
        <v>Yes</v>
      </c>
      <c r="M552" s="5" t="str">
        <f ca="1">IFERROR(__xludf.DUMMYFUNCTION("""COMPUTED_VALUE"""),"Yes")</f>
        <v>Yes</v>
      </c>
      <c r="N552" s="5" t="str">
        <f ca="1">IFERROR(__xludf.DUMMYFUNCTION("""COMPUTED_VALUE"""),"Yes")</f>
        <v>Yes</v>
      </c>
      <c r="O552" s="5" t="str">
        <f ca="1">IFERROR(__xludf.DUMMYFUNCTION("""COMPUTED_VALUE"""),"Yes")</f>
        <v>Yes</v>
      </c>
      <c r="P552" s="5" t="str">
        <f ca="1">IFERROR(__xludf.DUMMYFUNCTION("""COMPUTED_VALUE"""),"Yes")</f>
        <v>Yes</v>
      </c>
      <c r="Q552" s="5" t="str">
        <f ca="1">IFERROR(__xludf.DUMMYFUNCTION("""COMPUTED_VALUE"""),"Yes")</f>
        <v>Yes</v>
      </c>
      <c r="R552" s="5" t="str">
        <f ca="1">IFERROR(__xludf.DUMMYFUNCTION("""COMPUTED_VALUE"""),"Yes")</f>
        <v>Yes</v>
      </c>
      <c r="S552" s="5" t="str">
        <f ca="1">IFERROR(__xludf.DUMMYFUNCTION("""COMPUTED_VALUE"""),"Yes")</f>
        <v>Yes</v>
      </c>
      <c r="T552" s="5" t="str">
        <f ca="1">IFERROR(__xludf.DUMMYFUNCTION("""COMPUTED_VALUE"""),"Yes")</f>
        <v>Yes</v>
      </c>
      <c r="U552" s="5" t="str">
        <f ca="1">IFERROR(__xludf.DUMMYFUNCTION("""COMPUTED_VALUE"""),"Yes")</f>
        <v>Yes</v>
      </c>
      <c r="V552" s="5" t="str">
        <f ca="1">IFERROR(__xludf.DUMMYFUNCTION("""COMPUTED_VALUE"""),"Yes")</f>
        <v>Yes</v>
      </c>
      <c r="W552" s="5" t="str">
        <f ca="1">IFERROR(__xludf.DUMMYFUNCTION("""COMPUTED_VALUE"""),"Yes")</f>
        <v>Yes</v>
      </c>
      <c r="X552" s="5" t="str">
        <f ca="1">IFERROR(__xludf.DUMMYFUNCTION("""COMPUTED_VALUE"""),"Yes")</f>
        <v>Yes</v>
      </c>
      <c r="Y552" s="5" t="str">
        <f ca="1">IFERROR(__xludf.DUMMYFUNCTION("""COMPUTED_VALUE"""),"Yes")</f>
        <v>Yes</v>
      </c>
      <c r="Z552" s="5" t="str">
        <f ca="1">IFERROR(__xludf.DUMMYFUNCTION("""COMPUTED_VALUE"""),"No")</f>
        <v>No</v>
      </c>
      <c r="AA552" s="5" t="str">
        <f ca="1">IFERROR(__xludf.DUMMYFUNCTION("""COMPUTED_VALUE"""),"Yes")</f>
        <v>Yes</v>
      </c>
      <c r="AB552" s="5" t="str">
        <f ca="1">IFERROR(__xludf.DUMMYFUNCTION("""COMPUTED_VALUE"""),"Yes")</f>
        <v>Yes</v>
      </c>
      <c r="AC552" s="5" t="str">
        <f ca="1">IFERROR(__xludf.DUMMYFUNCTION("""COMPUTED_VALUE"""),"Yes")</f>
        <v>Yes</v>
      </c>
      <c r="AD552" s="5" t="str">
        <f ca="1">IFERROR(__xludf.DUMMYFUNCTION("""COMPUTED_VALUE"""),"Yes")</f>
        <v>Yes</v>
      </c>
      <c r="AE552" s="5" t="str">
        <f ca="1">IFERROR(__xludf.DUMMYFUNCTION("""COMPUTED_VALUE"""),"No")</f>
        <v>No</v>
      </c>
      <c r="AF552" s="5" t="str">
        <f ca="1">IFERROR(__xludf.DUMMYFUNCTION("""COMPUTED_VALUE"""),"Yes")</f>
        <v>Yes</v>
      </c>
      <c r="AG552" s="5" t="str">
        <f ca="1">IFERROR(__xludf.DUMMYFUNCTION("""COMPUTED_VALUE"""),"No")</f>
        <v>No</v>
      </c>
      <c r="AH552" s="5" t="str">
        <f ca="1">IFERROR(__xludf.DUMMYFUNCTION("""COMPUTED_VALUE"""),"No")</f>
        <v>No</v>
      </c>
      <c r="AI552" s="5" t="str">
        <f ca="1">IFERROR(__xludf.DUMMYFUNCTION("""COMPUTED_VALUE"""),"No")</f>
        <v>No</v>
      </c>
      <c r="AJ552" s="5" t="str">
        <f ca="1">IFERROR(__xludf.DUMMYFUNCTION("""COMPUTED_VALUE"""),"No")</f>
        <v>No</v>
      </c>
      <c r="AK552" s="5" t="str">
        <f ca="1">IFERROR(__xludf.DUMMYFUNCTION("""COMPUTED_VALUE"""),"No")</f>
        <v>No</v>
      </c>
      <c r="AL552" s="5" t="str">
        <f ca="1">IFERROR(__xludf.DUMMYFUNCTION("""COMPUTED_VALUE"""),"No")</f>
        <v>No</v>
      </c>
      <c r="AM552" s="5"/>
      <c r="AN552" s="5"/>
      <c r="AO552" s="5"/>
      <c r="AP552" s="5"/>
      <c r="AQ552" s="5"/>
      <c r="AR552" s="5"/>
      <c r="AS552" s="5"/>
      <c r="AT552" s="5"/>
      <c r="AU552" s="5"/>
      <c r="AV552" s="5"/>
      <c r="AW552" s="5"/>
      <c r="AX552" s="5"/>
      <c r="AY552" s="5"/>
    </row>
    <row r="553" spans="1:51" x14ac:dyDescent="0.25">
      <c r="A5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53" s="5">
        <f ca="1">IFERROR(__xludf.DUMMYFUNCTION("""COMPUTED_VALUE"""),587)</f>
        <v>587</v>
      </c>
      <c r="C553" s="5">
        <f ca="1">IFERROR(__xludf.DUMMYFUNCTION("""COMPUTED_VALUE"""),3000005)</f>
        <v>3000005</v>
      </c>
      <c r="D553" s="5" t="str">
        <f ca="1">IFERROR(__xludf.DUMMYFUNCTION("""COMPUTED_VALUE"""),"sugar-luck")</f>
        <v>sugar-luck</v>
      </c>
      <c r="E553" s="5" t="str">
        <f ca="1">IFERROR(__xludf.DUMMYFUNCTION("""COMPUTED_VALUE"""),"Yes")</f>
        <v>Yes</v>
      </c>
      <c r="F553" s="5" t="str">
        <f ca="1">IFERROR(__xludf.DUMMYFUNCTION("""COMPUTED_VALUE"""),"Yes")</f>
        <v>Yes</v>
      </c>
      <c r="G553" s="5" t="str">
        <f ca="1">IFERROR(__xludf.DUMMYFUNCTION("""COMPUTED_VALUE"""),"Yes")</f>
        <v>Yes</v>
      </c>
      <c r="H553" s="5" t="str">
        <f ca="1">IFERROR(__xludf.DUMMYFUNCTION("""COMPUTED_VALUE"""),"Yes")</f>
        <v>Yes</v>
      </c>
      <c r="I553" s="5" t="str">
        <f ca="1">IFERROR(__xludf.DUMMYFUNCTION("""COMPUTED_VALUE"""),"Yes")</f>
        <v>Yes</v>
      </c>
      <c r="J553" s="5" t="str">
        <f ca="1">IFERROR(__xludf.DUMMYFUNCTION("""COMPUTED_VALUE"""),"Yes")</f>
        <v>Yes</v>
      </c>
      <c r="K553" s="5" t="str">
        <f ca="1">IFERROR(__xludf.DUMMYFUNCTION("""COMPUTED_VALUE"""),"Yes")</f>
        <v>Yes</v>
      </c>
      <c r="L553" s="5" t="str">
        <f ca="1">IFERROR(__xludf.DUMMYFUNCTION("""COMPUTED_VALUE"""),"Yes")</f>
        <v>Yes</v>
      </c>
      <c r="M553" s="5" t="str">
        <f ca="1">IFERROR(__xludf.DUMMYFUNCTION("""COMPUTED_VALUE"""),"Yes")</f>
        <v>Yes</v>
      </c>
      <c r="N553" s="5" t="str">
        <f ca="1">IFERROR(__xludf.DUMMYFUNCTION("""COMPUTED_VALUE"""),"Yes")</f>
        <v>Yes</v>
      </c>
      <c r="O553" s="5" t="str">
        <f ca="1">IFERROR(__xludf.DUMMYFUNCTION("""COMPUTED_VALUE"""),"Yes")</f>
        <v>Yes</v>
      </c>
      <c r="P553" s="5" t="str">
        <f ca="1">IFERROR(__xludf.DUMMYFUNCTION("""COMPUTED_VALUE"""),"Yes")</f>
        <v>Yes</v>
      </c>
      <c r="Q553" s="5" t="str">
        <f ca="1">IFERROR(__xludf.DUMMYFUNCTION("""COMPUTED_VALUE"""),"Yes")</f>
        <v>Yes</v>
      </c>
      <c r="R553" s="5" t="str">
        <f ca="1">IFERROR(__xludf.DUMMYFUNCTION("""COMPUTED_VALUE"""),"Yes")</f>
        <v>Yes</v>
      </c>
      <c r="S553" s="5" t="str">
        <f ca="1">IFERROR(__xludf.DUMMYFUNCTION("""COMPUTED_VALUE"""),"Yes")</f>
        <v>Yes</v>
      </c>
      <c r="T553" s="5" t="str">
        <f ca="1">IFERROR(__xludf.DUMMYFUNCTION("""COMPUTED_VALUE"""),"Yes")</f>
        <v>Yes</v>
      </c>
      <c r="U553" s="5" t="str">
        <f ca="1">IFERROR(__xludf.DUMMYFUNCTION("""COMPUTED_VALUE"""),"Yes")</f>
        <v>Yes</v>
      </c>
      <c r="V553" s="5" t="str">
        <f ca="1">IFERROR(__xludf.DUMMYFUNCTION("""COMPUTED_VALUE"""),"Yes")</f>
        <v>Yes</v>
      </c>
      <c r="W553" s="5" t="str">
        <f ca="1">IFERROR(__xludf.DUMMYFUNCTION("""COMPUTED_VALUE"""),"Yes")</f>
        <v>Yes</v>
      </c>
      <c r="X553" s="5" t="str">
        <f ca="1">IFERROR(__xludf.DUMMYFUNCTION("""COMPUTED_VALUE"""),"Yes")</f>
        <v>Yes</v>
      </c>
      <c r="Y553" s="5" t="str">
        <f ca="1">IFERROR(__xludf.DUMMYFUNCTION("""COMPUTED_VALUE"""),"Yes")</f>
        <v>Yes</v>
      </c>
      <c r="Z553" s="5" t="str">
        <f ca="1">IFERROR(__xludf.DUMMYFUNCTION("""COMPUTED_VALUE"""),"Yes")</f>
        <v>Yes</v>
      </c>
      <c r="AA553" s="5" t="str">
        <f ca="1">IFERROR(__xludf.DUMMYFUNCTION("""COMPUTED_VALUE"""),"Yes")</f>
        <v>Yes</v>
      </c>
      <c r="AB553" s="5" t="str">
        <f ca="1">IFERROR(__xludf.DUMMYFUNCTION("""COMPUTED_VALUE"""),"Yes")</f>
        <v>Yes</v>
      </c>
      <c r="AC553" s="5" t="str">
        <f ca="1">IFERROR(__xludf.DUMMYFUNCTION("""COMPUTED_VALUE"""),"Yes")</f>
        <v>Yes</v>
      </c>
      <c r="AD553" s="5" t="str">
        <f ca="1">IFERROR(__xludf.DUMMYFUNCTION("""COMPUTED_VALUE"""),"Yes")</f>
        <v>Yes</v>
      </c>
      <c r="AE553" s="5" t="str">
        <f ca="1">IFERROR(__xludf.DUMMYFUNCTION("""COMPUTED_VALUE"""),"Yes")</f>
        <v>Yes</v>
      </c>
      <c r="AF553" s="5" t="str">
        <f ca="1">IFERROR(__xludf.DUMMYFUNCTION("""COMPUTED_VALUE"""),"Yes")</f>
        <v>Yes</v>
      </c>
      <c r="AG553" s="5" t="str">
        <f ca="1">IFERROR(__xludf.DUMMYFUNCTION("""COMPUTED_VALUE"""),"Yes")</f>
        <v>Yes</v>
      </c>
      <c r="AH553" s="5" t="str">
        <f ca="1">IFERROR(__xludf.DUMMYFUNCTION("""COMPUTED_VALUE"""),"Yes")</f>
        <v>Yes</v>
      </c>
      <c r="AI553" s="5" t="str">
        <f ca="1">IFERROR(__xludf.DUMMYFUNCTION("""COMPUTED_VALUE"""),"Yes")</f>
        <v>Yes</v>
      </c>
      <c r="AJ553" s="5" t="str">
        <f ca="1">IFERROR(__xludf.DUMMYFUNCTION("""COMPUTED_VALUE"""),"Yes")</f>
        <v>Yes</v>
      </c>
      <c r="AK553" s="5" t="str">
        <f ca="1">IFERROR(__xludf.DUMMYFUNCTION("""COMPUTED_VALUE"""),"Yes")</f>
        <v>Yes</v>
      </c>
      <c r="AL553" s="5"/>
      <c r="AM553" s="5"/>
      <c r="AN553" s="5"/>
      <c r="AO553" s="5"/>
      <c r="AP553" s="5"/>
      <c r="AQ553" s="5"/>
      <c r="AR553" s="5"/>
      <c r="AS553" s="5"/>
      <c r="AT553" s="5"/>
      <c r="AU553" s="5"/>
      <c r="AV553" s="5"/>
      <c r="AW553" s="5"/>
      <c r="AX553" s="5"/>
      <c r="AY553" s="5"/>
    </row>
    <row r="554" spans="1:51" x14ac:dyDescent="0.25">
      <c r="A554" s="5" t="str">
        <f ca="1">IFERROR(__xludf.DUMMYFUNCTION("""COMPUTED_VALUE"""),"")</f>
        <v/>
      </c>
      <c r="B554" s="5">
        <f ca="1">IFERROR(__xludf.DUMMYFUNCTION("""COMPUTED_VALUE"""),588)</f>
        <v>588</v>
      </c>
      <c r="C554" s="5">
        <f ca="1">IFERROR(__xludf.DUMMYFUNCTION("""COMPUTED_VALUE"""),3000006)</f>
        <v>3000006</v>
      </c>
      <c r="D554" s="5" t="str">
        <f ca="1">IFERROR(__xludf.DUMMYFUNCTION("""COMPUTED_VALUE"""),"fruity-luck")</f>
        <v>fruity-luck</v>
      </c>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row>
    <row r="555" spans="1:51" x14ac:dyDescent="0.25">
      <c r="A5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5" s="5">
        <f ca="1">IFERROR(__xludf.DUMMYFUNCTION("""COMPUTED_VALUE"""),589)</f>
        <v>589</v>
      </c>
      <c r="C555" s="5">
        <f ca="1">IFERROR(__xludf.DUMMYFUNCTION("""COMPUTED_VALUE"""),4020)</f>
        <v>4020</v>
      </c>
      <c r="D555" s="5" t="str">
        <f ca="1">IFERROR(__xludf.DUMMYFUNCTION("""COMPUTED_VALUE"""),"BongoBongoHot40")</f>
        <v>BongoBongoHot40</v>
      </c>
      <c r="E555" s="5" t="str">
        <f ca="1">IFERROR(__xludf.DUMMYFUNCTION("""COMPUTED_VALUE"""),"Yes")</f>
        <v>Yes</v>
      </c>
      <c r="F555" s="5" t="str">
        <f ca="1">IFERROR(__xludf.DUMMYFUNCTION("""COMPUTED_VALUE"""),"Yes")</f>
        <v>Yes</v>
      </c>
      <c r="G555" s="5" t="str">
        <f ca="1">IFERROR(__xludf.DUMMYFUNCTION("""COMPUTED_VALUE"""),"Yes")</f>
        <v>Yes</v>
      </c>
      <c r="H555" s="5" t="str">
        <f ca="1">IFERROR(__xludf.DUMMYFUNCTION("""COMPUTED_VALUE"""),"Yes")</f>
        <v>Yes</v>
      </c>
      <c r="I555" s="5" t="str">
        <f ca="1">IFERROR(__xludf.DUMMYFUNCTION("""COMPUTED_VALUE"""),"Yes")</f>
        <v>Yes</v>
      </c>
      <c r="J555" s="5" t="str">
        <f ca="1">IFERROR(__xludf.DUMMYFUNCTION("""COMPUTED_VALUE"""),"Yes")</f>
        <v>Yes</v>
      </c>
      <c r="K555" s="5" t="str">
        <f ca="1">IFERROR(__xludf.DUMMYFUNCTION("""COMPUTED_VALUE"""),"Yes")</f>
        <v>Yes</v>
      </c>
      <c r="L555" s="5" t="str">
        <f ca="1">IFERROR(__xludf.DUMMYFUNCTION("""COMPUTED_VALUE"""),"Yes")</f>
        <v>Yes</v>
      </c>
      <c r="M555" s="5" t="str">
        <f ca="1">IFERROR(__xludf.DUMMYFUNCTION("""COMPUTED_VALUE"""),"Yes")</f>
        <v>Yes</v>
      </c>
      <c r="N555" s="5" t="str">
        <f ca="1">IFERROR(__xludf.DUMMYFUNCTION("""COMPUTED_VALUE"""),"Yes")</f>
        <v>Yes</v>
      </c>
      <c r="O555" s="5" t="str">
        <f ca="1">IFERROR(__xludf.DUMMYFUNCTION("""COMPUTED_VALUE"""),"Yes")</f>
        <v>Yes</v>
      </c>
      <c r="P555" s="5" t="str">
        <f ca="1">IFERROR(__xludf.DUMMYFUNCTION("""COMPUTED_VALUE"""),"Yes")</f>
        <v>Yes</v>
      </c>
      <c r="Q555" s="5" t="str">
        <f ca="1">IFERROR(__xludf.DUMMYFUNCTION("""COMPUTED_VALUE"""),"Yes")</f>
        <v>Yes</v>
      </c>
      <c r="R555" s="5" t="str">
        <f ca="1">IFERROR(__xludf.DUMMYFUNCTION("""COMPUTED_VALUE"""),"Yes")</f>
        <v>Yes</v>
      </c>
      <c r="S555" s="5" t="str">
        <f ca="1">IFERROR(__xludf.DUMMYFUNCTION("""COMPUTED_VALUE"""),"Yes")</f>
        <v>Yes</v>
      </c>
      <c r="T555" s="5" t="str">
        <f ca="1">IFERROR(__xludf.DUMMYFUNCTION("""COMPUTED_VALUE"""),"Yes")</f>
        <v>Yes</v>
      </c>
      <c r="U555" s="5" t="str">
        <f ca="1">IFERROR(__xludf.DUMMYFUNCTION("""COMPUTED_VALUE"""),"Yes")</f>
        <v>Yes</v>
      </c>
      <c r="V555" s="5" t="str">
        <f ca="1">IFERROR(__xludf.DUMMYFUNCTION("""COMPUTED_VALUE"""),"Yes")</f>
        <v>Yes</v>
      </c>
      <c r="W555" s="5" t="str">
        <f ca="1">IFERROR(__xludf.DUMMYFUNCTION("""COMPUTED_VALUE"""),"Yes")</f>
        <v>Yes</v>
      </c>
      <c r="X555" s="5" t="str">
        <f ca="1">IFERROR(__xludf.DUMMYFUNCTION("""COMPUTED_VALUE"""),"Yes")</f>
        <v>Yes</v>
      </c>
      <c r="Y555" s="5" t="str">
        <f ca="1">IFERROR(__xludf.DUMMYFUNCTION("""COMPUTED_VALUE"""),"Yes")</f>
        <v>Yes</v>
      </c>
      <c r="Z555" s="5" t="str">
        <f ca="1">IFERROR(__xludf.DUMMYFUNCTION("""COMPUTED_VALUE"""),"No")</f>
        <v>No</v>
      </c>
      <c r="AA555" s="5" t="str">
        <f ca="1">IFERROR(__xludf.DUMMYFUNCTION("""COMPUTED_VALUE"""),"Yes")</f>
        <v>Yes</v>
      </c>
      <c r="AB555" s="5" t="str">
        <f ca="1">IFERROR(__xludf.DUMMYFUNCTION("""COMPUTED_VALUE"""),"Yes")</f>
        <v>Yes</v>
      </c>
      <c r="AC555" s="5" t="str">
        <f ca="1">IFERROR(__xludf.DUMMYFUNCTION("""COMPUTED_VALUE"""),"Yes")</f>
        <v>Yes</v>
      </c>
      <c r="AD555" s="5" t="str">
        <f ca="1">IFERROR(__xludf.DUMMYFUNCTION("""COMPUTED_VALUE"""),"Yes")</f>
        <v>Yes</v>
      </c>
      <c r="AE555" s="5" t="str">
        <f ca="1">IFERROR(__xludf.DUMMYFUNCTION("""COMPUTED_VALUE"""),"No")</f>
        <v>No</v>
      </c>
      <c r="AF555" s="5" t="str">
        <f ca="1">IFERROR(__xludf.DUMMYFUNCTION("""COMPUTED_VALUE"""),"Yes")</f>
        <v>Yes</v>
      </c>
      <c r="AG555" s="5" t="str">
        <f ca="1">IFERROR(__xludf.DUMMYFUNCTION("""COMPUTED_VALUE"""),"No")</f>
        <v>No</v>
      </c>
      <c r="AH555" s="5" t="str">
        <f ca="1">IFERROR(__xludf.DUMMYFUNCTION("""COMPUTED_VALUE"""),"No")</f>
        <v>No</v>
      </c>
      <c r="AI555" s="5" t="str">
        <f ca="1">IFERROR(__xludf.DUMMYFUNCTION("""COMPUTED_VALUE"""),"No")</f>
        <v>No</v>
      </c>
      <c r="AJ555" s="5" t="str">
        <f ca="1">IFERROR(__xludf.DUMMYFUNCTION("""COMPUTED_VALUE"""),"No")</f>
        <v>No</v>
      </c>
      <c r="AK555" s="5" t="str">
        <f ca="1">IFERROR(__xludf.DUMMYFUNCTION("""COMPUTED_VALUE"""),"No")</f>
        <v>No</v>
      </c>
      <c r="AL555" s="5" t="str">
        <f ca="1">IFERROR(__xludf.DUMMYFUNCTION("""COMPUTED_VALUE"""),"No")</f>
        <v>No</v>
      </c>
      <c r="AM555" s="5"/>
      <c r="AN555" s="5"/>
      <c r="AO555" s="5"/>
      <c r="AP555" s="5"/>
      <c r="AQ555" s="5"/>
      <c r="AR555" s="5"/>
      <c r="AS555" s="5"/>
      <c r="AT555" s="5"/>
      <c r="AU555" s="5"/>
      <c r="AV555" s="5"/>
      <c r="AW555" s="5"/>
      <c r="AX555" s="5"/>
      <c r="AY555" s="5"/>
    </row>
    <row r="556" spans="1:51" x14ac:dyDescent="0.25">
      <c r="A5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6" s="5">
        <f ca="1">IFERROR(__xludf.DUMMYFUNCTION("""COMPUTED_VALUE"""),590)</f>
        <v>590</v>
      </c>
      <c r="C556" s="5">
        <f ca="1">IFERROR(__xludf.DUMMYFUNCTION("""COMPUTED_VALUE"""),4018)</f>
        <v>4018</v>
      </c>
      <c r="D556" s="5" t="str">
        <f ca="1">IFERROR(__xludf.DUMMYFUNCTION("""COMPUTED_VALUE"""),"BetArabiaFreeSpins")</f>
        <v>BetArabiaFreeSpins</v>
      </c>
      <c r="E556" s="5" t="str">
        <f ca="1">IFERROR(__xludf.DUMMYFUNCTION("""COMPUTED_VALUE"""),"Yes")</f>
        <v>Yes</v>
      </c>
      <c r="F556" s="5" t="str">
        <f ca="1">IFERROR(__xludf.DUMMYFUNCTION("""COMPUTED_VALUE"""),"Yes")</f>
        <v>Yes</v>
      </c>
      <c r="G556" s="5" t="str">
        <f ca="1">IFERROR(__xludf.DUMMYFUNCTION("""COMPUTED_VALUE"""),"Yes")</f>
        <v>Yes</v>
      </c>
      <c r="H556" s="5" t="str">
        <f ca="1">IFERROR(__xludf.DUMMYFUNCTION("""COMPUTED_VALUE"""),"Yes")</f>
        <v>Yes</v>
      </c>
      <c r="I556" s="5" t="str">
        <f ca="1">IFERROR(__xludf.DUMMYFUNCTION("""COMPUTED_VALUE"""),"Yes")</f>
        <v>Yes</v>
      </c>
      <c r="J556" s="5" t="str">
        <f ca="1">IFERROR(__xludf.DUMMYFUNCTION("""COMPUTED_VALUE"""),"Yes")</f>
        <v>Yes</v>
      </c>
      <c r="K556" s="5" t="str">
        <f ca="1">IFERROR(__xludf.DUMMYFUNCTION("""COMPUTED_VALUE"""),"Yes")</f>
        <v>Yes</v>
      </c>
      <c r="L556" s="5" t="str">
        <f ca="1">IFERROR(__xludf.DUMMYFUNCTION("""COMPUTED_VALUE"""),"Yes")</f>
        <v>Yes</v>
      </c>
      <c r="M556" s="5" t="str">
        <f ca="1">IFERROR(__xludf.DUMMYFUNCTION("""COMPUTED_VALUE"""),"Yes")</f>
        <v>Yes</v>
      </c>
      <c r="N556" s="5" t="str">
        <f ca="1">IFERROR(__xludf.DUMMYFUNCTION("""COMPUTED_VALUE"""),"Yes")</f>
        <v>Yes</v>
      </c>
      <c r="O556" s="5" t="str">
        <f ca="1">IFERROR(__xludf.DUMMYFUNCTION("""COMPUTED_VALUE"""),"Yes")</f>
        <v>Yes</v>
      </c>
      <c r="P556" s="5" t="str">
        <f ca="1">IFERROR(__xludf.DUMMYFUNCTION("""COMPUTED_VALUE"""),"Yes")</f>
        <v>Yes</v>
      </c>
      <c r="Q556" s="5" t="str">
        <f ca="1">IFERROR(__xludf.DUMMYFUNCTION("""COMPUTED_VALUE"""),"Yes")</f>
        <v>Yes</v>
      </c>
      <c r="R556" s="5" t="str">
        <f ca="1">IFERROR(__xludf.DUMMYFUNCTION("""COMPUTED_VALUE"""),"Yes")</f>
        <v>Yes</v>
      </c>
      <c r="S556" s="5" t="str">
        <f ca="1">IFERROR(__xludf.DUMMYFUNCTION("""COMPUTED_VALUE"""),"Yes")</f>
        <v>Yes</v>
      </c>
      <c r="T556" s="5" t="str">
        <f ca="1">IFERROR(__xludf.DUMMYFUNCTION("""COMPUTED_VALUE"""),"Yes")</f>
        <v>Yes</v>
      </c>
      <c r="U556" s="5" t="str">
        <f ca="1">IFERROR(__xludf.DUMMYFUNCTION("""COMPUTED_VALUE"""),"Yes")</f>
        <v>Yes</v>
      </c>
      <c r="V556" s="5" t="str">
        <f ca="1">IFERROR(__xludf.DUMMYFUNCTION("""COMPUTED_VALUE"""),"Yes")</f>
        <v>Yes</v>
      </c>
      <c r="W556" s="5" t="str">
        <f ca="1">IFERROR(__xludf.DUMMYFUNCTION("""COMPUTED_VALUE"""),"Yes")</f>
        <v>Yes</v>
      </c>
      <c r="X556" s="5" t="str">
        <f ca="1">IFERROR(__xludf.DUMMYFUNCTION("""COMPUTED_VALUE"""),"Yes")</f>
        <v>Yes</v>
      </c>
      <c r="Y556" s="5" t="str">
        <f ca="1">IFERROR(__xludf.DUMMYFUNCTION("""COMPUTED_VALUE"""),"Yes")</f>
        <v>Yes</v>
      </c>
      <c r="Z556" s="5" t="str">
        <f ca="1">IFERROR(__xludf.DUMMYFUNCTION("""COMPUTED_VALUE"""),"No")</f>
        <v>No</v>
      </c>
      <c r="AA556" s="5" t="str">
        <f ca="1">IFERROR(__xludf.DUMMYFUNCTION("""COMPUTED_VALUE"""),"Yes")</f>
        <v>Yes</v>
      </c>
      <c r="AB556" s="5" t="str">
        <f ca="1">IFERROR(__xludf.DUMMYFUNCTION("""COMPUTED_VALUE"""),"Yes")</f>
        <v>Yes</v>
      </c>
      <c r="AC556" s="5" t="str">
        <f ca="1">IFERROR(__xludf.DUMMYFUNCTION("""COMPUTED_VALUE"""),"Yes")</f>
        <v>Yes</v>
      </c>
      <c r="AD556" s="5" t="str">
        <f ca="1">IFERROR(__xludf.DUMMYFUNCTION("""COMPUTED_VALUE"""),"Yes")</f>
        <v>Yes</v>
      </c>
      <c r="AE556" s="5" t="str">
        <f ca="1">IFERROR(__xludf.DUMMYFUNCTION("""COMPUTED_VALUE"""),"No")</f>
        <v>No</v>
      </c>
      <c r="AF556" s="5" t="str">
        <f ca="1">IFERROR(__xludf.DUMMYFUNCTION("""COMPUTED_VALUE"""),"Yes")</f>
        <v>Yes</v>
      </c>
      <c r="AG556" s="5" t="str">
        <f ca="1">IFERROR(__xludf.DUMMYFUNCTION("""COMPUTED_VALUE"""),"No")</f>
        <v>No</v>
      </c>
      <c r="AH556" s="5" t="str">
        <f ca="1">IFERROR(__xludf.DUMMYFUNCTION("""COMPUTED_VALUE"""),"No")</f>
        <v>No</v>
      </c>
      <c r="AI556" s="5" t="str">
        <f ca="1">IFERROR(__xludf.DUMMYFUNCTION("""COMPUTED_VALUE"""),"No")</f>
        <v>No</v>
      </c>
      <c r="AJ556" s="5" t="str">
        <f ca="1">IFERROR(__xludf.DUMMYFUNCTION("""COMPUTED_VALUE"""),"No")</f>
        <v>No</v>
      </c>
      <c r="AK556" s="5" t="str">
        <f ca="1">IFERROR(__xludf.DUMMYFUNCTION("""COMPUTED_VALUE"""),"No")</f>
        <v>No</v>
      </c>
      <c r="AL556" s="5" t="str">
        <f ca="1">IFERROR(__xludf.DUMMYFUNCTION("""COMPUTED_VALUE"""),"No")</f>
        <v>No</v>
      </c>
      <c r="AM556" s="5"/>
      <c r="AN556" s="5"/>
      <c r="AO556" s="5"/>
      <c r="AP556" s="5"/>
      <c r="AQ556" s="5"/>
      <c r="AR556" s="5"/>
      <c r="AS556" s="5"/>
      <c r="AT556" s="5"/>
      <c r="AU556" s="5"/>
      <c r="AV556" s="5"/>
      <c r="AW556" s="5"/>
      <c r="AX556" s="5"/>
      <c r="AY556" s="5"/>
    </row>
    <row r="557" spans="1:51" x14ac:dyDescent="0.25">
      <c r="A557" s="5" t="str">
        <f ca="1">IFERROR(__xludf.DUMMYFUNCTION("""COMPUTED_VALUE"""),"English(""eng"")")</f>
        <v>English("eng")</v>
      </c>
      <c r="B557" s="5">
        <f ca="1">IFERROR(__xludf.DUMMYFUNCTION("""COMPUTED_VALUE"""),591)</f>
        <v>591</v>
      </c>
      <c r="C557" s="5">
        <f ca="1">IFERROR(__xludf.DUMMYFUNCTION("""COMPUTED_VALUE"""),3000000)</f>
        <v>3000000</v>
      </c>
      <c r="D557" s="5" t="str">
        <f ca="1">IFERROR(__xludf.DUMMYFUNCTION("""COMPUTED_VALUE"""),"UnicornSuperHighRunner")</f>
        <v>UnicornSuperHighRunner</v>
      </c>
      <c r="E557" s="5" t="str">
        <f ca="1">IFERROR(__xludf.DUMMYFUNCTION("""COMPUTED_VALUE"""),"Yes")</f>
        <v>Yes</v>
      </c>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row>
    <row r="558" spans="1:51" x14ac:dyDescent="0.25">
      <c r="A558" s="5" t="str">
        <f ca="1">IFERROR(__xludf.DUMMYFUNCTION("""COMPUTED_VALUE"""),"English(""eng""), Serbian(""""srp"",""srb""""), Bulgarian(""bul""), Spanish(""spa""), Portuguese(""por""), Italian(""ita""), Romanian(""rum/ron""), Croatian(""hrv""), French(""fre/fra""), German(""ger/deu""), Dutch(""dut/nld""), Turkish(""tur""), Greek("""&amp;"gre/ell""), Ukrainian(""ukr""), Chinese(""zho/chi"")")</f>
        <v>English("eng"), Serbian(""srp","srb""), Bulgarian("bul"), Spanish("spa"), Portuguese("por"), Italian("ita"), Romanian("rum/ron"), Croatian("hrv"), French("fre/fra"), German("ger/deu"), Dutch("dut/nld"), Turkish("tur"), Greek("gre/ell"), Ukrainian("ukr"), Chinese("zho/chi")</v>
      </c>
      <c r="B558" s="5">
        <f ca="1">IFERROR(__xludf.DUMMYFUNCTION("""COMPUTED_VALUE"""),592)</f>
        <v>592</v>
      </c>
      <c r="C558" s="5">
        <f ca="1">IFERROR(__xludf.DUMMYFUNCTION("""COMPUTED_VALUE"""),511)</f>
        <v>511</v>
      </c>
      <c r="D558" s="5" t="str">
        <f ca="1">IFERROR(__xludf.DUMMYFUNCTION("""COMPUTED_VALUE"""),"PlayNetBrewmastersBank")</f>
        <v>PlayNetBrewmastersBank</v>
      </c>
      <c r="E558" s="5" t="str">
        <f ca="1">IFERROR(__xludf.DUMMYFUNCTION("""COMPUTED_VALUE"""),"Yes")</f>
        <v>Yes</v>
      </c>
      <c r="F558" s="5" t="str">
        <f ca="1">IFERROR(__xludf.DUMMYFUNCTION("""COMPUTED_VALUE"""),"Yes")</f>
        <v>Yes</v>
      </c>
      <c r="G558" s="5"/>
      <c r="H558" s="5" t="str">
        <f ca="1">IFERROR(__xludf.DUMMYFUNCTION("""COMPUTED_VALUE"""),"Yes")</f>
        <v>Yes</v>
      </c>
      <c r="I558" s="5" t="str">
        <f ca="1">IFERROR(__xludf.DUMMYFUNCTION("""COMPUTED_VALUE"""),"Yes")</f>
        <v>Yes</v>
      </c>
      <c r="J558" s="5" t="str">
        <f ca="1">IFERROR(__xludf.DUMMYFUNCTION("""COMPUTED_VALUE"""),"Yes")</f>
        <v>Yes</v>
      </c>
      <c r="K558" s="5" t="str">
        <f ca="1">IFERROR(__xludf.DUMMYFUNCTION("""COMPUTED_VALUE"""),"Yes")</f>
        <v>Yes</v>
      </c>
      <c r="L558" s="5" t="str">
        <f ca="1">IFERROR(__xludf.DUMMYFUNCTION("""COMPUTED_VALUE"""),"Yes")</f>
        <v>Yes</v>
      </c>
      <c r="M558" s="5" t="str">
        <f ca="1">IFERROR(__xludf.DUMMYFUNCTION("""COMPUTED_VALUE"""),"Yes")</f>
        <v>Yes</v>
      </c>
      <c r="N558" s="5" t="str">
        <f ca="1">IFERROR(__xludf.DUMMYFUNCTION("""COMPUTED_VALUE"""),"Yes")</f>
        <v>Yes</v>
      </c>
      <c r="O558" s="5" t="str">
        <f ca="1">IFERROR(__xludf.DUMMYFUNCTION("""COMPUTED_VALUE"""),"Yes")</f>
        <v>Yes</v>
      </c>
      <c r="P558" s="5" t="str">
        <f ca="1">IFERROR(__xludf.DUMMYFUNCTION("""COMPUTED_VALUE"""),"Yes")</f>
        <v>Yes</v>
      </c>
      <c r="Q558" s="5" t="str">
        <f ca="1">IFERROR(__xludf.DUMMYFUNCTION("""COMPUTED_VALUE"""),"Yes")</f>
        <v>Yes</v>
      </c>
      <c r="R558" s="5" t="str">
        <f ca="1">IFERROR(__xludf.DUMMYFUNCTION("""COMPUTED_VALUE"""),"Yes")</f>
        <v>Yes</v>
      </c>
      <c r="S558" s="5"/>
      <c r="T558" s="5"/>
      <c r="U558" s="5"/>
      <c r="V558" s="5"/>
      <c r="W558" s="5"/>
      <c r="X558" s="5"/>
      <c r="Y558" s="5"/>
      <c r="Z558" s="5"/>
      <c r="AA558" s="5"/>
      <c r="AB558" s="5"/>
      <c r="AC558" s="5"/>
      <c r="AD558" s="5"/>
      <c r="AE558" s="5"/>
      <c r="AF558" s="5" t="str">
        <f ca="1">IFERROR(__xludf.DUMMYFUNCTION("""COMPUTED_VALUE"""),"Yes")</f>
        <v>Yes</v>
      </c>
      <c r="AG558" s="5"/>
      <c r="AH558" s="5" t="str">
        <f ca="1">IFERROR(__xludf.DUMMYFUNCTION("""COMPUTED_VALUE"""),"Yes")</f>
        <v>Yes</v>
      </c>
      <c r="AI558" s="5"/>
      <c r="AJ558" s="5"/>
      <c r="AK558" s="5"/>
      <c r="AL558" s="5"/>
      <c r="AM558" s="5"/>
      <c r="AN558" s="5"/>
      <c r="AO558" s="5"/>
      <c r="AP558" s="5"/>
      <c r="AQ558" s="5"/>
      <c r="AR558" s="5"/>
      <c r="AS558" s="5"/>
      <c r="AT558" s="5"/>
      <c r="AU558" s="5"/>
      <c r="AV558" s="5"/>
      <c r="AW558" s="5"/>
      <c r="AX558" s="5"/>
      <c r="AY558" s="5"/>
    </row>
    <row r="559" spans="1:51" x14ac:dyDescent="0.25">
      <c r="A559" s="5" t="str">
        <f ca="1">IFERROR(__xludf.DUMMYFUNCTION("""COMPUTED_VALUE"""),"Social English(""sen"")")</f>
        <v>Social English("sen")</v>
      </c>
      <c r="B559" s="5">
        <f ca="1">IFERROR(__xludf.DUMMYFUNCTION("""COMPUTED_VALUE"""),593)</f>
        <v>593</v>
      </c>
      <c r="C559" s="5">
        <f ca="1">IFERROR(__xludf.DUMMYFUNCTION("""COMPUTED_VALUE"""),512)</f>
        <v>512</v>
      </c>
      <c r="D559" s="5" t="str">
        <f ca="1">IFERROR(__xludf.DUMMYFUNCTION("""COMPUTED_VALUE"""),"UnicornBigSpinDice")</f>
        <v>UnicornBigSpinDice</v>
      </c>
      <c r="E559" s="5"/>
      <c r="F559" s="5"/>
      <c r="G559" s="5"/>
      <c r="H559" s="5"/>
      <c r="I559" s="5"/>
      <c r="J559" s="5"/>
      <c r="K559" s="5"/>
      <c r="L559" s="5"/>
      <c r="M559" s="5"/>
      <c r="N559" s="5"/>
      <c r="O559" s="5"/>
      <c r="P559" s="5"/>
      <c r="Q559" s="5"/>
      <c r="R559" s="5"/>
      <c r="S559" s="5"/>
      <c r="T559" s="5"/>
      <c r="U559" s="5"/>
      <c r="V559" s="5"/>
      <c r="W559" s="5"/>
      <c r="X559" s="5"/>
      <c r="Y559" s="5" t="str">
        <f ca="1">IFERROR(__xludf.DUMMYFUNCTION("""COMPUTED_VALUE"""),"Yes")</f>
        <v>Yes</v>
      </c>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row>
    <row r="560" spans="1:51" x14ac:dyDescent="0.25">
      <c r="A56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0" s="5">
        <f ca="1">IFERROR(__xludf.DUMMYFUNCTION("""COMPUTED_VALUE"""),594)</f>
        <v>594</v>
      </c>
      <c r="C560" s="5">
        <f ca="1">IFERROR(__xludf.DUMMYFUNCTION("""COMPUTED_VALUE"""),513)</f>
        <v>513</v>
      </c>
      <c r="D560" s="5" t="str">
        <f ca="1">IFERROR(__xludf.DUMMYFUNCTION("""COMPUTED_VALUE"""),"UnicornFruitIslandDice")</f>
        <v>UnicornFruitIslandDice</v>
      </c>
      <c r="E560" s="5" t="str">
        <f ca="1">IFERROR(__xludf.DUMMYFUNCTION("""COMPUTED_VALUE"""),"Yes")</f>
        <v>Yes</v>
      </c>
      <c r="F560" s="5" t="str">
        <f ca="1">IFERROR(__xludf.DUMMYFUNCTION("""COMPUTED_VALUE"""),"Yes")</f>
        <v>Yes</v>
      </c>
      <c r="G560" s="5" t="str">
        <f ca="1">IFERROR(__xludf.DUMMYFUNCTION("""COMPUTED_VALUE"""),"Yes")</f>
        <v>Yes</v>
      </c>
      <c r="H560" s="5"/>
      <c r="I560" s="5"/>
      <c r="J560" s="5"/>
      <c r="K560" s="5"/>
      <c r="L560" s="5"/>
      <c r="M560" s="5" t="str">
        <f ca="1">IFERROR(__xludf.DUMMYFUNCTION("""COMPUTED_VALUE"""),"Yes")</f>
        <v>Yes</v>
      </c>
      <c r="N560" s="5" t="str">
        <f ca="1">IFERROR(__xludf.DUMMYFUNCTION("""COMPUTED_VALUE"""),"Yes")</f>
        <v>Yes</v>
      </c>
      <c r="O560" s="5" t="str">
        <f ca="1">IFERROR(__xludf.DUMMYFUNCTION("""COMPUTED_VALUE"""),"Yes")</f>
        <v>Yes</v>
      </c>
      <c r="P560" s="5" t="str">
        <f ca="1">IFERROR(__xludf.DUMMYFUNCTION("""COMPUTED_VALUE"""),"Yes")</f>
        <v>Yes</v>
      </c>
      <c r="Q560" s="5" t="str">
        <f ca="1">IFERROR(__xludf.DUMMYFUNCTION("""COMPUTED_VALUE"""),"Yes")</f>
        <v>Yes</v>
      </c>
      <c r="R560" s="5"/>
      <c r="S560" s="5" t="str">
        <f ca="1">IFERROR(__xludf.DUMMYFUNCTION("""COMPUTED_VALUE"""),"Yes")</f>
        <v>Yes</v>
      </c>
      <c r="T560" s="5"/>
      <c r="U560" s="5"/>
      <c r="V560" s="5"/>
      <c r="W560" s="5"/>
      <c r="X560" s="5"/>
      <c r="Y560" s="5"/>
      <c r="Z560" s="5"/>
      <c r="AA560" s="5" t="str">
        <f ca="1">IFERROR(__xludf.DUMMYFUNCTION("""COMPUTED_VALUE"""),"Yes")</f>
        <v>Yes</v>
      </c>
      <c r="AB560" s="5"/>
      <c r="AC560" s="5"/>
      <c r="AD560" s="5"/>
      <c r="AE560" s="5"/>
      <c r="AF560" s="5" t="str">
        <f ca="1">IFERROR(__xludf.DUMMYFUNCTION("""COMPUTED_VALUE"""),"Yes")</f>
        <v>Yes</v>
      </c>
      <c r="AG560" s="5"/>
      <c r="AH560" s="5"/>
      <c r="AI560" s="5"/>
      <c r="AJ560" s="5"/>
      <c r="AK560" s="5"/>
      <c r="AL560" s="5" t="str">
        <f ca="1">IFERROR(__xludf.DUMMYFUNCTION("""COMPUTED_VALUE"""),"Yes")</f>
        <v>Yes</v>
      </c>
      <c r="AM560" s="5"/>
      <c r="AN560" s="5"/>
      <c r="AO560" s="5"/>
      <c r="AP560" s="5"/>
      <c r="AQ560" s="5"/>
      <c r="AR560" s="5"/>
      <c r="AS560" s="5"/>
      <c r="AT560" s="5"/>
      <c r="AU560" s="5"/>
      <c r="AV560" s="5"/>
      <c r="AW560" s="5"/>
      <c r="AX560" s="5"/>
      <c r="AY560" s="5"/>
    </row>
    <row r="561" spans="1:51" x14ac:dyDescent="0.25">
      <c r="A561" s="5" t="str">
        <f ca="1">IFERROR(__xludf.DUMMYFUNCTION("""COMPUTED_VALUE"""),"English(""eng"")")</f>
        <v>English("eng")</v>
      </c>
      <c r="B561" s="5">
        <f ca="1">IFERROR(__xludf.DUMMYFUNCTION("""COMPUTED_VALUE"""),595)</f>
        <v>595</v>
      </c>
      <c r="C561" s="5">
        <f ca="1">IFERROR(__xludf.DUMMYFUNCTION("""COMPUTED_VALUE"""),515)</f>
        <v>515</v>
      </c>
      <c r="D561" s="5" t="str">
        <f ca="1">IFERROR(__xludf.DUMMYFUNCTION("""COMPUTED_VALUE"""),"UnicornStormDice")</f>
        <v>UnicornStormDice</v>
      </c>
      <c r="E561" s="5" t="str">
        <f ca="1">IFERROR(__xludf.DUMMYFUNCTION("""COMPUTED_VALUE"""),"Yes")</f>
        <v>Yes</v>
      </c>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row>
    <row r="562" spans="1:51" x14ac:dyDescent="0.25">
      <c r="A56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2" s="5">
        <f ca="1">IFERROR(__xludf.DUMMYFUNCTION("""COMPUTED_VALUE"""),596)</f>
        <v>596</v>
      </c>
      <c r="C562" s="5">
        <f ca="1">IFERROR(__xludf.DUMMYFUNCTION("""COMPUTED_VALUE"""),519)</f>
        <v>519</v>
      </c>
      <c r="D562" s="5" t="str">
        <f ca="1">IFERROR(__xludf.DUMMYFUNCTION("""COMPUTED_VALUE"""),"UnicornSantasRudolf")</f>
        <v>UnicornSantasRudolf</v>
      </c>
      <c r="E562" s="5" t="str">
        <f ca="1">IFERROR(__xludf.DUMMYFUNCTION("""COMPUTED_VALUE"""),"Yes")</f>
        <v>Yes</v>
      </c>
      <c r="F562" s="5" t="str">
        <f ca="1">IFERROR(__xludf.DUMMYFUNCTION("""COMPUTED_VALUE"""),"Yes")</f>
        <v>Yes</v>
      </c>
      <c r="G562" s="5" t="str">
        <f ca="1">IFERROR(__xludf.DUMMYFUNCTION("""COMPUTED_VALUE"""),"Yes")</f>
        <v>Yes</v>
      </c>
      <c r="H562" s="5"/>
      <c r="I562" s="5"/>
      <c r="J562" s="5"/>
      <c r="K562" s="5"/>
      <c r="L562" s="5"/>
      <c r="M562" s="5" t="str">
        <f ca="1">IFERROR(__xludf.DUMMYFUNCTION("""COMPUTED_VALUE"""),"Yes")</f>
        <v>Yes</v>
      </c>
      <c r="N562" s="5" t="str">
        <f ca="1">IFERROR(__xludf.DUMMYFUNCTION("""COMPUTED_VALUE"""),"Yes")</f>
        <v>Yes</v>
      </c>
      <c r="O562" s="5" t="str">
        <f ca="1">IFERROR(__xludf.DUMMYFUNCTION("""COMPUTED_VALUE"""),"Yes")</f>
        <v>Yes</v>
      </c>
      <c r="P562" s="5" t="str">
        <f ca="1">IFERROR(__xludf.DUMMYFUNCTION("""COMPUTED_VALUE"""),"Yes")</f>
        <v>Yes</v>
      </c>
      <c r="Q562" s="5" t="str">
        <f ca="1">IFERROR(__xludf.DUMMYFUNCTION("""COMPUTED_VALUE"""),"Yes")</f>
        <v>Yes</v>
      </c>
      <c r="R562" s="5"/>
      <c r="S562" s="5" t="str">
        <f ca="1">IFERROR(__xludf.DUMMYFUNCTION("""COMPUTED_VALUE"""),"Yes")</f>
        <v>Yes</v>
      </c>
      <c r="T562" s="5"/>
      <c r="U562" s="5"/>
      <c r="V562" s="5"/>
      <c r="W562" s="5"/>
      <c r="X562" s="5"/>
      <c r="Y562" s="5"/>
      <c r="Z562" s="5"/>
      <c r="AA562" s="5" t="str">
        <f ca="1">IFERROR(__xludf.DUMMYFUNCTION("""COMPUTED_VALUE"""),"Yes")</f>
        <v>Yes</v>
      </c>
      <c r="AB562" s="5"/>
      <c r="AC562" s="5"/>
      <c r="AD562" s="5"/>
      <c r="AE562" s="5"/>
      <c r="AF562" s="5" t="str">
        <f ca="1">IFERROR(__xludf.DUMMYFUNCTION("""COMPUTED_VALUE"""),"Yes")</f>
        <v>Yes</v>
      </c>
      <c r="AG562" s="5"/>
      <c r="AH562" s="5"/>
      <c r="AI562" s="5"/>
      <c r="AJ562" s="5"/>
      <c r="AK562" s="5"/>
      <c r="AL562" s="5" t="str">
        <f ca="1">IFERROR(__xludf.DUMMYFUNCTION("""COMPUTED_VALUE"""),"Yes")</f>
        <v>Yes</v>
      </c>
      <c r="AM562" s="5"/>
      <c r="AN562" s="5"/>
      <c r="AO562" s="5"/>
      <c r="AP562" s="5"/>
      <c r="AQ562" s="5"/>
      <c r="AR562" s="5"/>
      <c r="AS562" s="5"/>
      <c r="AT562" s="5"/>
      <c r="AU562" s="5"/>
      <c r="AV562" s="5"/>
      <c r="AW562" s="5"/>
      <c r="AX562" s="5"/>
      <c r="AY562" s="5"/>
    </row>
    <row r="563" spans="1:51" x14ac:dyDescent="0.25">
      <c r="A56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3" s="5">
        <f ca="1">IFERROR(__xludf.DUMMYFUNCTION("""COMPUTED_VALUE"""),598)</f>
        <v>598</v>
      </c>
      <c r="C563" s="5">
        <f ca="1">IFERROR(__xludf.DUMMYFUNCTION("""COMPUTED_VALUE"""),520)</f>
        <v>520</v>
      </c>
      <c r="D563" s="5" t="str">
        <f ca="1">IFERROR(__xludf.DUMMYFUNCTION("""COMPUTED_VALUE"""),"UnicornGoldLineGems")</f>
        <v>UnicornGoldLineGems</v>
      </c>
      <c r="E563" s="5" t="str">
        <f ca="1">IFERROR(__xludf.DUMMYFUNCTION("""COMPUTED_VALUE"""),"Yes")</f>
        <v>Yes</v>
      </c>
      <c r="F563" s="5" t="str">
        <f ca="1">IFERROR(__xludf.DUMMYFUNCTION("""COMPUTED_VALUE"""),"Yes")</f>
        <v>Yes</v>
      </c>
      <c r="G563" s="5" t="str">
        <f ca="1">IFERROR(__xludf.DUMMYFUNCTION("""COMPUTED_VALUE"""),"Yes")</f>
        <v>Yes</v>
      </c>
      <c r="H563" s="5"/>
      <c r="I563" s="5"/>
      <c r="J563" s="5"/>
      <c r="K563" s="5"/>
      <c r="L563" s="5"/>
      <c r="M563" s="5" t="str">
        <f ca="1">IFERROR(__xludf.DUMMYFUNCTION("""COMPUTED_VALUE"""),"Yes")</f>
        <v>Yes</v>
      </c>
      <c r="N563" s="5" t="str">
        <f ca="1">IFERROR(__xludf.DUMMYFUNCTION("""COMPUTED_VALUE"""),"Yes")</f>
        <v>Yes</v>
      </c>
      <c r="O563" s="5" t="str">
        <f ca="1">IFERROR(__xludf.DUMMYFUNCTION("""COMPUTED_VALUE"""),"Yes")</f>
        <v>Yes</v>
      </c>
      <c r="P563" s="5" t="str">
        <f ca="1">IFERROR(__xludf.DUMMYFUNCTION("""COMPUTED_VALUE"""),"Yes")</f>
        <v>Yes</v>
      </c>
      <c r="Q563" s="5" t="str">
        <f ca="1">IFERROR(__xludf.DUMMYFUNCTION("""COMPUTED_VALUE"""),"Yes")</f>
        <v>Yes</v>
      </c>
      <c r="R563" s="5"/>
      <c r="S563" s="5" t="str">
        <f ca="1">IFERROR(__xludf.DUMMYFUNCTION("""COMPUTED_VALUE"""),"Yes")</f>
        <v>Yes</v>
      </c>
      <c r="T563" s="5"/>
      <c r="U563" s="5"/>
      <c r="V563" s="5"/>
      <c r="W563" s="5"/>
      <c r="X563" s="5"/>
      <c r="Y563" s="5"/>
      <c r="Z563" s="5"/>
      <c r="AA563" s="5" t="str">
        <f ca="1">IFERROR(__xludf.DUMMYFUNCTION("""COMPUTED_VALUE"""),"Yes")</f>
        <v>Yes</v>
      </c>
      <c r="AB563" s="5"/>
      <c r="AC563" s="5"/>
      <c r="AD563" s="5"/>
      <c r="AE563" s="5"/>
      <c r="AF563" s="5" t="str">
        <f ca="1">IFERROR(__xludf.DUMMYFUNCTION("""COMPUTED_VALUE"""),"Yes")</f>
        <v>Yes</v>
      </c>
      <c r="AG563" s="5"/>
      <c r="AH563" s="5"/>
      <c r="AI563" s="5"/>
      <c r="AJ563" s="5"/>
      <c r="AK563" s="5"/>
      <c r="AL563" s="5" t="str">
        <f ca="1">IFERROR(__xludf.DUMMYFUNCTION("""COMPUTED_VALUE"""),"Yes")</f>
        <v>Yes</v>
      </c>
      <c r="AM563" s="5"/>
      <c r="AN563" s="5"/>
      <c r="AO563" s="5"/>
      <c r="AP563" s="5"/>
      <c r="AQ563" s="5"/>
      <c r="AR563" s="5"/>
      <c r="AS563" s="5"/>
      <c r="AT563" s="5"/>
      <c r="AU563" s="5"/>
      <c r="AV563" s="5"/>
      <c r="AW563" s="5"/>
      <c r="AX563" s="5"/>
      <c r="AY563" s="5"/>
    </row>
    <row r="564" spans="1:51" x14ac:dyDescent="0.25">
      <c r="A56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4" s="5">
        <f ca="1">IFERROR(__xludf.DUMMYFUNCTION("""COMPUTED_VALUE"""),599)</f>
        <v>599</v>
      </c>
      <c r="C564" s="5">
        <f ca="1">IFERROR(__xludf.DUMMYFUNCTION("""COMPUTED_VALUE"""),521)</f>
        <v>521</v>
      </c>
      <c r="D564" s="5" t="str">
        <f ca="1">IFERROR(__xludf.DUMMYFUNCTION("""COMPUTED_VALUE"""),"UnicornChristmasPresents2025")</f>
        <v>UnicornChristmasPresents2025</v>
      </c>
      <c r="E564" s="5" t="str">
        <f ca="1">IFERROR(__xludf.DUMMYFUNCTION("""COMPUTED_VALUE"""),"Yes")</f>
        <v>Yes</v>
      </c>
      <c r="F564" s="5" t="str">
        <f ca="1">IFERROR(__xludf.DUMMYFUNCTION("""COMPUTED_VALUE"""),"Yes")</f>
        <v>Yes</v>
      </c>
      <c r="G564" s="5" t="str">
        <f ca="1">IFERROR(__xludf.DUMMYFUNCTION("""COMPUTED_VALUE"""),"Yes")</f>
        <v>Yes</v>
      </c>
      <c r="H564" s="5" t="str">
        <f ca="1">IFERROR(__xludf.DUMMYFUNCTION("""COMPUTED_VALUE"""),"No")</f>
        <v>No</v>
      </c>
      <c r="I564" s="5" t="str">
        <f ca="1">IFERROR(__xludf.DUMMYFUNCTION("""COMPUTED_VALUE"""),"No")</f>
        <v>No</v>
      </c>
      <c r="J564" s="5" t="str">
        <f ca="1">IFERROR(__xludf.DUMMYFUNCTION("""COMPUTED_VALUE"""),"No")</f>
        <v>No</v>
      </c>
      <c r="K564" s="5" t="str">
        <f ca="1">IFERROR(__xludf.DUMMYFUNCTION("""COMPUTED_VALUE"""),"No")</f>
        <v>No</v>
      </c>
      <c r="L564" s="5" t="str">
        <f ca="1">IFERROR(__xludf.DUMMYFUNCTION("""COMPUTED_VALUE"""),"No")</f>
        <v>No</v>
      </c>
      <c r="M564" s="5" t="str">
        <f ca="1">IFERROR(__xludf.DUMMYFUNCTION("""COMPUTED_VALUE"""),"Yes")</f>
        <v>Yes</v>
      </c>
      <c r="N564" s="5" t="str">
        <f ca="1">IFERROR(__xludf.DUMMYFUNCTION("""COMPUTED_VALUE"""),"Yes")</f>
        <v>Yes</v>
      </c>
      <c r="O564" s="5" t="str">
        <f ca="1">IFERROR(__xludf.DUMMYFUNCTION("""COMPUTED_VALUE"""),"Yes")</f>
        <v>Yes</v>
      </c>
      <c r="P564" s="5" t="str">
        <f ca="1">IFERROR(__xludf.DUMMYFUNCTION("""COMPUTED_VALUE"""),"Yes")</f>
        <v>Yes</v>
      </c>
      <c r="Q564" s="5" t="str">
        <f ca="1">IFERROR(__xludf.DUMMYFUNCTION("""COMPUTED_VALUE"""),"Yes")</f>
        <v>Yes</v>
      </c>
      <c r="R564" s="5" t="str">
        <f ca="1">IFERROR(__xludf.DUMMYFUNCTION("""COMPUTED_VALUE"""),"No")</f>
        <v>No</v>
      </c>
      <c r="S564" s="5" t="str">
        <f ca="1">IFERROR(__xludf.DUMMYFUNCTION("""COMPUTED_VALUE"""),"Yes")</f>
        <v>Yes</v>
      </c>
      <c r="T564" s="5" t="str">
        <f ca="1">IFERROR(__xludf.DUMMYFUNCTION("""COMPUTED_VALUE"""),"No")</f>
        <v>No</v>
      </c>
      <c r="U564" s="5" t="str">
        <f ca="1">IFERROR(__xludf.DUMMYFUNCTION("""COMPUTED_VALUE"""),"No")</f>
        <v>No</v>
      </c>
      <c r="V564" s="5" t="str">
        <f ca="1">IFERROR(__xludf.DUMMYFUNCTION("""COMPUTED_VALUE"""),"No")</f>
        <v>No</v>
      </c>
      <c r="W564" s="5" t="str">
        <f ca="1">IFERROR(__xludf.DUMMYFUNCTION("""COMPUTED_VALUE"""),"No")</f>
        <v>No</v>
      </c>
      <c r="X564" s="5" t="str">
        <f ca="1">IFERROR(__xludf.DUMMYFUNCTION("""COMPUTED_VALUE"""),"No")</f>
        <v>No</v>
      </c>
      <c r="Y564" s="5" t="str">
        <f ca="1">IFERROR(__xludf.DUMMYFUNCTION("""COMPUTED_VALUE"""),"No")</f>
        <v>No</v>
      </c>
      <c r="Z564" s="5" t="str">
        <f ca="1">IFERROR(__xludf.DUMMYFUNCTION("""COMPUTED_VALUE"""),"No")</f>
        <v>No</v>
      </c>
      <c r="AA564" s="5" t="str">
        <f ca="1">IFERROR(__xludf.DUMMYFUNCTION("""COMPUTED_VALUE"""),"Yes")</f>
        <v>Yes</v>
      </c>
      <c r="AB564" s="5" t="str">
        <f ca="1">IFERROR(__xludf.DUMMYFUNCTION("""COMPUTED_VALUE"""),"No")</f>
        <v>No</v>
      </c>
      <c r="AC564" s="5" t="str">
        <f ca="1">IFERROR(__xludf.DUMMYFUNCTION("""COMPUTED_VALUE"""),"No")</f>
        <v>No</v>
      </c>
      <c r="AD564" s="5" t="str">
        <f ca="1">IFERROR(__xludf.DUMMYFUNCTION("""COMPUTED_VALUE"""),"No")</f>
        <v>No</v>
      </c>
      <c r="AE564" s="5" t="str">
        <f ca="1">IFERROR(__xludf.DUMMYFUNCTION("""COMPUTED_VALUE"""),"No")</f>
        <v>No</v>
      </c>
      <c r="AF564" s="5" t="str">
        <f ca="1">IFERROR(__xludf.DUMMYFUNCTION("""COMPUTED_VALUE"""),"Yes")</f>
        <v>Yes</v>
      </c>
      <c r="AG564" s="5" t="str">
        <f ca="1">IFERROR(__xludf.DUMMYFUNCTION("""COMPUTED_VALUE"""),"No")</f>
        <v>No</v>
      </c>
      <c r="AH564" s="5" t="str">
        <f ca="1">IFERROR(__xludf.DUMMYFUNCTION("""COMPUTED_VALUE"""),"No")</f>
        <v>No</v>
      </c>
      <c r="AI564" s="5" t="str">
        <f ca="1">IFERROR(__xludf.DUMMYFUNCTION("""COMPUTED_VALUE"""),"No")</f>
        <v>No</v>
      </c>
      <c r="AJ564" s="5" t="str">
        <f ca="1">IFERROR(__xludf.DUMMYFUNCTION("""COMPUTED_VALUE"""),"No")</f>
        <v>No</v>
      </c>
      <c r="AK564" s="5" t="str">
        <f ca="1">IFERROR(__xludf.DUMMYFUNCTION("""COMPUTED_VALUE"""),"No")</f>
        <v>No</v>
      </c>
      <c r="AL564" s="5" t="str">
        <f ca="1">IFERROR(__xludf.DUMMYFUNCTION("""COMPUTED_VALUE"""),"Yes")</f>
        <v>Yes</v>
      </c>
      <c r="AM564" s="5"/>
      <c r="AN564" s="5"/>
      <c r="AO564" s="5"/>
      <c r="AP564" s="5"/>
      <c r="AQ564" s="5"/>
      <c r="AR564" s="5"/>
      <c r="AS564" s="5"/>
      <c r="AT564" s="5"/>
      <c r="AU564" s="5"/>
      <c r="AV564" s="5"/>
      <c r="AW564" s="5"/>
      <c r="AX564" s="5"/>
      <c r="AY564" s="5"/>
    </row>
    <row r="565" spans="1:51" x14ac:dyDescent="0.25">
      <c r="A565"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5" s="5">
        <f ca="1">IFERROR(__xludf.DUMMYFUNCTION("""COMPUTED_VALUE"""),600)</f>
        <v>600</v>
      </c>
      <c r="C565" s="5">
        <f ca="1">IFERROR(__xludf.DUMMYFUNCTION("""COMPUTED_VALUE"""),522)</f>
        <v>522</v>
      </c>
      <c r="D565" s="5" t="str">
        <f ca="1">IFERROR(__xludf.DUMMYFUNCTION("""COMPUTED_VALUE"""),"UnicornMoneyStandardPlatinum")</f>
        <v>UnicornMoneyStandardPlatinum</v>
      </c>
      <c r="E565" s="5" t="str">
        <f ca="1">IFERROR(__xludf.DUMMYFUNCTION("""COMPUTED_VALUE"""),"Yes")</f>
        <v>Yes</v>
      </c>
      <c r="F565" s="5" t="str">
        <f ca="1">IFERROR(__xludf.DUMMYFUNCTION("""COMPUTED_VALUE"""),"Yes")</f>
        <v>Yes</v>
      </c>
      <c r="G565" s="5" t="str">
        <f ca="1">IFERROR(__xludf.DUMMYFUNCTION("""COMPUTED_VALUE"""),"Yes")</f>
        <v>Yes</v>
      </c>
      <c r="H565" s="5"/>
      <c r="I565" s="5" t="str">
        <f ca="1">IFERROR(__xludf.DUMMYFUNCTION("""COMPUTED_VALUE"""),"Yes")</f>
        <v>Yes</v>
      </c>
      <c r="J565" s="5"/>
      <c r="K565" s="5"/>
      <c r="L565" s="5"/>
      <c r="M565" s="5" t="str">
        <f ca="1">IFERROR(__xludf.DUMMYFUNCTION("""COMPUTED_VALUE"""),"Yes")</f>
        <v>Yes</v>
      </c>
      <c r="N565" s="5" t="str">
        <f ca="1">IFERROR(__xludf.DUMMYFUNCTION("""COMPUTED_VALUE"""),"Yes")</f>
        <v>Yes</v>
      </c>
      <c r="O565" s="5" t="str">
        <f ca="1">IFERROR(__xludf.DUMMYFUNCTION("""COMPUTED_VALUE"""),"Yes")</f>
        <v>Yes</v>
      </c>
      <c r="P565" s="5" t="str">
        <f ca="1">IFERROR(__xludf.DUMMYFUNCTION("""COMPUTED_VALUE"""),"Yes")</f>
        <v>Yes</v>
      </c>
      <c r="Q565" s="5" t="str">
        <f ca="1">IFERROR(__xludf.DUMMYFUNCTION("""COMPUTED_VALUE"""),"Yes")</f>
        <v>Yes</v>
      </c>
      <c r="R565" s="5"/>
      <c r="S565" s="5" t="str">
        <f ca="1">IFERROR(__xludf.DUMMYFUNCTION("""COMPUTED_VALUE"""),"Yes")</f>
        <v>Yes</v>
      </c>
      <c r="T565" s="5"/>
      <c r="U565" s="5"/>
      <c r="V565" s="5"/>
      <c r="W565" s="5"/>
      <c r="X565" s="5"/>
      <c r="Y565" s="5"/>
      <c r="Z565" s="5"/>
      <c r="AA565" s="5" t="str">
        <f ca="1">IFERROR(__xludf.DUMMYFUNCTION("""COMPUTED_VALUE"""),"Yes")</f>
        <v>Yes</v>
      </c>
      <c r="AB565" s="5"/>
      <c r="AC565" s="5"/>
      <c r="AD565" s="5"/>
      <c r="AE565" s="5"/>
      <c r="AF565" s="5" t="str">
        <f ca="1">IFERROR(__xludf.DUMMYFUNCTION("""COMPUTED_VALUE"""),"Yes")</f>
        <v>Yes</v>
      </c>
      <c r="AG565" s="5"/>
      <c r="AH565" s="5"/>
      <c r="AI565" s="5"/>
      <c r="AJ565" s="5"/>
      <c r="AK565" s="5"/>
      <c r="AL565" s="5" t="str">
        <f ca="1">IFERROR(__xludf.DUMMYFUNCTION("""COMPUTED_VALUE"""),"Yes")</f>
        <v>Yes</v>
      </c>
      <c r="AM565" s="5"/>
      <c r="AN565" s="5"/>
      <c r="AO565" s="5"/>
      <c r="AP565" s="5"/>
      <c r="AQ565" s="5"/>
      <c r="AR565" s="5"/>
      <c r="AS565" s="5"/>
      <c r="AT565" s="5"/>
      <c r="AU565" s="5"/>
      <c r="AV565" s="5"/>
      <c r="AW565" s="5"/>
      <c r="AX565" s="5"/>
      <c r="AY565" s="5"/>
    </row>
    <row r="566" spans="1:51" x14ac:dyDescent="0.25">
      <c r="A566"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6" s="5">
        <f ca="1">IFERROR(__xludf.DUMMYFUNCTION("""COMPUTED_VALUE"""),601)</f>
        <v>601</v>
      </c>
      <c r="C566" s="5">
        <f ca="1">IFERROR(__xludf.DUMMYFUNCTION("""COMPUTED_VALUE"""),429)</f>
        <v>429</v>
      </c>
      <c r="D566" s="5" t="str">
        <f ca="1">IFERROR(__xludf.DUMMYFUNCTION("""COMPUTED_VALUE"""),"UnicornFruitMultipliers")</f>
        <v>UnicornFruitMultipliers</v>
      </c>
      <c r="E566" s="5" t="str">
        <f ca="1">IFERROR(__xludf.DUMMYFUNCTION("""COMPUTED_VALUE"""),"Yes")</f>
        <v>Yes</v>
      </c>
      <c r="F566" s="5" t="str">
        <f ca="1">IFERROR(__xludf.DUMMYFUNCTION("""COMPUTED_VALUE"""),"Yes")</f>
        <v>Yes</v>
      </c>
      <c r="G566" s="5" t="str">
        <f ca="1">IFERROR(__xludf.DUMMYFUNCTION("""COMPUTED_VALUE"""),"Yes")</f>
        <v>Yes</v>
      </c>
      <c r="H566" s="5"/>
      <c r="I566" s="5" t="str">
        <f ca="1">IFERROR(__xludf.DUMMYFUNCTION("""COMPUTED_VALUE"""),"Yes")</f>
        <v>Yes</v>
      </c>
      <c r="J566" s="5"/>
      <c r="K566" s="5"/>
      <c r="L566" s="5"/>
      <c r="M566" s="5" t="str">
        <f ca="1">IFERROR(__xludf.DUMMYFUNCTION("""COMPUTED_VALUE"""),"Yes")</f>
        <v>Yes</v>
      </c>
      <c r="N566" s="5" t="str">
        <f ca="1">IFERROR(__xludf.DUMMYFUNCTION("""COMPUTED_VALUE"""),"Yes")</f>
        <v>Yes</v>
      </c>
      <c r="O566" s="5" t="str">
        <f ca="1">IFERROR(__xludf.DUMMYFUNCTION("""COMPUTED_VALUE"""),"Yes")</f>
        <v>Yes</v>
      </c>
      <c r="P566" s="5" t="str">
        <f ca="1">IFERROR(__xludf.DUMMYFUNCTION("""COMPUTED_VALUE"""),"Yes")</f>
        <v>Yes</v>
      </c>
      <c r="Q566" s="5" t="str">
        <f ca="1">IFERROR(__xludf.DUMMYFUNCTION("""COMPUTED_VALUE"""),"Yes")</f>
        <v>Yes</v>
      </c>
      <c r="R566" s="5"/>
      <c r="S566" s="5" t="str">
        <f ca="1">IFERROR(__xludf.DUMMYFUNCTION("""COMPUTED_VALUE"""),"Yes")</f>
        <v>Yes</v>
      </c>
      <c r="T566" s="5"/>
      <c r="U566" s="5"/>
      <c r="V566" s="5"/>
      <c r="W566" s="5"/>
      <c r="X566" s="5"/>
      <c r="Y566" s="5"/>
      <c r="Z566" s="5"/>
      <c r="AA566" s="5" t="str">
        <f ca="1">IFERROR(__xludf.DUMMYFUNCTION("""COMPUTED_VALUE"""),"Yes")</f>
        <v>Yes</v>
      </c>
      <c r="AB566" s="5"/>
      <c r="AC566" s="5"/>
      <c r="AD566" s="5"/>
      <c r="AE566" s="5"/>
      <c r="AF566" s="5" t="str">
        <f ca="1">IFERROR(__xludf.DUMMYFUNCTION("""COMPUTED_VALUE"""),"Yes")</f>
        <v>Yes</v>
      </c>
      <c r="AG566" s="5"/>
      <c r="AH566" s="5"/>
      <c r="AI566" s="5"/>
      <c r="AJ566" s="5"/>
      <c r="AK566" s="5"/>
      <c r="AL566" s="5" t="str">
        <f ca="1">IFERROR(__xludf.DUMMYFUNCTION("""COMPUTED_VALUE"""),"Yes")</f>
        <v>Yes</v>
      </c>
      <c r="AM566" s="5"/>
      <c r="AN566" s="5"/>
      <c r="AO566" s="5"/>
      <c r="AP566" s="5"/>
      <c r="AQ566" s="5"/>
      <c r="AR566" s="5"/>
      <c r="AS566" s="5"/>
      <c r="AT566" s="5"/>
      <c r="AU566" s="5"/>
      <c r="AV566" s="5"/>
      <c r="AW566" s="5"/>
      <c r="AX566" s="5"/>
      <c r="AY566" s="5"/>
    </row>
    <row r="567" spans="1:51" x14ac:dyDescent="0.25">
      <c r="A567"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7" s="5">
        <f ca="1">IFERROR(__xludf.DUMMYFUNCTION("""COMPUTED_VALUE"""),602)</f>
        <v>602</v>
      </c>
      <c r="C567" s="5">
        <f ca="1">IFERROR(__xludf.DUMMYFUNCTION("""COMPUTED_VALUE"""),428)</f>
        <v>428</v>
      </c>
      <c r="D567" s="5" t="str">
        <f ca="1">IFERROR(__xludf.DUMMYFUNCTION("""COMPUTED_VALUE"""),"UnicornSevensPay")</f>
        <v>UnicornSevensPay</v>
      </c>
      <c r="E567" s="5" t="str">
        <f ca="1">IFERROR(__xludf.DUMMYFUNCTION("""COMPUTED_VALUE"""),"Yes")</f>
        <v>Yes</v>
      </c>
      <c r="F567" s="5" t="str">
        <f ca="1">IFERROR(__xludf.DUMMYFUNCTION("""COMPUTED_VALUE"""),"Yes")</f>
        <v>Yes</v>
      </c>
      <c r="G567" s="5" t="str">
        <f ca="1">IFERROR(__xludf.DUMMYFUNCTION("""COMPUTED_VALUE"""),"Yes")</f>
        <v>Yes</v>
      </c>
      <c r="H567" s="5"/>
      <c r="I567" s="5" t="str">
        <f ca="1">IFERROR(__xludf.DUMMYFUNCTION("""COMPUTED_VALUE"""),"Yes")</f>
        <v>Yes</v>
      </c>
      <c r="J567" s="5"/>
      <c r="K567" s="5"/>
      <c r="L567" s="5"/>
      <c r="M567" s="5" t="str">
        <f ca="1">IFERROR(__xludf.DUMMYFUNCTION("""COMPUTED_VALUE"""),"Yes")</f>
        <v>Yes</v>
      </c>
      <c r="N567" s="5" t="str">
        <f ca="1">IFERROR(__xludf.DUMMYFUNCTION("""COMPUTED_VALUE"""),"Yes")</f>
        <v>Yes</v>
      </c>
      <c r="O567" s="5" t="str">
        <f ca="1">IFERROR(__xludf.DUMMYFUNCTION("""COMPUTED_VALUE"""),"Yes")</f>
        <v>Yes</v>
      </c>
      <c r="P567" s="5" t="str">
        <f ca="1">IFERROR(__xludf.DUMMYFUNCTION("""COMPUTED_VALUE"""),"Yes")</f>
        <v>Yes</v>
      </c>
      <c r="Q567" s="5" t="str">
        <f ca="1">IFERROR(__xludf.DUMMYFUNCTION("""COMPUTED_VALUE"""),"Yes")</f>
        <v>Yes</v>
      </c>
      <c r="R567" s="5"/>
      <c r="S567" s="5" t="str">
        <f ca="1">IFERROR(__xludf.DUMMYFUNCTION("""COMPUTED_VALUE"""),"Yes")</f>
        <v>Yes</v>
      </c>
      <c r="T567" s="5"/>
      <c r="U567" s="5"/>
      <c r="V567" s="5"/>
      <c r="W567" s="5"/>
      <c r="X567" s="5"/>
      <c r="Y567" s="5"/>
      <c r="Z567" s="5"/>
      <c r="AA567" s="5" t="str">
        <f ca="1">IFERROR(__xludf.DUMMYFUNCTION("""COMPUTED_VALUE"""),"Yes")</f>
        <v>Yes</v>
      </c>
      <c r="AB567" s="5"/>
      <c r="AC567" s="5"/>
      <c r="AD567" s="5"/>
      <c r="AE567" s="5"/>
      <c r="AF567" s="5" t="str">
        <f ca="1">IFERROR(__xludf.DUMMYFUNCTION("""COMPUTED_VALUE"""),"Yes")</f>
        <v>Yes</v>
      </c>
      <c r="AG567" s="5"/>
      <c r="AH567" s="5"/>
      <c r="AI567" s="5"/>
      <c r="AJ567" s="5"/>
      <c r="AK567" s="5"/>
      <c r="AL567" s="5" t="str">
        <f ca="1">IFERROR(__xludf.DUMMYFUNCTION("""COMPUTED_VALUE"""),"Yes")</f>
        <v>Yes</v>
      </c>
      <c r="AM567" s="5"/>
      <c r="AN567" s="5"/>
      <c r="AO567" s="5"/>
      <c r="AP567" s="5"/>
      <c r="AQ567" s="5"/>
      <c r="AR567" s="5"/>
      <c r="AS567" s="5"/>
      <c r="AT567" s="5"/>
      <c r="AU567" s="5"/>
      <c r="AV567" s="5"/>
      <c r="AW567" s="5"/>
      <c r="AX567" s="5"/>
      <c r="AY567" s="5"/>
    </row>
    <row r="568" spans="1:51" x14ac:dyDescent="0.25">
      <c r="A568" s="5" t="str">
        <f ca="1">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B568" s="5">
        <f ca="1">IFERROR(__xludf.DUMMYFUNCTION("""COMPUTED_VALUE"""),603)</f>
        <v>603</v>
      </c>
      <c r="C568" s="5">
        <f ca="1">IFERROR(__xludf.DUMMYFUNCTION("""COMPUTED_VALUE"""),514)</f>
        <v>514</v>
      </c>
      <c r="D568" s="5" t="str">
        <f ca="1">IFERROR(__xludf.DUMMYFUNCTION("""COMPUTED_VALUE"""),"PlayNetMajesticCrown40")</f>
        <v>PlayNetMajesticCrown40</v>
      </c>
      <c r="E568" s="5" t="str">
        <f ca="1">IFERROR(__xludf.DUMMYFUNCTION("""COMPUTED_VALUE"""),"Yes")</f>
        <v>Yes</v>
      </c>
      <c r="F568" s="5" t="str">
        <f ca="1">IFERROR(__xludf.DUMMYFUNCTION("""COMPUTED_VALUE"""),"Yes")</f>
        <v>Yes</v>
      </c>
      <c r="G568" s="5" t="str">
        <f ca="1">IFERROR(__xludf.DUMMYFUNCTION("""COMPUTED_VALUE"""),"Yes")</f>
        <v>Yes</v>
      </c>
      <c r="H568" s="5" t="str">
        <f ca="1">IFERROR(__xludf.DUMMYFUNCTION("""COMPUTED_VALUE"""),"Yes")</f>
        <v>Yes</v>
      </c>
      <c r="I568" s="5" t="str">
        <f ca="1">IFERROR(__xludf.DUMMYFUNCTION("""COMPUTED_VALUE"""),"Yes")</f>
        <v>Yes</v>
      </c>
      <c r="J568" s="5" t="str">
        <f ca="1">IFERROR(__xludf.DUMMYFUNCTION("""COMPUTED_VALUE"""),"Yes")</f>
        <v>Yes</v>
      </c>
      <c r="K568" s="5" t="str">
        <f ca="1">IFERROR(__xludf.DUMMYFUNCTION("""COMPUTED_VALUE"""),"Yes")</f>
        <v>Yes</v>
      </c>
      <c r="L568" s="5" t="str">
        <f ca="1">IFERROR(__xludf.DUMMYFUNCTION("""COMPUTED_VALUE"""),"Yes")</f>
        <v>Yes</v>
      </c>
      <c r="M568" s="5" t="str">
        <f ca="1">IFERROR(__xludf.DUMMYFUNCTION("""COMPUTED_VALUE"""),"Yes")</f>
        <v>Yes</v>
      </c>
      <c r="N568" s="5" t="str">
        <f ca="1">IFERROR(__xludf.DUMMYFUNCTION("""COMPUTED_VALUE"""),"Yes")</f>
        <v>Yes</v>
      </c>
      <c r="O568" s="5" t="str">
        <f ca="1">IFERROR(__xludf.DUMMYFUNCTION("""COMPUTED_VALUE"""),"Yes")</f>
        <v>Yes</v>
      </c>
      <c r="P568" s="5" t="str">
        <f ca="1">IFERROR(__xludf.DUMMYFUNCTION("""COMPUTED_VALUE"""),"Yes")</f>
        <v>Yes</v>
      </c>
      <c r="Q568" s="5" t="str">
        <f ca="1">IFERROR(__xludf.DUMMYFUNCTION("""COMPUTED_VALUE"""),"Yes")</f>
        <v>Yes</v>
      </c>
      <c r="R568" s="5" t="str">
        <f ca="1">IFERROR(__xludf.DUMMYFUNCTION("""COMPUTED_VALUE"""),"Yes")</f>
        <v>Yes</v>
      </c>
      <c r="S568" s="5" t="str">
        <f ca="1">IFERROR(__xludf.DUMMYFUNCTION("""COMPUTED_VALUE"""),"Yes")</f>
        <v>Yes</v>
      </c>
      <c r="T568" s="5"/>
      <c r="U568" s="5"/>
      <c r="V568" s="5"/>
      <c r="W568" s="5"/>
      <c r="X568" s="5"/>
      <c r="Y568" s="5"/>
      <c r="Z568" s="5"/>
      <c r="AA568" s="5" t="str">
        <f ca="1">IFERROR(__xludf.DUMMYFUNCTION("""COMPUTED_VALUE"""),"Yes")</f>
        <v>Yes</v>
      </c>
      <c r="AB568" s="5"/>
      <c r="AC568" s="5"/>
      <c r="AD568" s="5"/>
      <c r="AE568" s="5"/>
      <c r="AF568" s="5" t="str">
        <f ca="1">IFERROR(__xludf.DUMMYFUNCTION("""COMPUTED_VALUE"""),"Yes")</f>
        <v>Yes</v>
      </c>
      <c r="AG568" s="5"/>
      <c r="AH568" s="5"/>
      <c r="AI568" s="5"/>
      <c r="AJ568" s="5"/>
      <c r="AK568" s="5"/>
      <c r="AL568" s="5" t="str">
        <f ca="1">IFERROR(__xludf.DUMMYFUNCTION("""COMPUTED_VALUE"""),"Yes")</f>
        <v>Yes</v>
      </c>
      <c r="AM568" s="5"/>
      <c r="AN568" s="5"/>
      <c r="AO568" s="5"/>
      <c r="AP568" s="5"/>
      <c r="AQ568" s="5"/>
      <c r="AR568" s="5"/>
      <c r="AS568" s="5"/>
      <c r="AT568" s="5"/>
      <c r="AU568" s="5"/>
      <c r="AV568" s="5"/>
      <c r="AW568" s="5"/>
      <c r="AX568" s="5"/>
      <c r="AY568" s="5"/>
    </row>
    <row r="569" spans="1:51" x14ac:dyDescent="0.25">
      <c r="A569" s="5" t="str">
        <f ca="1">IFERROR(__xludf.DUMMYFUNCTION("""COMPUTED_VALUE"""),"English(""eng""), Serbian(""""srp"",""srb""""), Bulgarian(""bul""), Spanish(""spa""), Portuguese(""por""), Italian(""ita""), Romanian(""rum/ron""), Croatian(""hrv""), French(""fre/fra""), German(""ger/deu""), Dutch(""dut/nld""), Turkish(""tur""), Greek("""&amp;"gre/ell""), Russian(""rus""), Swahili(""swa""), Ukrainian(""ukr""), Chinese(""zho/chi""), Bosnian("""")")</f>
        <v>English("eng"), Serbian(""srp","srb""), Bulgarian("bul"), Spanish("spa"), Portuguese("por"), Italian("ita"), Romanian("rum/ron"), Croatian("hrv"), French("fre/fra"), German("ger/deu"), Dutch("dut/nld"), Turkish("tur"), Greek("gre/ell"), Russian("rus"), Swahili("swa"), Ukrainian("ukr"), Chinese("zho/chi"), Bosnian("")</v>
      </c>
      <c r="B569" s="5">
        <f ca="1">IFERROR(__xludf.DUMMYFUNCTION("""COMPUTED_VALUE"""),604)</f>
        <v>604</v>
      </c>
      <c r="C569" s="5">
        <f ca="1">IFERROR(__xludf.DUMMYFUNCTION("""COMPUTED_VALUE"""),518)</f>
        <v>518</v>
      </c>
      <c r="D569" s="5" t="str">
        <f ca="1">IFERROR(__xludf.DUMMYFUNCTION("""COMPUTED_VALUE"""),"PlayNetNeptunesJewels")</f>
        <v>PlayNetNeptunesJewels</v>
      </c>
      <c r="E569" s="5" t="str">
        <f ca="1">IFERROR(__xludf.DUMMYFUNCTION("""COMPUTED_VALUE"""),"Yes")</f>
        <v>Yes</v>
      </c>
      <c r="F569" s="5" t="str">
        <f ca="1">IFERROR(__xludf.DUMMYFUNCTION("""COMPUTED_VALUE"""),"Yes")</f>
        <v>Yes</v>
      </c>
      <c r="G569" s="5" t="str">
        <f ca="1">IFERROR(__xludf.DUMMYFUNCTION("""COMPUTED_VALUE"""),"No")</f>
        <v>No</v>
      </c>
      <c r="H569" s="5" t="str">
        <f ca="1">IFERROR(__xludf.DUMMYFUNCTION("""COMPUTED_VALUE"""),"Yes")</f>
        <v>Yes</v>
      </c>
      <c r="I569" s="5" t="str">
        <f ca="1">IFERROR(__xludf.DUMMYFUNCTION("""COMPUTED_VALUE"""),"Yes")</f>
        <v>Yes</v>
      </c>
      <c r="J569" s="5" t="str">
        <f ca="1">IFERROR(__xludf.DUMMYFUNCTION("""COMPUTED_VALUE"""),"Yes")</f>
        <v>Yes</v>
      </c>
      <c r="K569" s="5" t="str">
        <f ca="1">IFERROR(__xludf.DUMMYFUNCTION("""COMPUTED_VALUE"""),"Yes")</f>
        <v>Yes</v>
      </c>
      <c r="L569" s="5" t="str">
        <f ca="1">IFERROR(__xludf.DUMMYFUNCTION("""COMPUTED_VALUE"""),"Yes")</f>
        <v>Yes</v>
      </c>
      <c r="M569" s="5" t="str">
        <f ca="1">IFERROR(__xludf.DUMMYFUNCTION("""COMPUTED_VALUE"""),"Yes")</f>
        <v>Yes</v>
      </c>
      <c r="N569" s="5" t="str">
        <f ca="1">IFERROR(__xludf.DUMMYFUNCTION("""COMPUTED_VALUE"""),"Yes")</f>
        <v>Yes</v>
      </c>
      <c r="O569" s="5" t="str">
        <f ca="1">IFERROR(__xludf.DUMMYFUNCTION("""COMPUTED_VALUE"""),"Yes")</f>
        <v>Yes</v>
      </c>
      <c r="P569" s="5" t="str">
        <f ca="1">IFERROR(__xludf.DUMMYFUNCTION("""COMPUTED_VALUE"""),"Yes")</f>
        <v>Yes</v>
      </c>
      <c r="Q569" s="5" t="str">
        <f ca="1">IFERROR(__xludf.DUMMYFUNCTION("""COMPUTED_VALUE"""),"Yes")</f>
        <v>Yes</v>
      </c>
      <c r="R569" s="5" t="str">
        <f ca="1">IFERROR(__xludf.DUMMYFUNCTION("""COMPUTED_VALUE"""),"Yes")</f>
        <v>Yes</v>
      </c>
      <c r="S569" s="5" t="str">
        <f ca="1">IFERROR(__xludf.DUMMYFUNCTION("""COMPUTED_VALUE"""),"Yes")</f>
        <v>Yes</v>
      </c>
      <c r="T569" s="5"/>
      <c r="U569" s="5"/>
      <c r="V569" s="5"/>
      <c r="W569" s="5"/>
      <c r="X569" s="5"/>
      <c r="Y569" s="5"/>
      <c r="Z569" s="5"/>
      <c r="AA569" s="5" t="str">
        <f ca="1">IFERROR(__xludf.DUMMYFUNCTION("""COMPUTED_VALUE"""),"Yes")</f>
        <v>Yes</v>
      </c>
      <c r="AB569" s="5"/>
      <c r="AC569" s="5"/>
      <c r="AD569" s="5"/>
      <c r="AE569" s="5"/>
      <c r="AF569" s="5" t="str">
        <f ca="1">IFERROR(__xludf.DUMMYFUNCTION("""COMPUTED_VALUE"""),"Yes")</f>
        <v>Yes</v>
      </c>
      <c r="AG569" s="5"/>
      <c r="AH569" s="5" t="str">
        <f ca="1">IFERROR(__xludf.DUMMYFUNCTION("""COMPUTED_VALUE"""),"Yes")</f>
        <v>Yes</v>
      </c>
      <c r="AI569" s="5"/>
      <c r="AJ569" s="5"/>
      <c r="AK569" s="5"/>
      <c r="AL569" s="5" t="str">
        <f ca="1">IFERROR(__xludf.DUMMYFUNCTION("""COMPUTED_VALUE"""),"Yes")</f>
        <v>Yes</v>
      </c>
      <c r="AM569" s="5"/>
      <c r="AN569" s="5"/>
      <c r="AO569" s="5"/>
      <c r="AP569" s="5"/>
      <c r="AQ569" s="5"/>
      <c r="AR569" s="5"/>
      <c r="AS569" s="5"/>
      <c r="AT569" s="5"/>
      <c r="AU569" s="5"/>
      <c r="AV569" s="5"/>
      <c r="AW569" s="5"/>
      <c r="AX569" s="5"/>
      <c r="AY569" s="5"/>
    </row>
    <row r="570" spans="1:51" x14ac:dyDescent="0.25">
      <c r="A570" s="5" t="str">
        <f ca="1">IFERROR(__xludf.DUMMYFUNCTION("""COMPUTED_VALUE"""),"English(""eng""), Serbian(""""srp"",""srb""""), Bulgarian(""bul""), Spanish(""spa""), Portuguese(""por""), Italian(""ita""), Romanian(""rum/ron""), Croatian(""hrv""), French(""fre/fra""), German(""ger/deu""), Dutch(""dut/nld""), Turkish(""tur""), Greek("""&amp;"gre/ell""), Russian(""rus""), Ukrainian(""ukr""), Chinese(""zho/chi""), Bosnian("""")")</f>
        <v>English("eng"), Serbian(""srp","srb""), Bulgarian("bul"), Spanish("spa"), Portuguese("por"), Italian("ita"), Romanian("rum/ron"), Croatian("hrv"), French("fre/fra"), German("ger/deu"), Dutch("dut/nld"), Turkish("tur"), Greek("gre/ell"), Russian("rus"), Ukrainian("ukr"), Chinese("zho/chi"), Bosnian("")</v>
      </c>
      <c r="B570" s="5">
        <f ca="1">IFERROR(__xludf.DUMMYFUNCTION("""COMPUTED_VALUE"""),605)</f>
        <v>605</v>
      </c>
      <c r="C570" s="5">
        <f ca="1">IFERROR(__xludf.DUMMYFUNCTION("""COMPUTED_VALUE"""),516)</f>
        <v>516</v>
      </c>
      <c r="D570" s="5" t="str">
        <f ca="1">IFERROR(__xludf.DUMMYFUNCTION("""COMPUTED_VALUE"""),"PlayNet81MagicStars")</f>
        <v>PlayNet81MagicStars</v>
      </c>
      <c r="E570" s="5" t="str">
        <f ca="1">IFERROR(__xludf.DUMMYFUNCTION("""COMPUTED_VALUE"""),"Yes")</f>
        <v>Yes</v>
      </c>
      <c r="F570" s="5" t="str">
        <f ca="1">IFERROR(__xludf.DUMMYFUNCTION("""COMPUTED_VALUE"""),"Yes")</f>
        <v>Yes</v>
      </c>
      <c r="G570" s="5" t="str">
        <f ca="1">IFERROR(__xludf.DUMMYFUNCTION("""COMPUTED_VALUE"""),"No")</f>
        <v>No</v>
      </c>
      <c r="H570" s="5" t="str">
        <f ca="1">IFERROR(__xludf.DUMMYFUNCTION("""COMPUTED_VALUE"""),"Yes")</f>
        <v>Yes</v>
      </c>
      <c r="I570" s="5" t="str">
        <f ca="1">IFERROR(__xludf.DUMMYFUNCTION("""COMPUTED_VALUE"""),"Yes")</f>
        <v>Yes</v>
      </c>
      <c r="J570" s="5" t="str">
        <f ca="1">IFERROR(__xludf.DUMMYFUNCTION("""COMPUTED_VALUE"""),"Yes")</f>
        <v>Yes</v>
      </c>
      <c r="K570" s="5" t="str">
        <f ca="1">IFERROR(__xludf.DUMMYFUNCTION("""COMPUTED_VALUE"""),"Yes")</f>
        <v>Yes</v>
      </c>
      <c r="L570" s="5" t="str">
        <f ca="1">IFERROR(__xludf.DUMMYFUNCTION("""COMPUTED_VALUE"""),"Yes")</f>
        <v>Yes</v>
      </c>
      <c r="M570" s="5" t="str">
        <f ca="1">IFERROR(__xludf.DUMMYFUNCTION("""COMPUTED_VALUE"""),"Yes")</f>
        <v>Yes</v>
      </c>
      <c r="N570" s="5" t="str">
        <f ca="1">IFERROR(__xludf.DUMMYFUNCTION("""COMPUTED_VALUE"""),"Yes")</f>
        <v>Yes</v>
      </c>
      <c r="O570" s="5" t="str">
        <f ca="1">IFERROR(__xludf.DUMMYFUNCTION("""COMPUTED_VALUE"""),"Yes")</f>
        <v>Yes</v>
      </c>
      <c r="P570" s="5" t="str">
        <f ca="1">IFERROR(__xludf.DUMMYFUNCTION("""COMPUTED_VALUE"""),"Yes")</f>
        <v>Yes</v>
      </c>
      <c r="Q570" s="5" t="str">
        <f ca="1">IFERROR(__xludf.DUMMYFUNCTION("""COMPUTED_VALUE"""),"Yes")</f>
        <v>Yes</v>
      </c>
      <c r="R570" s="5" t="str">
        <f ca="1">IFERROR(__xludf.DUMMYFUNCTION("""COMPUTED_VALUE"""),"Yes")</f>
        <v>Yes</v>
      </c>
      <c r="S570" s="5" t="str">
        <f ca="1">IFERROR(__xludf.DUMMYFUNCTION("""COMPUTED_VALUE"""),"Yes")</f>
        <v>Yes</v>
      </c>
      <c r="T570" s="5"/>
      <c r="U570" s="5"/>
      <c r="V570" s="5"/>
      <c r="W570" s="5"/>
      <c r="X570" s="5"/>
      <c r="Y570" s="5"/>
      <c r="Z570" s="5"/>
      <c r="AA570" s="5" t="str">
        <f ca="1">IFERROR(__xludf.DUMMYFUNCTION("""COMPUTED_VALUE"""),"No")</f>
        <v>No</v>
      </c>
      <c r="AB570" s="5"/>
      <c r="AC570" s="5"/>
      <c r="AD570" s="5"/>
      <c r="AE570" s="5"/>
      <c r="AF570" s="5" t="str">
        <f ca="1">IFERROR(__xludf.DUMMYFUNCTION("""COMPUTED_VALUE"""),"Yes")</f>
        <v>Yes</v>
      </c>
      <c r="AG570" s="5"/>
      <c r="AH570" s="5" t="str">
        <f ca="1">IFERROR(__xludf.DUMMYFUNCTION("""COMPUTED_VALUE"""),"Yes")</f>
        <v>Yes</v>
      </c>
      <c r="AI570" s="5"/>
      <c r="AJ570" s="5"/>
      <c r="AK570" s="5"/>
      <c r="AL570" s="5" t="str">
        <f ca="1">IFERROR(__xludf.DUMMYFUNCTION("""COMPUTED_VALUE"""),"Yes")</f>
        <v>Yes</v>
      </c>
      <c r="AM570" s="5"/>
      <c r="AN570" s="5"/>
      <c r="AO570" s="5"/>
      <c r="AP570" s="5"/>
      <c r="AQ570" s="5"/>
      <c r="AR570" s="5"/>
      <c r="AS570" s="5"/>
      <c r="AT570" s="5"/>
      <c r="AU570" s="5"/>
      <c r="AV570" s="5"/>
      <c r="AW570" s="5"/>
      <c r="AX570" s="5"/>
      <c r="AY570" s="5"/>
    </row>
    <row r="571" spans="1:51" x14ac:dyDescent="0.25">
      <c r="A571" s="5" t="str">
        <f ca="1">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 Chinese(""zho/chi"")")</f>
        <v>English("eng"), Serbian(""srp","srb""), Montenegrian("mne"), Bulgarian("bul"), Spanish("spa"), Portuguese("por"), Italian("ita"), Romanian("rum/ron"), Croatian("hrv"), French("fre/fra"), German("ger/deu"), Dutch("dut/nld"), Turkish("tur"), Greek("gre/ell"), Russian("rus"), Czech("cze/ces"), Hungarian("hun"), Swahili("swa"), Ukrainian("ukr"), Chinese("zho/chi")</v>
      </c>
      <c r="B571" s="5">
        <f ca="1">IFERROR(__xludf.DUMMYFUNCTION("""COMPUTED_VALUE"""),606)</f>
        <v>606</v>
      </c>
      <c r="C571" s="5">
        <f ca="1">IFERROR(__xludf.DUMMYFUNCTION("""COMPUTED_VALUE"""),180039)</f>
        <v>180039</v>
      </c>
      <c r="D571" s="5" t="str">
        <f ca="1">IFERROR(__xludf.DUMMYFUNCTION("""COMPUTED_VALUE"""),"Redstone40CloverField")</f>
        <v>Redstone40CloverField</v>
      </c>
      <c r="E571" s="5" t="str">
        <f ca="1">IFERROR(__xludf.DUMMYFUNCTION("""COMPUTED_VALUE"""),"Yes")</f>
        <v>Yes</v>
      </c>
      <c r="F571" s="5" t="str">
        <f ca="1">IFERROR(__xludf.DUMMYFUNCTION("""COMPUTED_VALUE"""),"Yes")</f>
        <v>Yes</v>
      </c>
      <c r="G571" s="5" t="str">
        <f ca="1">IFERROR(__xludf.DUMMYFUNCTION("""COMPUTED_VALUE"""),"Yes")</f>
        <v>Yes</v>
      </c>
      <c r="H571" s="5" t="str">
        <f ca="1">IFERROR(__xludf.DUMMYFUNCTION("""COMPUTED_VALUE"""),"Yes")</f>
        <v>Yes</v>
      </c>
      <c r="I571" s="5" t="str">
        <f ca="1">IFERROR(__xludf.DUMMYFUNCTION("""COMPUTED_VALUE"""),"Yes")</f>
        <v>Yes</v>
      </c>
      <c r="J571" s="5" t="str">
        <f ca="1">IFERROR(__xludf.DUMMYFUNCTION("""COMPUTED_VALUE"""),"Yes")</f>
        <v>Yes</v>
      </c>
      <c r="K571" s="5" t="str">
        <f ca="1">IFERROR(__xludf.DUMMYFUNCTION("""COMPUTED_VALUE"""),"Yes")</f>
        <v>Yes</v>
      </c>
      <c r="L571" s="5" t="str">
        <f ca="1">IFERROR(__xludf.DUMMYFUNCTION("""COMPUTED_VALUE"""),"Yes")</f>
        <v>Yes</v>
      </c>
      <c r="M571" s="5" t="str">
        <f ca="1">IFERROR(__xludf.DUMMYFUNCTION("""COMPUTED_VALUE"""),"Yes")</f>
        <v>Yes</v>
      </c>
      <c r="N571" s="5" t="str">
        <f ca="1">IFERROR(__xludf.DUMMYFUNCTION("""COMPUTED_VALUE"""),"Yes")</f>
        <v>Yes</v>
      </c>
      <c r="O571" s="5" t="str">
        <f ca="1">IFERROR(__xludf.DUMMYFUNCTION("""COMPUTED_VALUE"""),"Yes")</f>
        <v>Yes</v>
      </c>
      <c r="P571" s="5" t="str">
        <f ca="1">IFERROR(__xludf.DUMMYFUNCTION("""COMPUTED_VALUE"""),"Yes")</f>
        <v>Yes</v>
      </c>
      <c r="Q571" s="5" t="str">
        <f ca="1">IFERROR(__xludf.DUMMYFUNCTION("""COMPUTED_VALUE"""),"Yes")</f>
        <v>Yes</v>
      </c>
      <c r="R571" s="5" t="str">
        <f ca="1">IFERROR(__xludf.DUMMYFUNCTION("""COMPUTED_VALUE"""),"Yes")</f>
        <v>Yes</v>
      </c>
      <c r="S571" s="5" t="str">
        <f ca="1">IFERROR(__xludf.DUMMYFUNCTION("""COMPUTED_VALUE"""),"Yes")</f>
        <v>Yes</v>
      </c>
      <c r="T571" s="5" t="str">
        <f ca="1">IFERROR(__xludf.DUMMYFUNCTION("""COMPUTED_VALUE"""),"Yes")</f>
        <v>Yes</v>
      </c>
      <c r="U571" s="5" t="str">
        <f ca="1">IFERROR(__xludf.DUMMYFUNCTION("""COMPUTED_VALUE"""),"Yes")</f>
        <v>Yes</v>
      </c>
      <c r="V571" s="5" t="str">
        <f ca="1">IFERROR(__xludf.DUMMYFUNCTION("""COMPUTED_VALUE"""),"No")</f>
        <v>No</v>
      </c>
      <c r="W571" s="5" t="str">
        <f ca="1">IFERROR(__xludf.DUMMYFUNCTION("""COMPUTED_VALUE"""),"No")</f>
        <v>No</v>
      </c>
      <c r="X571" s="5" t="str">
        <f ca="1">IFERROR(__xludf.DUMMYFUNCTION("""COMPUTED_VALUE"""),"No")</f>
        <v>No</v>
      </c>
      <c r="Y571" s="5" t="str">
        <f ca="1">IFERROR(__xludf.DUMMYFUNCTION("""COMPUTED_VALUE"""),"No")</f>
        <v>No</v>
      </c>
      <c r="Z571" s="5" t="str">
        <f ca="1">IFERROR(__xludf.DUMMYFUNCTION("""COMPUTED_VALUE"""),"No")</f>
        <v>No</v>
      </c>
      <c r="AA571" s="5" t="str">
        <f ca="1">IFERROR(__xludf.DUMMYFUNCTION("""COMPUTED_VALUE"""),"Yes")</f>
        <v>Yes</v>
      </c>
      <c r="AB571" s="5" t="str">
        <f ca="1">IFERROR(__xludf.DUMMYFUNCTION("""COMPUTED_VALUE"""),"No")</f>
        <v>No</v>
      </c>
      <c r="AC571" s="5" t="str">
        <f ca="1">IFERROR(__xludf.DUMMYFUNCTION("""COMPUTED_VALUE"""),"No")</f>
        <v>No</v>
      </c>
      <c r="AD571" s="5" t="str">
        <f ca="1">IFERROR(__xludf.DUMMYFUNCTION("""COMPUTED_VALUE"""),"No")</f>
        <v>No</v>
      </c>
      <c r="AE571" s="5" t="str">
        <f ca="1">IFERROR(__xludf.DUMMYFUNCTION("""COMPUTED_VALUE"""),"No")</f>
        <v>No</v>
      </c>
      <c r="AF571" s="5" t="str">
        <f ca="1">IFERROR(__xludf.DUMMYFUNCTION("""COMPUTED_VALUE"""),"Yes")</f>
        <v>Yes</v>
      </c>
      <c r="AG571" s="5" t="str">
        <f ca="1">IFERROR(__xludf.DUMMYFUNCTION("""COMPUTED_VALUE"""),"No")</f>
        <v>No</v>
      </c>
      <c r="AH571" s="5" t="str">
        <f ca="1">IFERROR(__xludf.DUMMYFUNCTION("""COMPUTED_VALUE"""),"Yes")</f>
        <v>Yes</v>
      </c>
      <c r="AI571" s="5" t="str">
        <f ca="1">IFERROR(__xludf.DUMMYFUNCTION("""COMPUTED_VALUE"""),"No")</f>
        <v>No</v>
      </c>
      <c r="AJ571" s="5" t="str">
        <f ca="1">IFERROR(__xludf.DUMMYFUNCTION("""COMPUTED_VALUE"""),"No")</f>
        <v>No</v>
      </c>
      <c r="AK571" s="5" t="str">
        <f ca="1">IFERROR(__xludf.DUMMYFUNCTION("""COMPUTED_VALUE"""),"No")</f>
        <v>No</v>
      </c>
      <c r="AL571" s="5" t="str">
        <f ca="1">IFERROR(__xludf.DUMMYFUNCTION("""COMPUTED_VALUE"""),"No")</f>
        <v>No</v>
      </c>
      <c r="AM571" s="5"/>
      <c r="AN571" s="5"/>
      <c r="AO571" s="5"/>
      <c r="AP571" s="5"/>
      <c r="AQ571" s="5"/>
      <c r="AR571" s="5"/>
      <c r="AS571" s="5"/>
      <c r="AT571" s="5"/>
      <c r="AU571" s="5"/>
      <c r="AV571" s="5"/>
      <c r="AW571" s="5"/>
      <c r="AX571" s="5"/>
      <c r="AY571" s="5"/>
    </row>
    <row r="572" spans="1:51" x14ac:dyDescent="0.25">
      <c r="A57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2" s="5">
        <f ca="1">IFERROR(__xludf.DUMMYFUNCTION("""COMPUTED_VALUE"""),607)</f>
        <v>607</v>
      </c>
      <c r="C572" s="5">
        <f ca="1">IFERROR(__xludf.DUMMYFUNCTION("""COMPUTED_VALUE"""),517)</f>
        <v>517</v>
      </c>
      <c r="D572" s="5" t="str">
        <f ca="1">IFERROR(__xludf.DUMMYFUNCTION("""COMPUTED_VALUE"""),"PlayNetElfAndRoll")</f>
        <v>PlayNetElfAndRoll</v>
      </c>
      <c r="E572" s="5" t="str">
        <f ca="1">IFERROR(__xludf.DUMMYFUNCTION("""COMPUTED_VALUE"""),"Yes")</f>
        <v>Yes</v>
      </c>
      <c r="F572" s="5" t="str">
        <f ca="1">IFERROR(__xludf.DUMMYFUNCTION("""COMPUTED_VALUE"""),"Yes")</f>
        <v>Yes</v>
      </c>
      <c r="G572" s="5" t="str">
        <f ca="1">IFERROR(__xludf.DUMMYFUNCTION("""COMPUTED_VALUE"""),"No")</f>
        <v>No</v>
      </c>
      <c r="H572" s="5" t="str">
        <f ca="1">IFERROR(__xludf.DUMMYFUNCTION("""COMPUTED_VALUE"""),"Yes")</f>
        <v>Yes</v>
      </c>
      <c r="I572" s="5" t="str">
        <f ca="1">IFERROR(__xludf.DUMMYFUNCTION("""COMPUTED_VALUE"""),"Yes")</f>
        <v>Yes</v>
      </c>
      <c r="J572" s="5" t="str">
        <f ca="1">IFERROR(__xludf.DUMMYFUNCTION("""COMPUTED_VALUE"""),"Yes")</f>
        <v>Yes</v>
      </c>
      <c r="K572" s="5" t="str">
        <f ca="1">IFERROR(__xludf.DUMMYFUNCTION("""COMPUTED_VALUE"""),"Yes")</f>
        <v>Yes</v>
      </c>
      <c r="L572" s="5" t="str">
        <f ca="1">IFERROR(__xludf.DUMMYFUNCTION("""COMPUTED_VALUE"""),"Yes")</f>
        <v>Yes</v>
      </c>
      <c r="M572" s="5" t="str">
        <f ca="1">IFERROR(__xludf.DUMMYFUNCTION("""COMPUTED_VALUE"""),"Yes")</f>
        <v>Yes</v>
      </c>
      <c r="N572" s="5" t="str">
        <f ca="1">IFERROR(__xludf.DUMMYFUNCTION("""COMPUTED_VALUE"""),"Yes")</f>
        <v>Yes</v>
      </c>
      <c r="O572" s="5" t="str">
        <f ca="1">IFERROR(__xludf.DUMMYFUNCTION("""COMPUTED_VALUE"""),"Yes")</f>
        <v>Yes</v>
      </c>
      <c r="P572" s="5" t="str">
        <f ca="1">IFERROR(__xludf.DUMMYFUNCTION("""COMPUTED_VALUE"""),"Yes")</f>
        <v>Yes</v>
      </c>
      <c r="Q572" s="5" t="str">
        <f ca="1">IFERROR(__xludf.DUMMYFUNCTION("""COMPUTED_VALUE"""),"Yes")</f>
        <v>Yes</v>
      </c>
      <c r="R572" s="5" t="str">
        <f ca="1">IFERROR(__xludf.DUMMYFUNCTION("""COMPUTED_VALUE"""),"Yes")</f>
        <v>Yes</v>
      </c>
      <c r="S572" s="5" t="str">
        <f ca="1">IFERROR(__xludf.DUMMYFUNCTION("""COMPUTED_VALUE"""),"Yes")</f>
        <v>Yes</v>
      </c>
      <c r="T572" s="5" t="str">
        <f ca="1">IFERROR(__xludf.DUMMYFUNCTION("""COMPUTED_VALUE"""),"No")</f>
        <v>No</v>
      </c>
      <c r="U572" s="5" t="str">
        <f ca="1">IFERROR(__xludf.DUMMYFUNCTION("""COMPUTED_VALUE"""),"No")</f>
        <v>No</v>
      </c>
      <c r="V572" s="5" t="str">
        <f ca="1">IFERROR(__xludf.DUMMYFUNCTION("""COMPUTED_VALUE"""),"No")</f>
        <v>No</v>
      </c>
      <c r="W572" s="5" t="str">
        <f ca="1">IFERROR(__xludf.DUMMYFUNCTION("""COMPUTED_VALUE"""),"No")</f>
        <v>No</v>
      </c>
      <c r="X572" s="5" t="str">
        <f ca="1">IFERROR(__xludf.DUMMYFUNCTION("""COMPUTED_VALUE"""),"No")</f>
        <v>No</v>
      </c>
      <c r="Y572" s="5" t="str">
        <f ca="1">IFERROR(__xludf.DUMMYFUNCTION("""COMPUTED_VALUE"""),"No")</f>
        <v>No</v>
      </c>
      <c r="Z572" s="5" t="str">
        <f ca="1">IFERROR(__xludf.DUMMYFUNCTION("""COMPUTED_VALUE"""),"No")</f>
        <v>No</v>
      </c>
      <c r="AA572" s="5" t="str">
        <f ca="1">IFERROR(__xludf.DUMMYFUNCTION("""COMPUTED_VALUE"""),"No")</f>
        <v>No</v>
      </c>
      <c r="AB572" s="5" t="str">
        <f ca="1">IFERROR(__xludf.DUMMYFUNCTION("""COMPUTED_VALUE"""),"No")</f>
        <v>No</v>
      </c>
      <c r="AC572" s="5" t="str">
        <f ca="1">IFERROR(__xludf.DUMMYFUNCTION("""COMPUTED_VALUE"""),"No")</f>
        <v>No</v>
      </c>
      <c r="AD572" s="5" t="str">
        <f ca="1">IFERROR(__xludf.DUMMYFUNCTION("""COMPUTED_VALUE"""),"No")</f>
        <v>No</v>
      </c>
      <c r="AE572" s="5" t="str">
        <f ca="1">IFERROR(__xludf.DUMMYFUNCTION("""COMPUTED_VALUE"""),"No")</f>
        <v>No</v>
      </c>
      <c r="AF572" s="5" t="str">
        <f ca="1">IFERROR(__xludf.DUMMYFUNCTION("""COMPUTED_VALUE"""),"Yes")</f>
        <v>Yes</v>
      </c>
      <c r="AG572" s="5" t="str">
        <f ca="1">IFERROR(__xludf.DUMMYFUNCTION("""COMPUTED_VALUE"""),"No")</f>
        <v>No</v>
      </c>
      <c r="AH572" s="5" t="str">
        <f ca="1">IFERROR(__xludf.DUMMYFUNCTION("""COMPUTED_VALUE"""),"Yes")</f>
        <v>Yes</v>
      </c>
      <c r="AI572" s="5" t="str">
        <f ca="1">IFERROR(__xludf.DUMMYFUNCTION("""COMPUTED_VALUE"""),"No")</f>
        <v>No</v>
      </c>
      <c r="AJ572" s="5" t="str">
        <f ca="1">IFERROR(__xludf.DUMMYFUNCTION("""COMPUTED_VALUE"""),"No")</f>
        <v>No</v>
      </c>
      <c r="AK572" s="5" t="str">
        <f ca="1">IFERROR(__xludf.DUMMYFUNCTION("""COMPUTED_VALUE"""),"No")</f>
        <v>No</v>
      </c>
      <c r="AL572" s="5" t="str">
        <f ca="1">IFERROR(__xludf.DUMMYFUNCTION("""COMPUTED_VALUE"""),"No")</f>
        <v>No</v>
      </c>
      <c r="AM572" s="5"/>
      <c r="AN572" s="5"/>
      <c r="AO572" s="5"/>
      <c r="AP572" s="5"/>
      <c r="AQ572" s="5"/>
      <c r="AR572" s="5"/>
      <c r="AS572" s="5"/>
      <c r="AT572" s="5"/>
      <c r="AU572" s="5"/>
      <c r="AV572" s="5"/>
      <c r="AW572" s="5"/>
      <c r="AX572" s="5"/>
      <c r="AY572" s="5"/>
    </row>
    <row r="573" spans="1:51" x14ac:dyDescent="0.25">
      <c r="A573"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3" s="5">
        <f ca="1">IFERROR(__xludf.DUMMYFUNCTION("""COMPUTED_VALUE"""),608)</f>
        <v>608</v>
      </c>
      <c r="C573" s="5">
        <f ca="1">IFERROR(__xludf.DUMMYFUNCTION("""COMPUTED_VALUE"""),180040)</f>
        <v>180040</v>
      </c>
      <c r="D573" s="5" t="str">
        <f ca="1">IFERROR(__xludf.DUMMYFUNCTION("""COMPUTED_VALUE"""),"RedstoneMultiHeart5")</f>
        <v>RedstoneMultiHeart5</v>
      </c>
      <c r="E573" s="5" t="str">
        <f ca="1">IFERROR(__xludf.DUMMYFUNCTION("""COMPUTED_VALUE"""),"Yes")</f>
        <v>Yes</v>
      </c>
      <c r="F573" s="5" t="str">
        <f ca="1">IFERROR(__xludf.DUMMYFUNCTION("""COMPUTED_VALUE"""),"Yes")</f>
        <v>Yes</v>
      </c>
      <c r="G573" s="5" t="str">
        <f ca="1">IFERROR(__xludf.DUMMYFUNCTION("""COMPUTED_VALUE"""),"Yes")</f>
        <v>Yes</v>
      </c>
      <c r="H573" s="5" t="str">
        <f ca="1">IFERROR(__xludf.DUMMYFUNCTION("""COMPUTED_VALUE"""),"Yes")</f>
        <v>Yes</v>
      </c>
      <c r="I573" s="5" t="str">
        <f ca="1">IFERROR(__xludf.DUMMYFUNCTION("""COMPUTED_VALUE"""),"Yes")</f>
        <v>Yes</v>
      </c>
      <c r="J573" s="5" t="str">
        <f ca="1">IFERROR(__xludf.DUMMYFUNCTION("""COMPUTED_VALUE"""),"Yes")</f>
        <v>Yes</v>
      </c>
      <c r="K573" s="5" t="str">
        <f ca="1">IFERROR(__xludf.DUMMYFUNCTION("""COMPUTED_VALUE"""),"Yes")</f>
        <v>Yes</v>
      </c>
      <c r="L573" s="5" t="str">
        <f ca="1">IFERROR(__xludf.DUMMYFUNCTION("""COMPUTED_VALUE"""),"Yes")</f>
        <v>Yes</v>
      </c>
      <c r="M573" s="5" t="str">
        <f ca="1">IFERROR(__xludf.DUMMYFUNCTION("""COMPUTED_VALUE"""),"Yes")</f>
        <v>Yes</v>
      </c>
      <c r="N573" s="5" t="str">
        <f ca="1">IFERROR(__xludf.DUMMYFUNCTION("""COMPUTED_VALUE"""),"Yes")</f>
        <v>Yes</v>
      </c>
      <c r="O573" s="5" t="str">
        <f ca="1">IFERROR(__xludf.DUMMYFUNCTION("""COMPUTED_VALUE"""),"Yes")</f>
        <v>Yes</v>
      </c>
      <c r="P573" s="5" t="str">
        <f ca="1">IFERROR(__xludf.DUMMYFUNCTION("""COMPUTED_VALUE"""),"Yes")</f>
        <v>Yes</v>
      </c>
      <c r="Q573" s="5" t="str">
        <f ca="1">IFERROR(__xludf.DUMMYFUNCTION("""COMPUTED_VALUE"""),"Yes")</f>
        <v>Yes</v>
      </c>
      <c r="R573" s="5" t="str">
        <f ca="1">IFERROR(__xludf.DUMMYFUNCTION("""COMPUTED_VALUE"""),"Yes")</f>
        <v>Yes</v>
      </c>
      <c r="S573" s="5" t="str">
        <f ca="1">IFERROR(__xludf.DUMMYFUNCTION("""COMPUTED_VALUE"""),"Yes")</f>
        <v>Yes</v>
      </c>
      <c r="T573" s="5" t="str">
        <f ca="1">IFERROR(__xludf.DUMMYFUNCTION("""COMPUTED_VALUE"""),"No")</f>
        <v>No</v>
      </c>
      <c r="U573" s="5" t="str">
        <f ca="1">IFERROR(__xludf.DUMMYFUNCTION("""COMPUTED_VALUE"""),"No")</f>
        <v>No</v>
      </c>
      <c r="V573" s="5" t="str">
        <f ca="1">IFERROR(__xludf.DUMMYFUNCTION("""COMPUTED_VALUE"""),"No")</f>
        <v>No</v>
      </c>
      <c r="W573" s="5" t="str">
        <f ca="1">IFERROR(__xludf.DUMMYFUNCTION("""COMPUTED_VALUE"""),"No")</f>
        <v>No</v>
      </c>
      <c r="X573" s="5" t="str">
        <f ca="1">IFERROR(__xludf.DUMMYFUNCTION("""COMPUTED_VALUE"""),"No")</f>
        <v>No</v>
      </c>
      <c r="Y573" s="5" t="str">
        <f ca="1">IFERROR(__xludf.DUMMYFUNCTION("""COMPUTED_VALUE"""),"No")</f>
        <v>No</v>
      </c>
      <c r="Z573" s="5" t="str">
        <f ca="1">IFERROR(__xludf.DUMMYFUNCTION("""COMPUTED_VALUE"""),"No")</f>
        <v>No</v>
      </c>
      <c r="AA573" s="5" t="str">
        <f ca="1">IFERROR(__xludf.DUMMYFUNCTION("""COMPUTED_VALUE"""),"Yes")</f>
        <v>Yes</v>
      </c>
      <c r="AB573" s="5" t="str">
        <f ca="1">IFERROR(__xludf.DUMMYFUNCTION("""COMPUTED_VALUE"""),"No")</f>
        <v>No</v>
      </c>
      <c r="AC573" s="5" t="str">
        <f ca="1">IFERROR(__xludf.DUMMYFUNCTION("""COMPUTED_VALUE"""),"No")</f>
        <v>No</v>
      </c>
      <c r="AD573" s="5" t="str">
        <f ca="1">IFERROR(__xludf.DUMMYFUNCTION("""COMPUTED_VALUE"""),"No")</f>
        <v>No</v>
      </c>
      <c r="AE573" s="5" t="str">
        <f ca="1">IFERROR(__xludf.DUMMYFUNCTION("""COMPUTED_VALUE"""),"No")</f>
        <v>No</v>
      </c>
      <c r="AF573" s="5" t="str">
        <f ca="1">IFERROR(__xludf.DUMMYFUNCTION("""COMPUTED_VALUE"""),"Yes")</f>
        <v>Yes</v>
      </c>
      <c r="AG573" s="5" t="str">
        <f ca="1">IFERROR(__xludf.DUMMYFUNCTION("""COMPUTED_VALUE"""),"No")</f>
        <v>No</v>
      </c>
      <c r="AH573" s="5" t="str">
        <f ca="1">IFERROR(__xludf.DUMMYFUNCTION("""COMPUTED_VALUE"""),"Yes")</f>
        <v>Yes</v>
      </c>
      <c r="AI573" s="5" t="str">
        <f ca="1">IFERROR(__xludf.DUMMYFUNCTION("""COMPUTED_VALUE"""),"No")</f>
        <v>No</v>
      </c>
      <c r="AJ573" s="5" t="str">
        <f ca="1">IFERROR(__xludf.DUMMYFUNCTION("""COMPUTED_VALUE"""),"No")</f>
        <v>No</v>
      </c>
      <c r="AK573" s="5" t="str">
        <f ca="1">IFERROR(__xludf.DUMMYFUNCTION("""COMPUTED_VALUE"""),"No")</f>
        <v>No</v>
      </c>
      <c r="AL573" s="5" t="str">
        <f ca="1">IFERROR(__xludf.DUMMYFUNCTION("""COMPUTED_VALUE"""),"No")</f>
        <v>No</v>
      </c>
      <c r="AM573" s="5"/>
      <c r="AN573" s="5"/>
      <c r="AO573" s="5"/>
      <c r="AP573" s="5"/>
      <c r="AQ573" s="5"/>
      <c r="AR573" s="5"/>
      <c r="AS573" s="5"/>
      <c r="AT573" s="5"/>
      <c r="AU573" s="5"/>
      <c r="AV573" s="5"/>
      <c r="AW573" s="5"/>
      <c r="AX573" s="5"/>
      <c r="AY573" s="5"/>
    </row>
    <row r="574" spans="1:51" x14ac:dyDescent="0.25">
      <c r="A574"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4" s="5">
        <f ca="1">IFERROR(__xludf.DUMMYFUNCTION("""COMPUTED_VALUE"""),609)</f>
        <v>609</v>
      </c>
      <c r="C574" s="5">
        <f ca="1">IFERROR(__xludf.DUMMYFUNCTION("""COMPUTED_VALUE"""),180041)</f>
        <v>180041</v>
      </c>
      <c r="D574" s="5" t="str">
        <f ca="1">IFERROR(__xludf.DUMMYFUNCTION("""COMPUTED_VALUE"""),"Redstone20WildHeart")</f>
        <v>Redstone20WildHeart</v>
      </c>
      <c r="E574" s="5" t="str">
        <f ca="1">IFERROR(__xludf.DUMMYFUNCTION("""COMPUTED_VALUE"""),"Yes")</f>
        <v>Yes</v>
      </c>
      <c r="F574" s="5" t="str">
        <f ca="1">IFERROR(__xludf.DUMMYFUNCTION("""COMPUTED_VALUE"""),"Yes")</f>
        <v>Yes</v>
      </c>
      <c r="G574" s="5" t="str">
        <f ca="1">IFERROR(__xludf.DUMMYFUNCTION("""COMPUTED_VALUE"""),"No")</f>
        <v>No</v>
      </c>
      <c r="H574" s="5" t="str">
        <f ca="1">IFERROR(__xludf.DUMMYFUNCTION("""COMPUTED_VALUE"""),"Yes")</f>
        <v>Yes</v>
      </c>
      <c r="I574" s="5" t="str">
        <f ca="1">IFERROR(__xludf.DUMMYFUNCTION("""COMPUTED_VALUE"""),"Yes")</f>
        <v>Yes</v>
      </c>
      <c r="J574" s="5" t="str">
        <f ca="1">IFERROR(__xludf.DUMMYFUNCTION("""COMPUTED_VALUE"""),"Yes")</f>
        <v>Yes</v>
      </c>
      <c r="K574" s="5" t="str">
        <f ca="1">IFERROR(__xludf.DUMMYFUNCTION("""COMPUTED_VALUE"""),"Yes")</f>
        <v>Yes</v>
      </c>
      <c r="L574" s="5" t="str">
        <f ca="1">IFERROR(__xludf.DUMMYFUNCTION("""COMPUTED_VALUE"""),"Yes")</f>
        <v>Yes</v>
      </c>
      <c r="M574" s="5" t="str">
        <f ca="1">IFERROR(__xludf.DUMMYFUNCTION("""COMPUTED_VALUE"""),"Yes")</f>
        <v>Yes</v>
      </c>
      <c r="N574" s="5" t="str">
        <f ca="1">IFERROR(__xludf.DUMMYFUNCTION("""COMPUTED_VALUE"""),"Yes")</f>
        <v>Yes</v>
      </c>
      <c r="O574" s="5" t="str">
        <f ca="1">IFERROR(__xludf.DUMMYFUNCTION("""COMPUTED_VALUE"""),"Yes")</f>
        <v>Yes</v>
      </c>
      <c r="P574" s="5" t="str">
        <f ca="1">IFERROR(__xludf.DUMMYFUNCTION("""COMPUTED_VALUE"""),"Yes")</f>
        <v>Yes</v>
      </c>
      <c r="Q574" s="5" t="str">
        <f ca="1">IFERROR(__xludf.DUMMYFUNCTION("""COMPUTED_VALUE"""),"Yes")</f>
        <v>Yes</v>
      </c>
      <c r="R574" s="5" t="str">
        <f ca="1">IFERROR(__xludf.DUMMYFUNCTION("""COMPUTED_VALUE"""),"Yes")</f>
        <v>Yes</v>
      </c>
      <c r="S574" s="5" t="str">
        <f ca="1">IFERROR(__xludf.DUMMYFUNCTION("""COMPUTED_VALUE"""),"Yes")</f>
        <v>Yes</v>
      </c>
      <c r="T574" s="5" t="str">
        <f ca="1">IFERROR(__xludf.DUMMYFUNCTION("""COMPUTED_VALUE"""),"No")</f>
        <v>No</v>
      </c>
      <c r="U574" s="5" t="str">
        <f ca="1">IFERROR(__xludf.DUMMYFUNCTION("""COMPUTED_VALUE"""),"No")</f>
        <v>No</v>
      </c>
      <c r="V574" s="5" t="str">
        <f ca="1">IFERROR(__xludf.DUMMYFUNCTION("""COMPUTED_VALUE"""),"No")</f>
        <v>No</v>
      </c>
      <c r="W574" s="5" t="str">
        <f ca="1">IFERROR(__xludf.DUMMYFUNCTION("""COMPUTED_VALUE"""),"No")</f>
        <v>No</v>
      </c>
      <c r="X574" s="5" t="str">
        <f ca="1">IFERROR(__xludf.DUMMYFUNCTION("""COMPUTED_VALUE"""),"No")</f>
        <v>No</v>
      </c>
      <c r="Y574" s="5" t="str">
        <f ca="1">IFERROR(__xludf.DUMMYFUNCTION("""COMPUTED_VALUE"""),"No")</f>
        <v>No</v>
      </c>
      <c r="Z574" s="5" t="str">
        <f ca="1">IFERROR(__xludf.DUMMYFUNCTION("""COMPUTED_VALUE"""),"No")</f>
        <v>No</v>
      </c>
      <c r="AA574" s="5" t="str">
        <f ca="1">IFERROR(__xludf.DUMMYFUNCTION("""COMPUTED_VALUE"""),"Yes")</f>
        <v>Yes</v>
      </c>
      <c r="AB574" s="5" t="str">
        <f ca="1">IFERROR(__xludf.DUMMYFUNCTION("""COMPUTED_VALUE"""),"No")</f>
        <v>No</v>
      </c>
      <c r="AC574" s="5" t="str">
        <f ca="1">IFERROR(__xludf.DUMMYFUNCTION("""COMPUTED_VALUE"""),"No")</f>
        <v>No</v>
      </c>
      <c r="AD574" s="5" t="str">
        <f ca="1">IFERROR(__xludf.DUMMYFUNCTION("""COMPUTED_VALUE"""),"No")</f>
        <v>No</v>
      </c>
      <c r="AE574" s="5" t="str">
        <f ca="1">IFERROR(__xludf.DUMMYFUNCTION("""COMPUTED_VALUE"""),"No")</f>
        <v>No</v>
      </c>
      <c r="AF574" s="5" t="str">
        <f ca="1">IFERROR(__xludf.DUMMYFUNCTION("""COMPUTED_VALUE"""),"Yes")</f>
        <v>Yes</v>
      </c>
      <c r="AG574" s="5" t="str">
        <f ca="1">IFERROR(__xludf.DUMMYFUNCTION("""COMPUTED_VALUE"""),"No")</f>
        <v>No</v>
      </c>
      <c r="AH574" s="5" t="str">
        <f ca="1">IFERROR(__xludf.DUMMYFUNCTION("""COMPUTED_VALUE"""),"Yes")</f>
        <v>Yes</v>
      </c>
      <c r="AI574" s="5" t="str">
        <f ca="1">IFERROR(__xludf.DUMMYFUNCTION("""COMPUTED_VALUE"""),"No")</f>
        <v>No</v>
      </c>
      <c r="AJ574" s="5" t="str">
        <f ca="1">IFERROR(__xludf.DUMMYFUNCTION("""COMPUTED_VALUE"""),"No")</f>
        <v>No</v>
      </c>
      <c r="AK574" s="5" t="str">
        <f ca="1">IFERROR(__xludf.DUMMYFUNCTION("""COMPUTED_VALUE"""),"No")</f>
        <v>No</v>
      </c>
      <c r="AL574" s="5" t="str">
        <f ca="1">IFERROR(__xludf.DUMMYFUNCTION("""COMPUTED_VALUE"""),"No")</f>
        <v>No</v>
      </c>
      <c r="AM574" s="5"/>
      <c r="AN574" s="5"/>
      <c r="AO574" s="5"/>
      <c r="AP574" s="5"/>
      <c r="AQ574" s="5"/>
      <c r="AR574" s="5"/>
      <c r="AS574" s="5"/>
      <c r="AT574" s="5"/>
      <c r="AU574" s="5"/>
      <c r="AV574" s="5"/>
      <c r="AW574" s="5"/>
      <c r="AX574" s="5"/>
      <c r="AY574" s="5"/>
    </row>
    <row r="575" spans="1:51" x14ac:dyDescent="0.25">
      <c r="A575" s="5" t="str">
        <f ca="1">IFERROR(__xludf.DUMMYFUNCTION("""COMPUTED_VALUE"""),"")</f>
        <v/>
      </c>
      <c r="B575" s="5">
        <f ca="1">IFERROR(__xludf.DUMMYFUNCTION("""COMPUTED_VALUE"""),609)</f>
        <v>609</v>
      </c>
      <c r="C575" s="5">
        <f ca="1">IFERROR(__xludf.DUMMYFUNCTION("""COMPUTED_VALUE"""),523)</f>
        <v>523</v>
      </c>
      <c r="D575" s="5" t="str">
        <f ca="1">IFERROR(__xludf.DUMMYFUNCTION("""COMPUTED_VALUE"""),"PlayNetFortuneCloverX2Xmas")</f>
        <v>PlayNetFortuneCloverX2Xmas</v>
      </c>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row>
    <row r="576" spans="1:51" x14ac:dyDescent="0.25">
      <c r="A576"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6" s="5">
        <f ca="1">IFERROR(__xludf.DUMMYFUNCTION("""COMPUTED_VALUE"""),610)</f>
        <v>610</v>
      </c>
      <c r="C576" s="5">
        <f ca="1">IFERROR(__xludf.DUMMYFUNCTION("""COMPUTED_VALUE"""),180042)</f>
        <v>180042</v>
      </c>
      <c r="D576" s="5" t="str">
        <f ca="1">IFERROR(__xludf.DUMMYFUNCTION("""COMPUTED_VALUE"""),"RedstoneChilliHot40")</f>
        <v>RedstoneChilliHot40</v>
      </c>
      <c r="E576" s="5" t="str">
        <f ca="1">IFERROR(__xludf.DUMMYFUNCTION("""COMPUTED_VALUE"""),"Yes")</f>
        <v>Yes</v>
      </c>
      <c r="F576" s="5" t="str">
        <f ca="1">IFERROR(__xludf.DUMMYFUNCTION("""COMPUTED_VALUE"""),"Yes")</f>
        <v>Yes</v>
      </c>
      <c r="G576" s="5" t="str">
        <f ca="1">IFERROR(__xludf.DUMMYFUNCTION("""COMPUTED_VALUE"""),"No")</f>
        <v>No</v>
      </c>
      <c r="H576" s="5" t="str">
        <f ca="1">IFERROR(__xludf.DUMMYFUNCTION("""COMPUTED_VALUE"""),"Yes")</f>
        <v>Yes</v>
      </c>
      <c r="I576" s="5" t="str">
        <f ca="1">IFERROR(__xludf.DUMMYFUNCTION("""COMPUTED_VALUE"""),"Yes")</f>
        <v>Yes</v>
      </c>
      <c r="J576" s="5" t="str">
        <f ca="1">IFERROR(__xludf.DUMMYFUNCTION("""COMPUTED_VALUE"""),"Yes")</f>
        <v>Yes</v>
      </c>
      <c r="K576" s="5" t="str">
        <f ca="1">IFERROR(__xludf.DUMMYFUNCTION("""COMPUTED_VALUE"""),"Yes")</f>
        <v>Yes</v>
      </c>
      <c r="L576" s="5" t="str">
        <f ca="1">IFERROR(__xludf.DUMMYFUNCTION("""COMPUTED_VALUE"""),"Yes")</f>
        <v>Yes</v>
      </c>
      <c r="M576" s="5" t="str">
        <f ca="1">IFERROR(__xludf.DUMMYFUNCTION("""COMPUTED_VALUE"""),"Yes")</f>
        <v>Yes</v>
      </c>
      <c r="N576" s="5" t="str">
        <f ca="1">IFERROR(__xludf.DUMMYFUNCTION("""COMPUTED_VALUE"""),"Yes")</f>
        <v>Yes</v>
      </c>
      <c r="O576" s="5" t="str">
        <f ca="1">IFERROR(__xludf.DUMMYFUNCTION("""COMPUTED_VALUE"""),"Yes")</f>
        <v>Yes</v>
      </c>
      <c r="P576" s="5" t="str">
        <f ca="1">IFERROR(__xludf.DUMMYFUNCTION("""COMPUTED_VALUE"""),"Yes")</f>
        <v>Yes</v>
      </c>
      <c r="Q576" s="5" t="str">
        <f ca="1">IFERROR(__xludf.DUMMYFUNCTION("""COMPUTED_VALUE"""),"Yes")</f>
        <v>Yes</v>
      </c>
      <c r="R576" s="5" t="str">
        <f ca="1">IFERROR(__xludf.DUMMYFUNCTION("""COMPUTED_VALUE"""),"Yes")</f>
        <v>Yes</v>
      </c>
      <c r="S576" s="5" t="str">
        <f ca="1">IFERROR(__xludf.DUMMYFUNCTION("""COMPUTED_VALUE"""),"Yes")</f>
        <v>Yes</v>
      </c>
      <c r="T576" s="5" t="str">
        <f ca="1">IFERROR(__xludf.DUMMYFUNCTION("""COMPUTED_VALUE"""),"No")</f>
        <v>No</v>
      </c>
      <c r="U576" s="5" t="str">
        <f ca="1">IFERROR(__xludf.DUMMYFUNCTION("""COMPUTED_VALUE"""),"No")</f>
        <v>No</v>
      </c>
      <c r="V576" s="5" t="str">
        <f ca="1">IFERROR(__xludf.DUMMYFUNCTION("""COMPUTED_VALUE"""),"No")</f>
        <v>No</v>
      </c>
      <c r="W576" s="5" t="str">
        <f ca="1">IFERROR(__xludf.DUMMYFUNCTION("""COMPUTED_VALUE"""),"No")</f>
        <v>No</v>
      </c>
      <c r="X576" s="5" t="str">
        <f ca="1">IFERROR(__xludf.DUMMYFUNCTION("""COMPUTED_VALUE"""),"No")</f>
        <v>No</v>
      </c>
      <c r="Y576" s="5" t="str">
        <f ca="1">IFERROR(__xludf.DUMMYFUNCTION("""COMPUTED_VALUE"""),"No")</f>
        <v>No</v>
      </c>
      <c r="Z576" s="5" t="str">
        <f ca="1">IFERROR(__xludf.DUMMYFUNCTION("""COMPUTED_VALUE"""),"No")</f>
        <v>No</v>
      </c>
      <c r="AA576" s="5" t="str">
        <f ca="1">IFERROR(__xludf.DUMMYFUNCTION("""COMPUTED_VALUE"""),"Yes")</f>
        <v>Yes</v>
      </c>
      <c r="AB576" s="5" t="str">
        <f ca="1">IFERROR(__xludf.DUMMYFUNCTION("""COMPUTED_VALUE"""),"No")</f>
        <v>No</v>
      </c>
      <c r="AC576" s="5" t="str">
        <f ca="1">IFERROR(__xludf.DUMMYFUNCTION("""COMPUTED_VALUE"""),"No")</f>
        <v>No</v>
      </c>
      <c r="AD576" s="5" t="str">
        <f ca="1">IFERROR(__xludf.DUMMYFUNCTION("""COMPUTED_VALUE"""),"No")</f>
        <v>No</v>
      </c>
      <c r="AE576" s="5" t="str">
        <f ca="1">IFERROR(__xludf.DUMMYFUNCTION("""COMPUTED_VALUE"""),"No")</f>
        <v>No</v>
      </c>
      <c r="AF576" s="5" t="str">
        <f ca="1">IFERROR(__xludf.DUMMYFUNCTION("""COMPUTED_VALUE"""),"Yes")</f>
        <v>Yes</v>
      </c>
      <c r="AG576" s="5" t="str">
        <f ca="1">IFERROR(__xludf.DUMMYFUNCTION("""COMPUTED_VALUE"""),"No")</f>
        <v>No</v>
      </c>
      <c r="AH576" s="5" t="str">
        <f ca="1">IFERROR(__xludf.DUMMYFUNCTION("""COMPUTED_VALUE"""),"Yes")</f>
        <v>Yes</v>
      </c>
      <c r="AI576" s="5" t="str">
        <f ca="1">IFERROR(__xludf.DUMMYFUNCTION("""COMPUTED_VALUE"""),"No")</f>
        <v>No</v>
      </c>
      <c r="AJ576" s="5" t="str">
        <f ca="1">IFERROR(__xludf.DUMMYFUNCTION("""COMPUTED_VALUE"""),"No")</f>
        <v>No</v>
      </c>
      <c r="AK576" s="5" t="str">
        <f ca="1">IFERROR(__xludf.DUMMYFUNCTION("""COMPUTED_VALUE"""),"No")</f>
        <v>No</v>
      </c>
      <c r="AL576" s="5" t="str">
        <f ca="1">IFERROR(__xludf.DUMMYFUNCTION("""COMPUTED_VALUE"""),"No")</f>
        <v>No</v>
      </c>
      <c r="AM576" s="5"/>
      <c r="AN576" s="5"/>
      <c r="AO576" s="5"/>
      <c r="AP576" s="5"/>
      <c r="AQ576" s="5"/>
      <c r="AR576" s="5"/>
      <c r="AS576" s="5"/>
      <c r="AT576" s="5"/>
      <c r="AU576" s="5"/>
      <c r="AV576" s="5"/>
      <c r="AW576" s="5"/>
      <c r="AX576" s="5"/>
      <c r="AY576" s="5"/>
    </row>
    <row r="577" spans="1:51" x14ac:dyDescent="0.25">
      <c r="A57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7" s="5">
        <f ca="1">IFERROR(__xludf.DUMMYFUNCTION("""COMPUTED_VALUE"""),611)</f>
        <v>611</v>
      </c>
      <c r="C577" s="5">
        <f ca="1">IFERROR(__xludf.DUMMYFUNCTION("""COMPUTED_VALUE"""),524)</f>
        <v>524</v>
      </c>
      <c r="D577" s="5" t="str">
        <f ca="1">IFERROR(__xludf.DUMMYFUNCTION("""COMPUTED_VALUE""")," PlayNetGearsOfFortune")</f>
        <v xml:space="preserve"> PlayNetGearsOfFortune</v>
      </c>
      <c r="E577" s="5" t="str">
        <f ca="1">IFERROR(__xludf.DUMMYFUNCTION("""COMPUTED_VALUE"""),"Yes")</f>
        <v>Yes</v>
      </c>
      <c r="F577" s="5" t="str">
        <f ca="1">IFERROR(__xludf.DUMMYFUNCTION("""COMPUTED_VALUE"""),"Yes")</f>
        <v>Yes</v>
      </c>
      <c r="G577" s="5" t="str">
        <f ca="1">IFERROR(__xludf.DUMMYFUNCTION("""COMPUTED_VALUE"""),"No")</f>
        <v>No</v>
      </c>
      <c r="H577" s="5" t="str">
        <f ca="1">IFERROR(__xludf.DUMMYFUNCTION("""COMPUTED_VALUE"""),"Yes")</f>
        <v>Yes</v>
      </c>
      <c r="I577" s="5" t="str">
        <f ca="1">IFERROR(__xludf.DUMMYFUNCTION("""COMPUTED_VALUE"""),"Yes")</f>
        <v>Yes</v>
      </c>
      <c r="J577" s="5" t="str">
        <f ca="1">IFERROR(__xludf.DUMMYFUNCTION("""COMPUTED_VALUE"""),"Yes")</f>
        <v>Yes</v>
      </c>
      <c r="K577" s="5" t="str">
        <f ca="1">IFERROR(__xludf.DUMMYFUNCTION("""COMPUTED_VALUE"""),"Yes")</f>
        <v>Yes</v>
      </c>
      <c r="L577" s="5" t="str">
        <f ca="1">IFERROR(__xludf.DUMMYFUNCTION("""COMPUTED_VALUE"""),"Yes")</f>
        <v>Yes</v>
      </c>
      <c r="M577" s="5" t="str">
        <f ca="1">IFERROR(__xludf.DUMMYFUNCTION("""COMPUTED_VALUE"""),"Yes")</f>
        <v>Yes</v>
      </c>
      <c r="N577" s="5" t="str">
        <f ca="1">IFERROR(__xludf.DUMMYFUNCTION("""COMPUTED_VALUE"""),"Yes")</f>
        <v>Yes</v>
      </c>
      <c r="O577" s="5" t="str">
        <f ca="1">IFERROR(__xludf.DUMMYFUNCTION("""COMPUTED_VALUE"""),"Yes")</f>
        <v>Yes</v>
      </c>
      <c r="P577" s="5" t="str">
        <f ca="1">IFERROR(__xludf.DUMMYFUNCTION("""COMPUTED_VALUE"""),"Yes")</f>
        <v>Yes</v>
      </c>
      <c r="Q577" s="5" t="str">
        <f ca="1">IFERROR(__xludf.DUMMYFUNCTION("""COMPUTED_VALUE"""),"Yes")</f>
        <v>Yes</v>
      </c>
      <c r="R577" s="5" t="str">
        <f ca="1">IFERROR(__xludf.DUMMYFUNCTION("""COMPUTED_VALUE"""),"Yes")</f>
        <v>Yes</v>
      </c>
      <c r="S577" s="5" t="str">
        <f ca="1">IFERROR(__xludf.DUMMYFUNCTION("""COMPUTED_VALUE"""),"Yes")</f>
        <v>Yes</v>
      </c>
      <c r="T577" s="5" t="str">
        <f ca="1">IFERROR(__xludf.DUMMYFUNCTION("""COMPUTED_VALUE"""),"No")</f>
        <v>No</v>
      </c>
      <c r="U577" s="5" t="str">
        <f ca="1">IFERROR(__xludf.DUMMYFUNCTION("""COMPUTED_VALUE"""),"No")</f>
        <v>No</v>
      </c>
      <c r="V577" s="5" t="str">
        <f ca="1">IFERROR(__xludf.DUMMYFUNCTION("""COMPUTED_VALUE"""),"No")</f>
        <v>No</v>
      </c>
      <c r="W577" s="5" t="str">
        <f ca="1">IFERROR(__xludf.DUMMYFUNCTION("""COMPUTED_VALUE"""),"No")</f>
        <v>No</v>
      </c>
      <c r="X577" s="5" t="str">
        <f ca="1">IFERROR(__xludf.DUMMYFUNCTION("""COMPUTED_VALUE"""),"No")</f>
        <v>No</v>
      </c>
      <c r="Y577" s="5" t="str">
        <f ca="1">IFERROR(__xludf.DUMMYFUNCTION("""COMPUTED_VALUE"""),"No")</f>
        <v>No</v>
      </c>
      <c r="Z577" s="5" t="str">
        <f ca="1">IFERROR(__xludf.DUMMYFUNCTION("""COMPUTED_VALUE"""),"No")</f>
        <v>No</v>
      </c>
      <c r="AA577" s="5" t="str">
        <f ca="1">IFERROR(__xludf.DUMMYFUNCTION("""COMPUTED_VALUE"""),"No")</f>
        <v>No</v>
      </c>
      <c r="AB577" s="5" t="str">
        <f ca="1">IFERROR(__xludf.DUMMYFUNCTION("""COMPUTED_VALUE"""),"No")</f>
        <v>No</v>
      </c>
      <c r="AC577" s="5" t="str">
        <f ca="1">IFERROR(__xludf.DUMMYFUNCTION("""COMPUTED_VALUE"""),"No")</f>
        <v>No</v>
      </c>
      <c r="AD577" s="5" t="str">
        <f ca="1">IFERROR(__xludf.DUMMYFUNCTION("""COMPUTED_VALUE"""),"No")</f>
        <v>No</v>
      </c>
      <c r="AE577" s="5" t="str">
        <f ca="1">IFERROR(__xludf.DUMMYFUNCTION("""COMPUTED_VALUE"""),"No")</f>
        <v>No</v>
      </c>
      <c r="AF577" s="5" t="str">
        <f ca="1">IFERROR(__xludf.DUMMYFUNCTION("""COMPUTED_VALUE"""),"Yes")</f>
        <v>Yes</v>
      </c>
      <c r="AG577" s="5" t="str">
        <f ca="1">IFERROR(__xludf.DUMMYFUNCTION("""COMPUTED_VALUE"""),"No")</f>
        <v>No</v>
      </c>
      <c r="AH577" s="5" t="str">
        <f ca="1">IFERROR(__xludf.DUMMYFUNCTION("""COMPUTED_VALUE"""),"Yes")</f>
        <v>Yes</v>
      </c>
      <c r="AI577" s="5" t="str">
        <f ca="1">IFERROR(__xludf.DUMMYFUNCTION("""COMPUTED_VALUE"""),"No")</f>
        <v>No</v>
      </c>
      <c r="AJ577" s="5" t="str">
        <f ca="1">IFERROR(__xludf.DUMMYFUNCTION("""COMPUTED_VALUE"""),"No")</f>
        <v>No</v>
      </c>
      <c r="AK577" s="5" t="str">
        <f ca="1">IFERROR(__xludf.DUMMYFUNCTION("""COMPUTED_VALUE"""),"No")</f>
        <v>No</v>
      </c>
      <c r="AL577" s="5" t="str">
        <f ca="1">IFERROR(__xludf.DUMMYFUNCTION("""COMPUTED_VALUE"""),"No")</f>
        <v>No</v>
      </c>
      <c r="AM577" s="5"/>
      <c r="AN577" s="5"/>
      <c r="AO577" s="5"/>
      <c r="AP577" s="5"/>
      <c r="AQ577" s="5"/>
      <c r="AR577" s="5"/>
      <c r="AS577" s="5"/>
      <c r="AT577" s="5"/>
      <c r="AU577" s="5"/>
      <c r="AV577" s="5"/>
      <c r="AW577" s="5"/>
      <c r="AX577" s="5"/>
      <c r="AY577" s="5"/>
    </row>
    <row r="578" spans="1:51" x14ac:dyDescent="0.25">
      <c r="A578"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8" s="5">
        <f ca="1">IFERROR(__xludf.DUMMYFUNCTION("""COMPUTED_VALUE"""),612)</f>
        <v>612</v>
      </c>
      <c r="C578" s="5">
        <f ca="1">IFERROR(__xludf.DUMMYFUNCTION("""COMPUTED_VALUE"""),180043)</f>
        <v>180043</v>
      </c>
      <c r="D578" s="5" t="str">
        <f ca="1">IFERROR(__xludf.DUMMYFUNCTION("""COMPUTED_VALUE"""),"RedstoneInfernoHot20")</f>
        <v>RedstoneInfernoHot20</v>
      </c>
      <c r="E578" s="5" t="str">
        <f ca="1">IFERROR(__xludf.DUMMYFUNCTION("""COMPUTED_VALUE"""),"Yes")</f>
        <v>Yes</v>
      </c>
      <c r="F578" s="5" t="str">
        <f ca="1">IFERROR(__xludf.DUMMYFUNCTION("""COMPUTED_VALUE"""),"Yes")</f>
        <v>Yes</v>
      </c>
      <c r="G578" s="5" t="str">
        <f ca="1">IFERROR(__xludf.DUMMYFUNCTION("""COMPUTED_VALUE"""),"Yes")</f>
        <v>Yes</v>
      </c>
      <c r="H578" s="5" t="str">
        <f ca="1">IFERROR(__xludf.DUMMYFUNCTION("""COMPUTED_VALUE"""),"Yes")</f>
        <v>Yes</v>
      </c>
      <c r="I578" s="5" t="str">
        <f ca="1">IFERROR(__xludf.DUMMYFUNCTION("""COMPUTED_VALUE"""),"Yes")</f>
        <v>Yes</v>
      </c>
      <c r="J578" s="5" t="str">
        <f ca="1">IFERROR(__xludf.DUMMYFUNCTION("""COMPUTED_VALUE"""),"Yes")</f>
        <v>Yes</v>
      </c>
      <c r="K578" s="5" t="str">
        <f ca="1">IFERROR(__xludf.DUMMYFUNCTION("""COMPUTED_VALUE"""),"Yes")</f>
        <v>Yes</v>
      </c>
      <c r="L578" s="5" t="str">
        <f ca="1">IFERROR(__xludf.DUMMYFUNCTION("""COMPUTED_VALUE"""),"Yes")</f>
        <v>Yes</v>
      </c>
      <c r="M578" s="5" t="str">
        <f ca="1">IFERROR(__xludf.DUMMYFUNCTION("""COMPUTED_VALUE"""),"Yes")</f>
        <v>Yes</v>
      </c>
      <c r="N578" s="5" t="str">
        <f ca="1">IFERROR(__xludf.DUMMYFUNCTION("""COMPUTED_VALUE"""),"Yes")</f>
        <v>Yes</v>
      </c>
      <c r="O578" s="5" t="str">
        <f ca="1">IFERROR(__xludf.DUMMYFUNCTION("""COMPUTED_VALUE"""),"Yes")</f>
        <v>Yes</v>
      </c>
      <c r="P578" s="5" t="str">
        <f ca="1">IFERROR(__xludf.DUMMYFUNCTION("""COMPUTED_VALUE"""),"Yes")</f>
        <v>Yes</v>
      </c>
      <c r="Q578" s="5" t="str">
        <f ca="1">IFERROR(__xludf.DUMMYFUNCTION("""COMPUTED_VALUE"""),"Yes")</f>
        <v>Yes</v>
      </c>
      <c r="R578" s="5" t="str">
        <f ca="1">IFERROR(__xludf.DUMMYFUNCTION("""COMPUTED_VALUE"""),"Yes")</f>
        <v>Yes</v>
      </c>
      <c r="S578" s="5" t="str">
        <f ca="1">IFERROR(__xludf.DUMMYFUNCTION("""COMPUTED_VALUE"""),"Yes")</f>
        <v>Yes</v>
      </c>
      <c r="T578" s="5" t="str">
        <f ca="1">IFERROR(__xludf.DUMMYFUNCTION("""COMPUTED_VALUE"""),"No")</f>
        <v>No</v>
      </c>
      <c r="U578" s="5" t="str">
        <f ca="1">IFERROR(__xludf.DUMMYFUNCTION("""COMPUTED_VALUE"""),"No")</f>
        <v>No</v>
      </c>
      <c r="V578" s="5" t="str">
        <f ca="1">IFERROR(__xludf.DUMMYFUNCTION("""COMPUTED_VALUE"""),"No")</f>
        <v>No</v>
      </c>
      <c r="W578" s="5" t="str">
        <f ca="1">IFERROR(__xludf.DUMMYFUNCTION("""COMPUTED_VALUE"""),"No")</f>
        <v>No</v>
      </c>
      <c r="X578" s="5" t="str">
        <f ca="1">IFERROR(__xludf.DUMMYFUNCTION("""COMPUTED_VALUE"""),"No")</f>
        <v>No</v>
      </c>
      <c r="Y578" s="5" t="str">
        <f ca="1">IFERROR(__xludf.DUMMYFUNCTION("""COMPUTED_VALUE"""),"No")</f>
        <v>No</v>
      </c>
      <c r="Z578" s="5" t="str">
        <f ca="1">IFERROR(__xludf.DUMMYFUNCTION("""COMPUTED_VALUE"""),"No")</f>
        <v>No</v>
      </c>
      <c r="AA578" s="5" t="str">
        <f ca="1">IFERROR(__xludf.DUMMYFUNCTION("""COMPUTED_VALUE"""),"Yes")</f>
        <v>Yes</v>
      </c>
      <c r="AB578" s="5" t="str">
        <f ca="1">IFERROR(__xludf.DUMMYFUNCTION("""COMPUTED_VALUE"""),"No")</f>
        <v>No</v>
      </c>
      <c r="AC578" s="5" t="str">
        <f ca="1">IFERROR(__xludf.DUMMYFUNCTION("""COMPUTED_VALUE"""),"No")</f>
        <v>No</v>
      </c>
      <c r="AD578" s="5" t="str">
        <f ca="1">IFERROR(__xludf.DUMMYFUNCTION("""COMPUTED_VALUE"""),"No")</f>
        <v>No</v>
      </c>
      <c r="AE578" s="5" t="str">
        <f ca="1">IFERROR(__xludf.DUMMYFUNCTION("""COMPUTED_VALUE"""),"No")</f>
        <v>No</v>
      </c>
      <c r="AF578" s="5" t="str">
        <f ca="1">IFERROR(__xludf.DUMMYFUNCTION("""COMPUTED_VALUE"""),"Yes")</f>
        <v>Yes</v>
      </c>
      <c r="AG578" s="5" t="str">
        <f ca="1">IFERROR(__xludf.DUMMYFUNCTION("""COMPUTED_VALUE"""),"No")</f>
        <v>No</v>
      </c>
      <c r="AH578" s="5" t="str">
        <f ca="1">IFERROR(__xludf.DUMMYFUNCTION("""COMPUTED_VALUE"""),"Yes")</f>
        <v>Yes</v>
      </c>
      <c r="AI578" s="5" t="str">
        <f ca="1">IFERROR(__xludf.DUMMYFUNCTION("""COMPUTED_VALUE"""),"No")</f>
        <v>No</v>
      </c>
      <c r="AJ578" s="5" t="str">
        <f ca="1">IFERROR(__xludf.DUMMYFUNCTION("""COMPUTED_VALUE"""),"No")</f>
        <v>No</v>
      </c>
      <c r="AK578" s="5" t="str">
        <f ca="1">IFERROR(__xludf.DUMMYFUNCTION("""COMPUTED_VALUE"""),"No")</f>
        <v>No</v>
      </c>
      <c r="AL578" s="5" t="str">
        <f ca="1">IFERROR(__xludf.DUMMYFUNCTION("""COMPUTED_VALUE"""),"No")</f>
        <v>No</v>
      </c>
      <c r="AM578" s="5"/>
      <c r="AN578" s="5"/>
      <c r="AO578" s="5"/>
      <c r="AP578" s="5"/>
      <c r="AQ578" s="5"/>
      <c r="AR578" s="5"/>
      <c r="AS578" s="5"/>
      <c r="AT578" s="5"/>
      <c r="AU578" s="5"/>
      <c r="AV578" s="5"/>
      <c r="AW578" s="5"/>
      <c r="AX578" s="5"/>
      <c r="AY578" s="5"/>
    </row>
    <row r="579" spans="1:51" x14ac:dyDescent="0.25">
      <c r="A57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9" s="5">
        <f ca="1">IFERROR(__xludf.DUMMYFUNCTION("""COMPUTED_VALUE"""),613)</f>
        <v>613</v>
      </c>
      <c r="C579" s="5">
        <f ca="1">IFERROR(__xludf.DUMMYFUNCTION("""COMPUTED_VALUE"""),180044)</f>
        <v>180044</v>
      </c>
      <c r="D579" s="5" t="str">
        <f ca="1">IFERROR(__xludf.DUMMYFUNCTION("""COMPUTED_VALUE"""),"RedstoneCrownBlast40")</f>
        <v>RedstoneCrownBlast40</v>
      </c>
      <c r="E579" s="5" t="str">
        <f ca="1">IFERROR(__xludf.DUMMYFUNCTION("""COMPUTED_VALUE"""),"Yes")</f>
        <v>Yes</v>
      </c>
      <c r="F579" s="5" t="str">
        <f ca="1">IFERROR(__xludf.DUMMYFUNCTION("""COMPUTED_VALUE"""),"Yes")</f>
        <v>Yes</v>
      </c>
      <c r="G579" s="5" t="str">
        <f ca="1">IFERROR(__xludf.DUMMYFUNCTION("""COMPUTED_VALUE"""),"No")</f>
        <v>No</v>
      </c>
      <c r="H579" s="5" t="str">
        <f ca="1">IFERROR(__xludf.DUMMYFUNCTION("""COMPUTED_VALUE"""),"Yes")</f>
        <v>Yes</v>
      </c>
      <c r="I579" s="5" t="str">
        <f ca="1">IFERROR(__xludf.DUMMYFUNCTION("""COMPUTED_VALUE"""),"Yes")</f>
        <v>Yes</v>
      </c>
      <c r="J579" s="5" t="str">
        <f ca="1">IFERROR(__xludf.DUMMYFUNCTION("""COMPUTED_VALUE"""),"Yes")</f>
        <v>Yes</v>
      </c>
      <c r="K579" s="5" t="str">
        <f ca="1">IFERROR(__xludf.DUMMYFUNCTION("""COMPUTED_VALUE"""),"Yes")</f>
        <v>Yes</v>
      </c>
      <c r="L579" s="5" t="str">
        <f ca="1">IFERROR(__xludf.DUMMYFUNCTION("""COMPUTED_VALUE"""),"Yes")</f>
        <v>Yes</v>
      </c>
      <c r="M579" s="5" t="str">
        <f ca="1">IFERROR(__xludf.DUMMYFUNCTION("""COMPUTED_VALUE"""),"Yes")</f>
        <v>Yes</v>
      </c>
      <c r="N579" s="5" t="str">
        <f ca="1">IFERROR(__xludf.DUMMYFUNCTION("""COMPUTED_VALUE"""),"Yes")</f>
        <v>Yes</v>
      </c>
      <c r="O579" s="5" t="str">
        <f ca="1">IFERROR(__xludf.DUMMYFUNCTION("""COMPUTED_VALUE"""),"Yes")</f>
        <v>Yes</v>
      </c>
      <c r="P579" s="5" t="str">
        <f ca="1">IFERROR(__xludf.DUMMYFUNCTION("""COMPUTED_VALUE"""),"Yes")</f>
        <v>Yes</v>
      </c>
      <c r="Q579" s="5" t="str">
        <f ca="1">IFERROR(__xludf.DUMMYFUNCTION("""COMPUTED_VALUE"""),"Yes")</f>
        <v>Yes</v>
      </c>
      <c r="R579" s="5" t="str">
        <f ca="1">IFERROR(__xludf.DUMMYFUNCTION("""COMPUTED_VALUE"""),"Yes")</f>
        <v>Yes</v>
      </c>
      <c r="S579" s="5" t="str">
        <f ca="1">IFERROR(__xludf.DUMMYFUNCTION("""COMPUTED_VALUE"""),"Yes")</f>
        <v>Yes</v>
      </c>
      <c r="T579" s="5" t="str">
        <f ca="1">IFERROR(__xludf.DUMMYFUNCTION("""COMPUTED_VALUE"""),"No")</f>
        <v>No</v>
      </c>
      <c r="U579" s="5" t="str">
        <f ca="1">IFERROR(__xludf.DUMMYFUNCTION("""COMPUTED_VALUE"""),"No")</f>
        <v>No</v>
      </c>
      <c r="V579" s="5" t="str">
        <f ca="1">IFERROR(__xludf.DUMMYFUNCTION("""COMPUTED_VALUE"""),"No")</f>
        <v>No</v>
      </c>
      <c r="W579" s="5" t="str">
        <f ca="1">IFERROR(__xludf.DUMMYFUNCTION("""COMPUTED_VALUE"""),"No")</f>
        <v>No</v>
      </c>
      <c r="X579" s="5" t="str">
        <f ca="1">IFERROR(__xludf.DUMMYFUNCTION("""COMPUTED_VALUE"""),"No")</f>
        <v>No</v>
      </c>
      <c r="Y579" s="5" t="str">
        <f ca="1">IFERROR(__xludf.DUMMYFUNCTION("""COMPUTED_VALUE"""),"No")</f>
        <v>No</v>
      </c>
      <c r="Z579" s="5" t="str">
        <f ca="1">IFERROR(__xludf.DUMMYFUNCTION("""COMPUTED_VALUE"""),"No")</f>
        <v>No</v>
      </c>
      <c r="AA579" s="5" t="str">
        <f ca="1">IFERROR(__xludf.DUMMYFUNCTION("""COMPUTED_VALUE"""),"Yes")</f>
        <v>Yes</v>
      </c>
      <c r="AB579" s="5" t="str">
        <f ca="1">IFERROR(__xludf.DUMMYFUNCTION("""COMPUTED_VALUE"""),"No")</f>
        <v>No</v>
      </c>
      <c r="AC579" s="5" t="str">
        <f ca="1">IFERROR(__xludf.DUMMYFUNCTION("""COMPUTED_VALUE"""),"No")</f>
        <v>No</v>
      </c>
      <c r="AD579" s="5" t="str">
        <f ca="1">IFERROR(__xludf.DUMMYFUNCTION("""COMPUTED_VALUE"""),"No")</f>
        <v>No</v>
      </c>
      <c r="AE579" s="5" t="str">
        <f ca="1">IFERROR(__xludf.DUMMYFUNCTION("""COMPUTED_VALUE"""),"No")</f>
        <v>No</v>
      </c>
      <c r="AF579" s="5" t="str">
        <f ca="1">IFERROR(__xludf.DUMMYFUNCTION("""COMPUTED_VALUE"""),"Yes")</f>
        <v>Yes</v>
      </c>
      <c r="AG579" s="5" t="str">
        <f ca="1">IFERROR(__xludf.DUMMYFUNCTION("""COMPUTED_VALUE"""),"No")</f>
        <v>No</v>
      </c>
      <c r="AH579" s="5" t="str">
        <f ca="1">IFERROR(__xludf.DUMMYFUNCTION("""COMPUTED_VALUE"""),"Yes")</f>
        <v>Yes</v>
      </c>
      <c r="AI579" s="5" t="str">
        <f ca="1">IFERROR(__xludf.DUMMYFUNCTION("""COMPUTED_VALUE"""),"No")</f>
        <v>No</v>
      </c>
      <c r="AJ579" s="5" t="str">
        <f ca="1">IFERROR(__xludf.DUMMYFUNCTION("""COMPUTED_VALUE"""),"No")</f>
        <v>No</v>
      </c>
      <c r="AK579" s="5" t="str">
        <f ca="1">IFERROR(__xludf.DUMMYFUNCTION("""COMPUTED_VALUE"""),"No")</f>
        <v>No</v>
      </c>
      <c r="AL579" s="5" t="str">
        <f ca="1">IFERROR(__xludf.DUMMYFUNCTION("""COMPUTED_VALUE"""),"No")</f>
        <v>No</v>
      </c>
      <c r="AM579" s="5"/>
      <c r="AN579" s="5"/>
      <c r="AO579" s="5"/>
      <c r="AP579" s="5"/>
      <c r="AQ579" s="5"/>
      <c r="AR579" s="5"/>
      <c r="AS579" s="5"/>
      <c r="AT579" s="5"/>
      <c r="AU579" s="5"/>
      <c r="AV579" s="5"/>
      <c r="AW579" s="5"/>
      <c r="AX579" s="5"/>
      <c r="AY579" s="5"/>
    </row>
    <row r="580" spans="1:51" x14ac:dyDescent="0.25">
      <c r="A580" s="5" t="str">
        <f ca="1">IFERROR(__xludf.DUMMYFUNCTION("""COMPUTED_VALUE"""),"")</f>
        <v/>
      </c>
      <c r="B580" s="5">
        <f ca="1">IFERROR(__xludf.DUMMYFUNCTION("""COMPUTED_VALUE"""),614)</f>
        <v>614</v>
      </c>
      <c r="C580" s="5">
        <f ca="1">IFERROR(__xludf.DUMMYFUNCTION("""COMPUTED_VALUE"""),180045)</f>
        <v>180045</v>
      </c>
      <c r="D580" s="5" t="str">
        <f ca="1">IFERROR(__xludf.DUMMYFUNCTION("""COMPUTED_VALUE"""),"RedstoneCrownRoyale")</f>
        <v>RedstoneCrownRoyale</v>
      </c>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row>
    <row r="581" spans="1:51" x14ac:dyDescent="0.25">
      <c r="A581" s="5" t="str">
        <f ca="1">IFERROR(__xludf.DUMMYFUNCTION("""COMPUTED_VALUE"""),"")</f>
        <v/>
      </c>
      <c r="B581" s="5">
        <f ca="1">IFERROR(__xludf.DUMMYFUNCTION("""COMPUTED_VALUE"""),614)</f>
        <v>614</v>
      </c>
      <c r="C581" s="5">
        <f ca="1">IFERROR(__xludf.DUMMYFUNCTION("""COMPUTED_VALUE"""),180051)</f>
        <v>180051</v>
      </c>
      <c r="D581" s="5" t="str">
        <f ca="1">IFERROR(__xludf.DUMMYFUNCTION("""COMPUTED_VALUE"""),"RedstoneDoubleCloverFireChristmas")</f>
        <v>RedstoneDoubleCloverFireChristmas</v>
      </c>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row>
    <row r="582" spans="1:51" x14ac:dyDescent="0.25">
      <c r="A58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2" s="5">
        <f ca="1">IFERROR(__xludf.DUMMYFUNCTION("""COMPUTED_VALUE"""),615)</f>
        <v>615</v>
      </c>
      <c r="C582" s="5">
        <f ca="1">IFERROR(__xludf.DUMMYFUNCTION("""COMPUTED_VALUE"""),180046)</f>
        <v>180046</v>
      </c>
      <c r="D582" s="5" t="str">
        <f ca="1">IFERROR(__xludf.DUMMYFUNCTION("""COMPUTED_VALUE"""),"RedstoneChilliDouble40")</f>
        <v>RedstoneChilliDouble40</v>
      </c>
      <c r="E582" s="5" t="str">
        <f ca="1">IFERROR(__xludf.DUMMYFUNCTION("""COMPUTED_VALUE"""),"Yes")</f>
        <v>Yes</v>
      </c>
      <c r="F582" s="5" t="str">
        <f ca="1">IFERROR(__xludf.DUMMYFUNCTION("""COMPUTED_VALUE"""),"Yes")</f>
        <v>Yes</v>
      </c>
      <c r="G582" s="5" t="str">
        <f ca="1">IFERROR(__xludf.DUMMYFUNCTION("""COMPUTED_VALUE"""),"No")</f>
        <v>No</v>
      </c>
      <c r="H582" s="5" t="str">
        <f ca="1">IFERROR(__xludf.DUMMYFUNCTION("""COMPUTED_VALUE"""),"Yes")</f>
        <v>Yes</v>
      </c>
      <c r="I582" s="5" t="str">
        <f ca="1">IFERROR(__xludf.DUMMYFUNCTION("""COMPUTED_VALUE"""),"Yes")</f>
        <v>Yes</v>
      </c>
      <c r="J582" s="5" t="str">
        <f ca="1">IFERROR(__xludf.DUMMYFUNCTION("""COMPUTED_VALUE"""),"Yes")</f>
        <v>Yes</v>
      </c>
      <c r="K582" s="5" t="str">
        <f ca="1">IFERROR(__xludf.DUMMYFUNCTION("""COMPUTED_VALUE"""),"Yes")</f>
        <v>Yes</v>
      </c>
      <c r="L582" s="5" t="str">
        <f ca="1">IFERROR(__xludf.DUMMYFUNCTION("""COMPUTED_VALUE"""),"Yes")</f>
        <v>Yes</v>
      </c>
      <c r="M582" s="5" t="str">
        <f ca="1">IFERROR(__xludf.DUMMYFUNCTION("""COMPUTED_VALUE"""),"Yes")</f>
        <v>Yes</v>
      </c>
      <c r="N582" s="5" t="str">
        <f ca="1">IFERROR(__xludf.DUMMYFUNCTION("""COMPUTED_VALUE"""),"Yes")</f>
        <v>Yes</v>
      </c>
      <c r="O582" s="5" t="str">
        <f ca="1">IFERROR(__xludf.DUMMYFUNCTION("""COMPUTED_VALUE"""),"Yes")</f>
        <v>Yes</v>
      </c>
      <c r="P582" s="5" t="str">
        <f ca="1">IFERROR(__xludf.DUMMYFUNCTION("""COMPUTED_VALUE"""),"Yes")</f>
        <v>Yes</v>
      </c>
      <c r="Q582" s="5" t="str">
        <f ca="1">IFERROR(__xludf.DUMMYFUNCTION("""COMPUTED_VALUE"""),"Yes")</f>
        <v>Yes</v>
      </c>
      <c r="R582" s="5" t="str">
        <f ca="1">IFERROR(__xludf.DUMMYFUNCTION("""COMPUTED_VALUE"""),"Yes")</f>
        <v>Yes</v>
      </c>
      <c r="S582" s="5" t="str">
        <f ca="1">IFERROR(__xludf.DUMMYFUNCTION("""COMPUTED_VALUE"""),"Yes")</f>
        <v>Yes</v>
      </c>
      <c r="T582" s="5" t="str">
        <f ca="1">IFERROR(__xludf.DUMMYFUNCTION("""COMPUTED_VALUE"""),"No")</f>
        <v>No</v>
      </c>
      <c r="U582" s="5" t="str">
        <f ca="1">IFERROR(__xludf.DUMMYFUNCTION("""COMPUTED_VALUE"""),"No")</f>
        <v>No</v>
      </c>
      <c r="V582" s="5" t="str">
        <f ca="1">IFERROR(__xludf.DUMMYFUNCTION("""COMPUTED_VALUE"""),"No")</f>
        <v>No</v>
      </c>
      <c r="W582" s="5" t="str">
        <f ca="1">IFERROR(__xludf.DUMMYFUNCTION("""COMPUTED_VALUE"""),"No")</f>
        <v>No</v>
      </c>
      <c r="X582" s="5" t="str">
        <f ca="1">IFERROR(__xludf.DUMMYFUNCTION("""COMPUTED_VALUE"""),"No")</f>
        <v>No</v>
      </c>
      <c r="Y582" s="5" t="str">
        <f ca="1">IFERROR(__xludf.DUMMYFUNCTION("""COMPUTED_VALUE"""),"No")</f>
        <v>No</v>
      </c>
      <c r="Z582" s="5" t="str">
        <f ca="1">IFERROR(__xludf.DUMMYFUNCTION("""COMPUTED_VALUE"""),"No")</f>
        <v>No</v>
      </c>
      <c r="AA582" s="5" t="str">
        <f ca="1">IFERROR(__xludf.DUMMYFUNCTION("""COMPUTED_VALUE"""),"Yes")</f>
        <v>Yes</v>
      </c>
      <c r="AB582" s="5" t="str">
        <f ca="1">IFERROR(__xludf.DUMMYFUNCTION("""COMPUTED_VALUE"""),"No")</f>
        <v>No</v>
      </c>
      <c r="AC582" s="5" t="str">
        <f ca="1">IFERROR(__xludf.DUMMYFUNCTION("""COMPUTED_VALUE"""),"No")</f>
        <v>No</v>
      </c>
      <c r="AD582" s="5" t="str">
        <f ca="1">IFERROR(__xludf.DUMMYFUNCTION("""COMPUTED_VALUE"""),"No")</f>
        <v>No</v>
      </c>
      <c r="AE582" s="5" t="str">
        <f ca="1">IFERROR(__xludf.DUMMYFUNCTION("""COMPUTED_VALUE"""),"No")</f>
        <v>No</v>
      </c>
      <c r="AF582" s="5" t="str">
        <f ca="1">IFERROR(__xludf.DUMMYFUNCTION("""COMPUTED_VALUE"""),"Yes")</f>
        <v>Yes</v>
      </c>
      <c r="AG582" s="5" t="str">
        <f ca="1">IFERROR(__xludf.DUMMYFUNCTION("""COMPUTED_VALUE"""),"No")</f>
        <v>No</v>
      </c>
      <c r="AH582" s="5" t="str">
        <f ca="1">IFERROR(__xludf.DUMMYFUNCTION("""COMPUTED_VALUE"""),"Yes")</f>
        <v>Yes</v>
      </c>
      <c r="AI582" s="5" t="str">
        <f ca="1">IFERROR(__xludf.DUMMYFUNCTION("""COMPUTED_VALUE"""),"No")</f>
        <v>No</v>
      </c>
      <c r="AJ582" s="5" t="str">
        <f ca="1">IFERROR(__xludf.DUMMYFUNCTION("""COMPUTED_VALUE"""),"No")</f>
        <v>No</v>
      </c>
      <c r="AK582" s="5" t="str">
        <f ca="1">IFERROR(__xludf.DUMMYFUNCTION("""COMPUTED_VALUE"""),"No")</f>
        <v>No</v>
      </c>
      <c r="AL582" s="5" t="str">
        <f ca="1">IFERROR(__xludf.DUMMYFUNCTION("""COMPUTED_VALUE"""),"No")</f>
        <v>No</v>
      </c>
      <c r="AM582" s="5"/>
      <c r="AN582" s="5"/>
      <c r="AO582" s="5"/>
      <c r="AP582" s="5"/>
      <c r="AQ582" s="5"/>
      <c r="AR582" s="5"/>
      <c r="AS582" s="5"/>
      <c r="AT582" s="5"/>
      <c r="AU582" s="5"/>
      <c r="AV582" s="5"/>
      <c r="AW582" s="5"/>
      <c r="AX582" s="5"/>
      <c r="AY582" s="5"/>
    </row>
    <row r="583" spans="1:51" x14ac:dyDescent="0.25">
      <c r="A583"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83" s="5">
        <f ca="1">IFERROR(__xludf.DUMMYFUNCTION("""COMPUTED_VALUE"""),616)</f>
        <v>616</v>
      </c>
      <c r="C583" s="5">
        <f ca="1">IFERROR(__xludf.DUMMYFUNCTION("""COMPUTED_VALUE"""),180050)</f>
        <v>180050</v>
      </c>
      <c r="D583" s="5" t="str">
        <f ca="1">IFERROR(__xludf.DUMMYFUNCTION("""COMPUTED_VALUE"""),"Redstone20CoinCollector")</f>
        <v>Redstone20CoinCollector</v>
      </c>
      <c r="E583" s="5" t="str">
        <f ca="1">IFERROR(__xludf.DUMMYFUNCTION("""COMPUTED_VALUE"""),"Yes")</f>
        <v>Yes</v>
      </c>
      <c r="F583" s="5" t="str">
        <f ca="1">IFERROR(__xludf.DUMMYFUNCTION("""COMPUTED_VALUE"""),"Yes")</f>
        <v>Yes</v>
      </c>
      <c r="G583" s="5" t="str">
        <f ca="1">IFERROR(__xludf.DUMMYFUNCTION("""COMPUTED_VALUE"""),"No")</f>
        <v>No</v>
      </c>
      <c r="H583" s="5" t="str">
        <f ca="1">IFERROR(__xludf.DUMMYFUNCTION("""COMPUTED_VALUE"""),"Yes")</f>
        <v>Yes</v>
      </c>
      <c r="I583" s="5" t="str">
        <f ca="1">IFERROR(__xludf.DUMMYFUNCTION("""COMPUTED_VALUE"""),"Yes")</f>
        <v>Yes</v>
      </c>
      <c r="J583" s="5" t="str">
        <f ca="1">IFERROR(__xludf.DUMMYFUNCTION("""COMPUTED_VALUE"""),"Yes")</f>
        <v>Yes</v>
      </c>
      <c r="K583" s="5" t="str">
        <f ca="1">IFERROR(__xludf.DUMMYFUNCTION("""COMPUTED_VALUE"""),"Yes")</f>
        <v>Yes</v>
      </c>
      <c r="L583" s="5" t="str">
        <f ca="1">IFERROR(__xludf.DUMMYFUNCTION("""COMPUTED_VALUE"""),"Yes")</f>
        <v>Yes</v>
      </c>
      <c r="M583" s="5" t="str">
        <f ca="1">IFERROR(__xludf.DUMMYFUNCTION("""COMPUTED_VALUE"""),"Yes")</f>
        <v>Yes</v>
      </c>
      <c r="N583" s="5" t="str">
        <f ca="1">IFERROR(__xludf.DUMMYFUNCTION("""COMPUTED_VALUE"""),"Yes")</f>
        <v>Yes</v>
      </c>
      <c r="O583" s="5" t="str">
        <f ca="1">IFERROR(__xludf.DUMMYFUNCTION("""COMPUTED_VALUE"""),"Yes")</f>
        <v>Yes</v>
      </c>
      <c r="P583" s="5" t="str">
        <f ca="1">IFERROR(__xludf.DUMMYFUNCTION("""COMPUTED_VALUE"""),"Yes")</f>
        <v>Yes</v>
      </c>
      <c r="Q583" s="5" t="str">
        <f ca="1">IFERROR(__xludf.DUMMYFUNCTION("""COMPUTED_VALUE"""),"Yes")</f>
        <v>Yes</v>
      </c>
      <c r="R583" s="5" t="str">
        <f ca="1">IFERROR(__xludf.DUMMYFUNCTION("""COMPUTED_VALUE"""),"Yes")</f>
        <v>Yes</v>
      </c>
      <c r="S583" s="5" t="str">
        <f ca="1">IFERROR(__xludf.DUMMYFUNCTION("""COMPUTED_VALUE"""),"Yes")</f>
        <v>Yes</v>
      </c>
      <c r="T583" s="5" t="str">
        <f ca="1">IFERROR(__xludf.DUMMYFUNCTION("""COMPUTED_VALUE"""),"No")</f>
        <v>No</v>
      </c>
      <c r="U583" s="5" t="str">
        <f ca="1">IFERROR(__xludf.DUMMYFUNCTION("""COMPUTED_VALUE"""),"No")</f>
        <v>No</v>
      </c>
      <c r="V583" s="5" t="str">
        <f ca="1">IFERROR(__xludf.DUMMYFUNCTION("""COMPUTED_VALUE"""),"No")</f>
        <v>No</v>
      </c>
      <c r="W583" s="5" t="str">
        <f ca="1">IFERROR(__xludf.DUMMYFUNCTION("""COMPUTED_VALUE"""),"No")</f>
        <v>No</v>
      </c>
      <c r="X583" s="5" t="str">
        <f ca="1">IFERROR(__xludf.DUMMYFUNCTION("""COMPUTED_VALUE"""),"No")</f>
        <v>No</v>
      </c>
      <c r="Y583" s="5" t="str">
        <f ca="1">IFERROR(__xludf.DUMMYFUNCTION("""COMPUTED_VALUE"""),"No")</f>
        <v>No</v>
      </c>
      <c r="Z583" s="5" t="str">
        <f ca="1">IFERROR(__xludf.DUMMYFUNCTION("""COMPUTED_VALUE"""),"No")</f>
        <v>No</v>
      </c>
      <c r="AA583" s="5" t="str">
        <f ca="1">IFERROR(__xludf.DUMMYFUNCTION("""COMPUTED_VALUE"""),"No")</f>
        <v>No</v>
      </c>
      <c r="AB583" s="5" t="str">
        <f ca="1">IFERROR(__xludf.DUMMYFUNCTION("""COMPUTED_VALUE"""),"No")</f>
        <v>No</v>
      </c>
      <c r="AC583" s="5" t="str">
        <f ca="1">IFERROR(__xludf.DUMMYFUNCTION("""COMPUTED_VALUE"""),"No")</f>
        <v>No</v>
      </c>
      <c r="AD583" s="5" t="str">
        <f ca="1">IFERROR(__xludf.DUMMYFUNCTION("""COMPUTED_VALUE"""),"No")</f>
        <v>No</v>
      </c>
      <c r="AE583" s="5" t="str">
        <f ca="1">IFERROR(__xludf.DUMMYFUNCTION("""COMPUTED_VALUE"""),"No")</f>
        <v>No</v>
      </c>
      <c r="AF583" s="5" t="str">
        <f ca="1">IFERROR(__xludf.DUMMYFUNCTION("""COMPUTED_VALUE"""),"Yes")</f>
        <v>Yes</v>
      </c>
      <c r="AG583" s="5" t="str">
        <f ca="1">IFERROR(__xludf.DUMMYFUNCTION("""COMPUTED_VALUE"""),"No")</f>
        <v>No</v>
      </c>
      <c r="AH583" s="5" t="str">
        <f ca="1">IFERROR(__xludf.DUMMYFUNCTION("""COMPUTED_VALUE"""),"Yes")</f>
        <v>Yes</v>
      </c>
      <c r="AI583" s="5" t="str">
        <f ca="1">IFERROR(__xludf.DUMMYFUNCTION("""COMPUTED_VALUE"""),"No")</f>
        <v>No</v>
      </c>
      <c r="AJ583" s="5" t="str">
        <f ca="1">IFERROR(__xludf.DUMMYFUNCTION("""COMPUTED_VALUE"""),"No")</f>
        <v>No</v>
      </c>
      <c r="AK583" s="5" t="str">
        <f ca="1">IFERROR(__xludf.DUMMYFUNCTION("""COMPUTED_VALUE"""),"No")</f>
        <v>No</v>
      </c>
      <c r="AL583" s="5" t="str">
        <f ca="1">IFERROR(__xludf.DUMMYFUNCTION("""COMPUTED_VALUE"""),"No")</f>
        <v>No</v>
      </c>
      <c r="AM583" s="5"/>
      <c r="AN583" s="5"/>
      <c r="AO583" s="5"/>
      <c r="AP583" s="5"/>
      <c r="AQ583" s="5"/>
      <c r="AR583" s="5"/>
      <c r="AS583" s="5"/>
      <c r="AT583" s="5"/>
      <c r="AU583" s="5"/>
      <c r="AV583" s="5"/>
      <c r="AW583" s="5"/>
      <c r="AX583" s="5"/>
      <c r="AY583" s="5"/>
    </row>
    <row r="584" spans="1:51" x14ac:dyDescent="0.25">
      <c r="A584" s="5" t="str">
        <f ca="1">IFERROR(__xludf.DUMMYFUNCTION("""COMPUTED_VALUE"""),"")</f>
        <v/>
      </c>
      <c r="B584" s="5">
        <f ca="1">IFERROR(__xludf.DUMMYFUNCTION("""COMPUTED_VALUE"""),617)</f>
        <v>617</v>
      </c>
      <c r="C584" s="5">
        <f ca="1">IFERROR(__xludf.DUMMYFUNCTION("""COMPUTED_VALUE"""),180049)</f>
        <v>180049</v>
      </c>
      <c r="D584" s="5" t="str">
        <f ca="1">IFERROR(__xludf.DUMMYFUNCTION("""COMPUTED_VALUE"""),"Redstone5BombFire")</f>
        <v>Redstone5BombFire</v>
      </c>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row>
    <row r="585" spans="1:51" x14ac:dyDescent="0.25">
      <c r="A585"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5" s="5">
        <f ca="1">IFERROR(__xludf.DUMMYFUNCTION("""COMPUTED_VALUE"""),618)</f>
        <v>618</v>
      </c>
      <c r="C585" s="5">
        <f ca="1">IFERROR(__xludf.DUMMYFUNCTION("""COMPUTED_VALUE"""),180047)</f>
        <v>180047</v>
      </c>
      <c r="D585" s="5" t="str">
        <f ca="1">IFERROR(__xludf.DUMMYFUNCTION("""COMPUTED_VALUE"""),"RedstoneRespinGems")</f>
        <v>RedstoneRespinGems</v>
      </c>
      <c r="E585" s="5" t="str">
        <f ca="1">IFERROR(__xludf.DUMMYFUNCTION("""COMPUTED_VALUE"""),"Yes")</f>
        <v>Yes</v>
      </c>
      <c r="F585" s="5" t="str">
        <f ca="1">IFERROR(__xludf.DUMMYFUNCTION("""COMPUTED_VALUE"""),"Yes")</f>
        <v>Yes</v>
      </c>
      <c r="G585" s="5" t="str">
        <f ca="1">IFERROR(__xludf.DUMMYFUNCTION("""COMPUTED_VALUE"""),"No")</f>
        <v>No</v>
      </c>
      <c r="H585" s="5" t="str">
        <f ca="1">IFERROR(__xludf.DUMMYFUNCTION("""COMPUTED_VALUE"""),"Yes")</f>
        <v>Yes</v>
      </c>
      <c r="I585" s="5" t="str">
        <f ca="1">IFERROR(__xludf.DUMMYFUNCTION("""COMPUTED_VALUE"""),"Yes")</f>
        <v>Yes</v>
      </c>
      <c r="J585" s="5" t="str">
        <f ca="1">IFERROR(__xludf.DUMMYFUNCTION("""COMPUTED_VALUE"""),"Yes")</f>
        <v>Yes</v>
      </c>
      <c r="K585" s="5" t="str">
        <f ca="1">IFERROR(__xludf.DUMMYFUNCTION("""COMPUTED_VALUE"""),"Yes")</f>
        <v>Yes</v>
      </c>
      <c r="L585" s="5" t="str">
        <f ca="1">IFERROR(__xludf.DUMMYFUNCTION("""COMPUTED_VALUE"""),"Yes")</f>
        <v>Yes</v>
      </c>
      <c r="M585" s="5" t="str">
        <f ca="1">IFERROR(__xludf.DUMMYFUNCTION("""COMPUTED_VALUE"""),"Yes")</f>
        <v>Yes</v>
      </c>
      <c r="N585" s="5" t="str">
        <f ca="1">IFERROR(__xludf.DUMMYFUNCTION("""COMPUTED_VALUE"""),"Yes")</f>
        <v>Yes</v>
      </c>
      <c r="O585" s="5" t="str">
        <f ca="1">IFERROR(__xludf.DUMMYFUNCTION("""COMPUTED_VALUE"""),"Yes")</f>
        <v>Yes</v>
      </c>
      <c r="P585" s="5" t="str">
        <f ca="1">IFERROR(__xludf.DUMMYFUNCTION("""COMPUTED_VALUE"""),"Yes")</f>
        <v>Yes</v>
      </c>
      <c r="Q585" s="5" t="str">
        <f ca="1">IFERROR(__xludf.DUMMYFUNCTION("""COMPUTED_VALUE"""),"Yes")</f>
        <v>Yes</v>
      </c>
      <c r="R585" s="5" t="str">
        <f ca="1">IFERROR(__xludf.DUMMYFUNCTION("""COMPUTED_VALUE"""),"Yes")</f>
        <v>Yes</v>
      </c>
      <c r="S585" s="5" t="str">
        <f ca="1">IFERROR(__xludf.DUMMYFUNCTION("""COMPUTED_VALUE"""),"Yes")</f>
        <v>Yes</v>
      </c>
      <c r="T585" s="5" t="str">
        <f ca="1">IFERROR(__xludf.DUMMYFUNCTION("""COMPUTED_VALUE"""),"No")</f>
        <v>No</v>
      </c>
      <c r="U585" s="5" t="str">
        <f ca="1">IFERROR(__xludf.DUMMYFUNCTION("""COMPUTED_VALUE"""),"No")</f>
        <v>No</v>
      </c>
      <c r="V585" s="5" t="str">
        <f ca="1">IFERROR(__xludf.DUMMYFUNCTION("""COMPUTED_VALUE"""),"No")</f>
        <v>No</v>
      </c>
      <c r="W585" s="5" t="str">
        <f ca="1">IFERROR(__xludf.DUMMYFUNCTION("""COMPUTED_VALUE"""),"No")</f>
        <v>No</v>
      </c>
      <c r="X585" s="5" t="str">
        <f ca="1">IFERROR(__xludf.DUMMYFUNCTION("""COMPUTED_VALUE"""),"No")</f>
        <v>No</v>
      </c>
      <c r="Y585" s="5" t="str">
        <f ca="1">IFERROR(__xludf.DUMMYFUNCTION("""COMPUTED_VALUE"""),"No")</f>
        <v>No</v>
      </c>
      <c r="Z585" s="5" t="str">
        <f ca="1">IFERROR(__xludf.DUMMYFUNCTION("""COMPUTED_VALUE"""),"No")</f>
        <v>No</v>
      </c>
      <c r="AA585" s="5" t="str">
        <f ca="1">IFERROR(__xludf.DUMMYFUNCTION("""COMPUTED_VALUE"""),"Yes")</f>
        <v>Yes</v>
      </c>
      <c r="AB585" s="5" t="str">
        <f ca="1">IFERROR(__xludf.DUMMYFUNCTION("""COMPUTED_VALUE"""),"No")</f>
        <v>No</v>
      </c>
      <c r="AC585" s="5" t="str">
        <f ca="1">IFERROR(__xludf.DUMMYFUNCTION("""COMPUTED_VALUE"""),"No")</f>
        <v>No</v>
      </c>
      <c r="AD585" s="5" t="str">
        <f ca="1">IFERROR(__xludf.DUMMYFUNCTION("""COMPUTED_VALUE"""),"No")</f>
        <v>No</v>
      </c>
      <c r="AE585" s="5" t="str">
        <f ca="1">IFERROR(__xludf.DUMMYFUNCTION("""COMPUTED_VALUE"""),"No")</f>
        <v>No</v>
      </c>
      <c r="AF585" s="5" t="str">
        <f ca="1">IFERROR(__xludf.DUMMYFUNCTION("""COMPUTED_VALUE"""),"Yes")</f>
        <v>Yes</v>
      </c>
      <c r="AG585" s="5" t="str">
        <f ca="1">IFERROR(__xludf.DUMMYFUNCTION("""COMPUTED_VALUE"""),"No")</f>
        <v>No</v>
      </c>
      <c r="AH585" s="5" t="str">
        <f ca="1">IFERROR(__xludf.DUMMYFUNCTION("""COMPUTED_VALUE"""),"Yes")</f>
        <v>Yes</v>
      </c>
      <c r="AI585" s="5" t="str">
        <f ca="1">IFERROR(__xludf.DUMMYFUNCTION("""COMPUTED_VALUE"""),"No")</f>
        <v>No</v>
      </c>
      <c r="AJ585" s="5" t="str">
        <f ca="1">IFERROR(__xludf.DUMMYFUNCTION("""COMPUTED_VALUE"""),"No")</f>
        <v>No</v>
      </c>
      <c r="AK585" s="5" t="str">
        <f ca="1">IFERROR(__xludf.DUMMYFUNCTION("""COMPUTED_VALUE"""),"No")</f>
        <v>No</v>
      </c>
      <c r="AL585" s="5" t="str">
        <f ca="1">IFERROR(__xludf.DUMMYFUNCTION("""COMPUTED_VALUE"""),"No")</f>
        <v>No</v>
      </c>
      <c r="AM585" s="5"/>
      <c r="AN585" s="5"/>
      <c r="AO585" s="5"/>
      <c r="AP585" s="5"/>
      <c r="AQ585" s="5"/>
      <c r="AR585" s="5"/>
      <c r="AS585" s="5"/>
      <c r="AT585" s="5"/>
      <c r="AU585" s="5"/>
      <c r="AV585" s="5"/>
      <c r="AW585" s="5"/>
      <c r="AX585" s="5"/>
      <c r="AY585" s="5"/>
    </row>
    <row r="586" spans="1:51" x14ac:dyDescent="0.25">
      <c r="A586"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86" s="5">
        <f ca="1">IFERROR(__xludf.DUMMYFUNCTION("""COMPUTED_VALUE"""),619)</f>
        <v>619</v>
      </c>
      <c r="C586" s="5">
        <f ca="1">IFERROR(__xludf.DUMMYFUNCTION("""COMPUTED_VALUE"""),180048)</f>
        <v>180048</v>
      </c>
      <c r="D586" s="5" t="str">
        <f ca="1">IFERROR(__xludf.DUMMYFUNCTION("""COMPUTED_VALUE"""),"Redstone9ofaKind")</f>
        <v>Redstone9ofaKind</v>
      </c>
      <c r="E586" s="5" t="str">
        <f ca="1">IFERROR(__xludf.DUMMYFUNCTION("""COMPUTED_VALUE"""),"Yes")</f>
        <v>Yes</v>
      </c>
      <c r="F586" s="5" t="str">
        <f ca="1">IFERROR(__xludf.DUMMYFUNCTION("""COMPUTED_VALUE"""),"Yes")</f>
        <v>Yes</v>
      </c>
      <c r="G586" s="5" t="str">
        <f ca="1">IFERROR(__xludf.DUMMYFUNCTION("""COMPUTED_VALUE"""),"Yes")</f>
        <v>Yes</v>
      </c>
      <c r="H586" s="5" t="str">
        <f ca="1">IFERROR(__xludf.DUMMYFUNCTION("""COMPUTED_VALUE"""),"Yes")</f>
        <v>Yes</v>
      </c>
      <c r="I586" s="5" t="str">
        <f ca="1">IFERROR(__xludf.DUMMYFUNCTION("""COMPUTED_VALUE"""),"Yes")</f>
        <v>Yes</v>
      </c>
      <c r="J586" s="5" t="str">
        <f ca="1">IFERROR(__xludf.DUMMYFUNCTION("""COMPUTED_VALUE"""),"Yes")</f>
        <v>Yes</v>
      </c>
      <c r="K586" s="5" t="str">
        <f ca="1">IFERROR(__xludf.DUMMYFUNCTION("""COMPUTED_VALUE"""),"Yes")</f>
        <v>Yes</v>
      </c>
      <c r="L586" s="5" t="str">
        <f ca="1">IFERROR(__xludf.DUMMYFUNCTION("""COMPUTED_VALUE"""),"Yes")</f>
        <v>Yes</v>
      </c>
      <c r="M586" s="5" t="str">
        <f ca="1">IFERROR(__xludf.DUMMYFUNCTION("""COMPUTED_VALUE"""),"Yes")</f>
        <v>Yes</v>
      </c>
      <c r="N586" s="5" t="str">
        <f ca="1">IFERROR(__xludf.DUMMYFUNCTION("""COMPUTED_VALUE"""),"Yes")</f>
        <v>Yes</v>
      </c>
      <c r="O586" s="5" t="str">
        <f ca="1">IFERROR(__xludf.DUMMYFUNCTION("""COMPUTED_VALUE"""),"Yes")</f>
        <v>Yes</v>
      </c>
      <c r="P586" s="5" t="str">
        <f ca="1">IFERROR(__xludf.DUMMYFUNCTION("""COMPUTED_VALUE"""),"Yes")</f>
        <v>Yes</v>
      </c>
      <c r="Q586" s="5" t="str">
        <f ca="1">IFERROR(__xludf.DUMMYFUNCTION("""COMPUTED_VALUE"""),"Yes")</f>
        <v>Yes</v>
      </c>
      <c r="R586" s="5" t="str">
        <f ca="1">IFERROR(__xludf.DUMMYFUNCTION("""COMPUTED_VALUE"""),"Yes")</f>
        <v>Yes</v>
      </c>
      <c r="S586" s="5" t="str">
        <f ca="1">IFERROR(__xludf.DUMMYFUNCTION("""COMPUTED_VALUE"""),"Yes")</f>
        <v>Yes</v>
      </c>
      <c r="T586" s="5" t="str">
        <f ca="1">IFERROR(__xludf.DUMMYFUNCTION("""COMPUTED_VALUE"""),"No")</f>
        <v>No</v>
      </c>
      <c r="U586" s="5" t="str">
        <f ca="1">IFERROR(__xludf.DUMMYFUNCTION("""COMPUTED_VALUE"""),"No")</f>
        <v>No</v>
      </c>
      <c r="V586" s="5" t="str">
        <f ca="1">IFERROR(__xludf.DUMMYFUNCTION("""COMPUTED_VALUE"""),"No")</f>
        <v>No</v>
      </c>
      <c r="W586" s="5" t="str">
        <f ca="1">IFERROR(__xludf.DUMMYFUNCTION("""COMPUTED_VALUE"""),"No")</f>
        <v>No</v>
      </c>
      <c r="X586" s="5" t="str">
        <f ca="1">IFERROR(__xludf.DUMMYFUNCTION("""COMPUTED_VALUE"""),"No")</f>
        <v>No</v>
      </c>
      <c r="Y586" s="5" t="str">
        <f ca="1">IFERROR(__xludf.DUMMYFUNCTION("""COMPUTED_VALUE"""),"No")</f>
        <v>No</v>
      </c>
      <c r="Z586" s="5" t="str">
        <f ca="1">IFERROR(__xludf.DUMMYFUNCTION("""COMPUTED_VALUE"""),"No")</f>
        <v>No</v>
      </c>
      <c r="AA586" s="5" t="str">
        <f ca="1">IFERROR(__xludf.DUMMYFUNCTION("""COMPUTED_VALUE"""),"Yes")</f>
        <v>Yes</v>
      </c>
      <c r="AB586" s="5" t="str">
        <f ca="1">IFERROR(__xludf.DUMMYFUNCTION("""COMPUTED_VALUE"""),"No")</f>
        <v>No</v>
      </c>
      <c r="AC586" s="5" t="str">
        <f ca="1">IFERROR(__xludf.DUMMYFUNCTION("""COMPUTED_VALUE"""),"No")</f>
        <v>No</v>
      </c>
      <c r="AD586" s="5" t="str">
        <f ca="1">IFERROR(__xludf.DUMMYFUNCTION("""COMPUTED_VALUE"""),"No")</f>
        <v>No</v>
      </c>
      <c r="AE586" s="5" t="str">
        <f ca="1">IFERROR(__xludf.DUMMYFUNCTION("""COMPUTED_VALUE"""),"No")</f>
        <v>No</v>
      </c>
      <c r="AF586" s="5" t="str">
        <f ca="1">IFERROR(__xludf.DUMMYFUNCTION("""COMPUTED_VALUE"""),"Yes")</f>
        <v>Yes</v>
      </c>
      <c r="AG586" s="5" t="str">
        <f ca="1">IFERROR(__xludf.DUMMYFUNCTION("""COMPUTED_VALUE"""),"No")</f>
        <v>No</v>
      </c>
      <c r="AH586" s="5" t="str">
        <f ca="1">IFERROR(__xludf.DUMMYFUNCTION("""COMPUTED_VALUE"""),"Yes")</f>
        <v>Yes</v>
      </c>
      <c r="AI586" s="5" t="str">
        <f ca="1">IFERROR(__xludf.DUMMYFUNCTION("""COMPUTED_VALUE"""),"No")</f>
        <v>No</v>
      </c>
      <c r="AJ586" s="5" t="str">
        <f ca="1">IFERROR(__xludf.DUMMYFUNCTION("""COMPUTED_VALUE"""),"No")</f>
        <v>No</v>
      </c>
      <c r="AK586" s="5" t="str">
        <f ca="1">IFERROR(__xludf.DUMMYFUNCTION("""COMPUTED_VALUE"""),"No")</f>
        <v>No</v>
      </c>
      <c r="AL586" s="5" t="str">
        <f ca="1">IFERROR(__xludf.DUMMYFUNCTION("""COMPUTED_VALUE"""),"No")</f>
        <v>No</v>
      </c>
      <c r="AM586" s="5"/>
      <c r="AN586" s="5"/>
      <c r="AO586" s="5"/>
      <c r="AP586" s="5"/>
      <c r="AQ586" s="5"/>
      <c r="AR586" s="5"/>
      <c r="AS586" s="5"/>
      <c r="AT586" s="5"/>
      <c r="AU586" s="5"/>
      <c r="AV586" s="5"/>
      <c r="AW586" s="5"/>
      <c r="AX586" s="5"/>
      <c r="AY586" s="5"/>
    </row>
    <row r="587" spans="1:51" x14ac:dyDescent="0.25">
      <c r="A5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7" s="5">
        <f ca="1">IFERROR(__xludf.DUMMYFUNCTION("""COMPUTED_VALUE"""),620)</f>
        <v>620</v>
      </c>
      <c r="C587" s="5">
        <f ca="1">IFERROR(__xludf.DUMMYFUNCTION("""COMPUTED_VALUE"""),3023)</f>
        <v>3023</v>
      </c>
      <c r="D587" s="5" t="str">
        <f ca="1">IFERROR(__xludf.DUMMYFUNCTION("""COMPUTED_VALUE"""),"WildJokerHotBooster")</f>
        <v>WildJokerHotBooster</v>
      </c>
      <c r="E587" s="5" t="str">
        <f ca="1">IFERROR(__xludf.DUMMYFUNCTION("""COMPUTED_VALUE"""),"Yes")</f>
        <v>Yes</v>
      </c>
      <c r="F587" s="5" t="str">
        <f ca="1">IFERROR(__xludf.DUMMYFUNCTION("""COMPUTED_VALUE"""),"Yes")</f>
        <v>Yes</v>
      </c>
      <c r="G587" s="5" t="str">
        <f ca="1">IFERROR(__xludf.DUMMYFUNCTION("""COMPUTED_VALUE"""),"Yes")</f>
        <v>Yes</v>
      </c>
      <c r="H587" s="5" t="str">
        <f ca="1">IFERROR(__xludf.DUMMYFUNCTION("""COMPUTED_VALUE"""),"Yes")</f>
        <v>Yes</v>
      </c>
      <c r="I587" s="5" t="str">
        <f ca="1">IFERROR(__xludf.DUMMYFUNCTION("""COMPUTED_VALUE"""),"Yes")</f>
        <v>Yes</v>
      </c>
      <c r="J587" s="5" t="str">
        <f ca="1">IFERROR(__xludf.DUMMYFUNCTION("""COMPUTED_VALUE"""),"Yes")</f>
        <v>Yes</v>
      </c>
      <c r="K587" s="5" t="str">
        <f ca="1">IFERROR(__xludf.DUMMYFUNCTION("""COMPUTED_VALUE"""),"Yes")</f>
        <v>Yes</v>
      </c>
      <c r="L587" s="5" t="str">
        <f ca="1">IFERROR(__xludf.DUMMYFUNCTION("""COMPUTED_VALUE"""),"Yes")</f>
        <v>Yes</v>
      </c>
      <c r="M587" s="5" t="str">
        <f ca="1">IFERROR(__xludf.DUMMYFUNCTION("""COMPUTED_VALUE"""),"Yes")</f>
        <v>Yes</v>
      </c>
      <c r="N587" s="5" t="str">
        <f ca="1">IFERROR(__xludf.DUMMYFUNCTION("""COMPUTED_VALUE"""),"Yes")</f>
        <v>Yes</v>
      </c>
      <c r="O587" s="5" t="str">
        <f ca="1">IFERROR(__xludf.DUMMYFUNCTION("""COMPUTED_VALUE"""),"Yes")</f>
        <v>Yes</v>
      </c>
      <c r="P587" s="5" t="str">
        <f ca="1">IFERROR(__xludf.DUMMYFUNCTION("""COMPUTED_VALUE"""),"Yes")</f>
        <v>Yes</v>
      </c>
      <c r="Q587" s="5" t="str">
        <f ca="1">IFERROR(__xludf.DUMMYFUNCTION("""COMPUTED_VALUE"""),"Yes")</f>
        <v>Yes</v>
      </c>
      <c r="R587" s="5" t="str">
        <f ca="1">IFERROR(__xludf.DUMMYFUNCTION("""COMPUTED_VALUE"""),"Yes")</f>
        <v>Yes</v>
      </c>
      <c r="S587" s="5" t="str">
        <f ca="1">IFERROR(__xludf.DUMMYFUNCTION("""COMPUTED_VALUE"""),"Yes")</f>
        <v>Yes</v>
      </c>
      <c r="T587" s="5" t="str">
        <f ca="1">IFERROR(__xludf.DUMMYFUNCTION("""COMPUTED_VALUE"""),"Yes")</f>
        <v>Yes</v>
      </c>
      <c r="U587" s="5" t="str">
        <f ca="1">IFERROR(__xludf.DUMMYFUNCTION("""COMPUTED_VALUE"""),"Yes")</f>
        <v>Yes</v>
      </c>
      <c r="V587" s="5" t="str">
        <f ca="1">IFERROR(__xludf.DUMMYFUNCTION("""COMPUTED_VALUE"""),"Yes")</f>
        <v>Yes</v>
      </c>
      <c r="W587" s="5" t="str">
        <f ca="1">IFERROR(__xludf.DUMMYFUNCTION("""COMPUTED_VALUE"""),"Yes")</f>
        <v>Yes</v>
      </c>
      <c r="X587" s="5" t="str">
        <f ca="1">IFERROR(__xludf.DUMMYFUNCTION("""COMPUTED_VALUE"""),"Yes")</f>
        <v>Yes</v>
      </c>
      <c r="Y587" s="5" t="str">
        <f ca="1">IFERROR(__xludf.DUMMYFUNCTION("""COMPUTED_VALUE"""),"Yes")</f>
        <v>Yes</v>
      </c>
      <c r="Z587" s="5" t="str">
        <f ca="1">IFERROR(__xludf.DUMMYFUNCTION("""COMPUTED_VALUE"""),"No")</f>
        <v>No</v>
      </c>
      <c r="AA587" s="5" t="str">
        <f ca="1">IFERROR(__xludf.DUMMYFUNCTION("""COMPUTED_VALUE"""),"Yes")</f>
        <v>Yes</v>
      </c>
      <c r="AB587" s="5" t="str">
        <f ca="1">IFERROR(__xludf.DUMMYFUNCTION("""COMPUTED_VALUE"""),"Yes")</f>
        <v>Yes</v>
      </c>
      <c r="AC587" s="5" t="str">
        <f ca="1">IFERROR(__xludf.DUMMYFUNCTION("""COMPUTED_VALUE"""),"Yes")</f>
        <v>Yes</v>
      </c>
      <c r="AD587" s="5" t="str">
        <f ca="1">IFERROR(__xludf.DUMMYFUNCTION("""COMPUTED_VALUE"""),"Yes")</f>
        <v>Yes</v>
      </c>
      <c r="AE587" s="5" t="str">
        <f ca="1">IFERROR(__xludf.DUMMYFUNCTION("""COMPUTED_VALUE"""),"No")</f>
        <v>No</v>
      </c>
      <c r="AF587" s="5" t="str">
        <f ca="1">IFERROR(__xludf.DUMMYFUNCTION("""COMPUTED_VALUE"""),"Yes")</f>
        <v>Yes</v>
      </c>
      <c r="AG587" s="5" t="str">
        <f ca="1">IFERROR(__xludf.DUMMYFUNCTION("""COMPUTED_VALUE"""),"No")</f>
        <v>No</v>
      </c>
      <c r="AH587" s="5" t="str">
        <f ca="1">IFERROR(__xludf.DUMMYFUNCTION("""COMPUTED_VALUE"""),"No")</f>
        <v>No</v>
      </c>
      <c r="AI587" s="5" t="str">
        <f ca="1">IFERROR(__xludf.DUMMYFUNCTION("""COMPUTED_VALUE"""),"No")</f>
        <v>No</v>
      </c>
      <c r="AJ587" s="5" t="str">
        <f ca="1">IFERROR(__xludf.DUMMYFUNCTION("""COMPUTED_VALUE"""),"No")</f>
        <v>No</v>
      </c>
      <c r="AK587" s="5" t="str">
        <f ca="1">IFERROR(__xludf.DUMMYFUNCTION("""COMPUTED_VALUE"""),"No")</f>
        <v>No</v>
      </c>
      <c r="AL587" s="5" t="str">
        <f ca="1">IFERROR(__xludf.DUMMYFUNCTION("""COMPUTED_VALUE"""),"No")</f>
        <v>No</v>
      </c>
      <c r="AM587" s="5"/>
      <c r="AN587" s="5"/>
      <c r="AO587" s="5"/>
      <c r="AP587" s="5"/>
      <c r="AQ587" s="5"/>
      <c r="AR587" s="5"/>
      <c r="AS587" s="5"/>
      <c r="AT587" s="5"/>
      <c r="AU587" s="5"/>
      <c r="AV587" s="5"/>
      <c r="AW587" s="5"/>
      <c r="AX587" s="5"/>
      <c r="AY587" s="5"/>
    </row>
    <row r="588" spans="1:51" x14ac:dyDescent="0.25">
      <c r="A5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8" s="5">
        <f ca="1">IFERROR(__xludf.DUMMYFUNCTION("""COMPUTED_VALUE"""),621)</f>
        <v>621</v>
      </c>
      <c r="C588" s="5">
        <f ca="1">IFERROR(__xludf.DUMMYFUNCTION("""COMPUTED_VALUE"""),3024)</f>
        <v>3024</v>
      </c>
      <c r="D588" s="5" t="str">
        <f ca="1">IFERROR(__xludf.DUMMYFUNCTION("""COMPUTED_VALUE"""),"Money5Booster")</f>
        <v>Money5Booster</v>
      </c>
      <c r="E588" s="5" t="str">
        <f ca="1">IFERROR(__xludf.DUMMYFUNCTION("""COMPUTED_VALUE"""),"Yes")</f>
        <v>Yes</v>
      </c>
      <c r="F588" s="5" t="str">
        <f ca="1">IFERROR(__xludf.DUMMYFUNCTION("""COMPUTED_VALUE"""),"Yes")</f>
        <v>Yes</v>
      </c>
      <c r="G588" s="5" t="str">
        <f ca="1">IFERROR(__xludf.DUMMYFUNCTION("""COMPUTED_VALUE"""),"Yes")</f>
        <v>Yes</v>
      </c>
      <c r="H588" s="5" t="str">
        <f ca="1">IFERROR(__xludf.DUMMYFUNCTION("""COMPUTED_VALUE"""),"Yes")</f>
        <v>Yes</v>
      </c>
      <c r="I588" s="5" t="str">
        <f ca="1">IFERROR(__xludf.DUMMYFUNCTION("""COMPUTED_VALUE"""),"Yes")</f>
        <v>Yes</v>
      </c>
      <c r="J588" s="5" t="str">
        <f ca="1">IFERROR(__xludf.DUMMYFUNCTION("""COMPUTED_VALUE"""),"Yes")</f>
        <v>Yes</v>
      </c>
      <c r="K588" s="5" t="str">
        <f ca="1">IFERROR(__xludf.DUMMYFUNCTION("""COMPUTED_VALUE"""),"Yes")</f>
        <v>Yes</v>
      </c>
      <c r="L588" s="5" t="str">
        <f ca="1">IFERROR(__xludf.DUMMYFUNCTION("""COMPUTED_VALUE"""),"Yes")</f>
        <v>Yes</v>
      </c>
      <c r="M588" s="5" t="str">
        <f ca="1">IFERROR(__xludf.DUMMYFUNCTION("""COMPUTED_VALUE"""),"Yes")</f>
        <v>Yes</v>
      </c>
      <c r="N588" s="5" t="str">
        <f ca="1">IFERROR(__xludf.DUMMYFUNCTION("""COMPUTED_VALUE"""),"Yes")</f>
        <v>Yes</v>
      </c>
      <c r="O588" s="5" t="str">
        <f ca="1">IFERROR(__xludf.DUMMYFUNCTION("""COMPUTED_VALUE"""),"Yes")</f>
        <v>Yes</v>
      </c>
      <c r="P588" s="5" t="str">
        <f ca="1">IFERROR(__xludf.DUMMYFUNCTION("""COMPUTED_VALUE"""),"Yes")</f>
        <v>Yes</v>
      </c>
      <c r="Q588" s="5" t="str">
        <f ca="1">IFERROR(__xludf.DUMMYFUNCTION("""COMPUTED_VALUE"""),"Yes")</f>
        <v>Yes</v>
      </c>
      <c r="R588" s="5" t="str">
        <f ca="1">IFERROR(__xludf.DUMMYFUNCTION("""COMPUTED_VALUE"""),"Yes")</f>
        <v>Yes</v>
      </c>
      <c r="S588" s="5" t="str">
        <f ca="1">IFERROR(__xludf.DUMMYFUNCTION("""COMPUTED_VALUE"""),"Yes")</f>
        <v>Yes</v>
      </c>
      <c r="T588" s="5" t="str">
        <f ca="1">IFERROR(__xludf.DUMMYFUNCTION("""COMPUTED_VALUE"""),"Yes")</f>
        <v>Yes</v>
      </c>
      <c r="U588" s="5" t="str">
        <f ca="1">IFERROR(__xludf.DUMMYFUNCTION("""COMPUTED_VALUE"""),"Yes")</f>
        <v>Yes</v>
      </c>
      <c r="V588" s="5" t="str">
        <f ca="1">IFERROR(__xludf.DUMMYFUNCTION("""COMPUTED_VALUE"""),"Yes")</f>
        <v>Yes</v>
      </c>
      <c r="W588" s="5" t="str">
        <f ca="1">IFERROR(__xludf.DUMMYFUNCTION("""COMPUTED_VALUE"""),"Yes")</f>
        <v>Yes</v>
      </c>
      <c r="X588" s="5" t="str">
        <f ca="1">IFERROR(__xludf.DUMMYFUNCTION("""COMPUTED_VALUE"""),"Yes")</f>
        <v>Yes</v>
      </c>
      <c r="Y588" s="5" t="str">
        <f ca="1">IFERROR(__xludf.DUMMYFUNCTION("""COMPUTED_VALUE"""),"Yes")</f>
        <v>Yes</v>
      </c>
      <c r="Z588" s="5" t="str">
        <f ca="1">IFERROR(__xludf.DUMMYFUNCTION("""COMPUTED_VALUE"""),"No")</f>
        <v>No</v>
      </c>
      <c r="AA588" s="5" t="str">
        <f ca="1">IFERROR(__xludf.DUMMYFUNCTION("""COMPUTED_VALUE"""),"Yes")</f>
        <v>Yes</v>
      </c>
      <c r="AB588" s="5" t="str">
        <f ca="1">IFERROR(__xludf.DUMMYFUNCTION("""COMPUTED_VALUE"""),"Yes")</f>
        <v>Yes</v>
      </c>
      <c r="AC588" s="5" t="str">
        <f ca="1">IFERROR(__xludf.DUMMYFUNCTION("""COMPUTED_VALUE"""),"Yes")</f>
        <v>Yes</v>
      </c>
      <c r="AD588" s="5" t="str">
        <f ca="1">IFERROR(__xludf.DUMMYFUNCTION("""COMPUTED_VALUE"""),"Yes")</f>
        <v>Yes</v>
      </c>
      <c r="AE588" s="5" t="str">
        <f ca="1">IFERROR(__xludf.DUMMYFUNCTION("""COMPUTED_VALUE"""),"No")</f>
        <v>No</v>
      </c>
      <c r="AF588" s="5" t="str">
        <f ca="1">IFERROR(__xludf.DUMMYFUNCTION("""COMPUTED_VALUE"""),"Yes")</f>
        <v>Yes</v>
      </c>
      <c r="AG588" s="5" t="str">
        <f ca="1">IFERROR(__xludf.DUMMYFUNCTION("""COMPUTED_VALUE"""),"No")</f>
        <v>No</v>
      </c>
      <c r="AH588" s="5" t="str">
        <f ca="1">IFERROR(__xludf.DUMMYFUNCTION("""COMPUTED_VALUE"""),"No")</f>
        <v>No</v>
      </c>
      <c r="AI588" s="5" t="str">
        <f ca="1">IFERROR(__xludf.DUMMYFUNCTION("""COMPUTED_VALUE"""),"No")</f>
        <v>No</v>
      </c>
      <c r="AJ588" s="5" t="str">
        <f ca="1">IFERROR(__xludf.DUMMYFUNCTION("""COMPUTED_VALUE"""),"No")</f>
        <v>No</v>
      </c>
      <c r="AK588" s="5" t="str">
        <f ca="1">IFERROR(__xludf.DUMMYFUNCTION("""COMPUTED_VALUE"""),"No")</f>
        <v>No</v>
      </c>
      <c r="AL588" s="5" t="str">
        <f ca="1">IFERROR(__xludf.DUMMYFUNCTION("""COMPUTED_VALUE"""),"No")</f>
        <v>No</v>
      </c>
      <c r="AM588" s="5"/>
      <c r="AN588" s="5"/>
      <c r="AO588" s="5"/>
      <c r="AP588" s="5"/>
      <c r="AQ588" s="5"/>
      <c r="AR588" s="5"/>
      <c r="AS588" s="5"/>
      <c r="AT588" s="5"/>
      <c r="AU588" s="5"/>
      <c r="AV588" s="5"/>
      <c r="AW588" s="5"/>
      <c r="AX588" s="5"/>
      <c r="AY588" s="5"/>
    </row>
    <row r="589" spans="1:51" x14ac:dyDescent="0.25">
      <c r="A5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9" s="5">
        <f ca="1">IFERROR(__xludf.DUMMYFUNCTION("""COMPUTED_VALUE"""),622)</f>
        <v>622</v>
      </c>
      <c r="C589" s="5">
        <f ca="1">IFERROR(__xludf.DUMMYFUNCTION("""COMPUTED_VALUE"""),3026)</f>
        <v>3026</v>
      </c>
      <c r="D589" s="5" t="str">
        <f ca="1">IFERROR(__xludf.DUMMYFUNCTION("""COMPUTED_VALUE"""),"GoldenCrownChristmasBooster")</f>
        <v>GoldenCrownChristmasBooster</v>
      </c>
      <c r="E589" s="5" t="str">
        <f ca="1">IFERROR(__xludf.DUMMYFUNCTION("""COMPUTED_VALUE"""),"Yes")</f>
        <v>Yes</v>
      </c>
      <c r="F589" s="5" t="str">
        <f ca="1">IFERROR(__xludf.DUMMYFUNCTION("""COMPUTED_VALUE"""),"Yes")</f>
        <v>Yes</v>
      </c>
      <c r="G589" s="5" t="str">
        <f ca="1">IFERROR(__xludf.DUMMYFUNCTION("""COMPUTED_VALUE"""),"Yes")</f>
        <v>Yes</v>
      </c>
      <c r="H589" s="5" t="str">
        <f ca="1">IFERROR(__xludf.DUMMYFUNCTION("""COMPUTED_VALUE"""),"Yes")</f>
        <v>Yes</v>
      </c>
      <c r="I589" s="5" t="str">
        <f ca="1">IFERROR(__xludf.DUMMYFUNCTION("""COMPUTED_VALUE"""),"Yes")</f>
        <v>Yes</v>
      </c>
      <c r="J589" s="5" t="str">
        <f ca="1">IFERROR(__xludf.DUMMYFUNCTION("""COMPUTED_VALUE"""),"Yes")</f>
        <v>Yes</v>
      </c>
      <c r="K589" s="5" t="str">
        <f ca="1">IFERROR(__xludf.DUMMYFUNCTION("""COMPUTED_VALUE"""),"Yes")</f>
        <v>Yes</v>
      </c>
      <c r="L589" s="5" t="str">
        <f ca="1">IFERROR(__xludf.DUMMYFUNCTION("""COMPUTED_VALUE"""),"Yes")</f>
        <v>Yes</v>
      </c>
      <c r="M589" s="5" t="str">
        <f ca="1">IFERROR(__xludf.DUMMYFUNCTION("""COMPUTED_VALUE"""),"Yes")</f>
        <v>Yes</v>
      </c>
      <c r="N589" s="5" t="str">
        <f ca="1">IFERROR(__xludf.DUMMYFUNCTION("""COMPUTED_VALUE"""),"Yes")</f>
        <v>Yes</v>
      </c>
      <c r="O589" s="5" t="str">
        <f ca="1">IFERROR(__xludf.DUMMYFUNCTION("""COMPUTED_VALUE"""),"Yes")</f>
        <v>Yes</v>
      </c>
      <c r="P589" s="5" t="str">
        <f ca="1">IFERROR(__xludf.DUMMYFUNCTION("""COMPUTED_VALUE"""),"Yes")</f>
        <v>Yes</v>
      </c>
      <c r="Q589" s="5" t="str">
        <f ca="1">IFERROR(__xludf.DUMMYFUNCTION("""COMPUTED_VALUE"""),"Yes")</f>
        <v>Yes</v>
      </c>
      <c r="R589" s="5" t="str">
        <f ca="1">IFERROR(__xludf.DUMMYFUNCTION("""COMPUTED_VALUE"""),"Yes")</f>
        <v>Yes</v>
      </c>
      <c r="S589" s="5" t="str">
        <f ca="1">IFERROR(__xludf.DUMMYFUNCTION("""COMPUTED_VALUE"""),"Yes")</f>
        <v>Yes</v>
      </c>
      <c r="T589" s="5" t="str">
        <f ca="1">IFERROR(__xludf.DUMMYFUNCTION("""COMPUTED_VALUE"""),"Yes")</f>
        <v>Yes</v>
      </c>
      <c r="U589" s="5" t="str">
        <f ca="1">IFERROR(__xludf.DUMMYFUNCTION("""COMPUTED_VALUE"""),"Yes")</f>
        <v>Yes</v>
      </c>
      <c r="V589" s="5" t="str">
        <f ca="1">IFERROR(__xludf.DUMMYFUNCTION("""COMPUTED_VALUE"""),"Yes")</f>
        <v>Yes</v>
      </c>
      <c r="W589" s="5" t="str">
        <f ca="1">IFERROR(__xludf.DUMMYFUNCTION("""COMPUTED_VALUE"""),"Yes")</f>
        <v>Yes</v>
      </c>
      <c r="X589" s="5" t="str">
        <f ca="1">IFERROR(__xludf.DUMMYFUNCTION("""COMPUTED_VALUE"""),"Yes")</f>
        <v>Yes</v>
      </c>
      <c r="Y589" s="5" t="str">
        <f ca="1">IFERROR(__xludf.DUMMYFUNCTION("""COMPUTED_VALUE"""),"Yes")</f>
        <v>Yes</v>
      </c>
      <c r="Z589" s="5" t="str">
        <f ca="1">IFERROR(__xludf.DUMMYFUNCTION("""COMPUTED_VALUE"""),"No")</f>
        <v>No</v>
      </c>
      <c r="AA589" s="5" t="str">
        <f ca="1">IFERROR(__xludf.DUMMYFUNCTION("""COMPUTED_VALUE"""),"Yes")</f>
        <v>Yes</v>
      </c>
      <c r="AB589" s="5" t="str">
        <f ca="1">IFERROR(__xludf.DUMMYFUNCTION("""COMPUTED_VALUE"""),"Yes")</f>
        <v>Yes</v>
      </c>
      <c r="AC589" s="5" t="str">
        <f ca="1">IFERROR(__xludf.DUMMYFUNCTION("""COMPUTED_VALUE"""),"Yes")</f>
        <v>Yes</v>
      </c>
      <c r="AD589" s="5" t="str">
        <f ca="1">IFERROR(__xludf.DUMMYFUNCTION("""COMPUTED_VALUE"""),"Yes")</f>
        <v>Yes</v>
      </c>
      <c r="AE589" s="5" t="str">
        <f ca="1">IFERROR(__xludf.DUMMYFUNCTION("""COMPUTED_VALUE"""),"No")</f>
        <v>No</v>
      </c>
      <c r="AF589" s="5" t="str">
        <f ca="1">IFERROR(__xludf.DUMMYFUNCTION("""COMPUTED_VALUE"""),"Yes")</f>
        <v>Yes</v>
      </c>
      <c r="AG589" s="5" t="str">
        <f ca="1">IFERROR(__xludf.DUMMYFUNCTION("""COMPUTED_VALUE"""),"No")</f>
        <v>No</v>
      </c>
      <c r="AH589" s="5" t="str">
        <f ca="1">IFERROR(__xludf.DUMMYFUNCTION("""COMPUTED_VALUE"""),"No")</f>
        <v>No</v>
      </c>
      <c r="AI589" s="5" t="str">
        <f ca="1">IFERROR(__xludf.DUMMYFUNCTION("""COMPUTED_VALUE"""),"No")</f>
        <v>No</v>
      </c>
      <c r="AJ589" s="5" t="str">
        <f ca="1">IFERROR(__xludf.DUMMYFUNCTION("""COMPUTED_VALUE"""),"No")</f>
        <v>No</v>
      </c>
      <c r="AK589" s="5" t="str">
        <f ca="1">IFERROR(__xludf.DUMMYFUNCTION("""COMPUTED_VALUE"""),"No")</f>
        <v>No</v>
      </c>
      <c r="AL589" s="5" t="str">
        <f ca="1">IFERROR(__xludf.DUMMYFUNCTION("""COMPUTED_VALUE"""),"No")</f>
        <v>No</v>
      </c>
      <c r="AM589" s="5"/>
      <c r="AN589" s="5"/>
      <c r="AO589" s="5"/>
      <c r="AP589" s="5"/>
      <c r="AQ589" s="5"/>
      <c r="AR589" s="5"/>
      <c r="AS589" s="5"/>
      <c r="AT589" s="5"/>
      <c r="AU589" s="5"/>
      <c r="AV589" s="5"/>
      <c r="AW589" s="5"/>
      <c r="AX589" s="5"/>
      <c r="AY589" s="5"/>
    </row>
    <row r="590" spans="1:51" x14ac:dyDescent="0.25">
      <c r="A5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0" s="5">
        <f ca="1">IFERROR(__xludf.DUMMYFUNCTION("""COMPUTED_VALUE"""),623)</f>
        <v>623</v>
      </c>
      <c r="C590" s="5">
        <f ca="1">IFERROR(__xludf.DUMMYFUNCTION("""COMPUTED_VALUE"""),3021)</f>
        <v>3021</v>
      </c>
      <c r="D590" s="5" t="str">
        <f ca="1">IFERROR(__xludf.DUMMYFUNCTION("""COMPUTED_VALUE"""),"BellasWorld")</f>
        <v>BellasWorld</v>
      </c>
      <c r="E590" s="5" t="str">
        <f ca="1">IFERROR(__xludf.DUMMYFUNCTION("""COMPUTED_VALUE"""),"Yes")</f>
        <v>Yes</v>
      </c>
      <c r="F590" s="5" t="str">
        <f ca="1">IFERROR(__xludf.DUMMYFUNCTION("""COMPUTED_VALUE"""),"Yes")</f>
        <v>Yes</v>
      </c>
      <c r="G590" s="5" t="str">
        <f ca="1">IFERROR(__xludf.DUMMYFUNCTION("""COMPUTED_VALUE"""),"Yes")</f>
        <v>Yes</v>
      </c>
      <c r="H590" s="5" t="str">
        <f ca="1">IFERROR(__xludf.DUMMYFUNCTION("""COMPUTED_VALUE"""),"Yes")</f>
        <v>Yes</v>
      </c>
      <c r="I590" s="5" t="str">
        <f ca="1">IFERROR(__xludf.DUMMYFUNCTION("""COMPUTED_VALUE"""),"Yes")</f>
        <v>Yes</v>
      </c>
      <c r="J590" s="5" t="str">
        <f ca="1">IFERROR(__xludf.DUMMYFUNCTION("""COMPUTED_VALUE"""),"Yes")</f>
        <v>Yes</v>
      </c>
      <c r="K590" s="5" t="str">
        <f ca="1">IFERROR(__xludf.DUMMYFUNCTION("""COMPUTED_VALUE"""),"Yes")</f>
        <v>Yes</v>
      </c>
      <c r="L590" s="5" t="str">
        <f ca="1">IFERROR(__xludf.DUMMYFUNCTION("""COMPUTED_VALUE"""),"Yes")</f>
        <v>Yes</v>
      </c>
      <c r="M590" s="5" t="str">
        <f ca="1">IFERROR(__xludf.DUMMYFUNCTION("""COMPUTED_VALUE"""),"Yes")</f>
        <v>Yes</v>
      </c>
      <c r="N590" s="5" t="str">
        <f ca="1">IFERROR(__xludf.DUMMYFUNCTION("""COMPUTED_VALUE"""),"Yes")</f>
        <v>Yes</v>
      </c>
      <c r="O590" s="5" t="str">
        <f ca="1">IFERROR(__xludf.DUMMYFUNCTION("""COMPUTED_VALUE"""),"Yes")</f>
        <v>Yes</v>
      </c>
      <c r="P590" s="5" t="str">
        <f ca="1">IFERROR(__xludf.DUMMYFUNCTION("""COMPUTED_VALUE"""),"Yes")</f>
        <v>Yes</v>
      </c>
      <c r="Q590" s="5" t="str">
        <f ca="1">IFERROR(__xludf.DUMMYFUNCTION("""COMPUTED_VALUE"""),"Yes")</f>
        <v>Yes</v>
      </c>
      <c r="R590" s="5" t="str">
        <f ca="1">IFERROR(__xludf.DUMMYFUNCTION("""COMPUTED_VALUE"""),"Yes")</f>
        <v>Yes</v>
      </c>
      <c r="S590" s="5" t="str">
        <f ca="1">IFERROR(__xludf.DUMMYFUNCTION("""COMPUTED_VALUE"""),"Yes")</f>
        <v>Yes</v>
      </c>
      <c r="T590" s="5" t="str">
        <f ca="1">IFERROR(__xludf.DUMMYFUNCTION("""COMPUTED_VALUE"""),"Yes")</f>
        <v>Yes</v>
      </c>
      <c r="U590" s="5" t="str">
        <f ca="1">IFERROR(__xludf.DUMMYFUNCTION("""COMPUTED_VALUE"""),"Yes")</f>
        <v>Yes</v>
      </c>
      <c r="V590" s="5" t="str">
        <f ca="1">IFERROR(__xludf.DUMMYFUNCTION("""COMPUTED_VALUE"""),"Yes")</f>
        <v>Yes</v>
      </c>
      <c r="W590" s="5" t="str">
        <f ca="1">IFERROR(__xludf.DUMMYFUNCTION("""COMPUTED_VALUE"""),"Yes")</f>
        <v>Yes</v>
      </c>
      <c r="X590" s="5" t="str">
        <f ca="1">IFERROR(__xludf.DUMMYFUNCTION("""COMPUTED_VALUE"""),"Yes")</f>
        <v>Yes</v>
      </c>
      <c r="Y590" s="5" t="str">
        <f ca="1">IFERROR(__xludf.DUMMYFUNCTION("""COMPUTED_VALUE"""),"Yes")</f>
        <v>Yes</v>
      </c>
      <c r="Z590" s="5" t="str">
        <f ca="1">IFERROR(__xludf.DUMMYFUNCTION("""COMPUTED_VALUE"""),"Yes")</f>
        <v>Yes</v>
      </c>
      <c r="AA590" s="5" t="str">
        <f ca="1">IFERROR(__xludf.DUMMYFUNCTION("""COMPUTED_VALUE"""),"Yes")</f>
        <v>Yes</v>
      </c>
      <c r="AB590" s="5" t="str">
        <f ca="1">IFERROR(__xludf.DUMMYFUNCTION("""COMPUTED_VALUE"""),"Yes")</f>
        <v>Yes</v>
      </c>
      <c r="AC590" s="5" t="str">
        <f ca="1">IFERROR(__xludf.DUMMYFUNCTION("""COMPUTED_VALUE"""),"Yes")</f>
        <v>Yes</v>
      </c>
      <c r="AD590" s="5" t="str">
        <f ca="1">IFERROR(__xludf.DUMMYFUNCTION("""COMPUTED_VALUE"""),"Yes")</f>
        <v>Yes</v>
      </c>
      <c r="AE590" s="5" t="str">
        <f ca="1">IFERROR(__xludf.DUMMYFUNCTION("""COMPUTED_VALUE"""),"Yes")</f>
        <v>Yes</v>
      </c>
      <c r="AF590" s="5" t="str">
        <f ca="1">IFERROR(__xludf.DUMMYFUNCTION("""COMPUTED_VALUE"""),"Yes")</f>
        <v>Yes</v>
      </c>
      <c r="AG590" s="5" t="str">
        <f ca="1">IFERROR(__xludf.DUMMYFUNCTION("""COMPUTED_VALUE"""),"Yes")</f>
        <v>Yes</v>
      </c>
      <c r="AH590" s="5" t="str">
        <f ca="1">IFERROR(__xludf.DUMMYFUNCTION("""COMPUTED_VALUE"""),"Yes")</f>
        <v>Yes</v>
      </c>
      <c r="AI590" s="5" t="str">
        <f ca="1">IFERROR(__xludf.DUMMYFUNCTION("""COMPUTED_VALUE"""),"Yes")</f>
        <v>Yes</v>
      </c>
      <c r="AJ590" s="5" t="str">
        <f ca="1">IFERROR(__xludf.DUMMYFUNCTION("""COMPUTED_VALUE"""),"Yes")</f>
        <v>Yes</v>
      </c>
      <c r="AK590" s="5" t="str">
        <f ca="1">IFERROR(__xludf.DUMMYFUNCTION("""COMPUTED_VALUE"""),"Yes")</f>
        <v>Yes</v>
      </c>
      <c r="AL590" s="5" t="str">
        <f ca="1">IFERROR(__xludf.DUMMYFUNCTION("""COMPUTED_VALUE"""),"No")</f>
        <v>No</v>
      </c>
      <c r="AM590" s="5"/>
      <c r="AN590" s="5"/>
      <c r="AO590" s="5"/>
      <c r="AP590" s="5"/>
      <c r="AQ590" s="5"/>
      <c r="AR590" s="5"/>
      <c r="AS590" s="5"/>
      <c r="AT590" s="5"/>
      <c r="AU590" s="5"/>
      <c r="AV590" s="5"/>
      <c r="AW590" s="5"/>
      <c r="AX590" s="5"/>
      <c r="AY590" s="5"/>
    </row>
    <row r="591" spans="1:51" x14ac:dyDescent="0.25">
      <c r="A5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1" s="5">
        <f ca="1">IFERROR(__xludf.DUMMYFUNCTION("""COMPUTED_VALUE"""),625)</f>
        <v>625</v>
      </c>
      <c r="C591" s="5">
        <f ca="1">IFERROR(__xludf.DUMMYFUNCTION("""COMPUTED_VALUE"""),1010)</f>
        <v>1010</v>
      </c>
      <c r="D591" s="5" t="str">
        <f ca="1">IFERROR(__xludf.DUMMYFUNCTION("""COMPUTED_VALUE"""),"Wild27Extreme")</f>
        <v>Wild27Extreme</v>
      </c>
      <c r="E591" s="5" t="str">
        <f ca="1">IFERROR(__xludf.DUMMYFUNCTION("""COMPUTED_VALUE"""),"Yes")</f>
        <v>Yes</v>
      </c>
      <c r="F591" s="5" t="str">
        <f ca="1">IFERROR(__xludf.DUMMYFUNCTION("""COMPUTED_VALUE"""),"Yes")</f>
        <v>Yes</v>
      </c>
      <c r="G591" s="5" t="str">
        <f ca="1">IFERROR(__xludf.DUMMYFUNCTION("""COMPUTED_VALUE"""),"Yes")</f>
        <v>Yes</v>
      </c>
      <c r="H591" s="5" t="str">
        <f ca="1">IFERROR(__xludf.DUMMYFUNCTION("""COMPUTED_VALUE"""),"Yes")</f>
        <v>Yes</v>
      </c>
      <c r="I591" s="5" t="str">
        <f ca="1">IFERROR(__xludf.DUMMYFUNCTION("""COMPUTED_VALUE"""),"Yes")</f>
        <v>Yes</v>
      </c>
      <c r="J591" s="5" t="str">
        <f ca="1">IFERROR(__xludf.DUMMYFUNCTION("""COMPUTED_VALUE"""),"Yes")</f>
        <v>Yes</v>
      </c>
      <c r="K591" s="5" t="str">
        <f ca="1">IFERROR(__xludf.DUMMYFUNCTION("""COMPUTED_VALUE"""),"Yes")</f>
        <v>Yes</v>
      </c>
      <c r="L591" s="5" t="str">
        <f ca="1">IFERROR(__xludf.DUMMYFUNCTION("""COMPUTED_VALUE"""),"Yes")</f>
        <v>Yes</v>
      </c>
      <c r="M591" s="5" t="str">
        <f ca="1">IFERROR(__xludf.DUMMYFUNCTION("""COMPUTED_VALUE"""),"Yes")</f>
        <v>Yes</v>
      </c>
      <c r="N591" s="5" t="str">
        <f ca="1">IFERROR(__xludf.DUMMYFUNCTION("""COMPUTED_VALUE"""),"Yes")</f>
        <v>Yes</v>
      </c>
      <c r="O591" s="5" t="str">
        <f ca="1">IFERROR(__xludf.DUMMYFUNCTION("""COMPUTED_VALUE"""),"Yes")</f>
        <v>Yes</v>
      </c>
      <c r="P591" s="5" t="str">
        <f ca="1">IFERROR(__xludf.DUMMYFUNCTION("""COMPUTED_VALUE"""),"Yes")</f>
        <v>Yes</v>
      </c>
      <c r="Q591" s="5" t="str">
        <f ca="1">IFERROR(__xludf.DUMMYFUNCTION("""COMPUTED_VALUE"""),"Yes")</f>
        <v>Yes</v>
      </c>
      <c r="R591" s="5" t="str">
        <f ca="1">IFERROR(__xludf.DUMMYFUNCTION("""COMPUTED_VALUE"""),"Yes")</f>
        <v>Yes</v>
      </c>
      <c r="S591" s="5" t="str">
        <f ca="1">IFERROR(__xludf.DUMMYFUNCTION("""COMPUTED_VALUE"""),"Yes")</f>
        <v>Yes</v>
      </c>
      <c r="T591" s="5" t="str">
        <f ca="1">IFERROR(__xludf.DUMMYFUNCTION("""COMPUTED_VALUE"""),"Yes")</f>
        <v>Yes</v>
      </c>
      <c r="U591" s="5" t="str">
        <f ca="1">IFERROR(__xludf.DUMMYFUNCTION("""COMPUTED_VALUE"""),"Yes")</f>
        <v>Yes</v>
      </c>
      <c r="V591" s="5" t="str">
        <f ca="1">IFERROR(__xludf.DUMMYFUNCTION("""COMPUTED_VALUE"""),"Yes")</f>
        <v>Yes</v>
      </c>
      <c r="W591" s="5" t="str">
        <f ca="1">IFERROR(__xludf.DUMMYFUNCTION("""COMPUTED_VALUE"""),"Yes")</f>
        <v>Yes</v>
      </c>
      <c r="X591" s="5" t="str">
        <f ca="1">IFERROR(__xludf.DUMMYFUNCTION("""COMPUTED_VALUE"""),"Yes")</f>
        <v>Yes</v>
      </c>
      <c r="Y591" s="5" t="str">
        <f ca="1">IFERROR(__xludf.DUMMYFUNCTION("""COMPUTED_VALUE"""),"Yes")</f>
        <v>Yes</v>
      </c>
      <c r="Z591" s="5" t="str">
        <f ca="1">IFERROR(__xludf.DUMMYFUNCTION("""COMPUTED_VALUE"""),"Yes")</f>
        <v>Yes</v>
      </c>
      <c r="AA591" s="5" t="str">
        <f ca="1">IFERROR(__xludf.DUMMYFUNCTION("""COMPUTED_VALUE"""),"Yes")</f>
        <v>Yes</v>
      </c>
      <c r="AB591" s="5" t="str">
        <f ca="1">IFERROR(__xludf.DUMMYFUNCTION("""COMPUTED_VALUE"""),"Yes")</f>
        <v>Yes</v>
      </c>
      <c r="AC591" s="5" t="str">
        <f ca="1">IFERROR(__xludf.DUMMYFUNCTION("""COMPUTED_VALUE"""),"Yes")</f>
        <v>Yes</v>
      </c>
      <c r="AD591" s="5" t="str">
        <f ca="1">IFERROR(__xludf.DUMMYFUNCTION("""COMPUTED_VALUE"""),"Yes")</f>
        <v>Yes</v>
      </c>
      <c r="AE591" s="5" t="str">
        <f ca="1">IFERROR(__xludf.DUMMYFUNCTION("""COMPUTED_VALUE"""),"Yes")</f>
        <v>Yes</v>
      </c>
      <c r="AF591" s="5" t="str">
        <f ca="1">IFERROR(__xludf.DUMMYFUNCTION("""COMPUTED_VALUE"""),"Yes")</f>
        <v>Yes</v>
      </c>
      <c r="AG591" s="5" t="str">
        <f ca="1">IFERROR(__xludf.DUMMYFUNCTION("""COMPUTED_VALUE"""),"Yes")</f>
        <v>Yes</v>
      </c>
      <c r="AH591" s="5" t="str">
        <f ca="1">IFERROR(__xludf.DUMMYFUNCTION("""COMPUTED_VALUE"""),"Yes")</f>
        <v>Yes</v>
      </c>
      <c r="AI591" s="5" t="str">
        <f ca="1">IFERROR(__xludf.DUMMYFUNCTION("""COMPUTED_VALUE"""),"Yes")</f>
        <v>Yes</v>
      </c>
      <c r="AJ591" s="5" t="str">
        <f ca="1">IFERROR(__xludf.DUMMYFUNCTION("""COMPUTED_VALUE"""),"Yes")</f>
        <v>Yes</v>
      </c>
      <c r="AK591" s="5" t="str">
        <f ca="1">IFERROR(__xludf.DUMMYFUNCTION("""COMPUTED_VALUE"""),"Yes")</f>
        <v>Yes</v>
      </c>
      <c r="AL591" s="5" t="str">
        <f ca="1">IFERROR(__xludf.DUMMYFUNCTION("""COMPUTED_VALUE"""),"No")</f>
        <v>No</v>
      </c>
      <c r="AM591" s="5"/>
      <c r="AN591" s="5"/>
      <c r="AO591" s="5"/>
      <c r="AP591" s="5"/>
      <c r="AQ591" s="5"/>
      <c r="AR591" s="5"/>
      <c r="AS591" s="5"/>
      <c r="AT591" s="5"/>
      <c r="AU591" s="5"/>
      <c r="AV591" s="5"/>
      <c r="AW591" s="5"/>
      <c r="AX591" s="5"/>
      <c r="AY591" s="5"/>
    </row>
    <row r="592" spans="1:51" x14ac:dyDescent="0.25">
      <c r="A5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2" s="5">
        <f ca="1">IFERROR(__xludf.DUMMYFUNCTION("""COMPUTED_VALUE"""),626)</f>
        <v>626</v>
      </c>
      <c r="C592" s="5">
        <f ca="1">IFERROR(__xludf.DUMMYFUNCTION("""COMPUTED_VALUE"""),1009)</f>
        <v>1009</v>
      </c>
      <c r="D592" s="5" t="str">
        <f ca="1">IFERROR(__xludf.DUMMYFUNCTION("""COMPUTED_VALUE"""),"MacacoDaFortuna")</f>
        <v>MacacoDaFortuna</v>
      </c>
      <c r="E592" s="5" t="str">
        <f ca="1">IFERROR(__xludf.DUMMYFUNCTION("""COMPUTED_VALUE"""),"Yes")</f>
        <v>Yes</v>
      </c>
      <c r="F592" s="5" t="str">
        <f ca="1">IFERROR(__xludf.DUMMYFUNCTION("""COMPUTED_VALUE"""),"Yes")</f>
        <v>Yes</v>
      </c>
      <c r="G592" s="5" t="str">
        <f ca="1">IFERROR(__xludf.DUMMYFUNCTION("""COMPUTED_VALUE"""),"Yes")</f>
        <v>Yes</v>
      </c>
      <c r="H592" s="5" t="str">
        <f ca="1">IFERROR(__xludf.DUMMYFUNCTION("""COMPUTED_VALUE"""),"Yes")</f>
        <v>Yes</v>
      </c>
      <c r="I592" s="5" t="str">
        <f ca="1">IFERROR(__xludf.DUMMYFUNCTION("""COMPUTED_VALUE"""),"Yes")</f>
        <v>Yes</v>
      </c>
      <c r="J592" s="5" t="str">
        <f ca="1">IFERROR(__xludf.DUMMYFUNCTION("""COMPUTED_VALUE"""),"Yes")</f>
        <v>Yes</v>
      </c>
      <c r="K592" s="5" t="str">
        <f ca="1">IFERROR(__xludf.DUMMYFUNCTION("""COMPUTED_VALUE"""),"Yes")</f>
        <v>Yes</v>
      </c>
      <c r="L592" s="5" t="str">
        <f ca="1">IFERROR(__xludf.DUMMYFUNCTION("""COMPUTED_VALUE"""),"Yes")</f>
        <v>Yes</v>
      </c>
      <c r="M592" s="5" t="str">
        <f ca="1">IFERROR(__xludf.DUMMYFUNCTION("""COMPUTED_VALUE"""),"Yes")</f>
        <v>Yes</v>
      </c>
      <c r="N592" s="5" t="str">
        <f ca="1">IFERROR(__xludf.DUMMYFUNCTION("""COMPUTED_VALUE"""),"Yes")</f>
        <v>Yes</v>
      </c>
      <c r="O592" s="5" t="str">
        <f ca="1">IFERROR(__xludf.DUMMYFUNCTION("""COMPUTED_VALUE"""),"Yes")</f>
        <v>Yes</v>
      </c>
      <c r="P592" s="5" t="str">
        <f ca="1">IFERROR(__xludf.DUMMYFUNCTION("""COMPUTED_VALUE"""),"Yes")</f>
        <v>Yes</v>
      </c>
      <c r="Q592" s="5" t="str">
        <f ca="1">IFERROR(__xludf.DUMMYFUNCTION("""COMPUTED_VALUE"""),"Yes")</f>
        <v>Yes</v>
      </c>
      <c r="R592" s="5" t="str">
        <f ca="1">IFERROR(__xludf.DUMMYFUNCTION("""COMPUTED_VALUE"""),"Yes")</f>
        <v>Yes</v>
      </c>
      <c r="S592" s="5" t="str">
        <f ca="1">IFERROR(__xludf.DUMMYFUNCTION("""COMPUTED_VALUE"""),"Yes")</f>
        <v>Yes</v>
      </c>
      <c r="T592" s="5" t="str">
        <f ca="1">IFERROR(__xludf.DUMMYFUNCTION("""COMPUTED_VALUE"""),"Yes")</f>
        <v>Yes</v>
      </c>
      <c r="U592" s="5" t="str">
        <f ca="1">IFERROR(__xludf.DUMMYFUNCTION("""COMPUTED_VALUE"""),"Yes")</f>
        <v>Yes</v>
      </c>
      <c r="V592" s="5" t="str">
        <f ca="1">IFERROR(__xludf.DUMMYFUNCTION("""COMPUTED_VALUE"""),"Yes")</f>
        <v>Yes</v>
      </c>
      <c r="W592" s="5" t="str">
        <f ca="1">IFERROR(__xludf.DUMMYFUNCTION("""COMPUTED_VALUE"""),"Yes")</f>
        <v>Yes</v>
      </c>
      <c r="X592" s="5" t="str">
        <f ca="1">IFERROR(__xludf.DUMMYFUNCTION("""COMPUTED_VALUE"""),"Yes")</f>
        <v>Yes</v>
      </c>
      <c r="Y592" s="5" t="str">
        <f ca="1">IFERROR(__xludf.DUMMYFUNCTION("""COMPUTED_VALUE"""),"Yes")</f>
        <v>Yes</v>
      </c>
      <c r="Z592" s="5" t="str">
        <f ca="1">IFERROR(__xludf.DUMMYFUNCTION("""COMPUTED_VALUE"""),"Yes")</f>
        <v>Yes</v>
      </c>
      <c r="AA592" s="5" t="str">
        <f ca="1">IFERROR(__xludf.DUMMYFUNCTION("""COMPUTED_VALUE"""),"Yes")</f>
        <v>Yes</v>
      </c>
      <c r="AB592" s="5" t="str">
        <f ca="1">IFERROR(__xludf.DUMMYFUNCTION("""COMPUTED_VALUE"""),"Yes")</f>
        <v>Yes</v>
      </c>
      <c r="AC592" s="5" t="str">
        <f ca="1">IFERROR(__xludf.DUMMYFUNCTION("""COMPUTED_VALUE"""),"Yes")</f>
        <v>Yes</v>
      </c>
      <c r="AD592" s="5" t="str">
        <f ca="1">IFERROR(__xludf.DUMMYFUNCTION("""COMPUTED_VALUE"""),"Yes")</f>
        <v>Yes</v>
      </c>
      <c r="AE592" s="5" t="str">
        <f ca="1">IFERROR(__xludf.DUMMYFUNCTION("""COMPUTED_VALUE"""),"Yes")</f>
        <v>Yes</v>
      </c>
      <c r="AF592" s="5" t="str">
        <f ca="1">IFERROR(__xludf.DUMMYFUNCTION("""COMPUTED_VALUE"""),"Yes")</f>
        <v>Yes</v>
      </c>
      <c r="AG592" s="5" t="str">
        <f ca="1">IFERROR(__xludf.DUMMYFUNCTION("""COMPUTED_VALUE"""),"Yes")</f>
        <v>Yes</v>
      </c>
      <c r="AH592" s="5" t="str">
        <f ca="1">IFERROR(__xludf.DUMMYFUNCTION("""COMPUTED_VALUE"""),"Yes")</f>
        <v>Yes</v>
      </c>
      <c r="AI592" s="5" t="str">
        <f ca="1">IFERROR(__xludf.DUMMYFUNCTION("""COMPUTED_VALUE"""),"Yes")</f>
        <v>Yes</v>
      </c>
      <c r="AJ592" s="5" t="str">
        <f ca="1">IFERROR(__xludf.DUMMYFUNCTION("""COMPUTED_VALUE"""),"Yes")</f>
        <v>Yes</v>
      </c>
      <c r="AK592" s="5" t="str">
        <f ca="1">IFERROR(__xludf.DUMMYFUNCTION("""COMPUTED_VALUE"""),"Yes")</f>
        <v>Yes</v>
      </c>
      <c r="AL592" s="5" t="str">
        <f ca="1">IFERROR(__xludf.DUMMYFUNCTION("""COMPUTED_VALUE"""),"No")</f>
        <v>No</v>
      </c>
      <c r="AM592" s="5"/>
      <c r="AN592" s="5"/>
      <c r="AO592" s="5"/>
      <c r="AP592" s="5"/>
      <c r="AQ592" s="5"/>
      <c r="AR592" s="5"/>
      <c r="AS592" s="5"/>
      <c r="AT592" s="5"/>
      <c r="AU592" s="5"/>
      <c r="AV592" s="5"/>
      <c r="AW592" s="5"/>
      <c r="AX592" s="5"/>
      <c r="AY592" s="5"/>
    </row>
    <row r="593" spans="1:51" x14ac:dyDescent="0.25">
      <c r="A5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3" s="5">
        <f ca="1">IFERROR(__xludf.DUMMYFUNCTION("""COMPUTED_VALUE"""),627)</f>
        <v>627</v>
      </c>
      <c r="C593" s="5">
        <f ca="1">IFERROR(__xludf.DUMMYFUNCTION("""COMPUTED_VALUE"""),4022)</f>
        <v>4022</v>
      </c>
      <c r="D593" s="5" t="str">
        <f ca="1">IFERROR(__xludf.DUMMYFUNCTION("""COMPUTED_VALUE"""),"GigaHot40FreeSpins")</f>
        <v>GigaHot40FreeSpins</v>
      </c>
      <c r="E593" s="5" t="str">
        <f ca="1">IFERROR(__xludf.DUMMYFUNCTION("""COMPUTED_VALUE"""),"Yes")</f>
        <v>Yes</v>
      </c>
      <c r="F593" s="5" t="str">
        <f ca="1">IFERROR(__xludf.DUMMYFUNCTION("""COMPUTED_VALUE"""),"Yes")</f>
        <v>Yes</v>
      </c>
      <c r="G593" s="5" t="str">
        <f ca="1">IFERROR(__xludf.DUMMYFUNCTION("""COMPUTED_VALUE"""),"Yes")</f>
        <v>Yes</v>
      </c>
      <c r="H593" s="5" t="str">
        <f ca="1">IFERROR(__xludf.DUMMYFUNCTION("""COMPUTED_VALUE"""),"Yes")</f>
        <v>Yes</v>
      </c>
      <c r="I593" s="5" t="str">
        <f ca="1">IFERROR(__xludf.DUMMYFUNCTION("""COMPUTED_VALUE"""),"Yes")</f>
        <v>Yes</v>
      </c>
      <c r="J593" s="5" t="str">
        <f ca="1">IFERROR(__xludf.DUMMYFUNCTION("""COMPUTED_VALUE"""),"Yes")</f>
        <v>Yes</v>
      </c>
      <c r="K593" s="5" t="str">
        <f ca="1">IFERROR(__xludf.DUMMYFUNCTION("""COMPUTED_VALUE"""),"Yes")</f>
        <v>Yes</v>
      </c>
      <c r="L593" s="5" t="str">
        <f ca="1">IFERROR(__xludf.DUMMYFUNCTION("""COMPUTED_VALUE"""),"Yes")</f>
        <v>Yes</v>
      </c>
      <c r="M593" s="5" t="str">
        <f ca="1">IFERROR(__xludf.DUMMYFUNCTION("""COMPUTED_VALUE"""),"Yes")</f>
        <v>Yes</v>
      </c>
      <c r="N593" s="5" t="str">
        <f ca="1">IFERROR(__xludf.DUMMYFUNCTION("""COMPUTED_VALUE"""),"Yes")</f>
        <v>Yes</v>
      </c>
      <c r="O593" s="5" t="str">
        <f ca="1">IFERROR(__xludf.DUMMYFUNCTION("""COMPUTED_VALUE"""),"Yes")</f>
        <v>Yes</v>
      </c>
      <c r="P593" s="5" t="str">
        <f ca="1">IFERROR(__xludf.DUMMYFUNCTION("""COMPUTED_VALUE"""),"Yes")</f>
        <v>Yes</v>
      </c>
      <c r="Q593" s="5" t="str">
        <f ca="1">IFERROR(__xludf.DUMMYFUNCTION("""COMPUTED_VALUE"""),"Yes")</f>
        <v>Yes</v>
      </c>
      <c r="R593" s="5" t="str">
        <f ca="1">IFERROR(__xludf.DUMMYFUNCTION("""COMPUTED_VALUE"""),"Yes")</f>
        <v>Yes</v>
      </c>
      <c r="S593" s="5" t="str">
        <f ca="1">IFERROR(__xludf.DUMMYFUNCTION("""COMPUTED_VALUE"""),"Yes")</f>
        <v>Yes</v>
      </c>
      <c r="T593" s="5" t="str">
        <f ca="1">IFERROR(__xludf.DUMMYFUNCTION("""COMPUTED_VALUE"""),"Yes")</f>
        <v>Yes</v>
      </c>
      <c r="U593" s="5" t="str">
        <f ca="1">IFERROR(__xludf.DUMMYFUNCTION("""COMPUTED_VALUE"""),"Yes")</f>
        <v>Yes</v>
      </c>
      <c r="V593" s="5" t="str">
        <f ca="1">IFERROR(__xludf.DUMMYFUNCTION("""COMPUTED_VALUE"""),"Yes")</f>
        <v>Yes</v>
      </c>
      <c r="W593" s="5" t="str">
        <f ca="1">IFERROR(__xludf.DUMMYFUNCTION("""COMPUTED_VALUE"""),"Yes")</f>
        <v>Yes</v>
      </c>
      <c r="X593" s="5" t="str">
        <f ca="1">IFERROR(__xludf.DUMMYFUNCTION("""COMPUTED_VALUE"""),"Yes")</f>
        <v>Yes</v>
      </c>
      <c r="Y593" s="5" t="str">
        <f ca="1">IFERROR(__xludf.DUMMYFUNCTION("""COMPUTED_VALUE"""),"Yes")</f>
        <v>Yes</v>
      </c>
      <c r="Z593" s="5" t="str">
        <f ca="1">IFERROR(__xludf.DUMMYFUNCTION("""COMPUTED_VALUE"""),"No")</f>
        <v>No</v>
      </c>
      <c r="AA593" s="5" t="str">
        <f ca="1">IFERROR(__xludf.DUMMYFUNCTION("""COMPUTED_VALUE"""),"Yes")</f>
        <v>Yes</v>
      </c>
      <c r="AB593" s="5" t="str">
        <f ca="1">IFERROR(__xludf.DUMMYFUNCTION("""COMPUTED_VALUE"""),"Yes")</f>
        <v>Yes</v>
      </c>
      <c r="AC593" s="5" t="str">
        <f ca="1">IFERROR(__xludf.DUMMYFUNCTION("""COMPUTED_VALUE"""),"Yes")</f>
        <v>Yes</v>
      </c>
      <c r="AD593" s="5" t="str">
        <f ca="1">IFERROR(__xludf.DUMMYFUNCTION("""COMPUTED_VALUE"""),"Yes")</f>
        <v>Yes</v>
      </c>
      <c r="AE593" s="5" t="str">
        <f ca="1">IFERROR(__xludf.DUMMYFUNCTION("""COMPUTED_VALUE"""),"No")</f>
        <v>No</v>
      </c>
      <c r="AF593" s="5" t="str">
        <f ca="1">IFERROR(__xludf.DUMMYFUNCTION("""COMPUTED_VALUE"""),"Yes")</f>
        <v>Yes</v>
      </c>
      <c r="AG593" s="5" t="str">
        <f ca="1">IFERROR(__xludf.DUMMYFUNCTION("""COMPUTED_VALUE"""),"No")</f>
        <v>No</v>
      </c>
      <c r="AH593" s="5" t="str">
        <f ca="1">IFERROR(__xludf.DUMMYFUNCTION("""COMPUTED_VALUE"""),"No")</f>
        <v>No</v>
      </c>
      <c r="AI593" s="5" t="str">
        <f ca="1">IFERROR(__xludf.DUMMYFUNCTION("""COMPUTED_VALUE"""),"No")</f>
        <v>No</v>
      </c>
      <c r="AJ593" s="5" t="str">
        <f ca="1">IFERROR(__xludf.DUMMYFUNCTION("""COMPUTED_VALUE"""),"No")</f>
        <v>No</v>
      </c>
      <c r="AK593" s="5" t="str">
        <f ca="1">IFERROR(__xludf.DUMMYFUNCTION("""COMPUTED_VALUE"""),"No")</f>
        <v>No</v>
      </c>
      <c r="AL593" s="5" t="str">
        <f ca="1">IFERROR(__xludf.DUMMYFUNCTION("""COMPUTED_VALUE"""),"No")</f>
        <v>No</v>
      </c>
      <c r="AM593" s="5"/>
      <c r="AN593" s="5"/>
      <c r="AO593" s="5"/>
      <c r="AP593" s="5"/>
      <c r="AQ593" s="5"/>
      <c r="AR593" s="5"/>
      <c r="AS593" s="5"/>
      <c r="AT593" s="5"/>
      <c r="AU593" s="5"/>
      <c r="AV593" s="5"/>
      <c r="AW593" s="5"/>
      <c r="AX593" s="5"/>
      <c r="AY593" s="5"/>
    </row>
    <row r="594" spans="1:51" x14ac:dyDescent="0.25">
      <c r="A59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94" s="5">
        <f ca="1">IFERROR(__xludf.DUMMYFUNCTION("""COMPUTED_VALUE"""),628)</f>
        <v>628</v>
      </c>
      <c r="C594" s="5">
        <f ca="1">IFERROR(__xludf.DUMMYFUNCTION("""COMPUTED_VALUE"""),-1)</f>
        <v>-1</v>
      </c>
      <c r="D594" s="5" t="str">
        <f ca="1">IFERROR(__xludf.DUMMYFUNCTION("""COMPUTED_VALUE"""),"TBD")</f>
        <v>TBD</v>
      </c>
      <c r="E594" s="5" t="str">
        <f ca="1">IFERROR(__xludf.DUMMYFUNCTION("""COMPUTED_VALUE"""),"Yes")</f>
        <v>Yes</v>
      </c>
      <c r="F594" s="5" t="str">
        <f ca="1">IFERROR(__xludf.DUMMYFUNCTION("""COMPUTED_VALUE"""),"Yes")</f>
        <v>Yes</v>
      </c>
      <c r="G594" s="5" t="str">
        <f ca="1">IFERROR(__xludf.DUMMYFUNCTION("""COMPUTED_VALUE"""),"Yes")</f>
        <v>Yes</v>
      </c>
      <c r="H594" s="5"/>
      <c r="I594" s="5"/>
      <c r="J594" s="5"/>
      <c r="K594" s="5"/>
      <c r="L594" s="5"/>
      <c r="M594" s="5" t="str">
        <f ca="1">IFERROR(__xludf.DUMMYFUNCTION("""COMPUTED_VALUE"""),"Yes")</f>
        <v>Yes</v>
      </c>
      <c r="N594" s="5" t="str">
        <f ca="1">IFERROR(__xludf.DUMMYFUNCTION("""COMPUTED_VALUE"""),"Yes")</f>
        <v>Yes</v>
      </c>
      <c r="O594" s="5" t="str">
        <f ca="1">IFERROR(__xludf.DUMMYFUNCTION("""COMPUTED_VALUE"""),"Yes")</f>
        <v>Yes</v>
      </c>
      <c r="P594" s="5" t="str">
        <f ca="1">IFERROR(__xludf.DUMMYFUNCTION("""COMPUTED_VALUE"""),"Yes")</f>
        <v>Yes</v>
      </c>
      <c r="Q594" s="5" t="str">
        <f ca="1">IFERROR(__xludf.DUMMYFUNCTION("""COMPUTED_VALUE"""),"Yes")</f>
        <v>Yes</v>
      </c>
      <c r="R594" s="5"/>
      <c r="S594" s="5" t="str">
        <f ca="1">IFERROR(__xludf.DUMMYFUNCTION("""COMPUTED_VALUE"""),"Yes")</f>
        <v>Yes</v>
      </c>
      <c r="T594" s="5"/>
      <c r="U594" s="5"/>
      <c r="V594" s="5"/>
      <c r="W594" s="5"/>
      <c r="X594" s="5"/>
      <c r="Y594" s="5"/>
      <c r="Z594" s="5"/>
      <c r="AA594" s="5" t="str">
        <f ca="1">IFERROR(__xludf.DUMMYFUNCTION("""COMPUTED_VALUE"""),"Yes")</f>
        <v>Yes</v>
      </c>
      <c r="AB594" s="5"/>
      <c r="AC594" s="5"/>
      <c r="AD594" s="5"/>
      <c r="AE594" s="5"/>
      <c r="AF594" s="5" t="str">
        <f ca="1">IFERROR(__xludf.DUMMYFUNCTION("""COMPUTED_VALUE"""),"Yes")</f>
        <v>Yes</v>
      </c>
      <c r="AG594" s="5"/>
      <c r="AH594" s="5"/>
      <c r="AI594" s="5"/>
      <c r="AJ594" s="5"/>
      <c r="AK594" s="5"/>
      <c r="AL594" s="5" t="str">
        <f ca="1">IFERROR(__xludf.DUMMYFUNCTION("""COMPUTED_VALUE"""),"Yes")</f>
        <v>Yes</v>
      </c>
      <c r="AM594" s="5"/>
      <c r="AN594" s="5"/>
      <c r="AO594" s="5"/>
      <c r="AP594" s="5"/>
      <c r="AQ594" s="5"/>
      <c r="AR594" s="5"/>
      <c r="AS594" s="5"/>
      <c r="AT594" s="5"/>
      <c r="AU594" s="5"/>
      <c r="AV594" s="5"/>
      <c r="AW594" s="5"/>
      <c r="AX594" s="5"/>
      <c r="AY594" s="5"/>
    </row>
    <row r="595" spans="1:51" x14ac:dyDescent="0.25">
      <c r="A5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5" s="5">
        <f ca="1">IFERROR(__xludf.DUMMYFUNCTION("""COMPUTED_VALUE"""),629)</f>
        <v>629</v>
      </c>
      <c r="C595" s="5">
        <f ca="1">IFERROR(__xludf.DUMMYFUNCTION("""COMPUTED_VALUE"""),3025)</f>
        <v>3025</v>
      </c>
      <c r="D595" s="5" t="str">
        <f ca="1">IFERROR(__xludf.DUMMYFUNCTION("""COMPUTED_VALUE"""),"VeryHot5ChristmasBooster")</f>
        <v>VeryHot5ChristmasBooster</v>
      </c>
      <c r="E595" s="5" t="str">
        <f ca="1">IFERROR(__xludf.DUMMYFUNCTION("""COMPUTED_VALUE"""),"Yes")</f>
        <v>Yes</v>
      </c>
      <c r="F595" s="5" t="str">
        <f ca="1">IFERROR(__xludf.DUMMYFUNCTION("""COMPUTED_VALUE"""),"Yes")</f>
        <v>Yes</v>
      </c>
      <c r="G595" s="5" t="str">
        <f ca="1">IFERROR(__xludf.DUMMYFUNCTION("""COMPUTED_VALUE"""),"Yes")</f>
        <v>Yes</v>
      </c>
      <c r="H595" s="5" t="str">
        <f ca="1">IFERROR(__xludf.DUMMYFUNCTION("""COMPUTED_VALUE"""),"Yes")</f>
        <v>Yes</v>
      </c>
      <c r="I595" s="5" t="str">
        <f ca="1">IFERROR(__xludf.DUMMYFUNCTION("""COMPUTED_VALUE"""),"Yes")</f>
        <v>Yes</v>
      </c>
      <c r="J595" s="5" t="str">
        <f ca="1">IFERROR(__xludf.DUMMYFUNCTION("""COMPUTED_VALUE"""),"Yes")</f>
        <v>Yes</v>
      </c>
      <c r="K595" s="5" t="str">
        <f ca="1">IFERROR(__xludf.DUMMYFUNCTION("""COMPUTED_VALUE"""),"Yes")</f>
        <v>Yes</v>
      </c>
      <c r="L595" s="5" t="str">
        <f ca="1">IFERROR(__xludf.DUMMYFUNCTION("""COMPUTED_VALUE"""),"Yes")</f>
        <v>Yes</v>
      </c>
      <c r="M595" s="5" t="str">
        <f ca="1">IFERROR(__xludf.DUMMYFUNCTION("""COMPUTED_VALUE"""),"Yes")</f>
        <v>Yes</v>
      </c>
      <c r="N595" s="5" t="str">
        <f ca="1">IFERROR(__xludf.DUMMYFUNCTION("""COMPUTED_VALUE"""),"Yes")</f>
        <v>Yes</v>
      </c>
      <c r="O595" s="5" t="str">
        <f ca="1">IFERROR(__xludf.DUMMYFUNCTION("""COMPUTED_VALUE"""),"Yes")</f>
        <v>Yes</v>
      </c>
      <c r="P595" s="5" t="str">
        <f ca="1">IFERROR(__xludf.DUMMYFUNCTION("""COMPUTED_VALUE"""),"Yes")</f>
        <v>Yes</v>
      </c>
      <c r="Q595" s="5" t="str">
        <f ca="1">IFERROR(__xludf.DUMMYFUNCTION("""COMPUTED_VALUE"""),"Yes")</f>
        <v>Yes</v>
      </c>
      <c r="R595" s="5" t="str">
        <f ca="1">IFERROR(__xludf.DUMMYFUNCTION("""COMPUTED_VALUE"""),"Yes")</f>
        <v>Yes</v>
      </c>
      <c r="S595" s="5" t="str">
        <f ca="1">IFERROR(__xludf.DUMMYFUNCTION("""COMPUTED_VALUE"""),"Yes")</f>
        <v>Yes</v>
      </c>
      <c r="T595" s="5" t="str">
        <f ca="1">IFERROR(__xludf.DUMMYFUNCTION("""COMPUTED_VALUE"""),"Yes")</f>
        <v>Yes</v>
      </c>
      <c r="U595" s="5" t="str">
        <f ca="1">IFERROR(__xludf.DUMMYFUNCTION("""COMPUTED_VALUE"""),"Yes")</f>
        <v>Yes</v>
      </c>
      <c r="V595" s="5" t="str">
        <f ca="1">IFERROR(__xludf.DUMMYFUNCTION("""COMPUTED_VALUE"""),"Yes")</f>
        <v>Yes</v>
      </c>
      <c r="W595" s="5" t="str">
        <f ca="1">IFERROR(__xludf.DUMMYFUNCTION("""COMPUTED_VALUE"""),"Yes")</f>
        <v>Yes</v>
      </c>
      <c r="X595" s="5" t="str">
        <f ca="1">IFERROR(__xludf.DUMMYFUNCTION("""COMPUTED_VALUE"""),"Yes")</f>
        <v>Yes</v>
      </c>
      <c r="Y595" s="5" t="str">
        <f ca="1">IFERROR(__xludf.DUMMYFUNCTION("""COMPUTED_VALUE"""),"Yes")</f>
        <v>Yes</v>
      </c>
      <c r="Z595" s="5" t="str">
        <f ca="1">IFERROR(__xludf.DUMMYFUNCTION("""COMPUTED_VALUE"""),"No")</f>
        <v>No</v>
      </c>
      <c r="AA595" s="5" t="str">
        <f ca="1">IFERROR(__xludf.DUMMYFUNCTION("""COMPUTED_VALUE"""),"Yes")</f>
        <v>Yes</v>
      </c>
      <c r="AB595" s="5" t="str">
        <f ca="1">IFERROR(__xludf.DUMMYFUNCTION("""COMPUTED_VALUE"""),"Yes")</f>
        <v>Yes</v>
      </c>
      <c r="AC595" s="5" t="str">
        <f ca="1">IFERROR(__xludf.DUMMYFUNCTION("""COMPUTED_VALUE"""),"Yes")</f>
        <v>Yes</v>
      </c>
      <c r="AD595" s="5" t="str">
        <f ca="1">IFERROR(__xludf.DUMMYFUNCTION("""COMPUTED_VALUE"""),"Yes")</f>
        <v>Yes</v>
      </c>
      <c r="AE595" s="5" t="str">
        <f ca="1">IFERROR(__xludf.DUMMYFUNCTION("""COMPUTED_VALUE"""),"No")</f>
        <v>No</v>
      </c>
      <c r="AF595" s="5" t="str">
        <f ca="1">IFERROR(__xludf.DUMMYFUNCTION("""COMPUTED_VALUE"""),"Yes")</f>
        <v>Yes</v>
      </c>
      <c r="AG595" s="5" t="str">
        <f ca="1">IFERROR(__xludf.DUMMYFUNCTION("""COMPUTED_VALUE"""),"No")</f>
        <v>No</v>
      </c>
      <c r="AH595" s="5" t="str">
        <f ca="1">IFERROR(__xludf.DUMMYFUNCTION("""COMPUTED_VALUE"""),"No")</f>
        <v>No</v>
      </c>
      <c r="AI595" s="5" t="str">
        <f ca="1">IFERROR(__xludf.DUMMYFUNCTION("""COMPUTED_VALUE"""),"No")</f>
        <v>No</v>
      </c>
      <c r="AJ595" s="5" t="str">
        <f ca="1">IFERROR(__xludf.DUMMYFUNCTION("""COMPUTED_VALUE"""),"No")</f>
        <v>No</v>
      </c>
      <c r="AK595" s="5" t="str">
        <f ca="1">IFERROR(__xludf.DUMMYFUNCTION("""COMPUTED_VALUE"""),"No")</f>
        <v>No</v>
      </c>
      <c r="AL595" s="5" t="str">
        <f ca="1">IFERROR(__xludf.DUMMYFUNCTION("""COMPUTED_VALUE"""),"No")</f>
        <v>No</v>
      </c>
      <c r="AM595" s="5"/>
      <c r="AN595" s="5"/>
      <c r="AO595" s="5"/>
      <c r="AP595" s="5"/>
      <c r="AQ595" s="5"/>
      <c r="AR595" s="5"/>
      <c r="AS595" s="5"/>
      <c r="AT595" s="5"/>
      <c r="AU595" s="5"/>
      <c r="AV595" s="5"/>
      <c r="AW595" s="5"/>
      <c r="AX595" s="5"/>
      <c r="AY595" s="5"/>
    </row>
    <row r="596" spans="1:51" x14ac:dyDescent="0.25">
      <c r="A596" s="5" t="str">
        <f ca="1">IFERROR(__xludf.DUMMYFUNCTION("""COMPUTED_VALUE"""),"Social English(""sen"")")</f>
        <v>Social English("sen")</v>
      </c>
      <c r="B596" s="5">
        <f ca="1">IFERROR(__xludf.DUMMYFUNCTION("""COMPUTED_VALUE"""),630)</f>
        <v>630</v>
      </c>
      <c r="C596" s="5">
        <f ca="1">IFERROR(__xludf.DUMMYFUNCTION("""COMPUTED_VALUE"""),-1)</f>
        <v>-1</v>
      </c>
      <c r="D596" s="5" t="str">
        <f ca="1">IFERROR(__xludf.DUMMYFUNCTION("""COMPUTED_VALUE"""),"TBD")</f>
        <v>TBD</v>
      </c>
      <c r="E596" s="5"/>
      <c r="F596" s="5"/>
      <c r="G596" s="5"/>
      <c r="H596" s="5"/>
      <c r="I596" s="5"/>
      <c r="J596" s="5"/>
      <c r="K596" s="5"/>
      <c r="L596" s="5"/>
      <c r="M596" s="5"/>
      <c r="N596" s="5"/>
      <c r="O596" s="5"/>
      <c r="P596" s="5"/>
      <c r="Q596" s="5"/>
      <c r="R596" s="5"/>
      <c r="S596" s="5"/>
      <c r="T596" s="5"/>
      <c r="U596" s="5"/>
      <c r="V596" s="5"/>
      <c r="W596" s="5"/>
      <c r="X596" s="5"/>
      <c r="Y596" s="5" t="str">
        <f ca="1">IFERROR(__xludf.DUMMYFUNCTION("""COMPUTED_VALUE"""),"Yes")</f>
        <v>Yes</v>
      </c>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row>
    <row r="597" spans="1:51" x14ac:dyDescent="0.25">
      <c r="A5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7" s="5">
        <f ca="1">IFERROR(__xludf.DUMMYFUNCTION("""COMPUTED_VALUE"""),631)</f>
        <v>631</v>
      </c>
      <c r="C597" s="5">
        <f ca="1">IFERROR(__xludf.DUMMYFUNCTION("""COMPUTED_VALUE"""),3022)</f>
        <v>3022</v>
      </c>
      <c r="D597" s="5" t="str">
        <f ca="1">IFERROR(__xludf.DUMMYFUNCTION("""COMPUTED_VALUE"""),"TaxiRush")</f>
        <v>TaxiRush</v>
      </c>
      <c r="E597" s="5" t="str">
        <f ca="1">IFERROR(__xludf.DUMMYFUNCTION("""COMPUTED_VALUE"""),"Yes")</f>
        <v>Yes</v>
      </c>
      <c r="F597" s="5" t="str">
        <f ca="1">IFERROR(__xludf.DUMMYFUNCTION("""COMPUTED_VALUE"""),"Yes")</f>
        <v>Yes</v>
      </c>
      <c r="G597" s="5" t="str">
        <f ca="1">IFERROR(__xludf.DUMMYFUNCTION("""COMPUTED_VALUE"""),"Yes")</f>
        <v>Yes</v>
      </c>
      <c r="H597" s="5" t="str">
        <f ca="1">IFERROR(__xludf.DUMMYFUNCTION("""COMPUTED_VALUE"""),"Yes")</f>
        <v>Yes</v>
      </c>
      <c r="I597" s="5" t="str">
        <f ca="1">IFERROR(__xludf.DUMMYFUNCTION("""COMPUTED_VALUE"""),"Yes")</f>
        <v>Yes</v>
      </c>
      <c r="J597" s="5" t="str">
        <f ca="1">IFERROR(__xludf.DUMMYFUNCTION("""COMPUTED_VALUE"""),"Yes")</f>
        <v>Yes</v>
      </c>
      <c r="K597" s="5" t="str">
        <f ca="1">IFERROR(__xludf.DUMMYFUNCTION("""COMPUTED_VALUE"""),"Yes")</f>
        <v>Yes</v>
      </c>
      <c r="L597" s="5" t="str">
        <f ca="1">IFERROR(__xludf.DUMMYFUNCTION("""COMPUTED_VALUE"""),"Yes")</f>
        <v>Yes</v>
      </c>
      <c r="M597" s="5" t="str">
        <f ca="1">IFERROR(__xludf.DUMMYFUNCTION("""COMPUTED_VALUE"""),"Yes")</f>
        <v>Yes</v>
      </c>
      <c r="N597" s="5" t="str">
        <f ca="1">IFERROR(__xludf.DUMMYFUNCTION("""COMPUTED_VALUE"""),"Yes")</f>
        <v>Yes</v>
      </c>
      <c r="O597" s="5" t="str">
        <f ca="1">IFERROR(__xludf.DUMMYFUNCTION("""COMPUTED_VALUE"""),"Yes")</f>
        <v>Yes</v>
      </c>
      <c r="P597" s="5" t="str">
        <f ca="1">IFERROR(__xludf.DUMMYFUNCTION("""COMPUTED_VALUE"""),"Yes")</f>
        <v>Yes</v>
      </c>
      <c r="Q597" s="5" t="str">
        <f ca="1">IFERROR(__xludf.DUMMYFUNCTION("""COMPUTED_VALUE"""),"Yes")</f>
        <v>Yes</v>
      </c>
      <c r="R597" s="5" t="str">
        <f ca="1">IFERROR(__xludf.DUMMYFUNCTION("""COMPUTED_VALUE"""),"Yes")</f>
        <v>Yes</v>
      </c>
      <c r="S597" s="5" t="str">
        <f ca="1">IFERROR(__xludf.DUMMYFUNCTION("""COMPUTED_VALUE"""),"Yes")</f>
        <v>Yes</v>
      </c>
      <c r="T597" s="5" t="str">
        <f ca="1">IFERROR(__xludf.DUMMYFUNCTION("""COMPUTED_VALUE"""),"Yes")</f>
        <v>Yes</v>
      </c>
      <c r="U597" s="5" t="str">
        <f ca="1">IFERROR(__xludf.DUMMYFUNCTION("""COMPUTED_VALUE"""),"Yes")</f>
        <v>Yes</v>
      </c>
      <c r="V597" s="5" t="str">
        <f ca="1">IFERROR(__xludf.DUMMYFUNCTION("""COMPUTED_VALUE"""),"Yes")</f>
        <v>Yes</v>
      </c>
      <c r="W597" s="5" t="str">
        <f ca="1">IFERROR(__xludf.DUMMYFUNCTION("""COMPUTED_VALUE"""),"Yes")</f>
        <v>Yes</v>
      </c>
      <c r="X597" s="5" t="str">
        <f ca="1">IFERROR(__xludf.DUMMYFUNCTION("""COMPUTED_VALUE"""),"Yes")</f>
        <v>Yes</v>
      </c>
      <c r="Y597" s="5" t="str">
        <f ca="1">IFERROR(__xludf.DUMMYFUNCTION("""COMPUTED_VALUE"""),"Yes")</f>
        <v>Yes</v>
      </c>
      <c r="Z597" s="5" t="str">
        <f ca="1">IFERROR(__xludf.DUMMYFUNCTION("""COMPUTED_VALUE"""),"Yes")</f>
        <v>Yes</v>
      </c>
      <c r="AA597" s="5" t="str">
        <f ca="1">IFERROR(__xludf.DUMMYFUNCTION("""COMPUTED_VALUE"""),"Yes")</f>
        <v>Yes</v>
      </c>
      <c r="AB597" s="5" t="str">
        <f ca="1">IFERROR(__xludf.DUMMYFUNCTION("""COMPUTED_VALUE"""),"Yes")</f>
        <v>Yes</v>
      </c>
      <c r="AC597" s="5" t="str">
        <f ca="1">IFERROR(__xludf.DUMMYFUNCTION("""COMPUTED_VALUE"""),"Yes")</f>
        <v>Yes</v>
      </c>
      <c r="AD597" s="5" t="str">
        <f ca="1">IFERROR(__xludf.DUMMYFUNCTION("""COMPUTED_VALUE"""),"Yes")</f>
        <v>Yes</v>
      </c>
      <c r="AE597" s="5" t="str">
        <f ca="1">IFERROR(__xludf.DUMMYFUNCTION("""COMPUTED_VALUE"""),"Yes")</f>
        <v>Yes</v>
      </c>
      <c r="AF597" s="5" t="str">
        <f ca="1">IFERROR(__xludf.DUMMYFUNCTION("""COMPUTED_VALUE"""),"Yes")</f>
        <v>Yes</v>
      </c>
      <c r="AG597" s="5" t="str">
        <f ca="1">IFERROR(__xludf.DUMMYFUNCTION("""COMPUTED_VALUE"""),"Yes")</f>
        <v>Yes</v>
      </c>
      <c r="AH597" s="5" t="str">
        <f ca="1">IFERROR(__xludf.DUMMYFUNCTION("""COMPUTED_VALUE"""),"Yes")</f>
        <v>Yes</v>
      </c>
      <c r="AI597" s="5" t="str">
        <f ca="1">IFERROR(__xludf.DUMMYFUNCTION("""COMPUTED_VALUE"""),"Yes")</f>
        <v>Yes</v>
      </c>
      <c r="AJ597" s="5" t="str">
        <f ca="1">IFERROR(__xludf.DUMMYFUNCTION("""COMPUTED_VALUE"""),"Yes")</f>
        <v>Yes</v>
      </c>
      <c r="AK597" s="5" t="str">
        <f ca="1">IFERROR(__xludf.DUMMYFUNCTION("""COMPUTED_VALUE"""),"Yes")</f>
        <v>Yes</v>
      </c>
      <c r="AL597" s="5" t="str">
        <f ca="1">IFERROR(__xludf.DUMMYFUNCTION("""COMPUTED_VALUE"""),"No")</f>
        <v>No</v>
      </c>
      <c r="AM597" s="5"/>
      <c r="AN597" s="5"/>
      <c r="AO597" s="5"/>
      <c r="AP597" s="5"/>
      <c r="AQ597" s="5"/>
      <c r="AR597" s="5"/>
      <c r="AS597" s="5"/>
      <c r="AT597" s="5"/>
      <c r="AU597" s="5"/>
      <c r="AV597" s="5"/>
      <c r="AW597" s="5"/>
      <c r="AX597" s="5"/>
      <c r="AY597" s="5"/>
    </row>
    <row r="598" spans="1:51" x14ac:dyDescent="0.25">
      <c r="A5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8" s="5">
        <f ca="1">IFERROR(__xludf.DUMMYFUNCTION("""COMPUTED_VALUE"""),632)</f>
        <v>632</v>
      </c>
      <c r="C598" s="5">
        <f ca="1">IFERROR(__xludf.DUMMYFUNCTION("""COMPUTED_VALUE"""),2009)</f>
        <v>2009</v>
      </c>
      <c r="D598" s="5" t="str">
        <f ca="1">IFERROR(__xludf.DUMMYFUNCTION("""COMPUTED_VALUE"""),"WildHot40HoldAndWin")</f>
        <v>WildHot40HoldAndWin</v>
      </c>
      <c r="E598" s="5" t="str">
        <f ca="1">IFERROR(__xludf.DUMMYFUNCTION("""COMPUTED_VALUE"""),"Yes")</f>
        <v>Yes</v>
      </c>
      <c r="F598" s="5" t="str">
        <f ca="1">IFERROR(__xludf.DUMMYFUNCTION("""COMPUTED_VALUE"""),"Yes")</f>
        <v>Yes</v>
      </c>
      <c r="G598" s="5" t="str">
        <f ca="1">IFERROR(__xludf.DUMMYFUNCTION("""COMPUTED_VALUE"""),"Yes")</f>
        <v>Yes</v>
      </c>
      <c r="H598" s="5" t="str">
        <f ca="1">IFERROR(__xludf.DUMMYFUNCTION("""COMPUTED_VALUE"""),"Yes")</f>
        <v>Yes</v>
      </c>
      <c r="I598" s="5" t="str">
        <f ca="1">IFERROR(__xludf.DUMMYFUNCTION("""COMPUTED_VALUE"""),"Yes")</f>
        <v>Yes</v>
      </c>
      <c r="J598" s="5" t="str">
        <f ca="1">IFERROR(__xludf.DUMMYFUNCTION("""COMPUTED_VALUE"""),"Yes")</f>
        <v>Yes</v>
      </c>
      <c r="K598" s="5" t="str">
        <f ca="1">IFERROR(__xludf.DUMMYFUNCTION("""COMPUTED_VALUE"""),"Yes")</f>
        <v>Yes</v>
      </c>
      <c r="L598" s="5" t="str">
        <f ca="1">IFERROR(__xludf.DUMMYFUNCTION("""COMPUTED_VALUE"""),"Yes")</f>
        <v>Yes</v>
      </c>
      <c r="M598" s="5" t="str">
        <f ca="1">IFERROR(__xludf.DUMMYFUNCTION("""COMPUTED_VALUE"""),"Yes")</f>
        <v>Yes</v>
      </c>
      <c r="N598" s="5" t="str">
        <f ca="1">IFERROR(__xludf.DUMMYFUNCTION("""COMPUTED_VALUE"""),"Yes")</f>
        <v>Yes</v>
      </c>
      <c r="O598" s="5" t="str">
        <f ca="1">IFERROR(__xludf.DUMMYFUNCTION("""COMPUTED_VALUE"""),"Yes")</f>
        <v>Yes</v>
      </c>
      <c r="P598" s="5" t="str">
        <f ca="1">IFERROR(__xludf.DUMMYFUNCTION("""COMPUTED_VALUE"""),"Yes")</f>
        <v>Yes</v>
      </c>
      <c r="Q598" s="5" t="str">
        <f ca="1">IFERROR(__xludf.DUMMYFUNCTION("""COMPUTED_VALUE"""),"Yes")</f>
        <v>Yes</v>
      </c>
      <c r="R598" s="5" t="str">
        <f ca="1">IFERROR(__xludf.DUMMYFUNCTION("""COMPUTED_VALUE"""),"Yes")</f>
        <v>Yes</v>
      </c>
      <c r="S598" s="5" t="str">
        <f ca="1">IFERROR(__xludf.DUMMYFUNCTION("""COMPUTED_VALUE"""),"Yes")</f>
        <v>Yes</v>
      </c>
      <c r="T598" s="5" t="str">
        <f ca="1">IFERROR(__xludf.DUMMYFUNCTION("""COMPUTED_VALUE"""),"Yes")</f>
        <v>Yes</v>
      </c>
      <c r="U598" s="5" t="str">
        <f ca="1">IFERROR(__xludf.DUMMYFUNCTION("""COMPUTED_VALUE"""),"Yes")</f>
        <v>Yes</v>
      </c>
      <c r="V598" s="5" t="str">
        <f ca="1">IFERROR(__xludf.DUMMYFUNCTION("""COMPUTED_VALUE"""),"Yes")</f>
        <v>Yes</v>
      </c>
      <c r="W598" s="5" t="str">
        <f ca="1">IFERROR(__xludf.DUMMYFUNCTION("""COMPUTED_VALUE"""),"Yes")</f>
        <v>Yes</v>
      </c>
      <c r="X598" s="5" t="str">
        <f ca="1">IFERROR(__xludf.DUMMYFUNCTION("""COMPUTED_VALUE"""),"Yes")</f>
        <v>Yes</v>
      </c>
      <c r="Y598" s="5" t="str">
        <f ca="1">IFERROR(__xludf.DUMMYFUNCTION("""COMPUTED_VALUE"""),"Yes")</f>
        <v>Yes</v>
      </c>
      <c r="Z598" s="5" t="str">
        <f ca="1">IFERROR(__xludf.DUMMYFUNCTION("""COMPUTED_VALUE"""),"Yes")</f>
        <v>Yes</v>
      </c>
      <c r="AA598" s="5" t="str">
        <f ca="1">IFERROR(__xludf.DUMMYFUNCTION("""COMPUTED_VALUE"""),"Yes")</f>
        <v>Yes</v>
      </c>
      <c r="AB598" s="5" t="str">
        <f ca="1">IFERROR(__xludf.DUMMYFUNCTION("""COMPUTED_VALUE"""),"Yes")</f>
        <v>Yes</v>
      </c>
      <c r="AC598" s="5" t="str">
        <f ca="1">IFERROR(__xludf.DUMMYFUNCTION("""COMPUTED_VALUE"""),"Yes")</f>
        <v>Yes</v>
      </c>
      <c r="AD598" s="5" t="str">
        <f ca="1">IFERROR(__xludf.DUMMYFUNCTION("""COMPUTED_VALUE"""),"Yes")</f>
        <v>Yes</v>
      </c>
      <c r="AE598" s="5" t="str">
        <f ca="1">IFERROR(__xludf.DUMMYFUNCTION("""COMPUTED_VALUE"""),"Yes")</f>
        <v>Yes</v>
      </c>
      <c r="AF598" s="5" t="str">
        <f ca="1">IFERROR(__xludf.DUMMYFUNCTION("""COMPUTED_VALUE"""),"Yes")</f>
        <v>Yes</v>
      </c>
      <c r="AG598" s="5" t="str">
        <f ca="1">IFERROR(__xludf.DUMMYFUNCTION("""COMPUTED_VALUE"""),"Yes")</f>
        <v>Yes</v>
      </c>
      <c r="AH598" s="5" t="str">
        <f ca="1">IFERROR(__xludf.DUMMYFUNCTION("""COMPUTED_VALUE"""),"Yes")</f>
        <v>Yes</v>
      </c>
      <c r="AI598" s="5" t="str">
        <f ca="1">IFERROR(__xludf.DUMMYFUNCTION("""COMPUTED_VALUE"""),"Yes")</f>
        <v>Yes</v>
      </c>
      <c r="AJ598" s="5" t="str">
        <f ca="1">IFERROR(__xludf.DUMMYFUNCTION("""COMPUTED_VALUE"""),"Yes")</f>
        <v>Yes</v>
      </c>
      <c r="AK598" s="5" t="str">
        <f ca="1">IFERROR(__xludf.DUMMYFUNCTION("""COMPUTED_VALUE"""),"Yes")</f>
        <v>Yes</v>
      </c>
      <c r="AL598" s="5" t="str">
        <f ca="1">IFERROR(__xludf.DUMMYFUNCTION("""COMPUTED_VALUE"""),"No")</f>
        <v>No</v>
      </c>
      <c r="AM598" s="5"/>
      <c r="AN598" s="5"/>
      <c r="AO598" s="5"/>
      <c r="AP598" s="5"/>
      <c r="AQ598" s="5"/>
      <c r="AR598" s="5"/>
      <c r="AS598" s="5"/>
      <c r="AT598" s="5"/>
      <c r="AU598" s="5"/>
      <c r="AV598" s="5"/>
      <c r="AW598" s="5"/>
      <c r="AX598" s="5"/>
      <c r="AY598" s="5"/>
    </row>
    <row r="599" spans="1:51" x14ac:dyDescent="0.25">
      <c r="A599" s="5" t="str">
        <f ca="1">IFERROR(__xludf.DUMMYFUNCTION("""COMPUTED_VALUE"""),"")</f>
        <v/>
      </c>
      <c r="B599" s="5">
        <f ca="1">IFERROR(__xludf.DUMMYFUNCTION("""COMPUTED_VALUE"""),633)</f>
        <v>633</v>
      </c>
      <c r="C599" s="5">
        <f ca="1">IFERROR(__xludf.DUMMYFUNCTION("""COMPUTED_VALUE"""),-1)</f>
        <v>-1</v>
      </c>
      <c r="D599" s="5" t="str">
        <f ca="1">IFERROR(__xludf.DUMMYFUNCTION("""COMPUTED_VALUE"""),"TBD")</f>
        <v>TBD</v>
      </c>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row>
    <row r="600" spans="1:51" x14ac:dyDescent="0.25">
      <c r="A6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0" s="5">
        <f ca="1">IFERROR(__xludf.DUMMYFUNCTION("""COMPUTED_VALUE"""),635)</f>
        <v>635</v>
      </c>
      <c r="C600" s="5">
        <f ca="1">IFERROR(__xludf.DUMMYFUNCTION("""COMPUTED_VALUE"""),3027)</f>
        <v>3027</v>
      </c>
      <c r="D600" s="5" t="str">
        <f ca="1">IFERROR(__xludf.DUMMYFUNCTION("""COMPUTED_VALUE"""),"WildHot40BlowBooster")</f>
        <v>WildHot40BlowBooster</v>
      </c>
      <c r="E600" s="5" t="str">
        <f ca="1">IFERROR(__xludf.DUMMYFUNCTION("""COMPUTED_VALUE"""),"Yes")</f>
        <v>Yes</v>
      </c>
      <c r="F600" s="5" t="str">
        <f ca="1">IFERROR(__xludf.DUMMYFUNCTION("""COMPUTED_VALUE"""),"Yes")</f>
        <v>Yes</v>
      </c>
      <c r="G600" s="5" t="str">
        <f ca="1">IFERROR(__xludf.DUMMYFUNCTION("""COMPUTED_VALUE"""),"Yes")</f>
        <v>Yes</v>
      </c>
      <c r="H600" s="5" t="str">
        <f ca="1">IFERROR(__xludf.DUMMYFUNCTION("""COMPUTED_VALUE"""),"Yes")</f>
        <v>Yes</v>
      </c>
      <c r="I600" s="5" t="str">
        <f ca="1">IFERROR(__xludf.DUMMYFUNCTION("""COMPUTED_VALUE"""),"Yes")</f>
        <v>Yes</v>
      </c>
      <c r="J600" s="5" t="str">
        <f ca="1">IFERROR(__xludf.DUMMYFUNCTION("""COMPUTED_VALUE"""),"Yes")</f>
        <v>Yes</v>
      </c>
      <c r="K600" s="5" t="str">
        <f ca="1">IFERROR(__xludf.DUMMYFUNCTION("""COMPUTED_VALUE"""),"Yes")</f>
        <v>Yes</v>
      </c>
      <c r="L600" s="5" t="str">
        <f ca="1">IFERROR(__xludf.DUMMYFUNCTION("""COMPUTED_VALUE"""),"Yes")</f>
        <v>Yes</v>
      </c>
      <c r="M600" s="5" t="str">
        <f ca="1">IFERROR(__xludf.DUMMYFUNCTION("""COMPUTED_VALUE"""),"Yes")</f>
        <v>Yes</v>
      </c>
      <c r="N600" s="5" t="str">
        <f ca="1">IFERROR(__xludf.DUMMYFUNCTION("""COMPUTED_VALUE"""),"Yes")</f>
        <v>Yes</v>
      </c>
      <c r="O600" s="5" t="str">
        <f ca="1">IFERROR(__xludf.DUMMYFUNCTION("""COMPUTED_VALUE"""),"Yes")</f>
        <v>Yes</v>
      </c>
      <c r="P600" s="5" t="str">
        <f ca="1">IFERROR(__xludf.DUMMYFUNCTION("""COMPUTED_VALUE"""),"Yes")</f>
        <v>Yes</v>
      </c>
      <c r="Q600" s="5" t="str">
        <f ca="1">IFERROR(__xludf.DUMMYFUNCTION("""COMPUTED_VALUE"""),"Yes")</f>
        <v>Yes</v>
      </c>
      <c r="R600" s="5" t="str">
        <f ca="1">IFERROR(__xludf.DUMMYFUNCTION("""COMPUTED_VALUE"""),"Yes")</f>
        <v>Yes</v>
      </c>
      <c r="S600" s="5" t="str">
        <f ca="1">IFERROR(__xludf.DUMMYFUNCTION("""COMPUTED_VALUE"""),"Yes")</f>
        <v>Yes</v>
      </c>
      <c r="T600" s="5" t="str">
        <f ca="1">IFERROR(__xludf.DUMMYFUNCTION("""COMPUTED_VALUE"""),"Yes")</f>
        <v>Yes</v>
      </c>
      <c r="U600" s="5" t="str">
        <f ca="1">IFERROR(__xludf.DUMMYFUNCTION("""COMPUTED_VALUE"""),"Yes")</f>
        <v>Yes</v>
      </c>
      <c r="V600" s="5" t="str">
        <f ca="1">IFERROR(__xludf.DUMMYFUNCTION("""COMPUTED_VALUE"""),"Yes")</f>
        <v>Yes</v>
      </c>
      <c r="W600" s="5" t="str">
        <f ca="1">IFERROR(__xludf.DUMMYFUNCTION("""COMPUTED_VALUE"""),"Yes")</f>
        <v>Yes</v>
      </c>
      <c r="X600" s="5" t="str">
        <f ca="1">IFERROR(__xludf.DUMMYFUNCTION("""COMPUTED_VALUE"""),"Yes")</f>
        <v>Yes</v>
      </c>
      <c r="Y600" s="5" t="str">
        <f ca="1">IFERROR(__xludf.DUMMYFUNCTION("""COMPUTED_VALUE"""),"Yes")</f>
        <v>Yes</v>
      </c>
      <c r="Z600" s="5" t="str">
        <f ca="1">IFERROR(__xludf.DUMMYFUNCTION("""COMPUTED_VALUE"""),"No")</f>
        <v>No</v>
      </c>
      <c r="AA600" s="5" t="str">
        <f ca="1">IFERROR(__xludf.DUMMYFUNCTION("""COMPUTED_VALUE"""),"Yes")</f>
        <v>Yes</v>
      </c>
      <c r="AB600" s="5" t="str">
        <f ca="1">IFERROR(__xludf.DUMMYFUNCTION("""COMPUTED_VALUE"""),"Yes")</f>
        <v>Yes</v>
      </c>
      <c r="AC600" s="5" t="str">
        <f ca="1">IFERROR(__xludf.DUMMYFUNCTION("""COMPUTED_VALUE"""),"Yes")</f>
        <v>Yes</v>
      </c>
      <c r="AD600" s="5" t="str">
        <f ca="1">IFERROR(__xludf.DUMMYFUNCTION("""COMPUTED_VALUE"""),"Yes")</f>
        <v>Yes</v>
      </c>
      <c r="AE600" s="5" t="str">
        <f ca="1">IFERROR(__xludf.DUMMYFUNCTION("""COMPUTED_VALUE"""),"No")</f>
        <v>No</v>
      </c>
      <c r="AF600" s="5" t="str">
        <f ca="1">IFERROR(__xludf.DUMMYFUNCTION("""COMPUTED_VALUE"""),"Yes")</f>
        <v>Yes</v>
      </c>
      <c r="AG600" s="5" t="str">
        <f ca="1">IFERROR(__xludf.DUMMYFUNCTION("""COMPUTED_VALUE"""),"No")</f>
        <v>No</v>
      </c>
      <c r="AH600" s="5" t="str">
        <f ca="1">IFERROR(__xludf.DUMMYFUNCTION("""COMPUTED_VALUE"""),"No")</f>
        <v>No</v>
      </c>
      <c r="AI600" s="5" t="str">
        <f ca="1">IFERROR(__xludf.DUMMYFUNCTION("""COMPUTED_VALUE"""),"No")</f>
        <v>No</v>
      </c>
      <c r="AJ600" s="5" t="str">
        <f ca="1">IFERROR(__xludf.DUMMYFUNCTION("""COMPUTED_VALUE"""),"No")</f>
        <v>No</v>
      </c>
      <c r="AK600" s="5" t="str">
        <f ca="1">IFERROR(__xludf.DUMMYFUNCTION("""COMPUTED_VALUE"""),"No")</f>
        <v>No</v>
      </c>
      <c r="AL600" s="5" t="str">
        <f ca="1">IFERROR(__xludf.DUMMYFUNCTION("""COMPUTED_VALUE"""),"No")</f>
        <v>No</v>
      </c>
      <c r="AM600" s="5"/>
      <c r="AN600" s="5"/>
      <c r="AO600" s="5"/>
      <c r="AP600" s="5"/>
      <c r="AQ600" s="5"/>
      <c r="AR600" s="5"/>
      <c r="AS600" s="5"/>
      <c r="AT600" s="5"/>
      <c r="AU600" s="5"/>
      <c r="AV600" s="5"/>
      <c r="AW600" s="5"/>
      <c r="AX600" s="5"/>
      <c r="AY600" s="5"/>
    </row>
    <row r="601" spans="1:51" x14ac:dyDescent="0.25">
      <c r="A6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Slovak(""sl"&amp;"k""),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Slovak("slk"), Ukrainian("ukr"), Bosnian("")</v>
      </c>
      <c r="B601" s="5">
        <f ca="1">IFERROR(__xludf.DUMMYFUNCTION("""COMPUTED_VALUE"""),636)</f>
        <v>636</v>
      </c>
      <c r="C601" s="5">
        <f ca="1">IFERROR(__xludf.DUMMYFUNCTION("""COMPUTED_VALUE"""),9999999)</f>
        <v>9999999</v>
      </c>
      <c r="D601" s="5" t="str">
        <f ca="1">IFERROR(__xludf.DUMMYFUNCTION("""COMPUTED_VALUE"""),"bluff-and-bite")</f>
        <v>bluff-and-bite</v>
      </c>
      <c r="E601" s="5" t="str">
        <f ca="1">IFERROR(__xludf.DUMMYFUNCTION("""COMPUTED_VALUE"""),"Yes")</f>
        <v>Yes</v>
      </c>
      <c r="F601" s="5" t="str">
        <f ca="1">IFERROR(__xludf.DUMMYFUNCTION("""COMPUTED_VALUE"""),"Yes")</f>
        <v>Yes</v>
      </c>
      <c r="G601" s="5" t="str">
        <f ca="1">IFERROR(__xludf.DUMMYFUNCTION("""COMPUTED_VALUE"""),"Yes")</f>
        <v>Yes</v>
      </c>
      <c r="H601" s="5" t="str">
        <f ca="1">IFERROR(__xludf.DUMMYFUNCTION("""COMPUTED_VALUE"""),"Yes")</f>
        <v>Yes</v>
      </c>
      <c r="I601" s="5" t="str">
        <f ca="1">IFERROR(__xludf.DUMMYFUNCTION("""COMPUTED_VALUE"""),"Yes")</f>
        <v>Yes</v>
      </c>
      <c r="J601" s="5" t="str">
        <f ca="1">IFERROR(__xludf.DUMMYFUNCTION("""COMPUTED_VALUE"""),"Yes")</f>
        <v>Yes</v>
      </c>
      <c r="K601" s="5" t="str">
        <f ca="1">IFERROR(__xludf.DUMMYFUNCTION("""COMPUTED_VALUE"""),"Yes")</f>
        <v>Yes</v>
      </c>
      <c r="L601" s="5" t="str">
        <f ca="1">IFERROR(__xludf.DUMMYFUNCTION("""COMPUTED_VALUE"""),"Yes")</f>
        <v>Yes</v>
      </c>
      <c r="M601" s="5" t="str">
        <f ca="1">IFERROR(__xludf.DUMMYFUNCTION("""COMPUTED_VALUE"""),"Yes")</f>
        <v>Yes</v>
      </c>
      <c r="N601" s="5" t="str">
        <f ca="1">IFERROR(__xludf.DUMMYFUNCTION("""COMPUTED_VALUE"""),"Yes")</f>
        <v>Yes</v>
      </c>
      <c r="O601" s="5" t="str">
        <f ca="1">IFERROR(__xludf.DUMMYFUNCTION("""COMPUTED_VALUE"""),"Yes")</f>
        <v>Yes</v>
      </c>
      <c r="P601" s="5" t="str">
        <f ca="1">IFERROR(__xludf.DUMMYFUNCTION("""COMPUTED_VALUE"""),"Yes")</f>
        <v>Yes</v>
      </c>
      <c r="Q601" s="5" t="str">
        <f ca="1">IFERROR(__xludf.DUMMYFUNCTION("""COMPUTED_VALUE"""),"Yes")</f>
        <v>Yes</v>
      </c>
      <c r="R601" s="5" t="str">
        <f ca="1">IFERROR(__xludf.DUMMYFUNCTION("""COMPUTED_VALUE"""),"Yes")</f>
        <v>Yes</v>
      </c>
      <c r="S601" s="5" t="str">
        <f ca="1">IFERROR(__xludf.DUMMYFUNCTION("""COMPUTED_VALUE"""),"Yes")</f>
        <v>Yes</v>
      </c>
      <c r="T601" s="5" t="str">
        <f ca="1">IFERROR(__xludf.DUMMYFUNCTION("""COMPUTED_VALUE"""),"Yes")</f>
        <v>Yes</v>
      </c>
      <c r="U601" s="5" t="str">
        <f ca="1">IFERROR(__xludf.DUMMYFUNCTION("""COMPUTED_VALUE"""),"Yes")</f>
        <v>Yes</v>
      </c>
      <c r="V601" s="5" t="str">
        <f ca="1">IFERROR(__xludf.DUMMYFUNCTION("""COMPUTED_VALUE"""),"Yes")</f>
        <v>Yes</v>
      </c>
      <c r="W601" s="5" t="str">
        <f ca="1">IFERROR(__xludf.DUMMYFUNCTION("""COMPUTED_VALUE"""),"Yes")</f>
        <v>Yes</v>
      </c>
      <c r="X601" s="5" t="str">
        <f ca="1">IFERROR(__xludf.DUMMYFUNCTION("""COMPUTED_VALUE"""),"Yes")</f>
        <v>Yes</v>
      </c>
      <c r="Y601" s="5" t="str">
        <f ca="1">IFERROR(__xludf.DUMMYFUNCTION("""COMPUTED_VALUE"""),"Yes")</f>
        <v>Yes</v>
      </c>
      <c r="Z601" s="5" t="str">
        <f ca="1">IFERROR(__xludf.DUMMYFUNCTION("""COMPUTED_VALUE"""),"No")</f>
        <v>No</v>
      </c>
      <c r="AA601" s="5" t="str">
        <f ca="1">IFERROR(__xludf.DUMMYFUNCTION("""COMPUTED_VALUE"""),"Yes")</f>
        <v>Yes</v>
      </c>
      <c r="AB601" s="5" t="str">
        <f ca="1">IFERROR(__xludf.DUMMYFUNCTION("""COMPUTED_VALUE"""),"No")</f>
        <v>No</v>
      </c>
      <c r="AC601" s="5" t="str">
        <f ca="1">IFERROR(__xludf.DUMMYFUNCTION("""COMPUTED_VALUE"""),"Yes")</f>
        <v>Yes</v>
      </c>
      <c r="AD601" s="5" t="str">
        <f ca="1">IFERROR(__xludf.DUMMYFUNCTION("""COMPUTED_VALUE"""),"Yes")</f>
        <v>Yes</v>
      </c>
      <c r="AE601" s="5" t="str">
        <f ca="1">IFERROR(__xludf.DUMMYFUNCTION("""COMPUTED_VALUE"""),"Yes")</f>
        <v>Yes</v>
      </c>
      <c r="AF601" s="5" t="str">
        <f ca="1">IFERROR(__xludf.DUMMYFUNCTION("""COMPUTED_VALUE"""),"Yes")</f>
        <v>Yes</v>
      </c>
      <c r="AG601" s="5" t="str">
        <f ca="1">IFERROR(__xludf.DUMMYFUNCTION("""COMPUTED_VALUE"""),"No")</f>
        <v>No</v>
      </c>
      <c r="AH601" s="5" t="str">
        <f ca="1">IFERROR(__xludf.DUMMYFUNCTION("""COMPUTED_VALUE"""),"No")</f>
        <v>No</v>
      </c>
      <c r="AI601" s="5" t="str">
        <f ca="1">IFERROR(__xludf.DUMMYFUNCTION("""COMPUTED_VALUE"""),"No")</f>
        <v>No</v>
      </c>
      <c r="AJ601" s="5" t="str">
        <f ca="1">IFERROR(__xludf.DUMMYFUNCTION("""COMPUTED_VALUE"""),"No")</f>
        <v>No</v>
      </c>
      <c r="AK601" s="5" t="str">
        <f ca="1">IFERROR(__xludf.DUMMYFUNCTION("""COMPUTED_VALUE"""),"No")</f>
        <v>No</v>
      </c>
      <c r="AL601" s="5" t="str">
        <f ca="1">IFERROR(__xludf.DUMMYFUNCTION("""COMPUTED_VALUE"""),"Yes")</f>
        <v>Yes</v>
      </c>
      <c r="AM601" s="5"/>
      <c r="AN601" s="5"/>
      <c r="AO601" s="5"/>
      <c r="AP601" s="5"/>
      <c r="AQ601" s="5"/>
      <c r="AR601" s="5"/>
      <c r="AS601" s="5"/>
      <c r="AT601" s="5"/>
      <c r="AU601" s="5"/>
      <c r="AV601" s="5"/>
      <c r="AW601" s="5"/>
      <c r="AX601" s="5"/>
      <c r="AY601" s="5"/>
    </row>
    <row r="602" spans="1:51" x14ac:dyDescent="0.25">
      <c r="A602" s="5" t="str">
        <f ca="1">IFERROR(__xludf.DUMMYFUNCTION("""COMPUTED_VALUE"""),"")</f>
        <v/>
      </c>
      <c r="B602" s="5">
        <f ca="1">IFERROR(__xludf.DUMMYFUNCTION("""COMPUTED_VALUE"""),637)</f>
        <v>637</v>
      </c>
      <c r="C602" s="5">
        <f ca="1">IFERROR(__xludf.DUMMYFUNCTION("""COMPUTED_VALUE"""),999998)</f>
        <v>999998</v>
      </c>
      <c r="D602" s="5" t="str">
        <f ca="1">IFERROR(__xludf.DUMMYFUNCTION("""COMPUTED_VALUE"""),"royal-crown-delight")</f>
        <v>royal-crown-delight</v>
      </c>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row>
    <row r="603" spans="1:51" x14ac:dyDescent="0.25">
      <c r="A6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03" s="5">
        <f ca="1">IFERROR(__xludf.DUMMYFUNCTION("""COMPUTED_VALUE"""),638)</f>
        <v>638</v>
      </c>
      <c r="C603" s="5">
        <f ca="1">IFERROR(__xludf.DUMMYFUNCTION("""COMPUTED_VALUE"""),4026)</f>
        <v>4026</v>
      </c>
      <c r="D603" s="5" t="str">
        <f ca="1">IFERROR(__xludf.DUMMYFUNCTION("""COMPUTED_VALUE"""),"AdmiralBetBonusCrown")</f>
        <v>AdmiralBetBonusCrown</v>
      </c>
      <c r="E603" s="5" t="str">
        <f ca="1">IFERROR(__xludf.DUMMYFUNCTION("""COMPUTED_VALUE"""),"Yes")</f>
        <v>Yes</v>
      </c>
      <c r="F603" s="5" t="str">
        <f ca="1">IFERROR(__xludf.DUMMYFUNCTION("""COMPUTED_VALUE"""),"Yes")</f>
        <v>Yes</v>
      </c>
      <c r="G603" s="5" t="str">
        <f ca="1">IFERROR(__xludf.DUMMYFUNCTION("""COMPUTED_VALUE"""),"Yes")</f>
        <v>Yes</v>
      </c>
      <c r="H603" s="5" t="str">
        <f ca="1">IFERROR(__xludf.DUMMYFUNCTION("""COMPUTED_VALUE"""),"Yes")</f>
        <v>Yes</v>
      </c>
      <c r="I603" s="5" t="str">
        <f ca="1">IFERROR(__xludf.DUMMYFUNCTION("""COMPUTED_VALUE"""),"Yes")</f>
        <v>Yes</v>
      </c>
      <c r="J603" s="5" t="str">
        <f ca="1">IFERROR(__xludf.DUMMYFUNCTION("""COMPUTED_VALUE"""),"Yes")</f>
        <v>Yes</v>
      </c>
      <c r="K603" s="5" t="str">
        <f ca="1">IFERROR(__xludf.DUMMYFUNCTION("""COMPUTED_VALUE"""),"Yes")</f>
        <v>Yes</v>
      </c>
      <c r="L603" s="5" t="str">
        <f ca="1">IFERROR(__xludf.DUMMYFUNCTION("""COMPUTED_VALUE"""),"Yes")</f>
        <v>Yes</v>
      </c>
      <c r="M603" s="5" t="str">
        <f ca="1">IFERROR(__xludf.DUMMYFUNCTION("""COMPUTED_VALUE"""),"Yes")</f>
        <v>Yes</v>
      </c>
      <c r="N603" s="5" t="str">
        <f ca="1">IFERROR(__xludf.DUMMYFUNCTION("""COMPUTED_VALUE"""),"Yes")</f>
        <v>Yes</v>
      </c>
      <c r="O603" s="5" t="str">
        <f ca="1">IFERROR(__xludf.DUMMYFUNCTION("""COMPUTED_VALUE"""),"Yes")</f>
        <v>Yes</v>
      </c>
      <c r="P603" s="5" t="str">
        <f ca="1">IFERROR(__xludf.DUMMYFUNCTION("""COMPUTED_VALUE"""),"Yes")</f>
        <v>Yes</v>
      </c>
      <c r="Q603" s="5" t="str">
        <f ca="1">IFERROR(__xludf.DUMMYFUNCTION("""COMPUTED_VALUE"""),"Yes")</f>
        <v>Yes</v>
      </c>
      <c r="R603" s="5" t="str">
        <f ca="1">IFERROR(__xludf.DUMMYFUNCTION("""COMPUTED_VALUE"""),"Yes")</f>
        <v>Yes</v>
      </c>
      <c r="S603" s="5" t="str">
        <f ca="1">IFERROR(__xludf.DUMMYFUNCTION("""COMPUTED_VALUE"""),"Yes")</f>
        <v>Yes</v>
      </c>
      <c r="T603" s="5" t="str">
        <f ca="1">IFERROR(__xludf.DUMMYFUNCTION("""COMPUTED_VALUE"""),"Yes")</f>
        <v>Yes</v>
      </c>
      <c r="U603" s="5" t="str">
        <f ca="1">IFERROR(__xludf.DUMMYFUNCTION("""COMPUTED_VALUE"""),"Yes")</f>
        <v>Yes</v>
      </c>
      <c r="V603" s="5" t="str">
        <f ca="1">IFERROR(__xludf.DUMMYFUNCTION("""COMPUTED_VALUE"""),"Yes")</f>
        <v>Yes</v>
      </c>
      <c r="W603" s="5" t="str">
        <f ca="1">IFERROR(__xludf.DUMMYFUNCTION("""COMPUTED_VALUE"""),"Yes")</f>
        <v>Yes</v>
      </c>
      <c r="X603" s="5" t="str">
        <f ca="1">IFERROR(__xludf.DUMMYFUNCTION("""COMPUTED_VALUE"""),"Yes")</f>
        <v>Yes</v>
      </c>
      <c r="Y603" s="5" t="str">
        <f ca="1">IFERROR(__xludf.DUMMYFUNCTION("""COMPUTED_VALUE"""),"Yes")</f>
        <v>Yes</v>
      </c>
      <c r="Z603" s="5" t="str">
        <f ca="1">IFERROR(__xludf.DUMMYFUNCTION("""COMPUTED_VALUE"""),"Yes")</f>
        <v>Yes</v>
      </c>
      <c r="AA603" s="5" t="str">
        <f ca="1">IFERROR(__xludf.DUMMYFUNCTION("""COMPUTED_VALUE"""),"Yes")</f>
        <v>Yes</v>
      </c>
      <c r="AB603" s="5" t="str">
        <f ca="1">IFERROR(__xludf.DUMMYFUNCTION("""COMPUTED_VALUE"""),"Yes")</f>
        <v>Yes</v>
      </c>
      <c r="AC603" s="5" t="str">
        <f ca="1">IFERROR(__xludf.DUMMYFUNCTION("""COMPUTED_VALUE"""),"Yes")</f>
        <v>Yes</v>
      </c>
      <c r="AD603" s="5" t="str">
        <f ca="1">IFERROR(__xludf.DUMMYFUNCTION("""COMPUTED_VALUE"""),"Yes")</f>
        <v>Yes</v>
      </c>
      <c r="AE603" s="5" t="str">
        <f ca="1">IFERROR(__xludf.DUMMYFUNCTION("""COMPUTED_VALUE"""),"Yes")</f>
        <v>Yes</v>
      </c>
      <c r="AF603" s="5" t="str">
        <f ca="1">IFERROR(__xludf.DUMMYFUNCTION("""COMPUTED_VALUE"""),"Yes")</f>
        <v>Yes</v>
      </c>
      <c r="AG603" s="5" t="str">
        <f ca="1">IFERROR(__xludf.DUMMYFUNCTION("""COMPUTED_VALUE"""),"Yes")</f>
        <v>Yes</v>
      </c>
      <c r="AH603" s="5" t="str">
        <f ca="1">IFERROR(__xludf.DUMMYFUNCTION("""COMPUTED_VALUE"""),"Yes")</f>
        <v>Yes</v>
      </c>
      <c r="AI603" s="5" t="str">
        <f ca="1">IFERROR(__xludf.DUMMYFUNCTION("""COMPUTED_VALUE"""),"Yes")</f>
        <v>Yes</v>
      </c>
      <c r="AJ603" s="5" t="str">
        <f ca="1">IFERROR(__xludf.DUMMYFUNCTION("""COMPUTED_VALUE"""),"Yes")</f>
        <v>Yes</v>
      </c>
      <c r="AK603" s="5" t="str">
        <f ca="1">IFERROR(__xludf.DUMMYFUNCTION("""COMPUTED_VALUE"""),"Yes")</f>
        <v>Yes</v>
      </c>
      <c r="AL603" s="5" t="str">
        <f ca="1">IFERROR(__xludf.DUMMYFUNCTION("""COMPUTED_VALUE"""),"No")</f>
        <v>No</v>
      </c>
      <c r="AM603" s="5"/>
      <c r="AN603" s="5"/>
      <c r="AO603" s="5"/>
      <c r="AP603" s="5"/>
      <c r="AQ603" s="5"/>
      <c r="AR603" s="5"/>
      <c r="AS603" s="5"/>
      <c r="AT603" s="5"/>
      <c r="AU603" s="5"/>
      <c r="AV603" s="5"/>
      <c r="AW603" s="5"/>
      <c r="AX603" s="5"/>
      <c r="AY603" s="5"/>
    </row>
    <row r="604" spans="1:51" x14ac:dyDescent="0.25">
      <c r="A6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4" s="5">
        <f ca="1">IFERROR(__xludf.DUMMYFUNCTION("""COMPUTED_VALUE"""),639)</f>
        <v>639</v>
      </c>
      <c r="C604" s="5">
        <f ca="1">IFERROR(__xludf.DUMMYFUNCTION("""COMPUTED_VALUE"""),4025)</f>
        <v>4025</v>
      </c>
      <c r="D604" s="5" t="str">
        <f ca="1">IFERROR(__xludf.DUMMYFUNCTION("""COMPUTED_VALUE"""),"CratosHot40")</f>
        <v>CratosHot40</v>
      </c>
      <c r="E604" s="5" t="str">
        <f ca="1">IFERROR(__xludf.DUMMYFUNCTION("""COMPUTED_VALUE"""),"Yes")</f>
        <v>Yes</v>
      </c>
      <c r="F604" s="5" t="str">
        <f ca="1">IFERROR(__xludf.DUMMYFUNCTION("""COMPUTED_VALUE"""),"Yes")</f>
        <v>Yes</v>
      </c>
      <c r="G604" s="5" t="str">
        <f ca="1">IFERROR(__xludf.DUMMYFUNCTION("""COMPUTED_VALUE"""),"Yes")</f>
        <v>Yes</v>
      </c>
      <c r="H604" s="5" t="str">
        <f ca="1">IFERROR(__xludf.DUMMYFUNCTION("""COMPUTED_VALUE"""),"Yes")</f>
        <v>Yes</v>
      </c>
      <c r="I604" s="5" t="str">
        <f ca="1">IFERROR(__xludf.DUMMYFUNCTION("""COMPUTED_VALUE"""),"Yes")</f>
        <v>Yes</v>
      </c>
      <c r="J604" s="5" t="str">
        <f ca="1">IFERROR(__xludf.DUMMYFUNCTION("""COMPUTED_VALUE"""),"Yes")</f>
        <v>Yes</v>
      </c>
      <c r="K604" s="5" t="str">
        <f ca="1">IFERROR(__xludf.DUMMYFUNCTION("""COMPUTED_VALUE"""),"Yes")</f>
        <v>Yes</v>
      </c>
      <c r="L604" s="5" t="str">
        <f ca="1">IFERROR(__xludf.DUMMYFUNCTION("""COMPUTED_VALUE"""),"Yes")</f>
        <v>Yes</v>
      </c>
      <c r="M604" s="5" t="str">
        <f ca="1">IFERROR(__xludf.DUMMYFUNCTION("""COMPUTED_VALUE"""),"Yes")</f>
        <v>Yes</v>
      </c>
      <c r="N604" s="5" t="str">
        <f ca="1">IFERROR(__xludf.DUMMYFUNCTION("""COMPUTED_VALUE"""),"Yes")</f>
        <v>Yes</v>
      </c>
      <c r="O604" s="5" t="str">
        <f ca="1">IFERROR(__xludf.DUMMYFUNCTION("""COMPUTED_VALUE"""),"Yes")</f>
        <v>Yes</v>
      </c>
      <c r="P604" s="5" t="str">
        <f ca="1">IFERROR(__xludf.DUMMYFUNCTION("""COMPUTED_VALUE"""),"Yes")</f>
        <v>Yes</v>
      </c>
      <c r="Q604" s="5" t="str">
        <f ca="1">IFERROR(__xludf.DUMMYFUNCTION("""COMPUTED_VALUE"""),"Yes")</f>
        <v>Yes</v>
      </c>
      <c r="R604" s="5" t="str">
        <f ca="1">IFERROR(__xludf.DUMMYFUNCTION("""COMPUTED_VALUE"""),"Yes")</f>
        <v>Yes</v>
      </c>
      <c r="S604" s="5" t="str">
        <f ca="1">IFERROR(__xludf.DUMMYFUNCTION("""COMPUTED_VALUE"""),"Yes")</f>
        <v>Yes</v>
      </c>
      <c r="T604" s="5" t="str">
        <f ca="1">IFERROR(__xludf.DUMMYFUNCTION("""COMPUTED_VALUE"""),"Yes")</f>
        <v>Yes</v>
      </c>
      <c r="U604" s="5" t="str">
        <f ca="1">IFERROR(__xludf.DUMMYFUNCTION("""COMPUTED_VALUE"""),"Yes")</f>
        <v>Yes</v>
      </c>
      <c r="V604" s="5" t="str">
        <f ca="1">IFERROR(__xludf.DUMMYFUNCTION("""COMPUTED_VALUE"""),"Yes")</f>
        <v>Yes</v>
      </c>
      <c r="W604" s="5" t="str">
        <f ca="1">IFERROR(__xludf.DUMMYFUNCTION("""COMPUTED_VALUE"""),"Yes")</f>
        <v>Yes</v>
      </c>
      <c r="X604" s="5" t="str">
        <f ca="1">IFERROR(__xludf.DUMMYFUNCTION("""COMPUTED_VALUE"""),"Yes")</f>
        <v>Yes</v>
      </c>
      <c r="Y604" s="5" t="str">
        <f ca="1">IFERROR(__xludf.DUMMYFUNCTION("""COMPUTED_VALUE"""),"Yes")</f>
        <v>Yes</v>
      </c>
      <c r="Z604" s="5" t="str">
        <f ca="1">IFERROR(__xludf.DUMMYFUNCTION("""COMPUTED_VALUE"""),"No")</f>
        <v>No</v>
      </c>
      <c r="AA604" s="5" t="str">
        <f ca="1">IFERROR(__xludf.DUMMYFUNCTION("""COMPUTED_VALUE"""),"Yes")</f>
        <v>Yes</v>
      </c>
      <c r="AB604" s="5" t="str">
        <f ca="1">IFERROR(__xludf.DUMMYFUNCTION("""COMPUTED_VALUE"""),"Yes")</f>
        <v>Yes</v>
      </c>
      <c r="AC604" s="5" t="str">
        <f ca="1">IFERROR(__xludf.DUMMYFUNCTION("""COMPUTED_VALUE"""),"Yes")</f>
        <v>Yes</v>
      </c>
      <c r="AD604" s="5" t="str">
        <f ca="1">IFERROR(__xludf.DUMMYFUNCTION("""COMPUTED_VALUE"""),"Yes")</f>
        <v>Yes</v>
      </c>
      <c r="AE604" s="5" t="str">
        <f ca="1">IFERROR(__xludf.DUMMYFUNCTION("""COMPUTED_VALUE"""),"No")</f>
        <v>No</v>
      </c>
      <c r="AF604" s="5" t="str">
        <f ca="1">IFERROR(__xludf.DUMMYFUNCTION("""COMPUTED_VALUE"""),"Yes")</f>
        <v>Yes</v>
      </c>
      <c r="AG604" s="5" t="str">
        <f ca="1">IFERROR(__xludf.DUMMYFUNCTION("""COMPUTED_VALUE"""),"No")</f>
        <v>No</v>
      </c>
      <c r="AH604" s="5" t="str">
        <f ca="1">IFERROR(__xludf.DUMMYFUNCTION("""COMPUTED_VALUE"""),"No")</f>
        <v>No</v>
      </c>
      <c r="AI604" s="5" t="str">
        <f ca="1">IFERROR(__xludf.DUMMYFUNCTION("""COMPUTED_VALUE"""),"No")</f>
        <v>No</v>
      </c>
      <c r="AJ604" s="5" t="str">
        <f ca="1">IFERROR(__xludf.DUMMYFUNCTION("""COMPUTED_VALUE"""),"No")</f>
        <v>No</v>
      </c>
      <c r="AK604" s="5" t="str">
        <f ca="1">IFERROR(__xludf.DUMMYFUNCTION("""COMPUTED_VALUE"""),"No")</f>
        <v>No</v>
      </c>
      <c r="AL604" s="5" t="str">
        <f ca="1">IFERROR(__xludf.DUMMYFUNCTION("""COMPUTED_VALUE"""),"No")</f>
        <v>No</v>
      </c>
      <c r="AM604" s="5"/>
      <c r="AN604" s="5"/>
      <c r="AO604" s="5"/>
      <c r="AP604" s="5"/>
      <c r="AQ604" s="5"/>
      <c r="AR604" s="5"/>
      <c r="AS604" s="5"/>
      <c r="AT604" s="5"/>
      <c r="AU604" s="5"/>
      <c r="AV604" s="5"/>
      <c r="AW604" s="5"/>
      <c r="AX604" s="5"/>
      <c r="AY604" s="5"/>
    </row>
    <row r="605" spans="1:51" x14ac:dyDescent="0.25">
      <c r="A605" s="5" t="str">
        <f ca="1">IFERROR(__xludf.DUMMYFUNCTION("""COMPUTED_VALUE"""),"")</f>
        <v/>
      </c>
      <c r="B605" s="5">
        <f ca="1">IFERROR(__xludf.DUMMYFUNCTION("""COMPUTED_VALUE"""),640)</f>
        <v>640</v>
      </c>
      <c r="C605" s="5">
        <f ca="1">IFERROR(__xludf.DUMMYFUNCTION("""COMPUTED_VALUE"""),999997)</f>
        <v>999997</v>
      </c>
      <c r="D605" s="5" t="str">
        <f ca="1">IFERROR(__xludf.DUMMYFUNCTION("""COMPUTED_VALUE"""),"planet-dice-escape")</f>
        <v>planet-dice-escape</v>
      </c>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row>
    <row r="606" spans="1:51" x14ac:dyDescent="0.25">
      <c r="A606" s="5" t="str">
        <f ca="1">IFERROR(__xludf.DUMMYFUNCTION("""COMPUTED_VALUE"""),"")</f>
        <v/>
      </c>
      <c r="B606" s="5">
        <f ca="1">IFERROR(__xludf.DUMMYFUNCTION("""COMPUTED_VALUE"""),641)</f>
        <v>641</v>
      </c>
      <c r="C606" s="5">
        <f ca="1">IFERROR(__xludf.DUMMYFUNCTION("""COMPUTED_VALUE"""),999996)</f>
        <v>999996</v>
      </c>
      <c r="D606" s="5" t="str">
        <f ca="1">IFERROR(__xludf.DUMMYFUNCTION("""COMPUTED_VALUE"""),"wild-tiki-mayhem")</f>
        <v>wild-tiki-mayhem</v>
      </c>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row>
    <row r="607" spans="1:51" x14ac:dyDescent="0.25">
      <c r="A6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7" s="5">
        <f ca="1">IFERROR(__xludf.DUMMYFUNCTION("""COMPUTED_VALUE"""),642)</f>
        <v>642</v>
      </c>
      <c r="C607" s="5">
        <f ca="1">IFERROR(__xludf.DUMMYFUNCTION("""COMPUTED_VALUE"""),4028)</f>
        <v>4028</v>
      </c>
      <c r="D607" s="5" t="str">
        <f ca="1">IFERROR(__xludf.DUMMYFUNCTION("""COMPUTED_VALUE"""),"WildHot223")</f>
        <v>WildHot223</v>
      </c>
      <c r="E607" s="5" t="str">
        <f ca="1">IFERROR(__xludf.DUMMYFUNCTION("""COMPUTED_VALUE"""),"Yes")</f>
        <v>Yes</v>
      </c>
      <c r="F607" s="5" t="str">
        <f ca="1">IFERROR(__xludf.DUMMYFUNCTION("""COMPUTED_VALUE"""),"Yes")</f>
        <v>Yes</v>
      </c>
      <c r="G607" s="5" t="str">
        <f ca="1">IFERROR(__xludf.DUMMYFUNCTION("""COMPUTED_VALUE"""),"Yes")</f>
        <v>Yes</v>
      </c>
      <c r="H607" s="5" t="str">
        <f ca="1">IFERROR(__xludf.DUMMYFUNCTION("""COMPUTED_VALUE"""),"Yes")</f>
        <v>Yes</v>
      </c>
      <c r="I607" s="5" t="str">
        <f ca="1">IFERROR(__xludf.DUMMYFUNCTION("""COMPUTED_VALUE"""),"Yes")</f>
        <v>Yes</v>
      </c>
      <c r="J607" s="5" t="str">
        <f ca="1">IFERROR(__xludf.DUMMYFUNCTION("""COMPUTED_VALUE"""),"Yes")</f>
        <v>Yes</v>
      </c>
      <c r="K607" s="5" t="str">
        <f ca="1">IFERROR(__xludf.DUMMYFUNCTION("""COMPUTED_VALUE"""),"Yes")</f>
        <v>Yes</v>
      </c>
      <c r="L607" s="5" t="str">
        <f ca="1">IFERROR(__xludf.DUMMYFUNCTION("""COMPUTED_VALUE"""),"Yes")</f>
        <v>Yes</v>
      </c>
      <c r="M607" s="5" t="str">
        <f ca="1">IFERROR(__xludf.DUMMYFUNCTION("""COMPUTED_VALUE"""),"Yes")</f>
        <v>Yes</v>
      </c>
      <c r="N607" s="5" t="str">
        <f ca="1">IFERROR(__xludf.DUMMYFUNCTION("""COMPUTED_VALUE"""),"Yes")</f>
        <v>Yes</v>
      </c>
      <c r="O607" s="5" t="str">
        <f ca="1">IFERROR(__xludf.DUMMYFUNCTION("""COMPUTED_VALUE"""),"Yes")</f>
        <v>Yes</v>
      </c>
      <c r="P607" s="5" t="str">
        <f ca="1">IFERROR(__xludf.DUMMYFUNCTION("""COMPUTED_VALUE"""),"Yes")</f>
        <v>Yes</v>
      </c>
      <c r="Q607" s="5" t="str">
        <f ca="1">IFERROR(__xludf.DUMMYFUNCTION("""COMPUTED_VALUE"""),"Yes")</f>
        <v>Yes</v>
      </c>
      <c r="R607" s="5" t="str">
        <f ca="1">IFERROR(__xludf.DUMMYFUNCTION("""COMPUTED_VALUE"""),"Yes")</f>
        <v>Yes</v>
      </c>
      <c r="S607" s="5" t="str">
        <f ca="1">IFERROR(__xludf.DUMMYFUNCTION("""COMPUTED_VALUE"""),"Yes")</f>
        <v>Yes</v>
      </c>
      <c r="T607" s="5" t="str">
        <f ca="1">IFERROR(__xludf.DUMMYFUNCTION("""COMPUTED_VALUE"""),"Yes")</f>
        <v>Yes</v>
      </c>
      <c r="U607" s="5" t="str">
        <f ca="1">IFERROR(__xludf.DUMMYFUNCTION("""COMPUTED_VALUE"""),"Yes")</f>
        <v>Yes</v>
      </c>
      <c r="V607" s="5" t="str">
        <f ca="1">IFERROR(__xludf.DUMMYFUNCTION("""COMPUTED_VALUE"""),"Yes")</f>
        <v>Yes</v>
      </c>
      <c r="W607" s="5" t="str">
        <f ca="1">IFERROR(__xludf.DUMMYFUNCTION("""COMPUTED_VALUE"""),"Yes")</f>
        <v>Yes</v>
      </c>
      <c r="X607" s="5" t="str">
        <f ca="1">IFERROR(__xludf.DUMMYFUNCTION("""COMPUTED_VALUE"""),"Yes")</f>
        <v>Yes</v>
      </c>
      <c r="Y607" s="5" t="str">
        <f ca="1">IFERROR(__xludf.DUMMYFUNCTION("""COMPUTED_VALUE"""),"Yes")</f>
        <v>Yes</v>
      </c>
      <c r="Z607" s="5" t="str">
        <f ca="1">IFERROR(__xludf.DUMMYFUNCTION("""COMPUTED_VALUE"""),"No")</f>
        <v>No</v>
      </c>
      <c r="AA607" s="5" t="str">
        <f ca="1">IFERROR(__xludf.DUMMYFUNCTION("""COMPUTED_VALUE"""),"Yes")</f>
        <v>Yes</v>
      </c>
      <c r="AB607" s="5" t="str">
        <f ca="1">IFERROR(__xludf.DUMMYFUNCTION("""COMPUTED_VALUE"""),"Yes")</f>
        <v>Yes</v>
      </c>
      <c r="AC607" s="5" t="str">
        <f ca="1">IFERROR(__xludf.DUMMYFUNCTION("""COMPUTED_VALUE"""),"Yes")</f>
        <v>Yes</v>
      </c>
      <c r="AD607" s="5" t="str">
        <f ca="1">IFERROR(__xludf.DUMMYFUNCTION("""COMPUTED_VALUE"""),"Yes")</f>
        <v>Yes</v>
      </c>
      <c r="AE607" s="5" t="str">
        <f ca="1">IFERROR(__xludf.DUMMYFUNCTION("""COMPUTED_VALUE"""),"No")</f>
        <v>No</v>
      </c>
      <c r="AF607" s="5" t="str">
        <f ca="1">IFERROR(__xludf.DUMMYFUNCTION("""COMPUTED_VALUE"""),"Yes")</f>
        <v>Yes</v>
      </c>
      <c r="AG607" s="5" t="str">
        <f ca="1">IFERROR(__xludf.DUMMYFUNCTION("""COMPUTED_VALUE"""),"No")</f>
        <v>No</v>
      </c>
      <c r="AH607" s="5" t="str">
        <f ca="1">IFERROR(__xludf.DUMMYFUNCTION("""COMPUTED_VALUE"""),"No")</f>
        <v>No</v>
      </c>
      <c r="AI607" s="5" t="str">
        <f ca="1">IFERROR(__xludf.DUMMYFUNCTION("""COMPUTED_VALUE"""),"No")</f>
        <v>No</v>
      </c>
      <c r="AJ607" s="5" t="str">
        <f ca="1">IFERROR(__xludf.DUMMYFUNCTION("""COMPUTED_VALUE"""),"No")</f>
        <v>No</v>
      </c>
      <c r="AK607" s="5" t="str">
        <f ca="1">IFERROR(__xludf.DUMMYFUNCTION("""COMPUTED_VALUE"""),"No")</f>
        <v>No</v>
      </c>
      <c r="AL607" s="5" t="str">
        <f ca="1">IFERROR(__xludf.DUMMYFUNCTION("""COMPUTED_VALUE"""),"No")</f>
        <v>No</v>
      </c>
      <c r="AM607" s="5"/>
      <c r="AN607" s="5"/>
      <c r="AO607" s="5"/>
      <c r="AP607" s="5"/>
      <c r="AQ607" s="5"/>
      <c r="AR607" s="5"/>
      <c r="AS607" s="5"/>
      <c r="AT607" s="5"/>
      <c r="AU607" s="5"/>
      <c r="AV607" s="5"/>
      <c r="AW607" s="5"/>
      <c r="AX607" s="5"/>
      <c r="AY607" s="5"/>
    </row>
    <row r="608" spans="1:51" x14ac:dyDescent="0.25">
      <c r="A608"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08" s="5">
        <f ca="1">IFERROR(__xludf.DUMMYFUNCTION("""COMPUTED_VALUE"""),643)</f>
        <v>643</v>
      </c>
      <c r="C608" s="5">
        <f ca="1">IFERROR(__xludf.DUMMYFUNCTION("""COMPUTED_VALUE"""),180052)</f>
        <v>180052</v>
      </c>
      <c r="D608" s="5" t="str">
        <f ca="1">IFERROR(__xludf.DUMMYFUNCTION("""COMPUTED_VALUE"""),"Redstone5WildDiamond")</f>
        <v>Redstone5WildDiamond</v>
      </c>
      <c r="E608" s="5" t="str">
        <f ca="1">IFERROR(__xludf.DUMMYFUNCTION("""COMPUTED_VALUE"""),"Yes")</f>
        <v>Yes</v>
      </c>
      <c r="F608" s="5" t="str">
        <f ca="1">IFERROR(__xludf.DUMMYFUNCTION("""COMPUTED_VALUE"""),"Yes")</f>
        <v>Yes</v>
      </c>
      <c r="G608" s="5" t="str">
        <f ca="1">IFERROR(__xludf.DUMMYFUNCTION("""COMPUTED_VALUE"""),"Yes")</f>
        <v>Yes</v>
      </c>
      <c r="H608" s="5" t="str">
        <f ca="1">IFERROR(__xludf.DUMMYFUNCTION("""COMPUTED_VALUE"""),"Yes")</f>
        <v>Yes</v>
      </c>
      <c r="I608" s="5" t="str">
        <f ca="1">IFERROR(__xludf.DUMMYFUNCTION("""COMPUTED_VALUE"""),"Yes")</f>
        <v>Yes</v>
      </c>
      <c r="J608" s="5" t="str">
        <f ca="1">IFERROR(__xludf.DUMMYFUNCTION("""COMPUTED_VALUE"""),"Yes")</f>
        <v>Yes</v>
      </c>
      <c r="K608" s="5" t="str">
        <f ca="1">IFERROR(__xludf.DUMMYFUNCTION("""COMPUTED_VALUE"""),"Yes")</f>
        <v>Yes</v>
      </c>
      <c r="L608" s="5" t="str">
        <f ca="1">IFERROR(__xludf.DUMMYFUNCTION("""COMPUTED_VALUE"""),"Yes")</f>
        <v>Yes</v>
      </c>
      <c r="M608" s="5" t="str">
        <f ca="1">IFERROR(__xludf.DUMMYFUNCTION("""COMPUTED_VALUE"""),"Yes")</f>
        <v>Yes</v>
      </c>
      <c r="N608" s="5" t="str">
        <f ca="1">IFERROR(__xludf.DUMMYFUNCTION("""COMPUTED_VALUE"""),"Yes")</f>
        <v>Yes</v>
      </c>
      <c r="O608" s="5" t="str">
        <f ca="1">IFERROR(__xludf.DUMMYFUNCTION("""COMPUTED_VALUE"""),"Yes")</f>
        <v>Yes</v>
      </c>
      <c r="P608" s="5" t="str">
        <f ca="1">IFERROR(__xludf.DUMMYFUNCTION("""COMPUTED_VALUE"""),"Yes")</f>
        <v>Yes</v>
      </c>
      <c r="Q608" s="5" t="str">
        <f ca="1">IFERROR(__xludf.DUMMYFUNCTION("""COMPUTED_VALUE"""),"Yes")</f>
        <v>Yes</v>
      </c>
      <c r="R608" s="5" t="str">
        <f ca="1">IFERROR(__xludf.DUMMYFUNCTION("""COMPUTED_VALUE"""),"Yes")</f>
        <v>Yes</v>
      </c>
      <c r="S608" s="5" t="str">
        <f ca="1">IFERROR(__xludf.DUMMYFUNCTION("""COMPUTED_VALUE"""),"Yes")</f>
        <v>Yes</v>
      </c>
      <c r="T608" s="5" t="str">
        <f ca="1">IFERROR(__xludf.DUMMYFUNCTION("""COMPUTED_VALUE"""),"No")</f>
        <v>No</v>
      </c>
      <c r="U608" s="5" t="str">
        <f ca="1">IFERROR(__xludf.DUMMYFUNCTION("""COMPUTED_VALUE"""),"No")</f>
        <v>No</v>
      </c>
      <c r="V608" s="5" t="str">
        <f ca="1">IFERROR(__xludf.DUMMYFUNCTION("""COMPUTED_VALUE"""),"No")</f>
        <v>No</v>
      </c>
      <c r="W608" s="5" t="str">
        <f ca="1">IFERROR(__xludf.DUMMYFUNCTION("""COMPUTED_VALUE"""),"No")</f>
        <v>No</v>
      </c>
      <c r="X608" s="5" t="str">
        <f ca="1">IFERROR(__xludf.DUMMYFUNCTION("""COMPUTED_VALUE"""),"No")</f>
        <v>No</v>
      </c>
      <c r="Y608" s="5" t="str">
        <f ca="1">IFERROR(__xludf.DUMMYFUNCTION("""COMPUTED_VALUE"""),"No")</f>
        <v>No</v>
      </c>
      <c r="Z608" s="5" t="str">
        <f ca="1">IFERROR(__xludf.DUMMYFUNCTION("""COMPUTED_VALUE"""),"No")</f>
        <v>No</v>
      </c>
      <c r="AA608" s="5" t="str">
        <f ca="1">IFERROR(__xludf.DUMMYFUNCTION("""COMPUTED_VALUE"""),"Yes")</f>
        <v>Yes</v>
      </c>
      <c r="AB608" s="5" t="str">
        <f ca="1">IFERROR(__xludf.DUMMYFUNCTION("""COMPUTED_VALUE"""),"No")</f>
        <v>No</v>
      </c>
      <c r="AC608" s="5" t="str">
        <f ca="1">IFERROR(__xludf.DUMMYFUNCTION("""COMPUTED_VALUE"""),"No")</f>
        <v>No</v>
      </c>
      <c r="AD608" s="5" t="str">
        <f ca="1">IFERROR(__xludf.DUMMYFUNCTION("""COMPUTED_VALUE"""),"No")</f>
        <v>No</v>
      </c>
      <c r="AE608" s="5" t="str">
        <f ca="1">IFERROR(__xludf.DUMMYFUNCTION("""COMPUTED_VALUE"""),"No")</f>
        <v>No</v>
      </c>
      <c r="AF608" s="5" t="str">
        <f ca="1">IFERROR(__xludf.DUMMYFUNCTION("""COMPUTED_VALUE"""),"Yes")</f>
        <v>Yes</v>
      </c>
      <c r="AG608" s="5" t="str">
        <f ca="1">IFERROR(__xludf.DUMMYFUNCTION("""COMPUTED_VALUE"""),"No")</f>
        <v>No</v>
      </c>
      <c r="AH608" s="5" t="str">
        <f ca="1">IFERROR(__xludf.DUMMYFUNCTION("""COMPUTED_VALUE"""),"Yes")</f>
        <v>Yes</v>
      </c>
      <c r="AI608" s="5" t="str">
        <f ca="1">IFERROR(__xludf.DUMMYFUNCTION("""COMPUTED_VALUE"""),"No")</f>
        <v>No</v>
      </c>
      <c r="AJ608" s="5" t="str">
        <f ca="1">IFERROR(__xludf.DUMMYFUNCTION("""COMPUTED_VALUE"""),"No")</f>
        <v>No</v>
      </c>
      <c r="AK608" s="5" t="str">
        <f ca="1">IFERROR(__xludf.DUMMYFUNCTION("""COMPUTED_VALUE"""),"No")</f>
        <v>No</v>
      </c>
      <c r="AL608" s="5" t="str">
        <f ca="1">IFERROR(__xludf.DUMMYFUNCTION("""COMPUTED_VALUE"""),"No")</f>
        <v>No</v>
      </c>
      <c r="AM608" s="5"/>
      <c r="AN608" s="5"/>
      <c r="AO608" s="5"/>
      <c r="AP608" s="5"/>
      <c r="AQ608" s="5"/>
      <c r="AR608" s="5"/>
      <c r="AS608" s="5"/>
      <c r="AT608" s="5"/>
      <c r="AU608" s="5"/>
      <c r="AV608" s="5"/>
      <c r="AW608" s="5"/>
      <c r="AX608" s="5"/>
      <c r="AY608" s="5"/>
    </row>
    <row r="609" spans="1:51" x14ac:dyDescent="0.25">
      <c r="A609"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609" s="5">
        <f ca="1">IFERROR(__xludf.DUMMYFUNCTION("""COMPUTED_VALUE"""),644)</f>
        <v>644</v>
      </c>
      <c r="C609" s="5">
        <f ca="1">IFERROR(__xludf.DUMMYFUNCTION("""COMPUTED_VALUE"""),999999)</f>
        <v>999999</v>
      </c>
      <c r="D609" s="5" t="str">
        <f ca="1">IFERROR(__xludf.DUMMYFUNCTION("""COMPUTED_VALUE"""),"christmas-sugar-luck")</f>
        <v>christmas-sugar-luck</v>
      </c>
      <c r="E609" s="5" t="str">
        <f ca="1">IFERROR(__xludf.DUMMYFUNCTION("""COMPUTED_VALUE"""),"Yes")</f>
        <v>Yes</v>
      </c>
      <c r="F609" s="5" t="str">
        <f ca="1">IFERROR(__xludf.DUMMYFUNCTION("""COMPUTED_VALUE"""),"Yes")</f>
        <v>Yes</v>
      </c>
      <c r="G609" s="5" t="str">
        <f ca="1">IFERROR(__xludf.DUMMYFUNCTION("""COMPUTED_VALUE"""),"No")</f>
        <v>No</v>
      </c>
      <c r="H609" s="5" t="str">
        <f ca="1">IFERROR(__xludf.DUMMYFUNCTION("""COMPUTED_VALUE"""),"Yes")</f>
        <v>Yes</v>
      </c>
      <c r="I609" s="5" t="str">
        <f ca="1">IFERROR(__xludf.DUMMYFUNCTION("""COMPUTED_VALUE"""),"Yes")</f>
        <v>Yes</v>
      </c>
      <c r="J609" s="5" t="str">
        <f ca="1">IFERROR(__xludf.DUMMYFUNCTION("""COMPUTED_VALUE"""),"Yes")</f>
        <v>Yes</v>
      </c>
      <c r="K609" s="5" t="str">
        <f ca="1">IFERROR(__xludf.DUMMYFUNCTION("""COMPUTED_VALUE"""),"Yes")</f>
        <v>Yes</v>
      </c>
      <c r="L609" s="5" t="str">
        <f ca="1">IFERROR(__xludf.DUMMYFUNCTION("""COMPUTED_VALUE"""),"Yes")</f>
        <v>Yes</v>
      </c>
      <c r="M609" s="5" t="str">
        <f ca="1">IFERROR(__xludf.DUMMYFUNCTION("""COMPUTED_VALUE"""),"Yes")</f>
        <v>Yes</v>
      </c>
      <c r="N609" s="5" t="str">
        <f ca="1">IFERROR(__xludf.DUMMYFUNCTION("""COMPUTED_VALUE"""),"Yes")</f>
        <v>Yes</v>
      </c>
      <c r="O609" s="5" t="str">
        <f ca="1">IFERROR(__xludf.DUMMYFUNCTION("""COMPUTED_VALUE"""),"Yes")</f>
        <v>Yes</v>
      </c>
      <c r="P609" s="5" t="str">
        <f ca="1">IFERROR(__xludf.DUMMYFUNCTION("""COMPUTED_VALUE"""),"Yes")</f>
        <v>Yes</v>
      </c>
      <c r="Q609" s="5" t="str">
        <f ca="1">IFERROR(__xludf.DUMMYFUNCTION("""COMPUTED_VALUE"""),"Yes")</f>
        <v>Yes</v>
      </c>
      <c r="R609" s="5" t="str">
        <f ca="1">IFERROR(__xludf.DUMMYFUNCTION("""COMPUTED_VALUE"""),"Yes")</f>
        <v>Yes</v>
      </c>
      <c r="S609" s="5" t="str">
        <f ca="1">IFERROR(__xludf.DUMMYFUNCTION("""COMPUTED_VALUE"""),"Yes")</f>
        <v>Yes</v>
      </c>
      <c r="T609" s="5" t="str">
        <f ca="1">IFERROR(__xludf.DUMMYFUNCTION("""COMPUTED_VALUE"""),"No")</f>
        <v>No</v>
      </c>
      <c r="U609" s="5" t="str">
        <f ca="1">IFERROR(__xludf.DUMMYFUNCTION("""COMPUTED_VALUE"""),"No")</f>
        <v>No</v>
      </c>
      <c r="V609" s="5" t="str">
        <f ca="1">IFERROR(__xludf.DUMMYFUNCTION("""COMPUTED_VALUE"""),"No")</f>
        <v>No</v>
      </c>
      <c r="W609" s="5" t="str">
        <f ca="1">IFERROR(__xludf.DUMMYFUNCTION("""COMPUTED_VALUE"""),"No")</f>
        <v>No</v>
      </c>
      <c r="X609" s="5" t="str">
        <f ca="1">IFERROR(__xludf.DUMMYFUNCTION("""COMPUTED_VALUE"""),"No")</f>
        <v>No</v>
      </c>
      <c r="Y609" s="5" t="str">
        <f ca="1">IFERROR(__xludf.DUMMYFUNCTION("""COMPUTED_VALUE"""),"No")</f>
        <v>No</v>
      </c>
      <c r="Z609" s="5" t="str">
        <f ca="1">IFERROR(__xludf.DUMMYFUNCTION("""COMPUTED_VALUE"""),"No")</f>
        <v>No</v>
      </c>
      <c r="AA609" s="5" t="str">
        <f ca="1">IFERROR(__xludf.DUMMYFUNCTION("""COMPUTED_VALUE"""),"No")</f>
        <v>No</v>
      </c>
      <c r="AB609" s="5" t="str">
        <f ca="1">IFERROR(__xludf.DUMMYFUNCTION("""COMPUTED_VALUE"""),"No")</f>
        <v>No</v>
      </c>
      <c r="AC609" s="5" t="str">
        <f ca="1">IFERROR(__xludf.DUMMYFUNCTION("""COMPUTED_VALUE"""),"No")</f>
        <v>No</v>
      </c>
      <c r="AD609" s="5" t="str">
        <f ca="1">IFERROR(__xludf.DUMMYFUNCTION("""COMPUTED_VALUE"""),"No")</f>
        <v>No</v>
      </c>
      <c r="AE609" s="5" t="str">
        <f ca="1">IFERROR(__xludf.DUMMYFUNCTION("""COMPUTED_VALUE"""),"No")</f>
        <v>No</v>
      </c>
      <c r="AF609" s="5" t="str">
        <f ca="1">IFERROR(__xludf.DUMMYFUNCTION("""COMPUTED_VALUE"""),"Yes")</f>
        <v>Yes</v>
      </c>
      <c r="AG609" s="5" t="str">
        <f ca="1">IFERROR(__xludf.DUMMYFUNCTION("""COMPUTED_VALUE"""),"No")</f>
        <v>No</v>
      </c>
      <c r="AH609" s="5" t="str">
        <f ca="1">IFERROR(__xludf.DUMMYFUNCTION("""COMPUTED_VALUE"""),"Yes")</f>
        <v>Yes</v>
      </c>
      <c r="AI609" s="5" t="str">
        <f ca="1">IFERROR(__xludf.DUMMYFUNCTION("""COMPUTED_VALUE"""),"No")</f>
        <v>No</v>
      </c>
      <c r="AJ609" s="5" t="str">
        <f ca="1">IFERROR(__xludf.DUMMYFUNCTION("""COMPUTED_VALUE"""),"No")</f>
        <v>No</v>
      </c>
      <c r="AK609" s="5" t="str">
        <f ca="1">IFERROR(__xludf.DUMMYFUNCTION("""COMPUTED_VALUE"""),"No")</f>
        <v>No</v>
      </c>
      <c r="AL609" s="5" t="str">
        <f ca="1">IFERROR(__xludf.DUMMYFUNCTION("""COMPUTED_VALUE"""),"No")</f>
        <v>No</v>
      </c>
      <c r="AM609" s="5"/>
      <c r="AN609" s="5"/>
      <c r="AO609" s="5"/>
      <c r="AP609" s="5"/>
      <c r="AQ609" s="5"/>
      <c r="AR609" s="5"/>
      <c r="AS609" s="5"/>
      <c r="AT609" s="5"/>
      <c r="AU609" s="5"/>
      <c r="AV609" s="5"/>
      <c r="AW609" s="5"/>
      <c r="AX609" s="5"/>
      <c r="AY609" s="5"/>
    </row>
    <row r="610" spans="1:51" x14ac:dyDescent="0.25">
      <c r="A6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0" s="5">
        <f ca="1">IFERROR(__xludf.DUMMYFUNCTION("""COMPUTED_VALUE"""),645)</f>
        <v>645</v>
      </c>
      <c r="C610" s="5">
        <f ca="1">IFERROR(__xludf.DUMMYFUNCTION("""COMPUTED_VALUE"""),4027)</f>
        <v>4027</v>
      </c>
      <c r="D610" s="5" t="str">
        <f ca="1">IFERROR(__xludf.DUMMYFUNCTION("""COMPUTED_VALUE"""),"KonfamBall")</f>
        <v>KonfamBall</v>
      </c>
      <c r="E610" s="5" t="str">
        <f ca="1">IFERROR(__xludf.DUMMYFUNCTION("""COMPUTED_VALUE"""),"Yes")</f>
        <v>Yes</v>
      </c>
      <c r="F610" s="5" t="str">
        <f ca="1">IFERROR(__xludf.DUMMYFUNCTION("""COMPUTED_VALUE"""),"Yes")</f>
        <v>Yes</v>
      </c>
      <c r="G610" s="5" t="str">
        <f ca="1">IFERROR(__xludf.DUMMYFUNCTION("""COMPUTED_VALUE"""),"Yes")</f>
        <v>Yes</v>
      </c>
      <c r="H610" s="5" t="str">
        <f ca="1">IFERROR(__xludf.DUMMYFUNCTION("""COMPUTED_VALUE"""),"Yes")</f>
        <v>Yes</v>
      </c>
      <c r="I610" s="5" t="str">
        <f ca="1">IFERROR(__xludf.DUMMYFUNCTION("""COMPUTED_VALUE"""),"Yes")</f>
        <v>Yes</v>
      </c>
      <c r="J610" s="5" t="str">
        <f ca="1">IFERROR(__xludf.DUMMYFUNCTION("""COMPUTED_VALUE"""),"Yes")</f>
        <v>Yes</v>
      </c>
      <c r="K610" s="5" t="str">
        <f ca="1">IFERROR(__xludf.DUMMYFUNCTION("""COMPUTED_VALUE"""),"Yes")</f>
        <v>Yes</v>
      </c>
      <c r="L610" s="5" t="str">
        <f ca="1">IFERROR(__xludf.DUMMYFUNCTION("""COMPUTED_VALUE"""),"Yes")</f>
        <v>Yes</v>
      </c>
      <c r="M610" s="5" t="str">
        <f ca="1">IFERROR(__xludf.DUMMYFUNCTION("""COMPUTED_VALUE"""),"Yes")</f>
        <v>Yes</v>
      </c>
      <c r="N610" s="5" t="str">
        <f ca="1">IFERROR(__xludf.DUMMYFUNCTION("""COMPUTED_VALUE"""),"Yes")</f>
        <v>Yes</v>
      </c>
      <c r="O610" s="5" t="str">
        <f ca="1">IFERROR(__xludf.DUMMYFUNCTION("""COMPUTED_VALUE"""),"Yes")</f>
        <v>Yes</v>
      </c>
      <c r="P610" s="5" t="str">
        <f ca="1">IFERROR(__xludf.DUMMYFUNCTION("""COMPUTED_VALUE"""),"Yes")</f>
        <v>Yes</v>
      </c>
      <c r="Q610" s="5" t="str">
        <f ca="1">IFERROR(__xludf.DUMMYFUNCTION("""COMPUTED_VALUE"""),"Yes")</f>
        <v>Yes</v>
      </c>
      <c r="R610" s="5" t="str">
        <f ca="1">IFERROR(__xludf.DUMMYFUNCTION("""COMPUTED_VALUE"""),"Yes")</f>
        <v>Yes</v>
      </c>
      <c r="S610" s="5" t="str">
        <f ca="1">IFERROR(__xludf.DUMMYFUNCTION("""COMPUTED_VALUE"""),"Yes")</f>
        <v>Yes</v>
      </c>
      <c r="T610" s="5" t="str">
        <f ca="1">IFERROR(__xludf.DUMMYFUNCTION("""COMPUTED_VALUE"""),"Yes")</f>
        <v>Yes</v>
      </c>
      <c r="U610" s="5" t="str">
        <f ca="1">IFERROR(__xludf.DUMMYFUNCTION("""COMPUTED_VALUE"""),"Yes")</f>
        <v>Yes</v>
      </c>
      <c r="V610" s="5" t="str">
        <f ca="1">IFERROR(__xludf.DUMMYFUNCTION("""COMPUTED_VALUE"""),"Yes")</f>
        <v>Yes</v>
      </c>
      <c r="W610" s="5" t="str">
        <f ca="1">IFERROR(__xludf.DUMMYFUNCTION("""COMPUTED_VALUE"""),"Yes")</f>
        <v>Yes</v>
      </c>
      <c r="X610" s="5" t="str">
        <f ca="1">IFERROR(__xludf.DUMMYFUNCTION("""COMPUTED_VALUE"""),"Yes")</f>
        <v>Yes</v>
      </c>
      <c r="Y610" s="5" t="str">
        <f ca="1">IFERROR(__xludf.DUMMYFUNCTION("""COMPUTED_VALUE"""),"Yes")</f>
        <v>Yes</v>
      </c>
      <c r="Z610" s="5" t="str">
        <f ca="1">IFERROR(__xludf.DUMMYFUNCTION("""COMPUTED_VALUE"""),"No")</f>
        <v>No</v>
      </c>
      <c r="AA610" s="5" t="str">
        <f ca="1">IFERROR(__xludf.DUMMYFUNCTION("""COMPUTED_VALUE"""),"Yes")</f>
        <v>Yes</v>
      </c>
      <c r="AB610" s="5" t="str">
        <f ca="1">IFERROR(__xludf.DUMMYFUNCTION("""COMPUTED_VALUE"""),"Yes")</f>
        <v>Yes</v>
      </c>
      <c r="AC610" s="5" t="str">
        <f ca="1">IFERROR(__xludf.DUMMYFUNCTION("""COMPUTED_VALUE"""),"Yes")</f>
        <v>Yes</v>
      </c>
      <c r="AD610" s="5" t="str">
        <f ca="1">IFERROR(__xludf.DUMMYFUNCTION("""COMPUTED_VALUE"""),"Yes")</f>
        <v>Yes</v>
      </c>
      <c r="AE610" s="5" t="str">
        <f ca="1">IFERROR(__xludf.DUMMYFUNCTION("""COMPUTED_VALUE"""),"No")</f>
        <v>No</v>
      </c>
      <c r="AF610" s="5" t="str">
        <f ca="1">IFERROR(__xludf.DUMMYFUNCTION("""COMPUTED_VALUE"""),"Yes")</f>
        <v>Yes</v>
      </c>
      <c r="AG610" s="5" t="str">
        <f ca="1">IFERROR(__xludf.DUMMYFUNCTION("""COMPUTED_VALUE"""),"No")</f>
        <v>No</v>
      </c>
      <c r="AH610" s="5" t="str">
        <f ca="1">IFERROR(__xludf.DUMMYFUNCTION("""COMPUTED_VALUE"""),"No")</f>
        <v>No</v>
      </c>
      <c r="AI610" s="5" t="str">
        <f ca="1">IFERROR(__xludf.DUMMYFUNCTION("""COMPUTED_VALUE"""),"No")</f>
        <v>No</v>
      </c>
      <c r="AJ610" s="5" t="str">
        <f ca="1">IFERROR(__xludf.DUMMYFUNCTION("""COMPUTED_VALUE"""),"No")</f>
        <v>No</v>
      </c>
      <c r="AK610" s="5" t="str">
        <f ca="1">IFERROR(__xludf.DUMMYFUNCTION("""COMPUTED_VALUE"""),"No")</f>
        <v>No</v>
      </c>
      <c r="AL610" s="5" t="str">
        <f ca="1">IFERROR(__xludf.DUMMYFUNCTION("""COMPUTED_VALUE"""),"No")</f>
        <v>No</v>
      </c>
      <c r="AM610" s="5"/>
      <c r="AN610" s="5"/>
      <c r="AO610" s="5"/>
      <c r="AP610" s="5"/>
      <c r="AQ610" s="5"/>
      <c r="AR610" s="5"/>
      <c r="AS610" s="5"/>
      <c r="AT610" s="5"/>
      <c r="AU610" s="5"/>
      <c r="AV610" s="5"/>
      <c r="AW610" s="5"/>
      <c r="AX610" s="5"/>
      <c r="AY610" s="5"/>
    </row>
    <row r="611" spans="1:51" x14ac:dyDescent="0.25">
      <c r="A611" s="5" t="str">
        <f ca="1">IFERROR(__xludf.DUMMYFUNCTION("""COMPUTED_VALUE"""),"English(""eng"")")</f>
        <v>English("eng")</v>
      </c>
      <c r="B611" s="5">
        <f ca="1">IFERROR(__xludf.DUMMYFUNCTION("""COMPUTED_VALUE"""),646)</f>
        <v>646</v>
      </c>
      <c r="C611" s="5">
        <f ca="1">IFERROR(__xludf.DUMMYFUNCTION("""COMPUTED_VALUE"""),526)</f>
        <v>526</v>
      </c>
      <c r="D611" s="5" t="str">
        <f ca="1">IFERROR(__xludf.DUMMYFUNCTION("""COMPUTED_VALUE"""),"UnicornDynamiteBoomDice")</f>
        <v>UnicornDynamiteBoomDice</v>
      </c>
      <c r="E611" s="5" t="str">
        <f ca="1">IFERROR(__xludf.DUMMYFUNCTION("""COMPUTED_VALUE"""),"Yes")</f>
        <v>Yes</v>
      </c>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row>
    <row r="612" spans="1:51" x14ac:dyDescent="0.25">
      <c r="A612" s="5" t="str">
        <f ca="1">IFERROR(__xludf.DUMMYFUNCTION("""COMPUTED_VALUE"""),"English(""eng"")")</f>
        <v>English("eng")</v>
      </c>
      <c r="B612" s="5">
        <f ca="1">IFERROR(__xludf.DUMMYFUNCTION("""COMPUTED_VALUE"""),647)</f>
        <v>647</v>
      </c>
      <c r="C612" s="5">
        <f ca="1">IFERROR(__xludf.DUMMYFUNCTION("""COMPUTED_VALUE"""),527)</f>
        <v>527</v>
      </c>
      <c r="D612" s="5" t="str">
        <f ca="1">IFERROR(__xludf.DUMMYFUNCTION("""COMPUTED_VALUE"""),"UnicornBuffaloDiceJackpot")</f>
        <v>UnicornBuffaloDiceJackpot</v>
      </c>
      <c r="E612" s="5" t="str">
        <f ca="1">IFERROR(__xludf.DUMMYFUNCTION("""COMPUTED_VALUE"""),"Yes")</f>
        <v>Yes</v>
      </c>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row>
    <row r="613" spans="1:51" x14ac:dyDescent="0.25">
      <c r="A613" s="5" t="str">
        <f ca="1">IFERROR(__xludf.DUMMYFUNCTION("""COMPUTED_VALUE"""),"English(""eng"")")</f>
        <v>English("eng")</v>
      </c>
      <c r="B613" s="5">
        <f ca="1">IFERROR(__xludf.DUMMYFUNCTION("""COMPUTED_VALUE"""),648)</f>
        <v>648</v>
      </c>
      <c r="C613" s="5">
        <f ca="1">IFERROR(__xludf.DUMMYFUNCTION("""COMPUTED_VALUE"""),525)</f>
        <v>525</v>
      </c>
      <c r="D613" s="5" t="str">
        <f ca="1">IFERROR(__xludf.DUMMYFUNCTION("""COMPUTED_VALUE"""),"UnicornTripleStackedDiamondJackpot")</f>
        <v>UnicornTripleStackedDiamondJackpot</v>
      </c>
      <c r="E613" s="5" t="str">
        <f ca="1">IFERROR(__xludf.DUMMYFUNCTION("""COMPUTED_VALUE"""),"Yes")</f>
        <v>Yes</v>
      </c>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row>
    <row r="614" spans="1:51" x14ac:dyDescent="0.25">
      <c r="A6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14" s="5">
        <f ca="1">IFERROR(__xludf.DUMMYFUNCTION("""COMPUTED_VALUE"""),649)</f>
        <v>649</v>
      </c>
      <c r="C614" s="5">
        <f ca="1">IFERROR(__xludf.DUMMYFUNCTION("""COMPUTED_VALUE"""),4029)</f>
        <v>4029</v>
      </c>
      <c r="D614" s="5" t="str">
        <f ca="1">IFERROR(__xludf.DUMMYFUNCTION("""COMPUTED_VALUE"""),"SuperTripleDouble")</f>
        <v>SuperTripleDouble</v>
      </c>
      <c r="E614" s="5" t="str">
        <f ca="1">IFERROR(__xludf.DUMMYFUNCTION("""COMPUTED_VALUE"""),"Yes")</f>
        <v>Yes</v>
      </c>
      <c r="F614" s="5" t="str">
        <f ca="1">IFERROR(__xludf.DUMMYFUNCTION("""COMPUTED_VALUE"""),"Yes")</f>
        <v>Yes</v>
      </c>
      <c r="G614" s="5" t="str">
        <f ca="1">IFERROR(__xludf.DUMMYFUNCTION("""COMPUTED_VALUE"""),"Yes")</f>
        <v>Yes</v>
      </c>
      <c r="H614" s="5" t="str">
        <f ca="1">IFERROR(__xludf.DUMMYFUNCTION("""COMPUTED_VALUE"""),"Yes")</f>
        <v>Yes</v>
      </c>
      <c r="I614" s="5" t="str">
        <f ca="1">IFERROR(__xludf.DUMMYFUNCTION("""COMPUTED_VALUE"""),"Yes")</f>
        <v>Yes</v>
      </c>
      <c r="J614" s="5" t="str">
        <f ca="1">IFERROR(__xludf.DUMMYFUNCTION("""COMPUTED_VALUE"""),"Yes")</f>
        <v>Yes</v>
      </c>
      <c r="K614" s="5" t="str">
        <f ca="1">IFERROR(__xludf.DUMMYFUNCTION("""COMPUTED_VALUE"""),"Yes")</f>
        <v>Yes</v>
      </c>
      <c r="L614" s="5" t="str">
        <f ca="1">IFERROR(__xludf.DUMMYFUNCTION("""COMPUTED_VALUE"""),"Yes")</f>
        <v>Yes</v>
      </c>
      <c r="M614" s="5" t="str">
        <f ca="1">IFERROR(__xludf.DUMMYFUNCTION("""COMPUTED_VALUE"""),"Yes")</f>
        <v>Yes</v>
      </c>
      <c r="N614" s="5" t="str">
        <f ca="1">IFERROR(__xludf.DUMMYFUNCTION("""COMPUTED_VALUE"""),"Yes")</f>
        <v>Yes</v>
      </c>
      <c r="O614" s="5" t="str">
        <f ca="1">IFERROR(__xludf.DUMMYFUNCTION("""COMPUTED_VALUE"""),"Yes")</f>
        <v>Yes</v>
      </c>
      <c r="P614" s="5" t="str">
        <f ca="1">IFERROR(__xludf.DUMMYFUNCTION("""COMPUTED_VALUE"""),"Yes")</f>
        <v>Yes</v>
      </c>
      <c r="Q614" s="5" t="str">
        <f ca="1">IFERROR(__xludf.DUMMYFUNCTION("""COMPUTED_VALUE"""),"Yes")</f>
        <v>Yes</v>
      </c>
      <c r="R614" s="5" t="str">
        <f ca="1">IFERROR(__xludf.DUMMYFUNCTION("""COMPUTED_VALUE"""),"Yes")</f>
        <v>Yes</v>
      </c>
      <c r="S614" s="5" t="str">
        <f ca="1">IFERROR(__xludf.DUMMYFUNCTION("""COMPUTED_VALUE"""),"Yes")</f>
        <v>Yes</v>
      </c>
      <c r="T614" s="5" t="str">
        <f ca="1">IFERROR(__xludf.DUMMYFUNCTION("""COMPUTED_VALUE"""),"Yes")</f>
        <v>Yes</v>
      </c>
      <c r="U614" s="5" t="str">
        <f ca="1">IFERROR(__xludf.DUMMYFUNCTION("""COMPUTED_VALUE"""),"Yes")</f>
        <v>Yes</v>
      </c>
      <c r="V614" s="5" t="str">
        <f ca="1">IFERROR(__xludf.DUMMYFUNCTION("""COMPUTED_VALUE"""),"Yes")</f>
        <v>Yes</v>
      </c>
      <c r="W614" s="5" t="str">
        <f ca="1">IFERROR(__xludf.DUMMYFUNCTION("""COMPUTED_VALUE"""),"Yes")</f>
        <v>Yes</v>
      </c>
      <c r="X614" s="5" t="str">
        <f ca="1">IFERROR(__xludf.DUMMYFUNCTION("""COMPUTED_VALUE"""),"Yes")</f>
        <v>Yes</v>
      </c>
      <c r="Y614" s="5" t="str">
        <f ca="1">IFERROR(__xludf.DUMMYFUNCTION("""COMPUTED_VALUE"""),"Yes")</f>
        <v>Yes</v>
      </c>
      <c r="Z614" s="5" t="str">
        <f ca="1">IFERROR(__xludf.DUMMYFUNCTION("""COMPUTED_VALUE"""),"Yes")</f>
        <v>Yes</v>
      </c>
      <c r="AA614" s="5" t="str">
        <f ca="1">IFERROR(__xludf.DUMMYFUNCTION("""COMPUTED_VALUE"""),"Yes")</f>
        <v>Yes</v>
      </c>
      <c r="AB614" s="5" t="str">
        <f ca="1">IFERROR(__xludf.DUMMYFUNCTION("""COMPUTED_VALUE"""),"Yes")</f>
        <v>Yes</v>
      </c>
      <c r="AC614" s="5" t="str">
        <f ca="1">IFERROR(__xludf.DUMMYFUNCTION("""COMPUTED_VALUE"""),"Yes")</f>
        <v>Yes</v>
      </c>
      <c r="AD614" s="5" t="str">
        <f ca="1">IFERROR(__xludf.DUMMYFUNCTION("""COMPUTED_VALUE"""),"Yes")</f>
        <v>Yes</v>
      </c>
      <c r="AE614" s="5" t="str">
        <f ca="1">IFERROR(__xludf.DUMMYFUNCTION("""COMPUTED_VALUE"""),"Yes")</f>
        <v>Yes</v>
      </c>
      <c r="AF614" s="5" t="str">
        <f ca="1">IFERROR(__xludf.DUMMYFUNCTION("""COMPUTED_VALUE"""),"Yes")</f>
        <v>Yes</v>
      </c>
      <c r="AG614" s="5" t="str">
        <f ca="1">IFERROR(__xludf.DUMMYFUNCTION("""COMPUTED_VALUE"""),"Yes")</f>
        <v>Yes</v>
      </c>
      <c r="AH614" s="5" t="str">
        <f ca="1">IFERROR(__xludf.DUMMYFUNCTION("""COMPUTED_VALUE"""),"Yes")</f>
        <v>Yes</v>
      </c>
      <c r="AI614" s="5" t="str">
        <f ca="1">IFERROR(__xludf.DUMMYFUNCTION("""COMPUTED_VALUE"""),"No")</f>
        <v>No</v>
      </c>
      <c r="AJ614" s="5" t="str">
        <f ca="1">IFERROR(__xludf.DUMMYFUNCTION("""COMPUTED_VALUE"""),"No")</f>
        <v>No</v>
      </c>
      <c r="AK614" s="5" t="str">
        <f ca="1">IFERROR(__xludf.DUMMYFUNCTION("""COMPUTED_VALUE"""),"No")</f>
        <v>No</v>
      </c>
      <c r="AL614" s="5" t="str">
        <f ca="1">IFERROR(__xludf.DUMMYFUNCTION("""COMPUTED_VALUE"""),"No")</f>
        <v>No</v>
      </c>
      <c r="AM614" s="5"/>
      <c r="AN614" s="5"/>
      <c r="AO614" s="5"/>
      <c r="AP614" s="5"/>
      <c r="AQ614" s="5"/>
      <c r="AR614" s="5"/>
      <c r="AS614" s="5"/>
      <c r="AT614" s="5"/>
      <c r="AU614" s="5"/>
      <c r="AV614" s="5"/>
      <c r="AW614" s="5"/>
      <c r="AX614" s="5"/>
      <c r="AY614" s="5"/>
    </row>
    <row r="615" spans="1:51" x14ac:dyDescent="0.25">
      <c r="A615"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15" s="5">
        <f ca="1">IFERROR(__xludf.DUMMYFUNCTION("""COMPUTED_VALUE"""),650)</f>
        <v>650</v>
      </c>
      <c r="C615" s="5">
        <f ca="1">IFERROR(__xludf.DUMMYFUNCTION("""COMPUTED_VALUE"""),180053)</f>
        <v>180053</v>
      </c>
      <c r="D615" s="5" t="str">
        <f ca="1">IFERROR(__xludf.DUMMYFUNCTION("""COMPUTED_VALUE"""),"RedstoneInfernoHot40")</f>
        <v>RedstoneInfernoHot40</v>
      </c>
      <c r="E615" s="5" t="str">
        <f ca="1">IFERROR(__xludf.DUMMYFUNCTION("""COMPUTED_VALUE"""),"Yes")</f>
        <v>Yes</v>
      </c>
      <c r="F615" s="5" t="str">
        <f ca="1">IFERROR(__xludf.DUMMYFUNCTION("""COMPUTED_VALUE"""),"Yes")</f>
        <v>Yes</v>
      </c>
      <c r="G615" s="5" t="str">
        <f ca="1">IFERROR(__xludf.DUMMYFUNCTION("""COMPUTED_VALUE"""),"Yes")</f>
        <v>Yes</v>
      </c>
      <c r="H615" s="5" t="str">
        <f ca="1">IFERROR(__xludf.DUMMYFUNCTION("""COMPUTED_VALUE"""),"Yes")</f>
        <v>Yes</v>
      </c>
      <c r="I615" s="5" t="str">
        <f ca="1">IFERROR(__xludf.DUMMYFUNCTION("""COMPUTED_VALUE"""),"Yes")</f>
        <v>Yes</v>
      </c>
      <c r="J615" s="5" t="str">
        <f ca="1">IFERROR(__xludf.DUMMYFUNCTION("""COMPUTED_VALUE"""),"Yes")</f>
        <v>Yes</v>
      </c>
      <c r="K615" s="5" t="str">
        <f ca="1">IFERROR(__xludf.DUMMYFUNCTION("""COMPUTED_VALUE"""),"Yes")</f>
        <v>Yes</v>
      </c>
      <c r="L615" s="5" t="str">
        <f ca="1">IFERROR(__xludf.DUMMYFUNCTION("""COMPUTED_VALUE"""),"Yes")</f>
        <v>Yes</v>
      </c>
      <c r="M615" s="5" t="str">
        <f ca="1">IFERROR(__xludf.DUMMYFUNCTION("""COMPUTED_VALUE"""),"Yes")</f>
        <v>Yes</v>
      </c>
      <c r="N615" s="5" t="str">
        <f ca="1">IFERROR(__xludf.DUMMYFUNCTION("""COMPUTED_VALUE"""),"Yes")</f>
        <v>Yes</v>
      </c>
      <c r="O615" s="5" t="str">
        <f ca="1">IFERROR(__xludf.DUMMYFUNCTION("""COMPUTED_VALUE"""),"Yes")</f>
        <v>Yes</v>
      </c>
      <c r="P615" s="5" t="str">
        <f ca="1">IFERROR(__xludf.DUMMYFUNCTION("""COMPUTED_VALUE"""),"Yes")</f>
        <v>Yes</v>
      </c>
      <c r="Q615" s="5" t="str">
        <f ca="1">IFERROR(__xludf.DUMMYFUNCTION("""COMPUTED_VALUE"""),"Yes")</f>
        <v>Yes</v>
      </c>
      <c r="R615" s="5" t="str">
        <f ca="1">IFERROR(__xludf.DUMMYFUNCTION("""COMPUTED_VALUE"""),"Yes")</f>
        <v>Yes</v>
      </c>
      <c r="S615" s="5" t="str">
        <f ca="1">IFERROR(__xludf.DUMMYFUNCTION("""COMPUTED_VALUE"""),"Yes")</f>
        <v>Yes</v>
      </c>
      <c r="T615" s="5" t="str">
        <f ca="1">IFERROR(__xludf.DUMMYFUNCTION("""COMPUTED_VALUE"""),"No")</f>
        <v>No</v>
      </c>
      <c r="U615" s="5" t="str">
        <f ca="1">IFERROR(__xludf.DUMMYFUNCTION("""COMPUTED_VALUE"""),"No")</f>
        <v>No</v>
      </c>
      <c r="V615" s="5" t="str">
        <f ca="1">IFERROR(__xludf.DUMMYFUNCTION("""COMPUTED_VALUE"""),"No")</f>
        <v>No</v>
      </c>
      <c r="W615" s="5" t="str">
        <f ca="1">IFERROR(__xludf.DUMMYFUNCTION("""COMPUTED_VALUE"""),"No")</f>
        <v>No</v>
      </c>
      <c r="X615" s="5" t="str">
        <f ca="1">IFERROR(__xludf.DUMMYFUNCTION("""COMPUTED_VALUE"""),"No")</f>
        <v>No</v>
      </c>
      <c r="Y615" s="5" t="str">
        <f ca="1">IFERROR(__xludf.DUMMYFUNCTION("""COMPUTED_VALUE"""),"No")</f>
        <v>No</v>
      </c>
      <c r="Z615" s="5" t="str">
        <f ca="1">IFERROR(__xludf.DUMMYFUNCTION("""COMPUTED_VALUE"""),"No")</f>
        <v>No</v>
      </c>
      <c r="AA615" s="5" t="str">
        <f ca="1">IFERROR(__xludf.DUMMYFUNCTION("""COMPUTED_VALUE"""),"Yes")</f>
        <v>Yes</v>
      </c>
      <c r="AB615" s="5" t="str">
        <f ca="1">IFERROR(__xludf.DUMMYFUNCTION("""COMPUTED_VALUE"""),"No")</f>
        <v>No</v>
      </c>
      <c r="AC615" s="5" t="str">
        <f ca="1">IFERROR(__xludf.DUMMYFUNCTION("""COMPUTED_VALUE"""),"No")</f>
        <v>No</v>
      </c>
      <c r="AD615" s="5" t="str">
        <f ca="1">IFERROR(__xludf.DUMMYFUNCTION("""COMPUTED_VALUE"""),"No")</f>
        <v>No</v>
      </c>
      <c r="AE615" s="5" t="str">
        <f ca="1">IFERROR(__xludf.DUMMYFUNCTION("""COMPUTED_VALUE"""),"No")</f>
        <v>No</v>
      </c>
      <c r="AF615" s="5" t="str">
        <f ca="1">IFERROR(__xludf.DUMMYFUNCTION("""COMPUTED_VALUE"""),"Yes")</f>
        <v>Yes</v>
      </c>
      <c r="AG615" s="5" t="str">
        <f ca="1">IFERROR(__xludf.DUMMYFUNCTION("""COMPUTED_VALUE"""),"No")</f>
        <v>No</v>
      </c>
      <c r="AH615" s="5" t="str">
        <f ca="1">IFERROR(__xludf.DUMMYFUNCTION("""COMPUTED_VALUE"""),"Yes")</f>
        <v>Yes</v>
      </c>
      <c r="AI615" s="5" t="str">
        <f ca="1">IFERROR(__xludf.DUMMYFUNCTION("""COMPUTED_VALUE"""),"No")</f>
        <v>No</v>
      </c>
      <c r="AJ615" s="5" t="str">
        <f ca="1">IFERROR(__xludf.DUMMYFUNCTION("""COMPUTED_VALUE"""),"No")</f>
        <v>No</v>
      </c>
      <c r="AK615" s="5" t="str">
        <f ca="1">IFERROR(__xludf.DUMMYFUNCTION("""COMPUTED_VALUE"""),"No")</f>
        <v>No</v>
      </c>
      <c r="AL615" s="5" t="str">
        <f ca="1">IFERROR(__xludf.DUMMYFUNCTION("""COMPUTED_VALUE"""),"No")</f>
        <v>No</v>
      </c>
      <c r="AM615" s="5"/>
      <c r="AN615" s="5"/>
      <c r="AO615" s="5"/>
      <c r="AP615" s="5"/>
      <c r="AQ615" s="5"/>
      <c r="AR615" s="5"/>
      <c r="AS615" s="5"/>
      <c r="AT615" s="5"/>
      <c r="AU615" s="5"/>
      <c r="AV615" s="5"/>
      <c r="AW615" s="5"/>
      <c r="AX615" s="5"/>
      <c r="AY615" s="5"/>
    </row>
    <row r="616" spans="1:51" x14ac:dyDescent="0.25">
      <c r="A616"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6" s="5">
        <f ca="1">IFERROR(__xludf.DUMMYFUNCTION("""COMPUTED_VALUE"""),651)</f>
        <v>651</v>
      </c>
      <c r="C616" s="5">
        <f ca="1">IFERROR(__xludf.DUMMYFUNCTION("""COMPUTED_VALUE"""),180054)</f>
        <v>180054</v>
      </c>
      <c r="D616" s="5" t="str">
        <f ca="1">IFERROR(__xludf.DUMMYFUNCTION("""COMPUTED_VALUE"""),"RedstoneRollingHearts10")</f>
        <v>RedstoneRollingHearts10</v>
      </c>
      <c r="E616" s="5" t="str">
        <f ca="1">IFERROR(__xludf.DUMMYFUNCTION("""COMPUTED_VALUE"""),"Yes")</f>
        <v>Yes</v>
      </c>
      <c r="F616" s="5" t="str">
        <f ca="1">IFERROR(__xludf.DUMMYFUNCTION("""COMPUTED_VALUE"""),"Yes")</f>
        <v>Yes</v>
      </c>
      <c r="G616" s="5" t="str">
        <f ca="1">IFERROR(__xludf.DUMMYFUNCTION("""COMPUTED_VALUE"""),"Yes")</f>
        <v>Yes</v>
      </c>
      <c r="H616" s="5"/>
      <c r="I616" s="5" t="str">
        <f ca="1">IFERROR(__xludf.DUMMYFUNCTION("""COMPUTED_VALUE"""),"Yes")</f>
        <v>Yes</v>
      </c>
      <c r="J616" s="5"/>
      <c r="K616" s="5"/>
      <c r="L616" s="5"/>
      <c r="M616" s="5" t="str">
        <f ca="1">IFERROR(__xludf.DUMMYFUNCTION("""COMPUTED_VALUE"""),"Yes")</f>
        <v>Yes</v>
      </c>
      <c r="N616" s="5" t="str">
        <f ca="1">IFERROR(__xludf.DUMMYFUNCTION("""COMPUTED_VALUE"""),"Yes")</f>
        <v>Yes</v>
      </c>
      <c r="O616" s="5" t="str">
        <f ca="1">IFERROR(__xludf.DUMMYFUNCTION("""COMPUTED_VALUE"""),"Yes")</f>
        <v>Yes</v>
      </c>
      <c r="P616" s="5" t="str">
        <f ca="1">IFERROR(__xludf.DUMMYFUNCTION("""COMPUTED_VALUE"""),"Yes")</f>
        <v>Yes</v>
      </c>
      <c r="Q616" s="5" t="str">
        <f ca="1">IFERROR(__xludf.DUMMYFUNCTION("""COMPUTED_VALUE"""),"Yes")</f>
        <v>Yes</v>
      </c>
      <c r="R616" s="5"/>
      <c r="S616" s="5" t="str">
        <f ca="1">IFERROR(__xludf.DUMMYFUNCTION("""COMPUTED_VALUE"""),"Yes")</f>
        <v>Yes</v>
      </c>
      <c r="T616" s="5"/>
      <c r="U616" s="5"/>
      <c r="V616" s="5"/>
      <c r="W616" s="5"/>
      <c r="X616" s="5"/>
      <c r="Y616" s="5"/>
      <c r="Z616" s="5"/>
      <c r="AA616" s="5" t="str">
        <f ca="1">IFERROR(__xludf.DUMMYFUNCTION("""COMPUTED_VALUE"""),"Yes")</f>
        <v>Yes</v>
      </c>
      <c r="AB616" s="5"/>
      <c r="AC616" s="5"/>
      <c r="AD616" s="5"/>
      <c r="AE616" s="5"/>
      <c r="AF616" s="5" t="str">
        <f ca="1">IFERROR(__xludf.DUMMYFUNCTION("""COMPUTED_VALUE"""),"Yes")</f>
        <v>Yes</v>
      </c>
      <c r="AG616" s="5"/>
      <c r="AH616" s="5"/>
      <c r="AI616" s="5"/>
      <c r="AJ616" s="5"/>
      <c r="AK616" s="5"/>
      <c r="AL616" s="5" t="str">
        <f ca="1">IFERROR(__xludf.DUMMYFUNCTION("""COMPUTED_VALUE"""),"Yes")</f>
        <v>Yes</v>
      </c>
      <c r="AM616" s="5"/>
      <c r="AN616" s="5"/>
      <c r="AO616" s="5"/>
      <c r="AP616" s="5"/>
      <c r="AQ616" s="5"/>
      <c r="AR616" s="5"/>
      <c r="AS616" s="5"/>
      <c r="AT616" s="5"/>
      <c r="AU616" s="5"/>
      <c r="AV616" s="5"/>
      <c r="AW616" s="5"/>
      <c r="AX616" s="5"/>
      <c r="AY616" s="5"/>
    </row>
    <row r="617" spans="1:51" x14ac:dyDescent="0.25">
      <c r="A617"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7" s="5">
        <f ca="1">IFERROR(__xludf.DUMMYFUNCTION("""COMPUTED_VALUE"""),652)</f>
        <v>652</v>
      </c>
      <c r="C617" s="5">
        <f ca="1">IFERROR(__xludf.DUMMYFUNCTION("""COMPUTED_VALUE"""),180056)</f>
        <v>180056</v>
      </c>
      <c r="D617" s="5" t="str">
        <f ca="1">IFERROR(__xludf.DUMMYFUNCTION("""COMPUTED_VALUE"""),"RedstoneCupidsWildHearts")</f>
        <v>RedstoneCupidsWildHearts</v>
      </c>
      <c r="E617" s="5" t="str">
        <f ca="1">IFERROR(__xludf.DUMMYFUNCTION("""COMPUTED_VALUE"""),"Yes")</f>
        <v>Yes</v>
      </c>
      <c r="F617" s="5" t="str">
        <f ca="1">IFERROR(__xludf.DUMMYFUNCTION("""COMPUTED_VALUE"""),"Yes")</f>
        <v>Yes</v>
      </c>
      <c r="G617" s="5" t="str">
        <f ca="1">IFERROR(__xludf.DUMMYFUNCTION("""COMPUTED_VALUE"""),"Yes")</f>
        <v>Yes</v>
      </c>
      <c r="H617" s="5" t="str">
        <f ca="1">IFERROR(__xludf.DUMMYFUNCTION("""COMPUTED_VALUE"""),"No")</f>
        <v>No</v>
      </c>
      <c r="I617" s="5" t="str">
        <f ca="1">IFERROR(__xludf.DUMMYFUNCTION("""COMPUTED_VALUE"""),"Yes")</f>
        <v>Yes</v>
      </c>
      <c r="J617" s="5" t="str">
        <f ca="1">IFERROR(__xludf.DUMMYFUNCTION("""COMPUTED_VALUE"""),"No")</f>
        <v>No</v>
      </c>
      <c r="K617" s="5" t="str">
        <f ca="1">IFERROR(__xludf.DUMMYFUNCTION("""COMPUTED_VALUE"""),"No")</f>
        <v>No</v>
      </c>
      <c r="L617" s="5" t="str">
        <f ca="1">IFERROR(__xludf.DUMMYFUNCTION("""COMPUTED_VALUE"""),"No")</f>
        <v>No</v>
      </c>
      <c r="M617" s="5" t="str">
        <f ca="1">IFERROR(__xludf.DUMMYFUNCTION("""COMPUTED_VALUE"""),"Yes")</f>
        <v>Yes</v>
      </c>
      <c r="N617" s="5" t="str">
        <f ca="1">IFERROR(__xludf.DUMMYFUNCTION("""COMPUTED_VALUE"""),"Yes")</f>
        <v>Yes</v>
      </c>
      <c r="O617" s="5" t="str">
        <f ca="1">IFERROR(__xludf.DUMMYFUNCTION("""COMPUTED_VALUE"""),"Yes")</f>
        <v>Yes</v>
      </c>
      <c r="P617" s="5" t="str">
        <f ca="1">IFERROR(__xludf.DUMMYFUNCTION("""COMPUTED_VALUE"""),"Yes")</f>
        <v>Yes</v>
      </c>
      <c r="Q617" s="5" t="str">
        <f ca="1">IFERROR(__xludf.DUMMYFUNCTION("""COMPUTED_VALUE"""),"Yes")</f>
        <v>Yes</v>
      </c>
      <c r="R617" s="5" t="str">
        <f ca="1">IFERROR(__xludf.DUMMYFUNCTION("""COMPUTED_VALUE"""),"No")</f>
        <v>No</v>
      </c>
      <c r="S617" s="5" t="str">
        <f ca="1">IFERROR(__xludf.DUMMYFUNCTION("""COMPUTED_VALUE"""),"Yes")</f>
        <v>Yes</v>
      </c>
      <c r="T617" s="5" t="str">
        <f ca="1">IFERROR(__xludf.DUMMYFUNCTION("""COMPUTED_VALUE"""),"No")</f>
        <v>No</v>
      </c>
      <c r="U617" s="5" t="str">
        <f ca="1">IFERROR(__xludf.DUMMYFUNCTION("""COMPUTED_VALUE"""),"No")</f>
        <v>No</v>
      </c>
      <c r="V617" s="5" t="str">
        <f ca="1">IFERROR(__xludf.DUMMYFUNCTION("""COMPUTED_VALUE"""),"No")</f>
        <v>No</v>
      </c>
      <c r="W617" s="5" t="str">
        <f ca="1">IFERROR(__xludf.DUMMYFUNCTION("""COMPUTED_VALUE"""),"No")</f>
        <v>No</v>
      </c>
      <c r="X617" s="5" t="str">
        <f ca="1">IFERROR(__xludf.DUMMYFUNCTION("""COMPUTED_VALUE"""),"No")</f>
        <v>No</v>
      </c>
      <c r="Y617" s="5" t="str">
        <f ca="1">IFERROR(__xludf.DUMMYFUNCTION("""COMPUTED_VALUE"""),"No")</f>
        <v>No</v>
      </c>
      <c r="Z617" s="5" t="str">
        <f ca="1">IFERROR(__xludf.DUMMYFUNCTION("""COMPUTED_VALUE"""),"No")</f>
        <v>No</v>
      </c>
      <c r="AA617" s="5" t="str">
        <f ca="1">IFERROR(__xludf.DUMMYFUNCTION("""COMPUTED_VALUE"""),"Yes")</f>
        <v>Yes</v>
      </c>
      <c r="AB617" s="5" t="str">
        <f ca="1">IFERROR(__xludf.DUMMYFUNCTION("""COMPUTED_VALUE"""),"No")</f>
        <v>No</v>
      </c>
      <c r="AC617" s="5" t="str">
        <f ca="1">IFERROR(__xludf.DUMMYFUNCTION("""COMPUTED_VALUE"""),"No")</f>
        <v>No</v>
      </c>
      <c r="AD617" s="5" t="str">
        <f ca="1">IFERROR(__xludf.DUMMYFUNCTION("""COMPUTED_VALUE"""),"No")</f>
        <v>No</v>
      </c>
      <c r="AE617" s="5" t="str">
        <f ca="1">IFERROR(__xludf.DUMMYFUNCTION("""COMPUTED_VALUE"""),"No")</f>
        <v>No</v>
      </c>
      <c r="AF617" s="5" t="str">
        <f ca="1">IFERROR(__xludf.DUMMYFUNCTION("""COMPUTED_VALUE"""),"Yes")</f>
        <v>Yes</v>
      </c>
      <c r="AG617" s="5" t="str">
        <f ca="1">IFERROR(__xludf.DUMMYFUNCTION("""COMPUTED_VALUE"""),"No")</f>
        <v>No</v>
      </c>
      <c r="AH617" s="5" t="str">
        <f ca="1">IFERROR(__xludf.DUMMYFUNCTION("""COMPUTED_VALUE"""),"No")</f>
        <v>No</v>
      </c>
      <c r="AI617" s="5" t="str">
        <f ca="1">IFERROR(__xludf.DUMMYFUNCTION("""COMPUTED_VALUE"""),"No")</f>
        <v>No</v>
      </c>
      <c r="AJ617" s="5" t="str">
        <f ca="1">IFERROR(__xludf.DUMMYFUNCTION("""COMPUTED_VALUE"""),"No")</f>
        <v>No</v>
      </c>
      <c r="AK617" s="5" t="str">
        <f ca="1">IFERROR(__xludf.DUMMYFUNCTION("""COMPUTED_VALUE"""),"No")</f>
        <v>No</v>
      </c>
      <c r="AL617" s="5" t="str">
        <f ca="1">IFERROR(__xludf.DUMMYFUNCTION("""COMPUTED_VALUE"""),"Yes")</f>
        <v>Yes</v>
      </c>
      <c r="AM617" s="5"/>
      <c r="AN617" s="5"/>
      <c r="AO617" s="5"/>
      <c r="AP617" s="5"/>
      <c r="AQ617" s="5"/>
      <c r="AR617" s="5"/>
      <c r="AS617" s="5"/>
      <c r="AT617" s="5"/>
      <c r="AU617" s="5"/>
      <c r="AV617" s="5"/>
      <c r="AW617" s="5"/>
      <c r="AX617" s="5"/>
      <c r="AY617" s="5"/>
    </row>
    <row r="618" spans="1:51" x14ac:dyDescent="0.25">
      <c r="A61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18" s="5">
        <f ca="1">IFERROR(__xludf.DUMMYFUNCTION("""COMPUTED_VALUE"""),653)</f>
        <v>653</v>
      </c>
      <c r="C618" s="5">
        <f ca="1">IFERROR(__xludf.DUMMYFUNCTION("""COMPUTED_VALUE"""),180055)</f>
        <v>180055</v>
      </c>
      <c r="D618" s="5" t="str">
        <f ca="1">IFERROR(__xludf.DUMMYFUNCTION("""COMPUTED_VALUE"""),"RedstoneDoubleWildDiamond")</f>
        <v>RedstoneDoubleWildDiamond</v>
      </c>
      <c r="E618" s="5" t="str">
        <f ca="1">IFERROR(__xludf.DUMMYFUNCTION("""COMPUTED_VALUE"""),"Yes")</f>
        <v>Yes</v>
      </c>
      <c r="F618" s="5" t="str">
        <f ca="1">IFERROR(__xludf.DUMMYFUNCTION("""COMPUTED_VALUE"""),"Yes")</f>
        <v>Yes</v>
      </c>
      <c r="G618" s="5" t="str">
        <f ca="1">IFERROR(__xludf.DUMMYFUNCTION("""COMPUTED_VALUE"""),"No")</f>
        <v>No</v>
      </c>
      <c r="H618" s="5" t="str">
        <f ca="1">IFERROR(__xludf.DUMMYFUNCTION("""COMPUTED_VALUE"""),"Yes")</f>
        <v>Yes</v>
      </c>
      <c r="I618" s="5" t="str">
        <f ca="1">IFERROR(__xludf.DUMMYFUNCTION("""COMPUTED_VALUE"""),"Yes")</f>
        <v>Yes</v>
      </c>
      <c r="J618" s="5" t="str">
        <f ca="1">IFERROR(__xludf.DUMMYFUNCTION("""COMPUTED_VALUE"""),"Yes")</f>
        <v>Yes</v>
      </c>
      <c r="K618" s="5" t="str">
        <f ca="1">IFERROR(__xludf.DUMMYFUNCTION("""COMPUTED_VALUE"""),"Yes")</f>
        <v>Yes</v>
      </c>
      <c r="L618" s="5" t="str">
        <f ca="1">IFERROR(__xludf.DUMMYFUNCTION("""COMPUTED_VALUE"""),"Yes")</f>
        <v>Yes</v>
      </c>
      <c r="M618" s="5" t="str">
        <f ca="1">IFERROR(__xludf.DUMMYFUNCTION("""COMPUTED_VALUE"""),"Yes")</f>
        <v>Yes</v>
      </c>
      <c r="N618" s="5" t="str">
        <f ca="1">IFERROR(__xludf.DUMMYFUNCTION("""COMPUTED_VALUE"""),"Yes")</f>
        <v>Yes</v>
      </c>
      <c r="O618" s="5" t="str">
        <f ca="1">IFERROR(__xludf.DUMMYFUNCTION("""COMPUTED_VALUE"""),"Yes")</f>
        <v>Yes</v>
      </c>
      <c r="P618" s="5" t="str">
        <f ca="1">IFERROR(__xludf.DUMMYFUNCTION("""COMPUTED_VALUE"""),"Yes")</f>
        <v>Yes</v>
      </c>
      <c r="Q618" s="5" t="str">
        <f ca="1">IFERROR(__xludf.DUMMYFUNCTION("""COMPUTED_VALUE"""),"Yes")</f>
        <v>Yes</v>
      </c>
      <c r="R618" s="5" t="str">
        <f ca="1">IFERROR(__xludf.DUMMYFUNCTION("""COMPUTED_VALUE"""),"Yes")</f>
        <v>Yes</v>
      </c>
      <c r="S618" s="5" t="str">
        <f ca="1">IFERROR(__xludf.DUMMYFUNCTION("""COMPUTED_VALUE"""),"Yes")</f>
        <v>Yes</v>
      </c>
      <c r="T618" s="5" t="str">
        <f ca="1">IFERROR(__xludf.DUMMYFUNCTION("""COMPUTED_VALUE"""),"No")</f>
        <v>No</v>
      </c>
      <c r="U618" s="5" t="str">
        <f ca="1">IFERROR(__xludf.DUMMYFUNCTION("""COMPUTED_VALUE"""),"No")</f>
        <v>No</v>
      </c>
      <c r="V618" s="5" t="str">
        <f ca="1">IFERROR(__xludf.DUMMYFUNCTION("""COMPUTED_VALUE"""),"No")</f>
        <v>No</v>
      </c>
      <c r="W618" s="5" t="str">
        <f ca="1">IFERROR(__xludf.DUMMYFUNCTION("""COMPUTED_VALUE"""),"No")</f>
        <v>No</v>
      </c>
      <c r="X618" s="5" t="str">
        <f ca="1">IFERROR(__xludf.DUMMYFUNCTION("""COMPUTED_VALUE"""),"No")</f>
        <v>No</v>
      </c>
      <c r="Y618" s="5" t="str">
        <f ca="1">IFERROR(__xludf.DUMMYFUNCTION("""COMPUTED_VALUE"""),"No")</f>
        <v>No</v>
      </c>
      <c r="Z618" s="5" t="str">
        <f ca="1">IFERROR(__xludf.DUMMYFUNCTION("""COMPUTED_VALUE"""),"No")</f>
        <v>No</v>
      </c>
      <c r="AA618" s="5" t="str">
        <f ca="1">IFERROR(__xludf.DUMMYFUNCTION("""COMPUTED_VALUE"""),"Yes")</f>
        <v>Yes</v>
      </c>
      <c r="AB618" s="5" t="str">
        <f ca="1">IFERROR(__xludf.DUMMYFUNCTION("""COMPUTED_VALUE"""),"No")</f>
        <v>No</v>
      </c>
      <c r="AC618" s="5" t="str">
        <f ca="1">IFERROR(__xludf.DUMMYFUNCTION("""COMPUTED_VALUE"""),"No")</f>
        <v>No</v>
      </c>
      <c r="AD618" s="5" t="str">
        <f ca="1">IFERROR(__xludf.DUMMYFUNCTION("""COMPUTED_VALUE"""),"No")</f>
        <v>No</v>
      </c>
      <c r="AE618" s="5" t="str">
        <f ca="1">IFERROR(__xludf.DUMMYFUNCTION("""COMPUTED_VALUE"""),"No")</f>
        <v>No</v>
      </c>
      <c r="AF618" s="5" t="str">
        <f ca="1">IFERROR(__xludf.DUMMYFUNCTION("""COMPUTED_VALUE"""),"Yes")</f>
        <v>Yes</v>
      </c>
      <c r="AG618" s="5" t="str">
        <f ca="1">IFERROR(__xludf.DUMMYFUNCTION("""COMPUTED_VALUE"""),"No")</f>
        <v>No</v>
      </c>
      <c r="AH618" s="5" t="str">
        <f ca="1">IFERROR(__xludf.DUMMYFUNCTION("""COMPUTED_VALUE"""),"Yes")</f>
        <v>Yes</v>
      </c>
      <c r="AI618" s="5" t="str">
        <f ca="1">IFERROR(__xludf.DUMMYFUNCTION("""COMPUTED_VALUE"""),"No")</f>
        <v>No</v>
      </c>
      <c r="AJ618" s="5" t="str">
        <f ca="1">IFERROR(__xludf.DUMMYFUNCTION("""COMPUTED_VALUE"""),"No")</f>
        <v>No</v>
      </c>
      <c r="AK618" s="5" t="str">
        <f ca="1">IFERROR(__xludf.DUMMYFUNCTION("""COMPUTED_VALUE"""),"No")</f>
        <v>No</v>
      </c>
      <c r="AL618" s="5" t="str">
        <f ca="1">IFERROR(__xludf.DUMMYFUNCTION("""COMPUTED_VALUE"""),"No")</f>
        <v>No</v>
      </c>
      <c r="AM618" s="5"/>
      <c r="AN618" s="5"/>
      <c r="AO618" s="5"/>
      <c r="AP618" s="5"/>
      <c r="AQ618" s="5"/>
      <c r="AR618" s="5"/>
      <c r="AS618" s="5"/>
      <c r="AT618" s="5"/>
      <c r="AU618" s="5"/>
      <c r="AV618" s="5"/>
      <c r="AW618" s="5"/>
      <c r="AX618" s="5"/>
      <c r="AY618" s="5"/>
    </row>
    <row r="619" spans="1:51" x14ac:dyDescent="0.25">
      <c r="A619"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19" s="5">
        <f ca="1">IFERROR(__xludf.DUMMYFUNCTION("""COMPUTED_VALUE"""),654)</f>
        <v>654</v>
      </c>
      <c r="C619" s="5">
        <f ca="1">IFERROR(__xludf.DUMMYFUNCTION("""COMPUTED_VALUE"""),528)</f>
        <v>528</v>
      </c>
      <c r="D619" s="5" t="str">
        <f ca="1">IFERROR(__xludf.DUMMYFUNCTION("""COMPUTED_VALUE"""),"PlayNetDiamondHeart10")</f>
        <v>PlayNetDiamondHeart10</v>
      </c>
      <c r="E619" s="5" t="str">
        <f ca="1">IFERROR(__xludf.DUMMYFUNCTION("""COMPUTED_VALUE"""),"Yes")</f>
        <v>Yes</v>
      </c>
      <c r="F619" s="5" t="str">
        <f ca="1">IFERROR(__xludf.DUMMYFUNCTION("""COMPUTED_VALUE"""),"Yes")</f>
        <v>Yes</v>
      </c>
      <c r="G619" s="5" t="str">
        <f ca="1">IFERROR(__xludf.DUMMYFUNCTION("""COMPUTED_VALUE"""),"Yes")</f>
        <v>Yes</v>
      </c>
      <c r="H619" s="5" t="str">
        <f ca="1">IFERROR(__xludf.DUMMYFUNCTION("""COMPUTED_VALUE"""),"Yes")</f>
        <v>Yes</v>
      </c>
      <c r="I619" s="5" t="str">
        <f ca="1">IFERROR(__xludf.DUMMYFUNCTION("""COMPUTED_VALUE"""),"Yes")</f>
        <v>Yes</v>
      </c>
      <c r="J619" s="5" t="str">
        <f ca="1">IFERROR(__xludf.DUMMYFUNCTION("""COMPUTED_VALUE"""),"Yes")</f>
        <v>Yes</v>
      </c>
      <c r="K619" s="5" t="str">
        <f ca="1">IFERROR(__xludf.DUMMYFUNCTION("""COMPUTED_VALUE"""),"Yes")</f>
        <v>Yes</v>
      </c>
      <c r="L619" s="5" t="str">
        <f ca="1">IFERROR(__xludf.DUMMYFUNCTION("""COMPUTED_VALUE"""),"Yes")</f>
        <v>Yes</v>
      </c>
      <c r="M619" s="5" t="str">
        <f ca="1">IFERROR(__xludf.DUMMYFUNCTION("""COMPUTED_VALUE"""),"Yes")</f>
        <v>Yes</v>
      </c>
      <c r="N619" s="5" t="str">
        <f ca="1">IFERROR(__xludf.DUMMYFUNCTION("""COMPUTED_VALUE"""),"Yes")</f>
        <v>Yes</v>
      </c>
      <c r="O619" s="5" t="str">
        <f ca="1">IFERROR(__xludf.DUMMYFUNCTION("""COMPUTED_VALUE"""),"Yes")</f>
        <v>Yes</v>
      </c>
      <c r="P619" s="5" t="str">
        <f ca="1">IFERROR(__xludf.DUMMYFUNCTION("""COMPUTED_VALUE"""),"Yes")</f>
        <v>Yes</v>
      </c>
      <c r="Q619" s="5" t="str">
        <f ca="1">IFERROR(__xludf.DUMMYFUNCTION("""COMPUTED_VALUE"""),"Yes")</f>
        <v>Yes</v>
      </c>
      <c r="R619" s="5" t="str">
        <f ca="1">IFERROR(__xludf.DUMMYFUNCTION("""COMPUTED_VALUE"""),"Yes")</f>
        <v>Yes</v>
      </c>
      <c r="S619" s="5" t="str">
        <f ca="1">IFERROR(__xludf.DUMMYFUNCTION("""COMPUTED_VALUE"""),"Yes")</f>
        <v>Yes</v>
      </c>
      <c r="T619" s="5" t="str">
        <f ca="1">IFERROR(__xludf.DUMMYFUNCTION("""COMPUTED_VALUE"""),"No")</f>
        <v>No</v>
      </c>
      <c r="U619" s="5" t="str">
        <f ca="1">IFERROR(__xludf.DUMMYFUNCTION("""COMPUTED_VALUE"""),"No")</f>
        <v>No</v>
      </c>
      <c r="V619" s="5" t="str">
        <f ca="1">IFERROR(__xludf.DUMMYFUNCTION("""COMPUTED_VALUE"""),"No")</f>
        <v>No</v>
      </c>
      <c r="W619" s="5" t="str">
        <f ca="1">IFERROR(__xludf.DUMMYFUNCTION("""COMPUTED_VALUE"""),"No")</f>
        <v>No</v>
      </c>
      <c r="X619" s="5" t="str">
        <f ca="1">IFERROR(__xludf.DUMMYFUNCTION("""COMPUTED_VALUE"""),"No")</f>
        <v>No</v>
      </c>
      <c r="Y619" s="5" t="str">
        <f ca="1">IFERROR(__xludf.DUMMYFUNCTION("""COMPUTED_VALUE"""),"No")</f>
        <v>No</v>
      </c>
      <c r="Z619" s="5" t="str">
        <f ca="1">IFERROR(__xludf.DUMMYFUNCTION("""COMPUTED_VALUE"""),"No")</f>
        <v>No</v>
      </c>
      <c r="AA619" s="5" t="str">
        <f ca="1">IFERROR(__xludf.DUMMYFUNCTION("""COMPUTED_VALUE"""),"No")</f>
        <v>No</v>
      </c>
      <c r="AB619" s="5" t="str">
        <f ca="1">IFERROR(__xludf.DUMMYFUNCTION("""COMPUTED_VALUE"""),"No")</f>
        <v>No</v>
      </c>
      <c r="AC619" s="5" t="str">
        <f ca="1">IFERROR(__xludf.DUMMYFUNCTION("""COMPUTED_VALUE"""),"No")</f>
        <v>No</v>
      </c>
      <c r="AD619" s="5" t="str">
        <f ca="1">IFERROR(__xludf.DUMMYFUNCTION("""COMPUTED_VALUE"""),"No")</f>
        <v>No</v>
      </c>
      <c r="AE619" s="5" t="str">
        <f ca="1">IFERROR(__xludf.DUMMYFUNCTION("""COMPUTED_VALUE"""),"No")</f>
        <v>No</v>
      </c>
      <c r="AF619" s="5" t="str">
        <f ca="1">IFERROR(__xludf.DUMMYFUNCTION("""COMPUTED_VALUE"""),"Yes")</f>
        <v>Yes</v>
      </c>
      <c r="AG619" s="5" t="str">
        <f ca="1">IFERROR(__xludf.DUMMYFUNCTION("""COMPUTED_VALUE"""),"No")</f>
        <v>No</v>
      </c>
      <c r="AH619" s="5" t="str">
        <f ca="1">IFERROR(__xludf.DUMMYFUNCTION("""COMPUTED_VALUE"""),"Yes")</f>
        <v>Yes</v>
      </c>
      <c r="AI619" s="5" t="str">
        <f ca="1">IFERROR(__xludf.DUMMYFUNCTION("""COMPUTED_VALUE"""),"No")</f>
        <v>No</v>
      </c>
      <c r="AJ619" s="5" t="str">
        <f ca="1">IFERROR(__xludf.DUMMYFUNCTION("""COMPUTED_VALUE"""),"No")</f>
        <v>No</v>
      </c>
      <c r="AK619" s="5" t="str">
        <f ca="1">IFERROR(__xludf.DUMMYFUNCTION("""COMPUTED_VALUE"""),"No")</f>
        <v>No</v>
      </c>
      <c r="AL619" s="5" t="str">
        <f ca="1">IFERROR(__xludf.DUMMYFUNCTION("""COMPUTED_VALUE"""),"No")</f>
        <v>No</v>
      </c>
      <c r="AM619" s="5"/>
      <c r="AN619" s="5"/>
      <c r="AO619" s="5"/>
      <c r="AP619" s="5"/>
      <c r="AQ619" s="5"/>
      <c r="AR619" s="5"/>
      <c r="AS619" s="5"/>
      <c r="AT619" s="5"/>
      <c r="AU619" s="5"/>
      <c r="AV619" s="5"/>
      <c r="AW619" s="5"/>
      <c r="AX619" s="5"/>
      <c r="AY619" s="5"/>
    </row>
    <row r="620" spans="1:51" x14ac:dyDescent="0.25">
      <c r="A62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0" s="5">
        <f ca="1">IFERROR(__xludf.DUMMYFUNCTION("""COMPUTED_VALUE"""),655)</f>
        <v>655</v>
      </c>
      <c r="C620" s="5">
        <f ca="1">IFERROR(__xludf.DUMMYFUNCTION("""COMPUTED_VALUE"""),529)</f>
        <v>529</v>
      </c>
      <c r="D620" s="5" t="str">
        <f ca="1">IFERROR(__xludf.DUMMYFUNCTION("""COMPUTED_VALUE"""),"PlayNetLeprechaunsFortuneClover")</f>
        <v>PlayNetLeprechaunsFortuneClover</v>
      </c>
      <c r="E620" s="5" t="str">
        <f ca="1">IFERROR(__xludf.DUMMYFUNCTION("""COMPUTED_VALUE"""),"Yes")</f>
        <v>Yes</v>
      </c>
      <c r="F620" s="5" t="str">
        <f ca="1">IFERROR(__xludf.DUMMYFUNCTION("""COMPUTED_VALUE"""),"Yes")</f>
        <v>Yes</v>
      </c>
      <c r="G620" s="5" t="str">
        <f ca="1">IFERROR(__xludf.DUMMYFUNCTION("""COMPUTED_VALUE"""),"Yes")</f>
        <v>Yes</v>
      </c>
      <c r="H620" s="5" t="str">
        <f ca="1">IFERROR(__xludf.DUMMYFUNCTION("""COMPUTED_VALUE"""),"Yes")</f>
        <v>Yes</v>
      </c>
      <c r="I620" s="5" t="str">
        <f ca="1">IFERROR(__xludf.DUMMYFUNCTION("""COMPUTED_VALUE"""),"Yes")</f>
        <v>Yes</v>
      </c>
      <c r="J620" s="5" t="str">
        <f ca="1">IFERROR(__xludf.DUMMYFUNCTION("""COMPUTED_VALUE"""),"Yes")</f>
        <v>Yes</v>
      </c>
      <c r="K620" s="5" t="str">
        <f ca="1">IFERROR(__xludf.DUMMYFUNCTION("""COMPUTED_VALUE"""),"Yes")</f>
        <v>Yes</v>
      </c>
      <c r="L620" s="5" t="str">
        <f ca="1">IFERROR(__xludf.DUMMYFUNCTION("""COMPUTED_VALUE"""),"Yes")</f>
        <v>Yes</v>
      </c>
      <c r="M620" s="5" t="str">
        <f ca="1">IFERROR(__xludf.DUMMYFUNCTION("""COMPUTED_VALUE"""),"Yes")</f>
        <v>Yes</v>
      </c>
      <c r="N620" s="5" t="str">
        <f ca="1">IFERROR(__xludf.DUMMYFUNCTION("""COMPUTED_VALUE"""),"Yes")</f>
        <v>Yes</v>
      </c>
      <c r="O620" s="5" t="str">
        <f ca="1">IFERROR(__xludf.DUMMYFUNCTION("""COMPUTED_VALUE"""),"Yes")</f>
        <v>Yes</v>
      </c>
      <c r="P620" s="5" t="str">
        <f ca="1">IFERROR(__xludf.DUMMYFUNCTION("""COMPUTED_VALUE"""),"Yes")</f>
        <v>Yes</v>
      </c>
      <c r="Q620" s="5" t="str">
        <f ca="1">IFERROR(__xludf.DUMMYFUNCTION("""COMPUTED_VALUE"""),"Yes")</f>
        <v>Yes</v>
      </c>
      <c r="R620" s="5" t="str">
        <f ca="1">IFERROR(__xludf.DUMMYFUNCTION("""COMPUTED_VALUE"""),"Yes")</f>
        <v>Yes</v>
      </c>
      <c r="S620" s="5" t="str">
        <f ca="1">IFERROR(__xludf.DUMMYFUNCTION("""COMPUTED_VALUE"""),"Yes")</f>
        <v>Yes</v>
      </c>
      <c r="T620" s="5" t="str">
        <f ca="1">IFERROR(__xludf.DUMMYFUNCTION("""COMPUTED_VALUE"""),"No")</f>
        <v>No</v>
      </c>
      <c r="U620" s="5" t="str">
        <f ca="1">IFERROR(__xludf.DUMMYFUNCTION("""COMPUTED_VALUE"""),"No")</f>
        <v>No</v>
      </c>
      <c r="V620" s="5" t="str">
        <f ca="1">IFERROR(__xludf.DUMMYFUNCTION("""COMPUTED_VALUE"""),"No")</f>
        <v>No</v>
      </c>
      <c r="W620" s="5" t="str">
        <f ca="1">IFERROR(__xludf.DUMMYFUNCTION("""COMPUTED_VALUE"""),"No")</f>
        <v>No</v>
      </c>
      <c r="X620" s="5" t="str">
        <f ca="1">IFERROR(__xludf.DUMMYFUNCTION("""COMPUTED_VALUE"""),"No")</f>
        <v>No</v>
      </c>
      <c r="Y620" s="5" t="str">
        <f ca="1">IFERROR(__xludf.DUMMYFUNCTION("""COMPUTED_VALUE"""),"No")</f>
        <v>No</v>
      </c>
      <c r="Z620" s="5" t="str">
        <f ca="1">IFERROR(__xludf.DUMMYFUNCTION("""COMPUTED_VALUE"""),"No")</f>
        <v>No</v>
      </c>
      <c r="AA620" s="5" t="str">
        <f ca="1">IFERROR(__xludf.DUMMYFUNCTION("""COMPUTED_VALUE"""),"No")</f>
        <v>No</v>
      </c>
      <c r="AB620" s="5" t="str">
        <f ca="1">IFERROR(__xludf.DUMMYFUNCTION("""COMPUTED_VALUE"""),"No")</f>
        <v>No</v>
      </c>
      <c r="AC620" s="5" t="str">
        <f ca="1">IFERROR(__xludf.DUMMYFUNCTION("""COMPUTED_VALUE"""),"No")</f>
        <v>No</v>
      </c>
      <c r="AD620" s="5" t="str">
        <f ca="1">IFERROR(__xludf.DUMMYFUNCTION("""COMPUTED_VALUE"""),"No")</f>
        <v>No</v>
      </c>
      <c r="AE620" s="5" t="str">
        <f ca="1">IFERROR(__xludf.DUMMYFUNCTION("""COMPUTED_VALUE"""),"No")</f>
        <v>No</v>
      </c>
      <c r="AF620" s="5" t="str">
        <f ca="1">IFERROR(__xludf.DUMMYFUNCTION("""COMPUTED_VALUE"""),"Yes")</f>
        <v>Yes</v>
      </c>
      <c r="AG620" s="5" t="str">
        <f ca="1">IFERROR(__xludf.DUMMYFUNCTION("""COMPUTED_VALUE"""),"No")</f>
        <v>No</v>
      </c>
      <c r="AH620" s="5" t="str">
        <f ca="1">IFERROR(__xludf.DUMMYFUNCTION("""COMPUTED_VALUE"""),"Yes")</f>
        <v>Yes</v>
      </c>
      <c r="AI620" s="5" t="str">
        <f ca="1">IFERROR(__xludf.DUMMYFUNCTION("""COMPUTED_VALUE"""),"No")</f>
        <v>No</v>
      </c>
      <c r="AJ620" s="5" t="str">
        <f ca="1">IFERROR(__xludf.DUMMYFUNCTION("""COMPUTED_VALUE"""),"No")</f>
        <v>No</v>
      </c>
      <c r="AK620" s="5" t="str">
        <f ca="1">IFERROR(__xludf.DUMMYFUNCTION("""COMPUTED_VALUE"""),"No")</f>
        <v>No</v>
      </c>
      <c r="AL620" s="5" t="str">
        <f ca="1">IFERROR(__xludf.DUMMYFUNCTION("""COMPUTED_VALUE"""),"No")</f>
        <v>No</v>
      </c>
      <c r="AM620" s="5"/>
      <c r="AN620" s="5"/>
      <c r="AO620" s="5"/>
      <c r="AP620" s="5"/>
      <c r="AQ620" s="5"/>
      <c r="AR620" s="5"/>
      <c r="AS620" s="5"/>
      <c r="AT620" s="5"/>
      <c r="AU620" s="5"/>
      <c r="AV620" s="5"/>
      <c r="AW620" s="5"/>
      <c r="AX620" s="5"/>
      <c r="AY620" s="5"/>
    </row>
    <row r="621" spans="1:51" x14ac:dyDescent="0.25">
      <c r="A621"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1" s="5">
        <f ca="1">IFERROR(__xludf.DUMMYFUNCTION("""COMPUTED_VALUE"""),656)</f>
        <v>656</v>
      </c>
      <c r="C621" s="5">
        <f ca="1">IFERROR(__xludf.DUMMYFUNCTION("""COMPUTED_VALUE"""),530)</f>
        <v>530</v>
      </c>
      <c r="D621" s="5" t="str">
        <f ca="1">IFERROR(__xludf.DUMMYFUNCTION("""COMPUTED_VALUE"""),"PlayNetEmpressOfFlame")</f>
        <v>PlayNetEmpressOfFlame</v>
      </c>
      <c r="E621" s="5" t="str">
        <f ca="1">IFERROR(__xludf.DUMMYFUNCTION("""COMPUTED_VALUE"""),"Yes")</f>
        <v>Yes</v>
      </c>
      <c r="F621" s="5" t="str">
        <f ca="1">IFERROR(__xludf.DUMMYFUNCTION("""COMPUTED_VALUE"""),"Yes")</f>
        <v>Yes</v>
      </c>
      <c r="G621" s="5" t="str">
        <f ca="1">IFERROR(__xludf.DUMMYFUNCTION("""COMPUTED_VALUE"""),"Yes")</f>
        <v>Yes</v>
      </c>
      <c r="H621" s="5" t="str">
        <f ca="1">IFERROR(__xludf.DUMMYFUNCTION("""COMPUTED_VALUE"""),"Yes")</f>
        <v>Yes</v>
      </c>
      <c r="I621" s="5" t="str">
        <f ca="1">IFERROR(__xludf.DUMMYFUNCTION("""COMPUTED_VALUE"""),"Yes")</f>
        <v>Yes</v>
      </c>
      <c r="J621" s="5" t="str">
        <f ca="1">IFERROR(__xludf.DUMMYFUNCTION("""COMPUTED_VALUE"""),"Yes")</f>
        <v>Yes</v>
      </c>
      <c r="K621" s="5" t="str">
        <f ca="1">IFERROR(__xludf.DUMMYFUNCTION("""COMPUTED_VALUE"""),"Yes")</f>
        <v>Yes</v>
      </c>
      <c r="L621" s="5" t="str">
        <f ca="1">IFERROR(__xludf.DUMMYFUNCTION("""COMPUTED_VALUE"""),"Yes")</f>
        <v>Yes</v>
      </c>
      <c r="M621" s="5" t="str">
        <f ca="1">IFERROR(__xludf.DUMMYFUNCTION("""COMPUTED_VALUE"""),"Yes")</f>
        <v>Yes</v>
      </c>
      <c r="N621" s="5" t="str">
        <f ca="1">IFERROR(__xludf.DUMMYFUNCTION("""COMPUTED_VALUE"""),"Yes")</f>
        <v>Yes</v>
      </c>
      <c r="O621" s="5" t="str">
        <f ca="1">IFERROR(__xludf.DUMMYFUNCTION("""COMPUTED_VALUE"""),"Yes")</f>
        <v>Yes</v>
      </c>
      <c r="P621" s="5" t="str">
        <f ca="1">IFERROR(__xludf.DUMMYFUNCTION("""COMPUTED_VALUE"""),"Yes")</f>
        <v>Yes</v>
      </c>
      <c r="Q621" s="5" t="str">
        <f ca="1">IFERROR(__xludf.DUMMYFUNCTION("""COMPUTED_VALUE"""),"Yes")</f>
        <v>Yes</v>
      </c>
      <c r="R621" s="5" t="str">
        <f ca="1">IFERROR(__xludf.DUMMYFUNCTION("""COMPUTED_VALUE"""),"Yes")</f>
        <v>Yes</v>
      </c>
      <c r="S621" s="5" t="str">
        <f ca="1">IFERROR(__xludf.DUMMYFUNCTION("""COMPUTED_VALUE"""),"Yes")</f>
        <v>Yes</v>
      </c>
      <c r="T621" s="5" t="str">
        <f ca="1">IFERROR(__xludf.DUMMYFUNCTION("""COMPUTED_VALUE"""),"No")</f>
        <v>No</v>
      </c>
      <c r="U621" s="5" t="str">
        <f ca="1">IFERROR(__xludf.DUMMYFUNCTION("""COMPUTED_VALUE"""),"No")</f>
        <v>No</v>
      </c>
      <c r="V621" s="5" t="str">
        <f ca="1">IFERROR(__xludf.DUMMYFUNCTION("""COMPUTED_VALUE"""),"No")</f>
        <v>No</v>
      </c>
      <c r="W621" s="5" t="str">
        <f ca="1">IFERROR(__xludf.DUMMYFUNCTION("""COMPUTED_VALUE"""),"No")</f>
        <v>No</v>
      </c>
      <c r="X621" s="5" t="str">
        <f ca="1">IFERROR(__xludf.DUMMYFUNCTION("""COMPUTED_VALUE"""),"No")</f>
        <v>No</v>
      </c>
      <c r="Y621" s="5" t="str">
        <f ca="1">IFERROR(__xludf.DUMMYFUNCTION("""COMPUTED_VALUE"""),"No")</f>
        <v>No</v>
      </c>
      <c r="Z621" s="5" t="str">
        <f ca="1">IFERROR(__xludf.DUMMYFUNCTION("""COMPUTED_VALUE"""),"No")</f>
        <v>No</v>
      </c>
      <c r="AA621" s="5" t="str">
        <f ca="1">IFERROR(__xludf.DUMMYFUNCTION("""COMPUTED_VALUE"""),"No")</f>
        <v>No</v>
      </c>
      <c r="AB621" s="5" t="str">
        <f ca="1">IFERROR(__xludf.DUMMYFUNCTION("""COMPUTED_VALUE"""),"No")</f>
        <v>No</v>
      </c>
      <c r="AC621" s="5" t="str">
        <f ca="1">IFERROR(__xludf.DUMMYFUNCTION("""COMPUTED_VALUE"""),"No")</f>
        <v>No</v>
      </c>
      <c r="AD621" s="5" t="str">
        <f ca="1">IFERROR(__xludf.DUMMYFUNCTION("""COMPUTED_VALUE"""),"No")</f>
        <v>No</v>
      </c>
      <c r="AE621" s="5" t="str">
        <f ca="1">IFERROR(__xludf.DUMMYFUNCTION("""COMPUTED_VALUE"""),"No")</f>
        <v>No</v>
      </c>
      <c r="AF621" s="5" t="str">
        <f ca="1">IFERROR(__xludf.DUMMYFUNCTION("""COMPUTED_VALUE"""),"Yes")</f>
        <v>Yes</v>
      </c>
      <c r="AG621" s="5" t="str">
        <f ca="1">IFERROR(__xludf.DUMMYFUNCTION("""COMPUTED_VALUE"""),"No")</f>
        <v>No</v>
      </c>
      <c r="AH621" s="5" t="str">
        <f ca="1">IFERROR(__xludf.DUMMYFUNCTION("""COMPUTED_VALUE"""),"Yes")</f>
        <v>Yes</v>
      </c>
      <c r="AI621" s="5" t="str">
        <f ca="1">IFERROR(__xludf.DUMMYFUNCTION("""COMPUTED_VALUE"""),"No")</f>
        <v>No</v>
      </c>
      <c r="AJ621" s="5" t="str">
        <f ca="1">IFERROR(__xludf.DUMMYFUNCTION("""COMPUTED_VALUE"""),"No")</f>
        <v>No</v>
      </c>
      <c r="AK621" s="5" t="str">
        <f ca="1">IFERROR(__xludf.DUMMYFUNCTION("""COMPUTED_VALUE"""),"No")</f>
        <v>No</v>
      </c>
      <c r="AL621" s="5" t="str">
        <f ca="1">IFERROR(__xludf.DUMMYFUNCTION("""COMPUTED_VALUE"""),"No")</f>
        <v>No</v>
      </c>
      <c r="AM621" s="5"/>
      <c r="AN621" s="5"/>
      <c r="AO621" s="5"/>
      <c r="AP621" s="5"/>
      <c r="AQ621" s="5"/>
      <c r="AR621" s="5"/>
      <c r="AS621" s="5"/>
      <c r="AT621" s="5"/>
      <c r="AU621" s="5"/>
      <c r="AV621" s="5"/>
      <c r="AW621" s="5"/>
      <c r="AX621" s="5"/>
      <c r="AY621" s="5"/>
    </row>
    <row r="622" spans="1:51" x14ac:dyDescent="0.25">
      <c r="A622" s="5" t="str">
        <f ca="1">IFERROR(__xludf.DUMMYFUNCTION("""COMPUTED_VALUE"""),"English(""eng"")")</f>
        <v>English("eng")</v>
      </c>
      <c r="B622" s="5">
        <f ca="1">IFERROR(__xludf.DUMMYFUNCTION("""COMPUTED_VALUE"""),657)</f>
        <v>657</v>
      </c>
      <c r="C622" s="5">
        <f ca="1">IFERROR(__xludf.DUMMYFUNCTION("""COMPUTED_VALUE"""),4000001)</f>
        <v>4000001</v>
      </c>
      <c r="D622" s="5" t="str">
        <f ca="1">IFERROR(__xludf.DUMMYFUNCTION("""COMPUTED_VALUE"""),"UnicornThreeReelFruitBoost")</f>
        <v>UnicornThreeReelFruitBoost</v>
      </c>
      <c r="E622" s="5" t="str">
        <f ca="1">IFERROR(__xludf.DUMMYFUNCTION("""COMPUTED_VALUE"""),"Yes")</f>
        <v>Yes</v>
      </c>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row>
    <row r="623" spans="1:51" x14ac:dyDescent="0.25">
      <c r="A6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3" s="5">
        <f ca="1">IFERROR(__xludf.DUMMYFUNCTION("""COMPUTED_VALUE"""),658)</f>
        <v>658</v>
      </c>
      <c r="C623" s="5">
        <f ca="1">IFERROR(__xludf.DUMMYFUNCTION("""COMPUTED_VALUE"""),2012)</f>
        <v>2012</v>
      </c>
      <c r="D623" s="5" t="str">
        <f ca="1">IFERROR(__xludf.DUMMYFUNCTION("""COMPUTED_VALUE"""),"StarHeat40")</f>
        <v>StarHeat40</v>
      </c>
      <c r="E623" s="5" t="str">
        <f ca="1">IFERROR(__xludf.DUMMYFUNCTION("""COMPUTED_VALUE"""),"Yes")</f>
        <v>Yes</v>
      </c>
      <c r="F623" s="5" t="str">
        <f ca="1">IFERROR(__xludf.DUMMYFUNCTION("""COMPUTED_VALUE"""),"Yes")</f>
        <v>Yes</v>
      </c>
      <c r="G623" s="5" t="str">
        <f ca="1">IFERROR(__xludf.DUMMYFUNCTION("""COMPUTED_VALUE"""),"Yes")</f>
        <v>Yes</v>
      </c>
      <c r="H623" s="5" t="str">
        <f ca="1">IFERROR(__xludf.DUMMYFUNCTION("""COMPUTED_VALUE"""),"Yes")</f>
        <v>Yes</v>
      </c>
      <c r="I623" s="5" t="str">
        <f ca="1">IFERROR(__xludf.DUMMYFUNCTION("""COMPUTED_VALUE"""),"Yes")</f>
        <v>Yes</v>
      </c>
      <c r="J623" s="5" t="str">
        <f ca="1">IFERROR(__xludf.DUMMYFUNCTION("""COMPUTED_VALUE"""),"Yes")</f>
        <v>Yes</v>
      </c>
      <c r="K623" s="5" t="str">
        <f ca="1">IFERROR(__xludf.DUMMYFUNCTION("""COMPUTED_VALUE"""),"Yes")</f>
        <v>Yes</v>
      </c>
      <c r="L623" s="5" t="str">
        <f ca="1">IFERROR(__xludf.DUMMYFUNCTION("""COMPUTED_VALUE"""),"Yes")</f>
        <v>Yes</v>
      </c>
      <c r="M623" s="5" t="str">
        <f ca="1">IFERROR(__xludf.DUMMYFUNCTION("""COMPUTED_VALUE"""),"Yes")</f>
        <v>Yes</v>
      </c>
      <c r="N623" s="5" t="str">
        <f ca="1">IFERROR(__xludf.DUMMYFUNCTION("""COMPUTED_VALUE"""),"Yes")</f>
        <v>Yes</v>
      </c>
      <c r="O623" s="5" t="str">
        <f ca="1">IFERROR(__xludf.DUMMYFUNCTION("""COMPUTED_VALUE"""),"Yes")</f>
        <v>Yes</v>
      </c>
      <c r="P623" s="5" t="str">
        <f ca="1">IFERROR(__xludf.DUMMYFUNCTION("""COMPUTED_VALUE"""),"Yes")</f>
        <v>Yes</v>
      </c>
      <c r="Q623" s="5" t="str">
        <f ca="1">IFERROR(__xludf.DUMMYFUNCTION("""COMPUTED_VALUE"""),"Yes")</f>
        <v>Yes</v>
      </c>
      <c r="R623" s="5" t="str">
        <f ca="1">IFERROR(__xludf.DUMMYFUNCTION("""COMPUTED_VALUE"""),"Yes")</f>
        <v>Yes</v>
      </c>
      <c r="S623" s="5" t="str">
        <f ca="1">IFERROR(__xludf.DUMMYFUNCTION("""COMPUTED_VALUE"""),"Yes")</f>
        <v>Yes</v>
      </c>
      <c r="T623" s="5" t="str">
        <f ca="1">IFERROR(__xludf.DUMMYFUNCTION("""COMPUTED_VALUE"""),"Yes")</f>
        <v>Yes</v>
      </c>
      <c r="U623" s="5" t="str">
        <f ca="1">IFERROR(__xludf.DUMMYFUNCTION("""COMPUTED_VALUE"""),"Yes")</f>
        <v>Yes</v>
      </c>
      <c r="V623" s="5" t="str">
        <f ca="1">IFERROR(__xludf.DUMMYFUNCTION("""COMPUTED_VALUE"""),"Yes")</f>
        <v>Yes</v>
      </c>
      <c r="W623" s="5" t="str">
        <f ca="1">IFERROR(__xludf.DUMMYFUNCTION("""COMPUTED_VALUE"""),"Yes")</f>
        <v>Yes</v>
      </c>
      <c r="X623" s="5" t="str">
        <f ca="1">IFERROR(__xludf.DUMMYFUNCTION("""COMPUTED_VALUE"""),"Yes")</f>
        <v>Yes</v>
      </c>
      <c r="Y623" s="5" t="str">
        <f ca="1">IFERROR(__xludf.DUMMYFUNCTION("""COMPUTED_VALUE"""),"Yes")</f>
        <v>Yes</v>
      </c>
      <c r="Z623" s="5" t="str">
        <f ca="1">IFERROR(__xludf.DUMMYFUNCTION("""COMPUTED_VALUE"""),"Yes")</f>
        <v>Yes</v>
      </c>
      <c r="AA623" s="5" t="str">
        <f ca="1">IFERROR(__xludf.DUMMYFUNCTION("""COMPUTED_VALUE"""),"Yes")</f>
        <v>Yes</v>
      </c>
      <c r="AB623" s="5" t="str">
        <f ca="1">IFERROR(__xludf.DUMMYFUNCTION("""COMPUTED_VALUE"""),"Yes")</f>
        <v>Yes</v>
      </c>
      <c r="AC623" s="5" t="str">
        <f ca="1">IFERROR(__xludf.DUMMYFUNCTION("""COMPUTED_VALUE"""),"Yes")</f>
        <v>Yes</v>
      </c>
      <c r="AD623" s="5" t="str">
        <f ca="1">IFERROR(__xludf.DUMMYFUNCTION("""COMPUTED_VALUE"""),"Yes")</f>
        <v>Yes</v>
      </c>
      <c r="AE623" s="5" t="str">
        <f ca="1">IFERROR(__xludf.DUMMYFUNCTION("""COMPUTED_VALUE"""),"Yes")</f>
        <v>Yes</v>
      </c>
      <c r="AF623" s="5" t="str">
        <f ca="1">IFERROR(__xludf.DUMMYFUNCTION("""COMPUTED_VALUE"""),"Yes")</f>
        <v>Yes</v>
      </c>
      <c r="AG623" s="5" t="str">
        <f ca="1">IFERROR(__xludf.DUMMYFUNCTION("""COMPUTED_VALUE"""),"Yes")</f>
        <v>Yes</v>
      </c>
      <c r="AH623" s="5" t="str">
        <f ca="1">IFERROR(__xludf.DUMMYFUNCTION("""COMPUTED_VALUE"""),"Yes")</f>
        <v>Yes</v>
      </c>
      <c r="AI623" s="5" t="str">
        <f ca="1">IFERROR(__xludf.DUMMYFUNCTION("""COMPUTED_VALUE"""),"No")</f>
        <v>No</v>
      </c>
      <c r="AJ623" s="5" t="str">
        <f ca="1">IFERROR(__xludf.DUMMYFUNCTION("""COMPUTED_VALUE"""),"No")</f>
        <v>No</v>
      </c>
      <c r="AK623" s="5" t="str">
        <f ca="1">IFERROR(__xludf.DUMMYFUNCTION("""COMPUTED_VALUE"""),"No")</f>
        <v>No</v>
      </c>
      <c r="AL623" s="5" t="str">
        <f ca="1">IFERROR(__xludf.DUMMYFUNCTION("""COMPUTED_VALUE"""),"No")</f>
        <v>No</v>
      </c>
      <c r="AM623" s="5"/>
      <c r="AN623" s="5"/>
      <c r="AO623" s="5"/>
      <c r="AP623" s="5"/>
      <c r="AQ623" s="5"/>
      <c r="AR623" s="5"/>
      <c r="AS623" s="5"/>
      <c r="AT623" s="5"/>
      <c r="AU623" s="5"/>
      <c r="AV623" s="5"/>
      <c r="AW623" s="5"/>
      <c r="AX623" s="5"/>
      <c r="AY623" s="5"/>
    </row>
    <row r="624" spans="1:51" x14ac:dyDescent="0.25">
      <c r="A6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4" s="5">
        <f ca="1">IFERROR(__xludf.DUMMYFUNCTION("""COMPUTED_VALUE"""),659)</f>
        <v>659</v>
      </c>
      <c r="C624" s="5">
        <f ca="1">IFERROR(__xludf.DUMMYFUNCTION("""COMPUTED_VALUE"""),2017)</f>
        <v>2017</v>
      </c>
      <c r="D624" s="5" t="str">
        <f ca="1">IFERROR(__xludf.DUMMYFUNCTION("""COMPUTED_VALUE"""),"Retro27")</f>
        <v>Retro27</v>
      </c>
      <c r="E624" s="5" t="str">
        <f ca="1">IFERROR(__xludf.DUMMYFUNCTION("""COMPUTED_VALUE"""),"Yes")</f>
        <v>Yes</v>
      </c>
      <c r="F624" s="5" t="str">
        <f ca="1">IFERROR(__xludf.DUMMYFUNCTION("""COMPUTED_VALUE"""),"Yes")</f>
        <v>Yes</v>
      </c>
      <c r="G624" s="5" t="str">
        <f ca="1">IFERROR(__xludf.DUMMYFUNCTION("""COMPUTED_VALUE"""),"Yes")</f>
        <v>Yes</v>
      </c>
      <c r="H624" s="5" t="str">
        <f ca="1">IFERROR(__xludf.DUMMYFUNCTION("""COMPUTED_VALUE"""),"Yes")</f>
        <v>Yes</v>
      </c>
      <c r="I624" s="5" t="str">
        <f ca="1">IFERROR(__xludf.DUMMYFUNCTION("""COMPUTED_VALUE"""),"Yes")</f>
        <v>Yes</v>
      </c>
      <c r="J624" s="5" t="str">
        <f ca="1">IFERROR(__xludf.DUMMYFUNCTION("""COMPUTED_VALUE"""),"Yes")</f>
        <v>Yes</v>
      </c>
      <c r="K624" s="5" t="str">
        <f ca="1">IFERROR(__xludf.DUMMYFUNCTION("""COMPUTED_VALUE"""),"Yes")</f>
        <v>Yes</v>
      </c>
      <c r="L624" s="5" t="str">
        <f ca="1">IFERROR(__xludf.DUMMYFUNCTION("""COMPUTED_VALUE"""),"Yes")</f>
        <v>Yes</v>
      </c>
      <c r="M624" s="5" t="str">
        <f ca="1">IFERROR(__xludf.DUMMYFUNCTION("""COMPUTED_VALUE"""),"Yes")</f>
        <v>Yes</v>
      </c>
      <c r="N624" s="5" t="str">
        <f ca="1">IFERROR(__xludf.DUMMYFUNCTION("""COMPUTED_VALUE"""),"Yes")</f>
        <v>Yes</v>
      </c>
      <c r="O624" s="5" t="str">
        <f ca="1">IFERROR(__xludf.DUMMYFUNCTION("""COMPUTED_VALUE"""),"Yes")</f>
        <v>Yes</v>
      </c>
      <c r="P624" s="5" t="str">
        <f ca="1">IFERROR(__xludf.DUMMYFUNCTION("""COMPUTED_VALUE"""),"Yes")</f>
        <v>Yes</v>
      </c>
      <c r="Q624" s="5" t="str">
        <f ca="1">IFERROR(__xludf.DUMMYFUNCTION("""COMPUTED_VALUE"""),"Yes")</f>
        <v>Yes</v>
      </c>
      <c r="R624" s="5" t="str">
        <f ca="1">IFERROR(__xludf.DUMMYFUNCTION("""COMPUTED_VALUE"""),"Yes")</f>
        <v>Yes</v>
      </c>
      <c r="S624" s="5" t="str">
        <f ca="1">IFERROR(__xludf.DUMMYFUNCTION("""COMPUTED_VALUE"""),"Yes")</f>
        <v>Yes</v>
      </c>
      <c r="T624" s="5" t="str">
        <f ca="1">IFERROR(__xludf.DUMMYFUNCTION("""COMPUTED_VALUE"""),"Yes")</f>
        <v>Yes</v>
      </c>
      <c r="U624" s="5" t="str">
        <f ca="1">IFERROR(__xludf.DUMMYFUNCTION("""COMPUTED_VALUE"""),"Yes")</f>
        <v>Yes</v>
      </c>
      <c r="V624" s="5" t="str">
        <f ca="1">IFERROR(__xludf.DUMMYFUNCTION("""COMPUTED_VALUE"""),"Yes")</f>
        <v>Yes</v>
      </c>
      <c r="W624" s="5" t="str">
        <f ca="1">IFERROR(__xludf.DUMMYFUNCTION("""COMPUTED_VALUE"""),"Yes")</f>
        <v>Yes</v>
      </c>
      <c r="X624" s="5" t="str">
        <f ca="1">IFERROR(__xludf.DUMMYFUNCTION("""COMPUTED_VALUE"""),"Yes")</f>
        <v>Yes</v>
      </c>
      <c r="Y624" s="5" t="str">
        <f ca="1">IFERROR(__xludf.DUMMYFUNCTION("""COMPUTED_VALUE"""),"Yes")</f>
        <v>Yes</v>
      </c>
      <c r="Z624" s="5" t="str">
        <f ca="1">IFERROR(__xludf.DUMMYFUNCTION("""COMPUTED_VALUE"""),"Yes")</f>
        <v>Yes</v>
      </c>
      <c r="AA624" s="5" t="str">
        <f ca="1">IFERROR(__xludf.DUMMYFUNCTION("""COMPUTED_VALUE"""),"Yes")</f>
        <v>Yes</v>
      </c>
      <c r="AB624" s="5" t="str">
        <f ca="1">IFERROR(__xludf.DUMMYFUNCTION("""COMPUTED_VALUE"""),"Yes")</f>
        <v>Yes</v>
      </c>
      <c r="AC624" s="5" t="str">
        <f ca="1">IFERROR(__xludf.DUMMYFUNCTION("""COMPUTED_VALUE"""),"Yes")</f>
        <v>Yes</v>
      </c>
      <c r="AD624" s="5" t="str">
        <f ca="1">IFERROR(__xludf.DUMMYFUNCTION("""COMPUTED_VALUE"""),"Yes")</f>
        <v>Yes</v>
      </c>
      <c r="AE624" s="5" t="str">
        <f ca="1">IFERROR(__xludf.DUMMYFUNCTION("""COMPUTED_VALUE"""),"Yes")</f>
        <v>Yes</v>
      </c>
      <c r="AF624" s="5" t="str">
        <f ca="1">IFERROR(__xludf.DUMMYFUNCTION("""COMPUTED_VALUE"""),"Yes")</f>
        <v>Yes</v>
      </c>
      <c r="AG624" s="5" t="str">
        <f ca="1">IFERROR(__xludf.DUMMYFUNCTION("""COMPUTED_VALUE"""),"Yes")</f>
        <v>Yes</v>
      </c>
      <c r="AH624" s="5" t="str">
        <f ca="1">IFERROR(__xludf.DUMMYFUNCTION("""COMPUTED_VALUE"""),"Yes")</f>
        <v>Yes</v>
      </c>
      <c r="AI624" s="5" t="str">
        <f ca="1">IFERROR(__xludf.DUMMYFUNCTION("""COMPUTED_VALUE"""),"Yes")</f>
        <v>Yes</v>
      </c>
      <c r="AJ624" s="5" t="str">
        <f ca="1">IFERROR(__xludf.DUMMYFUNCTION("""COMPUTED_VALUE"""),"Yes")</f>
        <v>Yes</v>
      </c>
      <c r="AK624" s="5" t="str">
        <f ca="1">IFERROR(__xludf.DUMMYFUNCTION("""COMPUTED_VALUE"""),"Yes")</f>
        <v>Yes</v>
      </c>
      <c r="AL624" s="5" t="str">
        <f ca="1">IFERROR(__xludf.DUMMYFUNCTION("""COMPUTED_VALUE"""),"No")</f>
        <v>No</v>
      </c>
      <c r="AM624" s="5"/>
      <c r="AN624" s="5"/>
      <c r="AO624" s="5"/>
      <c r="AP624" s="5"/>
      <c r="AQ624" s="5"/>
      <c r="AR624" s="5"/>
      <c r="AS624" s="5"/>
      <c r="AT624" s="5"/>
      <c r="AU624" s="5"/>
      <c r="AV624" s="5"/>
      <c r="AW624" s="5"/>
      <c r="AX624" s="5"/>
      <c r="AY624" s="5"/>
    </row>
    <row r="625" spans="1:51" x14ac:dyDescent="0.25">
      <c r="A6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5" s="5">
        <f ca="1">IFERROR(__xludf.DUMMYFUNCTION("""COMPUTED_VALUE"""),660)</f>
        <v>660</v>
      </c>
      <c r="C625" s="5">
        <f ca="1">IFERROR(__xludf.DUMMYFUNCTION("""COMPUTED_VALUE"""),2010)</f>
        <v>2010</v>
      </c>
      <c r="D625" s="5" t="str">
        <f ca="1">IFERROR(__xludf.DUMMYFUNCTION("""COMPUTED_VALUE"""),"Wild27Dice")</f>
        <v>Wild27Dice</v>
      </c>
      <c r="E625" s="5" t="str">
        <f ca="1">IFERROR(__xludf.DUMMYFUNCTION("""COMPUTED_VALUE"""),"Yes")</f>
        <v>Yes</v>
      </c>
      <c r="F625" s="5" t="str">
        <f ca="1">IFERROR(__xludf.DUMMYFUNCTION("""COMPUTED_VALUE"""),"Yes")</f>
        <v>Yes</v>
      </c>
      <c r="G625" s="5" t="str">
        <f ca="1">IFERROR(__xludf.DUMMYFUNCTION("""COMPUTED_VALUE"""),"Yes")</f>
        <v>Yes</v>
      </c>
      <c r="H625" s="5" t="str">
        <f ca="1">IFERROR(__xludf.DUMMYFUNCTION("""COMPUTED_VALUE"""),"Yes")</f>
        <v>Yes</v>
      </c>
      <c r="I625" s="5" t="str">
        <f ca="1">IFERROR(__xludf.DUMMYFUNCTION("""COMPUTED_VALUE"""),"Yes")</f>
        <v>Yes</v>
      </c>
      <c r="J625" s="5" t="str">
        <f ca="1">IFERROR(__xludf.DUMMYFUNCTION("""COMPUTED_VALUE"""),"Yes")</f>
        <v>Yes</v>
      </c>
      <c r="K625" s="5" t="str">
        <f ca="1">IFERROR(__xludf.DUMMYFUNCTION("""COMPUTED_VALUE"""),"Yes")</f>
        <v>Yes</v>
      </c>
      <c r="L625" s="5" t="str">
        <f ca="1">IFERROR(__xludf.DUMMYFUNCTION("""COMPUTED_VALUE"""),"Yes")</f>
        <v>Yes</v>
      </c>
      <c r="M625" s="5" t="str">
        <f ca="1">IFERROR(__xludf.DUMMYFUNCTION("""COMPUTED_VALUE"""),"Yes")</f>
        <v>Yes</v>
      </c>
      <c r="N625" s="5" t="str">
        <f ca="1">IFERROR(__xludf.DUMMYFUNCTION("""COMPUTED_VALUE"""),"Yes")</f>
        <v>Yes</v>
      </c>
      <c r="O625" s="5" t="str">
        <f ca="1">IFERROR(__xludf.DUMMYFUNCTION("""COMPUTED_VALUE"""),"Yes")</f>
        <v>Yes</v>
      </c>
      <c r="P625" s="5" t="str">
        <f ca="1">IFERROR(__xludf.DUMMYFUNCTION("""COMPUTED_VALUE"""),"Yes")</f>
        <v>Yes</v>
      </c>
      <c r="Q625" s="5" t="str">
        <f ca="1">IFERROR(__xludf.DUMMYFUNCTION("""COMPUTED_VALUE"""),"Yes")</f>
        <v>Yes</v>
      </c>
      <c r="R625" s="5" t="str">
        <f ca="1">IFERROR(__xludf.DUMMYFUNCTION("""COMPUTED_VALUE"""),"Yes")</f>
        <v>Yes</v>
      </c>
      <c r="S625" s="5" t="str">
        <f ca="1">IFERROR(__xludf.DUMMYFUNCTION("""COMPUTED_VALUE"""),"Yes")</f>
        <v>Yes</v>
      </c>
      <c r="T625" s="5" t="str">
        <f ca="1">IFERROR(__xludf.DUMMYFUNCTION("""COMPUTED_VALUE"""),"Yes")</f>
        <v>Yes</v>
      </c>
      <c r="U625" s="5" t="str">
        <f ca="1">IFERROR(__xludf.DUMMYFUNCTION("""COMPUTED_VALUE"""),"Yes")</f>
        <v>Yes</v>
      </c>
      <c r="V625" s="5" t="str">
        <f ca="1">IFERROR(__xludf.DUMMYFUNCTION("""COMPUTED_VALUE"""),"Yes")</f>
        <v>Yes</v>
      </c>
      <c r="W625" s="5" t="str">
        <f ca="1">IFERROR(__xludf.DUMMYFUNCTION("""COMPUTED_VALUE"""),"Yes")</f>
        <v>Yes</v>
      </c>
      <c r="X625" s="5" t="str">
        <f ca="1">IFERROR(__xludf.DUMMYFUNCTION("""COMPUTED_VALUE"""),"Yes")</f>
        <v>Yes</v>
      </c>
      <c r="Y625" s="5" t="str">
        <f ca="1">IFERROR(__xludf.DUMMYFUNCTION("""COMPUTED_VALUE"""),"Yes")</f>
        <v>Yes</v>
      </c>
      <c r="Z625" s="5" t="str">
        <f ca="1">IFERROR(__xludf.DUMMYFUNCTION("""COMPUTED_VALUE"""),"Yes")</f>
        <v>Yes</v>
      </c>
      <c r="AA625" s="5" t="str">
        <f ca="1">IFERROR(__xludf.DUMMYFUNCTION("""COMPUTED_VALUE"""),"Yes")</f>
        <v>Yes</v>
      </c>
      <c r="AB625" s="5" t="str">
        <f ca="1">IFERROR(__xludf.DUMMYFUNCTION("""COMPUTED_VALUE"""),"Yes")</f>
        <v>Yes</v>
      </c>
      <c r="AC625" s="5" t="str">
        <f ca="1">IFERROR(__xludf.DUMMYFUNCTION("""COMPUTED_VALUE"""),"Yes")</f>
        <v>Yes</v>
      </c>
      <c r="AD625" s="5" t="str">
        <f ca="1">IFERROR(__xludf.DUMMYFUNCTION("""COMPUTED_VALUE"""),"Yes")</f>
        <v>Yes</v>
      </c>
      <c r="AE625" s="5" t="str">
        <f ca="1">IFERROR(__xludf.DUMMYFUNCTION("""COMPUTED_VALUE"""),"Yes")</f>
        <v>Yes</v>
      </c>
      <c r="AF625" s="5" t="str">
        <f ca="1">IFERROR(__xludf.DUMMYFUNCTION("""COMPUTED_VALUE"""),"Yes")</f>
        <v>Yes</v>
      </c>
      <c r="AG625" s="5" t="str">
        <f ca="1">IFERROR(__xludf.DUMMYFUNCTION("""COMPUTED_VALUE"""),"Yes")</f>
        <v>Yes</v>
      </c>
      <c r="AH625" s="5" t="str">
        <f ca="1">IFERROR(__xludf.DUMMYFUNCTION("""COMPUTED_VALUE"""),"Yes")</f>
        <v>Yes</v>
      </c>
      <c r="AI625" s="5" t="str">
        <f ca="1">IFERROR(__xludf.DUMMYFUNCTION("""COMPUTED_VALUE"""),"Yes")</f>
        <v>Yes</v>
      </c>
      <c r="AJ625" s="5" t="str">
        <f ca="1">IFERROR(__xludf.DUMMYFUNCTION("""COMPUTED_VALUE"""),"Yes")</f>
        <v>Yes</v>
      </c>
      <c r="AK625" s="5" t="str">
        <f ca="1">IFERROR(__xludf.DUMMYFUNCTION("""COMPUTED_VALUE"""),"Yes")</f>
        <v>Yes</v>
      </c>
      <c r="AL625" s="5" t="str">
        <f ca="1">IFERROR(__xludf.DUMMYFUNCTION("""COMPUTED_VALUE"""),"No")</f>
        <v>No</v>
      </c>
      <c r="AM625" s="5"/>
      <c r="AN625" s="5"/>
      <c r="AO625" s="5"/>
      <c r="AP625" s="5"/>
      <c r="AQ625" s="5"/>
      <c r="AR625" s="5"/>
      <c r="AS625" s="5"/>
      <c r="AT625" s="5"/>
      <c r="AU625" s="5"/>
      <c r="AV625" s="5"/>
      <c r="AW625" s="5"/>
      <c r="AX625" s="5"/>
      <c r="AY625" s="5"/>
    </row>
    <row r="626" spans="1:51" x14ac:dyDescent="0.25">
      <c r="A6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6" s="5">
        <f ca="1">IFERROR(__xludf.DUMMYFUNCTION("""COMPUTED_VALUE"""),661)</f>
        <v>661</v>
      </c>
      <c r="C626" s="5">
        <f ca="1">IFERROR(__xludf.DUMMYFUNCTION("""COMPUTED_VALUE"""),2011)</f>
        <v>2011</v>
      </c>
      <c r="D626" s="5" t="str">
        <f ca="1">IFERROR(__xludf.DUMMYFUNCTION("""COMPUTED_VALUE"""),"CoinSplashDice")</f>
        <v>CoinSplashDice</v>
      </c>
      <c r="E626" s="5" t="str">
        <f ca="1">IFERROR(__xludf.DUMMYFUNCTION("""COMPUTED_VALUE"""),"Yes")</f>
        <v>Yes</v>
      </c>
      <c r="F626" s="5" t="str">
        <f ca="1">IFERROR(__xludf.DUMMYFUNCTION("""COMPUTED_VALUE"""),"Yes")</f>
        <v>Yes</v>
      </c>
      <c r="G626" s="5" t="str">
        <f ca="1">IFERROR(__xludf.DUMMYFUNCTION("""COMPUTED_VALUE"""),"Yes")</f>
        <v>Yes</v>
      </c>
      <c r="H626" s="5" t="str">
        <f ca="1">IFERROR(__xludf.DUMMYFUNCTION("""COMPUTED_VALUE"""),"Yes")</f>
        <v>Yes</v>
      </c>
      <c r="I626" s="5" t="str">
        <f ca="1">IFERROR(__xludf.DUMMYFUNCTION("""COMPUTED_VALUE"""),"Yes")</f>
        <v>Yes</v>
      </c>
      <c r="J626" s="5" t="str">
        <f ca="1">IFERROR(__xludf.DUMMYFUNCTION("""COMPUTED_VALUE"""),"Yes")</f>
        <v>Yes</v>
      </c>
      <c r="K626" s="5" t="str">
        <f ca="1">IFERROR(__xludf.DUMMYFUNCTION("""COMPUTED_VALUE"""),"Yes")</f>
        <v>Yes</v>
      </c>
      <c r="L626" s="5" t="str">
        <f ca="1">IFERROR(__xludf.DUMMYFUNCTION("""COMPUTED_VALUE"""),"Yes")</f>
        <v>Yes</v>
      </c>
      <c r="M626" s="5" t="str">
        <f ca="1">IFERROR(__xludf.DUMMYFUNCTION("""COMPUTED_VALUE"""),"Yes")</f>
        <v>Yes</v>
      </c>
      <c r="N626" s="5" t="str">
        <f ca="1">IFERROR(__xludf.DUMMYFUNCTION("""COMPUTED_VALUE"""),"Yes")</f>
        <v>Yes</v>
      </c>
      <c r="O626" s="5" t="str">
        <f ca="1">IFERROR(__xludf.DUMMYFUNCTION("""COMPUTED_VALUE"""),"Yes")</f>
        <v>Yes</v>
      </c>
      <c r="P626" s="5" t="str">
        <f ca="1">IFERROR(__xludf.DUMMYFUNCTION("""COMPUTED_VALUE"""),"Yes")</f>
        <v>Yes</v>
      </c>
      <c r="Q626" s="5" t="str">
        <f ca="1">IFERROR(__xludf.DUMMYFUNCTION("""COMPUTED_VALUE"""),"Yes")</f>
        <v>Yes</v>
      </c>
      <c r="R626" s="5" t="str">
        <f ca="1">IFERROR(__xludf.DUMMYFUNCTION("""COMPUTED_VALUE"""),"Yes")</f>
        <v>Yes</v>
      </c>
      <c r="S626" s="5" t="str">
        <f ca="1">IFERROR(__xludf.DUMMYFUNCTION("""COMPUTED_VALUE"""),"Yes")</f>
        <v>Yes</v>
      </c>
      <c r="T626" s="5" t="str">
        <f ca="1">IFERROR(__xludf.DUMMYFUNCTION("""COMPUTED_VALUE"""),"Yes")</f>
        <v>Yes</v>
      </c>
      <c r="U626" s="5" t="str">
        <f ca="1">IFERROR(__xludf.DUMMYFUNCTION("""COMPUTED_VALUE"""),"Yes")</f>
        <v>Yes</v>
      </c>
      <c r="V626" s="5" t="str">
        <f ca="1">IFERROR(__xludf.DUMMYFUNCTION("""COMPUTED_VALUE"""),"Yes")</f>
        <v>Yes</v>
      </c>
      <c r="W626" s="5" t="str">
        <f ca="1">IFERROR(__xludf.DUMMYFUNCTION("""COMPUTED_VALUE"""),"Yes")</f>
        <v>Yes</v>
      </c>
      <c r="X626" s="5" t="str">
        <f ca="1">IFERROR(__xludf.DUMMYFUNCTION("""COMPUTED_VALUE"""),"Yes")</f>
        <v>Yes</v>
      </c>
      <c r="Y626" s="5" t="str">
        <f ca="1">IFERROR(__xludf.DUMMYFUNCTION("""COMPUTED_VALUE"""),"Yes")</f>
        <v>Yes</v>
      </c>
      <c r="Z626" s="5" t="str">
        <f ca="1">IFERROR(__xludf.DUMMYFUNCTION("""COMPUTED_VALUE"""),"Yes")</f>
        <v>Yes</v>
      </c>
      <c r="AA626" s="5" t="str">
        <f ca="1">IFERROR(__xludf.DUMMYFUNCTION("""COMPUTED_VALUE"""),"Yes")</f>
        <v>Yes</v>
      </c>
      <c r="AB626" s="5" t="str">
        <f ca="1">IFERROR(__xludf.DUMMYFUNCTION("""COMPUTED_VALUE"""),"Yes")</f>
        <v>Yes</v>
      </c>
      <c r="AC626" s="5" t="str">
        <f ca="1">IFERROR(__xludf.DUMMYFUNCTION("""COMPUTED_VALUE"""),"Yes")</f>
        <v>Yes</v>
      </c>
      <c r="AD626" s="5" t="str">
        <f ca="1">IFERROR(__xludf.DUMMYFUNCTION("""COMPUTED_VALUE"""),"Yes")</f>
        <v>Yes</v>
      </c>
      <c r="AE626" s="5" t="str">
        <f ca="1">IFERROR(__xludf.DUMMYFUNCTION("""COMPUTED_VALUE"""),"Yes")</f>
        <v>Yes</v>
      </c>
      <c r="AF626" s="5" t="str">
        <f ca="1">IFERROR(__xludf.DUMMYFUNCTION("""COMPUTED_VALUE"""),"Yes")</f>
        <v>Yes</v>
      </c>
      <c r="AG626" s="5" t="str">
        <f ca="1">IFERROR(__xludf.DUMMYFUNCTION("""COMPUTED_VALUE"""),"Yes")</f>
        <v>Yes</v>
      </c>
      <c r="AH626" s="5" t="str">
        <f ca="1">IFERROR(__xludf.DUMMYFUNCTION("""COMPUTED_VALUE"""),"Yes")</f>
        <v>Yes</v>
      </c>
      <c r="AI626" s="5" t="str">
        <f ca="1">IFERROR(__xludf.DUMMYFUNCTION("""COMPUTED_VALUE"""),"No")</f>
        <v>No</v>
      </c>
      <c r="AJ626" s="5" t="str">
        <f ca="1">IFERROR(__xludf.DUMMYFUNCTION("""COMPUTED_VALUE"""),"No")</f>
        <v>No</v>
      </c>
      <c r="AK626" s="5" t="str">
        <f ca="1">IFERROR(__xludf.DUMMYFUNCTION("""COMPUTED_VALUE"""),"No")</f>
        <v>No</v>
      </c>
      <c r="AL626" s="5" t="str">
        <f ca="1">IFERROR(__xludf.DUMMYFUNCTION("""COMPUTED_VALUE"""),"No")</f>
        <v>No</v>
      </c>
      <c r="AM626" s="5"/>
      <c r="AN626" s="5"/>
      <c r="AO626" s="5"/>
      <c r="AP626" s="5"/>
      <c r="AQ626" s="5"/>
      <c r="AR626" s="5"/>
      <c r="AS626" s="5"/>
      <c r="AT626" s="5"/>
      <c r="AU626" s="5"/>
      <c r="AV626" s="5"/>
      <c r="AW626" s="5"/>
      <c r="AX626" s="5"/>
      <c r="AY626" s="5"/>
    </row>
    <row r="627" spans="1:51" x14ac:dyDescent="0.25">
      <c r="A6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7" s="5">
        <f ca="1">IFERROR(__xludf.DUMMYFUNCTION("""COMPUTED_VALUE"""),662)</f>
        <v>662</v>
      </c>
      <c r="C627" s="5">
        <f ca="1">IFERROR(__xludf.DUMMYFUNCTION("""COMPUTED_VALUE"""),4031)</f>
        <v>4031</v>
      </c>
      <c r="D627" s="5" t="str">
        <f ca="1">IFERROR(__xludf.DUMMYFUNCTION("""COMPUTED_VALUE"""),"FruitsAndStars1X")</f>
        <v>FruitsAndStars1X</v>
      </c>
      <c r="E627" s="5" t="str">
        <f ca="1">IFERROR(__xludf.DUMMYFUNCTION("""COMPUTED_VALUE"""),"Yes")</f>
        <v>Yes</v>
      </c>
      <c r="F627" s="5" t="str">
        <f ca="1">IFERROR(__xludf.DUMMYFUNCTION("""COMPUTED_VALUE"""),"Yes")</f>
        <v>Yes</v>
      </c>
      <c r="G627" s="5" t="str">
        <f ca="1">IFERROR(__xludf.DUMMYFUNCTION("""COMPUTED_VALUE"""),"Yes")</f>
        <v>Yes</v>
      </c>
      <c r="H627" s="5" t="str">
        <f ca="1">IFERROR(__xludf.DUMMYFUNCTION("""COMPUTED_VALUE"""),"Yes")</f>
        <v>Yes</v>
      </c>
      <c r="I627" s="5" t="str">
        <f ca="1">IFERROR(__xludf.DUMMYFUNCTION("""COMPUTED_VALUE"""),"Yes")</f>
        <v>Yes</v>
      </c>
      <c r="J627" s="5" t="str">
        <f ca="1">IFERROR(__xludf.DUMMYFUNCTION("""COMPUTED_VALUE"""),"Yes")</f>
        <v>Yes</v>
      </c>
      <c r="K627" s="5" t="str">
        <f ca="1">IFERROR(__xludf.DUMMYFUNCTION("""COMPUTED_VALUE"""),"Yes")</f>
        <v>Yes</v>
      </c>
      <c r="L627" s="5" t="str">
        <f ca="1">IFERROR(__xludf.DUMMYFUNCTION("""COMPUTED_VALUE"""),"Yes")</f>
        <v>Yes</v>
      </c>
      <c r="M627" s="5" t="str">
        <f ca="1">IFERROR(__xludf.DUMMYFUNCTION("""COMPUTED_VALUE"""),"Yes")</f>
        <v>Yes</v>
      </c>
      <c r="N627" s="5" t="str">
        <f ca="1">IFERROR(__xludf.DUMMYFUNCTION("""COMPUTED_VALUE"""),"Yes")</f>
        <v>Yes</v>
      </c>
      <c r="O627" s="5" t="str">
        <f ca="1">IFERROR(__xludf.DUMMYFUNCTION("""COMPUTED_VALUE"""),"Yes")</f>
        <v>Yes</v>
      </c>
      <c r="P627" s="5" t="str">
        <f ca="1">IFERROR(__xludf.DUMMYFUNCTION("""COMPUTED_VALUE"""),"Yes")</f>
        <v>Yes</v>
      </c>
      <c r="Q627" s="5" t="str">
        <f ca="1">IFERROR(__xludf.DUMMYFUNCTION("""COMPUTED_VALUE"""),"Yes")</f>
        <v>Yes</v>
      </c>
      <c r="R627" s="5" t="str">
        <f ca="1">IFERROR(__xludf.DUMMYFUNCTION("""COMPUTED_VALUE"""),"Yes")</f>
        <v>Yes</v>
      </c>
      <c r="S627" s="5" t="str">
        <f ca="1">IFERROR(__xludf.DUMMYFUNCTION("""COMPUTED_VALUE"""),"Yes")</f>
        <v>Yes</v>
      </c>
      <c r="T627" s="5" t="str">
        <f ca="1">IFERROR(__xludf.DUMMYFUNCTION("""COMPUTED_VALUE"""),"Yes")</f>
        <v>Yes</v>
      </c>
      <c r="U627" s="5" t="str">
        <f ca="1">IFERROR(__xludf.DUMMYFUNCTION("""COMPUTED_VALUE"""),"Yes")</f>
        <v>Yes</v>
      </c>
      <c r="V627" s="5" t="str">
        <f ca="1">IFERROR(__xludf.DUMMYFUNCTION("""COMPUTED_VALUE"""),"Yes")</f>
        <v>Yes</v>
      </c>
      <c r="W627" s="5" t="str">
        <f ca="1">IFERROR(__xludf.DUMMYFUNCTION("""COMPUTED_VALUE"""),"Yes")</f>
        <v>Yes</v>
      </c>
      <c r="X627" s="5" t="str">
        <f ca="1">IFERROR(__xludf.DUMMYFUNCTION("""COMPUTED_VALUE"""),"Yes")</f>
        <v>Yes</v>
      </c>
      <c r="Y627" s="5" t="str">
        <f ca="1">IFERROR(__xludf.DUMMYFUNCTION("""COMPUTED_VALUE"""),"Yes")</f>
        <v>Yes</v>
      </c>
      <c r="Z627" s="5" t="str">
        <f ca="1">IFERROR(__xludf.DUMMYFUNCTION("""COMPUTED_VALUE"""),"No")</f>
        <v>No</v>
      </c>
      <c r="AA627" s="5" t="str">
        <f ca="1">IFERROR(__xludf.DUMMYFUNCTION("""COMPUTED_VALUE"""),"Yes")</f>
        <v>Yes</v>
      </c>
      <c r="AB627" s="5" t="str">
        <f ca="1">IFERROR(__xludf.DUMMYFUNCTION("""COMPUTED_VALUE"""),"Yes")</f>
        <v>Yes</v>
      </c>
      <c r="AC627" s="5" t="str">
        <f ca="1">IFERROR(__xludf.DUMMYFUNCTION("""COMPUTED_VALUE"""),"Yes")</f>
        <v>Yes</v>
      </c>
      <c r="AD627" s="5" t="str">
        <f ca="1">IFERROR(__xludf.DUMMYFUNCTION("""COMPUTED_VALUE"""),"Yes")</f>
        <v>Yes</v>
      </c>
      <c r="AE627" s="5" t="str">
        <f ca="1">IFERROR(__xludf.DUMMYFUNCTION("""COMPUTED_VALUE"""),"No")</f>
        <v>No</v>
      </c>
      <c r="AF627" s="5" t="str">
        <f ca="1">IFERROR(__xludf.DUMMYFUNCTION("""COMPUTED_VALUE"""),"Yes")</f>
        <v>Yes</v>
      </c>
      <c r="AG627" s="5" t="str">
        <f ca="1">IFERROR(__xludf.DUMMYFUNCTION("""COMPUTED_VALUE"""),"No")</f>
        <v>No</v>
      </c>
      <c r="AH627" s="5" t="str">
        <f ca="1">IFERROR(__xludf.DUMMYFUNCTION("""COMPUTED_VALUE"""),"No")</f>
        <v>No</v>
      </c>
      <c r="AI627" s="5" t="str">
        <f ca="1">IFERROR(__xludf.DUMMYFUNCTION("""COMPUTED_VALUE"""),"No")</f>
        <v>No</v>
      </c>
      <c r="AJ627" s="5" t="str">
        <f ca="1">IFERROR(__xludf.DUMMYFUNCTION("""COMPUTED_VALUE"""),"No")</f>
        <v>No</v>
      </c>
      <c r="AK627" s="5" t="str">
        <f ca="1">IFERROR(__xludf.DUMMYFUNCTION("""COMPUTED_VALUE"""),"No")</f>
        <v>No</v>
      </c>
      <c r="AL627" s="5" t="str">
        <f ca="1">IFERROR(__xludf.DUMMYFUNCTION("""COMPUTED_VALUE"""),"No")</f>
        <v>No</v>
      </c>
      <c r="AM627" s="5"/>
      <c r="AN627" s="5"/>
      <c r="AO627" s="5"/>
      <c r="AP627" s="5"/>
      <c r="AQ627" s="5"/>
      <c r="AR627" s="5"/>
      <c r="AS627" s="5"/>
      <c r="AT627" s="5"/>
      <c r="AU627" s="5"/>
      <c r="AV627" s="5"/>
      <c r="AW627" s="5"/>
      <c r="AX627" s="5"/>
      <c r="AY627" s="5"/>
    </row>
    <row r="628" spans="1:51" x14ac:dyDescent="0.25">
      <c r="A6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8" s="5">
        <f ca="1">IFERROR(__xludf.DUMMYFUNCTION("""COMPUTED_VALUE"""),663)</f>
        <v>663</v>
      </c>
      <c r="C628" s="5">
        <f ca="1">IFERROR(__xludf.DUMMYFUNCTION("""COMPUTED_VALUE"""),4030)</f>
        <v>4030</v>
      </c>
      <c r="D628" s="5" t="str">
        <f ca="1">IFERROR(__xludf.DUMMYFUNCTION("""COMPUTED_VALUE"""),"KKPartizanSlot")</f>
        <v>KKPartizanSlot</v>
      </c>
      <c r="E628" s="5" t="str">
        <f ca="1">IFERROR(__xludf.DUMMYFUNCTION("""COMPUTED_VALUE"""),"Yes")</f>
        <v>Yes</v>
      </c>
      <c r="F628" s="5" t="str">
        <f ca="1">IFERROR(__xludf.DUMMYFUNCTION("""COMPUTED_VALUE"""),"Yes")</f>
        <v>Yes</v>
      </c>
      <c r="G628" s="5" t="str">
        <f ca="1">IFERROR(__xludf.DUMMYFUNCTION("""COMPUTED_VALUE"""),"Yes")</f>
        <v>Yes</v>
      </c>
      <c r="H628" s="5" t="str">
        <f ca="1">IFERROR(__xludf.DUMMYFUNCTION("""COMPUTED_VALUE"""),"Yes")</f>
        <v>Yes</v>
      </c>
      <c r="I628" s="5" t="str">
        <f ca="1">IFERROR(__xludf.DUMMYFUNCTION("""COMPUTED_VALUE"""),"Yes")</f>
        <v>Yes</v>
      </c>
      <c r="J628" s="5" t="str">
        <f ca="1">IFERROR(__xludf.DUMMYFUNCTION("""COMPUTED_VALUE"""),"Yes")</f>
        <v>Yes</v>
      </c>
      <c r="K628" s="5" t="str">
        <f ca="1">IFERROR(__xludf.DUMMYFUNCTION("""COMPUTED_VALUE"""),"Yes")</f>
        <v>Yes</v>
      </c>
      <c r="L628" s="5" t="str">
        <f ca="1">IFERROR(__xludf.DUMMYFUNCTION("""COMPUTED_VALUE"""),"Yes")</f>
        <v>Yes</v>
      </c>
      <c r="M628" s="5" t="str">
        <f ca="1">IFERROR(__xludf.DUMMYFUNCTION("""COMPUTED_VALUE"""),"Yes")</f>
        <v>Yes</v>
      </c>
      <c r="N628" s="5" t="str">
        <f ca="1">IFERROR(__xludf.DUMMYFUNCTION("""COMPUTED_VALUE"""),"Yes")</f>
        <v>Yes</v>
      </c>
      <c r="O628" s="5" t="str">
        <f ca="1">IFERROR(__xludf.DUMMYFUNCTION("""COMPUTED_VALUE"""),"Yes")</f>
        <v>Yes</v>
      </c>
      <c r="P628" s="5" t="str">
        <f ca="1">IFERROR(__xludf.DUMMYFUNCTION("""COMPUTED_VALUE"""),"Yes")</f>
        <v>Yes</v>
      </c>
      <c r="Q628" s="5" t="str">
        <f ca="1">IFERROR(__xludf.DUMMYFUNCTION("""COMPUTED_VALUE"""),"Yes")</f>
        <v>Yes</v>
      </c>
      <c r="R628" s="5" t="str">
        <f ca="1">IFERROR(__xludf.DUMMYFUNCTION("""COMPUTED_VALUE"""),"Yes")</f>
        <v>Yes</v>
      </c>
      <c r="S628" s="5" t="str">
        <f ca="1">IFERROR(__xludf.DUMMYFUNCTION("""COMPUTED_VALUE"""),"Yes")</f>
        <v>Yes</v>
      </c>
      <c r="T628" s="5" t="str">
        <f ca="1">IFERROR(__xludf.DUMMYFUNCTION("""COMPUTED_VALUE"""),"Yes")</f>
        <v>Yes</v>
      </c>
      <c r="U628" s="5" t="str">
        <f ca="1">IFERROR(__xludf.DUMMYFUNCTION("""COMPUTED_VALUE"""),"Yes")</f>
        <v>Yes</v>
      </c>
      <c r="V628" s="5" t="str">
        <f ca="1">IFERROR(__xludf.DUMMYFUNCTION("""COMPUTED_VALUE"""),"Yes")</f>
        <v>Yes</v>
      </c>
      <c r="W628" s="5" t="str">
        <f ca="1">IFERROR(__xludf.DUMMYFUNCTION("""COMPUTED_VALUE"""),"Yes")</f>
        <v>Yes</v>
      </c>
      <c r="X628" s="5" t="str">
        <f ca="1">IFERROR(__xludf.DUMMYFUNCTION("""COMPUTED_VALUE"""),"Yes")</f>
        <v>Yes</v>
      </c>
      <c r="Y628" s="5" t="str">
        <f ca="1">IFERROR(__xludf.DUMMYFUNCTION("""COMPUTED_VALUE"""),"Yes")</f>
        <v>Yes</v>
      </c>
      <c r="Z628" s="5" t="str">
        <f ca="1">IFERROR(__xludf.DUMMYFUNCTION("""COMPUTED_VALUE"""),"No")</f>
        <v>No</v>
      </c>
      <c r="AA628" s="5" t="str">
        <f ca="1">IFERROR(__xludf.DUMMYFUNCTION("""COMPUTED_VALUE"""),"Yes")</f>
        <v>Yes</v>
      </c>
      <c r="AB628" s="5" t="str">
        <f ca="1">IFERROR(__xludf.DUMMYFUNCTION("""COMPUTED_VALUE"""),"Yes")</f>
        <v>Yes</v>
      </c>
      <c r="AC628" s="5" t="str">
        <f ca="1">IFERROR(__xludf.DUMMYFUNCTION("""COMPUTED_VALUE"""),"Yes")</f>
        <v>Yes</v>
      </c>
      <c r="AD628" s="5" t="str">
        <f ca="1">IFERROR(__xludf.DUMMYFUNCTION("""COMPUTED_VALUE"""),"Yes")</f>
        <v>Yes</v>
      </c>
      <c r="AE628" s="5" t="str">
        <f ca="1">IFERROR(__xludf.DUMMYFUNCTION("""COMPUTED_VALUE"""),"No")</f>
        <v>No</v>
      </c>
      <c r="AF628" s="5" t="str">
        <f ca="1">IFERROR(__xludf.DUMMYFUNCTION("""COMPUTED_VALUE"""),"Yes")</f>
        <v>Yes</v>
      </c>
      <c r="AG628" s="5" t="str">
        <f ca="1">IFERROR(__xludf.DUMMYFUNCTION("""COMPUTED_VALUE"""),"No")</f>
        <v>No</v>
      </c>
      <c r="AH628" s="5" t="str">
        <f ca="1">IFERROR(__xludf.DUMMYFUNCTION("""COMPUTED_VALUE"""),"No")</f>
        <v>No</v>
      </c>
      <c r="AI628" s="5" t="str">
        <f ca="1">IFERROR(__xludf.DUMMYFUNCTION("""COMPUTED_VALUE"""),"No")</f>
        <v>No</v>
      </c>
      <c r="AJ628" s="5" t="str">
        <f ca="1">IFERROR(__xludf.DUMMYFUNCTION("""COMPUTED_VALUE"""),"No")</f>
        <v>No</v>
      </c>
      <c r="AK628" s="5" t="str">
        <f ca="1">IFERROR(__xludf.DUMMYFUNCTION("""COMPUTED_VALUE"""),"No")</f>
        <v>No</v>
      </c>
      <c r="AL628" s="5" t="str">
        <f ca="1">IFERROR(__xludf.DUMMYFUNCTION("""COMPUTED_VALUE"""),"No")</f>
        <v>No</v>
      </c>
      <c r="AM628" s="5"/>
      <c r="AN628" s="5"/>
      <c r="AO628" s="5"/>
      <c r="AP628" s="5"/>
      <c r="AQ628" s="5"/>
      <c r="AR628" s="5"/>
      <c r="AS628" s="5"/>
      <c r="AT628" s="5"/>
      <c r="AU628" s="5"/>
      <c r="AV628" s="5"/>
      <c r="AW628" s="5"/>
      <c r="AX628" s="5"/>
      <c r="AY628" s="5"/>
    </row>
    <row r="629" spans="1:51" x14ac:dyDescent="0.25">
      <c r="A6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9" s="5">
        <f ca="1">IFERROR(__xludf.DUMMYFUNCTION("""COMPUTED_VALUE"""),664)</f>
        <v>664</v>
      </c>
      <c r="C629" s="5">
        <f ca="1">IFERROR(__xludf.DUMMYFUNCTION("""COMPUTED_VALUE"""),4032)</f>
        <v>4032</v>
      </c>
      <c r="D629" s="5" t="str">
        <f ca="1">IFERROR(__xludf.DUMMYFUNCTION("""COMPUTED_VALUE"""),"SBbetHot5Extreme")</f>
        <v>SBbetHot5Extreme</v>
      </c>
      <c r="E629" s="5" t="str">
        <f ca="1">IFERROR(__xludf.DUMMYFUNCTION("""COMPUTED_VALUE"""),"Yes")</f>
        <v>Yes</v>
      </c>
      <c r="F629" s="5" t="str">
        <f ca="1">IFERROR(__xludf.DUMMYFUNCTION("""COMPUTED_VALUE"""),"Yes")</f>
        <v>Yes</v>
      </c>
      <c r="G629" s="5" t="str">
        <f ca="1">IFERROR(__xludf.DUMMYFUNCTION("""COMPUTED_VALUE"""),"Yes")</f>
        <v>Yes</v>
      </c>
      <c r="H629" s="5" t="str">
        <f ca="1">IFERROR(__xludf.DUMMYFUNCTION("""COMPUTED_VALUE"""),"Yes")</f>
        <v>Yes</v>
      </c>
      <c r="I629" s="5" t="str">
        <f ca="1">IFERROR(__xludf.DUMMYFUNCTION("""COMPUTED_VALUE"""),"Yes")</f>
        <v>Yes</v>
      </c>
      <c r="J629" s="5" t="str">
        <f ca="1">IFERROR(__xludf.DUMMYFUNCTION("""COMPUTED_VALUE"""),"Yes")</f>
        <v>Yes</v>
      </c>
      <c r="K629" s="5" t="str">
        <f ca="1">IFERROR(__xludf.DUMMYFUNCTION("""COMPUTED_VALUE"""),"Yes")</f>
        <v>Yes</v>
      </c>
      <c r="L629" s="5" t="str">
        <f ca="1">IFERROR(__xludf.DUMMYFUNCTION("""COMPUTED_VALUE"""),"Yes")</f>
        <v>Yes</v>
      </c>
      <c r="M629" s="5" t="str">
        <f ca="1">IFERROR(__xludf.DUMMYFUNCTION("""COMPUTED_VALUE"""),"Yes")</f>
        <v>Yes</v>
      </c>
      <c r="N629" s="5" t="str">
        <f ca="1">IFERROR(__xludf.DUMMYFUNCTION("""COMPUTED_VALUE"""),"Yes")</f>
        <v>Yes</v>
      </c>
      <c r="O629" s="5" t="str">
        <f ca="1">IFERROR(__xludf.DUMMYFUNCTION("""COMPUTED_VALUE"""),"Yes")</f>
        <v>Yes</v>
      </c>
      <c r="P629" s="5" t="str">
        <f ca="1">IFERROR(__xludf.DUMMYFUNCTION("""COMPUTED_VALUE"""),"Yes")</f>
        <v>Yes</v>
      </c>
      <c r="Q629" s="5" t="str">
        <f ca="1">IFERROR(__xludf.DUMMYFUNCTION("""COMPUTED_VALUE"""),"Yes")</f>
        <v>Yes</v>
      </c>
      <c r="R629" s="5" t="str">
        <f ca="1">IFERROR(__xludf.DUMMYFUNCTION("""COMPUTED_VALUE"""),"Yes")</f>
        <v>Yes</v>
      </c>
      <c r="S629" s="5" t="str">
        <f ca="1">IFERROR(__xludf.DUMMYFUNCTION("""COMPUTED_VALUE"""),"Yes")</f>
        <v>Yes</v>
      </c>
      <c r="T629" s="5" t="str">
        <f ca="1">IFERROR(__xludf.DUMMYFUNCTION("""COMPUTED_VALUE"""),"Yes")</f>
        <v>Yes</v>
      </c>
      <c r="U629" s="5" t="str">
        <f ca="1">IFERROR(__xludf.DUMMYFUNCTION("""COMPUTED_VALUE"""),"Yes")</f>
        <v>Yes</v>
      </c>
      <c r="V629" s="5" t="str">
        <f ca="1">IFERROR(__xludf.DUMMYFUNCTION("""COMPUTED_VALUE"""),"Yes")</f>
        <v>Yes</v>
      </c>
      <c r="W629" s="5" t="str">
        <f ca="1">IFERROR(__xludf.DUMMYFUNCTION("""COMPUTED_VALUE"""),"Yes")</f>
        <v>Yes</v>
      </c>
      <c r="X629" s="5" t="str">
        <f ca="1">IFERROR(__xludf.DUMMYFUNCTION("""COMPUTED_VALUE"""),"Yes")</f>
        <v>Yes</v>
      </c>
      <c r="Y629" s="5" t="str">
        <f ca="1">IFERROR(__xludf.DUMMYFUNCTION("""COMPUTED_VALUE"""),"Yes")</f>
        <v>Yes</v>
      </c>
      <c r="Z629" s="5" t="str">
        <f ca="1">IFERROR(__xludf.DUMMYFUNCTION("""COMPUTED_VALUE"""),"Yes")</f>
        <v>Yes</v>
      </c>
      <c r="AA629" s="5" t="str">
        <f ca="1">IFERROR(__xludf.DUMMYFUNCTION("""COMPUTED_VALUE"""),"Yes")</f>
        <v>Yes</v>
      </c>
      <c r="AB629" s="5" t="str">
        <f ca="1">IFERROR(__xludf.DUMMYFUNCTION("""COMPUTED_VALUE"""),"Yes")</f>
        <v>Yes</v>
      </c>
      <c r="AC629" s="5" t="str">
        <f ca="1">IFERROR(__xludf.DUMMYFUNCTION("""COMPUTED_VALUE"""),"Yes")</f>
        <v>Yes</v>
      </c>
      <c r="AD629" s="5" t="str">
        <f ca="1">IFERROR(__xludf.DUMMYFUNCTION("""COMPUTED_VALUE"""),"Yes")</f>
        <v>Yes</v>
      </c>
      <c r="AE629" s="5" t="str">
        <f ca="1">IFERROR(__xludf.DUMMYFUNCTION("""COMPUTED_VALUE"""),"Yes")</f>
        <v>Yes</v>
      </c>
      <c r="AF629" s="5" t="str">
        <f ca="1">IFERROR(__xludf.DUMMYFUNCTION("""COMPUTED_VALUE"""),"Yes")</f>
        <v>Yes</v>
      </c>
      <c r="AG629" s="5" t="str">
        <f ca="1">IFERROR(__xludf.DUMMYFUNCTION("""COMPUTED_VALUE"""),"Yes")</f>
        <v>Yes</v>
      </c>
      <c r="AH629" s="5" t="str">
        <f ca="1">IFERROR(__xludf.DUMMYFUNCTION("""COMPUTED_VALUE"""),"Yes")</f>
        <v>Yes</v>
      </c>
      <c r="AI629" s="5" t="str">
        <f ca="1">IFERROR(__xludf.DUMMYFUNCTION("""COMPUTED_VALUE"""),"No")</f>
        <v>No</v>
      </c>
      <c r="AJ629" s="5" t="str">
        <f ca="1">IFERROR(__xludf.DUMMYFUNCTION("""COMPUTED_VALUE"""),"No")</f>
        <v>No</v>
      </c>
      <c r="AK629" s="5" t="str">
        <f ca="1">IFERROR(__xludf.DUMMYFUNCTION("""COMPUTED_VALUE"""),"No")</f>
        <v>No</v>
      </c>
      <c r="AL629" s="5" t="str">
        <f ca="1">IFERROR(__xludf.DUMMYFUNCTION("""COMPUTED_VALUE"""),"No")</f>
        <v>No</v>
      </c>
      <c r="AM629" s="5"/>
      <c r="AN629" s="5"/>
      <c r="AO629" s="5"/>
      <c r="AP629" s="5"/>
      <c r="AQ629" s="5"/>
      <c r="AR629" s="5"/>
      <c r="AS629" s="5"/>
      <c r="AT629" s="5"/>
      <c r="AU629" s="5"/>
      <c r="AV629" s="5"/>
      <c r="AW629" s="5"/>
      <c r="AX629" s="5"/>
      <c r="AY629" s="5"/>
    </row>
    <row r="630" spans="1:51" x14ac:dyDescent="0.25">
      <c r="A6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0" s="5">
        <f ca="1">IFERROR(__xludf.DUMMYFUNCTION("""COMPUTED_VALUE"""),665)</f>
        <v>665</v>
      </c>
      <c r="C630" s="5">
        <f ca="1">IFERROR(__xludf.DUMMYFUNCTION("""COMPUTED_VALUE"""),3032)</f>
        <v>3032</v>
      </c>
      <c r="D630" s="5" t="str">
        <f ca="1">IFERROR(__xludf.DUMMYFUNCTION("""COMPUTED_VALUE"""),"WildHot40Deluxe")</f>
        <v>WildHot40Deluxe</v>
      </c>
      <c r="E630" s="5" t="str">
        <f ca="1">IFERROR(__xludf.DUMMYFUNCTION("""COMPUTED_VALUE"""),"Yes")</f>
        <v>Yes</v>
      </c>
      <c r="F630" s="5" t="str">
        <f ca="1">IFERROR(__xludf.DUMMYFUNCTION("""COMPUTED_VALUE"""),"Yes")</f>
        <v>Yes</v>
      </c>
      <c r="G630" s="5" t="str">
        <f ca="1">IFERROR(__xludf.DUMMYFUNCTION("""COMPUTED_VALUE"""),"Yes")</f>
        <v>Yes</v>
      </c>
      <c r="H630" s="5" t="str">
        <f ca="1">IFERROR(__xludf.DUMMYFUNCTION("""COMPUTED_VALUE"""),"Yes")</f>
        <v>Yes</v>
      </c>
      <c r="I630" s="5" t="str">
        <f ca="1">IFERROR(__xludf.DUMMYFUNCTION("""COMPUTED_VALUE"""),"Yes")</f>
        <v>Yes</v>
      </c>
      <c r="J630" s="5" t="str">
        <f ca="1">IFERROR(__xludf.DUMMYFUNCTION("""COMPUTED_VALUE"""),"Yes")</f>
        <v>Yes</v>
      </c>
      <c r="K630" s="5" t="str">
        <f ca="1">IFERROR(__xludf.DUMMYFUNCTION("""COMPUTED_VALUE"""),"Yes")</f>
        <v>Yes</v>
      </c>
      <c r="L630" s="5" t="str">
        <f ca="1">IFERROR(__xludf.DUMMYFUNCTION("""COMPUTED_VALUE"""),"Yes")</f>
        <v>Yes</v>
      </c>
      <c r="M630" s="5" t="str">
        <f ca="1">IFERROR(__xludf.DUMMYFUNCTION("""COMPUTED_VALUE"""),"Yes")</f>
        <v>Yes</v>
      </c>
      <c r="N630" s="5" t="str">
        <f ca="1">IFERROR(__xludf.DUMMYFUNCTION("""COMPUTED_VALUE"""),"Yes")</f>
        <v>Yes</v>
      </c>
      <c r="O630" s="5" t="str">
        <f ca="1">IFERROR(__xludf.DUMMYFUNCTION("""COMPUTED_VALUE"""),"Yes")</f>
        <v>Yes</v>
      </c>
      <c r="P630" s="5" t="str">
        <f ca="1">IFERROR(__xludf.DUMMYFUNCTION("""COMPUTED_VALUE"""),"Yes")</f>
        <v>Yes</v>
      </c>
      <c r="Q630" s="5" t="str">
        <f ca="1">IFERROR(__xludf.DUMMYFUNCTION("""COMPUTED_VALUE"""),"Yes")</f>
        <v>Yes</v>
      </c>
      <c r="R630" s="5" t="str">
        <f ca="1">IFERROR(__xludf.DUMMYFUNCTION("""COMPUTED_VALUE"""),"Yes")</f>
        <v>Yes</v>
      </c>
      <c r="S630" s="5" t="str">
        <f ca="1">IFERROR(__xludf.DUMMYFUNCTION("""COMPUTED_VALUE"""),"Yes")</f>
        <v>Yes</v>
      </c>
      <c r="T630" s="5" t="str">
        <f ca="1">IFERROR(__xludf.DUMMYFUNCTION("""COMPUTED_VALUE"""),"Yes")</f>
        <v>Yes</v>
      </c>
      <c r="U630" s="5" t="str">
        <f ca="1">IFERROR(__xludf.DUMMYFUNCTION("""COMPUTED_VALUE"""),"Yes")</f>
        <v>Yes</v>
      </c>
      <c r="V630" s="5" t="str">
        <f ca="1">IFERROR(__xludf.DUMMYFUNCTION("""COMPUTED_VALUE"""),"Yes")</f>
        <v>Yes</v>
      </c>
      <c r="W630" s="5" t="str">
        <f ca="1">IFERROR(__xludf.DUMMYFUNCTION("""COMPUTED_VALUE"""),"Yes")</f>
        <v>Yes</v>
      </c>
      <c r="X630" s="5" t="str">
        <f ca="1">IFERROR(__xludf.DUMMYFUNCTION("""COMPUTED_VALUE"""),"Yes")</f>
        <v>Yes</v>
      </c>
      <c r="Y630" s="5" t="str">
        <f ca="1">IFERROR(__xludf.DUMMYFUNCTION("""COMPUTED_VALUE"""),"Yes")</f>
        <v>Yes</v>
      </c>
      <c r="Z630" s="5" t="str">
        <f ca="1">IFERROR(__xludf.DUMMYFUNCTION("""COMPUTED_VALUE"""),"Yes")</f>
        <v>Yes</v>
      </c>
      <c r="AA630" s="5" t="str">
        <f ca="1">IFERROR(__xludf.DUMMYFUNCTION("""COMPUTED_VALUE"""),"Yes")</f>
        <v>Yes</v>
      </c>
      <c r="AB630" s="5" t="str">
        <f ca="1">IFERROR(__xludf.DUMMYFUNCTION("""COMPUTED_VALUE"""),"Yes")</f>
        <v>Yes</v>
      </c>
      <c r="AC630" s="5" t="str">
        <f ca="1">IFERROR(__xludf.DUMMYFUNCTION("""COMPUTED_VALUE"""),"Yes")</f>
        <v>Yes</v>
      </c>
      <c r="AD630" s="5" t="str">
        <f ca="1">IFERROR(__xludf.DUMMYFUNCTION("""COMPUTED_VALUE"""),"Yes")</f>
        <v>Yes</v>
      </c>
      <c r="AE630" s="5" t="str">
        <f ca="1">IFERROR(__xludf.DUMMYFUNCTION("""COMPUTED_VALUE"""),"Yes")</f>
        <v>Yes</v>
      </c>
      <c r="AF630" s="5" t="str">
        <f ca="1">IFERROR(__xludf.DUMMYFUNCTION("""COMPUTED_VALUE"""),"Yes")</f>
        <v>Yes</v>
      </c>
      <c r="AG630" s="5" t="str">
        <f ca="1">IFERROR(__xludf.DUMMYFUNCTION("""COMPUTED_VALUE"""),"Yes")</f>
        <v>Yes</v>
      </c>
      <c r="AH630" s="5" t="str">
        <f ca="1">IFERROR(__xludf.DUMMYFUNCTION("""COMPUTED_VALUE"""),"Yes")</f>
        <v>Yes</v>
      </c>
      <c r="AI630" s="5" t="str">
        <f ca="1">IFERROR(__xludf.DUMMYFUNCTION("""COMPUTED_VALUE"""),"No")</f>
        <v>No</v>
      </c>
      <c r="AJ630" s="5" t="str">
        <f ca="1">IFERROR(__xludf.DUMMYFUNCTION("""COMPUTED_VALUE"""),"No")</f>
        <v>No</v>
      </c>
      <c r="AK630" s="5" t="str">
        <f ca="1">IFERROR(__xludf.DUMMYFUNCTION("""COMPUTED_VALUE"""),"No")</f>
        <v>No</v>
      </c>
      <c r="AL630" s="5" t="str">
        <f ca="1">IFERROR(__xludf.DUMMYFUNCTION("""COMPUTED_VALUE"""),"No")</f>
        <v>No</v>
      </c>
      <c r="AM630" s="5"/>
      <c r="AN630" s="5"/>
      <c r="AO630" s="5"/>
      <c r="AP630" s="5"/>
      <c r="AQ630" s="5"/>
      <c r="AR630" s="5"/>
      <c r="AS630" s="5"/>
      <c r="AT630" s="5"/>
      <c r="AU630" s="5"/>
      <c r="AV630" s="5"/>
      <c r="AW630" s="5"/>
      <c r="AX630" s="5"/>
      <c r="AY630" s="5"/>
    </row>
    <row r="631" spans="1:51" x14ac:dyDescent="0.25">
      <c r="A6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1" s="5">
        <f ca="1">IFERROR(__xludf.DUMMYFUNCTION("""COMPUTED_VALUE"""),666)</f>
        <v>666</v>
      </c>
      <c r="C631" s="5">
        <f ca="1">IFERROR(__xludf.DUMMYFUNCTION("""COMPUTED_VALUE"""),2019)</f>
        <v>2019</v>
      </c>
      <c r="D631" s="5" t="str">
        <f ca="1">IFERROR(__xludf.DUMMYFUNCTION("""COMPUTED_VALUE"""),"BonusEpicCrownDice")</f>
        <v>BonusEpicCrownDice</v>
      </c>
      <c r="E631" s="5" t="str">
        <f ca="1">IFERROR(__xludf.DUMMYFUNCTION("""COMPUTED_VALUE"""),"Yes")</f>
        <v>Yes</v>
      </c>
      <c r="F631" s="5" t="str">
        <f ca="1">IFERROR(__xludf.DUMMYFUNCTION("""COMPUTED_VALUE"""),"Yes")</f>
        <v>Yes</v>
      </c>
      <c r="G631" s="5" t="str">
        <f ca="1">IFERROR(__xludf.DUMMYFUNCTION("""COMPUTED_VALUE"""),"Yes")</f>
        <v>Yes</v>
      </c>
      <c r="H631" s="5" t="str">
        <f ca="1">IFERROR(__xludf.DUMMYFUNCTION("""COMPUTED_VALUE"""),"Yes")</f>
        <v>Yes</v>
      </c>
      <c r="I631" s="5" t="str">
        <f ca="1">IFERROR(__xludf.DUMMYFUNCTION("""COMPUTED_VALUE"""),"Yes")</f>
        <v>Yes</v>
      </c>
      <c r="J631" s="5" t="str">
        <f ca="1">IFERROR(__xludf.DUMMYFUNCTION("""COMPUTED_VALUE"""),"Yes")</f>
        <v>Yes</v>
      </c>
      <c r="K631" s="5" t="str">
        <f ca="1">IFERROR(__xludf.DUMMYFUNCTION("""COMPUTED_VALUE"""),"Yes")</f>
        <v>Yes</v>
      </c>
      <c r="L631" s="5" t="str">
        <f ca="1">IFERROR(__xludf.DUMMYFUNCTION("""COMPUTED_VALUE"""),"Yes")</f>
        <v>Yes</v>
      </c>
      <c r="M631" s="5" t="str">
        <f ca="1">IFERROR(__xludf.DUMMYFUNCTION("""COMPUTED_VALUE"""),"Yes")</f>
        <v>Yes</v>
      </c>
      <c r="N631" s="5" t="str">
        <f ca="1">IFERROR(__xludf.DUMMYFUNCTION("""COMPUTED_VALUE"""),"Yes")</f>
        <v>Yes</v>
      </c>
      <c r="O631" s="5" t="str">
        <f ca="1">IFERROR(__xludf.DUMMYFUNCTION("""COMPUTED_VALUE"""),"Yes")</f>
        <v>Yes</v>
      </c>
      <c r="P631" s="5" t="str">
        <f ca="1">IFERROR(__xludf.DUMMYFUNCTION("""COMPUTED_VALUE"""),"Yes")</f>
        <v>Yes</v>
      </c>
      <c r="Q631" s="5" t="str">
        <f ca="1">IFERROR(__xludf.DUMMYFUNCTION("""COMPUTED_VALUE"""),"Yes")</f>
        <v>Yes</v>
      </c>
      <c r="R631" s="5" t="str">
        <f ca="1">IFERROR(__xludf.DUMMYFUNCTION("""COMPUTED_VALUE"""),"Yes")</f>
        <v>Yes</v>
      </c>
      <c r="S631" s="5" t="str">
        <f ca="1">IFERROR(__xludf.DUMMYFUNCTION("""COMPUTED_VALUE"""),"Yes")</f>
        <v>Yes</v>
      </c>
      <c r="T631" s="5" t="str">
        <f ca="1">IFERROR(__xludf.DUMMYFUNCTION("""COMPUTED_VALUE"""),"Yes")</f>
        <v>Yes</v>
      </c>
      <c r="U631" s="5" t="str">
        <f ca="1">IFERROR(__xludf.DUMMYFUNCTION("""COMPUTED_VALUE"""),"Yes")</f>
        <v>Yes</v>
      </c>
      <c r="V631" s="5" t="str">
        <f ca="1">IFERROR(__xludf.DUMMYFUNCTION("""COMPUTED_VALUE"""),"Yes")</f>
        <v>Yes</v>
      </c>
      <c r="W631" s="5" t="str">
        <f ca="1">IFERROR(__xludf.DUMMYFUNCTION("""COMPUTED_VALUE"""),"Yes")</f>
        <v>Yes</v>
      </c>
      <c r="X631" s="5" t="str">
        <f ca="1">IFERROR(__xludf.DUMMYFUNCTION("""COMPUTED_VALUE"""),"Yes")</f>
        <v>Yes</v>
      </c>
      <c r="Y631" s="5" t="str">
        <f ca="1">IFERROR(__xludf.DUMMYFUNCTION("""COMPUTED_VALUE"""),"Yes")</f>
        <v>Yes</v>
      </c>
      <c r="Z631" s="5" t="str">
        <f ca="1">IFERROR(__xludf.DUMMYFUNCTION("""COMPUTED_VALUE"""),"Yes")</f>
        <v>Yes</v>
      </c>
      <c r="AA631" s="5" t="str">
        <f ca="1">IFERROR(__xludf.DUMMYFUNCTION("""COMPUTED_VALUE"""),"Yes")</f>
        <v>Yes</v>
      </c>
      <c r="AB631" s="5" t="str">
        <f ca="1">IFERROR(__xludf.DUMMYFUNCTION("""COMPUTED_VALUE"""),"Yes")</f>
        <v>Yes</v>
      </c>
      <c r="AC631" s="5" t="str">
        <f ca="1">IFERROR(__xludf.DUMMYFUNCTION("""COMPUTED_VALUE"""),"Yes")</f>
        <v>Yes</v>
      </c>
      <c r="AD631" s="5" t="str">
        <f ca="1">IFERROR(__xludf.DUMMYFUNCTION("""COMPUTED_VALUE"""),"Yes")</f>
        <v>Yes</v>
      </c>
      <c r="AE631" s="5" t="str">
        <f ca="1">IFERROR(__xludf.DUMMYFUNCTION("""COMPUTED_VALUE"""),"Yes")</f>
        <v>Yes</v>
      </c>
      <c r="AF631" s="5" t="str">
        <f ca="1">IFERROR(__xludf.DUMMYFUNCTION("""COMPUTED_VALUE"""),"Yes")</f>
        <v>Yes</v>
      </c>
      <c r="AG631" s="5" t="str">
        <f ca="1">IFERROR(__xludf.DUMMYFUNCTION("""COMPUTED_VALUE"""),"Yes")</f>
        <v>Yes</v>
      </c>
      <c r="AH631" s="5" t="str">
        <f ca="1">IFERROR(__xludf.DUMMYFUNCTION("""COMPUTED_VALUE"""),"Yes")</f>
        <v>Yes</v>
      </c>
      <c r="AI631" s="5" t="str">
        <f ca="1">IFERROR(__xludf.DUMMYFUNCTION("""COMPUTED_VALUE"""),"No")</f>
        <v>No</v>
      </c>
      <c r="AJ631" s="5" t="str">
        <f ca="1">IFERROR(__xludf.DUMMYFUNCTION("""COMPUTED_VALUE"""),"No")</f>
        <v>No</v>
      </c>
      <c r="AK631" s="5" t="str">
        <f ca="1">IFERROR(__xludf.DUMMYFUNCTION("""COMPUTED_VALUE"""),"No")</f>
        <v>No</v>
      </c>
      <c r="AL631" s="5" t="str">
        <f ca="1">IFERROR(__xludf.DUMMYFUNCTION("""COMPUTED_VALUE"""),"No")</f>
        <v>No</v>
      </c>
      <c r="AM631" s="5"/>
      <c r="AN631" s="5"/>
      <c r="AO631" s="5"/>
      <c r="AP631" s="5"/>
      <c r="AQ631" s="5"/>
      <c r="AR631" s="5"/>
      <c r="AS631" s="5"/>
      <c r="AT631" s="5"/>
      <c r="AU631" s="5"/>
      <c r="AV631" s="5"/>
      <c r="AW631" s="5"/>
      <c r="AX631" s="5"/>
      <c r="AY631" s="5"/>
    </row>
    <row r="632" spans="1:51" x14ac:dyDescent="0.25">
      <c r="A6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2" s="5">
        <f ca="1">IFERROR(__xludf.DUMMYFUNCTION("""COMPUTED_VALUE"""),667)</f>
        <v>667</v>
      </c>
      <c r="C632" s="5">
        <f ca="1">IFERROR(__xludf.DUMMYFUNCTION("""COMPUTED_VALUE"""),2018)</f>
        <v>2018</v>
      </c>
      <c r="D632" s="5" t="str">
        <f ca="1">IFERROR(__xludf.DUMMYFUNCTION("""COMPUTED_VALUE"""),"GoldenCrownHoldAndWin")</f>
        <v>GoldenCrownHoldAndWin</v>
      </c>
      <c r="E632" s="5" t="str">
        <f ca="1">IFERROR(__xludf.DUMMYFUNCTION("""COMPUTED_VALUE"""),"Yes")</f>
        <v>Yes</v>
      </c>
      <c r="F632" s="5" t="str">
        <f ca="1">IFERROR(__xludf.DUMMYFUNCTION("""COMPUTED_VALUE"""),"Yes")</f>
        <v>Yes</v>
      </c>
      <c r="G632" s="5" t="str">
        <f ca="1">IFERROR(__xludf.DUMMYFUNCTION("""COMPUTED_VALUE"""),"Yes")</f>
        <v>Yes</v>
      </c>
      <c r="H632" s="5" t="str">
        <f ca="1">IFERROR(__xludf.DUMMYFUNCTION("""COMPUTED_VALUE"""),"Yes")</f>
        <v>Yes</v>
      </c>
      <c r="I632" s="5" t="str">
        <f ca="1">IFERROR(__xludf.DUMMYFUNCTION("""COMPUTED_VALUE"""),"Yes")</f>
        <v>Yes</v>
      </c>
      <c r="J632" s="5" t="str">
        <f ca="1">IFERROR(__xludf.DUMMYFUNCTION("""COMPUTED_VALUE"""),"Yes")</f>
        <v>Yes</v>
      </c>
      <c r="K632" s="5" t="str">
        <f ca="1">IFERROR(__xludf.DUMMYFUNCTION("""COMPUTED_VALUE"""),"Yes")</f>
        <v>Yes</v>
      </c>
      <c r="L632" s="5" t="str">
        <f ca="1">IFERROR(__xludf.DUMMYFUNCTION("""COMPUTED_VALUE"""),"Yes")</f>
        <v>Yes</v>
      </c>
      <c r="M632" s="5" t="str">
        <f ca="1">IFERROR(__xludf.DUMMYFUNCTION("""COMPUTED_VALUE"""),"Yes")</f>
        <v>Yes</v>
      </c>
      <c r="N632" s="5" t="str">
        <f ca="1">IFERROR(__xludf.DUMMYFUNCTION("""COMPUTED_VALUE"""),"Yes")</f>
        <v>Yes</v>
      </c>
      <c r="O632" s="5" t="str">
        <f ca="1">IFERROR(__xludf.DUMMYFUNCTION("""COMPUTED_VALUE"""),"Yes")</f>
        <v>Yes</v>
      </c>
      <c r="P632" s="5" t="str">
        <f ca="1">IFERROR(__xludf.DUMMYFUNCTION("""COMPUTED_VALUE"""),"Yes")</f>
        <v>Yes</v>
      </c>
      <c r="Q632" s="5" t="str">
        <f ca="1">IFERROR(__xludf.DUMMYFUNCTION("""COMPUTED_VALUE"""),"Yes")</f>
        <v>Yes</v>
      </c>
      <c r="R632" s="5" t="str">
        <f ca="1">IFERROR(__xludf.DUMMYFUNCTION("""COMPUTED_VALUE"""),"Yes")</f>
        <v>Yes</v>
      </c>
      <c r="S632" s="5" t="str">
        <f ca="1">IFERROR(__xludf.DUMMYFUNCTION("""COMPUTED_VALUE"""),"Yes")</f>
        <v>Yes</v>
      </c>
      <c r="T632" s="5" t="str">
        <f ca="1">IFERROR(__xludf.DUMMYFUNCTION("""COMPUTED_VALUE"""),"Yes")</f>
        <v>Yes</v>
      </c>
      <c r="U632" s="5" t="str">
        <f ca="1">IFERROR(__xludf.DUMMYFUNCTION("""COMPUTED_VALUE"""),"Yes")</f>
        <v>Yes</v>
      </c>
      <c r="V632" s="5" t="str">
        <f ca="1">IFERROR(__xludf.DUMMYFUNCTION("""COMPUTED_VALUE"""),"Yes")</f>
        <v>Yes</v>
      </c>
      <c r="W632" s="5" t="str">
        <f ca="1">IFERROR(__xludf.DUMMYFUNCTION("""COMPUTED_VALUE"""),"Yes")</f>
        <v>Yes</v>
      </c>
      <c r="X632" s="5" t="str">
        <f ca="1">IFERROR(__xludf.DUMMYFUNCTION("""COMPUTED_VALUE"""),"Yes")</f>
        <v>Yes</v>
      </c>
      <c r="Y632" s="5" t="str">
        <f ca="1">IFERROR(__xludf.DUMMYFUNCTION("""COMPUTED_VALUE"""),"Yes")</f>
        <v>Yes</v>
      </c>
      <c r="Z632" s="5" t="str">
        <f ca="1">IFERROR(__xludf.DUMMYFUNCTION("""COMPUTED_VALUE"""),"Yes")</f>
        <v>Yes</v>
      </c>
      <c r="AA632" s="5" t="str">
        <f ca="1">IFERROR(__xludf.DUMMYFUNCTION("""COMPUTED_VALUE"""),"Yes")</f>
        <v>Yes</v>
      </c>
      <c r="AB632" s="5" t="str">
        <f ca="1">IFERROR(__xludf.DUMMYFUNCTION("""COMPUTED_VALUE"""),"Yes")</f>
        <v>Yes</v>
      </c>
      <c r="AC632" s="5" t="str">
        <f ca="1">IFERROR(__xludf.DUMMYFUNCTION("""COMPUTED_VALUE"""),"Yes")</f>
        <v>Yes</v>
      </c>
      <c r="AD632" s="5" t="str">
        <f ca="1">IFERROR(__xludf.DUMMYFUNCTION("""COMPUTED_VALUE"""),"Yes")</f>
        <v>Yes</v>
      </c>
      <c r="AE632" s="5" t="str">
        <f ca="1">IFERROR(__xludf.DUMMYFUNCTION("""COMPUTED_VALUE"""),"Yes")</f>
        <v>Yes</v>
      </c>
      <c r="AF632" s="5" t="str">
        <f ca="1">IFERROR(__xludf.DUMMYFUNCTION("""COMPUTED_VALUE"""),"Yes")</f>
        <v>Yes</v>
      </c>
      <c r="AG632" s="5" t="str">
        <f ca="1">IFERROR(__xludf.DUMMYFUNCTION("""COMPUTED_VALUE"""),"Yes")</f>
        <v>Yes</v>
      </c>
      <c r="AH632" s="5" t="str">
        <f ca="1">IFERROR(__xludf.DUMMYFUNCTION("""COMPUTED_VALUE"""),"Yes")</f>
        <v>Yes</v>
      </c>
      <c r="AI632" s="5" t="str">
        <f ca="1">IFERROR(__xludf.DUMMYFUNCTION("""COMPUTED_VALUE"""),"No")</f>
        <v>No</v>
      </c>
      <c r="AJ632" s="5" t="str">
        <f ca="1">IFERROR(__xludf.DUMMYFUNCTION("""COMPUTED_VALUE"""),"No")</f>
        <v>No</v>
      </c>
      <c r="AK632" s="5" t="str">
        <f ca="1">IFERROR(__xludf.DUMMYFUNCTION("""COMPUTED_VALUE"""),"No")</f>
        <v>No</v>
      </c>
      <c r="AL632" s="5" t="str">
        <f ca="1">IFERROR(__xludf.DUMMYFUNCTION("""COMPUTED_VALUE"""),"No")</f>
        <v>No</v>
      </c>
      <c r="AM632" s="5"/>
      <c r="AN632" s="5"/>
      <c r="AO632" s="5"/>
      <c r="AP632" s="5"/>
      <c r="AQ632" s="5"/>
      <c r="AR632" s="5"/>
      <c r="AS632" s="5"/>
      <c r="AT632" s="5"/>
      <c r="AU632" s="5"/>
      <c r="AV632" s="5"/>
      <c r="AW632" s="5"/>
      <c r="AX632" s="5"/>
      <c r="AY632" s="5"/>
    </row>
    <row r="633" spans="1:51" x14ac:dyDescent="0.25">
      <c r="A633"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3" s="5">
        <f ca="1">IFERROR(__xludf.DUMMYFUNCTION("""COMPUTED_VALUE"""),668)</f>
        <v>668</v>
      </c>
      <c r="C633" s="5">
        <f ca="1">IFERROR(__xludf.DUMMYFUNCTION("""COMPUTED_VALUE"""),180060)</f>
        <v>180060</v>
      </c>
      <c r="D633" s="5" t="str">
        <f ca="1">IFERROR(__xludf.DUMMYFUNCTION("""COMPUTED_VALUE"""),"RedstoneRespinFortune")</f>
        <v>RedstoneRespinFortune</v>
      </c>
      <c r="E633" s="5" t="str">
        <f ca="1">IFERROR(__xludf.DUMMYFUNCTION("""COMPUTED_VALUE"""),"Yes")</f>
        <v>Yes</v>
      </c>
      <c r="F633" s="5" t="str">
        <f ca="1">IFERROR(__xludf.DUMMYFUNCTION("""COMPUTED_VALUE"""),"Yes")</f>
        <v>Yes</v>
      </c>
      <c r="G633" s="5" t="str">
        <f ca="1">IFERROR(__xludf.DUMMYFUNCTION("""COMPUTED_VALUE"""),"Yes")</f>
        <v>Yes</v>
      </c>
      <c r="H633" s="5" t="str">
        <f ca="1">IFERROR(__xludf.DUMMYFUNCTION("""COMPUTED_VALUE"""),"Yes")</f>
        <v>Yes</v>
      </c>
      <c r="I633" s="5" t="str">
        <f ca="1">IFERROR(__xludf.DUMMYFUNCTION("""COMPUTED_VALUE"""),"Yes")</f>
        <v>Yes</v>
      </c>
      <c r="J633" s="5" t="str">
        <f ca="1">IFERROR(__xludf.DUMMYFUNCTION("""COMPUTED_VALUE"""),"Yes")</f>
        <v>Yes</v>
      </c>
      <c r="K633" s="5" t="str">
        <f ca="1">IFERROR(__xludf.DUMMYFUNCTION("""COMPUTED_VALUE"""),"Yes")</f>
        <v>Yes</v>
      </c>
      <c r="L633" s="5" t="str">
        <f ca="1">IFERROR(__xludf.DUMMYFUNCTION("""COMPUTED_VALUE"""),"Yes")</f>
        <v>Yes</v>
      </c>
      <c r="M633" s="5" t="str">
        <f ca="1">IFERROR(__xludf.DUMMYFUNCTION("""COMPUTED_VALUE"""),"Yes")</f>
        <v>Yes</v>
      </c>
      <c r="N633" s="5" t="str">
        <f ca="1">IFERROR(__xludf.DUMMYFUNCTION("""COMPUTED_VALUE"""),"Yes")</f>
        <v>Yes</v>
      </c>
      <c r="O633" s="5" t="str">
        <f ca="1">IFERROR(__xludf.DUMMYFUNCTION("""COMPUTED_VALUE"""),"Yes")</f>
        <v>Yes</v>
      </c>
      <c r="P633" s="5" t="str">
        <f ca="1">IFERROR(__xludf.DUMMYFUNCTION("""COMPUTED_VALUE"""),"Yes")</f>
        <v>Yes</v>
      </c>
      <c r="Q633" s="5" t="str">
        <f ca="1">IFERROR(__xludf.DUMMYFUNCTION("""COMPUTED_VALUE"""),"Yes")</f>
        <v>Yes</v>
      </c>
      <c r="R633" s="5" t="str">
        <f ca="1">IFERROR(__xludf.DUMMYFUNCTION("""COMPUTED_VALUE"""),"Yes")</f>
        <v>Yes</v>
      </c>
      <c r="S633" s="5" t="str">
        <f ca="1">IFERROR(__xludf.DUMMYFUNCTION("""COMPUTED_VALUE"""),"Yes")</f>
        <v>Yes</v>
      </c>
      <c r="T633" s="5" t="str">
        <f ca="1">IFERROR(__xludf.DUMMYFUNCTION("""COMPUTED_VALUE"""),"No")</f>
        <v>No</v>
      </c>
      <c r="U633" s="5" t="str">
        <f ca="1">IFERROR(__xludf.DUMMYFUNCTION("""COMPUTED_VALUE"""),"No")</f>
        <v>No</v>
      </c>
      <c r="V633" s="5" t="str">
        <f ca="1">IFERROR(__xludf.DUMMYFUNCTION("""COMPUTED_VALUE"""),"No")</f>
        <v>No</v>
      </c>
      <c r="W633" s="5" t="str">
        <f ca="1">IFERROR(__xludf.DUMMYFUNCTION("""COMPUTED_VALUE"""),"No")</f>
        <v>No</v>
      </c>
      <c r="X633" s="5" t="str">
        <f ca="1">IFERROR(__xludf.DUMMYFUNCTION("""COMPUTED_VALUE"""),"No")</f>
        <v>No</v>
      </c>
      <c r="Y633" s="5" t="str">
        <f ca="1">IFERROR(__xludf.DUMMYFUNCTION("""COMPUTED_VALUE"""),"No")</f>
        <v>No</v>
      </c>
      <c r="Z633" s="5" t="str">
        <f ca="1">IFERROR(__xludf.DUMMYFUNCTION("""COMPUTED_VALUE"""),"No")</f>
        <v>No</v>
      </c>
      <c r="AA633" s="5" t="str">
        <f ca="1">IFERROR(__xludf.DUMMYFUNCTION("""COMPUTED_VALUE"""),"Yes")</f>
        <v>Yes</v>
      </c>
      <c r="AB633" s="5" t="str">
        <f ca="1">IFERROR(__xludf.DUMMYFUNCTION("""COMPUTED_VALUE"""),"No")</f>
        <v>No</v>
      </c>
      <c r="AC633" s="5" t="str">
        <f ca="1">IFERROR(__xludf.DUMMYFUNCTION("""COMPUTED_VALUE"""),"No")</f>
        <v>No</v>
      </c>
      <c r="AD633" s="5" t="str">
        <f ca="1">IFERROR(__xludf.DUMMYFUNCTION("""COMPUTED_VALUE"""),"No")</f>
        <v>No</v>
      </c>
      <c r="AE633" s="5" t="str">
        <f ca="1">IFERROR(__xludf.DUMMYFUNCTION("""COMPUTED_VALUE"""),"No")</f>
        <v>No</v>
      </c>
      <c r="AF633" s="5" t="str">
        <f ca="1">IFERROR(__xludf.DUMMYFUNCTION("""COMPUTED_VALUE"""),"Yes")</f>
        <v>Yes</v>
      </c>
      <c r="AG633" s="5" t="str">
        <f ca="1">IFERROR(__xludf.DUMMYFUNCTION("""COMPUTED_VALUE"""),"No")</f>
        <v>No</v>
      </c>
      <c r="AH633" s="5" t="str">
        <f ca="1">IFERROR(__xludf.DUMMYFUNCTION("""COMPUTED_VALUE"""),"Yes")</f>
        <v>Yes</v>
      </c>
      <c r="AI633" s="5" t="str">
        <f ca="1">IFERROR(__xludf.DUMMYFUNCTION("""COMPUTED_VALUE"""),"No")</f>
        <v>No</v>
      </c>
      <c r="AJ633" s="5" t="str">
        <f ca="1">IFERROR(__xludf.DUMMYFUNCTION("""COMPUTED_VALUE"""),"No")</f>
        <v>No</v>
      </c>
      <c r="AK633" s="5" t="str">
        <f ca="1">IFERROR(__xludf.DUMMYFUNCTION("""COMPUTED_VALUE"""),"No")</f>
        <v>No</v>
      </c>
      <c r="AL633" s="5" t="str">
        <f ca="1">IFERROR(__xludf.DUMMYFUNCTION("""COMPUTED_VALUE"""),"No")</f>
        <v>No</v>
      </c>
      <c r="AM633" s="5"/>
      <c r="AN633" s="5"/>
      <c r="AO633" s="5"/>
      <c r="AP633" s="5"/>
      <c r="AQ633" s="5"/>
      <c r="AR633" s="5"/>
      <c r="AS633" s="5"/>
      <c r="AT633" s="5"/>
      <c r="AU633" s="5"/>
      <c r="AV633" s="5"/>
      <c r="AW633" s="5"/>
      <c r="AX633" s="5"/>
      <c r="AY633" s="5"/>
    </row>
    <row r="634" spans="1:51" x14ac:dyDescent="0.25">
      <c r="A634"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4" s="5">
        <f ca="1">IFERROR(__xludf.DUMMYFUNCTION("""COMPUTED_VALUE"""),669)</f>
        <v>669</v>
      </c>
      <c r="C634" s="5">
        <f ca="1">IFERROR(__xludf.DUMMYFUNCTION("""COMPUTED_VALUE"""),180059)</f>
        <v>180059</v>
      </c>
      <c r="D634" s="5" t="str">
        <f ca="1">IFERROR(__xludf.DUMMYFUNCTION("""COMPUTED_VALUE"""),"RedstoneMultiClover5")</f>
        <v>RedstoneMultiClover5</v>
      </c>
      <c r="E634" s="5" t="str">
        <f ca="1">IFERROR(__xludf.DUMMYFUNCTION("""COMPUTED_VALUE"""),"Yes")</f>
        <v>Yes</v>
      </c>
      <c r="F634" s="5" t="str">
        <f ca="1">IFERROR(__xludf.DUMMYFUNCTION("""COMPUTED_VALUE"""),"Yes")</f>
        <v>Yes</v>
      </c>
      <c r="G634" s="5" t="str">
        <f ca="1">IFERROR(__xludf.DUMMYFUNCTION("""COMPUTED_VALUE"""),"No")</f>
        <v>No</v>
      </c>
      <c r="H634" s="5" t="str">
        <f ca="1">IFERROR(__xludf.DUMMYFUNCTION("""COMPUTED_VALUE"""),"Yes")</f>
        <v>Yes</v>
      </c>
      <c r="I634" s="5" t="str">
        <f ca="1">IFERROR(__xludf.DUMMYFUNCTION("""COMPUTED_VALUE"""),"Yes")</f>
        <v>Yes</v>
      </c>
      <c r="J634" s="5" t="str">
        <f ca="1">IFERROR(__xludf.DUMMYFUNCTION("""COMPUTED_VALUE"""),"Yes")</f>
        <v>Yes</v>
      </c>
      <c r="K634" s="5" t="str">
        <f ca="1">IFERROR(__xludf.DUMMYFUNCTION("""COMPUTED_VALUE"""),"Yes")</f>
        <v>Yes</v>
      </c>
      <c r="L634" s="5" t="str">
        <f ca="1">IFERROR(__xludf.DUMMYFUNCTION("""COMPUTED_VALUE"""),"Yes")</f>
        <v>Yes</v>
      </c>
      <c r="M634" s="5" t="str">
        <f ca="1">IFERROR(__xludf.DUMMYFUNCTION("""COMPUTED_VALUE"""),"Yes")</f>
        <v>Yes</v>
      </c>
      <c r="N634" s="5" t="str">
        <f ca="1">IFERROR(__xludf.DUMMYFUNCTION("""COMPUTED_VALUE"""),"Yes")</f>
        <v>Yes</v>
      </c>
      <c r="O634" s="5" t="str">
        <f ca="1">IFERROR(__xludf.DUMMYFUNCTION("""COMPUTED_VALUE"""),"Yes")</f>
        <v>Yes</v>
      </c>
      <c r="P634" s="5" t="str">
        <f ca="1">IFERROR(__xludf.DUMMYFUNCTION("""COMPUTED_VALUE"""),"Yes")</f>
        <v>Yes</v>
      </c>
      <c r="Q634" s="5" t="str">
        <f ca="1">IFERROR(__xludf.DUMMYFUNCTION("""COMPUTED_VALUE"""),"Yes")</f>
        <v>Yes</v>
      </c>
      <c r="R634" s="5" t="str">
        <f ca="1">IFERROR(__xludf.DUMMYFUNCTION("""COMPUTED_VALUE"""),"Yes")</f>
        <v>Yes</v>
      </c>
      <c r="S634" s="5" t="str">
        <f ca="1">IFERROR(__xludf.DUMMYFUNCTION("""COMPUTED_VALUE"""),"Yes")</f>
        <v>Yes</v>
      </c>
      <c r="T634" s="5" t="str">
        <f ca="1">IFERROR(__xludf.DUMMYFUNCTION("""COMPUTED_VALUE"""),"No")</f>
        <v>No</v>
      </c>
      <c r="U634" s="5" t="str">
        <f ca="1">IFERROR(__xludf.DUMMYFUNCTION("""COMPUTED_VALUE"""),"No")</f>
        <v>No</v>
      </c>
      <c r="V634" s="5" t="str">
        <f ca="1">IFERROR(__xludf.DUMMYFUNCTION("""COMPUTED_VALUE"""),"No")</f>
        <v>No</v>
      </c>
      <c r="W634" s="5" t="str">
        <f ca="1">IFERROR(__xludf.DUMMYFUNCTION("""COMPUTED_VALUE"""),"No")</f>
        <v>No</v>
      </c>
      <c r="X634" s="5" t="str">
        <f ca="1">IFERROR(__xludf.DUMMYFUNCTION("""COMPUTED_VALUE"""),"No")</f>
        <v>No</v>
      </c>
      <c r="Y634" s="5" t="str">
        <f ca="1">IFERROR(__xludf.DUMMYFUNCTION("""COMPUTED_VALUE"""),"No")</f>
        <v>No</v>
      </c>
      <c r="Z634" s="5" t="str">
        <f ca="1">IFERROR(__xludf.DUMMYFUNCTION("""COMPUTED_VALUE"""),"No")</f>
        <v>No</v>
      </c>
      <c r="AA634" s="5" t="str">
        <f ca="1">IFERROR(__xludf.DUMMYFUNCTION("""COMPUTED_VALUE"""),"Yes")</f>
        <v>Yes</v>
      </c>
      <c r="AB634" s="5" t="str">
        <f ca="1">IFERROR(__xludf.DUMMYFUNCTION("""COMPUTED_VALUE"""),"No")</f>
        <v>No</v>
      </c>
      <c r="AC634" s="5" t="str">
        <f ca="1">IFERROR(__xludf.DUMMYFUNCTION("""COMPUTED_VALUE"""),"No")</f>
        <v>No</v>
      </c>
      <c r="AD634" s="5" t="str">
        <f ca="1">IFERROR(__xludf.DUMMYFUNCTION("""COMPUTED_VALUE"""),"No")</f>
        <v>No</v>
      </c>
      <c r="AE634" s="5" t="str">
        <f ca="1">IFERROR(__xludf.DUMMYFUNCTION("""COMPUTED_VALUE"""),"No")</f>
        <v>No</v>
      </c>
      <c r="AF634" s="5" t="str">
        <f ca="1">IFERROR(__xludf.DUMMYFUNCTION("""COMPUTED_VALUE"""),"Yes")</f>
        <v>Yes</v>
      </c>
      <c r="AG634" s="5" t="str">
        <f ca="1">IFERROR(__xludf.DUMMYFUNCTION("""COMPUTED_VALUE"""),"No")</f>
        <v>No</v>
      </c>
      <c r="AH634" s="5" t="str">
        <f ca="1">IFERROR(__xludf.DUMMYFUNCTION("""COMPUTED_VALUE"""),"Yes")</f>
        <v>Yes</v>
      </c>
      <c r="AI634" s="5" t="str">
        <f ca="1">IFERROR(__xludf.DUMMYFUNCTION("""COMPUTED_VALUE"""),"No")</f>
        <v>No</v>
      </c>
      <c r="AJ634" s="5" t="str">
        <f ca="1">IFERROR(__xludf.DUMMYFUNCTION("""COMPUTED_VALUE"""),"No")</f>
        <v>No</v>
      </c>
      <c r="AK634" s="5" t="str">
        <f ca="1">IFERROR(__xludf.DUMMYFUNCTION("""COMPUTED_VALUE"""),"No")</f>
        <v>No</v>
      </c>
      <c r="AL634" s="5" t="str">
        <f ca="1">IFERROR(__xludf.DUMMYFUNCTION("""COMPUTED_VALUE"""),"No")</f>
        <v>No</v>
      </c>
      <c r="AM634" s="5"/>
      <c r="AN634" s="5"/>
      <c r="AO634" s="5"/>
      <c r="AP634" s="5"/>
      <c r="AQ634" s="5"/>
      <c r="AR634" s="5"/>
      <c r="AS634" s="5"/>
      <c r="AT634" s="5"/>
      <c r="AU634" s="5"/>
      <c r="AV634" s="5"/>
      <c r="AW634" s="5"/>
      <c r="AX634" s="5"/>
      <c r="AY634" s="5"/>
    </row>
    <row r="635" spans="1:51" x14ac:dyDescent="0.25">
      <c r="A635"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5" s="5">
        <f ca="1">IFERROR(__xludf.DUMMYFUNCTION("""COMPUTED_VALUE"""),670)</f>
        <v>670</v>
      </c>
      <c r="C635" s="5">
        <f ca="1">IFERROR(__xludf.DUMMYFUNCTION("""COMPUTED_VALUE"""),180061)</f>
        <v>180061</v>
      </c>
      <c r="D635" s="5" t="str">
        <f ca="1">IFERROR(__xludf.DUMMYFUNCTION("""COMPUTED_VALUE"""),"RedstoneJokerX5")</f>
        <v>RedstoneJokerX5</v>
      </c>
      <c r="E635" s="5" t="str">
        <f ca="1">IFERROR(__xludf.DUMMYFUNCTION("""COMPUTED_VALUE"""),"Yes")</f>
        <v>Yes</v>
      </c>
      <c r="F635" s="5" t="str">
        <f ca="1">IFERROR(__xludf.DUMMYFUNCTION("""COMPUTED_VALUE"""),"Yes")</f>
        <v>Yes</v>
      </c>
      <c r="G635" s="5" t="str">
        <f ca="1">IFERROR(__xludf.DUMMYFUNCTION("""COMPUTED_VALUE"""),"Yes")</f>
        <v>Yes</v>
      </c>
      <c r="H635" s="5" t="str">
        <f ca="1">IFERROR(__xludf.DUMMYFUNCTION("""COMPUTED_VALUE"""),"Yes")</f>
        <v>Yes</v>
      </c>
      <c r="I635" s="5" t="str">
        <f ca="1">IFERROR(__xludf.DUMMYFUNCTION("""COMPUTED_VALUE"""),"Yes")</f>
        <v>Yes</v>
      </c>
      <c r="J635" s="5" t="str">
        <f ca="1">IFERROR(__xludf.DUMMYFUNCTION("""COMPUTED_VALUE"""),"Yes")</f>
        <v>Yes</v>
      </c>
      <c r="K635" s="5" t="str">
        <f ca="1">IFERROR(__xludf.DUMMYFUNCTION("""COMPUTED_VALUE"""),"Yes")</f>
        <v>Yes</v>
      </c>
      <c r="L635" s="5" t="str">
        <f ca="1">IFERROR(__xludf.DUMMYFUNCTION("""COMPUTED_VALUE"""),"Yes")</f>
        <v>Yes</v>
      </c>
      <c r="M635" s="5" t="str">
        <f ca="1">IFERROR(__xludf.DUMMYFUNCTION("""COMPUTED_VALUE"""),"Yes")</f>
        <v>Yes</v>
      </c>
      <c r="N635" s="5" t="str">
        <f ca="1">IFERROR(__xludf.DUMMYFUNCTION("""COMPUTED_VALUE"""),"Yes")</f>
        <v>Yes</v>
      </c>
      <c r="O635" s="5" t="str">
        <f ca="1">IFERROR(__xludf.DUMMYFUNCTION("""COMPUTED_VALUE"""),"Yes")</f>
        <v>Yes</v>
      </c>
      <c r="P635" s="5" t="str">
        <f ca="1">IFERROR(__xludf.DUMMYFUNCTION("""COMPUTED_VALUE"""),"Yes")</f>
        <v>Yes</v>
      </c>
      <c r="Q635" s="5" t="str">
        <f ca="1">IFERROR(__xludf.DUMMYFUNCTION("""COMPUTED_VALUE"""),"Yes")</f>
        <v>Yes</v>
      </c>
      <c r="R635" s="5" t="str">
        <f ca="1">IFERROR(__xludf.DUMMYFUNCTION("""COMPUTED_VALUE"""),"Yes")</f>
        <v>Yes</v>
      </c>
      <c r="S635" s="5" t="str">
        <f ca="1">IFERROR(__xludf.DUMMYFUNCTION("""COMPUTED_VALUE"""),"Yes")</f>
        <v>Yes</v>
      </c>
      <c r="T635" s="5" t="str">
        <f ca="1">IFERROR(__xludf.DUMMYFUNCTION("""COMPUTED_VALUE"""),"No")</f>
        <v>No</v>
      </c>
      <c r="U635" s="5" t="str">
        <f ca="1">IFERROR(__xludf.DUMMYFUNCTION("""COMPUTED_VALUE"""),"No")</f>
        <v>No</v>
      </c>
      <c r="V635" s="5" t="str">
        <f ca="1">IFERROR(__xludf.DUMMYFUNCTION("""COMPUTED_VALUE"""),"No")</f>
        <v>No</v>
      </c>
      <c r="W635" s="5" t="str">
        <f ca="1">IFERROR(__xludf.DUMMYFUNCTION("""COMPUTED_VALUE"""),"No")</f>
        <v>No</v>
      </c>
      <c r="X635" s="5" t="str">
        <f ca="1">IFERROR(__xludf.DUMMYFUNCTION("""COMPUTED_VALUE"""),"No")</f>
        <v>No</v>
      </c>
      <c r="Y635" s="5" t="str">
        <f ca="1">IFERROR(__xludf.DUMMYFUNCTION("""COMPUTED_VALUE"""),"No")</f>
        <v>No</v>
      </c>
      <c r="Z635" s="5" t="str">
        <f ca="1">IFERROR(__xludf.DUMMYFUNCTION("""COMPUTED_VALUE"""),"No")</f>
        <v>No</v>
      </c>
      <c r="AA635" s="5" t="str">
        <f ca="1">IFERROR(__xludf.DUMMYFUNCTION("""COMPUTED_VALUE"""),"Yes")</f>
        <v>Yes</v>
      </c>
      <c r="AB635" s="5" t="str">
        <f ca="1">IFERROR(__xludf.DUMMYFUNCTION("""COMPUTED_VALUE"""),"No")</f>
        <v>No</v>
      </c>
      <c r="AC635" s="5" t="str">
        <f ca="1">IFERROR(__xludf.DUMMYFUNCTION("""COMPUTED_VALUE"""),"No")</f>
        <v>No</v>
      </c>
      <c r="AD635" s="5" t="str">
        <f ca="1">IFERROR(__xludf.DUMMYFUNCTION("""COMPUTED_VALUE"""),"No")</f>
        <v>No</v>
      </c>
      <c r="AE635" s="5" t="str">
        <f ca="1">IFERROR(__xludf.DUMMYFUNCTION("""COMPUTED_VALUE"""),"No")</f>
        <v>No</v>
      </c>
      <c r="AF635" s="5" t="str">
        <f ca="1">IFERROR(__xludf.DUMMYFUNCTION("""COMPUTED_VALUE"""),"Yes")</f>
        <v>Yes</v>
      </c>
      <c r="AG635" s="5" t="str">
        <f ca="1">IFERROR(__xludf.DUMMYFUNCTION("""COMPUTED_VALUE"""),"No")</f>
        <v>No</v>
      </c>
      <c r="AH635" s="5" t="str">
        <f ca="1">IFERROR(__xludf.DUMMYFUNCTION("""COMPUTED_VALUE"""),"Yes")</f>
        <v>Yes</v>
      </c>
      <c r="AI635" s="5" t="str">
        <f ca="1">IFERROR(__xludf.DUMMYFUNCTION("""COMPUTED_VALUE"""),"No")</f>
        <v>No</v>
      </c>
      <c r="AJ635" s="5" t="str">
        <f ca="1">IFERROR(__xludf.DUMMYFUNCTION("""COMPUTED_VALUE"""),"No")</f>
        <v>No</v>
      </c>
      <c r="AK635" s="5" t="str">
        <f ca="1">IFERROR(__xludf.DUMMYFUNCTION("""COMPUTED_VALUE"""),"No")</f>
        <v>No</v>
      </c>
      <c r="AL635" s="5" t="str">
        <f ca="1">IFERROR(__xludf.DUMMYFUNCTION("""COMPUTED_VALUE"""),"No")</f>
        <v>No</v>
      </c>
      <c r="AM635" s="5"/>
      <c r="AN635" s="5"/>
      <c r="AO635" s="5"/>
      <c r="AP635" s="5"/>
      <c r="AQ635" s="5"/>
      <c r="AR635" s="5"/>
      <c r="AS635" s="5"/>
      <c r="AT635" s="5"/>
      <c r="AU635" s="5"/>
      <c r="AV635" s="5"/>
      <c r="AW635" s="5"/>
      <c r="AX635" s="5"/>
      <c r="AY635" s="5"/>
    </row>
    <row r="636" spans="1:51" x14ac:dyDescent="0.25">
      <c r="A636"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6" s="5">
        <f ca="1">IFERROR(__xludf.DUMMYFUNCTION("""COMPUTED_VALUE"""),671)</f>
        <v>671</v>
      </c>
      <c r="C636" s="5">
        <f ca="1">IFERROR(__xludf.DUMMYFUNCTION("""COMPUTED_VALUE"""),180062)</f>
        <v>180062</v>
      </c>
      <c r="D636" s="5" t="str">
        <f ca="1">IFERROR(__xludf.DUMMYFUNCTION("""COMPUTED_VALUE"""),"RedstoneCloverRush5")</f>
        <v>RedstoneCloverRush5</v>
      </c>
      <c r="E636" s="5" t="str">
        <f ca="1">IFERROR(__xludf.DUMMYFUNCTION("""COMPUTED_VALUE"""),"Yes")</f>
        <v>Yes</v>
      </c>
      <c r="F636" s="5" t="str">
        <f ca="1">IFERROR(__xludf.DUMMYFUNCTION("""COMPUTED_VALUE"""),"Yes")</f>
        <v>Yes</v>
      </c>
      <c r="G636" s="5" t="str">
        <f ca="1">IFERROR(__xludf.DUMMYFUNCTION("""COMPUTED_VALUE"""),"No")</f>
        <v>No</v>
      </c>
      <c r="H636" s="5" t="str">
        <f ca="1">IFERROR(__xludf.DUMMYFUNCTION("""COMPUTED_VALUE"""),"Yes")</f>
        <v>Yes</v>
      </c>
      <c r="I636" s="5" t="str">
        <f ca="1">IFERROR(__xludf.DUMMYFUNCTION("""COMPUTED_VALUE"""),"Yes")</f>
        <v>Yes</v>
      </c>
      <c r="J636" s="5" t="str">
        <f ca="1">IFERROR(__xludf.DUMMYFUNCTION("""COMPUTED_VALUE"""),"Yes")</f>
        <v>Yes</v>
      </c>
      <c r="K636" s="5" t="str">
        <f ca="1">IFERROR(__xludf.DUMMYFUNCTION("""COMPUTED_VALUE"""),"Yes")</f>
        <v>Yes</v>
      </c>
      <c r="L636" s="5" t="str">
        <f ca="1">IFERROR(__xludf.DUMMYFUNCTION("""COMPUTED_VALUE"""),"Yes")</f>
        <v>Yes</v>
      </c>
      <c r="M636" s="5" t="str">
        <f ca="1">IFERROR(__xludf.DUMMYFUNCTION("""COMPUTED_VALUE"""),"Yes")</f>
        <v>Yes</v>
      </c>
      <c r="N636" s="5" t="str">
        <f ca="1">IFERROR(__xludf.DUMMYFUNCTION("""COMPUTED_VALUE"""),"Yes")</f>
        <v>Yes</v>
      </c>
      <c r="O636" s="5" t="str">
        <f ca="1">IFERROR(__xludf.DUMMYFUNCTION("""COMPUTED_VALUE"""),"Yes")</f>
        <v>Yes</v>
      </c>
      <c r="P636" s="5" t="str">
        <f ca="1">IFERROR(__xludf.DUMMYFUNCTION("""COMPUTED_VALUE"""),"Yes")</f>
        <v>Yes</v>
      </c>
      <c r="Q636" s="5" t="str">
        <f ca="1">IFERROR(__xludf.DUMMYFUNCTION("""COMPUTED_VALUE"""),"Yes")</f>
        <v>Yes</v>
      </c>
      <c r="R636" s="5" t="str">
        <f ca="1">IFERROR(__xludf.DUMMYFUNCTION("""COMPUTED_VALUE"""),"Yes")</f>
        <v>Yes</v>
      </c>
      <c r="S636" s="5" t="str">
        <f ca="1">IFERROR(__xludf.DUMMYFUNCTION("""COMPUTED_VALUE"""),"Yes")</f>
        <v>Yes</v>
      </c>
      <c r="T636" s="5" t="str">
        <f ca="1">IFERROR(__xludf.DUMMYFUNCTION("""COMPUTED_VALUE"""),"No")</f>
        <v>No</v>
      </c>
      <c r="U636" s="5" t="str">
        <f ca="1">IFERROR(__xludf.DUMMYFUNCTION("""COMPUTED_VALUE"""),"No")</f>
        <v>No</v>
      </c>
      <c r="V636" s="5" t="str">
        <f ca="1">IFERROR(__xludf.DUMMYFUNCTION("""COMPUTED_VALUE"""),"No")</f>
        <v>No</v>
      </c>
      <c r="W636" s="5" t="str">
        <f ca="1">IFERROR(__xludf.DUMMYFUNCTION("""COMPUTED_VALUE"""),"No")</f>
        <v>No</v>
      </c>
      <c r="X636" s="5" t="str">
        <f ca="1">IFERROR(__xludf.DUMMYFUNCTION("""COMPUTED_VALUE"""),"No")</f>
        <v>No</v>
      </c>
      <c r="Y636" s="5" t="str">
        <f ca="1">IFERROR(__xludf.DUMMYFUNCTION("""COMPUTED_VALUE"""),"No")</f>
        <v>No</v>
      </c>
      <c r="Z636" s="5" t="str">
        <f ca="1">IFERROR(__xludf.DUMMYFUNCTION("""COMPUTED_VALUE"""),"No")</f>
        <v>No</v>
      </c>
      <c r="AA636" s="5" t="str">
        <f ca="1">IFERROR(__xludf.DUMMYFUNCTION("""COMPUTED_VALUE"""),"Yes")</f>
        <v>Yes</v>
      </c>
      <c r="AB636" s="5" t="str">
        <f ca="1">IFERROR(__xludf.DUMMYFUNCTION("""COMPUTED_VALUE"""),"No")</f>
        <v>No</v>
      </c>
      <c r="AC636" s="5" t="str">
        <f ca="1">IFERROR(__xludf.DUMMYFUNCTION("""COMPUTED_VALUE"""),"No")</f>
        <v>No</v>
      </c>
      <c r="AD636" s="5" t="str">
        <f ca="1">IFERROR(__xludf.DUMMYFUNCTION("""COMPUTED_VALUE"""),"No")</f>
        <v>No</v>
      </c>
      <c r="AE636" s="5" t="str">
        <f ca="1">IFERROR(__xludf.DUMMYFUNCTION("""COMPUTED_VALUE"""),"No")</f>
        <v>No</v>
      </c>
      <c r="AF636" s="5" t="str">
        <f ca="1">IFERROR(__xludf.DUMMYFUNCTION("""COMPUTED_VALUE"""),"Yes")</f>
        <v>Yes</v>
      </c>
      <c r="AG636" s="5" t="str">
        <f ca="1">IFERROR(__xludf.DUMMYFUNCTION("""COMPUTED_VALUE"""),"No")</f>
        <v>No</v>
      </c>
      <c r="AH636" s="5" t="str">
        <f ca="1">IFERROR(__xludf.DUMMYFUNCTION("""COMPUTED_VALUE"""),"Yes")</f>
        <v>Yes</v>
      </c>
      <c r="AI636" s="5" t="str">
        <f ca="1">IFERROR(__xludf.DUMMYFUNCTION("""COMPUTED_VALUE"""),"No")</f>
        <v>No</v>
      </c>
      <c r="AJ636" s="5" t="str">
        <f ca="1">IFERROR(__xludf.DUMMYFUNCTION("""COMPUTED_VALUE"""),"No")</f>
        <v>No</v>
      </c>
      <c r="AK636" s="5" t="str">
        <f ca="1">IFERROR(__xludf.DUMMYFUNCTION("""COMPUTED_VALUE"""),"No")</f>
        <v>No</v>
      </c>
      <c r="AL636" s="5" t="str">
        <f ca="1">IFERROR(__xludf.DUMMYFUNCTION("""COMPUTED_VALUE"""),"No")</f>
        <v>No</v>
      </c>
      <c r="AM636" s="5"/>
      <c r="AN636" s="5"/>
      <c r="AO636" s="5"/>
      <c r="AP636" s="5"/>
      <c r="AQ636" s="5"/>
      <c r="AR636" s="5"/>
      <c r="AS636" s="5"/>
      <c r="AT636" s="5"/>
      <c r="AU636" s="5"/>
      <c r="AV636" s="5"/>
      <c r="AW636" s="5"/>
      <c r="AX636" s="5"/>
      <c r="AY636" s="5"/>
    </row>
    <row r="637" spans="1:51" x14ac:dyDescent="0.25">
      <c r="A637"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7" s="5">
        <f ca="1">IFERROR(__xludf.DUMMYFUNCTION("""COMPUTED_VALUE"""),672)</f>
        <v>672</v>
      </c>
      <c r="C637" s="5">
        <f ca="1">IFERROR(__xludf.DUMMYFUNCTION("""COMPUTED_VALUE"""),180057)</f>
        <v>180057</v>
      </c>
      <c r="D637" s="5" t="str">
        <f ca="1">IFERROR(__xludf.DUMMYFUNCTION("""COMPUTED_VALUE"""),"Redstone5BellFire")</f>
        <v>Redstone5BellFire</v>
      </c>
      <c r="E637" s="5" t="str">
        <f ca="1">IFERROR(__xludf.DUMMYFUNCTION("""COMPUTED_VALUE"""),"Yes")</f>
        <v>Yes</v>
      </c>
      <c r="F637" s="5" t="str">
        <f ca="1">IFERROR(__xludf.DUMMYFUNCTION("""COMPUTED_VALUE"""),"Yes")</f>
        <v>Yes</v>
      </c>
      <c r="G637" s="5" t="str">
        <f ca="1">IFERROR(__xludf.DUMMYFUNCTION("""COMPUTED_VALUE"""),"No")</f>
        <v>No</v>
      </c>
      <c r="H637" s="5" t="str">
        <f ca="1">IFERROR(__xludf.DUMMYFUNCTION("""COMPUTED_VALUE"""),"Yes")</f>
        <v>Yes</v>
      </c>
      <c r="I637" s="5" t="str">
        <f ca="1">IFERROR(__xludf.DUMMYFUNCTION("""COMPUTED_VALUE"""),"Yes")</f>
        <v>Yes</v>
      </c>
      <c r="J637" s="5" t="str">
        <f ca="1">IFERROR(__xludf.DUMMYFUNCTION("""COMPUTED_VALUE"""),"Yes")</f>
        <v>Yes</v>
      </c>
      <c r="K637" s="5" t="str">
        <f ca="1">IFERROR(__xludf.DUMMYFUNCTION("""COMPUTED_VALUE"""),"Yes")</f>
        <v>Yes</v>
      </c>
      <c r="L637" s="5" t="str">
        <f ca="1">IFERROR(__xludf.DUMMYFUNCTION("""COMPUTED_VALUE"""),"Yes")</f>
        <v>Yes</v>
      </c>
      <c r="M637" s="5" t="str">
        <f ca="1">IFERROR(__xludf.DUMMYFUNCTION("""COMPUTED_VALUE"""),"Yes")</f>
        <v>Yes</v>
      </c>
      <c r="N637" s="5" t="str">
        <f ca="1">IFERROR(__xludf.DUMMYFUNCTION("""COMPUTED_VALUE"""),"Yes")</f>
        <v>Yes</v>
      </c>
      <c r="O637" s="5" t="str">
        <f ca="1">IFERROR(__xludf.DUMMYFUNCTION("""COMPUTED_VALUE"""),"Yes")</f>
        <v>Yes</v>
      </c>
      <c r="P637" s="5" t="str">
        <f ca="1">IFERROR(__xludf.DUMMYFUNCTION("""COMPUTED_VALUE"""),"Yes")</f>
        <v>Yes</v>
      </c>
      <c r="Q637" s="5" t="str">
        <f ca="1">IFERROR(__xludf.DUMMYFUNCTION("""COMPUTED_VALUE"""),"Yes")</f>
        <v>Yes</v>
      </c>
      <c r="R637" s="5" t="str">
        <f ca="1">IFERROR(__xludf.DUMMYFUNCTION("""COMPUTED_VALUE"""),"Yes")</f>
        <v>Yes</v>
      </c>
      <c r="S637" s="5" t="str">
        <f ca="1">IFERROR(__xludf.DUMMYFUNCTION("""COMPUTED_VALUE"""),"Yes")</f>
        <v>Yes</v>
      </c>
      <c r="T637" s="5" t="str">
        <f ca="1">IFERROR(__xludf.DUMMYFUNCTION("""COMPUTED_VALUE"""),"No")</f>
        <v>No</v>
      </c>
      <c r="U637" s="5" t="str">
        <f ca="1">IFERROR(__xludf.DUMMYFUNCTION("""COMPUTED_VALUE"""),"No")</f>
        <v>No</v>
      </c>
      <c r="V637" s="5" t="str">
        <f ca="1">IFERROR(__xludf.DUMMYFUNCTION("""COMPUTED_VALUE"""),"No")</f>
        <v>No</v>
      </c>
      <c r="W637" s="5" t="str">
        <f ca="1">IFERROR(__xludf.DUMMYFUNCTION("""COMPUTED_VALUE"""),"No")</f>
        <v>No</v>
      </c>
      <c r="X637" s="5" t="str">
        <f ca="1">IFERROR(__xludf.DUMMYFUNCTION("""COMPUTED_VALUE"""),"No")</f>
        <v>No</v>
      </c>
      <c r="Y637" s="5" t="str">
        <f ca="1">IFERROR(__xludf.DUMMYFUNCTION("""COMPUTED_VALUE"""),"No")</f>
        <v>No</v>
      </c>
      <c r="Z637" s="5" t="str">
        <f ca="1">IFERROR(__xludf.DUMMYFUNCTION("""COMPUTED_VALUE"""),"No")</f>
        <v>No</v>
      </c>
      <c r="AA637" s="5" t="str">
        <f ca="1">IFERROR(__xludf.DUMMYFUNCTION("""COMPUTED_VALUE"""),"Yes")</f>
        <v>Yes</v>
      </c>
      <c r="AB637" s="5" t="str">
        <f ca="1">IFERROR(__xludf.DUMMYFUNCTION("""COMPUTED_VALUE"""),"No")</f>
        <v>No</v>
      </c>
      <c r="AC637" s="5" t="str">
        <f ca="1">IFERROR(__xludf.DUMMYFUNCTION("""COMPUTED_VALUE"""),"No")</f>
        <v>No</v>
      </c>
      <c r="AD637" s="5" t="str">
        <f ca="1">IFERROR(__xludf.DUMMYFUNCTION("""COMPUTED_VALUE"""),"No")</f>
        <v>No</v>
      </c>
      <c r="AE637" s="5" t="str">
        <f ca="1">IFERROR(__xludf.DUMMYFUNCTION("""COMPUTED_VALUE"""),"No")</f>
        <v>No</v>
      </c>
      <c r="AF637" s="5" t="str">
        <f ca="1">IFERROR(__xludf.DUMMYFUNCTION("""COMPUTED_VALUE"""),"Yes")</f>
        <v>Yes</v>
      </c>
      <c r="AG637" s="5" t="str">
        <f ca="1">IFERROR(__xludf.DUMMYFUNCTION("""COMPUTED_VALUE"""),"No")</f>
        <v>No</v>
      </c>
      <c r="AH637" s="5" t="str">
        <f ca="1">IFERROR(__xludf.DUMMYFUNCTION("""COMPUTED_VALUE"""),"Yes")</f>
        <v>Yes</v>
      </c>
      <c r="AI637" s="5" t="str">
        <f ca="1">IFERROR(__xludf.DUMMYFUNCTION("""COMPUTED_VALUE"""),"No")</f>
        <v>No</v>
      </c>
      <c r="AJ637" s="5" t="str">
        <f ca="1">IFERROR(__xludf.DUMMYFUNCTION("""COMPUTED_VALUE"""),"No")</f>
        <v>No</v>
      </c>
      <c r="AK637" s="5" t="str">
        <f ca="1">IFERROR(__xludf.DUMMYFUNCTION("""COMPUTED_VALUE"""),"No")</f>
        <v>No</v>
      </c>
      <c r="AL637" s="5" t="str">
        <f ca="1">IFERROR(__xludf.DUMMYFUNCTION("""COMPUTED_VALUE"""),"No")</f>
        <v>No</v>
      </c>
      <c r="AM637" s="5"/>
      <c r="AN637" s="5"/>
      <c r="AO637" s="5"/>
      <c r="AP637" s="5"/>
      <c r="AQ637" s="5"/>
      <c r="AR637" s="5"/>
      <c r="AS637" s="5"/>
      <c r="AT637" s="5"/>
      <c r="AU637" s="5"/>
      <c r="AV637" s="5"/>
      <c r="AW637" s="5"/>
      <c r="AX637" s="5"/>
      <c r="AY637" s="5"/>
    </row>
    <row r="638" spans="1:51" x14ac:dyDescent="0.25">
      <c r="A63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8" s="5">
        <f ca="1">IFERROR(__xludf.DUMMYFUNCTION("""COMPUTED_VALUE"""),673)</f>
        <v>673</v>
      </c>
      <c r="C638" s="5">
        <f ca="1">IFERROR(__xludf.DUMMYFUNCTION("""COMPUTED_VALUE"""),180063)</f>
        <v>180063</v>
      </c>
      <c r="D638" s="5" t="str">
        <f ca="1">IFERROR(__xludf.DUMMYFUNCTION("""COMPUTED_VALUE"""),"RedstoneDiceDrop10")</f>
        <v>RedstoneDiceDrop10</v>
      </c>
      <c r="E638" s="5" t="str">
        <f ca="1">IFERROR(__xludf.DUMMYFUNCTION("""COMPUTED_VALUE"""),"Yes")</f>
        <v>Yes</v>
      </c>
      <c r="F638" s="5" t="str">
        <f ca="1">IFERROR(__xludf.DUMMYFUNCTION("""COMPUTED_VALUE"""),"Yes")</f>
        <v>Yes</v>
      </c>
      <c r="G638" s="5" t="str">
        <f ca="1">IFERROR(__xludf.DUMMYFUNCTION("""COMPUTED_VALUE"""),"No")</f>
        <v>No</v>
      </c>
      <c r="H638" s="5" t="str">
        <f ca="1">IFERROR(__xludf.DUMMYFUNCTION("""COMPUTED_VALUE"""),"Yes")</f>
        <v>Yes</v>
      </c>
      <c r="I638" s="5" t="str">
        <f ca="1">IFERROR(__xludf.DUMMYFUNCTION("""COMPUTED_VALUE"""),"Yes")</f>
        <v>Yes</v>
      </c>
      <c r="J638" s="5" t="str">
        <f ca="1">IFERROR(__xludf.DUMMYFUNCTION("""COMPUTED_VALUE"""),"Yes")</f>
        <v>Yes</v>
      </c>
      <c r="K638" s="5" t="str">
        <f ca="1">IFERROR(__xludf.DUMMYFUNCTION("""COMPUTED_VALUE"""),"Yes")</f>
        <v>Yes</v>
      </c>
      <c r="L638" s="5" t="str">
        <f ca="1">IFERROR(__xludf.DUMMYFUNCTION("""COMPUTED_VALUE"""),"Yes")</f>
        <v>Yes</v>
      </c>
      <c r="M638" s="5" t="str">
        <f ca="1">IFERROR(__xludf.DUMMYFUNCTION("""COMPUTED_VALUE"""),"Yes")</f>
        <v>Yes</v>
      </c>
      <c r="N638" s="5" t="str">
        <f ca="1">IFERROR(__xludf.DUMMYFUNCTION("""COMPUTED_VALUE"""),"Yes")</f>
        <v>Yes</v>
      </c>
      <c r="O638" s="5" t="str">
        <f ca="1">IFERROR(__xludf.DUMMYFUNCTION("""COMPUTED_VALUE"""),"Yes")</f>
        <v>Yes</v>
      </c>
      <c r="P638" s="5" t="str">
        <f ca="1">IFERROR(__xludf.DUMMYFUNCTION("""COMPUTED_VALUE"""),"Yes")</f>
        <v>Yes</v>
      </c>
      <c r="Q638" s="5" t="str">
        <f ca="1">IFERROR(__xludf.DUMMYFUNCTION("""COMPUTED_VALUE"""),"Yes")</f>
        <v>Yes</v>
      </c>
      <c r="R638" s="5" t="str">
        <f ca="1">IFERROR(__xludf.DUMMYFUNCTION("""COMPUTED_VALUE"""),"Yes")</f>
        <v>Yes</v>
      </c>
      <c r="S638" s="5" t="str">
        <f ca="1">IFERROR(__xludf.DUMMYFUNCTION("""COMPUTED_VALUE"""),"Yes")</f>
        <v>Yes</v>
      </c>
      <c r="T638" s="5" t="str">
        <f ca="1">IFERROR(__xludf.DUMMYFUNCTION("""COMPUTED_VALUE"""),"No")</f>
        <v>No</v>
      </c>
      <c r="U638" s="5" t="str">
        <f ca="1">IFERROR(__xludf.DUMMYFUNCTION("""COMPUTED_VALUE"""),"No")</f>
        <v>No</v>
      </c>
      <c r="V638" s="5" t="str">
        <f ca="1">IFERROR(__xludf.DUMMYFUNCTION("""COMPUTED_VALUE"""),"No")</f>
        <v>No</v>
      </c>
      <c r="W638" s="5" t="str">
        <f ca="1">IFERROR(__xludf.DUMMYFUNCTION("""COMPUTED_VALUE"""),"No")</f>
        <v>No</v>
      </c>
      <c r="X638" s="5" t="str">
        <f ca="1">IFERROR(__xludf.DUMMYFUNCTION("""COMPUTED_VALUE"""),"No")</f>
        <v>No</v>
      </c>
      <c r="Y638" s="5" t="str">
        <f ca="1">IFERROR(__xludf.DUMMYFUNCTION("""COMPUTED_VALUE"""),"No")</f>
        <v>No</v>
      </c>
      <c r="Z638" s="5" t="str">
        <f ca="1">IFERROR(__xludf.DUMMYFUNCTION("""COMPUTED_VALUE"""),"No")</f>
        <v>No</v>
      </c>
      <c r="AA638" s="5" t="str">
        <f ca="1">IFERROR(__xludf.DUMMYFUNCTION("""COMPUTED_VALUE"""),"Yes")</f>
        <v>Yes</v>
      </c>
      <c r="AB638" s="5" t="str">
        <f ca="1">IFERROR(__xludf.DUMMYFUNCTION("""COMPUTED_VALUE"""),"No")</f>
        <v>No</v>
      </c>
      <c r="AC638" s="5" t="str">
        <f ca="1">IFERROR(__xludf.DUMMYFUNCTION("""COMPUTED_VALUE"""),"No")</f>
        <v>No</v>
      </c>
      <c r="AD638" s="5" t="str">
        <f ca="1">IFERROR(__xludf.DUMMYFUNCTION("""COMPUTED_VALUE"""),"No")</f>
        <v>No</v>
      </c>
      <c r="AE638" s="5" t="str">
        <f ca="1">IFERROR(__xludf.DUMMYFUNCTION("""COMPUTED_VALUE"""),"No")</f>
        <v>No</v>
      </c>
      <c r="AF638" s="5" t="str">
        <f ca="1">IFERROR(__xludf.DUMMYFUNCTION("""COMPUTED_VALUE"""),"Yes")</f>
        <v>Yes</v>
      </c>
      <c r="AG638" s="5" t="str">
        <f ca="1">IFERROR(__xludf.DUMMYFUNCTION("""COMPUTED_VALUE"""),"No")</f>
        <v>No</v>
      </c>
      <c r="AH638" s="5" t="str">
        <f ca="1">IFERROR(__xludf.DUMMYFUNCTION("""COMPUTED_VALUE"""),"Yes")</f>
        <v>Yes</v>
      </c>
      <c r="AI638" s="5" t="str">
        <f ca="1">IFERROR(__xludf.DUMMYFUNCTION("""COMPUTED_VALUE"""),"No")</f>
        <v>No</v>
      </c>
      <c r="AJ638" s="5" t="str">
        <f ca="1">IFERROR(__xludf.DUMMYFUNCTION("""COMPUTED_VALUE"""),"No")</f>
        <v>No</v>
      </c>
      <c r="AK638" s="5" t="str">
        <f ca="1">IFERROR(__xludf.DUMMYFUNCTION("""COMPUTED_VALUE"""),"No")</f>
        <v>No</v>
      </c>
      <c r="AL638" s="5" t="str">
        <f ca="1">IFERROR(__xludf.DUMMYFUNCTION("""COMPUTED_VALUE"""),"No")</f>
        <v>No</v>
      </c>
      <c r="AM638" s="5"/>
      <c r="AN638" s="5"/>
      <c r="AO638" s="5"/>
      <c r="AP638" s="5"/>
      <c r="AQ638" s="5"/>
      <c r="AR638" s="5"/>
      <c r="AS638" s="5"/>
      <c r="AT638" s="5"/>
      <c r="AU638" s="5"/>
      <c r="AV638" s="5"/>
      <c r="AW638" s="5"/>
      <c r="AX638" s="5"/>
      <c r="AY638" s="5"/>
    </row>
    <row r="639" spans="1:51" x14ac:dyDescent="0.25">
      <c r="A63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9" s="5">
        <f ca="1">IFERROR(__xludf.DUMMYFUNCTION("""COMPUTED_VALUE"""),674)</f>
        <v>674</v>
      </c>
      <c r="C639" s="5">
        <f ca="1">IFERROR(__xludf.DUMMYFUNCTION("""COMPUTED_VALUE"""),180064)</f>
        <v>180064</v>
      </c>
      <c r="D639" s="5" t="str">
        <f ca="1">IFERROR(__xludf.DUMMYFUNCTION("""COMPUTED_VALUE"""),"RedstoneLunarCoins")</f>
        <v>RedstoneLunarCoins</v>
      </c>
      <c r="E639" s="5" t="str">
        <f ca="1">IFERROR(__xludf.DUMMYFUNCTION("""COMPUTED_VALUE"""),"Yes")</f>
        <v>Yes</v>
      </c>
      <c r="F639" s="5" t="str">
        <f ca="1">IFERROR(__xludf.DUMMYFUNCTION("""COMPUTED_VALUE"""),"Yes")</f>
        <v>Yes</v>
      </c>
      <c r="G639" s="5" t="str">
        <f ca="1">IFERROR(__xludf.DUMMYFUNCTION("""COMPUTED_VALUE"""),"No")</f>
        <v>No</v>
      </c>
      <c r="H639" s="5" t="str">
        <f ca="1">IFERROR(__xludf.DUMMYFUNCTION("""COMPUTED_VALUE"""),"Yes")</f>
        <v>Yes</v>
      </c>
      <c r="I639" s="5" t="str">
        <f ca="1">IFERROR(__xludf.DUMMYFUNCTION("""COMPUTED_VALUE"""),"Yes")</f>
        <v>Yes</v>
      </c>
      <c r="J639" s="5" t="str">
        <f ca="1">IFERROR(__xludf.DUMMYFUNCTION("""COMPUTED_VALUE"""),"Yes")</f>
        <v>Yes</v>
      </c>
      <c r="K639" s="5" t="str">
        <f ca="1">IFERROR(__xludf.DUMMYFUNCTION("""COMPUTED_VALUE"""),"Yes")</f>
        <v>Yes</v>
      </c>
      <c r="L639" s="5" t="str">
        <f ca="1">IFERROR(__xludf.DUMMYFUNCTION("""COMPUTED_VALUE"""),"Yes")</f>
        <v>Yes</v>
      </c>
      <c r="M639" s="5" t="str">
        <f ca="1">IFERROR(__xludf.DUMMYFUNCTION("""COMPUTED_VALUE"""),"Yes")</f>
        <v>Yes</v>
      </c>
      <c r="N639" s="5" t="str">
        <f ca="1">IFERROR(__xludf.DUMMYFUNCTION("""COMPUTED_VALUE"""),"Yes")</f>
        <v>Yes</v>
      </c>
      <c r="O639" s="5" t="str">
        <f ca="1">IFERROR(__xludf.DUMMYFUNCTION("""COMPUTED_VALUE"""),"Yes")</f>
        <v>Yes</v>
      </c>
      <c r="P639" s="5" t="str">
        <f ca="1">IFERROR(__xludf.DUMMYFUNCTION("""COMPUTED_VALUE"""),"Yes")</f>
        <v>Yes</v>
      </c>
      <c r="Q639" s="5" t="str">
        <f ca="1">IFERROR(__xludf.DUMMYFUNCTION("""COMPUTED_VALUE"""),"Yes")</f>
        <v>Yes</v>
      </c>
      <c r="R639" s="5" t="str">
        <f ca="1">IFERROR(__xludf.DUMMYFUNCTION("""COMPUTED_VALUE"""),"Yes")</f>
        <v>Yes</v>
      </c>
      <c r="S639" s="5" t="str">
        <f ca="1">IFERROR(__xludf.DUMMYFUNCTION("""COMPUTED_VALUE"""),"Yes")</f>
        <v>Yes</v>
      </c>
      <c r="T639" s="5" t="str">
        <f ca="1">IFERROR(__xludf.DUMMYFUNCTION("""COMPUTED_VALUE"""),"No")</f>
        <v>No</v>
      </c>
      <c r="U639" s="5" t="str">
        <f ca="1">IFERROR(__xludf.DUMMYFUNCTION("""COMPUTED_VALUE"""),"No")</f>
        <v>No</v>
      </c>
      <c r="V639" s="5" t="str">
        <f ca="1">IFERROR(__xludf.DUMMYFUNCTION("""COMPUTED_VALUE"""),"No")</f>
        <v>No</v>
      </c>
      <c r="W639" s="5" t="str">
        <f ca="1">IFERROR(__xludf.DUMMYFUNCTION("""COMPUTED_VALUE"""),"No")</f>
        <v>No</v>
      </c>
      <c r="X639" s="5" t="str">
        <f ca="1">IFERROR(__xludf.DUMMYFUNCTION("""COMPUTED_VALUE"""),"No")</f>
        <v>No</v>
      </c>
      <c r="Y639" s="5" t="str">
        <f ca="1">IFERROR(__xludf.DUMMYFUNCTION("""COMPUTED_VALUE"""),"No")</f>
        <v>No</v>
      </c>
      <c r="Z639" s="5" t="str">
        <f ca="1">IFERROR(__xludf.DUMMYFUNCTION("""COMPUTED_VALUE"""),"No")</f>
        <v>No</v>
      </c>
      <c r="AA639" s="5" t="str">
        <f ca="1">IFERROR(__xludf.DUMMYFUNCTION("""COMPUTED_VALUE"""),"Yes")</f>
        <v>Yes</v>
      </c>
      <c r="AB639" s="5" t="str">
        <f ca="1">IFERROR(__xludf.DUMMYFUNCTION("""COMPUTED_VALUE"""),"No")</f>
        <v>No</v>
      </c>
      <c r="AC639" s="5" t="str">
        <f ca="1">IFERROR(__xludf.DUMMYFUNCTION("""COMPUTED_VALUE"""),"No")</f>
        <v>No</v>
      </c>
      <c r="AD639" s="5" t="str">
        <f ca="1">IFERROR(__xludf.DUMMYFUNCTION("""COMPUTED_VALUE"""),"No")</f>
        <v>No</v>
      </c>
      <c r="AE639" s="5" t="str">
        <f ca="1">IFERROR(__xludf.DUMMYFUNCTION("""COMPUTED_VALUE"""),"No")</f>
        <v>No</v>
      </c>
      <c r="AF639" s="5" t="str">
        <f ca="1">IFERROR(__xludf.DUMMYFUNCTION("""COMPUTED_VALUE"""),"Yes")</f>
        <v>Yes</v>
      </c>
      <c r="AG639" s="5" t="str">
        <f ca="1">IFERROR(__xludf.DUMMYFUNCTION("""COMPUTED_VALUE"""),"No")</f>
        <v>No</v>
      </c>
      <c r="AH639" s="5" t="str">
        <f ca="1">IFERROR(__xludf.DUMMYFUNCTION("""COMPUTED_VALUE"""),"Yes")</f>
        <v>Yes</v>
      </c>
      <c r="AI639" s="5" t="str">
        <f ca="1">IFERROR(__xludf.DUMMYFUNCTION("""COMPUTED_VALUE"""),"No")</f>
        <v>No</v>
      </c>
      <c r="AJ639" s="5" t="str">
        <f ca="1">IFERROR(__xludf.DUMMYFUNCTION("""COMPUTED_VALUE"""),"No")</f>
        <v>No</v>
      </c>
      <c r="AK639" s="5" t="str">
        <f ca="1">IFERROR(__xludf.DUMMYFUNCTION("""COMPUTED_VALUE"""),"No")</f>
        <v>No</v>
      </c>
      <c r="AL639" s="5" t="str">
        <f ca="1">IFERROR(__xludf.DUMMYFUNCTION("""COMPUTED_VALUE"""),"No")</f>
        <v>No</v>
      </c>
      <c r="AM639" s="5"/>
      <c r="AN639" s="5"/>
      <c r="AO639" s="5"/>
      <c r="AP639" s="5"/>
      <c r="AQ639" s="5"/>
      <c r="AR639" s="5"/>
      <c r="AS639" s="5"/>
      <c r="AT639" s="5"/>
      <c r="AU639" s="5"/>
      <c r="AV639" s="5"/>
      <c r="AW639" s="5"/>
      <c r="AX639" s="5"/>
      <c r="AY639" s="5"/>
    </row>
    <row r="640" spans="1:51" x14ac:dyDescent="0.25">
      <c r="A64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40" s="5">
        <f ca="1">IFERROR(__xludf.DUMMYFUNCTION("""COMPUTED_VALUE"""),675)</f>
        <v>675</v>
      </c>
      <c r="C640" s="5">
        <f ca="1">IFERROR(__xludf.DUMMYFUNCTION("""COMPUTED_VALUE"""),180058)</f>
        <v>180058</v>
      </c>
      <c r="D640" s="5" t="str">
        <f ca="1">IFERROR(__xludf.DUMMYFUNCTION("""COMPUTED_VALUE"""),"Redstone5CloverFireBlast")</f>
        <v>Redstone5CloverFireBlast</v>
      </c>
      <c r="E640" s="5" t="str">
        <f ca="1">IFERROR(__xludf.DUMMYFUNCTION("""COMPUTED_VALUE"""),"Yes")</f>
        <v>Yes</v>
      </c>
      <c r="F640" s="5" t="str">
        <f ca="1">IFERROR(__xludf.DUMMYFUNCTION("""COMPUTED_VALUE"""),"Yes")</f>
        <v>Yes</v>
      </c>
      <c r="G640" s="5" t="str">
        <f ca="1">IFERROR(__xludf.DUMMYFUNCTION("""COMPUTED_VALUE"""),"No")</f>
        <v>No</v>
      </c>
      <c r="H640" s="5" t="str">
        <f ca="1">IFERROR(__xludf.DUMMYFUNCTION("""COMPUTED_VALUE"""),"Yes")</f>
        <v>Yes</v>
      </c>
      <c r="I640" s="5" t="str">
        <f ca="1">IFERROR(__xludf.DUMMYFUNCTION("""COMPUTED_VALUE"""),"Yes")</f>
        <v>Yes</v>
      </c>
      <c r="J640" s="5" t="str">
        <f ca="1">IFERROR(__xludf.DUMMYFUNCTION("""COMPUTED_VALUE"""),"Yes")</f>
        <v>Yes</v>
      </c>
      <c r="K640" s="5" t="str">
        <f ca="1">IFERROR(__xludf.DUMMYFUNCTION("""COMPUTED_VALUE"""),"Yes")</f>
        <v>Yes</v>
      </c>
      <c r="L640" s="5" t="str">
        <f ca="1">IFERROR(__xludf.DUMMYFUNCTION("""COMPUTED_VALUE"""),"Yes")</f>
        <v>Yes</v>
      </c>
      <c r="M640" s="5" t="str">
        <f ca="1">IFERROR(__xludf.DUMMYFUNCTION("""COMPUTED_VALUE"""),"Yes")</f>
        <v>Yes</v>
      </c>
      <c r="N640" s="5" t="str">
        <f ca="1">IFERROR(__xludf.DUMMYFUNCTION("""COMPUTED_VALUE"""),"Yes")</f>
        <v>Yes</v>
      </c>
      <c r="O640" s="5" t="str">
        <f ca="1">IFERROR(__xludf.DUMMYFUNCTION("""COMPUTED_VALUE"""),"Yes")</f>
        <v>Yes</v>
      </c>
      <c r="P640" s="5" t="str">
        <f ca="1">IFERROR(__xludf.DUMMYFUNCTION("""COMPUTED_VALUE"""),"Yes")</f>
        <v>Yes</v>
      </c>
      <c r="Q640" s="5" t="str">
        <f ca="1">IFERROR(__xludf.DUMMYFUNCTION("""COMPUTED_VALUE"""),"Yes")</f>
        <v>Yes</v>
      </c>
      <c r="R640" s="5" t="str">
        <f ca="1">IFERROR(__xludf.DUMMYFUNCTION("""COMPUTED_VALUE"""),"Yes")</f>
        <v>Yes</v>
      </c>
      <c r="S640" s="5" t="str">
        <f ca="1">IFERROR(__xludf.DUMMYFUNCTION("""COMPUTED_VALUE"""),"Yes")</f>
        <v>Yes</v>
      </c>
      <c r="T640" s="5" t="str">
        <f ca="1">IFERROR(__xludf.DUMMYFUNCTION("""COMPUTED_VALUE"""),"No")</f>
        <v>No</v>
      </c>
      <c r="U640" s="5" t="str">
        <f ca="1">IFERROR(__xludf.DUMMYFUNCTION("""COMPUTED_VALUE"""),"No")</f>
        <v>No</v>
      </c>
      <c r="V640" s="5" t="str">
        <f ca="1">IFERROR(__xludf.DUMMYFUNCTION("""COMPUTED_VALUE"""),"No")</f>
        <v>No</v>
      </c>
      <c r="W640" s="5" t="str">
        <f ca="1">IFERROR(__xludf.DUMMYFUNCTION("""COMPUTED_VALUE"""),"No")</f>
        <v>No</v>
      </c>
      <c r="X640" s="5" t="str">
        <f ca="1">IFERROR(__xludf.DUMMYFUNCTION("""COMPUTED_VALUE"""),"No")</f>
        <v>No</v>
      </c>
      <c r="Y640" s="5" t="str">
        <f ca="1">IFERROR(__xludf.DUMMYFUNCTION("""COMPUTED_VALUE"""),"No")</f>
        <v>No</v>
      </c>
      <c r="Z640" s="5" t="str">
        <f ca="1">IFERROR(__xludf.DUMMYFUNCTION("""COMPUTED_VALUE"""),"No")</f>
        <v>No</v>
      </c>
      <c r="AA640" s="5" t="str">
        <f ca="1">IFERROR(__xludf.DUMMYFUNCTION("""COMPUTED_VALUE"""),"Yes")</f>
        <v>Yes</v>
      </c>
      <c r="AB640" s="5" t="str">
        <f ca="1">IFERROR(__xludf.DUMMYFUNCTION("""COMPUTED_VALUE"""),"No")</f>
        <v>No</v>
      </c>
      <c r="AC640" s="5" t="str">
        <f ca="1">IFERROR(__xludf.DUMMYFUNCTION("""COMPUTED_VALUE"""),"No")</f>
        <v>No</v>
      </c>
      <c r="AD640" s="5" t="str">
        <f ca="1">IFERROR(__xludf.DUMMYFUNCTION("""COMPUTED_VALUE"""),"No")</f>
        <v>No</v>
      </c>
      <c r="AE640" s="5" t="str">
        <f ca="1">IFERROR(__xludf.DUMMYFUNCTION("""COMPUTED_VALUE"""),"No")</f>
        <v>No</v>
      </c>
      <c r="AF640" s="5" t="str">
        <f ca="1">IFERROR(__xludf.DUMMYFUNCTION("""COMPUTED_VALUE"""),"Yes")</f>
        <v>Yes</v>
      </c>
      <c r="AG640" s="5" t="str">
        <f ca="1">IFERROR(__xludf.DUMMYFUNCTION("""COMPUTED_VALUE"""),"No")</f>
        <v>No</v>
      </c>
      <c r="AH640" s="5" t="str">
        <f ca="1">IFERROR(__xludf.DUMMYFUNCTION("""COMPUTED_VALUE"""),"Yes")</f>
        <v>Yes</v>
      </c>
      <c r="AI640" s="5" t="str">
        <f ca="1">IFERROR(__xludf.DUMMYFUNCTION("""COMPUTED_VALUE"""),"No")</f>
        <v>No</v>
      </c>
      <c r="AJ640" s="5" t="str">
        <f ca="1">IFERROR(__xludf.DUMMYFUNCTION("""COMPUTED_VALUE"""),"No")</f>
        <v>No</v>
      </c>
      <c r="AK640" s="5" t="str">
        <f ca="1">IFERROR(__xludf.DUMMYFUNCTION("""COMPUTED_VALUE"""),"No")</f>
        <v>No</v>
      </c>
      <c r="AL640" s="5" t="str">
        <f ca="1">IFERROR(__xludf.DUMMYFUNCTION("""COMPUTED_VALUE"""),"No")</f>
        <v>No</v>
      </c>
      <c r="AM640" s="5"/>
      <c r="AN640" s="5"/>
      <c r="AO640" s="5"/>
      <c r="AP640" s="5"/>
      <c r="AQ640" s="5"/>
      <c r="AR640" s="5"/>
      <c r="AS640" s="5"/>
      <c r="AT640" s="5"/>
      <c r="AU640" s="5"/>
      <c r="AV640" s="5"/>
      <c r="AW640" s="5"/>
      <c r="AX640" s="5"/>
      <c r="AY640" s="5"/>
    </row>
    <row r="641" spans="1:51" x14ac:dyDescent="0.25">
      <c r="A641"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41" s="5">
        <f ca="1">IFERROR(__xludf.DUMMYFUNCTION("""COMPUTED_VALUE"""),676)</f>
        <v>676</v>
      </c>
      <c r="C641" s="5">
        <f ca="1">IFERROR(__xludf.DUMMYFUNCTION("""COMPUTED_VALUE"""),531)</f>
        <v>531</v>
      </c>
      <c r="D641" s="5" t="str">
        <f ca="1">IFERROR(__xludf.DUMMYFUNCTION("""COMPUTED_VALUE"""),"PlayNetMajesticCrownEaster")</f>
        <v>PlayNetMajesticCrownEaster</v>
      </c>
      <c r="E641" s="5" t="str">
        <f ca="1">IFERROR(__xludf.DUMMYFUNCTION("""COMPUTED_VALUE"""),"Yes")</f>
        <v>Yes</v>
      </c>
      <c r="F641" s="5" t="str">
        <f ca="1">IFERROR(__xludf.DUMMYFUNCTION("""COMPUTED_VALUE"""),"Yes")</f>
        <v>Yes</v>
      </c>
      <c r="G641" s="5" t="str">
        <f ca="1">IFERROR(__xludf.DUMMYFUNCTION("""COMPUTED_VALUE"""),"Yes")</f>
        <v>Yes</v>
      </c>
      <c r="H641" s="5" t="str">
        <f ca="1">IFERROR(__xludf.DUMMYFUNCTION("""COMPUTED_VALUE"""),"Yes")</f>
        <v>Yes</v>
      </c>
      <c r="I641" s="5" t="str">
        <f ca="1">IFERROR(__xludf.DUMMYFUNCTION("""COMPUTED_VALUE"""),"Yes")</f>
        <v>Yes</v>
      </c>
      <c r="J641" s="5" t="str">
        <f ca="1">IFERROR(__xludf.DUMMYFUNCTION("""COMPUTED_VALUE"""),"Yes")</f>
        <v>Yes</v>
      </c>
      <c r="K641" s="5" t="str">
        <f ca="1">IFERROR(__xludf.DUMMYFUNCTION("""COMPUTED_VALUE"""),"Yes")</f>
        <v>Yes</v>
      </c>
      <c r="L641" s="5" t="str">
        <f ca="1">IFERROR(__xludf.DUMMYFUNCTION("""COMPUTED_VALUE"""),"Yes")</f>
        <v>Yes</v>
      </c>
      <c r="M641" s="5" t="str">
        <f ca="1">IFERROR(__xludf.DUMMYFUNCTION("""COMPUTED_VALUE"""),"Yes")</f>
        <v>Yes</v>
      </c>
      <c r="N641" s="5" t="str">
        <f ca="1">IFERROR(__xludf.DUMMYFUNCTION("""COMPUTED_VALUE"""),"Yes")</f>
        <v>Yes</v>
      </c>
      <c r="O641" s="5" t="str">
        <f ca="1">IFERROR(__xludf.DUMMYFUNCTION("""COMPUTED_VALUE"""),"Yes")</f>
        <v>Yes</v>
      </c>
      <c r="P641" s="5" t="str">
        <f ca="1">IFERROR(__xludf.DUMMYFUNCTION("""COMPUTED_VALUE"""),"Yes")</f>
        <v>Yes</v>
      </c>
      <c r="Q641" s="5" t="str">
        <f ca="1">IFERROR(__xludf.DUMMYFUNCTION("""COMPUTED_VALUE"""),"Yes")</f>
        <v>Yes</v>
      </c>
      <c r="R641" s="5" t="str">
        <f ca="1">IFERROR(__xludf.DUMMYFUNCTION("""COMPUTED_VALUE"""),"Yes")</f>
        <v>Yes</v>
      </c>
      <c r="S641" s="5" t="str">
        <f ca="1">IFERROR(__xludf.DUMMYFUNCTION("""COMPUTED_VALUE"""),"Yes")</f>
        <v>Yes</v>
      </c>
      <c r="T641" s="5" t="str">
        <f ca="1">IFERROR(__xludf.DUMMYFUNCTION("""COMPUTED_VALUE"""),"No")</f>
        <v>No</v>
      </c>
      <c r="U641" s="5" t="str">
        <f ca="1">IFERROR(__xludf.DUMMYFUNCTION("""COMPUTED_VALUE"""),"No")</f>
        <v>No</v>
      </c>
      <c r="V641" s="5" t="str">
        <f ca="1">IFERROR(__xludf.DUMMYFUNCTION("""COMPUTED_VALUE"""),"No")</f>
        <v>No</v>
      </c>
      <c r="W641" s="5" t="str">
        <f ca="1">IFERROR(__xludf.DUMMYFUNCTION("""COMPUTED_VALUE"""),"No")</f>
        <v>No</v>
      </c>
      <c r="X641" s="5" t="str">
        <f ca="1">IFERROR(__xludf.DUMMYFUNCTION("""COMPUTED_VALUE"""),"No")</f>
        <v>No</v>
      </c>
      <c r="Y641" s="5" t="str">
        <f ca="1">IFERROR(__xludf.DUMMYFUNCTION("""COMPUTED_VALUE"""),"No")</f>
        <v>No</v>
      </c>
      <c r="Z641" s="5" t="str">
        <f ca="1">IFERROR(__xludf.DUMMYFUNCTION("""COMPUTED_VALUE"""),"No")</f>
        <v>No</v>
      </c>
      <c r="AA641" s="5" t="str">
        <f ca="1">IFERROR(__xludf.DUMMYFUNCTION("""COMPUTED_VALUE"""),"Yes")</f>
        <v>Yes</v>
      </c>
      <c r="AB641" s="5" t="str">
        <f ca="1">IFERROR(__xludf.DUMMYFUNCTION("""COMPUTED_VALUE"""),"No")</f>
        <v>No</v>
      </c>
      <c r="AC641" s="5" t="str">
        <f ca="1">IFERROR(__xludf.DUMMYFUNCTION("""COMPUTED_VALUE"""),"No")</f>
        <v>No</v>
      </c>
      <c r="AD641" s="5" t="str">
        <f ca="1">IFERROR(__xludf.DUMMYFUNCTION("""COMPUTED_VALUE"""),"No")</f>
        <v>No</v>
      </c>
      <c r="AE641" s="5" t="str">
        <f ca="1">IFERROR(__xludf.DUMMYFUNCTION("""COMPUTED_VALUE"""),"No")</f>
        <v>No</v>
      </c>
      <c r="AF641" s="5" t="str">
        <f ca="1">IFERROR(__xludf.DUMMYFUNCTION("""COMPUTED_VALUE"""),"Yes")</f>
        <v>Yes</v>
      </c>
      <c r="AG641" s="5" t="str">
        <f ca="1">IFERROR(__xludf.DUMMYFUNCTION("""COMPUTED_VALUE"""),"No")</f>
        <v>No</v>
      </c>
      <c r="AH641" s="5" t="str">
        <f ca="1">IFERROR(__xludf.DUMMYFUNCTION("""COMPUTED_VALUE"""),"Yes")</f>
        <v>Yes</v>
      </c>
      <c r="AI641" s="5" t="str">
        <f ca="1">IFERROR(__xludf.DUMMYFUNCTION("""COMPUTED_VALUE"""),"No")</f>
        <v>No</v>
      </c>
      <c r="AJ641" s="5" t="str">
        <f ca="1">IFERROR(__xludf.DUMMYFUNCTION("""COMPUTED_VALUE"""),"No")</f>
        <v>No</v>
      </c>
      <c r="AK641" s="5" t="str">
        <f ca="1">IFERROR(__xludf.DUMMYFUNCTION("""COMPUTED_VALUE"""),"No")</f>
        <v>No</v>
      </c>
      <c r="AL641" s="5" t="str">
        <f ca="1">IFERROR(__xludf.DUMMYFUNCTION("""COMPUTED_VALUE"""),"No")</f>
        <v>No</v>
      </c>
      <c r="AM641" s="5"/>
      <c r="AN641" s="5"/>
      <c r="AO641" s="5"/>
      <c r="AP641" s="5"/>
      <c r="AQ641" s="5"/>
      <c r="AR641" s="5"/>
      <c r="AS641" s="5"/>
      <c r="AT641" s="5"/>
      <c r="AU641" s="5"/>
      <c r="AV641" s="5"/>
      <c r="AW641" s="5"/>
      <c r="AX641" s="5"/>
      <c r="AY641" s="5"/>
    </row>
    <row r="642" spans="1:51" x14ac:dyDescent="0.25">
      <c r="A642"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42" s="5">
        <f ca="1">IFERROR(__xludf.DUMMYFUNCTION("""COMPUTED_VALUE"""),677)</f>
        <v>677</v>
      </c>
      <c r="C642" s="5">
        <f ca="1">IFERROR(__xludf.DUMMYFUNCTION("""COMPUTED_VALUE"""),532)</f>
        <v>532</v>
      </c>
      <c r="D642" s="5" t="str">
        <f ca="1">IFERROR(__xludf.DUMMYFUNCTION("""COMPUTED_VALUE"""),"PlayNetTropicTwist")</f>
        <v>PlayNetTropicTwist</v>
      </c>
      <c r="E642" s="5" t="str">
        <f ca="1">IFERROR(__xludf.DUMMYFUNCTION("""COMPUTED_VALUE"""),"Yes")</f>
        <v>Yes</v>
      </c>
      <c r="F642" s="5" t="str">
        <f ca="1">IFERROR(__xludf.DUMMYFUNCTION("""COMPUTED_VALUE"""),"Yes")</f>
        <v>Yes</v>
      </c>
      <c r="G642" s="5" t="str">
        <f ca="1">IFERROR(__xludf.DUMMYFUNCTION("""COMPUTED_VALUE"""),"Yes")</f>
        <v>Yes</v>
      </c>
      <c r="H642" s="5" t="str">
        <f ca="1">IFERROR(__xludf.DUMMYFUNCTION("""COMPUTED_VALUE"""),"Yes")</f>
        <v>Yes</v>
      </c>
      <c r="I642" s="5" t="str">
        <f ca="1">IFERROR(__xludf.DUMMYFUNCTION("""COMPUTED_VALUE"""),"Yes")</f>
        <v>Yes</v>
      </c>
      <c r="J642" s="5" t="str">
        <f ca="1">IFERROR(__xludf.DUMMYFUNCTION("""COMPUTED_VALUE"""),"Yes")</f>
        <v>Yes</v>
      </c>
      <c r="K642" s="5" t="str">
        <f ca="1">IFERROR(__xludf.DUMMYFUNCTION("""COMPUTED_VALUE"""),"Yes")</f>
        <v>Yes</v>
      </c>
      <c r="L642" s="5" t="str">
        <f ca="1">IFERROR(__xludf.DUMMYFUNCTION("""COMPUTED_VALUE"""),"Yes")</f>
        <v>Yes</v>
      </c>
      <c r="M642" s="5" t="str">
        <f ca="1">IFERROR(__xludf.DUMMYFUNCTION("""COMPUTED_VALUE"""),"Yes")</f>
        <v>Yes</v>
      </c>
      <c r="N642" s="5" t="str">
        <f ca="1">IFERROR(__xludf.DUMMYFUNCTION("""COMPUTED_VALUE"""),"Yes")</f>
        <v>Yes</v>
      </c>
      <c r="O642" s="5" t="str">
        <f ca="1">IFERROR(__xludf.DUMMYFUNCTION("""COMPUTED_VALUE"""),"Yes")</f>
        <v>Yes</v>
      </c>
      <c r="P642" s="5" t="str">
        <f ca="1">IFERROR(__xludf.DUMMYFUNCTION("""COMPUTED_VALUE"""),"Yes")</f>
        <v>Yes</v>
      </c>
      <c r="Q642" s="5" t="str">
        <f ca="1">IFERROR(__xludf.DUMMYFUNCTION("""COMPUTED_VALUE"""),"Yes")</f>
        <v>Yes</v>
      </c>
      <c r="R642" s="5" t="str">
        <f ca="1">IFERROR(__xludf.DUMMYFUNCTION("""COMPUTED_VALUE"""),"Yes")</f>
        <v>Yes</v>
      </c>
      <c r="S642" s="5" t="str">
        <f ca="1">IFERROR(__xludf.DUMMYFUNCTION("""COMPUTED_VALUE"""),"Yes")</f>
        <v>Yes</v>
      </c>
      <c r="T642" s="5"/>
      <c r="U642" s="5"/>
      <c r="V642" s="5"/>
      <c r="W642" s="5"/>
      <c r="X642" s="5"/>
      <c r="Y642" s="5"/>
      <c r="Z642" s="5"/>
      <c r="AA642" s="5"/>
      <c r="AB642" s="5"/>
      <c r="AC642" s="5"/>
      <c r="AD642" s="5"/>
      <c r="AE642" s="5"/>
      <c r="AF642" s="5" t="str">
        <f ca="1">IFERROR(__xludf.DUMMYFUNCTION("""COMPUTED_VALUE"""),"Yes")</f>
        <v>Yes</v>
      </c>
      <c r="AG642" s="5"/>
      <c r="AH642" s="5" t="str">
        <f ca="1">IFERROR(__xludf.DUMMYFUNCTION("""COMPUTED_VALUE"""),"Yes")</f>
        <v>Yes</v>
      </c>
      <c r="AI642" s="5"/>
      <c r="AJ642" s="5"/>
      <c r="AK642" s="5"/>
      <c r="AL642" s="5"/>
      <c r="AM642" s="5"/>
      <c r="AN642" s="5"/>
      <c r="AO642" s="5"/>
      <c r="AP642" s="5"/>
      <c r="AQ642" s="5"/>
      <c r="AR642" s="5"/>
      <c r="AS642" s="5"/>
      <c r="AT642" s="5"/>
      <c r="AU642" s="5"/>
      <c r="AV642" s="5"/>
      <c r="AW642" s="5"/>
      <c r="AX642" s="5"/>
      <c r="AY642" s="5"/>
    </row>
    <row r="643" spans="1:51" x14ac:dyDescent="0.25">
      <c r="A643" s="5" t="str">
        <f ca="1">IFERROR(__xludf.DUMMYFUNCTION("""COMPUTED_VALUE"""),"English(""eng""), Serbian(""""srp"",""srb""""), Bulgarian(""bul""), Spanish(""spa""), Portuguese(""por""), Romanian(""rum/ron""), Croatian(""hrv""), French(""fre/fra""), German(""ger/deu""), Dutch(""dut/nld""), Turkish(""tur""), Greek(""gre/ell""), Russia"&amp;"n(""rus""), Swahili(""swa""), Ukrainian(""ukr""), Chinese(""zho/chi"")")</f>
        <v>English("eng"), Serbian(""srp","srb""), Bulgarian("bul"), Spanish("spa"), Portuguese("por"), Romanian("rum/ron"), Croatian("hrv"), French("fre/fra"), German("ger/deu"), Dutch("dut/nld"), Turkish("tur"), Greek("gre/ell"), Russian("rus"), Swahili("swa"), Ukrainian("ukr"), Chinese("zho/chi")</v>
      </c>
      <c r="B643" s="5">
        <f ca="1">IFERROR(__xludf.DUMMYFUNCTION("""COMPUTED_VALUE"""),678)</f>
        <v>678</v>
      </c>
      <c r="C643" s="5">
        <f ca="1">IFERROR(__xludf.DUMMYFUNCTION("""COMPUTED_VALUE"""),4000002)</f>
        <v>4000002</v>
      </c>
      <c r="D643" s="5" t="str">
        <f ca="1">IFERROR(__xludf.DUMMYFUNCTION("""COMPUTED_VALUE"""),"UnicornSuperDiceRunner")</f>
        <v>UnicornSuperDiceRunner</v>
      </c>
      <c r="E643" s="5" t="str">
        <f ca="1">IFERROR(__xludf.DUMMYFUNCTION("""COMPUTED_VALUE"""),"Yes")</f>
        <v>Yes</v>
      </c>
      <c r="F643" s="5" t="str">
        <f ca="1">IFERROR(__xludf.DUMMYFUNCTION("""COMPUTED_VALUE"""),"Yes")</f>
        <v>Yes</v>
      </c>
      <c r="G643" s="5" t="str">
        <f ca="1">IFERROR(__xludf.DUMMYFUNCTION("""COMPUTED_VALUE"""),"No")</f>
        <v>No</v>
      </c>
      <c r="H643" s="5" t="str">
        <f ca="1">IFERROR(__xludf.DUMMYFUNCTION("""COMPUTED_VALUE"""),"Yes")</f>
        <v>Yes</v>
      </c>
      <c r="I643" s="5" t="str">
        <f ca="1">IFERROR(__xludf.DUMMYFUNCTION("""COMPUTED_VALUE"""),"Yes")</f>
        <v>Yes</v>
      </c>
      <c r="J643" s="5" t="str">
        <f ca="1">IFERROR(__xludf.DUMMYFUNCTION("""COMPUTED_VALUE"""),"Yes")</f>
        <v>Yes</v>
      </c>
      <c r="K643" s="5"/>
      <c r="L643" s="5" t="str">
        <f ca="1">IFERROR(__xludf.DUMMYFUNCTION("""COMPUTED_VALUE"""),"Yes")</f>
        <v>Yes</v>
      </c>
      <c r="M643" s="5" t="str">
        <f ca="1">IFERROR(__xludf.DUMMYFUNCTION("""COMPUTED_VALUE"""),"Yes")</f>
        <v>Yes</v>
      </c>
      <c r="N643" s="5" t="str">
        <f ca="1">IFERROR(__xludf.DUMMYFUNCTION("""COMPUTED_VALUE"""),"Yes")</f>
        <v>Yes</v>
      </c>
      <c r="O643" s="5" t="str">
        <f ca="1">IFERROR(__xludf.DUMMYFUNCTION("""COMPUTED_VALUE"""),"Yes")</f>
        <v>Yes</v>
      </c>
      <c r="P643" s="5" t="str">
        <f ca="1">IFERROR(__xludf.DUMMYFUNCTION("""COMPUTED_VALUE"""),"Yes")</f>
        <v>Yes</v>
      </c>
      <c r="Q643" s="5" t="str">
        <f ca="1">IFERROR(__xludf.DUMMYFUNCTION("""COMPUTED_VALUE"""),"Yes")</f>
        <v>Yes</v>
      </c>
      <c r="R643" s="5" t="str">
        <f ca="1">IFERROR(__xludf.DUMMYFUNCTION("""COMPUTED_VALUE"""),"Yes")</f>
        <v>Yes</v>
      </c>
      <c r="S643" s="5" t="str">
        <f ca="1">IFERROR(__xludf.DUMMYFUNCTION("""COMPUTED_VALUE"""),"Yes")</f>
        <v>Yes</v>
      </c>
      <c r="T643" s="5" t="str">
        <f ca="1">IFERROR(__xludf.DUMMYFUNCTION("""COMPUTED_VALUE"""),"No")</f>
        <v>No</v>
      </c>
      <c r="U643" s="5" t="str">
        <f ca="1">IFERROR(__xludf.DUMMYFUNCTION("""COMPUTED_VALUE"""),"No")</f>
        <v>No</v>
      </c>
      <c r="V643" s="5" t="str">
        <f ca="1">IFERROR(__xludf.DUMMYFUNCTION("""COMPUTED_VALUE"""),"No")</f>
        <v>No</v>
      </c>
      <c r="W643" s="5" t="str">
        <f ca="1">IFERROR(__xludf.DUMMYFUNCTION("""COMPUTED_VALUE"""),"No")</f>
        <v>No</v>
      </c>
      <c r="X643" s="5" t="str">
        <f ca="1">IFERROR(__xludf.DUMMYFUNCTION("""COMPUTED_VALUE"""),"No")</f>
        <v>No</v>
      </c>
      <c r="Y643" s="5" t="str">
        <f ca="1">IFERROR(__xludf.DUMMYFUNCTION("""COMPUTED_VALUE"""),"No")</f>
        <v>No</v>
      </c>
      <c r="Z643" s="5" t="str">
        <f ca="1">IFERROR(__xludf.DUMMYFUNCTION("""COMPUTED_VALUE"""),"No")</f>
        <v>No</v>
      </c>
      <c r="AA643" s="5" t="str">
        <f ca="1">IFERROR(__xludf.DUMMYFUNCTION("""COMPUTED_VALUE"""),"Yes")</f>
        <v>Yes</v>
      </c>
      <c r="AB643" s="5" t="str">
        <f ca="1">IFERROR(__xludf.DUMMYFUNCTION("""COMPUTED_VALUE"""),"No")</f>
        <v>No</v>
      </c>
      <c r="AC643" s="5" t="str">
        <f ca="1">IFERROR(__xludf.DUMMYFUNCTION("""COMPUTED_VALUE"""),"No")</f>
        <v>No</v>
      </c>
      <c r="AD643" s="5" t="str">
        <f ca="1">IFERROR(__xludf.DUMMYFUNCTION("""COMPUTED_VALUE"""),"No")</f>
        <v>No</v>
      </c>
      <c r="AE643" s="5" t="str">
        <f ca="1">IFERROR(__xludf.DUMMYFUNCTION("""COMPUTED_VALUE"""),"No")</f>
        <v>No</v>
      </c>
      <c r="AF643" s="5" t="str">
        <f ca="1">IFERROR(__xludf.DUMMYFUNCTION("""COMPUTED_VALUE"""),"Yes")</f>
        <v>Yes</v>
      </c>
      <c r="AG643" s="5" t="str">
        <f ca="1">IFERROR(__xludf.DUMMYFUNCTION("""COMPUTED_VALUE"""),"No")</f>
        <v>No</v>
      </c>
      <c r="AH643" s="5" t="str">
        <f ca="1">IFERROR(__xludf.DUMMYFUNCTION("""COMPUTED_VALUE"""),"Yes")</f>
        <v>Yes</v>
      </c>
      <c r="AI643" s="5" t="str">
        <f ca="1">IFERROR(__xludf.DUMMYFUNCTION("""COMPUTED_VALUE"""),"No")</f>
        <v>No</v>
      </c>
      <c r="AJ643" s="5" t="str">
        <f ca="1">IFERROR(__xludf.DUMMYFUNCTION("""COMPUTED_VALUE"""),"No")</f>
        <v>No</v>
      </c>
      <c r="AK643" s="5" t="str">
        <f ca="1">IFERROR(__xludf.DUMMYFUNCTION("""COMPUTED_VALUE"""),"No")</f>
        <v>No</v>
      </c>
      <c r="AL643" s="5" t="str">
        <f ca="1">IFERROR(__xludf.DUMMYFUNCTION("""COMPUTED_VALUE"""),"No")</f>
        <v>No</v>
      </c>
      <c r="AM643" s="5"/>
      <c r="AN643" s="5"/>
      <c r="AO643" s="5"/>
      <c r="AP643" s="5"/>
      <c r="AQ643" s="5"/>
      <c r="AR643" s="5"/>
      <c r="AS643" s="5"/>
      <c r="AT643" s="5"/>
      <c r="AU643" s="5"/>
      <c r="AV643" s="5"/>
      <c r="AW643" s="5"/>
      <c r="AX643" s="5"/>
      <c r="AY643" s="5"/>
    </row>
    <row r="644" spans="1:51" x14ac:dyDescent="0.25">
      <c r="A644" s="5" t="str">
        <f ca="1">IFERROR(__xludf.DUMMYFUNCTION("""COMPUTED_VALUE"""),"")</f>
        <v/>
      </c>
      <c r="B644" s="5">
        <f ca="1">IFERROR(__xludf.DUMMYFUNCTION("""COMPUTED_VALUE"""),679)</f>
        <v>679</v>
      </c>
      <c r="C644" s="5">
        <f ca="1">IFERROR(__xludf.DUMMYFUNCTION("""COMPUTED_VALUE"""),4000003)</f>
        <v>4000003</v>
      </c>
      <c r="D644" s="5" t="str">
        <f ca="1">IFERROR(__xludf.DUMMYFUNCTION("""COMPUTED_VALUE"""),"UnicornLuckyGinger")</f>
        <v>UnicornLuckyGinger</v>
      </c>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row>
    <row r="645" spans="1:51" x14ac:dyDescent="0.25">
      <c r="A64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B645" s="5">
        <f ca="1">IFERROR(__xludf.DUMMYFUNCTION("""COMPUTED_VALUE"""),680)</f>
        <v>680</v>
      </c>
      <c r="C645" s="5">
        <f ca="1">IFERROR(__xludf.DUMMYFUNCTION("""COMPUTED_VALUE"""),4000004)</f>
        <v>4000004</v>
      </c>
      <c r="D645" s="5" t="str">
        <f ca="1">IFERROR(__xludf.DUMMYFUNCTION("""COMPUTED_VALUE"""),"UnicornLionsSevensExtreme")</f>
        <v>UnicornLionsSevensExtreme</v>
      </c>
      <c r="E645" s="5" t="str">
        <f ca="1">IFERROR(__xludf.DUMMYFUNCTION("""COMPUTED_VALUE"""),"Yes")</f>
        <v>Yes</v>
      </c>
      <c r="F645" s="5" t="str">
        <f ca="1">IFERROR(__xludf.DUMMYFUNCTION("""COMPUTED_VALUE"""),"Yes")</f>
        <v>Yes</v>
      </c>
      <c r="G645" s="5" t="str">
        <f ca="1">IFERROR(__xludf.DUMMYFUNCTION("""COMPUTED_VALUE"""),"No")</f>
        <v>No</v>
      </c>
      <c r="H645" s="5" t="str">
        <f ca="1">IFERROR(__xludf.DUMMYFUNCTION("""COMPUTED_VALUE"""),"Yes")</f>
        <v>Yes</v>
      </c>
      <c r="I645" s="5" t="str">
        <f ca="1">IFERROR(__xludf.DUMMYFUNCTION("""COMPUTED_VALUE"""),"Yes")</f>
        <v>Yes</v>
      </c>
      <c r="J645" s="5" t="str">
        <f ca="1">IFERROR(__xludf.DUMMYFUNCTION("""COMPUTED_VALUE"""),"Yes")</f>
        <v>Yes</v>
      </c>
      <c r="K645" s="5" t="str">
        <f ca="1">IFERROR(__xludf.DUMMYFUNCTION("""COMPUTED_VALUE"""),"Yes")</f>
        <v>Yes</v>
      </c>
      <c r="L645" s="5" t="str">
        <f ca="1">IFERROR(__xludf.DUMMYFUNCTION("""COMPUTED_VALUE"""),"Yes")</f>
        <v>Yes</v>
      </c>
      <c r="M645" s="5" t="str">
        <f ca="1">IFERROR(__xludf.DUMMYFUNCTION("""COMPUTED_VALUE"""),"Yes")</f>
        <v>Yes</v>
      </c>
      <c r="N645" s="5" t="str">
        <f ca="1">IFERROR(__xludf.DUMMYFUNCTION("""COMPUTED_VALUE"""),"Yes")</f>
        <v>Yes</v>
      </c>
      <c r="O645" s="5" t="str">
        <f ca="1">IFERROR(__xludf.DUMMYFUNCTION("""COMPUTED_VALUE"""),"Yes")</f>
        <v>Yes</v>
      </c>
      <c r="P645" s="5" t="str">
        <f ca="1">IFERROR(__xludf.DUMMYFUNCTION("""COMPUTED_VALUE"""),"Yes")</f>
        <v>Yes</v>
      </c>
      <c r="Q645" s="5" t="str">
        <f ca="1">IFERROR(__xludf.DUMMYFUNCTION("""COMPUTED_VALUE"""),"Yes")</f>
        <v>Yes</v>
      </c>
      <c r="R645" s="5" t="str">
        <f ca="1">IFERROR(__xludf.DUMMYFUNCTION("""COMPUTED_VALUE"""),"Yes")</f>
        <v>Yes</v>
      </c>
      <c r="S645" s="5" t="str">
        <f ca="1">IFERROR(__xludf.DUMMYFUNCTION("""COMPUTED_VALUE"""),"Yes")</f>
        <v>Yes</v>
      </c>
      <c r="T645" s="5" t="str">
        <f ca="1">IFERROR(__xludf.DUMMYFUNCTION("""COMPUTED_VALUE"""),"No")</f>
        <v>No</v>
      </c>
      <c r="U645" s="5" t="str">
        <f ca="1">IFERROR(__xludf.DUMMYFUNCTION("""COMPUTED_VALUE"""),"No")</f>
        <v>No</v>
      </c>
      <c r="V645" s="5" t="str">
        <f ca="1">IFERROR(__xludf.DUMMYFUNCTION("""COMPUTED_VALUE"""),"No")</f>
        <v>No</v>
      </c>
      <c r="W645" s="5" t="str">
        <f ca="1">IFERROR(__xludf.DUMMYFUNCTION("""COMPUTED_VALUE"""),"No")</f>
        <v>No</v>
      </c>
      <c r="X645" s="5" t="str">
        <f ca="1">IFERROR(__xludf.DUMMYFUNCTION("""COMPUTED_VALUE"""),"No")</f>
        <v>No</v>
      </c>
      <c r="Y645" s="5"/>
      <c r="Z645" s="5" t="str">
        <f ca="1">IFERROR(__xludf.DUMMYFUNCTION("""COMPUTED_VALUE"""),"No")</f>
        <v>No</v>
      </c>
      <c r="AA645" s="5" t="str">
        <f ca="1">IFERROR(__xludf.DUMMYFUNCTION("""COMPUTED_VALUE"""),"No")</f>
        <v>No</v>
      </c>
      <c r="AB645" s="5"/>
      <c r="AC645" s="5"/>
      <c r="AD645" s="5"/>
      <c r="AE645" s="5"/>
      <c r="AF645" s="5" t="str">
        <f ca="1">IFERROR(__xludf.DUMMYFUNCTION("""COMPUTED_VALUE"""),"Yes")</f>
        <v>Yes</v>
      </c>
      <c r="AG645" s="5"/>
      <c r="AH645" s="5"/>
      <c r="AI645" s="5"/>
      <c r="AJ645" s="5"/>
      <c r="AK645" s="5"/>
      <c r="AL645" s="5"/>
      <c r="AM645" s="5"/>
      <c r="AN645" s="5"/>
      <c r="AO645" s="5"/>
      <c r="AP645" s="5"/>
      <c r="AQ645" s="5"/>
      <c r="AR645" s="5"/>
      <c r="AS645" s="5"/>
      <c r="AT645" s="5"/>
      <c r="AU645" s="5"/>
      <c r="AV645" s="5"/>
      <c r="AW645" s="5"/>
      <c r="AX645" s="5"/>
      <c r="AY645" s="5"/>
    </row>
    <row r="646" spans="1:51" x14ac:dyDescent="0.25">
      <c r="A646" s="5" t="str">
        <f ca="1">IFERROR(__xludf.DUMMYFUNCTION("""COMPUTED_VALUE"""),"English(""eng"")")</f>
        <v>English("eng")</v>
      </c>
      <c r="B646" s="5">
        <f ca="1">IFERROR(__xludf.DUMMYFUNCTION("""COMPUTED_VALUE"""),681)</f>
        <v>681</v>
      </c>
      <c r="C646" s="5">
        <f ca="1">IFERROR(__xludf.DUMMYFUNCTION("""COMPUTED_VALUE"""),4000006)</f>
        <v>4000006</v>
      </c>
      <c r="D646" s="5" t="str">
        <f ca="1">IFERROR(__xludf.DUMMYFUNCTION("""COMPUTED_VALUE"""),"UnicornCoyoteSevensJackpot")</f>
        <v>UnicornCoyoteSevensJackpot</v>
      </c>
      <c r="E646" s="5" t="str">
        <f ca="1">IFERROR(__xludf.DUMMYFUNCTION("""COMPUTED_VALUE"""),"Yes")</f>
        <v>Yes</v>
      </c>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row>
    <row r="647" spans="1:51" x14ac:dyDescent="0.25">
      <c r="A647" s="5" t="str">
        <f ca="1">IFERROR(__xludf.DUMMYFUNCTION("""COMPUTED_VALUE"""),"English(""eng"")")</f>
        <v>English("eng")</v>
      </c>
      <c r="B647" s="5">
        <f ca="1">IFERROR(__xludf.DUMMYFUNCTION("""COMPUTED_VALUE"""),682)</f>
        <v>682</v>
      </c>
      <c r="C647" s="5">
        <f ca="1">IFERROR(__xludf.DUMMYFUNCTION("""COMPUTED_VALUE"""),4000005)</f>
        <v>4000005</v>
      </c>
      <c r="D647" s="5" t="str">
        <f ca="1">IFERROR(__xludf.DUMMYFUNCTION("""COMPUTED_VALUE"""),"UnicornDragonGems")</f>
        <v>UnicornDragonGems</v>
      </c>
      <c r="E647" s="5" t="str">
        <f ca="1">IFERROR(__xludf.DUMMYFUNCTION("""COMPUTED_VALUE"""),"Yes")</f>
        <v>Yes</v>
      </c>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row>
    <row r="648" spans="1:51" x14ac:dyDescent="0.25">
      <c r="A648" s="5" t="str">
        <f ca="1">IFERROR(__xludf.DUMMYFUNCTION("""COMPUTED_VALUE"""),"English(""eng"")")</f>
        <v>English("eng")</v>
      </c>
      <c r="B648" s="5">
        <f ca="1">IFERROR(__xludf.DUMMYFUNCTION("""COMPUTED_VALUE"""),683)</f>
        <v>683</v>
      </c>
      <c r="C648" s="5">
        <f ca="1">IFERROR(__xludf.DUMMYFUNCTION("""COMPUTED_VALUE"""),4000009)</f>
        <v>4000009</v>
      </c>
      <c r="D648" s="5" t="str">
        <f ca="1">IFERROR(__xludf.DUMMYFUNCTION("""COMPUTED_VALUE"""),"UnicornByeBouse")</f>
        <v>UnicornByeBouse</v>
      </c>
      <c r="E648" s="5" t="str">
        <f ca="1">IFERROR(__xludf.DUMMYFUNCTION("""COMPUTED_VALUE"""),"Yes")</f>
        <v>Yes</v>
      </c>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row>
    <row r="649" spans="1:51" x14ac:dyDescent="0.25">
      <c r="A649" s="5" t="str">
        <f ca="1">IFERROR(__xludf.DUMMYFUNCTION("""COMPUTED_VALUE"""),"English(""eng"")")</f>
        <v>English("eng")</v>
      </c>
      <c r="B649" s="5">
        <f ca="1">IFERROR(__xludf.DUMMYFUNCTION("""COMPUTED_VALUE"""),684)</f>
        <v>684</v>
      </c>
      <c r="C649" s="5">
        <f ca="1">IFERROR(__xludf.DUMMYFUNCTION("""COMPUTED_VALUE"""),4000007)</f>
        <v>4000007</v>
      </c>
      <c r="D649" s="5" t="str">
        <f ca="1">IFERROR(__xludf.DUMMYFUNCTION("""COMPUTED_VALUE"""),"UnicornTripleRoyalWilds")</f>
        <v>UnicornTripleRoyalWilds</v>
      </c>
      <c r="E649" s="5" t="str">
        <f ca="1">IFERROR(__xludf.DUMMYFUNCTION("""COMPUTED_VALUE"""),"Yes")</f>
        <v>Yes</v>
      </c>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row>
    <row r="650" spans="1:51" x14ac:dyDescent="0.25">
      <c r="A6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0" s="5">
        <f ca="1">IFERROR(__xludf.DUMMYFUNCTION("""COMPUTED_VALUE"""),685)</f>
        <v>685</v>
      </c>
      <c r="C650" s="5">
        <f ca="1">IFERROR(__xludf.DUMMYFUNCTION("""COMPUTED_VALUE"""),1011)</f>
        <v>1011</v>
      </c>
      <c r="D650" s="5" t="str">
        <f ca="1">IFERROR(__xludf.DUMMYFUNCTION("""COMPUTED_VALUE"""),"GoldenDiamonds5Extreme")</f>
        <v>GoldenDiamonds5Extreme</v>
      </c>
      <c r="E650" s="5" t="str">
        <f ca="1">IFERROR(__xludf.DUMMYFUNCTION("""COMPUTED_VALUE"""),"Yes")</f>
        <v>Yes</v>
      </c>
      <c r="F650" s="5" t="str">
        <f ca="1">IFERROR(__xludf.DUMMYFUNCTION("""COMPUTED_VALUE"""),"Yes")</f>
        <v>Yes</v>
      </c>
      <c r="G650" s="5" t="str">
        <f ca="1">IFERROR(__xludf.DUMMYFUNCTION("""COMPUTED_VALUE"""),"Yes")</f>
        <v>Yes</v>
      </c>
      <c r="H650" s="5" t="str">
        <f ca="1">IFERROR(__xludf.DUMMYFUNCTION("""COMPUTED_VALUE"""),"Yes")</f>
        <v>Yes</v>
      </c>
      <c r="I650" s="5" t="str">
        <f ca="1">IFERROR(__xludf.DUMMYFUNCTION("""COMPUTED_VALUE"""),"Yes")</f>
        <v>Yes</v>
      </c>
      <c r="J650" s="5" t="str">
        <f ca="1">IFERROR(__xludf.DUMMYFUNCTION("""COMPUTED_VALUE"""),"Yes")</f>
        <v>Yes</v>
      </c>
      <c r="K650" s="5" t="str">
        <f ca="1">IFERROR(__xludf.DUMMYFUNCTION("""COMPUTED_VALUE"""),"Yes")</f>
        <v>Yes</v>
      </c>
      <c r="L650" s="5" t="str">
        <f ca="1">IFERROR(__xludf.DUMMYFUNCTION("""COMPUTED_VALUE"""),"Yes")</f>
        <v>Yes</v>
      </c>
      <c r="M650" s="5" t="str">
        <f ca="1">IFERROR(__xludf.DUMMYFUNCTION("""COMPUTED_VALUE"""),"Yes")</f>
        <v>Yes</v>
      </c>
      <c r="N650" s="5" t="str">
        <f ca="1">IFERROR(__xludf.DUMMYFUNCTION("""COMPUTED_VALUE"""),"Yes")</f>
        <v>Yes</v>
      </c>
      <c r="O650" s="5" t="str">
        <f ca="1">IFERROR(__xludf.DUMMYFUNCTION("""COMPUTED_VALUE"""),"Yes")</f>
        <v>Yes</v>
      </c>
      <c r="P650" s="5" t="str">
        <f ca="1">IFERROR(__xludf.DUMMYFUNCTION("""COMPUTED_VALUE"""),"Yes")</f>
        <v>Yes</v>
      </c>
      <c r="Q650" s="5" t="str">
        <f ca="1">IFERROR(__xludf.DUMMYFUNCTION("""COMPUTED_VALUE"""),"Yes")</f>
        <v>Yes</v>
      </c>
      <c r="R650" s="5" t="str">
        <f ca="1">IFERROR(__xludf.DUMMYFUNCTION("""COMPUTED_VALUE"""),"Yes")</f>
        <v>Yes</v>
      </c>
      <c r="S650" s="5" t="str">
        <f ca="1">IFERROR(__xludf.DUMMYFUNCTION("""COMPUTED_VALUE"""),"Yes")</f>
        <v>Yes</v>
      </c>
      <c r="T650" s="5" t="str">
        <f ca="1">IFERROR(__xludf.DUMMYFUNCTION("""COMPUTED_VALUE"""),"Yes")</f>
        <v>Yes</v>
      </c>
      <c r="U650" s="5" t="str">
        <f ca="1">IFERROR(__xludf.DUMMYFUNCTION("""COMPUTED_VALUE"""),"Yes")</f>
        <v>Yes</v>
      </c>
      <c r="V650" s="5" t="str">
        <f ca="1">IFERROR(__xludf.DUMMYFUNCTION("""COMPUTED_VALUE"""),"Yes")</f>
        <v>Yes</v>
      </c>
      <c r="W650" s="5" t="str">
        <f ca="1">IFERROR(__xludf.DUMMYFUNCTION("""COMPUTED_VALUE"""),"Yes")</f>
        <v>Yes</v>
      </c>
      <c r="X650" s="5" t="str">
        <f ca="1">IFERROR(__xludf.DUMMYFUNCTION("""COMPUTED_VALUE"""),"Yes")</f>
        <v>Yes</v>
      </c>
      <c r="Y650" s="5" t="str">
        <f ca="1">IFERROR(__xludf.DUMMYFUNCTION("""COMPUTED_VALUE"""),"Yes")</f>
        <v>Yes</v>
      </c>
      <c r="Z650" s="5" t="str">
        <f ca="1">IFERROR(__xludf.DUMMYFUNCTION("""COMPUTED_VALUE"""),"Yes")</f>
        <v>Yes</v>
      </c>
      <c r="AA650" s="5" t="str">
        <f ca="1">IFERROR(__xludf.DUMMYFUNCTION("""COMPUTED_VALUE"""),"Yes")</f>
        <v>Yes</v>
      </c>
      <c r="AB650" s="5" t="str">
        <f ca="1">IFERROR(__xludf.DUMMYFUNCTION("""COMPUTED_VALUE"""),"Yes")</f>
        <v>Yes</v>
      </c>
      <c r="AC650" s="5" t="str">
        <f ca="1">IFERROR(__xludf.DUMMYFUNCTION("""COMPUTED_VALUE"""),"Yes")</f>
        <v>Yes</v>
      </c>
      <c r="AD650" s="5" t="str">
        <f ca="1">IFERROR(__xludf.DUMMYFUNCTION("""COMPUTED_VALUE"""),"Yes")</f>
        <v>Yes</v>
      </c>
      <c r="AE650" s="5" t="str">
        <f ca="1">IFERROR(__xludf.DUMMYFUNCTION("""COMPUTED_VALUE"""),"Yes")</f>
        <v>Yes</v>
      </c>
      <c r="AF650" s="5" t="str">
        <f ca="1">IFERROR(__xludf.DUMMYFUNCTION("""COMPUTED_VALUE"""),"Yes")</f>
        <v>Yes</v>
      </c>
      <c r="AG650" s="5" t="str">
        <f ca="1">IFERROR(__xludf.DUMMYFUNCTION("""COMPUTED_VALUE"""),"Yes")</f>
        <v>Yes</v>
      </c>
      <c r="AH650" s="5" t="str">
        <f ca="1">IFERROR(__xludf.DUMMYFUNCTION("""COMPUTED_VALUE"""),"Yes")</f>
        <v>Yes</v>
      </c>
      <c r="AI650" s="5" t="str">
        <f ca="1">IFERROR(__xludf.DUMMYFUNCTION("""COMPUTED_VALUE"""),"Yes")</f>
        <v>Yes</v>
      </c>
      <c r="AJ650" s="5" t="str">
        <f ca="1">IFERROR(__xludf.DUMMYFUNCTION("""COMPUTED_VALUE"""),"Yes")</f>
        <v>Yes</v>
      </c>
      <c r="AK650" s="5" t="str">
        <f ca="1">IFERROR(__xludf.DUMMYFUNCTION("""COMPUTED_VALUE"""),"Yes")</f>
        <v>Yes</v>
      </c>
      <c r="AL650" s="5" t="str">
        <f ca="1">IFERROR(__xludf.DUMMYFUNCTION("""COMPUTED_VALUE"""),"No")</f>
        <v>No</v>
      </c>
      <c r="AM650" s="5"/>
      <c r="AN650" s="5"/>
      <c r="AO650" s="5"/>
      <c r="AP650" s="5"/>
      <c r="AQ650" s="5"/>
      <c r="AR650" s="5"/>
      <c r="AS650" s="5"/>
      <c r="AT650" s="5"/>
      <c r="AU650" s="5"/>
      <c r="AV650" s="5"/>
      <c r="AW650" s="5"/>
      <c r="AX650" s="5"/>
      <c r="AY650" s="5"/>
    </row>
    <row r="651" spans="1:51" x14ac:dyDescent="0.25">
      <c r="A6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651" s="5">
        <f ca="1">IFERROR(__xludf.DUMMYFUNCTION("""COMPUTED_VALUE"""),686)</f>
        <v>686</v>
      </c>
      <c r="C651" s="5">
        <f ca="1">IFERROR(__xludf.DUMMYFUNCTION("""COMPUTED_VALUE"""),1012)</f>
        <v>1012</v>
      </c>
      <c r="D651" s="5" t="str">
        <f ca="1">IFERROR(__xludf.DUMMYFUNCTION("""COMPUTED_VALUE"""),"GoldenDiamonds10Extreme")</f>
        <v>GoldenDiamonds10Extreme</v>
      </c>
      <c r="E651" s="5" t="str">
        <f ca="1">IFERROR(__xludf.DUMMYFUNCTION("""COMPUTED_VALUE"""),"Yes")</f>
        <v>Yes</v>
      </c>
      <c r="F651" s="5" t="str">
        <f ca="1">IFERROR(__xludf.DUMMYFUNCTION("""COMPUTED_VALUE"""),"Yes")</f>
        <v>Yes</v>
      </c>
      <c r="G651" s="5" t="str">
        <f ca="1">IFERROR(__xludf.DUMMYFUNCTION("""COMPUTED_VALUE"""),"Yes")</f>
        <v>Yes</v>
      </c>
      <c r="H651" s="5" t="str">
        <f ca="1">IFERROR(__xludf.DUMMYFUNCTION("""COMPUTED_VALUE"""),"Yes")</f>
        <v>Yes</v>
      </c>
      <c r="I651" s="5" t="str">
        <f ca="1">IFERROR(__xludf.DUMMYFUNCTION("""COMPUTED_VALUE"""),"Yes")</f>
        <v>Yes</v>
      </c>
      <c r="J651" s="5" t="str">
        <f ca="1">IFERROR(__xludf.DUMMYFUNCTION("""COMPUTED_VALUE"""),"Yes")</f>
        <v>Yes</v>
      </c>
      <c r="K651" s="5" t="str">
        <f ca="1">IFERROR(__xludf.DUMMYFUNCTION("""COMPUTED_VALUE"""),"Yes")</f>
        <v>Yes</v>
      </c>
      <c r="L651" s="5" t="str">
        <f ca="1">IFERROR(__xludf.DUMMYFUNCTION("""COMPUTED_VALUE"""),"Yes")</f>
        <v>Yes</v>
      </c>
      <c r="M651" s="5" t="str">
        <f ca="1">IFERROR(__xludf.DUMMYFUNCTION("""COMPUTED_VALUE"""),"Yes")</f>
        <v>Yes</v>
      </c>
      <c r="N651" s="5" t="str">
        <f ca="1">IFERROR(__xludf.DUMMYFUNCTION("""COMPUTED_VALUE"""),"Yes")</f>
        <v>Yes</v>
      </c>
      <c r="O651" s="5" t="str">
        <f ca="1">IFERROR(__xludf.DUMMYFUNCTION("""COMPUTED_VALUE"""),"Yes")</f>
        <v>Yes</v>
      </c>
      <c r="P651" s="5" t="str">
        <f ca="1">IFERROR(__xludf.DUMMYFUNCTION("""COMPUTED_VALUE"""),"Yes")</f>
        <v>Yes</v>
      </c>
      <c r="Q651" s="5" t="str">
        <f ca="1">IFERROR(__xludf.DUMMYFUNCTION("""COMPUTED_VALUE"""),"Yes")</f>
        <v>Yes</v>
      </c>
      <c r="R651" s="5" t="str">
        <f ca="1">IFERROR(__xludf.DUMMYFUNCTION("""COMPUTED_VALUE"""),"Yes")</f>
        <v>Yes</v>
      </c>
      <c r="S651" s="5" t="str">
        <f ca="1">IFERROR(__xludf.DUMMYFUNCTION("""COMPUTED_VALUE"""),"Yes")</f>
        <v>Yes</v>
      </c>
      <c r="T651" s="5" t="str">
        <f ca="1">IFERROR(__xludf.DUMMYFUNCTION("""COMPUTED_VALUE"""),"Yes")</f>
        <v>Yes</v>
      </c>
      <c r="U651" s="5" t="str">
        <f ca="1">IFERROR(__xludf.DUMMYFUNCTION("""COMPUTED_VALUE"""),"Yes")</f>
        <v>Yes</v>
      </c>
      <c r="V651" s="5" t="str">
        <f ca="1">IFERROR(__xludf.DUMMYFUNCTION("""COMPUTED_VALUE"""),"Yes")</f>
        <v>Yes</v>
      </c>
      <c r="W651" s="5" t="str">
        <f ca="1">IFERROR(__xludf.DUMMYFUNCTION("""COMPUTED_VALUE"""),"Yes")</f>
        <v>Yes</v>
      </c>
      <c r="X651" s="5" t="str">
        <f ca="1">IFERROR(__xludf.DUMMYFUNCTION("""COMPUTED_VALUE"""),"Yes")</f>
        <v>Yes</v>
      </c>
      <c r="Y651" s="5" t="str">
        <f ca="1">IFERROR(__xludf.DUMMYFUNCTION("""COMPUTED_VALUE"""),"Yes")</f>
        <v>Yes</v>
      </c>
      <c r="Z651" s="5" t="str">
        <f ca="1">IFERROR(__xludf.DUMMYFUNCTION("""COMPUTED_VALUE"""),"Yes")</f>
        <v>Yes</v>
      </c>
      <c r="AA651" s="5" t="str">
        <f ca="1">IFERROR(__xludf.DUMMYFUNCTION("""COMPUTED_VALUE"""),"Yes")</f>
        <v>Yes</v>
      </c>
      <c r="AB651" s="5" t="str">
        <f ca="1">IFERROR(__xludf.DUMMYFUNCTION("""COMPUTED_VALUE"""),"Yes")</f>
        <v>Yes</v>
      </c>
      <c r="AC651" s="5" t="str">
        <f ca="1">IFERROR(__xludf.DUMMYFUNCTION("""COMPUTED_VALUE"""),"Yes")</f>
        <v>Yes</v>
      </c>
      <c r="AD651" s="5" t="str">
        <f ca="1">IFERROR(__xludf.DUMMYFUNCTION("""COMPUTED_VALUE"""),"Yes")</f>
        <v>Yes</v>
      </c>
      <c r="AE651" s="5" t="str">
        <f ca="1">IFERROR(__xludf.DUMMYFUNCTION("""COMPUTED_VALUE"""),"Yes")</f>
        <v>Yes</v>
      </c>
      <c r="AF651" s="5" t="str">
        <f ca="1">IFERROR(__xludf.DUMMYFUNCTION("""COMPUTED_VALUE"""),"Yes")</f>
        <v>Yes</v>
      </c>
      <c r="AG651" s="5" t="str">
        <f ca="1">IFERROR(__xludf.DUMMYFUNCTION("""COMPUTED_VALUE"""),"Yes")</f>
        <v>Yes</v>
      </c>
      <c r="AH651" s="5" t="str">
        <f ca="1">IFERROR(__xludf.DUMMYFUNCTION("""COMPUTED_VALUE"""),"No")</f>
        <v>No</v>
      </c>
      <c r="AI651" s="5" t="str">
        <f ca="1">IFERROR(__xludf.DUMMYFUNCTION("""COMPUTED_VALUE"""),"No")</f>
        <v>No</v>
      </c>
      <c r="AJ651" s="5" t="str">
        <f ca="1">IFERROR(__xludf.DUMMYFUNCTION("""COMPUTED_VALUE"""),"No")</f>
        <v>No</v>
      </c>
      <c r="AK651" s="5" t="str">
        <f ca="1">IFERROR(__xludf.DUMMYFUNCTION("""COMPUTED_VALUE"""),"No")</f>
        <v>No</v>
      </c>
      <c r="AL651" s="5" t="str">
        <f ca="1">IFERROR(__xludf.DUMMYFUNCTION("""COMPUTED_VALUE"""),"No")</f>
        <v>No</v>
      </c>
      <c r="AM651" s="5"/>
      <c r="AN651" s="5"/>
      <c r="AO651" s="5"/>
      <c r="AP651" s="5"/>
      <c r="AQ651" s="5"/>
      <c r="AR651" s="5"/>
      <c r="AS651" s="5"/>
      <c r="AT651" s="5"/>
      <c r="AU651" s="5"/>
      <c r="AV651" s="5"/>
      <c r="AW651" s="5"/>
      <c r="AX651" s="5"/>
      <c r="AY651" s="5"/>
    </row>
    <row r="652" spans="1:51" x14ac:dyDescent="0.25">
      <c r="A6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2" s="5">
        <f ca="1">IFERROR(__xludf.DUMMYFUNCTION("""COMPUTED_VALUE"""),687)</f>
        <v>687</v>
      </c>
      <c r="C652" s="5">
        <f ca="1">IFERROR(__xludf.DUMMYFUNCTION("""COMPUTED_VALUE"""),1013)</f>
        <v>1013</v>
      </c>
      <c r="D652" s="5" t="str">
        <f ca="1">IFERROR(__xludf.DUMMYFUNCTION("""COMPUTED_VALUE"""),"GoldenDiamonds20Extreme")</f>
        <v>GoldenDiamonds20Extreme</v>
      </c>
      <c r="E652" s="5" t="str">
        <f ca="1">IFERROR(__xludf.DUMMYFUNCTION("""COMPUTED_VALUE"""),"Yes")</f>
        <v>Yes</v>
      </c>
      <c r="F652" s="5" t="str">
        <f ca="1">IFERROR(__xludf.DUMMYFUNCTION("""COMPUTED_VALUE"""),"Yes")</f>
        <v>Yes</v>
      </c>
      <c r="G652" s="5" t="str">
        <f ca="1">IFERROR(__xludf.DUMMYFUNCTION("""COMPUTED_VALUE"""),"Yes")</f>
        <v>Yes</v>
      </c>
      <c r="H652" s="5" t="str">
        <f ca="1">IFERROR(__xludf.DUMMYFUNCTION("""COMPUTED_VALUE"""),"Yes")</f>
        <v>Yes</v>
      </c>
      <c r="I652" s="5" t="str">
        <f ca="1">IFERROR(__xludf.DUMMYFUNCTION("""COMPUTED_VALUE"""),"Yes")</f>
        <v>Yes</v>
      </c>
      <c r="J652" s="5" t="str">
        <f ca="1">IFERROR(__xludf.DUMMYFUNCTION("""COMPUTED_VALUE"""),"Yes")</f>
        <v>Yes</v>
      </c>
      <c r="K652" s="5" t="str">
        <f ca="1">IFERROR(__xludf.DUMMYFUNCTION("""COMPUTED_VALUE"""),"Yes")</f>
        <v>Yes</v>
      </c>
      <c r="L652" s="5" t="str">
        <f ca="1">IFERROR(__xludf.DUMMYFUNCTION("""COMPUTED_VALUE"""),"Yes")</f>
        <v>Yes</v>
      </c>
      <c r="M652" s="5" t="str">
        <f ca="1">IFERROR(__xludf.DUMMYFUNCTION("""COMPUTED_VALUE"""),"Yes")</f>
        <v>Yes</v>
      </c>
      <c r="N652" s="5" t="str">
        <f ca="1">IFERROR(__xludf.DUMMYFUNCTION("""COMPUTED_VALUE"""),"Yes")</f>
        <v>Yes</v>
      </c>
      <c r="O652" s="5" t="str">
        <f ca="1">IFERROR(__xludf.DUMMYFUNCTION("""COMPUTED_VALUE"""),"Yes")</f>
        <v>Yes</v>
      </c>
      <c r="P652" s="5" t="str">
        <f ca="1">IFERROR(__xludf.DUMMYFUNCTION("""COMPUTED_VALUE"""),"Yes")</f>
        <v>Yes</v>
      </c>
      <c r="Q652" s="5" t="str">
        <f ca="1">IFERROR(__xludf.DUMMYFUNCTION("""COMPUTED_VALUE"""),"Yes")</f>
        <v>Yes</v>
      </c>
      <c r="R652" s="5" t="str">
        <f ca="1">IFERROR(__xludf.DUMMYFUNCTION("""COMPUTED_VALUE"""),"Yes")</f>
        <v>Yes</v>
      </c>
      <c r="S652" s="5" t="str">
        <f ca="1">IFERROR(__xludf.DUMMYFUNCTION("""COMPUTED_VALUE"""),"Yes")</f>
        <v>Yes</v>
      </c>
      <c r="T652" s="5" t="str">
        <f ca="1">IFERROR(__xludf.DUMMYFUNCTION("""COMPUTED_VALUE"""),"Yes")</f>
        <v>Yes</v>
      </c>
      <c r="U652" s="5" t="str">
        <f ca="1">IFERROR(__xludf.DUMMYFUNCTION("""COMPUTED_VALUE"""),"Yes")</f>
        <v>Yes</v>
      </c>
      <c r="V652" s="5" t="str">
        <f ca="1">IFERROR(__xludf.DUMMYFUNCTION("""COMPUTED_VALUE"""),"Yes")</f>
        <v>Yes</v>
      </c>
      <c r="W652" s="5" t="str">
        <f ca="1">IFERROR(__xludf.DUMMYFUNCTION("""COMPUTED_VALUE"""),"Yes")</f>
        <v>Yes</v>
      </c>
      <c r="X652" s="5" t="str">
        <f ca="1">IFERROR(__xludf.DUMMYFUNCTION("""COMPUTED_VALUE"""),"Yes")</f>
        <v>Yes</v>
      </c>
      <c r="Y652" s="5" t="str">
        <f ca="1">IFERROR(__xludf.DUMMYFUNCTION("""COMPUTED_VALUE"""),"Yes")</f>
        <v>Yes</v>
      </c>
      <c r="Z652" s="5" t="str">
        <f ca="1">IFERROR(__xludf.DUMMYFUNCTION("""COMPUTED_VALUE"""),"Yes")</f>
        <v>Yes</v>
      </c>
      <c r="AA652" s="5" t="str">
        <f ca="1">IFERROR(__xludf.DUMMYFUNCTION("""COMPUTED_VALUE"""),"Yes")</f>
        <v>Yes</v>
      </c>
      <c r="AB652" s="5" t="str">
        <f ca="1">IFERROR(__xludf.DUMMYFUNCTION("""COMPUTED_VALUE"""),"Yes")</f>
        <v>Yes</v>
      </c>
      <c r="AC652" s="5" t="str">
        <f ca="1">IFERROR(__xludf.DUMMYFUNCTION("""COMPUTED_VALUE"""),"Yes")</f>
        <v>Yes</v>
      </c>
      <c r="AD652" s="5" t="str">
        <f ca="1">IFERROR(__xludf.DUMMYFUNCTION("""COMPUTED_VALUE"""),"Yes")</f>
        <v>Yes</v>
      </c>
      <c r="AE652" s="5" t="str">
        <f ca="1">IFERROR(__xludf.DUMMYFUNCTION("""COMPUTED_VALUE"""),"Yes")</f>
        <v>Yes</v>
      </c>
      <c r="AF652" s="5" t="str">
        <f ca="1">IFERROR(__xludf.DUMMYFUNCTION("""COMPUTED_VALUE"""),"Yes")</f>
        <v>Yes</v>
      </c>
      <c r="AG652" s="5" t="str">
        <f ca="1">IFERROR(__xludf.DUMMYFUNCTION("""COMPUTED_VALUE"""),"Yes")</f>
        <v>Yes</v>
      </c>
      <c r="AH652" s="5" t="str">
        <f ca="1">IFERROR(__xludf.DUMMYFUNCTION("""COMPUTED_VALUE"""),"Yes")</f>
        <v>Yes</v>
      </c>
      <c r="AI652" s="5" t="str">
        <f ca="1">IFERROR(__xludf.DUMMYFUNCTION("""COMPUTED_VALUE"""),"Yes")</f>
        <v>Yes</v>
      </c>
      <c r="AJ652" s="5" t="str">
        <f ca="1">IFERROR(__xludf.DUMMYFUNCTION("""COMPUTED_VALUE"""),"Yes")</f>
        <v>Yes</v>
      </c>
      <c r="AK652" s="5" t="str">
        <f ca="1">IFERROR(__xludf.DUMMYFUNCTION("""COMPUTED_VALUE"""),"Yes")</f>
        <v>Yes</v>
      </c>
      <c r="AL652" s="5" t="str">
        <f ca="1">IFERROR(__xludf.DUMMYFUNCTION("""COMPUTED_VALUE"""),"No")</f>
        <v>No</v>
      </c>
      <c r="AM652" s="5"/>
      <c r="AN652" s="5"/>
      <c r="AO652" s="5"/>
      <c r="AP652" s="5"/>
      <c r="AQ652" s="5"/>
      <c r="AR652" s="5"/>
      <c r="AS652" s="5"/>
      <c r="AT652" s="5"/>
      <c r="AU652" s="5"/>
      <c r="AV652" s="5"/>
      <c r="AW652" s="5"/>
      <c r="AX652" s="5"/>
      <c r="AY652" s="5"/>
    </row>
    <row r="653" spans="1:51" x14ac:dyDescent="0.25">
      <c r="A6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3" s="5">
        <f ca="1">IFERROR(__xludf.DUMMYFUNCTION("""COMPUTED_VALUE"""),688)</f>
        <v>688</v>
      </c>
      <c r="C653" s="5">
        <f ca="1">IFERROR(__xludf.DUMMYFUNCTION("""COMPUTED_VALUE"""),1014)</f>
        <v>1014</v>
      </c>
      <c r="D653" s="5" t="str">
        <f ca="1">IFERROR(__xludf.DUMMYFUNCTION("""COMPUTED_VALUE"""),"GoldenDiamonds40Extreme")</f>
        <v>GoldenDiamonds40Extreme</v>
      </c>
      <c r="E653" s="5" t="str">
        <f ca="1">IFERROR(__xludf.DUMMYFUNCTION("""COMPUTED_VALUE"""),"Yes")</f>
        <v>Yes</v>
      </c>
      <c r="F653" s="5" t="str">
        <f ca="1">IFERROR(__xludf.DUMMYFUNCTION("""COMPUTED_VALUE"""),"Yes")</f>
        <v>Yes</v>
      </c>
      <c r="G653" s="5" t="str">
        <f ca="1">IFERROR(__xludf.DUMMYFUNCTION("""COMPUTED_VALUE"""),"Yes")</f>
        <v>Yes</v>
      </c>
      <c r="H653" s="5" t="str">
        <f ca="1">IFERROR(__xludf.DUMMYFUNCTION("""COMPUTED_VALUE"""),"Yes")</f>
        <v>Yes</v>
      </c>
      <c r="I653" s="5" t="str">
        <f ca="1">IFERROR(__xludf.DUMMYFUNCTION("""COMPUTED_VALUE"""),"Yes")</f>
        <v>Yes</v>
      </c>
      <c r="J653" s="5" t="str">
        <f ca="1">IFERROR(__xludf.DUMMYFUNCTION("""COMPUTED_VALUE"""),"Yes")</f>
        <v>Yes</v>
      </c>
      <c r="K653" s="5" t="str">
        <f ca="1">IFERROR(__xludf.DUMMYFUNCTION("""COMPUTED_VALUE"""),"Yes")</f>
        <v>Yes</v>
      </c>
      <c r="L653" s="5" t="str">
        <f ca="1">IFERROR(__xludf.DUMMYFUNCTION("""COMPUTED_VALUE"""),"Yes")</f>
        <v>Yes</v>
      </c>
      <c r="M653" s="5" t="str">
        <f ca="1">IFERROR(__xludf.DUMMYFUNCTION("""COMPUTED_VALUE"""),"Yes")</f>
        <v>Yes</v>
      </c>
      <c r="N653" s="5" t="str">
        <f ca="1">IFERROR(__xludf.DUMMYFUNCTION("""COMPUTED_VALUE"""),"Yes")</f>
        <v>Yes</v>
      </c>
      <c r="O653" s="5" t="str">
        <f ca="1">IFERROR(__xludf.DUMMYFUNCTION("""COMPUTED_VALUE"""),"Yes")</f>
        <v>Yes</v>
      </c>
      <c r="P653" s="5" t="str">
        <f ca="1">IFERROR(__xludf.DUMMYFUNCTION("""COMPUTED_VALUE"""),"Yes")</f>
        <v>Yes</v>
      </c>
      <c r="Q653" s="5" t="str">
        <f ca="1">IFERROR(__xludf.DUMMYFUNCTION("""COMPUTED_VALUE"""),"Yes")</f>
        <v>Yes</v>
      </c>
      <c r="R653" s="5" t="str">
        <f ca="1">IFERROR(__xludf.DUMMYFUNCTION("""COMPUTED_VALUE"""),"Yes")</f>
        <v>Yes</v>
      </c>
      <c r="S653" s="5" t="str">
        <f ca="1">IFERROR(__xludf.DUMMYFUNCTION("""COMPUTED_VALUE"""),"Yes")</f>
        <v>Yes</v>
      </c>
      <c r="T653" s="5" t="str">
        <f ca="1">IFERROR(__xludf.DUMMYFUNCTION("""COMPUTED_VALUE"""),"Yes")</f>
        <v>Yes</v>
      </c>
      <c r="U653" s="5" t="str">
        <f ca="1">IFERROR(__xludf.DUMMYFUNCTION("""COMPUTED_VALUE"""),"Yes")</f>
        <v>Yes</v>
      </c>
      <c r="V653" s="5" t="str">
        <f ca="1">IFERROR(__xludf.DUMMYFUNCTION("""COMPUTED_VALUE"""),"Yes")</f>
        <v>Yes</v>
      </c>
      <c r="W653" s="5" t="str">
        <f ca="1">IFERROR(__xludf.DUMMYFUNCTION("""COMPUTED_VALUE"""),"Yes")</f>
        <v>Yes</v>
      </c>
      <c r="X653" s="5" t="str">
        <f ca="1">IFERROR(__xludf.DUMMYFUNCTION("""COMPUTED_VALUE"""),"Yes")</f>
        <v>Yes</v>
      </c>
      <c r="Y653" s="5" t="str">
        <f ca="1">IFERROR(__xludf.DUMMYFUNCTION("""COMPUTED_VALUE"""),"Yes")</f>
        <v>Yes</v>
      </c>
      <c r="Z653" s="5" t="str">
        <f ca="1">IFERROR(__xludf.DUMMYFUNCTION("""COMPUTED_VALUE"""),"Yes")</f>
        <v>Yes</v>
      </c>
      <c r="AA653" s="5" t="str">
        <f ca="1">IFERROR(__xludf.DUMMYFUNCTION("""COMPUTED_VALUE"""),"Yes")</f>
        <v>Yes</v>
      </c>
      <c r="AB653" s="5" t="str">
        <f ca="1">IFERROR(__xludf.DUMMYFUNCTION("""COMPUTED_VALUE"""),"Yes")</f>
        <v>Yes</v>
      </c>
      <c r="AC653" s="5" t="str">
        <f ca="1">IFERROR(__xludf.DUMMYFUNCTION("""COMPUTED_VALUE"""),"Yes")</f>
        <v>Yes</v>
      </c>
      <c r="AD653" s="5" t="str">
        <f ca="1">IFERROR(__xludf.DUMMYFUNCTION("""COMPUTED_VALUE"""),"Yes")</f>
        <v>Yes</v>
      </c>
      <c r="AE653" s="5" t="str">
        <f ca="1">IFERROR(__xludf.DUMMYFUNCTION("""COMPUTED_VALUE"""),"Yes")</f>
        <v>Yes</v>
      </c>
      <c r="AF653" s="5" t="str">
        <f ca="1">IFERROR(__xludf.DUMMYFUNCTION("""COMPUTED_VALUE"""),"Yes")</f>
        <v>Yes</v>
      </c>
      <c r="AG653" s="5" t="str">
        <f ca="1">IFERROR(__xludf.DUMMYFUNCTION("""COMPUTED_VALUE"""),"Yes")</f>
        <v>Yes</v>
      </c>
      <c r="AH653" s="5" t="str">
        <f ca="1">IFERROR(__xludf.DUMMYFUNCTION("""COMPUTED_VALUE"""),"Yes")</f>
        <v>Yes</v>
      </c>
      <c r="AI653" s="5" t="str">
        <f ca="1">IFERROR(__xludf.DUMMYFUNCTION("""COMPUTED_VALUE"""),"Yes")</f>
        <v>Yes</v>
      </c>
      <c r="AJ653" s="5" t="str">
        <f ca="1">IFERROR(__xludf.DUMMYFUNCTION("""COMPUTED_VALUE"""),"Yes")</f>
        <v>Yes</v>
      </c>
      <c r="AK653" s="5" t="str">
        <f ca="1">IFERROR(__xludf.DUMMYFUNCTION("""COMPUTED_VALUE"""),"Yes")</f>
        <v>Yes</v>
      </c>
      <c r="AL653" s="5" t="str">
        <f ca="1">IFERROR(__xludf.DUMMYFUNCTION("""COMPUTED_VALUE"""),"No")</f>
        <v>No</v>
      </c>
      <c r="AM653" s="5"/>
      <c r="AN653" s="5"/>
      <c r="AO653" s="5"/>
      <c r="AP653" s="5"/>
      <c r="AQ653" s="5"/>
      <c r="AR653" s="5"/>
      <c r="AS653" s="5"/>
      <c r="AT653" s="5"/>
      <c r="AU653" s="5"/>
      <c r="AV653" s="5"/>
      <c r="AW653" s="5"/>
      <c r="AX653" s="5"/>
      <c r="AY653" s="5"/>
    </row>
    <row r="654" spans="1:51" x14ac:dyDescent="0.25">
      <c r="A6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4" s="5">
        <f ca="1">IFERROR(__xludf.DUMMYFUNCTION("""COMPUTED_VALUE"""),689)</f>
        <v>689</v>
      </c>
      <c r="C654" s="5">
        <f ca="1">IFERROR(__xludf.DUMMYFUNCTION("""COMPUTED_VALUE"""),1016)</f>
        <v>1016</v>
      </c>
      <c r="D654" s="5" t="str">
        <f ca="1">IFERROR(__xludf.DUMMYFUNCTION("""COMPUTED_VALUE"""),"VeryHot5ExtremeBooster")</f>
        <v>VeryHot5ExtremeBooster</v>
      </c>
      <c r="E654" s="5" t="str">
        <f ca="1">IFERROR(__xludf.DUMMYFUNCTION("""COMPUTED_VALUE"""),"Yes")</f>
        <v>Yes</v>
      </c>
      <c r="F654" s="5" t="str">
        <f ca="1">IFERROR(__xludf.DUMMYFUNCTION("""COMPUTED_VALUE"""),"Yes")</f>
        <v>Yes</v>
      </c>
      <c r="G654" s="5" t="str">
        <f ca="1">IFERROR(__xludf.DUMMYFUNCTION("""COMPUTED_VALUE"""),"Yes")</f>
        <v>Yes</v>
      </c>
      <c r="H654" s="5" t="str">
        <f ca="1">IFERROR(__xludf.DUMMYFUNCTION("""COMPUTED_VALUE"""),"Yes")</f>
        <v>Yes</v>
      </c>
      <c r="I654" s="5" t="str">
        <f ca="1">IFERROR(__xludf.DUMMYFUNCTION("""COMPUTED_VALUE"""),"Yes")</f>
        <v>Yes</v>
      </c>
      <c r="J654" s="5" t="str">
        <f ca="1">IFERROR(__xludf.DUMMYFUNCTION("""COMPUTED_VALUE"""),"Yes")</f>
        <v>Yes</v>
      </c>
      <c r="K654" s="5" t="str">
        <f ca="1">IFERROR(__xludf.DUMMYFUNCTION("""COMPUTED_VALUE"""),"Yes")</f>
        <v>Yes</v>
      </c>
      <c r="L654" s="5" t="str">
        <f ca="1">IFERROR(__xludf.DUMMYFUNCTION("""COMPUTED_VALUE"""),"Yes")</f>
        <v>Yes</v>
      </c>
      <c r="M654" s="5" t="str">
        <f ca="1">IFERROR(__xludf.DUMMYFUNCTION("""COMPUTED_VALUE"""),"Yes")</f>
        <v>Yes</v>
      </c>
      <c r="N654" s="5" t="str">
        <f ca="1">IFERROR(__xludf.DUMMYFUNCTION("""COMPUTED_VALUE"""),"Yes")</f>
        <v>Yes</v>
      </c>
      <c r="O654" s="5" t="str">
        <f ca="1">IFERROR(__xludf.DUMMYFUNCTION("""COMPUTED_VALUE"""),"Yes")</f>
        <v>Yes</v>
      </c>
      <c r="P654" s="5" t="str">
        <f ca="1">IFERROR(__xludf.DUMMYFUNCTION("""COMPUTED_VALUE"""),"Yes")</f>
        <v>Yes</v>
      </c>
      <c r="Q654" s="5" t="str">
        <f ca="1">IFERROR(__xludf.DUMMYFUNCTION("""COMPUTED_VALUE"""),"Yes")</f>
        <v>Yes</v>
      </c>
      <c r="R654" s="5" t="str">
        <f ca="1">IFERROR(__xludf.DUMMYFUNCTION("""COMPUTED_VALUE"""),"Yes")</f>
        <v>Yes</v>
      </c>
      <c r="S654" s="5" t="str">
        <f ca="1">IFERROR(__xludf.DUMMYFUNCTION("""COMPUTED_VALUE"""),"Yes")</f>
        <v>Yes</v>
      </c>
      <c r="T654" s="5" t="str">
        <f ca="1">IFERROR(__xludf.DUMMYFUNCTION("""COMPUTED_VALUE"""),"Yes")</f>
        <v>Yes</v>
      </c>
      <c r="U654" s="5" t="str">
        <f ca="1">IFERROR(__xludf.DUMMYFUNCTION("""COMPUTED_VALUE"""),"Yes")</f>
        <v>Yes</v>
      </c>
      <c r="V654" s="5" t="str">
        <f ca="1">IFERROR(__xludf.DUMMYFUNCTION("""COMPUTED_VALUE"""),"Yes")</f>
        <v>Yes</v>
      </c>
      <c r="W654" s="5" t="str">
        <f ca="1">IFERROR(__xludf.DUMMYFUNCTION("""COMPUTED_VALUE"""),"Yes")</f>
        <v>Yes</v>
      </c>
      <c r="X654" s="5" t="str">
        <f ca="1">IFERROR(__xludf.DUMMYFUNCTION("""COMPUTED_VALUE"""),"Yes")</f>
        <v>Yes</v>
      </c>
      <c r="Y654" s="5" t="str">
        <f ca="1">IFERROR(__xludf.DUMMYFUNCTION("""COMPUTED_VALUE"""),"Yes")</f>
        <v>Yes</v>
      </c>
      <c r="Z654" s="5" t="str">
        <f ca="1">IFERROR(__xludf.DUMMYFUNCTION("""COMPUTED_VALUE"""),"Yes")</f>
        <v>Yes</v>
      </c>
      <c r="AA654" s="5" t="str">
        <f ca="1">IFERROR(__xludf.DUMMYFUNCTION("""COMPUTED_VALUE"""),"Yes")</f>
        <v>Yes</v>
      </c>
      <c r="AB654" s="5" t="str">
        <f ca="1">IFERROR(__xludf.DUMMYFUNCTION("""COMPUTED_VALUE"""),"Yes")</f>
        <v>Yes</v>
      </c>
      <c r="AC654" s="5" t="str">
        <f ca="1">IFERROR(__xludf.DUMMYFUNCTION("""COMPUTED_VALUE"""),"Yes")</f>
        <v>Yes</v>
      </c>
      <c r="AD654" s="5" t="str">
        <f ca="1">IFERROR(__xludf.DUMMYFUNCTION("""COMPUTED_VALUE"""),"Yes")</f>
        <v>Yes</v>
      </c>
      <c r="AE654" s="5" t="str">
        <f ca="1">IFERROR(__xludf.DUMMYFUNCTION("""COMPUTED_VALUE"""),"Yes")</f>
        <v>Yes</v>
      </c>
      <c r="AF654" s="5" t="str">
        <f ca="1">IFERROR(__xludf.DUMMYFUNCTION("""COMPUTED_VALUE"""),"Yes")</f>
        <v>Yes</v>
      </c>
      <c r="AG654" s="5" t="str">
        <f ca="1">IFERROR(__xludf.DUMMYFUNCTION("""COMPUTED_VALUE"""),"Yes")</f>
        <v>Yes</v>
      </c>
      <c r="AH654" s="5" t="str">
        <f ca="1">IFERROR(__xludf.DUMMYFUNCTION("""COMPUTED_VALUE"""),"Yes")</f>
        <v>Yes</v>
      </c>
      <c r="AI654" s="5" t="str">
        <f ca="1">IFERROR(__xludf.DUMMYFUNCTION("""COMPUTED_VALUE"""),"No")</f>
        <v>No</v>
      </c>
      <c r="AJ654" s="5" t="str">
        <f ca="1">IFERROR(__xludf.DUMMYFUNCTION("""COMPUTED_VALUE"""),"No")</f>
        <v>No</v>
      </c>
      <c r="AK654" s="5" t="str">
        <f ca="1">IFERROR(__xludf.DUMMYFUNCTION("""COMPUTED_VALUE"""),"No")</f>
        <v>No</v>
      </c>
      <c r="AL654" s="5" t="str">
        <f ca="1">IFERROR(__xludf.DUMMYFUNCTION("""COMPUTED_VALUE"""),"No")</f>
        <v>No</v>
      </c>
      <c r="AM654" s="5"/>
      <c r="AN654" s="5"/>
      <c r="AO654" s="5"/>
      <c r="AP654" s="5"/>
      <c r="AQ654" s="5"/>
      <c r="AR654" s="5"/>
      <c r="AS654" s="5"/>
      <c r="AT654" s="5"/>
      <c r="AU654" s="5"/>
      <c r="AV654" s="5"/>
      <c r="AW654" s="5"/>
      <c r="AX654" s="5"/>
      <c r="AY654" s="5"/>
    </row>
    <row r="655" spans="1:51" x14ac:dyDescent="0.25">
      <c r="A6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5" s="5">
        <f ca="1">IFERROR(__xludf.DUMMYFUNCTION("""COMPUTED_VALUE"""),690)</f>
        <v>690</v>
      </c>
      <c r="C655" s="5">
        <f ca="1">IFERROR(__xludf.DUMMYFUNCTION("""COMPUTED_VALUE"""),1018)</f>
        <v>1018</v>
      </c>
      <c r="D655" s="5" t="str">
        <f ca="1">IFERROR(__xludf.DUMMYFUNCTION("""COMPUTED_VALUE"""),"LockedHearts10")</f>
        <v>LockedHearts10</v>
      </c>
      <c r="E655" s="5" t="str">
        <f ca="1">IFERROR(__xludf.DUMMYFUNCTION("""COMPUTED_VALUE"""),"Yes")</f>
        <v>Yes</v>
      </c>
      <c r="F655" s="5" t="str">
        <f ca="1">IFERROR(__xludf.DUMMYFUNCTION("""COMPUTED_VALUE"""),"Yes")</f>
        <v>Yes</v>
      </c>
      <c r="G655" s="5" t="str">
        <f ca="1">IFERROR(__xludf.DUMMYFUNCTION("""COMPUTED_VALUE"""),"Yes")</f>
        <v>Yes</v>
      </c>
      <c r="H655" s="5" t="str">
        <f ca="1">IFERROR(__xludf.DUMMYFUNCTION("""COMPUTED_VALUE"""),"Yes")</f>
        <v>Yes</v>
      </c>
      <c r="I655" s="5" t="str">
        <f ca="1">IFERROR(__xludf.DUMMYFUNCTION("""COMPUTED_VALUE"""),"Yes")</f>
        <v>Yes</v>
      </c>
      <c r="J655" s="5" t="str">
        <f ca="1">IFERROR(__xludf.DUMMYFUNCTION("""COMPUTED_VALUE"""),"Yes")</f>
        <v>Yes</v>
      </c>
      <c r="K655" s="5" t="str">
        <f ca="1">IFERROR(__xludf.DUMMYFUNCTION("""COMPUTED_VALUE"""),"Yes")</f>
        <v>Yes</v>
      </c>
      <c r="L655" s="5" t="str">
        <f ca="1">IFERROR(__xludf.DUMMYFUNCTION("""COMPUTED_VALUE"""),"Yes")</f>
        <v>Yes</v>
      </c>
      <c r="M655" s="5" t="str">
        <f ca="1">IFERROR(__xludf.DUMMYFUNCTION("""COMPUTED_VALUE"""),"Yes")</f>
        <v>Yes</v>
      </c>
      <c r="N655" s="5" t="str">
        <f ca="1">IFERROR(__xludf.DUMMYFUNCTION("""COMPUTED_VALUE"""),"Yes")</f>
        <v>Yes</v>
      </c>
      <c r="O655" s="5" t="str">
        <f ca="1">IFERROR(__xludf.DUMMYFUNCTION("""COMPUTED_VALUE"""),"Yes")</f>
        <v>Yes</v>
      </c>
      <c r="P655" s="5" t="str">
        <f ca="1">IFERROR(__xludf.DUMMYFUNCTION("""COMPUTED_VALUE"""),"Yes")</f>
        <v>Yes</v>
      </c>
      <c r="Q655" s="5" t="str">
        <f ca="1">IFERROR(__xludf.DUMMYFUNCTION("""COMPUTED_VALUE"""),"Yes")</f>
        <v>Yes</v>
      </c>
      <c r="R655" s="5" t="str">
        <f ca="1">IFERROR(__xludf.DUMMYFUNCTION("""COMPUTED_VALUE"""),"Yes")</f>
        <v>Yes</v>
      </c>
      <c r="S655" s="5" t="str">
        <f ca="1">IFERROR(__xludf.DUMMYFUNCTION("""COMPUTED_VALUE"""),"Yes")</f>
        <v>Yes</v>
      </c>
      <c r="T655" s="5" t="str">
        <f ca="1">IFERROR(__xludf.DUMMYFUNCTION("""COMPUTED_VALUE"""),"Yes")</f>
        <v>Yes</v>
      </c>
      <c r="U655" s="5" t="str">
        <f ca="1">IFERROR(__xludf.DUMMYFUNCTION("""COMPUTED_VALUE"""),"Yes")</f>
        <v>Yes</v>
      </c>
      <c r="V655" s="5" t="str">
        <f ca="1">IFERROR(__xludf.DUMMYFUNCTION("""COMPUTED_VALUE"""),"Yes")</f>
        <v>Yes</v>
      </c>
      <c r="W655" s="5" t="str">
        <f ca="1">IFERROR(__xludf.DUMMYFUNCTION("""COMPUTED_VALUE"""),"Yes")</f>
        <v>Yes</v>
      </c>
      <c r="X655" s="5" t="str">
        <f ca="1">IFERROR(__xludf.DUMMYFUNCTION("""COMPUTED_VALUE"""),"Yes")</f>
        <v>Yes</v>
      </c>
      <c r="Y655" s="5" t="str">
        <f ca="1">IFERROR(__xludf.DUMMYFUNCTION("""COMPUTED_VALUE"""),"Yes")</f>
        <v>Yes</v>
      </c>
      <c r="Z655" s="5" t="str">
        <f ca="1">IFERROR(__xludf.DUMMYFUNCTION("""COMPUTED_VALUE"""),"Yes")</f>
        <v>Yes</v>
      </c>
      <c r="AA655" s="5" t="str">
        <f ca="1">IFERROR(__xludf.DUMMYFUNCTION("""COMPUTED_VALUE"""),"Yes")</f>
        <v>Yes</v>
      </c>
      <c r="AB655" s="5" t="str">
        <f ca="1">IFERROR(__xludf.DUMMYFUNCTION("""COMPUTED_VALUE"""),"Yes")</f>
        <v>Yes</v>
      </c>
      <c r="AC655" s="5" t="str">
        <f ca="1">IFERROR(__xludf.DUMMYFUNCTION("""COMPUTED_VALUE"""),"Yes")</f>
        <v>Yes</v>
      </c>
      <c r="AD655" s="5" t="str">
        <f ca="1">IFERROR(__xludf.DUMMYFUNCTION("""COMPUTED_VALUE"""),"Yes")</f>
        <v>Yes</v>
      </c>
      <c r="AE655" s="5" t="str">
        <f ca="1">IFERROR(__xludf.DUMMYFUNCTION("""COMPUTED_VALUE"""),"Yes")</f>
        <v>Yes</v>
      </c>
      <c r="AF655" s="5" t="str">
        <f ca="1">IFERROR(__xludf.DUMMYFUNCTION("""COMPUTED_VALUE"""),"Yes")</f>
        <v>Yes</v>
      </c>
      <c r="AG655" s="5" t="str">
        <f ca="1">IFERROR(__xludf.DUMMYFUNCTION("""COMPUTED_VALUE"""),"Yes")</f>
        <v>Yes</v>
      </c>
      <c r="AH655" s="5" t="str">
        <f ca="1">IFERROR(__xludf.DUMMYFUNCTION("""COMPUTED_VALUE"""),"Yes")</f>
        <v>Yes</v>
      </c>
      <c r="AI655" s="5" t="str">
        <f ca="1">IFERROR(__xludf.DUMMYFUNCTION("""COMPUTED_VALUE"""),"Yes")</f>
        <v>Yes</v>
      </c>
      <c r="AJ655" s="5" t="str">
        <f ca="1">IFERROR(__xludf.DUMMYFUNCTION("""COMPUTED_VALUE"""),"Yes")</f>
        <v>Yes</v>
      </c>
      <c r="AK655" s="5" t="str">
        <f ca="1">IFERROR(__xludf.DUMMYFUNCTION("""COMPUTED_VALUE"""),"Yes")</f>
        <v>Yes</v>
      </c>
      <c r="AL655" s="5" t="str">
        <f ca="1">IFERROR(__xludf.DUMMYFUNCTION("""COMPUTED_VALUE"""),"No")</f>
        <v>No</v>
      </c>
      <c r="AM655" s="5"/>
      <c r="AN655" s="5"/>
      <c r="AO655" s="5"/>
      <c r="AP655" s="5"/>
      <c r="AQ655" s="5"/>
      <c r="AR655" s="5"/>
      <c r="AS655" s="5"/>
      <c r="AT655" s="5"/>
      <c r="AU655" s="5"/>
      <c r="AV655" s="5"/>
      <c r="AW655" s="5"/>
      <c r="AX655" s="5"/>
      <c r="AY655" s="5"/>
    </row>
    <row r="656" spans="1:51" x14ac:dyDescent="0.25">
      <c r="A6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6" s="5">
        <f ca="1">IFERROR(__xludf.DUMMYFUNCTION("""COMPUTED_VALUE"""),691)</f>
        <v>691</v>
      </c>
      <c r="C656" s="5">
        <f ca="1">IFERROR(__xludf.DUMMYFUNCTION("""COMPUTED_VALUE"""),1017)</f>
        <v>1017</v>
      </c>
      <c r="D656" s="5" t="str">
        <f ca="1">IFERROR(__xludf.DUMMYFUNCTION("""COMPUTED_VALUE"""),"LockedHearts5")</f>
        <v>LockedHearts5</v>
      </c>
      <c r="E656" s="5" t="str">
        <f ca="1">IFERROR(__xludf.DUMMYFUNCTION("""COMPUTED_VALUE"""),"Yes")</f>
        <v>Yes</v>
      </c>
      <c r="F656" s="5" t="str">
        <f ca="1">IFERROR(__xludf.DUMMYFUNCTION("""COMPUTED_VALUE"""),"Yes")</f>
        <v>Yes</v>
      </c>
      <c r="G656" s="5" t="str">
        <f ca="1">IFERROR(__xludf.DUMMYFUNCTION("""COMPUTED_VALUE"""),"Yes")</f>
        <v>Yes</v>
      </c>
      <c r="H656" s="5" t="str">
        <f ca="1">IFERROR(__xludf.DUMMYFUNCTION("""COMPUTED_VALUE"""),"Yes")</f>
        <v>Yes</v>
      </c>
      <c r="I656" s="5" t="str">
        <f ca="1">IFERROR(__xludf.DUMMYFUNCTION("""COMPUTED_VALUE"""),"Yes")</f>
        <v>Yes</v>
      </c>
      <c r="J656" s="5" t="str">
        <f ca="1">IFERROR(__xludf.DUMMYFUNCTION("""COMPUTED_VALUE"""),"Yes")</f>
        <v>Yes</v>
      </c>
      <c r="K656" s="5" t="str">
        <f ca="1">IFERROR(__xludf.DUMMYFUNCTION("""COMPUTED_VALUE"""),"Yes")</f>
        <v>Yes</v>
      </c>
      <c r="L656" s="5" t="str">
        <f ca="1">IFERROR(__xludf.DUMMYFUNCTION("""COMPUTED_VALUE"""),"Yes")</f>
        <v>Yes</v>
      </c>
      <c r="M656" s="5" t="str">
        <f ca="1">IFERROR(__xludf.DUMMYFUNCTION("""COMPUTED_VALUE"""),"Yes")</f>
        <v>Yes</v>
      </c>
      <c r="N656" s="5" t="str">
        <f ca="1">IFERROR(__xludf.DUMMYFUNCTION("""COMPUTED_VALUE"""),"Yes")</f>
        <v>Yes</v>
      </c>
      <c r="O656" s="5" t="str">
        <f ca="1">IFERROR(__xludf.DUMMYFUNCTION("""COMPUTED_VALUE"""),"Yes")</f>
        <v>Yes</v>
      </c>
      <c r="P656" s="5" t="str">
        <f ca="1">IFERROR(__xludf.DUMMYFUNCTION("""COMPUTED_VALUE"""),"Yes")</f>
        <v>Yes</v>
      </c>
      <c r="Q656" s="5" t="str">
        <f ca="1">IFERROR(__xludf.DUMMYFUNCTION("""COMPUTED_VALUE"""),"Yes")</f>
        <v>Yes</v>
      </c>
      <c r="R656" s="5" t="str">
        <f ca="1">IFERROR(__xludf.DUMMYFUNCTION("""COMPUTED_VALUE"""),"Yes")</f>
        <v>Yes</v>
      </c>
      <c r="S656" s="5" t="str">
        <f ca="1">IFERROR(__xludf.DUMMYFUNCTION("""COMPUTED_VALUE"""),"Yes")</f>
        <v>Yes</v>
      </c>
      <c r="T656" s="5" t="str">
        <f ca="1">IFERROR(__xludf.DUMMYFUNCTION("""COMPUTED_VALUE"""),"Yes")</f>
        <v>Yes</v>
      </c>
      <c r="U656" s="5" t="str">
        <f ca="1">IFERROR(__xludf.DUMMYFUNCTION("""COMPUTED_VALUE"""),"Yes")</f>
        <v>Yes</v>
      </c>
      <c r="V656" s="5" t="str">
        <f ca="1">IFERROR(__xludf.DUMMYFUNCTION("""COMPUTED_VALUE"""),"Yes")</f>
        <v>Yes</v>
      </c>
      <c r="W656" s="5" t="str">
        <f ca="1">IFERROR(__xludf.DUMMYFUNCTION("""COMPUTED_VALUE"""),"Yes")</f>
        <v>Yes</v>
      </c>
      <c r="X656" s="5" t="str">
        <f ca="1">IFERROR(__xludf.DUMMYFUNCTION("""COMPUTED_VALUE"""),"Yes")</f>
        <v>Yes</v>
      </c>
      <c r="Y656" s="5" t="str">
        <f ca="1">IFERROR(__xludf.DUMMYFUNCTION("""COMPUTED_VALUE"""),"Yes")</f>
        <v>Yes</v>
      </c>
      <c r="Z656" s="5" t="str">
        <f ca="1">IFERROR(__xludf.DUMMYFUNCTION("""COMPUTED_VALUE"""),"Yes")</f>
        <v>Yes</v>
      </c>
      <c r="AA656" s="5" t="str">
        <f ca="1">IFERROR(__xludf.DUMMYFUNCTION("""COMPUTED_VALUE"""),"Yes")</f>
        <v>Yes</v>
      </c>
      <c r="AB656" s="5" t="str">
        <f ca="1">IFERROR(__xludf.DUMMYFUNCTION("""COMPUTED_VALUE"""),"Yes")</f>
        <v>Yes</v>
      </c>
      <c r="AC656" s="5" t="str">
        <f ca="1">IFERROR(__xludf.DUMMYFUNCTION("""COMPUTED_VALUE"""),"Yes")</f>
        <v>Yes</v>
      </c>
      <c r="AD656" s="5" t="str">
        <f ca="1">IFERROR(__xludf.DUMMYFUNCTION("""COMPUTED_VALUE"""),"Yes")</f>
        <v>Yes</v>
      </c>
      <c r="AE656" s="5" t="str">
        <f ca="1">IFERROR(__xludf.DUMMYFUNCTION("""COMPUTED_VALUE"""),"Yes")</f>
        <v>Yes</v>
      </c>
      <c r="AF656" s="5" t="str">
        <f ca="1">IFERROR(__xludf.DUMMYFUNCTION("""COMPUTED_VALUE"""),"Yes")</f>
        <v>Yes</v>
      </c>
      <c r="AG656" s="5" t="str">
        <f ca="1">IFERROR(__xludf.DUMMYFUNCTION("""COMPUTED_VALUE"""),"Yes")</f>
        <v>Yes</v>
      </c>
      <c r="AH656" s="5" t="str">
        <f ca="1">IFERROR(__xludf.DUMMYFUNCTION("""COMPUTED_VALUE"""),"Yes")</f>
        <v>Yes</v>
      </c>
      <c r="AI656" s="5" t="str">
        <f ca="1">IFERROR(__xludf.DUMMYFUNCTION("""COMPUTED_VALUE"""),"Yes")</f>
        <v>Yes</v>
      </c>
      <c r="AJ656" s="5" t="str">
        <f ca="1">IFERROR(__xludf.DUMMYFUNCTION("""COMPUTED_VALUE"""),"Yes")</f>
        <v>Yes</v>
      </c>
      <c r="AK656" s="5" t="str">
        <f ca="1">IFERROR(__xludf.DUMMYFUNCTION("""COMPUTED_VALUE"""),"Yes")</f>
        <v>Yes</v>
      </c>
      <c r="AL656" s="5" t="str">
        <f ca="1">IFERROR(__xludf.DUMMYFUNCTION("""COMPUTED_VALUE"""),"No")</f>
        <v>No</v>
      </c>
      <c r="AM656" s="5"/>
      <c r="AN656" s="5"/>
      <c r="AO656" s="5"/>
      <c r="AP656" s="5"/>
      <c r="AQ656" s="5"/>
      <c r="AR656" s="5"/>
      <c r="AS656" s="5"/>
      <c r="AT656" s="5"/>
      <c r="AU656" s="5"/>
      <c r="AV656" s="5"/>
      <c r="AW656" s="5"/>
      <c r="AX656" s="5"/>
      <c r="AY656" s="5"/>
    </row>
    <row r="657" spans="1:51" x14ac:dyDescent="0.25">
      <c r="A6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7" s="5">
        <f ca="1">IFERROR(__xludf.DUMMYFUNCTION("""COMPUTED_VALUE"""),692)</f>
        <v>692</v>
      </c>
      <c r="C657" s="5">
        <f ca="1">IFERROR(__xludf.DUMMYFUNCTION("""COMPUTED_VALUE"""),1019)</f>
        <v>1019</v>
      </c>
      <c r="D657" s="5" t="str">
        <f ca="1">IFERROR(__xludf.DUMMYFUNCTION("""COMPUTED_VALUE"""),"LockedHearts20")</f>
        <v>LockedHearts20</v>
      </c>
      <c r="E657" s="5" t="str">
        <f ca="1">IFERROR(__xludf.DUMMYFUNCTION("""COMPUTED_VALUE"""),"Yes")</f>
        <v>Yes</v>
      </c>
      <c r="F657" s="5" t="str">
        <f ca="1">IFERROR(__xludf.DUMMYFUNCTION("""COMPUTED_VALUE"""),"Yes")</f>
        <v>Yes</v>
      </c>
      <c r="G657" s="5" t="str">
        <f ca="1">IFERROR(__xludf.DUMMYFUNCTION("""COMPUTED_VALUE"""),"Yes")</f>
        <v>Yes</v>
      </c>
      <c r="H657" s="5" t="str">
        <f ca="1">IFERROR(__xludf.DUMMYFUNCTION("""COMPUTED_VALUE"""),"Yes")</f>
        <v>Yes</v>
      </c>
      <c r="I657" s="5" t="str">
        <f ca="1">IFERROR(__xludf.DUMMYFUNCTION("""COMPUTED_VALUE"""),"Yes")</f>
        <v>Yes</v>
      </c>
      <c r="J657" s="5" t="str">
        <f ca="1">IFERROR(__xludf.DUMMYFUNCTION("""COMPUTED_VALUE"""),"Yes")</f>
        <v>Yes</v>
      </c>
      <c r="K657" s="5" t="str">
        <f ca="1">IFERROR(__xludf.DUMMYFUNCTION("""COMPUTED_VALUE"""),"Yes")</f>
        <v>Yes</v>
      </c>
      <c r="L657" s="5" t="str">
        <f ca="1">IFERROR(__xludf.DUMMYFUNCTION("""COMPUTED_VALUE"""),"Yes")</f>
        <v>Yes</v>
      </c>
      <c r="M657" s="5" t="str">
        <f ca="1">IFERROR(__xludf.DUMMYFUNCTION("""COMPUTED_VALUE"""),"Yes")</f>
        <v>Yes</v>
      </c>
      <c r="N657" s="5" t="str">
        <f ca="1">IFERROR(__xludf.DUMMYFUNCTION("""COMPUTED_VALUE"""),"Yes")</f>
        <v>Yes</v>
      </c>
      <c r="O657" s="5" t="str">
        <f ca="1">IFERROR(__xludf.DUMMYFUNCTION("""COMPUTED_VALUE"""),"Yes")</f>
        <v>Yes</v>
      </c>
      <c r="P657" s="5" t="str">
        <f ca="1">IFERROR(__xludf.DUMMYFUNCTION("""COMPUTED_VALUE"""),"Yes")</f>
        <v>Yes</v>
      </c>
      <c r="Q657" s="5" t="str">
        <f ca="1">IFERROR(__xludf.DUMMYFUNCTION("""COMPUTED_VALUE"""),"Yes")</f>
        <v>Yes</v>
      </c>
      <c r="R657" s="5" t="str">
        <f ca="1">IFERROR(__xludf.DUMMYFUNCTION("""COMPUTED_VALUE"""),"Yes")</f>
        <v>Yes</v>
      </c>
      <c r="S657" s="5" t="str">
        <f ca="1">IFERROR(__xludf.DUMMYFUNCTION("""COMPUTED_VALUE"""),"Yes")</f>
        <v>Yes</v>
      </c>
      <c r="T657" s="5" t="str">
        <f ca="1">IFERROR(__xludf.DUMMYFUNCTION("""COMPUTED_VALUE"""),"Yes")</f>
        <v>Yes</v>
      </c>
      <c r="U657" s="5" t="str">
        <f ca="1">IFERROR(__xludf.DUMMYFUNCTION("""COMPUTED_VALUE"""),"Yes")</f>
        <v>Yes</v>
      </c>
      <c r="V657" s="5" t="str">
        <f ca="1">IFERROR(__xludf.DUMMYFUNCTION("""COMPUTED_VALUE"""),"Yes")</f>
        <v>Yes</v>
      </c>
      <c r="W657" s="5" t="str">
        <f ca="1">IFERROR(__xludf.DUMMYFUNCTION("""COMPUTED_VALUE"""),"Yes")</f>
        <v>Yes</v>
      </c>
      <c r="X657" s="5" t="str">
        <f ca="1">IFERROR(__xludf.DUMMYFUNCTION("""COMPUTED_VALUE"""),"Yes")</f>
        <v>Yes</v>
      </c>
      <c r="Y657" s="5" t="str">
        <f ca="1">IFERROR(__xludf.DUMMYFUNCTION("""COMPUTED_VALUE"""),"Yes")</f>
        <v>Yes</v>
      </c>
      <c r="Z657" s="5" t="str">
        <f ca="1">IFERROR(__xludf.DUMMYFUNCTION("""COMPUTED_VALUE"""),"Yes")</f>
        <v>Yes</v>
      </c>
      <c r="AA657" s="5" t="str">
        <f ca="1">IFERROR(__xludf.DUMMYFUNCTION("""COMPUTED_VALUE"""),"Yes")</f>
        <v>Yes</v>
      </c>
      <c r="AB657" s="5" t="str">
        <f ca="1">IFERROR(__xludf.DUMMYFUNCTION("""COMPUTED_VALUE"""),"Yes")</f>
        <v>Yes</v>
      </c>
      <c r="AC657" s="5" t="str">
        <f ca="1">IFERROR(__xludf.DUMMYFUNCTION("""COMPUTED_VALUE"""),"Yes")</f>
        <v>Yes</v>
      </c>
      <c r="AD657" s="5" t="str">
        <f ca="1">IFERROR(__xludf.DUMMYFUNCTION("""COMPUTED_VALUE"""),"Yes")</f>
        <v>Yes</v>
      </c>
      <c r="AE657" s="5" t="str">
        <f ca="1">IFERROR(__xludf.DUMMYFUNCTION("""COMPUTED_VALUE"""),"Yes")</f>
        <v>Yes</v>
      </c>
      <c r="AF657" s="5" t="str">
        <f ca="1">IFERROR(__xludf.DUMMYFUNCTION("""COMPUTED_VALUE"""),"Yes")</f>
        <v>Yes</v>
      </c>
      <c r="AG657" s="5" t="str">
        <f ca="1">IFERROR(__xludf.DUMMYFUNCTION("""COMPUTED_VALUE"""),"Yes")</f>
        <v>Yes</v>
      </c>
      <c r="AH657" s="5" t="str">
        <f ca="1">IFERROR(__xludf.DUMMYFUNCTION("""COMPUTED_VALUE"""),"Yes")</f>
        <v>Yes</v>
      </c>
      <c r="AI657" s="5" t="str">
        <f ca="1">IFERROR(__xludf.DUMMYFUNCTION("""COMPUTED_VALUE"""),"Yes")</f>
        <v>Yes</v>
      </c>
      <c r="AJ657" s="5" t="str">
        <f ca="1">IFERROR(__xludf.DUMMYFUNCTION("""COMPUTED_VALUE"""),"Yes")</f>
        <v>Yes</v>
      </c>
      <c r="AK657" s="5" t="str">
        <f ca="1">IFERROR(__xludf.DUMMYFUNCTION("""COMPUTED_VALUE"""),"Yes")</f>
        <v>Yes</v>
      </c>
      <c r="AL657" s="5" t="str">
        <f ca="1">IFERROR(__xludf.DUMMYFUNCTION("""COMPUTED_VALUE"""),"No")</f>
        <v>No</v>
      </c>
      <c r="AM657" s="5"/>
      <c r="AN657" s="5"/>
      <c r="AO657" s="5"/>
      <c r="AP657" s="5"/>
      <c r="AQ657" s="5"/>
      <c r="AR657" s="5"/>
      <c r="AS657" s="5"/>
      <c r="AT657" s="5"/>
      <c r="AU657" s="5"/>
      <c r="AV657" s="5"/>
      <c r="AW657" s="5"/>
      <c r="AX657" s="5"/>
      <c r="AY657" s="5"/>
    </row>
    <row r="658" spans="1:51" x14ac:dyDescent="0.25">
      <c r="A6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8" s="5">
        <f ca="1">IFERROR(__xludf.DUMMYFUNCTION("""COMPUTED_VALUE"""),693)</f>
        <v>693</v>
      </c>
      <c r="C658" s="5">
        <f ca="1">IFERROR(__xludf.DUMMYFUNCTION("""COMPUTED_VALUE"""),1020)</f>
        <v>1020</v>
      </c>
      <c r="D658" s="5" t="str">
        <f ca="1">IFERROR(__xludf.DUMMYFUNCTION("""COMPUTED_VALUE"""),"LockedHearts40")</f>
        <v>LockedHearts40</v>
      </c>
      <c r="E658" s="5" t="str">
        <f ca="1">IFERROR(__xludf.DUMMYFUNCTION("""COMPUTED_VALUE"""),"Yes")</f>
        <v>Yes</v>
      </c>
      <c r="F658" s="5" t="str">
        <f ca="1">IFERROR(__xludf.DUMMYFUNCTION("""COMPUTED_VALUE"""),"Yes")</f>
        <v>Yes</v>
      </c>
      <c r="G658" s="5" t="str">
        <f ca="1">IFERROR(__xludf.DUMMYFUNCTION("""COMPUTED_VALUE"""),"Yes")</f>
        <v>Yes</v>
      </c>
      <c r="H658" s="5" t="str">
        <f ca="1">IFERROR(__xludf.DUMMYFUNCTION("""COMPUTED_VALUE"""),"Yes")</f>
        <v>Yes</v>
      </c>
      <c r="I658" s="5" t="str">
        <f ca="1">IFERROR(__xludf.DUMMYFUNCTION("""COMPUTED_VALUE"""),"Yes")</f>
        <v>Yes</v>
      </c>
      <c r="J658" s="5" t="str">
        <f ca="1">IFERROR(__xludf.DUMMYFUNCTION("""COMPUTED_VALUE"""),"Yes")</f>
        <v>Yes</v>
      </c>
      <c r="K658" s="5" t="str">
        <f ca="1">IFERROR(__xludf.DUMMYFUNCTION("""COMPUTED_VALUE"""),"Yes")</f>
        <v>Yes</v>
      </c>
      <c r="L658" s="5" t="str">
        <f ca="1">IFERROR(__xludf.DUMMYFUNCTION("""COMPUTED_VALUE"""),"Yes")</f>
        <v>Yes</v>
      </c>
      <c r="M658" s="5" t="str">
        <f ca="1">IFERROR(__xludf.DUMMYFUNCTION("""COMPUTED_VALUE"""),"Yes")</f>
        <v>Yes</v>
      </c>
      <c r="N658" s="5" t="str">
        <f ca="1">IFERROR(__xludf.DUMMYFUNCTION("""COMPUTED_VALUE"""),"Yes")</f>
        <v>Yes</v>
      </c>
      <c r="O658" s="5" t="str">
        <f ca="1">IFERROR(__xludf.DUMMYFUNCTION("""COMPUTED_VALUE"""),"Yes")</f>
        <v>Yes</v>
      </c>
      <c r="P658" s="5" t="str">
        <f ca="1">IFERROR(__xludf.DUMMYFUNCTION("""COMPUTED_VALUE"""),"Yes")</f>
        <v>Yes</v>
      </c>
      <c r="Q658" s="5" t="str">
        <f ca="1">IFERROR(__xludf.DUMMYFUNCTION("""COMPUTED_VALUE"""),"Yes")</f>
        <v>Yes</v>
      </c>
      <c r="R658" s="5" t="str">
        <f ca="1">IFERROR(__xludf.DUMMYFUNCTION("""COMPUTED_VALUE"""),"Yes")</f>
        <v>Yes</v>
      </c>
      <c r="S658" s="5" t="str">
        <f ca="1">IFERROR(__xludf.DUMMYFUNCTION("""COMPUTED_VALUE"""),"Yes")</f>
        <v>Yes</v>
      </c>
      <c r="T658" s="5" t="str">
        <f ca="1">IFERROR(__xludf.DUMMYFUNCTION("""COMPUTED_VALUE"""),"Yes")</f>
        <v>Yes</v>
      </c>
      <c r="U658" s="5" t="str">
        <f ca="1">IFERROR(__xludf.DUMMYFUNCTION("""COMPUTED_VALUE"""),"Yes")</f>
        <v>Yes</v>
      </c>
      <c r="V658" s="5" t="str">
        <f ca="1">IFERROR(__xludf.DUMMYFUNCTION("""COMPUTED_VALUE"""),"Yes")</f>
        <v>Yes</v>
      </c>
      <c r="W658" s="5" t="str">
        <f ca="1">IFERROR(__xludf.DUMMYFUNCTION("""COMPUTED_VALUE"""),"Yes")</f>
        <v>Yes</v>
      </c>
      <c r="X658" s="5" t="str">
        <f ca="1">IFERROR(__xludf.DUMMYFUNCTION("""COMPUTED_VALUE"""),"Yes")</f>
        <v>Yes</v>
      </c>
      <c r="Y658" s="5" t="str">
        <f ca="1">IFERROR(__xludf.DUMMYFUNCTION("""COMPUTED_VALUE"""),"Yes")</f>
        <v>Yes</v>
      </c>
      <c r="Z658" s="5" t="str">
        <f ca="1">IFERROR(__xludf.DUMMYFUNCTION("""COMPUTED_VALUE"""),"Yes")</f>
        <v>Yes</v>
      </c>
      <c r="AA658" s="5" t="str">
        <f ca="1">IFERROR(__xludf.DUMMYFUNCTION("""COMPUTED_VALUE"""),"Yes")</f>
        <v>Yes</v>
      </c>
      <c r="AB658" s="5" t="str">
        <f ca="1">IFERROR(__xludf.DUMMYFUNCTION("""COMPUTED_VALUE"""),"Yes")</f>
        <v>Yes</v>
      </c>
      <c r="AC658" s="5" t="str">
        <f ca="1">IFERROR(__xludf.DUMMYFUNCTION("""COMPUTED_VALUE"""),"Yes")</f>
        <v>Yes</v>
      </c>
      <c r="AD658" s="5" t="str">
        <f ca="1">IFERROR(__xludf.DUMMYFUNCTION("""COMPUTED_VALUE"""),"Yes")</f>
        <v>Yes</v>
      </c>
      <c r="AE658" s="5" t="str">
        <f ca="1">IFERROR(__xludf.DUMMYFUNCTION("""COMPUTED_VALUE"""),"Yes")</f>
        <v>Yes</v>
      </c>
      <c r="AF658" s="5" t="str">
        <f ca="1">IFERROR(__xludf.DUMMYFUNCTION("""COMPUTED_VALUE"""),"Yes")</f>
        <v>Yes</v>
      </c>
      <c r="AG658" s="5" t="str">
        <f ca="1">IFERROR(__xludf.DUMMYFUNCTION("""COMPUTED_VALUE"""),"Yes")</f>
        <v>Yes</v>
      </c>
      <c r="AH658" s="5" t="str">
        <f ca="1">IFERROR(__xludf.DUMMYFUNCTION("""COMPUTED_VALUE"""),"Yes")</f>
        <v>Yes</v>
      </c>
      <c r="AI658" s="5" t="str">
        <f ca="1">IFERROR(__xludf.DUMMYFUNCTION("""COMPUTED_VALUE"""),"Yes")</f>
        <v>Yes</v>
      </c>
      <c r="AJ658" s="5" t="str">
        <f ca="1">IFERROR(__xludf.DUMMYFUNCTION("""COMPUTED_VALUE"""),"Yes")</f>
        <v>Yes</v>
      </c>
      <c r="AK658" s="5" t="str">
        <f ca="1">IFERROR(__xludf.DUMMYFUNCTION("""COMPUTED_VALUE"""),"Yes")</f>
        <v>Yes</v>
      </c>
      <c r="AL658" s="5" t="str">
        <f ca="1">IFERROR(__xludf.DUMMYFUNCTION("""COMPUTED_VALUE"""),"No")</f>
        <v>No</v>
      </c>
      <c r="AM658" s="5"/>
      <c r="AN658" s="5"/>
      <c r="AO658" s="5"/>
      <c r="AP658" s="5"/>
      <c r="AQ658" s="5"/>
      <c r="AR658" s="5"/>
      <c r="AS658" s="5"/>
      <c r="AT658" s="5"/>
      <c r="AU658" s="5"/>
      <c r="AV658" s="5"/>
      <c r="AW658" s="5"/>
      <c r="AX658" s="5"/>
      <c r="AY658" s="5"/>
    </row>
    <row r="659" spans="1:51" x14ac:dyDescent="0.25">
      <c r="A6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9" s="5">
        <f ca="1">IFERROR(__xludf.DUMMYFUNCTION("""COMPUTED_VALUE"""),694)</f>
        <v>694</v>
      </c>
      <c r="C659" s="5">
        <f ca="1">IFERROR(__xludf.DUMMYFUNCTION("""COMPUTED_VALUE"""),1015)</f>
        <v>1015</v>
      </c>
      <c r="D659" s="5" t="str">
        <f ca="1">IFERROR(__xludf.DUMMYFUNCTION("""COMPUTED_VALUE"""),"WinningClover5HoldAndWin")</f>
        <v>WinningClover5HoldAndWin</v>
      </c>
      <c r="E659" s="5" t="str">
        <f ca="1">IFERROR(__xludf.DUMMYFUNCTION("""COMPUTED_VALUE"""),"Yes")</f>
        <v>Yes</v>
      </c>
      <c r="F659" s="5" t="str">
        <f ca="1">IFERROR(__xludf.DUMMYFUNCTION("""COMPUTED_VALUE"""),"Yes")</f>
        <v>Yes</v>
      </c>
      <c r="G659" s="5" t="str">
        <f ca="1">IFERROR(__xludf.DUMMYFUNCTION("""COMPUTED_VALUE"""),"Yes")</f>
        <v>Yes</v>
      </c>
      <c r="H659" s="5" t="str">
        <f ca="1">IFERROR(__xludf.DUMMYFUNCTION("""COMPUTED_VALUE"""),"Yes")</f>
        <v>Yes</v>
      </c>
      <c r="I659" s="5" t="str">
        <f ca="1">IFERROR(__xludf.DUMMYFUNCTION("""COMPUTED_VALUE"""),"Yes")</f>
        <v>Yes</v>
      </c>
      <c r="J659" s="5" t="str">
        <f ca="1">IFERROR(__xludf.DUMMYFUNCTION("""COMPUTED_VALUE"""),"Yes")</f>
        <v>Yes</v>
      </c>
      <c r="K659" s="5" t="str">
        <f ca="1">IFERROR(__xludf.DUMMYFUNCTION("""COMPUTED_VALUE"""),"Yes")</f>
        <v>Yes</v>
      </c>
      <c r="L659" s="5" t="str">
        <f ca="1">IFERROR(__xludf.DUMMYFUNCTION("""COMPUTED_VALUE"""),"Yes")</f>
        <v>Yes</v>
      </c>
      <c r="M659" s="5" t="str">
        <f ca="1">IFERROR(__xludf.DUMMYFUNCTION("""COMPUTED_VALUE"""),"Yes")</f>
        <v>Yes</v>
      </c>
      <c r="N659" s="5" t="str">
        <f ca="1">IFERROR(__xludf.DUMMYFUNCTION("""COMPUTED_VALUE"""),"Yes")</f>
        <v>Yes</v>
      </c>
      <c r="O659" s="5" t="str">
        <f ca="1">IFERROR(__xludf.DUMMYFUNCTION("""COMPUTED_VALUE"""),"Yes")</f>
        <v>Yes</v>
      </c>
      <c r="P659" s="5" t="str">
        <f ca="1">IFERROR(__xludf.DUMMYFUNCTION("""COMPUTED_VALUE"""),"Yes")</f>
        <v>Yes</v>
      </c>
      <c r="Q659" s="5" t="str">
        <f ca="1">IFERROR(__xludf.DUMMYFUNCTION("""COMPUTED_VALUE"""),"Yes")</f>
        <v>Yes</v>
      </c>
      <c r="R659" s="5" t="str">
        <f ca="1">IFERROR(__xludf.DUMMYFUNCTION("""COMPUTED_VALUE"""),"Yes")</f>
        <v>Yes</v>
      </c>
      <c r="S659" s="5" t="str">
        <f ca="1">IFERROR(__xludf.DUMMYFUNCTION("""COMPUTED_VALUE"""),"Yes")</f>
        <v>Yes</v>
      </c>
      <c r="T659" s="5" t="str">
        <f ca="1">IFERROR(__xludf.DUMMYFUNCTION("""COMPUTED_VALUE"""),"Yes")</f>
        <v>Yes</v>
      </c>
      <c r="U659" s="5" t="str">
        <f ca="1">IFERROR(__xludf.DUMMYFUNCTION("""COMPUTED_VALUE"""),"Yes")</f>
        <v>Yes</v>
      </c>
      <c r="V659" s="5" t="str">
        <f ca="1">IFERROR(__xludf.DUMMYFUNCTION("""COMPUTED_VALUE"""),"Yes")</f>
        <v>Yes</v>
      </c>
      <c r="W659" s="5" t="str">
        <f ca="1">IFERROR(__xludf.DUMMYFUNCTION("""COMPUTED_VALUE"""),"Yes")</f>
        <v>Yes</v>
      </c>
      <c r="X659" s="5" t="str">
        <f ca="1">IFERROR(__xludf.DUMMYFUNCTION("""COMPUTED_VALUE"""),"Yes")</f>
        <v>Yes</v>
      </c>
      <c r="Y659" s="5" t="str">
        <f ca="1">IFERROR(__xludf.DUMMYFUNCTION("""COMPUTED_VALUE"""),"Yes")</f>
        <v>Yes</v>
      </c>
      <c r="Z659" s="5" t="str">
        <f ca="1">IFERROR(__xludf.DUMMYFUNCTION("""COMPUTED_VALUE"""),"Yes")</f>
        <v>Yes</v>
      </c>
      <c r="AA659" s="5" t="str">
        <f ca="1">IFERROR(__xludf.DUMMYFUNCTION("""COMPUTED_VALUE"""),"Yes")</f>
        <v>Yes</v>
      </c>
      <c r="AB659" s="5" t="str">
        <f ca="1">IFERROR(__xludf.DUMMYFUNCTION("""COMPUTED_VALUE"""),"Yes")</f>
        <v>Yes</v>
      </c>
      <c r="AC659" s="5" t="str">
        <f ca="1">IFERROR(__xludf.DUMMYFUNCTION("""COMPUTED_VALUE"""),"Yes")</f>
        <v>Yes</v>
      </c>
      <c r="AD659" s="5" t="str">
        <f ca="1">IFERROR(__xludf.DUMMYFUNCTION("""COMPUTED_VALUE"""),"Yes")</f>
        <v>Yes</v>
      </c>
      <c r="AE659" s="5" t="str">
        <f ca="1">IFERROR(__xludf.DUMMYFUNCTION("""COMPUTED_VALUE"""),"Yes")</f>
        <v>Yes</v>
      </c>
      <c r="AF659" s="5" t="str">
        <f ca="1">IFERROR(__xludf.DUMMYFUNCTION("""COMPUTED_VALUE"""),"Yes")</f>
        <v>Yes</v>
      </c>
      <c r="AG659" s="5" t="str">
        <f ca="1">IFERROR(__xludf.DUMMYFUNCTION("""COMPUTED_VALUE"""),"Yes")</f>
        <v>Yes</v>
      </c>
      <c r="AH659" s="5" t="str">
        <f ca="1">IFERROR(__xludf.DUMMYFUNCTION("""COMPUTED_VALUE"""),"Yes")</f>
        <v>Yes</v>
      </c>
      <c r="AI659" s="5" t="str">
        <f ca="1">IFERROR(__xludf.DUMMYFUNCTION("""COMPUTED_VALUE"""),"No")</f>
        <v>No</v>
      </c>
      <c r="AJ659" s="5" t="str">
        <f ca="1">IFERROR(__xludf.DUMMYFUNCTION("""COMPUTED_VALUE"""),"No")</f>
        <v>No</v>
      </c>
      <c r="AK659" s="5" t="str">
        <f ca="1">IFERROR(__xludf.DUMMYFUNCTION("""COMPUTED_VALUE"""),"No")</f>
        <v>No</v>
      </c>
      <c r="AL659" s="5" t="str">
        <f ca="1">IFERROR(__xludf.DUMMYFUNCTION("""COMPUTED_VALUE"""),"No")</f>
        <v>No</v>
      </c>
      <c r="AM659" s="5"/>
      <c r="AN659" s="5"/>
      <c r="AO659" s="5"/>
      <c r="AP659" s="5"/>
      <c r="AQ659" s="5"/>
      <c r="AR659" s="5"/>
      <c r="AS659" s="5"/>
      <c r="AT659" s="5"/>
      <c r="AU659" s="5"/>
      <c r="AV659" s="5"/>
      <c r="AW659" s="5"/>
      <c r="AX659" s="5"/>
      <c r="AY659" s="5"/>
    </row>
    <row r="660" spans="1:51" x14ac:dyDescent="0.25">
      <c r="A6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0" s="5">
        <f ca="1">IFERROR(__xludf.DUMMYFUNCTION("""COMPUTED_VALUE"""),695)</f>
        <v>695</v>
      </c>
      <c r="C660" s="5">
        <f ca="1">IFERROR(__xludf.DUMMYFUNCTION("""COMPUTED_VALUE"""),99999999)</f>
        <v>99999999</v>
      </c>
      <c r="D660" s="5" t="str">
        <f ca="1">IFERROR(__xludf.DUMMYFUNCTION("""COMPUTED_VALUE"""),"royal-jewels-fortune")</f>
        <v>royal-jewels-fortune</v>
      </c>
      <c r="E660" s="5" t="str">
        <f ca="1">IFERROR(__xludf.DUMMYFUNCTION("""COMPUTED_VALUE"""),"Yes")</f>
        <v>Yes</v>
      </c>
      <c r="F660" s="5" t="str">
        <f ca="1">IFERROR(__xludf.DUMMYFUNCTION("""COMPUTED_VALUE"""),"Yes")</f>
        <v>Yes</v>
      </c>
      <c r="G660" s="5" t="str">
        <f ca="1">IFERROR(__xludf.DUMMYFUNCTION("""COMPUTED_VALUE"""),"Yes")</f>
        <v>Yes</v>
      </c>
      <c r="H660" s="5" t="str">
        <f ca="1">IFERROR(__xludf.DUMMYFUNCTION("""COMPUTED_VALUE"""),"Yes")</f>
        <v>Yes</v>
      </c>
      <c r="I660" s="5" t="str">
        <f ca="1">IFERROR(__xludf.DUMMYFUNCTION("""COMPUTED_VALUE"""),"Yes")</f>
        <v>Yes</v>
      </c>
      <c r="J660" s="5" t="str">
        <f ca="1">IFERROR(__xludf.DUMMYFUNCTION("""COMPUTED_VALUE"""),"Yes")</f>
        <v>Yes</v>
      </c>
      <c r="K660" s="5" t="str">
        <f ca="1">IFERROR(__xludf.DUMMYFUNCTION("""COMPUTED_VALUE"""),"Yes")</f>
        <v>Yes</v>
      </c>
      <c r="L660" s="5" t="str">
        <f ca="1">IFERROR(__xludf.DUMMYFUNCTION("""COMPUTED_VALUE"""),"Yes")</f>
        <v>Yes</v>
      </c>
      <c r="M660" s="5" t="str">
        <f ca="1">IFERROR(__xludf.DUMMYFUNCTION("""COMPUTED_VALUE"""),"Yes")</f>
        <v>Yes</v>
      </c>
      <c r="N660" s="5" t="str">
        <f ca="1">IFERROR(__xludf.DUMMYFUNCTION("""COMPUTED_VALUE"""),"Yes")</f>
        <v>Yes</v>
      </c>
      <c r="O660" s="5" t="str">
        <f ca="1">IFERROR(__xludf.DUMMYFUNCTION("""COMPUTED_VALUE"""),"Yes")</f>
        <v>Yes</v>
      </c>
      <c r="P660" s="5" t="str">
        <f ca="1">IFERROR(__xludf.DUMMYFUNCTION("""COMPUTED_VALUE"""),"Yes")</f>
        <v>Yes</v>
      </c>
      <c r="Q660" s="5" t="str">
        <f ca="1">IFERROR(__xludf.DUMMYFUNCTION("""COMPUTED_VALUE"""),"Yes")</f>
        <v>Yes</v>
      </c>
      <c r="R660" s="5" t="str">
        <f ca="1">IFERROR(__xludf.DUMMYFUNCTION("""COMPUTED_VALUE"""),"Yes")</f>
        <v>Yes</v>
      </c>
      <c r="S660" s="5" t="str">
        <f ca="1">IFERROR(__xludf.DUMMYFUNCTION("""COMPUTED_VALUE"""),"Yes")</f>
        <v>Yes</v>
      </c>
      <c r="T660" s="5" t="str">
        <f ca="1">IFERROR(__xludf.DUMMYFUNCTION("""COMPUTED_VALUE"""),"Yes")</f>
        <v>Yes</v>
      </c>
      <c r="U660" s="5" t="str">
        <f ca="1">IFERROR(__xludf.DUMMYFUNCTION("""COMPUTED_VALUE"""),"Yes")</f>
        <v>Yes</v>
      </c>
      <c r="V660" s="5" t="str">
        <f ca="1">IFERROR(__xludf.DUMMYFUNCTION("""COMPUTED_VALUE"""),"Yes")</f>
        <v>Yes</v>
      </c>
      <c r="W660" s="5" t="str">
        <f ca="1">IFERROR(__xludf.DUMMYFUNCTION("""COMPUTED_VALUE"""),"Yes")</f>
        <v>Yes</v>
      </c>
      <c r="X660" s="5" t="str">
        <f ca="1">IFERROR(__xludf.DUMMYFUNCTION("""COMPUTED_VALUE"""),"Yes")</f>
        <v>Yes</v>
      </c>
      <c r="Y660" s="5" t="str">
        <f ca="1">IFERROR(__xludf.DUMMYFUNCTION("""COMPUTED_VALUE"""),"Yes")</f>
        <v>Yes</v>
      </c>
      <c r="Z660" s="5" t="str">
        <f ca="1">IFERROR(__xludf.DUMMYFUNCTION("""COMPUTED_VALUE"""),"Yes")</f>
        <v>Yes</v>
      </c>
      <c r="AA660" s="5" t="str">
        <f ca="1">IFERROR(__xludf.DUMMYFUNCTION("""COMPUTED_VALUE"""),"Yes")</f>
        <v>Yes</v>
      </c>
      <c r="AB660" s="5" t="str">
        <f ca="1">IFERROR(__xludf.DUMMYFUNCTION("""COMPUTED_VALUE"""),"Yes")</f>
        <v>Yes</v>
      </c>
      <c r="AC660" s="5" t="str">
        <f ca="1">IFERROR(__xludf.DUMMYFUNCTION("""COMPUTED_VALUE"""),"Yes")</f>
        <v>Yes</v>
      </c>
      <c r="AD660" s="5" t="str">
        <f ca="1">IFERROR(__xludf.DUMMYFUNCTION("""COMPUTED_VALUE"""),"Yes")</f>
        <v>Yes</v>
      </c>
      <c r="AE660" s="5" t="str">
        <f ca="1">IFERROR(__xludf.DUMMYFUNCTION("""COMPUTED_VALUE"""),"Yes")</f>
        <v>Yes</v>
      </c>
      <c r="AF660" s="5" t="str">
        <f ca="1">IFERROR(__xludf.DUMMYFUNCTION("""COMPUTED_VALUE"""),"Yes")</f>
        <v>Yes</v>
      </c>
      <c r="AG660" s="5" t="str">
        <f ca="1">IFERROR(__xludf.DUMMYFUNCTION("""COMPUTED_VALUE"""),"Yes")</f>
        <v>Yes</v>
      </c>
      <c r="AH660" s="5" t="str">
        <f ca="1">IFERROR(__xludf.DUMMYFUNCTION("""COMPUTED_VALUE"""),"Yes")</f>
        <v>Yes</v>
      </c>
      <c r="AI660" s="5" t="str">
        <f ca="1">IFERROR(__xludf.DUMMYFUNCTION("""COMPUTED_VALUE"""),"Yes")</f>
        <v>Yes</v>
      </c>
      <c r="AJ660" s="5" t="str">
        <f ca="1">IFERROR(__xludf.DUMMYFUNCTION("""COMPUTED_VALUE"""),"Yes")</f>
        <v>Yes</v>
      </c>
      <c r="AK660" s="5" t="str">
        <f ca="1">IFERROR(__xludf.DUMMYFUNCTION("""COMPUTED_VALUE"""),"Yes")</f>
        <v>Yes</v>
      </c>
      <c r="AL660" s="5"/>
      <c r="AM660" s="5"/>
      <c r="AN660" s="5"/>
      <c r="AO660" s="5"/>
      <c r="AP660" s="5"/>
      <c r="AQ660" s="5"/>
      <c r="AR660" s="5"/>
      <c r="AS660" s="5"/>
      <c r="AT660" s="5"/>
      <c r="AU660" s="5"/>
      <c r="AV660" s="5"/>
      <c r="AW660" s="5"/>
      <c r="AX660" s="5"/>
      <c r="AY660" s="5"/>
    </row>
    <row r="661" spans="1:51" x14ac:dyDescent="0.25">
      <c r="A6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1" s="5">
        <f ca="1">IFERROR(__xludf.DUMMYFUNCTION("""COMPUTED_VALUE"""),696)</f>
        <v>696</v>
      </c>
      <c r="C661" s="5">
        <f ca="1">IFERROR(__xludf.DUMMYFUNCTION("""COMPUTED_VALUE"""),3028)</f>
        <v>3028</v>
      </c>
      <c r="D661" s="5" t="str">
        <f ca="1">IFERROR(__xludf.DUMMYFUNCTION("""COMPUTED_VALUE"""),"CloversAndDiamonds5")</f>
        <v>CloversAndDiamonds5</v>
      </c>
      <c r="E661" s="5" t="str">
        <f ca="1">IFERROR(__xludf.DUMMYFUNCTION("""COMPUTED_VALUE"""),"Yes")</f>
        <v>Yes</v>
      </c>
      <c r="F661" s="5" t="str">
        <f ca="1">IFERROR(__xludf.DUMMYFUNCTION("""COMPUTED_VALUE"""),"Yes")</f>
        <v>Yes</v>
      </c>
      <c r="G661" s="5" t="str">
        <f ca="1">IFERROR(__xludf.DUMMYFUNCTION("""COMPUTED_VALUE"""),"Yes")</f>
        <v>Yes</v>
      </c>
      <c r="H661" s="5" t="str">
        <f ca="1">IFERROR(__xludf.DUMMYFUNCTION("""COMPUTED_VALUE"""),"Yes")</f>
        <v>Yes</v>
      </c>
      <c r="I661" s="5" t="str">
        <f ca="1">IFERROR(__xludf.DUMMYFUNCTION("""COMPUTED_VALUE"""),"Yes")</f>
        <v>Yes</v>
      </c>
      <c r="J661" s="5" t="str">
        <f ca="1">IFERROR(__xludf.DUMMYFUNCTION("""COMPUTED_VALUE"""),"Yes")</f>
        <v>Yes</v>
      </c>
      <c r="K661" s="5" t="str">
        <f ca="1">IFERROR(__xludf.DUMMYFUNCTION("""COMPUTED_VALUE"""),"Yes")</f>
        <v>Yes</v>
      </c>
      <c r="L661" s="5" t="str">
        <f ca="1">IFERROR(__xludf.DUMMYFUNCTION("""COMPUTED_VALUE"""),"Yes")</f>
        <v>Yes</v>
      </c>
      <c r="M661" s="5" t="str">
        <f ca="1">IFERROR(__xludf.DUMMYFUNCTION("""COMPUTED_VALUE"""),"Yes")</f>
        <v>Yes</v>
      </c>
      <c r="N661" s="5" t="str">
        <f ca="1">IFERROR(__xludf.DUMMYFUNCTION("""COMPUTED_VALUE"""),"Yes")</f>
        <v>Yes</v>
      </c>
      <c r="O661" s="5" t="str">
        <f ca="1">IFERROR(__xludf.DUMMYFUNCTION("""COMPUTED_VALUE"""),"Yes")</f>
        <v>Yes</v>
      </c>
      <c r="P661" s="5" t="str">
        <f ca="1">IFERROR(__xludf.DUMMYFUNCTION("""COMPUTED_VALUE"""),"Yes")</f>
        <v>Yes</v>
      </c>
      <c r="Q661" s="5" t="str">
        <f ca="1">IFERROR(__xludf.DUMMYFUNCTION("""COMPUTED_VALUE"""),"Yes")</f>
        <v>Yes</v>
      </c>
      <c r="R661" s="5" t="str">
        <f ca="1">IFERROR(__xludf.DUMMYFUNCTION("""COMPUTED_VALUE"""),"Yes")</f>
        <v>Yes</v>
      </c>
      <c r="S661" s="5" t="str">
        <f ca="1">IFERROR(__xludf.DUMMYFUNCTION("""COMPUTED_VALUE"""),"Yes")</f>
        <v>Yes</v>
      </c>
      <c r="T661" s="5" t="str">
        <f ca="1">IFERROR(__xludf.DUMMYFUNCTION("""COMPUTED_VALUE"""),"Yes")</f>
        <v>Yes</v>
      </c>
      <c r="U661" s="5" t="str">
        <f ca="1">IFERROR(__xludf.DUMMYFUNCTION("""COMPUTED_VALUE"""),"Yes")</f>
        <v>Yes</v>
      </c>
      <c r="V661" s="5" t="str">
        <f ca="1">IFERROR(__xludf.DUMMYFUNCTION("""COMPUTED_VALUE"""),"Yes")</f>
        <v>Yes</v>
      </c>
      <c r="W661" s="5" t="str">
        <f ca="1">IFERROR(__xludf.DUMMYFUNCTION("""COMPUTED_VALUE"""),"Yes")</f>
        <v>Yes</v>
      </c>
      <c r="X661" s="5" t="str">
        <f ca="1">IFERROR(__xludf.DUMMYFUNCTION("""COMPUTED_VALUE"""),"Yes")</f>
        <v>Yes</v>
      </c>
      <c r="Y661" s="5" t="str">
        <f ca="1">IFERROR(__xludf.DUMMYFUNCTION("""COMPUTED_VALUE"""),"Yes")</f>
        <v>Yes</v>
      </c>
      <c r="Z661" s="5" t="str">
        <f ca="1">IFERROR(__xludf.DUMMYFUNCTION("""COMPUTED_VALUE"""),"Yes")</f>
        <v>Yes</v>
      </c>
      <c r="AA661" s="5" t="str">
        <f ca="1">IFERROR(__xludf.DUMMYFUNCTION("""COMPUTED_VALUE"""),"Yes")</f>
        <v>Yes</v>
      </c>
      <c r="AB661" s="5" t="str">
        <f ca="1">IFERROR(__xludf.DUMMYFUNCTION("""COMPUTED_VALUE"""),"Yes")</f>
        <v>Yes</v>
      </c>
      <c r="AC661" s="5" t="str">
        <f ca="1">IFERROR(__xludf.DUMMYFUNCTION("""COMPUTED_VALUE"""),"Yes")</f>
        <v>Yes</v>
      </c>
      <c r="AD661" s="5" t="str">
        <f ca="1">IFERROR(__xludf.DUMMYFUNCTION("""COMPUTED_VALUE"""),"Yes")</f>
        <v>Yes</v>
      </c>
      <c r="AE661" s="5" t="str">
        <f ca="1">IFERROR(__xludf.DUMMYFUNCTION("""COMPUTED_VALUE"""),"Yes")</f>
        <v>Yes</v>
      </c>
      <c r="AF661" s="5" t="str">
        <f ca="1">IFERROR(__xludf.DUMMYFUNCTION("""COMPUTED_VALUE"""),"Yes")</f>
        <v>Yes</v>
      </c>
      <c r="AG661" s="5" t="str">
        <f ca="1">IFERROR(__xludf.DUMMYFUNCTION("""COMPUTED_VALUE"""),"Yes")</f>
        <v>Yes</v>
      </c>
      <c r="AH661" s="5" t="str">
        <f ca="1">IFERROR(__xludf.DUMMYFUNCTION("""COMPUTED_VALUE"""),"Yes")</f>
        <v>Yes</v>
      </c>
      <c r="AI661" s="5" t="str">
        <f ca="1">IFERROR(__xludf.DUMMYFUNCTION("""COMPUTED_VALUE"""),"Yes")</f>
        <v>Yes</v>
      </c>
      <c r="AJ661" s="5" t="str">
        <f ca="1">IFERROR(__xludf.DUMMYFUNCTION("""COMPUTED_VALUE"""),"Yes")</f>
        <v>Yes</v>
      </c>
      <c r="AK661" s="5" t="str">
        <f ca="1">IFERROR(__xludf.DUMMYFUNCTION("""COMPUTED_VALUE"""),"Yes")</f>
        <v>Yes</v>
      </c>
      <c r="AL661" s="5" t="str">
        <f ca="1">IFERROR(__xludf.DUMMYFUNCTION("""COMPUTED_VALUE"""),"No")</f>
        <v>No</v>
      </c>
      <c r="AM661" s="5"/>
      <c r="AN661" s="5"/>
      <c r="AO661" s="5"/>
      <c r="AP661" s="5"/>
      <c r="AQ661" s="5"/>
      <c r="AR661" s="5"/>
      <c r="AS661" s="5"/>
      <c r="AT661" s="5"/>
      <c r="AU661" s="5"/>
      <c r="AV661" s="5"/>
      <c r="AW661" s="5"/>
      <c r="AX661" s="5"/>
      <c r="AY661" s="5"/>
    </row>
    <row r="662" spans="1:51" x14ac:dyDescent="0.25">
      <c r="A662" s="5" t="str">
        <f ca="1">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B662" s="5">
        <f ca="1">IFERROR(__xludf.DUMMYFUNCTION("""COMPUTED_VALUE"""),697)</f>
        <v>697</v>
      </c>
      <c r="C662" s="5">
        <f ca="1">IFERROR(__xludf.DUMMYFUNCTION("""COMPUTED_VALUE"""),4000008)</f>
        <v>4000008</v>
      </c>
      <c r="D662" s="5" t="str">
        <f ca="1">IFERROR(__xludf.DUMMYFUNCTION("""COMPUTED_VALUE"""),"UnicornThreeReelTripleFruit")</f>
        <v>UnicornThreeReelTripleFruit</v>
      </c>
      <c r="E662" s="5" t="str">
        <f ca="1">IFERROR(__xludf.DUMMYFUNCTION("""COMPUTED_VALUE"""),"Yes")</f>
        <v>Yes</v>
      </c>
      <c r="F662" s="5" t="str">
        <f ca="1">IFERROR(__xludf.DUMMYFUNCTION("""COMPUTED_VALUE"""),"Yes")</f>
        <v>Yes</v>
      </c>
      <c r="G662" s="5" t="str">
        <f ca="1">IFERROR(__xludf.DUMMYFUNCTION("""COMPUTED_VALUE"""),"Yes")</f>
        <v>Yes</v>
      </c>
      <c r="H662" s="5" t="str">
        <f ca="1">IFERROR(__xludf.DUMMYFUNCTION("""COMPUTED_VALUE"""),"No")</f>
        <v>No</v>
      </c>
      <c r="I662" s="5" t="str">
        <f ca="1">IFERROR(__xludf.DUMMYFUNCTION("""COMPUTED_VALUE"""),"Yes")</f>
        <v>Yes</v>
      </c>
      <c r="J662" s="5" t="str">
        <f ca="1">IFERROR(__xludf.DUMMYFUNCTION("""COMPUTED_VALUE"""),"No")</f>
        <v>No</v>
      </c>
      <c r="K662" s="5" t="str">
        <f ca="1">IFERROR(__xludf.DUMMYFUNCTION("""COMPUTED_VALUE"""),"No")</f>
        <v>No</v>
      </c>
      <c r="L662" s="5" t="str">
        <f ca="1">IFERROR(__xludf.DUMMYFUNCTION("""COMPUTED_VALUE"""),"No")</f>
        <v>No</v>
      </c>
      <c r="M662" s="5" t="str">
        <f ca="1">IFERROR(__xludf.DUMMYFUNCTION("""COMPUTED_VALUE"""),"Yes")</f>
        <v>Yes</v>
      </c>
      <c r="N662" s="5" t="str">
        <f ca="1">IFERROR(__xludf.DUMMYFUNCTION("""COMPUTED_VALUE"""),"Yes")</f>
        <v>Yes</v>
      </c>
      <c r="O662" s="5" t="str">
        <f ca="1">IFERROR(__xludf.DUMMYFUNCTION("""COMPUTED_VALUE"""),"Yes")</f>
        <v>Yes</v>
      </c>
      <c r="P662" s="5" t="str">
        <f ca="1">IFERROR(__xludf.DUMMYFUNCTION("""COMPUTED_VALUE"""),"Yes")</f>
        <v>Yes</v>
      </c>
      <c r="Q662" s="5" t="str">
        <f ca="1">IFERROR(__xludf.DUMMYFUNCTION("""COMPUTED_VALUE"""),"Yes")</f>
        <v>Yes</v>
      </c>
      <c r="R662" s="5" t="str">
        <f ca="1">IFERROR(__xludf.DUMMYFUNCTION("""COMPUTED_VALUE"""),"No")</f>
        <v>No</v>
      </c>
      <c r="S662" s="5" t="str">
        <f ca="1">IFERROR(__xludf.DUMMYFUNCTION("""COMPUTED_VALUE"""),"Yes")</f>
        <v>Yes</v>
      </c>
      <c r="T662" s="5" t="str">
        <f ca="1">IFERROR(__xludf.DUMMYFUNCTION("""COMPUTED_VALUE"""),"No")</f>
        <v>No</v>
      </c>
      <c r="U662" s="5"/>
      <c r="V662" s="5"/>
      <c r="W662" s="5"/>
      <c r="X662" s="5" t="str">
        <f ca="1">IFERROR(__xludf.DUMMYFUNCTION("""COMPUTED_VALUE"""),"No")</f>
        <v>No</v>
      </c>
      <c r="Y662" s="5" t="str">
        <f ca="1">IFERROR(__xludf.DUMMYFUNCTION("""COMPUTED_VALUE"""),"Yes")</f>
        <v>Yes</v>
      </c>
      <c r="Z662" s="5"/>
      <c r="AA662" s="5" t="str">
        <f ca="1">IFERROR(__xludf.DUMMYFUNCTION("""COMPUTED_VALUE"""),"Yes")</f>
        <v>Yes</v>
      </c>
      <c r="AB662" s="5"/>
      <c r="AC662" s="5"/>
      <c r="AD662" s="5"/>
      <c r="AE662" s="5"/>
      <c r="AF662" s="5" t="str">
        <f ca="1">IFERROR(__xludf.DUMMYFUNCTION("""COMPUTED_VALUE"""),"Yes")</f>
        <v>Yes</v>
      </c>
      <c r="AG662" s="5"/>
      <c r="AH662" s="5"/>
      <c r="AI662" s="5"/>
      <c r="AJ662" s="5"/>
      <c r="AK662" s="5"/>
      <c r="AL662" s="5" t="str">
        <f ca="1">IFERROR(__xludf.DUMMYFUNCTION("""COMPUTED_VALUE"""),"Yes")</f>
        <v>Yes</v>
      </c>
      <c r="AM662" s="5"/>
      <c r="AN662" s="5"/>
      <c r="AO662" s="5"/>
      <c r="AP662" s="5"/>
      <c r="AQ662" s="5"/>
      <c r="AR662" s="5"/>
      <c r="AS662" s="5"/>
      <c r="AT662" s="5"/>
      <c r="AU662" s="5"/>
      <c r="AV662" s="5"/>
      <c r="AW662" s="5"/>
      <c r="AX662" s="5"/>
      <c r="AY662" s="5"/>
    </row>
    <row r="663" spans="1:51" x14ac:dyDescent="0.25">
      <c r="A6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3" s="5">
        <f ca="1">IFERROR(__xludf.DUMMYFUNCTION("""COMPUTED_VALUE"""),698)</f>
        <v>698</v>
      </c>
      <c r="C663" s="5">
        <f ca="1">IFERROR(__xludf.DUMMYFUNCTION("""COMPUTED_VALUE"""),3034)</f>
        <v>3034</v>
      </c>
      <c r="D663" s="5" t="str">
        <f ca="1">IFERROR(__xludf.DUMMYFUNCTION("""COMPUTED_VALUE"""),"EpicDice100Booster")</f>
        <v>EpicDice100Booster</v>
      </c>
      <c r="E663" s="5" t="str">
        <f ca="1">IFERROR(__xludf.DUMMYFUNCTION("""COMPUTED_VALUE"""),"Yes")</f>
        <v>Yes</v>
      </c>
      <c r="F663" s="5" t="str">
        <f ca="1">IFERROR(__xludf.DUMMYFUNCTION("""COMPUTED_VALUE"""),"Yes")</f>
        <v>Yes</v>
      </c>
      <c r="G663" s="5" t="str">
        <f ca="1">IFERROR(__xludf.DUMMYFUNCTION("""COMPUTED_VALUE"""),"Yes")</f>
        <v>Yes</v>
      </c>
      <c r="H663" s="5" t="str">
        <f ca="1">IFERROR(__xludf.DUMMYFUNCTION("""COMPUTED_VALUE"""),"Yes")</f>
        <v>Yes</v>
      </c>
      <c r="I663" s="5" t="str">
        <f ca="1">IFERROR(__xludf.DUMMYFUNCTION("""COMPUTED_VALUE"""),"Yes")</f>
        <v>Yes</v>
      </c>
      <c r="J663" s="5" t="str">
        <f ca="1">IFERROR(__xludf.DUMMYFUNCTION("""COMPUTED_VALUE"""),"Yes")</f>
        <v>Yes</v>
      </c>
      <c r="K663" s="5" t="str">
        <f ca="1">IFERROR(__xludf.DUMMYFUNCTION("""COMPUTED_VALUE"""),"Yes")</f>
        <v>Yes</v>
      </c>
      <c r="L663" s="5" t="str">
        <f ca="1">IFERROR(__xludf.DUMMYFUNCTION("""COMPUTED_VALUE"""),"Yes")</f>
        <v>Yes</v>
      </c>
      <c r="M663" s="5" t="str">
        <f ca="1">IFERROR(__xludf.DUMMYFUNCTION("""COMPUTED_VALUE"""),"Yes")</f>
        <v>Yes</v>
      </c>
      <c r="N663" s="5" t="str">
        <f ca="1">IFERROR(__xludf.DUMMYFUNCTION("""COMPUTED_VALUE"""),"Yes")</f>
        <v>Yes</v>
      </c>
      <c r="O663" s="5" t="str">
        <f ca="1">IFERROR(__xludf.DUMMYFUNCTION("""COMPUTED_VALUE"""),"Yes")</f>
        <v>Yes</v>
      </c>
      <c r="P663" s="5" t="str">
        <f ca="1">IFERROR(__xludf.DUMMYFUNCTION("""COMPUTED_VALUE"""),"Yes")</f>
        <v>Yes</v>
      </c>
      <c r="Q663" s="5" t="str">
        <f ca="1">IFERROR(__xludf.DUMMYFUNCTION("""COMPUTED_VALUE"""),"Yes")</f>
        <v>Yes</v>
      </c>
      <c r="R663" s="5" t="str">
        <f ca="1">IFERROR(__xludf.DUMMYFUNCTION("""COMPUTED_VALUE"""),"Yes")</f>
        <v>Yes</v>
      </c>
      <c r="S663" s="5" t="str">
        <f ca="1">IFERROR(__xludf.DUMMYFUNCTION("""COMPUTED_VALUE"""),"Yes")</f>
        <v>Yes</v>
      </c>
      <c r="T663" s="5" t="str">
        <f ca="1">IFERROR(__xludf.DUMMYFUNCTION("""COMPUTED_VALUE"""),"Yes")</f>
        <v>Yes</v>
      </c>
      <c r="U663" s="5" t="str">
        <f ca="1">IFERROR(__xludf.DUMMYFUNCTION("""COMPUTED_VALUE"""),"Yes")</f>
        <v>Yes</v>
      </c>
      <c r="V663" s="5" t="str">
        <f ca="1">IFERROR(__xludf.DUMMYFUNCTION("""COMPUTED_VALUE"""),"Yes")</f>
        <v>Yes</v>
      </c>
      <c r="W663" s="5" t="str">
        <f ca="1">IFERROR(__xludf.DUMMYFUNCTION("""COMPUTED_VALUE"""),"Yes")</f>
        <v>Yes</v>
      </c>
      <c r="X663" s="5" t="str">
        <f ca="1">IFERROR(__xludf.DUMMYFUNCTION("""COMPUTED_VALUE"""),"Yes")</f>
        <v>Yes</v>
      </c>
      <c r="Y663" s="5" t="str">
        <f ca="1">IFERROR(__xludf.DUMMYFUNCTION("""COMPUTED_VALUE"""),"Yes")</f>
        <v>Yes</v>
      </c>
      <c r="Z663" s="5" t="str">
        <f ca="1">IFERROR(__xludf.DUMMYFUNCTION("""COMPUTED_VALUE"""),"No")</f>
        <v>No</v>
      </c>
      <c r="AA663" s="5" t="str">
        <f ca="1">IFERROR(__xludf.DUMMYFUNCTION("""COMPUTED_VALUE"""),"Yes")</f>
        <v>Yes</v>
      </c>
      <c r="AB663" s="5" t="str">
        <f ca="1">IFERROR(__xludf.DUMMYFUNCTION("""COMPUTED_VALUE"""),"Yes")</f>
        <v>Yes</v>
      </c>
      <c r="AC663" s="5" t="str">
        <f ca="1">IFERROR(__xludf.DUMMYFUNCTION("""COMPUTED_VALUE"""),"Yes")</f>
        <v>Yes</v>
      </c>
      <c r="AD663" s="5" t="str">
        <f ca="1">IFERROR(__xludf.DUMMYFUNCTION("""COMPUTED_VALUE"""),"Yes")</f>
        <v>Yes</v>
      </c>
      <c r="AE663" s="5" t="str">
        <f ca="1">IFERROR(__xludf.DUMMYFUNCTION("""COMPUTED_VALUE"""),"No")</f>
        <v>No</v>
      </c>
      <c r="AF663" s="5" t="str">
        <f ca="1">IFERROR(__xludf.DUMMYFUNCTION("""COMPUTED_VALUE"""),"Yes")</f>
        <v>Yes</v>
      </c>
      <c r="AG663" s="5" t="str">
        <f ca="1">IFERROR(__xludf.DUMMYFUNCTION("""COMPUTED_VALUE"""),"No")</f>
        <v>No</v>
      </c>
      <c r="AH663" s="5" t="str">
        <f ca="1">IFERROR(__xludf.DUMMYFUNCTION("""COMPUTED_VALUE"""),"No")</f>
        <v>No</v>
      </c>
      <c r="AI663" s="5" t="str">
        <f ca="1">IFERROR(__xludf.DUMMYFUNCTION("""COMPUTED_VALUE"""),"No")</f>
        <v>No</v>
      </c>
      <c r="AJ663" s="5" t="str">
        <f ca="1">IFERROR(__xludf.DUMMYFUNCTION("""COMPUTED_VALUE"""),"No")</f>
        <v>No</v>
      </c>
      <c r="AK663" s="5" t="str">
        <f ca="1">IFERROR(__xludf.DUMMYFUNCTION("""COMPUTED_VALUE"""),"No")</f>
        <v>No</v>
      </c>
      <c r="AL663" s="5" t="str">
        <f ca="1">IFERROR(__xludf.DUMMYFUNCTION("""COMPUTED_VALUE"""),"No")</f>
        <v>No</v>
      </c>
      <c r="AM663" s="5"/>
      <c r="AN663" s="5"/>
      <c r="AO663" s="5"/>
      <c r="AP663" s="5"/>
      <c r="AQ663" s="5"/>
      <c r="AR663" s="5"/>
      <c r="AS663" s="5"/>
      <c r="AT663" s="5"/>
      <c r="AU663" s="5"/>
      <c r="AV663" s="5"/>
      <c r="AW663" s="5"/>
      <c r="AX663" s="5"/>
      <c r="AY663" s="5"/>
    </row>
    <row r="664" spans="1:51" x14ac:dyDescent="0.25">
      <c r="A6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4" s="5">
        <f ca="1">IFERROR(__xludf.DUMMYFUNCTION("""COMPUTED_VALUE"""),699)</f>
        <v>699</v>
      </c>
      <c r="C664" s="5">
        <f ca="1">IFERROR(__xludf.DUMMYFUNCTION("""COMPUTED_VALUE"""),3033)</f>
        <v>3033</v>
      </c>
      <c r="D664" s="5" t="str">
        <f ca="1">IFERROR(__xludf.DUMMYFUNCTION("""COMPUTED_VALUE"""),"VeryHot40DiceBooster")</f>
        <v>VeryHot40DiceBooster</v>
      </c>
      <c r="E664" s="5" t="str">
        <f ca="1">IFERROR(__xludf.DUMMYFUNCTION("""COMPUTED_VALUE"""),"Yes")</f>
        <v>Yes</v>
      </c>
      <c r="F664" s="5" t="str">
        <f ca="1">IFERROR(__xludf.DUMMYFUNCTION("""COMPUTED_VALUE"""),"Yes")</f>
        <v>Yes</v>
      </c>
      <c r="G664" s="5" t="str">
        <f ca="1">IFERROR(__xludf.DUMMYFUNCTION("""COMPUTED_VALUE"""),"Yes")</f>
        <v>Yes</v>
      </c>
      <c r="H664" s="5" t="str">
        <f ca="1">IFERROR(__xludf.DUMMYFUNCTION("""COMPUTED_VALUE"""),"Yes")</f>
        <v>Yes</v>
      </c>
      <c r="I664" s="5" t="str">
        <f ca="1">IFERROR(__xludf.DUMMYFUNCTION("""COMPUTED_VALUE"""),"Yes")</f>
        <v>Yes</v>
      </c>
      <c r="J664" s="5" t="str">
        <f ca="1">IFERROR(__xludf.DUMMYFUNCTION("""COMPUTED_VALUE"""),"Yes")</f>
        <v>Yes</v>
      </c>
      <c r="K664" s="5" t="str">
        <f ca="1">IFERROR(__xludf.DUMMYFUNCTION("""COMPUTED_VALUE"""),"Yes")</f>
        <v>Yes</v>
      </c>
      <c r="L664" s="5" t="str">
        <f ca="1">IFERROR(__xludf.DUMMYFUNCTION("""COMPUTED_VALUE"""),"Yes")</f>
        <v>Yes</v>
      </c>
      <c r="M664" s="5" t="str">
        <f ca="1">IFERROR(__xludf.DUMMYFUNCTION("""COMPUTED_VALUE"""),"Yes")</f>
        <v>Yes</v>
      </c>
      <c r="N664" s="5" t="str">
        <f ca="1">IFERROR(__xludf.DUMMYFUNCTION("""COMPUTED_VALUE"""),"Yes")</f>
        <v>Yes</v>
      </c>
      <c r="O664" s="5" t="str">
        <f ca="1">IFERROR(__xludf.DUMMYFUNCTION("""COMPUTED_VALUE"""),"Yes")</f>
        <v>Yes</v>
      </c>
      <c r="P664" s="5" t="str">
        <f ca="1">IFERROR(__xludf.DUMMYFUNCTION("""COMPUTED_VALUE"""),"Yes")</f>
        <v>Yes</v>
      </c>
      <c r="Q664" s="5" t="str">
        <f ca="1">IFERROR(__xludf.DUMMYFUNCTION("""COMPUTED_VALUE"""),"Yes")</f>
        <v>Yes</v>
      </c>
      <c r="R664" s="5" t="str">
        <f ca="1">IFERROR(__xludf.DUMMYFUNCTION("""COMPUTED_VALUE"""),"Yes")</f>
        <v>Yes</v>
      </c>
      <c r="S664" s="5" t="str">
        <f ca="1">IFERROR(__xludf.DUMMYFUNCTION("""COMPUTED_VALUE"""),"Yes")</f>
        <v>Yes</v>
      </c>
      <c r="T664" s="5" t="str">
        <f ca="1">IFERROR(__xludf.DUMMYFUNCTION("""COMPUTED_VALUE"""),"Yes")</f>
        <v>Yes</v>
      </c>
      <c r="U664" s="5" t="str">
        <f ca="1">IFERROR(__xludf.DUMMYFUNCTION("""COMPUTED_VALUE"""),"Yes")</f>
        <v>Yes</v>
      </c>
      <c r="V664" s="5" t="str">
        <f ca="1">IFERROR(__xludf.DUMMYFUNCTION("""COMPUTED_VALUE"""),"Yes")</f>
        <v>Yes</v>
      </c>
      <c r="W664" s="5" t="str">
        <f ca="1">IFERROR(__xludf.DUMMYFUNCTION("""COMPUTED_VALUE"""),"Yes")</f>
        <v>Yes</v>
      </c>
      <c r="X664" s="5" t="str">
        <f ca="1">IFERROR(__xludf.DUMMYFUNCTION("""COMPUTED_VALUE"""),"Yes")</f>
        <v>Yes</v>
      </c>
      <c r="Y664" s="5" t="str">
        <f ca="1">IFERROR(__xludf.DUMMYFUNCTION("""COMPUTED_VALUE"""),"Yes")</f>
        <v>Yes</v>
      </c>
      <c r="Z664" s="5" t="str">
        <f ca="1">IFERROR(__xludf.DUMMYFUNCTION("""COMPUTED_VALUE"""),"No")</f>
        <v>No</v>
      </c>
      <c r="AA664" s="5" t="str">
        <f ca="1">IFERROR(__xludf.DUMMYFUNCTION("""COMPUTED_VALUE"""),"Yes")</f>
        <v>Yes</v>
      </c>
      <c r="AB664" s="5" t="str">
        <f ca="1">IFERROR(__xludf.DUMMYFUNCTION("""COMPUTED_VALUE"""),"Yes")</f>
        <v>Yes</v>
      </c>
      <c r="AC664" s="5" t="str">
        <f ca="1">IFERROR(__xludf.DUMMYFUNCTION("""COMPUTED_VALUE"""),"Yes")</f>
        <v>Yes</v>
      </c>
      <c r="AD664" s="5" t="str">
        <f ca="1">IFERROR(__xludf.DUMMYFUNCTION("""COMPUTED_VALUE"""),"Yes")</f>
        <v>Yes</v>
      </c>
      <c r="AE664" s="5" t="str">
        <f ca="1">IFERROR(__xludf.DUMMYFUNCTION("""COMPUTED_VALUE"""),"No")</f>
        <v>No</v>
      </c>
      <c r="AF664" s="5" t="str">
        <f ca="1">IFERROR(__xludf.DUMMYFUNCTION("""COMPUTED_VALUE"""),"Yes")</f>
        <v>Yes</v>
      </c>
      <c r="AG664" s="5" t="str">
        <f ca="1">IFERROR(__xludf.DUMMYFUNCTION("""COMPUTED_VALUE"""),"No")</f>
        <v>No</v>
      </c>
      <c r="AH664" s="5" t="str">
        <f ca="1">IFERROR(__xludf.DUMMYFUNCTION("""COMPUTED_VALUE"""),"No")</f>
        <v>No</v>
      </c>
      <c r="AI664" s="5" t="str">
        <f ca="1">IFERROR(__xludf.DUMMYFUNCTION("""COMPUTED_VALUE"""),"No")</f>
        <v>No</v>
      </c>
      <c r="AJ664" s="5" t="str">
        <f ca="1">IFERROR(__xludf.DUMMYFUNCTION("""COMPUTED_VALUE"""),"No")</f>
        <v>No</v>
      </c>
      <c r="AK664" s="5" t="str">
        <f ca="1">IFERROR(__xludf.DUMMYFUNCTION("""COMPUTED_VALUE"""),"No")</f>
        <v>No</v>
      </c>
      <c r="AL664" s="5" t="str">
        <f ca="1">IFERROR(__xludf.DUMMYFUNCTION("""COMPUTED_VALUE"""),"No")</f>
        <v>No</v>
      </c>
      <c r="AM664" s="5"/>
      <c r="AN664" s="5"/>
      <c r="AO664" s="5"/>
      <c r="AP664" s="5"/>
      <c r="AQ664" s="5"/>
      <c r="AR664" s="5"/>
      <c r="AS664" s="5"/>
      <c r="AT664" s="5"/>
      <c r="AU664" s="5"/>
      <c r="AV664" s="5"/>
      <c r="AW664" s="5"/>
      <c r="AX664" s="5"/>
      <c r="AY664" s="5"/>
    </row>
    <row r="665" spans="1:51" x14ac:dyDescent="0.25">
      <c r="A6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5" s="5">
        <f ca="1">IFERROR(__xludf.DUMMYFUNCTION("""COMPUTED_VALUE"""),700)</f>
        <v>700</v>
      </c>
      <c r="C665" s="5">
        <f ca="1">IFERROR(__xludf.DUMMYFUNCTION("""COMPUTED_VALUE"""),4017)</f>
        <v>4017</v>
      </c>
      <c r="D665" s="5" t="str">
        <f ca="1">IFERROR(__xludf.DUMMYFUNCTION("""COMPUTED_VALUE"""),"PasinoCrown")</f>
        <v>PasinoCrown</v>
      </c>
      <c r="E665" s="5" t="str">
        <f ca="1">IFERROR(__xludf.DUMMYFUNCTION("""COMPUTED_VALUE"""),"Yes")</f>
        <v>Yes</v>
      </c>
      <c r="F665" s="5" t="str">
        <f ca="1">IFERROR(__xludf.DUMMYFUNCTION("""COMPUTED_VALUE"""),"Yes")</f>
        <v>Yes</v>
      </c>
      <c r="G665" s="5" t="str">
        <f ca="1">IFERROR(__xludf.DUMMYFUNCTION("""COMPUTED_VALUE"""),"Yes")</f>
        <v>Yes</v>
      </c>
      <c r="H665" s="5" t="str">
        <f ca="1">IFERROR(__xludf.DUMMYFUNCTION("""COMPUTED_VALUE"""),"Yes")</f>
        <v>Yes</v>
      </c>
      <c r="I665" s="5" t="str">
        <f ca="1">IFERROR(__xludf.DUMMYFUNCTION("""COMPUTED_VALUE"""),"Yes")</f>
        <v>Yes</v>
      </c>
      <c r="J665" s="5" t="str">
        <f ca="1">IFERROR(__xludf.DUMMYFUNCTION("""COMPUTED_VALUE"""),"Yes")</f>
        <v>Yes</v>
      </c>
      <c r="K665" s="5" t="str">
        <f ca="1">IFERROR(__xludf.DUMMYFUNCTION("""COMPUTED_VALUE"""),"Yes")</f>
        <v>Yes</v>
      </c>
      <c r="L665" s="5" t="str">
        <f ca="1">IFERROR(__xludf.DUMMYFUNCTION("""COMPUTED_VALUE"""),"Yes")</f>
        <v>Yes</v>
      </c>
      <c r="M665" s="5" t="str">
        <f ca="1">IFERROR(__xludf.DUMMYFUNCTION("""COMPUTED_VALUE"""),"Yes")</f>
        <v>Yes</v>
      </c>
      <c r="N665" s="5" t="str">
        <f ca="1">IFERROR(__xludf.DUMMYFUNCTION("""COMPUTED_VALUE"""),"Yes")</f>
        <v>Yes</v>
      </c>
      <c r="O665" s="5" t="str">
        <f ca="1">IFERROR(__xludf.DUMMYFUNCTION("""COMPUTED_VALUE"""),"Yes")</f>
        <v>Yes</v>
      </c>
      <c r="P665" s="5" t="str">
        <f ca="1">IFERROR(__xludf.DUMMYFUNCTION("""COMPUTED_VALUE"""),"Yes")</f>
        <v>Yes</v>
      </c>
      <c r="Q665" s="5" t="str">
        <f ca="1">IFERROR(__xludf.DUMMYFUNCTION("""COMPUTED_VALUE"""),"Yes")</f>
        <v>Yes</v>
      </c>
      <c r="R665" s="5" t="str">
        <f ca="1">IFERROR(__xludf.DUMMYFUNCTION("""COMPUTED_VALUE"""),"Yes")</f>
        <v>Yes</v>
      </c>
      <c r="S665" s="5" t="str">
        <f ca="1">IFERROR(__xludf.DUMMYFUNCTION("""COMPUTED_VALUE"""),"Yes")</f>
        <v>Yes</v>
      </c>
      <c r="T665" s="5" t="str">
        <f ca="1">IFERROR(__xludf.DUMMYFUNCTION("""COMPUTED_VALUE"""),"Yes")</f>
        <v>Yes</v>
      </c>
      <c r="U665" s="5" t="str">
        <f ca="1">IFERROR(__xludf.DUMMYFUNCTION("""COMPUTED_VALUE"""),"Yes")</f>
        <v>Yes</v>
      </c>
      <c r="V665" s="5" t="str">
        <f ca="1">IFERROR(__xludf.DUMMYFUNCTION("""COMPUTED_VALUE"""),"Yes")</f>
        <v>Yes</v>
      </c>
      <c r="W665" s="5" t="str">
        <f ca="1">IFERROR(__xludf.DUMMYFUNCTION("""COMPUTED_VALUE"""),"Yes")</f>
        <v>Yes</v>
      </c>
      <c r="X665" s="5" t="str">
        <f ca="1">IFERROR(__xludf.DUMMYFUNCTION("""COMPUTED_VALUE"""),"Yes")</f>
        <v>Yes</v>
      </c>
      <c r="Y665" s="5" t="str">
        <f ca="1">IFERROR(__xludf.DUMMYFUNCTION("""COMPUTED_VALUE"""),"Yes")</f>
        <v>Yes</v>
      </c>
      <c r="Z665" s="5" t="str">
        <f ca="1">IFERROR(__xludf.DUMMYFUNCTION("""COMPUTED_VALUE"""),"No")</f>
        <v>No</v>
      </c>
      <c r="AA665" s="5" t="str">
        <f ca="1">IFERROR(__xludf.DUMMYFUNCTION("""COMPUTED_VALUE"""),"Yes")</f>
        <v>Yes</v>
      </c>
      <c r="AB665" s="5" t="str">
        <f ca="1">IFERROR(__xludf.DUMMYFUNCTION("""COMPUTED_VALUE"""),"Yes")</f>
        <v>Yes</v>
      </c>
      <c r="AC665" s="5" t="str">
        <f ca="1">IFERROR(__xludf.DUMMYFUNCTION("""COMPUTED_VALUE"""),"Yes")</f>
        <v>Yes</v>
      </c>
      <c r="AD665" s="5" t="str">
        <f ca="1">IFERROR(__xludf.DUMMYFUNCTION("""COMPUTED_VALUE"""),"Yes")</f>
        <v>Yes</v>
      </c>
      <c r="AE665" s="5" t="str">
        <f ca="1">IFERROR(__xludf.DUMMYFUNCTION("""COMPUTED_VALUE"""),"No")</f>
        <v>No</v>
      </c>
      <c r="AF665" s="5" t="str">
        <f ca="1">IFERROR(__xludf.DUMMYFUNCTION("""COMPUTED_VALUE"""),"Yes")</f>
        <v>Yes</v>
      </c>
      <c r="AG665" s="5" t="str">
        <f ca="1">IFERROR(__xludf.DUMMYFUNCTION("""COMPUTED_VALUE"""),"No")</f>
        <v>No</v>
      </c>
      <c r="AH665" s="5" t="str">
        <f ca="1">IFERROR(__xludf.DUMMYFUNCTION("""COMPUTED_VALUE"""),"No")</f>
        <v>No</v>
      </c>
      <c r="AI665" s="5" t="str">
        <f ca="1">IFERROR(__xludf.DUMMYFUNCTION("""COMPUTED_VALUE"""),"No")</f>
        <v>No</v>
      </c>
      <c r="AJ665" s="5" t="str">
        <f ca="1">IFERROR(__xludf.DUMMYFUNCTION("""COMPUTED_VALUE"""),"No")</f>
        <v>No</v>
      </c>
      <c r="AK665" s="5" t="str">
        <f ca="1">IFERROR(__xludf.DUMMYFUNCTION("""COMPUTED_VALUE"""),"No")</f>
        <v>No</v>
      </c>
      <c r="AL665" s="5" t="str">
        <f ca="1">IFERROR(__xludf.DUMMYFUNCTION("""COMPUTED_VALUE"""),"No")</f>
        <v>No</v>
      </c>
      <c r="AM665" s="5"/>
      <c r="AN665" s="5"/>
      <c r="AO665" s="5"/>
      <c r="AP665" s="5"/>
      <c r="AQ665" s="5"/>
      <c r="AR665" s="5"/>
      <c r="AS665" s="5"/>
      <c r="AT665" s="5"/>
      <c r="AU665" s="5"/>
      <c r="AV665" s="5"/>
      <c r="AW665" s="5"/>
      <c r="AX665" s="5"/>
      <c r="AY665" s="5"/>
    </row>
    <row r="666" spans="1:51" x14ac:dyDescent="0.25">
      <c r="A6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6" s="5">
        <f ca="1">IFERROR(__xludf.DUMMYFUNCTION("""COMPUTED_VALUE"""),701)</f>
        <v>701</v>
      </c>
      <c r="C666" s="5">
        <f ca="1">IFERROR(__xludf.DUMMYFUNCTION("""COMPUTED_VALUE"""),4033)</f>
        <v>4033</v>
      </c>
      <c r="D666" s="5" t="str">
        <f ca="1">IFERROR(__xludf.DUMMYFUNCTION("""COMPUTED_VALUE"""),"GoldenCrownExtremeDice")</f>
        <v>GoldenCrownExtremeDice</v>
      </c>
      <c r="E666" s="5" t="str">
        <f ca="1">IFERROR(__xludf.DUMMYFUNCTION("""COMPUTED_VALUE"""),"Yes")</f>
        <v>Yes</v>
      </c>
      <c r="F666" s="5" t="str">
        <f ca="1">IFERROR(__xludf.DUMMYFUNCTION("""COMPUTED_VALUE"""),"Yes")</f>
        <v>Yes</v>
      </c>
      <c r="G666" s="5" t="str">
        <f ca="1">IFERROR(__xludf.DUMMYFUNCTION("""COMPUTED_VALUE"""),"Yes")</f>
        <v>Yes</v>
      </c>
      <c r="H666" s="5" t="str">
        <f ca="1">IFERROR(__xludf.DUMMYFUNCTION("""COMPUTED_VALUE"""),"Yes")</f>
        <v>Yes</v>
      </c>
      <c r="I666" s="5" t="str">
        <f ca="1">IFERROR(__xludf.DUMMYFUNCTION("""COMPUTED_VALUE"""),"Yes")</f>
        <v>Yes</v>
      </c>
      <c r="J666" s="5" t="str">
        <f ca="1">IFERROR(__xludf.DUMMYFUNCTION("""COMPUTED_VALUE"""),"Yes")</f>
        <v>Yes</v>
      </c>
      <c r="K666" s="5" t="str">
        <f ca="1">IFERROR(__xludf.DUMMYFUNCTION("""COMPUTED_VALUE"""),"Yes")</f>
        <v>Yes</v>
      </c>
      <c r="L666" s="5" t="str">
        <f ca="1">IFERROR(__xludf.DUMMYFUNCTION("""COMPUTED_VALUE"""),"Yes")</f>
        <v>Yes</v>
      </c>
      <c r="M666" s="5" t="str">
        <f ca="1">IFERROR(__xludf.DUMMYFUNCTION("""COMPUTED_VALUE"""),"Yes")</f>
        <v>Yes</v>
      </c>
      <c r="N666" s="5" t="str">
        <f ca="1">IFERROR(__xludf.DUMMYFUNCTION("""COMPUTED_VALUE"""),"Yes")</f>
        <v>Yes</v>
      </c>
      <c r="O666" s="5" t="str">
        <f ca="1">IFERROR(__xludf.DUMMYFUNCTION("""COMPUTED_VALUE"""),"Yes")</f>
        <v>Yes</v>
      </c>
      <c r="P666" s="5" t="str">
        <f ca="1">IFERROR(__xludf.DUMMYFUNCTION("""COMPUTED_VALUE"""),"Yes")</f>
        <v>Yes</v>
      </c>
      <c r="Q666" s="5" t="str">
        <f ca="1">IFERROR(__xludf.DUMMYFUNCTION("""COMPUTED_VALUE"""),"Yes")</f>
        <v>Yes</v>
      </c>
      <c r="R666" s="5" t="str">
        <f ca="1">IFERROR(__xludf.DUMMYFUNCTION("""COMPUTED_VALUE"""),"Yes")</f>
        <v>Yes</v>
      </c>
      <c r="S666" s="5" t="str">
        <f ca="1">IFERROR(__xludf.DUMMYFUNCTION("""COMPUTED_VALUE"""),"Yes")</f>
        <v>Yes</v>
      </c>
      <c r="T666" s="5" t="str">
        <f ca="1">IFERROR(__xludf.DUMMYFUNCTION("""COMPUTED_VALUE"""),"Yes")</f>
        <v>Yes</v>
      </c>
      <c r="U666" s="5" t="str">
        <f ca="1">IFERROR(__xludf.DUMMYFUNCTION("""COMPUTED_VALUE"""),"Yes")</f>
        <v>Yes</v>
      </c>
      <c r="V666" s="5" t="str">
        <f ca="1">IFERROR(__xludf.DUMMYFUNCTION("""COMPUTED_VALUE"""),"Yes")</f>
        <v>Yes</v>
      </c>
      <c r="W666" s="5" t="str">
        <f ca="1">IFERROR(__xludf.DUMMYFUNCTION("""COMPUTED_VALUE"""),"Yes")</f>
        <v>Yes</v>
      </c>
      <c r="X666" s="5" t="str">
        <f ca="1">IFERROR(__xludf.DUMMYFUNCTION("""COMPUTED_VALUE"""),"Yes")</f>
        <v>Yes</v>
      </c>
      <c r="Y666" s="5" t="str">
        <f ca="1">IFERROR(__xludf.DUMMYFUNCTION("""COMPUTED_VALUE"""),"Yes")</f>
        <v>Yes</v>
      </c>
      <c r="Z666" s="5" t="str">
        <f ca="1">IFERROR(__xludf.DUMMYFUNCTION("""COMPUTED_VALUE"""),"Yes")</f>
        <v>Yes</v>
      </c>
      <c r="AA666" s="5" t="str">
        <f ca="1">IFERROR(__xludf.DUMMYFUNCTION("""COMPUTED_VALUE"""),"Yes")</f>
        <v>Yes</v>
      </c>
      <c r="AB666" s="5" t="str">
        <f ca="1">IFERROR(__xludf.DUMMYFUNCTION("""COMPUTED_VALUE"""),"Yes")</f>
        <v>Yes</v>
      </c>
      <c r="AC666" s="5" t="str">
        <f ca="1">IFERROR(__xludf.DUMMYFUNCTION("""COMPUTED_VALUE"""),"Yes")</f>
        <v>Yes</v>
      </c>
      <c r="AD666" s="5" t="str">
        <f ca="1">IFERROR(__xludf.DUMMYFUNCTION("""COMPUTED_VALUE"""),"Yes")</f>
        <v>Yes</v>
      </c>
      <c r="AE666" s="5" t="str">
        <f ca="1">IFERROR(__xludf.DUMMYFUNCTION("""COMPUTED_VALUE"""),"Yes")</f>
        <v>Yes</v>
      </c>
      <c r="AF666" s="5" t="str">
        <f ca="1">IFERROR(__xludf.DUMMYFUNCTION("""COMPUTED_VALUE"""),"Yes")</f>
        <v>Yes</v>
      </c>
      <c r="AG666" s="5" t="str">
        <f ca="1">IFERROR(__xludf.DUMMYFUNCTION("""COMPUTED_VALUE"""),"Yes")</f>
        <v>Yes</v>
      </c>
      <c r="AH666" s="5" t="str">
        <f ca="1">IFERROR(__xludf.DUMMYFUNCTION("""COMPUTED_VALUE"""),"Yes")</f>
        <v>Yes</v>
      </c>
      <c r="AI666" s="5" t="str">
        <f ca="1">IFERROR(__xludf.DUMMYFUNCTION("""COMPUTED_VALUE"""),"Yes")</f>
        <v>Yes</v>
      </c>
      <c r="AJ666" s="5" t="str">
        <f ca="1">IFERROR(__xludf.DUMMYFUNCTION("""COMPUTED_VALUE"""),"Yes")</f>
        <v>Yes</v>
      </c>
      <c r="AK666" s="5" t="str">
        <f ca="1">IFERROR(__xludf.DUMMYFUNCTION("""COMPUTED_VALUE"""),"Yes")</f>
        <v>Yes</v>
      </c>
      <c r="AL666" s="5" t="str">
        <f ca="1">IFERROR(__xludf.DUMMYFUNCTION("""COMPUTED_VALUE"""),"No")</f>
        <v>No</v>
      </c>
      <c r="AM666" s="5"/>
      <c r="AN666" s="5"/>
      <c r="AO666" s="5"/>
      <c r="AP666" s="5"/>
      <c r="AQ666" s="5"/>
      <c r="AR666" s="5"/>
      <c r="AS666" s="5"/>
      <c r="AT666" s="5"/>
      <c r="AU666" s="5"/>
      <c r="AV666" s="5"/>
      <c r="AW666" s="5"/>
      <c r="AX666" s="5"/>
      <c r="AY666" s="5"/>
    </row>
    <row r="667" spans="1:51" x14ac:dyDescent="0.25">
      <c r="A6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7" s="5">
        <f ca="1">IFERROR(__xludf.DUMMYFUNCTION("""COMPUTED_VALUE"""),702)</f>
        <v>702</v>
      </c>
      <c r="C667" s="5">
        <f ca="1">IFERROR(__xludf.DUMMYFUNCTION("""COMPUTED_VALUE"""),4034)</f>
        <v>4034</v>
      </c>
      <c r="D667" s="5" t="str">
        <f ca="1">IFERROR(__xludf.DUMMYFUNCTION("""COMPUTED_VALUE"""),"WinningClover5ExtremeBooster")</f>
        <v>WinningClover5ExtremeBooster</v>
      </c>
      <c r="E667" s="5" t="str">
        <f ca="1">IFERROR(__xludf.DUMMYFUNCTION("""COMPUTED_VALUE"""),"Yes")</f>
        <v>Yes</v>
      </c>
      <c r="F667" s="5" t="str">
        <f ca="1">IFERROR(__xludf.DUMMYFUNCTION("""COMPUTED_VALUE"""),"Yes")</f>
        <v>Yes</v>
      </c>
      <c r="G667" s="5" t="str">
        <f ca="1">IFERROR(__xludf.DUMMYFUNCTION("""COMPUTED_VALUE"""),"Yes")</f>
        <v>Yes</v>
      </c>
      <c r="H667" s="5" t="str">
        <f ca="1">IFERROR(__xludf.DUMMYFUNCTION("""COMPUTED_VALUE"""),"Yes")</f>
        <v>Yes</v>
      </c>
      <c r="I667" s="5" t="str">
        <f ca="1">IFERROR(__xludf.DUMMYFUNCTION("""COMPUTED_VALUE"""),"Yes")</f>
        <v>Yes</v>
      </c>
      <c r="J667" s="5" t="str">
        <f ca="1">IFERROR(__xludf.DUMMYFUNCTION("""COMPUTED_VALUE"""),"Yes")</f>
        <v>Yes</v>
      </c>
      <c r="K667" s="5" t="str">
        <f ca="1">IFERROR(__xludf.DUMMYFUNCTION("""COMPUTED_VALUE"""),"Yes")</f>
        <v>Yes</v>
      </c>
      <c r="L667" s="5" t="str">
        <f ca="1">IFERROR(__xludf.DUMMYFUNCTION("""COMPUTED_VALUE"""),"Yes")</f>
        <v>Yes</v>
      </c>
      <c r="M667" s="5" t="str">
        <f ca="1">IFERROR(__xludf.DUMMYFUNCTION("""COMPUTED_VALUE"""),"Yes")</f>
        <v>Yes</v>
      </c>
      <c r="N667" s="5" t="str">
        <f ca="1">IFERROR(__xludf.DUMMYFUNCTION("""COMPUTED_VALUE"""),"Yes")</f>
        <v>Yes</v>
      </c>
      <c r="O667" s="5" t="str">
        <f ca="1">IFERROR(__xludf.DUMMYFUNCTION("""COMPUTED_VALUE"""),"Yes")</f>
        <v>Yes</v>
      </c>
      <c r="P667" s="5" t="str">
        <f ca="1">IFERROR(__xludf.DUMMYFUNCTION("""COMPUTED_VALUE"""),"Yes")</f>
        <v>Yes</v>
      </c>
      <c r="Q667" s="5" t="str">
        <f ca="1">IFERROR(__xludf.DUMMYFUNCTION("""COMPUTED_VALUE"""),"Yes")</f>
        <v>Yes</v>
      </c>
      <c r="R667" s="5" t="str">
        <f ca="1">IFERROR(__xludf.DUMMYFUNCTION("""COMPUTED_VALUE"""),"Yes")</f>
        <v>Yes</v>
      </c>
      <c r="S667" s="5" t="str">
        <f ca="1">IFERROR(__xludf.DUMMYFUNCTION("""COMPUTED_VALUE"""),"Yes")</f>
        <v>Yes</v>
      </c>
      <c r="T667" s="5" t="str">
        <f ca="1">IFERROR(__xludf.DUMMYFUNCTION("""COMPUTED_VALUE"""),"Yes")</f>
        <v>Yes</v>
      </c>
      <c r="U667" s="5" t="str">
        <f ca="1">IFERROR(__xludf.DUMMYFUNCTION("""COMPUTED_VALUE"""),"Yes")</f>
        <v>Yes</v>
      </c>
      <c r="V667" s="5" t="str">
        <f ca="1">IFERROR(__xludf.DUMMYFUNCTION("""COMPUTED_VALUE"""),"Yes")</f>
        <v>Yes</v>
      </c>
      <c r="W667" s="5" t="str">
        <f ca="1">IFERROR(__xludf.DUMMYFUNCTION("""COMPUTED_VALUE"""),"Yes")</f>
        <v>Yes</v>
      </c>
      <c r="X667" s="5" t="str">
        <f ca="1">IFERROR(__xludf.DUMMYFUNCTION("""COMPUTED_VALUE"""),"Yes")</f>
        <v>Yes</v>
      </c>
      <c r="Y667" s="5" t="str">
        <f ca="1">IFERROR(__xludf.DUMMYFUNCTION("""COMPUTED_VALUE"""),"Yes")</f>
        <v>Yes</v>
      </c>
      <c r="Z667" s="5" t="str">
        <f ca="1">IFERROR(__xludf.DUMMYFUNCTION("""COMPUTED_VALUE"""),"Yes")</f>
        <v>Yes</v>
      </c>
      <c r="AA667" s="5" t="str">
        <f ca="1">IFERROR(__xludf.DUMMYFUNCTION("""COMPUTED_VALUE"""),"Yes")</f>
        <v>Yes</v>
      </c>
      <c r="AB667" s="5" t="str">
        <f ca="1">IFERROR(__xludf.DUMMYFUNCTION("""COMPUTED_VALUE"""),"Yes")</f>
        <v>Yes</v>
      </c>
      <c r="AC667" s="5" t="str">
        <f ca="1">IFERROR(__xludf.DUMMYFUNCTION("""COMPUTED_VALUE"""),"Yes")</f>
        <v>Yes</v>
      </c>
      <c r="AD667" s="5" t="str">
        <f ca="1">IFERROR(__xludf.DUMMYFUNCTION("""COMPUTED_VALUE"""),"Yes")</f>
        <v>Yes</v>
      </c>
      <c r="AE667" s="5" t="str">
        <f ca="1">IFERROR(__xludf.DUMMYFUNCTION("""COMPUTED_VALUE"""),"Yes")</f>
        <v>Yes</v>
      </c>
      <c r="AF667" s="5" t="str">
        <f ca="1">IFERROR(__xludf.DUMMYFUNCTION("""COMPUTED_VALUE"""),"Yes")</f>
        <v>Yes</v>
      </c>
      <c r="AG667" s="5" t="str">
        <f ca="1">IFERROR(__xludf.DUMMYFUNCTION("""COMPUTED_VALUE"""),"Yes")</f>
        <v>Yes</v>
      </c>
      <c r="AH667" s="5" t="str">
        <f ca="1">IFERROR(__xludf.DUMMYFUNCTION("""COMPUTED_VALUE"""),"Yes")</f>
        <v>Yes</v>
      </c>
      <c r="AI667" s="5" t="str">
        <f ca="1">IFERROR(__xludf.DUMMYFUNCTION("""COMPUTED_VALUE"""),"Yes")</f>
        <v>Yes</v>
      </c>
      <c r="AJ667" s="5" t="str">
        <f ca="1">IFERROR(__xludf.DUMMYFUNCTION("""COMPUTED_VALUE"""),"Yes")</f>
        <v>Yes</v>
      </c>
      <c r="AK667" s="5" t="str">
        <f ca="1">IFERROR(__xludf.DUMMYFUNCTION("""COMPUTED_VALUE"""),"Yes")</f>
        <v>Yes</v>
      </c>
      <c r="AL667" s="5" t="str">
        <f ca="1">IFERROR(__xludf.DUMMYFUNCTION("""COMPUTED_VALUE"""),"No")</f>
        <v>No</v>
      </c>
      <c r="AM667" s="5"/>
      <c r="AN667" s="5"/>
      <c r="AO667" s="5"/>
      <c r="AP667" s="5"/>
      <c r="AQ667" s="5"/>
      <c r="AR667" s="5"/>
      <c r="AS667" s="5"/>
      <c r="AT667" s="5"/>
      <c r="AU667" s="5"/>
      <c r="AV667" s="5"/>
      <c r="AW667" s="5"/>
      <c r="AX667" s="5"/>
      <c r="AY667" s="5"/>
    </row>
    <row r="668" spans="1:51" x14ac:dyDescent="0.25">
      <c r="A6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8" s="5">
        <f ca="1">IFERROR(__xludf.DUMMYFUNCTION("""COMPUTED_VALUE"""),703)</f>
        <v>703</v>
      </c>
      <c r="C668" s="5">
        <f ca="1">IFERROR(__xludf.DUMMYFUNCTION("""COMPUTED_VALUE"""),4035)</f>
        <v>4035</v>
      </c>
      <c r="D668" s="5" t="str">
        <f ca="1">IFERROR(__xludf.DUMMYFUNCTION("""COMPUTED_VALUE"""),"VeryHot40ExtremeBooster")</f>
        <v>VeryHot40ExtremeBooster</v>
      </c>
      <c r="E668" s="5" t="str">
        <f ca="1">IFERROR(__xludf.DUMMYFUNCTION("""COMPUTED_VALUE"""),"Yes")</f>
        <v>Yes</v>
      </c>
      <c r="F668" s="5" t="str">
        <f ca="1">IFERROR(__xludf.DUMMYFUNCTION("""COMPUTED_VALUE"""),"Yes")</f>
        <v>Yes</v>
      </c>
      <c r="G668" s="5" t="str">
        <f ca="1">IFERROR(__xludf.DUMMYFUNCTION("""COMPUTED_VALUE"""),"Yes")</f>
        <v>Yes</v>
      </c>
      <c r="H668" s="5" t="str">
        <f ca="1">IFERROR(__xludf.DUMMYFUNCTION("""COMPUTED_VALUE"""),"Yes")</f>
        <v>Yes</v>
      </c>
      <c r="I668" s="5" t="str">
        <f ca="1">IFERROR(__xludf.DUMMYFUNCTION("""COMPUTED_VALUE"""),"Yes")</f>
        <v>Yes</v>
      </c>
      <c r="J668" s="5" t="str">
        <f ca="1">IFERROR(__xludf.DUMMYFUNCTION("""COMPUTED_VALUE"""),"Yes")</f>
        <v>Yes</v>
      </c>
      <c r="K668" s="5" t="str">
        <f ca="1">IFERROR(__xludf.DUMMYFUNCTION("""COMPUTED_VALUE"""),"Yes")</f>
        <v>Yes</v>
      </c>
      <c r="L668" s="5" t="str">
        <f ca="1">IFERROR(__xludf.DUMMYFUNCTION("""COMPUTED_VALUE"""),"Yes")</f>
        <v>Yes</v>
      </c>
      <c r="M668" s="5" t="str">
        <f ca="1">IFERROR(__xludf.DUMMYFUNCTION("""COMPUTED_VALUE"""),"Yes")</f>
        <v>Yes</v>
      </c>
      <c r="N668" s="5" t="str">
        <f ca="1">IFERROR(__xludf.DUMMYFUNCTION("""COMPUTED_VALUE"""),"Yes")</f>
        <v>Yes</v>
      </c>
      <c r="O668" s="5" t="str">
        <f ca="1">IFERROR(__xludf.DUMMYFUNCTION("""COMPUTED_VALUE"""),"Yes")</f>
        <v>Yes</v>
      </c>
      <c r="P668" s="5" t="str">
        <f ca="1">IFERROR(__xludf.DUMMYFUNCTION("""COMPUTED_VALUE"""),"Yes")</f>
        <v>Yes</v>
      </c>
      <c r="Q668" s="5" t="str">
        <f ca="1">IFERROR(__xludf.DUMMYFUNCTION("""COMPUTED_VALUE"""),"Yes")</f>
        <v>Yes</v>
      </c>
      <c r="R668" s="5" t="str">
        <f ca="1">IFERROR(__xludf.DUMMYFUNCTION("""COMPUTED_VALUE"""),"Yes")</f>
        <v>Yes</v>
      </c>
      <c r="S668" s="5" t="str">
        <f ca="1">IFERROR(__xludf.DUMMYFUNCTION("""COMPUTED_VALUE"""),"Yes")</f>
        <v>Yes</v>
      </c>
      <c r="T668" s="5" t="str">
        <f ca="1">IFERROR(__xludf.DUMMYFUNCTION("""COMPUTED_VALUE"""),"Yes")</f>
        <v>Yes</v>
      </c>
      <c r="U668" s="5" t="str">
        <f ca="1">IFERROR(__xludf.DUMMYFUNCTION("""COMPUTED_VALUE"""),"Yes")</f>
        <v>Yes</v>
      </c>
      <c r="V668" s="5" t="str">
        <f ca="1">IFERROR(__xludf.DUMMYFUNCTION("""COMPUTED_VALUE"""),"Yes")</f>
        <v>Yes</v>
      </c>
      <c r="W668" s="5" t="str">
        <f ca="1">IFERROR(__xludf.DUMMYFUNCTION("""COMPUTED_VALUE"""),"Yes")</f>
        <v>Yes</v>
      </c>
      <c r="X668" s="5" t="str">
        <f ca="1">IFERROR(__xludf.DUMMYFUNCTION("""COMPUTED_VALUE"""),"Yes")</f>
        <v>Yes</v>
      </c>
      <c r="Y668" s="5" t="str">
        <f ca="1">IFERROR(__xludf.DUMMYFUNCTION("""COMPUTED_VALUE"""),"Yes")</f>
        <v>Yes</v>
      </c>
      <c r="Z668" s="5" t="str">
        <f ca="1">IFERROR(__xludf.DUMMYFUNCTION("""COMPUTED_VALUE"""),"Yes")</f>
        <v>Yes</v>
      </c>
      <c r="AA668" s="5" t="str">
        <f ca="1">IFERROR(__xludf.DUMMYFUNCTION("""COMPUTED_VALUE"""),"Yes")</f>
        <v>Yes</v>
      </c>
      <c r="AB668" s="5" t="str">
        <f ca="1">IFERROR(__xludf.DUMMYFUNCTION("""COMPUTED_VALUE"""),"Yes")</f>
        <v>Yes</v>
      </c>
      <c r="AC668" s="5" t="str">
        <f ca="1">IFERROR(__xludf.DUMMYFUNCTION("""COMPUTED_VALUE"""),"Yes")</f>
        <v>Yes</v>
      </c>
      <c r="AD668" s="5" t="str">
        <f ca="1">IFERROR(__xludf.DUMMYFUNCTION("""COMPUTED_VALUE"""),"Yes")</f>
        <v>Yes</v>
      </c>
      <c r="AE668" s="5" t="str">
        <f ca="1">IFERROR(__xludf.DUMMYFUNCTION("""COMPUTED_VALUE"""),"Yes")</f>
        <v>Yes</v>
      </c>
      <c r="AF668" s="5" t="str">
        <f ca="1">IFERROR(__xludf.DUMMYFUNCTION("""COMPUTED_VALUE"""),"Yes")</f>
        <v>Yes</v>
      </c>
      <c r="AG668" s="5" t="str">
        <f ca="1">IFERROR(__xludf.DUMMYFUNCTION("""COMPUTED_VALUE"""),"Yes")</f>
        <v>Yes</v>
      </c>
      <c r="AH668" s="5" t="str">
        <f ca="1">IFERROR(__xludf.DUMMYFUNCTION("""COMPUTED_VALUE"""),"Yes")</f>
        <v>Yes</v>
      </c>
      <c r="AI668" s="5" t="str">
        <f ca="1">IFERROR(__xludf.DUMMYFUNCTION("""COMPUTED_VALUE"""),"No")</f>
        <v>No</v>
      </c>
      <c r="AJ668" s="5" t="str">
        <f ca="1">IFERROR(__xludf.DUMMYFUNCTION("""COMPUTED_VALUE"""),"No")</f>
        <v>No</v>
      </c>
      <c r="AK668" s="5" t="str">
        <f ca="1">IFERROR(__xludf.DUMMYFUNCTION("""COMPUTED_VALUE"""),"No")</f>
        <v>No</v>
      </c>
      <c r="AL668" s="5" t="str">
        <f ca="1">IFERROR(__xludf.DUMMYFUNCTION("""COMPUTED_VALUE"""),"No")</f>
        <v>No</v>
      </c>
      <c r="AM668" s="5"/>
      <c r="AN668" s="5"/>
      <c r="AO668" s="5"/>
      <c r="AP668" s="5"/>
      <c r="AQ668" s="5"/>
      <c r="AR668" s="5"/>
      <c r="AS668" s="5"/>
      <c r="AT668" s="5"/>
      <c r="AU668" s="5"/>
      <c r="AV668" s="5"/>
      <c r="AW668" s="5"/>
      <c r="AX668" s="5"/>
      <c r="AY668" s="5"/>
    </row>
    <row r="669" spans="1:51" x14ac:dyDescent="0.25">
      <c r="A6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9" s="5">
        <f ca="1">IFERROR(__xludf.DUMMYFUNCTION("""COMPUTED_VALUE"""),704)</f>
        <v>704</v>
      </c>
      <c r="C669" s="5">
        <f ca="1">IFERROR(__xludf.DUMMYFUNCTION("""COMPUTED_VALUE"""),1022)</f>
        <v>1022</v>
      </c>
      <c r="D669" s="5" t="str">
        <f ca="1">IFERROR(__xludf.DUMMYFUNCTION("""COMPUTED_VALUE"""),"WinningClover5Booster")</f>
        <v>WinningClover5Booster</v>
      </c>
      <c r="E669" s="5" t="str">
        <f ca="1">IFERROR(__xludf.DUMMYFUNCTION("""COMPUTED_VALUE"""),"Yes")</f>
        <v>Yes</v>
      </c>
      <c r="F669" s="5" t="str">
        <f ca="1">IFERROR(__xludf.DUMMYFUNCTION("""COMPUTED_VALUE"""),"Yes")</f>
        <v>Yes</v>
      </c>
      <c r="G669" s="5" t="str">
        <f ca="1">IFERROR(__xludf.DUMMYFUNCTION("""COMPUTED_VALUE"""),"Yes")</f>
        <v>Yes</v>
      </c>
      <c r="H669" s="5" t="str">
        <f ca="1">IFERROR(__xludf.DUMMYFUNCTION("""COMPUTED_VALUE"""),"Yes")</f>
        <v>Yes</v>
      </c>
      <c r="I669" s="5" t="str">
        <f ca="1">IFERROR(__xludf.DUMMYFUNCTION("""COMPUTED_VALUE"""),"Yes")</f>
        <v>Yes</v>
      </c>
      <c r="J669" s="5" t="str">
        <f ca="1">IFERROR(__xludf.DUMMYFUNCTION("""COMPUTED_VALUE"""),"Yes")</f>
        <v>Yes</v>
      </c>
      <c r="K669" s="5" t="str">
        <f ca="1">IFERROR(__xludf.DUMMYFUNCTION("""COMPUTED_VALUE"""),"Yes")</f>
        <v>Yes</v>
      </c>
      <c r="L669" s="5" t="str">
        <f ca="1">IFERROR(__xludf.DUMMYFUNCTION("""COMPUTED_VALUE"""),"Yes")</f>
        <v>Yes</v>
      </c>
      <c r="M669" s="5" t="str">
        <f ca="1">IFERROR(__xludf.DUMMYFUNCTION("""COMPUTED_VALUE"""),"Yes")</f>
        <v>Yes</v>
      </c>
      <c r="N669" s="5" t="str">
        <f ca="1">IFERROR(__xludf.DUMMYFUNCTION("""COMPUTED_VALUE"""),"Yes")</f>
        <v>Yes</v>
      </c>
      <c r="O669" s="5" t="str">
        <f ca="1">IFERROR(__xludf.DUMMYFUNCTION("""COMPUTED_VALUE"""),"Yes")</f>
        <v>Yes</v>
      </c>
      <c r="P669" s="5" t="str">
        <f ca="1">IFERROR(__xludf.DUMMYFUNCTION("""COMPUTED_VALUE"""),"Yes")</f>
        <v>Yes</v>
      </c>
      <c r="Q669" s="5" t="str">
        <f ca="1">IFERROR(__xludf.DUMMYFUNCTION("""COMPUTED_VALUE"""),"Yes")</f>
        <v>Yes</v>
      </c>
      <c r="R669" s="5" t="str">
        <f ca="1">IFERROR(__xludf.DUMMYFUNCTION("""COMPUTED_VALUE"""),"Yes")</f>
        <v>Yes</v>
      </c>
      <c r="S669" s="5" t="str">
        <f ca="1">IFERROR(__xludf.DUMMYFUNCTION("""COMPUTED_VALUE"""),"Yes")</f>
        <v>Yes</v>
      </c>
      <c r="T669" s="5" t="str">
        <f ca="1">IFERROR(__xludf.DUMMYFUNCTION("""COMPUTED_VALUE"""),"Yes")</f>
        <v>Yes</v>
      </c>
      <c r="U669" s="5" t="str">
        <f ca="1">IFERROR(__xludf.DUMMYFUNCTION("""COMPUTED_VALUE"""),"Yes")</f>
        <v>Yes</v>
      </c>
      <c r="V669" s="5" t="str">
        <f ca="1">IFERROR(__xludf.DUMMYFUNCTION("""COMPUTED_VALUE"""),"Yes")</f>
        <v>Yes</v>
      </c>
      <c r="W669" s="5" t="str">
        <f ca="1">IFERROR(__xludf.DUMMYFUNCTION("""COMPUTED_VALUE"""),"Yes")</f>
        <v>Yes</v>
      </c>
      <c r="X669" s="5" t="str">
        <f ca="1">IFERROR(__xludf.DUMMYFUNCTION("""COMPUTED_VALUE"""),"Yes")</f>
        <v>Yes</v>
      </c>
      <c r="Y669" s="5" t="str">
        <f ca="1">IFERROR(__xludf.DUMMYFUNCTION("""COMPUTED_VALUE"""),"Yes")</f>
        <v>Yes</v>
      </c>
      <c r="Z669" s="5" t="str">
        <f ca="1">IFERROR(__xludf.DUMMYFUNCTION("""COMPUTED_VALUE"""),"Yes")</f>
        <v>Yes</v>
      </c>
      <c r="AA669" s="5" t="str">
        <f ca="1">IFERROR(__xludf.DUMMYFUNCTION("""COMPUTED_VALUE"""),"Yes")</f>
        <v>Yes</v>
      </c>
      <c r="AB669" s="5" t="str">
        <f ca="1">IFERROR(__xludf.DUMMYFUNCTION("""COMPUTED_VALUE"""),"Yes")</f>
        <v>Yes</v>
      </c>
      <c r="AC669" s="5" t="str">
        <f ca="1">IFERROR(__xludf.DUMMYFUNCTION("""COMPUTED_VALUE"""),"Yes")</f>
        <v>Yes</v>
      </c>
      <c r="AD669" s="5" t="str">
        <f ca="1">IFERROR(__xludf.DUMMYFUNCTION("""COMPUTED_VALUE"""),"Yes")</f>
        <v>Yes</v>
      </c>
      <c r="AE669" s="5" t="str">
        <f ca="1">IFERROR(__xludf.DUMMYFUNCTION("""COMPUTED_VALUE"""),"Yes")</f>
        <v>Yes</v>
      </c>
      <c r="AF669" s="5" t="str">
        <f ca="1">IFERROR(__xludf.DUMMYFUNCTION("""COMPUTED_VALUE"""),"Yes")</f>
        <v>Yes</v>
      </c>
      <c r="AG669" s="5" t="str">
        <f ca="1">IFERROR(__xludf.DUMMYFUNCTION("""COMPUTED_VALUE"""),"Yes")</f>
        <v>Yes</v>
      </c>
      <c r="AH669" s="5" t="str">
        <f ca="1">IFERROR(__xludf.DUMMYFUNCTION("""COMPUTED_VALUE"""),"Yes")</f>
        <v>Yes</v>
      </c>
      <c r="AI669" s="5" t="str">
        <f ca="1">IFERROR(__xludf.DUMMYFUNCTION("""COMPUTED_VALUE"""),"No")</f>
        <v>No</v>
      </c>
      <c r="AJ669" s="5" t="str">
        <f ca="1">IFERROR(__xludf.DUMMYFUNCTION("""COMPUTED_VALUE"""),"No")</f>
        <v>No</v>
      </c>
      <c r="AK669" s="5" t="str">
        <f ca="1">IFERROR(__xludf.DUMMYFUNCTION("""COMPUTED_VALUE"""),"No")</f>
        <v>No</v>
      </c>
      <c r="AL669" s="5" t="str">
        <f ca="1">IFERROR(__xludf.DUMMYFUNCTION("""COMPUTED_VALUE"""),"No")</f>
        <v>No</v>
      </c>
      <c r="AM669" s="5"/>
      <c r="AN669" s="5"/>
      <c r="AO669" s="5"/>
      <c r="AP669" s="5"/>
      <c r="AQ669" s="5"/>
      <c r="AR669" s="5"/>
      <c r="AS669" s="5"/>
      <c r="AT669" s="5"/>
      <c r="AU669" s="5"/>
      <c r="AV669" s="5"/>
      <c r="AW669" s="5"/>
      <c r="AX669" s="5"/>
      <c r="AY669" s="5"/>
    </row>
    <row r="670" spans="1:51" x14ac:dyDescent="0.25">
      <c r="A6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0" s="5">
        <f ca="1">IFERROR(__xludf.DUMMYFUNCTION("""COMPUTED_VALUE"""),705)</f>
        <v>705</v>
      </c>
      <c r="C670" s="5">
        <f ca="1">IFERROR(__xludf.DUMMYFUNCTION("""COMPUTED_VALUE"""),1021)</f>
        <v>1021</v>
      </c>
      <c r="D670" s="5" t="str">
        <f ca="1">IFERROR(__xludf.DUMMYFUNCTION("""COMPUTED_VALUE"""),"FortuneOfWuKong")</f>
        <v>FortuneOfWuKong</v>
      </c>
      <c r="E670" s="5" t="str">
        <f ca="1">IFERROR(__xludf.DUMMYFUNCTION("""COMPUTED_VALUE"""),"Yes")</f>
        <v>Yes</v>
      </c>
      <c r="F670" s="5" t="str">
        <f ca="1">IFERROR(__xludf.DUMMYFUNCTION("""COMPUTED_VALUE"""),"Yes")</f>
        <v>Yes</v>
      </c>
      <c r="G670" s="5" t="str">
        <f ca="1">IFERROR(__xludf.DUMMYFUNCTION("""COMPUTED_VALUE"""),"Yes")</f>
        <v>Yes</v>
      </c>
      <c r="H670" s="5" t="str">
        <f ca="1">IFERROR(__xludf.DUMMYFUNCTION("""COMPUTED_VALUE"""),"Yes")</f>
        <v>Yes</v>
      </c>
      <c r="I670" s="5" t="str">
        <f ca="1">IFERROR(__xludf.DUMMYFUNCTION("""COMPUTED_VALUE"""),"Yes")</f>
        <v>Yes</v>
      </c>
      <c r="J670" s="5" t="str">
        <f ca="1">IFERROR(__xludf.DUMMYFUNCTION("""COMPUTED_VALUE"""),"Yes")</f>
        <v>Yes</v>
      </c>
      <c r="K670" s="5" t="str">
        <f ca="1">IFERROR(__xludf.DUMMYFUNCTION("""COMPUTED_VALUE"""),"Yes")</f>
        <v>Yes</v>
      </c>
      <c r="L670" s="5" t="str">
        <f ca="1">IFERROR(__xludf.DUMMYFUNCTION("""COMPUTED_VALUE"""),"Yes")</f>
        <v>Yes</v>
      </c>
      <c r="M670" s="5" t="str">
        <f ca="1">IFERROR(__xludf.DUMMYFUNCTION("""COMPUTED_VALUE"""),"Yes")</f>
        <v>Yes</v>
      </c>
      <c r="N670" s="5" t="str">
        <f ca="1">IFERROR(__xludf.DUMMYFUNCTION("""COMPUTED_VALUE"""),"Yes")</f>
        <v>Yes</v>
      </c>
      <c r="O670" s="5" t="str">
        <f ca="1">IFERROR(__xludf.DUMMYFUNCTION("""COMPUTED_VALUE"""),"Yes")</f>
        <v>Yes</v>
      </c>
      <c r="P670" s="5" t="str">
        <f ca="1">IFERROR(__xludf.DUMMYFUNCTION("""COMPUTED_VALUE"""),"Yes")</f>
        <v>Yes</v>
      </c>
      <c r="Q670" s="5" t="str">
        <f ca="1">IFERROR(__xludf.DUMMYFUNCTION("""COMPUTED_VALUE"""),"Yes")</f>
        <v>Yes</v>
      </c>
      <c r="R670" s="5" t="str">
        <f ca="1">IFERROR(__xludf.DUMMYFUNCTION("""COMPUTED_VALUE"""),"Yes")</f>
        <v>Yes</v>
      </c>
      <c r="S670" s="5" t="str">
        <f ca="1">IFERROR(__xludf.DUMMYFUNCTION("""COMPUTED_VALUE"""),"Yes")</f>
        <v>Yes</v>
      </c>
      <c r="T670" s="5" t="str">
        <f ca="1">IFERROR(__xludf.DUMMYFUNCTION("""COMPUTED_VALUE"""),"Yes")</f>
        <v>Yes</v>
      </c>
      <c r="U670" s="5" t="str">
        <f ca="1">IFERROR(__xludf.DUMMYFUNCTION("""COMPUTED_VALUE"""),"Yes")</f>
        <v>Yes</v>
      </c>
      <c r="V670" s="5" t="str">
        <f ca="1">IFERROR(__xludf.DUMMYFUNCTION("""COMPUTED_VALUE"""),"Yes")</f>
        <v>Yes</v>
      </c>
      <c r="W670" s="5" t="str">
        <f ca="1">IFERROR(__xludf.DUMMYFUNCTION("""COMPUTED_VALUE"""),"Yes")</f>
        <v>Yes</v>
      </c>
      <c r="X670" s="5" t="str">
        <f ca="1">IFERROR(__xludf.DUMMYFUNCTION("""COMPUTED_VALUE"""),"Yes")</f>
        <v>Yes</v>
      </c>
      <c r="Y670" s="5" t="str">
        <f ca="1">IFERROR(__xludf.DUMMYFUNCTION("""COMPUTED_VALUE"""),"Yes")</f>
        <v>Yes</v>
      </c>
      <c r="Z670" s="5" t="str">
        <f ca="1">IFERROR(__xludf.DUMMYFUNCTION("""COMPUTED_VALUE"""),"Yes")</f>
        <v>Yes</v>
      </c>
      <c r="AA670" s="5" t="str">
        <f ca="1">IFERROR(__xludf.DUMMYFUNCTION("""COMPUTED_VALUE"""),"Yes")</f>
        <v>Yes</v>
      </c>
      <c r="AB670" s="5" t="str">
        <f ca="1">IFERROR(__xludf.DUMMYFUNCTION("""COMPUTED_VALUE"""),"Yes")</f>
        <v>Yes</v>
      </c>
      <c r="AC670" s="5" t="str">
        <f ca="1">IFERROR(__xludf.DUMMYFUNCTION("""COMPUTED_VALUE"""),"Yes")</f>
        <v>Yes</v>
      </c>
      <c r="AD670" s="5" t="str">
        <f ca="1">IFERROR(__xludf.DUMMYFUNCTION("""COMPUTED_VALUE"""),"Yes")</f>
        <v>Yes</v>
      </c>
      <c r="AE670" s="5" t="str">
        <f ca="1">IFERROR(__xludf.DUMMYFUNCTION("""COMPUTED_VALUE"""),"Yes")</f>
        <v>Yes</v>
      </c>
      <c r="AF670" s="5" t="str">
        <f ca="1">IFERROR(__xludf.DUMMYFUNCTION("""COMPUTED_VALUE"""),"Yes")</f>
        <v>Yes</v>
      </c>
      <c r="AG670" s="5" t="str">
        <f ca="1">IFERROR(__xludf.DUMMYFUNCTION("""COMPUTED_VALUE"""),"Yes")</f>
        <v>Yes</v>
      </c>
      <c r="AH670" s="5" t="str">
        <f ca="1">IFERROR(__xludf.DUMMYFUNCTION("""COMPUTED_VALUE"""),"Yes")</f>
        <v>Yes</v>
      </c>
      <c r="AI670" s="5" t="str">
        <f ca="1">IFERROR(__xludf.DUMMYFUNCTION("""COMPUTED_VALUE"""),"Yes")</f>
        <v>Yes</v>
      </c>
      <c r="AJ670" s="5" t="str">
        <f ca="1">IFERROR(__xludf.DUMMYFUNCTION("""COMPUTED_VALUE"""),"Yes")</f>
        <v>Yes</v>
      </c>
      <c r="AK670" s="5" t="str">
        <f ca="1">IFERROR(__xludf.DUMMYFUNCTION("""COMPUTED_VALUE"""),"Yes")</f>
        <v>Yes</v>
      </c>
      <c r="AL670" s="5" t="str">
        <f ca="1">IFERROR(__xludf.DUMMYFUNCTION("""COMPUTED_VALUE"""),"No")</f>
        <v>No</v>
      </c>
      <c r="AM670" s="5"/>
      <c r="AN670" s="5"/>
      <c r="AO670" s="5"/>
      <c r="AP670" s="5"/>
      <c r="AQ670" s="5"/>
      <c r="AR670" s="5"/>
      <c r="AS670" s="5"/>
      <c r="AT670" s="5"/>
      <c r="AU670" s="5"/>
      <c r="AV670" s="5"/>
      <c r="AW670" s="5"/>
      <c r="AX670" s="5"/>
      <c r="AY670" s="5"/>
    </row>
    <row r="671" spans="1:51" x14ac:dyDescent="0.25">
      <c r="A6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1" s="5">
        <f ca="1">IFERROR(__xludf.DUMMYFUNCTION("""COMPUTED_VALUE"""),706)</f>
        <v>706</v>
      </c>
      <c r="C671" s="5">
        <f ca="1">IFERROR(__xludf.DUMMYFUNCTION("""COMPUTED_VALUE"""),3029)</f>
        <v>3029</v>
      </c>
      <c r="D671" s="5" t="str">
        <f ca="1">IFERROR(__xludf.DUMMYFUNCTION("""COMPUTED_VALUE"""),"CloversAndDiamonds10")</f>
        <v>CloversAndDiamonds10</v>
      </c>
      <c r="E671" s="5" t="str">
        <f ca="1">IFERROR(__xludf.DUMMYFUNCTION("""COMPUTED_VALUE"""),"Yes")</f>
        <v>Yes</v>
      </c>
      <c r="F671" s="5" t="str">
        <f ca="1">IFERROR(__xludf.DUMMYFUNCTION("""COMPUTED_VALUE"""),"Yes")</f>
        <v>Yes</v>
      </c>
      <c r="G671" s="5" t="str">
        <f ca="1">IFERROR(__xludf.DUMMYFUNCTION("""COMPUTED_VALUE"""),"Yes")</f>
        <v>Yes</v>
      </c>
      <c r="H671" s="5" t="str">
        <f ca="1">IFERROR(__xludf.DUMMYFUNCTION("""COMPUTED_VALUE"""),"Yes")</f>
        <v>Yes</v>
      </c>
      <c r="I671" s="5" t="str">
        <f ca="1">IFERROR(__xludf.DUMMYFUNCTION("""COMPUTED_VALUE"""),"Yes")</f>
        <v>Yes</v>
      </c>
      <c r="J671" s="5" t="str">
        <f ca="1">IFERROR(__xludf.DUMMYFUNCTION("""COMPUTED_VALUE"""),"Yes")</f>
        <v>Yes</v>
      </c>
      <c r="K671" s="5" t="str">
        <f ca="1">IFERROR(__xludf.DUMMYFUNCTION("""COMPUTED_VALUE"""),"Yes")</f>
        <v>Yes</v>
      </c>
      <c r="L671" s="5" t="str">
        <f ca="1">IFERROR(__xludf.DUMMYFUNCTION("""COMPUTED_VALUE"""),"Yes")</f>
        <v>Yes</v>
      </c>
      <c r="M671" s="5" t="str">
        <f ca="1">IFERROR(__xludf.DUMMYFUNCTION("""COMPUTED_VALUE"""),"Yes")</f>
        <v>Yes</v>
      </c>
      <c r="N671" s="5" t="str">
        <f ca="1">IFERROR(__xludf.DUMMYFUNCTION("""COMPUTED_VALUE"""),"Yes")</f>
        <v>Yes</v>
      </c>
      <c r="O671" s="5" t="str">
        <f ca="1">IFERROR(__xludf.DUMMYFUNCTION("""COMPUTED_VALUE"""),"Yes")</f>
        <v>Yes</v>
      </c>
      <c r="P671" s="5" t="str">
        <f ca="1">IFERROR(__xludf.DUMMYFUNCTION("""COMPUTED_VALUE"""),"Yes")</f>
        <v>Yes</v>
      </c>
      <c r="Q671" s="5" t="str">
        <f ca="1">IFERROR(__xludf.DUMMYFUNCTION("""COMPUTED_VALUE"""),"Yes")</f>
        <v>Yes</v>
      </c>
      <c r="R671" s="5" t="str">
        <f ca="1">IFERROR(__xludf.DUMMYFUNCTION("""COMPUTED_VALUE"""),"Yes")</f>
        <v>Yes</v>
      </c>
      <c r="S671" s="5" t="str">
        <f ca="1">IFERROR(__xludf.DUMMYFUNCTION("""COMPUTED_VALUE"""),"Yes")</f>
        <v>Yes</v>
      </c>
      <c r="T671" s="5" t="str">
        <f ca="1">IFERROR(__xludf.DUMMYFUNCTION("""COMPUTED_VALUE"""),"Yes")</f>
        <v>Yes</v>
      </c>
      <c r="U671" s="5" t="str">
        <f ca="1">IFERROR(__xludf.DUMMYFUNCTION("""COMPUTED_VALUE"""),"Yes")</f>
        <v>Yes</v>
      </c>
      <c r="V671" s="5" t="str">
        <f ca="1">IFERROR(__xludf.DUMMYFUNCTION("""COMPUTED_VALUE"""),"Yes")</f>
        <v>Yes</v>
      </c>
      <c r="W671" s="5" t="str">
        <f ca="1">IFERROR(__xludf.DUMMYFUNCTION("""COMPUTED_VALUE"""),"Yes")</f>
        <v>Yes</v>
      </c>
      <c r="X671" s="5" t="str">
        <f ca="1">IFERROR(__xludf.DUMMYFUNCTION("""COMPUTED_VALUE"""),"Yes")</f>
        <v>Yes</v>
      </c>
      <c r="Y671" s="5" t="str">
        <f ca="1">IFERROR(__xludf.DUMMYFUNCTION("""COMPUTED_VALUE"""),"Yes")</f>
        <v>Yes</v>
      </c>
      <c r="Z671" s="5" t="str">
        <f ca="1">IFERROR(__xludf.DUMMYFUNCTION("""COMPUTED_VALUE"""),"Yes")</f>
        <v>Yes</v>
      </c>
      <c r="AA671" s="5" t="str">
        <f ca="1">IFERROR(__xludf.DUMMYFUNCTION("""COMPUTED_VALUE"""),"Yes")</f>
        <v>Yes</v>
      </c>
      <c r="AB671" s="5" t="str">
        <f ca="1">IFERROR(__xludf.DUMMYFUNCTION("""COMPUTED_VALUE"""),"Yes")</f>
        <v>Yes</v>
      </c>
      <c r="AC671" s="5" t="str">
        <f ca="1">IFERROR(__xludf.DUMMYFUNCTION("""COMPUTED_VALUE"""),"Yes")</f>
        <v>Yes</v>
      </c>
      <c r="AD671" s="5" t="str">
        <f ca="1">IFERROR(__xludf.DUMMYFUNCTION("""COMPUTED_VALUE"""),"Yes")</f>
        <v>Yes</v>
      </c>
      <c r="AE671" s="5" t="str">
        <f ca="1">IFERROR(__xludf.DUMMYFUNCTION("""COMPUTED_VALUE"""),"Yes")</f>
        <v>Yes</v>
      </c>
      <c r="AF671" s="5" t="str">
        <f ca="1">IFERROR(__xludf.DUMMYFUNCTION("""COMPUTED_VALUE"""),"Yes")</f>
        <v>Yes</v>
      </c>
      <c r="AG671" s="5" t="str">
        <f ca="1">IFERROR(__xludf.DUMMYFUNCTION("""COMPUTED_VALUE"""),"Yes")</f>
        <v>Yes</v>
      </c>
      <c r="AH671" s="5" t="str">
        <f ca="1">IFERROR(__xludf.DUMMYFUNCTION("""COMPUTED_VALUE"""),"Yes")</f>
        <v>Yes</v>
      </c>
      <c r="AI671" s="5" t="str">
        <f ca="1">IFERROR(__xludf.DUMMYFUNCTION("""COMPUTED_VALUE"""),"Yes")</f>
        <v>Yes</v>
      </c>
      <c r="AJ671" s="5" t="str">
        <f ca="1">IFERROR(__xludf.DUMMYFUNCTION("""COMPUTED_VALUE"""),"Yes")</f>
        <v>Yes</v>
      </c>
      <c r="AK671" s="5" t="str">
        <f ca="1">IFERROR(__xludf.DUMMYFUNCTION("""COMPUTED_VALUE"""),"Yes")</f>
        <v>Yes</v>
      </c>
      <c r="AL671" s="5" t="str">
        <f ca="1">IFERROR(__xludf.DUMMYFUNCTION("""COMPUTED_VALUE"""),"No")</f>
        <v>No</v>
      </c>
      <c r="AM671" s="5"/>
      <c r="AN671" s="5"/>
      <c r="AO671" s="5"/>
      <c r="AP671" s="5"/>
      <c r="AQ671" s="5"/>
      <c r="AR671" s="5"/>
      <c r="AS671" s="5"/>
      <c r="AT671" s="5"/>
      <c r="AU671" s="5"/>
      <c r="AV671" s="5"/>
      <c r="AW671" s="5"/>
      <c r="AX671" s="5"/>
      <c r="AY671" s="5"/>
    </row>
    <row r="672" spans="1:51" x14ac:dyDescent="0.25">
      <c r="A6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2" s="5">
        <f ca="1">IFERROR(__xludf.DUMMYFUNCTION("""COMPUTED_VALUE"""),707)</f>
        <v>707</v>
      </c>
      <c r="C672" s="5">
        <f ca="1">IFERROR(__xludf.DUMMYFUNCTION("""COMPUTED_VALUE"""),3030)</f>
        <v>3030</v>
      </c>
      <c r="D672" s="5" t="str">
        <f ca="1">IFERROR(__xludf.DUMMYFUNCTION("""COMPUTED_VALUE"""),"CloversAndDiamonds20")</f>
        <v>CloversAndDiamonds20</v>
      </c>
      <c r="E672" s="5" t="str">
        <f ca="1">IFERROR(__xludf.DUMMYFUNCTION("""COMPUTED_VALUE"""),"Yes")</f>
        <v>Yes</v>
      </c>
      <c r="F672" s="5" t="str">
        <f ca="1">IFERROR(__xludf.DUMMYFUNCTION("""COMPUTED_VALUE"""),"Yes")</f>
        <v>Yes</v>
      </c>
      <c r="G672" s="5" t="str">
        <f ca="1">IFERROR(__xludf.DUMMYFUNCTION("""COMPUTED_VALUE"""),"Yes")</f>
        <v>Yes</v>
      </c>
      <c r="H672" s="5" t="str">
        <f ca="1">IFERROR(__xludf.DUMMYFUNCTION("""COMPUTED_VALUE"""),"Yes")</f>
        <v>Yes</v>
      </c>
      <c r="I672" s="5" t="str">
        <f ca="1">IFERROR(__xludf.DUMMYFUNCTION("""COMPUTED_VALUE"""),"Yes")</f>
        <v>Yes</v>
      </c>
      <c r="J672" s="5" t="str">
        <f ca="1">IFERROR(__xludf.DUMMYFUNCTION("""COMPUTED_VALUE"""),"Yes")</f>
        <v>Yes</v>
      </c>
      <c r="K672" s="5" t="str">
        <f ca="1">IFERROR(__xludf.DUMMYFUNCTION("""COMPUTED_VALUE"""),"Yes")</f>
        <v>Yes</v>
      </c>
      <c r="L672" s="5" t="str">
        <f ca="1">IFERROR(__xludf.DUMMYFUNCTION("""COMPUTED_VALUE"""),"Yes")</f>
        <v>Yes</v>
      </c>
      <c r="M672" s="5" t="str">
        <f ca="1">IFERROR(__xludf.DUMMYFUNCTION("""COMPUTED_VALUE"""),"Yes")</f>
        <v>Yes</v>
      </c>
      <c r="N672" s="5" t="str">
        <f ca="1">IFERROR(__xludf.DUMMYFUNCTION("""COMPUTED_VALUE"""),"Yes")</f>
        <v>Yes</v>
      </c>
      <c r="O672" s="5" t="str">
        <f ca="1">IFERROR(__xludf.DUMMYFUNCTION("""COMPUTED_VALUE"""),"Yes")</f>
        <v>Yes</v>
      </c>
      <c r="P672" s="5" t="str">
        <f ca="1">IFERROR(__xludf.DUMMYFUNCTION("""COMPUTED_VALUE"""),"Yes")</f>
        <v>Yes</v>
      </c>
      <c r="Q672" s="5" t="str">
        <f ca="1">IFERROR(__xludf.DUMMYFUNCTION("""COMPUTED_VALUE"""),"Yes")</f>
        <v>Yes</v>
      </c>
      <c r="R672" s="5" t="str">
        <f ca="1">IFERROR(__xludf.DUMMYFUNCTION("""COMPUTED_VALUE"""),"Yes")</f>
        <v>Yes</v>
      </c>
      <c r="S672" s="5" t="str">
        <f ca="1">IFERROR(__xludf.DUMMYFUNCTION("""COMPUTED_VALUE"""),"Yes")</f>
        <v>Yes</v>
      </c>
      <c r="T672" s="5" t="str">
        <f ca="1">IFERROR(__xludf.DUMMYFUNCTION("""COMPUTED_VALUE"""),"Yes")</f>
        <v>Yes</v>
      </c>
      <c r="U672" s="5" t="str">
        <f ca="1">IFERROR(__xludf.DUMMYFUNCTION("""COMPUTED_VALUE"""),"Yes")</f>
        <v>Yes</v>
      </c>
      <c r="V672" s="5" t="str">
        <f ca="1">IFERROR(__xludf.DUMMYFUNCTION("""COMPUTED_VALUE"""),"Yes")</f>
        <v>Yes</v>
      </c>
      <c r="W672" s="5" t="str">
        <f ca="1">IFERROR(__xludf.DUMMYFUNCTION("""COMPUTED_VALUE"""),"Yes")</f>
        <v>Yes</v>
      </c>
      <c r="X672" s="5" t="str">
        <f ca="1">IFERROR(__xludf.DUMMYFUNCTION("""COMPUTED_VALUE"""),"Yes")</f>
        <v>Yes</v>
      </c>
      <c r="Y672" s="5" t="str">
        <f ca="1">IFERROR(__xludf.DUMMYFUNCTION("""COMPUTED_VALUE"""),"Yes")</f>
        <v>Yes</v>
      </c>
      <c r="Z672" s="5" t="str">
        <f ca="1">IFERROR(__xludf.DUMMYFUNCTION("""COMPUTED_VALUE"""),"Yes")</f>
        <v>Yes</v>
      </c>
      <c r="AA672" s="5" t="str">
        <f ca="1">IFERROR(__xludf.DUMMYFUNCTION("""COMPUTED_VALUE"""),"Yes")</f>
        <v>Yes</v>
      </c>
      <c r="AB672" s="5" t="str">
        <f ca="1">IFERROR(__xludf.DUMMYFUNCTION("""COMPUTED_VALUE"""),"Yes")</f>
        <v>Yes</v>
      </c>
      <c r="AC672" s="5" t="str">
        <f ca="1">IFERROR(__xludf.DUMMYFUNCTION("""COMPUTED_VALUE"""),"Yes")</f>
        <v>Yes</v>
      </c>
      <c r="AD672" s="5" t="str">
        <f ca="1">IFERROR(__xludf.DUMMYFUNCTION("""COMPUTED_VALUE"""),"Yes")</f>
        <v>Yes</v>
      </c>
      <c r="AE672" s="5" t="str">
        <f ca="1">IFERROR(__xludf.DUMMYFUNCTION("""COMPUTED_VALUE"""),"Yes")</f>
        <v>Yes</v>
      </c>
      <c r="AF672" s="5" t="str">
        <f ca="1">IFERROR(__xludf.DUMMYFUNCTION("""COMPUTED_VALUE"""),"Yes")</f>
        <v>Yes</v>
      </c>
      <c r="AG672" s="5" t="str">
        <f ca="1">IFERROR(__xludf.DUMMYFUNCTION("""COMPUTED_VALUE"""),"Yes")</f>
        <v>Yes</v>
      </c>
      <c r="AH672" s="5" t="str">
        <f ca="1">IFERROR(__xludf.DUMMYFUNCTION("""COMPUTED_VALUE"""),"Yes")</f>
        <v>Yes</v>
      </c>
      <c r="AI672" s="5" t="str">
        <f ca="1">IFERROR(__xludf.DUMMYFUNCTION("""COMPUTED_VALUE"""),"No")</f>
        <v>No</v>
      </c>
      <c r="AJ672" s="5" t="str">
        <f ca="1">IFERROR(__xludf.DUMMYFUNCTION("""COMPUTED_VALUE"""),"No")</f>
        <v>No</v>
      </c>
      <c r="AK672" s="5" t="str">
        <f ca="1">IFERROR(__xludf.DUMMYFUNCTION("""COMPUTED_VALUE"""),"No")</f>
        <v>No</v>
      </c>
      <c r="AL672" s="5" t="str">
        <f ca="1">IFERROR(__xludf.DUMMYFUNCTION("""COMPUTED_VALUE"""),"No")</f>
        <v>No</v>
      </c>
      <c r="AM672" s="5"/>
      <c r="AN672" s="5"/>
      <c r="AO672" s="5"/>
      <c r="AP672" s="5"/>
      <c r="AQ672" s="5"/>
      <c r="AR672" s="5"/>
      <c r="AS672" s="5"/>
      <c r="AT672" s="5"/>
      <c r="AU672" s="5"/>
      <c r="AV672" s="5"/>
      <c r="AW672" s="5"/>
      <c r="AX672" s="5"/>
      <c r="AY672" s="5"/>
    </row>
    <row r="673" spans="1:51" x14ac:dyDescent="0.25">
      <c r="A6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3" s="5">
        <f ca="1">IFERROR(__xludf.DUMMYFUNCTION("""COMPUTED_VALUE"""),708)</f>
        <v>708</v>
      </c>
      <c r="C673" s="5">
        <f ca="1">IFERROR(__xludf.DUMMYFUNCTION("""COMPUTED_VALUE"""),3031)</f>
        <v>3031</v>
      </c>
      <c r="D673" s="5" t="str">
        <f ca="1">IFERROR(__xludf.DUMMYFUNCTION("""COMPUTED_VALUE"""),"CloversAndDiamonds40")</f>
        <v>CloversAndDiamonds40</v>
      </c>
      <c r="E673" s="5" t="str">
        <f ca="1">IFERROR(__xludf.DUMMYFUNCTION("""COMPUTED_VALUE"""),"Yes")</f>
        <v>Yes</v>
      </c>
      <c r="F673" s="5" t="str">
        <f ca="1">IFERROR(__xludf.DUMMYFUNCTION("""COMPUTED_VALUE"""),"Yes")</f>
        <v>Yes</v>
      </c>
      <c r="G673" s="5" t="str">
        <f ca="1">IFERROR(__xludf.DUMMYFUNCTION("""COMPUTED_VALUE"""),"Yes")</f>
        <v>Yes</v>
      </c>
      <c r="H673" s="5" t="str">
        <f ca="1">IFERROR(__xludf.DUMMYFUNCTION("""COMPUTED_VALUE"""),"Yes")</f>
        <v>Yes</v>
      </c>
      <c r="I673" s="5" t="str">
        <f ca="1">IFERROR(__xludf.DUMMYFUNCTION("""COMPUTED_VALUE"""),"Yes")</f>
        <v>Yes</v>
      </c>
      <c r="J673" s="5" t="str">
        <f ca="1">IFERROR(__xludf.DUMMYFUNCTION("""COMPUTED_VALUE"""),"Yes")</f>
        <v>Yes</v>
      </c>
      <c r="K673" s="5" t="str">
        <f ca="1">IFERROR(__xludf.DUMMYFUNCTION("""COMPUTED_VALUE"""),"Yes")</f>
        <v>Yes</v>
      </c>
      <c r="L673" s="5" t="str">
        <f ca="1">IFERROR(__xludf.DUMMYFUNCTION("""COMPUTED_VALUE"""),"Yes")</f>
        <v>Yes</v>
      </c>
      <c r="M673" s="5" t="str">
        <f ca="1">IFERROR(__xludf.DUMMYFUNCTION("""COMPUTED_VALUE"""),"Yes")</f>
        <v>Yes</v>
      </c>
      <c r="N673" s="5" t="str">
        <f ca="1">IFERROR(__xludf.DUMMYFUNCTION("""COMPUTED_VALUE"""),"Yes")</f>
        <v>Yes</v>
      </c>
      <c r="O673" s="5" t="str">
        <f ca="1">IFERROR(__xludf.DUMMYFUNCTION("""COMPUTED_VALUE"""),"Yes")</f>
        <v>Yes</v>
      </c>
      <c r="P673" s="5" t="str">
        <f ca="1">IFERROR(__xludf.DUMMYFUNCTION("""COMPUTED_VALUE"""),"Yes")</f>
        <v>Yes</v>
      </c>
      <c r="Q673" s="5" t="str">
        <f ca="1">IFERROR(__xludf.DUMMYFUNCTION("""COMPUTED_VALUE"""),"Yes")</f>
        <v>Yes</v>
      </c>
      <c r="R673" s="5" t="str">
        <f ca="1">IFERROR(__xludf.DUMMYFUNCTION("""COMPUTED_VALUE"""),"Yes")</f>
        <v>Yes</v>
      </c>
      <c r="S673" s="5" t="str">
        <f ca="1">IFERROR(__xludf.DUMMYFUNCTION("""COMPUTED_VALUE"""),"Yes")</f>
        <v>Yes</v>
      </c>
      <c r="T673" s="5" t="str">
        <f ca="1">IFERROR(__xludf.DUMMYFUNCTION("""COMPUTED_VALUE"""),"Yes")</f>
        <v>Yes</v>
      </c>
      <c r="U673" s="5" t="str">
        <f ca="1">IFERROR(__xludf.DUMMYFUNCTION("""COMPUTED_VALUE"""),"Yes")</f>
        <v>Yes</v>
      </c>
      <c r="V673" s="5" t="str">
        <f ca="1">IFERROR(__xludf.DUMMYFUNCTION("""COMPUTED_VALUE"""),"Yes")</f>
        <v>Yes</v>
      </c>
      <c r="W673" s="5" t="str">
        <f ca="1">IFERROR(__xludf.DUMMYFUNCTION("""COMPUTED_VALUE"""),"Yes")</f>
        <v>Yes</v>
      </c>
      <c r="X673" s="5" t="str">
        <f ca="1">IFERROR(__xludf.DUMMYFUNCTION("""COMPUTED_VALUE"""),"Yes")</f>
        <v>Yes</v>
      </c>
      <c r="Y673" s="5" t="str">
        <f ca="1">IFERROR(__xludf.DUMMYFUNCTION("""COMPUTED_VALUE"""),"Yes")</f>
        <v>Yes</v>
      </c>
      <c r="Z673" s="5" t="str">
        <f ca="1">IFERROR(__xludf.DUMMYFUNCTION("""COMPUTED_VALUE"""),"Yes")</f>
        <v>Yes</v>
      </c>
      <c r="AA673" s="5" t="str">
        <f ca="1">IFERROR(__xludf.DUMMYFUNCTION("""COMPUTED_VALUE"""),"Yes")</f>
        <v>Yes</v>
      </c>
      <c r="AB673" s="5" t="str">
        <f ca="1">IFERROR(__xludf.DUMMYFUNCTION("""COMPUTED_VALUE"""),"Yes")</f>
        <v>Yes</v>
      </c>
      <c r="AC673" s="5" t="str">
        <f ca="1">IFERROR(__xludf.DUMMYFUNCTION("""COMPUTED_VALUE"""),"Yes")</f>
        <v>Yes</v>
      </c>
      <c r="AD673" s="5" t="str">
        <f ca="1">IFERROR(__xludf.DUMMYFUNCTION("""COMPUTED_VALUE"""),"Yes")</f>
        <v>Yes</v>
      </c>
      <c r="AE673" s="5" t="str">
        <f ca="1">IFERROR(__xludf.DUMMYFUNCTION("""COMPUTED_VALUE"""),"Yes")</f>
        <v>Yes</v>
      </c>
      <c r="AF673" s="5" t="str">
        <f ca="1">IFERROR(__xludf.DUMMYFUNCTION("""COMPUTED_VALUE"""),"Yes")</f>
        <v>Yes</v>
      </c>
      <c r="AG673" s="5" t="str">
        <f ca="1">IFERROR(__xludf.DUMMYFUNCTION("""COMPUTED_VALUE"""),"Yes")</f>
        <v>Yes</v>
      </c>
      <c r="AH673" s="5" t="str">
        <f ca="1">IFERROR(__xludf.DUMMYFUNCTION("""COMPUTED_VALUE"""),"Yes")</f>
        <v>Yes</v>
      </c>
      <c r="AI673" s="5" t="str">
        <f ca="1">IFERROR(__xludf.DUMMYFUNCTION("""COMPUTED_VALUE"""),"No")</f>
        <v>No</v>
      </c>
      <c r="AJ673" s="5" t="str">
        <f ca="1">IFERROR(__xludf.DUMMYFUNCTION("""COMPUTED_VALUE"""),"No")</f>
        <v>No</v>
      </c>
      <c r="AK673" s="5" t="str">
        <f ca="1">IFERROR(__xludf.DUMMYFUNCTION("""COMPUTED_VALUE"""),"No")</f>
        <v>No</v>
      </c>
      <c r="AL673" s="5" t="str">
        <f ca="1">IFERROR(__xludf.DUMMYFUNCTION("""COMPUTED_VALUE"""),"No")</f>
        <v>No</v>
      </c>
      <c r="AM673" s="5"/>
      <c r="AN673" s="5"/>
      <c r="AO673" s="5"/>
      <c r="AP673" s="5"/>
      <c r="AQ673" s="5"/>
      <c r="AR673" s="5"/>
      <c r="AS673" s="5"/>
      <c r="AT673" s="5"/>
      <c r="AU673" s="5"/>
      <c r="AV673" s="5"/>
      <c r="AW673" s="5"/>
      <c r="AX673" s="5"/>
      <c r="AY673" s="5"/>
    </row>
    <row r="674" spans="1:51" x14ac:dyDescent="0.25">
      <c r="A6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4" s="5">
        <f ca="1">IFERROR(__xludf.DUMMYFUNCTION("""COMPUTED_VALUE"""),709)</f>
        <v>709</v>
      </c>
      <c r="C674" s="5">
        <f ca="1">IFERROR(__xludf.DUMMYFUNCTION("""COMPUTED_VALUE"""),5002)</f>
        <v>5002</v>
      </c>
      <c r="D674" s="5" t="str">
        <f ca="1">IFERROR(__xludf.DUMMYFUNCTION("""COMPUTED_VALUE"""),"RoyalgardenKing")</f>
        <v>RoyalgardenKing</v>
      </c>
      <c r="E674" s="5" t="str">
        <f ca="1">IFERROR(__xludf.DUMMYFUNCTION("""COMPUTED_VALUE"""),"Yes")</f>
        <v>Yes</v>
      </c>
      <c r="F674" s="5" t="str">
        <f ca="1">IFERROR(__xludf.DUMMYFUNCTION("""COMPUTED_VALUE"""),"Yes")</f>
        <v>Yes</v>
      </c>
      <c r="G674" s="5" t="str">
        <f ca="1">IFERROR(__xludf.DUMMYFUNCTION("""COMPUTED_VALUE"""),"Yes")</f>
        <v>Yes</v>
      </c>
      <c r="H674" s="5" t="str">
        <f ca="1">IFERROR(__xludf.DUMMYFUNCTION("""COMPUTED_VALUE"""),"Yes")</f>
        <v>Yes</v>
      </c>
      <c r="I674" s="5" t="str">
        <f ca="1">IFERROR(__xludf.DUMMYFUNCTION("""COMPUTED_VALUE"""),"Yes")</f>
        <v>Yes</v>
      </c>
      <c r="J674" s="5" t="str">
        <f ca="1">IFERROR(__xludf.DUMMYFUNCTION("""COMPUTED_VALUE"""),"Yes")</f>
        <v>Yes</v>
      </c>
      <c r="K674" s="5" t="str">
        <f ca="1">IFERROR(__xludf.DUMMYFUNCTION("""COMPUTED_VALUE"""),"Yes")</f>
        <v>Yes</v>
      </c>
      <c r="L674" s="5" t="str">
        <f ca="1">IFERROR(__xludf.DUMMYFUNCTION("""COMPUTED_VALUE"""),"Yes")</f>
        <v>Yes</v>
      </c>
      <c r="M674" s="5" t="str">
        <f ca="1">IFERROR(__xludf.DUMMYFUNCTION("""COMPUTED_VALUE"""),"Yes")</f>
        <v>Yes</v>
      </c>
      <c r="N674" s="5" t="str">
        <f ca="1">IFERROR(__xludf.DUMMYFUNCTION("""COMPUTED_VALUE"""),"Yes")</f>
        <v>Yes</v>
      </c>
      <c r="O674" s="5" t="str">
        <f ca="1">IFERROR(__xludf.DUMMYFUNCTION("""COMPUTED_VALUE"""),"Yes")</f>
        <v>Yes</v>
      </c>
      <c r="P674" s="5" t="str">
        <f ca="1">IFERROR(__xludf.DUMMYFUNCTION("""COMPUTED_VALUE"""),"Yes")</f>
        <v>Yes</v>
      </c>
      <c r="Q674" s="5" t="str">
        <f ca="1">IFERROR(__xludf.DUMMYFUNCTION("""COMPUTED_VALUE"""),"Yes")</f>
        <v>Yes</v>
      </c>
      <c r="R674" s="5" t="str">
        <f ca="1">IFERROR(__xludf.DUMMYFUNCTION("""COMPUTED_VALUE"""),"Yes")</f>
        <v>Yes</v>
      </c>
      <c r="S674" s="5" t="str">
        <f ca="1">IFERROR(__xludf.DUMMYFUNCTION("""COMPUTED_VALUE"""),"Yes")</f>
        <v>Yes</v>
      </c>
      <c r="T674" s="5" t="str">
        <f ca="1">IFERROR(__xludf.DUMMYFUNCTION("""COMPUTED_VALUE"""),"Yes")</f>
        <v>Yes</v>
      </c>
      <c r="U674" s="5" t="str">
        <f ca="1">IFERROR(__xludf.DUMMYFUNCTION("""COMPUTED_VALUE"""),"Yes")</f>
        <v>Yes</v>
      </c>
      <c r="V674" s="5" t="str">
        <f ca="1">IFERROR(__xludf.DUMMYFUNCTION("""COMPUTED_VALUE"""),"Yes")</f>
        <v>Yes</v>
      </c>
      <c r="W674" s="5" t="str">
        <f ca="1">IFERROR(__xludf.DUMMYFUNCTION("""COMPUTED_VALUE"""),"Yes")</f>
        <v>Yes</v>
      </c>
      <c r="X674" s="5" t="str">
        <f ca="1">IFERROR(__xludf.DUMMYFUNCTION("""COMPUTED_VALUE"""),"Yes")</f>
        <v>Yes</v>
      </c>
      <c r="Y674" s="5" t="str">
        <f ca="1">IFERROR(__xludf.DUMMYFUNCTION("""COMPUTED_VALUE"""),"Yes")</f>
        <v>Yes</v>
      </c>
      <c r="Z674" s="5" t="str">
        <f ca="1">IFERROR(__xludf.DUMMYFUNCTION("""COMPUTED_VALUE"""),"Yes")</f>
        <v>Yes</v>
      </c>
      <c r="AA674" s="5" t="str">
        <f ca="1">IFERROR(__xludf.DUMMYFUNCTION("""COMPUTED_VALUE"""),"Yes")</f>
        <v>Yes</v>
      </c>
      <c r="AB674" s="5" t="str">
        <f ca="1">IFERROR(__xludf.DUMMYFUNCTION("""COMPUTED_VALUE"""),"Yes")</f>
        <v>Yes</v>
      </c>
      <c r="AC674" s="5" t="str">
        <f ca="1">IFERROR(__xludf.DUMMYFUNCTION("""COMPUTED_VALUE"""),"Yes")</f>
        <v>Yes</v>
      </c>
      <c r="AD674" s="5" t="str">
        <f ca="1">IFERROR(__xludf.DUMMYFUNCTION("""COMPUTED_VALUE"""),"Yes")</f>
        <v>Yes</v>
      </c>
      <c r="AE674" s="5" t="str">
        <f ca="1">IFERROR(__xludf.DUMMYFUNCTION("""COMPUTED_VALUE"""),"Yes")</f>
        <v>Yes</v>
      </c>
      <c r="AF674" s="5" t="str">
        <f ca="1">IFERROR(__xludf.DUMMYFUNCTION("""COMPUTED_VALUE"""),"Yes")</f>
        <v>Yes</v>
      </c>
      <c r="AG674" s="5" t="str">
        <f ca="1">IFERROR(__xludf.DUMMYFUNCTION("""COMPUTED_VALUE"""),"Yes")</f>
        <v>Yes</v>
      </c>
      <c r="AH674" s="5" t="str">
        <f ca="1">IFERROR(__xludf.DUMMYFUNCTION("""COMPUTED_VALUE"""),"Yes")</f>
        <v>Yes</v>
      </c>
      <c r="AI674" s="5" t="str">
        <f ca="1">IFERROR(__xludf.DUMMYFUNCTION("""COMPUTED_VALUE"""),"No")</f>
        <v>No</v>
      </c>
      <c r="AJ674" s="5" t="str">
        <f ca="1">IFERROR(__xludf.DUMMYFUNCTION("""COMPUTED_VALUE"""),"No")</f>
        <v>No</v>
      </c>
      <c r="AK674" s="5" t="str">
        <f ca="1">IFERROR(__xludf.DUMMYFUNCTION("""COMPUTED_VALUE"""),"No")</f>
        <v>No</v>
      </c>
      <c r="AL674" s="5" t="str">
        <f ca="1">IFERROR(__xludf.DUMMYFUNCTION("""COMPUTED_VALUE"""),"No")</f>
        <v>No</v>
      </c>
      <c r="AM674" s="5"/>
      <c r="AN674" s="5"/>
      <c r="AO674" s="5"/>
      <c r="AP674" s="5"/>
      <c r="AQ674" s="5"/>
      <c r="AR674" s="5"/>
      <c r="AS674" s="5"/>
      <c r="AT674" s="5"/>
      <c r="AU674" s="5"/>
      <c r="AV674" s="5"/>
      <c r="AW674" s="5"/>
      <c r="AX674" s="5"/>
      <c r="AY674" s="5"/>
    </row>
    <row r="675" spans="1:51" x14ac:dyDescent="0.25">
      <c r="A6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5" s="5">
        <f ca="1">IFERROR(__xludf.DUMMYFUNCTION("""COMPUTED_VALUE"""),710)</f>
        <v>710</v>
      </c>
      <c r="C675" s="5">
        <f ca="1">IFERROR(__xludf.DUMMYFUNCTION("""COMPUTED_VALUE"""),5004)</f>
        <v>5004</v>
      </c>
      <c r="D675" s="5" t="str">
        <f ca="1">IFERROR(__xludf.DUMMYFUNCTION("""COMPUTED_VALUE"""),"RoyalgardenQueen")</f>
        <v>RoyalgardenQueen</v>
      </c>
      <c r="E675" s="5" t="str">
        <f ca="1">IFERROR(__xludf.DUMMYFUNCTION("""COMPUTED_VALUE"""),"Yes")</f>
        <v>Yes</v>
      </c>
      <c r="F675" s="5" t="str">
        <f ca="1">IFERROR(__xludf.DUMMYFUNCTION("""COMPUTED_VALUE"""),"Yes")</f>
        <v>Yes</v>
      </c>
      <c r="G675" s="5" t="str">
        <f ca="1">IFERROR(__xludf.DUMMYFUNCTION("""COMPUTED_VALUE"""),"Yes")</f>
        <v>Yes</v>
      </c>
      <c r="H675" s="5" t="str">
        <f ca="1">IFERROR(__xludf.DUMMYFUNCTION("""COMPUTED_VALUE"""),"Yes")</f>
        <v>Yes</v>
      </c>
      <c r="I675" s="5" t="str">
        <f ca="1">IFERROR(__xludf.DUMMYFUNCTION("""COMPUTED_VALUE"""),"Yes")</f>
        <v>Yes</v>
      </c>
      <c r="J675" s="5" t="str">
        <f ca="1">IFERROR(__xludf.DUMMYFUNCTION("""COMPUTED_VALUE"""),"Yes")</f>
        <v>Yes</v>
      </c>
      <c r="K675" s="5" t="str">
        <f ca="1">IFERROR(__xludf.DUMMYFUNCTION("""COMPUTED_VALUE"""),"Yes")</f>
        <v>Yes</v>
      </c>
      <c r="L675" s="5" t="str">
        <f ca="1">IFERROR(__xludf.DUMMYFUNCTION("""COMPUTED_VALUE"""),"Yes")</f>
        <v>Yes</v>
      </c>
      <c r="M675" s="5" t="str">
        <f ca="1">IFERROR(__xludf.DUMMYFUNCTION("""COMPUTED_VALUE"""),"Yes")</f>
        <v>Yes</v>
      </c>
      <c r="N675" s="5" t="str">
        <f ca="1">IFERROR(__xludf.DUMMYFUNCTION("""COMPUTED_VALUE"""),"Yes")</f>
        <v>Yes</v>
      </c>
      <c r="O675" s="5" t="str">
        <f ca="1">IFERROR(__xludf.DUMMYFUNCTION("""COMPUTED_VALUE"""),"Yes")</f>
        <v>Yes</v>
      </c>
      <c r="P675" s="5" t="str">
        <f ca="1">IFERROR(__xludf.DUMMYFUNCTION("""COMPUTED_VALUE"""),"Yes")</f>
        <v>Yes</v>
      </c>
      <c r="Q675" s="5" t="str">
        <f ca="1">IFERROR(__xludf.DUMMYFUNCTION("""COMPUTED_VALUE"""),"Yes")</f>
        <v>Yes</v>
      </c>
      <c r="R675" s="5" t="str">
        <f ca="1">IFERROR(__xludf.DUMMYFUNCTION("""COMPUTED_VALUE"""),"Yes")</f>
        <v>Yes</v>
      </c>
      <c r="S675" s="5" t="str">
        <f ca="1">IFERROR(__xludf.DUMMYFUNCTION("""COMPUTED_VALUE"""),"Yes")</f>
        <v>Yes</v>
      </c>
      <c r="T675" s="5" t="str">
        <f ca="1">IFERROR(__xludf.DUMMYFUNCTION("""COMPUTED_VALUE"""),"Yes")</f>
        <v>Yes</v>
      </c>
      <c r="U675" s="5" t="str">
        <f ca="1">IFERROR(__xludf.DUMMYFUNCTION("""COMPUTED_VALUE"""),"Yes")</f>
        <v>Yes</v>
      </c>
      <c r="V675" s="5" t="str">
        <f ca="1">IFERROR(__xludf.DUMMYFUNCTION("""COMPUTED_VALUE"""),"Yes")</f>
        <v>Yes</v>
      </c>
      <c r="W675" s="5" t="str">
        <f ca="1">IFERROR(__xludf.DUMMYFUNCTION("""COMPUTED_VALUE"""),"Yes")</f>
        <v>Yes</v>
      </c>
      <c r="X675" s="5" t="str">
        <f ca="1">IFERROR(__xludf.DUMMYFUNCTION("""COMPUTED_VALUE"""),"Yes")</f>
        <v>Yes</v>
      </c>
      <c r="Y675" s="5" t="str">
        <f ca="1">IFERROR(__xludf.DUMMYFUNCTION("""COMPUTED_VALUE"""),"Yes")</f>
        <v>Yes</v>
      </c>
      <c r="Z675" s="5" t="str">
        <f ca="1">IFERROR(__xludf.DUMMYFUNCTION("""COMPUTED_VALUE"""),"Yes")</f>
        <v>Yes</v>
      </c>
      <c r="AA675" s="5" t="str">
        <f ca="1">IFERROR(__xludf.DUMMYFUNCTION("""COMPUTED_VALUE"""),"Yes")</f>
        <v>Yes</v>
      </c>
      <c r="AB675" s="5" t="str">
        <f ca="1">IFERROR(__xludf.DUMMYFUNCTION("""COMPUTED_VALUE"""),"Yes")</f>
        <v>Yes</v>
      </c>
      <c r="AC675" s="5" t="str">
        <f ca="1">IFERROR(__xludf.DUMMYFUNCTION("""COMPUTED_VALUE"""),"Yes")</f>
        <v>Yes</v>
      </c>
      <c r="AD675" s="5" t="str">
        <f ca="1">IFERROR(__xludf.DUMMYFUNCTION("""COMPUTED_VALUE"""),"Yes")</f>
        <v>Yes</v>
      </c>
      <c r="AE675" s="5" t="str">
        <f ca="1">IFERROR(__xludf.DUMMYFUNCTION("""COMPUTED_VALUE"""),"Yes")</f>
        <v>Yes</v>
      </c>
      <c r="AF675" s="5" t="str">
        <f ca="1">IFERROR(__xludf.DUMMYFUNCTION("""COMPUTED_VALUE"""),"Yes")</f>
        <v>Yes</v>
      </c>
      <c r="AG675" s="5" t="str">
        <f ca="1">IFERROR(__xludf.DUMMYFUNCTION("""COMPUTED_VALUE"""),"Yes")</f>
        <v>Yes</v>
      </c>
      <c r="AH675" s="5" t="str">
        <f ca="1">IFERROR(__xludf.DUMMYFUNCTION("""COMPUTED_VALUE"""),"Yes")</f>
        <v>Yes</v>
      </c>
      <c r="AI675" s="5" t="str">
        <f ca="1">IFERROR(__xludf.DUMMYFUNCTION("""COMPUTED_VALUE"""),"Yes")</f>
        <v>Yes</v>
      </c>
      <c r="AJ675" s="5" t="str">
        <f ca="1">IFERROR(__xludf.DUMMYFUNCTION("""COMPUTED_VALUE"""),"Yes")</f>
        <v>Yes</v>
      </c>
      <c r="AK675" s="5" t="str">
        <f ca="1">IFERROR(__xludf.DUMMYFUNCTION("""COMPUTED_VALUE"""),"Yes")</f>
        <v>Yes</v>
      </c>
      <c r="AL675" s="5" t="str">
        <f ca="1">IFERROR(__xludf.DUMMYFUNCTION("""COMPUTED_VALUE"""),"No")</f>
        <v>No</v>
      </c>
      <c r="AM675" s="5"/>
      <c r="AN675" s="5"/>
      <c r="AO675" s="5"/>
      <c r="AP675" s="5"/>
      <c r="AQ675" s="5"/>
      <c r="AR675" s="5"/>
      <c r="AS675" s="5"/>
      <c r="AT675" s="5"/>
      <c r="AU675" s="5"/>
      <c r="AV675" s="5"/>
      <c r="AW675" s="5"/>
      <c r="AX675" s="5"/>
      <c r="AY675" s="5"/>
    </row>
    <row r="676" spans="1:51" x14ac:dyDescent="0.25">
      <c r="A6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6" s="5">
        <f ca="1">IFERROR(__xludf.DUMMYFUNCTION("""COMPUTED_VALUE"""),711)</f>
        <v>711</v>
      </c>
      <c r="C676" s="5">
        <f ca="1">IFERROR(__xludf.DUMMYFUNCTION("""COMPUTED_VALUE"""),4036)</f>
        <v>4036</v>
      </c>
      <c r="D676" s="5" t="str">
        <f ca="1">IFERROR(__xludf.DUMMYFUNCTION("""COMPUTED_VALUE"""),"WildHotJacks40")</f>
        <v>WildHotJacks40</v>
      </c>
      <c r="E676" s="5" t="str">
        <f ca="1">IFERROR(__xludf.DUMMYFUNCTION("""COMPUTED_VALUE"""),"Yes")</f>
        <v>Yes</v>
      </c>
      <c r="F676" s="5" t="str">
        <f ca="1">IFERROR(__xludf.DUMMYFUNCTION("""COMPUTED_VALUE"""),"Yes")</f>
        <v>Yes</v>
      </c>
      <c r="G676" s="5" t="str">
        <f ca="1">IFERROR(__xludf.DUMMYFUNCTION("""COMPUTED_VALUE"""),"Yes")</f>
        <v>Yes</v>
      </c>
      <c r="H676" s="5" t="str">
        <f ca="1">IFERROR(__xludf.DUMMYFUNCTION("""COMPUTED_VALUE"""),"Yes")</f>
        <v>Yes</v>
      </c>
      <c r="I676" s="5" t="str">
        <f ca="1">IFERROR(__xludf.DUMMYFUNCTION("""COMPUTED_VALUE"""),"Yes")</f>
        <v>Yes</v>
      </c>
      <c r="J676" s="5" t="str">
        <f ca="1">IFERROR(__xludf.DUMMYFUNCTION("""COMPUTED_VALUE"""),"Yes")</f>
        <v>Yes</v>
      </c>
      <c r="K676" s="5" t="str">
        <f ca="1">IFERROR(__xludf.DUMMYFUNCTION("""COMPUTED_VALUE"""),"Yes")</f>
        <v>Yes</v>
      </c>
      <c r="L676" s="5" t="str">
        <f ca="1">IFERROR(__xludf.DUMMYFUNCTION("""COMPUTED_VALUE"""),"Yes")</f>
        <v>Yes</v>
      </c>
      <c r="M676" s="5" t="str">
        <f ca="1">IFERROR(__xludf.DUMMYFUNCTION("""COMPUTED_VALUE"""),"Yes")</f>
        <v>Yes</v>
      </c>
      <c r="N676" s="5" t="str">
        <f ca="1">IFERROR(__xludf.DUMMYFUNCTION("""COMPUTED_VALUE"""),"Yes")</f>
        <v>Yes</v>
      </c>
      <c r="O676" s="5" t="str">
        <f ca="1">IFERROR(__xludf.DUMMYFUNCTION("""COMPUTED_VALUE"""),"Yes")</f>
        <v>Yes</v>
      </c>
      <c r="P676" s="5" t="str">
        <f ca="1">IFERROR(__xludf.DUMMYFUNCTION("""COMPUTED_VALUE"""),"Yes")</f>
        <v>Yes</v>
      </c>
      <c r="Q676" s="5" t="str">
        <f ca="1">IFERROR(__xludf.DUMMYFUNCTION("""COMPUTED_VALUE"""),"Yes")</f>
        <v>Yes</v>
      </c>
      <c r="R676" s="5" t="str">
        <f ca="1">IFERROR(__xludf.DUMMYFUNCTION("""COMPUTED_VALUE"""),"Yes")</f>
        <v>Yes</v>
      </c>
      <c r="S676" s="5" t="str">
        <f ca="1">IFERROR(__xludf.DUMMYFUNCTION("""COMPUTED_VALUE"""),"Yes")</f>
        <v>Yes</v>
      </c>
      <c r="T676" s="5" t="str">
        <f ca="1">IFERROR(__xludf.DUMMYFUNCTION("""COMPUTED_VALUE"""),"Yes")</f>
        <v>Yes</v>
      </c>
      <c r="U676" s="5" t="str">
        <f ca="1">IFERROR(__xludf.DUMMYFUNCTION("""COMPUTED_VALUE"""),"Yes")</f>
        <v>Yes</v>
      </c>
      <c r="V676" s="5" t="str">
        <f ca="1">IFERROR(__xludf.DUMMYFUNCTION("""COMPUTED_VALUE"""),"Yes")</f>
        <v>Yes</v>
      </c>
      <c r="W676" s="5" t="str">
        <f ca="1">IFERROR(__xludf.DUMMYFUNCTION("""COMPUTED_VALUE"""),"Yes")</f>
        <v>Yes</v>
      </c>
      <c r="X676" s="5" t="str">
        <f ca="1">IFERROR(__xludf.DUMMYFUNCTION("""COMPUTED_VALUE"""),"Yes")</f>
        <v>Yes</v>
      </c>
      <c r="Y676" s="5" t="str">
        <f ca="1">IFERROR(__xludf.DUMMYFUNCTION("""COMPUTED_VALUE"""),"Yes")</f>
        <v>Yes</v>
      </c>
      <c r="Z676" s="5" t="str">
        <f ca="1">IFERROR(__xludf.DUMMYFUNCTION("""COMPUTED_VALUE"""),"No")</f>
        <v>No</v>
      </c>
      <c r="AA676" s="5" t="str">
        <f ca="1">IFERROR(__xludf.DUMMYFUNCTION("""COMPUTED_VALUE"""),"Yes")</f>
        <v>Yes</v>
      </c>
      <c r="AB676" s="5" t="str">
        <f ca="1">IFERROR(__xludf.DUMMYFUNCTION("""COMPUTED_VALUE"""),"Yes")</f>
        <v>Yes</v>
      </c>
      <c r="AC676" s="5" t="str">
        <f ca="1">IFERROR(__xludf.DUMMYFUNCTION("""COMPUTED_VALUE"""),"Yes")</f>
        <v>Yes</v>
      </c>
      <c r="AD676" s="5" t="str">
        <f ca="1">IFERROR(__xludf.DUMMYFUNCTION("""COMPUTED_VALUE"""),"Yes")</f>
        <v>Yes</v>
      </c>
      <c r="AE676" s="5" t="str">
        <f ca="1">IFERROR(__xludf.DUMMYFUNCTION("""COMPUTED_VALUE"""),"No")</f>
        <v>No</v>
      </c>
      <c r="AF676" s="5" t="str">
        <f ca="1">IFERROR(__xludf.DUMMYFUNCTION("""COMPUTED_VALUE"""),"Yes")</f>
        <v>Yes</v>
      </c>
      <c r="AG676" s="5" t="str">
        <f ca="1">IFERROR(__xludf.DUMMYFUNCTION("""COMPUTED_VALUE"""),"No")</f>
        <v>No</v>
      </c>
      <c r="AH676" s="5" t="str">
        <f ca="1">IFERROR(__xludf.DUMMYFUNCTION("""COMPUTED_VALUE"""),"No")</f>
        <v>No</v>
      </c>
      <c r="AI676" s="5" t="str">
        <f ca="1">IFERROR(__xludf.DUMMYFUNCTION("""COMPUTED_VALUE"""),"No")</f>
        <v>No</v>
      </c>
      <c r="AJ676" s="5" t="str">
        <f ca="1">IFERROR(__xludf.DUMMYFUNCTION("""COMPUTED_VALUE"""),"No")</f>
        <v>No</v>
      </c>
      <c r="AK676" s="5" t="str">
        <f ca="1">IFERROR(__xludf.DUMMYFUNCTION("""COMPUTED_VALUE"""),"No")</f>
        <v>No</v>
      </c>
      <c r="AL676" s="5" t="str">
        <f ca="1">IFERROR(__xludf.DUMMYFUNCTION("""COMPUTED_VALUE"""),"No")</f>
        <v>No</v>
      </c>
      <c r="AM676" s="5"/>
      <c r="AN676" s="5"/>
      <c r="AO676" s="5"/>
      <c r="AP676" s="5"/>
      <c r="AQ676" s="5"/>
      <c r="AR676" s="5"/>
      <c r="AS676" s="5"/>
      <c r="AT676" s="5"/>
      <c r="AU676" s="5"/>
      <c r="AV676" s="5"/>
      <c r="AW676" s="5"/>
      <c r="AX676" s="5"/>
      <c r="AY676" s="5"/>
    </row>
    <row r="677" spans="1:51" x14ac:dyDescent="0.25">
      <c r="A6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7" s="5">
        <f ca="1">IFERROR(__xludf.DUMMYFUNCTION("""COMPUTED_VALUE"""),712)</f>
        <v>712</v>
      </c>
      <c r="C677" s="5">
        <f ca="1">IFERROR(__xludf.DUMMYFUNCTION("""COMPUTED_VALUE"""),4037)</f>
        <v>4037</v>
      </c>
      <c r="D677" s="5" t="str">
        <f ca="1">IFERROR(__xludf.DUMMYFUNCTION("""COMPUTED_VALUE"""),"GrandpashabetClover40")</f>
        <v>GrandpashabetClover40</v>
      </c>
      <c r="E677" s="5" t="str">
        <f ca="1">IFERROR(__xludf.DUMMYFUNCTION("""COMPUTED_VALUE"""),"Yes")</f>
        <v>Yes</v>
      </c>
      <c r="F677" s="5" t="str">
        <f ca="1">IFERROR(__xludf.DUMMYFUNCTION("""COMPUTED_VALUE"""),"Yes")</f>
        <v>Yes</v>
      </c>
      <c r="G677" s="5" t="str">
        <f ca="1">IFERROR(__xludf.DUMMYFUNCTION("""COMPUTED_VALUE"""),"Yes")</f>
        <v>Yes</v>
      </c>
      <c r="H677" s="5" t="str">
        <f ca="1">IFERROR(__xludf.DUMMYFUNCTION("""COMPUTED_VALUE"""),"Yes")</f>
        <v>Yes</v>
      </c>
      <c r="I677" s="5" t="str">
        <f ca="1">IFERROR(__xludf.DUMMYFUNCTION("""COMPUTED_VALUE"""),"Yes")</f>
        <v>Yes</v>
      </c>
      <c r="J677" s="5" t="str">
        <f ca="1">IFERROR(__xludf.DUMMYFUNCTION("""COMPUTED_VALUE"""),"Yes")</f>
        <v>Yes</v>
      </c>
      <c r="K677" s="5" t="str">
        <f ca="1">IFERROR(__xludf.DUMMYFUNCTION("""COMPUTED_VALUE"""),"Yes")</f>
        <v>Yes</v>
      </c>
      <c r="L677" s="5" t="str">
        <f ca="1">IFERROR(__xludf.DUMMYFUNCTION("""COMPUTED_VALUE"""),"Yes")</f>
        <v>Yes</v>
      </c>
      <c r="M677" s="5" t="str">
        <f ca="1">IFERROR(__xludf.DUMMYFUNCTION("""COMPUTED_VALUE"""),"Yes")</f>
        <v>Yes</v>
      </c>
      <c r="N677" s="5" t="str">
        <f ca="1">IFERROR(__xludf.DUMMYFUNCTION("""COMPUTED_VALUE"""),"Yes")</f>
        <v>Yes</v>
      </c>
      <c r="O677" s="5" t="str">
        <f ca="1">IFERROR(__xludf.DUMMYFUNCTION("""COMPUTED_VALUE"""),"Yes")</f>
        <v>Yes</v>
      </c>
      <c r="P677" s="5" t="str">
        <f ca="1">IFERROR(__xludf.DUMMYFUNCTION("""COMPUTED_VALUE"""),"Yes")</f>
        <v>Yes</v>
      </c>
      <c r="Q677" s="5" t="str">
        <f ca="1">IFERROR(__xludf.DUMMYFUNCTION("""COMPUTED_VALUE"""),"Yes")</f>
        <v>Yes</v>
      </c>
      <c r="R677" s="5" t="str">
        <f ca="1">IFERROR(__xludf.DUMMYFUNCTION("""COMPUTED_VALUE"""),"Yes")</f>
        <v>Yes</v>
      </c>
      <c r="S677" s="5" t="str">
        <f ca="1">IFERROR(__xludf.DUMMYFUNCTION("""COMPUTED_VALUE"""),"Yes")</f>
        <v>Yes</v>
      </c>
      <c r="T677" s="5" t="str">
        <f ca="1">IFERROR(__xludf.DUMMYFUNCTION("""COMPUTED_VALUE"""),"Yes")</f>
        <v>Yes</v>
      </c>
      <c r="U677" s="5" t="str">
        <f ca="1">IFERROR(__xludf.DUMMYFUNCTION("""COMPUTED_VALUE"""),"Yes")</f>
        <v>Yes</v>
      </c>
      <c r="V677" s="5" t="str">
        <f ca="1">IFERROR(__xludf.DUMMYFUNCTION("""COMPUTED_VALUE"""),"Yes")</f>
        <v>Yes</v>
      </c>
      <c r="W677" s="5" t="str">
        <f ca="1">IFERROR(__xludf.DUMMYFUNCTION("""COMPUTED_VALUE"""),"Yes")</f>
        <v>Yes</v>
      </c>
      <c r="X677" s="5" t="str">
        <f ca="1">IFERROR(__xludf.DUMMYFUNCTION("""COMPUTED_VALUE"""),"Yes")</f>
        <v>Yes</v>
      </c>
      <c r="Y677" s="5" t="str">
        <f ca="1">IFERROR(__xludf.DUMMYFUNCTION("""COMPUTED_VALUE"""),"Yes")</f>
        <v>Yes</v>
      </c>
      <c r="Z677" s="5" t="str">
        <f ca="1">IFERROR(__xludf.DUMMYFUNCTION("""COMPUTED_VALUE"""),"No")</f>
        <v>No</v>
      </c>
      <c r="AA677" s="5" t="str">
        <f ca="1">IFERROR(__xludf.DUMMYFUNCTION("""COMPUTED_VALUE"""),"Yes")</f>
        <v>Yes</v>
      </c>
      <c r="AB677" s="5" t="str">
        <f ca="1">IFERROR(__xludf.DUMMYFUNCTION("""COMPUTED_VALUE"""),"Yes")</f>
        <v>Yes</v>
      </c>
      <c r="AC677" s="5" t="str">
        <f ca="1">IFERROR(__xludf.DUMMYFUNCTION("""COMPUTED_VALUE"""),"Yes")</f>
        <v>Yes</v>
      </c>
      <c r="AD677" s="5" t="str">
        <f ca="1">IFERROR(__xludf.DUMMYFUNCTION("""COMPUTED_VALUE"""),"Yes")</f>
        <v>Yes</v>
      </c>
      <c r="AE677" s="5" t="str">
        <f ca="1">IFERROR(__xludf.DUMMYFUNCTION("""COMPUTED_VALUE"""),"No")</f>
        <v>No</v>
      </c>
      <c r="AF677" s="5" t="str">
        <f ca="1">IFERROR(__xludf.DUMMYFUNCTION("""COMPUTED_VALUE"""),"Yes")</f>
        <v>Yes</v>
      </c>
      <c r="AG677" s="5" t="str">
        <f ca="1">IFERROR(__xludf.DUMMYFUNCTION("""COMPUTED_VALUE"""),"No")</f>
        <v>No</v>
      </c>
      <c r="AH677" s="5" t="str">
        <f ca="1">IFERROR(__xludf.DUMMYFUNCTION("""COMPUTED_VALUE"""),"No")</f>
        <v>No</v>
      </c>
      <c r="AI677" s="5" t="str">
        <f ca="1">IFERROR(__xludf.DUMMYFUNCTION("""COMPUTED_VALUE"""),"No")</f>
        <v>No</v>
      </c>
      <c r="AJ677" s="5" t="str">
        <f ca="1">IFERROR(__xludf.DUMMYFUNCTION("""COMPUTED_VALUE"""),"No")</f>
        <v>No</v>
      </c>
      <c r="AK677" s="5" t="str">
        <f ca="1">IFERROR(__xludf.DUMMYFUNCTION("""COMPUTED_VALUE"""),"No")</f>
        <v>No</v>
      </c>
      <c r="AL677" s="5" t="str">
        <f ca="1">IFERROR(__xludf.DUMMYFUNCTION("""COMPUTED_VALUE"""),"No")</f>
        <v>No</v>
      </c>
      <c r="AM677" s="5"/>
      <c r="AN677" s="5"/>
      <c r="AO677" s="5"/>
      <c r="AP677" s="5"/>
      <c r="AQ677" s="5"/>
      <c r="AR677" s="5"/>
      <c r="AS677" s="5"/>
      <c r="AT677" s="5"/>
      <c r="AU677" s="5"/>
      <c r="AV677" s="5"/>
      <c r="AW677" s="5"/>
      <c r="AX677" s="5"/>
      <c r="AY677" s="5"/>
    </row>
    <row r="678" spans="1:51" x14ac:dyDescent="0.25">
      <c r="A6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8" s="5">
        <f ca="1">IFERROR(__xludf.DUMMYFUNCTION("""COMPUTED_VALUE"""),713)</f>
        <v>713</v>
      </c>
      <c r="C678" s="5">
        <f ca="1">IFERROR(__xludf.DUMMYFUNCTION("""COMPUTED_VALUE"""),4039)</f>
        <v>4039</v>
      </c>
      <c r="D678" s="5" t="str">
        <f ca="1">IFERROR(__xludf.DUMMYFUNCTION("""COMPUTED_VALUE"""),"CroCasinoGoldenCrown")</f>
        <v>CroCasinoGoldenCrown</v>
      </c>
      <c r="E678" s="5" t="str">
        <f ca="1">IFERROR(__xludf.DUMMYFUNCTION("""COMPUTED_VALUE"""),"Yes")</f>
        <v>Yes</v>
      </c>
      <c r="F678" s="5" t="str">
        <f ca="1">IFERROR(__xludf.DUMMYFUNCTION("""COMPUTED_VALUE"""),"Yes")</f>
        <v>Yes</v>
      </c>
      <c r="G678" s="5" t="str">
        <f ca="1">IFERROR(__xludf.DUMMYFUNCTION("""COMPUTED_VALUE"""),"Yes")</f>
        <v>Yes</v>
      </c>
      <c r="H678" s="5" t="str">
        <f ca="1">IFERROR(__xludf.DUMMYFUNCTION("""COMPUTED_VALUE"""),"Yes")</f>
        <v>Yes</v>
      </c>
      <c r="I678" s="5" t="str">
        <f ca="1">IFERROR(__xludf.DUMMYFUNCTION("""COMPUTED_VALUE"""),"Yes")</f>
        <v>Yes</v>
      </c>
      <c r="J678" s="5" t="str">
        <f ca="1">IFERROR(__xludf.DUMMYFUNCTION("""COMPUTED_VALUE"""),"Yes")</f>
        <v>Yes</v>
      </c>
      <c r="K678" s="5" t="str">
        <f ca="1">IFERROR(__xludf.DUMMYFUNCTION("""COMPUTED_VALUE"""),"Yes")</f>
        <v>Yes</v>
      </c>
      <c r="L678" s="5" t="str">
        <f ca="1">IFERROR(__xludf.DUMMYFUNCTION("""COMPUTED_VALUE"""),"Yes")</f>
        <v>Yes</v>
      </c>
      <c r="M678" s="5" t="str">
        <f ca="1">IFERROR(__xludf.DUMMYFUNCTION("""COMPUTED_VALUE"""),"Yes")</f>
        <v>Yes</v>
      </c>
      <c r="N678" s="5" t="str">
        <f ca="1">IFERROR(__xludf.DUMMYFUNCTION("""COMPUTED_VALUE"""),"Yes")</f>
        <v>Yes</v>
      </c>
      <c r="O678" s="5" t="str">
        <f ca="1">IFERROR(__xludf.DUMMYFUNCTION("""COMPUTED_VALUE"""),"Yes")</f>
        <v>Yes</v>
      </c>
      <c r="P678" s="5" t="str">
        <f ca="1">IFERROR(__xludf.DUMMYFUNCTION("""COMPUTED_VALUE"""),"Yes")</f>
        <v>Yes</v>
      </c>
      <c r="Q678" s="5" t="str">
        <f ca="1">IFERROR(__xludf.DUMMYFUNCTION("""COMPUTED_VALUE"""),"Yes")</f>
        <v>Yes</v>
      </c>
      <c r="R678" s="5" t="str">
        <f ca="1">IFERROR(__xludf.DUMMYFUNCTION("""COMPUTED_VALUE"""),"Yes")</f>
        <v>Yes</v>
      </c>
      <c r="S678" s="5" t="str">
        <f ca="1">IFERROR(__xludf.DUMMYFUNCTION("""COMPUTED_VALUE"""),"Yes")</f>
        <v>Yes</v>
      </c>
      <c r="T678" s="5" t="str">
        <f ca="1">IFERROR(__xludf.DUMMYFUNCTION("""COMPUTED_VALUE"""),"Yes")</f>
        <v>Yes</v>
      </c>
      <c r="U678" s="5" t="str">
        <f ca="1">IFERROR(__xludf.DUMMYFUNCTION("""COMPUTED_VALUE"""),"Yes")</f>
        <v>Yes</v>
      </c>
      <c r="V678" s="5" t="str">
        <f ca="1">IFERROR(__xludf.DUMMYFUNCTION("""COMPUTED_VALUE"""),"Yes")</f>
        <v>Yes</v>
      </c>
      <c r="W678" s="5" t="str">
        <f ca="1">IFERROR(__xludf.DUMMYFUNCTION("""COMPUTED_VALUE"""),"Yes")</f>
        <v>Yes</v>
      </c>
      <c r="X678" s="5" t="str">
        <f ca="1">IFERROR(__xludf.DUMMYFUNCTION("""COMPUTED_VALUE"""),"Yes")</f>
        <v>Yes</v>
      </c>
      <c r="Y678" s="5" t="str">
        <f ca="1">IFERROR(__xludf.DUMMYFUNCTION("""COMPUTED_VALUE"""),"Yes")</f>
        <v>Yes</v>
      </c>
      <c r="Z678" s="5" t="str">
        <f ca="1">IFERROR(__xludf.DUMMYFUNCTION("""COMPUTED_VALUE"""),"No")</f>
        <v>No</v>
      </c>
      <c r="AA678" s="5" t="str">
        <f ca="1">IFERROR(__xludf.DUMMYFUNCTION("""COMPUTED_VALUE"""),"Yes")</f>
        <v>Yes</v>
      </c>
      <c r="AB678" s="5" t="str">
        <f ca="1">IFERROR(__xludf.DUMMYFUNCTION("""COMPUTED_VALUE"""),"Yes")</f>
        <v>Yes</v>
      </c>
      <c r="AC678" s="5" t="str">
        <f ca="1">IFERROR(__xludf.DUMMYFUNCTION("""COMPUTED_VALUE"""),"Yes")</f>
        <v>Yes</v>
      </c>
      <c r="AD678" s="5" t="str">
        <f ca="1">IFERROR(__xludf.DUMMYFUNCTION("""COMPUTED_VALUE"""),"Yes")</f>
        <v>Yes</v>
      </c>
      <c r="AE678" s="5" t="str">
        <f ca="1">IFERROR(__xludf.DUMMYFUNCTION("""COMPUTED_VALUE"""),"No")</f>
        <v>No</v>
      </c>
      <c r="AF678" s="5" t="str">
        <f ca="1">IFERROR(__xludf.DUMMYFUNCTION("""COMPUTED_VALUE"""),"Yes")</f>
        <v>Yes</v>
      </c>
      <c r="AG678" s="5" t="str">
        <f ca="1">IFERROR(__xludf.DUMMYFUNCTION("""COMPUTED_VALUE"""),"No")</f>
        <v>No</v>
      </c>
      <c r="AH678" s="5" t="str">
        <f ca="1">IFERROR(__xludf.DUMMYFUNCTION("""COMPUTED_VALUE"""),"No")</f>
        <v>No</v>
      </c>
      <c r="AI678" s="5" t="str">
        <f ca="1">IFERROR(__xludf.DUMMYFUNCTION("""COMPUTED_VALUE"""),"No")</f>
        <v>No</v>
      </c>
      <c r="AJ678" s="5" t="str">
        <f ca="1">IFERROR(__xludf.DUMMYFUNCTION("""COMPUTED_VALUE"""),"No")</f>
        <v>No</v>
      </c>
      <c r="AK678" s="5" t="str">
        <f ca="1">IFERROR(__xludf.DUMMYFUNCTION("""COMPUTED_VALUE"""),"No")</f>
        <v>No</v>
      </c>
      <c r="AL678" s="5" t="str">
        <f ca="1">IFERROR(__xludf.DUMMYFUNCTION("""COMPUTED_VALUE"""),"No")</f>
        <v>No</v>
      </c>
      <c r="AM678" s="5"/>
      <c r="AN678" s="5"/>
      <c r="AO678" s="5"/>
      <c r="AP678" s="5"/>
      <c r="AQ678" s="5"/>
      <c r="AR678" s="5"/>
      <c r="AS678" s="5"/>
      <c r="AT678" s="5"/>
      <c r="AU678" s="5"/>
      <c r="AV678" s="5"/>
      <c r="AW678" s="5"/>
      <c r="AX678" s="5"/>
      <c r="AY678" s="5"/>
    </row>
    <row r="679" spans="1:51" x14ac:dyDescent="0.25">
      <c r="A6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9" s="5">
        <f ca="1">IFERROR(__xludf.DUMMYFUNCTION("""COMPUTED_VALUE"""),714)</f>
        <v>714</v>
      </c>
      <c r="C679" s="5">
        <f ca="1">IFERROR(__xludf.DUMMYFUNCTION("""COMPUTED_VALUE"""),4040)</f>
        <v>4040</v>
      </c>
      <c r="D679" s="5" t="str">
        <f ca="1">IFERROR(__xludf.DUMMYFUNCTION("""COMPUTED_VALUE"""),"WildShine40")</f>
        <v>WildShine40</v>
      </c>
      <c r="E679" s="5" t="str">
        <f ca="1">IFERROR(__xludf.DUMMYFUNCTION("""COMPUTED_VALUE"""),"Yes")</f>
        <v>Yes</v>
      </c>
      <c r="F679" s="5" t="str">
        <f ca="1">IFERROR(__xludf.DUMMYFUNCTION("""COMPUTED_VALUE"""),"Yes")</f>
        <v>Yes</v>
      </c>
      <c r="G679" s="5" t="str">
        <f ca="1">IFERROR(__xludf.DUMMYFUNCTION("""COMPUTED_VALUE"""),"Yes")</f>
        <v>Yes</v>
      </c>
      <c r="H679" s="5" t="str">
        <f ca="1">IFERROR(__xludf.DUMMYFUNCTION("""COMPUTED_VALUE"""),"Yes")</f>
        <v>Yes</v>
      </c>
      <c r="I679" s="5" t="str">
        <f ca="1">IFERROR(__xludf.DUMMYFUNCTION("""COMPUTED_VALUE"""),"Yes")</f>
        <v>Yes</v>
      </c>
      <c r="J679" s="5" t="str">
        <f ca="1">IFERROR(__xludf.DUMMYFUNCTION("""COMPUTED_VALUE"""),"Yes")</f>
        <v>Yes</v>
      </c>
      <c r="K679" s="5" t="str">
        <f ca="1">IFERROR(__xludf.DUMMYFUNCTION("""COMPUTED_VALUE"""),"Yes")</f>
        <v>Yes</v>
      </c>
      <c r="L679" s="5" t="str">
        <f ca="1">IFERROR(__xludf.DUMMYFUNCTION("""COMPUTED_VALUE"""),"Yes")</f>
        <v>Yes</v>
      </c>
      <c r="M679" s="5" t="str">
        <f ca="1">IFERROR(__xludf.DUMMYFUNCTION("""COMPUTED_VALUE"""),"Yes")</f>
        <v>Yes</v>
      </c>
      <c r="N679" s="5" t="str">
        <f ca="1">IFERROR(__xludf.DUMMYFUNCTION("""COMPUTED_VALUE"""),"Yes")</f>
        <v>Yes</v>
      </c>
      <c r="O679" s="5" t="str">
        <f ca="1">IFERROR(__xludf.DUMMYFUNCTION("""COMPUTED_VALUE"""),"Yes")</f>
        <v>Yes</v>
      </c>
      <c r="P679" s="5" t="str">
        <f ca="1">IFERROR(__xludf.DUMMYFUNCTION("""COMPUTED_VALUE"""),"Yes")</f>
        <v>Yes</v>
      </c>
      <c r="Q679" s="5" t="str">
        <f ca="1">IFERROR(__xludf.DUMMYFUNCTION("""COMPUTED_VALUE"""),"Yes")</f>
        <v>Yes</v>
      </c>
      <c r="R679" s="5" t="str">
        <f ca="1">IFERROR(__xludf.DUMMYFUNCTION("""COMPUTED_VALUE"""),"Yes")</f>
        <v>Yes</v>
      </c>
      <c r="S679" s="5" t="str">
        <f ca="1">IFERROR(__xludf.DUMMYFUNCTION("""COMPUTED_VALUE"""),"Yes")</f>
        <v>Yes</v>
      </c>
      <c r="T679" s="5" t="str">
        <f ca="1">IFERROR(__xludf.DUMMYFUNCTION("""COMPUTED_VALUE"""),"Yes")</f>
        <v>Yes</v>
      </c>
      <c r="U679" s="5" t="str">
        <f ca="1">IFERROR(__xludf.DUMMYFUNCTION("""COMPUTED_VALUE"""),"Yes")</f>
        <v>Yes</v>
      </c>
      <c r="V679" s="5" t="str">
        <f ca="1">IFERROR(__xludf.DUMMYFUNCTION("""COMPUTED_VALUE"""),"Yes")</f>
        <v>Yes</v>
      </c>
      <c r="W679" s="5" t="str">
        <f ca="1">IFERROR(__xludf.DUMMYFUNCTION("""COMPUTED_VALUE"""),"Yes")</f>
        <v>Yes</v>
      </c>
      <c r="X679" s="5" t="str">
        <f ca="1">IFERROR(__xludf.DUMMYFUNCTION("""COMPUTED_VALUE"""),"Yes")</f>
        <v>Yes</v>
      </c>
      <c r="Y679" s="5" t="str">
        <f ca="1">IFERROR(__xludf.DUMMYFUNCTION("""COMPUTED_VALUE"""),"Yes")</f>
        <v>Yes</v>
      </c>
      <c r="Z679" s="5" t="str">
        <f ca="1">IFERROR(__xludf.DUMMYFUNCTION("""COMPUTED_VALUE"""),"No")</f>
        <v>No</v>
      </c>
      <c r="AA679" s="5" t="str">
        <f ca="1">IFERROR(__xludf.DUMMYFUNCTION("""COMPUTED_VALUE"""),"Yes")</f>
        <v>Yes</v>
      </c>
      <c r="AB679" s="5" t="str">
        <f ca="1">IFERROR(__xludf.DUMMYFUNCTION("""COMPUTED_VALUE"""),"Yes")</f>
        <v>Yes</v>
      </c>
      <c r="AC679" s="5" t="str">
        <f ca="1">IFERROR(__xludf.DUMMYFUNCTION("""COMPUTED_VALUE"""),"Yes")</f>
        <v>Yes</v>
      </c>
      <c r="AD679" s="5" t="str">
        <f ca="1">IFERROR(__xludf.DUMMYFUNCTION("""COMPUTED_VALUE"""),"Yes")</f>
        <v>Yes</v>
      </c>
      <c r="AE679" s="5" t="str">
        <f ca="1">IFERROR(__xludf.DUMMYFUNCTION("""COMPUTED_VALUE"""),"No")</f>
        <v>No</v>
      </c>
      <c r="AF679" s="5" t="str">
        <f ca="1">IFERROR(__xludf.DUMMYFUNCTION("""COMPUTED_VALUE"""),"Yes")</f>
        <v>Yes</v>
      </c>
      <c r="AG679" s="5" t="str">
        <f ca="1">IFERROR(__xludf.DUMMYFUNCTION("""COMPUTED_VALUE"""),"No")</f>
        <v>No</v>
      </c>
      <c r="AH679" s="5" t="str">
        <f ca="1">IFERROR(__xludf.DUMMYFUNCTION("""COMPUTED_VALUE"""),"No")</f>
        <v>No</v>
      </c>
      <c r="AI679" s="5" t="str">
        <f ca="1">IFERROR(__xludf.DUMMYFUNCTION("""COMPUTED_VALUE"""),"No")</f>
        <v>No</v>
      </c>
      <c r="AJ679" s="5" t="str">
        <f ca="1">IFERROR(__xludf.DUMMYFUNCTION("""COMPUTED_VALUE"""),"No")</f>
        <v>No</v>
      </c>
      <c r="AK679" s="5" t="str">
        <f ca="1">IFERROR(__xludf.DUMMYFUNCTION("""COMPUTED_VALUE"""),"No")</f>
        <v>No</v>
      </c>
      <c r="AL679" s="5" t="str">
        <f ca="1">IFERROR(__xludf.DUMMYFUNCTION("""COMPUTED_VALUE"""),"No")</f>
        <v>No</v>
      </c>
      <c r="AM679" s="5"/>
      <c r="AN679" s="5"/>
      <c r="AO679" s="5"/>
      <c r="AP679" s="5"/>
      <c r="AQ679" s="5"/>
      <c r="AR679" s="5"/>
      <c r="AS679" s="5"/>
      <c r="AT679" s="5"/>
      <c r="AU679" s="5"/>
      <c r="AV679" s="5"/>
      <c r="AW679" s="5"/>
      <c r="AX679" s="5"/>
      <c r="AY679" s="5"/>
    </row>
    <row r="680" spans="1:51" x14ac:dyDescent="0.25">
      <c r="A680" s="5" t="str">
        <f ca="1">IFERROR(__xludf.DUMMYFUNCTION("""COMPUTED_VALUE"""),"English(""eng"")")</f>
        <v>English("eng")</v>
      </c>
      <c r="B680" s="5">
        <f ca="1">IFERROR(__xludf.DUMMYFUNCTION("""COMPUTED_VALUE"""),715)</f>
        <v>715</v>
      </c>
      <c r="C680" s="5">
        <f ca="1">IFERROR(__xludf.DUMMYFUNCTION("""COMPUTED_VALUE"""),4000010)</f>
        <v>4000010</v>
      </c>
      <c r="D680" s="5" t="str">
        <f ca="1">IFERROR(__xludf.DUMMYFUNCTION("""COMPUTED_VALUE"""),"UnicornHotFireballs")</f>
        <v>UnicornHotFireballs</v>
      </c>
      <c r="E680" s="5" t="str">
        <f ca="1">IFERROR(__xludf.DUMMYFUNCTION("""COMPUTED_VALUE"""),"Yes")</f>
        <v>Yes</v>
      </c>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row>
    <row r="681" spans="1:51" x14ac:dyDescent="0.25">
      <c r="A681" s="5" t="str">
        <f ca="1">IFERROR(__xludf.DUMMYFUNCTION("""COMPUTED_VALUE"""),"English(""eng"")")</f>
        <v>English("eng")</v>
      </c>
      <c r="B681" s="5">
        <f ca="1">IFERROR(__xludf.DUMMYFUNCTION("""COMPUTED_VALUE"""),716)</f>
        <v>716</v>
      </c>
      <c r="C681" s="5">
        <f ca="1">IFERROR(__xludf.DUMMYFUNCTION("""COMPUTED_VALUE"""),4000011)</f>
        <v>4000011</v>
      </c>
      <c r="D681" s="5" t="str">
        <f ca="1">IFERROR(__xludf.DUMMYFUNCTION("""COMPUTED_VALUE"""),"UnicornThreeReelDice")</f>
        <v>UnicornThreeReelDice</v>
      </c>
      <c r="E681" s="5" t="str">
        <f ca="1">IFERROR(__xludf.DUMMYFUNCTION("""COMPUTED_VALUE"""),"Yes")</f>
        <v>Yes</v>
      </c>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row>
    <row r="682" spans="1:51" x14ac:dyDescent="0.25">
      <c r="A682" s="5" t="str">
        <f ca="1">IFERROR(__xludf.DUMMYFUNCTION("""COMPUTED_VALUE"""),"English(""eng"")")</f>
        <v>English("eng")</v>
      </c>
      <c r="B682" s="5">
        <f ca="1">IFERROR(__xludf.DUMMYFUNCTION("""COMPUTED_VALUE"""),717)</f>
        <v>717</v>
      </c>
      <c r="C682" s="5">
        <f ca="1">IFERROR(__xludf.DUMMYFUNCTION("""COMPUTED_VALUE"""),4000012)</f>
        <v>4000012</v>
      </c>
      <c r="D682" s="5" t="str">
        <f ca="1">IFERROR(__xludf.DUMMYFUNCTION("""COMPUTED_VALUE"""),"UnicornTropicalTreasure")</f>
        <v>UnicornTropicalTreasure</v>
      </c>
      <c r="E682" s="5" t="str">
        <f ca="1">IFERROR(__xludf.DUMMYFUNCTION("""COMPUTED_VALUE"""),"Yes")</f>
        <v>Yes</v>
      </c>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row>
    <row r="683" spans="1:51" x14ac:dyDescent="0.25">
      <c r="A683" s="5" t="str">
        <f ca="1">IFERROR(__xludf.DUMMYFUNCTION("""COMPUTED_VALUE"""),"English(""eng"")")</f>
        <v>English("eng")</v>
      </c>
      <c r="B683" s="5">
        <f ca="1">IFERROR(__xludf.DUMMYFUNCTION("""COMPUTED_VALUE"""),718)</f>
        <v>718</v>
      </c>
      <c r="C683" s="5">
        <f ca="1">IFERROR(__xludf.DUMMYFUNCTION("""COMPUTED_VALUE"""),4000013)</f>
        <v>4000013</v>
      </c>
      <c r="D683" s="5" t="str">
        <f ca="1">IFERROR(__xludf.DUMMYFUNCTION("""COMPUTED_VALUE"""),"UnicornGoldenGateFruit")</f>
        <v>UnicornGoldenGateFruit</v>
      </c>
      <c r="E683" s="5" t="str">
        <f ca="1">IFERROR(__xludf.DUMMYFUNCTION("""COMPUTED_VALUE"""),"Yes")</f>
        <v>Yes</v>
      </c>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row>
    <row r="684" spans="1:51" x14ac:dyDescent="0.25">
      <c r="A684" s="5" t="str">
        <f ca="1">IFERROR(__xludf.DUMMYFUNCTION("""COMPUTED_VALUE"""),"English(""eng"")")</f>
        <v>English("eng")</v>
      </c>
      <c r="B684" s="5">
        <f ca="1">IFERROR(__xludf.DUMMYFUNCTION("""COMPUTED_VALUE"""),719)</f>
        <v>719</v>
      </c>
      <c r="C684" s="5">
        <f ca="1">IFERROR(__xludf.DUMMYFUNCTION("""COMPUTED_VALUE"""),4000014)</f>
        <v>4000014</v>
      </c>
      <c r="D684" s="5" t="str">
        <f ca="1">IFERROR(__xludf.DUMMYFUNCTION("""COMPUTED_VALUE"""),"UnicornMoneyStandardJackpot")</f>
        <v>UnicornMoneyStandardJackpot</v>
      </c>
      <c r="E684" s="5" t="str">
        <f ca="1">IFERROR(__xludf.DUMMYFUNCTION("""COMPUTED_VALUE"""),"Yes")</f>
        <v>Yes</v>
      </c>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row>
    <row r="685" spans="1:51" x14ac:dyDescent="0.25">
      <c r="A685" s="5" t="str">
        <f ca="1">IFERROR(__xludf.DUMMYFUNCTION("""COMPUTED_VALUE"""),"English(""eng"")")</f>
        <v>English("eng")</v>
      </c>
      <c r="B685" s="5">
        <f ca="1">IFERROR(__xludf.DUMMYFUNCTION("""COMPUTED_VALUE"""),720)</f>
        <v>720</v>
      </c>
      <c r="C685" s="5">
        <f ca="1">IFERROR(__xludf.DUMMYFUNCTION("""COMPUTED_VALUE"""),4000015)</f>
        <v>4000015</v>
      </c>
      <c r="D685" s="5" t="str">
        <f ca="1">IFERROR(__xludf.DUMMYFUNCTION("""COMPUTED_VALUE"""),"UnicornShinyFireballs")</f>
        <v>UnicornShinyFireballs</v>
      </c>
      <c r="E685" s="5" t="str">
        <f ca="1">IFERROR(__xludf.DUMMYFUNCTION("""COMPUTED_VALUE"""),"Yes")</f>
        <v>Yes</v>
      </c>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row>
    <row r="686" spans="1:51" x14ac:dyDescent="0.25">
      <c r="A686" s="5" t="str">
        <f ca="1">IFERROR(__xludf.DUMMYFUNCTION("""COMPUTED_VALUE"""),"English(""eng"")")</f>
        <v>English("eng")</v>
      </c>
      <c r="B686" s="5">
        <f ca="1">IFERROR(__xludf.DUMMYFUNCTION("""COMPUTED_VALUE"""),721)</f>
        <v>721</v>
      </c>
      <c r="C686" s="5">
        <f ca="1">IFERROR(__xludf.DUMMYFUNCTION("""COMPUTED_VALUE"""),4000016)</f>
        <v>4000016</v>
      </c>
      <c r="D686" s="5" t="str">
        <f ca="1">IFERROR(__xludf.DUMMYFUNCTION("""COMPUTED_VALUE"""),"UnicornHotEightyOne")</f>
        <v>UnicornHotEightyOne</v>
      </c>
      <c r="E686" s="5" t="str">
        <f ca="1">IFERROR(__xludf.DUMMYFUNCTION("""COMPUTED_VALUE"""),"Yes")</f>
        <v>Yes</v>
      </c>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row>
    <row r="687" spans="1:51" x14ac:dyDescent="0.25">
      <c r="A687" s="5" t="str">
        <f ca="1">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B687" s="5">
        <f ca="1">IFERROR(__xludf.DUMMYFUNCTION("""COMPUTED_VALUE"""),722)</f>
        <v>722</v>
      </c>
      <c r="C687" s="5">
        <f ca="1">IFERROR(__xludf.DUMMYFUNCTION("""COMPUTED_VALUE"""),4000017)</f>
        <v>4000017</v>
      </c>
      <c r="D687" s="5" t="str">
        <f ca="1">IFERROR(__xludf.DUMMYFUNCTION("""COMPUTED_VALUE"""),"UnicornHotFiredice")</f>
        <v>UnicornHotFiredice</v>
      </c>
      <c r="E687" s="5" t="str">
        <f ca="1">IFERROR(__xludf.DUMMYFUNCTION("""COMPUTED_VALUE"""),"Yes")</f>
        <v>Yes</v>
      </c>
      <c r="F687" s="5" t="str">
        <f ca="1">IFERROR(__xludf.DUMMYFUNCTION("""COMPUTED_VALUE"""),"Yes")</f>
        <v>Yes</v>
      </c>
      <c r="G687" s="5" t="str">
        <f ca="1">IFERROR(__xludf.DUMMYFUNCTION("""COMPUTED_VALUE"""),"Yes")</f>
        <v>Yes</v>
      </c>
      <c r="H687" s="5" t="str">
        <f ca="1">IFERROR(__xludf.DUMMYFUNCTION("""COMPUTED_VALUE"""),"No")</f>
        <v>No</v>
      </c>
      <c r="I687" s="5" t="str">
        <f ca="1">IFERROR(__xludf.DUMMYFUNCTION("""COMPUTED_VALUE"""),"Yes")</f>
        <v>Yes</v>
      </c>
      <c r="J687" s="5" t="str">
        <f ca="1">IFERROR(__xludf.DUMMYFUNCTION("""COMPUTED_VALUE"""),"No")</f>
        <v>No</v>
      </c>
      <c r="K687" s="5" t="str">
        <f ca="1">IFERROR(__xludf.DUMMYFUNCTION("""COMPUTED_VALUE"""),"No")</f>
        <v>No</v>
      </c>
      <c r="L687" s="5" t="str">
        <f ca="1">IFERROR(__xludf.DUMMYFUNCTION("""COMPUTED_VALUE"""),"No")</f>
        <v>No</v>
      </c>
      <c r="M687" s="5" t="str">
        <f ca="1">IFERROR(__xludf.DUMMYFUNCTION("""COMPUTED_VALUE"""),"Yes")</f>
        <v>Yes</v>
      </c>
      <c r="N687" s="5" t="str">
        <f ca="1">IFERROR(__xludf.DUMMYFUNCTION("""COMPUTED_VALUE"""),"Yes")</f>
        <v>Yes</v>
      </c>
      <c r="O687" s="5" t="str">
        <f ca="1">IFERROR(__xludf.DUMMYFUNCTION("""COMPUTED_VALUE"""),"Yes")</f>
        <v>Yes</v>
      </c>
      <c r="P687" s="5" t="str">
        <f ca="1">IFERROR(__xludf.DUMMYFUNCTION("""COMPUTED_VALUE"""),"Yes")</f>
        <v>Yes</v>
      </c>
      <c r="Q687" s="5" t="str">
        <f ca="1">IFERROR(__xludf.DUMMYFUNCTION("""COMPUTED_VALUE"""),"Yes")</f>
        <v>Yes</v>
      </c>
      <c r="R687" s="5" t="str">
        <f ca="1">IFERROR(__xludf.DUMMYFUNCTION("""COMPUTED_VALUE"""),"Yes")</f>
        <v>Yes</v>
      </c>
      <c r="S687" s="5" t="str">
        <f ca="1">IFERROR(__xludf.DUMMYFUNCTION("""COMPUTED_VALUE"""),"Yes")</f>
        <v>Yes</v>
      </c>
      <c r="T687" s="5" t="str">
        <f ca="1">IFERROR(__xludf.DUMMYFUNCTION("""COMPUTED_VALUE"""),"No")</f>
        <v>No</v>
      </c>
      <c r="U687" s="5" t="str">
        <f ca="1">IFERROR(__xludf.DUMMYFUNCTION("""COMPUTED_VALUE"""),"No")</f>
        <v>No</v>
      </c>
      <c r="V687" s="5" t="str">
        <f ca="1">IFERROR(__xludf.DUMMYFUNCTION("""COMPUTED_VALUE"""),"No")</f>
        <v>No</v>
      </c>
      <c r="W687" s="5" t="str">
        <f ca="1">IFERROR(__xludf.DUMMYFUNCTION("""COMPUTED_VALUE"""),"No")</f>
        <v>No</v>
      </c>
      <c r="X687" s="5" t="str">
        <f ca="1">IFERROR(__xludf.DUMMYFUNCTION("""COMPUTED_VALUE"""),"No")</f>
        <v>No</v>
      </c>
      <c r="Y687" s="5" t="str">
        <f ca="1">IFERROR(__xludf.DUMMYFUNCTION("""COMPUTED_VALUE"""),"No")</f>
        <v>No</v>
      </c>
      <c r="Z687" s="5" t="str">
        <f ca="1">IFERROR(__xludf.DUMMYFUNCTION("""COMPUTED_VALUE"""),"No")</f>
        <v>No</v>
      </c>
      <c r="AA687" s="5" t="str">
        <f ca="1">IFERROR(__xludf.DUMMYFUNCTION("""COMPUTED_VALUE"""),"Yes")</f>
        <v>Yes</v>
      </c>
      <c r="AB687" s="5" t="str">
        <f ca="1">IFERROR(__xludf.DUMMYFUNCTION("""COMPUTED_VALUE"""),"No")</f>
        <v>No</v>
      </c>
      <c r="AC687" s="5" t="str">
        <f ca="1">IFERROR(__xludf.DUMMYFUNCTION("""COMPUTED_VALUE"""),"No")</f>
        <v>No</v>
      </c>
      <c r="AD687" s="5" t="str">
        <f ca="1">IFERROR(__xludf.DUMMYFUNCTION("""COMPUTED_VALUE"""),"No")</f>
        <v>No</v>
      </c>
      <c r="AE687" s="5" t="str">
        <f ca="1">IFERROR(__xludf.DUMMYFUNCTION("""COMPUTED_VALUE"""),"No")</f>
        <v>No</v>
      </c>
      <c r="AF687" s="5" t="str">
        <f ca="1">IFERROR(__xludf.DUMMYFUNCTION("""COMPUTED_VALUE"""),"Yes")</f>
        <v>Yes</v>
      </c>
      <c r="AG687" s="5" t="str">
        <f ca="1">IFERROR(__xludf.DUMMYFUNCTION("""COMPUTED_VALUE"""),"No")</f>
        <v>No</v>
      </c>
      <c r="AH687" s="5" t="str">
        <f ca="1">IFERROR(__xludf.DUMMYFUNCTION("""COMPUTED_VALUE"""),"No")</f>
        <v>No</v>
      </c>
      <c r="AI687" s="5" t="str">
        <f ca="1">IFERROR(__xludf.DUMMYFUNCTION("""COMPUTED_VALUE"""),"No")</f>
        <v>No</v>
      </c>
      <c r="AJ687" s="5" t="str">
        <f ca="1">IFERROR(__xludf.DUMMYFUNCTION("""COMPUTED_VALUE"""),"No")</f>
        <v>No</v>
      </c>
      <c r="AK687" s="5" t="str">
        <f ca="1">IFERROR(__xludf.DUMMYFUNCTION("""COMPUTED_VALUE"""),"No")</f>
        <v>No</v>
      </c>
      <c r="AL687" s="5" t="str">
        <f ca="1">IFERROR(__xludf.DUMMYFUNCTION("""COMPUTED_VALUE"""),"Yes")</f>
        <v>Yes</v>
      </c>
      <c r="AM687" s="5"/>
      <c r="AN687" s="5"/>
      <c r="AO687" s="5"/>
      <c r="AP687" s="5"/>
      <c r="AQ687" s="5"/>
      <c r="AR687" s="5"/>
      <c r="AS687" s="5"/>
      <c r="AT687" s="5"/>
      <c r="AU687" s="5"/>
      <c r="AV687" s="5"/>
      <c r="AW687" s="5"/>
      <c r="AX687" s="5"/>
      <c r="AY687" s="5"/>
    </row>
    <row r="688" spans="1:51" x14ac:dyDescent="0.25">
      <c r="A688" s="5" t="str">
        <f ca="1">IFERROR(__xludf.DUMMYFUNCTION("""COMPUTED_VALUE"""),"English(""eng"")")</f>
        <v>English("eng")</v>
      </c>
      <c r="B688" s="5">
        <f ca="1">IFERROR(__xludf.DUMMYFUNCTION("""COMPUTED_VALUE"""),723)</f>
        <v>723</v>
      </c>
      <c r="C688" s="5">
        <f ca="1">IFERROR(__xludf.DUMMYFUNCTION("""COMPUTED_VALUE"""),4000018)</f>
        <v>4000018</v>
      </c>
      <c r="D688" s="5" t="str">
        <f ca="1">IFERROR(__xludf.DUMMYFUNCTION("""COMPUTED_VALUE"""),"UnicornMysticTreasure")</f>
        <v>UnicornMysticTreasure</v>
      </c>
      <c r="E688" s="5" t="str">
        <f ca="1">IFERROR(__xludf.DUMMYFUNCTION("""COMPUTED_VALUE"""),"Yes")</f>
        <v>Yes</v>
      </c>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row>
    <row r="689" spans="1:51" x14ac:dyDescent="0.25">
      <c r="A689" s="5" t="str">
        <f ca="1">IFERROR(__xludf.DUMMYFUNCTION("""COMPUTED_VALUE"""),"English(""eng"")")</f>
        <v>English("eng")</v>
      </c>
      <c r="B689" s="5">
        <f ca="1">IFERROR(__xludf.DUMMYFUNCTION("""COMPUTED_VALUE"""),724)</f>
        <v>724</v>
      </c>
      <c r="C689" s="5">
        <f ca="1">IFERROR(__xludf.DUMMYFUNCTION("""COMPUTED_VALUE"""),4000019)</f>
        <v>4000019</v>
      </c>
      <c r="D689" s="5" t="str">
        <f ca="1">IFERROR(__xludf.DUMMYFUNCTION("""COMPUTED_VALUE"""),"UnicornGoldenGateDice")</f>
        <v>UnicornGoldenGateDice</v>
      </c>
      <c r="E689" s="5" t="str">
        <f ca="1">IFERROR(__xludf.DUMMYFUNCTION("""COMPUTED_VALUE"""),"Yes")</f>
        <v>Yes</v>
      </c>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row>
    <row r="690" spans="1:51" x14ac:dyDescent="0.25">
      <c r="A690" s="5" t="str">
        <f ca="1">IFERROR(__xludf.DUMMYFUNCTION("""COMPUTED_VALUE"""),"English(""eng"")")</f>
        <v>English("eng")</v>
      </c>
      <c r="B690" s="5">
        <f ca="1">IFERROR(__xludf.DUMMYFUNCTION("""COMPUTED_VALUE"""),725)</f>
        <v>725</v>
      </c>
      <c r="C690" s="5">
        <f ca="1">IFERROR(__xludf.DUMMYFUNCTION("""COMPUTED_VALUE"""),4000020)</f>
        <v>4000020</v>
      </c>
      <c r="D690" s="5" t="str">
        <f ca="1">IFERROR(__xludf.DUMMYFUNCTION("""COMPUTED_VALUE"""),"UnicornBarrelsOfRiches")</f>
        <v>UnicornBarrelsOfRiches</v>
      </c>
      <c r="E690" s="5" t="str">
        <f ca="1">IFERROR(__xludf.DUMMYFUNCTION("""COMPUTED_VALUE"""),"Yes")</f>
        <v>Yes</v>
      </c>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row>
    <row r="691" spans="1:51" x14ac:dyDescent="0.25">
      <c r="A691"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1" s="5">
        <f ca="1">IFERROR(__xludf.DUMMYFUNCTION("""COMPUTED_VALUE"""),726)</f>
        <v>726</v>
      </c>
      <c r="C691" s="5">
        <f ca="1">IFERROR(__xludf.DUMMYFUNCTION("""COMPUTED_VALUE"""),180066)</f>
        <v>180066</v>
      </c>
      <c r="D691" s="5" t="str">
        <f ca="1">IFERROR(__xludf.DUMMYFUNCTION("""COMPUTED_VALUE"""),"RedstoneFruitFire")</f>
        <v>RedstoneFruitFire</v>
      </c>
      <c r="E691" s="5" t="str">
        <f ca="1">IFERROR(__xludf.DUMMYFUNCTION("""COMPUTED_VALUE"""),"Yes")</f>
        <v>Yes</v>
      </c>
      <c r="F691" s="5" t="str">
        <f ca="1">IFERROR(__xludf.DUMMYFUNCTION("""COMPUTED_VALUE"""),"Yes")</f>
        <v>Yes</v>
      </c>
      <c r="G691" s="5" t="str">
        <f ca="1">IFERROR(__xludf.DUMMYFUNCTION("""COMPUTED_VALUE"""),"Yes")</f>
        <v>Yes</v>
      </c>
      <c r="H691" s="5" t="str">
        <f ca="1">IFERROR(__xludf.DUMMYFUNCTION("""COMPUTED_VALUE"""),"Yes")</f>
        <v>Yes</v>
      </c>
      <c r="I691" s="5" t="str">
        <f ca="1">IFERROR(__xludf.DUMMYFUNCTION("""COMPUTED_VALUE"""),"Yes")</f>
        <v>Yes</v>
      </c>
      <c r="J691" s="5" t="str">
        <f ca="1">IFERROR(__xludf.DUMMYFUNCTION("""COMPUTED_VALUE"""),"Yes")</f>
        <v>Yes</v>
      </c>
      <c r="K691" s="5" t="str">
        <f ca="1">IFERROR(__xludf.DUMMYFUNCTION("""COMPUTED_VALUE"""),"Yes")</f>
        <v>Yes</v>
      </c>
      <c r="L691" s="5" t="str">
        <f ca="1">IFERROR(__xludf.DUMMYFUNCTION("""COMPUTED_VALUE"""),"Yes")</f>
        <v>Yes</v>
      </c>
      <c r="M691" s="5" t="str">
        <f ca="1">IFERROR(__xludf.DUMMYFUNCTION("""COMPUTED_VALUE"""),"Yes")</f>
        <v>Yes</v>
      </c>
      <c r="N691" s="5" t="str">
        <f ca="1">IFERROR(__xludf.DUMMYFUNCTION("""COMPUTED_VALUE"""),"Yes")</f>
        <v>Yes</v>
      </c>
      <c r="O691" s="5" t="str">
        <f ca="1">IFERROR(__xludf.DUMMYFUNCTION("""COMPUTED_VALUE"""),"Yes")</f>
        <v>Yes</v>
      </c>
      <c r="P691" s="5" t="str">
        <f ca="1">IFERROR(__xludf.DUMMYFUNCTION("""COMPUTED_VALUE"""),"Yes")</f>
        <v>Yes</v>
      </c>
      <c r="Q691" s="5" t="str">
        <f ca="1">IFERROR(__xludf.DUMMYFUNCTION("""COMPUTED_VALUE"""),"Yes")</f>
        <v>Yes</v>
      </c>
      <c r="R691" s="5" t="str">
        <f ca="1">IFERROR(__xludf.DUMMYFUNCTION("""COMPUTED_VALUE"""),"Yes")</f>
        <v>Yes</v>
      </c>
      <c r="S691" s="5" t="str">
        <f ca="1">IFERROR(__xludf.DUMMYFUNCTION("""COMPUTED_VALUE"""),"Yes")</f>
        <v>Yes</v>
      </c>
      <c r="T691" s="5" t="str">
        <f ca="1">IFERROR(__xludf.DUMMYFUNCTION("""COMPUTED_VALUE"""),"No")</f>
        <v>No</v>
      </c>
      <c r="U691" s="5" t="str">
        <f ca="1">IFERROR(__xludf.DUMMYFUNCTION("""COMPUTED_VALUE"""),"No")</f>
        <v>No</v>
      </c>
      <c r="V691" s="5" t="str">
        <f ca="1">IFERROR(__xludf.DUMMYFUNCTION("""COMPUTED_VALUE"""),"No")</f>
        <v>No</v>
      </c>
      <c r="W691" s="5" t="str">
        <f ca="1">IFERROR(__xludf.DUMMYFUNCTION("""COMPUTED_VALUE"""),"No")</f>
        <v>No</v>
      </c>
      <c r="X691" s="5" t="str">
        <f ca="1">IFERROR(__xludf.DUMMYFUNCTION("""COMPUTED_VALUE"""),"No")</f>
        <v>No</v>
      </c>
      <c r="Y691" s="5" t="str">
        <f ca="1">IFERROR(__xludf.DUMMYFUNCTION("""COMPUTED_VALUE"""),"No")</f>
        <v>No</v>
      </c>
      <c r="Z691" s="5" t="str">
        <f ca="1">IFERROR(__xludf.DUMMYFUNCTION("""COMPUTED_VALUE"""),"No")</f>
        <v>No</v>
      </c>
      <c r="AA691" s="5" t="str">
        <f ca="1">IFERROR(__xludf.DUMMYFUNCTION("""COMPUTED_VALUE"""),"Yes")</f>
        <v>Yes</v>
      </c>
      <c r="AB691" s="5" t="str">
        <f ca="1">IFERROR(__xludf.DUMMYFUNCTION("""COMPUTED_VALUE"""),"No")</f>
        <v>No</v>
      </c>
      <c r="AC691" s="5" t="str">
        <f ca="1">IFERROR(__xludf.DUMMYFUNCTION("""COMPUTED_VALUE"""),"No")</f>
        <v>No</v>
      </c>
      <c r="AD691" s="5" t="str">
        <f ca="1">IFERROR(__xludf.DUMMYFUNCTION("""COMPUTED_VALUE"""),"No")</f>
        <v>No</v>
      </c>
      <c r="AE691" s="5" t="str">
        <f ca="1">IFERROR(__xludf.DUMMYFUNCTION("""COMPUTED_VALUE"""),"No")</f>
        <v>No</v>
      </c>
      <c r="AF691" s="5" t="str">
        <f ca="1">IFERROR(__xludf.DUMMYFUNCTION("""COMPUTED_VALUE"""),"Yes")</f>
        <v>Yes</v>
      </c>
      <c r="AG691" s="5" t="str">
        <f ca="1">IFERROR(__xludf.DUMMYFUNCTION("""COMPUTED_VALUE"""),"No")</f>
        <v>No</v>
      </c>
      <c r="AH691" s="5" t="str">
        <f ca="1">IFERROR(__xludf.DUMMYFUNCTION("""COMPUTED_VALUE"""),"Yes")</f>
        <v>Yes</v>
      </c>
      <c r="AI691" s="5" t="str">
        <f ca="1">IFERROR(__xludf.DUMMYFUNCTION("""COMPUTED_VALUE"""),"No")</f>
        <v>No</v>
      </c>
      <c r="AJ691" s="5" t="str">
        <f ca="1">IFERROR(__xludf.DUMMYFUNCTION("""COMPUTED_VALUE"""),"No")</f>
        <v>No</v>
      </c>
      <c r="AK691" s="5" t="str">
        <f ca="1">IFERROR(__xludf.DUMMYFUNCTION("""COMPUTED_VALUE"""),"No")</f>
        <v>No</v>
      </c>
      <c r="AL691" s="5" t="str">
        <f ca="1">IFERROR(__xludf.DUMMYFUNCTION("""COMPUTED_VALUE"""),"No")</f>
        <v>No</v>
      </c>
      <c r="AM691" s="5"/>
      <c r="AN691" s="5"/>
      <c r="AO691" s="5"/>
      <c r="AP691" s="5"/>
      <c r="AQ691" s="5"/>
      <c r="AR691" s="5"/>
      <c r="AS691" s="5"/>
      <c r="AT691" s="5"/>
      <c r="AU691" s="5"/>
      <c r="AV691" s="5"/>
      <c r="AW691" s="5"/>
      <c r="AX691" s="5"/>
      <c r="AY691" s="5"/>
    </row>
    <row r="692" spans="1:51" x14ac:dyDescent="0.25">
      <c r="A69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2" s="5">
        <f ca="1">IFERROR(__xludf.DUMMYFUNCTION("""COMPUTED_VALUE"""),727)</f>
        <v>727</v>
      </c>
      <c r="C692" s="5">
        <f ca="1">IFERROR(__xludf.DUMMYFUNCTION("""COMPUTED_VALUE"""),180065)</f>
        <v>180065</v>
      </c>
      <c r="D692" s="5" t="str">
        <f ca="1">IFERROR(__xludf.DUMMYFUNCTION("""COMPUTED_VALUE"""),"RedstoneXCloverFire")</f>
        <v>RedstoneXCloverFire</v>
      </c>
      <c r="E692" s="5" t="str">
        <f ca="1">IFERROR(__xludf.DUMMYFUNCTION("""COMPUTED_VALUE"""),"Yes")</f>
        <v>Yes</v>
      </c>
      <c r="F692" s="5" t="str">
        <f ca="1">IFERROR(__xludf.DUMMYFUNCTION("""COMPUTED_VALUE"""),"Yes")</f>
        <v>Yes</v>
      </c>
      <c r="G692" s="5" t="str">
        <f ca="1">IFERROR(__xludf.DUMMYFUNCTION("""COMPUTED_VALUE"""),"No")</f>
        <v>No</v>
      </c>
      <c r="H692" s="5" t="str">
        <f ca="1">IFERROR(__xludf.DUMMYFUNCTION("""COMPUTED_VALUE"""),"Yes")</f>
        <v>Yes</v>
      </c>
      <c r="I692" s="5" t="str">
        <f ca="1">IFERROR(__xludf.DUMMYFUNCTION("""COMPUTED_VALUE"""),"Yes")</f>
        <v>Yes</v>
      </c>
      <c r="J692" s="5" t="str">
        <f ca="1">IFERROR(__xludf.DUMMYFUNCTION("""COMPUTED_VALUE"""),"Yes")</f>
        <v>Yes</v>
      </c>
      <c r="K692" s="5" t="str">
        <f ca="1">IFERROR(__xludf.DUMMYFUNCTION("""COMPUTED_VALUE"""),"Yes")</f>
        <v>Yes</v>
      </c>
      <c r="L692" s="5" t="str">
        <f ca="1">IFERROR(__xludf.DUMMYFUNCTION("""COMPUTED_VALUE"""),"Yes")</f>
        <v>Yes</v>
      </c>
      <c r="M692" s="5" t="str">
        <f ca="1">IFERROR(__xludf.DUMMYFUNCTION("""COMPUTED_VALUE"""),"Yes")</f>
        <v>Yes</v>
      </c>
      <c r="N692" s="5" t="str">
        <f ca="1">IFERROR(__xludf.DUMMYFUNCTION("""COMPUTED_VALUE"""),"Yes")</f>
        <v>Yes</v>
      </c>
      <c r="O692" s="5" t="str">
        <f ca="1">IFERROR(__xludf.DUMMYFUNCTION("""COMPUTED_VALUE"""),"Yes")</f>
        <v>Yes</v>
      </c>
      <c r="P692" s="5" t="str">
        <f ca="1">IFERROR(__xludf.DUMMYFUNCTION("""COMPUTED_VALUE"""),"Yes")</f>
        <v>Yes</v>
      </c>
      <c r="Q692" s="5" t="str">
        <f ca="1">IFERROR(__xludf.DUMMYFUNCTION("""COMPUTED_VALUE"""),"Yes")</f>
        <v>Yes</v>
      </c>
      <c r="R692" s="5" t="str">
        <f ca="1">IFERROR(__xludf.DUMMYFUNCTION("""COMPUTED_VALUE"""),"Yes")</f>
        <v>Yes</v>
      </c>
      <c r="S692" s="5" t="str">
        <f ca="1">IFERROR(__xludf.DUMMYFUNCTION("""COMPUTED_VALUE"""),"Yes")</f>
        <v>Yes</v>
      </c>
      <c r="T692" s="5" t="str">
        <f ca="1">IFERROR(__xludf.DUMMYFUNCTION("""COMPUTED_VALUE"""),"No")</f>
        <v>No</v>
      </c>
      <c r="U692" s="5" t="str">
        <f ca="1">IFERROR(__xludf.DUMMYFUNCTION("""COMPUTED_VALUE"""),"No")</f>
        <v>No</v>
      </c>
      <c r="V692" s="5" t="str">
        <f ca="1">IFERROR(__xludf.DUMMYFUNCTION("""COMPUTED_VALUE"""),"No")</f>
        <v>No</v>
      </c>
      <c r="W692" s="5" t="str">
        <f ca="1">IFERROR(__xludf.DUMMYFUNCTION("""COMPUTED_VALUE"""),"No")</f>
        <v>No</v>
      </c>
      <c r="X692" s="5" t="str">
        <f ca="1">IFERROR(__xludf.DUMMYFUNCTION("""COMPUTED_VALUE"""),"No")</f>
        <v>No</v>
      </c>
      <c r="Y692" s="5" t="str">
        <f ca="1">IFERROR(__xludf.DUMMYFUNCTION("""COMPUTED_VALUE"""),"No")</f>
        <v>No</v>
      </c>
      <c r="Z692" s="5" t="str">
        <f ca="1">IFERROR(__xludf.DUMMYFUNCTION("""COMPUTED_VALUE"""),"No")</f>
        <v>No</v>
      </c>
      <c r="AA692" s="5" t="str">
        <f ca="1">IFERROR(__xludf.DUMMYFUNCTION("""COMPUTED_VALUE"""),"Yes")</f>
        <v>Yes</v>
      </c>
      <c r="AB692" s="5" t="str">
        <f ca="1">IFERROR(__xludf.DUMMYFUNCTION("""COMPUTED_VALUE"""),"No")</f>
        <v>No</v>
      </c>
      <c r="AC692" s="5" t="str">
        <f ca="1">IFERROR(__xludf.DUMMYFUNCTION("""COMPUTED_VALUE"""),"No")</f>
        <v>No</v>
      </c>
      <c r="AD692" s="5" t="str">
        <f ca="1">IFERROR(__xludf.DUMMYFUNCTION("""COMPUTED_VALUE"""),"No")</f>
        <v>No</v>
      </c>
      <c r="AE692" s="5" t="str">
        <f ca="1">IFERROR(__xludf.DUMMYFUNCTION("""COMPUTED_VALUE"""),"No")</f>
        <v>No</v>
      </c>
      <c r="AF692" s="5" t="str">
        <f ca="1">IFERROR(__xludf.DUMMYFUNCTION("""COMPUTED_VALUE"""),"Yes")</f>
        <v>Yes</v>
      </c>
      <c r="AG692" s="5" t="str">
        <f ca="1">IFERROR(__xludf.DUMMYFUNCTION("""COMPUTED_VALUE"""),"No")</f>
        <v>No</v>
      </c>
      <c r="AH692" s="5" t="str">
        <f ca="1">IFERROR(__xludf.DUMMYFUNCTION("""COMPUTED_VALUE"""),"Yes")</f>
        <v>Yes</v>
      </c>
      <c r="AI692" s="5" t="str">
        <f ca="1">IFERROR(__xludf.DUMMYFUNCTION("""COMPUTED_VALUE"""),"No")</f>
        <v>No</v>
      </c>
      <c r="AJ692" s="5" t="str">
        <f ca="1">IFERROR(__xludf.DUMMYFUNCTION("""COMPUTED_VALUE"""),"No")</f>
        <v>No</v>
      </c>
      <c r="AK692" s="5" t="str">
        <f ca="1">IFERROR(__xludf.DUMMYFUNCTION("""COMPUTED_VALUE"""),"No")</f>
        <v>No</v>
      </c>
      <c r="AL692" s="5" t="str">
        <f ca="1">IFERROR(__xludf.DUMMYFUNCTION("""COMPUTED_VALUE"""),"No")</f>
        <v>No</v>
      </c>
      <c r="AM692" s="5"/>
      <c r="AN692" s="5"/>
      <c r="AO692" s="5"/>
      <c r="AP692" s="5"/>
      <c r="AQ692" s="5"/>
      <c r="AR692" s="5"/>
      <c r="AS692" s="5"/>
      <c r="AT692" s="5"/>
      <c r="AU692" s="5"/>
      <c r="AV692" s="5"/>
      <c r="AW692" s="5"/>
      <c r="AX692" s="5"/>
      <c r="AY692" s="5"/>
    </row>
    <row r="693" spans="1:51" x14ac:dyDescent="0.25">
      <c r="A693"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3" s="5">
        <f ca="1">IFERROR(__xludf.DUMMYFUNCTION("""COMPUTED_VALUE"""),728)</f>
        <v>728</v>
      </c>
      <c r="C693" s="5">
        <f ca="1">IFERROR(__xludf.DUMMYFUNCTION("""COMPUTED_VALUE"""),180067)</f>
        <v>180067</v>
      </c>
      <c r="D693" s="5" t="str">
        <f ca="1">IFERROR(__xludf.DUMMYFUNCTION("""COMPUTED_VALUE"""),"Redstone5HeartDeluxe")</f>
        <v>Redstone5HeartDeluxe</v>
      </c>
      <c r="E693" s="5" t="str">
        <f ca="1">IFERROR(__xludf.DUMMYFUNCTION("""COMPUTED_VALUE"""),"Yes")</f>
        <v>Yes</v>
      </c>
      <c r="F693" s="5" t="str">
        <f ca="1">IFERROR(__xludf.DUMMYFUNCTION("""COMPUTED_VALUE"""),"Yes")</f>
        <v>Yes</v>
      </c>
      <c r="G693" s="5" t="str">
        <f ca="1">IFERROR(__xludf.DUMMYFUNCTION("""COMPUTED_VALUE"""),"No")</f>
        <v>No</v>
      </c>
      <c r="H693" s="5" t="str">
        <f ca="1">IFERROR(__xludf.DUMMYFUNCTION("""COMPUTED_VALUE"""),"Yes")</f>
        <v>Yes</v>
      </c>
      <c r="I693" s="5" t="str">
        <f ca="1">IFERROR(__xludf.DUMMYFUNCTION("""COMPUTED_VALUE"""),"Yes")</f>
        <v>Yes</v>
      </c>
      <c r="J693" s="5" t="str">
        <f ca="1">IFERROR(__xludf.DUMMYFUNCTION("""COMPUTED_VALUE"""),"Yes")</f>
        <v>Yes</v>
      </c>
      <c r="K693" s="5" t="str">
        <f ca="1">IFERROR(__xludf.DUMMYFUNCTION("""COMPUTED_VALUE"""),"Yes")</f>
        <v>Yes</v>
      </c>
      <c r="L693" s="5" t="str">
        <f ca="1">IFERROR(__xludf.DUMMYFUNCTION("""COMPUTED_VALUE"""),"Yes")</f>
        <v>Yes</v>
      </c>
      <c r="M693" s="5" t="str">
        <f ca="1">IFERROR(__xludf.DUMMYFUNCTION("""COMPUTED_VALUE"""),"Yes")</f>
        <v>Yes</v>
      </c>
      <c r="N693" s="5" t="str">
        <f ca="1">IFERROR(__xludf.DUMMYFUNCTION("""COMPUTED_VALUE"""),"Yes")</f>
        <v>Yes</v>
      </c>
      <c r="O693" s="5" t="str">
        <f ca="1">IFERROR(__xludf.DUMMYFUNCTION("""COMPUTED_VALUE"""),"Yes")</f>
        <v>Yes</v>
      </c>
      <c r="P693" s="5" t="str">
        <f ca="1">IFERROR(__xludf.DUMMYFUNCTION("""COMPUTED_VALUE"""),"Yes")</f>
        <v>Yes</v>
      </c>
      <c r="Q693" s="5" t="str">
        <f ca="1">IFERROR(__xludf.DUMMYFUNCTION("""COMPUTED_VALUE"""),"Yes")</f>
        <v>Yes</v>
      </c>
      <c r="R693" s="5" t="str">
        <f ca="1">IFERROR(__xludf.DUMMYFUNCTION("""COMPUTED_VALUE"""),"Yes")</f>
        <v>Yes</v>
      </c>
      <c r="S693" s="5" t="str">
        <f ca="1">IFERROR(__xludf.DUMMYFUNCTION("""COMPUTED_VALUE"""),"Yes")</f>
        <v>Yes</v>
      </c>
      <c r="T693" s="5" t="str">
        <f ca="1">IFERROR(__xludf.DUMMYFUNCTION("""COMPUTED_VALUE"""),"No")</f>
        <v>No</v>
      </c>
      <c r="U693" s="5" t="str">
        <f ca="1">IFERROR(__xludf.DUMMYFUNCTION("""COMPUTED_VALUE"""),"No")</f>
        <v>No</v>
      </c>
      <c r="V693" s="5" t="str">
        <f ca="1">IFERROR(__xludf.DUMMYFUNCTION("""COMPUTED_VALUE"""),"No")</f>
        <v>No</v>
      </c>
      <c r="W693" s="5" t="str">
        <f ca="1">IFERROR(__xludf.DUMMYFUNCTION("""COMPUTED_VALUE"""),"No")</f>
        <v>No</v>
      </c>
      <c r="X693" s="5" t="str">
        <f ca="1">IFERROR(__xludf.DUMMYFUNCTION("""COMPUTED_VALUE"""),"No")</f>
        <v>No</v>
      </c>
      <c r="Y693" s="5" t="str">
        <f ca="1">IFERROR(__xludf.DUMMYFUNCTION("""COMPUTED_VALUE"""),"No")</f>
        <v>No</v>
      </c>
      <c r="Z693" s="5" t="str">
        <f ca="1">IFERROR(__xludf.DUMMYFUNCTION("""COMPUTED_VALUE"""),"No")</f>
        <v>No</v>
      </c>
      <c r="AA693" s="5" t="str">
        <f ca="1">IFERROR(__xludf.DUMMYFUNCTION("""COMPUTED_VALUE"""),"Yes")</f>
        <v>Yes</v>
      </c>
      <c r="AB693" s="5" t="str">
        <f ca="1">IFERROR(__xludf.DUMMYFUNCTION("""COMPUTED_VALUE"""),"No")</f>
        <v>No</v>
      </c>
      <c r="AC693" s="5" t="str">
        <f ca="1">IFERROR(__xludf.DUMMYFUNCTION("""COMPUTED_VALUE"""),"No")</f>
        <v>No</v>
      </c>
      <c r="AD693" s="5" t="str">
        <f ca="1">IFERROR(__xludf.DUMMYFUNCTION("""COMPUTED_VALUE"""),"No")</f>
        <v>No</v>
      </c>
      <c r="AE693" s="5" t="str">
        <f ca="1">IFERROR(__xludf.DUMMYFUNCTION("""COMPUTED_VALUE"""),"No")</f>
        <v>No</v>
      </c>
      <c r="AF693" s="5" t="str">
        <f ca="1">IFERROR(__xludf.DUMMYFUNCTION("""COMPUTED_VALUE"""),"Yes")</f>
        <v>Yes</v>
      </c>
      <c r="AG693" s="5" t="str">
        <f ca="1">IFERROR(__xludf.DUMMYFUNCTION("""COMPUTED_VALUE"""),"No")</f>
        <v>No</v>
      </c>
      <c r="AH693" s="5" t="str">
        <f ca="1">IFERROR(__xludf.DUMMYFUNCTION("""COMPUTED_VALUE"""),"Yes")</f>
        <v>Yes</v>
      </c>
      <c r="AI693" s="5" t="str">
        <f ca="1">IFERROR(__xludf.DUMMYFUNCTION("""COMPUTED_VALUE"""),"No")</f>
        <v>No</v>
      </c>
      <c r="AJ693" s="5" t="str">
        <f ca="1">IFERROR(__xludf.DUMMYFUNCTION("""COMPUTED_VALUE"""),"No")</f>
        <v>No</v>
      </c>
      <c r="AK693" s="5" t="str">
        <f ca="1">IFERROR(__xludf.DUMMYFUNCTION("""COMPUTED_VALUE"""),"No")</f>
        <v>No</v>
      </c>
      <c r="AL693" s="5" t="str">
        <f ca="1">IFERROR(__xludf.DUMMYFUNCTION("""COMPUTED_VALUE"""),"No")</f>
        <v>No</v>
      </c>
      <c r="AM693" s="5"/>
      <c r="AN693" s="5"/>
      <c r="AO693" s="5"/>
      <c r="AP693" s="5"/>
      <c r="AQ693" s="5"/>
      <c r="AR693" s="5"/>
      <c r="AS693" s="5"/>
      <c r="AT693" s="5"/>
      <c r="AU693" s="5"/>
      <c r="AV693" s="5"/>
      <c r="AW693" s="5"/>
      <c r="AX693" s="5"/>
      <c r="AY693" s="5"/>
    </row>
    <row r="694" spans="1:51" x14ac:dyDescent="0.25">
      <c r="A694"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4" s="5">
        <f ca="1">IFERROR(__xludf.DUMMYFUNCTION("""COMPUTED_VALUE"""),729)</f>
        <v>729</v>
      </c>
      <c r="C694" s="5">
        <f ca="1">IFERROR(__xludf.DUMMYFUNCTION("""COMPUTED_VALUE"""),180068)</f>
        <v>180068</v>
      </c>
      <c r="D694" s="5" t="str">
        <f ca="1">IFERROR(__xludf.DUMMYFUNCTION("""COMPUTED_VALUE"""),"RedstoneCloverDeluxe2X")</f>
        <v>RedstoneCloverDeluxe2X</v>
      </c>
      <c r="E694" s="5" t="str">
        <f ca="1">IFERROR(__xludf.DUMMYFUNCTION("""COMPUTED_VALUE"""),"Yes")</f>
        <v>Yes</v>
      </c>
      <c r="F694" s="5" t="str">
        <f ca="1">IFERROR(__xludf.DUMMYFUNCTION("""COMPUTED_VALUE"""),"Yes")</f>
        <v>Yes</v>
      </c>
      <c r="G694" s="5" t="str">
        <f ca="1">IFERROR(__xludf.DUMMYFUNCTION("""COMPUTED_VALUE"""),"Yes")</f>
        <v>Yes</v>
      </c>
      <c r="H694" s="5" t="str">
        <f ca="1">IFERROR(__xludf.DUMMYFUNCTION("""COMPUTED_VALUE"""),"Yes")</f>
        <v>Yes</v>
      </c>
      <c r="I694" s="5" t="str">
        <f ca="1">IFERROR(__xludf.DUMMYFUNCTION("""COMPUTED_VALUE"""),"Yes")</f>
        <v>Yes</v>
      </c>
      <c r="J694" s="5" t="str">
        <f ca="1">IFERROR(__xludf.DUMMYFUNCTION("""COMPUTED_VALUE"""),"Yes")</f>
        <v>Yes</v>
      </c>
      <c r="K694" s="5" t="str">
        <f ca="1">IFERROR(__xludf.DUMMYFUNCTION("""COMPUTED_VALUE"""),"Yes")</f>
        <v>Yes</v>
      </c>
      <c r="L694" s="5" t="str">
        <f ca="1">IFERROR(__xludf.DUMMYFUNCTION("""COMPUTED_VALUE"""),"Yes")</f>
        <v>Yes</v>
      </c>
      <c r="M694" s="5" t="str">
        <f ca="1">IFERROR(__xludf.DUMMYFUNCTION("""COMPUTED_VALUE"""),"Yes")</f>
        <v>Yes</v>
      </c>
      <c r="N694" s="5" t="str">
        <f ca="1">IFERROR(__xludf.DUMMYFUNCTION("""COMPUTED_VALUE"""),"Yes")</f>
        <v>Yes</v>
      </c>
      <c r="O694" s="5" t="str">
        <f ca="1">IFERROR(__xludf.DUMMYFUNCTION("""COMPUTED_VALUE"""),"Yes")</f>
        <v>Yes</v>
      </c>
      <c r="P694" s="5" t="str">
        <f ca="1">IFERROR(__xludf.DUMMYFUNCTION("""COMPUTED_VALUE"""),"Yes")</f>
        <v>Yes</v>
      </c>
      <c r="Q694" s="5" t="str">
        <f ca="1">IFERROR(__xludf.DUMMYFUNCTION("""COMPUTED_VALUE"""),"Yes")</f>
        <v>Yes</v>
      </c>
      <c r="R694" s="5" t="str">
        <f ca="1">IFERROR(__xludf.DUMMYFUNCTION("""COMPUTED_VALUE"""),"Yes")</f>
        <v>Yes</v>
      </c>
      <c r="S694" s="5" t="str">
        <f ca="1">IFERROR(__xludf.DUMMYFUNCTION("""COMPUTED_VALUE"""),"Yes")</f>
        <v>Yes</v>
      </c>
      <c r="T694" s="5" t="str">
        <f ca="1">IFERROR(__xludf.DUMMYFUNCTION("""COMPUTED_VALUE"""),"No")</f>
        <v>No</v>
      </c>
      <c r="U694" s="5" t="str">
        <f ca="1">IFERROR(__xludf.DUMMYFUNCTION("""COMPUTED_VALUE"""),"No")</f>
        <v>No</v>
      </c>
      <c r="V694" s="5" t="str">
        <f ca="1">IFERROR(__xludf.DUMMYFUNCTION("""COMPUTED_VALUE"""),"No")</f>
        <v>No</v>
      </c>
      <c r="W694" s="5" t="str">
        <f ca="1">IFERROR(__xludf.DUMMYFUNCTION("""COMPUTED_VALUE"""),"No")</f>
        <v>No</v>
      </c>
      <c r="X694" s="5" t="str">
        <f ca="1">IFERROR(__xludf.DUMMYFUNCTION("""COMPUTED_VALUE"""),"No")</f>
        <v>No</v>
      </c>
      <c r="Y694" s="5" t="str">
        <f ca="1">IFERROR(__xludf.DUMMYFUNCTION("""COMPUTED_VALUE"""),"No")</f>
        <v>No</v>
      </c>
      <c r="Z694" s="5" t="str">
        <f ca="1">IFERROR(__xludf.DUMMYFUNCTION("""COMPUTED_VALUE"""),"No")</f>
        <v>No</v>
      </c>
      <c r="AA694" s="5" t="str">
        <f ca="1">IFERROR(__xludf.DUMMYFUNCTION("""COMPUTED_VALUE"""),"Yes")</f>
        <v>Yes</v>
      </c>
      <c r="AB694" s="5" t="str">
        <f ca="1">IFERROR(__xludf.DUMMYFUNCTION("""COMPUTED_VALUE"""),"No")</f>
        <v>No</v>
      </c>
      <c r="AC694" s="5" t="str">
        <f ca="1">IFERROR(__xludf.DUMMYFUNCTION("""COMPUTED_VALUE"""),"No")</f>
        <v>No</v>
      </c>
      <c r="AD694" s="5" t="str">
        <f ca="1">IFERROR(__xludf.DUMMYFUNCTION("""COMPUTED_VALUE"""),"No")</f>
        <v>No</v>
      </c>
      <c r="AE694" s="5" t="str">
        <f ca="1">IFERROR(__xludf.DUMMYFUNCTION("""COMPUTED_VALUE"""),"No")</f>
        <v>No</v>
      </c>
      <c r="AF694" s="5" t="str">
        <f ca="1">IFERROR(__xludf.DUMMYFUNCTION("""COMPUTED_VALUE"""),"Yes")</f>
        <v>Yes</v>
      </c>
      <c r="AG694" s="5" t="str">
        <f ca="1">IFERROR(__xludf.DUMMYFUNCTION("""COMPUTED_VALUE"""),"No")</f>
        <v>No</v>
      </c>
      <c r="AH694" s="5" t="str">
        <f ca="1">IFERROR(__xludf.DUMMYFUNCTION("""COMPUTED_VALUE"""),"Yes")</f>
        <v>Yes</v>
      </c>
      <c r="AI694" s="5" t="str">
        <f ca="1">IFERROR(__xludf.DUMMYFUNCTION("""COMPUTED_VALUE"""),"No")</f>
        <v>No</v>
      </c>
      <c r="AJ694" s="5" t="str">
        <f ca="1">IFERROR(__xludf.DUMMYFUNCTION("""COMPUTED_VALUE"""),"No")</f>
        <v>No</v>
      </c>
      <c r="AK694" s="5" t="str">
        <f ca="1">IFERROR(__xludf.DUMMYFUNCTION("""COMPUTED_VALUE"""),"No")</f>
        <v>No</v>
      </c>
      <c r="AL694" s="5" t="str">
        <f ca="1">IFERROR(__xludf.DUMMYFUNCTION("""COMPUTED_VALUE"""),"No")</f>
        <v>No</v>
      </c>
      <c r="AM694" s="5"/>
      <c r="AN694" s="5"/>
      <c r="AO694" s="5"/>
      <c r="AP694" s="5"/>
      <c r="AQ694" s="5"/>
      <c r="AR694" s="5"/>
      <c r="AS694" s="5"/>
      <c r="AT694" s="5"/>
      <c r="AU694" s="5"/>
      <c r="AV694" s="5"/>
      <c r="AW694" s="5"/>
      <c r="AX694" s="5"/>
      <c r="AY694" s="5"/>
    </row>
    <row r="695" spans="1:51" x14ac:dyDescent="0.25">
      <c r="A695"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5" s="5">
        <f ca="1">IFERROR(__xludf.DUMMYFUNCTION("""COMPUTED_VALUE"""),730)</f>
        <v>730</v>
      </c>
      <c r="C695" s="5">
        <f ca="1">IFERROR(__xludf.DUMMYFUNCTION("""COMPUTED_VALUE"""),180069)</f>
        <v>180069</v>
      </c>
      <c r="D695" s="5" t="str">
        <f ca="1">IFERROR(__xludf.DUMMYFUNCTION("""COMPUTED_VALUE"""),"RedstonePureHot5")</f>
        <v>RedstonePureHot5</v>
      </c>
      <c r="E695" s="5" t="str">
        <f ca="1">IFERROR(__xludf.DUMMYFUNCTION("""COMPUTED_VALUE"""),"Yes")</f>
        <v>Yes</v>
      </c>
      <c r="F695" s="5" t="str">
        <f ca="1">IFERROR(__xludf.DUMMYFUNCTION("""COMPUTED_VALUE"""),"Yes")</f>
        <v>Yes</v>
      </c>
      <c r="G695" s="5" t="str">
        <f ca="1">IFERROR(__xludf.DUMMYFUNCTION("""COMPUTED_VALUE"""),"Yes")</f>
        <v>Yes</v>
      </c>
      <c r="H695" s="5" t="str">
        <f ca="1">IFERROR(__xludf.DUMMYFUNCTION("""COMPUTED_VALUE"""),"Yes")</f>
        <v>Yes</v>
      </c>
      <c r="I695" s="5" t="str">
        <f ca="1">IFERROR(__xludf.DUMMYFUNCTION("""COMPUTED_VALUE"""),"Yes")</f>
        <v>Yes</v>
      </c>
      <c r="J695" s="5" t="str">
        <f ca="1">IFERROR(__xludf.DUMMYFUNCTION("""COMPUTED_VALUE"""),"Yes")</f>
        <v>Yes</v>
      </c>
      <c r="K695" s="5" t="str">
        <f ca="1">IFERROR(__xludf.DUMMYFUNCTION("""COMPUTED_VALUE"""),"Yes")</f>
        <v>Yes</v>
      </c>
      <c r="L695" s="5" t="str">
        <f ca="1">IFERROR(__xludf.DUMMYFUNCTION("""COMPUTED_VALUE"""),"Yes")</f>
        <v>Yes</v>
      </c>
      <c r="M695" s="5" t="str">
        <f ca="1">IFERROR(__xludf.DUMMYFUNCTION("""COMPUTED_VALUE"""),"Yes")</f>
        <v>Yes</v>
      </c>
      <c r="N695" s="5" t="str">
        <f ca="1">IFERROR(__xludf.DUMMYFUNCTION("""COMPUTED_VALUE"""),"Yes")</f>
        <v>Yes</v>
      </c>
      <c r="O695" s="5" t="str">
        <f ca="1">IFERROR(__xludf.DUMMYFUNCTION("""COMPUTED_VALUE"""),"Yes")</f>
        <v>Yes</v>
      </c>
      <c r="P695" s="5" t="str">
        <f ca="1">IFERROR(__xludf.DUMMYFUNCTION("""COMPUTED_VALUE"""),"Yes")</f>
        <v>Yes</v>
      </c>
      <c r="Q695" s="5" t="str">
        <f ca="1">IFERROR(__xludf.DUMMYFUNCTION("""COMPUTED_VALUE"""),"Yes")</f>
        <v>Yes</v>
      </c>
      <c r="R695" s="5" t="str">
        <f ca="1">IFERROR(__xludf.DUMMYFUNCTION("""COMPUTED_VALUE"""),"Yes")</f>
        <v>Yes</v>
      </c>
      <c r="S695" s="5" t="str">
        <f ca="1">IFERROR(__xludf.DUMMYFUNCTION("""COMPUTED_VALUE"""),"Yes")</f>
        <v>Yes</v>
      </c>
      <c r="T695" s="5" t="str">
        <f ca="1">IFERROR(__xludf.DUMMYFUNCTION("""COMPUTED_VALUE"""),"No")</f>
        <v>No</v>
      </c>
      <c r="U695" s="5" t="str">
        <f ca="1">IFERROR(__xludf.DUMMYFUNCTION("""COMPUTED_VALUE"""),"No")</f>
        <v>No</v>
      </c>
      <c r="V695" s="5" t="str">
        <f ca="1">IFERROR(__xludf.DUMMYFUNCTION("""COMPUTED_VALUE"""),"No")</f>
        <v>No</v>
      </c>
      <c r="W695" s="5" t="str">
        <f ca="1">IFERROR(__xludf.DUMMYFUNCTION("""COMPUTED_VALUE"""),"No")</f>
        <v>No</v>
      </c>
      <c r="X695" s="5" t="str">
        <f ca="1">IFERROR(__xludf.DUMMYFUNCTION("""COMPUTED_VALUE"""),"No")</f>
        <v>No</v>
      </c>
      <c r="Y695" s="5" t="str">
        <f ca="1">IFERROR(__xludf.DUMMYFUNCTION("""COMPUTED_VALUE"""),"No")</f>
        <v>No</v>
      </c>
      <c r="Z695" s="5" t="str">
        <f ca="1">IFERROR(__xludf.DUMMYFUNCTION("""COMPUTED_VALUE"""),"No")</f>
        <v>No</v>
      </c>
      <c r="AA695" s="5" t="str">
        <f ca="1">IFERROR(__xludf.DUMMYFUNCTION("""COMPUTED_VALUE"""),"Yes")</f>
        <v>Yes</v>
      </c>
      <c r="AB695" s="5" t="str">
        <f ca="1">IFERROR(__xludf.DUMMYFUNCTION("""COMPUTED_VALUE"""),"No")</f>
        <v>No</v>
      </c>
      <c r="AC695" s="5" t="str">
        <f ca="1">IFERROR(__xludf.DUMMYFUNCTION("""COMPUTED_VALUE"""),"No")</f>
        <v>No</v>
      </c>
      <c r="AD695" s="5" t="str">
        <f ca="1">IFERROR(__xludf.DUMMYFUNCTION("""COMPUTED_VALUE"""),"No")</f>
        <v>No</v>
      </c>
      <c r="AE695" s="5" t="str">
        <f ca="1">IFERROR(__xludf.DUMMYFUNCTION("""COMPUTED_VALUE"""),"No")</f>
        <v>No</v>
      </c>
      <c r="AF695" s="5" t="str">
        <f ca="1">IFERROR(__xludf.DUMMYFUNCTION("""COMPUTED_VALUE"""),"Yes")</f>
        <v>Yes</v>
      </c>
      <c r="AG695" s="5" t="str">
        <f ca="1">IFERROR(__xludf.DUMMYFUNCTION("""COMPUTED_VALUE"""),"No")</f>
        <v>No</v>
      </c>
      <c r="AH695" s="5" t="str">
        <f ca="1">IFERROR(__xludf.DUMMYFUNCTION("""COMPUTED_VALUE"""),"Yes")</f>
        <v>Yes</v>
      </c>
      <c r="AI695" s="5" t="str">
        <f ca="1">IFERROR(__xludf.DUMMYFUNCTION("""COMPUTED_VALUE"""),"No")</f>
        <v>No</v>
      </c>
      <c r="AJ695" s="5" t="str">
        <f ca="1">IFERROR(__xludf.DUMMYFUNCTION("""COMPUTED_VALUE"""),"No")</f>
        <v>No</v>
      </c>
      <c r="AK695" s="5" t="str">
        <f ca="1">IFERROR(__xludf.DUMMYFUNCTION("""COMPUTED_VALUE"""),"No")</f>
        <v>No</v>
      </c>
      <c r="AL695" s="5" t="str">
        <f ca="1">IFERROR(__xludf.DUMMYFUNCTION("""COMPUTED_VALUE"""),"No")</f>
        <v>No</v>
      </c>
      <c r="AM695" s="5"/>
      <c r="AN695" s="5"/>
      <c r="AO695" s="5"/>
      <c r="AP695" s="5"/>
      <c r="AQ695" s="5"/>
      <c r="AR695" s="5"/>
      <c r="AS695" s="5"/>
      <c r="AT695" s="5"/>
      <c r="AU695" s="5"/>
      <c r="AV695" s="5"/>
      <c r="AW695" s="5"/>
      <c r="AX695" s="5"/>
      <c r="AY695" s="5"/>
    </row>
    <row r="696" spans="1:51" x14ac:dyDescent="0.25">
      <c r="A6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96" s="5">
        <f ca="1">IFERROR(__xludf.DUMMYFUNCTION("""COMPUTED_VALUE"""),731)</f>
        <v>731</v>
      </c>
      <c r="C696" s="5">
        <f ca="1">IFERROR(__xludf.DUMMYFUNCTION("""COMPUTED_VALUE"""),3035)</f>
        <v>3035</v>
      </c>
      <c r="D696" s="5" t="str">
        <f ca="1">IFERROR(__xludf.DUMMYFUNCTION("""COMPUTED_VALUE"""),"GoldenCrownExtremeBooster")</f>
        <v>GoldenCrownExtremeBooster</v>
      </c>
      <c r="E696" s="5" t="str">
        <f ca="1">IFERROR(__xludf.DUMMYFUNCTION("""COMPUTED_VALUE"""),"Yes")</f>
        <v>Yes</v>
      </c>
      <c r="F696" s="5" t="str">
        <f ca="1">IFERROR(__xludf.DUMMYFUNCTION("""COMPUTED_VALUE"""),"Yes")</f>
        <v>Yes</v>
      </c>
      <c r="G696" s="5" t="str">
        <f ca="1">IFERROR(__xludf.DUMMYFUNCTION("""COMPUTED_VALUE"""),"Yes")</f>
        <v>Yes</v>
      </c>
      <c r="H696" s="5" t="str">
        <f ca="1">IFERROR(__xludf.DUMMYFUNCTION("""COMPUTED_VALUE"""),"Yes")</f>
        <v>Yes</v>
      </c>
      <c r="I696" s="5" t="str">
        <f ca="1">IFERROR(__xludf.DUMMYFUNCTION("""COMPUTED_VALUE"""),"Yes")</f>
        <v>Yes</v>
      </c>
      <c r="J696" s="5" t="str">
        <f ca="1">IFERROR(__xludf.DUMMYFUNCTION("""COMPUTED_VALUE"""),"Yes")</f>
        <v>Yes</v>
      </c>
      <c r="K696" s="5" t="str">
        <f ca="1">IFERROR(__xludf.DUMMYFUNCTION("""COMPUTED_VALUE"""),"Yes")</f>
        <v>Yes</v>
      </c>
      <c r="L696" s="5" t="str">
        <f ca="1">IFERROR(__xludf.DUMMYFUNCTION("""COMPUTED_VALUE"""),"Yes")</f>
        <v>Yes</v>
      </c>
      <c r="M696" s="5" t="str">
        <f ca="1">IFERROR(__xludf.DUMMYFUNCTION("""COMPUTED_VALUE"""),"Yes")</f>
        <v>Yes</v>
      </c>
      <c r="N696" s="5" t="str">
        <f ca="1">IFERROR(__xludf.DUMMYFUNCTION("""COMPUTED_VALUE"""),"Yes")</f>
        <v>Yes</v>
      </c>
      <c r="O696" s="5" t="str">
        <f ca="1">IFERROR(__xludf.DUMMYFUNCTION("""COMPUTED_VALUE"""),"Yes")</f>
        <v>Yes</v>
      </c>
      <c r="P696" s="5" t="str">
        <f ca="1">IFERROR(__xludf.DUMMYFUNCTION("""COMPUTED_VALUE"""),"Yes")</f>
        <v>Yes</v>
      </c>
      <c r="Q696" s="5" t="str">
        <f ca="1">IFERROR(__xludf.DUMMYFUNCTION("""COMPUTED_VALUE"""),"Yes")</f>
        <v>Yes</v>
      </c>
      <c r="R696" s="5" t="str">
        <f ca="1">IFERROR(__xludf.DUMMYFUNCTION("""COMPUTED_VALUE"""),"Yes")</f>
        <v>Yes</v>
      </c>
      <c r="S696" s="5" t="str">
        <f ca="1">IFERROR(__xludf.DUMMYFUNCTION("""COMPUTED_VALUE"""),"Yes")</f>
        <v>Yes</v>
      </c>
      <c r="T696" s="5" t="str">
        <f ca="1">IFERROR(__xludf.DUMMYFUNCTION("""COMPUTED_VALUE"""),"Yes")</f>
        <v>Yes</v>
      </c>
      <c r="U696" s="5" t="str">
        <f ca="1">IFERROR(__xludf.DUMMYFUNCTION("""COMPUTED_VALUE"""),"Yes")</f>
        <v>Yes</v>
      </c>
      <c r="V696" s="5" t="str">
        <f ca="1">IFERROR(__xludf.DUMMYFUNCTION("""COMPUTED_VALUE"""),"Yes")</f>
        <v>Yes</v>
      </c>
      <c r="W696" s="5" t="str">
        <f ca="1">IFERROR(__xludf.DUMMYFUNCTION("""COMPUTED_VALUE"""),"Yes")</f>
        <v>Yes</v>
      </c>
      <c r="X696" s="5" t="str">
        <f ca="1">IFERROR(__xludf.DUMMYFUNCTION("""COMPUTED_VALUE"""),"Yes")</f>
        <v>Yes</v>
      </c>
      <c r="Y696" s="5" t="str">
        <f ca="1">IFERROR(__xludf.DUMMYFUNCTION("""COMPUTED_VALUE"""),"Yes")</f>
        <v>Yes</v>
      </c>
      <c r="Z696" s="5" t="str">
        <f ca="1">IFERROR(__xludf.DUMMYFUNCTION("""COMPUTED_VALUE"""),"Yes")</f>
        <v>Yes</v>
      </c>
      <c r="AA696" s="5" t="str">
        <f ca="1">IFERROR(__xludf.DUMMYFUNCTION("""COMPUTED_VALUE"""),"Yes")</f>
        <v>Yes</v>
      </c>
      <c r="AB696" s="5" t="str">
        <f ca="1">IFERROR(__xludf.DUMMYFUNCTION("""COMPUTED_VALUE"""),"Yes")</f>
        <v>Yes</v>
      </c>
      <c r="AC696" s="5" t="str">
        <f ca="1">IFERROR(__xludf.DUMMYFUNCTION("""COMPUTED_VALUE"""),"Yes")</f>
        <v>Yes</v>
      </c>
      <c r="AD696" s="5" t="str">
        <f ca="1">IFERROR(__xludf.DUMMYFUNCTION("""COMPUTED_VALUE"""),"Yes")</f>
        <v>Yes</v>
      </c>
      <c r="AE696" s="5" t="str">
        <f ca="1">IFERROR(__xludf.DUMMYFUNCTION("""COMPUTED_VALUE"""),"Yes")</f>
        <v>Yes</v>
      </c>
      <c r="AF696" s="5" t="str">
        <f ca="1">IFERROR(__xludf.DUMMYFUNCTION("""COMPUTED_VALUE"""),"Yes")</f>
        <v>Yes</v>
      </c>
      <c r="AG696" s="5" t="str">
        <f ca="1">IFERROR(__xludf.DUMMYFUNCTION("""COMPUTED_VALUE"""),"Yes")</f>
        <v>Yes</v>
      </c>
      <c r="AH696" s="5" t="str">
        <f ca="1">IFERROR(__xludf.DUMMYFUNCTION("""COMPUTED_VALUE"""),"Yes")</f>
        <v>Yes</v>
      </c>
      <c r="AI696" s="5" t="str">
        <f ca="1">IFERROR(__xludf.DUMMYFUNCTION("""COMPUTED_VALUE"""),"No")</f>
        <v>No</v>
      </c>
      <c r="AJ696" s="5" t="str">
        <f ca="1">IFERROR(__xludf.DUMMYFUNCTION("""COMPUTED_VALUE"""),"No")</f>
        <v>No</v>
      </c>
      <c r="AK696" s="5" t="str">
        <f ca="1">IFERROR(__xludf.DUMMYFUNCTION("""COMPUTED_VALUE"""),"No")</f>
        <v>No</v>
      </c>
      <c r="AL696" s="5" t="str">
        <f ca="1">IFERROR(__xludf.DUMMYFUNCTION("""COMPUTED_VALUE"""),"No")</f>
        <v>No</v>
      </c>
      <c r="AM696" s="5"/>
      <c r="AN696" s="5"/>
      <c r="AO696" s="5"/>
      <c r="AP696" s="5"/>
      <c r="AQ696" s="5"/>
      <c r="AR696" s="5"/>
      <c r="AS696" s="5"/>
      <c r="AT696" s="5"/>
      <c r="AU696" s="5"/>
      <c r="AV696" s="5"/>
      <c r="AW696" s="5"/>
      <c r="AX696" s="5"/>
      <c r="AY696" s="5"/>
    </row>
    <row r="697" spans="1:51" x14ac:dyDescent="0.25">
      <c r="A697"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7" s="5">
        <f ca="1">IFERROR(__xludf.DUMMYFUNCTION("""COMPUTED_VALUE"""),732)</f>
        <v>732</v>
      </c>
      <c r="C697" s="5">
        <f ca="1">IFERROR(__xludf.DUMMYFUNCTION("""COMPUTED_VALUE"""),180070)</f>
        <v>180070</v>
      </c>
      <c r="D697" s="5" t="str">
        <f ca="1">IFERROR(__xludf.DUMMYFUNCTION("""COMPUTED_VALUE"""),"RedstoneXWildCrown")</f>
        <v>RedstoneXWildCrown</v>
      </c>
      <c r="E697" s="5" t="str">
        <f ca="1">IFERROR(__xludf.DUMMYFUNCTION("""COMPUTED_VALUE"""),"Yes")</f>
        <v>Yes</v>
      </c>
      <c r="F697" s="5" t="str">
        <f ca="1">IFERROR(__xludf.DUMMYFUNCTION("""COMPUTED_VALUE"""),"Yes")</f>
        <v>Yes</v>
      </c>
      <c r="G697" s="5" t="str">
        <f ca="1">IFERROR(__xludf.DUMMYFUNCTION("""COMPUTED_VALUE"""),"Yes")</f>
        <v>Yes</v>
      </c>
      <c r="H697" s="5" t="str">
        <f ca="1">IFERROR(__xludf.DUMMYFUNCTION("""COMPUTED_VALUE"""),"Yes")</f>
        <v>Yes</v>
      </c>
      <c r="I697" s="5" t="str">
        <f ca="1">IFERROR(__xludf.DUMMYFUNCTION("""COMPUTED_VALUE"""),"Yes")</f>
        <v>Yes</v>
      </c>
      <c r="J697" s="5" t="str">
        <f ca="1">IFERROR(__xludf.DUMMYFUNCTION("""COMPUTED_VALUE"""),"Yes")</f>
        <v>Yes</v>
      </c>
      <c r="K697" s="5" t="str">
        <f ca="1">IFERROR(__xludf.DUMMYFUNCTION("""COMPUTED_VALUE"""),"Yes")</f>
        <v>Yes</v>
      </c>
      <c r="L697" s="5" t="str">
        <f ca="1">IFERROR(__xludf.DUMMYFUNCTION("""COMPUTED_VALUE"""),"Yes")</f>
        <v>Yes</v>
      </c>
      <c r="M697" s="5" t="str">
        <f ca="1">IFERROR(__xludf.DUMMYFUNCTION("""COMPUTED_VALUE"""),"Yes")</f>
        <v>Yes</v>
      </c>
      <c r="N697" s="5" t="str">
        <f ca="1">IFERROR(__xludf.DUMMYFUNCTION("""COMPUTED_VALUE"""),"Yes")</f>
        <v>Yes</v>
      </c>
      <c r="O697" s="5" t="str">
        <f ca="1">IFERROR(__xludf.DUMMYFUNCTION("""COMPUTED_VALUE"""),"Yes")</f>
        <v>Yes</v>
      </c>
      <c r="P697" s="5" t="str">
        <f ca="1">IFERROR(__xludf.DUMMYFUNCTION("""COMPUTED_VALUE"""),"Yes")</f>
        <v>Yes</v>
      </c>
      <c r="Q697" s="5" t="str">
        <f ca="1">IFERROR(__xludf.DUMMYFUNCTION("""COMPUTED_VALUE"""),"Yes")</f>
        <v>Yes</v>
      </c>
      <c r="R697" s="5" t="str">
        <f ca="1">IFERROR(__xludf.DUMMYFUNCTION("""COMPUTED_VALUE"""),"Yes")</f>
        <v>Yes</v>
      </c>
      <c r="S697" s="5" t="str">
        <f ca="1">IFERROR(__xludf.DUMMYFUNCTION("""COMPUTED_VALUE"""),"Yes")</f>
        <v>Yes</v>
      </c>
      <c r="T697" s="5" t="str">
        <f ca="1">IFERROR(__xludf.DUMMYFUNCTION("""COMPUTED_VALUE"""),"No")</f>
        <v>No</v>
      </c>
      <c r="U697" s="5" t="str">
        <f ca="1">IFERROR(__xludf.DUMMYFUNCTION("""COMPUTED_VALUE"""),"No")</f>
        <v>No</v>
      </c>
      <c r="V697" s="5" t="str">
        <f ca="1">IFERROR(__xludf.DUMMYFUNCTION("""COMPUTED_VALUE"""),"No")</f>
        <v>No</v>
      </c>
      <c r="W697" s="5" t="str">
        <f ca="1">IFERROR(__xludf.DUMMYFUNCTION("""COMPUTED_VALUE"""),"No")</f>
        <v>No</v>
      </c>
      <c r="X697" s="5" t="str">
        <f ca="1">IFERROR(__xludf.DUMMYFUNCTION("""COMPUTED_VALUE"""),"No")</f>
        <v>No</v>
      </c>
      <c r="Y697" s="5" t="str">
        <f ca="1">IFERROR(__xludf.DUMMYFUNCTION("""COMPUTED_VALUE"""),"No")</f>
        <v>No</v>
      </c>
      <c r="Z697" s="5" t="str">
        <f ca="1">IFERROR(__xludf.DUMMYFUNCTION("""COMPUTED_VALUE"""),"No")</f>
        <v>No</v>
      </c>
      <c r="AA697" s="5" t="str">
        <f ca="1">IFERROR(__xludf.DUMMYFUNCTION("""COMPUTED_VALUE"""),"Yes")</f>
        <v>Yes</v>
      </c>
      <c r="AB697" s="5" t="str">
        <f ca="1">IFERROR(__xludf.DUMMYFUNCTION("""COMPUTED_VALUE"""),"No")</f>
        <v>No</v>
      </c>
      <c r="AC697" s="5" t="str">
        <f ca="1">IFERROR(__xludf.DUMMYFUNCTION("""COMPUTED_VALUE"""),"No")</f>
        <v>No</v>
      </c>
      <c r="AD697" s="5" t="str">
        <f ca="1">IFERROR(__xludf.DUMMYFUNCTION("""COMPUTED_VALUE"""),"No")</f>
        <v>No</v>
      </c>
      <c r="AE697" s="5" t="str">
        <f ca="1">IFERROR(__xludf.DUMMYFUNCTION("""COMPUTED_VALUE"""),"No")</f>
        <v>No</v>
      </c>
      <c r="AF697" s="5" t="str">
        <f ca="1">IFERROR(__xludf.DUMMYFUNCTION("""COMPUTED_VALUE"""),"Yes")</f>
        <v>Yes</v>
      </c>
      <c r="AG697" s="5" t="str">
        <f ca="1">IFERROR(__xludf.DUMMYFUNCTION("""COMPUTED_VALUE"""),"No")</f>
        <v>No</v>
      </c>
      <c r="AH697" s="5" t="str">
        <f ca="1">IFERROR(__xludf.DUMMYFUNCTION("""COMPUTED_VALUE"""),"Yes")</f>
        <v>Yes</v>
      </c>
      <c r="AI697" s="5" t="str">
        <f ca="1">IFERROR(__xludf.DUMMYFUNCTION("""COMPUTED_VALUE"""),"No")</f>
        <v>No</v>
      </c>
      <c r="AJ697" s="5" t="str">
        <f ca="1">IFERROR(__xludf.DUMMYFUNCTION("""COMPUTED_VALUE"""),"No")</f>
        <v>No</v>
      </c>
      <c r="AK697" s="5" t="str">
        <f ca="1">IFERROR(__xludf.DUMMYFUNCTION("""COMPUTED_VALUE"""),"No")</f>
        <v>No</v>
      </c>
      <c r="AL697" s="5" t="str">
        <f ca="1">IFERROR(__xludf.DUMMYFUNCTION("""COMPUTED_VALUE"""),"No")</f>
        <v>No</v>
      </c>
      <c r="AM697" s="5"/>
      <c r="AN697" s="5"/>
      <c r="AO697" s="5"/>
      <c r="AP697" s="5"/>
      <c r="AQ697" s="5"/>
      <c r="AR697" s="5"/>
      <c r="AS697" s="5"/>
      <c r="AT697" s="5"/>
      <c r="AU697" s="5"/>
      <c r="AV697" s="5"/>
      <c r="AW697" s="5"/>
      <c r="AX697" s="5"/>
      <c r="AY697" s="5"/>
    </row>
    <row r="698" spans="1:51" x14ac:dyDescent="0.25">
      <c r="A69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8" s="5">
        <f ca="1">IFERROR(__xludf.DUMMYFUNCTION("""COMPUTED_VALUE"""),733)</f>
        <v>733</v>
      </c>
      <c r="C698" s="5">
        <f ca="1">IFERROR(__xludf.DUMMYFUNCTION("""COMPUTED_VALUE"""),180071)</f>
        <v>180071</v>
      </c>
      <c r="D698" s="5" t="str">
        <f ca="1">IFERROR(__xludf.DUMMYFUNCTION("""COMPUTED_VALUE"""),"Redstone5CloverDeluxe")</f>
        <v>Redstone5CloverDeluxe</v>
      </c>
      <c r="E698" s="5" t="str">
        <f ca="1">IFERROR(__xludf.DUMMYFUNCTION("""COMPUTED_VALUE"""),"Yes")</f>
        <v>Yes</v>
      </c>
      <c r="F698" s="5" t="str">
        <f ca="1">IFERROR(__xludf.DUMMYFUNCTION("""COMPUTED_VALUE"""),"Yes")</f>
        <v>Yes</v>
      </c>
      <c r="G698" s="5" t="str">
        <f ca="1">IFERROR(__xludf.DUMMYFUNCTION("""COMPUTED_VALUE"""),"No")</f>
        <v>No</v>
      </c>
      <c r="H698" s="5" t="str">
        <f ca="1">IFERROR(__xludf.DUMMYFUNCTION("""COMPUTED_VALUE"""),"Yes")</f>
        <v>Yes</v>
      </c>
      <c r="I698" s="5" t="str">
        <f ca="1">IFERROR(__xludf.DUMMYFUNCTION("""COMPUTED_VALUE"""),"Yes")</f>
        <v>Yes</v>
      </c>
      <c r="J698" s="5" t="str">
        <f ca="1">IFERROR(__xludf.DUMMYFUNCTION("""COMPUTED_VALUE"""),"Yes")</f>
        <v>Yes</v>
      </c>
      <c r="K698" s="5" t="str">
        <f ca="1">IFERROR(__xludf.DUMMYFUNCTION("""COMPUTED_VALUE"""),"Yes")</f>
        <v>Yes</v>
      </c>
      <c r="L698" s="5" t="str">
        <f ca="1">IFERROR(__xludf.DUMMYFUNCTION("""COMPUTED_VALUE"""),"Yes")</f>
        <v>Yes</v>
      </c>
      <c r="M698" s="5" t="str">
        <f ca="1">IFERROR(__xludf.DUMMYFUNCTION("""COMPUTED_VALUE"""),"Yes")</f>
        <v>Yes</v>
      </c>
      <c r="N698" s="5" t="str">
        <f ca="1">IFERROR(__xludf.DUMMYFUNCTION("""COMPUTED_VALUE"""),"Yes")</f>
        <v>Yes</v>
      </c>
      <c r="O698" s="5" t="str">
        <f ca="1">IFERROR(__xludf.DUMMYFUNCTION("""COMPUTED_VALUE"""),"Yes")</f>
        <v>Yes</v>
      </c>
      <c r="P698" s="5" t="str">
        <f ca="1">IFERROR(__xludf.DUMMYFUNCTION("""COMPUTED_VALUE"""),"Yes")</f>
        <v>Yes</v>
      </c>
      <c r="Q698" s="5" t="str">
        <f ca="1">IFERROR(__xludf.DUMMYFUNCTION("""COMPUTED_VALUE"""),"Yes")</f>
        <v>Yes</v>
      </c>
      <c r="R698" s="5" t="str">
        <f ca="1">IFERROR(__xludf.DUMMYFUNCTION("""COMPUTED_VALUE"""),"Yes")</f>
        <v>Yes</v>
      </c>
      <c r="S698" s="5" t="str">
        <f ca="1">IFERROR(__xludf.DUMMYFUNCTION("""COMPUTED_VALUE"""),"Yes")</f>
        <v>Yes</v>
      </c>
      <c r="T698" s="5" t="str">
        <f ca="1">IFERROR(__xludf.DUMMYFUNCTION("""COMPUTED_VALUE"""),"No")</f>
        <v>No</v>
      </c>
      <c r="U698" s="5" t="str">
        <f ca="1">IFERROR(__xludf.DUMMYFUNCTION("""COMPUTED_VALUE"""),"No")</f>
        <v>No</v>
      </c>
      <c r="V698" s="5" t="str">
        <f ca="1">IFERROR(__xludf.DUMMYFUNCTION("""COMPUTED_VALUE"""),"No")</f>
        <v>No</v>
      </c>
      <c r="W698" s="5" t="str">
        <f ca="1">IFERROR(__xludf.DUMMYFUNCTION("""COMPUTED_VALUE"""),"No")</f>
        <v>No</v>
      </c>
      <c r="X698" s="5" t="str">
        <f ca="1">IFERROR(__xludf.DUMMYFUNCTION("""COMPUTED_VALUE"""),"No")</f>
        <v>No</v>
      </c>
      <c r="Y698" s="5" t="str">
        <f ca="1">IFERROR(__xludf.DUMMYFUNCTION("""COMPUTED_VALUE"""),"No")</f>
        <v>No</v>
      </c>
      <c r="Z698" s="5" t="str">
        <f ca="1">IFERROR(__xludf.DUMMYFUNCTION("""COMPUTED_VALUE"""),"No")</f>
        <v>No</v>
      </c>
      <c r="AA698" s="5" t="str">
        <f ca="1">IFERROR(__xludf.DUMMYFUNCTION("""COMPUTED_VALUE"""),"Yes")</f>
        <v>Yes</v>
      </c>
      <c r="AB698" s="5" t="str">
        <f ca="1">IFERROR(__xludf.DUMMYFUNCTION("""COMPUTED_VALUE"""),"No")</f>
        <v>No</v>
      </c>
      <c r="AC698" s="5" t="str">
        <f ca="1">IFERROR(__xludf.DUMMYFUNCTION("""COMPUTED_VALUE"""),"No")</f>
        <v>No</v>
      </c>
      <c r="AD698" s="5" t="str">
        <f ca="1">IFERROR(__xludf.DUMMYFUNCTION("""COMPUTED_VALUE"""),"No")</f>
        <v>No</v>
      </c>
      <c r="AE698" s="5" t="str">
        <f ca="1">IFERROR(__xludf.DUMMYFUNCTION("""COMPUTED_VALUE"""),"No")</f>
        <v>No</v>
      </c>
      <c r="AF698" s="5" t="str">
        <f ca="1">IFERROR(__xludf.DUMMYFUNCTION("""COMPUTED_VALUE"""),"Yes")</f>
        <v>Yes</v>
      </c>
      <c r="AG698" s="5" t="str">
        <f ca="1">IFERROR(__xludf.DUMMYFUNCTION("""COMPUTED_VALUE"""),"No")</f>
        <v>No</v>
      </c>
      <c r="AH698" s="5" t="str">
        <f ca="1">IFERROR(__xludf.DUMMYFUNCTION("""COMPUTED_VALUE"""),"Yes")</f>
        <v>Yes</v>
      </c>
      <c r="AI698" s="5" t="str">
        <f ca="1">IFERROR(__xludf.DUMMYFUNCTION("""COMPUTED_VALUE"""),"No")</f>
        <v>No</v>
      </c>
      <c r="AJ698" s="5" t="str">
        <f ca="1">IFERROR(__xludf.DUMMYFUNCTION("""COMPUTED_VALUE"""),"No")</f>
        <v>No</v>
      </c>
      <c r="AK698" s="5" t="str">
        <f ca="1">IFERROR(__xludf.DUMMYFUNCTION("""COMPUTED_VALUE"""),"No")</f>
        <v>No</v>
      </c>
      <c r="AL698" s="5" t="str">
        <f ca="1">IFERROR(__xludf.DUMMYFUNCTION("""COMPUTED_VALUE"""),"No")</f>
        <v>No</v>
      </c>
      <c r="AM698" s="5"/>
      <c r="AN698" s="5"/>
      <c r="AO698" s="5"/>
      <c r="AP698" s="5"/>
      <c r="AQ698" s="5"/>
      <c r="AR698" s="5"/>
      <c r="AS698" s="5"/>
      <c r="AT698" s="5"/>
      <c r="AU698" s="5"/>
      <c r="AV698" s="5"/>
      <c r="AW698" s="5"/>
      <c r="AX698" s="5"/>
      <c r="AY698" s="5"/>
    </row>
    <row r="699" spans="1:51" x14ac:dyDescent="0.25">
      <c r="A69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9" s="5">
        <f ca="1">IFERROR(__xludf.DUMMYFUNCTION("""COMPUTED_VALUE"""),734)</f>
        <v>734</v>
      </c>
      <c r="C699" s="5">
        <f ca="1">IFERROR(__xludf.DUMMYFUNCTION("""COMPUTED_VALUE"""),180072)</f>
        <v>180072</v>
      </c>
      <c r="D699" s="5" t="str">
        <f ca="1">IFERROR(__xludf.DUMMYFUNCTION("""COMPUTED_VALUE"""),"RedstoneHeartDeluxe2X")</f>
        <v>RedstoneHeartDeluxe2X</v>
      </c>
      <c r="E699" s="5" t="str">
        <f ca="1">IFERROR(__xludf.DUMMYFUNCTION("""COMPUTED_VALUE"""),"Yes")</f>
        <v>Yes</v>
      </c>
      <c r="F699" s="5" t="str">
        <f ca="1">IFERROR(__xludf.DUMMYFUNCTION("""COMPUTED_VALUE"""),"Yes")</f>
        <v>Yes</v>
      </c>
      <c r="G699" s="5" t="str">
        <f ca="1">IFERROR(__xludf.DUMMYFUNCTION("""COMPUTED_VALUE"""),"No")</f>
        <v>No</v>
      </c>
      <c r="H699" s="5" t="str">
        <f ca="1">IFERROR(__xludf.DUMMYFUNCTION("""COMPUTED_VALUE"""),"Yes")</f>
        <v>Yes</v>
      </c>
      <c r="I699" s="5" t="str">
        <f ca="1">IFERROR(__xludf.DUMMYFUNCTION("""COMPUTED_VALUE"""),"Yes")</f>
        <v>Yes</v>
      </c>
      <c r="J699" s="5" t="str">
        <f ca="1">IFERROR(__xludf.DUMMYFUNCTION("""COMPUTED_VALUE"""),"Yes")</f>
        <v>Yes</v>
      </c>
      <c r="K699" s="5" t="str">
        <f ca="1">IFERROR(__xludf.DUMMYFUNCTION("""COMPUTED_VALUE"""),"Yes")</f>
        <v>Yes</v>
      </c>
      <c r="L699" s="5" t="str">
        <f ca="1">IFERROR(__xludf.DUMMYFUNCTION("""COMPUTED_VALUE"""),"Yes")</f>
        <v>Yes</v>
      </c>
      <c r="M699" s="5" t="str">
        <f ca="1">IFERROR(__xludf.DUMMYFUNCTION("""COMPUTED_VALUE"""),"Yes")</f>
        <v>Yes</v>
      </c>
      <c r="N699" s="5" t="str">
        <f ca="1">IFERROR(__xludf.DUMMYFUNCTION("""COMPUTED_VALUE"""),"Yes")</f>
        <v>Yes</v>
      </c>
      <c r="O699" s="5" t="str">
        <f ca="1">IFERROR(__xludf.DUMMYFUNCTION("""COMPUTED_VALUE"""),"Yes")</f>
        <v>Yes</v>
      </c>
      <c r="P699" s="5" t="str">
        <f ca="1">IFERROR(__xludf.DUMMYFUNCTION("""COMPUTED_VALUE"""),"Yes")</f>
        <v>Yes</v>
      </c>
      <c r="Q699" s="5" t="str">
        <f ca="1">IFERROR(__xludf.DUMMYFUNCTION("""COMPUTED_VALUE"""),"Yes")</f>
        <v>Yes</v>
      </c>
      <c r="R699" s="5" t="str">
        <f ca="1">IFERROR(__xludf.DUMMYFUNCTION("""COMPUTED_VALUE"""),"Yes")</f>
        <v>Yes</v>
      </c>
      <c r="S699" s="5" t="str">
        <f ca="1">IFERROR(__xludf.DUMMYFUNCTION("""COMPUTED_VALUE"""),"Yes")</f>
        <v>Yes</v>
      </c>
      <c r="T699" s="5" t="str">
        <f ca="1">IFERROR(__xludf.DUMMYFUNCTION("""COMPUTED_VALUE"""),"No")</f>
        <v>No</v>
      </c>
      <c r="U699" s="5" t="str">
        <f ca="1">IFERROR(__xludf.DUMMYFUNCTION("""COMPUTED_VALUE"""),"No")</f>
        <v>No</v>
      </c>
      <c r="V699" s="5" t="str">
        <f ca="1">IFERROR(__xludf.DUMMYFUNCTION("""COMPUTED_VALUE"""),"No")</f>
        <v>No</v>
      </c>
      <c r="W699" s="5" t="str">
        <f ca="1">IFERROR(__xludf.DUMMYFUNCTION("""COMPUTED_VALUE"""),"No")</f>
        <v>No</v>
      </c>
      <c r="X699" s="5" t="str">
        <f ca="1">IFERROR(__xludf.DUMMYFUNCTION("""COMPUTED_VALUE"""),"No")</f>
        <v>No</v>
      </c>
      <c r="Y699" s="5" t="str">
        <f ca="1">IFERROR(__xludf.DUMMYFUNCTION("""COMPUTED_VALUE"""),"No")</f>
        <v>No</v>
      </c>
      <c r="Z699" s="5" t="str">
        <f ca="1">IFERROR(__xludf.DUMMYFUNCTION("""COMPUTED_VALUE"""),"No")</f>
        <v>No</v>
      </c>
      <c r="AA699" s="5" t="str">
        <f ca="1">IFERROR(__xludf.DUMMYFUNCTION("""COMPUTED_VALUE"""),"Yes")</f>
        <v>Yes</v>
      </c>
      <c r="AB699" s="5" t="str">
        <f ca="1">IFERROR(__xludf.DUMMYFUNCTION("""COMPUTED_VALUE"""),"No")</f>
        <v>No</v>
      </c>
      <c r="AC699" s="5" t="str">
        <f ca="1">IFERROR(__xludf.DUMMYFUNCTION("""COMPUTED_VALUE"""),"No")</f>
        <v>No</v>
      </c>
      <c r="AD699" s="5" t="str">
        <f ca="1">IFERROR(__xludf.DUMMYFUNCTION("""COMPUTED_VALUE"""),"No")</f>
        <v>No</v>
      </c>
      <c r="AE699" s="5" t="str">
        <f ca="1">IFERROR(__xludf.DUMMYFUNCTION("""COMPUTED_VALUE"""),"No")</f>
        <v>No</v>
      </c>
      <c r="AF699" s="5" t="str">
        <f ca="1">IFERROR(__xludf.DUMMYFUNCTION("""COMPUTED_VALUE"""),"Yes")</f>
        <v>Yes</v>
      </c>
      <c r="AG699" s="5" t="str">
        <f ca="1">IFERROR(__xludf.DUMMYFUNCTION("""COMPUTED_VALUE"""),"No")</f>
        <v>No</v>
      </c>
      <c r="AH699" s="5" t="str">
        <f ca="1">IFERROR(__xludf.DUMMYFUNCTION("""COMPUTED_VALUE"""),"Yes")</f>
        <v>Yes</v>
      </c>
      <c r="AI699" s="5" t="str">
        <f ca="1">IFERROR(__xludf.DUMMYFUNCTION("""COMPUTED_VALUE"""),"No")</f>
        <v>No</v>
      </c>
      <c r="AJ699" s="5" t="str">
        <f ca="1">IFERROR(__xludf.DUMMYFUNCTION("""COMPUTED_VALUE"""),"No")</f>
        <v>No</v>
      </c>
      <c r="AK699" s="5" t="str">
        <f ca="1">IFERROR(__xludf.DUMMYFUNCTION("""COMPUTED_VALUE"""),"No")</f>
        <v>No</v>
      </c>
      <c r="AL699" s="5" t="str">
        <f ca="1">IFERROR(__xludf.DUMMYFUNCTION("""COMPUTED_VALUE"""),"No")</f>
        <v>No</v>
      </c>
      <c r="AM699" s="5"/>
      <c r="AN699" s="5"/>
      <c r="AO699" s="5"/>
      <c r="AP699" s="5"/>
      <c r="AQ699" s="5"/>
      <c r="AR699" s="5"/>
      <c r="AS699" s="5"/>
      <c r="AT699" s="5"/>
      <c r="AU699" s="5"/>
      <c r="AV699" s="5"/>
      <c r="AW699" s="5"/>
      <c r="AX699" s="5"/>
      <c r="AY699" s="5"/>
    </row>
    <row r="700" spans="1:51" x14ac:dyDescent="0.25">
      <c r="A70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0" s="5">
        <f ca="1">IFERROR(__xludf.DUMMYFUNCTION("""COMPUTED_VALUE"""),735)</f>
        <v>735</v>
      </c>
      <c r="C700" s="5">
        <f ca="1">IFERROR(__xludf.DUMMYFUNCTION("""COMPUTED_VALUE"""),180073)</f>
        <v>180073</v>
      </c>
      <c r="D700" s="5" t="str">
        <f ca="1">IFERROR(__xludf.DUMMYFUNCTION("""COMPUTED_VALUE"""),"RedstoneCosmicFruits")</f>
        <v>RedstoneCosmicFruits</v>
      </c>
      <c r="E700" s="5" t="str">
        <f ca="1">IFERROR(__xludf.DUMMYFUNCTION("""COMPUTED_VALUE"""),"Yes")</f>
        <v>Yes</v>
      </c>
      <c r="F700" s="5" t="str">
        <f ca="1">IFERROR(__xludf.DUMMYFUNCTION("""COMPUTED_VALUE"""),"Yes")</f>
        <v>Yes</v>
      </c>
      <c r="G700" s="5" t="str">
        <f ca="1">IFERROR(__xludf.DUMMYFUNCTION("""COMPUTED_VALUE"""),"No")</f>
        <v>No</v>
      </c>
      <c r="H700" s="5" t="str">
        <f ca="1">IFERROR(__xludf.DUMMYFUNCTION("""COMPUTED_VALUE"""),"Yes")</f>
        <v>Yes</v>
      </c>
      <c r="I700" s="5" t="str">
        <f ca="1">IFERROR(__xludf.DUMMYFUNCTION("""COMPUTED_VALUE"""),"Yes")</f>
        <v>Yes</v>
      </c>
      <c r="J700" s="5" t="str">
        <f ca="1">IFERROR(__xludf.DUMMYFUNCTION("""COMPUTED_VALUE"""),"Yes")</f>
        <v>Yes</v>
      </c>
      <c r="K700" s="5" t="str">
        <f ca="1">IFERROR(__xludf.DUMMYFUNCTION("""COMPUTED_VALUE"""),"Yes")</f>
        <v>Yes</v>
      </c>
      <c r="L700" s="5" t="str">
        <f ca="1">IFERROR(__xludf.DUMMYFUNCTION("""COMPUTED_VALUE"""),"Yes")</f>
        <v>Yes</v>
      </c>
      <c r="M700" s="5" t="str">
        <f ca="1">IFERROR(__xludf.DUMMYFUNCTION("""COMPUTED_VALUE"""),"Yes")</f>
        <v>Yes</v>
      </c>
      <c r="N700" s="5" t="str">
        <f ca="1">IFERROR(__xludf.DUMMYFUNCTION("""COMPUTED_VALUE"""),"Yes")</f>
        <v>Yes</v>
      </c>
      <c r="O700" s="5" t="str">
        <f ca="1">IFERROR(__xludf.DUMMYFUNCTION("""COMPUTED_VALUE"""),"Yes")</f>
        <v>Yes</v>
      </c>
      <c r="P700" s="5" t="str">
        <f ca="1">IFERROR(__xludf.DUMMYFUNCTION("""COMPUTED_VALUE"""),"Yes")</f>
        <v>Yes</v>
      </c>
      <c r="Q700" s="5" t="str">
        <f ca="1">IFERROR(__xludf.DUMMYFUNCTION("""COMPUTED_VALUE"""),"Yes")</f>
        <v>Yes</v>
      </c>
      <c r="R700" s="5" t="str">
        <f ca="1">IFERROR(__xludf.DUMMYFUNCTION("""COMPUTED_VALUE"""),"Yes")</f>
        <v>Yes</v>
      </c>
      <c r="S700" s="5" t="str">
        <f ca="1">IFERROR(__xludf.DUMMYFUNCTION("""COMPUTED_VALUE"""),"Yes")</f>
        <v>Yes</v>
      </c>
      <c r="T700" s="5" t="str">
        <f ca="1">IFERROR(__xludf.DUMMYFUNCTION("""COMPUTED_VALUE"""),"No")</f>
        <v>No</v>
      </c>
      <c r="U700" s="5" t="str">
        <f ca="1">IFERROR(__xludf.DUMMYFUNCTION("""COMPUTED_VALUE"""),"No")</f>
        <v>No</v>
      </c>
      <c r="V700" s="5" t="str">
        <f ca="1">IFERROR(__xludf.DUMMYFUNCTION("""COMPUTED_VALUE"""),"No")</f>
        <v>No</v>
      </c>
      <c r="W700" s="5" t="str">
        <f ca="1">IFERROR(__xludf.DUMMYFUNCTION("""COMPUTED_VALUE"""),"No")</f>
        <v>No</v>
      </c>
      <c r="X700" s="5" t="str">
        <f ca="1">IFERROR(__xludf.DUMMYFUNCTION("""COMPUTED_VALUE"""),"No")</f>
        <v>No</v>
      </c>
      <c r="Y700" s="5" t="str">
        <f ca="1">IFERROR(__xludf.DUMMYFUNCTION("""COMPUTED_VALUE"""),"No")</f>
        <v>No</v>
      </c>
      <c r="Z700" s="5" t="str">
        <f ca="1">IFERROR(__xludf.DUMMYFUNCTION("""COMPUTED_VALUE"""),"No")</f>
        <v>No</v>
      </c>
      <c r="AA700" s="5" t="str">
        <f ca="1">IFERROR(__xludf.DUMMYFUNCTION("""COMPUTED_VALUE"""),"Yes")</f>
        <v>Yes</v>
      </c>
      <c r="AB700" s="5" t="str">
        <f ca="1">IFERROR(__xludf.DUMMYFUNCTION("""COMPUTED_VALUE"""),"No")</f>
        <v>No</v>
      </c>
      <c r="AC700" s="5" t="str">
        <f ca="1">IFERROR(__xludf.DUMMYFUNCTION("""COMPUTED_VALUE"""),"No")</f>
        <v>No</v>
      </c>
      <c r="AD700" s="5" t="str">
        <f ca="1">IFERROR(__xludf.DUMMYFUNCTION("""COMPUTED_VALUE"""),"No")</f>
        <v>No</v>
      </c>
      <c r="AE700" s="5" t="str">
        <f ca="1">IFERROR(__xludf.DUMMYFUNCTION("""COMPUTED_VALUE"""),"No")</f>
        <v>No</v>
      </c>
      <c r="AF700" s="5" t="str">
        <f ca="1">IFERROR(__xludf.DUMMYFUNCTION("""COMPUTED_VALUE"""),"Yes")</f>
        <v>Yes</v>
      </c>
      <c r="AG700" s="5" t="str">
        <f ca="1">IFERROR(__xludf.DUMMYFUNCTION("""COMPUTED_VALUE"""),"No")</f>
        <v>No</v>
      </c>
      <c r="AH700" s="5" t="str">
        <f ca="1">IFERROR(__xludf.DUMMYFUNCTION("""COMPUTED_VALUE"""),"Yes")</f>
        <v>Yes</v>
      </c>
      <c r="AI700" s="5" t="str">
        <f ca="1">IFERROR(__xludf.DUMMYFUNCTION("""COMPUTED_VALUE"""),"No")</f>
        <v>No</v>
      </c>
      <c r="AJ700" s="5" t="str">
        <f ca="1">IFERROR(__xludf.DUMMYFUNCTION("""COMPUTED_VALUE"""),"No")</f>
        <v>No</v>
      </c>
      <c r="AK700" s="5" t="str">
        <f ca="1">IFERROR(__xludf.DUMMYFUNCTION("""COMPUTED_VALUE"""),"No")</f>
        <v>No</v>
      </c>
      <c r="AL700" s="5" t="str">
        <f ca="1">IFERROR(__xludf.DUMMYFUNCTION("""COMPUTED_VALUE"""),"No")</f>
        <v>No</v>
      </c>
      <c r="AM700" s="5"/>
      <c r="AN700" s="5"/>
      <c r="AO700" s="5"/>
      <c r="AP700" s="5"/>
      <c r="AQ700" s="5"/>
      <c r="AR700" s="5"/>
      <c r="AS700" s="5"/>
      <c r="AT700" s="5"/>
      <c r="AU700" s="5"/>
      <c r="AV700" s="5"/>
      <c r="AW700" s="5"/>
      <c r="AX700" s="5"/>
      <c r="AY700" s="5"/>
    </row>
    <row r="701" spans="1:51" x14ac:dyDescent="0.25">
      <c r="A701"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1" s="5">
        <f ca="1">IFERROR(__xludf.DUMMYFUNCTION("""COMPUTED_VALUE"""),736)</f>
        <v>736</v>
      </c>
      <c r="C701" s="5">
        <f ca="1">IFERROR(__xludf.DUMMYFUNCTION("""COMPUTED_VALUE"""),180074)</f>
        <v>180074</v>
      </c>
      <c r="D701" s="5" t="str">
        <f ca="1">IFERROR(__xludf.DUMMYFUNCTION("""COMPUTED_VALUE"""),"RedstoneXWildHeart")</f>
        <v>RedstoneXWildHeart</v>
      </c>
      <c r="E701" s="5" t="str">
        <f ca="1">IFERROR(__xludf.DUMMYFUNCTION("""COMPUTED_VALUE"""),"Yes")</f>
        <v>Yes</v>
      </c>
      <c r="F701" s="5" t="str">
        <f ca="1">IFERROR(__xludf.DUMMYFUNCTION("""COMPUTED_VALUE"""),"Yes")</f>
        <v>Yes</v>
      </c>
      <c r="G701" s="5" t="str">
        <f ca="1">IFERROR(__xludf.DUMMYFUNCTION("""COMPUTED_VALUE"""),"No")</f>
        <v>No</v>
      </c>
      <c r="H701" s="5" t="str">
        <f ca="1">IFERROR(__xludf.DUMMYFUNCTION("""COMPUTED_VALUE"""),"Yes")</f>
        <v>Yes</v>
      </c>
      <c r="I701" s="5" t="str">
        <f ca="1">IFERROR(__xludf.DUMMYFUNCTION("""COMPUTED_VALUE"""),"Yes")</f>
        <v>Yes</v>
      </c>
      <c r="J701" s="5" t="str">
        <f ca="1">IFERROR(__xludf.DUMMYFUNCTION("""COMPUTED_VALUE"""),"Yes")</f>
        <v>Yes</v>
      </c>
      <c r="K701" s="5" t="str">
        <f ca="1">IFERROR(__xludf.DUMMYFUNCTION("""COMPUTED_VALUE"""),"Yes")</f>
        <v>Yes</v>
      </c>
      <c r="L701" s="5" t="str">
        <f ca="1">IFERROR(__xludf.DUMMYFUNCTION("""COMPUTED_VALUE"""),"Yes")</f>
        <v>Yes</v>
      </c>
      <c r="M701" s="5" t="str">
        <f ca="1">IFERROR(__xludf.DUMMYFUNCTION("""COMPUTED_VALUE"""),"Yes")</f>
        <v>Yes</v>
      </c>
      <c r="N701" s="5" t="str">
        <f ca="1">IFERROR(__xludf.DUMMYFUNCTION("""COMPUTED_VALUE"""),"Yes")</f>
        <v>Yes</v>
      </c>
      <c r="O701" s="5" t="str">
        <f ca="1">IFERROR(__xludf.DUMMYFUNCTION("""COMPUTED_VALUE"""),"Yes")</f>
        <v>Yes</v>
      </c>
      <c r="P701" s="5" t="str">
        <f ca="1">IFERROR(__xludf.DUMMYFUNCTION("""COMPUTED_VALUE"""),"Yes")</f>
        <v>Yes</v>
      </c>
      <c r="Q701" s="5" t="str">
        <f ca="1">IFERROR(__xludf.DUMMYFUNCTION("""COMPUTED_VALUE"""),"Yes")</f>
        <v>Yes</v>
      </c>
      <c r="R701" s="5" t="str">
        <f ca="1">IFERROR(__xludf.DUMMYFUNCTION("""COMPUTED_VALUE"""),"Yes")</f>
        <v>Yes</v>
      </c>
      <c r="S701" s="5" t="str">
        <f ca="1">IFERROR(__xludf.DUMMYFUNCTION("""COMPUTED_VALUE"""),"Yes")</f>
        <v>Yes</v>
      </c>
      <c r="T701" s="5" t="str">
        <f ca="1">IFERROR(__xludf.DUMMYFUNCTION("""COMPUTED_VALUE"""),"No")</f>
        <v>No</v>
      </c>
      <c r="U701" s="5" t="str">
        <f ca="1">IFERROR(__xludf.DUMMYFUNCTION("""COMPUTED_VALUE"""),"No")</f>
        <v>No</v>
      </c>
      <c r="V701" s="5" t="str">
        <f ca="1">IFERROR(__xludf.DUMMYFUNCTION("""COMPUTED_VALUE"""),"No")</f>
        <v>No</v>
      </c>
      <c r="W701" s="5" t="str">
        <f ca="1">IFERROR(__xludf.DUMMYFUNCTION("""COMPUTED_VALUE"""),"No")</f>
        <v>No</v>
      </c>
      <c r="X701" s="5" t="str">
        <f ca="1">IFERROR(__xludf.DUMMYFUNCTION("""COMPUTED_VALUE"""),"No")</f>
        <v>No</v>
      </c>
      <c r="Y701" s="5" t="str">
        <f ca="1">IFERROR(__xludf.DUMMYFUNCTION("""COMPUTED_VALUE"""),"No")</f>
        <v>No</v>
      </c>
      <c r="Z701" s="5" t="str">
        <f ca="1">IFERROR(__xludf.DUMMYFUNCTION("""COMPUTED_VALUE"""),"No")</f>
        <v>No</v>
      </c>
      <c r="AA701" s="5" t="str">
        <f ca="1">IFERROR(__xludf.DUMMYFUNCTION("""COMPUTED_VALUE"""),"Yes")</f>
        <v>Yes</v>
      </c>
      <c r="AB701" s="5" t="str">
        <f ca="1">IFERROR(__xludf.DUMMYFUNCTION("""COMPUTED_VALUE"""),"No")</f>
        <v>No</v>
      </c>
      <c r="AC701" s="5" t="str">
        <f ca="1">IFERROR(__xludf.DUMMYFUNCTION("""COMPUTED_VALUE"""),"No")</f>
        <v>No</v>
      </c>
      <c r="AD701" s="5" t="str">
        <f ca="1">IFERROR(__xludf.DUMMYFUNCTION("""COMPUTED_VALUE"""),"No")</f>
        <v>No</v>
      </c>
      <c r="AE701" s="5" t="str">
        <f ca="1">IFERROR(__xludf.DUMMYFUNCTION("""COMPUTED_VALUE"""),"No")</f>
        <v>No</v>
      </c>
      <c r="AF701" s="5" t="str">
        <f ca="1">IFERROR(__xludf.DUMMYFUNCTION("""COMPUTED_VALUE"""),"Yes")</f>
        <v>Yes</v>
      </c>
      <c r="AG701" s="5" t="str">
        <f ca="1">IFERROR(__xludf.DUMMYFUNCTION("""COMPUTED_VALUE"""),"No")</f>
        <v>No</v>
      </c>
      <c r="AH701" s="5" t="str">
        <f ca="1">IFERROR(__xludf.DUMMYFUNCTION("""COMPUTED_VALUE"""),"Yes")</f>
        <v>Yes</v>
      </c>
      <c r="AI701" s="5" t="str">
        <f ca="1">IFERROR(__xludf.DUMMYFUNCTION("""COMPUTED_VALUE"""),"No")</f>
        <v>No</v>
      </c>
      <c r="AJ701" s="5" t="str">
        <f ca="1">IFERROR(__xludf.DUMMYFUNCTION("""COMPUTED_VALUE"""),"No")</f>
        <v>No</v>
      </c>
      <c r="AK701" s="5" t="str">
        <f ca="1">IFERROR(__xludf.DUMMYFUNCTION("""COMPUTED_VALUE"""),"No")</f>
        <v>No</v>
      </c>
      <c r="AL701" s="5" t="str">
        <f ca="1">IFERROR(__xludf.DUMMYFUNCTION("""COMPUTED_VALUE"""),"No")</f>
        <v>No</v>
      </c>
      <c r="AM701" s="5"/>
      <c r="AN701" s="5"/>
      <c r="AO701" s="5"/>
      <c r="AP701" s="5"/>
      <c r="AQ701" s="5"/>
      <c r="AR701" s="5"/>
      <c r="AS701" s="5"/>
      <c r="AT701" s="5"/>
      <c r="AU701" s="5"/>
      <c r="AV701" s="5"/>
      <c r="AW701" s="5"/>
      <c r="AX701" s="5"/>
      <c r="AY701" s="5"/>
    </row>
    <row r="702" spans="1:51" x14ac:dyDescent="0.25">
      <c r="A70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2" s="5">
        <f ca="1">IFERROR(__xludf.DUMMYFUNCTION("""COMPUTED_VALUE"""),737)</f>
        <v>737</v>
      </c>
      <c r="C702" s="5">
        <f ca="1">IFERROR(__xludf.DUMMYFUNCTION("""COMPUTED_VALUE"""),180075)</f>
        <v>180075</v>
      </c>
      <c r="D702" s="5" t="str">
        <f ca="1">IFERROR(__xludf.DUMMYFUNCTION("""COMPUTED_VALUE"""),"Redstone5CrownDeluxe")</f>
        <v>Redstone5CrownDeluxe</v>
      </c>
      <c r="E702" s="5" t="str">
        <f ca="1">IFERROR(__xludf.DUMMYFUNCTION("""COMPUTED_VALUE"""),"Yes")</f>
        <v>Yes</v>
      </c>
      <c r="F702" s="5" t="str">
        <f ca="1">IFERROR(__xludf.DUMMYFUNCTION("""COMPUTED_VALUE"""),"Yes")</f>
        <v>Yes</v>
      </c>
      <c r="G702" s="5" t="str">
        <f ca="1">IFERROR(__xludf.DUMMYFUNCTION("""COMPUTED_VALUE"""),"No")</f>
        <v>No</v>
      </c>
      <c r="H702" s="5" t="str">
        <f ca="1">IFERROR(__xludf.DUMMYFUNCTION("""COMPUTED_VALUE"""),"Yes")</f>
        <v>Yes</v>
      </c>
      <c r="I702" s="5" t="str">
        <f ca="1">IFERROR(__xludf.DUMMYFUNCTION("""COMPUTED_VALUE"""),"Yes")</f>
        <v>Yes</v>
      </c>
      <c r="J702" s="5" t="str">
        <f ca="1">IFERROR(__xludf.DUMMYFUNCTION("""COMPUTED_VALUE"""),"Yes")</f>
        <v>Yes</v>
      </c>
      <c r="K702" s="5" t="str">
        <f ca="1">IFERROR(__xludf.DUMMYFUNCTION("""COMPUTED_VALUE"""),"Yes")</f>
        <v>Yes</v>
      </c>
      <c r="L702" s="5" t="str">
        <f ca="1">IFERROR(__xludf.DUMMYFUNCTION("""COMPUTED_VALUE"""),"Yes")</f>
        <v>Yes</v>
      </c>
      <c r="M702" s="5" t="str">
        <f ca="1">IFERROR(__xludf.DUMMYFUNCTION("""COMPUTED_VALUE"""),"Yes")</f>
        <v>Yes</v>
      </c>
      <c r="N702" s="5" t="str">
        <f ca="1">IFERROR(__xludf.DUMMYFUNCTION("""COMPUTED_VALUE"""),"Yes")</f>
        <v>Yes</v>
      </c>
      <c r="O702" s="5" t="str">
        <f ca="1">IFERROR(__xludf.DUMMYFUNCTION("""COMPUTED_VALUE"""),"Yes")</f>
        <v>Yes</v>
      </c>
      <c r="P702" s="5" t="str">
        <f ca="1">IFERROR(__xludf.DUMMYFUNCTION("""COMPUTED_VALUE"""),"Yes")</f>
        <v>Yes</v>
      </c>
      <c r="Q702" s="5" t="str">
        <f ca="1">IFERROR(__xludf.DUMMYFUNCTION("""COMPUTED_VALUE"""),"Yes")</f>
        <v>Yes</v>
      </c>
      <c r="R702" s="5" t="str">
        <f ca="1">IFERROR(__xludf.DUMMYFUNCTION("""COMPUTED_VALUE"""),"Yes")</f>
        <v>Yes</v>
      </c>
      <c r="S702" s="5" t="str">
        <f ca="1">IFERROR(__xludf.DUMMYFUNCTION("""COMPUTED_VALUE"""),"Yes")</f>
        <v>Yes</v>
      </c>
      <c r="T702" s="5" t="str">
        <f ca="1">IFERROR(__xludf.DUMMYFUNCTION("""COMPUTED_VALUE"""),"No")</f>
        <v>No</v>
      </c>
      <c r="U702" s="5" t="str">
        <f ca="1">IFERROR(__xludf.DUMMYFUNCTION("""COMPUTED_VALUE"""),"No")</f>
        <v>No</v>
      </c>
      <c r="V702" s="5" t="str">
        <f ca="1">IFERROR(__xludf.DUMMYFUNCTION("""COMPUTED_VALUE"""),"No")</f>
        <v>No</v>
      </c>
      <c r="W702" s="5" t="str">
        <f ca="1">IFERROR(__xludf.DUMMYFUNCTION("""COMPUTED_VALUE"""),"No")</f>
        <v>No</v>
      </c>
      <c r="X702" s="5" t="str">
        <f ca="1">IFERROR(__xludf.DUMMYFUNCTION("""COMPUTED_VALUE"""),"No")</f>
        <v>No</v>
      </c>
      <c r="Y702" s="5" t="str">
        <f ca="1">IFERROR(__xludf.DUMMYFUNCTION("""COMPUTED_VALUE"""),"No")</f>
        <v>No</v>
      </c>
      <c r="Z702" s="5" t="str">
        <f ca="1">IFERROR(__xludf.DUMMYFUNCTION("""COMPUTED_VALUE"""),"No")</f>
        <v>No</v>
      </c>
      <c r="AA702" s="5" t="str">
        <f ca="1">IFERROR(__xludf.DUMMYFUNCTION("""COMPUTED_VALUE"""),"Yes")</f>
        <v>Yes</v>
      </c>
      <c r="AB702" s="5" t="str">
        <f ca="1">IFERROR(__xludf.DUMMYFUNCTION("""COMPUTED_VALUE"""),"No")</f>
        <v>No</v>
      </c>
      <c r="AC702" s="5" t="str">
        <f ca="1">IFERROR(__xludf.DUMMYFUNCTION("""COMPUTED_VALUE"""),"No")</f>
        <v>No</v>
      </c>
      <c r="AD702" s="5" t="str">
        <f ca="1">IFERROR(__xludf.DUMMYFUNCTION("""COMPUTED_VALUE"""),"No")</f>
        <v>No</v>
      </c>
      <c r="AE702" s="5" t="str">
        <f ca="1">IFERROR(__xludf.DUMMYFUNCTION("""COMPUTED_VALUE"""),"No")</f>
        <v>No</v>
      </c>
      <c r="AF702" s="5" t="str">
        <f ca="1">IFERROR(__xludf.DUMMYFUNCTION("""COMPUTED_VALUE"""),"Yes")</f>
        <v>Yes</v>
      </c>
      <c r="AG702" s="5" t="str">
        <f ca="1">IFERROR(__xludf.DUMMYFUNCTION("""COMPUTED_VALUE"""),"No")</f>
        <v>No</v>
      </c>
      <c r="AH702" s="5" t="str">
        <f ca="1">IFERROR(__xludf.DUMMYFUNCTION("""COMPUTED_VALUE"""),"Yes")</f>
        <v>Yes</v>
      </c>
      <c r="AI702" s="5" t="str">
        <f ca="1">IFERROR(__xludf.DUMMYFUNCTION("""COMPUTED_VALUE"""),"No")</f>
        <v>No</v>
      </c>
      <c r="AJ702" s="5" t="str">
        <f ca="1">IFERROR(__xludf.DUMMYFUNCTION("""COMPUTED_VALUE"""),"No")</f>
        <v>No</v>
      </c>
      <c r="AK702" s="5" t="str">
        <f ca="1">IFERROR(__xludf.DUMMYFUNCTION("""COMPUTED_VALUE"""),"No")</f>
        <v>No</v>
      </c>
      <c r="AL702" s="5" t="str">
        <f ca="1">IFERROR(__xludf.DUMMYFUNCTION("""COMPUTED_VALUE"""),"No")</f>
        <v>No</v>
      </c>
      <c r="AM702" s="5"/>
      <c r="AN702" s="5"/>
      <c r="AO702" s="5"/>
      <c r="AP702" s="5"/>
      <c r="AQ702" s="5"/>
      <c r="AR702" s="5"/>
      <c r="AS702" s="5"/>
      <c r="AT702" s="5"/>
      <c r="AU702" s="5"/>
      <c r="AV702" s="5"/>
      <c r="AW702" s="5"/>
      <c r="AX702" s="5"/>
      <c r="AY702" s="5"/>
    </row>
    <row r="703" spans="1:51" x14ac:dyDescent="0.25">
      <c r="A703"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3" s="5">
        <f ca="1">IFERROR(__xludf.DUMMYFUNCTION("""COMPUTED_VALUE"""),738)</f>
        <v>738</v>
      </c>
      <c r="C703" s="5">
        <f ca="1">IFERROR(__xludf.DUMMYFUNCTION("""COMPUTED_VALUE"""),180076)</f>
        <v>180076</v>
      </c>
      <c r="D703" s="5" t="str">
        <f ca="1">IFERROR(__xludf.DUMMYFUNCTION("""COMPUTED_VALUE"""),"RedstoneCrownDeluxe2X")</f>
        <v>RedstoneCrownDeluxe2X</v>
      </c>
      <c r="E703" s="5" t="str">
        <f ca="1">IFERROR(__xludf.DUMMYFUNCTION("""COMPUTED_VALUE"""),"Yes")</f>
        <v>Yes</v>
      </c>
      <c r="F703" s="5" t="str">
        <f ca="1">IFERROR(__xludf.DUMMYFUNCTION("""COMPUTED_VALUE"""),"Yes")</f>
        <v>Yes</v>
      </c>
      <c r="G703" s="5" t="str">
        <f ca="1">IFERROR(__xludf.DUMMYFUNCTION("""COMPUTED_VALUE"""),"No")</f>
        <v>No</v>
      </c>
      <c r="H703" s="5" t="str">
        <f ca="1">IFERROR(__xludf.DUMMYFUNCTION("""COMPUTED_VALUE"""),"Yes")</f>
        <v>Yes</v>
      </c>
      <c r="I703" s="5" t="str">
        <f ca="1">IFERROR(__xludf.DUMMYFUNCTION("""COMPUTED_VALUE"""),"Yes")</f>
        <v>Yes</v>
      </c>
      <c r="J703" s="5" t="str">
        <f ca="1">IFERROR(__xludf.DUMMYFUNCTION("""COMPUTED_VALUE"""),"Yes")</f>
        <v>Yes</v>
      </c>
      <c r="K703" s="5" t="str">
        <f ca="1">IFERROR(__xludf.DUMMYFUNCTION("""COMPUTED_VALUE"""),"Yes")</f>
        <v>Yes</v>
      </c>
      <c r="L703" s="5" t="str">
        <f ca="1">IFERROR(__xludf.DUMMYFUNCTION("""COMPUTED_VALUE"""),"Yes")</f>
        <v>Yes</v>
      </c>
      <c r="M703" s="5" t="str">
        <f ca="1">IFERROR(__xludf.DUMMYFUNCTION("""COMPUTED_VALUE"""),"Yes")</f>
        <v>Yes</v>
      </c>
      <c r="N703" s="5" t="str">
        <f ca="1">IFERROR(__xludf.DUMMYFUNCTION("""COMPUTED_VALUE"""),"Yes")</f>
        <v>Yes</v>
      </c>
      <c r="O703" s="5" t="str">
        <f ca="1">IFERROR(__xludf.DUMMYFUNCTION("""COMPUTED_VALUE"""),"Yes")</f>
        <v>Yes</v>
      </c>
      <c r="P703" s="5" t="str">
        <f ca="1">IFERROR(__xludf.DUMMYFUNCTION("""COMPUTED_VALUE"""),"Yes")</f>
        <v>Yes</v>
      </c>
      <c r="Q703" s="5" t="str">
        <f ca="1">IFERROR(__xludf.DUMMYFUNCTION("""COMPUTED_VALUE"""),"Yes")</f>
        <v>Yes</v>
      </c>
      <c r="R703" s="5" t="str">
        <f ca="1">IFERROR(__xludf.DUMMYFUNCTION("""COMPUTED_VALUE"""),"Yes")</f>
        <v>Yes</v>
      </c>
      <c r="S703" s="5" t="str">
        <f ca="1">IFERROR(__xludf.DUMMYFUNCTION("""COMPUTED_VALUE"""),"Yes")</f>
        <v>Yes</v>
      </c>
      <c r="T703" s="5" t="str">
        <f ca="1">IFERROR(__xludf.DUMMYFUNCTION("""COMPUTED_VALUE"""),"No")</f>
        <v>No</v>
      </c>
      <c r="U703" s="5" t="str">
        <f ca="1">IFERROR(__xludf.DUMMYFUNCTION("""COMPUTED_VALUE"""),"No")</f>
        <v>No</v>
      </c>
      <c r="V703" s="5" t="str">
        <f ca="1">IFERROR(__xludf.DUMMYFUNCTION("""COMPUTED_VALUE"""),"No")</f>
        <v>No</v>
      </c>
      <c r="W703" s="5" t="str">
        <f ca="1">IFERROR(__xludf.DUMMYFUNCTION("""COMPUTED_VALUE"""),"No")</f>
        <v>No</v>
      </c>
      <c r="X703" s="5" t="str">
        <f ca="1">IFERROR(__xludf.DUMMYFUNCTION("""COMPUTED_VALUE"""),"No")</f>
        <v>No</v>
      </c>
      <c r="Y703" s="5" t="str">
        <f ca="1">IFERROR(__xludf.DUMMYFUNCTION("""COMPUTED_VALUE"""),"No")</f>
        <v>No</v>
      </c>
      <c r="Z703" s="5" t="str">
        <f ca="1">IFERROR(__xludf.DUMMYFUNCTION("""COMPUTED_VALUE"""),"No")</f>
        <v>No</v>
      </c>
      <c r="AA703" s="5" t="str">
        <f ca="1">IFERROR(__xludf.DUMMYFUNCTION("""COMPUTED_VALUE"""),"Yes")</f>
        <v>Yes</v>
      </c>
      <c r="AB703" s="5" t="str">
        <f ca="1">IFERROR(__xludf.DUMMYFUNCTION("""COMPUTED_VALUE"""),"No")</f>
        <v>No</v>
      </c>
      <c r="AC703" s="5" t="str">
        <f ca="1">IFERROR(__xludf.DUMMYFUNCTION("""COMPUTED_VALUE"""),"No")</f>
        <v>No</v>
      </c>
      <c r="AD703" s="5" t="str">
        <f ca="1">IFERROR(__xludf.DUMMYFUNCTION("""COMPUTED_VALUE"""),"No")</f>
        <v>No</v>
      </c>
      <c r="AE703" s="5" t="str">
        <f ca="1">IFERROR(__xludf.DUMMYFUNCTION("""COMPUTED_VALUE"""),"No")</f>
        <v>No</v>
      </c>
      <c r="AF703" s="5" t="str">
        <f ca="1">IFERROR(__xludf.DUMMYFUNCTION("""COMPUTED_VALUE"""),"Yes")</f>
        <v>Yes</v>
      </c>
      <c r="AG703" s="5" t="str">
        <f ca="1">IFERROR(__xludf.DUMMYFUNCTION("""COMPUTED_VALUE"""),"No")</f>
        <v>No</v>
      </c>
      <c r="AH703" s="5" t="str">
        <f ca="1">IFERROR(__xludf.DUMMYFUNCTION("""COMPUTED_VALUE"""),"Yes")</f>
        <v>Yes</v>
      </c>
      <c r="AI703" s="5" t="str">
        <f ca="1">IFERROR(__xludf.DUMMYFUNCTION("""COMPUTED_VALUE"""),"No")</f>
        <v>No</v>
      </c>
      <c r="AJ703" s="5" t="str">
        <f ca="1">IFERROR(__xludf.DUMMYFUNCTION("""COMPUTED_VALUE"""),"No")</f>
        <v>No</v>
      </c>
      <c r="AK703" s="5" t="str">
        <f ca="1">IFERROR(__xludf.DUMMYFUNCTION("""COMPUTED_VALUE"""),"No")</f>
        <v>No</v>
      </c>
      <c r="AL703" s="5" t="str">
        <f ca="1">IFERROR(__xludf.DUMMYFUNCTION("""COMPUTED_VALUE"""),"No")</f>
        <v>No</v>
      </c>
      <c r="AM703" s="5"/>
      <c r="AN703" s="5"/>
      <c r="AO703" s="5"/>
      <c r="AP703" s="5"/>
      <c r="AQ703" s="5"/>
      <c r="AR703" s="5"/>
      <c r="AS703" s="5"/>
      <c r="AT703" s="5"/>
      <c r="AU703" s="5"/>
      <c r="AV703" s="5"/>
      <c r="AW703" s="5"/>
      <c r="AX703" s="5"/>
      <c r="AY703" s="5"/>
    </row>
    <row r="704" spans="1:51" x14ac:dyDescent="0.25">
      <c r="A704"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4" s="5">
        <f ca="1">IFERROR(__xludf.DUMMYFUNCTION("""COMPUTED_VALUE"""),739)</f>
        <v>739</v>
      </c>
      <c r="C704" s="5">
        <f ca="1">IFERROR(__xludf.DUMMYFUNCTION("""COMPUTED_VALUE"""),533)</f>
        <v>533</v>
      </c>
      <c r="D704" s="5" t="str">
        <f ca="1">IFERROR(__xludf.DUMMYFUNCTION("""COMPUTED_VALUE"""),"PlayNetRoyalFlame40")</f>
        <v>PlayNetRoyalFlame40</v>
      </c>
      <c r="E704" s="5" t="str">
        <f ca="1">IFERROR(__xludf.DUMMYFUNCTION("""COMPUTED_VALUE"""),"Yes")</f>
        <v>Yes</v>
      </c>
      <c r="F704" s="5" t="str">
        <f ca="1">IFERROR(__xludf.DUMMYFUNCTION("""COMPUTED_VALUE"""),"Yes")</f>
        <v>Yes</v>
      </c>
      <c r="G704" s="5" t="str">
        <f ca="1">IFERROR(__xludf.DUMMYFUNCTION("""COMPUTED_VALUE"""),"Yes")</f>
        <v>Yes</v>
      </c>
      <c r="H704" s="5" t="str">
        <f ca="1">IFERROR(__xludf.DUMMYFUNCTION("""COMPUTED_VALUE"""),"Yes")</f>
        <v>Yes</v>
      </c>
      <c r="I704" s="5" t="str">
        <f ca="1">IFERROR(__xludf.DUMMYFUNCTION("""COMPUTED_VALUE"""),"Yes")</f>
        <v>Yes</v>
      </c>
      <c r="J704" s="5" t="str">
        <f ca="1">IFERROR(__xludf.DUMMYFUNCTION("""COMPUTED_VALUE"""),"Yes")</f>
        <v>Yes</v>
      </c>
      <c r="K704" s="5" t="str">
        <f ca="1">IFERROR(__xludf.DUMMYFUNCTION("""COMPUTED_VALUE"""),"Yes")</f>
        <v>Yes</v>
      </c>
      <c r="L704" s="5" t="str">
        <f ca="1">IFERROR(__xludf.DUMMYFUNCTION("""COMPUTED_VALUE"""),"Yes")</f>
        <v>Yes</v>
      </c>
      <c r="M704" s="5" t="str">
        <f ca="1">IFERROR(__xludf.DUMMYFUNCTION("""COMPUTED_VALUE"""),"Yes")</f>
        <v>Yes</v>
      </c>
      <c r="N704" s="5" t="str">
        <f ca="1">IFERROR(__xludf.DUMMYFUNCTION("""COMPUTED_VALUE"""),"Yes")</f>
        <v>Yes</v>
      </c>
      <c r="O704" s="5" t="str">
        <f ca="1">IFERROR(__xludf.DUMMYFUNCTION("""COMPUTED_VALUE"""),"Yes")</f>
        <v>Yes</v>
      </c>
      <c r="P704" s="5" t="str">
        <f ca="1">IFERROR(__xludf.DUMMYFUNCTION("""COMPUTED_VALUE"""),"Yes")</f>
        <v>Yes</v>
      </c>
      <c r="Q704" s="5" t="str">
        <f ca="1">IFERROR(__xludf.DUMMYFUNCTION("""COMPUTED_VALUE"""),"Yes")</f>
        <v>Yes</v>
      </c>
      <c r="R704" s="5" t="str">
        <f ca="1">IFERROR(__xludf.DUMMYFUNCTION("""COMPUTED_VALUE"""),"Yes")</f>
        <v>Yes</v>
      </c>
      <c r="S704" s="5" t="str">
        <f ca="1">IFERROR(__xludf.DUMMYFUNCTION("""COMPUTED_VALUE"""),"Yes")</f>
        <v>Yes</v>
      </c>
      <c r="T704" s="5" t="str">
        <f ca="1">IFERROR(__xludf.DUMMYFUNCTION("""COMPUTED_VALUE"""),"No")</f>
        <v>No</v>
      </c>
      <c r="U704" s="5" t="str">
        <f ca="1">IFERROR(__xludf.DUMMYFUNCTION("""COMPUTED_VALUE"""),"No")</f>
        <v>No</v>
      </c>
      <c r="V704" s="5" t="str">
        <f ca="1">IFERROR(__xludf.DUMMYFUNCTION("""COMPUTED_VALUE"""),"No")</f>
        <v>No</v>
      </c>
      <c r="W704" s="5" t="str">
        <f ca="1">IFERROR(__xludf.DUMMYFUNCTION("""COMPUTED_VALUE"""),"No")</f>
        <v>No</v>
      </c>
      <c r="X704" s="5" t="str">
        <f ca="1">IFERROR(__xludf.DUMMYFUNCTION("""COMPUTED_VALUE"""),"No")</f>
        <v>No</v>
      </c>
      <c r="Y704" s="5" t="str">
        <f ca="1">IFERROR(__xludf.DUMMYFUNCTION("""COMPUTED_VALUE"""),"No")</f>
        <v>No</v>
      </c>
      <c r="Z704" s="5" t="str">
        <f ca="1">IFERROR(__xludf.DUMMYFUNCTION("""COMPUTED_VALUE"""),"No")</f>
        <v>No</v>
      </c>
      <c r="AA704" s="5" t="str">
        <f ca="1">IFERROR(__xludf.DUMMYFUNCTION("""COMPUTED_VALUE"""),"No")</f>
        <v>No</v>
      </c>
      <c r="AB704" s="5" t="str">
        <f ca="1">IFERROR(__xludf.DUMMYFUNCTION("""COMPUTED_VALUE"""),"No")</f>
        <v>No</v>
      </c>
      <c r="AC704" s="5" t="str">
        <f ca="1">IFERROR(__xludf.DUMMYFUNCTION("""COMPUTED_VALUE"""),"No")</f>
        <v>No</v>
      </c>
      <c r="AD704" s="5" t="str">
        <f ca="1">IFERROR(__xludf.DUMMYFUNCTION("""COMPUTED_VALUE"""),"No")</f>
        <v>No</v>
      </c>
      <c r="AE704" s="5" t="str">
        <f ca="1">IFERROR(__xludf.DUMMYFUNCTION("""COMPUTED_VALUE"""),"No")</f>
        <v>No</v>
      </c>
      <c r="AF704" s="5" t="str">
        <f ca="1">IFERROR(__xludf.DUMMYFUNCTION("""COMPUTED_VALUE"""),"Yes")</f>
        <v>Yes</v>
      </c>
      <c r="AG704" s="5" t="str">
        <f ca="1">IFERROR(__xludf.DUMMYFUNCTION("""COMPUTED_VALUE"""),"No")</f>
        <v>No</v>
      </c>
      <c r="AH704" s="5" t="str">
        <f ca="1">IFERROR(__xludf.DUMMYFUNCTION("""COMPUTED_VALUE"""),"Yes")</f>
        <v>Yes</v>
      </c>
      <c r="AI704" s="5" t="str">
        <f ca="1">IFERROR(__xludf.DUMMYFUNCTION("""COMPUTED_VALUE"""),"No")</f>
        <v>No</v>
      </c>
      <c r="AJ704" s="5" t="str">
        <f ca="1">IFERROR(__xludf.DUMMYFUNCTION("""COMPUTED_VALUE"""),"No")</f>
        <v>No</v>
      </c>
      <c r="AK704" s="5" t="str">
        <f ca="1">IFERROR(__xludf.DUMMYFUNCTION("""COMPUTED_VALUE"""),"No")</f>
        <v>No</v>
      </c>
      <c r="AL704" s="5" t="str">
        <f ca="1">IFERROR(__xludf.DUMMYFUNCTION("""COMPUTED_VALUE"""),"No")</f>
        <v>No</v>
      </c>
      <c r="AM704" s="5"/>
      <c r="AN704" s="5"/>
      <c r="AO704" s="5"/>
      <c r="AP704" s="5"/>
      <c r="AQ704" s="5"/>
      <c r="AR704" s="5"/>
      <c r="AS704" s="5"/>
      <c r="AT704" s="5"/>
      <c r="AU704" s="5"/>
      <c r="AV704" s="5"/>
      <c r="AW704" s="5"/>
      <c r="AX704" s="5"/>
      <c r="AY704" s="5"/>
    </row>
    <row r="705" spans="1:51" x14ac:dyDescent="0.25">
      <c r="A705"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5" s="5">
        <f ca="1">IFERROR(__xludf.DUMMYFUNCTION("""COMPUTED_VALUE"""),740)</f>
        <v>740</v>
      </c>
      <c r="C705" s="5">
        <f ca="1">IFERROR(__xludf.DUMMYFUNCTION("""COMPUTED_VALUE"""),534)</f>
        <v>534</v>
      </c>
      <c r="D705" s="5" t="str">
        <f ca="1">IFERROR(__xludf.DUMMYFUNCTION("""COMPUTED_VALUE"""),"PlayNetFruitJackPotx10000")</f>
        <v>PlayNetFruitJackPotx10000</v>
      </c>
      <c r="E705" s="5" t="str">
        <f ca="1">IFERROR(__xludf.DUMMYFUNCTION("""COMPUTED_VALUE"""),"Yes")</f>
        <v>Yes</v>
      </c>
      <c r="F705" s="5" t="str">
        <f ca="1">IFERROR(__xludf.DUMMYFUNCTION("""COMPUTED_VALUE"""),"Yes")</f>
        <v>Yes</v>
      </c>
      <c r="G705" s="5" t="str">
        <f ca="1">IFERROR(__xludf.DUMMYFUNCTION("""COMPUTED_VALUE"""),"Yes")</f>
        <v>Yes</v>
      </c>
      <c r="H705" s="5" t="str">
        <f ca="1">IFERROR(__xludf.DUMMYFUNCTION("""COMPUTED_VALUE"""),"Yes")</f>
        <v>Yes</v>
      </c>
      <c r="I705" s="5" t="str">
        <f ca="1">IFERROR(__xludf.DUMMYFUNCTION("""COMPUTED_VALUE"""),"Yes")</f>
        <v>Yes</v>
      </c>
      <c r="J705" s="5" t="str">
        <f ca="1">IFERROR(__xludf.DUMMYFUNCTION("""COMPUTED_VALUE"""),"Yes")</f>
        <v>Yes</v>
      </c>
      <c r="K705" s="5" t="str">
        <f ca="1">IFERROR(__xludf.DUMMYFUNCTION("""COMPUTED_VALUE"""),"Yes")</f>
        <v>Yes</v>
      </c>
      <c r="L705" s="5" t="str">
        <f ca="1">IFERROR(__xludf.DUMMYFUNCTION("""COMPUTED_VALUE"""),"Yes")</f>
        <v>Yes</v>
      </c>
      <c r="M705" s="5" t="str">
        <f ca="1">IFERROR(__xludf.DUMMYFUNCTION("""COMPUTED_VALUE"""),"Yes")</f>
        <v>Yes</v>
      </c>
      <c r="N705" s="5" t="str">
        <f ca="1">IFERROR(__xludf.DUMMYFUNCTION("""COMPUTED_VALUE"""),"Yes")</f>
        <v>Yes</v>
      </c>
      <c r="O705" s="5" t="str">
        <f ca="1">IFERROR(__xludf.DUMMYFUNCTION("""COMPUTED_VALUE"""),"Yes")</f>
        <v>Yes</v>
      </c>
      <c r="P705" s="5" t="str">
        <f ca="1">IFERROR(__xludf.DUMMYFUNCTION("""COMPUTED_VALUE"""),"Yes")</f>
        <v>Yes</v>
      </c>
      <c r="Q705" s="5" t="str">
        <f ca="1">IFERROR(__xludf.DUMMYFUNCTION("""COMPUTED_VALUE"""),"Yes")</f>
        <v>Yes</v>
      </c>
      <c r="R705" s="5" t="str">
        <f ca="1">IFERROR(__xludf.DUMMYFUNCTION("""COMPUTED_VALUE"""),"Yes")</f>
        <v>Yes</v>
      </c>
      <c r="S705" s="5" t="str">
        <f ca="1">IFERROR(__xludf.DUMMYFUNCTION("""COMPUTED_VALUE"""),"Yes")</f>
        <v>Yes</v>
      </c>
      <c r="T705" s="5" t="str">
        <f ca="1">IFERROR(__xludf.DUMMYFUNCTION("""COMPUTED_VALUE"""),"No")</f>
        <v>No</v>
      </c>
      <c r="U705" s="5" t="str">
        <f ca="1">IFERROR(__xludf.DUMMYFUNCTION("""COMPUTED_VALUE"""),"No")</f>
        <v>No</v>
      </c>
      <c r="V705" s="5"/>
      <c r="W705" s="5"/>
      <c r="X705" s="5"/>
      <c r="Y705" s="5"/>
      <c r="Z705" s="5"/>
      <c r="AA705" s="5"/>
      <c r="AB705" s="5"/>
      <c r="AC705" s="5"/>
      <c r="AD705" s="5"/>
      <c r="AE705" s="5"/>
      <c r="AF705" s="5" t="str">
        <f ca="1">IFERROR(__xludf.DUMMYFUNCTION("""COMPUTED_VALUE"""),"Yes")</f>
        <v>Yes</v>
      </c>
      <c r="AG705" s="5"/>
      <c r="AH705" s="5" t="str">
        <f ca="1">IFERROR(__xludf.DUMMYFUNCTION("""COMPUTED_VALUE"""),"Yes")</f>
        <v>Yes</v>
      </c>
      <c r="AI705" s="5"/>
      <c r="AJ705" s="5"/>
      <c r="AK705" s="5"/>
      <c r="AL705" s="5"/>
      <c r="AM705" s="5"/>
      <c r="AN705" s="5"/>
      <c r="AO705" s="5"/>
      <c r="AP705" s="5"/>
      <c r="AQ705" s="5"/>
      <c r="AR705" s="5"/>
      <c r="AS705" s="5"/>
      <c r="AT705" s="5"/>
      <c r="AU705" s="5"/>
      <c r="AV705" s="5"/>
      <c r="AW705" s="5"/>
      <c r="AX705" s="5"/>
      <c r="AY705" s="5"/>
    </row>
    <row r="706" spans="1:51" x14ac:dyDescent="0.25">
      <c r="A706"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06" s="5">
        <f ca="1">IFERROR(__xludf.DUMMYFUNCTION("""COMPUTED_VALUE"""),741)</f>
        <v>741</v>
      </c>
      <c r="C706" s="5">
        <f ca="1">IFERROR(__xludf.DUMMYFUNCTION("""COMPUTED_VALUE"""),535)</f>
        <v>535</v>
      </c>
      <c r="D706" s="5" t="str">
        <f ca="1">IFERROR(__xludf.DUMMYFUNCTION("""COMPUTED_VALUE"""),"PlayNet27LuckyFruits")</f>
        <v>PlayNet27LuckyFruits</v>
      </c>
      <c r="E706" s="5" t="str">
        <f ca="1">IFERROR(__xludf.DUMMYFUNCTION("""COMPUTED_VALUE"""),"Yes")</f>
        <v>Yes</v>
      </c>
      <c r="F706" s="5" t="str">
        <f ca="1">IFERROR(__xludf.DUMMYFUNCTION("""COMPUTED_VALUE"""),"Yes")</f>
        <v>Yes</v>
      </c>
      <c r="G706" s="5" t="str">
        <f ca="1">IFERROR(__xludf.DUMMYFUNCTION("""COMPUTED_VALUE"""),"Yes")</f>
        <v>Yes</v>
      </c>
      <c r="H706" s="5" t="str">
        <f ca="1">IFERROR(__xludf.DUMMYFUNCTION("""COMPUTED_VALUE"""),"Yes")</f>
        <v>Yes</v>
      </c>
      <c r="I706" s="5" t="str">
        <f ca="1">IFERROR(__xludf.DUMMYFUNCTION("""COMPUTED_VALUE"""),"Yes")</f>
        <v>Yes</v>
      </c>
      <c r="J706" s="5" t="str">
        <f ca="1">IFERROR(__xludf.DUMMYFUNCTION("""COMPUTED_VALUE"""),"Yes")</f>
        <v>Yes</v>
      </c>
      <c r="K706" s="5" t="str">
        <f ca="1">IFERROR(__xludf.DUMMYFUNCTION("""COMPUTED_VALUE"""),"Yes")</f>
        <v>Yes</v>
      </c>
      <c r="L706" s="5" t="str">
        <f ca="1">IFERROR(__xludf.DUMMYFUNCTION("""COMPUTED_VALUE"""),"Yes")</f>
        <v>Yes</v>
      </c>
      <c r="M706" s="5" t="str">
        <f ca="1">IFERROR(__xludf.DUMMYFUNCTION("""COMPUTED_VALUE"""),"Yes")</f>
        <v>Yes</v>
      </c>
      <c r="N706" s="5" t="str">
        <f ca="1">IFERROR(__xludf.DUMMYFUNCTION("""COMPUTED_VALUE"""),"Yes")</f>
        <v>Yes</v>
      </c>
      <c r="O706" s="5" t="str">
        <f ca="1">IFERROR(__xludf.DUMMYFUNCTION("""COMPUTED_VALUE"""),"Yes")</f>
        <v>Yes</v>
      </c>
      <c r="P706" s="5" t="str">
        <f ca="1">IFERROR(__xludf.DUMMYFUNCTION("""COMPUTED_VALUE"""),"Yes")</f>
        <v>Yes</v>
      </c>
      <c r="Q706" s="5" t="str">
        <f ca="1">IFERROR(__xludf.DUMMYFUNCTION("""COMPUTED_VALUE"""),"Yes")</f>
        <v>Yes</v>
      </c>
      <c r="R706" s="5" t="str">
        <f ca="1">IFERROR(__xludf.DUMMYFUNCTION("""COMPUTED_VALUE"""),"Yes")</f>
        <v>Yes</v>
      </c>
      <c r="S706" s="5" t="str">
        <f ca="1">IFERROR(__xludf.DUMMYFUNCTION("""COMPUTED_VALUE"""),"Yes")</f>
        <v>Yes</v>
      </c>
      <c r="T706" s="5" t="str">
        <f ca="1">IFERROR(__xludf.DUMMYFUNCTION("""COMPUTED_VALUE"""),"No")</f>
        <v>No</v>
      </c>
      <c r="U706" s="5" t="str">
        <f ca="1">IFERROR(__xludf.DUMMYFUNCTION("""COMPUTED_VALUE"""),"No")</f>
        <v>No</v>
      </c>
      <c r="V706" s="5" t="str">
        <f ca="1">IFERROR(__xludf.DUMMYFUNCTION("""COMPUTED_VALUE"""),"No")</f>
        <v>No</v>
      </c>
      <c r="W706" s="5" t="str">
        <f ca="1">IFERROR(__xludf.DUMMYFUNCTION("""COMPUTED_VALUE"""),"No")</f>
        <v>No</v>
      </c>
      <c r="X706" s="5" t="str">
        <f ca="1">IFERROR(__xludf.DUMMYFUNCTION("""COMPUTED_VALUE"""),"No")</f>
        <v>No</v>
      </c>
      <c r="Y706" s="5" t="str">
        <f ca="1">IFERROR(__xludf.DUMMYFUNCTION("""COMPUTED_VALUE"""),"No")</f>
        <v>No</v>
      </c>
      <c r="Z706" s="5" t="str">
        <f ca="1">IFERROR(__xludf.DUMMYFUNCTION("""COMPUTED_VALUE"""),"No")</f>
        <v>No</v>
      </c>
      <c r="AA706" s="5" t="str">
        <f ca="1">IFERROR(__xludf.DUMMYFUNCTION("""COMPUTED_VALUE"""),"Yes")</f>
        <v>Yes</v>
      </c>
      <c r="AB706" s="5" t="str">
        <f ca="1">IFERROR(__xludf.DUMMYFUNCTION("""COMPUTED_VALUE"""),"No")</f>
        <v>No</v>
      </c>
      <c r="AC706" s="5" t="str">
        <f ca="1">IFERROR(__xludf.DUMMYFUNCTION("""COMPUTED_VALUE"""),"No")</f>
        <v>No</v>
      </c>
      <c r="AD706" s="5" t="str">
        <f ca="1">IFERROR(__xludf.DUMMYFUNCTION("""COMPUTED_VALUE"""),"No")</f>
        <v>No</v>
      </c>
      <c r="AE706" s="5" t="str">
        <f ca="1">IFERROR(__xludf.DUMMYFUNCTION("""COMPUTED_VALUE"""),"No")</f>
        <v>No</v>
      </c>
      <c r="AF706" s="5" t="str">
        <f ca="1">IFERROR(__xludf.DUMMYFUNCTION("""COMPUTED_VALUE"""),"Yes")</f>
        <v>Yes</v>
      </c>
      <c r="AG706" s="5" t="str">
        <f ca="1">IFERROR(__xludf.DUMMYFUNCTION("""COMPUTED_VALUE"""),"No")</f>
        <v>No</v>
      </c>
      <c r="AH706" s="5" t="str">
        <f ca="1">IFERROR(__xludf.DUMMYFUNCTION("""COMPUTED_VALUE"""),"Yes")</f>
        <v>Yes</v>
      </c>
      <c r="AI706" s="5" t="str">
        <f ca="1">IFERROR(__xludf.DUMMYFUNCTION("""COMPUTED_VALUE"""),"No")</f>
        <v>No</v>
      </c>
      <c r="AJ706" s="5" t="str">
        <f ca="1">IFERROR(__xludf.DUMMYFUNCTION("""COMPUTED_VALUE"""),"No")</f>
        <v>No</v>
      </c>
      <c r="AK706" s="5" t="str">
        <f ca="1">IFERROR(__xludf.DUMMYFUNCTION("""COMPUTED_VALUE"""),"No")</f>
        <v>No</v>
      </c>
      <c r="AL706" s="5" t="str">
        <f ca="1">IFERROR(__xludf.DUMMYFUNCTION("""COMPUTED_VALUE"""),"No")</f>
        <v>No</v>
      </c>
      <c r="AM706" s="5"/>
      <c r="AN706" s="5"/>
      <c r="AO706" s="5"/>
      <c r="AP706" s="5"/>
      <c r="AQ706" s="5"/>
      <c r="AR706" s="5"/>
      <c r="AS706" s="5"/>
      <c r="AT706" s="5"/>
      <c r="AU706" s="5"/>
      <c r="AV706" s="5"/>
      <c r="AW706" s="5"/>
      <c r="AX706" s="5"/>
      <c r="AY706" s="5"/>
    </row>
    <row r="707" spans="1:51" x14ac:dyDescent="0.25">
      <c r="A707"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7" s="5">
        <f ca="1">IFERROR(__xludf.DUMMYFUNCTION("""COMPUTED_VALUE"""),742)</f>
        <v>742</v>
      </c>
      <c r="C707" s="5">
        <f ca="1">IFERROR(__xludf.DUMMYFUNCTION("""COMPUTED_VALUE"""),536)</f>
        <v>536</v>
      </c>
      <c r="D707" s="5" t="str">
        <f ca="1">IFERROR(__xludf.DUMMYFUNCTION("""COMPUTED_VALUE"""),"PlayNetShadowHunt10")</f>
        <v>PlayNetShadowHunt10</v>
      </c>
      <c r="E707" s="5" t="str">
        <f ca="1">IFERROR(__xludf.DUMMYFUNCTION("""COMPUTED_VALUE"""),"Yes")</f>
        <v>Yes</v>
      </c>
      <c r="F707" s="5" t="str">
        <f ca="1">IFERROR(__xludf.DUMMYFUNCTION("""COMPUTED_VALUE"""),"Yes")</f>
        <v>Yes</v>
      </c>
      <c r="G707" s="5" t="str">
        <f ca="1">IFERROR(__xludf.DUMMYFUNCTION("""COMPUTED_VALUE"""),"Yes")</f>
        <v>Yes</v>
      </c>
      <c r="H707" s="5" t="str">
        <f ca="1">IFERROR(__xludf.DUMMYFUNCTION("""COMPUTED_VALUE"""),"Yes")</f>
        <v>Yes</v>
      </c>
      <c r="I707" s="5" t="str">
        <f ca="1">IFERROR(__xludf.DUMMYFUNCTION("""COMPUTED_VALUE"""),"Yes")</f>
        <v>Yes</v>
      </c>
      <c r="J707" s="5" t="str">
        <f ca="1">IFERROR(__xludf.DUMMYFUNCTION("""COMPUTED_VALUE"""),"Yes")</f>
        <v>Yes</v>
      </c>
      <c r="K707" s="5" t="str">
        <f ca="1">IFERROR(__xludf.DUMMYFUNCTION("""COMPUTED_VALUE"""),"Yes")</f>
        <v>Yes</v>
      </c>
      <c r="L707" s="5" t="str">
        <f ca="1">IFERROR(__xludf.DUMMYFUNCTION("""COMPUTED_VALUE"""),"Yes")</f>
        <v>Yes</v>
      </c>
      <c r="M707" s="5" t="str">
        <f ca="1">IFERROR(__xludf.DUMMYFUNCTION("""COMPUTED_VALUE"""),"Yes")</f>
        <v>Yes</v>
      </c>
      <c r="N707" s="5" t="str">
        <f ca="1">IFERROR(__xludf.DUMMYFUNCTION("""COMPUTED_VALUE"""),"Yes")</f>
        <v>Yes</v>
      </c>
      <c r="O707" s="5" t="str">
        <f ca="1">IFERROR(__xludf.DUMMYFUNCTION("""COMPUTED_VALUE"""),"Yes")</f>
        <v>Yes</v>
      </c>
      <c r="P707" s="5" t="str">
        <f ca="1">IFERROR(__xludf.DUMMYFUNCTION("""COMPUTED_VALUE"""),"Yes")</f>
        <v>Yes</v>
      </c>
      <c r="Q707" s="5" t="str">
        <f ca="1">IFERROR(__xludf.DUMMYFUNCTION("""COMPUTED_VALUE"""),"Yes")</f>
        <v>Yes</v>
      </c>
      <c r="R707" s="5" t="str">
        <f ca="1">IFERROR(__xludf.DUMMYFUNCTION("""COMPUTED_VALUE"""),"Yes")</f>
        <v>Yes</v>
      </c>
      <c r="S707" s="5" t="str">
        <f ca="1">IFERROR(__xludf.DUMMYFUNCTION("""COMPUTED_VALUE"""),"Yes")</f>
        <v>Yes</v>
      </c>
      <c r="T707" s="5"/>
      <c r="U707" s="5"/>
      <c r="V707" s="5"/>
      <c r="W707" s="5"/>
      <c r="X707" s="5"/>
      <c r="Y707" s="5"/>
      <c r="Z707" s="5"/>
      <c r="AA707" s="5"/>
      <c r="AB707" s="5"/>
      <c r="AC707" s="5"/>
      <c r="AD707" s="5"/>
      <c r="AE707" s="5"/>
      <c r="AF707" s="5" t="str">
        <f ca="1">IFERROR(__xludf.DUMMYFUNCTION("""COMPUTED_VALUE"""),"Yes")</f>
        <v>Yes</v>
      </c>
      <c r="AG707" s="5"/>
      <c r="AH707" s="5" t="str">
        <f ca="1">IFERROR(__xludf.DUMMYFUNCTION("""COMPUTED_VALUE"""),"Yes")</f>
        <v>Yes</v>
      </c>
      <c r="AI707" s="5"/>
      <c r="AJ707" s="5"/>
      <c r="AK707" s="5"/>
      <c r="AL707" s="5"/>
      <c r="AM707" s="5"/>
      <c r="AN707" s="5"/>
      <c r="AO707" s="5"/>
      <c r="AP707" s="5"/>
      <c r="AQ707" s="5"/>
      <c r="AR707" s="5"/>
      <c r="AS707" s="5"/>
      <c r="AT707" s="5"/>
      <c r="AU707" s="5"/>
      <c r="AV707" s="5"/>
      <c r="AW707" s="5"/>
      <c r="AX707" s="5"/>
      <c r="AY707" s="5"/>
    </row>
    <row r="708" spans="1:51" x14ac:dyDescent="0.25">
      <c r="A708"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8" s="5">
        <f ca="1">IFERROR(__xludf.DUMMYFUNCTION("""COMPUTED_VALUE"""),743)</f>
        <v>743</v>
      </c>
      <c r="C708" s="5">
        <f ca="1">IFERROR(__xludf.DUMMYFUNCTION("""COMPUTED_VALUE"""),537)</f>
        <v>537</v>
      </c>
      <c r="D708" s="5" t="str">
        <f ca="1">IFERROR(__xludf.DUMMYFUNCTION("""COMPUTED_VALUE"""),"PlayNetDiamondHeart20")</f>
        <v>PlayNetDiamondHeart20</v>
      </c>
      <c r="E708" s="5" t="str">
        <f ca="1">IFERROR(__xludf.DUMMYFUNCTION("""COMPUTED_VALUE"""),"Yes")</f>
        <v>Yes</v>
      </c>
      <c r="F708" s="5" t="str">
        <f ca="1">IFERROR(__xludf.DUMMYFUNCTION("""COMPUTED_VALUE"""),"Yes")</f>
        <v>Yes</v>
      </c>
      <c r="G708" s="5" t="str">
        <f ca="1">IFERROR(__xludf.DUMMYFUNCTION("""COMPUTED_VALUE"""),"Yes")</f>
        <v>Yes</v>
      </c>
      <c r="H708" s="5" t="str">
        <f ca="1">IFERROR(__xludf.DUMMYFUNCTION("""COMPUTED_VALUE"""),"Yes")</f>
        <v>Yes</v>
      </c>
      <c r="I708" s="5" t="str">
        <f ca="1">IFERROR(__xludf.DUMMYFUNCTION("""COMPUTED_VALUE"""),"Yes")</f>
        <v>Yes</v>
      </c>
      <c r="J708" s="5" t="str">
        <f ca="1">IFERROR(__xludf.DUMMYFUNCTION("""COMPUTED_VALUE"""),"Yes")</f>
        <v>Yes</v>
      </c>
      <c r="K708" s="5" t="str">
        <f ca="1">IFERROR(__xludf.DUMMYFUNCTION("""COMPUTED_VALUE"""),"Yes")</f>
        <v>Yes</v>
      </c>
      <c r="L708" s="5" t="str">
        <f ca="1">IFERROR(__xludf.DUMMYFUNCTION("""COMPUTED_VALUE"""),"Yes")</f>
        <v>Yes</v>
      </c>
      <c r="M708" s="5" t="str">
        <f ca="1">IFERROR(__xludf.DUMMYFUNCTION("""COMPUTED_VALUE"""),"Yes")</f>
        <v>Yes</v>
      </c>
      <c r="N708" s="5" t="str">
        <f ca="1">IFERROR(__xludf.DUMMYFUNCTION("""COMPUTED_VALUE"""),"Yes")</f>
        <v>Yes</v>
      </c>
      <c r="O708" s="5" t="str">
        <f ca="1">IFERROR(__xludf.DUMMYFUNCTION("""COMPUTED_VALUE"""),"Yes")</f>
        <v>Yes</v>
      </c>
      <c r="P708" s="5" t="str">
        <f ca="1">IFERROR(__xludf.DUMMYFUNCTION("""COMPUTED_VALUE"""),"Yes")</f>
        <v>Yes</v>
      </c>
      <c r="Q708" s="5" t="str">
        <f ca="1">IFERROR(__xludf.DUMMYFUNCTION("""COMPUTED_VALUE"""),"Yes")</f>
        <v>Yes</v>
      </c>
      <c r="R708" s="5" t="str">
        <f ca="1">IFERROR(__xludf.DUMMYFUNCTION("""COMPUTED_VALUE"""),"Yes")</f>
        <v>Yes</v>
      </c>
      <c r="S708" s="5" t="str">
        <f ca="1">IFERROR(__xludf.DUMMYFUNCTION("""COMPUTED_VALUE"""),"Yes")</f>
        <v>Yes</v>
      </c>
      <c r="T708" s="5"/>
      <c r="U708" s="5"/>
      <c r="V708" s="5"/>
      <c r="W708" s="5"/>
      <c r="X708" s="5"/>
      <c r="Y708" s="5"/>
      <c r="Z708" s="5"/>
      <c r="AA708" s="5"/>
      <c r="AB708" s="5"/>
      <c r="AC708" s="5"/>
      <c r="AD708" s="5"/>
      <c r="AE708" s="5"/>
      <c r="AF708" s="5" t="str">
        <f ca="1">IFERROR(__xludf.DUMMYFUNCTION("""COMPUTED_VALUE"""),"Yes")</f>
        <v>Yes</v>
      </c>
      <c r="AG708" s="5"/>
      <c r="AH708" s="5" t="str">
        <f ca="1">IFERROR(__xludf.DUMMYFUNCTION("""COMPUTED_VALUE"""),"Yes")</f>
        <v>Yes</v>
      </c>
      <c r="AI708" s="5"/>
      <c r="AJ708" s="5"/>
      <c r="AK708" s="5"/>
      <c r="AL708" s="5"/>
      <c r="AM708" s="5"/>
      <c r="AN708" s="5"/>
      <c r="AO708" s="5"/>
      <c r="AP708" s="5"/>
      <c r="AQ708" s="5"/>
      <c r="AR708" s="5"/>
      <c r="AS708" s="5"/>
      <c r="AT708" s="5"/>
      <c r="AU708" s="5"/>
      <c r="AV708" s="5"/>
      <c r="AW708" s="5"/>
      <c r="AX708" s="5"/>
      <c r="AY708" s="5"/>
    </row>
    <row r="709" spans="1:51" x14ac:dyDescent="0.25">
      <c r="A709"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9" s="5">
        <f ca="1">IFERROR(__xludf.DUMMYFUNCTION("""COMPUTED_VALUE"""),744)</f>
        <v>744</v>
      </c>
      <c r="C709" s="5">
        <f ca="1">IFERROR(__xludf.DUMMYFUNCTION("""COMPUTED_VALUE"""),538)</f>
        <v>538</v>
      </c>
      <c r="D709" s="5" t="str">
        <f ca="1">IFERROR(__xludf.DUMMYFUNCTION("""COMPUTED_VALUE"""),"PlayNetBitQueen")</f>
        <v>PlayNetBitQueen</v>
      </c>
      <c r="E709" s="5" t="str">
        <f ca="1">IFERROR(__xludf.DUMMYFUNCTION("""COMPUTED_VALUE"""),"Yes")</f>
        <v>Yes</v>
      </c>
      <c r="F709" s="5" t="str">
        <f ca="1">IFERROR(__xludf.DUMMYFUNCTION("""COMPUTED_VALUE"""),"Yes")</f>
        <v>Yes</v>
      </c>
      <c r="G709" s="5" t="str">
        <f ca="1">IFERROR(__xludf.DUMMYFUNCTION("""COMPUTED_VALUE"""),"Yes")</f>
        <v>Yes</v>
      </c>
      <c r="H709" s="5" t="str">
        <f ca="1">IFERROR(__xludf.DUMMYFUNCTION("""COMPUTED_VALUE"""),"Yes")</f>
        <v>Yes</v>
      </c>
      <c r="I709" s="5" t="str">
        <f ca="1">IFERROR(__xludf.DUMMYFUNCTION("""COMPUTED_VALUE"""),"Yes")</f>
        <v>Yes</v>
      </c>
      <c r="J709" s="5" t="str">
        <f ca="1">IFERROR(__xludf.DUMMYFUNCTION("""COMPUTED_VALUE"""),"Yes")</f>
        <v>Yes</v>
      </c>
      <c r="K709" s="5" t="str">
        <f ca="1">IFERROR(__xludf.DUMMYFUNCTION("""COMPUTED_VALUE"""),"Yes")</f>
        <v>Yes</v>
      </c>
      <c r="L709" s="5" t="str">
        <f ca="1">IFERROR(__xludf.DUMMYFUNCTION("""COMPUTED_VALUE"""),"Yes")</f>
        <v>Yes</v>
      </c>
      <c r="M709" s="5" t="str">
        <f ca="1">IFERROR(__xludf.DUMMYFUNCTION("""COMPUTED_VALUE"""),"Yes")</f>
        <v>Yes</v>
      </c>
      <c r="N709" s="5" t="str">
        <f ca="1">IFERROR(__xludf.DUMMYFUNCTION("""COMPUTED_VALUE"""),"Yes")</f>
        <v>Yes</v>
      </c>
      <c r="O709" s="5" t="str">
        <f ca="1">IFERROR(__xludf.DUMMYFUNCTION("""COMPUTED_VALUE"""),"Yes")</f>
        <v>Yes</v>
      </c>
      <c r="P709" s="5" t="str">
        <f ca="1">IFERROR(__xludf.DUMMYFUNCTION("""COMPUTED_VALUE"""),"Yes")</f>
        <v>Yes</v>
      </c>
      <c r="Q709" s="5" t="str">
        <f ca="1">IFERROR(__xludf.DUMMYFUNCTION("""COMPUTED_VALUE"""),"Yes")</f>
        <v>Yes</v>
      </c>
      <c r="R709" s="5" t="str">
        <f ca="1">IFERROR(__xludf.DUMMYFUNCTION("""COMPUTED_VALUE"""),"Yes")</f>
        <v>Yes</v>
      </c>
      <c r="S709" s="5" t="str">
        <f ca="1">IFERROR(__xludf.DUMMYFUNCTION("""COMPUTED_VALUE"""),"Yes")</f>
        <v>Yes</v>
      </c>
      <c r="T709" s="5"/>
      <c r="U709" s="5"/>
      <c r="V709" s="5"/>
      <c r="W709" s="5"/>
      <c r="X709" s="5"/>
      <c r="Y709" s="5"/>
      <c r="Z709" s="5"/>
      <c r="AA709" s="5"/>
      <c r="AB709" s="5"/>
      <c r="AC709" s="5"/>
      <c r="AD709" s="5"/>
      <c r="AE709" s="5"/>
      <c r="AF709" s="5" t="str">
        <f ca="1">IFERROR(__xludf.DUMMYFUNCTION("""COMPUTED_VALUE"""),"Yes")</f>
        <v>Yes</v>
      </c>
      <c r="AG709" s="5"/>
      <c r="AH709" s="5" t="str">
        <f ca="1">IFERROR(__xludf.DUMMYFUNCTION("""COMPUTED_VALUE"""),"Yes")</f>
        <v>Yes</v>
      </c>
      <c r="AI709" s="5"/>
      <c r="AJ709" s="5"/>
      <c r="AK709" s="5"/>
      <c r="AL709" s="5"/>
      <c r="AM709" s="5"/>
      <c r="AN709" s="5"/>
      <c r="AO709" s="5"/>
      <c r="AP709" s="5"/>
      <c r="AQ709" s="5"/>
      <c r="AR709" s="5"/>
      <c r="AS709" s="5"/>
      <c r="AT709" s="5"/>
      <c r="AU709" s="5"/>
      <c r="AV709" s="5"/>
      <c r="AW709" s="5"/>
      <c r="AX709" s="5"/>
      <c r="AY709" s="5"/>
    </row>
    <row r="710" spans="1:51" x14ac:dyDescent="0.25">
      <c r="A71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0" s="5">
        <f ca="1">IFERROR(__xludf.DUMMYFUNCTION("""COMPUTED_VALUE"""),745)</f>
        <v>745</v>
      </c>
      <c r="C710" s="5">
        <f ca="1">IFERROR(__xludf.DUMMYFUNCTION("""COMPUTED_VALUE"""),539)</f>
        <v>539</v>
      </c>
      <c r="D710" s="5" t="str">
        <f ca="1">IFERROR(__xludf.DUMMYFUNCTION("""COMPUTED_VALUE"""),"PlayNetDashingHot40")</f>
        <v>PlayNetDashingHot40</v>
      </c>
      <c r="E710" s="5" t="str">
        <f ca="1">IFERROR(__xludf.DUMMYFUNCTION("""COMPUTED_VALUE"""),"Yes")</f>
        <v>Yes</v>
      </c>
      <c r="F710" s="5" t="str">
        <f ca="1">IFERROR(__xludf.DUMMYFUNCTION("""COMPUTED_VALUE"""),"Yes")</f>
        <v>Yes</v>
      </c>
      <c r="G710" s="5" t="str">
        <f ca="1">IFERROR(__xludf.DUMMYFUNCTION("""COMPUTED_VALUE"""),"Yes")</f>
        <v>Yes</v>
      </c>
      <c r="H710" s="5" t="str">
        <f ca="1">IFERROR(__xludf.DUMMYFUNCTION("""COMPUTED_VALUE"""),"Yes")</f>
        <v>Yes</v>
      </c>
      <c r="I710" s="5" t="str">
        <f ca="1">IFERROR(__xludf.DUMMYFUNCTION("""COMPUTED_VALUE"""),"Yes")</f>
        <v>Yes</v>
      </c>
      <c r="J710" s="5" t="str">
        <f ca="1">IFERROR(__xludf.DUMMYFUNCTION("""COMPUTED_VALUE"""),"Yes")</f>
        <v>Yes</v>
      </c>
      <c r="K710" s="5" t="str">
        <f ca="1">IFERROR(__xludf.DUMMYFUNCTION("""COMPUTED_VALUE"""),"Yes")</f>
        <v>Yes</v>
      </c>
      <c r="L710" s="5" t="str">
        <f ca="1">IFERROR(__xludf.DUMMYFUNCTION("""COMPUTED_VALUE"""),"Yes")</f>
        <v>Yes</v>
      </c>
      <c r="M710" s="5" t="str">
        <f ca="1">IFERROR(__xludf.DUMMYFUNCTION("""COMPUTED_VALUE"""),"Yes")</f>
        <v>Yes</v>
      </c>
      <c r="N710" s="5" t="str">
        <f ca="1">IFERROR(__xludf.DUMMYFUNCTION("""COMPUTED_VALUE"""),"Yes")</f>
        <v>Yes</v>
      </c>
      <c r="O710" s="5" t="str">
        <f ca="1">IFERROR(__xludf.DUMMYFUNCTION("""COMPUTED_VALUE"""),"Yes")</f>
        <v>Yes</v>
      </c>
      <c r="P710" s="5" t="str">
        <f ca="1">IFERROR(__xludf.DUMMYFUNCTION("""COMPUTED_VALUE"""),"Yes")</f>
        <v>Yes</v>
      </c>
      <c r="Q710" s="5" t="str">
        <f ca="1">IFERROR(__xludf.DUMMYFUNCTION("""COMPUTED_VALUE"""),"Yes")</f>
        <v>Yes</v>
      </c>
      <c r="R710" s="5" t="str">
        <f ca="1">IFERROR(__xludf.DUMMYFUNCTION("""COMPUTED_VALUE"""),"Yes")</f>
        <v>Yes</v>
      </c>
      <c r="S710" s="5" t="str">
        <f ca="1">IFERROR(__xludf.DUMMYFUNCTION("""COMPUTED_VALUE"""),"Yes")</f>
        <v>Yes</v>
      </c>
      <c r="T710" s="5"/>
      <c r="U710" s="5"/>
      <c r="V710" s="5"/>
      <c r="W710" s="5"/>
      <c r="X710" s="5"/>
      <c r="Y710" s="5"/>
      <c r="Z710" s="5"/>
      <c r="AA710" s="5"/>
      <c r="AB710" s="5"/>
      <c r="AC710" s="5"/>
      <c r="AD710" s="5"/>
      <c r="AE710" s="5"/>
      <c r="AF710" s="5" t="str">
        <f ca="1">IFERROR(__xludf.DUMMYFUNCTION("""COMPUTED_VALUE"""),"Yes")</f>
        <v>Yes</v>
      </c>
      <c r="AG710" s="5"/>
      <c r="AH710" s="5" t="str">
        <f ca="1">IFERROR(__xludf.DUMMYFUNCTION("""COMPUTED_VALUE"""),"Yes")</f>
        <v>Yes</v>
      </c>
      <c r="AI710" s="5"/>
      <c r="AJ710" s="5"/>
      <c r="AK710" s="5"/>
      <c r="AL710" s="5"/>
      <c r="AM710" s="5"/>
      <c r="AN710" s="5"/>
      <c r="AO710" s="5"/>
      <c r="AP710" s="5"/>
      <c r="AQ710" s="5"/>
      <c r="AR710" s="5"/>
      <c r="AS710" s="5"/>
      <c r="AT710" s="5"/>
      <c r="AU710" s="5"/>
      <c r="AV710" s="5"/>
      <c r="AW710" s="5"/>
      <c r="AX710" s="5"/>
      <c r="AY710" s="5"/>
    </row>
    <row r="711" spans="1:51" x14ac:dyDescent="0.25">
      <c r="A711"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1" s="5">
        <f ca="1">IFERROR(__xludf.DUMMYFUNCTION("""COMPUTED_VALUE"""),746)</f>
        <v>746</v>
      </c>
      <c r="C711" s="5">
        <f ca="1">IFERROR(__xludf.DUMMYFUNCTION("""COMPUTED_VALUE"""),540)</f>
        <v>540</v>
      </c>
      <c r="D711" s="5" t="str">
        <f ca="1">IFERROR(__xludf.DUMMYFUNCTION("""COMPUTED_VALUE"""),"PlayNetDarkTemptress100")</f>
        <v>PlayNetDarkTemptress100</v>
      </c>
      <c r="E711" s="5" t="str">
        <f ca="1">IFERROR(__xludf.DUMMYFUNCTION("""COMPUTED_VALUE"""),"Yes")</f>
        <v>Yes</v>
      </c>
      <c r="F711" s="5" t="str">
        <f ca="1">IFERROR(__xludf.DUMMYFUNCTION("""COMPUTED_VALUE"""),"Yes")</f>
        <v>Yes</v>
      </c>
      <c r="G711" s="5" t="str">
        <f ca="1">IFERROR(__xludf.DUMMYFUNCTION("""COMPUTED_VALUE"""),"Yes")</f>
        <v>Yes</v>
      </c>
      <c r="H711" s="5" t="str">
        <f ca="1">IFERROR(__xludf.DUMMYFUNCTION("""COMPUTED_VALUE"""),"Yes")</f>
        <v>Yes</v>
      </c>
      <c r="I711" s="5" t="str">
        <f ca="1">IFERROR(__xludf.DUMMYFUNCTION("""COMPUTED_VALUE"""),"Yes")</f>
        <v>Yes</v>
      </c>
      <c r="J711" s="5" t="str">
        <f ca="1">IFERROR(__xludf.DUMMYFUNCTION("""COMPUTED_VALUE"""),"Yes")</f>
        <v>Yes</v>
      </c>
      <c r="K711" s="5" t="str">
        <f ca="1">IFERROR(__xludf.DUMMYFUNCTION("""COMPUTED_VALUE"""),"Yes")</f>
        <v>Yes</v>
      </c>
      <c r="L711" s="5" t="str">
        <f ca="1">IFERROR(__xludf.DUMMYFUNCTION("""COMPUTED_VALUE"""),"Yes")</f>
        <v>Yes</v>
      </c>
      <c r="M711" s="5" t="str">
        <f ca="1">IFERROR(__xludf.DUMMYFUNCTION("""COMPUTED_VALUE"""),"Yes")</f>
        <v>Yes</v>
      </c>
      <c r="N711" s="5" t="str">
        <f ca="1">IFERROR(__xludf.DUMMYFUNCTION("""COMPUTED_VALUE"""),"Yes")</f>
        <v>Yes</v>
      </c>
      <c r="O711" s="5" t="str">
        <f ca="1">IFERROR(__xludf.DUMMYFUNCTION("""COMPUTED_VALUE"""),"Yes")</f>
        <v>Yes</v>
      </c>
      <c r="P711" s="5" t="str">
        <f ca="1">IFERROR(__xludf.DUMMYFUNCTION("""COMPUTED_VALUE"""),"Yes")</f>
        <v>Yes</v>
      </c>
      <c r="Q711" s="5" t="str">
        <f ca="1">IFERROR(__xludf.DUMMYFUNCTION("""COMPUTED_VALUE"""),"Yes")</f>
        <v>Yes</v>
      </c>
      <c r="R711" s="5" t="str">
        <f ca="1">IFERROR(__xludf.DUMMYFUNCTION("""COMPUTED_VALUE"""),"Yes")</f>
        <v>Yes</v>
      </c>
      <c r="S711" s="5" t="str">
        <f ca="1">IFERROR(__xludf.DUMMYFUNCTION("""COMPUTED_VALUE"""),"Yes")</f>
        <v>Yes</v>
      </c>
      <c r="T711" s="5"/>
      <c r="U711" s="5"/>
      <c r="V711" s="5"/>
      <c r="W711" s="5"/>
      <c r="X711" s="5"/>
      <c r="Y711" s="5"/>
      <c r="Z711" s="5"/>
      <c r="AA711" s="5"/>
      <c r="AB711" s="5"/>
      <c r="AC711" s="5"/>
      <c r="AD711" s="5"/>
      <c r="AE711" s="5"/>
      <c r="AF711" s="5" t="str">
        <f ca="1">IFERROR(__xludf.DUMMYFUNCTION("""COMPUTED_VALUE"""),"Yes")</f>
        <v>Yes</v>
      </c>
      <c r="AG711" s="5"/>
      <c r="AH711" s="5" t="str">
        <f ca="1">IFERROR(__xludf.DUMMYFUNCTION("""COMPUTED_VALUE"""),"Yes")</f>
        <v>Yes</v>
      </c>
      <c r="AI711" s="5"/>
      <c r="AJ711" s="5"/>
      <c r="AK711" s="5"/>
      <c r="AL711" s="5"/>
      <c r="AM711" s="5"/>
      <c r="AN711" s="5"/>
      <c r="AO711" s="5"/>
      <c r="AP711" s="5"/>
      <c r="AQ711" s="5"/>
      <c r="AR711" s="5"/>
      <c r="AS711" s="5"/>
      <c r="AT711" s="5"/>
      <c r="AU711" s="5"/>
      <c r="AV711" s="5"/>
      <c r="AW711" s="5"/>
      <c r="AX711" s="5"/>
      <c r="AY711" s="5"/>
    </row>
    <row r="712" spans="1:51" x14ac:dyDescent="0.25">
      <c r="A712"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2" s="5">
        <f ca="1">IFERROR(__xludf.DUMMYFUNCTION("""COMPUTED_VALUE"""),747)</f>
        <v>747</v>
      </c>
      <c r="C712" s="5">
        <f ca="1">IFERROR(__xludf.DUMMYFUNCTION("""COMPUTED_VALUE"""),541)</f>
        <v>541</v>
      </c>
      <c r="D712" s="5" t="str">
        <f ca="1">IFERROR(__xludf.DUMMYFUNCTION("""COMPUTED_VALUE"""),"PlayNetBarkinRiches")</f>
        <v>PlayNetBarkinRiches</v>
      </c>
      <c r="E712" s="5" t="str">
        <f ca="1">IFERROR(__xludf.DUMMYFUNCTION("""COMPUTED_VALUE"""),"Yes")</f>
        <v>Yes</v>
      </c>
      <c r="F712" s="5" t="str">
        <f ca="1">IFERROR(__xludf.DUMMYFUNCTION("""COMPUTED_VALUE"""),"Yes")</f>
        <v>Yes</v>
      </c>
      <c r="G712" s="5" t="str">
        <f ca="1">IFERROR(__xludf.DUMMYFUNCTION("""COMPUTED_VALUE"""),"Yes")</f>
        <v>Yes</v>
      </c>
      <c r="H712" s="5" t="str">
        <f ca="1">IFERROR(__xludf.DUMMYFUNCTION("""COMPUTED_VALUE"""),"Yes")</f>
        <v>Yes</v>
      </c>
      <c r="I712" s="5" t="str">
        <f ca="1">IFERROR(__xludf.DUMMYFUNCTION("""COMPUTED_VALUE"""),"Yes")</f>
        <v>Yes</v>
      </c>
      <c r="J712" s="5" t="str">
        <f ca="1">IFERROR(__xludf.DUMMYFUNCTION("""COMPUTED_VALUE"""),"Yes")</f>
        <v>Yes</v>
      </c>
      <c r="K712" s="5" t="str">
        <f ca="1">IFERROR(__xludf.DUMMYFUNCTION("""COMPUTED_VALUE"""),"Yes")</f>
        <v>Yes</v>
      </c>
      <c r="L712" s="5" t="str">
        <f ca="1">IFERROR(__xludf.DUMMYFUNCTION("""COMPUTED_VALUE"""),"Yes")</f>
        <v>Yes</v>
      </c>
      <c r="M712" s="5" t="str">
        <f ca="1">IFERROR(__xludf.DUMMYFUNCTION("""COMPUTED_VALUE"""),"Yes")</f>
        <v>Yes</v>
      </c>
      <c r="N712" s="5" t="str">
        <f ca="1">IFERROR(__xludf.DUMMYFUNCTION("""COMPUTED_VALUE"""),"Yes")</f>
        <v>Yes</v>
      </c>
      <c r="O712" s="5" t="str">
        <f ca="1">IFERROR(__xludf.DUMMYFUNCTION("""COMPUTED_VALUE"""),"Yes")</f>
        <v>Yes</v>
      </c>
      <c r="P712" s="5" t="str">
        <f ca="1">IFERROR(__xludf.DUMMYFUNCTION("""COMPUTED_VALUE"""),"Yes")</f>
        <v>Yes</v>
      </c>
      <c r="Q712" s="5" t="str">
        <f ca="1">IFERROR(__xludf.DUMMYFUNCTION("""COMPUTED_VALUE"""),"Yes")</f>
        <v>Yes</v>
      </c>
      <c r="R712" s="5" t="str">
        <f ca="1">IFERROR(__xludf.DUMMYFUNCTION("""COMPUTED_VALUE"""),"Yes")</f>
        <v>Yes</v>
      </c>
      <c r="S712" s="5" t="str">
        <f ca="1">IFERROR(__xludf.DUMMYFUNCTION("""COMPUTED_VALUE"""),"Yes")</f>
        <v>Yes</v>
      </c>
      <c r="T712" s="5"/>
      <c r="U712" s="5"/>
      <c r="V712" s="5"/>
      <c r="W712" s="5"/>
      <c r="X712" s="5"/>
      <c r="Y712" s="5"/>
      <c r="Z712" s="5"/>
      <c r="AA712" s="5"/>
      <c r="AB712" s="5"/>
      <c r="AC712" s="5"/>
      <c r="AD712" s="5"/>
      <c r="AE712" s="5"/>
      <c r="AF712" s="5" t="str">
        <f ca="1">IFERROR(__xludf.DUMMYFUNCTION("""COMPUTED_VALUE"""),"Yes")</f>
        <v>Yes</v>
      </c>
      <c r="AG712" s="5"/>
      <c r="AH712" s="5" t="str">
        <f ca="1">IFERROR(__xludf.DUMMYFUNCTION("""COMPUTED_VALUE"""),"Yes")</f>
        <v>Yes</v>
      </c>
      <c r="AI712" s="5"/>
      <c r="AJ712" s="5"/>
      <c r="AK712" s="5"/>
      <c r="AL712" s="5"/>
      <c r="AM712" s="5"/>
      <c r="AN712" s="5"/>
      <c r="AO712" s="5"/>
      <c r="AP712" s="5"/>
      <c r="AQ712" s="5"/>
      <c r="AR712" s="5"/>
      <c r="AS712" s="5"/>
      <c r="AT712" s="5"/>
      <c r="AU712" s="5"/>
      <c r="AV712" s="5"/>
      <c r="AW712" s="5"/>
      <c r="AX712" s="5"/>
      <c r="AY712" s="5"/>
    </row>
    <row r="713" spans="1:51" x14ac:dyDescent="0.25">
      <c r="A713" s="5" t="str">
        <f ca="1">IFERROR(__xludf.DUMMYFUNCTION("""COMPUTED_VALUE"""),"")</f>
        <v/>
      </c>
      <c r="B713" s="5">
        <f ca="1">IFERROR(__xludf.DUMMYFUNCTION("""COMPUTED_VALUE"""),750)</f>
        <v>750</v>
      </c>
      <c r="C713" s="5">
        <f ca="1">IFERROR(__xludf.DUMMYFUNCTION("""COMPUTED_VALUE"""),4041)</f>
        <v>4041</v>
      </c>
      <c r="D713" s="5" t="str">
        <f ca="1">IFERROR(__xludf.DUMMYFUNCTION("""COMPUTED_VALUE"""),"Special4RabetFruits")</f>
        <v>Special4RabetFruits</v>
      </c>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row>
    <row r="714" spans="1:51" x14ac:dyDescent="0.25">
      <c r="A7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14" s="5">
        <f ca="1">IFERROR(__xludf.DUMMYFUNCTION("""COMPUTED_VALUE"""),751)</f>
        <v>751</v>
      </c>
      <c r="C714" s="5">
        <f ca="1">IFERROR(__xludf.DUMMYFUNCTION("""COMPUTED_VALUE"""),2020)</f>
        <v>2020</v>
      </c>
      <c r="D714" s="5" t="str">
        <f ca="1">IFERROR(__xludf.DUMMYFUNCTION("""COMPUTED_VALUE"""),"MultihotPot")</f>
        <v>MultihotPot</v>
      </c>
      <c r="E714" s="5" t="str">
        <f ca="1">IFERROR(__xludf.DUMMYFUNCTION("""COMPUTED_VALUE"""),"Yes")</f>
        <v>Yes</v>
      </c>
      <c r="F714" s="5" t="str">
        <f ca="1">IFERROR(__xludf.DUMMYFUNCTION("""COMPUTED_VALUE"""),"Yes")</f>
        <v>Yes</v>
      </c>
      <c r="G714" s="5" t="str">
        <f ca="1">IFERROR(__xludf.DUMMYFUNCTION("""COMPUTED_VALUE"""),"Yes")</f>
        <v>Yes</v>
      </c>
      <c r="H714" s="5" t="str">
        <f ca="1">IFERROR(__xludf.DUMMYFUNCTION("""COMPUTED_VALUE"""),"Yes")</f>
        <v>Yes</v>
      </c>
      <c r="I714" s="5" t="str">
        <f ca="1">IFERROR(__xludf.DUMMYFUNCTION("""COMPUTED_VALUE"""),"Yes")</f>
        <v>Yes</v>
      </c>
      <c r="J714" s="5" t="str">
        <f ca="1">IFERROR(__xludf.DUMMYFUNCTION("""COMPUTED_VALUE"""),"Yes")</f>
        <v>Yes</v>
      </c>
      <c r="K714" s="5" t="str">
        <f ca="1">IFERROR(__xludf.DUMMYFUNCTION("""COMPUTED_VALUE"""),"Yes")</f>
        <v>Yes</v>
      </c>
      <c r="L714" s="5" t="str">
        <f ca="1">IFERROR(__xludf.DUMMYFUNCTION("""COMPUTED_VALUE"""),"Yes")</f>
        <v>Yes</v>
      </c>
      <c r="M714" s="5" t="str">
        <f ca="1">IFERROR(__xludf.DUMMYFUNCTION("""COMPUTED_VALUE"""),"Yes")</f>
        <v>Yes</v>
      </c>
      <c r="N714" s="5" t="str">
        <f ca="1">IFERROR(__xludf.DUMMYFUNCTION("""COMPUTED_VALUE"""),"Yes")</f>
        <v>Yes</v>
      </c>
      <c r="O714" s="5" t="str">
        <f ca="1">IFERROR(__xludf.DUMMYFUNCTION("""COMPUTED_VALUE"""),"Yes")</f>
        <v>Yes</v>
      </c>
      <c r="P714" s="5" t="str">
        <f ca="1">IFERROR(__xludf.DUMMYFUNCTION("""COMPUTED_VALUE"""),"Yes")</f>
        <v>Yes</v>
      </c>
      <c r="Q714" s="5" t="str">
        <f ca="1">IFERROR(__xludf.DUMMYFUNCTION("""COMPUTED_VALUE"""),"Yes")</f>
        <v>Yes</v>
      </c>
      <c r="R714" s="5" t="str">
        <f ca="1">IFERROR(__xludf.DUMMYFUNCTION("""COMPUTED_VALUE"""),"Yes")</f>
        <v>Yes</v>
      </c>
      <c r="S714" s="5" t="str">
        <f ca="1">IFERROR(__xludf.DUMMYFUNCTION("""COMPUTED_VALUE"""),"Yes")</f>
        <v>Yes</v>
      </c>
      <c r="T714" s="5" t="str">
        <f ca="1">IFERROR(__xludf.DUMMYFUNCTION("""COMPUTED_VALUE"""),"Yes")</f>
        <v>Yes</v>
      </c>
      <c r="U714" s="5" t="str">
        <f ca="1">IFERROR(__xludf.DUMMYFUNCTION("""COMPUTED_VALUE"""),"Yes")</f>
        <v>Yes</v>
      </c>
      <c r="V714" s="5" t="str">
        <f ca="1">IFERROR(__xludf.DUMMYFUNCTION("""COMPUTED_VALUE"""),"Yes")</f>
        <v>Yes</v>
      </c>
      <c r="W714" s="5" t="str">
        <f ca="1">IFERROR(__xludf.DUMMYFUNCTION("""COMPUTED_VALUE"""),"Yes")</f>
        <v>Yes</v>
      </c>
      <c r="X714" s="5" t="str">
        <f ca="1">IFERROR(__xludf.DUMMYFUNCTION("""COMPUTED_VALUE"""),"Yes")</f>
        <v>Yes</v>
      </c>
      <c r="Y714" s="5" t="str">
        <f ca="1">IFERROR(__xludf.DUMMYFUNCTION("""COMPUTED_VALUE"""),"Yes")</f>
        <v>Yes</v>
      </c>
      <c r="Z714" s="5" t="str">
        <f ca="1">IFERROR(__xludf.DUMMYFUNCTION("""COMPUTED_VALUE"""),"Yes")</f>
        <v>Yes</v>
      </c>
      <c r="AA714" s="5" t="str">
        <f ca="1">IFERROR(__xludf.DUMMYFUNCTION("""COMPUTED_VALUE"""),"Yes")</f>
        <v>Yes</v>
      </c>
      <c r="AB714" s="5" t="str">
        <f ca="1">IFERROR(__xludf.DUMMYFUNCTION("""COMPUTED_VALUE"""),"Yes")</f>
        <v>Yes</v>
      </c>
      <c r="AC714" s="5" t="str">
        <f ca="1">IFERROR(__xludf.DUMMYFUNCTION("""COMPUTED_VALUE"""),"Yes")</f>
        <v>Yes</v>
      </c>
      <c r="AD714" s="5" t="str">
        <f ca="1">IFERROR(__xludf.DUMMYFUNCTION("""COMPUTED_VALUE"""),"Yes")</f>
        <v>Yes</v>
      </c>
      <c r="AE714" s="5" t="str">
        <f ca="1">IFERROR(__xludf.DUMMYFUNCTION("""COMPUTED_VALUE"""),"Yes")</f>
        <v>Yes</v>
      </c>
      <c r="AF714" s="5" t="str">
        <f ca="1">IFERROR(__xludf.DUMMYFUNCTION("""COMPUTED_VALUE"""),"Yes")</f>
        <v>Yes</v>
      </c>
      <c r="AG714" s="5" t="str">
        <f ca="1">IFERROR(__xludf.DUMMYFUNCTION("""COMPUTED_VALUE"""),"Yes")</f>
        <v>Yes</v>
      </c>
      <c r="AH714" s="5" t="str">
        <f ca="1">IFERROR(__xludf.DUMMYFUNCTION("""COMPUTED_VALUE"""),"Yes")</f>
        <v>Yes</v>
      </c>
      <c r="AI714" s="5" t="str">
        <f ca="1">IFERROR(__xludf.DUMMYFUNCTION("""COMPUTED_VALUE"""),"No")</f>
        <v>No</v>
      </c>
      <c r="AJ714" s="5" t="str">
        <f ca="1">IFERROR(__xludf.DUMMYFUNCTION("""COMPUTED_VALUE"""),"No")</f>
        <v>No</v>
      </c>
      <c r="AK714" s="5" t="str">
        <f ca="1">IFERROR(__xludf.DUMMYFUNCTION("""COMPUTED_VALUE"""),"No")</f>
        <v>No</v>
      </c>
      <c r="AL714" s="5" t="str">
        <f ca="1">IFERROR(__xludf.DUMMYFUNCTION("""COMPUTED_VALUE"""),"Yes")</f>
        <v>Yes</v>
      </c>
      <c r="AM714" s="5"/>
      <c r="AN714" s="5"/>
      <c r="AO714" s="5"/>
      <c r="AP714" s="5"/>
      <c r="AQ714" s="5"/>
      <c r="AR714" s="5"/>
      <c r="AS714" s="5"/>
      <c r="AT714" s="5"/>
      <c r="AU714" s="5"/>
      <c r="AV714" s="5"/>
      <c r="AW714" s="5"/>
      <c r="AX714" s="5"/>
      <c r="AY714" s="5"/>
    </row>
    <row r="715" spans="1:51" x14ac:dyDescent="0.25">
      <c r="A7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5" s="5">
        <f ca="1">IFERROR(__xludf.DUMMYFUNCTION("""COMPUTED_VALUE"""),752)</f>
        <v>752</v>
      </c>
      <c r="C715" s="5">
        <f ca="1">IFERROR(__xludf.DUMMYFUNCTION("""COMPUTED_VALUE"""),3036)</f>
        <v>3036</v>
      </c>
      <c r="D715" s="5" t="str">
        <f ca="1">IFERROR(__xludf.DUMMYFUNCTION("""COMPUTED_VALUE"""),"TripleWildCrown")</f>
        <v>TripleWildCrown</v>
      </c>
      <c r="E715" s="5" t="str">
        <f ca="1">IFERROR(__xludf.DUMMYFUNCTION("""COMPUTED_VALUE"""),"Yes")</f>
        <v>Yes</v>
      </c>
      <c r="F715" s="5" t="str">
        <f ca="1">IFERROR(__xludf.DUMMYFUNCTION("""COMPUTED_VALUE"""),"Yes")</f>
        <v>Yes</v>
      </c>
      <c r="G715" s="5" t="str">
        <f ca="1">IFERROR(__xludf.DUMMYFUNCTION("""COMPUTED_VALUE"""),"Yes")</f>
        <v>Yes</v>
      </c>
      <c r="H715" s="5" t="str">
        <f ca="1">IFERROR(__xludf.DUMMYFUNCTION("""COMPUTED_VALUE"""),"Yes")</f>
        <v>Yes</v>
      </c>
      <c r="I715" s="5" t="str">
        <f ca="1">IFERROR(__xludf.DUMMYFUNCTION("""COMPUTED_VALUE"""),"Yes")</f>
        <v>Yes</v>
      </c>
      <c r="J715" s="5" t="str">
        <f ca="1">IFERROR(__xludf.DUMMYFUNCTION("""COMPUTED_VALUE"""),"Yes")</f>
        <v>Yes</v>
      </c>
      <c r="K715" s="5" t="str">
        <f ca="1">IFERROR(__xludf.DUMMYFUNCTION("""COMPUTED_VALUE"""),"Yes")</f>
        <v>Yes</v>
      </c>
      <c r="L715" s="5" t="str">
        <f ca="1">IFERROR(__xludf.DUMMYFUNCTION("""COMPUTED_VALUE"""),"Yes")</f>
        <v>Yes</v>
      </c>
      <c r="M715" s="5" t="str">
        <f ca="1">IFERROR(__xludf.DUMMYFUNCTION("""COMPUTED_VALUE"""),"Yes")</f>
        <v>Yes</v>
      </c>
      <c r="N715" s="5" t="str">
        <f ca="1">IFERROR(__xludf.DUMMYFUNCTION("""COMPUTED_VALUE"""),"Yes")</f>
        <v>Yes</v>
      </c>
      <c r="O715" s="5" t="str">
        <f ca="1">IFERROR(__xludf.DUMMYFUNCTION("""COMPUTED_VALUE"""),"Yes")</f>
        <v>Yes</v>
      </c>
      <c r="P715" s="5" t="str">
        <f ca="1">IFERROR(__xludf.DUMMYFUNCTION("""COMPUTED_VALUE"""),"Yes")</f>
        <v>Yes</v>
      </c>
      <c r="Q715" s="5" t="str">
        <f ca="1">IFERROR(__xludf.DUMMYFUNCTION("""COMPUTED_VALUE"""),"Yes")</f>
        <v>Yes</v>
      </c>
      <c r="R715" s="5" t="str">
        <f ca="1">IFERROR(__xludf.DUMMYFUNCTION("""COMPUTED_VALUE"""),"Yes")</f>
        <v>Yes</v>
      </c>
      <c r="S715" s="5" t="str">
        <f ca="1">IFERROR(__xludf.DUMMYFUNCTION("""COMPUTED_VALUE"""),"Yes")</f>
        <v>Yes</v>
      </c>
      <c r="T715" s="5" t="str">
        <f ca="1">IFERROR(__xludf.DUMMYFUNCTION("""COMPUTED_VALUE"""),"Yes")</f>
        <v>Yes</v>
      </c>
      <c r="U715" s="5" t="str">
        <f ca="1">IFERROR(__xludf.DUMMYFUNCTION("""COMPUTED_VALUE"""),"Yes")</f>
        <v>Yes</v>
      </c>
      <c r="V715" s="5" t="str">
        <f ca="1">IFERROR(__xludf.DUMMYFUNCTION("""COMPUTED_VALUE"""),"Yes")</f>
        <v>Yes</v>
      </c>
      <c r="W715" s="5" t="str">
        <f ca="1">IFERROR(__xludf.DUMMYFUNCTION("""COMPUTED_VALUE"""),"Yes")</f>
        <v>Yes</v>
      </c>
      <c r="X715" s="5" t="str">
        <f ca="1">IFERROR(__xludf.DUMMYFUNCTION("""COMPUTED_VALUE"""),"Yes")</f>
        <v>Yes</v>
      </c>
      <c r="Y715" s="5" t="str">
        <f ca="1">IFERROR(__xludf.DUMMYFUNCTION("""COMPUTED_VALUE"""),"Yes")</f>
        <v>Yes</v>
      </c>
      <c r="Z715" s="5" t="str">
        <f ca="1">IFERROR(__xludf.DUMMYFUNCTION("""COMPUTED_VALUE"""),"Yes")</f>
        <v>Yes</v>
      </c>
      <c r="AA715" s="5" t="str">
        <f ca="1">IFERROR(__xludf.DUMMYFUNCTION("""COMPUTED_VALUE"""),"Yes")</f>
        <v>Yes</v>
      </c>
      <c r="AB715" s="5" t="str">
        <f ca="1">IFERROR(__xludf.DUMMYFUNCTION("""COMPUTED_VALUE"""),"Yes")</f>
        <v>Yes</v>
      </c>
      <c r="AC715" s="5" t="str">
        <f ca="1">IFERROR(__xludf.DUMMYFUNCTION("""COMPUTED_VALUE"""),"Yes")</f>
        <v>Yes</v>
      </c>
      <c r="AD715" s="5" t="str">
        <f ca="1">IFERROR(__xludf.DUMMYFUNCTION("""COMPUTED_VALUE"""),"Yes")</f>
        <v>Yes</v>
      </c>
      <c r="AE715" s="5" t="str">
        <f ca="1">IFERROR(__xludf.DUMMYFUNCTION("""COMPUTED_VALUE"""),"Yes")</f>
        <v>Yes</v>
      </c>
      <c r="AF715" s="5" t="str">
        <f ca="1">IFERROR(__xludf.DUMMYFUNCTION("""COMPUTED_VALUE"""),"Yes")</f>
        <v>Yes</v>
      </c>
      <c r="AG715" s="5" t="str">
        <f ca="1">IFERROR(__xludf.DUMMYFUNCTION("""COMPUTED_VALUE"""),"Yes")</f>
        <v>Yes</v>
      </c>
      <c r="AH715" s="5" t="str">
        <f ca="1">IFERROR(__xludf.DUMMYFUNCTION("""COMPUTED_VALUE"""),"Yes")</f>
        <v>Yes</v>
      </c>
      <c r="AI715" s="5" t="str">
        <f ca="1">IFERROR(__xludf.DUMMYFUNCTION("""COMPUTED_VALUE"""),"No")</f>
        <v>No</v>
      </c>
      <c r="AJ715" s="5" t="str">
        <f ca="1">IFERROR(__xludf.DUMMYFUNCTION("""COMPUTED_VALUE"""),"No")</f>
        <v>No</v>
      </c>
      <c r="AK715" s="5" t="str">
        <f ca="1">IFERROR(__xludf.DUMMYFUNCTION("""COMPUTED_VALUE"""),"No")</f>
        <v>No</v>
      </c>
      <c r="AL715" s="5" t="str">
        <f ca="1">IFERROR(__xludf.DUMMYFUNCTION("""COMPUTED_VALUE"""),"No")</f>
        <v>No</v>
      </c>
      <c r="AM715" s="5"/>
      <c r="AN715" s="5"/>
      <c r="AO715" s="5"/>
      <c r="AP715" s="5"/>
      <c r="AQ715" s="5"/>
      <c r="AR715" s="5"/>
      <c r="AS715" s="5"/>
      <c r="AT715" s="5"/>
      <c r="AU715" s="5"/>
      <c r="AV715" s="5"/>
      <c r="AW715" s="5"/>
      <c r="AX715" s="5"/>
      <c r="AY715" s="5"/>
    </row>
    <row r="716" spans="1:51" x14ac:dyDescent="0.25">
      <c r="A7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16" s="5">
        <f ca="1">IFERROR(__xludf.DUMMYFUNCTION("""COMPUTED_VALUE"""),753)</f>
        <v>753</v>
      </c>
      <c r="C716" s="5">
        <f ca="1">IFERROR(__xludf.DUMMYFUNCTION("""COMPUTED_VALUE"""),4038)</f>
        <v>4038</v>
      </c>
      <c r="D716" s="5" t="str">
        <f ca="1">IFERROR(__xludf.DUMMYFUNCTION("""COMPUTED_VALUE"""),"BonusRoyalCrownExtralines")</f>
        <v>BonusRoyalCrownExtralines</v>
      </c>
      <c r="E716" s="5" t="str">
        <f ca="1">IFERROR(__xludf.DUMMYFUNCTION("""COMPUTED_VALUE"""),"Yes")</f>
        <v>Yes</v>
      </c>
      <c r="F716" s="5" t="str">
        <f ca="1">IFERROR(__xludf.DUMMYFUNCTION("""COMPUTED_VALUE"""),"Yes")</f>
        <v>Yes</v>
      </c>
      <c r="G716" s="5" t="str">
        <f ca="1">IFERROR(__xludf.DUMMYFUNCTION("""COMPUTED_VALUE"""),"Yes")</f>
        <v>Yes</v>
      </c>
      <c r="H716" s="5" t="str">
        <f ca="1">IFERROR(__xludf.DUMMYFUNCTION("""COMPUTED_VALUE"""),"Yes")</f>
        <v>Yes</v>
      </c>
      <c r="I716" s="5" t="str">
        <f ca="1">IFERROR(__xludf.DUMMYFUNCTION("""COMPUTED_VALUE"""),"Yes")</f>
        <v>Yes</v>
      </c>
      <c r="J716" s="5" t="str">
        <f ca="1">IFERROR(__xludf.DUMMYFUNCTION("""COMPUTED_VALUE"""),"Yes")</f>
        <v>Yes</v>
      </c>
      <c r="K716" s="5" t="str">
        <f ca="1">IFERROR(__xludf.DUMMYFUNCTION("""COMPUTED_VALUE"""),"Yes")</f>
        <v>Yes</v>
      </c>
      <c r="L716" s="5" t="str">
        <f ca="1">IFERROR(__xludf.DUMMYFUNCTION("""COMPUTED_VALUE"""),"Yes")</f>
        <v>Yes</v>
      </c>
      <c r="M716" s="5" t="str">
        <f ca="1">IFERROR(__xludf.DUMMYFUNCTION("""COMPUTED_VALUE"""),"Yes")</f>
        <v>Yes</v>
      </c>
      <c r="N716" s="5" t="str">
        <f ca="1">IFERROR(__xludf.DUMMYFUNCTION("""COMPUTED_VALUE"""),"Yes")</f>
        <v>Yes</v>
      </c>
      <c r="O716" s="5" t="str">
        <f ca="1">IFERROR(__xludf.DUMMYFUNCTION("""COMPUTED_VALUE"""),"Yes")</f>
        <v>Yes</v>
      </c>
      <c r="P716" s="5" t="str">
        <f ca="1">IFERROR(__xludf.DUMMYFUNCTION("""COMPUTED_VALUE"""),"Yes")</f>
        <v>Yes</v>
      </c>
      <c r="Q716" s="5" t="str">
        <f ca="1">IFERROR(__xludf.DUMMYFUNCTION("""COMPUTED_VALUE"""),"Yes")</f>
        <v>Yes</v>
      </c>
      <c r="R716" s="5" t="str">
        <f ca="1">IFERROR(__xludf.DUMMYFUNCTION("""COMPUTED_VALUE"""),"Yes")</f>
        <v>Yes</v>
      </c>
      <c r="S716" s="5" t="str">
        <f ca="1">IFERROR(__xludf.DUMMYFUNCTION("""COMPUTED_VALUE"""),"Yes")</f>
        <v>Yes</v>
      </c>
      <c r="T716" s="5" t="str">
        <f ca="1">IFERROR(__xludf.DUMMYFUNCTION("""COMPUTED_VALUE"""),"Yes")</f>
        <v>Yes</v>
      </c>
      <c r="U716" s="5" t="str">
        <f ca="1">IFERROR(__xludf.DUMMYFUNCTION("""COMPUTED_VALUE"""),"Yes")</f>
        <v>Yes</v>
      </c>
      <c r="V716" s="5" t="str">
        <f ca="1">IFERROR(__xludf.DUMMYFUNCTION("""COMPUTED_VALUE"""),"Yes")</f>
        <v>Yes</v>
      </c>
      <c r="W716" s="5" t="str">
        <f ca="1">IFERROR(__xludf.DUMMYFUNCTION("""COMPUTED_VALUE"""),"Yes")</f>
        <v>Yes</v>
      </c>
      <c r="X716" s="5" t="str">
        <f ca="1">IFERROR(__xludf.DUMMYFUNCTION("""COMPUTED_VALUE"""),"Yes")</f>
        <v>Yes</v>
      </c>
      <c r="Y716" s="5" t="str">
        <f ca="1">IFERROR(__xludf.DUMMYFUNCTION("""COMPUTED_VALUE"""),"Yes")</f>
        <v>Yes</v>
      </c>
      <c r="Z716" s="5" t="str">
        <f ca="1">IFERROR(__xludf.DUMMYFUNCTION("""COMPUTED_VALUE"""),"Yes")</f>
        <v>Yes</v>
      </c>
      <c r="AA716" s="5" t="str">
        <f ca="1">IFERROR(__xludf.DUMMYFUNCTION("""COMPUTED_VALUE"""),"Yes")</f>
        <v>Yes</v>
      </c>
      <c r="AB716" s="5" t="str">
        <f ca="1">IFERROR(__xludf.DUMMYFUNCTION("""COMPUTED_VALUE"""),"Yes")</f>
        <v>Yes</v>
      </c>
      <c r="AC716" s="5" t="str">
        <f ca="1">IFERROR(__xludf.DUMMYFUNCTION("""COMPUTED_VALUE"""),"Yes")</f>
        <v>Yes</v>
      </c>
      <c r="AD716" s="5" t="str">
        <f ca="1">IFERROR(__xludf.DUMMYFUNCTION("""COMPUTED_VALUE"""),"Yes")</f>
        <v>Yes</v>
      </c>
      <c r="AE716" s="5" t="str">
        <f ca="1">IFERROR(__xludf.DUMMYFUNCTION("""COMPUTED_VALUE"""),"Yes")</f>
        <v>Yes</v>
      </c>
      <c r="AF716" s="5" t="str">
        <f ca="1">IFERROR(__xludf.DUMMYFUNCTION("""COMPUTED_VALUE"""),"Yes")</f>
        <v>Yes</v>
      </c>
      <c r="AG716" s="5" t="str">
        <f ca="1">IFERROR(__xludf.DUMMYFUNCTION("""COMPUTED_VALUE"""),"Yes")</f>
        <v>Yes</v>
      </c>
      <c r="AH716" s="5" t="str">
        <f ca="1">IFERROR(__xludf.DUMMYFUNCTION("""COMPUTED_VALUE"""),"Yes")</f>
        <v>Yes</v>
      </c>
      <c r="AI716" s="5" t="str">
        <f ca="1">IFERROR(__xludf.DUMMYFUNCTION("""COMPUTED_VALUE"""),"Yes")</f>
        <v>Yes</v>
      </c>
      <c r="AJ716" s="5" t="str">
        <f ca="1">IFERROR(__xludf.DUMMYFUNCTION("""COMPUTED_VALUE"""),"Yes")</f>
        <v>Yes</v>
      </c>
      <c r="AK716" s="5" t="str">
        <f ca="1">IFERROR(__xludf.DUMMYFUNCTION("""COMPUTED_VALUE"""),"Yes")</f>
        <v>Yes</v>
      </c>
      <c r="AL716" s="5" t="str">
        <f ca="1">IFERROR(__xludf.DUMMYFUNCTION("""COMPUTED_VALUE"""),"Yes")</f>
        <v>Yes</v>
      </c>
      <c r="AM716" s="5"/>
      <c r="AN716" s="5"/>
      <c r="AO716" s="5"/>
      <c r="AP716" s="5"/>
      <c r="AQ716" s="5"/>
      <c r="AR716" s="5"/>
      <c r="AS716" s="5"/>
      <c r="AT716" s="5"/>
      <c r="AU716" s="5"/>
      <c r="AV716" s="5"/>
      <c r="AW716" s="5"/>
      <c r="AX716" s="5"/>
      <c r="AY716" s="5"/>
    </row>
    <row r="717" spans="1:51" x14ac:dyDescent="0.25">
      <c r="A7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7" s="5">
        <f ca="1">IFERROR(__xludf.DUMMYFUNCTION("""COMPUTED_VALUE"""),754)</f>
        <v>754</v>
      </c>
      <c r="C717" s="5">
        <f ca="1">IFERROR(__xludf.DUMMYFUNCTION("""COMPUTED_VALUE"""),3037)</f>
        <v>3037</v>
      </c>
      <c r="D717" s="5" t="str">
        <f ca="1">IFERROR(__xludf.DUMMYFUNCTION("""COMPUTED_VALUE"""),"BonusEpicWildExtralines")</f>
        <v>BonusEpicWildExtralines</v>
      </c>
      <c r="E717" s="5" t="str">
        <f ca="1">IFERROR(__xludf.DUMMYFUNCTION("""COMPUTED_VALUE"""),"Yes")</f>
        <v>Yes</v>
      </c>
      <c r="F717" s="5" t="str">
        <f ca="1">IFERROR(__xludf.DUMMYFUNCTION("""COMPUTED_VALUE"""),"Yes")</f>
        <v>Yes</v>
      </c>
      <c r="G717" s="5" t="str">
        <f ca="1">IFERROR(__xludf.DUMMYFUNCTION("""COMPUTED_VALUE"""),"Yes")</f>
        <v>Yes</v>
      </c>
      <c r="H717" s="5" t="str">
        <f ca="1">IFERROR(__xludf.DUMMYFUNCTION("""COMPUTED_VALUE"""),"Yes")</f>
        <v>Yes</v>
      </c>
      <c r="I717" s="5" t="str">
        <f ca="1">IFERROR(__xludf.DUMMYFUNCTION("""COMPUTED_VALUE"""),"Yes")</f>
        <v>Yes</v>
      </c>
      <c r="J717" s="5" t="str">
        <f ca="1">IFERROR(__xludf.DUMMYFUNCTION("""COMPUTED_VALUE"""),"Yes")</f>
        <v>Yes</v>
      </c>
      <c r="K717" s="5" t="str">
        <f ca="1">IFERROR(__xludf.DUMMYFUNCTION("""COMPUTED_VALUE"""),"Yes")</f>
        <v>Yes</v>
      </c>
      <c r="L717" s="5" t="str">
        <f ca="1">IFERROR(__xludf.DUMMYFUNCTION("""COMPUTED_VALUE"""),"Yes")</f>
        <v>Yes</v>
      </c>
      <c r="M717" s="5" t="str">
        <f ca="1">IFERROR(__xludf.DUMMYFUNCTION("""COMPUTED_VALUE"""),"Yes")</f>
        <v>Yes</v>
      </c>
      <c r="N717" s="5" t="str">
        <f ca="1">IFERROR(__xludf.DUMMYFUNCTION("""COMPUTED_VALUE"""),"Yes")</f>
        <v>Yes</v>
      </c>
      <c r="O717" s="5" t="str">
        <f ca="1">IFERROR(__xludf.DUMMYFUNCTION("""COMPUTED_VALUE"""),"Yes")</f>
        <v>Yes</v>
      </c>
      <c r="P717" s="5" t="str">
        <f ca="1">IFERROR(__xludf.DUMMYFUNCTION("""COMPUTED_VALUE"""),"Yes")</f>
        <v>Yes</v>
      </c>
      <c r="Q717" s="5" t="str">
        <f ca="1">IFERROR(__xludf.DUMMYFUNCTION("""COMPUTED_VALUE"""),"Yes")</f>
        <v>Yes</v>
      </c>
      <c r="R717" s="5" t="str">
        <f ca="1">IFERROR(__xludf.DUMMYFUNCTION("""COMPUTED_VALUE"""),"Yes")</f>
        <v>Yes</v>
      </c>
      <c r="S717" s="5" t="str">
        <f ca="1">IFERROR(__xludf.DUMMYFUNCTION("""COMPUTED_VALUE"""),"Yes")</f>
        <v>Yes</v>
      </c>
      <c r="T717" s="5" t="str">
        <f ca="1">IFERROR(__xludf.DUMMYFUNCTION("""COMPUTED_VALUE"""),"Yes")</f>
        <v>Yes</v>
      </c>
      <c r="U717" s="5" t="str">
        <f ca="1">IFERROR(__xludf.DUMMYFUNCTION("""COMPUTED_VALUE"""),"Yes")</f>
        <v>Yes</v>
      </c>
      <c r="V717" s="5" t="str">
        <f ca="1">IFERROR(__xludf.DUMMYFUNCTION("""COMPUTED_VALUE"""),"Yes")</f>
        <v>Yes</v>
      </c>
      <c r="W717" s="5" t="str">
        <f ca="1">IFERROR(__xludf.DUMMYFUNCTION("""COMPUTED_VALUE"""),"Yes")</f>
        <v>Yes</v>
      </c>
      <c r="X717" s="5" t="str">
        <f ca="1">IFERROR(__xludf.DUMMYFUNCTION("""COMPUTED_VALUE"""),"Yes")</f>
        <v>Yes</v>
      </c>
      <c r="Y717" s="5" t="str">
        <f ca="1">IFERROR(__xludf.DUMMYFUNCTION("""COMPUTED_VALUE"""),"Yes")</f>
        <v>Yes</v>
      </c>
      <c r="Z717" s="5" t="str">
        <f ca="1">IFERROR(__xludf.DUMMYFUNCTION("""COMPUTED_VALUE"""),"Yes")</f>
        <v>Yes</v>
      </c>
      <c r="AA717" s="5" t="str">
        <f ca="1">IFERROR(__xludf.DUMMYFUNCTION("""COMPUTED_VALUE"""),"Yes")</f>
        <v>Yes</v>
      </c>
      <c r="AB717" s="5" t="str">
        <f ca="1">IFERROR(__xludf.DUMMYFUNCTION("""COMPUTED_VALUE"""),"Yes")</f>
        <v>Yes</v>
      </c>
      <c r="AC717" s="5" t="str">
        <f ca="1">IFERROR(__xludf.DUMMYFUNCTION("""COMPUTED_VALUE"""),"Yes")</f>
        <v>Yes</v>
      </c>
      <c r="AD717" s="5" t="str">
        <f ca="1">IFERROR(__xludf.DUMMYFUNCTION("""COMPUTED_VALUE"""),"Yes")</f>
        <v>Yes</v>
      </c>
      <c r="AE717" s="5" t="str">
        <f ca="1">IFERROR(__xludf.DUMMYFUNCTION("""COMPUTED_VALUE"""),"Yes")</f>
        <v>Yes</v>
      </c>
      <c r="AF717" s="5" t="str">
        <f ca="1">IFERROR(__xludf.DUMMYFUNCTION("""COMPUTED_VALUE"""),"Yes")</f>
        <v>Yes</v>
      </c>
      <c r="AG717" s="5" t="str">
        <f ca="1">IFERROR(__xludf.DUMMYFUNCTION("""COMPUTED_VALUE"""),"Yes")</f>
        <v>Yes</v>
      </c>
      <c r="AH717" s="5" t="str">
        <f ca="1">IFERROR(__xludf.DUMMYFUNCTION("""COMPUTED_VALUE"""),"Yes")</f>
        <v>Yes</v>
      </c>
      <c r="AI717" s="5" t="str">
        <f ca="1">IFERROR(__xludf.DUMMYFUNCTION("""COMPUTED_VALUE"""),"No")</f>
        <v>No</v>
      </c>
      <c r="AJ717" s="5" t="str">
        <f ca="1">IFERROR(__xludf.DUMMYFUNCTION("""COMPUTED_VALUE"""),"No")</f>
        <v>No</v>
      </c>
      <c r="AK717" s="5" t="str">
        <f ca="1">IFERROR(__xludf.DUMMYFUNCTION("""COMPUTED_VALUE"""),"No")</f>
        <v>No</v>
      </c>
      <c r="AL717" s="5" t="str">
        <f ca="1">IFERROR(__xludf.DUMMYFUNCTION("""COMPUTED_VALUE"""),"No")</f>
        <v>No</v>
      </c>
      <c r="AM717" s="5"/>
      <c r="AN717" s="5"/>
      <c r="AO717" s="5"/>
      <c r="AP717" s="5"/>
      <c r="AQ717" s="5"/>
      <c r="AR717" s="5"/>
      <c r="AS717" s="5"/>
      <c r="AT717" s="5"/>
      <c r="AU717" s="5"/>
      <c r="AV717" s="5"/>
      <c r="AW717" s="5"/>
      <c r="AX717" s="5"/>
      <c r="AY717" s="5"/>
    </row>
    <row r="718" spans="1:51" x14ac:dyDescent="0.25">
      <c r="A718" s="5" t="str">
        <f ca="1">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Amharic(""amh""), Swahili(""swa""), Polish(""pol""), Latvian(""lav""), Lithuanian(""li"&amp;"t""), Slovak(""slk""), Ukrainian(""ukr""), Filipino(""fil""), Chinese(""zho/chi""), Traditional Chinese(""zht""), Japanese(""jpn""), Korean(""kor"")")</f>
        <v>English("eng"), Serbian(""srp","srb""), Montenegrian("mne"), Bulgarian("bul"), Spanish("spa"), Portuguese("por"), Italian("ita"), Romanian("rum/ron"), Croatian("hrv"), French("fre/fra"), German("ger/deu"), Dutch("dut/nld"), Turkish("tur"), Greek("gre/ell"), Czech("cze/ces"), Hungarian("hun"), N. Macedonian("mkd/mac"), Finnish("fin"), Armenian("arm/hye"), Social English("sen"), Amharic("amh"), Swahili("swa"), Polish("pol"), Latvian("lav"), Lithuanian("lit"), Slovak("slk"), Ukrainian("ukr"), Filipino("fil"), Chinese("zho/chi"), Traditional Chinese("zht"), Japanese("jpn"), Korean("kor")</v>
      </c>
      <c r="B718" s="5">
        <f ca="1">IFERROR(__xludf.DUMMYFUNCTION("""COMPUTED_VALUE"""),755)</f>
        <v>755</v>
      </c>
      <c r="C718" s="5">
        <f ca="1">IFERROR(__xludf.DUMMYFUNCTION("""COMPUTED_VALUE"""),3039)</f>
        <v>3039</v>
      </c>
      <c r="D718" s="5" t="str">
        <f ca="1">IFERROR(__xludf.DUMMYFUNCTION("""COMPUTED_VALUE"""),"VeryHot10Extreme")</f>
        <v>VeryHot10Extreme</v>
      </c>
      <c r="E718" s="5" t="str">
        <f ca="1">IFERROR(__xludf.DUMMYFUNCTION("""COMPUTED_VALUE"""),"Yes")</f>
        <v>Yes</v>
      </c>
      <c r="F718" s="5" t="str">
        <f ca="1">IFERROR(__xludf.DUMMYFUNCTION("""COMPUTED_VALUE"""),"Yes")</f>
        <v>Yes</v>
      </c>
      <c r="G718" s="5" t="str">
        <f ca="1">IFERROR(__xludf.DUMMYFUNCTION("""COMPUTED_VALUE"""),"Yes")</f>
        <v>Yes</v>
      </c>
      <c r="H718" s="5" t="str">
        <f ca="1">IFERROR(__xludf.DUMMYFUNCTION("""COMPUTED_VALUE"""),"Yes")</f>
        <v>Yes</v>
      </c>
      <c r="I718" s="5" t="str">
        <f ca="1">IFERROR(__xludf.DUMMYFUNCTION("""COMPUTED_VALUE"""),"Yes")</f>
        <v>Yes</v>
      </c>
      <c r="J718" s="5" t="str">
        <f ca="1">IFERROR(__xludf.DUMMYFUNCTION("""COMPUTED_VALUE"""),"Yes")</f>
        <v>Yes</v>
      </c>
      <c r="K718" s="5" t="str">
        <f ca="1">IFERROR(__xludf.DUMMYFUNCTION("""COMPUTED_VALUE"""),"Yes")</f>
        <v>Yes</v>
      </c>
      <c r="L718" s="5" t="str">
        <f ca="1">IFERROR(__xludf.DUMMYFUNCTION("""COMPUTED_VALUE"""),"Yes")</f>
        <v>Yes</v>
      </c>
      <c r="M718" s="5" t="str">
        <f ca="1">IFERROR(__xludf.DUMMYFUNCTION("""COMPUTED_VALUE"""),"Yes")</f>
        <v>Yes</v>
      </c>
      <c r="N718" s="5" t="str">
        <f ca="1">IFERROR(__xludf.DUMMYFUNCTION("""COMPUTED_VALUE"""),"Yes")</f>
        <v>Yes</v>
      </c>
      <c r="O718" s="5" t="str">
        <f ca="1">IFERROR(__xludf.DUMMYFUNCTION("""COMPUTED_VALUE"""),"Yes")</f>
        <v>Yes</v>
      </c>
      <c r="P718" s="5" t="str">
        <f ca="1">IFERROR(__xludf.DUMMYFUNCTION("""COMPUTED_VALUE"""),"Yes")</f>
        <v>Yes</v>
      </c>
      <c r="Q718" s="5" t="str">
        <f ca="1">IFERROR(__xludf.DUMMYFUNCTION("""COMPUTED_VALUE"""),"Yes")</f>
        <v>Yes</v>
      </c>
      <c r="R718" s="5" t="str">
        <f ca="1">IFERROR(__xludf.DUMMYFUNCTION("""COMPUTED_VALUE"""),"Yes")</f>
        <v>Yes</v>
      </c>
      <c r="S718" s="5"/>
      <c r="T718" s="5" t="str">
        <f ca="1">IFERROR(__xludf.DUMMYFUNCTION("""COMPUTED_VALUE"""),"Yes")</f>
        <v>Yes</v>
      </c>
      <c r="U718" s="5" t="str">
        <f ca="1">IFERROR(__xludf.DUMMYFUNCTION("""COMPUTED_VALUE"""),"Yes")</f>
        <v>Yes</v>
      </c>
      <c r="V718" s="5" t="str">
        <f ca="1">IFERROR(__xludf.DUMMYFUNCTION("""COMPUTED_VALUE"""),"Yes")</f>
        <v>Yes</v>
      </c>
      <c r="W718" s="5" t="str">
        <f ca="1">IFERROR(__xludf.DUMMYFUNCTION("""COMPUTED_VALUE"""),"Yes")</f>
        <v>Yes</v>
      </c>
      <c r="X718" s="5" t="str">
        <f ca="1">IFERROR(__xludf.DUMMYFUNCTION("""COMPUTED_VALUE"""),"Yes")</f>
        <v>Yes</v>
      </c>
      <c r="Y718" s="5" t="str">
        <f ca="1">IFERROR(__xludf.DUMMYFUNCTION("""COMPUTED_VALUE"""),"Yes")</f>
        <v>Yes</v>
      </c>
      <c r="Z718" s="5" t="str">
        <f ca="1">IFERROR(__xludf.DUMMYFUNCTION("""COMPUTED_VALUE"""),"Yes")</f>
        <v>Yes</v>
      </c>
      <c r="AA718" s="5" t="str">
        <f ca="1">IFERROR(__xludf.DUMMYFUNCTION("""COMPUTED_VALUE"""),"Yes")</f>
        <v>Yes</v>
      </c>
      <c r="AB718" s="5" t="str">
        <f ca="1">IFERROR(__xludf.DUMMYFUNCTION("""COMPUTED_VALUE"""),"Yes")</f>
        <v>Yes</v>
      </c>
      <c r="AC718" s="5" t="str">
        <f ca="1">IFERROR(__xludf.DUMMYFUNCTION("""COMPUTED_VALUE"""),"Yes")</f>
        <v>Yes</v>
      </c>
      <c r="AD718" s="5" t="str">
        <f ca="1">IFERROR(__xludf.DUMMYFUNCTION("""COMPUTED_VALUE"""),"Yes")</f>
        <v>Yes</v>
      </c>
      <c r="AE718" s="5" t="str">
        <f ca="1">IFERROR(__xludf.DUMMYFUNCTION("""COMPUTED_VALUE"""),"Yes")</f>
        <v>Yes</v>
      </c>
      <c r="AF718" s="5" t="str">
        <f ca="1">IFERROR(__xludf.DUMMYFUNCTION("""COMPUTED_VALUE"""),"Yes")</f>
        <v>Yes</v>
      </c>
      <c r="AG718" s="5" t="str">
        <f ca="1">IFERROR(__xludf.DUMMYFUNCTION("""COMPUTED_VALUE"""),"Yes")</f>
        <v>Yes</v>
      </c>
      <c r="AH718" s="5" t="str">
        <f ca="1">IFERROR(__xludf.DUMMYFUNCTION("""COMPUTED_VALUE"""),"Yes")</f>
        <v>Yes</v>
      </c>
      <c r="AI718" s="5" t="str">
        <f ca="1">IFERROR(__xludf.DUMMYFUNCTION("""COMPUTED_VALUE"""),"Yes")</f>
        <v>Yes</v>
      </c>
      <c r="AJ718" s="5" t="str">
        <f ca="1">IFERROR(__xludf.DUMMYFUNCTION("""COMPUTED_VALUE"""),"Yes")</f>
        <v>Yes</v>
      </c>
      <c r="AK718" s="5" t="str">
        <f ca="1">IFERROR(__xludf.DUMMYFUNCTION("""COMPUTED_VALUE"""),"Yes")</f>
        <v>Yes</v>
      </c>
      <c r="AL718" s="5"/>
      <c r="AM718" s="5"/>
      <c r="AN718" s="5"/>
      <c r="AO718" s="5"/>
      <c r="AP718" s="5"/>
      <c r="AQ718" s="5"/>
      <c r="AR718" s="5"/>
      <c r="AS718" s="5"/>
      <c r="AT718" s="5"/>
      <c r="AU718" s="5"/>
      <c r="AV718" s="5"/>
      <c r="AW718" s="5"/>
      <c r="AX718" s="5"/>
      <c r="AY718" s="5"/>
    </row>
    <row r="719" spans="1:51" x14ac:dyDescent="0.25">
      <c r="A7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9" s="5">
        <f ca="1">IFERROR(__xludf.DUMMYFUNCTION("""COMPUTED_VALUE"""),756)</f>
        <v>756</v>
      </c>
      <c r="C719" s="5">
        <f ca="1">IFERROR(__xludf.DUMMYFUNCTION("""COMPUTED_VALUE"""),3040)</f>
        <v>3040</v>
      </c>
      <c r="D719" s="5" t="str">
        <f ca="1">IFERROR(__xludf.DUMMYFUNCTION("""COMPUTED_VALUE"""),"VeryHot20Extreme")</f>
        <v>VeryHot20Extreme</v>
      </c>
      <c r="E719" s="5" t="str">
        <f ca="1">IFERROR(__xludf.DUMMYFUNCTION("""COMPUTED_VALUE"""),"Yes")</f>
        <v>Yes</v>
      </c>
      <c r="F719" s="5" t="str">
        <f ca="1">IFERROR(__xludf.DUMMYFUNCTION("""COMPUTED_VALUE"""),"Yes")</f>
        <v>Yes</v>
      </c>
      <c r="G719" s="5" t="str">
        <f ca="1">IFERROR(__xludf.DUMMYFUNCTION("""COMPUTED_VALUE"""),"Yes")</f>
        <v>Yes</v>
      </c>
      <c r="H719" s="5" t="str">
        <f ca="1">IFERROR(__xludf.DUMMYFUNCTION("""COMPUTED_VALUE"""),"Yes")</f>
        <v>Yes</v>
      </c>
      <c r="I719" s="5" t="str">
        <f ca="1">IFERROR(__xludf.DUMMYFUNCTION("""COMPUTED_VALUE"""),"Yes")</f>
        <v>Yes</v>
      </c>
      <c r="J719" s="5" t="str">
        <f ca="1">IFERROR(__xludf.DUMMYFUNCTION("""COMPUTED_VALUE"""),"Yes")</f>
        <v>Yes</v>
      </c>
      <c r="K719" s="5" t="str">
        <f ca="1">IFERROR(__xludf.DUMMYFUNCTION("""COMPUTED_VALUE"""),"Yes")</f>
        <v>Yes</v>
      </c>
      <c r="L719" s="5" t="str">
        <f ca="1">IFERROR(__xludf.DUMMYFUNCTION("""COMPUTED_VALUE"""),"Yes")</f>
        <v>Yes</v>
      </c>
      <c r="M719" s="5" t="str">
        <f ca="1">IFERROR(__xludf.DUMMYFUNCTION("""COMPUTED_VALUE"""),"Yes")</f>
        <v>Yes</v>
      </c>
      <c r="N719" s="5" t="str">
        <f ca="1">IFERROR(__xludf.DUMMYFUNCTION("""COMPUTED_VALUE"""),"Yes")</f>
        <v>Yes</v>
      </c>
      <c r="O719" s="5" t="str">
        <f ca="1">IFERROR(__xludf.DUMMYFUNCTION("""COMPUTED_VALUE"""),"Yes")</f>
        <v>Yes</v>
      </c>
      <c r="P719" s="5" t="str">
        <f ca="1">IFERROR(__xludf.DUMMYFUNCTION("""COMPUTED_VALUE"""),"Yes")</f>
        <v>Yes</v>
      </c>
      <c r="Q719" s="5" t="str">
        <f ca="1">IFERROR(__xludf.DUMMYFUNCTION("""COMPUTED_VALUE"""),"Yes")</f>
        <v>Yes</v>
      </c>
      <c r="R719" s="5" t="str">
        <f ca="1">IFERROR(__xludf.DUMMYFUNCTION("""COMPUTED_VALUE"""),"Yes")</f>
        <v>Yes</v>
      </c>
      <c r="S719" s="5" t="str">
        <f ca="1">IFERROR(__xludf.DUMMYFUNCTION("""COMPUTED_VALUE"""),"Yes")</f>
        <v>Yes</v>
      </c>
      <c r="T719" s="5" t="str">
        <f ca="1">IFERROR(__xludf.DUMMYFUNCTION("""COMPUTED_VALUE"""),"Yes")</f>
        <v>Yes</v>
      </c>
      <c r="U719" s="5" t="str">
        <f ca="1">IFERROR(__xludf.DUMMYFUNCTION("""COMPUTED_VALUE"""),"Yes")</f>
        <v>Yes</v>
      </c>
      <c r="V719" s="5" t="str">
        <f ca="1">IFERROR(__xludf.DUMMYFUNCTION("""COMPUTED_VALUE"""),"Yes")</f>
        <v>Yes</v>
      </c>
      <c r="W719" s="5" t="str">
        <f ca="1">IFERROR(__xludf.DUMMYFUNCTION("""COMPUTED_VALUE"""),"Yes")</f>
        <v>Yes</v>
      </c>
      <c r="X719" s="5" t="str">
        <f ca="1">IFERROR(__xludf.DUMMYFUNCTION("""COMPUTED_VALUE"""),"Yes")</f>
        <v>Yes</v>
      </c>
      <c r="Y719" s="5" t="str">
        <f ca="1">IFERROR(__xludf.DUMMYFUNCTION("""COMPUTED_VALUE"""),"Yes")</f>
        <v>Yes</v>
      </c>
      <c r="Z719" s="5" t="str">
        <f ca="1">IFERROR(__xludf.DUMMYFUNCTION("""COMPUTED_VALUE"""),"Yes")</f>
        <v>Yes</v>
      </c>
      <c r="AA719" s="5" t="str">
        <f ca="1">IFERROR(__xludf.DUMMYFUNCTION("""COMPUTED_VALUE"""),"Yes")</f>
        <v>Yes</v>
      </c>
      <c r="AB719" s="5" t="str">
        <f ca="1">IFERROR(__xludf.DUMMYFUNCTION("""COMPUTED_VALUE"""),"Yes")</f>
        <v>Yes</v>
      </c>
      <c r="AC719" s="5" t="str">
        <f ca="1">IFERROR(__xludf.DUMMYFUNCTION("""COMPUTED_VALUE"""),"Yes")</f>
        <v>Yes</v>
      </c>
      <c r="AD719" s="5" t="str">
        <f ca="1">IFERROR(__xludf.DUMMYFUNCTION("""COMPUTED_VALUE"""),"Yes")</f>
        <v>Yes</v>
      </c>
      <c r="AE719" s="5" t="str">
        <f ca="1">IFERROR(__xludf.DUMMYFUNCTION("""COMPUTED_VALUE"""),"Yes")</f>
        <v>Yes</v>
      </c>
      <c r="AF719" s="5" t="str">
        <f ca="1">IFERROR(__xludf.DUMMYFUNCTION("""COMPUTED_VALUE"""),"Yes")</f>
        <v>Yes</v>
      </c>
      <c r="AG719" s="5" t="str">
        <f ca="1">IFERROR(__xludf.DUMMYFUNCTION("""COMPUTED_VALUE"""),"Yes")</f>
        <v>Yes</v>
      </c>
      <c r="AH719" s="5" t="str">
        <f ca="1">IFERROR(__xludf.DUMMYFUNCTION("""COMPUTED_VALUE"""),"Yes")</f>
        <v>Yes</v>
      </c>
      <c r="AI719" s="5" t="str">
        <f ca="1">IFERROR(__xludf.DUMMYFUNCTION("""COMPUTED_VALUE"""),"No")</f>
        <v>No</v>
      </c>
      <c r="AJ719" s="5" t="str">
        <f ca="1">IFERROR(__xludf.DUMMYFUNCTION("""COMPUTED_VALUE"""),"No")</f>
        <v>No</v>
      </c>
      <c r="AK719" s="5" t="str">
        <f ca="1">IFERROR(__xludf.DUMMYFUNCTION("""COMPUTED_VALUE"""),"No")</f>
        <v>No</v>
      </c>
      <c r="AL719" s="5" t="str">
        <f ca="1">IFERROR(__xludf.DUMMYFUNCTION("""COMPUTED_VALUE"""),"No")</f>
        <v>No</v>
      </c>
      <c r="AM719" s="5"/>
      <c r="AN719" s="5"/>
      <c r="AO719" s="5"/>
      <c r="AP719" s="5"/>
      <c r="AQ719" s="5"/>
      <c r="AR719" s="5"/>
      <c r="AS719" s="5"/>
      <c r="AT719" s="5"/>
      <c r="AU719" s="5"/>
      <c r="AV719" s="5"/>
      <c r="AW719" s="5"/>
      <c r="AX719" s="5"/>
      <c r="AY719" s="5"/>
    </row>
    <row r="720" spans="1:51" x14ac:dyDescent="0.25">
      <c r="A7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0" s="5">
        <f ca="1">IFERROR(__xludf.DUMMYFUNCTION("""COMPUTED_VALUE"""),757)</f>
        <v>757</v>
      </c>
      <c r="C720" s="5">
        <f ca="1">IFERROR(__xludf.DUMMYFUNCTION("""COMPUTED_VALUE"""),3042)</f>
        <v>3042</v>
      </c>
      <c r="D720" s="5" t="str">
        <f ca="1">IFERROR(__xludf.DUMMYFUNCTION("""COMPUTED_VALUE"""),"VeryHot20ExtremeBooster")</f>
        <v>VeryHot20ExtremeBooster</v>
      </c>
      <c r="E720" s="5" t="str">
        <f ca="1">IFERROR(__xludf.DUMMYFUNCTION("""COMPUTED_VALUE"""),"Yes")</f>
        <v>Yes</v>
      </c>
      <c r="F720" s="5" t="str">
        <f ca="1">IFERROR(__xludf.DUMMYFUNCTION("""COMPUTED_VALUE"""),"Yes")</f>
        <v>Yes</v>
      </c>
      <c r="G720" s="5" t="str">
        <f ca="1">IFERROR(__xludf.DUMMYFUNCTION("""COMPUTED_VALUE"""),"Yes")</f>
        <v>Yes</v>
      </c>
      <c r="H720" s="5" t="str">
        <f ca="1">IFERROR(__xludf.DUMMYFUNCTION("""COMPUTED_VALUE"""),"Yes")</f>
        <v>Yes</v>
      </c>
      <c r="I720" s="5" t="str">
        <f ca="1">IFERROR(__xludf.DUMMYFUNCTION("""COMPUTED_VALUE"""),"Yes")</f>
        <v>Yes</v>
      </c>
      <c r="J720" s="5" t="str">
        <f ca="1">IFERROR(__xludf.DUMMYFUNCTION("""COMPUTED_VALUE"""),"Yes")</f>
        <v>Yes</v>
      </c>
      <c r="K720" s="5" t="str">
        <f ca="1">IFERROR(__xludf.DUMMYFUNCTION("""COMPUTED_VALUE"""),"Yes")</f>
        <v>Yes</v>
      </c>
      <c r="L720" s="5" t="str">
        <f ca="1">IFERROR(__xludf.DUMMYFUNCTION("""COMPUTED_VALUE"""),"Yes")</f>
        <v>Yes</v>
      </c>
      <c r="M720" s="5" t="str">
        <f ca="1">IFERROR(__xludf.DUMMYFUNCTION("""COMPUTED_VALUE"""),"Yes")</f>
        <v>Yes</v>
      </c>
      <c r="N720" s="5" t="str">
        <f ca="1">IFERROR(__xludf.DUMMYFUNCTION("""COMPUTED_VALUE"""),"Yes")</f>
        <v>Yes</v>
      </c>
      <c r="O720" s="5" t="str">
        <f ca="1">IFERROR(__xludf.DUMMYFUNCTION("""COMPUTED_VALUE"""),"Yes")</f>
        <v>Yes</v>
      </c>
      <c r="P720" s="5" t="str">
        <f ca="1">IFERROR(__xludf.DUMMYFUNCTION("""COMPUTED_VALUE"""),"Yes")</f>
        <v>Yes</v>
      </c>
      <c r="Q720" s="5" t="str">
        <f ca="1">IFERROR(__xludf.DUMMYFUNCTION("""COMPUTED_VALUE"""),"Yes")</f>
        <v>Yes</v>
      </c>
      <c r="R720" s="5" t="str">
        <f ca="1">IFERROR(__xludf.DUMMYFUNCTION("""COMPUTED_VALUE"""),"Yes")</f>
        <v>Yes</v>
      </c>
      <c r="S720" s="5" t="str">
        <f ca="1">IFERROR(__xludf.DUMMYFUNCTION("""COMPUTED_VALUE"""),"Yes")</f>
        <v>Yes</v>
      </c>
      <c r="T720" s="5" t="str">
        <f ca="1">IFERROR(__xludf.DUMMYFUNCTION("""COMPUTED_VALUE"""),"Yes")</f>
        <v>Yes</v>
      </c>
      <c r="U720" s="5" t="str">
        <f ca="1">IFERROR(__xludf.DUMMYFUNCTION("""COMPUTED_VALUE"""),"Yes")</f>
        <v>Yes</v>
      </c>
      <c r="V720" s="5" t="str">
        <f ca="1">IFERROR(__xludf.DUMMYFUNCTION("""COMPUTED_VALUE"""),"Yes")</f>
        <v>Yes</v>
      </c>
      <c r="W720" s="5" t="str">
        <f ca="1">IFERROR(__xludf.DUMMYFUNCTION("""COMPUTED_VALUE"""),"Yes")</f>
        <v>Yes</v>
      </c>
      <c r="X720" s="5" t="str">
        <f ca="1">IFERROR(__xludf.DUMMYFUNCTION("""COMPUTED_VALUE"""),"Yes")</f>
        <v>Yes</v>
      </c>
      <c r="Y720" s="5" t="str">
        <f ca="1">IFERROR(__xludf.DUMMYFUNCTION("""COMPUTED_VALUE"""),"Yes")</f>
        <v>Yes</v>
      </c>
      <c r="Z720" s="5" t="str">
        <f ca="1">IFERROR(__xludf.DUMMYFUNCTION("""COMPUTED_VALUE"""),"Yes")</f>
        <v>Yes</v>
      </c>
      <c r="AA720" s="5" t="str">
        <f ca="1">IFERROR(__xludf.DUMMYFUNCTION("""COMPUTED_VALUE"""),"Yes")</f>
        <v>Yes</v>
      </c>
      <c r="AB720" s="5" t="str">
        <f ca="1">IFERROR(__xludf.DUMMYFUNCTION("""COMPUTED_VALUE"""),"Yes")</f>
        <v>Yes</v>
      </c>
      <c r="AC720" s="5" t="str">
        <f ca="1">IFERROR(__xludf.DUMMYFUNCTION("""COMPUTED_VALUE"""),"Yes")</f>
        <v>Yes</v>
      </c>
      <c r="AD720" s="5" t="str">
        <f ca="1">IFERROR(__xludf.DUMMYFUNCTION("""COMPUTED_VALUE"""),"Yes")</f>
        <v>Yes</v>
      </c>
      <c r="AE720" s="5" t="str">
        <f ca="1">IFERROR(__xludf.DUMMYFUNCTION("""COMPUTED_VALUE"""),"Yes")</f>
        <v>Yes</v>
      </c>
      <c r="AF720" s="5" t="str">
        <f ca="1">IFERROR(__xludf.DUMMYFUNCTION("""COMPUTED_VALUE"""),"Yes")</f>
        <v>Yes</v>
      </c>
      <c r="AG720" s="5" t="str">
        <f ca="1">IFERROR(__xludf.DUMMYFUNCTION("""COMPUTED_VALUE"""),"Yes")</f>
        <v>Yes</v>
      </c>
      <c r="AH720" s="5" t="str">
        <f ca="1">IFERROR(__xludf.DUMMYFUNCTION("""COMPUTED_VALUE"""),"Yes")</f>
        <v>Yes</v>
      </c>
      <c r="AI720" s="5" t="str">
        <f ca="1">IFERROR(__xludf.DUMMYFUNCTION("""COMPUTED_VALUE"""),"No")</f>
        <v>No</v>
      </c>
      <c r="AJ720" s="5" t="str">
        <f ca="1">IFERROR(__xludf.DUMMYFUNCTION("""COMPUTED_VALUE"""),"No")</f>
        <v>No</v>
      </c>
      <c r="AK720" s="5" t="str">
        <f ca="1">IFERROR(__xludf.DUMMYFUNCTION("""COMPUTED_VALUE"""),"No")</f>
        <v>No</v>
      </c>
      <c r="AL720" s="5" t="str">
        <f ca="1">IFERROR(__xludf.DUMMYFUNCTION("""COMPUTED_VALUE"""),"No")</f>
        <v>No</v>
      </c>
      <c r="AM720" s="5"/>
      <c r="AN720" s="5"/>
      <c r="AO720" s="5"/>
      <c r="AP720" s="5"/>
      <c r="AQ720" s="5"/>
      <c r="AR720" s="5"/>
      <c r="AS720" s="5"/>
      <c r="AT720" s="5"/>
      <c r="AU720" s="5"/>
      <c r="AV720" s="5"/>
      <c r="AW720" s="5"/>
      <c r="AX720" s="5"/>
      <c r="AY720" s="5"/>
    </row>
    <row r="721" spans="1:51" x14ac:dyDescent="0.25">
      <c r="A7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1" s="5">
        <f ca="1">IFERROR(__xludf.DUMMYFUNCTION("""COMPUTED_VALUE"""),758)</f>
        <v>758</v>
      </c>
      <c r="C721" s="5">
        <f ca="1">IFERROR(__xludf.DUMMYFUNCTION("""COMPUTED_VALUE"""),3041)</f>
        <v>3041</v>
      </c>
      <c r="D721" s="5" t="str">
        <f ca="1">IFERROR(__xludf.DUMMYFUNCTION("""COMPUTED_VALUE"""),"VeryHot10ExtremeBooster")</f>
        <v>VeryHot10ExtremeBooster</v>
      </c>
      <c r="E721" s="5" t="str">
        <f ca="1">IFERROR(__xludf.DUMMYFUNCTION("""COMPUTED_VALUE"""),"Yes")</f>
        <v>Yes</v>
      </c>
      <c r="F721" s="5" t="str">
        <f ca="1">IFERROR(__xludf.DUMMYFUNCTION("""COMPUTED_VALUE"""),"Yes")</f>
        <v>Yes</v>
      </c>
      <c r="G721" s="5" t="str">
        <f ca="1">IFERROR(__xludf.DUMMYFUNCTION("""COMPUTED_VALUE"""),"Yes")</f>
        <v>Yes</v>
      </c>
      <c r="H721" s="5" t="str">
        <f ca="1">IFERROR(__xludf.DUMMYFUNCTION("""COMPUTED_VALUE"""),"Yes")</f>
        <v>Yes</v>
      </c>
      <c r="I721" s="5" t="str">
        <f ca="1">IFERROR(__xludf.DUMMYFUNCTION("""COMPUTED_VALUE"""),"Yes")</f>
        <v>Yes</v>
      </c>
      <c r="J721" s="5" t="str">
        <f ca="1">IFERROR(__xludf.DUMMYFUNCTION("""COMPUTED_VALUE"""),"Yes")</f>
        <v>Yes</v>
      </c>
      <c r="K721" s="5" t="str">
        <f ca="1">IFERROR(__xludf.DUMMYFUNCTION("""COMPUTED_VALUE"""),"Yes")</f>
        <v>Yes</v>
      </c>
      <c r="L721" s="5" t="str">
        <f ca="1">IFERROR(__xludf.DUMMYFUNCTION("""COMPUTED_VALUE"""),"Yes")</f>
        <v>Yes</v>
      </c>
      <c r="M721" s="5" t="str">
        <f ca="1">IFERROR(__xludf.DUMMYFUNCTION("""COMPUTED_VALUE"""),"Yes")</f>
        <v>Yes</v>
      </c>
      <c r="N721" s="5" t="str">
        <f ca="1">IFERROR(__xludf.DUMMYFUNCTION("""COMPUTED_VALUE"""),"Yes")</f>
        <v>Yes</v>
      </c>
      <c r="O721" s="5" t="str">
        <f ca="1">IFERROR(__xludf.DUMMYFUNCTION("""COMPUTED_VALUE"""),"Yes")</f>
        <v>Yes</v>
      </c>
      <c r="P721" s="5" t="str">
        <f ca="1">IFERROR(__xludf.DUMMYFUNCTION("""COMPUTED_VALUE"""),"Yes")</f>
        <v>Yes</v>
      </c>
      <c r="Q721" s="5" t="str">
        <f ca="1">IFERROR(__xludf.DUMMYFUNCTION("""COMPUTED_VALUE"""),"Yes")</f>
        <v>Yes</v>
      </c>
      <c r="R721" s="5" t="str">
        <f ca="1">IFERROR(__xludf.DUMMYFUNCTION("""COMPUTED_VALUE"""),"Yes")</f>
        <v>Yes</v>
      </c>
      <c r="S721" s="5" t="str">
        <f ca="1">IFERROR(__xludf.DUMMYFUNCTION("""COMPUTED_VALUE"""),"Yes")</f>
        <v>Yes</v>
      </c>
      <c r="T721" s="5" t="str">
        <f ca="1">IFERROR(__xludf.DUMMYFUNCTION("""COMPUTED_VALUE"""),"Yes")</f>
        <v>Yes</v>
      </c>
      <c r="U721" s="5" t="str">
        <f ca="1">IFERROR(__xludf.DUMMYFUNCTION("""COMPUTED_VALUE"""),"Yes")</f>
        <v>Yes</v>
      </c>
      <c r="V721" s="5" t="str">
        <f ca="1">IFERROR(__xludf.DUMMYFUNCTION("""COMPUTED_VALUE"""),"Yes")</f>
        <v>Yes</v>
      </c>
      <c r="W721" s="5" t="str">
        <f ca="1">IFERROR(__xludf.DUMMYFUNCTION("""COMPUTED_VALUE"""),"Yes")</f>
        <v>Yes</v>
      </c>
      <c r="X721" s="5" t="str">
        <f ca="1">IFERROR(__xludf.DUMMYFUNCTION("""COMPUTED_VALUE"""),"Yes")</f>
        <v>Yes</v>
      </c>
      <c r="Y721" s="5" t="str">
        <f ca="1">IFERROR(__xludf.DUMMYFUNCTION("""COMPUTED_VALUE"""),"Yes")</f>
        <v>Yes</v>
      </c>
      <c r="Z721" s="5" t="str">
        <f ca="1">IFERROR(__xludf.DUMMYFUNCTION("""COMPUTED_VALUE"""),"Yes")</f>
        <v>Yes</v>
      </c>
      <c r="AA721" s="5" t="str">
        <f ca="1">IFERROR(__xludf.DUMMYFUNCTION("""COMPUTED_VALUE"""),"Yes")</f>
        <v>Yes</v>
      </c>
      <c r="AB721" s="5" t="str">
        <f ca="1">IFERROR(__xludf.DUMMYFUNCTION("""COMPUTED_VALUE"""),"Yes")</f>
        <v>Yes</v>
      </c>
      <c r="AC721" s="5" t="str">
        <f ca="1">IFERROR(__xludf.DUMMYFUNCTION("""COMPUTED_VALUE"""),"Yes")</f>
        <v>Yes</v>
      </c>
      <c r="AD721" s="5" t="str">
        <f ca="1">IFERROR(__xludf.DUMMYFUNCTION("""COMPUTED_VALUE"""),"Yes")</f>
        <v>Yes</v>
      </c>
      <c r="AE721" s="5" t="str">
        <f ca="1">IFERROR(__xludf.DUMMYFUNCTION("""COMPUTED_VALUE"""),"Yes")</f>
        <v>Yes</v>
      </c>
      <c r="AF721" s="5" t="str">
        <f ca="1">IFERROR(__xludf.DUMMYFUNCTION("""COMPUTED_VALUE"""),"Yes")</f>
        <v>Yes</v>
      </c>
      <c r="AG721" s="5" t="str">
        <f ca="1">IFERROR(__xludf.DUMMYFUNCTION("""COMPUTED_VALUE"""),"Yes")</f>
        <v>Yes</v>
      </c>
      <c r="AH721" s="5" t="str">
        <f ca="1">IFERROR(__xludf.DUMMYFUNCTION("""COMPUTED_VALUE"""),"Yes")</f>
        <v>Yes</v>
      </c>
      <c r="AI721" s="5" t="str">
        <f ca="1">IFERROR(__xludf.DUMMYFUNCTION("""COMPUTED_VALUE"""),"No")</f>
        <v>No</v>
      </c>
      <c r="AJ721" s="5" t="str">
        <f ca="1">IFERROR(__xludf.DUMMYFUNCTION("""COMPUTED_VALUE"""),"No")</f>
        <v>No</v>
      </c>
      <c r="AK721" s="5" t="str">
        <f ca="1">IFERROR(__xludf.DUMMYFUNCTION("""COMPUTED_VALUE"""),"No")</f>
        <v>No</v>
      </c>
      <c r="AL721" s="5" t="str">
        <f ca="1">IFERROR(__xludf.DUMMYFUNCTION("""COMPUTED_VALUE"""),"No")</f>
        <v>No</v>
      </c>
      <c r="AM721" s="5"/>
      <c r="AN721" s="5"/>
      <c r="AO721" s="5"/>
      <c r="AP721" s="5"/>
      <c r="AQ721" s="5"/>
      <c r="AR721" s="5"/>
      <c r="AS721" s="5"/>
      <c r="AT721" s="5"/>
      <c r="AU721" s="5"/>
      <c r="AV721" s="5"/>
      <c r="AW721" s="5"/>
      <c r="AX721" s="5"/>
      <c r="AY721" s="5"/>
    </row>
    <row r="722" spans="1:51" x14ac:dyDescent="0.25">
      <c r="A7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2" s="5">
        <f ca="1">IFERROR(__xludf.DUMMYFUNCTION("""COMPUTED_VALUE"""),759)</f>
        <v>759</v>
      </c>
      <c r="C722" s="5">
        <f ca="1">IFERROR(__xludf.DUMMYFUNCTION("""COMPUTED_VALUE"""),3043)</f>
        <v>3043</v>
      </c>
      <c r="D722" s="5" t="str">
        <f ca="1">IFERROR(__xludf.DUMMYFUNCTION("""COMPUTED_VALUE"""),"VeryHot100Extreme")</f>
        <v>VeryHot100Extreme</v>
      </c>
      <c r="E722" s="5" t="str">
        <f ca="1">IFERROR(__xludf.DUMMYFUNCTION("""COMPUTED_VALUE"""),"Yes")</f>
        <v>Yes</v>
      </c>
      <c r="F722" s="5" t="str">
        <f ca="1">IFERROR(__xludf.DUMMYFUNCTION("""COMPUTED_VALUE"""),"Yes")</f>
        <v>Yes</v>
      </c>
      <c r="G722" s="5" t="str">
        <f ca="1">IFERROR(__xludf.DUMMYFUNCTION("""COMPUTED_VALUE"""),"Yes")</f>
        <v>Yes</v>
      </c>
      <c r="H722" s="5" t="str">
        <f ca="1">IFERROR(__xludf.DUMMYFUNCTION("""COMPUTED_VALUE"""),"Yes")</f>
        <v>Yes</v>
      </c>
      <c r="I722" s="5" t="str">
        <f ca="1">IFERROR(__xludf.DUMMYFUNCTION("""COMPUTED_VALUE"""),"Yes")</f>
        <v>Yes</v>
      </c>
      <c r="J722" s="5" t="str">
        <f ca="1">IFERROR(__xludf.DUMMYFUNCTION("""COMPUTED_VALUE"""),"Yes")</f>
        <v>Yes</v>
      </c>
      <c r="K722" s="5" t="str">
        <f ca="1">IFERROR(__xludf.DUMMYFUNCTION("""COMPUTED_VALUE"""),"Yes")</f>
        <v>Yes</v>
      </c>
      <c r="L722" s="5" t="str">
        <f ca="1">IFERROR(__xludf.DUMMYFUNCTION("""COMPUTED_VALUE"""),"Yes")</f>
        <v>Yes</v>
      </c>
      <c r="M722" s="5" t="str">
        <f ca="1">IFERROR(__xludf.DUMMYFUNCTION("""COMPUTED_VALUE"""),"Yes")</f>
        <v>Yes</v>
      </c>
      <c r="N722" s="5" t="str">
        <f ca="1">IFERROR(__xludf.DUMMYFUNCTION("""COMPUTED_VALUE"""),"Yes")</f>
        <v>Yes</v>
      </c>
      <c r="O722" s="5" t="str">
        <f ca="1">IFERROR(__xludf.DUMMYFUNCTION("""COMPUTED_VALUE"""),"Yes")</f>
        <v>Yes</v>
      </c>
      <c r="P722" s="5" t="str">
        <f ca="1">IFERROR(__xludf.DUMMYFUNCTION("""COMPUTED_VALUE"""),"Yes")</f>
        <v>Yes</v>
      </c>
      <c r="Q722" s="5" t="str">
        <f ca="1">IFERROR(__xludf.DUMMYFUNCTION("""COMPUTED_VALUE"""),"Yes")</f>
        <v>Yes</v>
      </c>
      <c r="R722" s="5" t="str">
        <f ca="1">IFERROR(__xludf.DUMMYFUNCTION("""COMPUTED_VALUE"""),"Yes")</f>
        <v>Yes</v>
      </c>
      <c r="S722" s="5" t="str">
        <f ca="1">IFERROR(__xludf.DUMMYFUNCTION("""COMPUTED_VALUE"""),"Yes")</f>
        <v>Yes</v>
      </c>
      <c r="T722" s="5" t="str">
        <f ca="1">IFERROR(__xludf.DUMMYFUNCTION("""COMPUTED_VALUE"""),"Yes")</f>
        <v>Yes</v>
      </c>
      <c r="U722" s="5" t="str">
        <f ca="1">IFERROR(__xludf.DUMMYFUNCTION("""COMPUTED_VALUE"""),"Yes")</f>
        <v>Yes</v>
      </c>
      <c r="V722" s="5" t="str">
        <f ca="1">IFERROR(__xludf.DUMMYFUNCTION("""COMPUTED_VALUE"""),"Yes")</f>
        <v>Yes</v>
      </c>
      <c r="W722" s="5" t="str">
        <f ca="1">IFERROR(__xludf.DUMMYFUNCTION("""COMPUTED_VALUE"""),"Yes")</f>
        <v>Yes</v>
      </c>
      <c r="X722" s="5" t="str">
        <f ca="1">IFERROR(__xludf.DUMMYFUNCTION("""COMPUTED_VALUE"""),"Yes")</f>
        <v>Yes</v>
      </c>
      <c r="Y722" s="5" t="str">
        <f ca="1">IFERROR(__xludf.DUMMYFUNCTION("""COMPUTED_VALUE"""),"Yes")</f>
        <v>Yes</v>
      </c>
      <c r="Z722" s="5" t="str">
        <f ca="1">IFERROR(__xludf.DUMMYFUNCTION("""COMPUTED_VALUE"""),"Yes")</f>
        <v>Yes</v>
      </c>
      <c r="AA722" s="5" t="str">
        <f ca="1">IFERROR(__xludf.DUMMYFUNCTION("""COMPUTED_VALUE"""),"Yes")</f>
        <v>Yes</v>
      </c>
      <c r="AB722" s="5" t="str">
        <f ca="1">IFERROR(__xludf.DUMMYFUNCTION("""COMPUTED_VALUE"""),"Yes")</f>
        <v>Yes</v>
      </c>
      <c r="AC722" s="5" t="str">
        <f ca="1">IFERROR(__xludf.DUMMYFUNCTION("""COMPUTED_VALUE"""),"Yes")</f>
        <v>Yes</v>
      </c>
      <c r="AD722" s="5" t="str">
        <f ca="1">IFERROR(__xludf.DUMMYFUNCTION("""COMPUTED_VALUE"""),"Yes")</f>
        <v>Yes</v>
      </c>
      <c r="AE722" s="5" t="str">
        <f ca="1">IFERROR(__xludf.DUMMYFUNCTION("""COMPUTED_VALUE"""),"Yes")</f>
        <v>Yes</v>
      </c>
      <c r="AF722" s="5" t="str">
        <f ca="1">IFERROR(__xludf.DUMMYFUNCTION("""COMPUTED_VALUE"""),"Yes")</f>
        <v>Yes</v>
      </c>
      <c r="AG722" s="5" t="str">
        <f ca="1">IFERROR(__xludf.DUMMYFUNCTION("""COMPUTED_VALUE"""),"Yes")</f>
        <v>Yes</v>
      </c>
      <c r="AH722" s="5" t="str">
        <f ca="1">IFERROR(__xludf.DUMMYFUNCTION("""COMPUTED_VALUE"""),"Yes")</f>
        <v>Yes</v>
      </c>
      <c r="AI722" s="5" t="str">
        <f ca="1">IFERROR(__xludf.DUMMYFUNCTION("""COMPUTED_VALUE"""),"No")</f>
        <v>No</v>
      </c>
      <c r="AJ722" s="5" t="str">
        <f ca="1">IFERROR(__xludf.DUMMYFUNCTION("""COMPUTED_VALUE"""),"No")</f>
        <v>No</v>
      </c>
      <c r="AK722" s="5" t="str">
        <f ca="1">IFERROR(__xludf.DUMMYFUNCTION("""COMPUTED_VALUE"""),"No")</f>
        <v>No</v>
      </c>
      <c r="AL722" s="5" t="str">
        <f ca="1">IFERROR(__xludf.DUMMYFUNCTION("""COMPUTED_VALUE"""),"No")</f>
        <v>No</v>
      </c>
      <c r="AM722" s="5"/>
      <c r="AN722" s="5"/>
      <c r="AO722" s="5"/>
      <c r="AP722" s="5"/>
      <c r="AQ722" s="5"/>
      <c r="AR722" s="5"/>
      <c r="AS722" s="5"/>
      <c r="AT722" s="5"/>
      <c r="AU722" s="5"/>
      <c r="AV722" s="5"/>
      <c r="AW722" s="5"/>
      <c r="AX722" s="5"/>
      <c r="AY722" s="5"/>
    </row>
    <row r="723" spans="1:51" x14ac:dyDescent="0.25">
      <c r="A7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3" s="5">
        <f ca="1">IFERROR(__xludf.DUMMYFUNCTION("""COMPUTED_VALUE"""),760)</f>
        <v>760</v>
      </c>
      <c r="C723" s="5">
        <f ca="1">IFERROR(__xludf.DUMMYFUNCTION("""COMPUTED_VALUE"""),3044)</f>
        <v>3044</v>
      </c>
      <c r="D723" s="5" t="str">
        <f ca="1">IFERROR(__xludf.DUMMYFUNCTION("""COMPUTED_VALUE"""),"VeryHot100ExtremeBooster")</f>
        <v>VeryHot100ExtremeBooster</v>
      </c>
      <c r="E723" s="5" t="str">
        <f ca="1">IFERROR(__xludf.DUMMYFUNCTION("""COMPUTED_VALUE"""),"Yes")</f>
        <v>Yes</v>
      </c>
      <c r="F723" s="5" t="str">
        <f ca="1">IFERROR(__xludf.DUMMYFUNCTION("""COMPUTED_VALUE"""),"Yes")</f>
        <v>Yes</v>
      </c>
      <c r="G723" s="5" t="str">
        <f ca="1">IFERROR(__xludf.DUMMYFUNCTION("""COMPUTED_VALUE"""),"Yes")</f>
        <v>Yes</v>
      </c>
      <c r="H723" s="5" t="str">
        <f ca="1">IFERROR(__xludf.DUMMYFUNCTION("""COMPUTED_VALUE"""),"Yes")</f>
        <v>Yes</v>
      </c>
      <c r="I723" s="5" t="str">
        <f ca="1">IFERROR(__xludf.DUMMYFUNCTION("""COMPUTED_VALUE"""),"Yes")</f>
        <v>Yes</v>
      </c>
      <c r="J723" s="5" t="str">
        <f ca="1">IFERROR(__xludf.DUMMYFUNCTION("""COMPUTED_VALUE"""),"Yes")</f>
        <v>Yes</v>
      </c>
      <c r="K723" s="5" t="str">
        <f ca="1">IFERROR(__xludf.DUMMYFUNCTION("""COMPUTED_VALUE"""),"Yes")</f>
        <v>Yes</v>
      </c>
      <c r="L723" s="5" t="str">
        <f ca="1">IFERROR(__xludf.DUMMYFUNCTION("""COMPUTED_VALUE"""),"Yes")</f>
        <v>Yes</v>
      </c>
      <c r="M723" s="5" t="str">
        <f ca="1">IFERROR(__xludf.DUMMYFUNCTION("""COMPUTED_VALUE"""),"Yes")</f>
        <v>Yes</v>
      </c>
      <c r="N723" s="5" t="str">
        <f ca="1">IFERROR(__xludf.DUMMYFUNCTION("""COMPUTED_VALUE"""),"Yes")</f>
        <v>Yes</v>
      </c>
      <c r="O723" s="5" t="str">
        <f ca="1">IFERROR(__xludf.DUMMYFUNCTION("""COMPUTED_VALUE"""),"Yes")</f>
        <v>Yes</v>
      </c>
      <c r="P723" s="5" t="str">
        <f ca="1">IFERROR(__xludf.DUMMYFUNCTION("""COMPUTED_VALUE"""),"Yes")</f>
        <v>Yes</v>
      </c>
      <c r="Q723" s="5" t="str">
        <f ca="1">IFERROR(__xludf.DUMMYFUNCTION("""COMPUTED_VALUE"""),"Yes")</f>
        <v>Yes</v>
      </c>
      <c r="R723" s="5" t="str">
        <f ca="1">IFERROR(__xludf.DUMMYFUNCTION("""COMPUTED_VALUE"""),"Yes")</f>
        <v>Yes</v>
      </c>
      <c r="S723" s="5" t="str">
        <f ca="1">IFERROR(__xludf.DUMMYFUNCTION("""COMPUTED_VALUE"""),"Yes")</f>
        <v>Yes</v>
      </c>
      <c r="T723" s="5" t="str">
        <f ca="1">IFERROR(__xludf.DUMMYFUNCTION("""COMPUTED_VALUE"""),"Yes")</f>
        <v>Yes</v>
      </c>
      <c r="U723" s="5" t="str">
        <f ca="1">IFERROR(__xludf.DUMMYFUNCTION("""COMPUTED_VALUE"""),"Yes")</f>
        <v>Yes</v>
      </c>
      <c r="V723" s="5" t="str">
        <f ca="1">IFERROR(__xludf.DUMMYFUNCTION("""COMPUTED_VALUE"""),"Yes")</f>
        <v>Yes</v>
      </c>
      <c r="W723" s="5" t="str">
        <f ca="1">IFERROR(__xludf.DUMMYFUNCTION("""COMPUTED_VALUE"""),"Yes")</f>
        <v>Yes</v>
      </c>
      <c r="X723" s="5" t="str">
        <f ca="1">IFERROR(__xludf.DUMMYFUNCTION("""COMPUTED_VALUE"""),"Yes")</f>
        <v>Yes</v>
      </c>
      <c r="Y723" s="5" t="str">
        <f ca="1">IFERROR(__xludf.DUMMYFUNCTION("""COMPUTED_VALUE"""),"Yes")</f>
        <v>Yes</v>
      </c>
      <c r="Z723" s="5" t="str">
        <f ca="1">IFERROR(__xludf.DUMMYFUNCTION("""COMPUTED_VALUE"""),"Yes")</f>
        <v>Yes</v>
      </c>
      <c r="AA723" s="5" t="str">
        <f ca="1">IFERROR(__xludf.DUMMYFUNCTION("""COMPUTED_VALUE"""),"Yes")</f>
        <v>Yes</v>
      </c>
      <c r="AB723" s="5" t="str">
        <f ca="1">IFERROR(__xludf.DUMMYFUNCTION("""COMPUTED_VALUE"""),"Yes")</f>
        <v>Yes</v>
      </c>
      <c r="AC723" s="5" t="str">
        <f ca="1">IFERROR(__xludf.DUMMYFUNCTION("""COMPUTED_VALUE"""),"Yes")</f>
        <v>Yes</v>
      </c>
      <c r="AD723" s="5" t="str">
        <f ca="1">IFERROR(__xludf.DUMMYFUNCTION("""COMPUTED_VALUE"""),"Yes")</f>
        <v>Yes</v>
      </c>
      <c r="AE723" s="5" t="str">
        <f ca="1">IFERROR(__xludf.DUMMYFUNCTION("""COMPUTED_VALUE"""),"Yes")</f>
        <v>Yes</v>
      </c>
      <c r="AF723" s="5" t="str">
        <f ca="1">IFERROR(__xludf.DUMMYFUNCTION("""COMPUTED_VALUE"""),"Yes")</f>
        <v>Yes</v>
      </c>
      <c r="AG723" s="5" t="str">
        <f ca="1">IFERROR(__xludf.DUMMYFUNCTION("""COMPUTED_VALUE"""),"Yes")</f>
        <v>Yes</v>
      </c>
      <c r="AH723" s="5" t="str">
        <f ca="1">IFERROR(__xludf.DUMMYFUNCTION("""COMPUTED_VALUE"""),"Yes")</f>
        <v>Yes</v>
      </c>
      <c r="AI723" s="5" t="str">
        <f ca="1">IFERROR(__xludf.DUMMYFUNCTION("""COMPUTED_VALUE"""),"No")</f>
        <v>No</v>
      </c>
      <c r="AJ723" s="5" t="str">
        <f ca="1">IFERROR(__xludf.DUMMYFUNCTION("""COMPUTED_VALUE"""),"No")</f>
        <v>No</v>
      </c>
      <c r="AK723" s="5" t="str">
        <f ca="1">IFERROR(__xludf.DUMMYFUNCTION("""COMPUTED_VALUE"""),"No")</f>
        <v>No</v>
      </c>
      <c r="AL723" s="5" t="str">
        <f ca="1">IFERROR(__xludf.DUMMYFUNCTION("""COMPUTED_VALUE"""),"No")</f>
        <v>No</v>
      </c>
      <c r="AM723" s="5"/>
      <c r="AN723" s="5"/>
      <c r="AO723" s="5"/>
      <c r="AP723" s="5"/>
      <c r="AQ723" s="5"/>
      <c r="AR723" s="5"/>
      <c r="AS723" s="5"/>
      <c r="AT723" s="5"/>
      <c r="AU723" s="5"/>
      <c r="AV723" s="5"/>
      <c r="AW723" s="5"/>
      <c r="AX723" s="5"/>
      <c r="AY723" s="5"/>
    </row>
    <row r="724" spans="1:51" x14ac:dyDescent="0.25">
      <c r="A7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4" s="5">
        <f ca="1">IFERROR(__xludf.DUMMYFUNCTION("""COMPUTED_VALUE"""),761)</f>
        <v>761</v>
      </c>
      <c r="C724" s="5">
        <f ca="1">IFERROR(__xludf.DUMMYFUNCTION("""COMPUTED_VALUE"""),100000)</f>
        <v>100000</v>
      </c>
      <c r="D724" s="5" t="str">
        <f ca="1">IFERROR(__xludf.DUMMYFUNCTION("""COMPUTED_VALUE"""),"OnDemandRoulette")</f>
        <v>OnDemandRoulette</v>
      </c>
      <c r="E724" s="5" t="str">
        <f ca="1">IFERROR(__xludf.DUMMYFUNCTION("""COMPUTED_VALUE"""),"Yes")</f>
        <v>Yes</v>
      </c>
      <c r="F724" s="5" t="str">
        <f ca="1">IFERROR(__xludf.DUMMYFUNCTION("""COMPUTED_VALUE"""),"Yes")</f>
        <v>Yes</v>
      </c>
      <c r="G724" s="5" t="str">
        <f ca="1">IFERROR(__xludf.DUMMYFUNCTION("""COMPUTED_VALUE"""),"Yes")</f>
        <v>Yes</v>
      </c>
      <c r="H724" s="5" t="str">
        <f ca="1">IFERROR(__xludf.DUMMYFUNCTION("""COMPUTED_VALUE"""),"Yes")</f>
        <v>Yes</v>
      </c>
      <c r="I724" s="5" t="str">
        <f ca="1">IFERROR(__xludf.DUMMYFUNCTION("""COMPUTED_VALUE"""),"Yes")</f>
        <v>Yes</v>
      </c>
      <c r="J724" s="5" t="str">
        <f ca="1">IFERROR(__xludf.DUMMYFUNCTION("""COMPUTED_VALUE"""),"Yes")</f>
        <v>Yes</v>
      </c>
      <c r="K724" s="5" t="str">
        <f ca="1">IFERROR(__xludf.DUMMYFUNCTION("""COMPUTED_VALUE"""),"Yes")</f>
        <v>Yes</v>
      </c>
      <c r="L724" s="5" t="str">
        <f ca="1">IFERROR(__xludf.DUMMYFUNCTION("""COMPUTED_VALUE"""),"Yes")</f>
        <v>Yes</v>
      </c>
      <c r="M724" s="5" t="str">
        <f ca="1">IFERROR(__xludf.DUMMYFUNCTION("""COMPUTED_VALUE"""),"Yes")</f>
        <v>Yes</v>
      </c>
      <c r="N724" s="5" t="str">
        <f ca="1">IFERROR(__xludf.DUMMYFUNCTION("""COMPUTED_VALUE"""),"Yes")</f>
        <v>Yes</v>
      </c>
      <c r="O724" s="5" t="str">
        <f ca="1">IFERROR(__xludf.DUMMYFUNCTION("""COMPUTED_VALUE"""),"Yes")</f>
        <v>Yes</v>
      </c>
      <c r="P724" s="5" t="str">
        <f ca="1">IFERROR(__xludf.DUMMYFUNCTION("""COMPUTED_VALUE"""),"Yes")</f>
        <v>Yes</v>
      </c>
      <c r="Q724" s="5" t="str">
        <f ca="1">IFERROR(__xludf.DUMMYFUNCTION("""COMPUTED_VALUE"""),"Yes")</f>
        <v>Yes</v>
      </c>
      <c r="R724" s="5" t="str">
        <f ca="1">IFERROR(__xludf.DUMMYFUNCTION("""COMPUTED_VALUE"""),"Yes")</f>
        <v>Yes</v>
      </c>
      <c r="S724" s="5" t="str">
        <f ca="1">IFERROR(__xludf.DUMMYFUNCTION("""COMPUTED_VALUE"""),"Yes")</f>
        <v>Yes</v>
      </c>
      <c r="T724" s="5" t="str">
        <f ca="1">IFERROR(__xludf.DUMMYFUNCTION("""COMPUTED_VALUE"""),"Yes")</f>
        <v>Yes</v>
      </c>
      <c r="U724" s="5" t="str">
        <f ca="1">IFERROR(__xludf.DUMMYFUNCTION("""COMPUTED_VALUE"""),"Yes")</f>
        <v>Yes</v>
      </c>
      <c r="V724" s="5" t="str">
        <f ca="1">IFERROR(__xludf.DUMMYFUNCTION("""COMPUTED_VALUE"""),"Yes")</f>
        <v>Yes</v>
      </c>
      <c r="W724" s="5" t="str">
        <f ca="1">IFERROR(__xludf.DUMMYFUNCTION("""COMPUTED_VALUE"""),"Yes")</f>
        <v>Yes</v>
      </c>
      <c r="X724" s="5" t="str">
        <f ca="1">IFERROR(__xludf.DUMMYFUNCTION("""COMPUTED_VALUE"""),"Yes")</f>
        <v>Yes</v>
      </c>
      <c r="Y724" s="5" t="str">
        <f ca="1">IFERROR(__xludf.DUMMYFUNCTION("""COMPUTED_VALUE"""),"Yes")</f>
        <v>Yes</v>
      </c>
      <c r="Z724" s="5" t="str">
        <f ca="1">IFERROR(__xludf.DUMMYFUNCTION("""COMPUTED_VALUE"""),"Yes")</f>
        <v>Yes</v>
      </c>
      <c r="AA724" s="5" t="str">
        <f ca="1">IFERROR(__xludf.DUMMYFUNCTION("""COMPUTED_VALUE"""),"Yes")</f>
        <v>Yes</v>
      </c>
      <c r="AB724" s="5" t="str">
        <f ca="1">IFERROR(__xludf.DUMMYFUNCTION("""COMPUTED_VALUE"""),"Yes")</f>
        <v>Yes</v>
      </c>
      <c r="AC724" s="5" t="str">
        <f ca="1">IFERROR(__xludf.DUMMYFUNCTION("""COMPUTED_VALUE"""),"Yes")</f>
        <v>Yes</v>
      </c>
      <c r="AD724" s="5" t="str">
        <f ca="1">IFERROR(__xludf.DUMMYFUNCTION("""COMPUTED_VALUE"""),"Yes")</f>
        <v>Yes</v>
      </c>
      <c r="AE724" s="5" t="str">
        <f ca="1">IFERROR(__xludf.DUMMYFUNCTION("""COMPUTED_VALUE"""),"Yes")</f>
        <v>Yes</v>
      </c>
      <c r="AF724" s="5" t="str">
        <f ca="1">IFERROR(__xludf.DUMMYFUNCTION("""COMPUTED_VALUE"""),"Yes")</f>
        <v>Yes</v>
      </c>
      <c r="AG724" s="5" t="str">
        <f ca="1">IFERROR(__xludf.DUMMYFUNCTION("""COMPUTED_VALUE"""),"Yes")</f>
        <v>Yes</v>
      </c>
      <c r="AH724" s="5" t="str">
        <f ca="1">IFERROR(__xludf.DUMMYFUNCTION("""COMPUTED_VALUE"""),"Yes")</f>
        <v>Yes</v>
      </c>
      <c r="AI724" s="5" t="str">
        <f ca="1">IFERROR(__xludf.DUMMYFUNCTION("""COMPUTED_VALUE"""),"No")</f>
        <v>No</v>
      </c>
      <c r="AJ724" s="5" t="str">
        <f ca="1">IFERROR(__xludf.DUMMYFUNCTION("""COMPUTED_VALUE"""),"No")</f>
        <v>No</v>
      </c>
      <c r="AK724" s="5" t="str">
        <f ca="1">IFERROR(__xludf.DUMMYFUNCTION("""COMPUTED_VALUE"""),"No")</f>
        <v>No</v>
      </c>
      <c r="AL724" s="5" t="str">
        <f ca="1">IFERROR(__xludf.DUMMYFUNCTION("""COMPUTED_VALUE"""),"No")</f>
        <v>No</v>
      </c>
      <c r="AM724" s="5"/>
      <c r="AN724" s="5"/>
      <c r="AO724" s="5"/>
      <c r="AP724" s="5"/>
      <c r="AQ724" s="5"/>
      <c r="AR724" s="5"/>
      <c r="AS724" s="5"/>
      <c r="AT724" s="5"/>
      <c r="AU724" s="5"/>
      <c r="AV724" s="5"/>
      <c r="AW724" s="5"/>
      <c r="AX724" s="5"/>
      <c r="AY724" s="5"/>
    </row>
    <row r="725" spans="1:51" x14ac:dyDescent="0.25">
      <c r="A7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5" s="5">
        <f ca="1">IFERROR(__xludf.DUMMYFUNCTION("""COMPUTED_VALUE"""),762)</f>
        <v>762</v>
      </c>
      <c r="C725" s="5">
        <f ca="1">IFERROR(__xludf.DUMMYFUNCTION("""COMPUTED_VALUE"""),-1)</f>
        <v>-1</v>
      </c>
      <c r="D725" s="5" t="str">
        <f ca="1">IFERROR(__xludf.DUMMYFUNCTION("""COMPUTED_VALUE"""),"TBD")</f>
        <v>TBD</v>
      </c>
      <c r="E725" s="5" t="str">
        <f ca="1">IFERROR(__xludf.DUMMYFUNCTION("""COMPUTED_VALUE"""),"Yes")</f>
        <v>Yes</v>
      </c>
      <c r="F725" s="5" t="str">
        <f ca="1">IFERROR(__xludf.DUMMYFUNCTION("""COMPUTED_VALUE"""),"Yes")</f>
        <v>Yes</v>
      </c>
      <c r="G725" s="5" t="str">
        <f ca="1">IFERROR(__xludf.DUMMYFUNCTION("""COMPUTED_VALUE"""),"Yes")</f>
        <v>Yes</v>
      </c>
      <c r="H725" s="5" t="str">
        <f ca="1">IFERROR(__xludf.DUMMYFUNCTION("""COMPUTED_VALUE"""),"Yes")</f>
        <v>Yes</v>
      </c>
      <c r="I725" s="5" t="str">
        <f ca="1">IFERROR(__xludf.DUMMYFUNCTION("""COMPUTED_VALUE"""),"Yes")</f>
        <v>Yes</v>
      </c>
      <c r="J725" s="5" t="str">
        <f ca="1">IFERROR(__xludf.DUMMYFUNCTION("""COMPUTED_VALUE"""),"Yes")</f>
        <v>Yes</v>
      </c>
      <c r="K725" s="5" t="str">
        <f ca="1">IFERROR(__xludf.DUMMYFUNCTION("""COMPUTED_VALUE"""),"Yes")</f>
        <v>Yes</v>
      </c>
      <c r="L725" s="5" t="str">
        <f ca="1">IFERROR(__xludf.DUMMYFUNCTION("""COMPUTED_VALUE"""),"Yes")</f>
        <v>Yes</v>
      </c>
      <c r="M725" s="5" t="str">
        <f ca="1">IFERROR(__xludf.DUMMYFUNCTION("""COMPUTED_VALUE"""),"Yes")</f>
        <v>Yes</v>
      </c>
      <c r="N725" s="5" t="str">
        <f ca="1">IFERROR(__xludf.DUMMYFUNCTION("""COMPUTED_VALUE"""),"Yes")</f>
        <v>Yes</v>
      </c>
      <c r="O725" s="5" t="str">
        <f ca="1">IFERROR(__xludf.DUMMYFUNCTION("""COMPUTED_VALUE"""),"Yes")</f>
        <v>Yes</v>
      </c>
      <c r="P725" s="5" t="str">
        <f ca="1">IFERROR(__xludf.DUMMYFUNCTION("""COMPUTED_VALUE"""),"Yes")</f>
        <v>Yes</v>
      </c>
      <c r="Q725" s="5" t="str">
        <f ca="1">IFERROR(__xludf.DUMMYFUNCTION("""COMPUTED_VALUE"""),"Yes")</f>
        <v>Yes</v>
      </c>
      <c r="R725" s="5" t="str">
        <f ca="1">IFERROR(__xludf.DUMMYFUNCTION("""COMPUTED_VALUE"""),"Yes")</f>
        <v>Yes</v>
      </c>
      <c r="S725" s="5" t="str">
        <f ca="1">IFERROR(__xludf.DUMMYFUNCTION("""COMPUTED_VALUE"""),"Yes")</f>
        <v>Yes</v>
      </c>
      <c r="T725" s="5" t="str">
        <f ca="1">IFERROR(__xludf.DUMMYFUNCTION("""COMPUTED_VALUE"""),"Yes")</f>
        <v>Yes</v>
      </c>
      <c r="U725" s="5" t="str">
        <f ca="1">IFERROR(__xludf.DUMMYFUNCTION("""COMPUTED_VALUE"""),"Yes")</f>
        <v>Yes</v>
      </c>
      <c r="V725" s="5" t="str">
        <f ca="1">IFERROR(__xludf.DUMMYFUNCTION("""COMPUTED_VALUE"""),"Yes")</f>
        <v>Yes</v>
      </c>
      <c r="W725" s="5" t="str">
        <f ca="1">IFERROR(__xludf.DUMMYFUNCTION("""COMPUTED_VALUE"""),"Yes")</f>
        <v>Yes</v>
      </c>
      <c r="X725" s="5" t="str">
        <f ca="1">IFERROR(__xludf.DUMMYFUNCTION("""COMPUTED_VALUE"""),"Yes")</f>
        <v>Yes</v>
      </c>
      <c r="Y725" s="5" t="str">
        <f ca="1">IFERROR(__xludf.DUMMYFUNCTION("""COMPUTED_VALUE"""),"Yes")</f>
        <v>Yes</v>
      </c>
      <c r="Z725" s="5" t="str">
        <f ca="1">IFERROR(__xludf.DUMMYFUNCTION("""COMPUTED_VALUE"""),"Yes")</f>
        <v>Yes</v>
      </c>
      <c r="AA725" s="5" t="str">
        <f ca="1">IFERROR(__xludf.DUMMYFUNCTION("""COMPUTED_VALUE"""),"Yes")</f>
        <v>Yes</v>
      </c>
      <c r="AB725" s="5" t="str">
        <f ca="1">IFERROR(__xludf.DUMMYFUNCTION("""COMPUTED_VALUE"""),"Yes")</f>
        <v>Yes</v>
      </c>
      <c r="AC725" s="5" t="str">
        <f ca="1">IFERROR(__xludf.DUMMYFUNCTION("""COMPUTED_VALUE"""),"Yes")</f>
        <v>Yes</v>
      </c>
      <c r="AD725" s="5" t="str">
        <f ca="1">IFERROR(__xludf.DUMMYFUNCTION("""COMPUTED_VALUE"""),"Yes")</f>
        <v>Yes</v>
      </c>
      <c r="AE725" s="5" t="str">
        <f ca="1">IFERROR(__xludf.DUMMYFUNCTION("""COMPUTED_VALUE"""),"Yes")</f>
        <v>Yes</v>
      </c>
      <c r="AF725" s="5" t="str">
        <f ca="1">IFERROR(__xludf.DUMMYFUNCTION("""COMPUTED_VALUE"""),"Yes")</f>
        <v>Yes</v>
      </c>
      <c r="AG725" s="5" t="str">
        <f ca="1">IFERROR(__xludf.DUMMYFUNCTION("""COMPUTED_VALUE"""),"Yes")</f>
        <v>Yes</v>
      </c>
      <c r="AH725" s="5" t="str">
        <f ca="1">IFERROR(__xludf.DUMMYFUNCTION("""COMPUTED_VALUE"""),"Yes")</f>
        <v>Yes</v>
      </c>
      <c r="AI725" s="5" t="str">
        <f ca="1">IFERROR(__xludf.DUMMYFUNCTION("""COMPUTED_VALUE"""),"No")</f>
        <v>No</v>
      </c>
      <c r="AJ725" s="5" t="str">
        <f ca="1">IFERROR(__xludf.DUMMYFUNCTION("""COMPUTED_VALUE"""),"No")</f>
        <v>No</v>
      </c>
      <c r="AK725" s="5" t="str">
        <f ca="1">IFERROR(__xludf.DUMMYFUNCTION("""COMPUTED_VALUE"""),"No")</f>
        <v>No</v>
      </c>
      <c r="AL725" s="5" t="str">
        <f ca="1">IFERROR(__xludf.DUMMYFUNCTION("""COMPUTED_VALUE"""),"No")</f>
        <v>No</v>
      </c>
      <c r="AM725" s="5"/>
      <c r="AN725" s="5"/>
      <c r="AO725" s="5"/>
      <c r="AP725" s="5"/>
      <c r="AQ725" s="5"/>
      <c r="AR725" s="5"/>
      <c r="AS725" s="5"/>
      <c r="AT725" s="5"/>
      <c r="AU725" s="5"/>
      <c r="AV725" s="5"/>
      <c r="AW725" s="5"/>
      <c r="AX725" s="5"/>
      <c r="AY725" s="5"/>
    </row>
    <row r="726" spans="1:51" x14ac:dyDescent="0.25">
      <c r="A7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6" s="5">
        <f ca="1">IFERROR(__xludf.DUMMYFUNCTION("""COMPUTED_VALUE"""),763)</f>
        <v>763</v>
      </c>
      <c r="C726" s="5">
        <f ca="1">IFERROR(__xludf.DUMMYFUNCTION("""COMPUTED_VALUE"""),1023)</f>
        <v>1023</v>
      </c>
      <c r="D726" s="5" t="str">
        <f ca="1">IFERROR(__xludf.DUMMYFUNCTION("""COMPUTED_VALUE"""),"Clover27")</f>
        <v>Clover27</v>
      </c>
      <c r="E726" s="5" t="str">
        <f ca="1">IFERROR(__xludf.DUMMYFUNCTION("""COMPUTED_VALUE"""),"Yes")</f>
        <v>Yes</v>
      </c>
      <c r="F726" s="5" t="str">
        <f ca="1">IFERROR(__xludf.DUMMYFUNCTION("""COMPUTED_VALUE"""),"Yes")</f>
        <v>Yes</v>
      </c>
      <c r="G726" s="5" t="str">
        <f ca="1">IFERROR(__xludf.DUMMYFUNCTION("""COMPUTED_VALUE"""),"Yes")</f>
        <v>Yes</v>
      </c>
      <c r="H726" s="5" t="str">
        <f ca="1">IFERROR(__xludf.DUMMYFUNCTION("""COMPUTED_VALUE"""),"Yes")</f>
        <v>Yes</v>
      </c>
      <c r="I726" s="5" t="str">
        <f ca="1">IFERROR(__xludf.DUMMYFUNCTION("""COMPUTED_VALUE"""),"Yes")</f>
        <v>Yes</v>
      </c>
      <c r="J726" s="5" t="str">
        <f ca="1">IFERROR(__xludf.DUMMYFUNCTION("""COMPUTED_VALUE"""),"Yes")</f>
        <v>Yes</v>
      </c>
      <c r="K726" s="5" t="str">
        <f ca="1">IFERROR(__xludf.DUMMYFUNCTION("""COMPUTED_VALUE"""),"Yes")</f>
        <v>Yes</v>
      </c>
      <c r="L726" s="5" t="str">
        <f ca="1">IFERROR(__xludf.DUMMYFUNCTION("""COMPUTED_VALUE"""),"Yes")</f>
        <v>Yes</v>
      </c>
      <c r="M726" s="5" t="str">
        <f ca="1">IFERROR(__xludf.DUMMYFUNCTION("""COMPUTED_VALUE"""),"Yes")</f>
        <v>Yes</v>
      </c>
      <c r="N726" s="5" t="str">
        <f ca="1">IFERROR(__xludf.DUMMYFUNCTION("""COMPUTED_VALUE"""),"Yes")</f>
        <v>Yes</v>
      </c>
      <c r="O726" s="5" t="str">
        <f ca="1">IFERROR(__xludf.DUMMYFUNCTION("""COMPUTED_VALUE"""),"Yes")</f>
        <v>Yes</v>
      </c>
      <c r="P726" s="5" t="str">
        <f ca="1">IFERROR(__xludf.DUMMYFUNCTION("""COMPUTED_VALUE"""),"Yes")</f>
        <v>Yes</v>
      </c>
      <c r="Q726" s="5" t="str">
        <f ca="1">IFERROR(__xludf.DUMMYFUNCTION("""COMPUTED_VALUE"""),"Yes")</f>
        <v>Yes</v>
      </c>
      <c r="R726" s="5" t="str">
        <f ca="1">IFERROR(__xludf.DUMMYFUNCTION("""COMPUTED_VALUE"""),"Yes")</f>
        <v>Yes</v>
      </c>
      <c r="S726" s="5" t="str">
        <f ca="1">IFERROR(__xludf.DUMMYFUNCTION("""COMPUTED_VALUE"""),"Yes")</f>
        <v>Yes</v>
      </c>
      <c r="T726" s="5" t="str">
        <f ca="1">IFERROR(__xludf.DUMMYFUNCTION("""COMPUTED_VALUE"""),"Yes")</f>
        <v>Yes</v>
      </c>
      <c r="U726" s="5" t="str">
        <f ca="1">IFERROR(__xludf.DUMMYFUNCTION("""COMPUTED_VALUE"""),"Yes")</f>
        <v>Yes</v>
      </c>
      <c r="V726" s="5" t="str">
        <f ca="1">IFERROR(__xludf.DUMMYFUNCTION("""COMPUTED_VALUE"""),"Yes")</f>
        <v>Yes</v>
      </c>
      <c r="W726" s="5" t="str">
        <f ca="1">IFERROR(__xludf.DUMMYFUNCTION("""COMPUTED_VALUE"""),"Yes")</f>
        <v>Yes</v>
      </c>
      <c r="X726" s="5" t="str">
        <f ca="1">IFERROR(__xludf.DUMMYFUNCTION("""COMPUTED_VALUE"""),"Yes")</f>
        <v>Yes</v>
      </c>
      <c r="Y726" s="5" t="str">
        <f ca="1">IFERROR(__xludf.DUMMYFUNCTION("""COMPUTED_VALUE"""),"Yes")</f>
        <v>Yes</v>
      </c>
      <c r="Z726" s="5" t="str">
        <f ca="1">IFERROR(__xludf.DUMMYFUNCTION("""COMPUTED_VALUE"""),"Yes")</f>
        <v>Yes</v>
      </c>
      <c r="AA726" s="5" t="str">
        <f ca="1">IFERROR(__xludf.DUMMYFUNCTION("""COMPUTED_VALUE"""),"Yes")</f>
        <v>Yes</v>
      </c>
      <c r="AB726" s="5" t="str">
        <f ca="1">IFERROR(__xludf.DUMMYFUNCTION("""COMPUTED_VALUE"""),"Yes")</f>
        <v>Yes</v>
      </c>
      <c r="AC726" s="5" t="str">
        <f ca="1">IFERROR(__xludf.DUMMYFUNCTION("""COMPUTED_VALUE"""),"Yes")</f>
        <v>Yes</v>
      </c>
      <c r="AD726" s="5" t="str">
        <f ca="1">IFERROR(__xludf.DUMMYFUNCTION("""COMPUTED_VALUE"""),"Yes")</f>
        <v>Yes</v>
      </c>
      <c r="AE726" s="5" t="str">
        <f ca="1">IFERROR(__xludf.DUMMYFUNCTION("""COMPUTED_VALUE"""),"Yes")</f>
        <v>Yes</v>
      </c>
      <c r="AF726" s="5" t="str">
        <f ca="1">IFERROR(__xludf.DUMMYFUNCTION("""COMPUTED_VALUE"""),"Yes")</f>
        <v>Yes</v>
      </c>
      <c r="AG726" s="5" t="str">
        <f ca="1">IFERROR(__xludf.DUMMYFUNCTION("""COMPUTED_VALUE"""),"Yes")</f>
        <v>Yes</v>
      </c>
      <c r="AH726" s="5" t="str">
        <f ca="1">IFERROR(__xludf.DUMMYFUNCTION("""COMPUTED_VALUE"""),"Yes")</f>
        <v>Yes</v>
      </c>
      <c r="AI726" s="5" t="str">
        <f ca="1">IFERROR(__xludf.DUMMYFUNCTION("""COMPUTED_VALUE"""),"No")</f>
        <v>No</v>
      </c>
      <c r="AJ726" s="5" t="str">
        <f ca="1">IFERROR(__xludf.DUMMYFUNCTION("""COMPUTED_VALUE"""),"No")</f>
        <v>No</v>
      </c>
      <c r="AK726" s="5" t="str">
        <f ca="1">IFERROR(__xludf.DUMMYFUNCTION("""COMPUTED_VALUE"""),"No")</f>
        <v>No</v>
      </c>
      <c r="AL726" s="5" t="str">
        <f ca="1">IFERROR(__xludf.DUMMYFUNCTION("""COMPUTED_VALUE"""),"No")</f>
        <v>No</v>
      </c>
      <c r="AM726" s="5"/>
      <c r="AN726" s="5"/>
      <c r="AO726" s="5"/>
      <c r="AP726" s="5"/>
      <c r="AQ726" s="5"/>
      <c r="AR726" s="5"/>
      <c r="AS726" s="5"/>
      <c r="AT726" s="5"/>
      <c r="AU726" s="5"/>
      <c r="AV726" s="5"/>
      <c r="AW726" s="5"/>
      <c r="AX726" s="5"/>
      <c r="AY726" s="5"/>
    </row>
    <row r="727" spans="1:51" x14ac:dyDescent="0.25">
      <c r="A727" s="5" t="str">
        <f ca="1">IFERROR(__xludf.DUMMYFUNCTION("""COMPUTED_VALUE"""),"")</f>
        <v/>
      </c>
      <c r="B727" s="5">
        <f ca="1">IFERROR(__xludf.DUMMYFUNCTION("""COMPUTED_VALUE"""),764)</f>
        <v>764</v>
      </c>
      <c r="C727" s="5">
        <f ca="1">IFERROR(__xludf.DUMMYFUNCTION("""COMPUTED_VALUE"""),-1)</f>
        <v>-1</v>
      </c>
      <c r="D727" s="5" t="str">
        <f ca="1">IFERROR(__xludf.DUMMYFUNCTION("""COMPUTED_VALUE"""),"TBD")</f>
        <v>TBD</v>
      </c>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row>
    <row r="728" spans="1:51" x14ac:dyDescent="0.25">
      <c r="A728" s="5" t="str">
        <f ca="1">IFERROR(__xludf.DUMMYFUNCTION("""COMPUTED_VALUE"""),"")</f>
        <v/>
      </c>
      <c r="B728" s="5">
        <f ca="1">IFERROR(__xludf.DUMMYFUNCTION("""COMPUTED_VALUE"""),765)</f>
        <v>765</v>
      </c>
      <c r="C728" s="5">
        <f ca="1">IFERROR(__xludf.DUMMYFUNCTION("""COMPUTED_VALUE"""),-1)</f>
        <v>-1</v>
      </c>
      <c r="D728" s="5" t="str">
        <f ca="1">IFERROR(__xludf.DUMMYFUNCTION("""COMPUTED_VALUE"""),"TBD")</f>
        <v>TBD</v>
      </c>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row>
    <row r="729" spans="1:51" x14ac:dyDescent="0.25">
      <c r="A729"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29" s="5">
        <f ca="1">IFERROR(__xludf.DUMMYFUNCTION("""COMPUTED_VALUE"""),766)</f>
        <v>766</v>
      </c>
      <c r="C729" s="5">
        <f ca="1">IFERROR(__xludf.DUMMYFUNCTION("""COMPUTED_VALUE"""),180077)</f>
        <v>180077</v>
      </c>
      <c r="D729" s="5" t="str">
        <f ca="1">IFERROR(__xludf.DUMMYFUNCTION("""COMPUTED_VALUE"""),"RedstoneXChilliHot")</f>
        <v>RedstoneXChilliHot</v>
      </c>
      <c r="E729" s="5" t="str">
        <f ca="1">IFERROR(__xludf.DUMMYFUNCTION("""COMPUTED_VALUE"""),"Yes")</f>
        <v>Yes</v>
      </c>
      <c r="F729" s="5" t="str">
        <f ca="1">IFERROR(__xludf.DUMMYFUNCTION("""COMPUTED_VALUE"""),"Yes")</f>
        <v>Yes</v>
      </c>
      <c r="G729" s="5" t="str">
        <f ca="1">IFERROR(__xludf.DUMMYFUNCTION("""COMPUTED_VALUE"""),"Yes")</f>
        <v>Yes</v>
      </c>
      <c r="H729" s="5" t="str">
        <f ca="1">IFERROR(__xludf.DUMMYFUNCTION("""COMPUTED_VALUE"""),"Yes")</f>
        <v>Yes</v>
      </c>
      <c r="I729" s="5" t="str">
        <f ca="1">IFERROR(__xludf.DUMMYFUNCTION("""COMPUTED_VALUE"""),"Yes")</f>
        <v>Yes</v>
      </c>
      <c r="J729" s="5" t="str">
        <f ca="1">IFERROR(__xludf.DUMMYFUNCTION("""COMPUTED_VALUE"""),"Yes")</f>
        <v>Yes</v>
      </c>
      <c r="K729" s="5" t="str">
        <f ca="1">IFERROR(__xludf.DUMMYFUNCTION("""COMPUTED_VALUE"""),"Yes")</f>
        <v>Yes</v>
      </c>
      <c r="L729" s="5" t="str">
        <f ca="1">IFERROR(__xludf.DUMMYFUNCTION("""COMPUTED_VALUE"""),"Yes")</f>
        <v>Yes</v>
      </c>
      <c r="M729" s="5" t="str">
        <f ca="1">IFERROR(__xludf.DUMMYFUNCTION("""COMPUTED_VALUE"""),"Yes")</f>
        <v>Yes</v>
      </c>
      <c r="N729" s="5" t="str">
        <f ca="1">IFERROR(__xludf.DUMMYFUNCTION("""COMPUTED_VALUE"""),"Yes")</f>
        <v>Yes</v>
      </c>
      <c r="O729" s="5" t="str">
        <f ca="1">IFERROR(__xludf.DUMMYFUNCTION("""COMPUTED_VALUE"""),"Yes")</f>
        <v>Yes</v>
      </c>
      <c r="P729" s="5" t="str">
        <f ca="1">IFERROR(__xludf.DUMMYFUNCTION("""COMPUTED_VALUE"""),"Yes")</f>
        <v>Yes</v>
      </c>
      <c r="Q729" s="5" t="str">
        <f ca="1">IFERROR(__xludf.DUMMYFUNCTION("""COMPUTED_VALUE"""),"Yes")</f>
        <v>Yes</v>
      </c>
      <c r="R729" s="5" t="str">
        <f ca="1">IFERROR(__xludf.DUMMYFUNCTION("""COMPUTED_VALUE"""),"Yes")</f>
        <v>Yes</v>
      </c>
      <c r="S729" s="5" t="str">
        <f ca="1">IFERROR(__xludf.DUMMYFUNCTION("""COMPUTED_VALUE"""),"Yes")</f>
        <v>Yes</v>
      </c>
      <c r="T729" s="5" t="str">
        <f ca="1">IFERROR(__xludf.DUMMYFUNCTION("""COMPUTED_VALUE"""),"No")</f>
        <v>No</v>
      </c>
      <c r="U729" s="5" t="str">
        <f ca="1">IFERROR(__xludf.DUMMYFUNCTION("""COMPUTED_VALUE"""),"No")</f>
        <v>No</v>
      </c>
      <c r="V729" s="5" t="str">
        <f ca="1">IFERROR(__xludf.DUMMYFUNCTION("""COMPUTED_VALUE"""),"No")</f>
        <v>No</v>
      </c>
      <c r="W729" s="5" t="str">
        <f ca="1">IFERROR(__xludf.DUMMYFUNCTION("""COMPUTED_VALUE"""),"No")</f>
        <v>No</v>
      </c>
      <c r="X729" s="5" t="str">
        <f ca="1">IFERROR(__xludf.DUMMYFUNCTION("""COMPUTED_VALUE"""),"No")</f>
        <v>No</v>
      </c>
      <c r="Y729" s="5" t="str">
        <f ca="1">IFERROR(__xludf.DUMMYFUNCTION("""COMPUTED_VALUE"""),"No")</f>
        <v>No</v>
      </c>
      <c r="Z729" s="5" t="str">
        <f ca="1">IFERROR(__xludf.DUMMYFUNCTION("""COMPUTED_VALUE"""),"No")</f>
        <v>No</v>
      </c>
      <c r="AA729" s="5" t="str">
        <f ca="1">IFERROR(__xludf.DUMMYFUNCTION("""COMPUTED_VALUE"""),"Yes")</f>
        <v>Yes</v>
      </c>
      <c r="AB729" s="5" t="str">
        <f ca="1">IFERROR(__xludf.DUMMYFUNCTION("""COMPUTED_VALUE"""),"No")</f>
        <v>No</v>
      </c>
      <c r="AC729" s="5" t="str">
        <f ca="1">IFERROR(__xludf.DUMMYFUNCTION("""COMPUTED_VALUE"""),"No")</f>
        <v>No</v>
      </c>
      <c r="AD729" s="5" t="str">
        <f ca="1">IFERROR(__xludf.DUMMYFUNCTION("""COMPUTED_VALUE"""),"No")</f>
        <v>No</v>
      </c>
      <c r="AE729" s="5" t="str">
        <f ca="1">IFERROR(__xludf.DUMMYFUNCTION("""COMPUTED_VALUE"""),"No")</f>
        <v>No</v>
      </c>
      <c r="AF729" s="5" t="str">
        <f ca="1">IFERROR(__xludf.DUMMYFUNCTION("""COMPUTED_VALUE"""),"Yes")</f>
        <v>Yes</v>
      </c>
      <c r="AG729" s="5" t="str">
        <f ca="1">IFERROR(__xludf.DUMMYFUNCTION("""COMPUTED_VALUE"""),"No")</f>
        <v>No</v>
      </c>
      <c r="AH729" s="5" t="str">
        <f ca="1">IFERROR(__xludf.DUMMYFUNCTION("""COMPUTED_VALUE"""),"Yes")</f>
        <v>Yes</v>
      </c>
      <c r="AI729" s="5" t="str">
        <f ca="1">IFERROR(__xludf.DUMMYFUNCTION("""COMPUTED_VALUE"""),"No")</f>
        <v>No</v>
      </c>
      <c r="AJ729" s="5" t="str">
        <f ca="1">IFERROR(__xludf.DUMMYFUNCTION("""COMPUTED_VALUE"""),"No")</f>
        <v>No</v>
      </c>
      <c r="AK729" s="5" t="str">
        <f ca="1">IFERROR(__xludf.DUMMYFUNCTION("""COMPUTED_VALUE"""),"No")</f>
        <v>No</v>
      </c>
      <c r="AL729" s="5" t="str">
        <f ca="1">IFERROR(__xludf.DUMMYFUNCTION("""COMPUTED_VALUE"""),"No")</f>
        <v>No</v>
      </c>
      <c r="AM729" s="5"/>
      <c r="AN729" s="5"/>
      <c r="AO729" s="5"/>
      <c r="AP729" s="5"/>
      <c r="AQ729" s="5"/>
      <c r="AR729" s="5"/>
      <c r="AS729" s="5"/>
      <c r="AT729" s="5"/>
      <c r="AU729" s="5"/>
      <c r="AV729" s="5"/>
      <c r="AW729" s="5"/>
      <c r="AX729" s="5"/>
      <c r="AY729" s="5"/>
    </row>
    <row r="730" spans="1:51" x14ac:dyDescent="0.25">
      <c r="A730"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0" s="5">
        <f ca="1">IFERROR(__xludf.DUMMYFUNCTION("""COMPUTED_VALUE"""),767)</f>
        <v>767</v>
      </c>
      <c r="C730" s="5">
        <f ca="1">IFERROR(__xludf.DUMMYFUNCTION("""COMPUTED_VALUE"""),180078)</f>
        <v>180078</v>
      </c>
      <c r="D730" s="5" t="str">
        <f ca="1">IFERROR(__xludf.DUMMYFUNCTION("""COMPUTED_VALUE"""),"RedstoneXCrownFire")</f>
        <v>RedstoneXCrownFire</v>
      </c>
      <c r="E730" s="5" t="str">
        <f ca="1">IFERROR(__xludf.DUMMYFUNCTION("""COMPUTED_VALUE"""),"Yes")</f>
        <v>Yes</v>
      </c>
      <c r="F730" s="5" t="str">
        <f ca="1">IFERROR(__xludf.DUMMYFUNCTION("""COMPUTED_VALUE"""),"Yes")</f>
        <v>Yes</v>
      </c>
      <c r="G730" s="5" t="str">
        <f ca="1">IFERROR(__xludf.DUMMYFUNCTION("""COMPUTED_VALUE"""),"Yes")</f>
        <v>Yes</v>
      </c>
      <c r="H730" s="5" t="str">
        <f ca="1">IFERROR(__xludf.DUMMYFUNCTION("""COMPUTED_VALUE"""),"Yes")</f>
        <v>Yes</v>
      </c>
      <c r="I730" s="5" t="str">
        <f ca="1">IFERROR(__xludf.DUMMYFUNCTION("""COMPUTED_VALUE"""),"Yes")</f>
        <v>Yes</v>
      </c>
      <c r="J730" s="5" t="str">
        <f ca="1">IFERROR(__xludf.DUMMYFUNCTION("""COMPUTED_VALUE"""),"Yes")</f>
        <v>Yes</v>
      </c>
      <c r="K730" s="5" t="str">
        <f ca="1">IFERROR(__xludf.DUMMYFUNCTION("""COMPUTED_VALUE"""),"Yes")</f>
        <v>Yes</v>
      </c>
      <c r="L730" s="5" t="str">
        <f ca="1">IFERROR(__xludf.DUMMYFUNCTION("""COMPUTED_VALUE"""),"Yes")</f>
        <v>Yes</v>
      </c>
      <c r="M730" s="5" t="str">
        <f ca="1">IFERROR(__xludf.DUMMYFUNCTION("""COMPUTED_VALUE"""),"Yes")</f>
        <v>Yes</v>
      </c>
      <c r="N730" s="5" t="str">
        <f ca="1">IFERROR(__xludf.DUMMYFUNCTION("""COMPUTED_VALUE"""),"Yes")</f>
        <v>Yes</v>
      </c>
      <c r="O730" s="5" t="str">
        <f ca="1">IFERROR(__xludf.DUMMYFUNCTION("""COMPUTED_VALUE"""),"Yes")</f>
        <v>Yes</v>
      </c>
      <c r="P730" s="5" t="str">
        <f ca="1">IFERROR(__xludf.DUMMYFUNCTION("""COMPUTED_VALUE"""),"Yes")</f>
        <v>Yes</v>
      </c>
      <c r="Q730" s="5" t="str">
        <f ca="1">IFERROR(__xludf.DUMMYFUNCTION("""COMPUTED_VALUE"""),"Yes")</f>
        <v>Yes</v>
      </c>
      <c r="R730" s="5" t="str">
        <f ca="1">IFERROR(__xludf.DUMMYFUNCTION("""COMPUTED_VALUE"""),"Yes")</f>
        <v>Yes</v>
      </c>
      <c r="S730" s="5" t="str">
        <f ca="1">IFERROR(__xludf.DUMMYFUNCTION("""COMPUTED_VALUE"""),"Yes")</f>
        <v>Yes</v>
      </c>
      <c r="T730" s="5" t="str">
        <f ca="1">IFERROR(__xludf.DUMMYFUNCTION("""COMPUTED_VALUE"""),"No")</f>
        <v>No</v>
      </c>
      <c r="U730" s="5" t="str">
        <f ca="1">IFERROR(__xludf.DUMMYFUNCTION("""COMPUTED_VALUE"""),"No")</f>
        <v>No</v>
      </c>
      <c r="V730" s="5" t="str">
        <f ca="1">IFERROR(__xludf.DUMMYFUNCTION("""COMPUTED_VALUE"""),"No")</f>
        <v>No</v>
      </c>
      <c r="W730" s="5" t="str">
        <f ca="1">IFERROR(__xludf.DUMMYFUNCTION("""COMPUTED_VALUE"""),"No")</f>
        <v>No</v>
      </c>
      <c r="X730" s="5" t="str">
        <f ca="1">IFERROR(__xludf.DUMMYFUNCTION("""COMPUTED_VALUE"""),"No")</f>
        <v>No</v>
      </c>
      <c r="Y730" s="5" t="str">
        <f ca="1">IFERROR(__xludf.DUMMYFUNCTION("""COMPUTED_VALUE"""),"No")</f>
        <v>No</v>
      </c>
      <c r="Z730" s="5" t="str">
        <f ca="1">IFERROR(__xludf.DUMMYFUNCTION("""COMPUTED_VALUE"""),"No")</f>
        <v>No</v>
      </c>
      <c r="AA730" s="5" t="str">
        <f ca="1">IFERROR(__xludf.DUMMYFUNCTION("""COMPUTED_VALUE"""),"Yes")</f>
        <v>Yes</v>
      </c>
      <c r="AB730" s="5" t="str">
        <f ca="1">IFERROR(__xludf.DUMMYFUNCTION("""COMPUTED_VALUE"""),"No")</f>
        <v>No</v>
      </c>
      <c r="AC730" s="5" t="str">
        <f ca="1">IFERROR(__xludf.DUMMYFUNCTION("""COMPUTED_VALUE"""),"No")</f>
        <v>No</v>
      </c>
      <c r="AD730" s="5" t="str">
        <f ca="1">IFERROR(__xludf.DUMMYFUNCTION("""COMPUTED_VALUE"""),"No")</f>
        <v>No</v>
      </c>
      <c r="AE730" s="5" t="str">
        <f ca="1">IFERROR(__xludf.DUMMYFUNCTION("""COMPUTED_VALUE"""),"No")</f>
        <v>No</v>
      </c>
      <c r="AF730" s="5" t="str">
        <f ca="1">IFERROR(__xludf.DUMMYFUNCTION("""COMPUTED_VALUE"""),"Yes")</f>
        <v>Yes</v>
      </c>
      <c r="AG730" s="5" t="str">
        <f ca="1">IFERROR(__xludf.DUMMYFUNCTION("""COMPUTED_VALUE"""),"No")</f>
        <v>No</v>
      </c>
      <c r="AH730" s="5" t="str">
        <f ca="1">IFERROR(__xludf.DUMMYFUNCTION("""COMPUTED_VALUE"""),"Yes")</f>
        <v>Yes</v>
      </c>
      <c r="AI730" s="5" t="str">
        <f ca="1">IFERROR(__xludf.DUMMYFUNCTION("""COMPUTED_VALUE"""),"No")</f>
        <v>No</v>
      </c>
      <c r="AJ730" s="5" t="str">
        <f ca="1">IFERROR(__xludf.DUMMYFUNCTION("""COMPUTED_VALUE"""),"No")</f>
        <v>No</v>
      </c>
      <c r="AK730" s="5" t="str">
        <f ca="1">IFERROR(__xludf.DUMMYFUNCTION("""COMPUTED_VALUE"""),"No")</f>
        <v>No</v>
      </c>
      <c r="AL730" s="5" t="str">
        <f ca="1">IFERROR(__xludf.DUMMYFUNCTION("""COMPUTED_VALUE"""),"No")</f>
        <v>No</v>
      </c>
      <c r="AM730" s="5"/>
      <c r="AN730" s="5"/>
      <c r="AO730" s="5"/>
      <c r="AP730" s="5"/>
      <c r="AQ730" s="5"/>
      <c r="AR730" s="5"/>
      <c r="AS730" s="5"/>
      <c r="AT730" s="5"/>
      <c r="AU730" s="5"/>
      <c r="AV730" s="5"/>
      <c r="AW730" s="5"/>
      <c r="AX730" s="5"/>
      <c r="AY730" s="5"/>
    </row>
    <row r="731" spans="1:51" x14ac:dyDescent="0.25">
      <c r="A731"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1" s="5">
        <f ca="1">IFERROR(__xludf.DUMMYFUNCTION("""COMPUTED_VALUE"""),768)</f>
        <v>768</v>
      </c>
      <c r="C731" s="5">
        <f ca="1">IFERROR(__xludf.DUMMYFUNCTION("""COMPUTED_VALUE"""),180079)</f>
        <v>180079</v>
      </c>
      <c r="D731" s="5" t="str">
        <f ca="1">IFERROR(__xludf.DUMMYFUNCTION("""COMPUTED_VALUE"""),"Redstone10CloverDeluxe")</f>
        <v>Redstone10CloverDeluxe</v>
      </c>
      <c r="E731" s="5" t="str">
        <f ca="1">IFERROR(__xludf.DUMMYFUNCTION("""COMPUTED_VALUE"""),"Yes")</f>
        <v>Yes</v>
      </c>
      <c r="F731" s="5" t="str">
        <f ca="1">IFERROR(__xludf.DUMMYFUNCTION("""COMPUTED_VALUE"""),"Yes")</f>
        <v>Yes</v>
      </c>
      <c r="G731" s="5" t="str">
        <f ca="1">IFERROR(__xludf.DUMMYFUNCTION("""COMPUTED_VALUE"""),"Yes")</f>
        <v>Yes</v>
      </c>
      <c r="H731" s="5" t="str">
        <f ca="1">IFERROR(__xludf.DUMMYFUNCTION("""COMPUTED_VALUE"""),"Yes")</f>
        <v>Yes</v>
      </c>
      <c r="I731" s="5" t="str">
        <f ca="1">IFERROR(__xludf.DUMMYFUNCTION("""COMPUTED_VALUE"""),"Yes")</f>
        <v>Yes</v>
      </c>
      <c r="J731" s="5" t="str">
        <f ca="1">IFERROR(__xludf.DUMMYFUNCTION("""COMPUTED_VALUE"""),"Yes")</f>
        <v>Yes</v>
      </c>
      <c r="K731" s="5" t="str">
        <f ca="1">IFERROR(__xludf.DUMMYFUNCTION("""COMPUTED_VALUE"""),"Yes")</f>
        <v>Yes</v>
      </c>
      <c r="L731" s="5" t="str">
        <f ca="1">IFERROR(__xludf.DUMMYFUNCTION("""COMPUTED_VALUE"""),"Yes")</f>
        <v>Yes</v>
      </c>
      <c r="M731" s="5" t="str">
        <f ca="1">IFERROR(__xludf.DUMMYFUNCTION("""COMPUTED_VALUE"""),"Yes")</f>
        <v>Yes</v>
      </c>
      <c r="N731" s="5" t="str">
        <f ca="1">IFERROR(__xludf.DUMMYFUNCTION("""COMPUTED_VALUE"""),"Yes")</f>
        <v>Yes</v>
      </c>
      <c r="O731" s="5" t="str">
        <f ca="1">IFERROR(__xludf.DUMMYFUNCTION("""COMPUTED_VALUE"""),"Yes")</f>
        <v>Yes</v>
      </c>
      <c r="P731" s="5" t="str">
        <f ca="1">IFERROR(__xludf.DUMMYFUNCTION("""COMPUTED_VALUE"""),"Yes")</f>
        <v>Yes</v>
      </c>
      <c r="Q731" s="5" t="str">
        <f ca="1">IFERROR(__xludf.DUMMYFUNCTION("""COMPUTED_VALUE"""),"Yes")</f>
        <v>Yes</v>
      </c>
      <c r="R731" s="5" t="str">
        <f ca="1">IFERROR(__xludf.DUMMYFUNCTION("""COMPUTED_VALUE"""),"Yes")</f>
        <v>Yes</v>
      </c>
      <c r="S731" s="5" t="str">
        <f ca="1">IFERROR(__xludf.DUMMYFUNCTION("""COMPUTED_VALUE"""),"Yes")</f>
        <v>Yes</v>
      </c>
      <c r="T731" s="5" t="str">
        <f ca="1">IFERROR(__xludf.DUMMYFUNCTION("""COMPUTED_VALUE"""),"No")</f>
        <v>No</v>
      </c>
      <c r="U731" s="5" t="str">
        <f ca="1">IFERROR(__xludf.DUMMYFUNCTION("""COMPUTED_VALUE"""),"No")</f>
        <v>No</v>
      </c>
      <c r="V731" s="5" t="str">
        <f ca="1">IFERROR(__xludf.DUMMYFUNCTION("""COMPUTED_VALUE"""),"No")</f>
        <v>No</v>
      </c>
      <c r="W731" s="5" t="str">
        <f ca="1">IFERROR(__xludf.DUMMYFUNCTION("""COMPUTED_VALUE"""),"No")</f>
        <v>No</v>
      </c>
      <c r="X731" s="5" t="str">
        <f ca="1">IFERROR(__xludf.DUMMYFUNCTION("""COMPUTED_VALUE"""),"No")</f>
        <v>No</v>
      </c>
      <c r="Y731" s="5" t="str">
        <f ca="1">IFERROR(__xludf.DUMMYFUNCTION("""COMPUTED_VALUE"""),"No")</f>
        <v>No</v>
      </c>
      <c r="Z731" s="5" t="str">
        <f ca="1">IFERROR(__xludf.DUMMYFUNCTION("""COMPUTED_VALUE"""),"No")</f>
        <v>No</v>
      </c>
      <c r="AA731" s="5" t="str">
        <f ca="1">IFERROR(__xludf.DUMMYFUNCTION("""COMPUTED_VALUE"""),"Yes")</f>
        <v>Yes</v>
      </c>
      <c r="AB731" s="5" t="str">
        <f ca="1">IFERROR(__xludf.DUMMYFUNCTION("""COMPUTED_VALUE"""),"No")</f>
        <v>No</v>
      </c>
      <c r="AC731" s="5" t="str">
        <f ca="1">IFERROR(__xludf.DUMMYFUNCTION("""COMPUTED_VALUE"""),"No")</f>
        <v>No</v>
      </c>
      <c r="AD731" s="5" t="str">
        <f ca="1">IFERROR(__xludf.DUMMYFUNCTION("""COMPUTED_VALUE"""),"No")</f>
        <v>No</v>
      </c>
      <c r="AE731" s="5" t="str">
        <f ca="1">IFERROR(__xludf.DUMMYFUNCTION("""COMPUTED_VALUE"""),"No")</f>
        <v>No</v>
      </c>
      <c r="AF731" s="5" t="str">
        <f ca="1">IFERROR(__xludf.DUMMYFUNCTION("""COMPUTED_VALUE"""),"Yes")</f>
        <v>Yes</v>
      </c>
      <c r="AG731" s="5" t="str">
        <f ca="1">IFERROR(__xludf.DUMMYFUNCTION("""COMPUTED_VALUE"""),"No")</f>
        <v>No</v>
      </c>
      <c r="AH731" s="5" t="str">
        <f ca="1">IFERROR(__xludf.DUMMYFUNCTION("""COMPUTED_VALUE"""),"Yes")</f>
        <v>Yes</v>
      </c>
      <c r="AI731" s="5" t="str">
        <f ca="1">IFERROR(__xludf.DUMMYFUNCTION("""COMPUTED_VALUE"""),"No")</f>
        <v>No</v>
      </c>
      <c r="AJ731" s="5" t="str">
        <f ca="1">IFERROR(__xludf.DUMMYFUNCTION("""COMPUTED_VALUE"""),"No")</f>
        <v>No</v>
      </c>
      <c r="AK731" s="5" t="str">
        <f ca="1">IFERROR(__xludf.DUMMYFUNCTION("""COMPUTED_VALUE"""),"No")</f>
        <v>No</v>
      </c>
      <c r="AL731" s="5" t="str">
        <f ca="1">IFERROR(__xludf.DUMMYFUNCTION("""COMPUTED_VALUE"""),"No")</f>
        <v>No</v>
      </c>
      <c r="AM731" s="5"/>
      <c r="AN731" s="5"/>
      <c r="AO731" s="5"/>
      <c r="AP731" s="5"/>
      <c r="AQ731" s="5"/>
      <c r="AR731" s="5"/>
      <c r="AS731" s="5"/>
      <c r="AT731" s="5"/>
      <c r="AU731" s="5"/>
      <c r="AV731" s="5"/>
      <c r="AW731" s="5"/>
      <c r="AX731" s="5"/>
      <c r="AY731" s="5"/>
    </row>
    <row r="732" spans="1:51" x14ac:dyDescent="0.25">
      <c r="A732"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2" s="5">
        <f ca="1">IFERROR(__xludf.DUMMYFUNCTION("""COMPUTED_VALUE"""),769)</f>
        <v>769</v>
      </c>
      <c r="C732" s="5">
        <f ca="1">IFERROR(__xludf.DUMMYFUNCTION("""COMPUTED_VALUE"""),180080)</f>
        <v>180080</v>
      </c>
      <c r="D732" s="5" t="str">
        <f ca="1">IFERROR(__xludf.DUMMYFUNCTION("""COMPUTED_VALUE"""),"Redstone10CrownDeluxe")</f>
        <v>Redstone10CrownDeluxe</v>
      </c>
      <c r="E732" s="5" t="str">
        <f ca="1">IFERROR(__xludf.DUMMYFUNCTION("""COMPUTED_VALUE"""),"Yes")</f>
        <v>Yes</v>
      </c>
      <c r="F732" s="5" t="str">
        <f ca="1">IFERROR(__xludf.DUMMYFUNCTION("""COMPUTED_VALUE"""),"Yes")</f>
        <v>Yes</v>
      </c>
      <c r="G732" s="5" t="str">
        <f ca="1">IFERROR(__xludf.DUMMYFUNCTION("""COMPUTED_VALUE"""),"Yes")</f>
        <v>Yes</v>
      </c>
      <c r="H732" s="5" t="str">
        <f ca="1">IFERROR(__xludf.DUMMYFUNCTION("""COMPUTED_VALUE"""),"Yes")</f>
        <v>Yes</v>
      </c>
      <c r="I732" s="5" t="str">
        <f ca="1">IFERROR(__xludf.DUMMYFUNCTION("""COMPUTED_VALUE"""),"Yes")</f>
        <v>Yes</v>
      </c>
      <c r="J732" s="5" t="str">
        <f ca="1">IFERROR(__xludf.DUMMYFUNCTION("""COMPUTED_VALUE"""),"Yes")</f>
        <v>Yes</v>
      </c>
      <c r="K732" s="5" t="str">
        <f ca="1">IFERROR(__xludf.DUMMYFUNCTION("""COMPUTED_VALUE"""),"Yes")</f>
        <v>Yes</v>
      </c>
      <c r="L732" s="5" t="str">
        <f ca="1">IFERROR(__xludf.DUMMYFUNCTION("""COMPUTED_VALUE"""),"Yes")</f>
        <v>Yes</v>
      </c>
      <c r="M732" s="5" t="str">
        <f ca="1">IFERROR(__xludf.DUMMYFUNCTION("""COMPUTED_VALUE"""),"Yes")</f>
        <v>Yes</v>
      </c>
      <c r="N732" s="5" t="str">
        <f ca="1">IFERROR(__xludf.DUMMYFUNCTION("""COMPUTED_VALUE"""),"Yes")</f>
        <v>Yes</v>
      </c>
      <c r="O732" s="5" t="str">
        <f ca="1">IFERROR(__xludf.DUMMYFUNCTION("""COMPUTED_VALUE"""),"Yes")</f>
        <v>Yes</v>
      </c>
      <c r="P732" s="5" t="str">
        <f ca="1">IFERROR(__xludf.DUMMYFUNCTION("""COMPUTED_VALUE"""),"Yes")</f>
        <v>Yes</v>
      </c>
      <c r="Q732" s="5" t="str">
        <f ca="1">IFERROR(__xludf.DUMMYFUNCTION("""COMPUTED_VALUE"""),"Yes")</f>
        <v>Yes</v>
      </c>
      <c r="R732" s="5" t="str">
        <f ca="1">IFERROR(__xludf.DUMMYFUNCTION("""COMPUTED_VALUE"""),"Yes")</f>
        <v>Yes</v>
      </c>
      <c r="S732" s="5" t="str">
        <f ca="1">IFERROR(__xludf.DUMMYFUNCTION("""COMPUTED_VALUE"""),"Yes")</f>
        <v>Yes</v>
      </c>
      <c r="T732" s="5" t="str">
        <f ca="1">IFERROR(__xludf.DUMMYFUNCTION("""COMPUTED_VALUE"""),"No")</f>
        <v>No</v>
      </c>
      <c r="U732" s="5" t="str">
        <f ca="1">IFERROR(__xludf.DUMMYFUNCTION("""COMPUTED_VALUE"""),"No")</f>
        <v>No</v>
      </c>
      <c r="V732" s="5" t="str">
        <f ca="1">IFERROR(__xludf.DUMMYFUNCTION("""COMPUTED_VALUE"""),"No")</f>
        <v>No</v>
      </c>
      <c r="W732" s="5" t="str">
        <f ca="1">IFERROR(__xludf.DUMMYFUNCTION("""COMPUTED_VALUE"""),"No")</f>
        <v>No</v>
      </c>
      <c r="X732" s="5" t="str">
        <f ca="1">IFERROR(__xludf.DUMMYFUNCTION("""COMPUTED_VALUE"""),"No")</f>
        <v>No</v>
      </c>
      <c r="Y732" s="5" t="str">
        <f ca="1">IFERROR(__xludf.DUMMYFUNCTION("""COMPUTED_VALUE"""),"No")</f>
        <v>No</v>
      </c>
      <c r="Z732" s="5" t="str">
        <f ca="1">IFERROR(__xludf.DUMMYFUNCTION("""COMPUTED_VALUE"""),"No")</f>
        <v>No</v>
      </c>
      <c r="AA732" s="5" t="str">
        <f ca="1">IFERROR(__xludf.DUMMYFUNCTION("""COMPUTED_VALUE"""),"Yes")</f>
        <v>Yes</v>
      </c>
      <c r="AB732" s="5" t="str">
        <f ca="1">IFERROR(__xludf.DUMMYFUNCTION("""COMPUTED_VALUE"""),"No")</f>
        <v>No</v>
      </c>
      <c r="AC732" s="5" t="str">
        <f ca="1">IFERROR(__xludf.DUMMYFUNCTION("""COMPUTED_VALUE"""),"No")</f>
        <v>No</v>
      </c>
      <c r="AD732" s="5" t="str">
        <f ca="1">IFERROR(__xludf.DUMMYFUNCTION("""COMPUTED_VALUE"""),"No")</f>
        <v>No</v>
      </c>
      <c r="AE732" s="5" t="str">
        <f ca="1">IFERROR(__xludf.DUMMYFUNCTION("""COMPUTED_VALUE"""),"No")</f>
        <v>No</v>
      </c>
      <c r="AF732" s="5" t="str">
        <f ca="1">IFERROR(__xludf.DUMMYFUNCTION("""COMPUTED_VALUE"""),"Yes")</f>
        <v>Yes</v>
      </c>
      <c r="AG732" s="5" t="str">
        <f ca="1">IFERROR(__xludf.DUMMYFUNCTION("""COMPUTED_VALUE"""),"No")</f>
        <v>No</v>
      </c>
      <c r="AH732" s="5" t="str">
        <f ca="1">IFERROR(__xludf.DUMMYFUNCTION("""COMPUTED_VALUE"""),"Yes")</f>
        <v>Yes</v>
      </c>
      <c r="AI732" s="5" t="str">
        <f ca="1">IFERROR(__xludf.DUMMYFUNCTION("""COMPUTED_VALUE"""),"No")</f>
        <v>No</v>
      </c>
      <c r="AJ732" s="5" t="str">
        <f ca="1">IFERROR(__xludf.DUMMYFUNCTION("""COMPUTED_VALUE"""),"No")</f>
        <v>No</v>
      </c>
      <c r="AK732" s="5" t="str">
        <f ca="1">IFERROR(__xludf.DUMMYFUNCTION("""COMPUTED_VALUE"""),"No")</f>
        <v>No</v>
      </c>
      <c r="AL732" s="5" t="str">
        <f ca="1">IFERROR(__xludf.DUMMYFUNCTION("""COMPUTED_VALUE"""),"No")</f>
        <v>No</v>
      </c>
      <c r="AM732" s="5"/>
      <c r="AN732" s="5"/>
      <c r="AO732" s="5"/>
      <c r="AP732" s="5"/>
      <c r="AQ732" s="5"/>
      <c r="AR732" s="5"/>
      <c r="AS732" s="5"/>
      <c r="AT732" s="5"/>
      <c r="AU732" s="5"/>
      <c r="AV732" s="5"/>
      <c r="AW732" s="5"/>
      <c r="AX732" s="5"/>
      <c r="AY732" s="5"/>
    </row>
    <row r="733" spans="1:51" x14ac:dyDescent="0.25">
      <c r="A733"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3" s="5">
        <f ca="1">IFERROR(__xludf.DUMMYFUNCTION("""COMPUTED_VALUE"""),770)</f>
        <v>770</v>
      </c>
      <c r="C733" s="5">
        <f ca="1">IFERROR(__xludf.DUMMYFUNCTION("""COMPUTED_VALUE"""),180081)</f>
        <v>180081</v>
      </c>
      <c r="D733" s="5" t="str">
        <f ca="1">IFERROR(__xludf.DUMMYFUNCTION("""COMPUTED_VALUE"""),"Redstone10HeartDeluxe")</f>
        <v>Redstone10HeartDeluxe</v>
      </c>
      <c r="E733" s="5" t="str">
        <f ca="1">IFERROR(__xludf.DUMMYFUNCTION("""COMPUTED_VALUE"""),"Yes")</f>
        <v>Yes</v>
      </c>
      <c r="F733" s="5" t="str">
        <f ca="1">IFERROR(__xludf.DUMMYFUNCTION("""COMPUTED_VALUE"""),"Yes")</f>
        <v>Yes</v>
      </c>
      <c r="G733" s="5" t="str">
        <f ca="1">IFERROR(__xludf.DUMMYFUNCTION("""COMPUTED_VALUE"""),"Yes")</f>
        <v>Yes</v>
      </c>
      <c r="H733" s="5" t="str">
        <f ca="1">IFERROR(__xludf.DUMMYFUNCTION("""COMPUTED_VALUE"""),"Yes")</f>
        <v>Yes</v>
      </c>
      <c r="I733" s="5" t="str">
        <f ca="1">IFERROR(__xludf.DUMMYFUNCTION("""COMPUTED_VALUE"""),"Yes")</f>
        <v>Yes</v>
      </c>
      <c r="J733" s="5" t="str">
        <f ca="1">IFERROR(__xludf.DUMMYFUNCTION("""COMPUTED_VALUE"""),"Yes")</f>
        <v>Yes</v>
      </c>
      <c r="K733" s="5" t="str">
        <f ca="1">IFERROR(__xludf.DUMMYFUNCTION("""COMPUTED_VALUE"""),"Yes")</f>
        <v>Yes</v>
      </c>
      <c r="L733" s="5" t="str">
        <f ca="1">IFERROR(__xludf.DUMMYFUNCTION("""COMPUTED_VALUE"""),"Yes")</f>
        <v>Yes</v>
      </c>
      <c r="M733" s="5" t="str">
        <f ca="1">IFERROR(__xludf.DUMMYFUNCTION("""COMPUTED_VALUE"""),"Yes")</f>
        <v>Yes</v>
      </c>
      <c r="N733" s="5" t="str">
        <f ca="1">IFERROR(__xludf.DUMMYFUNCTION("""COMPUTED_VALUE"""),"Yes")</f>
        <v>Yes</v>
      </c>
      <c r="O733" s="5" t="str">
        <f ca="1">IFERROR(__xludf.DUMMYFUNCTION("""COMPUTED_VALUE"""),"Yes")</f>
        <v>Yes</v>
      </c>
      <c r="P733" s="5" t="str">
        <f ca="1">IFERROR(__xludf.DUMMYFUNCTION("""COMPUTED_VALUE"""),"Yes")</f>
        <v>Yes</v>
      </c>
      <c r="Q733" s="5" t="str">
        <f ca="1">IFERROR(__xludf.DUMMYFUNCTION("""COMPUTED_VALUE"""),"Yes")</f>
        <v>Yes</v>
      </c>
      <c r="R733" s="5" t="str">
        <f ca="1">IFERROR(__xludf.DUMMYFUNCTION("""COMPUTED_VALUE"""),"Yes")</f>
        <v>Yes</v>
      </c>
      <c r="S733" s="5" t="str">
        <f ca="1">IFERROR(__xludf.DUMMYFUNCTION("""COMPUTED_VALUE"""),"Yes")</f>
        <v>Yes</v>
      </c>
      <c r="T733" s="5" t="str">
        <f ca="1">IFERROR(__xludf.DUMMYFUNCTION("""COMPUTED_VALUE"""),"No")</f>
        <v>No</v>
      </c>
      <c r="U733" s="5" t="str">
        <f ca="1">IFERROR(__xludf.DUMMYFUNCTION("""COMPUTED_VALUE"""),"No")</f>
        <v>No</v>
      </c>
      <c r="V733" s="5" t="str">
        <f ca="1">IFERROR(__xludf.DUMMYFUNCTION("""COMPUTED_VALUE"""),"No")</f>
        <v>No</v>
      </c>
      <c r="W733" s="5" t="str">
        <f ca="1">IFERROR(__xludf.DUMMYFUNCTION("""COMPUTED_VALUE"""),"No")</f>
        <v>No</v>
      </c>
      <c r="X733" s="5" t="str">
        <f ca="1">IFERROR(__xludf.DUMMYFUNCTION("""COMPUTED_VALUE"""),"No")</f>
        <v>No</v>
      </c>
      <c r="Y733" s="5" t="str">
        <f ca="1">IFERROR(__xludf.DUMMYFUNCTION("""COMPUTED_VALUE"""),"No")</f>
        <v>No</v>
      </c>
      <c r="Z733" s="5" t="str">
        <f ca="1">IFERROR(__xludf.DUMMYFUNCTION("""COMPUTED_VALUE"""),"No")</f>
        <v>No</v>
      </c>
      <c r="AA733" s="5" t="str">
        <f ca="1">IFERROR(__xludf.DUMMYFUNCTION("""COMPUTED_VALUE"""),"Yes")</f>
        <v>Yes</v>
      </c>
      <c r="AB733" s="5" t="str">
        <f ca="1">IFERROR(__xludf.DUMMYFUNCTION("""COMPUTED_VALUE"""),"No")</f>
        <v>No</v>
      </c>
      <c r="AC733" s="5" t="str">
        <f ca="1">IFERROR(__xludf.DUMMYFUNCTION("""COMPUTED_VALUE"""),"No")</f>
        <v>No</v>
      </c>
      <c r="AD733" s="5" t="str">
        <f ca="1">IFERROR(__xludf.DUMMYFUNCTION("""COMPUTED_VALUE"""),"No")</f>
        <v>No</v>
      </c>
      <c r="AE733" s="5" t="str">
        <f ca="1">IFERROR(__xludf.DUMMYFUNCTION("""COMPUTED_VALUE"""),"No")</f>
        <v>No</v>
      </c>
      <c r="AF733" s="5" t="str">
        <f ca="1">IFERROR(__xludf.DUMMYFUNCTION("""COMPUTED_VALUE"""),"Yes")</f>
        <v>Yes</v>
      </c>
      <c r="AG733" s="5" t="str">
        <f ca="1">IFERROR(__xludf.DUMMYFUNCTION("""COMPUTED_VALUE"""),"No")</f>
        <v>No</v>
      </c>
      <c r="AH733" s="5" t="str">
        <f ca="1">IFERROR(__xludf.DUMMYFUNCTION("""COMPUTED_VALUE"""),"Yes")</f>
        <v>Yes</v>
      </c>
      <c r="AI733" s="5" t="str">
        <f ca="1">IFERROR(__xludf.DUMMYFUNCTION("""COMPUTED_VALUE"""),"No")</f>
        <v>No</v>
      </c>
      <c r="AJ733" s="5" t="str">
        <f ca="1">IFERROR(__xludf.DUMMYFUNCTION("""COMPUTED_VALUE"""),"No")</f>
        <v>No</v>
      </c>
      <c r="AK733" s="5" t="str">
        <f ca="1">IFERROR(__xludf.DUMMYFUNCTION("""COMPUTED_VALUE"""),"No")</f>
        <v>No</v>
      </c>
      <c r="AL733" s="5" t="str">
        <f ca="1">IFERROR(__xludf.DUMMYFUNCTION("""COMPUTED_VALUE"""),"No")</f>
        <v>No</v>
      </c>
      <c r="AM733" s="5"/>
      <c r="AN733" s="5"/>
      <c r="AO733" s="5"/>
      <c r="AP733" s="5"/>
      <c r="AQ733" s="5"/>
      <c r="AR733" s="5"/>
      <c r="AS733" s="5"/>
      <c r="AT733" s="5"/>
      <c r="AU733" s="5"/>
      <c r="AV733" s="5"/>
      <c r="AW733" s="5"/>
      <c r="AX733" s="5"/>
      <c r="AY733" s="5"/>
    </row>
    <row r="734" spans="1:51" x14ac:dyDescent="0.25">
      <c r="A734" s="5" t="str">
        <f ca="1">IFERROR(__xludf.DUMMYFUNCTION("""COMPUTED_VALUE"""),"")</f>
        <v/>
      </c>
      <c r="B734" s="5">
        <f ca="1">IFERROR(__xludf.DUMMYFUNCTION("""COMPUTED_VALUE"""),771)</f>
        <v>771</v>
      </c>
      <c r="C734" s="5">
        <f ca="1">IFERROR(__xludf.DUMMYFUNCTION("""COMPUTED_VALUE"""),180082)</f>
        <v>180082</v>
      </c>
      <c r="D734" s="5" t="str">
        <f ca="1">IFERROR(__xludf.DUMMYFUNCTION("""COMPUTED_VALUE"""),"RedstoneMultiCrown5")</f>
        <v>RedstoneMultiCrown5</v>
      </c>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row>
    <row r="735" spans="1:51" x14ac:dyDescent="0.25">
      <c r="A735"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5" s="5">
        <f ca="1">IFERROR(__xludf.DUMMYFUNCTION("""COMPUTED_VALUE"""),772)</f>
        <v>772</v>
      </c>
      <c r="C735" s="5">
        <f ca="1">IFERROR(__xludf.DUMMYFUNCTION("""COMPUTED_VALUE"""),180083)</f>
        <v>180083</v>
      </c>
      <c r="D735" s="5" t="str">
        <f ca="1">IFERROR(__xludf.DUMMYFUNCTION("""COMPUTED_VALUE"""),"RedstoneMultiHeart10")</f>
        <v>RedstoneMultiHeart10</v>
      </c>
      <c r="E735" s="5" t="str">
        <f ca="1">IFERROR(__xludf.DUMMYFUNCTION("""COMPUTED_VALUE"""),"Yes")</f>
        <v>Yes</v>
      </c>
      <c r="F735" s="5" t="str">
        <f ca="1">IFERROR(__xludf.DUMMYFUNCTION("""COMPUTED_VALUE"""),"Yes")</f>
        <v>Yes</v>
      </c>
      <c r="G735" s="5" t="str">
        <f ca="1">IFERROR(__xludf.DUMMYFUNCTION("""COMPUTED_VALUE"""),"Yes")</f>
        <v>Yes</v>
      </c>
      <c r="H735" s="5" t="str">
        <f ca="1">IFERROR(__xludf.DUMMYFUNCTION("""COMPUTED_VALUE"""),"Yes")</f>
        <v>Yes</v>
      </c>
      <c r="I735" s="5" t="str">
        <f ca="1">IFERROR(__xludf.DUMMYFUNCTION("""COMPUTED_VALUE"""),"Yes")</f>
        <v>Yes</v>
      </c>
      <c r="J735" s="5" t="str">
        <f ca="1">IFERROR(__xludf.DUMMYFUNCTION("""COMPUTED_VALUE"""),"Yes")</f>
        <v>Yes</v>
      </c>
      <c r="K735" s="5" t="str">
        <f ca="1">IFERROR(__xludf.DUMMYFUNCTION("""COMPUTED_VALUE"""),"Yes")</f>
        <v>Yes</v>
      </c>
      <c r="L735" s="5" t="str">
        <f ca="1">IFERROR(__xludf.DUMMYFUNCTION("""COMPUTED_VALUE"""),"Yes")</f>
        <v>Yes</v>
      </c>
      <c r="M735" s="5" t="str">
        <f ca="1">IFERROR(__xludf.DUMMYFUNCTION("""COMPUTED_VALUE"""),"Yes")</f>
        <v>Yes</v>
      </c>
      <c r="N735" s="5" t="str">
        <f ca="1">IFERROR(__xludf.DUMMYFUNCTION("""COMPUTED_VALUE"""),"Yes")</f>
        <v>Yes</v>
      </c>
      <c r="O735" s="5" t="str">
        <f ca="1">IFERROR(__xludf.DUMMYFUNCTION("""COMPUTED_VALUE"""),"Yes")</f>
        <v>Yes</v>
      </c>
      <c r="P735" s="5" t="str">
        <f ca="1">IFERROR(__xludf.DUMMYFUNCTION("""COMPUTED_VALUE"""),"Yes")</f>
        <v>Yes</v>
      </c>
      <c r="Q735" s="5" t="str">
        <f ca="1">IFERROR(__xludf.DUMMYFUNCTION("""COMPUTED_VALUE"""),"Yes")</f>
        <v>Yes</v>
      </c>
      <c r="R735" s="5" t="str">
        <f ca="1">IFERROR(__xludf.DUMMYFUNCTION("""COMPUTED_VALUE"""),"Yes")</f>
        <v>Yes</v>
      </c>
      <c r="S735" s="5" t="str">
        <f ca="1">IFERROR(__xludf.DUMMYFUNCTION("""COMPUTED_VALUE"""),"Yes")</f>
        <v>Yes</v>
      </c>
      <c r="T735" s="5" t="str">
        <f ca="1">IFERROR(__xludf.DUMMYFUNCTION("""COMPUTED_VALUE"""),"No")</f>
        <v>No</v>
      </c>
      <c r="U735" s="5" t="str">
        <f ca="1">IFERROR(__xludf.DUMMYFUNCTION("""COMPUTED_VALUE"""),"No")</f>
        <v>No</v>
      </c>
      <c r="V735" s="5" t="str">
        <f ca="1">IFERROR(__xludf.DUMMYFUNCTION("""COMPUTED_VALUE"""),"No")</f>
        <v>No</v>
      </c>
      <c r="W735" s="5" t="str">
        <f ca="1">IFERROR(__xludf.DUMMYFUNCTION("""COMPUTED_VALUE"""),"No")</f>
        <v>No</v>
      </c>
      <c r="X735" s="5" t="str">
        <f ca="1">IFERROR(__xludf.DUMMYFUNCTION("""COMPUTED_VALUE"""),"No")</f>
        <v>No</v>
      </c>
      <c r="Y735" s="5" t="str">
        <f ca="1">IFERROR(__xludf.DUMMYFUNCTION("""COMPUTED_VALUE"""),"No")</f>
        <v>No</v>
      </c>
      <c r="Z735" s="5" t="str">
        <f ca="1">IFERROR(__xludf.DUMMYFUNCTION("""COMPUTED_VALUE"""),"No")</f>
        <v>No</v>
      </c>
      <c r="AA735" s="5" t="str">
        <f ca="1">IFERROR(__xludf.DUMMYFUNCTION("""COMPUTED_VALUE"""),"Yes")</f>
        <v>Yes</v>
      </c>
      <c r="AB735" s="5" t="str">
        <f ca="1">IFERROR(__xludf.DUMMYFUNCTION("""COMPUTED_VALUE"""),"No")</f>
        <v>No</v>
      </c>
      <c r="AC735" s="5" t="str">
        <f ca="1">IFERROR(__xludf.DUMMYFUNCTION("""COMPUTED_VALUE"""),"No")</f>
        <v>No</v>
      </c>
      <c r="AD735" s="5" t="str">
        <f ca="1">IFERROR(__xludf.DUMMYFUNCTION("""COMPUTED_VALUE"""),"No")</f>
        <v>No</v>
      </c>
      <c r="AE735" s="5" t="str">
        <f ca="1">IFERROR(__xludf.DUMMYFUNCTION("""COMPUTED_VALUE"""),"No")</f>
        <v>No</v>
      </c>
      <c r="AF735" s="5" t="str">
        <f ca="1">IFERROR(__xludf.DUMMYFUNCTION("""COMPUTED_VALUE"""),"Yes")</f>
        <v>Yes</v>
      </c>
      <c r="AG735" s="5" t="str">
        <f ca="1">IFERROR(__xludf.DUMMYFUNCTION("""COMPUTED_VALUE"""),"No")</f>
        <v>No</v>
      </c>
      <c r="AH735" s="5" t="str">
        <f ca="1">IFERROR(__xludf.DUMMYFUNCTION("""COMPUTED_VALUE"""),"Yes")</f>
        <v>Yes</v>
      </c>
      <c r="AI735" s="5" t="str">
        <f ca="1">IFERROR(__xludf.DUMMYFUNCTION("""COMPUTED_VALUE"""),"No")</f>
        <v>No</v>
      </c>
      <c r="AJ735" s="5" t="str">
        <f ca="1">IFERROR(__xludf.DUMMYFUNCTION("""COMPUTED_VALUE"""),"No")</f>
        <v>No</v>
      </c>
      <c r="AK735" s="5" t="str">
        <f ca="1">IFERROR(__xludf.DUMMYFUNCTION("""COMPUTED_VALUE"""),"No")</f>
        <v>No</v>
      </c>
      <c r="AL735" s="5" t="str">
        <f ca="1">IFERROR(__xludf.DUMMYFUNCTION("""COMPUTED_VALUE"""),"No")</f>
        <v>No</v>
      </c>
      <c r="AM735" s="5"/>
      <c r="AN735" s="5"/>
      <c r="AO735" s="5"/>
      <c r="AP735" s="5"/>
      <c r="AQ735" s="5"/>
      <c r="AR735" s="5"/>
      <c r="AS735" s="5"/>
      <c r="AT735" s="5"/>
      <c r="AU735" s="5"/>
      <c r="AV735" s="5"/>
      <c r="AW735" s="5"/>
      <c r="AX735" s="5"/>
      <c r="AY735" s="5"/>
    </row>
    <row r="736" spans="1:51" x14ac:dyDescent="0.25">
      <c r="A736" s="5" t="str">
        <f ca="1">IFERROR(__xludf.DUMMYFUNCTION("""COMPUTED_VALUE"""),"")</f>
        <v/>
      </c>
      <c r="B736" s="5">
        <f ca="1">IFERROR(__xludf.DUMMYFUNCTION("""COMPUTED_VALUE"""),773)</f>
        <v>773</v>
      </c>
      <c r="C736" s="5">
        <f ca="1">IFERROR(__xludf.DUMMYFUNCTION("""COMPUTED_VALUE"""),180084)</f>
        <v>180084</v>
      </c>
      <c r="D736" s="5" t="str">
        <f ca="1">IFERROR(__xludf.DUMMYFUNCTION("""COMPUTED_VALUE"""),"RedstoneChilliDoubleChristmas")</f>
        <v>RedstoneChilliDoubleChristmas</v>
      </c>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row>
    <row r="737" spans="1:51" x14ac:dyDescent="0.25">
      <c r="A737" s="5" t="str">
        <f ca="1">IFERROR(__xludf.DUMMYFUNCTION("""COMPUTED_VALUE"""),"")</f>
        <v/>
      </c>
      <c r="B737" s="5">
        <f ca="1">IFERROR(__xludf.DUMMYFUNCTION("""COMPUTED_VALUE"""),774)</f>
        <v>774</v>
      </c>
      <c r="C737" s="5">
        <f ca="1">IFERROR(__xludf.DUMMYFUNCTION("""COMPUTED_VALUE"""),180085)</f>
        <v>180085</v>
      </c>
      <c r="D737" s="5" t="str">
        <f ca="1">IFERROR(__xludf.DUMMYFUNCTION("""COMPUTED_VALUE"""),"RedstoneMultiHeart5Christmas")</f>
        <v>RedstoneMultiHeart5Christmas</v>
      </c>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row>
    <row r="738" spans="1:51" x14ac:dyDescent="0.25">
      <c r="A738" s="5" t="str">
        <f ca="1">IFERROR(__xludf.DUMMYFUNCTION("""COMPUTED_VALUE"""),"")</f>
        <v/>
      </c>
      <c r="B738" s="5">
        <f ca="1">IFERROR(__xludf.DUMMYFUNCTION("""COMPUTED_VALUE"""),775)</f>
        <v>775</v>
      </c>
      <c r="C738" s="5">
        <f ca="1">IFERROR(__xludf.DUMMYFUNCTION("""COMPUTED_VALUE"""),180086)</f>
        <v>180086</v>
      </c>
      <c r="D738" s="5" t="str">
        <f ca="1">IFERROR(__xludf.DUMMYFUNCTION("""COMPUTED_VALUE"""),"RedstoneDoubleWildHeartHalloween")</f>
        <v>RedstoneDoubleWildHeartHalloween</v>
      </c>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row>
    <row r="739" spans="1:51" x14ac:dyDescent="0.25">
      <c r="A739" s="5" t="str">
        <f ca="1">IFERROR(__xludf.DUMMYFUNCTION("""COMPUTED_VALUE"""),"")</f>
        <v/>
      </c>
      <c r="B739" s="5">
        <f ca="1">IFERROR(__xludf.DUMMYFUNCTION("""COMPUTED_VALUE"""),776)</f>
        <v>776</v>
      </c>
      <c r="C739" s="5">
        <f ca="1">IFERROR(__xludf.DUMMYFUNCTION("""COMPUTED_VALUE"""),-1)</f>
        <v>-1</v>
      </c>
      <c r="D739" s="5" t="str">
        <f ca="1">IFERROR(__xludf.DUMMYFUNCTION("""COMPUTED_VALUE"""),"TBD")</f>
        <v>TBD</v>
      </c>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row>
    <row r="740" spans="1:51" x14ac:dyDescent="0.25">
      <c r="A740" s="5" t="str">
        <f ca="1">IFERROR(__xludf.DUMMYFUNCTION("""COMPUTED_VALUE"""),"")</f>
        <v/>
      </c>
      <c r="B740" s="5">
        <f ca="1">IFERROR(__xludf.DUMMYFUNCTION("""COMPUTED_VALUE"""),777)</f>
        <v>777</v>
      </c>
      <c r="C740" s="5">
        <f ca="1">IFERROR(__xludf.DUMMYFUNCTION("""COMPUTED_VALUE"""),-1)</f>
        <v>-1</v>
      </c>
      <c r="D740" s="5" t="str">
        <f ca="1">IFERROR(__xludf.DUMMYFUNCTION("""COMPUTED_VALUE"""),"TBD")</f>
        <v>TBD</v>
      </c>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row>
    <row r="741" spans="1:51" x14ac:dyDescent="0.25">
      <c r="A741" s="5" t="str">
        <f ca="1">IFERROR(__xludf.DUMMYFUNCTION("""COMPUTED_VALUE"""),"")</f>
        <v/>
      </c>
      <c r="B741" s="5">
        <f ca="1">IFERROR(__xludf.DUMMYFUNCTION("""COMPUTED_VALUE"""),778)</f>
        <v>778</v>
      </c>
      <c r="C741" s="5">
        <f ca="1">IFERROR(__xludf.DUMMYFUNCTION("""COMPUTED_VALUE"""),-1)</f>
        <v>-1</v>
      </c>
      <c r="D741" s="5" t="str">
        <f ca="1">IFERROR(__xludf.DUMMYFUNCTION("""COMPUTED_VALUE"""),"TBD")</f>
        <v>TBD</v>
      </c>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row>
    <row r="742" spans="1:51" x14ac:dyDescent="0.25">
      <c r="A742" s="5" t="str">
        <f ca="1">IFERROR(__xludf.DUMMYFUNCTION("""COMPUTED_VALUE"""),"")</f>
        <v/>
      </c>
      <c r="B742" s="5">
        <f ca="1">IFERROR(__xludf.DUMMYFUNCTION("""COMPUTED_VALUE"""),779)</f>
        <v>779</v>
      </c>
      <c r="C742" s="5">
        <f ca="1">IFERROR(__xludf.DUMMYFUNCTION("""COMPUTED_VALUE"""),-1)</f>
        <v>-1</v>
      </c>
      <c r="D742" s="5" t="str">
        <f ca="1">IFERROR(__xludf.DUMMYFUNCTION("""COMPUTED_VALUE"""),"TBD")</f>
        <v>TBD</v>
      </c>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row>
    <row r="743" spans="1:51" x14ac:dyDescent="0.25">
      <c r="A743" s="5" t="str">
        <f ca="1">IFERROR(__xludf.DUMMYFUNCTION("""COMPUTED_VALUE"""),"")</f>
        <v/>
      </c>
      <c r="B743" s="5">
        <f ca="1">IFERROR(__xludf.DUMMYFUNCTION("""COMPUTED_VALUE"""),780)</f>
        <v>780</v>
      </c>
      <c r="C743" s="5">
        <f ca="1">IFERROR(__xludf.DUMMYFUNCTION("""COMPUTED_VALUE"""),-1)</f>
        <v>-1</v>
      </c>
      <c r="D743" s="5" t="str">
        <f ca="1">IFERROR(__xludf.DUMMYFUNCTION("""COMPUTED_VALUE"""),"TBD")</f>
        <v>TBD</v>
      </c>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row>
    <row r="744" spans="1:51" x14ac:dyDescent="0.25">
      <c r="A744" s="5" t="str">
        <f ca="1">IFERROR(__xludf.DUMMYFUNCTION("""COMPUTED_VALUE"""),"")</f>
        <v/>
      </c>
      <c r="B744" s="5">
        <f ca="1">IFERROR(__xludf.DUMMYFUNCTION("""COMPUTED_VALUE"""),781)</f>
        <v>781</v>
      </c>
      <c r="C744" s="5">
        <f ca="1">IFERROR(__xludf.DUMMYFUNCTION("""COMPUTED_VALUE"""),-1)</f>
        <v>-1</v>
      </c>
      <c r="D744" s="5" t="str">
        <f ca="1">IFERROR(__xludf.DUMMYFUNCTION("""COMPUTED_VALUE"""),"TBD")</f>
        <v>TBD</v>
      </c>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row>
    <row r="745" spans="1:51" x14ac:dyDescent="0.25">
      <c r="A745" s="5" t="str">
        <f ca="1">IFERROR(__xludf.DUMMYFUNCTION("""COMPUTED_VALUE"""),"")</f>
        <v/>
      </c>
      <c r="B745" s="5">
        <f ca="1">IFERROR(__xludf.DUMMYFUNCTION("""COMPUTED_VALUE"""),782)</f>
        <v>782</v>
      </c>
      <c r="C745" s="5">
        <f ca="1">IFERROR(__xludf.DUMMYFUNCTION("""COMPUTED_VALUE"""),-1)</f>
        <v>-1</v>
      </c>
      <c r="D745" s="5" t="str">
        <f ca="1">IFERROR(__xludf.DUMMYFUNCTION("""COMPUTED_VALUE"""),"TBD")</f>
        <v>TBD</v>
      </c>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row>
    <row r="746" spans="1:51" x14ac:dyDescent="0.25">
      <c r="A7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46" s="5">
        <f ca="1">IFERROR(__xludf.DUMMYFUNCTION("""COMPUTED_VALUE"""),783)</f>
        <v>783</v>
      </c>
      <c r="C746" s="5">
        <f ca="1">IFERROR(__xludf.DUMMYFUNCTION("""COMPUTED_VALUE"""),4043)</f>
        <v>4043</v>
      </c>
      <c r="D746" s="5" t="str">
        <f ca="1">IFERROR(__xludf.DUMMYFUNCTION("""COMPUTED_VALUE"""),"IvansBonusCrown")</f>
        <v>IvansBonusCrown</v>
      </c>
      <c r="E746" s="5" t="str">
        <f ca="1">IFERROR(__xludf.DUMMYFUNCTION("""COMPUTED_VALUE"""),"Yes")</f>
        <v>Yes</v>
      </c>
      <c r="F746" s="5" t="str">
        <f ca="1">IFERROR(__xludf.DUMMYFUNCTION("""COMPUTED_VALUE"""),"Yes")</f>
        <v>Yes</v>
      </c>
      <c r="G746" s="5" t="str">
        <f ca="1">IFERROR(__xludf.DUMMYFUNCTION("""COMPUTED_VALUE"""),"Yes")</f>
        <v>Yes</v>
      </c>
      <c r="H746" s="5" t="str">
        <f ca="1">IFERROR(__xludf.DUMMYFUNCTION("""COMPUTED_VALUE"""),"Yes")</f>
        <v>Yes</v>
      </c>
      <c r="I746" s="5" t="str">
        <f ca="1">IFERROR(__xludf.DUMMYFUNCTION("""COMPUTED_VALUE"""),"Yes")</f>
        <v>Yes</v>
      </c>
      <c r="J746" s="5" t="str">
        <f ca="1">IFERROR(__xludf.DUMMYFUNCTION("""COMPUTED_VALUE"""),"Yes")</f>
        <v>Yes</v>
      </c>
      <c r="K746" s="5" t="str">
        <f ca="1">IFERROR(__xludf.DUMMYFUNCTION("""COMPUTED_VALUE"""),"Yes")</f>
        <v>Yes</v>
      </c>
      <c r="L746" s="5" t="str">
        <f ca="1">IFERROR(__xludf.DUMMYFUNCTION("""COMPUTED_VALUE"""),"Yes")</f>
        <v>Yes</v>
      </c>
      <c r="M746" s="5" t="str">
        <f ca="1">IFERROR(__xludf.DUMMYFUNCTION("""COMPUTED_VALUE"""),"Yes")</f>
        <v>Yes</v>
      </c>
      <c r="N746" s="5" t="str">
        <f ca="1">IFERROR(__xludf.DUMMYFUNCTION("""COMPUTED_VALUE"""),"Yes")</f>
        <v>Yes</v>
      </c>
      <c r="O746" s="5" t="str">
        <f ca="1">IFERROR(__xludf.DUMMYFUNCTION("""COMPUTED_VALUE"""),"Yes")</f>
        <v>Yes</v>
      </c>
      <c r="P746" s="5" t="str">
        <f ca="1">IFERROR(__xludf.DUMMYFUNCTION("""COMPUTED_VALUE"""),"Yes")</f>
        <v>Yes</v>
      </c>
      <c r="Q746" s="5" t="str">
        <f ca="1">IFERROR(__xludf.DUMMYFUNCTION("""COMPUTED_VALUE"""),"Yes")</f>
        <v>Yes</v>
      </c>
      <c r="R746" s="5" t="str">
        <f ca="1">IFERROR(__xludf.DUMMYFUNCTION("""COMPUTED_VALUE"""),"Yes")</f>
        <v>Yes</v>
      </c>
      <c r="S746" s="5" t="str">
        <f ca="1">IFERROR(__xludf.DUMMYFUNCTION("""COMPUTED_VALUE"""),"Yes")</f>
        <v>Yes</v>
      </c>
      <c r="T746" s="5" t="str">
        <f ca="1">IFERROR(__xludf.DUMMYFUNCTION("""COMPUTED_VALUE"""),"Yes")</f>
        <v>Yes</v>
      </c>
      <c r="U746" s="5" t="str">
        <f ca="1">IFERROR(__xludf.DUMMYFUNCTION("""COMPUTED_VALUE"""),"Yes")</f>
        <v>Yes</v>
      </c>
      <c r="V746" s="5" t="str">
        <f ca="1">IFERROR(__xludf.DUMMYFUNCTION("""COMPUTED_VALUE"""),"Yes")</f>
        <v>Yes</v>
      </c>
      <c r="W746" s="5" t="str">
        <f ca="1">IFERROR(__xludf.DUMMYFUNCTION("""COMPUTED_VALUE"""),"Yes")</f>
        <v>Yes</v>
      </c>
      <c r="X746" s="5" t="str">
        <f ca="1">IFERROR(__xludf.DUMMYFUNCTION("""COMPUTED_VALUE"""),"Yes")</f>
        <v>Yes</v>
      </c>
      <c r="Y746" s="5" t="str">
        <f ca="1">IFERROR(__xludf.DUMMYFUNCTION("""COMPUTED_VALUE"""),"Yes")</f>
        <v>Yes</v>
      </c>
      <c r="Z746" s="5" t="str">
        <f ca="1">IFERROR(__xludf.DUMMYFUNCTION("""COMPUTED_VALUE"""),"Yes")</f>
        <v>Yes</v>
      </c>
      <c r="AA746" s="5" t="str">
        <f ca="1">IFERROR(__xludf.DUMMYFUNCTION("""COMPUTED_VALUE"""),"Yes")</f>
        <v>Yes</v>
      </c>
      <c r="AB746" s="5" t="str">
        <f ca="1">IFERROR(__xludf.DUMMYFUNCTION("""COMPUTED_VALUE"""),"Yes")</f>
        <v>Yes</v>
      </c>
      <c r="AC746" s="5" t="str">
        <f ca="1">IFERROR(__xludf.DUMMYFUNCTION("""COMPUTED_VALUE"""),"Yes")</f>
        <v>Yes</v>
      </c>
      <c r="AD746" s="5" t="str">
        <f ca="1">IFERROR(__xludf.DUMMYFUNCTION("""COMPUTED_VALUE"""),"Yes")</f>
        <v>Yes</v>
      </c>
      <c r="AE746" s="5" t="str">
        <f ca="1">IFERROR(__xludf.DUMMYFUNCTION("""COMPUTED_VALUE"""),"Yes")</f>
        <v>Yes</v>
      </c>
      <c r="AF746" s="5" t="str">
        <f ca="1">IFERROR(__xludf.DUMMYFUNCTION("""COMPUTED_VALUE"""),"Yes")</f>
        <v>Yes</v>
      </c>
      <c r="AG746" s="5" t="str">
        <f ca="1">IFERROR(__xludf.DUMMYFUNCTION("""COMPUTED_VALUE"""),"Yes")</f>
        <v>Yes</v>
      </c>
      <c r="AH746" s="5" t="str">
        <f ca="1">IFERROR(__xludf.DUMMYFUNCTION("""COMPUTED_VALUE"""),"Yes")</f>
        <v>Yes</v>
      </c>
      <c r="AI746" s="5" t="str">
        <f ca="1">IFERROR(__xludf.DUMMYFUNCTION("""COMPUTED_VALUE"""),"Yes")</f>
        <v>Yes</v>
      </c>
      <c r="AJ746" s="5" t="str">
        <f ca="1">IFERROR(__xludf.DUMMYFUNCTION("""COMPUTED_VALUE"""),"Yes")</f>
        <v>Yes</v>
      </c>
      <c r="AK746" s="5" t="str">
        <f ca="1">IFERROR(__xludf.DUMMYFUNCTION("""COMPUTED_VALUE"""),"Yes")</f>
        <v>Yes</v>
      </c>
      <c r="AL746" s="5" t="str">
        <f ca="1">IFERROR(__xludf.DUMMYFUNCTION("""COMPUTED_VALUE"""),"Yes")</f>
        <v>Yes</v>
      </c>
      <c r="AM746" s="5"/>
      <c r="AN746" s="5"/>
      <c r="AO746" s="5"/>
      <c r="AP746" s="5"/>
      <c r="AQ746" s="5"/>
      <c r="AR746" s="5"/>
      <c r="AS746" s="5"/>
      <c r="AT746" s="5"/>
      <c r="AU746" s="5"/>
      <c r="AV746" s="5"/>
      <c r="AW746" s="5"/>
      <c r="AX746" s="5"/>
      <c r="AY746" s="5"/>
    </row>
    <row r="747" spans="1:51" x14ac:dyDescent="0.25">
      <c r="A747" s="5" t="str">
        <f ca="1">IFERROR(__xludf.DUMMYFUNCTION("""COMPUTED_VALUE"""),"")</f>
        <v/>
      </c>
      <c r="B747" s="5">
        <f ca="1">IFERROR(__xludf.DUMMYFUNCTION("""COMPUTED_VALUE"""),784)</f>
        <v>784</v>
      </c>
      <c r="C747" s="5">
        <f ca="1">IFERROR(__xludf.DUMMYFUNCTION("""COMPUTED_VALUE"""),4047)</f>
        <v>4047</v>
      </c>
      <c r="D747" s="5" t="str">
        <f ca="1">IFERROR(__xludf.DUMMYFUNCTION("""COMPUTED_VALUE"""),"WildHot40Triunfo")</f>
        <v>WildHot40Triunfo</v>
      </c>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row>
    <row r="748" spans="1:51" x14ac:dyDescent="0.25">
      <c r="A748" s="5" t="str">
        <f ca="1">IFERROR(__xludf.DUMMYFUNCTION("""COMPUTED_VALUE"""),"")</f>
        <v/>
      </c>
      <c r="B748" s="5">
        <f ca="1">IFERROR(__xludf.DUMMYFUNCTION("""COMPUTED_VALUE"""),785)</f>
        <v>785</v>
      </c>
      <c r="C748" s="5">
        <f ca="1">IFERROR(__xludf.DUMMYFUNCTION("""COMPUTED_VALUE"""),4042)</f>
        <v>4042</v>
      </c>
      <c r="D748" s="5" t="str">
        <f ca="1">IFERROR(__xludf.DUMMYFUNCTION("""COMPUTED_VALUE"""),"WildHotGorilla")</f>
        <v>WildHotGorilla</v>
      </c>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row>
    <row r="749" spans="1:51" x14ac:dyDescent="0.25">
      <c r="A749" s="5" t="str">
        <f ca="1">IFERROR(__xludf.DUMMYFUNCTION("""COMPUTED_VALUE"""),"")</f>
        <v/>
      </c>
      <c r="B749" s="5">
        <f ca="1">IFERROR(__xludf.DUMMYFUNCTION("""COMPUTED_VALUE"""),786)</f>
        <v>786</v>
      </c>
      <c r="C749" s="5">
        <f ca="1">IFERROR(__xludf.DUMMYFUNCTION("""COMPUTED_VALUE"""),4044)</f>
        <v>4044</v>
      </c>
      <c r="D749" s="5" t="str">
        <f ca="1">IFERROR(__xludf.DUMMYFUNCTION("""COMPUTED_VALUE"""),"BetkingWild27")</f>
        <v>BetkingWild27</v>
      </c>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row>
    <row r="750" spans="1:51" x14ac:dyDescent="0.25">
      <c r="A750" s="5" t="str">
        <f ca="1">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50" s="5">
        <f ca="1">IFERROR(__xludf.DUMMYFUNCTION("""COMPUTED_VALUE"""),787)</f>
        <v>787</v>
      </c>
      <c r="C750" s="5">
        <f ca="1">IFERROR(__xludf.DUMMYFUNCTION("""COMPUTED_VALUE"""),5000001)</f>
        <v>5000001</v>
      </c>
      <c r="D750" s="5" t="str">
        <f ca="1">IFERROR(__xludf.DUMMYFUNCTION("""COMPUTED_VALUE"""),"SokoLuckyCrown10")</f>
        <v>SokoLuckyCrown10</v>
      </c>
      <c r="E750" s="5" t="str">
        <f ca="1">IFERROR(__xludf.DUMMYFUNCTION("""COMPUTED_VALUE"""),"Yes")</f>
        <v>Yes</v>
      </c>
      <c r="F750" s="5" t="str">
        <f ca="1">IFERROR(__xludf.DUMMYFUNCTION("""COMPUTED_VALUE"""),"Yes")</f>
        <v>Yes</v>
      </c>
      <c r="G750" s="5" t="str">
        <f ca="1">IFERROR(__xludf.DUMMYFUNCTION("""COMPUTED_VALUE"""),"Yes")</f>
        <v>Yes</v>
      </c>
      <c r="H750" s="5" t="str">
        <f ca="1">IFERROR(__xludf.DUMMYFUNCTION("""COMPUTED_VALUE"""),"Yes")</f>
        <v>Yes</v>
      </c>
      <c r="I750" s="5" t="str">
        <f ca="1">IFERROR(__xludf.DUMMYFUNCTION("""COMPUTED_VALUE"""),"Yes")</f>
        <v>Yes</v>
      </c>
      <c r="J750" s="5" t="str">
        <f ca="1">IFERROR(__xludf.DUMMYFUNCTION("""COMPUTED_VALUE"""),"Yes")</f>
        <v>Yes</v>
      </c>
      <c r="K750" s="5" t="str">
        <f ca="1">IFERROR(__xludf.DUMMYFUNCTION("""COMPUTED_VALUE"""),"Yes")</f>
        <v>Yes</v>
      </c>
      <c r="L750" s="5" t="str">
        <f ca="1">IFERROR(__xludf.DUMMYFUNCTION("""COMPUTED_VALUE"""),"Yes")</f>
        <v>Yes</v>
      </c>
      <c r="M750" s="5" t="str">
        <f ca="1">IFERROR(__xludf.DUMMYFUNCTION("""COMPUTED_VALUE"""),"Yes")</f>
        <v>Yes</v>
      </c>
      <c r="N750" s="5" t="str">
        <f ca="1">IFERROR(__xludf.DUMMYFUNCTION("""COMPUTED_VALUE"""),"Yes")</f>
        <v>Yes</v>
      </c>
      <c r="O750" s="5" t="str">
        <f ca="1">IFERROR(__xludf.DUMMYFUNCTION("""COMPUTED_VALUE"""),"Yes")</f>
        <v>Yes</v>
      </c>
      <c r="P750" s="5" t="str">
        <f ca="1">IFERROR(__xludf.DUMMYFUNCTION("""COMPUTED_VALUE"""),"Yes")</f>
        <v>Yes</v>
      </c>
      <c r="Q750" s="5" t="str">
        <f ca="1">IFERROR(__xludf.DUMMYFUNCTION("""COMPUTED_VALUE"""),"Yes")</f>
        <v>Yes</v>
      </c>
      <c r="R750" s="5" t="str">
        <f ca="1">IFERROR(__xludf.DUMMYFUNCTION("""COMPUTED_VALUE"""),"Yes")</f>
        <v>Yes</v>
      </c>
      <c r="S750" s="5" t="str">
        <f ca="1">IFERROR(__xludf.DUMMYFUNCTION("""COMPUTED_VALUE"""),"Yes")</f>
        <v>Yes</v>
      </c>
      <c r="T750" s="5" t="str">
        <f ca="1">IFERROR(__xludf.DUMMYFUNCTION("""COMPUTED_VALUE"""),"Yes")</f>
        <v>Yes</v>
      </c>
      <c r="U750" s="5" t="str">
        <f ca="1">IFERROR(__xludf.DUMMYFUNCTION("""COMPUTED_VALUE"""),"Yes")</f>
        <v>Yes</v>
      </c>
      <c r="V750" s="5" t="str">
        <f ca="1">IFERROR(__xludf.DUMMYFUNCTION("""COMPUTED_VALUE"""),"No")</f>
        <v>No</v>
      </c>
      <c r="W750" s="5" t="str">
        <f ca="1">IFERROR(__xludf.DUMMYFUNCTION("""COMPUTED_VALUE"""),"No")</f>
        <v>No</v>
      </c>
      <c r="X750" s="5" t="str">
        <f ca="1">IFERROR(__xludf.DUMMYFUNCTION("""COMPUTED_VALUE"""),"No")</f>
        <v>No</v>
      </c>
      <c r="Y750" s="5" t="str">
        <f ca="1">IFERROR(__xludf.DUMMYFUNCTION("""COMPUTED_VALUE"""),"No")</f>
        <v>No</v>
      </c>
      <c r="Z750" s="5" t="str">
        <f ca="1">IFERROR(__xludf.DUMMYFUNCTION("""COMPUTED_VALUE"""),"No")</f>
        <v>No</v>
      </c>
      <c r="AA750" s="5" t="str">
        <f ca="1">IFERROR(__xludf.DUMMYFUNCTION("""COMPUTED_VALUE"""),"No")</f>
        <v>No</v>
      </c>
      <c r="AB750" s="5" t="str">
        <f ca="1">IFERROR(__xludf.DUMMYFUNCTION("""COMPUTED_VALUE"""),"Yes")</f>
        <v>Yes</v>
      </c>
      <c r="AC750" s="5" t="str">
        <f ca="1">IFERROR(__xludf.DUMMYFUNCTION("""COMPUTED_VALUE"""),"No")</f>
        <v>No</v>
      </c>
      <c r="AD750" s="5" t="str">
        <f ca="1">IFERROR(__xludf.DUMMYFUNCTION("""COMPUTED_VALUE"""),"No")</f>
        <v>No</v>
      </c>
      <c r="AE750" s="5" t="str">
        <f ca="1">IFERROR(__xludf.DUMMYFUNCTION("""COMPUTED_VALUE"""),"No")</f>
        <v>No</v>
      </c>
      <c r="AF750" s="5" t="str">
        <f ca="1">IFERROR(__xludf.DUMMYFUNCTION("""COMPUTED_VALUE"""),"No")</f>
        <v>No</v>
      </c>
      <c r="AG750" s="5" t="str">
        <f ca="1">IFERROR(__xludf.DUMMYFUNCTION("""COMPUTED_VALUE"""),"No")</f>
        <v>No</v>
      </c>
      <c r="AH750" s="5" t="str">
        <f ca="1">IFERROR(__xludf.DUMMYFUNCTION("""COMPUTED_VALUE"""),"No")</f>
        <v>No</v>
      </c>
      <c r="AI750" s="5" t="str">
        <f ca="1">IFERROR(__xludf.DUMMYFUNCTION("""COMPUTED_VALUE"""),"No")</f>
        <v>No</v>
      </c>
      <c r="AJ750" s="5" t="str">
        <f ca="1">IFERROR(__xludf.DUMMYFUNCTION("""COMPUTED_VALUE"""),"No")</f>
        <v>No</v>
      </c>
      <c r="AK750" s="5" t="str">
        <f ca="1">IFERROR(__xludf.DUMMYFUNCTION("""COMPUTED_VALUE"""),"No")</f>
        <v>No</v>
      </c>
      <c r="AL750" s="5" t="str">
        <f ca="1">IFERROR(__xludf.DUMMYFUNCTION("""COMPUTED_VALUE"""),"No")</f>
        <v>No</v>
      </c>
      <c r="AM750" s="5"/>
      <c r="AN750" s="5"/>
      <c r="AO750" s="5"/>
      <c r="AP750" s="5"/>
      <c r="AQ750" s="5"/>
      <c r="AR750" s="5"/>
      <c r="AS750" s="5"/>
      <c r="AT750" s="5"/>
      <c r="AU750" s="5"/>
      <c r="AV750" s="5"/>
      <c r="AW750" s="5"/>
      <c r="AX750" s="5"/>
      <c r="AY750" s="5"/>
    </row>
    <row r="751" spans="1:51" x14ac:dyDescent="0.25">
      <c r="A7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51" s="5">
        <f ca="1">IFERROR(__xludf.DUMMYFUNCTION("""COMPUTED_VALUE"""),788)</f>
        <v>788</v>
      </c>
      <c r="C751" s="5">
        <f ca="1">IFERROR(__xludf.DUMMYFUNCTION("""COMPUTED_VALUE"""),2021)</f>
        <v>2021</v>
      </c>
      <c r="D751" s="5" t="str">
        <f ca="1">IFERROR(__xludf.DUMMYFUNCTION("""COMPUTED_VALUE"""),"HotClockExtreme")</f>
        <v>HotClockExtreme</v>
      </c>
      <c r="E751" s="5" t="str">
        <f ca="1">IFERROR(__xludf.DUMMYFUNCTION("""COMPUTED_VALUE"""),"Yes")</f>
        <v>Yes</v>
      </c>
      <c r="F751" s="5" t="str">
        <f ca="1">IFERROR(__xludf.DUMMYFUNCTION("""COMPUTED_VALUE"""),"Yes")</f>
        <v>Yes</v>
      </c>
      <c r="G751" s="5" t="str">
        <f ca="1">IFERROR(__xludf.DUMMYFUNCTION("""COMPUTED_VALUE"""),"Yes")</f>
        <v>Yes</v>
      </c>
      <c r="H751" s="5" t="str">
        <f ca="1">IFERROR(__xludf.DUMMYFUNCTION("""COMPUTED_VALUE"""),"Yes")</f>
        <v>Yes</v>
      </c>
      <c r="I751" s="5" t="str">
        <f ca="1">IFERROR(__xludf.DUMMYFUNCTION("""COMPUTED_VALUE"""),"Yes")</f>
        <v>Yes</v>
      </c>
      <c r="J751" s="5" t="str">
        <f ca="1">IFERROR(__xludf.DUMMYFUNCTION("""COMPUTED_VALUE"""),"Yes")</f>
        <v>Yes</v>
      </c>
      <c r="K751" s="5" t="str">
        <f ca="1">IFERROR(__xludf.DUMMYFUNCTION("""COMPUTED_VALUE"""),"Yes")</f>
        <v>Yes</v>
      </c>
      <c r="L751" s="5" t="str">
        <f ca="1">IFERROR(__xludf.DUMMYFUNCTION("""COMPUTED_VALUE"""),"Yes")</f>
        <v>Yes</v>
      </c>
      <c r="M751" s="5" t="str">
        <f ca="1">IFERROR(__xludf.DUMMYFUNCTION("""COMPUTED_VALUE"""),"Yes")</f>
        <v>Yes</v>
      </c>
      <c r="N751" s="5" t="str">
        <f ca="1">IFERROR(__xludf.DUMMYFUNCTION("""COMPUTED_VALUE"""),"Yes")</f>
        <v>Yes</v>
      </c>
      <c r="O751" s="5" t="str">
        <f ca="1">IFERROR(__xludf.DUMMYFUNCTION("""COMPUTED_VALUE"""),"Yes")</f>
        <v>Yes</v>
      </c>
      <c r="P751" s="5" t="str">
        <f ca="1">IFERROR(__xludf.DUMMYFUNCTION("""COMPUTED_VALUE"""),"Yes")</f>
        <v>Yes</v>
      </c>
      <c r="Q751" s="5" t="str">
        <f ca="1">IFERROR(__xludf.DUMMYFUNCTION("""COMPUTED_VALUE"""),"Yes")</f>
        <v>Yes</v>
      </c>
      <c r="R751" s="5" t="str">
        <f ca="1">IFERROR(__xludf.DUMMYFUNCTION("""COMPUTED_VALUE"""),"Yes")</f>
        <v>Yes</v>
      </c>
      <c r="S751" s="5" t="str">
        <f ca="1">IFERROR(__xludf.DUMMYFUNCTION("""COMPUTED_VALUE"""),"Yes")</f>
        <v>Yes</v>
      </c>
      <c r="T751" s="5" t="str">
        <f ca="1">IFERROR(__xludf.DUMMYFUNCTION("""COMPUTED_VALUE"""),"Yes")</f>
        <v>Yes</v>
      </c>
      <c r="U751" s="5" t="str">
        <f ca="1">IFERROR(__xludf.DUMMYFUNCTION("""COMPUTED_VALUE"""),"Yes")</f>
        <v>Yes</v>
      </c>
      <c r="V751" s="5" t="str">
        <f ca="1">IFERROR(__xludf.DUMMYFUNCTION("""COMPUTED_VALUE"""),"Yes")</f>
        <v>Yes</v>
      </c>
      <c r="W751" s="5" t="str">
        <f ca="1">IFERROR(__xludf.DUMMYFUNCTION("""COMPUTED_VALUE"""),"Yes")</f>
        <v>Yes</v>
      </c>
      <c r="X751" s="5" t="str">
        <f ca="1">IFERROR(__xludf.DUMMYFUNCTION("""COMPUTED_VALUE"""),"Yes")</f>
        <v>Yes</v>
      </c>
      <c r="Y751" s="5" t="str">
        <f ca="1">IFERROR(__xludf.DUMMYFUNCTION("""COMPUTED_VALUE"""),"Yes")</f>
        <v>Yes</v>
      </c>
      <c r="Z751" s="5" t="str">
        <f ca="1">IFERROR(__xludf.DUMMYFUNCTION("""COMPUTED_VALUE"""),"Yes")</f>
        <v>Yes</v>
      </c>
      <c r="AA751" s="5" t="str">
        <f ca="1">IFERROR(__xludf.DUMMYFUNCTION("""COMPUTED_VALUE"""),"Yes")</f>
        <v>Yes</v>
      </c>
      <c r="AB751" s="5" t="str">
        <f ca="1">IFERROR(__xludf.DUMMYFUNCTION("""COMPUTED_VALUE"""),"Yes")</f>
        <v>Yes</v>
      </c>
      <c r="AC751" s="5" t="str">
        <f ca="1">IFERROR(__xludf.DUMMYFUNCTION("""COMPUTED_VALUE"""),"Yes")</f>
        <v>Yes</v>
      </c>
      <c r="AD751" s="5" t="str">
        <f ca="1">IFERROR(__xludf.DUMMYFUNCTION("""COMPUTED_VALUE"""),"Yes")</f>
        <v>Yes</v>
      </c>
      <c r="AE751" s="5" t="str">
        <f ca="1">IFERROR(__xludf.DUMMYFUNCTION("""COMPUTED_VALUE"""),"Yes")</f>
        <v>Yes</v>
      </c>
      <c r="AF751" s="5" t="str">
        <f ca="1">IFERROR(__xludf.DUMMYFUNCTION("""COMPUTED_VALUE"""),"Yes")</f>
        <v>Yes</v>
      </c>
      <c r="AG751" s="5" t="str">
        <f ca="1">IFERROR(__xludf.DUMMYFUNCTION("""COMPUTED_VALUE"""),"Yes")</f>
        <v>Yes</v>
      </c>
      <c r="AH751" s="5" t="str">
        <f ca="1">IFERROR(__xludf.DUMMYFUNCTION("""COMPUTED_VALUE"""),"Yes")</f>
        <v>Yes</v>
      </c>
      <c r="AI751" s="5" t="str">
        <f ca="1">IFERROR(__xludf.DUMMYFUNCTION("""COMPUTED_VALUE"""),"No")</f>
        <v>No</v>
      </c>
      <c r="AJ751" s="5" t="str">
        <f ca="1">IFERROR(__xludf.DUMMYFUNCTION("""COMPUTED_VALUE"""),"No")</f>
        <v>No</v>
      </c>
      <c r="AK751" s="5" t="str">
        <f ca="1">IFERROR(__xludf.DUMMYFUNCTION("""COMPUTED_VALUE"""),"No")</f>
        <v>No</v>
      </c>
      <c r="AL751" s="5" t="str">
        <f ca="1">IFERROR(__xludf.DUMMYFUNCTION("""COMPUTED_VALUE"""),"Yes")</f>
        <v>Yes</v>
      </c>
      <c r="AM751" s="5"/>
      <c r="AN751" s="5"/>
      <c r="AO751" s="5"/>
      <c r="AP751" s="5"/>
      <c r="AQ751" s="5"/>
      <c r="AR751" s="5"/>
      <c r="AS751" s="5"/>
      <c r="AT751" s="5"/>
      <c r="AU751" s="5"/>
      <c r="AV751" s="5"/>
      <c r="AW751" s="5"/>
      <c r="AX751" s="5"/>
      <c r="AY751" s="5"/>
    </row>
    <row r="752" spans="1:51" x14ac:dyDescent="0.25">
      <c r="A752"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52" s="5">
        <f ca="1">IFERROR(__xludf.DUMMYFUNCTION("""COMPUTED_VALUE"""),789)</f>
        <v>789</v>
      </c>
      <c r="C752" s="5">
        <f ca="1">IFERROR(__xludf.DUMMYFUNCTION("""COMPUTED_VALUE"""),5000000)</f>
        <v>5000000</v>
      </c>
      <c r="D752" s="5" t="str">
        <f ca="1">IFERROR(__xludf.DUMMYFUNCTION("""COMPUTED_VALUE"""),"SokoHotChiliFiesta")</f>
        <v>SokoHotChiliFiesta</v>
      </c>
      <c r="E752" s="5" t="str">
        <f ca="1">IFERROR(__xludf.DUMMYFUNCTION("""COMPUTED_VALUE"""),"Yes")</f>
        <v>Yes</v>
      </c>
      <c r="F752" s="5" t="str">
        <f ca="1">IFERROR(__xludf.DUMMYFUNCTION("""COMPUTED_VALUE"""),"Yes")</f>
        <v>Yes</v>
      </c>
      <c r="G752" s="5" t="str">
        <f ca="1">IFERROR(__xludf.DUMMYFUNCTION("""COMPUTED_VALUE"""),"Yes")</f>
        <v>Yes</v>
      </c>
      <c r="H752" s="5" t="str">
        <f ca="1">IFERROR(__xludf.DUMMYFUNCTION("""COMPUTED_VALUE"""),"Yes")</f>
        <v>Yes</v>
      </c>
      <c r="I752" s="5" t="str">
        <f ca="1">IFERROR(__xludf.DUMMYFUNCTION("""COMPUTED_VALUE"""),"Yes")</f>
        <v>Yes</v>
      </c>
      <c r="J752" s="5" t="str">
        <f ca="1">IFERROR(__xludf.DUMMYFUNCTION("""COMPUTED_VALUE"""),"Yes")</f>
        <v>Yes</v>
      </c>
      <c r="K752" s="5" t="str">
        <f ca="1">IFERROR(__xludf.DUMMYFUNCTION("""COMPUTED_VALUE"""),"Yes")</f>
        <v>Yes</v>
      </c>
      <c r="L752" s="5" t="str">
        <f ca="1">IFERROR(__xludf.DUMMYFUNCTION("""COMPUTED_VALUE"""),"Yes")</f>
        <v>Yes</v>
      </c>
      <c r="M752" s="5" t="str">
        <f ca="1">IFERROR(__xludf.DUMMYFUNCTION("""COMPUTED_VALUE"""),"Yes")</f>
        <v>Yes</v>
      </c>
      <c r="N752" s="5" t="str">
        <f ca="1">IFERROR(__xludf.DUMMYFUNCTION("""COMPUTED_VALUE"""),"Yes")</f>
        <v>Yes</v>
      </c>
      <c r="O752" s="5" t="str">
        <f ca="1">IFERROR(__xludf.DUMMYFUNCTION("""COMPUTED_VALUE"""),"Yes")</f>
        <v>Yes</v>
      </c>
      <c r="P752" s="5" t="str">
        <f ca="1">IFERROR(__xludf.DUMMYFUNCTION("""COMPUTED_VALUE"""),"Yes")</f>
        <v>Yes</v>
      </c>
      <c r="Q752" s="5" t="str">
        <f ca="1">IFERROR(__xludf.DUMMYFUNCTION("""COMPUTED_VALUE"""),"Yes")</f>
        <v>Yes</v>
      </c>
      <c r="R752" s="5" t="str">
        <f ca="1">IFERROR(__xludf.DUMMYFUNCTION("""COMPUTED_VALUE"""),"Yes")</f>
        <v>Yes</v>
      </c>
      <c r="S752" s="5" t="str">
        <f ca="1">IFERROR(__xludf.DUMMYFUNCTION("""COMPUTED_VALUE"""),"Yes")</f>
        <v>Yes</v>
      </c>
      <c r="T752" s="5" t="str">
        <f ca="1">IFERROR(__xludf.DUMMYFUNCTION("""COMPUTED_VALUE"""),"No")</f>
        <v>No</v>
      </c>
      <c r="U752" s="5" t="str">
        <f ca="1">IFERROR(__xludf.DUMMYFUNCTION("""COMPUTED_VALUE"""),"Yes")</f>
        <v>Yes</v>
      </c>
      <c r="V752" s="5" t="str">
        <f ca="1">IFERROR(__xludf.DUMMYFUNCTION("""COMPUTED_VALUE"""),"No")</f>
        <v>No</v>
      </c>
      <c r="W752" s="5" t="str">
        <f ca="1">IFERROR(__xludf.DUMMYFUNCTION("""COMPUTED_VALUE"""),"No")</f>
        <v>No</v>
      </c>
      <c r="X752" s="5" t="str">
        <f ca="1">IFERROR(__xludf.DUMMYFUNCTION("""COMPUTED_VALUE"""),"No")</f>
        <v>No</v>
      </c>
      <c r="Y752" s="5" t="str">
        <f ca="1">IFERROR(__xludf.DUMMYFUNCTION("""COMPUTED_VALUE"""),"No")</f>
        <v>No</v>
      </c>
      <c r="Z752" s="5" t="str">
        <f ca="1">IFERROR(__xludf.DUMMYFUNCTION("""COMPUTED_VALUE"""),"No")</f>
        <v>No</v>
      </c>
      <c r="AA752" s="5" t="str">
        <f ca="1">IFERROR(__xludf.DUMMYFUNCTION("""COMPUTED_VALUE"""),"No")</f>
        <v>No</v>
      </c>
      <c r="AB752" s="5" t="str">
        <f ca="1">IFERROR(__xludf.DUMMYFUNCTION("""COMPUTED_VALUE"""),"Yes")</f>
        <v>Yes</v>
      </c>
      <c r="AC752" s="5" t="str">
        <f ca="1">IFERROR(__xludf.DUMMYFUNCTION("""COMPUTED_VALUE"""),"No")</f>
        <v>No</v>
      </c>
      <c r="AD752" s="5" t="str">
        <f ca="1">IFERROR(__xludf.DUMMYFUNCTION("""COMPUTED_VALUE"""),"No")</f>
        <v>No</v>
      </c>
      <c r="AE752" s="5" t="str">
        <f ca="1">IFERROR(__xludf.DUMMYFUNCTION("""COMPUTED_VALUE"""),"No")</f>
        <v>No</v>
      </c>
      <c r="AF752" s="5" t="str">
        <f ca="1">IFERROR(__xludf.DUMMYFUNCTION("""COMPUTED_VALUE"""),"No")</f>
        <v>No</v>
      </c>
      <c r="AG752" s="5" t="str">
        <f ca="1">IFERROR(__xludf.DUMMYFUNCTION("""COMPUTED_VALUE"""),"No")</f>
        <v>No</v>
      </c>
      <c r="AH752" s="5" t="str">
        <f ca="1">IFERROR(__xludf.DUMMYFUNCTION("""COMPUTED_VALUE"""),"No")</f>
        <v>No</v>
      </c>
      <c r="AI752" s="5" t="str">
        <f ca="1">IFERROR(__xludf.DUMMYFUNCTION("""COMPUTED_VALUE"""),"No")</f>
        <v>No</v>
      </c>
      <c r="AJ752" s="5" t="str">
        <f ca="1">IFERROR(__xludf.DUMMYFUNCTION("""COMPUTED_VALUE"""),"No")</f>
        <v>No</v>
      </c>
      <c r="AK752" s="5" t="str">
        <f ca="1">IFERROR(__xludf.DUMMYFUNCTION("""COMPUTED_VALUE"""),"No")</f>
        <v>No</v>
      </c>
      <c r="AL752" s="5" t="str">
        <f ca="1">IFERROR(__xludf.DUMMYFUNCTION("""COMPUTED_VALUE"""),"No")</f>
        <v>No</v>
      </c>
      <c r="AM752" s="5"/>
      <c r="AN752" s="5"/>
      <c r="AO752" s="5"/>
      <c r="AP752" s="5"/>
      <c r="AQ752" s="5"/>
      <c r="AR752" s="5"/>
      <c r="AS752" s="5"/>
      <c r="AT752" s="5"/>
      <c r="AU752" s="5"/>
      <c r="AV752" s="5"/>
      <c r="AW752" s="5"/>
      <c r="AX752" s="5"/>
      <c r="AY752" s="5"/>
    </row>
    <row r="753" spans="1:51" x14ac:dyDescent="0.25">
      <c r="A7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3" s="5">
        <f ca="1">IFERROR(__xludf.DUMMYFUNCTION("""COMPUTED_VALUE"""),790)</f>
        <v>790</v>
      </c>
      <c r="C753" s="5">
        <f ca="1">IFERROR(__xludf.DUMMYFUNCTION("""COMPUTED_VALUE"""),2024)</f>
        <v>2024</v>
      </c>
      <c r="D753" s="5" t="str">
        <f ca="1">IFERROR(__xludf.DUMMYFUNCTION("""COMPUTED_VALUE"""),"CoinkBank")</f>
        <v>CoinkBank</v>
      </c>
      <c r="E753" s="5" t="str">
        <f ca="1">IFERROR(__xludf.DUMMYFUNCTION("""COMPUTED_VALUE"""),"Yes")</f>
        <v>Yes</v>
      </c>
      <c r="F753" s="5" t="str">
        <f ca="1">IFERROR(__xludf.DUMMYFUNCTION("""COMPUTED_VALUE"""),"Yes")</f>
        <v>Yes</v>
      </c>
      <c r="G753" s="5" t="str">
        <f ca="1">IFERROR(__xludf.DUMMYFUNCTION("""COMPUTED_VALUE"""),"Yes")</f>
        <v>Yes</v>
      </c>
      <c r="H753" s="5" t="str">
        <f ca="1">IFERROR(__xludf.DUMMYFUNCTION("""COMPUTED_VALUE"""),"Yes")</f>
        <v>Yes</v>
      </c>
      <c r="I753" s="5" t="str">
        <f ca="1">IFERROR(__xludf.DUMMYFUNCTION("""COMPUTED_VALUE"""),"Yes")</f>
        <v>Yes</v>
      </c>
      <c r="J753" s="5" t="str">
        <f ca="1">IFERROR(__xludf.DUMMYFUNCTION("""COMPUTED_VALUE"""),"Yes")</f>
        <v>Yes</v>
      </c>
      <c r="K753" s="5" t="str">
        <f ca="1">IFERROR(__xludf.DUMMYFUNCTION("""COMPUTED_VALUE"""),"Yes")</f>
        <v>Yes</v>
      </c>
      <c r="L753" s="5" t="str">
        <f ca="1">IFERROR(__xludf.DUMMYFUNCTION("""COMPUTED_VALUE"""),"Yes")</f>
        <v>Yes</v>
      </c>
      <c r="M753" s="5" t="str">
        <f ca="1">IFERROR(__xludf.DUMMYFUNCTION("""COMPUTED_VALUE"""),"Yes")</f>
        <v>Yes</v>
      </c>
      <c r="N753" s="5" t="str">
        <f ca="1">IFERROR(__xludf.DUMMYFUNCTION("""COMPUTED_VALUE"""),"Yes")</f>
        <v>Yes</v>
      </c>
      <c r="O753" s="5" t="str">
        <f ca="1">IFERROR(__xludf.DUMMYFUNCTION("""COMPUTED_VALUE"""),"Yes")</f>
        <v>Yes</v>
      </c>
      <c r="P753" s="5" t="str">
        <f ca="1">IFERROR(__xludf.DUMMYFUNCTION("""COMPUTED_VALUE"""),"Yes")</f>
        <v>Yes</v>
      </c>
      <c r="Q753" s="5" t="str">
        <f ca="1">IFERROR(__xludf.DUMMYFUNCTION("""COMPUTED_VALUE"""),"Yes")</f>
        <v>Yes</v>
      </c>
      <c r="R753" s="5" t="str">
        <f ca="1">IFERROR(__xludf.DUMMYFUNCTION("""COMPUTED_VALUE"""),"Yes")</f>
        <v>Yes</v>
      </c>
      <c r="S753" s="5" t="str">
        <f ca="1">IFERROR(__xludf.DUMMYFUNCTION("""COMPUTED_VALUE"""),"Yes")</f>
        <v>Yes</v>
      </c>
      <c r="T753" s="5" t="str">
        <f ca="1">IFERROR(__xludf.DUMMYFUNCTION("""COMPUTED_VALUE"""),"Yes")</f>
        <v>Yes</v>
      </c>
      <c r="U753" s="5" t="str">
        <f ca="1">IFERROR(__xludf.DUMMYFUNCTION("""COMPUTED_VALUE"""),"Yes")</f>
        <v>Yes</v>
      </c>
      <c r="V753" s="5" t="str">
        <f ca="1">IFERROR(__xludf.DUMMYFUNCTION("""COMPUTED_VALUE"""),"Yes")</f>
        <v>Yes</v>
      </c>
      <c r="W753" s="5" t="str">
        <f ca="1">IFERROR(__xludf.DUMMYFUNCTION("""COMPUTED_VALUE"""),"Yes")</f>
        <v>Yes</v>
      </c>
      <c r="X753" s="5" t="str">
        <f ca="1">IFERROR(__xludf.DUMMYFUNCTION("""COMPUTED_VALUE"""),"Yes")</f>
        <v>Yes</v>
      </c>
      <c r="Y753" s="5" t="str">
        <f ca="1">IFERROR(__xludf.DUMMYFUNCTION("""COMPUTED_VALUE"""),"Yes")</f>
        <v>Yes</v>
      </c>
      <c r="Z753" s="5" t="str">
        <f ca="1">IFERROR(__xludf.DUMMYFUNCTION("""COMPUTED_VALUE"""),"Yes")</f>
        <v>Yes</v>
      </c>
      <c r="AA753" s="5" t="str">
        <f ca="1">IFERROR(__xludf.DUMMYFUNCTION("""COMPUTED_VALUE"""),"Yes")</f>
        <v>Yes</v>
      </c>
      <c r="AB753" s="5" t="str">
        <f ca="1">IFERROR(__xludf.DUMMYFUNCTION("""COMPUTED_VALUE"""),"Yes")</f>
        <v>Yes</v>
      </c>
      <c r="AC753" s="5" t="str">
        <f ca="1">IFERROR(__xludf.DUMMYFUNCTION("""COMPUTED_VALUE"""),"Yes")</f>
        <v>Yes</v>
      </c>
      <c r="AD753" s="5" t="str">
        <f ca="1">IFERROR(__xludf.DUMMYFUNCTION("""COMPUTED_VALUE"""),"Yes")</f>
        <v>Yes</v>
      </c>
      <c r="AE753" s="5" t="str">
        <f ca="1">IFERROR(__xludf.DUMMYFUNCTION("""COMPUTED_VALUE"""),"Yes")</f>
        <v>Yes</v>
      </c>
      <c r="AF753" s="5" t="str">
        <f ca="1">IFERROR(__xludf.DUMMYFUNCTION("""COMPUTED_VALUE"""),"Yes")</f>
        <v>Yes</v>
      </c>
      <c r="AG753" s="5" t="str">
        <f ca="1">IFERROR(__xludf.DUMMYFUNCTION("""COMPUTED_VALUE"""),"Yes")</f>
        <v>Yes</v>
      </c>
      <c r="AH753" s="5" t="str">
        <f ca="1">IFERROR(__xludf.DUMMYFUNCTION("""COMPUTED_VALUE"""),"Yes")</f>
        <v>Yes</v>
      </c>
      <c r="AI753" s="5" t="str">
        <f ca="1">IFERROR(__xludf.DUMMYFUNCTION("""COMPUTED_VALUE"""),"No")</f>
        <v>No</v>
      </c>
      <c r="AJ753" s="5" t="str">
        <f ca="1">IFERROR(__xludf.DUMMYFUNCTION("""COMPUTED_VALUE"""),"No")</f>
        <v>No</v>
      </c>
      <c r="AK753" s="5" t="str">
        <f ca="1">IFERROR(__xludf.DUMMYFUNCTION("""COMPUTED_VALUE"""),"No")</f>
        <v>No</v>
      </c>
      <c r="AL753" s="5" t="str">
        <f ca="1">IFERROR(__xludf.DUMMYFUNCTION("""COMPUTED_VALUE"""),"No")</f>
        <v>No</v>
      </c>
      <c r="AM753" s="5"/>
      <c r="AN753" s="5"/>
      <c r="AO753" s="5"/>
      <c r="AP753" s="5"/>
      <c r="AQ753" s="5"/>
      <c r="AR753" s="5"/>
      <c r="AS753" s="5"/>
      <c r="AT753" s="5"/>
      <c r="AU753" s="5"/>
      <c r="AV753" s="5"/>
      <c r="AW753" s="5"/>
      <c r="AX753" s="5"/>
      <c r="AY753" s="5"/>
    </row>
    <row r="754" spans="1:51" x14ac:dyDescent="0.25">
      <c r="A7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4" s="5">
        <f ca="1">IFERROR(__xludf.DUMMYFUNCTION("""COMPUTED_VALUE"""),791)</f>
        <v>791</v>
      </c>
      <c r="C754" s="5">
        <f ca="1">IFERROR(__xludf.DUMMYFUNCTION("""COMPUTED_VALUE"""),5003)</f>
        <v>5003</v>
      </c>
      <c r="D754" s="5" t="str">
        <f ca="1">IFERROR(__xludf.DUMMYFUNCTION("""COMPUTED_VALUE"""),"RetroFlame5")</f>
        <v>RetroFlame5</v>
      </c>
      <c r="E754" s="5" t="str">
        <f ca="1">IFERROR(__xludf.DUMMYFUNCTION("""COMPUTED_VALUE"""),"Yes")</f>
        <v>Yes</v>
      </c>
      <c r="F754" s="5" t="str">
        <f ca="1">IFERROR(__xludf.DUMMYFUNCTION("""COMPUTED_VALUE"""),"Yes")</f>
        <v>Yes</v>
      </c>
      <c r="G754" s="5" t="str">
        <f ca="1">IFERROR(__xludf.DUMMYFUNCTION("""COMPUTED_VALUE"""),"Yes")</f>
        <v>Yes</v>
      </c>
      <c r="H754" s="5" t="str">
        <f ca="1">IFERROR(__xludf.DUMMYFUNCTION("""COMPUTED_VALUE"""),"Yes")</f>
        <v>Yes</v>
      </c>
      <c r="I754" s="5" t="str">
        <f ca="1">IFERROR(__xludf.DUMMYFUNCTION("""COMPUTED_VALUE"""),"Yes")</f>
        <v>Yes</v>
      </c>
      <c r="J754" s="5" t="str">
        <f ca="1">IFERROR(__xludf.DUMMYFUNCTION("""COMPUTED_VALUE"""),"Yes")</f>
        <v>Yes</v>
      </c>
      <c r="K754" s="5" t="str">
        <f ca="1">IFERROR(__xludf.DUMMYFUNCTION("""COMPUTED_VALUE"""),"Yes")</f>
        <v>Yes</v>
      </c>
      <c r="L754" s="5" t="str">
        <f ca="1">IFERROR(__xludf.DUMMYFUNCTION("""COMPUTED_VALUE"""),"Yes")</f>
        <v>Yes</v>
      </c>
      <c r="M754" s="5" t="str">
        <f ca="1">IFERROR(__xludf.DUMMYFUNCTION("""COMPUTED_VALUE"""),"Yes")</f>
        <v>Yes</v>
      </c>
      <c r="N754" s="5" t="str">
        <f ca="1">IFERROR(__xludf.DUMMYFUNCTION("""COMPUTED_VALUE"""),"Yes")</f>
        <v>Yes</v>
      </c>
      <c r="O754" s="5" t="str">
        <f ca="1">IFERROR(__xludf.DUMMYFUNCTION("""COMPUTED_VALUE"""),"Yes")</f>
        <v>Yes</v>
      </c>
      <c r="P754" s="5" t="str">
        <f ca="1">IFERROR(__xludf.DUMMYFUNCTION("""COMPUTED_VALUE"""),"Yes")</f>
        <v>Yes</v>
      </c>
      <c r="Q754" s="5" t="str">
        <f ca="1">IFERROR(__xludf.DUMMYFUNCTION("""COMPUTED_VALUE"""),"Yes")</f>
        <v>Yes</v>
      </c>
      <c r="R754" s="5" t="str">
        <f ca="1">IFERROR(__xludf.DUMMYFUNCTION("""COMPUTED_VALUE"""),"Yes")</f>
        <v>Yes</v>
      </c>
      <c r="S754" s="5" t="str">
        <f ca="1">IFERROR(__xludf.DUMMYFUNCTION("""COMPUTED_VALUE"""),"Yes")</f>
        <v>Yes</v>
      </c>
      <c r="T754" s="5" t="str">
        <f ca="1">IFERROR(__xludf.DUMMYFUNCTION("""COMPUTED_VALUE"""),"Yes")</f>
        <v>Yes</v>
      </c>
      <c r="U754" s="5" t="str">
        <f ca="1">IFERROR(__xludf.DUMMYFUNCTION("""COMPUTED_VALUE"""),"Yes")</f>
        <v>Yes</v>
      </c>
      <c r="V754" s="5" t="str">
        <f ca="1">IFERROR(__xludf.DUMMYFUNCTION("""COMPUTED_VALUE"""),"Yes")</f>
        <v>Yes</v>
      </c>
      <c r="W754" s="5" t="str">
        <f ca="1">IFERROR(__xludf.DUMMYFUNCTION("""COMPUTED_VALUE"""),"Yes")</f>
        <v>Yes</v>
      </c>
      <c r="X754" s="5" t="str">
        <f ca="1">IFERROR(__xludf.DUMMYFUNCTION("""COMPUTED_VALUE"""),"Yes")</f>
        <v>Yes</v>
      </c>
      <c r="Y754" s="5" t="str">
        <f ca="1">IFERROR(__xludf.DUMMYFUNCTION("""COMPUTED_VALUE"""),"Yes")</f>
        <v>Yes</v>
      </c>
      <c r="Z754" s="5" t="str">
        <f ca="1">IFERROR(__xludf.DUMMYFUNCTION("""COMPUTED_VALUE"""),"Yes")</f>
        <v>Yes</v>
      </c>
      <c r="AA754" s="5" t="str">
        <f ca="1">IFERROR(__xludf.DUMMYFUNCTION("""COMPUTED_VALUE"""),"Yes")</f>
        <v>Yes</v>
      </c>
      <c r="AB754" s="5" t="str">
        <f ca="1">IFERROR(__xludf.DUMMYFUNCTION("""COMPUTED_VALUE"""),"Yes")</f>
        <v>Yes</v>
      </c>
      <c r="AC754" s="5" t="str">
        <f ca="1">IFERROR(__xludf.DUMMYFUNCTION("""COMPUTED_VALUE"""),"Yes")</f>
        <v>Yes</v>
      </c>
      <c r="AD754" s="5" t="str">
        <f ca="1">IFERROR(__xludf.DUMMYFUNCTION("""COMPUTED_VALUE"""),"Yes")</f>
        <v>Yes</v>
      </c>
      <c r="AE754" s="5" t="str">
        <f ca="1">IFERROR(__xludf.DUMMYFUNCTION("""COMPUTED_VALUE"""),"Yes")</f>
        <v>Yes</v>
      </c>
      <c r="AF754" s="5" t="str">
        <f ca="1">IFERROR(__xludf.DUMMYFUNCTION("""COMPUTED_VALUE"""),"Yes")</f>
        <v>Yes</v>
      </c>
      <c r="AG754" s="5" t="str">
        <f ca="1">IFERROR(__xludf.DUMMYFUNCTION("""COMPUTED_VALUE"""),"Yes")</f>
        <v>Yes</v>
      </c>
      <c r="AH754" s="5" t="str">
        <f ca="1">IFERROR(__xludf.DUMMYFUNCTION("""COMPUTED_VALUE"""),"Yes")</f>
        <v>Yes</v>
      </c>
      <c r="AI754" s="5" t="str">
        <f ca="1">IFERROR(__xludf.DUMMYFUNCTION("""COMPUTED_VALUE"""),"No")</f>
        <v>No</v>
      </c>
      <c r="AJ754" s="5" t="str">
        <f ca="1">IFERROR(__xludf.DUMMYFUNCTION("""COMPUTED_VALUE"""),"No")</f>
        <v>No</v>
      </c>
      <c r="AK754" s="5" t="str">
        <f ca="1">IFERROR(__xludf.DUMMYFUNCTION("""COMPUTED_VALUE"""),"No")</f>
        <v>No</v>
      </c>
      <c r="AL754" s="5" t="str">
        <f ca="1">IFERROR(__xludf.DUMMYFUNCTION("""COMPUTED_VALUE"""),"No")</f>
        <v>No</v>
      </c>
      <c r="AM754" s="5"/>
      <c r="AN754" s="5"/>
      <c r="AO754" s="5"/>
      <c r="AP754" s="5"/>
      <c r="AQ754" s="5"/>
      <c r="AR754" s="5"/>
      <c r="AS754" s="5"/>
      <c r="AT754" s="5"/>
      <c r="AU754" s="5"/>
      <c r="AV754" s="5"/>
      <c r="AW754" s="5"/>
      <c r="AX754" s="5"/>
      <c r="AY754" s="5"/>
    </row>
    <row r="755" spans="1:51" x14ac:dyDescent="0.25">
      <c r="A7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5" s="5">
        <f ca="1">IFERROR(__xludf.DUMMYFUNCTION("""COMPUTED_VALUE"""),792)</f>
        <v>792</v>
      </c>
      <c r="C755" s="5">
        <f ca="1">IFERROR(__xludf.DUMMYFUNCTION("""COMPUTED_VALUE"""),5005)</f>
        <v>5005</v>
      </c>
      <c r="D755" s="5" t="str">
        <f ca="1">IFERROR(__xludf.DUMMYFUNCTION("""COMPUTED_VALUE"""),"WinningFruits20")</f>
        <v>WinningFruits20</v>
      </c>
      <c r="E755" s="5" t="str">
        <f ca="1">IFERROR(__xludf.DUMMYFUNCTION("""COMPUTED_VALUE"""),"Yes")</f>
        <v>Yes</v>
      </c>
      <c r="F755" s="5" t="str">
        <f ca="1">IFERROR(__xludf.DUMMYFUNCTION("""COMPUTED_VALUE"""),"Yes")</f>
        <v>Yes</v>
      </c>
      <c r="G755" s="5" t="str">
        <f ca="1">IFERROR(__xludf.DUMMYFUNCTION("""COMPUTED_VALUE"""),"Yes")</f>
        <v>Yes</v>
      </c>
      <c r="H755" s="5" t="str">
        <f ca="1">IFERROR(__xludf.DUMMYFUNCTION("""COMPUTED_VALUE"""),"Yes")</f>
        <v>Yes</v>
      </c>
      <c r="I755" s="5" t="str">
        <f ca="1">IFERROR(__xludf.DUMMYFUNCTION("""COMPUTED_VALUE"""),"Yes")</f>
        <v>Yes</v>
      </c>
      <c r="J755" s="5" t="str">
        <f ca="1">IFERROR(__xludf.DUMMYFUNCTION("""COMPUTED_VALUE"""),"Yes")</f>
        <v>Yes</v>
      </c>
      <c r="K755" s="5" t="str">
        <f ca="1">IFERROR(__xludf.DUMMYFUNCTION("""COMPUTED_VALUE"""),"Yes")</f>
        <v>Yes</v>
      </c>
      <c r="L755" s="5" t="str">
        <f ca="1">IFERROR(__xludf.DUMMYFUNCTION("""COMPUTED_VALUE"""),"Yes")</f>
        <v>Yes</v>
      </c>
      <c r="M755" s="5" t="str">
        <f ca="1">IFERROR(__xludf.DUMMYFUNCTION("""COMPUTED_VALUE"""),"Yes")</f>
        <v>Yes</v>
      </c>
      <c r="N755" s="5" t="str">
        <f ca="1">IFERROR(__xludf.DUMMYFUNCTION("""COMPUTED_VALUE"""),"Yes")</f>
        <v>Yes</v>
      </c>
      <c r="O755" s="5" t="str">
        <f ca="1">IFERROR(__xludf.DUMMYFUNCTION("""COMPUTED_VALUE"""),"Yes")</f>
        <v>Yes</v>
      </c>
      <c r="P755" s="5" t="str">
        <f ca="1">IFERROR(__xludf.DUMMYFUNCTION("""COMPUTED_VALUE"""),"Yes")</f>
        <v>Yes</v>
      </c>
      <c r="Q755" s="5" t="str">
        <f ca="1">IFERROR(__xludf.DUMMYFUNCTION("""COMPUTED_VALUE"""),"Yes")</f>
        <v>Yes</v>
      </c>
      <c r="R755" s="5" t="str">
        <f ca="1">IFERROR(__xludf.DUMMYFUNCTION("""COMPUTED_VALUE"""),"Yes")</f>
        <v>Yes</v>
      </c>
      <c r="S755" s="5" t="str">
        <f ca="1">IFERROR(__xludf.DUMMYFUNCTION("""COMPUTED_VALUE"""),"Yes")</f>
        <v>Yes</v>
      </c>
      <c r="T755" s="5" t="str">
        <f ca="1">IFERROR(__xludf.DUMMYFUNCTION("""COMPUTED_VALUE"""),"Yes")</f>
        <v>Yes</v>
      </c>
      <c r="U755" s="5" t="str">
        <f ca="1">IFERROR(__xludf.DUMMYFUNCTION("""COMPUTED_VALUE"""),"Yes")</f>
        <v>Yes</v>
      </c>
      <c r="V755" s="5" t="str">
        <f ca="1">IFERROR(__xludf.DUMMYFUNCTION("""COMPUTED_VALUE"""),"Yes")</f>
        <v>Yes</v>
      </c>
      <c r="W755" s="5" t="str">
        <f ca="1">IFERROR(__xludf.DUMMYFUNCTION("""COMPUTED_VALUE"""),"Yes")</f>
        <v>Yes</v>
      </c>
      <c r="X755" s="5" t="str">
        <f ca="1">IFERROR(__xludf.DUMMYFUNCTION("""COMPUTED_VALUE"""),"Yes")</f>
        <v>Yes</v>
      </c>
      <c r="Y755" s="5" t="str">
        <f ca="1">IFERROR(__xludf.DUMMYFUNCTION("""COMPUTED_VALUE"""),"Yes")</f>
        <v>Yes</v>
      </c>
      <c r="Z755" s="5" t="str">
        <f ca="1">IFERROR(__xludf.DUMMYFUNCTION("""COMPUTED_VALUE"""),"Yes")</f>
        <v>Yes</v>
      </c>
      <c r="AA755" s="5" t="str">
        <f ca="1">IFERROR(__xludf.DUMMYFUNCTION("""COMPUTED_VALUE"""),"Yes")</f>
        <v>Yes</v>
      </c>
      <c r="AB755" s="5" t="str">
        <f ca="1">IFERROR(__xludf.DUMMYFUNCTION("""COMPUTED_VALUE"""),"Yes")</f>
        <v>Yes</v>
      </c>
      <c r="AC755" s="5" t="str">
        <f ca="1">IFERROR(__xludf.DUMMYFUNCTION("""COMPUTED_VALUE"""),"Yes")</f>
        <v>Yes</v>
      </c>
      <c r="AD755" s="5" t="str">
        <f ca="1">IFERROR(__xludf.DUMMYFUNCTION("""COMPUTED_VALUE"""),"Yes")</f>
        <v>Yes</v>
      </c>
      <c r="AE755" s="5" t="str">
        <f ca="1">IFERROR(__xludf.DUMMYFUNCTION("""COMPUTED_VALUE"""),"Yes")</f>
        <v>Yes</v>
      </c>
      <c r="AF755" s="5" t="str">
        <f ca="1">IFERROR(__xludf.DUMMYFUNCTION("""COMPUTED_VALUE"""),"Yes")</f>
        <v>Yes</v>
      </c>
      <c r="AG755" s="5" t="str">
        <f ca="1">IFERROR(__xludf.DUMMYFUNCTION("""COMPUTED_VALUE"""),"Yes")</f>
        <v>Yes</v>
      </c>
      <c r="AH755" s="5" t="str">
        <f ca="1">IFERROR(__xludf.DUMMYFUNCTION("""COMPUTED_VALUE"""),"Yes")</f>
        <v>Yes</v>
      </c>
      <c r="AI755" s="5" t="str">
        <f ca="1">IFERROR(__xludf.DUMMYFUNCTION("""COMPUTED_VALUE"""),"No")</f>
        <v>No</v>
      </c>
      <c r="AJ755" s="5" t="str">
        <f ca="1">IFERROR(__xludf.DUMMYFUNCTION("""COMPUTED_VALUE"""),"No")</f>
        <v>No</v>
      </c>
      <c r="AK755" s="5" t="str">
        <f ca="1">IFERROR(__xludf.DUMMYFUNCTION("""COMPUTED_VALUE"""),"No")</f>
        <v>No</v>
      </c>
      <c r="AL755" s="5" t="str">
        <f ca="1">IFERROR(__xludf.DUMMYFUNCTION("""COMPUTED_VALUE"""),"No")</f>
        <v>No</v>
      </c>
      <c r="AM755" s="5"/>
      <c r="AN755" s="5"/>
      <c r="AO755" s="5"/>
      <c r="AP755" s="5"/>
      <c r="AQ755" s="5"/>
      <c r="AR755" s="5"/>
      <c r="AS755" s="5"/>
      <c r="AT755" s="5"/>
      <c r="AU755" s="5"/>
      <c r="AV755" s="5"/>
      <c r="AW755" s="5"/>
      <c r="AX755" s="5"/>
      <c r="AY755" s="5"/>
    </row>
    <row r="756" spans="1:51" x14ac:dyDescent="0.25">
      <c r="A7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6" s="5">
        <f ca="1">IFERROR(__xludf.DUMMYFUNCTION("""COMPUTED_VALUE"""),793)</f>
        <v>793</v>
      </c>
      <c r="C756" s="5">
        <f ca="1">IFERROR(__xludf.DUMMYFUNCTION("""COMPUTED_VALUE"""),5006)</f>
        <v>5006</v>
      </c>
      <c r="D756" s="5" t="str">
        <f ca="1">IFERROR(__xludf.DUMMYFUNCTION("""COMPUTED_VALUE"""),"MagicMultiWin")</f>
        <v>MagicMultiWin</v>
      </c>
      <c r="E756" s="5" t="str">
        <f ca="1">IFERROR(__xludf.DUMMYFUNCTION("""COMPUTED_VALUE"""),"Yes")</f>
        <v>Yes</v>
      </c>
      <c r="F756" s="5" t="str">
        <f ca="1">IFERROR(__xludf.DUMMYFUNCTION("""COMPUTED_VALUE"""),"Yes")</f>
        <v>Yes</v>
      </c>
      <c r="G756" s="5" t="str">
        <f ca="1">IFERROR(__xludf.DUMMYFUNCTION("""COMPUTED_VALUE"""),"Yes")</f>
        <v>Yes</v>
      </c>
      <c r="H756" s="5" t="str">
        <f ca="1">IFERROR(__xludf.DUMMYFUNCTION("""COMPUTED_VALUE"""),"Yes")</f>
        <v>Yes</v>
      </c>
      <c r="I756" s="5" t="str">
        <f ca="1">IFERROR(__xludf.DUMMYFUNCTION("""COMPUTED_VALUE"""),"Yes")</f>
        <v>Yes</v>
      </c>
      <c r="J756" s="5" t="str">
        <f ca="1">IFERROR(__xludf.DUMMYFUNCTION("""COMPUTED_VALUE"""),"Yes")</f>
        <v>Yes</v>
      </c>
      <c r="K756" s="5" t="str">
        <f ca="1">IFERROR(__xludf.DUMMYFUNCTION("""COMPUTED_VALUE"""),"Yes")</f>
        <v>Yes</v>
      </c>
      <c r="L756" s="5" t="str">
        <f ca="1">IFERROR(__xludf.DUMMYFUNCTION("""COMPUTED_VALUE"""),"Yes")</f>
        <v>Yes</v>
      </c>
      <c r="M756" s="5" t="str">
        <f ca="1">IFERROR(__xludf.DUMMYFUNCTION("""COMPUTED_VALUE"""),"Yes")</f>
        <v>Yes</v>
      </c>
      <c r="N756" s="5" t="str">
        <f ca="1">IFERROR(__xludf.DUMMYFUNCTION("""COMPUTED_VALUE"""),"Yes")</f>
        <v>Yes</v>
      </c>
      <c r="O756" s="5" t="str">
        <f ca="1">IFERROR(__xludf.DUMMYFUNCTION("""COMPUTED_VALUE"""),"Yes")</f>
        <v>Yes</v>
      </c>
      <c r="P756" s="5" t="str">
        <f ca="1">IFERROR(__xludf.DUMMYFUNCTION("""COMPUTED_VALUE"""),"Yes")</f>
        <v>Yes</v>
      </c>
      <c r="Q756" s="5" t="str">
        <f ca="1">IFERROR(__xludf.DUMMYFUNCTION("""COMPUTED_VALUE"""),"Yes")</f>
        <v>Yes</v>
      </c>
      <c r="R756" s="5" t="str">
        <f ca="1">IFERROR(__xludf.DUMMYFUNCTION("""COMPUTED_VALUE"""),"Yes")</f>
        <v>Yes</v>
      </c>
      <c r="S756" s="5" t="str">
        <f ca="1">IFERROR(__xludf.DUMMYFUNCTION("""COMPUTED_VALUE"""),"Yes")</f>
        <v>Yes</v>
      </c>
      <c r="T756" s="5" t="str">
        <f ca="1">IFERROR(__xludf.DUMMYFUNCTION("""COMPUTED_VALUE"""),"Yes")</f>
        <v>Yes</v>
      </c>
      <c r="U756" s="5" t="str">
        <f ca="1">IFERROR(__xludf.DUMMYFUNCTION("""COMPUTED_VALUE"""),"Yes")</f>
        <v>Yes</v>
      </c>
      <c r="V756" s="5" t="str">
        <f ca="1">IFERROR(__xludf.DUMMYFUNCTION("""COMPUTED_VALUE"""),"Yes")</f>
        <v>Yes</v>
      </c>
      <c r="W756" s="5" t="str">
        <f ca="1">IFERROR(__xludf.DUMMYFUNCTION("""COMPUTED_VALUE"""),"Yes")</f>
        <v>Yes</v>
      </c>
      <c r="X756" s="5" t="str">
        <f ca="1">IFERROR(__xludf.DUMMYFUNCTION("""COMPUTED_VALUE"""),"Yes")</f>
        <v>Yes</v>
      </c>
      <c r="Y756" s="5" t="str">
        <f ca="1">IFERROR(__xludf.DUMMYFUNCTION("""COMPUTED_VALUE"""),"Yes")</f>
        <v>Yes</v>
      </c>
      <c r="Z756" s="5" t="str">
        <f ca="1">IFERROR(__xludf.DUMMYFUNCTION("""COMPUTED_VALUE"""),"Yes")</f>
        <v>Yes</v>
      </c>
      <c r="AA756" s="5" t="str">
        <f ca="1">IFERROR(__xludf.DUMMYFUNCTION("""COMPUTED_VALUE"""),"Yes")</f>
        <v>Yes</v>
      </c>
      <c r="AB756" s="5" t="str">
        <f ca="1">IFERROR(__xludf.DUMMYFUNCTION("""COMPUTED_VALUE"""),"Yes")</f>
        <v>Yes</v>
      </c>
      <c r="AC756" s="5" t="str">
        <f ca="1">IFERROR(__xludf.DUMMYFUNCTION("""COMPUTED_VALUE"""),"Yes")</f>
        <v>Yes</v>
      </c>
      <c r="AD756" s="5" t="str">
        <f ca="1">IFERROR(__xludf.DUMMYFUNCTION("""COMPUTED_VALUE"""),"Yes")</f>
        <v>Yes</v>
      </c>
      <c r="AE756" s="5" t="str">
        <f ca="1">IFERROR(__xludf.DUMMYFUNCTION("""COMPUTED_VALUE"""),"Yes")</f>
        <v>Yes</v>
      </c>
      <c r="AF756" s="5" t="str">
        <f ca="1">IFERROR(__xludf.DUMMYFUNCTION("""COMPUTED_VALUE"""),"Yes")</f>
        <v>Yes</v>
      </c>
      <c r="AG756" s="5" t="str">
        <f ca="1">IFERROR(__xludf.DUMMYFUNCTION("""COMPUTED_VALUE"""),"Yes")</f>
        <v>Yes</v>
      </c>
      <c r="AH756" s="5" t="str">
        <f ca="1">IFERROR(__xludf.DUMMYFUNCTION("""COMPUTED_VALUE"""),"Yes")</f>
        <v>Yes</v>
      </c>
      <c r="AI756" s="5" t="str">
        <f ca="1">IFERROR(__xludf.DUMMYFUNCTION("""COMPUTED_VALUE"""),"No")</f>
        <v>No</v>
      </c>
      <c r="AJ756" s="5" t="str">
        <f ca="1">IFERROR(__xludf.DUMMYFUNCTION("""COMPUTED_VALUE"""),"No")</f>
        <v>No</v>
      </c>
      <c r="AK756" s="5" t="str">
        <f ca="1">IFERROR(__xludf.DUMMYFUNCTION("""COMPUTED_VALUE"""),"No")</f>
        <v>No</v>
      </c>
      <c r="AL756" s="5" t="str">
        <f ca="1">IFERROR(__xludf.DUMMYFUNCTION("""COMPUTED_VALUE"""),"No")</f>
        <v>No</v>
      </c>
      <c r="AM756" s="5"/>
      <c r="AN756" s="5"/>
      <c r="AO756" s="5"/>
      <c r="AP756" s="5"/>
      <c r="AQ756" s="5"/>
      <c r="AR756" s="5"/>
      <c r="AS756" s="5"/>
      <c r="AT756" s="5"/>
      <c r="AU756" s="5"/>
      <c r="AV756" s="5"/>
      <c r="AW756" s="5"/>
      <c r="AX756" s="5"/>
      <c r="AY756" s="5"/>
    </row>
    <row r="757" spans="1:51" x14ac:dyDescent="0.25">
      <c r="A7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7" s="5">
        <f ca="1">IFERROR(__xludf.DUMMYFUNCTION("""COMPUTED_VALUE"""),794)</f>
        <v>794</v>
      </c>
      <c r="C757" s="5">
        <f ca="1">IFERROR(__xludf.DUMMYFUNCTION("""COMPUTED_VALUE"""),2022)</f>
        <v>2022</v>
      </c>
      <c r="D757" s="5" t="str">
        <f ca="1">IFERROR(__xludf.DUMMYFUNCTION("""COMPUTED_VALUE"""),"ChilliBurst")</f>
        <v>ChilliBurst</v>
      </c>
      <c r="E757" s="5" t="str">
        <f ca="1">IFERROR(__xludf.DUMMYFUNCTION("""COMPUTED_VALUE"""),"Yes")</f>
        <v>Yes</v>
      </c>
      <c r="F757" s="5" t="str">
        <f ca="1">IFERROR(__xludf.DUMMYFUNCTION("""COMPUTED_VALUE"""),"Yes")</f>
        <v>Yes</v>
      </c>
      <c r="G757" s="5" t="str">
        <f ca="1">IFERROR(__xludf.DUMMYFUNCTION("""COMPUTED_VALUE"""),"Yes")</f>
        <v>Yes</v>
      </c>
      <c r="H757" s="5" t="str">
        <f ca="1">IFERROR(__xludf.DUMMYFUNCTION("""COMPUTED_VALUE"""),"Yes")</f>
        <v>Yes</v>
      </c>
      <c r="I757" s="5" t="str">
        <f ca="1">IFERROR(__xludf.DUMMYFUNCTION("""COMPUTED_VALUE"""),"Yes")</f>
        <v>Yes</v>
      </c>
      <c r="J757" s="5" t="str">
        <f ca="1">IFERROR(__xludf.DUMMYFUNCTION("""COMPUTED_VALUE"""),"Yes")</f>
        <v>Yes</v>
      </c>
      <c r="K757" s="5" t="str">
        <f ca="1">IFERROR(__xludf.DUMMYFUNCTION("""COMPUTED_VALUE"""),"Yes")</f>
        <v>Yes</v>
      </c>
      <c r="L757" s="5" t="str">
        <f ca="1">IFERROR(__xludf.DUMMYFUNCTION("""COMPUTED_VALUE"""),"Yes")</f>
        <v>Yes</v>
      </c>
      <c r="M757" s="5" t="str">
        <f ca="1">IFERROR(__xludf.DUMMYFUNCTION("""COMPUTED_VALUE"""),"Yes")</f>
        <v>Yes</v>
      </c>
      <c r="N757" s="5" t="str">
        <f ca="1">IFERROR(__xludf.DUMMYFUNCTION("""COMPUTED_VALUE"""),"Yes")</f>
        <v>Yes</v>
      </c>
      <c r="O757" s="5" t="str">
        <f ca="1">IFERROR(__xludf.DUMMYFUNCTION("""COMPUTED_VALUE"""),"Yes")</f>
        <v>Yes</v>
      </c>
      <c r="P757" s="5" t="str">
        <f ca="1">IFERROR(__xludf.DUMMYFUNCTION("""COMPUTED_VALUE"""),"Yes")</f>
        <v>Yes</v>
      </c>
      <c r="Q757" s="5" t="str">
        <f ca="1">IFERROR(__xludf.DUMMYFUNCTION("""COMPUTED_VALUE"""),"Yes")</f>
        <v>Yes</v>
      </c>
      <c r="R757" s="5" t="str">
        <f ca="1">IFERROR(__xludf.DUMMYFUNCTION("""COMPUTED_VALUE"""),"Yes")</f>
        <v>Yes</v>
      </c>
      <c r="S757" s="5" t="str">
        <f ca="1">IFERROR(__xludf.DUMMYFUNCTION("""COMPUTED_VALUE"""),"Yes")</f>
        <v>Yes</v>
      </c>
      <c r="T757" s="5" t="str">
        <f ca="1">IFERROR(__xludf.DUMMYFUNCTION("""COMPUTED_VALUE"""),"Yes")</f>
        <v>Yes</v>
      </c>
      <c r="U757" s="5" t="str">
        <f ca="1">IFERROR(__xludf.DUMMYFUNCTION("""COMPUTED_VALUE"""),"Yes")</f>
        <v>Yes</v>
      </c>
      <c r="V757" s="5" t="str">
        <f ca="1">IFERROR(__xludf.DUMMYFUNCTION("""COMPUTED_VALUE"""),"Yes")</f>
        <v>Yes</v>
      </c>
      <c r="W757" s="5" t="str">
        <f ca="1">IFERROR(__xludf.DUMMYFUNCTION("""COMPUTED_VALUE"""),"Yes")</f>
        <v>Yes</v>
      </c>
      <c r="X757" s="5" t="str">
        <f ca="1">IFERROR(__xludf.DUMMYFUNCTION("""COMPUTED_VALUE"""),"Yes")</f>
        <v>Yes</v>
      </c>
      <c r="Y757" s="5" t="str">
        <f ca="1">IFERROR(__xludf.DUMMYFUNCTION("""COMPUTED_VALUE"""),"Yes")</f>
        <v>Yes</v>
      </c>
      <c r="Z757" s="5" t="str">
        <f ca="1">IFERROR(__xludf.DUMMYFUNCTION("""COMPUTED_VALUE"""),"Yes")</f>
        <v>Yes</v>
      </c>
      <c r="AA757" s="5" t="str">
        <f ca="1">IFERROR(__xludf.DUMMYFUNCTION("""COMPUTED_VALUE"""),"Yes")</f>
        <v>Yes</v>
      </c>
      <c r="AB757" s="5" t="str">
        <f ca="1">IFERROR(__xludf.DUMMYFUNCTION("""COMPUTED_VALUE"""),"Yes")</f>
        <v>Yes</v>
      </c>
      <c r="AC757" s="5" t="str">
        <f ca="1">IFERROR(__xludf.DUMMYFUNCTION("""COMPUTED_VALUE"""),"Yes")</f>
        <v>Yes</v>
      </c>
      <c r="AD757" s="5" t="str">
        <f ca="1">IFERROR(__xludf.DUMMYFUNCTION("""COMPUTED_VALUE"""),"Yes")</f>
        <v>Yes</v>
      </c>
      <c r="AE757" s="5" t="str">
        <f ca="1">IFERROR(__xludf.DUMMYFUNCTION("""COMPUTED_VALUE"""),"Yes")</f>
        <v>Yes</v>
      </c>
      <c r="AF757" s="5" t="str">
        <f ca="1">IFERROR(__xludf.DUMMYFUNCTION("""COMPUTED_VALUE"""),"Yes")</f>
        <v>Yes</v>
      </c>
      <c r="AG757" s="5" t="str">
        <f ca="1">IFERROR(__xludf.DUMMYFUNCTION("""COMPUTED_VALUE"""),"Yes")</f>
        <v>Yes</v>
      </c>
      <c r="AH757" s="5" t="str">
        <f ca="1">IFERROR(__xludf.DUMMYFUNCTION("""COMPUTED_VALUE"""),"Yes")</f>
        <v>Yes</v>
      </c>
      <c r="AI757" s="5" t="str">
        <f ca="1">IFERROR(__xludf.DUMMYFUNCTION("""COMPUTED_VALUE"""),"No")</f>
        <v>No</v>
      </c>
      <c r="AJ757" s="5" t="str">
        <f ca="1">IFERROR(__xludf.DUMMYFUNCTION("""COMPUTED_VALUE"""),"No")</f>
        <v>No</v>
      </c>
      <c r="AK757" s="5" t="str">
        <f ca="1">IFERROR(__xludf.DUMMYFUNCTION("""COMPUTED_VALUE"""),"No")</f>
        <v>No</v>
      </c>
      <c r="AL757" s="5" t="str">
        <f ca="1">IFERROR(__xludf.DUMMYFUNCTION("""COMPUTED_VALUE"""),"No")</f>
        <v>No</v>
      </c>
      <c r="AM757" s="5"/>
      <c r="AN757" s="5"/>
      <c r="AO757" s="5"/>
      <c r="AP757" s="5"/>
      <c r="AQ757" s="5"/>
      <c r="AR757" s="5"/>
      <c r="AS757" s="5"/>
      <c r="AT757" s="5"/>
      <c r="AU757" s="5"/>
      <c r="AV757" s="5"/>
      <c r="AW757" s="5"/>
      <c r="AX757" s="5"/>
      <c r="AY757" s="5"/>
    </row>
    <row r="758" spans="1:51" x14ac:dyDescent="0.25">
      <c r="A7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8" s="5">
        <f ca="1">IFERROR(__xludf.DUMMYFUNCTION("""COMPUTED_VALUE"""),795)</f>
        <v>795</v>
      </c>
      <c r="C758" s="5">
        <f ca="1">IFERROR(__xludf.DUMMYFUNCTION("""COMPUTED_VALUE"""),2023)</f>
        <v>2023</v>
      </c>
      <c r="D758" s="5" t="str">
        <f ca="1">IFERROR(__xludf.DUMMYFUNCTION("""COMPUTED_VALUE"""),"ExtremeStickyClover")</f>
        <v>ExtremeStickyClover</v>
      </c>
      <c r="E758" s="5" t="str">
        <f ca="1">IFERROR(__xludf.DUMMYFUNCTION("""COMPUTED_VALUE"""),"Yes")</f>
        <v>Yes</v>
      </c>
      <c r="F758" s="5" t="str">
        <f ca="1">IFERROR(__xludf.DUMMYFUNCTION("""COMPUTED_VALUE"""),"Yes")</f>
        <v>Yes</v>
      </c>
      <c r="G758" s="5" t="str">
        <f ca="1">IFERROR(__xludf.DUMMYFUNCTION("""COMPUTED_VALUE"""),"Yes")</f>
        <v>Yes</v>
      </c>
      <c r="H758" s="5" t="str">
        <f ca="1">IFERROR(__xludf.DUMMYFUNCTION("""COMPUTED_VALUE"""),"Yes")</f>
        <v>Yes</v>
      </c>
      <c r="I758" s="5" t="str">
        <f ca="1">IFERROR(__xludf.DUMMYFUNCTION("""COMPUTED_VALUE"""),"Yes")</f>
        <v>Yes</v>
      </c>
      <c r="J758" s="5" t="str">
        <f ca="1">IFERROR(__xludf.DUMMYFUNCTION("""COMPUTED_VALUE"""),"Yes")</f>
        <v>Yes</v>
      </c>
      <c r="K758" s="5" t="str">
        <f ca="1">IFERROR(__xludf.DUMMYFUNCTION("""COMPUTED_VALUE"""),"Yes")</f>
        <v>Yes</v>
      </c>
      <c r="L758" s="5" t="str">
        <f ca="1">IFERROR(__xludf.DUMMYFUNCTION("""COMPUTED_VALUE"""),"Yes")</f>
        <v>Yes</v>
      </c>
      <c r="M758" s="5" t="str">
        <f ca="1">IFERROR(__xludf.DUMMYFUNCTION("""COMPUTED_VALUE"""),"Yes")</f>
        <v>Yes</v>
      </c>
      <c r="N758" s="5" t="str">
        <f ca="1">IFERROR(__xludf.DUMMYFUNCTION("""COMPUTED_VALUE"""),"Yes")</f>
        <v>Yes</v>
      </c>
      <c r="O758" s="5" t="str">
        <f ca="1">IFERROR(__xludf.DUMMYFUNCTION("""COMPUTED_VALUE"""),"Yes")</f>
        <v>Yes</v>
      </c>
      <c r="P758" s="5" t="str">
        <f ca="1">IFERROR(__xludf.DUMMYFUNCTION("""COMPUTED_VALUE"""),"Yes")</f>
        <v>Yes</v>
      </c>
      <c r="Q758" s="5" t="str">
        <f ca="1">IFERROR(__xludf.DUMMYFUNCTION("""COMPUTED_VALUE"""),"Yes")</f>
        <v>Yes</v>
      </c>
      <c r="R758" s="5" t="str">
        <f ca="1">IFERROR(__xludf.DUMMYFUNCTION("""COMPUTED_VALUE"""),"Yes")</f>
        <v>Yes</v>
      </c>
      <c r="S758" s="5" t="str">
        <f ca="1">IFERROR(__xludf.DUMMYFUNCTION("""COMPUTED_VALUE"""),"Yes")</f>
        <v>Yes</v>
      </c>
      <c r="T758" s="5" t="str">
        <f ca="1">IFERROR(__xludf.DUMMYFUNCTION("""COMPUTED_VALUE"""),"Yes")</f>
        <v>Yes</v>
      </c>
      <c r="U758" s="5" t="str">
        <f ca="1">IFERROR(__xludf.DUMMYFUNCTION("""COMPUTED_VALUE"""),"Yes")</f>
        <v>Yes</v>
      </c>
      <c r="V758" s="5" t="str">
        <f ca="1">IFERROR(__xludf.DUMMYFUNCTION("""COMPUTED_VALUE"""),"Yes")</f>
        <v>Yes</v>
      </c>
      <c r="W758" s="5" t="str">
        <f ca="1">IFERROR(__xludf.DUMMYFUNCTION("""COMPUTED_VALUE"""),"Yes")</f>
        <v>Yes</v>
      </c>
      <c r="X758" s="5" t="str">
        <f ca="1">IFERROR(__xludf.DUMMYFUNCTION("""COMPUTED_VALUE"""),"Yes")</f>
        <v>Yes</v>
      </c>
      <c r="Y758" s="5" t="str">
        <f ca="1">IFERROR(__xludf.DUMMYFUNCTION("""COMPUTED_VALUE"""),"Yes")</f>
        <v>Yes</v>
      </c>
      <c r="Z758" s="5" t="str">
        <f ca="1">IFERROR(__xludf.DUMMYFUNCTION("""COMPUTED_VALUE"""),"Yes")</f>
        <v>Yes</v>
      </c>
      <c r="AA758" s="5" t="str">
        <f ca="1">IFERROR(__xludf.DUMMYFUNCTION("""COMPUTED_VALUE"""),"Yes")</f>
        <v>Yes</v>
      </c>
      <c r="AB758" s="5" t="str">
        <f ca="1">IFERROR(__xludf.DUMMYFUNCTION("""COMPUTED_VALUE"""),"Yes")</f>
        <v>Yes</v>
      </c>
      <c r="AC758" s="5" t="str">
        <f ca="1">IFERROR(__xludf.DUMMYFUNCTION("""COMPUTED_VALUE"""),"Yes")</f>
        <v>Yes</v>
      </c>
      <c r="AD758" s="5" t="str">
        <f ca="1">IFERROR(__xludf.DUMMYFUNCTION("""COMPUTED_VALUE"""),"Yes")</f>
        <v>Yes</v>
      </c>
      <c r="AE758" s="5" t="str">
        <f ca="1">IFERROR(__xludf.DUMMYFUNCTION("""COMPUTED_VALUE"""),"Yes")</f>
        <v>Yes</v>
      </c>
      <c r="AF758" s="5" t="str">
        <f ca="1">IFERROR(__xludf.DUMMYFUNCTION("""COMPUTED_VALUE"""),"Yes")</f>
        <v>Yes</v>
      </c>
      <c r="AG758" s="5" t="str">
        <f ca="1">IFERROR(__xludf.DUMMYFUNCTION("""COMPUTED_VALUE"""),"Yes")</f>
        <v>Yes</v>
      </c>
      <c r="AH758" s="5" t="str">
        <f ca="1">IFERROR(__xludf.DUMMYFUNCTION("""COMPUTED_VALUE"""),"Yes")</f>
        <v>Yes</v>
      </c>
      <c r="AI758" s="5" t="str">
        <f ca="1">IFERROR(__xludf.DUMMYFUNCTION("""COMPUTED_VALUE"""),"No")</f>
        <v>No</v>
      </c>
      <c r="AJ758" s="5" t="str">
        <f ca="1">IFERROR(__xludf.DUMMYFUNCTION("""COMPUTED_VALUE"""),"No")</f>
        <v>No</v>
      </c>
      <c r="AK758" s="5" t="str">
        <f ca="1">IFERROR(__xludf.DUMMYFUNCTION("""COMPUTED_VALUE"""),"No")</f>
        <v>No</v>
      </c>
      <c r="AL758" s="5" t="str">
        <f ca="1">IFERROR(__xludf.DUMMYFUNCTION("""COMPUTED_VALUE"""),"No")</f>
        <v>No</v>
      </c>
      <c r="AM758" s="5"/>
      <c r="AN758" s="5"/>
      <c r="AO758" s="5"/>
      <c r="AP758" s="5"/>
      <c r="AQ758" s="5"/>
      <c r="AR758" s="5"/>
      <c r="AS758" s="5"/>
      <c r="AT758" s="5"/>
      <c r="AU758" s="5"/>
      <c r="AV758" s="5"/>
      <c r="AW758" s="5"/>
      <c r="AX758" s="5"/>
      <c r="AY758" s="5"/>
    </row>
    <row r="759" spans="1:51" x14ac:dyDescent="0.25">
      <c r="A7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9" s="5">
        <f ca="1">IFERROR(__xludf.DUMMYFUNCTION("""COMPUTED_VALUE"""),796)</f>
        <v>796</v>
      </c>
      <c r="C759" s="5">
        <f ca="1">IFERROR(__xludf.DUMMYFUNCTION("""COMPUTED_VALUE"""),3045)</f>
        <v>3045</v>
      </c>
      <c r="D759" s="5" t="str">
        <f ca="1">IFERROR(__xludf.DUMMYFUNCTION("""COMPUTED_VALUE"""),"ExtremeHeat7s")</f>
        <v>ExtremeHeat7s</v>
      </c>
      <c r="E759" s="5" t="str">
        <f ca="1">IFERROR(__xludf.DUMMYFUNCTION("""COMPUTED_VALUE"""),"Yes")</f>
        <v>Yes</v>
      </c>
      <c r="F759" s="5" t="str">
        <f ca="1">IFERROR(__xludf.DUMMYFUNCTION("""COMPUTED_VALUE"""),"Yes")</f>
        <v>Yes</v>
      </c>
      <c r="G759" s="5" t="str">
        <f ca="1">IFERROR(__xludf.DUMMYFUNCTION("""COMPUTED_VALUE"""),"Yes")</f>
        <v>Yes</v>
      </c>
      <c r="H759" s="5" t="str">
        <f ca="1">IFERROR(__xludf.DUMMYFUNCTION("""COMPUTED_VALUE"""),"Yes")</f>
        <v>Yes</v>
      </c>
      <c r="I759" s="5" t="str">
        <f ca="1">IFERROR(__xludf.DUMMYFUNCTION("""COMPUTED_VALUE"""),"Yes")</f>
        <v>Yes</v>
      </c>
      <c r="J759" s="5" t="str">
        <f ca="1">IFERROR(__xludf.DUMMYFUNCTION("""COMPUTED_VALUE"""),"Yes")</f>
        <v>Yes</v>
      </c>
      <c r="K759" s="5" t="str">
        <f ca="1">IFERROR(__xludf.DUMMYFUNCTION("""COMPUTED_VALUE"""),"Yes")</f>
        <v>Yes</v>
      </c>
      <c r="L759" s="5" t="str">
        <f ca="1">IFERROR(__xludf.DUMMYFUNCTION("""COMPUTED_VALUE"""),"Yes")</f>
        <v>Yes</v>
      </c>
      <c r="M759" s="5" t="str">
        <f ca="1">IFERROR(__xludf.DUMMYFUNCTION("""COMPUTED_VALUE"""),"Yes")</f>
        <v>Yes</v>
      </c>
      <c r="N759" s="5" t="str">
        <f ca="1">IFERROR(__xludf.DUMMYFUNCTION("""COMPUTED_VALUE"""),"Yes")</f>
        <v>Yes</v>
      </c>
      <c r="O759" s="5" t="str">
        <f ca="1">IFERROR(__xludf.DUMMYFUNCTION("""COMPUTED_VALUE"""),"Yes")</f>
        <v>Yes</v>
      </c>
      <c r="P759" s="5" t="str">
        <f ca="1">IFERROR(__xludf.DUMMYFUNCTION("""COMPUTED_VALUE"""),"Yes")</f>
        <v>Yes</v>
      </c>
      <c r="Q759" s="5" t="str">
        <f ca="1">IFERROR(__xludf.DUMMYFUNCTION("""COMPUTED_VALUE"""),"Yes")</f>
        <v>Yes</v>
      </c>
      <c r="R759" s="5" t="str">
        <f ca="1">IFERROR(__xludf.DUMMYFUNCTION("""COMPUTED_VALUE"""),"Yes")</f>
        <v>Yes</v>
      </c>
      <c r="S759" s="5" t="str">
        <f ca="1">IFERROR(__xludf.DUMMYFUNCTION("""COMPUTED_VALUE"""),"Yes")</f>
        <v>Yes</v>
      </c>
      <c r="T759" s="5" t="str">
        <f ca="1">IFERROR(__xludf.DUMMYFUNCTION("""COMPUTED_VALUE"""),"Yes")</f>
        <v>Yes</v>
      </c>
      <c r="U759" s="5" t="str">
        <f ca="1">IFERROR(__xludf.DUMMYFUNCTION("""COMPUTED_VALUE"""),"Yes")</f>
        <v>Yes</v>
      </c>
      <c r="V759" s="5" t="str">
        <f ca="1">IFERROR(__xludf.DUMMYFUNCTION("""COMPUTED_VALUE"""),"Yes")</f>
        <v>Yes</v>
      </c>
      <c r="W759" s="5" t="str">
        <f ca="1">IFERROR(__xludf.DUMMYFUNCTION("""COMPUTED_VALUE"""),"Yes")</f>
        <v>Yes</v>
      </c>
      <c r="X759" s="5" t="str">
        <f ca="1">IFERROR(__xludf.DUMMYFUNCTION("""COMPUTED_VALUE"""),"Yes")</f>
        <v>Yes</v>
      </c>
      <c r="Y759" s="5" t="str">
        <f ca="1">IFERROR(__xludf.DUMMYFUNCTION("""COMPUTED_VALUE"""),"Yes")</f>
        <v>Yes</v>
      </c>
      <c r="Z759" s="5" t="str">
        <f ca="1">IFERROR(__xludf.DUMMYFUNCTION("""COMPUTED_VALUE"""),"Yes")</f>
        <v>Yes</v>
      </c>
      <c r="AA759" s="5" t="str">
        <f ca="1">IFERROR(__xludf.DUMMYFUNCTION("""COMPUTED_VALUE"""),"Yes")</f>
        <v>Yes</v>
      </c>
      <c r="AB759" s="5" t="str">
        <f ca="1">IFERROR(__xludf.DUMMYFUNCTION("""COMPUTED_VALUE"""),"Yes")</f>
        <v>Yes</v>
      </c>
      <c r="AC759" s="5" t="str">
        <f ca="1">IFERROR(__xludf.DUMMYFUNCTION("""COMPUTED_VALUE"""),"Yes")</f>
        <v>Yes</v>
      </c>
      <c r="AD759" s="5" t="str">
        <f ca="1">IFERROR(__xludf.DUMMYFUNCTION("""COMPUTED_VALUE"""),"Yes")</f>
        <v>Yes</v>
      </c>
      <c r="AE759" s="5" t="str">
        <f ca="1">IFERROR(__xludf.DUMMYFUNCTION("""COMPUTED_VALUE"""),"Yes")</f>
        <v>Yes</v>
      </c>
      <c r="AF759" s="5" t="str">
        <f ca="1">IFERROR(__xludf.DUMMYFUNCTION("""COMPUTED_VALUE"""),"Yes")</f>
        <v>Yes</v>
      </c>
      <c r="AG759" s="5" t="str">
        <f ca="1">IFERROR(__xludf.DUMMYFUNCTION("""COMPUTED_VALUE"""),"Yes")</f>
        <v>Yes</v>
      </c>
      <c r="AH759" s="5" t="str">
        <f ca="1">IFERROR(__xludf.DUMMYFUNCTION("""COMPUTED_VALUE"""),"Yes")</f>
        <v>Yes</v>
      </c>
      <c r="AI759" s="5" t="str">
        <f ca="1">IFERROR(__xludf.DUMMYFUNCTION("""COMPUTED_VALUE"""),"No")</f>
        <v>No</v>
      </c>
      <c r="AJ759" s="5" t="str">
        <f ca="1">IFERROR(__xludf.DUMMYFUNCTION("""COMPUTED_VALUE"""),"No")</f>
        <v>No</v>
      </c>
      <c r="AK759" s="5" t="str">
        <f ca="1">IFERROR(__xludf.DUMMYFUNCTION("""COMPUTED_VALUE"""),"No")</f>
        <v>No</v>
      </c>
      <c r="AL759" s="5" t="str">
        <f ca="1">IFERROR(__xludf.DUMMYFUNCTION("""COMPUTED_VALUE"""),"No")</f>
        <v>No</v>
      </c>
      <c r="AM759" s="5"/>
      <c r="AN759" s="5"/>
      <c r="AO759" s="5"/>
      <c r="AP759" s="5"/>
      <c r="AQ759" s="5"/>
      <c r="AR759" s="5"/>
      <c r="AS759" s="5"/>
      <c r="AT759" s="5"/>
      <c r="AU759" s="5"/>
      <c r="AV759" s="5"/>
      <c r="AW759" s="5"/>
      <c r="AX759" s="5"/>
      <c r="AY759" s="5"/>
    </row>
    <row r="760" spans="1:51" x14ac:dyDescent="0.25">
      <c r="A7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0" s="5">
        <f ca="1">IFERROR(__xludf.DUMMYFUNCTION("""COMPUTED_VALUE"""),797)</f>
        <v>797</v>
      </c>
      <c r="C760" s="5">
        <f ca="1">IFERROR(__xludf.DUMMYFUNCTION("""COMPUTED_VALUE"""),3038)</f>
        <v>3038</v>
      </c>
      <c r="D760" s="5" t="str">
        <f ca="1">IFERROR(__xludf.DUMMYFUNCTION("""COMPUTED_VALUE"""),"BonusWild81Extralines")</f>
        <v>BonusWild81Extralines</v>
      </c>
      <c r="E760" s="5" t="str">
        <f ca="1">IFERROR(__xludf.DUMMYFUNCTION("""COMPUTED_VALUE"""),"Yes")</f>
        <v>Yes</v>
      </c>
      <c r="F760" s="5" t="str">
        <f ca="1">IFERROR(__xludf.DUMMYFUNCTION("""COMPUTED_VALUE"""),"Yes")</f>
        <v>Yes</v>
      </c>
      <c r="G760" s="5" t="str">
        <f ca="1">IFERROR(__xludf.DUMMYFUNCTION("""COMPUTED_VALUE"""),"Yes")</f>
        <v>Yes</v>
      </c>
      <c r="H760" s="5" t="str">
        <f ca="1">IFERROR(__xludf.DUMMYFUNCTION("""COMPUTED_VALUE"""),"Yes")</f>
        <v>Yes</v>
      </c>
      <c r="I760" s="5" t="str">
        <f ca="1">IFERROR(__xludf.DUMMYFUNCTION("""COMPUTED_VALUE"""),"Yes")</f>
        <v>Yes</v>
      </c>
      <c r="J760" s="5" t="str">
        <f ca="1">IFERROR(__xludf.DUMMYFUNCTION("""COMPUTED_VALUE"""),"Yes")</f>
        <v>Yes</v>
      </c>
      <c r="K760" s="5" t="str">
        <f ca="1">IFERROR(__xludf.DUMMYFUNCTION("""COMPUTED_VALUE"""),"Yes")</f>
        <v>Yes</v>
      </c>
      <c r="L760" s="5" t="str">
        <f ca="1">IFERROR(__xludf.DUMMYFUNCTION("""COMPUTED_VALUE"""),"Yes")</f>
        <v>Yes</v>
      </c>
      <c r="M760" s="5" t="str">
        <f ca="1">IFERROR(__xludf.DUMMYFUNCTION("""COMPUTED_VALUE"""),"Yes")</f>
        <v>Yes</v>
      </c>
      <c r="N760" s="5" t="str">
        <f ca="1">IFERROR(__xludf.DUMMYFUNCTION("""COMPUTED_VALUE"""),"Yes")</f>
        <v>Yes</v>
      </c>
      <c r="O760" s="5" t="str">
        <f ca="1">IFERROR(__xludf.DUMMYFUNCTION("""COMPUTED_VALUE"""),"Yes")</f>
        <v>Yes</v>
      </c>
      <c r="P760" s="5" t="str">
        <f ca="1">IFERROR(__xludf.DUMMYFUNCTION("""COMPUTED_VALUE"""),"Yes")</f>
        <v>Yes</v>
      </c>
      <c r="Q760" s="5" t="str">
        <f ca="1">IFERROR(__xludf.DUMMYFUNCTION("""COMPUTED_VALUE"""),"Yes")</f>
        <v>Yes</v>
      </c>
      <c r="R760" s="5" t="str">
        <f ca="1">IFERROR(__xludf.DUMMYFUNCTION("""COMPUTED_VALUE"""),"Yes")</f>
        <v>Yes</v>
      </c>
      <c r="S760" s="5" t="str">
        <f ca="1">IFERROR(__xludf.DUMMYFUNCTION("""COMPUTED_VALUE"""),"Yes")</f>
        <v>Yes</v>
      </c>
      <c r="T760" s="5" t="str">
        <f ca="1">IFERROR(__xludf.DUMMYFUNCTION("""COMPUTED_VALUE"""),"Yes")</f>
        <v>Yes</v>
      </c>
      <c r="U760" s="5" t="str">
        <f ca="1">IFERROR(__xludf.DUMMYFUNCTION("""COMPUTED_VALUE"""),"Yes")</f>
        <v>Yes</v>
      </c>
      <c r="V760" s="5" t="str">
        <f ca="1">IFERROR(__xludf.DUMMYFUNCTION("""COMPUTED_VALUE"""),"Yes")</f>
        <v>Yes</v>
      </c>
      <c r="W760" s="5" t="str">
        <f ca="1">IFERROR(__xludf.DUMMYFUNCTION("""COMPUTED_VALUE"""),"Yes")</f>
        <v>Yes</v>
      </c>
      <c r="X760" s="5" t="str">
        <f ca="1">IFERROR(__xludf.DUMMYFUNCTION("""COMPUTED_VALUE"""),"Yes")</f>
        <v>Yes</v>
      </c>
      <c r="Y760" s="5" t="str">
        <f ca="1">IFERROR(__xludf.DUMMYFUNCTION("""COMPUTED_VALUE"""),"Yes")</f>
        <v>Yes</v>
      </c>
      <c r="Z760" s="5" t="str">
        <f ca="1">IFERROR(__xludf.DUMMYFUNCTION("""COMPUTED_VALUE"""),"Yes")</f>
        <v>Yes</v>
      </c>
      <c r="AA760" s="5" t="str">
        <f ca="1">IFERROR(__xludf.DUMMYFUNCTION("""COMPUTED_VALUE"""),"Yes")</f>
        <v>Yes</v>
      </c>
      <c r="AB760" s="5" t="str">
        <f ca="1">IFERROR(__xludf.DUMMYFUNCTION("""COMPUTED_VALUE"""),"Yes")</f>
        <v>Yes</v>
      </c>
      <c r="AC760" s="5" t="str">
        <f ca="1">IFERROR(__xludf.DUMMYFUNCTION("""COMPUTED_VALUE"""),"Yes")</f>
        <v>Yes</v>
      </c>
      <c r="AD760" s="5" t="str">
        <f ca="1">IFERROR(__xludf.DUMMYFUNCTION("""COMPUTED_VALUE"""),"Yes")</f>
        <v>Yes</v>
      </c>
      <c r="AE760" s="5" t="str">
        <f ca="1">IFERROR(__xludf.DUMMYFUNCTION("""COMPUTED_VALUE"""),"Yes")</f>
        <v>Yes</v>
      </c>
      <c r="AF760" s="5" t="str">
        <f ca="1">IFERROR(__xludf.DUMMYFUNCTION("""COMPUTED_VALUE"""),"Yes")</f>
        <v>Yes</v>
      </c>
      <c r="AG760" s="5" t="str">
        <f ca="1">IFERROR(__xludf.DUMMYFUNCTION("""COMPUTED_VALUE"""),"Yes")</f>
        <v>Yes</v>
      </c>
      <c r="AH760" s="5" t="str">
        <f ca="1">IFERROR(__xludf.DUMMYFUNCTION("""COMPUTED_VALUE"""),"Yes")</f>
        <v>Yes</v>
      </c>
      <c r="AI760" s="5" t="str">
        <f ca="1">IFERROR(__xludf.DUMMYFUNCTION("""COMPUTED_VALUE"""),"No")</f>
        <v>No</v>
      </c>
      <c r="AJ760" s="5" t="str">
        <f ca="1">IFERROR(__xludf.DUMMYFUNCTION("""COMPUTED_VALUE"""),"No")</f>
        <v>No</v>
      </c>
      <c r="AK760" s="5" t="str">
        <f ca="1">IFERROR(__xludf.DUMMYFUNCTION("""COMPUTED_VALUE"""),"No")</f>
        <v>No</v>
      </c>
      <c r="AL760" s="5" t="str">
        <f ca="1">IFERROR(__xludf.DUMMYFUNCTION("""COMPUTED_VALUE"""),"No")</f>
        <v>No</v>
      </c>
      <c r="AM760" s="5"/>
      <c r="AN760" s="5"/>
      <c r="AO760" s="5"/>
      <c r="AP760" s="5"/>
      <c r="AQ760" s="5"/>
      <c r="AR760" s="5"/>
      <c r="AS760" s="5"/>
      <c r="AT760" s="5"/>
      <c r="AU760" s="5"/>
      <c r="AV760" s="5"/>
      <c r="AW760" s="5"/>
      <c r="AX760" s="5"/>
      <c r="AY760" s="5"/>
    </row>
    <row r="761" spans="1:51" x14ac:dyDescent="0.25">
      <c r="A7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1" s="5">
        <f ca="1">IFERROR(__xludf.DUMMYFUNCTION("""COMPUTED_VALUE"""),798)</f>
        <v>798</v>
      </c>
      <c r="C761" s="5">
        <f ca="1">IFERROR(__xludf.DUMMYFUNCTION("""COMPUTED_VALUE"""),4000021)</f>
        <v>4000021</v>
      </c>
      <c r="D761" s="5" t="str">
        <f ca="1">IFERROR(__xludf.DUMMYFUNCTION("""COMPUTED_VALUE"""),"UnicornFlamyFireballs")</f>
        <v>UnicornFlamyFireballs</v>
      </c>
      <c r="E761" s="5" t="str">
        <f ca="1">IFERROR(__xludf.DUMMYFUNCTION("""COMPUTED_VALUE"""),"Yes")</f>
        <v>Yes</v>
      </c>
      <c r="F761" s="5" t="str">
        <f ca="1">IFERROR(__xludf.DUMMYFUNCTION("""COMPUTED_VALUE"""),"Yes")</f>
        <v>Yes</v>
      </c>
      <c r="G761" s="5" t="str">
        <f ca="1">IFERROR(__xludf.DUMMYFUNCTION("""COMPUTED_VALUE"""),"Yes")</f>
        <v>Yes</v>
      </c>
      <c r="H761" s="5" t="str">
        <f ca="1">IFERROR(__xludf.DUMMYFUNCTION("""COMPUTED_VALUE"""),"Yes")</f>
        <v>Yes</v>
      </c>
      <c r="I761" s="5" t="str">
        <f ca="1">IFERROR(__xludf.DUMMYFUNCTION("""COMPUTED_VALUE"""),"Yes")</f>
        <v>Yes</v>
      </c>
      <c r="J761" s="5" t="str">
        <f ca="1">IFERROR(__xludf.DUMMYFUNCTION("""COMPUTED_VALUE"""),"Yes")</f>
        <v>Yes</v>
      </c>
      <c r="K761" s="5" t="str">
        <f ca="1">IFERROR(__xludf.DUMMYFUNCTION("""COMPUTED_VALUE"""),"Yes")</f>
        <v>Yes</v>
      </c>
      <c r="L761" s="5" t="str">
        <f ca="1">IFERROR(__xludf.DUMMYFUNCTION("""COMPUTED_VALUE"""),"Yes")</f>
        <v>Yes</v>
      </c>
      <c r="M761" s="5" t="str">
        <f ca="1">IFERROR(__xludf.DUMMYFUNCTION("""COMPUTED_VALUE"""),"Yes")</f>
        <v>Yes</v>
      </c>
      <c r="N761" s="5" t="str">
        <f ca="1">IFERROR(__xludf.DUMMYFUNCTION("""COMPUTED_VALUE"""),"Yes")</f>
        <v>Yes</v>
      </c>
      <c r="O761" s="5" t="str">
        <f ca="1">IFERROR(__xludf.DUMMYFUNCTION("""COMPUTED_VALUE"""),"Yes")</f>
        <v>Yes</v>
      </c>
      <c r="P761" s="5" t="str">
        <f ca="1">IFERROR(__xludf.DUMMYFUNCTION("""COMPUTED_VALUE"""),"Yes")</f>
        <v>Yes</v>
      </c>
      <c r="Q761" s="5" t="str">
        <f ca="1">IFERROR(__xludf.DUMMYFUNCTION("""COMPUTED_VALUE"""),"Yes")</f>
        <v>Yes</v>
      </c>
      <c r="R761" s="5" t="str">
        <f ca="1">IFERROR(__xludf.DUMMYFUNCTION("""COMPUTED_VALUE"""),"Yes")</f>
        <v>Yes</v>
      </c>
      <c r="S761" s="5" t="str">
        <f ca="1">IFERROR(__xludf.DUMMYFUNCTION("""COMPUTED_VALUE"""),"Yes")</f>
        <v>Yes</v>
      </c>
      <c r="T761" s="5" t="str">
        <f ca="1">IFERROR(__xludf.DUMMYFUNCTION("""COMPUTED_VALUE"""),"Yes")</f>
        <v>Yes</v>
      </c>
      <c r="U761" s="5" t="str">
        <f ca="1">IFERROR(__xludf.DUMMYFUNCTION("""COMPUTED_VALUE"""),"Yes")</f>
        <v>Yes</v>
      </c>
      <c r="V761" s="5" t="str">
        <f ca="1">IFERROR(__xludf.DUMMYFUNCTION("""COMPUTED_VALUE"""),"Yes")</f>
        <v>Yes</v>
      </c>
      <c r="W761" s="5" t="str">
        <f ca="1">IFERROR(__xludf.DUMMYFUNCTION("""COMPUTED_VALUE"""),"Yes")</f>
        <v>Yes</v>
      </c>
      <c r="X761" s="5" t="str">
        <f ca="1">IFERROR(__xludf.DUMMYFUNCTION("""COMPUTED_VALUE"""),"Yes")</f>
        <v>Yes</v>
      </c>
      <c r="Y761" s="5" t="str">
        <f ca="1">IFERROR(__xludf.DUMMYFUNCTION("""COMPUTED_VALUE"""),"Yes")</f>
        <v>Yes</v>
      </c>
      <c r="Z761" s="5" t="str">
        <f ca="1">IFERROR(__xludf.DUMMYFUNCTION("""COMPUTED_VALUE"""),"Yes")</f>
        <v>Yes</v>
      </c>
      <c r="AA761" s="5" t="str">
        <f ca="1">IFERROR(__xludf.DUMMYFUNCTION("""COMPUTED_VALUE"""),"Yes")</f>
        <v>Yes</v>
      </c>
      <c r="AB761" s="5" t="str">
        <f ca="1">IFERROR(__xludf.DUMMYFUNCTION("""COMPUTED_VALUE"""),"Yes")</f>
        <v>Yes</v>
      </c>
      <c r="AC761" s="5" t="str">
        <f ca="1">IFERROR(__xludf.DUMMYFUNCTION("""COMPUTED_VALUE"""),"Yes")</f>
        <v>Yes</v>
      </c>
      <c r="AD761" s="5" t="str">
        <f ca="1">IFERROR(__xludf.DUMMYFUNCTION("""COMPUTED_VALUE"""),"Yes")</f>
        <v>Yes</v>
      </c>
      <c r="AE761" s="5" t="str">
        <f ca="1">IFERROR(__xludf.DUMMYFUNCTION("""COMPUTED_VALUE"""),"Yes")</f>
        <v>Yes</v>
      </c>
      <c r="AF761" s="5" t="str">
        <f ca="1">IFERROR(__xludf.DUMMYFUNCTION("""COMPUTED_VALUE"""),"Yes")</f>
        <v>Yes</v>
      </c>
      <c r="AG761" s="5" t="str">
        <f ca="1">IFERROR(__xludf.DUMMYFUNCTION("""COMPUTED_VALUE"""),"Yes")</f>
        <v>Yes</v>
      </c>
      <c r="AH761" s="5" t="str">
        <f ca="1">IFERROR(__xludf.DUMMYFUNCTION("""COMPUTED_VALUE"""),"Yes")</f>
        <v>Yes</v>
      </c>
      <c r="AI761" s="5" t="str">
        <f ca="1">IFERROR(__xludf.DUMMYFUNCTION("""COMPUTED_VALUE"""),"No")</f>
        <v>No</v>
      </c>
      <c r="AJ761" s="5" t="str">
        <f ca="1">IFERROR(__xludf.DUMMYFUNCTION("""COMPUTED_VALUE"""),"No")</f>
        <v>No</v>
      </c>
      <c r="AK761" s="5" t="str">
        <f ca="1">IFERROR(__xludf.DUMMYFUNCTION("""COMPUTED_VALUE"""),"No")</f>
        <v>No</v>
      </c>
      <c r="AL761" s="5" t="str">
        <f ca="1">IFERROR(__xludf.DUMMYFUNCTION("""COMPUTED_VALUE"""),"No")</f>
        <v>No</v>
      </c>
      <c r="AM761" s="5"/>
      <c r="AN761" s="5"/>
      <c r="AO761" s="5"/>
      <c r="AP761" s="5"/>
      <c r="AQ761" s="5"/>
      <c r="AR761" s="5"/>
      <c r="AS761" s="5"/>
      <c r="AT761" s="5"/>
      <c r="AU761" s="5"/>
      <c r="AV761" s="5"/>
      <c r="AW761" s="5"/>
      <c r="AX761" s="5"/>
      <c r="AY761" s="5"/>
    </row>
    <row r="762" spans="1:51" x14ac:dyDescent="0.25">
      <c r="A7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2" s="5">
        <f ca="1">IFERROR(__xludf.DUMMYFUNCTION("""COMPUTED_VALUE"""),799)</f>
        <v>799</v>
      </c>
      <c r="C762" s="5">
        <f ca="1">IFERROR(__xludf.DUMMYFUNCTION("""COMPUTED_VALUE"""),4000022)</f>
        <v>4000022</v>
      </c>
      <c r="D762" s="5" t="str">
        <f ca="1">IFERROR(__xludf.DUMMYFUNCTION("""COMPUTED_VALUE"""),"UnicornFruitPlayDice")</f>
        <v>UnicornFruitPlayDice</v>
      </c>
      <c r="E762" s="5" t="str">
        <f ca="1">IFERROR(__xludf.DUMMYFUNCTION("""COMPUTED_VALUE"""),"Yes")</f>
        <v>Yes</v>
      </c>
      <c r="F762" s="5" t="str">
        <f ca="1">IFERROR(__xludf.DUMMYFUNCTION("""COMPUTED_VALUE"""),"Yes")</f>
        <v>Yes</v>
      </c>
      <c r="G762" s="5" t="str">
        <f ca="1">IFERROR(__xludf.DUMMYFUNCTION("""COMPUTED_VALUE"""),"Yes")</f>
        <v>Yes</v>
      </c>
      <c r="H762" s="5" t="str">
        <f ca="1">IFERROR(__xludf.DUMMYFUNCTION("""COMPUTED_VALUE"""),"Yes")</f>
        <v>Yes</v>
      </c>
      <c r="I762" s="5" t="str">
        <f ca="1">IFERROR(__xludf.DUMMYFUNCTION("""COMPUTED_VALUE"""),"Yes")</f>
        <v>Yes</v>
      </c>
      <c r="J762" s="5" t="str">
        <f ca="1">IFERROR(__xludf.DUMMYFUNCTION("""COMPUTED_VALUE"""),"Yes")</f>
        <v>Yes</v>
      </c>
      <c r="K762" s="5" t="str">
        <f ca="1">IFERROR(__xludf.DUMMYFUNCTION("""COMPUTED_VALUE"""),"Yes")</f>
        <v>Yes</v>
      </c>
      <c r="L762" s="5" t="str">
        <f ca="1">IFERROR(__xludf.DUMMYFUNCTION("""COMPUTED_VALUE"""),"Yes")</f>
        <v>Yes</v>
      </c>
      <c r="M762" s="5" t="str">
        <f ca="1">IFERROR(__xludf.DUMMYFUNCTION("""COMPUTED_VALUE"""),"Yes")</f>
        <v>Yes</v>
      </c>
      <c r="N762" s="5" t="str">
        <f ca="1">IFERROR(__xludf.DUMMYFUNCTION("""COMPUTED_VALUE"""),"Yes")</f>
        <v>Yes</v>
      </c>
      <c r="O762" s="5" t="str">
        <f ca="1">IFERROR(__xludf.DUMMYFUNCTION("""COMPUTED_VALUE"""),"Yes")</f>
        <v>Yes</v>
      </c>
      <c r="P762" s="5" t="str">
        <f ca="1">IFERROR(__xludf.DUMMYFUNCTION("""COMPUTED_VALUE"""),"Yes")</f>
        <v>Yes</v>
      </c>
      <c r="Q762" s="5" t="str">
        <f ca="1">IFERROR(__xludf.DUMMYFUNCTION("""COMPUTED_VALUE"""),"Yes")</f>
        <v>Yes</v>
      </c>
      <c r="R762" s="5" t="str">
        <f ca="1">IFERROR(__xludf.DUMMYFUNCTION("""COMPUTED_VALUE"""),"Yes")</f>
        <v>Yes</v>
      </c>
      <c r="S762" s="5" t="str">
        <f ca="1">IFERROR(__xludf.DUMMYFUNCTION("""COMPUTED_VALUE"""),"Yes")</f>
        <v>Yes</v>
      </c>
      <c r="T762" s="5" t="str">
        <f ca="1">IFERROR(__xludf.DUMMYFUNCTION("""COMPUTED_VALUE"""),"Yes")</f>
        <v>Yes</v>
      </c>
      <c r="U762" s="5" t="str">
        <f ca="1">IFERROR(__xludf.DUMMYFUNCTION("""COMPUTED_VALUE"""),"Yes")</f>
        <v>Yes</v>
      </c>
      <c r="V762" s="5" t="str">
        <f ca="1">IFERROR(__xludf.DUMMYFUNCTION("""COMPUTED_VALUE"""),"Yes")</f>
        <v>Yes</v>
      </c>
      <c r="W762" s="5" t="str">
        <f ca="1">IFERROR(__xludf.DUMMYFUNCTION("""COMPUTED_VALUE"""),"Yes")</f>
        <v>Yes</v>
      </c>
      <c r="X762" s="5" t="str">
        <f ca="1">IFERROR(__xludf.DUMMYFUNCTION("""COMPUTED_VALUE"""),"Yes")</f>
        <v>Yes</v>
      </c>
      <c r="Y762" s="5" t="str">
        <f ca="1">IFERROR(__xludf.DUMMYFUNCTION("""COMPUTED_VALUE"""),"Yes")</f>
        <v>Yes</v>
      </c>
      <c r="Z762" s="5" t="str">
        <f ca="1">IFERROR(__xludf.DUMMYFUNCTION("""COMPUTED_VALUE"""),"Yes")</f>
        <v>Yes</v>
      </c>
      <c r="AA762" s="5" t="str">
        <f ca="1">IFERROR(__xludf.DUMMYFUNCTION("""COMPUTED_VALUE"""),"Yes")</f>
        <v>Yes</v>
      </c>
      <c r="AB762" s="5" t="str">
        <f ca="1">IFERROR(__xludf.DUMMYFUNCTION("""COMPUTED_VALUE"""),"Yes")</f>
        <v>Yes</v>
      </c>
      <c r="AC762" s="5" t="str">
        <f ca="1">IFERROR(__xludf.DUMMYFUNCTION("""COMPUTED_VALUE"""),"Yes")</f>
        <v>Yes</v>
      </c>
      <c r="AD762" s="5" t="str">
        <f ca="1">IFERROR(__xludf.DUMMYFUNCTION("""COMPUTED_VALUE"""),"Yes")</f>
        <v>Yes</v>
      </c>
      <c r="AE762" s="5" t="str">
        <f ca="1">IFERROR(__xludf.DUMMYFUNCTION("""COMPUTED_VALUE"""),"Yes")</f>
        <v>Yes</v>
      </c>
      <c r="AF762" s="5" t="str">
        <f ca="1">IFERROR(__xludf.DUMMYFUNCTION("""COMPUTED_VALUE"""),"Yes")</f>
        <v>Yes</v>
      </c>
      <c r="AG762" s="5" t="str">
        <f ca="1">IFERROR(__xludf.DUMMYFUNCTION("""COMPUTED_VALUE"""),"Yes")</f>
        <v>Yes</v>
      </c>
      <c r="AH762" s="5" t="str">
        <f ca="1">IFERROR(__xludf.DUMMYFUNCTION("""COMPUTED_VALUE"""),"Yes")</f>
        <v>Yes</v>
      </c>
      <c r="AI762" s="5" t="str">
        <f ca="1">IFERROR(__xludf.DUMMYFUNCTION("""COMPUTED_VALUE"""),"No")</f>
        <v>No</v>
      </c>
      <c r="AJ762" s="5" t="str">
        <f ca="1">IFERROR(__xludf.DUMMYFUNCTION("""COMPUTED_VALUE"""),"No")</f>
        <v>No</v>
      </c>
      <c r="AK762" s="5" t="str">
        <f ca="1">IFERROR(__xludf.DUMMYFUNCTION("""COMPUTED_VALUE"""),"No")</f>
        <v>No</v>
      </c>
      <c r="AL762" s="5" t="str">
        <f ca="1">IFERROR(__xludf.DUMMYFUNCTION("""COMPUTED_VALUE"""),"No")</f>
        <v>No</v>
      </c>
      <c r="AM762" s="5"/>
      <c r="AN762" s="5"/>
      <c r="AO762" s="5"/>
      <c r="AP762" s="5"/>
      <c r="AQ762" s="5"/>
      <c r="AR762" s="5"/>
      <c r="AS762" s="5"/>
      <c r="AT762" s="5"/>
      <c r="AU762" s="5"/>
      <c r="AV762" s="5"/>
      <c r="AW762" s="5"/>
      <c r="AX762" s="5"/>
      <c r="AY762" s="5"/>
    </row>
    <row r="763" spans="1:51" x14ac:dyDescent="0.25">
      <c r="A763" s="5" t="str">
        <f ca="1">IFERROR(__xludf.DUMMYFUNCTION("""COMPUTED_VALUE"""),"English(""eng"")")</f>
        <v>English("eng")</v>
      </c>
      <c r="B763" s="5">
        <f ca="1">IFERROR(__xludf.DUMMYFUNCTION("""COMPUTED_VALUE"""),800)</f>
        <v>800</v>
      </c>
      <c r="C763" s="5">
        <f ca="1">IFERROR(__xludf.DUMMYFUNCTION("""COMPUTED_VALUE"""),4000024)</f>
        <v>4000024</v>
      </c>
      <c r="D763" s="5" t="str">
        <f ca="1">IFERROR(__xludf.DUMMYFUNCTION("""COMPUTED_VALUE"""),"UnicornSpinTheSevens")</f>
        <v>UnicornSpinTheSevens</v>
      </c>
      <c r="E763" s="5" t="str">
        <f ca="1">IFERROR(__xludf.DUMMYFUNCTION("""COMPUTED_VALUE"""),"Yes")</f>
        <v>Yes</v>
      </c>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row>
    <row r="764" spans="1:51" x14ac:dyDescent="0.25">
      <c r="A764" s="5" t="str">
        <f ca="1">IFERROR(__xludf.DUMMYFUNCTION("""COMPUTED_VALUE"""),"English(""eng"")")</f>
        <v>English("eng")</v>
      </c>
      <c r="B764" s="5">
        <f ca="1">IFERROR(__xludf.DUMMYFUNCTION("""COMPUTED_VALUE"""),801)</f>
        <v>801</v>
      </c>
      <c r="C764" s="5">
        <f ca="1">IFERROR(__xludf.DUMMYFUNCTION("""COMPUTED_VALUE"""),4000025)</f>
        <v>4000025</v>
      </c>
      <c r="D764" s="5" t="str">
        <f ca="1">IFERROR(__xludf.DUMMYFUNCTION("""COMPUTED_VALUE"""),"UnicornCrazyWildSevens")</f>
        <v>UnicornCrazyWildSevens</v>
      </c>
      <c r="E764" s="5" t="str">
        <f ca="1">IFERROR(__xludf.DUMMYFUNCTION("""COMPUTED_VALUE"""),"Yes")</f>
        <v>Yes</v>
      </c>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row>
    <row r="765" spans="1:51" x14ac:dyDescent="0.25">
      <c r="A765" s="5" t="str">
        <f ca="1">IFERROR(__xludf.DUMMYFUNCTION("""COMPUTED_VALUE"""),"English(""eng"")")</f>
        <v>English("eng")</v>
      </c>
      <c r="B765" s="5">
        <f ca="1">IFERROR(__xludf.DUMMYFUNCTION("""COMPUTED_VALUE"""),802)</f>
        <v>802</v>
      </c>
      <c r="C765" s="5">
        <f ca="1">IFERROR(__xludf.DUMMYFUNCTION("""COMPUTED_VALUE"""),4000026)</f>
        <v>4000026</v>
      </c>
      <c r="D765" s="5" t="str">
        <f ca="1">IFERROR(__xludf.DUMMYFUNCTION("""COMPUTED_VALUE"""),"UnicornSunOfTheNile")</f>
        <v>UnicornSunOfTheNile</v>
      </c>
      <c r="E765" s="5" t="str">
        <f ca="1">IFERROR(__xludf.DUMMYFUNCTION("""COMPUTED_VALUE"""),"Yes")</f>
        <v>Yes</v>
      </c>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row>
    <row r="766" spans="1:51" x14ac:dyDescent="0.25">
      <c r="A766" s="5" t="str">
        <f ca="1">IFERROR(__xludf.DUMMYFUNCTION("""COMPUTED_VALUE"""),"English(""eng"")")</f>
        <v>English("eng")</v>
      </c>
      <c r="B766" s="5">
        <f ca="1">IFERROR(__xludf.DUMMYFUNCTION("""COMPUTED_VALUE"""),803)</f>
        <v>803</v>
      </c>
      <c r="C766" s="5">
        <f ca="1">IFERROR(__xludf.DUMMYFUNCTION("""COMPUTED_VALUE"""),4000027)</f>
        <v>4000027</v>
      </c>
      <c r="D766" s="5" t="str">
        <f ca="1">IFERROR(__xludf.DUMMYFUNCTION("""COMPUTED_VALUE"""),"UnicornDazzleFireballs")</f>
        <v>UnicornDazzleFireballs</v>
      </c>
      <c r="E766" s="5" t="str">
        <f ca="1">IFERROR(__xludf.DUMMYFUNCTION("""COMPUTED_VALUE"""),"Yes")</f>
        <v>Yes</v>
      </c>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row>
    <row r="767" spans="1:51" x14ac:dyDescent="0.25">
      <c r="A767" s="5" t="str">
        <f ca="1">IFERROR(__xludf.DUMMYFUNCTION("""COMPUTED_VALUE"""),"English(""eng"")")</f>
        <v>English("eng")</v>
      </c>
      <c r="B767" s="5">
        <f ca="1">IFERROR(__xludf.DUMMYFUNCTION("""COMPUTED_VALUE"""),804)</f>
        <v>804</v>
      </c>
      <c r="C767" s="5">
        <f ca="1">IFERROR(__xludf.DUMMYFUNCTION("""COMPUTED_VALUE"""),4000028)</f>
        <v>4000028</v>
      </c>
      <c r="D767" s="5" t="str">
        <f ca="1">IFERROR(__xludf.DUMMYFUNCTION("""COMPUTED_VALUE"""),"UnicornSevensPayDice")</f>
        <v>UnicornSevensPayDice</v>
      </c>
      <c r="E767" s="5" t="str">
        <f ca="1">IFERROR(__xludf.DUMMYFUNCTION("""COMPUTED_VALUE"""),"Yes")</f>
        <v>Yes</v>
      </c>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row>
    <row r="768" spans="1:51" x14ac:dyDescent="0.25">
      <c r="A768" s="5" t="str">
        <f ca="1">IFERROR(__xludf.DUMMYFUNCTION("""COMPUTED_VALUE"""),"")</f>
        <v/>
      </c>
      <c r="B768" s="5">
        <f ca="1">IFERROR(__xludf.DUMMYFUNCTION("""COMPUTED_VALUE"""),805)</f>
        <v>805</v>
      </c>
      <c r="C768" s="5">
        <f ca="1">IFERROR(__xludf.DUMMYFUNCTION("""COMPUTED_VALUE"""),4000023)</f>
        <v>4000023</v>
      </c>
      <c r="D768" s="5" t="str">
        <f ca="1">IFERROR(__xludf.DUMMYFUNCTION("""COMPUTED_VALUE"""),"UnicornFruituristicSevens")</f>
        <v>UnicornFruituristicSevens</v>
      </c>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row>
    <row r="769" spans="1:51" x14ac:dyDescent="0.25">
      <c r="A769" s="5" t="str">
        <f ca="1">IFERROR(__xludf.DUMMYFUNCTION("""COMPUTED_VALUE"""),"")</f>
        <v/>
      </c>
      <c r="B769" s="5">
        <f ca="1">IFERROR(__xludf.DUMMYFUNCTION("""COMPUTED_VALUE"""),806)</f>
        <v>806</v>
      </c>
      <c r="C769" s="5">
        <f ca="1">IFERROR(__xludf.DUMMYFUNCTION("""COMPUTED_VALUE"""),-1)</f>
        <v>-1</v>
      </c>
      <c r="D769" s="5" t="str">
        <f ca="1">IFERROR(__xludf.DUMMYFUNCTION("""COMPUTED_VALUE"""),"TBD")</f>
        <v>TBD</v>
      </c>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row>
    <row r="770" spans="1:51" x14ac:dyDescent="0.25">
      <c r="A770" s="5" t="str">
        <f ca="1">IFERROR(__xludf.DUMMYFUNCTION("""COMPUTED_VALUE"""),"")</f>
        <v/>
      </c>
      <c r="B770" s="5">
        <f ca="1">IFERROR(__xludf.DUMMYFUNCTION("""COMPUTED_VALUE"""),807)</f>
        <v>807</v>
      </c>
      <c r="C770" s="5">
        <f ca="1">IFERROR(__xludf.DUMMYFUNCTION("""COMPUTED_VALUE"""),-1)</f>
        <v>-1</v>
      </c>
      <c r="D770" s="5" t="str">
        <f ca="1">IFERROR(__xludf.DUMMYFUNCTION("""COMPUTED_VALUE"""),"TBD")</f>
        <v>TBD</v>
      </c>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row>
    <row r="771" spans="1:51" x14ac:dyDescent="0.25">
      <c r="A771" s="5" t="str">
        <f ca="1">IFERROR(__xludf.DUMMYFUNCTION("""COMPUTED_VALUE"""),"")</f>
        <v/>
      </c>
      <c r="B771" s="5">
        <f ca="1">IFERROR(__xludf.DUMMYFUNCTION("""COMPUTED_VALUE"""),808)</f>
        <v>808</v>
      </c>
      <c r="C771" s="5">
        <f ca="1">IFERROR(__xludf.DUMMYFUNCTION("""COMPUTED_VALUE"""),-1)</f>
        <v>-1</v>
      </c>
      <c r="D771" s="5" t="str">
        <f ca="1">IFERROR(__xludf.DUMMYFUNCTION("""COMPUTED_VALUE"""),"TBD")</f>
        <v>TBD</v>
      </c>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row>
    <row r="772" spans="1:51" x14ac:dyDescent="0.25">
      <c r="A772" s="5" t="str">
        <f ca="1">IFERROR(__xludf.DUMMYFUNCTION("""COMPUTED_VALUE"""),"")</f>
        <v/>
      </c>
      <c r="B772" s="5">
        <f ca="1">IFERROR(__xludf.DUMMYFUNCTION("""COMPUTED_VALUE"""),809)</f>
        <v>809</v>
      </c>
      <c r="C772" s="5">
        <f ca="1">IFERROR(__xludf.DUMMYFUNCTION("""COMPUTED_VALUE"""),-1)</f>
        <v>-1</v>
      </c>
      <c r="D772" s="5" t="str">
        <f ca="1">IFERROR(__xludf.DUMMYFUNCTION("""COMPUTED_VALUE"""),"TBD")</f>
        <v>TBD</v>
      </c>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row>
    <row r="773" spans="1:51" x14ac:dyDescent="0.25">
      <c r="A773" s="5" t="str">
        <f ca="1">IFERROR(__xludf.DUMMYFUNCTION("""COMPUTED_VALUE"""),"")</f>
        <v/>
      </c>
      <c r="B773" s="5">
        <f ca="1">IFERROR(__xludf.DUMMYFUNCTION("""COMPUTED_VALUE"""),810)</f>
        <v>810</v>
      </c>
      <c r="C773" s="5">
        <f ca="1">IFERROR(__xludf.DUMMYFUNCTION("""COMPUTED_VALUE"""),-1)</f>
        <v>-1</v>
      </c>
      <c r="D773" s="5" t="str">
        <f ca="1">IFERROR(__xludf.DUMMYFUNCTION("""COMPUTED_VALUE"""),"TBD")</f>
        <v>TBD</v>
      </c>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row>
    <row r="774" spans="1:51" x14ac:dyDescent="0.25">
      <c r="A774" s="5" t="str">
        <f ca="1">IFERROR(__xludf.DUMMYFUNCTION("""COMPUTED_VALUE"""),"")</f>
        <v/>
      </c>
      <c r="B774" s="5">
        <f ca="1">IFERROR(__xludf.DUMMYFUNCTION("""COMPUTED_VALUE"""),811)</f>
        <v>811</v>
      </c>
      <c r="C774" s="5">
        <f ca="1">IFERROR(__xludf.DUMMYFUNCTION("""COMPUTED_VALUE"""),-1)</f>
        <v>-1</v>
      </c>
      <c r="D774" s="5" t="str">
        <f ca="1">IFERROR(__xludf.DUMMYFUNCTION("""COMPUTED_VALUE"""),"TBD")</f>
        <v>TBD</v>
      </c>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row>
    <row r="775" spans="1:51" x14ac:dyDescent="0.25">
      <c r="A775" s="5" t="str">
        <f ca="1">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B775" s="5">
        <f ca="1">IFERROR(__xludf.DUMMYFUNCTION("""COMPUTED_VALUE"""),812)</f>
        <v>812</v>
      </c>
      <c r="C775" s="5">
        <f ca="1">IFERROR(__xludf.DUMMYFUNCTION("""COMPUTED_VALUE"""),5000002)</f>
        <v>5000002</v>
      </c>
      <c r="D775" s="5" t="str">
        <f ca="1">IFERROR(__xludf.DUMMYFUNCTION("""COMPUTED_VALUE"""),"SokoDoubleHotChili")</f>
        <v>SokoDoubleHotChili</v>
      </c>
      <c r="E775" s="5" t="str">
        <f ca="1">IFERROR(__xludf.DUMMYFUNCTION("""COMPUTED_VALUE"""),"Yes")</f>
        <v>Yes</v>
      </c>
      <c r="F775" s="5" t="str">
        <f ca="1">IFERROR(__xludf.DUMMYFUNCTION("""COMPUTED_VALUE"""),"Yes")</f>
        <v>Yes</v>
      </c>
      <c r="G775" s="5" t="str">
        <f ca="1">IFERROR(__xludf.DUMMYFUNCTION("""COMPUTED_VALUE"""),"Yes")</f>
        <v>Yes</v>
      </c>
      <c r="H775" s="5" t="str">
        <f ca="1">IFERROR(__xludf.DUMMYFUNCTION("""COMPUTED_VALUE"""),"Yes")</f>
        <v>Yes</v>
      </c>
      <c r="I775" s="5" t="str">
        <f ca="1">IFERROR(__xludf.DUMMYFUNCTION("""COMPUTED_VALUE"""),"Yes")</f>
        <v>Yes</v>
      </c>
      <c r="J775" s="5" t="str">
        <f ca="1">IFERROR(__xludf.DUMMYFUNCTION("""COMPUTED_VALUE"""),"Yes")</f>
        <v>Yes</v>
      </c>
      <c r="K775" s="5" t="str">
        <f ca="1">IFERROR(__xludf.DUMMYFUNCTION("""COMPUTED_VALUE"""),"Yes")</f>
        <v>Yes</v>
      </c>
      <c r="L775" s="5" t="str">
        <f ca="1">IFERROR(__xludf.DUMMYFUNCTION("""COMPUTED_VALUE"""),"Yes")</f>
        <v>Yes</v>
      </c>
      <c r="M775" s="5" t="str">
        <f ca="1">IFERROR(__xludf.DUMMYFUNCTION("""COMPUTED_VALUE"""),"Yes")</f>
        <v>Yes</v>
      </c>
      <c r="N775" s="5" t="str">
        <f ca="1">IFERROR(__xludf.DUMMYFUNCTION("""COMPUTED_VALUE"""),"Yes")</f>
        <v>Yes</v>
      </c>
      <c r="O775" s="5" t="str">
        <f ca="1">IFERROR(__xludf.DUMMYFUNCTION("""COMPUTED_VALUE"""),"Yes")</f>
        <v>Yes</v>
      </c>
      <c r="P775" s="5" t="str">
        <f ca="1">IFERROR(__xludf.DUMMYFUNCTION("""COMPUTED_VALUE"""),"Yes")</f>
        <v>Yes</v>
      </c>
      <c r="Q775" s="5" t="str">
        <f ca="1">IFERROR(__xludf.DUMMYFUNCTION("""COMPUTED_VALUE"""),"Yes")</f>
        <v>Yes</v>
      </c>
      <c r="R775" s="5" t="str">
        <f ca="1">IFERROR(__xludf.DUMMYFUNCTION("""COMPUTED_VALUE"""),"No")</f>
        <v>No</v>
      </c>
      <c r="S775" s="5" t="str">
        <f ca="1">IFERROR(__xludf.DUMMYFUNCTION("""COMPUTED_VALUE"""),"Yes")</f>
        <v>Yes</v>
      </c>
      <c r="T775" s="5" t="str">
        <f ca="1">IFERROR(__xludf.DUMMYFUNCTION("""COMPUTED_VALUE"""),"No")</f>
        <v>No</v>
      </c>
      <c r="U775" s="5" t="str">
        <f ca="1">IFERROR(__xludf.DUMMYFUNCTION("""COMPUTED_VALUE"""),"No")</f>
        <v>No</v>
      </c>
      <c r="V775" s="5" t="str">
        <f ca="1">IFERROR(__xludf.DUMMYFUNCTION("""COMPUTED_VALUE"""),"No")</f>
        <v>No</v>
      </c>
      <c r="W775" s="5" t="str">
        <f ca="1">IFERROR(__xludf.DUMMYFUNCTION("""COMPUTED_VALUE"""),"No")</f>
        <v>No</v>
      </c>
      <c r="X775" s="5" t="str">
        <f ca="1">IFERROR(__xludf.DUMMYFUNCTION("""COMPUTED_VALUE"""),"No")</f>
        <v>No</v>
      </c>
      <c r="Y775" s="5" t="str">
        <f ca="1">IFERROR(__xludf.DUMMYFUNCTION("""COMPUTED_VALUE"""),"No")</f>
        <v>No</v>
      </c>
      <c r="Z775" s="5" t="str">
        <f ca="1">IFERROR(__xludf.DUMMYFUNCTION("""COMPUTED_VALUE"""),"No")</f>
        <v>No</v>
      </c>
      <c r="AA775" s="5" t="str">
        <f ca="1">IFERROR(__xludf.DUMMYFUNCTION("""COMPUTED_VALUE"""),"No")</f>
        <v>No</v>
      </c>
      <c r="AB775" s="5" t="str">
        <f ca="1">IFERROR(__xludf.DUMMYFUNCTION("""COMPUTED_VALUE"""),"Yes")</f>
        <v>Yes</v>
      </c>
      <c r="AC775" s="5" t="str">
        <f ca="1">IFERROR(__xludf.DUMMYFUNCTION("""COMPUTED_VALUE"""),"No")</f>
        <v>No</v>
      </c>
      <c r="AD775" s="5" t="str">
        <f ca="1">IFERROR(__xludf.DUMMYFUNCTION("""COMPUTED_VALUE"""),"No")</f>
        <v>No</v>
      </c>
      <c r="AE775" s="5" t="str">
        <f ca="1">IFERROR(__xludf.DUMMYFUNCTION("""COMPUTED_VALUE"""),"No")</f>
        <v>No</v>
      </c>
      <c r="AF775" s="5" t="str">
        <f ca="1">IFERROR(__xludf.DUMMYFUNCTION("""COMPUTED_VALUE"""),"No")</f>
        <v>No</v>
      </c>
      <c r="AG775" s="5" t="str">
        <f ca="1">IFERROR(__xludf.DUMMYFUNCTION("""COMPUTED_VALUE"""),"No")</f>
        <v>No</v>
      </c>
      <c r="AH775" s="5" t="str">
        <f ca="1">IFERROR(__xludf.DUMMYFUNCTION("""COMPUTED_VALUE"""),"No")</f>
        <v>No</v>
      </c>
      <c r="AI775" s="5" t="str">
        <f ca="1">IFERROR(__xludf.DUMMYFUNCTION("""COMPUTED_VALUE"""),"No")</f>
        <v>No</v>
      </c>
      <c r="AJ775" s="5" t="str">
        <f ca="1">IFERROR(__xludf.DUMMYFUNCTION("""COMPUTED_VALUE"""),"No")</f>
        <v>No</v>
      </c>
      <c r="AK775" s="5" t="str">
        <f ca="1">IFERROR(__xludf.DUMMYFUNCTION("""COMPUTED_VALUE"""),"No")</f>
        <v>No</v>
      </c>
      <c r="AL775" s="5" t="str">
        <f ca="1">IFERROR(__xludf.DUMMYFUNCTION("""COMPUTED_VALUE"""),"No")</f>
        <v>No</v>
      </c>
      <c r="AM775" s="5"/>
      <c r="AN775" s="5"/>
      <c r="AO775" s="5"/>
      <c r="AP775" s="5"/>
      <c r="AQ775" s="5"/>
      <c r="AR775" s="5"/>
      <c r="AS775" s="5"/>
      <c r="AT775" s="5"/>
      <c r="AU775" s="5"/>
      <c r="AV775" s="5"/>
      <c r="AW775" s="5"/>
      <c r="AX775" s="5"/>
      <c r="AY775" s="5"/>
    </row>
    <row r="776" spans="1:51" x14ac:dyDescent="0.25">
      <c r="A776" s="5" t="str">
        <f ca="1">IFERROR(__xludf.DUMMYFUNCTION("""COMPUTED_VALUE"""),"")</f>
        <v/>
      </c>
      <c r="B776" s="5">
        <f ca="1">IFERROR(__xludf.DUMMYFUNCTION("""COMPUTED_VALUE"""),813)</f>
        <v>813</v>
      </c>
      <c r="C776" s="5">
        <f ca="1">IFERROR(__xludf.DUMMYFUNCTION("""COMPUTED_VALUE"""),5000003)</f>
        <v>5000003</v>
      </c>
      <c r="D776" s="5" t="str">
        <f ca="1">IFERROR(__xludf.DUMMYFUNCTION("""COMPUTED_VALUE"""),"SokoGoldenSheriffWilds")</f>
        <v>SokoGoldenSheriffWilds</v>
      </c>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row>
    <row r="777" spans="1:51" x14ac:dyDescent="0.25">
      <c r="A777" s="5" t="str">
        <f ca="1">IFERROR(__xludf.DUMMYFUNCTION("""COMPUTED_VALUE"""),"")</f>
        <v/>
      </c>
      <c r="B777" s="5">
        <f ca="1">IFERROR(__xludf.DUMMYFUNCTION("""COMPUTED_VALUE"""),814)</f>
        <v>814</v>
      </c>
      <c r="C777" s="5">
        <f ca="1">IFERROR(__xludf.DUMMYFUNCTION("""COMPUTED_VALUE"""),5000004)</f>
        <v>5000004</v>
      </c>
      <c r="D777" s="5" t="str">
        <f ca="1">IFERROR(__xludf.DUMMYFUNCTION("""COMPUTED_VALUE"""),"SokoLuckyCrown5")</f>
        <v>SokoLuckyCrown5</v>
      </c>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row>
    <row r="778" spans="1:51" x14ac:dyDescent="0.25">
      <c r="A778" s="5" t="str">
        <f ca="1">IFERROR(__xludf.DUMMYFUNCTION("""COMPUTED_VALUE"""),"")</f>
        <v/>
      </c>
      <c r="B778" s="5">
        <f ca="1">IFERROR(__xludf.DUMMYFUNCTION("""COMPUTED_VALUE"""),815)</f>
        <v>815</v>
      </c>
      <c r="C778" s="5">
        <f ca="1">IFERROR(__xludf.DUMMYFUNCTION("""COMPUTED_VALUE"""),5000005)</f>
        <v>5000005</v>
      </c>
      <c r="D778" s="5" t="str">
        <f ca="1">IFERROR(__xludf.DUMMYFUNCTION("""COMPUTED_VALUE"""),"SokoRoyalJewelsFortuneDeluxe")</f>
        <v>SokoRoyalJewelsFortuneDeluxe</v>
      </c>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row>
    <row r="779" spans="1:51" x14ac:dyDescent="0.25">
      <c r="A779" s="5" t="str">
        <f ca="1">IFERROR(__xludf.DUMMYFUNCTION("""COMPUTED_VALUE"""),"")</f>
        <v/>
      </c>
      <c r="B779" s="5">
        <f ca="1">IFERROR(__xludf.DUMMYFUNCTION("""COMPUTED_VALUE"""),816)</f>
        <v>816</v>
      </c>
      <c r="C779" s="5">
        <f ca="1">IFERROR(__xludf.DUMMYFUNCTION("""COMPUTED_VALUE"""),-1)</f>
        <v>-1</v>
      </c>
      <c r="D779" s="5" t="str">
        <f ca="1">IFERROR(__xludf.DUMMYFUNCTION("""COMPUTED_VALUE"""),"TBD")</f>
        <v>TBD</v>
      </c>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row>
    <row r="780" spans="1:51" x14ac:dyDescent="0.25">
      <c r="A780" s="5" t="str">
        <f ca="1">IFERROR(__xludf.DUMMYFUNCTION("""COMPUTED_VALUE"""),"")</f>
        <v/>
      </c>
      <c r="B780" s="5">
        <f ca="1">IFERROR(__xludf.DUMMYFUNCTION("""COMPUTED_VALUE"""),817)</f>
        <v>817</v>
      </c>
      <c r="C780" s="5">
        <f ca="1">IFERROR(__xludf.DUMMYFUNCTION("""COMPUTED_VALUE"""),-1)</f>
        <v>-1</v>
      </c>
      <c r="D780" s="5" t="str">
        <f ca="1">IFERROR(__xludf.DUMMYFUNCTION("""COMPUTED_VALUE"""),"TBD")</f>
        <v>TBD</v>
      </c>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row>
    <row r="781" spans="1:51" x14ac:dyDescent="0.25">
      <c r="A781" s="5" t="str">
        <f ca="1">IFERROR(__xludf.DUMMYFUNCTION("""COMPUTED_VALUE"""),"")</f>
        <v/>
      </c>
      <c r="B781" s="5">
        <f ca="1">IFERROR(__xludf.DUMMYFUNCTION("""COMPUTED_VALUE"""),818)</f>
        <v>818</v>
      </c>
      <c r="C781" s="5">
        <f ca="1">IFERROR(__xludf.DUMMYFUNCTION("""COMPUTED_VALUE"""),5000006)</f>
        <v>5000006</v>
      </c>
      <c r="D781" s="5" t="str">
        <f ca="1">IFERROR(__xludf.DUMMYFUNCTION("""COMPUTED_VALUE"""),"SokoRoyalCrownDelightDeluxe")</f>
        <v>SokoRoyalCrownDelightDeluxe</v>
      </c>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row>
    <row r="782" spans="1:51" x14ac:dyDescent="0.25">
      <c r="A782" s="5" t="str">
        <f ca="1">IFERROR(__xludf.DUMMYFUNCTION("""COMPUTED_VALUE"""),"")</f>
        <v/>
      </c>
      <c r="B782" s="5">
        <f ca="1">IFERROR(__xludf.DUMMYFUNCTION("""COMPUTED_VALUE"""),819)</f>
        <v>819</v>
      </c>
      <c r="C782" s="5">
        <f ca="1">IFERROR(__xludf.DUMMYFUNCTION("""COMPUTED_VALUE"""),-1)</f>
        <v>-1</v>
      </c>
      <c r="D782" s="5" t="str">
        <f ca="1">IFERROR(__xludf.DUMMYFUNCTION("""COMPUTED_VALUE"""),"TBD")</f>
        <v>TBD</v>
      </c>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row>
    <row r="783" spans="1:51" x14ac:dyDescent="0.25">
      <c r="A783" s="5" t="str">
        <f ca="1">IFERROR(__xludf.DUMMYFUNCTION("""COMPUTED_VALUE"""),"")</f>
        <v/>
      </c>
      <c r="B783" s="5">
        <f ca="1">IFERROR(__xludf.DUMMYFUNCTION("""COMPUTED_VALUE"""),820)</f>
        <v>820</v>
      </c>
      <c r="C783" s="5">
        <f ca="1">IFERROR(__xludf.DUMMYFUNCTION("""COMPUTED_VALUE"""),-1)</f>
        <v>-1</v>
      </c>
      <c r="D783" s="5" t="str">
        <f ca="1">IFERROR(__xludf.DUMMYFUNCTION("""COMPUTED_VALUE"""),"TBD")</f>
        <v>TBD</v>
      </c>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row>
    <row r="784" spans="1:51" x14ac:dyDescent="0.25">
      <c r="A784" s="5" t="str">
        <f ca="1">IFERROR(__xludf.DUMMYFUNCTION("""COMPUTED_VALUE"""),"")</f>
        <v/>
      </c>
      <c r="B784" s="5">
        <f ca="1">IFERROR(__xludf.DUMMYFUNCTION("""COMPUTED_VALUE"""),821)</f>
        <v>821</v>
      </c>
      <c r="C784" s="5">
        <f ca="1">IFERROR(__xludf.DUMMYFUNCTION("""COMPUTED_VALUE"""),-1)</f>
        <v>-1</v>
      </c>
      <c r="D784" s="5" t="str">
        <f ca="1">IFERROR(__xludf.DUMMYFUNCTION("""COMPUTED_VALUE"""),"TBD")</f>
        <v>TBD</v>
      </c>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row>
    <row r="785" spans="1:51" x14ac:dyDescent="0.25">
      <c r="A785" s="5" t="str">
        <f ca="1">IFERROR(__xludf.DUMMYFUNCTION("""COMPUTED_VALUE"""),"")</f>
        <v/>
      </c>
      <c r="B785" s="5">
        <f ca="1">IFERROR(__xludf.DUMMYFUNCTION("""COMPUTED_VALUE"""),822)</f>
        <v>822</v>
      </c>
      <c r="C785" s="5">
        <f ca="1">IFERROR(__xludf.DUMMYFUNCTION("""COMPUTED_VALUE"""),-1)</f>
        <v>-1</v>
      </c>
      <c r="D785" s="5" t="str">
        <f ca="1">IFERROR(__xludf.DUMMYFUNCTION("""COMPUTED_VALUE"""),"TBD")</f>
        <v>TBD</v>
      </c>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row>
    <row r="786" spans="1:51" x14ac:dyDescent="0.25">
      <c r="A786" s="5" t="str">
        <f ca="1">IFERROR(__xludf.DUMMYFUNCTION("""COMPUTED_VALUE"""),"")</f>
        <v/>
      </c>
      <c r="B786" s="5">
        <f ca="1">IFERROR(__xludf.DUMMYFUNCTION("""COMPUTED_VALUE"""),823)</f>
        <v>823</v>
      </c>
      <c r="C786" s="5">
        <f ca="1">IFERROR(__xludf.DUMMYFUNCTION("""COMPUTED_VALUE"""),-1)</f>
        <v>-1</v>
      </c>
      <c r="D786" s="5" t="str">
        <f ca="1">IFERROR(__xludf.DUMMYFUNCTION("""COMPUTED_VALUE"""),"TBD")</f>
        <v>TBD</v>
      </c>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row>
    <row r="787" spans="1:51" x14ac:dyDescent="0.25">
      <c r="A787" s="5" t="str">
        <f ca="1">IFERROR(__xludf.DUMMYFUNCTION("""COMPUTED_VALUE"""),"")</f>
        <v/>
      </c>
      <c r="B787" s="5">
        <f ca="1">IFERROR(__xludf.DUMMYFUNCTION("""COMPUTED_VALUE"""),825)</f>
        <v>825</v>
      </c>
      <c r="C787" s="5">
        <f ca="1">IFERROR(__xludf.DUMMYFUNCTION("""COMPUTED_VALUE"""),-1)</f>
        <v>-1</v>
      </c>
      <c r="D787" s="5" t="str">
        <f ca="1">IFERROR(__xludf.DUMMYFUNCTION("""COMPUTED_VALUE"""),"TBD")</f>
        <v>TBD</v>
      </c>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row>
    <row r="788" spans="1:51" x14ac:dyDescent="0.25">
      <c r="A788" s="5" t="str">
        <f ca="1">IFERROR(__xludf.DUMMYFUNCTION("""COMPUTED_VALUE"""),"")</f>
        <v/>
      </c>
      <c r="B788" s="5">
        <f ca="1">IFERROR(__xludf.DUMMYFUNCTION("""COMPUTED_VALUE"""),826)</f>
        <v>826</v>
      </c>
      <c r="C788" s="5">
        <f ca="1">IFERROR(__xludf.DUMMYFUNCTION("""COMPUTED_VALUE"""),-1)</f>
        <v>-1</v>
      </c>
      <c r="D788" s="5" t="str">
        <f ca="1">IFERROR(__xludf.DUMMYFUNCTION("""COMPUTED_VALUE"""),"TBD")</f>
        <v>TBD</v>
      </c>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row>
    <row r="789" spans="1:51" x14ac:dyDescent="0.25">
      <c r="A789" s="5" t="str">
        <f ca="1">IFERROR(__xludf.DUMMYFUNCTION("""COMPUTED_VALUE"""),"")</f>
        <v/>
      </c>
      <c r="B789" s="5">
        <f ca="1">IFERROR(__xludf.DUMMYFUNCTION("""COMPUTED_VALUE"""),827)</f>
        <v>827</v>
      </c>
      <c r="C789" s="5">
        <f ca="1">IFERROR(__xludf.DUMMYFUNCTION("""COMPUTED_VALUE"""),-1)</f>
        <v>-1</v>
      </c>
      <c r="D789" s="5" t="str">
        <f ca="1">IFERROR(__xludf.DUMMYFUNCTION("""COMPUTED_VALUE"""),"TBD")</f>
        <v>TBD</v>
      </c>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row>
    <row r="790" spans="1:51" x14ac:dyDescent="0.25">
      <c r="A790" s="5" t="str">
        <f ca="1">IFERROR(__xludf.DUMMYFUNCTION("""COMPUTED_VALUE"""),"")</f>
        <v/>
      </c>
      <c r="B790" s="5">
        <f ca="1">IFERROR(__xludf.DUMMYFUNCTION("""COMPUTED_VALUE"""),828)</f>
        <v>828</v>
      </c>
      <c r="C790" s="5">
        <f ca="1">IFERROR(__xludf.DUMMYFUNCTION("""COMPUTED_VALUE"""),-1)</f>
        <v>-1</v>
      </c>
      <c r="D790" s="5" t="str">
        <f ca="1">IFERROR(__xludf.DUMMYFUNCTION("""COMPUTED_VALUE"""),"TBD")</f>
        <v>TBD</v>
      </c>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row>
    <row r="791" spans="1:51" x14ac:dyDescent="0.25">
      <c r="A791" s="5" t="str">
        <f ca="1">IFERROR(__xludf.DUMMYFUNCTION("""COMPUTED_VALUE"""),"")</f>
        <v/>
      </c>
      <c r="B791" s="5">
        <f ca="1">IFERROR(__xludf.DUMMYFUNCTION("""COMPUTED_VALUE"""),829)</f>
        <v>829</v>
      </c>
      <c r="C791" s="5">
        <f ca="1">IFERROR(__xludf.DUMMYFUNCTION("""COMPUTED_VALUE"""),-1)</f>
        <v>-1</v>
      </c>
      <c r="D791" s="5" t="str">
        <f ca="1">IFERROR(__xludf.DUMMYFUNCTION("""COMPUTED_VALUE"""),"TBD")</f>
        <v>TBD</v>
      </c>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row>
    <row r="792" spans="1:51" x14ac:dyDescent="0.25">
      <c r="A792" s="5" t="str">
        <f ca="1">IFERROR(__xludf.DUMMYFUNCTION("""COMPUTED_VALUE"""),"")</f>
        <v/>
      </c>
      <c r="B792" s="5">
        <f ca="1">IFERROR(__xludf.DUMMYFUNCTION("""COMPUTED_VALUE"""),830)</f>
        <v>830</v>
      </c>
      <c r="C792" s="5">
        <f ca="1">IFERROR(__xludf.DUMMYFUNCTION("""COMPUTED_VALUE"""),2025)</f>
        <v>2025</v>
      </c>
      <c r="D792" s="5" t="str">
        <f ca="1">IFERROR(__xludf.DUMMYFUNCTION("""COMPUTED_VALUE"""),"WuKong5")</f>
        <v>WuKong5</v>
      </c>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row>
    <row r="793" spans="1:51" x14ac:dyDescent="0.25">
      <c r="A793"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3" s="5">
        <f ca="1">IFERROR(__xludf.DUMMYFUNCTION("""COMPUTED_VALUE"""),831)</f>
        <v>831</v>
      </c>
      <c r="C793" s="5">
        <f ca="1">IFERROR(__xludf.DUMMYFUNCTION("""COMPUTED_VALUE"""),542)</f>
        <v>542</v>
      </c>
      <c r="D793" s="5" t="str">
        <f ca="1">IFERROR(__xludf.DUMMYFUNCTION("""COMPUTED_VALUE"""),"PlayNetJokersCrownX2")</f>
        <v>PlayNetJokersCrownX2</v>
      </c>
      <c r="E793" s="5" t="str">
        <f ca="1">IFERROR(__xludf.DUMMYFUNCTION("""COMPUTED_VALUE"""),"Yes")</f>
        <v>Yes</v>
      </c>
      <c r="F793" s="5" t="str">
        <f ca="1">IFERROR(__xludf.DUMMYFUNCTION("""COMPUTED_VALUE"""),"Yes")</f>
        <v>Yes</v>
      </c>
      <c r="G793" s="5" t="str">
        <f ca="1">IFERROR(__xludf.DUMMYFUNCTION("""COMPUTED_VALUE"""),"No")</f>
        <v>No</v>
      </c>
      <c r="H793" s="5" t="str">
        <f ca="1">IFERROR(__xludf.DUMMYFUNCTION("""COMPUTED_VALUE"""),"Yes")</f>
        <v>Yes</v>
      </c>
      <c r="I793" s="5" t="str">
        <f ca="1">IFERROR(__xludf.DUMMYFUNCTION("""COMPUTED_VALUE"""),"Yes")</f>
        <v>Yes</v>
      </c>
      <c r="J793" s="5" t="str">
        <f ca="1">IFERROR(__xludf.DUMMYFUNCTION("""COMPUTED_VALUE"""),"Yes")</f>
        <v>Yes</v>
      </c>
      <c r="K793" s="5" t="str">
        <f ca="1">IFERROR(__xludf.DUMMYFUNCTION("""COMPUTED_VALUE"""),"Yes")</f>
        <v>Yes</v>
      </c>
      <c r="L793" s="5" t="str">
        <f ca="1">IFERROR(__xludf.DUMMYFUNCTION("""COMPUTED_VALUE"""),"Yes")</f>
        <v>Yes</v>
      </c>
      <c r="M793" s="5" t="str">
        <f ca="1">IFERROR(__xludf.DUMMYFUNCTION("""COMPUTED_VALUE"""),"Yes")</f>
        <v>Yes</v>
      </c>
      <c r="N793" s="5" t="str">
        <f ca="1">IFERROR(__xludf.DUMMYFUNCTION("""COMPUTED_VALUE"""),"Yes")</f>
        <v>Yes</v>
      </c>
      <c r="O793" s="5" t="str">
        <f ca="1">IFERROR(__xludf.DUMMYFUNCTION("""COMPUTED_VALUE"""),"Yes")</f>
        <v>Yes</v>
      </c>
      <c r="P793" s="5" t="str">
        <f ca="1">IFERROR(__xludf.DUMMYFUNCTION("""COMPUTED_VALUE"""),"Yes")</f>
        <v>Yes</v>
      </c>
      <c r="Q793" s="5" t="str">
        <f ca="1">IFERROR(__xludf.DUMMYFUNCTION("""COMPUTED_VALUE"""),"Yes")</f>
        <v>Yes</v>
      </c>
      <c r="R793" s="5" t="str">
        <f ca="1">IFERROR(__xludf.DUMMYFUNCTION("""COMPUTED_VALUE"""),"Yes")</f>
        <v>Yes</v>
      </c>
      <c r="S793" s="5" t="str">
        <f ca="1">IFERROR(__xludf.DUMMYFUNCTION("""COMPUTED_VALUE"""),"Yes")</f>
        <v>Yes</v>
      </c>
      <c r="T793" s="5" t="str">
        <f ca="1">IFERROR(__xludf.DUMMYFUNCTION("""COMPUTED_VALUE"""),"No")</f>
        <v>No</v>
      </c>
      <c r="U793" s="5" t="str">
        <f ca="1">IFERROR(__xludf.DUMMYFUNCTION("""COMPUTED_VALUE"""),"No")</f>
        <v>No</v>
      </c>
      <c r="V793" s="5" t="str">
        <f ca="1">IFERROR(__xludf.DUMMYFUNCTION("""COMPUTED_VALUE"""),"No")</f>
        <v>No</v>
      </c>
      <c r="W793" s="5" t="str">
        <f ca="1">IFERROR(__xludf.DUMMYFUNCTION("""COMPUTED_VALUE"""),"No")</f>
        <v>No</v>
      </c>
      <c r="X793" s="5" t="str">
        <f ca="1">IFERROR(__xludf.DUMMYFUNCTION("""COMPUTED_VALUE"""),"No")</f>
        <v>No</v>
      </c>
      <c r="Y793" s="5" t="str">
        <f ca="1">IFERROR(__xludf.DUMMYFUNCTION("""COMPUTED_VALUE"""),"No")</f>
        <v>No</v>
      </c>
      <c r="Z793" s="5" t="str">
        <f ca="1">IFERROR(__xludf.DUMMYFUNCTION("""COMPUTED_VALUE"""),"No")</f>
        <v>No</v>
      </c>
      <c r="AA793" s="5" t="str">
        <f ca="1">IFERROR(__xludf.DUMMYFUNCTION("""COMPUTED_VALUE"""),"No")</f>
        <v>No</v>
      </c>
      <c r="AB793" s="5" t="str">
        <f ca="1">IFERROR(__xludf.DUMMYFUNCTION("""COMPUTED_VALUE"""),"No")</f>
        <v>No</v>
      </c>
      <c r="AC793" s="5" t="str">
        <f ca="1">IFERROR(__xludf.DUMMYFUNCTION("""COMPUTED_VALUE"""),"No")</f>
        <v>No</v>
      </c>
      <c r="AD793" s="5" t="str">
        <f ca="1">IFERROR(__xludf.DUMMYFUNCTION("""COMPUTED_VALUE"""),"No")</f>
        <v>No</v>
      </c>
      <c r="AE793" s="5" t="str">
        <f ca="1">IFERROR(__xludf.DUMMYFUNCTION("""COMPUTED_VALUE"""),"No")</f>
        <v>No</v>
      </c>
      <c r="AF793" s="5" t="str">
        <f ca="1">IFERROR(__xludf.DUMMYFUNCTION("""COMPUTED_VALUE"""),"Yes")</f>
        <v>Yes</v>
      </c>
      <c r="AG793" s="5" t="str">
        <f ca="1">IFERROR(__xludf.DUMMYFUNCTION("""COMPUTED_VALUE"""),"No")</f>
        <v>No</v>
      </c>
      <c r="AH793" s="5" t="str">
        <f ca="1">IFERROR(__xludf.DUMMYFUNCTION("""COMPUTED_VALUE"""),"Yes")</f>
        <v>Yes</v>
      </c>
      <c r="AI793" s="5" t="str">
        <f ca="1">IFERROR(__xludf.DUMMYFUNCTION("""COMPUTED_VALUE"""),"No")</f>
        <v>No</v>
      </c>
      <c r="AJ793" s="5" t="str">
        <f ca="1">IFERROR(__xludf.DUMMYFUNCTION("""COMPUTED_VALUE"""),"No")</f>
        <v>No</v>
      </c>
      <c r="AK793" s="5" t="str">
        <f ca="1">IFERROR(__xludf.DUMMYFUNCTION("""COMPUTED_VALUE"""),"No")</f>
        <v>No</v>
      </c>
      <c r="AL793" s="5" t="str">
        <f ca="1">IFERROR(__xludf.DUMMYFUNCTION("""COMPUTED_VALUE"""),"No")</f>
        <v>No</v>
      </c>
      <c r="AM793" s="5"/>
      <c r="AN793" s="5"/>
      <c r="AO793" s="5"/>
      <c r="AP793" s="5"/>
      <c r="AQ793" s="5"/>
      <c r="AR793" s="5"/>
      <c r="AS793" s="5"/>
      <c r="AT793" s="5"/>
      <c r="AU793" s="5"/>
      <c r="AV793" s="5"/>
      <c r="AW793" s="5"/>
      <c r="AX793" s="5"/>
      <c r="AY793" s="5"/>
    </row>
    <row r="794" spans="1:51" x14ac:dyDescent="0.25">
      <c r="A794"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4" s="5">
        <f ca="1">IFERROR(__xludf.DUMMYFUNCTION("""COMPUTED_VALUE"""),832)</f>
        <v>832</v>
      </c>
      <c r="C794" s="5">
        <f ca="1">IFERROR(__xludf.DUMMYFUNCTION("""COMPUTED_VALUE"""),543)</f>
        <v>543</v>
      </c>
      <c r="D794" s="5" t="str">
        <f ca="1">IFERROR(__xludf.DUMMYFUNCTION("""COMPUTED_VALUE"""),"PlayNetRoxyUndercover")</f>
        <v>PlayNetRoxyUndercover</v>
      </c>
      <c r="E794" s="5" t="str">
        <f ca="1">IFERROR(__xludf.DUMMYFUNCTION("""COMPUTED_VALUE"""),"Yes")</f>
        <v>Yes</v>
      </c>
      <c r="F794" s="5" t="str">
        <f ca="1">IFERROR(__xludf.DUMMYFUNCTION("""COMPUTED_VALUE"""),"Yes")</f>
        <v>Yes</v>
      </c>
      <c r="G794" s="5" t="str">
        <f ca="1">IFERROR(__xludf.DUMMYFUNCTION("""COMPUTED_VALUE"""),"Yes")</f>
        <v>Yes</v>
      </c>
      <c r="H794" s="5" t="str">
        <f ca="1">IFERROR(__xludf.DUMMYFUNCTION("""COMPUTED_VALUE"""),"Yes")</f>
        <v>Yes</v>
      </c>
      <c r="I794" s="5" t="str">
        <f ca="1">IFERROR(__xludf.DUMMYFUNCTION("""COMPUTED_VALUE"""),"Yes")</f>
        <v>Yes</v>
      </c>
      <c r="J794" s="5" t="str">
        <f ca="1">IFERROR(__xludf.DUMMYFUNCTION("""COMPUTED_VALUE"""),"Yes")</f>
        <v>Yes</v>
      </c>
      <c r="K794" s="5" t="str">
        <f ca="1">IFERROR(__xludf.DUMMYFUNCTION("""COMPUTED_VALUE"""),"Yes")</f>
        <v>Yes</v>
      </c>
      <c r="L794" s="5" t="str">
        <f ca="1">IFERROR(__xludf.DUMMYFUNCTION("""COMPUTED_VALUE"""),"Yes")</f>
        <v>Yes</v>
      </c>
      <c r="M794" s="5" t="str">
        <f ca="1">IFERROR(__xludf.DUMMYFUNCTION("""COMPUTED_VALUE"""),"Yes")</f>
        <v>Yes</v>
      </c>
      <c r="N794" s="5" t="str">
        <f ca="1">IFERROR(__xludf.DUMMYFUNCTION("""COMPUTED_VALUE"""),"Yes")</f>
        <v>Yes</v>
      </c>
      <c r="O794" s="5" t="str">
        <f ca="1">IFERROR(__xludf.DUMMYFUNCTION("""COMPUTED_VALUE"""),"Yes")</f>
        <v>Yes</v>
      </c>
      <c r="P794" s="5" t="str">
        <f ca="1">IFERROR(__xludf.DUMMYFUNCTION("""COMPUTED_VALUE"""),"Yes")</f>
        <v>Yes</v>
      </c>
      <c r="Q794" s="5" t="str">
        <f ca="1">IFERROR(__xludf.DUMMYFUNCTION("""COMPUTED_VALUE"""),"Yes")</f>
        <v>Yes</v>
      </c>
      <c r="R794" s="5" t="str">
        <f ca="1">IFERROR(__xludf.DUMMYFUNCTION("""COMPUTED_VALUE"""),"Yes")</f>
        <v>Yes</v>
      </c>
      <c r="S794" s="5" t="str">
        <f ca="1">IFERROR(__xludf.DUMMYFUNCTION("""COMPUTED_VALUE"""),"Yes")</f>
        <v>Yes</v>
      </c>
      <c r="T794" s="5"/>
      <c r="U794" s="5"/>
      <c r="V794" s="5"/>
      <c r="W794" s="5"/>
      <c r="X794" s="5"/>
      <c r="Y794" s="5"/>
      <c r="Z794" s="5"/>
      <c r="AA794" s="5"/>
      <c r="AB794" s="5"/>
      <c r="AC794" s="5"/>
      <c r="AD794" s="5"/>
      <c r="AE794" s="5"/>
      <c r="AF794" s="5" t="str">
        <f ca="1">IFERROR(__xludf.DUMMYFUNCTION("""COMPUTED_VALUE"""),"Yes")</f>
        <v>Yes</v>
      </c>
      <c r="AG794" s="5"/>
      <c r="AH794" s="5" t="str">
        <f ca="1">IFERROR(__xludf.DUMMYFUNCTION("""COMPUTED_VALUE"""),"Yes")</f>
        <v>Yes</v>
      </c>
      <c r="AI794" s="5"/>
      <c r="AJ794" s="5"/>
      <c r="AK794" s="5"/>
      <c r="AL794" s="5"/>
      <c r="AM794" s="5"/>
      <c r="AN794" s="5"/>
      <c r="AO794" s="5"/>
      <c r="AP794" s="5"/>
      <c r="AQ794" s="5"/>
      <c r="AR794" s="5"/>
      <c r="AS794" s="5"/>
      <c r="AT794" s="5"/>
      <c r="AU794" s="5"/>
      <c r="AV794" s="5"/>
      <c r="AW794" s="5"/>
      <c r="AX794" s="5"/>
      <c r="AY794" s="5"/>
    </row>
    <row r="795" spans="1:51" x14ac:dyDescent="0.25">
      <c r="A795"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5" s="5">
        <f ca="1">IFERROR(__xludf.DUMMYFUNCTION("""COMPUTED_VALUE"""),833)</f>
        <v>833</v>
      </c>
      <c r="C795" s="5">
        <f ca="1">IFERROR(__xludf.DUMMYFUNCTION("""COMPUTED_VALUE"""),544)</f>
        <v>544</v>
      </c>
      <c r="D795" s="5" t="str">
        <f ca="1">IFERROR(__xludf.DUMMYFUNCTION("""COMPUTED_VALUE"""),"PlayNetHeartGem100")</f>
        <v>PlayNetHeartGem100</v>
      </c>
      <c r="E795" s="5" t="str">
        <f ca="1">IFERROR(__xludf.DUMMYFUNCTION("""COMPUTED_VALUE"""),"Yes")</f>
        <v>Yes</v>
      </c>
      <c r="F795" s="5" t="str">
        <f ca="1">IFERROR(__xludf.DUMMYFUNCTION("""COMPUTED_VALUE"""),"Yes")</f>
        <v>Yes</v>
      </c>
      <c r="G795" s="5" t="str">
        <f ca="1">IFERROR(__xludf.DUMMYFUNCTION("""COMPUTED_VALUE"""),"Yes")</f>
        <v>Yes</v>
      </c>
      <c r="H795" s="5" t="str">
        <f ca="1">IFERROR(__xludf.DUMMYFUNCTION("""COMPUTED_VALUE"""),"Yes")</f>
        <v>Yes</v>
      </c>
      <c r="I795" s="5" t="str">
        <f ca="1">IFERROR(__xludf.DUMMYFUNCTION("""COMPUTED_VALUE"""),"Yes")</f>
        <v>Yes</v>
      </c>
      <c r="J795" s="5" t="str">
        <f ca="1">IFERROR(__xludf.DUMMYFUNCTION("""COMPUTED_VALUE"""),"Yes")</f>
        <v>Yes</v>
      </c>
      <c r="K795" s="5" t="str">
        <f ca="1">IFERROR(__xludf.DUMMYFUNCTION("""COMPUTED_VALUE"""),"Yes")</f>
        <v>Yes</v>
      </c>
      <c r="L795" s="5" t="str">
        <f ca="1">IFERROR(__xludf.DUMMYFUNCTION("""COMPUTED_VALUE"""),"Yes")</f>
        <v>Yes</v>
      </c>
      <c r="M795" s="5" t="str">
        <f ca="1">IFERROR(__xludf.DUMMYFUNCTION("""COMPUTED_VALUE"""),"Yes")</f>
        <v>Yes</v>
      </c>
      <c r="N795" s="5" t="str">
        <f ca="1">IFERROR(__xludf.DUMMYFUNCTION("""COMPUTED_VALUE"""),"Yes")</f>
        <v>Yes</v>
      </c>
      <c r="O795" s="5" t="str">
        <f ca="1">IFERROR(__xludf.DUMMYFUNCTION("""COMPUTED_VALUE"""),"Yes")</f>
        <v>Yes</v>
      </c>
      <c r="P795" s="5" t="str">
        <f ca="1">IFERROR(__xludf.DUMMYFUNCTION("""COMPUTED_VALUE"""),"Yes")</f>
        <v>Yes</v>
      </c>
      <c r="Q795" s="5" t="str">
        <f ca="1">IFERROR(__xludf.DUMMYFUNCTION("""COMPUTED_VALUE"""),"Yes")</f>
        <v>Yes</v>
      </c>
      <c r="R795" s="5" t="str">
        <f ca="1">IFERROR(__xludf.DUMMYFUNCTION("""COMPUTED_VALUE"""),"Yes")</f>
        <v>Yes</v>
      </c>
      <c r="S795" s="5" t="str">
        <f ca="1">IFERROR(__xludf.DUMMYFUNCTION("""COMPUTED_VALUE"""),"Yes")</f>
        <v>Yes</v>
      </c>
      <c r="T795" s="5"/>
      <c r="U795" s="5"/>
      <c r="V795" s="5"/>
      <c r="W795" s="5"/>
      <c r="X795" s="5"/>
      <c r="Y795" s="5"/>
      <c r="Z795" s="5"/>
      <c r="AA795" s="5"/>
      <c r="AB795" s="5"/>
      <c r="AC795" s="5"/>
      <c r="AD795" s="5"/>
      <c r="AE795" s="5"/>
      <c r="AF795" s="5" t="str">
        <f ca="1">IFERROR(__xludf.DUMMYFUNCTION("""COMPUTED_VALUE"""),"Yes")</f>
        <v>Yes</v>
      </c>
      <c r="AG795" s="5"/>
      <c r="AH795" s="5" t="str">
        <f ca="1">IFERROR(__xludf.DUMMYFUNCTION("""COMPUTED_VALUE"""),"Yes")</f>
        <v>Yes</v>
      </c>
      <c r="AI795" s="5"/>
      <c r="AJ795" s="5"/>
      <c r="AK795" s="5"/>
      <c r="AL795" s="5"/>
      <c r="AM795" s="5"/>
      <c r="AN795" s="5"/>
      <c r="AO795" s="5"/>
      <c r="AP795" s="5"/>
      <c r="AQ795" s="5"/>
      <c r="AR795" s="5"/>
      <c r="AS795" s="5"/>
      <c r="AT795" s="5"/>
      <c r="AU795" s="5"/>
      <c r="AV795" s="5"/>
      <c r="AW795" s="5"/>
      <c r="AX795" s="5"/>
      <c r="AY795" s="5"/>
    </row>
    <row r="796" spans="1:51" x14ac:dyDescent="0.25">
      <c r="A796"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6" s="5">
        <f ca="1">IFERROR(__xludf.DUMMYFUNCTION("""COMPUTED_VALUE"""),834)</f>
        <v>834</v>
      </c>
      <c r="C796" s="5">
        <f ca="1">IFERROR(__xludf.DUMMYFUNCTION("""COMPUTED_VALUE"""),545)</f>
        <v>545</v>
      </c>
      <c r="D796" s="5" t="str">
        <f ca="1">IFERROR(__xludf.DUMMYFUNCTION("""COMPUTED_VALUE"""),"PlayNetCrownTreasure10")</f>
        <v>PlayNetCrownTreasure10</v>
      </c>
      <c r="E796" s="5" t="str">
        <f ca="1">IFERROR(__xludf.DUMMYFUNCTION("""COMPUTED_VALUE"""),"Yes")</f>
        <v>Yes</v>
      </c>
      <c r="F796" s="5" t="str">
        <f ca="1">IFERROR(__xludf.DUMMYFUNCTION("""COMPUTED_VALUE"""),"Yes")</f>
        <v>Yes</v>
      </c>
      <c r="G796" s="5" t="str">
        <f ca="1">IFERROR(__xludf.DUMMYFUNCTION("""COMPUTED_VALUE"""),"Yes")</f>
        <v>Yes</v>
      </c>
      <c r="H796" s="5" t="str">
        <f ca="1">IFERROR(__xludf.DUMMYFUNCTION("""COMPUTED_VALUE"""),"Yes")</f>
        <v>Yes</v>
      </c>
      <c r="I796" s="5" t="str">
        <f ca="1">IFERROR(__xludf.DUMMYFUNCTION("""COMPUTED_VALUE"""),"Yes")</f>
        <v>Yes</v>
      </c>
      <c r="J796" s="5" t="str">
        <f ca="1">IFERROR(__xludf.DUMMYFUNCTION("""COMPUTED_VALUE"""),"Yes")</f>
        <v>Yes</v>
      </c>
      <c r="K796" s="5" t="str">
        <f ca="1">IFERROR(__xludf.DUMMYFUNCTION("""COMPUTED_VALUE"""),"Yes")</f>
        <v>Yes</v>
      </c>
      <c r="L796" s="5" t="str">
        <f ca="1">IFERROR(__xludf.DUMMYFUNCTION("""COMPUTED_VALUE"""),"Yes")</f>
        <v>Yes</v>
      </c>
      <c r="M796" s="5" t="str">
        <f ca="1">IFERROR(__xludf.DUMMYFUNCTION("""COMPUTED_VALUE"""),"Yes")</f>
        <v>Yes</v>
      </c>
      <c r="N796" s="5" t="str">
        <f ca="1">IFERROR(__xludf.DUMMYFUNCTION("""COMPUTED_VALUE"""),"Yes")</f>
        <v>Yes</v>
      </c>
      <c r="O796" s="5" t="str">
        <f ca="1">IFERROR(__xludf.DUMMYFUNCTION("""COMPUTED_VALUE"""),"Yes")</f>
        <v>Yes</v>
      </c>
      <c r="P796" s="5" t="str">
        <f ca="1">IFERROR(__xludf.DUMMYFUNCTION("""COMPUTED_VALUE"""),"Yes")</f>
        <v>Yes</v>
      </c>
      <c r="Q796" s="5" t="str">
        <f ca="1">IFERROR(__xludf.DUMMYFUNCTION("""COMPUTED_VALUE"""),"Yes")</f>
        <v>Yes</v>
      </c>
      <c r="R796" s="5" t="str">
        <f ca="1">IFERROR(__xludf.DUMMYFUNCTION("""COMPUTED_VALUE"""),"Yes")</f>
        <v>Yes</v>
      </c>
      <c r="S796" s="5" t="str">
        <f ca="1">IFERROR(__xludf.DUMMYFUNCTION("""COMPUTED_VALUE"""),"Yes")</f>
        <v>Yes</v>
      </c>
      <c r="T796" s="5" t="str">
        <f ca="1">IFERROR(__xludf.DUMMYFUNCTION("""COMPUTED_VALUE"""),"No")</f>
        <v>No</v>
      </c>
      <c r="U796" s="5" t="str">
        <f ca="1">IFERROR(__xludf.DUMMYFUNCTION("""COMPUTED_VALUE"""),"No")</f>
        <v>No</v>
      </c>
      <c r="V796" s="5" t="str">
        <f ca="1">IFERROR(__xludf.DUMMYFUNCTION("""COMPUTED_VALUE"""),"No")</f>
        <v>No</v>
      </c>
      <c r="W796" s="5" t="str">
        <f ca="1">IFERROR(__xludf.DUMMYFUNCTION("""COMPUTED_VALUE"""),"No")</f>
        <v>No</v>
      </c>
      <c r="X796" s="5" t="str">
        <f ca="1">IFERROR(__xludf.DUMMYFUNCTION("""COMPUTED_VALUE"""),"No")</f>
        <v>No</v>
      </c>
      <c r="Y796" s="5" t="str">
        <f ca="1">IFERROR(__xludf.DUMMYFUNCTION("""COMPUTED_VALUE"""),"No")</f>
        <v>No</v>
      </c>
      <c r="Z796" s="5" t="str">
        <f ca="1">IFERROR(__xludf.DUMMYFUNCTION("""COMPUTED_VALUE"""),"No")</f>
        <v>No</v>
      </c>
      <c r="AA796" s="5" t="str">
        <f ca="1">IFERROR(__xludf.DUMMYFUNCTION("""COMPUTED_VALUE"""),"No")</f>
        <v>No</v>
      </c>
      <c r="AB796" s="5" t="str">
        <f ca="1">IFERROR(__xludf.DUMMYFUNCTION("""COMPUTED_VALUE"""),"No")</f>
        <v>No</v>
      </c>
      <c r="AC796" s="5" t="str">
        <f ca="1">IFERROR(__xludf.DUMMYFUNCTION("""COMPUTED_VALUE"""),"No")</f>
        <v>No</v>
      </c>
      <c r="AD796" s="5" t="str">
        <f ca="1">IFERROR(__xludf.DUMMYFUNCTION("""COMPUTED_VALUE"""),"No")</f>
        <v>No</v>
      </c>
      <c r="AE796" s="5" t="str">
        <f ca="1">IFERROR(__xludf.DUMMYFUNCTION("""COMPUTED_VALUE"""),"No")</f>
        <v>No</v>
      </c>
      <c r="AF796" s="5" t="str">
        <f ca="1">IFERROR(__xludf.DUMMYFUNCTION("""COMPUTED_VALUE"""),"Yes")</f>
        <v>Yes</v>
      </c>
      <c r="AG796" s="5" t="str">
        <f ca="1">IFERROR(__xludf.DUMMYFUNCTION("""COMPUTED_VALUE"""),"No")</f>
        <v>No</v>
      </c>
      <c r="AH796" s="5" t="str">
        <f ca="1">IFERROR(__xludf.DUMMYFUNCTION("""COMPUTED_VALUE"""),"Yes")</f>
        <v>Yes</v>
      </c>
      <c r="AI796" s="5" t="str">
        <f ca="1">IFERROR(__xludf.DUMMYFUNCTION("""COMPUTED_VALUE"""),"No")</f>
        <v>No</v>
      </c>
      <c r="AJ796" s="5" t="str">
        <f ca="1">IFERROR(__xludf.DUMMYFUNCTION("""COMPUTED_VALUE"""),"No")</f>
        <v>No</v>
      </c>
      <c r="AK796" s="5" t="str">
        <f ca="1">IFERROR(__xludf.DUMMYFUNCTION("""COMPUTED_VALUE"""),"No")</f>
        <v>No</v>
      </c>
      <c r="AL796" s="5" t="str">
        <f ca="1">IFERROR(__xludf.DUMMYFUNCTION("""COMPUTED_VALUE"""),"No")</f>
        <v>No</v>
      </c>
      <c r="AM796" s="5"/>
      <c r="AN796" s="5"/>
      <c r="AO796" s="5"/>
      <c r="AP796" s="5"/>
      <c r="AQ796" s="5"/>
      <c r="AR796" s="5"/>
      <c r="AS796" s="5"/>
      <c r="AT796" s="5"/>
      <c r="AU796" s="5"/>
      <c r="AV796" s="5"/>
      <c r="AW796" s="5"/>
      <c r="AX796" s="5"/>
      <c r="AY796" s="5"/>
    </row>
    <row r="797" spans="1:51" x14ac:dyDescent="0.25">
      <c r="A79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7" s="5">
        <f ca="1">IFERROR(__xludf.DUMMYFUNCTION("""COMPUTED_VALUE"""),835)</f>
        <v>835</v>
      </c>
      <c r="C797" s="5">
        <f ca="1">IFERROR(__xludf.DUMMYFUNCTION("""COMPUTED_VALUE"""),546)</f>
        <v>546</v>
      </c>
      <c r="D797" s="5" t="str">
        <f ca="1">IFERROR(__xludf.DUMMYFUNCTION("""COMPUTED_VALUE"""),"PlayNetTropicTwistExtreme")</f>
        <v>PlayNetTropicTwistExtreme</v>
      </c>
      <c r="E797" s="5" t="str">
        <f ca="1">IFERROR(__xludf.DUMMYFUNCTION("""COMPUTED_VALUE"""),"Yes")</f>
        <v>Yes</v>
      </c>
      <c r="F797" s="5" t="str">
        <f ca="1">IFERROR(__xludf.DUMMYFUNCTION("""COMPUTED_VALUE"""),"Yes")</f>
        <v>Yes</v>
      </c>
      <c r="G797" s="5" t="str">
        <f ca="1">IFERROR(__xludf.DUMMYFUNCTION("""COMPUTED_VALUE"""),"No")</f>
        <v>No</v>
      </c>
      <c r="H797" s="5" t="str">
        <f ca="1">IFERROR(__xludf.DUMMYFUNCTION("""COMPUTED_VALUE"""),"Yes")</f>
        <v>Yes</v>
      </c>
      <c r="I797" s="5" t="str">
        <f ca="1">IFERROR(__xludf.DUMMYFUNCTION("""COMPUTED_VALUE"""),"Yes")</f>
        <v>Yes</v>
      </c>
      <c r="J797" s="5" t="str">
        <f ca="1">IFERROR(__xludf.DUMMYFUNCTION("""COMPUTED_VALUE"""),"Yes")</f>
        <v>Yes</v>
      </c>
      <c r="K797" s="5" t="str">
        <f ca="1">IFERROR(__xludf.DUMMYFUNCTION("""COMPUTED_VALUE"""),"Yes")</f>
        <v>Yes</v>
      </c>
      <c r="L797" s="5" t="str">
        <f ca="1">IFERROR(__xludf.DUMMYFUNCTION("""COMPUTED_VALUE"""),"Yes")</f>
        <v>Yes</v>
      </c>
      <c r="M797" s="5" t="str">
        <f ca="1">IFERROR(__xludf.DUMMYFUNCTION("""COMPUTED_VALUE"""),"Yes")</f>
        <v>Yes</v>
      </c>
      <c r="N797" s="5" t="str">
        <f ca="1">IFERROR(__xludf.DUMMYFUNCTION("""COMPUTED_VALUE"""),"Yes")</f>
        <v>Yes</v>
      </c>
      <c r="O797" s="5" t="str">
        <f ca="1">IFERROR(__xludf.DUMMYFUNCTION("""COMPUTED_VALUE"""),"Yes")</f>
        <v>Yes</v>
      </c>
      <c r="P797" s="5" t="str">
        <f ca="1">IFERROR(__xludf.DUMMYFUNCTION("""COMPUTED_VALUE"""),"Yes")</f>
        <v>Yes</v>
      </c>
      <c r="Q797" s="5" t="str">
        <f ca="1">IFERROR(__xludf.DUMMYFUNCTION("""COMPUTED_VALUE"""),"Yes")</f>
        <v>Yes</v>
      </c>
      <c r="R797" s="5" t="str">
        <f ca="1">IFERROR(__xludf.DUMMYFUNCTION("""COMPUTED_VALUE"""),"Yes")</f>
        <v>Yes</v>
      </c>
      <c r="S797" s="5" t="str">
        <f ca="1">IFERROR(__xludf.DUMMYFUNCTION("""COMPUTED_VALUE"""),"Yes")</f>
        <v>Yes</v>
      </c>
      <c r="T797" s="5" t="str">
        <f ca="1">IFERROR(__xludf.DUMMYFUNCTION("""COMPUTED_VALUE"""),"No")</f>
        <v>No</v>
      </c>
      <c r="U797" s="5" t="str">
        <f ca="1">IFERROR(__xludf.DUMMYFUNCTION("""COMPUTED_VALUE"""),"No")</f>
        <v>No</v>
      </c>
      <c r="V797" s="5" t="str">
        <f ca="1">IFERROR(__xludf.DUMMYFUNCTION("""COMPUTED_VALUE"""),"No")</f>
        <v>No</v>
      </c>
      <c r="W797" s="5" t="str">
        <f ca="1">IFERROR(__xludf.DUMMYFUNCTION("""COMPUTED_VALUE"""),"No")</f>
        <v>No</v>
      </c>
      <c r="X797" s="5" t="str">
        <f ca="1">IFERROR(__xludf.DUMMYFUNCTION("""COMPUTED_VALUE"""),"No")</f>
        <v>No</v>
      </c>
      <c r="Y797" s="5" t="str">
        <f ca="1">IFERROR(__xludf.DUMMYFUNCTION("""COMPUTED_VALUE"""),"No")</f>
        <v>No</v>
      </c>
      <c r="Z797" s="5" t="str">
        <f ca="1">IFERROR(__xludf.DUMMYFUNCTION("""COMPUTED_VALUE"""),"No")</f>
        <v>No</v>
      </c>
      <c r="AA797" s="5" t="str">
        <f ca="1">IFERROR(__xludf.DUMMYFUNCTION("""COMPUTED_VALUE"""),"No")</f>
        <v>No</v>
      </c>
      <c r="AB797" s="5" t="str">
        <f ca="1">IFERROR(__xludf.DUMMYFUNCTION("""COMPUTED_VALUE"""),"No")</f>
        <v>No</v>
      </c>
      <c r="AC797" s="5" t="str">
        <f ca="1">IFERROR(__xludf.DUMMYFUNCTION("""COMPUTED_VALUE"""),"No")</f>
        <v>No</v>
      </c>
      <c r="AD797" s="5" t="str">
        <f ca="1">IFERROR(__xludf.DUMMYFUNCTION("""COMPUTED_VALUE"""),"No")</f>
        <v>No</v>
      </c>
      <c r="AE797" s="5" t="str">
        <f ca="1">IFERROR(__xludf.DUMMYFUNCTION("""COMPUTED_VALUE"""),"No")</f>
        <v>No</v>
      </c>
      <c r="AF797" s="5" t="str">
        <f ca="1">IFERROR(__xludf.DUMMYFUNCTION("""COMPUTED_VALUE"""),"Yes")</f>
        <v>Yes</v>
      </c>
      <c r="AG797" s="5" t="str">
        <f ca="1">IFERROR(__xludf.DUMMYFUNCTION("""COMPUTED_VALUE"""),"No")</f>
        <v>No</v>
      </c>
      <c r="AH797" s="5" t="str">
        <f ca="1">IFERROR(__xludf.DUMMYFUNCTION("""COMPUTED_VALUE"""),"Yes")</f>
        <v>Yes</v>
      </c>
      <c r="AI797" s="5" t="str">
        <f ca="1">IFERROR(__xludf.DUMMYFUNCTION("""COMPUTED_VALUE"""),"No")</f>
        <v>No</v>
      </c>
      <c r="AJ797" s="5" t="str">
        <f ca="1">IFERROR(__xludf.DUMMYFUNCTION("""COMPUTED_VALUE"""),"No")</f>
        <v>No</v>
      </c>
      <c r="AK797" s="5" t="str">
        <f ca="1">IFERROR(__xludf.DUMMYFUNCTION("""COMPUTED_VALUE"""),"No")</f>
        <v>No</v>
      </c>
      <c r="AL797" s="5" t="str">
        <f ca="1">IFERROR(__xludf.DUMMYFUNCTION("""COMPUTED_VALUE"""),"No")</f>
        <v>No</v>
      </c>
      <c r="AM797" s="5"/>
      <c r="AN797" s="5"/>
      <c r="AO797" s="5"/>
      <c r="AP797" s="5"/>
      <c r="AQ797" s="5"/>
      <c r="AR797" s="5"/>
      <c r="AS797" s="5"/>
      <c r="AT797" s="5"/>
      <c r="AU797" s="5"/>
      <c r="AV797" s="5"/>
      <c r="AW797" s="5"/>
      <c r="AX797" s="5"/>
      <c r="AY797" s="5"/>
    </row>
    <row r="798" spans="1:51" x14ac:dyDescent="0.25">
      <c r="A798"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8" s="5">
        <f ca="1">IFERROR(__xludf.DUMMYFUNCTION("""COMPUTED_VALUE"""),836)</f>
        <v>836</v>
      </c>
      <c r="C798" s="5">
        <f ca="1">IFERROR(__xludf.DUMMYFUNCTION("""COMPUTED_VALUE"""),547)</f>
        <v>547</v>
      </c>
      <c r="D798" s="5" t="str">
        <f ca="1">IFERROR(__xludf.DUMMYFUNCTION("""COMPUTED_VALUE"""),"PlayNetCloverWealth5")</f>
        <v>PlayNetCloverWealth5</v>
      </c>
      <c r="E798" s="5" t="str">
        <f ca="1">IFERROR(__xludf.DUMMYFUNCTION("""COMPUTED_VALUE"""),"Yes")</f>
        <v>Yes</v>
      </c>
      <c r="F798" s="5" t="str">
        <f ca="1">IFERROR(__xludf.DUMMYFUNCTION("""COMPUTED_VALUE"""),"Yes")</f>
        <v>Yes</v>
      </c>
      <c r="G798" s="5" t="str">
        <f ca="1">IFERROR(__xludf.DUMMYFUNCTION("""COMPUTED_VALUE"""),"No")</f>
        <v>No</v>
      </c>
      <c r="H798" s="5" t="str">
        <f ca="1">IFERROR(__xludf.DUMMYFUNCTION("""COMPUTED_VALUE"""),"Yes")</f>
        <v>Yes</v>
      </c>
      <c r="I798" s="5" t="str">
        <f ca="1">IFERROR(__xludf.DUMMYFUNCTION("""COMPUTED_VALUE"""),"Yes")</f>
        <v>Yes</v>
      </c>
      <c r="J798" s="5" t="str">
        <f ca="1">IFERROR(__xludf.DUMMYFUNCTION("""COMPUTED_VALUE"""),"Yes")</f>
        <v>Yes</v>
      </c>
      <c r="K798" s="5" t="str">
        <f ca="1">IFERROR(__xludf.DUMMYFUNCTION("""COMPUTED_VALUE"""),"Yes")</f>
        <v>Yes</v>
      </c>
      <c r="L798" s="5" t="str">
        <f ca="1">IFERROR(__xludf.DUMMYFUNCTION("""COMPUTED_VALUE"""),"Yes")</f>
        <v>Yes</v>
      </c>
      <c r="M798" s="5" t="str">
        <f ca="1">IFERROR(__xludf.DUMMYFUNCTION("""COMPUTED_VALUE"""),"Yes")</f>
        <v>Yes</v>
      </c>
      <c r="N798" s="5" t="str">
        <f ca="1">IFERROR(__xludf.DUMMYFUNCTION("""COMPUTED_VALUE"""),"Yes")</f>
        <v>Yes</v>
      </c>
      <c r="O798" s="5" t="str">
        <f ca="1">IFERROR(__xludf.DUMMYFUNCTION("""COMPUTED_VALUE"""),"Yes")</f>
        <v>Yes</v>
      </c>
      <c r="P798" s="5" t="str">
        <f ca="1">IFERROR(__xludf.DUMMYFUNCTION("""COMPUTED_VALUE"""),"Yes")</f>
        <v>Yes</v>
      </c>
      <c r="Q798" s="5" t="str">
        <f ca="1">IFERROR(__xludf.DUMMYFUNCTION("""COMPUTED_VALUE"""),"Yes")</f>
        <v>Yes</v>
      </c>
      <c r="R798" s="5" t="str">
        <f ca="1">IFERROR(__xludf.DUMMYFUNCTION("""COMPUTED_VALUE"""),"Yes")</f>
        <v>Yes</v>
      </c>
      <c r="S798" s="5" t="str">
        <f ca="1">IFERROR(__xludf.DUMMYFUNCTION("""COMPUTED_VALUE"""),"Yes")</f>
        <v>Yes</v>
      </c>
      <c r="T798" s="5" t="str">
        <f ca="1">IFERROR(__xludf.DUMMYFUNCTION("""COMPUTED_VALUE"""),"No")</f>
        <v>No</v>
      </c>
      <c r="U798" s="5" t="str">
        <f ca="1">IFERROR(__xludf.DUMMYFUNCTION("""COMPUTED_VALUE"""),"No")</f>
        <v>No</v>
      </c>
      <c r="V798" s="5" t="str">
        <f ca="1">IFERROR(__xludf.DUMMYFUNCTION("""COMPUTED_VALUE"""),"No")</f>
        <v>No</v>
      </c>
      <c r="W798" s="5" t="str">
        <f ca="1">IFERROR(__xludf.DUMMYFUNCTION("""COMPUTED_VALUE"""),"No")</f>
        <v>No</v>
      </c>
      <c r="X798" s="5" t="str">
        <f ca="1">IFERROR(__xludf.DUMMYFUNCTION("""COMPUTED_VALUE"""),"No")</f>
        <v>No</v>
      </c>
      <c r="Y798" s="5" t="str">
        <f ca="1">IFERROR(__xludf.DUMMYFUNCTION("""COMPUTED_VALUE"""),"No")</f>
        <v>No</v>
      </c>
      <c r="Z798" s="5" t="str">
        <f ca="1">IFERROR(__xludf.DUMMYFUNCTION("""COMPUTED_VALUE"""),"No")</f>
        <v>No</v>
      </c>
      <c r="AA798" s="5" t="str">
        <f ca="1">IFERROR(__xludf.DUMMYFUNCTION("""COMPUTED_VALUE"""),"No")</f>
        <v>No</v>
      </c>
      <c r="AB798" s="5" t="str">
        <f ca="1">IFERROR(__xludf.DUMMYFUNCTION("""COMPUTED_VALUE"""),"No")</f>
        <v>No</v>
      </c>
      <c r="AC798" s="5" t="str">
        <f ca="1">IFERROR(__xludf.DUMMYFUNCTION("""COMPUTED_VALUE"""),"No")</f>
        <v>No</v>
      </c>
      <c r="AD798" s="5" t="str">
        <f ca="1">IFERROR(__xludf.DUMMYFUNCTION("""COMPUTED_VALUE"""),"No")</f>
        <v>No</v>
      </c>
      <c r="AE798" s="5" t="str">
        <f ca="1">IFERROR(__xludf.DUMMYFUNCTION("""COMPUTED_VALUE"""),"No")</f>
        <v>No</v>
      </c>
      <c r="AF798" s="5" t="str">
        <f ca="1">IFERROR(__xludf.DUMMYFUNCTION("""COMPUTED_VALUE"""),"Yes")</f>
        <v>Yes</v>
      </c>
      <c r="AG798" s="5" t="str">
        <f ca="1">IFERROR(__xludf.DUMMYFUNCTION("""COMPUTED_VALUE"""),"No")</f>
        <v>No</v>
      </c>
      <c r="AH798" s="5" t="str">
        <f ca="1">IFERROR(__xludf.DUMMYFUNCTION("""COMPUTED_VALUE"""),"Yes")</f>
        <v>Yes</v>
      </c>
      <c r="AI798" s="5" t="str">
        <f ca="1">IFERROR(__xludf.DUMMYFUNCTION("""COMPUTED_VALUE"""),"No")</f>
        <v>No</v>
      </c>
      <c r="AJ798" s="5" t="str">
        <f ca="1">IFERROR(__xludf.DUMMYFUNCTION("""COMPUTED_VALUE"""),"No")</f>
        <v>No</v>
      </c>
      <c r="AK798" s="5" t="str">
        <f ca="1">IFERROR(__xludf.DUMMYFUNCTION("""COMPUTED_VALUE"""),"No")</f>
        <v>No</v>
      </c>
      <c r="AL798" s="5" t="str">
        <f ca="1">IFERROR(__xludf.DUMMYFUNCTION("""COMPUTED_VALUE"""),"No")</f>
        <v>No</v>
      </c>
      <c r="AM798" s="5"/>
      <c r="AN798" s="5"/>
      <c r="AO798" s="5"/>
      <c r="AP798" s="5"/>
      <c r="AQ798" s="5"/>
      <c r="AR798" s="5"/>
      <c r="AS798" s="5"/>
      <c r="AT798" s="5"/>
      <c r="AU798" s="5"/>
      <c r="AV798" s="5"/>
      <c r="AW798" s="5"/>
      <c r="AX798" s="5"/>
      <c r="AY798" s="5"/>
    </row>
    <row r="799" spans="1:51" x14ac:dyDescent="0.25">
      <c r="A799"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9" s="5">
        <f ca="1">IFERROR(__xludf.DUMMYFUNCTION("""COMPUTED_VALUE"""),837)</f>
        <v>837</v>
      </c>
      <c r="C799" s="5">
        <f ca="1">IFERROR(__xludf.DUMMYFUNCTION("""COMPUTED_VALUE"""),548)</f>
        <v>548</v>
      </c>
      <c r="D799" s="5" t="str">
        <f ca="1">IFERROR(__xludf.DUMMYFUNCTION("""COMPUTED_VALUE"""),"PlayNet27LuckyCrown")</f>
        <v>PlayNet27LuckyCrown</v>
      </c>
      <c r="E799" s="5" t="str">
        <f ca="1">IFERROR(__xludf.DUMMYFUNCTION("""COMPUTED_VALUE"""),"Yes")</f>
        <v>Yes</v>
      </c>
      <c r="F799" s="5" t="str">
        <f ca="1">IFERROR(__xludf.DUMMYFUNCTION("""COMPUTED_VALUE"""),"Yes")</f>
        <v>Yes</v>
      </c>
      <c r="G799" s="5" t="str">
        <f ca="1">IFERROR(__xludf.DUMMYFUNCTION("""COMPUTED_VALUE"""),"No")</f>
        <v>No</v>
      </c>
      <c r="H799" s="5" t="str">
        <f ca="1">IFERROR(__xludf.DUMMYFUNCTION("""COMPUTED_VALUE"""),"Yes")</f>
        <v>Yes</v>
      </c>
      <c r="I799" s="5" t="str">
        <f ca="1">IFERROR(__xludf.DUMMYFUNCTION("""COMPUTED_VALUE"""),"Yes")</f>
        <v>Yes</v>
      </c>
      <c r="J799" s="5" t="str">
        <f ca="1">IFERROR(__xludf.DUMMYFUNCTION("""COMPUTED_VALUE"""),"Yes")</f>
        <v>Yes</v>
      </c>
      <c r="K799" s="5" t="str">
        <f ca="1">IFERROR(__xludf.DUMMYFUNCTION("""COMPUTED_VALUE"""),"Yes")</f>
        <v>Yes</v>
      </c>
      <c r="L799" s="5" t="str">
        <f ca="1">IFERROR(__xludf.DUMMYFUNCTION("""COMPUTED_VALUE"""),"Yes")</f>
        <v>Yes</v>
      </c>
      <c r="M799" s="5" t="str">
        <f ca="1">IFERROR(__xludf.DUMMYFUNCTION("""COMPUTED_VALUE"""),"Yes")</f>
        <v>Yes</v>
      </c>
      <c r="N799" s="5" t="str">
        <f ca="1">IFERROR(__xludf.DUMMYFUNCTION("""COMPUTED_VALUE"""),"Yes")</f>
        <v>Yes</v>
      </c>
      <c r="O799" s="5" t="str">
        <f ca="1">IFERROR(__xludf.DUMMYFUNCTION("""COMPUTED_VALUE"""),"Yes")</f>
        <v>Yes</v>
      </c>
      <c r="P799" s="5" t="str">
        <f ca="1">IFERROR(__xludf.DUMMYFUNCTION("""COMPUTED_VALUE"""),"Yes")</f>
        <v>Yes</v>
      </c>
      <c r="Q799" s="5" t="str">
        <f ca="1">IFERROR(__xludf.DUMMYFUNCTION("""COMPUTED_VALUE"""),"Yes")</f>
        <v>Yes</v>
      </c>
      <c r="R799" s="5" t="str">
        <f ca="1">IFERROR(__xludf.DUMMYFUNCTION("""COMPUTED_VALUE"""),"Yes")</f>
        <v>Yes</v>
      </c>
      <c r="S799" s="5" t="str">
        <f ca="1">IFERROR(__xludf.DUMMYFUNCTION("""COMPUTED_VALUE"""),"Yes")</f>
        <v>Yes</v>
      </c>
      <c r="T799" s="5" t="str">
        <f ca="1">IFERROR(__xludf.DUMMYFUNCTION("""COMPUTED_VALUE"""),"No")</f>
        <v>No</v>
      </c>
      <c r="U799" s="5" t="str">
        <f ca="1">IFERROR(__xludf.DUMMYFUNCTION("""COMPUTED_VALUE"""),"No")</f>
        <v>No</v>
      </c>
      <c r="V799" s="5" t="str">
        <f ca="1">IFERROR(__xludf.DUMMYFUNCTION("""COMPUTED_VALUE"""),"No")</f>
        <v>No</v>
      </c>
      <c r="W799" s="5" t="str">
        <f ca="1">IFERROR(__xludf.DUMMYFUNCTION("""COMPUTED_VALUE"""),"No")</f>
        <v>No</v>
      </c>
      <c r="X799" s="5" t="str">
        <f ca="1">IFERROR(__xludf.DUMMYFUNCTION("""COMPUTED_VALUE"""),"No")</f>
        <v>No</v>
      </c>
      <c r="Y799" s="5" t="str">
        <f ca="1">IFERROR(__xludf.DUMMYFUNCTION("""COMPUTED_VALUE"""),"No")</f>
        <v>No</v>
      </c>
      <c r="Z799" s="5" t="str">
        <f ca="1">IFERROR(__xludf.DUMMYFUNCTION("""COMPUTED_VALUE"""),"No")</f>
        <v>No</v>
      </c>
      <c r="AA799" s="5" t="str">
        <f ca="1">IFERROR(__xludf.DUMMYFUNCTION("""COMPUTED_VALUE"""),"No")</f>
        <v>No</v>
      </c>
      <c r="AB799" s="5" t="str">
        <f ca="1">IFERROR(__xludf.DUMMYFUNCTION("""COMPUTED_VALUE"""),"No")</f>
        <v>No</v>
      </c>
      <c r="AC799" s="5" t="str">
        <f ca="1">IFERROR(__xludf.DUMMYFUNCTION("""COMPUTED_VALUE"""),"No")</f>
        <v>No</v>
      </c>
      <c r="AD799" s="5" t="str">
        <f ca="1">IFERROR(__xludf.DUMMYFUNCTION("""COMPUTED_VALUE"""),"No")</f>
        <v>No</v>
      </c>
      <c r="AE799" s="5" t="str">
        <f ca="1">IFERROR(__xludf.DUMMYFUNCTION("""COMPUTED_VALUE"""),"No")</f>
        <v>No</v>
      </c>
      <c r="AF799" s="5" t="str">
        <f ca="1">IFERROR(__xludf.DUMMYFUNCTION("""COMPUTED_VALUE"""),"Yes")</f>
        <v>Yes</v>
      </c>
      <c r="AG799" s="5" t="str">
        <f ca="1">IFERROR(__xludf.DUMMYFUNCTION("""COMPUTED_VALUE"""),"No")</f>
        <v>No</v>
      </c>
      <c r="AH799" s="5" t="str">
        <f ca="1">IFERROR(__xludf.DUMMYFUNCTION("""COMPUTED_VALUE"""),"Yes")</f>
        <v>Yes</v>
      </c>
      <c r="AI799" s="5" t="str">
        <f ca="1">IFERROR(__xludf.DUMMYFUNCTION("""COMPUTED_VALUE"""),"No")</f>
        <v>No</v>
      </c>
      <c r="AJ799" s="5" t="str">
        <f ca="1">IFERROR(__xludf.DUMMYFUNCTION("""COMPUTED_VALUE"""),"No")</f>
        <v>No</v>
      </c>
      <c r="AK799" s="5" t="str">
        <f ca="1">IFERROR(__xludf.DUMMYFUNCTION("""COMPUTED_VALUE"""),"No")</f>
        <v>No</v>
      </c>
      <c r="AL799" s="5" t="str">
        <f ca="1">IFERROR(__xludf.DUMMYFUNCTION("""COMPUTED_VALUE"""),"No")</f>
        <v>No</v>
      </c>
      <c r="AM799" s="5"/>
      <c r="AN799" s="5"/>
      <c r="AO799" s="5"/>
      <c r="AP799" s="5"/>
      <c r="AQ799" s="5"/>
      <c r="AR799" s="5"/>
      <c r="AS799" s="5"/>
      <c r="AT799" s="5"/>
      <c r="AU799" s="5"/>
      <c r="AV799" s="5"/>
      <c r="AW799" s="5"/>
      <c r="AX799" s="5"/>
      <c r="AY799" s="5"/>
    </row>
    <row r="800" spans="1:51" x14ac:dyDescent="0.25">
      <c r="A800" s="5" t="str">
        <f ca="1">IFERROR(__xludf.DUMMYFUNCTION("""COMPUTED_VALUE"""),"")</f>
        <v/>
      </c>
      <c r="B800" s="5">
        <f ca="1">IFERROR(__xludf.DUMMYFUNCTION("""COMPUTED_VALUE"""),838)</f>
        <v>838</v>
      </c>
      <c r="C800" s="5">
        <f ca="1">IFERROR(__xludf.DUMMYFUNCTION("""COMPUTED_VALUE"""),549)</f>
        <v>549</v>
      </c>
      <c r="D800" s="5" t="str">
        <f ca="1">IFERROR(__xludf.DUMMYFUNCTION("""COMPUTED_VALUE"""),"PlayNetRoyalFlameX2")</f>
        <v>PlayNetRoyalFlameX2</v>
      </c>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row>
    <row r="801" spans="1:51" x14ac:dyDescent="0.25">
      <c r="A801" s="5" t="str">
        <f ca="1">IFERROR(__xludf.DUMMYFUNCTION("""COMPUTED_VALUE"""),"")</f>
        <v/>
      </c>
      <c r="B801" s="5">
        <f ca="1">IFERROR(__xludf.DUMMYFUNCTION("""COMPUTED_VALUE"""),839)</f>
        <v>839</v>
      </c>
      <c r="C801" s="5">
        <f ca="1">IFERROR(__xludf.DUMMYFUNCTION("""COMPUTED_VALUE"""),550)</f>
        <v>550</v>
      </c>
      <c r="D801" s="5" t="str">
        <f ca="1">IFERROR(__xludf.DUMMYFUNCTION("""COMPUTED_VALUE"""),"PlayNetHeartGem5")</f>
        <v>PlayNetHeartGem5</v>
      </c>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row>
    <row r="802" spans="1:51" x14ac:dyDescent="0.25">
      <c r="A802" s="5" t="str">
        <f ca="1">IFERROR(__xludf.DUMMYFUNCTION("""COMPUTED_VALUE"""),"")</f>
        <v/>
      </c>
      <c r="B802" s="5">
        <f ca="1">IFERROR(__xludf.DUMMYFUNCTION("""COMPUTED_VALUE"""),840)</f>
        <v>840</v>
      </c>
      <c r="C802" s="5">
        <f ca="1">IFERROR(__xludf.DUMMYFUNCTION("""COMPUTED_VALUE"""),552)</f>
        <v>552</v>
      </c>
      <c r="D802" s="5" t="str">
        <f ca="1">IFERROR(__xludf.DUMMYFUNCTION("""COMPUTED_VALUE"""),"PlayNetEmpressOfFlame20")</f>
        <v>PlayNetEmpressOfFlame20</v>
      </c>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row>
    <row r="803" spans="1:51" x14ac:dyDescent="0.25">
      <c r="A803" s="5" t="str">
        <f ca="1">IFERROR(__xludf.DUMMYFUNCTION("""COMPUTED_VALUE"""),"")</f>
        <v/>
      </c>
      <c r="B803" s="5">
        <f ca="1">IFERROR(__xludf.DUMMYFUNCTION("""COMPUTED_VALUE"""),841)</f>
        <v>841</v>
      </c>
      <c r="C803" s="5">
        <f ca="1">IFERROR(__xludf.DUMMYFUNCTION("""COMPUTED_VALUE"""),551)</f>
        <v>551</v>
      </c>
      <c r="D803" s="5" t="str">
        <f ca="1">IFERROR(__xludf.DUMMYFUNCTION("""COMPUTED_VALUE"""),"PlayNetShadowHunt20")</f>
        <v>PlayNetShadowHunt20</v>
      </c>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row>
    <row r="804" spans="1:51" x14ac:dyDescent="0.25">
      <c r="A804"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804" s="5">
        <f ca="1">IFERROR(__xludf.DUMMYFUNCTION("""COMPUTED_VALUE"""),842)</f>
        <v>842</v>
      </c>
      <c r="C804" s="5">
        <f ca="1">IFERROR(__xludf.DUMMYFUNCTION("""COMPUTED_VALUE"""),-1)</f>
        <v>-1</v>
      </c>
      <c r="D804" s="5" t="str">
        <f ca="1">IFERROR(__xludf.DUMMYFUNCTION("""COMPUTED_VALUE"""),"TBD")</f>
        <v>TBD</v>
      </c>
      <c r="E804" s="5" t="str">
        <f ca="1">IFERROR(__xludf.DUMMYFUNCTION("""COMPUTED_VALUE"""),"Yes")</f>
        <v>Yes</v>
      </c>
      <c r="F804" s="5" t="str">
        <f ca="1">IFERROR(__xludf.DUMMYFUNCTION("""COMPUTED_VALUE"""),"Yes")</f>
        <v>Yes</v>
      </c>
      <c r="G804" s="5" t="str">
        <f ca="1">IFERROR(__xludf.DUMMYFUNCTION("""COMPUTED_VALUE"""),"Yes")</f>
        <v>Yes</v>
      </c>
      <c r="H804" s="5" t="str">
        <f ca="1">IFERROR(__xludf.DUMMYFUNCTION("""COMPUTED_VALUE"""),"Yes")</f>
        <v>Yes</v>
      </c>
      <c r="I804" s="5" t="str">
        <f ca="1">IFERROR(__xludf.DUMMYFUNCTION("""COMPUTED_VALUE"""),"Yes")</f>
        <v>Yes</v>
      </c>
      <c r="J804" s="5" t="str">
        <f ca="1">IFERROR(__xludf.DUMMYFUNCTION("""COMPUTED_VALUE"""),"Yes")</f>
        <v>Yes</v>
      </c>
      <c r="K804" s="5" t="str">
        <f ca="1">IFERROR(__xludf.DUMMYFUNCTION("""COMPUTED_VALUE"""),"Yes")</f>
        <v>Yes</v>
      </c>
      <c r="L804" s="5" t="str">
        <f ca="1">IFERROR(__xludf.DUMMYFUNCTION("""COMPUTED_VALUE"""),"Yes")</f>
        <v>Yes</v>
      </c>
      <c r="M804" s="5" t="str">
        <f ca="1">IFERROR(__xludf.DUMMYFUNCTION("""COMPUTED_VALUE"""),"Yes")</f>
        <v>Yes</v>
      </c>
      <c r="N804" s="5" t="str">
        <f ca="1">IFERROR(__xludf.DUMMYFUNCTION("""COMPUTED_VALUE"""),"Yes")</f>
        <v>Yes</v>
      </c>
      <c r="O804" s="5" t="str">
        <f ca="1">IFERROR(__xludf.DUMMYFUNCTION("""COMPUTED_VALUE"""),"Yes")</f>
        <v>Yes</v>
      </c>
      <c r="P804" s="5" t="str">
        <f ca="1">IFERROR(__xludf.DUMMYFUNCTION("""COMPUTED_VALUE"""),"Yes")</f>
        <v>Yes</v>
      </c>
      <c r="Q804" s="5" t="str">
        <f ca="1">IFERROR(__xludf.DUMMYFUNCTION("""COMPUTED_VALUE"""),"Yes")</f>
        <v>Yes</v>
      </c>
      <c r="R804" s="5" t="str">
        <f ca="1">IFERROR(__xludf.DUMMYFUNCTION("""COMPUTED_VALUE"""),"Yes")</f>
        <v>Yes</v>
      </c>
      <c r="S804" s="5" t="str">
        <f ca="1">IFERROR(__xludf.DUMMYFUNCTION("""COMPUTED_VALUE"""),"Yes")</f>
        <v>Yes</v>
      </c>
      <c r="T804" s="5" t="str">
        <f ca="1">IFERROR(__xludf.DUMMYFUNCTION("""COMPUTED_VALUE"""),"No")</f>
        <v>No</v>
      </c>
      <c r="U804" s="5" t="str">
        <f ca="1">IFERROR(__xludf.DUMMYFUNCTION("""COMPUTED_VALUE"""),"Yes")</f>
        <v>Yes</v>
      </c>
      <c r="V804" s="5" t="str">
        <f ca="1">IFERROR(__xludf.DUMMYFUNCTION("""COMPUTED_VALUE"""),"No")</f>
        <v>No</v>
      </c>
      <c r="W804" s="5" t="str">
        <f ca="1">IFERROR(__xludf.DUMMYFUNCTION("""COMPUTED_VALUE"""),"No")</f>
        <v>No</v>
      </c>
      <c r="X804" s="5" t="str">
        <f ca="1">IFERROR(__xludf.DUMMYFUNCTION("""COMPUTED_VALUE"""),"No")</f>
        <v>No</v>
      </c>
      <c r="Y804" s="5" t="str">
        <f ca="1">IFERROR(__xludf.DUMMYFUNCTION("""COMPUTED_VALUE"""),"No")</f>
        <v>No</v>
      </c>
      <c r="Z804" s="5" t="str">
        <f ca="1">IFERROR(__xludf.DUMMYFUNCTION("""COMPUTED_VALUE"""),"No")</f>
        <v>No</v>
      </c>
      <c r="AA804" s="5" t="str">
        <f ca="1">IFERROR(__xludf.DUMMYFUNCTION("""COMPUTED_VALUE"""),"No")</f>
        <v>No</v>
      </c>
      <c r="AB804" s="5" t="str">
        <f ca="1">IFERROR(__xludf.DUMMYFUNCTION("""COMPUTED_VALUE"""),"Yes")</f>
        <v>Yes</v>
      </c>
      <c r="AC804" s="5" t="str">
        <f ca="1">IFERROR(__xludf.DUMMYFUNCTION("""COMPUTED_VALUE"""),"No")</f>
        <v>No</v>
      </c>
      <c r="AD804" s="5" t="str">
        <f ca="1">IFERROR(__xludf.DUMMYFUNCTION("""COMPUTED_VALUE"""),"No")</f>
        <v>No</v>
      </c>
      <c r="AE804" s="5" t="str">
        <f ca="1">IFERROR(__xludf.DUMMYFUNCTION("""COMPUTED_VALUE"""),"No")</f>
        <v>No</v>
      </c>
      <c r="AF804" s="5" t="str">
        <f ca="1">IFERROR(__xludf.DUMMYFUNCTION("""COMPUTED_VALUE"""),"No")</f>
        <v>No</v>
      </c>
      <c r="AG804" s="5" t="str">
        <f ca="1">IFERROR(__xludf.DUMMYFUNCTION("""COMPUTED_VALUE"""),"No")</f>
        <v>No</v>
      </c>
      <c r="AH804" s="5" t="str">
        <f ca="1">IFERROR(__xludf.DUMMYFUNCTION("""COMPUTED_VALUE"""),"No")</f>
        <v>No</v>
      </c>
      <c r="AI804" s="5" t="str">
        <f ca="1">IFERROR(__xludf.DUMMYFUNCTION("""COMPUTED_VALUE"""),"No")</f>
        <v>No</v>
      </c>
      <c r="AJ804" s="5" t="str">
        <f ca="1">IFERROR(__xludf.DUMMYFUNCTION("""COMPUTED_VALUE"""),"No")</f>
        <v>No</v>
      </c>
      <c r="AK804" s="5" t="str">
        <f ca="1">IFERROR(__xludf.DUMMYFUNCTION("""COMPUTED_VALUE"""),"No")</f>
        <v>No</v>
      </c>
      <c r="AL804" s="5" t="str">
        <f ca="1">IFERROR(__xludf.DUMMYFUNCTION("""COMPUTED_VALUE"""),"No")</f>
        <v>No</v>
      </c>
      <c r="AM804" s="5"/>
      <c r="AN804" s="5"/>
      <c r="AO804" s="5"/>
      <c r="AP804" s="5"/>
      <c r="AQ804" s="5"/>
      <c r="AR804" s="5"/>
      <c r="AS804" s="5"/>
      <c r="AT804" s="5"/>
      <c r="AU804" s="5"/>
      <c r="AV804" s="5"/>
      <c r="AW804" s="5"/>
      <c r="AX804" s="5"/>
      <c r="AY804" s="5"/>
    </row>
    <row r="805" spans="1:51" x14ac:dyDescent="0.25">
      <c r="A805" s="5" t="str">
        <f ca="1">IFERROR(__xludf.DUMMYFUNCTION("""COMPUTED_VALUE"""),"")</f>
        <v/>
      </c>
      <c r="B805" s="5">
        <f ca="1">IFERROR(__xludf.DUMMYFUNCTION("""COMPUTED_VALUE"""),843)</f>
        <v>843</v>
      </c>
      <c r="C805" s="5">
        <f ca="1">IFERROR(__xludf.DUMMYFUNCTION("""COMPUTED_VALUE"""),180087)</f>
        <v>180087</v>
      </c>
      <c r="D805" s="5" t="str">
        <f ca="1">IFERROR(__xludf.DUMMYFUNCTION("""COMPUTED_VALUE"""),"RedstoneLuckyLuckyBells")</f>
        <v>RedstoneLuckyLuckyBells</v>
      </c>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row>
    <row r="806" spans="1:51" x14ac:dyDescent="0.25">
      <c r="A806"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6" s="5">
        <f ca="1">IFERROR(__xludf.DUMMYFUNCTION("""COMPUTED_VALUE"""),844)</f>
        <v>844</v>
      </c>
      <c r="C806" s="5">
        <f ca="1">IFERROR(__xludf.DUMMYFUNCTION("""COMPUTED_VALUE"""),180088)</f>
        <v>180088</v>
      </c>
      <c r="D806" s="5" t="str">
        <f ca="1">IFERROR(__xludf.DUMMYFUNCTION("""COMPUTED_VALUE"""),"RedstoneCloverFire1000")</f>
        <v>RedstoneCloverFire1000</v>
      </c>
      <c r="E806" s="5" t="str">
        <f ca="1">IFERROR(__xludf.DUMMYFUNCTION("""COMPUTED_VALUE"""),"Yes")</f>
        <v>Yes</v>
      </c>
      <c r="F806" s="5" t="str">
        <f ca="1">IFERROR(__xludf.DUMMYFUNCTION("""COMPUTED_VALUE"""),"Yes")</f>
        <v>Yes</v>
      </c>
      <c r="G806" s="5" t="str">
        <f ca="1">IFERROR(__xludf.DUMMYFUNCTION("""COMPUTED_VALUE"""),"Yes")</f>
        <v>Yes</v>
      </c>
      <c r="H806" s="5" t="str">
        <f ca="1">IFERROR(__xludf.DUMMYFUNCTION("""COMPUTED_VALUE"""),"Yes")</f>
        <v>Yes</v>
      </c>
      <c r="I806" s="5" t="str">
        <f ca="1">IFERROR(__xludf.DUMMYFUNCTION("""COMPUTED_VALUE"""),"Yes")</f>
        <v>Yes</v>
      </c>
      <c r="J806" s="5" t="str">
        <f ca="1">IFERROR(__xludf.DUMMYFUNCTION("""COMPUTED_VALUE"""),"Yes")</f>
        <v>Yes</v>
      </c>
      <c r="K806" s="5" t="str">
        <f ca="1">IFERROR(__xludf.DUMMYFUNCTION("""COMPUTED_VALUE"""),"Yes")</f>
        <v>Yes</v>
      </c>
      <c r="L806" s="5" t="str">
        <f ca="1">IFERROR(__xludf.DUMMYFUNCTION("""COMPUTED_VALUE"""),"Yes")</f>
        <v>Yes</v>
      </c>
      <c r="M806" s="5" t="str">
        <f ca="1">IFERROR(__xludf.DUMMYFUNCTION("""COMPUTED_VALUE"""),"Yes")</f>
        <v>Yes</v>
      </c>
      <c r="N806" s="5" t="str">
        <f ca="1">IFERROR(__xludf.DUMMYFUNCTION("""COMPUTED_VALUE"""),"Yes")</f>
        <v>Yes</v>
      </c>
      <c r="O806" s="5" t="str">
        <f ca="1">IFERROR(__xludf.DUMMYFUNCTION("""COMPUTED_VALUE"""),"Yes")</f>
        <v>Yes</v>
      </c>
      <c r="P806" s="5" t="str">
        <f ca="1">IFERROR(__xludf.DUMMYFUNCTION("""COMPUTED_VALUE"""),"Yes")</f>
        <v>Yes</v>
      </c>
      <c r="Q806" s="5" t="str">
        <f ca="1">IFERROR(__xludf.DUMMYFUNCTION("""COMPUTED_VALUE"""),"Yes")</f>
        <v>Yes</v>
      </c>
      <c r="R806" s="5" t="str">
        <f ca="1">IFERROR(__xludf.DUMMYFUNCTION("""COMPUTED_VALUE"""),"Yes")</f>
        <v>Yes</v>
      </c>
      <c r="S806" s="5" t="str">
        <f ca="1">IFERROR(__xludf.DUMMYFUNCTION("""COMPUTED_VALUE"""),"Yes")</f>
        <v>Yes</v>
      </c>
      <c r="T806" s="5" t="str">
        <f ca="1">IFERROR(__xludf.DUMMYFUNCTION("""COMPUTED_VALUE"""),"No")</f>
        <v>No</v>
      </c>
      <c r="U806" s="5" t="str">
        <f ca="1">IFERROR(__xludf.DUMMYFUNCTION("""COMPUTED_VALUE"""),"No")</f>
        <v>No</v>
      </c>
      <c r="V806" s="5" t="str">
        <f ca="1">IFERROR(__xludf.DUMMYFUNCTION("""COMPUTED_VALUE"""),"No")</f>
        <v>No</v>
      </c>
      <c r="W806" s="5" t="str">
        <f ca="1">IFERROR(__xludf.DUMMYFUNCTION("""COMPUTED_VALUE"""),"No")</f>
        <v>No</v>
      </c>
      <c r="X806" s="5" t="str">
        <f ca="1">IFERROR(__xludf.DUMMYFUNCTION("""COMPUTED_VALUE"""),"No")</f>
        <v>No</v>
      </c>
      <c r="Y806" s="5" t="str">
        <f ca="1">IFERROR(__xludf.DUMMYFUNCTION("""COMPUTED_VALUE"""),"No")</f>
        <v>No</v>
      </c>
      <c r="Z806" s="5" t="str">
        <f ca="1">IFERROR(__xludf.DUMMYFUNCTION("""COMPUTED_VALUE"""),"No")</f>
        <v>No</v>
      </c>
      <c r="AA806" s="5" t="str">
        <f ca="1">IFERROR(__xludf.DUMMYFUNCTION("""COMPUTED_VALUE"""),"Yes")</f>
        <v>Yes</v>
      </c>
      <c r="AB806" s="5" t="str">
        <f ca="1">IFERROR(__xludf.DUMMYFUNCTION("""COMPUTED_VALUE"""),"No")</f>
        <v>No</v>
      </c>
      <c r="AC806" s="5" t="str">
        <f ca="1">IFERROR(__xludf.DUMMYFUNCTION("""COMPUTED_VALUE"""),"No")</f>
        <v>No</v>
      </c>
      <c r="AD806" s="5" t="str">
        <f ca="1">IFERROR(__xludf.DUMMYFUNCTION("""COMPUTED_VALUE"""),"No")</f>
        <v>No</v>
      </c>
      <c r="AE806" s="5" t="str">
        <f ca="1">IFERROR(__xludf.DUMMYFUNCTION("""COMPUTED_VALUE"""),"No")</f>
        <v>No</v>
      </c>
      <c r="AF806" s="5" t="str">
        <f ca="1">IFERROR(__xludf.DUMMYFUNCTION("""COMPUTED_VALUE"""),"Yes")</f>
        <v>Yes</v>
      </c>
      <c r="AG806" s="5" t="str">
        <f ca="1">IFERROR(__xludf.DUMMYFUNCTION("""COMPUTED_VALUE"""),"No")</f>
        <v>No</v>
      </c>
      <c r="AH806" s="5" t="str">
        <f ca="1">IFERROR(__xludf.DUMMYFUNCTION("""COMPUTED_VALUE"""),"Yes")</f>
        <v>Yes</v>
      </c>
      <c r="AI806" s="5" t="str">
        <f ca="1">IFERROR(__xludf.DUMMYFUNCTION("""COMPUTED_VALUE"""),"No")</f>
        <v>No</v>
      </c>
      <c r="AJ806" s="5" t="str">
        <f ca="1">IFERROR(__xludf.DUMMYFUNCTION("""COMPUTED_VALUE"""),"No")</f>
        <v>No</v>
      </c>
      <c r="AK806" s="5" t="str">
        <f ca="1">IFERROR(__xludf.DUMMYFUNCTION("""COMPUTED_VALUE"""),"No")</f>
        <v>No</v>
      </c>
      <c r="AL806" s="5" t="str">
        <f ca="1">IFERROR(__xludf.DUMMYFUNCTION("""COMPUTED_VALUE"""),"No")</f>
        <v>No</v>
      </c>
      <c r="AM806" s="5"/>
      <c r="AN806" s="5"/>
      <c r="AO806" s="5"/>
      <c r="AP806" s="5"/>
      <c r="AQ806" s="5"/>
      <c r="AR806" s="5"/>
      <c r="AS806" s="5"/>
      <c r="AT806" s="5"/>
      <c r="AU806" s="5"/>
      <c r="AV806" s="5"/>
      <c r="AW806" s="5"/>
      <c r="AX806" s="5"/>
      <c r="AY806" s="5"/>
    </row>
    <row r="807" spans="1:51" x14ac:dyDescent="0.25">
      <c r="A807"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7" s="5">
        <f ca="1">IFERROR(__xludf.DUMMYFUNCTION("""COMPUTED_VALUE"""),845)</f>
        <v>845</v>
      </c>
      <c r="C807" s="5">
        <f ca="1">IFERROR(__xludf.DUMMYFUNCTION("""COMPUTED_VALUE"""),180089)</f>
        <v>180089</v>
      </c>
      <c r="D807" s="5" t="str">
        <f ca="1">IFERROR(__xludf.DUMMYFUNCTION("""COMPUTED_VALUE"""),"RedstoneWildHeart1000")</f>
        <v>RedstoneWildHeart1000</v>
      </c>
      <c r="E807" s="5" t="str">
        <f ca="1">IFERROR(__xludf.DUMMYFUNCTION("""COMPUTED_VALUE"""),"Yes")</f>
        <v>Yes</v>
      </c>
      <c r="F807" s="5" t="str">
        <f ca="1">IFERROR(__xludf.DUMMYFUNCTION("""COMPUTED_VALUE"""),"Yes")</f>
        <v>Yes</v>
      </c>
      <c r="G807" s="5" t="str">
        <f ca="1">IFERROR(__xludf.DUMMYFUNCTION("""COMPUTED_VALUE"""),"Yes")</f>
        <v>Yes</v>
      </c>
      <c r="H807" s="5" t="str">
        <f ca="1">IFERROR(__xludf.DUMMYFUNCTION("""COMPUTED_VALUE"""),"Yes")</f>
        <v>Yes</v>
      </c>
      <c r="I807" s="5" t="str">
        <f ca="1">IFERROR(__xludf.DUMMYFUNCTION("""COMPUTED_VALUE"""),"Yes")</f>
        <v>Yes</v>
      </c>
      <c r="J807" s="5" t="str">
        <f ca="1">IFERROR(__xludf.DUMMYFUNCTION("""COMPUTED_VALUE"""),"Yes")</f>
        <v>Yes</v>
      </c>
      <c r="K807" s="5" t="str">
        <f ca="1">IFERROR(__xludf.DUMMYFUNCTION("""COMPUTED_VALUE"""),"Yes")</f>
        <v>Yes</v>
      </c>
      <c r="L807" s="5" t="str">
        <f ca="1">IFERROR(__xludf.DUMMYFUNCTION("""COMPUTED_VALUE"""),"Yes")</f>
        <v>Yes</v>
      </c>
      <c r="M807" s="5" t="str">
        <f ca="1">IFERROR(__xludf.DUMMYFUNCTION("""COMPUTED_VALUE"""),"Yes")</f>
        <v>Yes</v>
      </c>
      <c r="N807" s="5" t="str">
        <f ca="1">IFERROR(__xludf.DUMMYFUNCTION("""COMPUTED_VALUE"""),"Yes")</f>
        <v>Yes</v>
      </c>
      <c r="O807" s="5" t="str">
        <f ca="1">IFERROR(__xludf.DUMMYFUNCTION("""COMPUTED_VALUE"""),"Yes")</f>
        <v>Yes</v>
      </c>
      <c r="P807" s="5" t="str">
        <f ca="1">IFERROR(__xludf.DUMMYFUNCTION("""COMPUTED_VALUE"""),"Yes")</f>
        <v>Yes</v>
      </c>
      <c r="Q807" s="5" t="str">
        <f ca="1">IFERROR(__xludf.DUMMYFUNCTION("""COMPUTED_VALUE"""),"Yes")</f>
        <v>Yes</v>
      </c>
      <c r="R807" s="5" t="str">
        <f ca="1">IFERROR(__xludf.DUMMYFUNCTION("""COMPUTED_VALUE"""),"Yes")</f>
        <v>Yes</v>
      </c>
      <c r="S807" s="5" t="str">
        <f ca="1">IFERROR(__xludf.DUMMYFUNCTION("""COMPUTED_VALUE"""),"Yes")</f>
        <v>Yes</v>
      </c>
      <c r="T807" s="5" t="str">
        <f ca="1">IFERROR(__xludf.DUMMYFUNCTION("""COMPUTED_VALUE"""),"No")</f>
        <v>No</v>
      </c>
      <c r="U807" s="5" t="str">
        <f ca="1">IFERROR(__xludf.DUMMYFUNCTION("""COMPUTED_VALUE"""),"No")</f>
        <v>No</v>
      </c>
      <c r="V807" s="5" t="str">
        <f ca="1">IFERROR(__xludf.DUMMYFUNCTION("""COMPUTED_VALUE"""),"No")</f>
        <v>No</v>
      </c>
      <c r="W807" s="5" t="str">
        <f ca="1">IFERROR(__xludf.DUMMYFUNCTION("""COMPUTED_VALUE"""),"No")</f>
        <v>No</v>
      </c>
      <c r="X807" s="5" t="str">
        <f ca="1">IFERROR(__xludf.DUMMYFUNCTION("""COMPUTED_VALUE"""),"No")</f>
        <v>No</v>
      </c>
      <c r="Y807" s="5" t="str">
        <f ca="1">IFERROR(__xludf.DUMMYFUNCTION("""COMPUTED_VALUE"""),"No")</f>
        <v>No</v>
      </c>
      <c r="Z807" s="5" t="str">
        <f ca="1">IFERROR(__xludf.DUMMYFUNCTION("""COMPUTED_VALUE"""),"No")</f>
        <v>No</v>
      </c>
      <c r="AA807" s="5" t="str">
        <f ca="1">IFERROR(__xludf.DUMMYFUNCTION("""COMPUTED_VALUE"""),"Yes")</f>
        <v>Yes</v>
      </c>
      <c r="AB807" s="5" t="str">
        <f ca="1">IFERROR(__xludf.DUMMYFUNCTION("""COMPUTED_VALUE"""),"No")</f>
        <v>No</v>
      </c>
      <c r="AC807" s="5" t="str">
        <f ca="1">IFERROR(__xludf.DUMMYFUNCTION("""COMPUTED_VALUE"""),"No")</f>
        <v>No</v>
      </c>
      <c r="AD807" s="5" t="str">
        <f ca="1">IFERROR(__xludf.DUMMYFUNCTION("""COMPUTED_VALUE"""),"No")</f>
        <v>No</v>
      </c>
      <c r="AE807" s="5" t="str">
        <f ca="1">IFERROR(__xludf.DUMMYFUNCTION("""COMPUTED_VALUE"""),"No")</f>
        <v>No</v>
      </c>
      <c r="AF807" s="5" t="str">
        <f ca="1">IFERROR(__xludf.DUMMYFUNCTION("""COMPUTED_VALUE"""),"Yes")</f>
        <v>Yes</v>
      </c>
      <c r="AG807" s="5" t="str">
        <f ca="1">IFERROR(__xludf.DUMMYFUNCTION("""COMPUTED_VALUE"""),"No")</f>
        <v>No</v>
      </c>
      <c r="AH807" s="5" t="str">
        <f ca="1">IFERROR(__xludf.DUMMYFUNCTION("""COMPUTED_VALUE"""),"Yes")</f>
        <v>Yes</v>
      </c>
      <c r="AI807" s="5" t="str">
        <f ca="1">IFERROR(__xludf.DUMMYFUNCTION("""COMPUTED_VALUE"""),"No")</f>
        <v>No</v>
      </c>
      <c r="AJ807" s="5" t="str">
        <f ca="1">IFERROR(__xludf.DUMMYFUNCTION("""COMPUTED_VALUE"""),"No")</f>
        <v>No</v>
      </c>
      <c r="AK807" s="5" t="str">
        <f ca="1">IFERROR(__xludf.DUMMYFUNCTION("""COMPUTED_VALUE"""),"No")</f>
        <v>No</v>
      </c>
      <c r="AL807" s="5" t="str">
        <f ca="1">IFERROR(__xludf.DUMMYFUNCTION("""COMPUTED_VALUE"""),"No")</f>
        <v>No</v>
      </c>
      <c r="AM807" s="5"/>
      <c r="AN807" s="5"/>
      <c r="AO807" s="5"/>
      <c r="AP807" s="5"/>
      <c r="AQ807" s="5"/>
      <c r="AR807" s="5"/>
      <c r="AS807" s="5"/>
      <c r="AT807" s="5"/>
      <c r="AU807" s="5"/>
      <c r="AV807" s="5"/>
      <c r="AW807" s="5"/>
      <c r="AX807" s="5"/>
      <c r="AY807" s="5"/>
    </row>
    <row r="808" spans="1:51" x14ac:dyDescent="0.25">
      <c r="A808"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8" s="5">
        <f ca="1">IFERROR(__xludf.DUMMYFUNCTION("""COMPUTED_VALUE"""),846)</f>
        <v>846</v>
      </c>
      <c r="C808" s="5">
        <f ca="1">IFERROR(__xludf.DUMMYFUNCTION("""COMPUTED_VALUE"""),180090)</f>
        <v>180090</v>
      </c>
      <c r="D808" s="5" t="str">
        <f ca="1">IFERROR(__xludf.DUMMYFUNCTION("""COMPUTED_VALUE"""),"RedstoneWildCrown1000")</f>
        <v>RedstoneWildCrown1000</v>
      </c>
      <c r="E808" s="5" t="str">
        <f ca="1">IFERROR(__xludf.DUMMYFUNCTION("""COMPUTED_VALUE"""),"Yes")</f>
        <v>Yes</v>
      </c>
      <c r="F808" s="5" t="str">
        <f ca="1">IFERROR(__xludf.DUMMYFUNCTION("""COMPUTED_VALUE"""),"Yes")</f>
        <v>Yes</v>
      </c>
      <c r="G808" s="5" t="str">
        <f ca="1">IFERROR(__xludf.DUMMYFUNCTION("""COMPUTED_VALUE"""),"Yes")</f>
        <v>Yes</v>
      </c>
      <c r="H808" s="5" t="str">
        <f ca="1">IFERROR(__xludf.DUMMYFUNCTION("""COMPUTED_VALUE"""),"Yes")</f>
        <v>Yes</v>
      </c>
      <c r="I808" s="5" t="str">
        <f ca="1">IFERROR(__xludf.DUMMYFUNCTION("""COMPUTED_VALUE"""),"Yes")</f>
        <v>Yes</v>
      </c>
      <c r="J808" s="5" t="str">
        <f ca="1">IFERROR(__xludf.DUMMYFUNCTION("""COMPUTED_VALUE"""),"Yes")</f>
        <v>Yes</v>
      </c>
      <c r="K808" s="5" t="str">
        <f ca="1">IFERROR(__xludf.DUMMYFUNCTION("""COMPUTED_VALUE"""),"Yes")</f>
        <v>Yes</v>
      </c>
      <c r="L808" s="5" t="str">
        <f ca="1">IFERROR(__xludf.DUMMYFUNCTION("""COMPUTED_VALUE"""),"Yes")</f>
        <v>Yes</v>
      </c>
      <c r="M808" s="5" t="str">
        <f ca="1">IFERROR(__xludf.DUMMYFUNCTION("""COMPUTED_VALUE"""),"Yes")</f>
        <v>Yes</v>
      </c>
      <c r="N808" s="5" t="str">
        <f ca="1">IFERROR(__xludf.DUMMYFUNCTION("""COMPUTED_VALUE"""),"Yes")</f>
        <v>Yes</v>
      </c>
      <c r="O808" s="5" t="str">
        <f ca="1">IFERROR(__xludf.DUMMYFUNCTION("""COMPUTED_VALUE"""),"Yes")</f>
        <v>Yes</v>
      </c>
      <c r="P808" s="5" t="str">
        <f ca="1">IFERROR(__xludf.DUMMYFUNCTION("""COMPUTED_VALUE"""),"Yes")</f>
        <v>Yes</v>
      </c>
      <c r="Q808" s="5" t="str">
        <f ca="1">IFERROR(__xludf.DUMMYFUNCTION("""COMPUTED_VALUE"""),"Yes")</f>
        <v>Yes</v>
      </c>
      <c r="R808" s="5" t="str">
        <f ca="1">IFERROR(__xludf.DUMMYFUNCTION("""COMPUTED_VALUE"""),"Yes")</f>
        <v>Yes</v>
      </c>
      <c r="S808" s="5" t="str">
        <f ca="1">IFERROR(__xludf.DUMMYFUNCTION("""COMPUTED_VALUE"""),"Yes")</f>
        <v>Yes</v>
      </c>
      <c r="T808" s="5" t="str">
        <f ca="1">IFERROR(__xludf.DUMMYFUNCTION("""COMPUTED_VALUE"""),"No")</f>
        <v>No</v>
      </c>
      <c r="U808" s="5" t="str">
        <f ca="1">IFERROR(__xludf.DUMMYFUNCTION("""COMPUTED_VALUE"""),"No")</f>
        <v>No</v>
      </c>
      <c r="V808" s="5" t="str">
        <f ca="1">IFERROR(__xludf.DUMMYFUNCTION("""COMPUTED_VALUE"""),"No")</f>
        <v>No</v>
      </c>
      <c r="W808" s="5" t="str">
        <f ca="1">IFERROR(__xludf.DUMMYFUNCTION("""COMPUTED_VALUE"""),"No")</f>
        <v>No</v>
      </c>
      <c r="X808" s="5" t="str">
        <f ca="1">IFERROR(__xludf.DUMMYFUNCTION("""COMPUTED_VALUE"""),"No")</f>
        <v>No</v>
      </c>
      <c r="Y808" s="5" t="str">
        <f ca="1">IFERROR(__xludf.DUMMYFUNCTION("""COMPUTED_VALUE"""),"No")</f>
        <v>No</v>
      </c>
      <c r="Z808" s="5" t="str">
        <f ca="1">IFERROR(__xludf.DUMMYFUNCTION("""COMPUTED_VALUE"""),"No")</f>
        <v>No</v>
      </c>
      <c r="AA808" s="5" t="str">
        <f ca="1">IFERROR(__xludf.DUMMYFUNCTION("""COMPUTED_VALUE"""),"Yes")</f>
        <v>Yes</v>
      </c>
      <c r="AB808" s="5" t="str">
        <f ca="1">IFERROR(__xludf.DUMMYFUNCTION("""COMPUTED_VALUE"""),"No")</f>
        <v>No</v>
      </c>
      <c r="AC808" s="5" t="str">
        <f ca="1">IFERROR(__xludf.DUMMYFUNCTION("""COMPUTED_VALUE"""),"No")</f>
        <v>No</v>
      </c>
      <c r="AD808" s="5" t="str">
        <f ca="1">IFERROR(__xludf.DUMMYFUNCTION("""COMPUTED_VALUE"""),"No")</f>
        <v>No</v>
      </c>
      <c r="AE808" s="5" t="str">
        <f ca="1">IFERROR(__xludf.DUMMYFUNCTION("""COMPUTED_VALUE"""),"No")</f>
        <v>No</v>
      </c>
      <c r="AF808" s="5" t="str">
        <f ca="1">IFERROR(__xludf.DUMMYFUNCTION("""COMPUTED_VALUE"""),"Yes")</f>
        <v>Yes</v>
      </c>
      <c r="AG808" s="5" t="str">
        <f ca="1">IFERROR(__xludf.DUMMYFUNCTION("""COMPUTED_VALUE"""),"No")</f>
        <v>No</v>
      </c>
      <c r="AH808" s="5" t="str">
        <f ca="1">IFERROR(__xludf.DUMMYFUNCTION("""COMPUTED_VALUE"""),"Yes")</f>
        <v>Yes</v>
      </c>
      <c r="AI808" s="5" t="str">
        <f ca="1">IFERROR(__xludf.DUMMYFUNCTION("""COMPUTED_VALUE"""),"No")</f>
        <v>No</v>
      </c>
      <c r="AJ808" s="5" t="str">
        <f ca="1">IFERROR(__xludf.DUMMYFUNCTION("""COMPUTED_VALUE"""),"No")</f>
        <v>No</v>
      </c>
      <c r="AK808" s="5" t="str">
        <f ca="1">IFERROR(__xludf.DUMMYFUNCTION("""COMPUTED_VALUE"""),"No")</f>
        <v>No</v>
      </c>
      <c r="AL808" s="5" t="str">
        <f ca="1">IFERROR(__xludf.DUMMYFUNCTION("""COMPUTED_VALUE"""),"No")</f>
        <v>No</v>
      </c>
      <c r="AM808" s="5"/>
      <c r="AN808" s="5"/>
      <c r="AO808" s="5"/>
      <c r="AP808" s="5"/>
      <c r="AQ808" s="5"/>
      <c r="AR808" s="5"/>
      <c r="AS808" s="5"/>
      <c r="AT808" s="5"/>
      <c r="AU808" s="5"/>
      <c r="AV808" s="5"/>
      <c r="AW808" s="5"/>
      <c r="AX808" s="5"/>
      <c r="AY808" s="5"/>
    </row>
    <row r="809" spans="1:51" x14ac:dyDescent="0.25">
      <c r="A8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09" s="5">
        <f ca="1">IFERROR(__xludf.DUMMYFUNCTION("""COMPUTED_VALUE"""),847)</f>
        <v>847</v>
      </c>
      <c r="C809" s="5">
        <f ca="1">IFERROR(__xludf.DUMMYFUNCTION("""COMPUTED_VALUE"""),1024)</f>
        <v>1024</v>
      </c>
      <c r="D809" s="5" t="str">
        <f ca="1">IFERROR(__xludf.DUMMYFUNCTION("""COMPUTED_VALUE"""),"Clover81")</f>
        <v>Clover81</v>
      </c>
      <c r="E809" s="5" t="str">
        <f ca="1">IFERROR(__xludf.DUMMYFUNCTION("""COMPUTED_VALUE"""),"Yes")</f>
        <v>Yes</v>
      </c>
      <c r="F809" s="5" t="str">
        <f ca="1">IFERROR(__xludf.DUMMYFUNCTION("""COMPUTED_VALUE"""),"Yes")</f>
        <v>Yes</v>
      </c>
      <c r="G809" s="5" t="str">
        <f ca="1">IFERROR(__xludf.DUMMYFUNCTION("""COMPUTED_VALUE"""),"Yes")</f>
        <v>Yes</v>
      </c>
      <c r="H809" s="5" t="str">
        <f ca="1">IFERROR(__xludf.DUMMYFUNCTION("""COMPUTED_VALUE"""),"Yes")</f>
        <v>Yes</v>
      </c>
      <c r="I809" s="5" t="str">
        <f ca="1">IFERROR(__xludf.DUMMYFUNCTION("""COMPUTED_VALUE"""),"Yes")</f>
        <v>Yes</v>
      </c>
      <c r="J809" s="5" t="str">
        <f ca="1">IFERROR(__xludf.DUMMYFUNCTION("""COMPUTED_VALUE"""),"Yes")</f>
        <v>Yes</v>
      </c>
      <c r="K809" s="5" t="str">
        <f ca="1">IFERROR(__xludf.DUMMYFUNCTION("""COMPUTED_VALUE"""),"Yes")</f>
        <v>Yes</v>
      </c>
      <c r="L809" s="5" t="str">
        <f ca="1">IFERROR(__xludf.DUMMYFUNCTION("""COMPUTED_VALUE"""),"Yes")</f>
        <v>Yes</v>
      </c>
      <c r="M809" s="5" t="str">
        <f ca="1">IFERROR(__xludf.DUMMYFUNCTION("""COMPUTED_VALUE"""),"Yes")</f>
        <v>Yes</v>
      </c>
      <c r="N809" s="5" t="str">
        <f ca="1">IFERROR(__xludf.DUMMYFUNCTION("""COMPUTED_VALUE"""),"Yes")</f>
        <v>Yes</v>
      </c>
      <c r="O809" s="5" t="str">
        <f ca="1">IFERROR(__xludf.DUMMYFUNCTION("""COMPUTED_VALUE"""),"Yes")</f>
        <v>Yes</v>
      </c>
      <c r="P809" s="5" t="str">
        <f ca="1">IFERROR(__xludf.DUMMYFUNCTION("""COMPUTED_VALUE"""),"Yes")</f>
        <v>Yes</v>
      </c>
      <c r="Q809" s="5" t="str">
        <f ca="1">IFERROR(__xludf.DUMMYFUNCTION("""COMPUTED_VALUE"""),"Yes")</f>
        <v>Yes</v>
      </c>
      <c r="R809" s="5" t="str">
        <f ca="1">IFERROR(__xludf.DUMMYFUNCTION("""COMPUTED_VALUE"""),"Yes")</f>
        <v>Yes</v>
      </c>
      <c r="S809" s="5" t="str">
        <f ca="1">IFERROR(__xludf.DUMMYFUNCTION("""COMPUTED_VALUE"""),"Yes")</f>
        <v>Yes</v>
      </c>
      <c r="T809" s="5" t="str">
        <f ca="1">IFERROR(__xludf.DUMMYFUNCTION("""COMPUTED_VALUE"""),"Yes")</f>
        <v>Yes</v>
      </c>
      <c r="U809" s="5" t="str">
        <f ca="1">IFERROR(__xludf.DUMMYFUNCTION("""COMPUTED_VALUE"""),"Yes")</f>
        <v>Yes</v>
      </c>
      <c r="V809" s="5" t="str">
        <f ca="1">IFERROR(__xludf.DUMMYFUNCTION("""COMPUTED_VALUE"""),"Yes")</f>
        <v>Yes</v>
      </c>
      <c r="W809" s="5" t="str">
        <f ca="1">IFERROR(__xludf.DUMMYFUNCTION("""COMPUTED_VALUE"""),"Yes")</f>
        <v>Yes</v>
      </c>
      <c r="X809" s="5" t="str">
        <f ca="1">IFERROR(__xludf.DUMMYFUNCTION("""COMPUTED_VALUE"""),"Yes")</f>
        <v>Yes</v>
      </c>
      <c r="Y809" s="5" t="str">
        <f ca="1">IFERROR(__xludf.DUMMYFUNCTION("""COMPUTED_VALUE"""),"Yes")</f>
        <v>Yes</v>
      </c>
      <c r="Z809" s="5" t="str">
        <f ca="1">IFERROR(__xludf.DUMMYFUNCTION("""COMPUTED_VALUE"""),"Yes")</f>
        <v>Yes</v>
      </c>
      <c r="AA809" s="5" t="str">
        <f ca="1">IFERROR(__xludf.DUMMYFUNCTION("""COMPUTED_VALUE"""),"Yes")</f>
        <v>Yes</v>
      </c>
      <c r="AB809" s="5" t="str">
        <f ca="1">IFERROR(__xludf.DUMMYFUNCTION("""COMPUTED_VALUE"""),"Yes")</f>
        <v>Yes</v>
      </c>
      <c r="AC809" s="5" t="str">
        <f ca="1">IFERROR(__xludf.DUMMYFUNCTION("""COMPUTED_VALUE"""),"Yes")</f>
        <v>Yes</v>
      </c>
      <c r="AD809" s="5" t="str">
        <f ca="1">IFERROR(__xludf.DUMMYFUNCTION("""COMPUTED_VALUE"""),"Yes")</f>
        <v>Yes</v>
      </c>
      <c r="AE809" s="5" t="str">
        <f ca="1">IFERROR(__xludf.DUMMYFUNCTION("""COMPUTED_VALUE"""),"Yes")</f>
        <v>Yes</v>
      </c>
      <c r="AF809" s="5" t="str">
        <f ca="1">IFERROR(__xludf.DUMMYFUNCTION("""COMPUTED_VALUE"""),"Yes")</f>
        <v>Yes</v>
      </c>
      <c r="AG809" s="5" t="str">
        <f ca="1">IFERROR(__xludf.DUMMYFUNCTION("""COMPUTED_VALUE"""),"Yes")</f>
        <v>Yes</v>
      </c>
      <c r="AH809" s="5" t="str">
        <f ca="1">IFERROR(__xludf.DUMMYFUNCTION("""COMPUTED_VALUE"""),"Yes")</f>
        <v>Yes</v>
      </c>
      <c r="AI809" s="5" t="str">
        <f ca="1">IFERROR(__xludf.DUMMYFUNCTION("""COMPUTED_VALUE"""),"Yes")</f>
        <v>Yes</v>
      </c>
      <c r="AJ809" s="5" t="str">
        <f ca="1">IFERROR(__xludf.DUMMYFUNCTION("""COMPUTED_VALUE"""),"Yes")</f>
        <v>Yes</v>
      </c>
      <c r="AK809" s="5" t="str">
        <f ca="1">IFERROR(__xludf.DUMMYFUNCTION("""COMPUTED_VALUE"""),"Yes")</f>
        <v>Yes</v>
      </c>
      <c r="AL809" s="5" t="str">
        <f ca="1">IFERROR(__xludf.DUMMYFUNCTION("""COMPUTED_VALUE"""),"Yes")</f>
        <v>Yes</v>
      </c>
      <c r="AM809" s="5"/>
      <c r="AN809" s="5"/>
      <c r="AO809" s="5"/>
      <c r="AP809" s="5"/>
      <c r="AQ809" s="5"/>
      <c r="AR809" s="5"/>
      <c r="AS809" s="5"/>
      <c r="AT809" s="5"/>
      <c r="AU809" s="5"/>
      <c r="AV809" s="5"/>
      <c r="AW809" s="5"/>
      <c r="AX809" s="5"/>
      <c r="AY809" s="5"/>
    </row>
    <row r="810" spans="1:51" x14ac:dyDescent="0.25">
      <c r="A8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0" s="5">
        <f ca="1">IFERROR(__xludf.DUMMYFUNCTION("""COMPUTED_VALUE"""),848)</f>
        <v>848</v>
      </c>
      <c r="C810" s="5">
        <f ca="1">IFERROR(__xludf.DUMMYFUNCTION("""COMPUTED_VALUE"""),1025)</f>
        <v>1025</v>
      </c>
      <c r="D810" s="5" t="str">
        <f ca="1">IFERROR(__xludf.DUMMYFUNCTION("""COMPUTED_VALUE"""),"Clover5")</f>
        <v>Clover5</v>
      </c>
      <c r="E810" s="5" t="str">
        <f ca="1">IFERROR(__xludf.DUMMYFUNCTION("""COMPUTED_VALUE"""),"Yes")</f>
        <v>Yes</v>
      </c>
      <c r="F810" s="5" t="str">
        <f ca="1">IFERROR(__xludf.DUMMYFUNCTION("""COMPUTED_VALUE"""),"Yes")</f>
        <v>Yes</v>
      </c>
      <c r="G810" s="5" t="str">
        <f ca="1">IFERROR(__xludf.DUMMYFUNCTION("""COMPUTED_VALUE"""),"Yes")</f>
        <v>Yes</v>
      </c>
      <c r="H810" s="5" t="str">
        <f ca="1">IFERROR(__xludf.DUMMYFUNCTION("""COMPUTED_VALUE"""),"Yes")</f>
        <v>Yes</v>
      </c>
      <c r="I810" s="5" t="str">
        <f ca="1">IFERROR(__xludf.DUMMYFUNCTION("""COMPUTED_VALUE"""),"Yes")</f>
        <v>Yes</v>
      </c>
      <c r="J810" s="5" t="str">
        <f ca="1">IFERROR(__xludf.DUMMYFUNCTION("""COMPUTED_VALUE"""),"Yes")</f>
        <v>Yes</v>
      </c>
      <c r="K810" s="5" t="str">
        <f ca="1">IFERROR(__xludf.DUMMYFUNCTION("""COMPUTED_VALUE"""),"Yes")</f>
        <v>Yes</v>
      </c>
      <c r="L810" s="5" t="str">
        <f ca="1">IFERROR(__xludf.DUMMYFUNCTION("""COMPUTED_VALUE"""),"Yes")</f>
        <v>Yes</v>
      </c>
      <c r="M810" s="5" t="str">
        <f ca="1">IFERROR(__xludf.DUMMYFUNCTION("""COMPUTED_VALUE"""),"Yes")</f>
        <v>Yes</v>
      </c>
      <c r="N810" s="5" t="str">
        <f ca="1">IFERROR(__xludf.DUMMYFUNCTION("""COMPUTED_VALUE"""),"Yes")</f>
        <v>Yes</v>
      </c>
      <c r="O810" s="5" t="str">
        <f ca="1">IFERROR(__xludf.DUMMYFUNCTION("""COMPUTED_VALUE"""),"Yes")</f>
        <v>Yes</v>
      </c>
      <c r="P810" s="5" t="str">
        <f ca="1">IFERROR(__xludf.DUMMYFUNCTION("""COMPUTED_VALUE"""),"Yes")</f>
        <v>Yes</v>
      </c>
      <c r="Q810" s="5" t="str">
        <f ca="1">IFERROR(__xludf.DUMMYFUNCTION("""COMPUTED_VALUE"""),"Yes")</f>
        <v>Yes</v>
      </c>
      <c r="R810" s="5" t="str">
        <f ca="1">IFERROR(__xludf.DUMMYFUNCTION("""COMPUTED_VALUE"""),"Yes")</f>
        <v>Yes</v>
      </c>
      <c r="S810" s="5" t="str">
        <f ca="1">IFERROR(__xludf.DUMMYFUNCTION("""COMPUTED_VALUE"""),"Yes")</f>
        <v>Yes</v>
      </c>
      <c r="T810" s="5" t="str">
        <f ca="1">IFERROR(__xludf.DUMMYFUNCTION("""COMPUTED_VALUE"""),"Yes")</f>
        <v>Yes</v>
      </c>
      <c r="U810" s="5" t="str">
        <f ca="1">IFERROR(__xludf.DUMMYFUNCTION("""COMPUTED_VALUE"""),"Yes")</f>
        <v>Yes</v>
      </c>
      <c r="V810" s="5" t="str">
        <f ca="1">IFERROR(__xludf.DUMMYFUNCTION("""COMPUTED_VALUE"""),"Yes")</f>
        <v>Yes</v>
      </c>
      <c r="W810" s="5" t="str">
        <f ca="1">IFERROR(__xludf.DUMMYFUNCTION("""COMPUTED_VALUE"""),"Yes")</f>
        <v>Yes</v>
      </c>
      <c r="X810" s="5" t="str">
        <f ca="1">IFERROR(__xludf.DUMMYFUNCTION("""COMPUTED_VALUE"""),"Yes")</f>
        <v>Yes</v>
      </c>
      <c r="Y810" s="5" t="str">
        <f ca="1">IFERROR(__xludf.DUMMYFUNCTION("""COMPUTED_VALUE"""),"Yes")</f>
        <v>Yes</v>
      </c>
      <c r="Z810" s="5" t="str">
        <f ca="1">IFERROR(__xludf.DUMMYFUNCTION("""COMPUTED_VALUE"""),"Yes")</f>
        <v>Yes</v>
      </c>
      <c r="AA810" s="5" t="str">
        <f ca="1">IFERROR(__xludf.DUMMYFUNCTION("""COMPUTED_VALUE"""),"Yes")</f>
        <v>Yes</v>
      </c>
      <c r="AB810" s="5" t="str">
        <f ca="1">IFERROR(__xludf.DUMMYFUNCTION("""COMPUTED_VALUE"""),"Yes")</f>
        <v>Yes</v>
      </c>
      <c r="AC810" s="5" t="str">
        <f ca="1">IFERROR(__xludf.DUMMYFUNCTION("""COMPUTED_VALUE"""),"Yes")</f>
        <v>Yes</v>
      </c>
      <c r="AD810" s="5" t="str">
        <f ca="1">IFERROR(__xludf.DUMMYFUNCTION("""COMPUTED_VALUE"""),"Yes")</f>
        <v>Yes</v>
      </c>
      <c r="AE810" s="5" t="str">
        <f ca="1">IFERROR(__xludf.DUMMYFUNCTION("""COMPUTED_VALUE"""),"Yes")</f>
        <v>Yes</v>
      </c>
      <c r="AF810" s="5" t="str">
        <f ca="1">IFERROR(__xludf.DUMMYFUNCTION("""COMPUTED_VALUE"""),"Yes")</f>
        <v>Yes</v>
      </c>
      <c r="AG810" s="5" t="str">
        <f ca="1">IFERROR(__xludf.DUMMYFUNCTION("""COMPUTED_VALUE"""),"Yes")</f>
        <v>Yes</v>
      </c>
      <c r="AH810" s="5" t="str">
        <f ca="1">IFERROR(__xludf.DUMMYFUNCTION("""COMPUTED_VALUE"""),"Yes")</f>
        <v>Yes</v>
      </c>
      <c r="AI810" s="5" t="str">
        <f ca="1">IFERROR(__xludf.DUMMYFUNCTION("""COMPUTED_VALUE"""),"No")</f>
        <v>No</v>
      </c>
      <c r="AJ810" s="5" t="str">
        <f ca="1">IFERROR(__xludf.DUMMYFUNCTION("""COMPUTED_VALUE"""),"No")</f>
        <v>No</v>
      </c>
      <c r="AK810" s="5" t="str">
        <f ca="1">IFERROR(__xludf.DUMMYFUNCTION("""COMPUTED_VALUE"""),"No")</f>
        <v>No</v>
      </c>
      <c r="AL810" s="5" t="str">
        <f ca="1">IFERROR(__xludf.DUMMYFUNCTION("""COMPUTED_VALUE"""),"No")</f>
        <v>No</v>
      </c>
      <c r="AM810" s="5"/>
      <c r="AN810" s="5"/>
      <c r="AO810" s="5"/>
      <c r="AP810" s="5"/>
      <c r="AQ810" s="5"/>
      <c r="AR810" s="5"/>
      <c r="AS810" s="5"/>
      <c r="AT810" s="5"/>
      <c r="AU810" s="5"/>
      <c r="AV810" s="5"/>
      <c r="AW810" s="5"/>
      <c r="AX810" s="5"/>
      <c r="AY810" s="5"/>
    </row>
    <row r="811" spans="1:51" x14ac:dyDescent="0.25">
      <c r="A8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1" s="5">
        <f ca="1">IFERROR(__xludf.DUMMYFUNCTION("""COMPUTED_VALUE"""),849)</f>
        <v>849</v>
      </c>
      <c r="C811" s="5">
        <f ca="1">IFERROR(__xludf.DUMMYFUNCTION("""COMPUTED_VALUE"""),1026)</f>
        <v>1026</v>
      </c>
      <c r="D811" s="5" t="str">
        <f ca="1">IFERROR(__xludf.DUMMYFUNCTION("""COMPUTED_VALUE"""),"Clover10")</f>
        <v>Clover10</v>
      </c>
      <c r="E811" s="5" t="str">
        <f ca="1">IFERROR(__xludf.DUMMYFUNCTION("""COMPUTED_VALUE"""),"Yes")</f>
        <v>Yes</v>
      </c>
      <c r="F811" s="5" t="str">
        <f ca="1">IFERROR(__xludf.DUMMYFUNCTION("""COMPUTED_VALUE"""),"Yes")</f>
        <v>Yes</v>
      </c>
      <c r="G811" s="5" t="str">
        <f ca="1">IFERROR(__xludf.DUMMYFUNCTION("""COMPUTED_VALUE"""),"Yes")</f>
        <v>Yes</v>
      </c>
      <c r="H811" s="5" t="str">
        <f ca="1">IFERROR(__xludf.DUMMYFUNCTION("""COMPUTED_VALUE"""),"Yes")</f>
        <v>Yes</v>
      </c>
      <c r="I811" s="5" t="str">
        <f ca="1">IFERROR(__xludf.DUMMYFUNCTION("""COMPUTED_VALUE"""),"Yes")</f>
        <v>Yes</v>
      </c>
      <c r="J811" s="5" t="str">
        <f ca="1">IFERROR(__xludf.DUMMYFUNCTION("""COMPUTED_VALUE"""),"Yes")</f>
        <v>Yes</v>
      </c>
      <c r="K811" s="5" t="str">
        <f ca="1">IFERROR(__xludf.DUMMYFUNCTION("""COMPUTED_VALUE"""),"Yes")</f>
        <v>Yes</v>
      </c>
      <c r="L811" s="5" t="str">
        <f ca="1">IFERROR(__xludf.DUMMYFUNCTION("""COMPUTED_VALUE"""),"Yes")</f>
        <v>Yes</v>
      </c>
      <c r="M811" s="5" t="str">
        <f ca="1">IFERROR(__xludf.DUMMYFUNCTION("""COMPUTED_VALUE"""),"Yes")</f>
        <v>Yes</v>
      </c>
      <c r="N811" s="5" t="str">
        <f ca="1">IFERROR(__xludf.DUMMYFUNCTION("""COMPUTED_VALUE"""),"Yes")</f>
        <v>Yes</v>
      </c>
      <c r="O811" s="5" t="str">
        <f ca="1">IFERROR(__xludf.DUMMYFUNCTION("""COMPUTED_VALUE"""),"Yes")</f>
        <v>Yes</v>
      </c>
      <c r="P811" s="5" t="str">
        <f ca="1">IFERROR(__xludf.DUMMYFUNCTION("""COMPUTED_VALUE"""),"Yes")</f>
        <v>Yes</v>
      </c>
      <c r="Q811" s="5" t="str">
        <f ca="1">IFERROR(__xludf.DUMMYFUNCTION("""COMPUTED_VALUE"""),"Yes")</f>
        <v>Yes</v>
      </c>
      <c r="R811" s="5" t="str">
        <f ca="1">IFERROR(__xludf.DUMMYFUNCTION("""COMPUTED_VALUE"""),"Yes")</f>
        <v>Yes</v>
      </c>
      <c r="S811" s="5" t="str">
        <f ca="1">IFERROR(__xludf.DUMMYFUNCTION("""COMPUTED_VALUE"""),"Yes")</f>
        <v>Yes</v>
      </c>
      <c r="T811" s="5" t="str">
        <f ca="1">IFERROR(__xludf.DUMMYFUNCTION("""COMPUTED_VALUE"""),"Yes")</f>
        <v>Yes</v>
      </c>
      <c r="U811" s="5" t="str">
        <f ca="1">IFERROR(__xludf.DUMMYFUNCTION("""COMPUTED_VALUE"""),"Yes")</f>
        <v>Yes</v>
      </c>
      <c r="V811" s="5" t="str">
        <f ca="1">IFERROR(__xludf.DUMMYFUNCTION("""COMPUTED_VALUE"""),"Yes")</f>
        <v>Yes</v>
      </c>
      <c r="W811" s="5" t="str">
        <f ca="1">IFERROR(__xludf.DUMMYFUNCTION("""COMPUTED_VALUE"""),"Yes")</f>
        <v>Yes</v>
      </c>
      <c r="X811" s="5" t="str">
        <f ca="1">IFERROR(__xludf.DUMMYFUNCTION("""COMPUTED_VALUE"""),"Yes")</f>
        <v>Yes</v>
      </c>
      <c r="Y811" s="5" t="str">
        <f ca="1">IFERROR(__xludf.DUMMYFUNCTION("""COMPUTED_VALUE"""),"Yes")</f>
        <v>Yes</v>
      </c>
      <c r="Z811" s="5" t="str">
        <f ca="1">IFERROR(__xludf.DUMMYFUNCTION("""COMPUTED_VALUE"""),"Yes")</f>
        <v>Yes</v>
      </c>
      <c r="AA811" s="5" t="str">
        <f ca="1">IFERROR(__xludf.DUMMYFUNCTION("""COMPUTED_VALUE"""),"Yes")</f>
        <v>Yes</v>
      </c>
      <c r="AB811" s="5" t="str">
        <f ca="1">IFERROR(__xludf.DUMMYFUNCTION("""COMPUTED_VALUE"""),"Yes")</f>
        <v>Yes</v>
      </c>
      <c r="AC811" s="5" t="str">
        <f ca="1">IFERROR(__xludf.DUMMYFUNCTION("""COMPUTED_VALUE"""),"Yes")</f>
        <v>Yes</v>
      </c>
      <c r="AD811" s="5" t="str">
        <f ca="1">IFERROR(__xludf.DUMMYFUNCTION("""COMPUTED_VALUE"""),"Yes")</f>
        <v>Yes</v>
      </c>
      <c r="AE811" s="5" t="str">
        <f ca="1">IFERROR(__xludf.DUMMYFUNCTION("""COMPUTED_VALUE"""),"Yes")</f>
        <v>Yes</v>
      </c>
      <c r="AF811" s="5" t="str">
        <f ca="1">IFERROR(__xludf.DUMMYFUNCTION("""COMPUTED_VALUE"""),"Yes")</f>
        <v>Yes</v>
      </c>
      <c r="AG811" s="5" t="str">
        <f ca="1">IFERROR(__xludf.DUMMYFUNCTION("""COMPUTED_VALUE"""),"Yes")</f>
        <v>Yes</v>
      </c>
      <c r="AH811" s="5" t="str">
        <f ca="1">IFERROR(__xludf.DUMMYFUNCTION("""COMPUTED_VALUE"""),"Yes")</f>
        <v>Yes</v>
      </c>
      <c r="AI811" s="5" t="str">
        <f ca="1">IFERROR(__xludf.DUMMYFUNCTION("""COMPUTED_VALUE"""),"No")</f>
        <v>No</v>
      </c>
      <c r="AJ811" s="5" t="str">
        <f ca="1">IFERROR(__xludf.DUMMYFUNCTION("""COMPUTED_VALUE"""),"No")</f>
        <v>No</v>
      </c>
      <c r="AK811" s="5" t="str">
        <f ca="1">IFERROR(__xludf.DUMMYFUNCTION("""COMPUTED_VALUE"""),"No")</f>
        <v>No</v>
      </c>
      <c r="AL811" s="5" t="str">
        <f ca="1">IFERROR(__xludf.DUMMYFUNCTION("""COMPUTED_VALUE"""),"No")</f>
        <v>No</v>
      </c>
      <c r="AM811" s="5"/>
      <c r="AN811" s="5"/>
      <c r="AO811" s="5"/>
      <c r="AP811" s="5"/>
      <c r="AQ811" s="5"/>
      <c r="AR811" s="5"/>
      <c r="AS811" s="5"/>
      <c r="AT811" s="5"/>
      <c r="AU811" s="5"/>
      <c r="AV811" s="5"/>
      <c r="AW811" s="5"/>
      <c r="AX811" s="5"/>
      <c r="AY811" s="5"/>
    </row>
    <row r="812" spans="1:51" x14ac:dyDescent="0.25">
      <c r="A8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2" s="5">
        <f ca="1">IFERROR(__xludf.DUMMYFUNCTION("""COMPUTED_VALUE"""),850)</f>
        <v>850</v>
      </c>
      <c r="C812" s="5">
        <f ca="1">IFERROR(__xludf.DUMMYFUNCTION("""COMPUTED_VALUE"""),3046)</f>
        <v>3046</v>
      </c>
      <c r="D812" s="5" t="str">
        <f ca="1">IFERROR(__xludf.DUMMYFUNCTION("""COMPUTED_VALUE"""),"PowerLucky7")</f>
        <v>PowerLucky7</v>
      </c>
      <c r="E812" s="5" t="str">
        <f ca="1">IFERROR(__xludf.DUMMYFUNCTION("""COMPUTED_VALUE"""),"Yes")</f>
        <v>Yes</v>
      </c>
      <c r="F812" s="5" t="str">
        <f ca="1">IFERROR(__xludf.DUMMYFUNCTION("""COMPUTED_VALUE"""),"Yes")</f>
        <v>Yes</v>
      </c>
      <c r="G812" s="5" t="str">
        <f ca="1">IFERROR(__xludf.DUMMYFUNCTION("""COMPUTED_VALUE"""),"Yes")</f>
        <v>Yes</v>
      </c>
      <c r="H812" s="5" t="str">
        <f ca="1">IFERROR(__xludf.DUMMYFUNCTION("""COMPUTED_VALUE"""),"Yes")</f>
        <v>Yes</v>
      </c>
      <c r="I812" s="5" t="str">
        <f ca="1">IFERROR(__xludf.DUMMYFUNCTION("""COMPUTED_VALUE"""),"Yes")</f>
        <v>Yes</v>
      </c>
      <c r="J812" s="5" t="str">
        <f ca="1">IFERROR(__xludf.DUMMYFUNCTION("""COMPUTED_VALUE"""),"Yes")</f>
        <v>Yes</v>
      </c>
      <c r="K812" s="5" t="str">
        <f ca="1">IFERROR(__xludf.DUMMYFUNCTION("""COMPUTED_VALUE"""),"Yes")</f>
        <v>Yes</v>
      </c>
      <c r="L812" s="5" t="str">
        <f ca="1">IFERROR(__xludf.DUMMYFUNCTION("""COMPUTED_VALUE"""),"Yes")</f>
        <v>Yes</v>
      </c>
      <c r="M812" s="5" t="str">
        <f ca="1">IFERROR(__xludf.DUMMYFUNCTION("""COMPUTED_VALUE"""),"Yes")</f>
        <v>Yes</v>
      </c>
      <c r="N812" s="5" t="str">
        <f ca="1">IFERROR(__xludf.DUMMYFUNCTION("""COMPUTED_VALUE"""),"Yes")</f>
        <v>Yes</v>
      </c>
      <c r="O812" s="5" t="str">
        <f ca="1">IFERROR(__xludf.DUMMYFUNCTION("""COMPUTED_VALUE"""),"Yes")</f>
        <v>Yes</v>
      </c>
      <c r="P812" s="5" t="str">
        <f ca="1">IFERROR(__xludf.DUMMYFUNCTION("""COMPUTED_VALUE"""),"Yes")</f>
        <v>Yes</v>
      </c>
      <c r="Q812" s="5" t="str">
        <f ca="1">IFERROR(__xludf.DUMMYFUNCTION("""COMPUTED_VALUE"""),"Yes")</f>
        <v>Yes</v>
      </c>
      <c r="R812" s="5" t="str">
        <f ca="1">IFERROR(__xludf.DUMMYFUNCTION("""COMPUTED_VALUE"""),"Yes")</f>
        <v>Yes</v>
      </c>
      <c r="S812" s="5" t="str">
        <f ca="1">IFERROR(__xludf.DUMMYFUNCTION("""COMPUTED_VALUE"""),"Yes")</f>
        <v>Yes</v>
      </c>
      <c r="T812" s="5" t="str">
        <f ca="1">IFERROR(__xludf.DUMMYFUNCTION("""COMPUTED_VALUE"""),"Yes")</f>
        <v>Yes</v>
      </c>
      <c r="U812" s="5" t="str">
        <f ca="1">IFERROR(__xludf.DUMMYFUNCTION("""COMPUTED_VALUE"""),"Yes")</f>
        <v>Yes</v>
      </c>
      <c r="V812" s="5" t="str">
        <f ca="1">IFERROR(__xludf.DUMMYFUNCTION("""COMPUTED_VALUE"""),"Yes")</f>
        <v>Yes</v>
      </c>
      <c r="W812" s="5" t="str">
        <f ca="1">IFERROR(__xludf.DUMMYFUNCTION("""COMPUTED_VALUE"""),"Yes")</f>
        <v>Yes</v>
      </c>
      <c r="X812" s="5" t="str">
        <f ca="1">IFERROR(__xludf.DUMMYFUNCTION("""COMPUTED_VALUE"""),"Yes")</f>
        <v>Yes</v>
      </c>
      <c r="Y812" s="5" t="str">
        <f ca="1">IFERROR(__xludf.DUMMYFUNCTION("""COMPUTED_VALUE"""),"Yes")</f>
        <v>Yes</v>
      </c>
      <c r="Z812" s="5" t="str">
        <f ca="1">IFERROR(__xludf.DUMMYFUNCTION("""COMPUTED_VALUE"""),"Yes")</f>
        <v>Yes</v>
      </c>
      <c r="AA812" s="5" t="str">
        <f ca="1">IFERROR(__xludf.DUMMYFUNCTION("""COMPUTED_VALUE"""),"Yes")</f>
        <v>Yes</v>
      </c>
      <c r="AB812" s="5" t="str">
        <f ca="1">IFERROR(__xludf.DUMMYFUNCTION("""COMPUTED_VALUE"""),"Yes")</f>
        <v>Yes</v>
      </c>
      <c r="AC812" s="5" t="str">
        <f ca="1">IFERROR(__xludf.DUMMYFUNCTION("""COMPUTED_VALUE"""),"Yes")</f>
        <v>Yes</v>
      </c>
      <c r="AD812" s="5" t="str">
        <f ca="1">IFERROR(__xludf.DUMMYFUNCTION("""COMPUTED_VALUE"""),"Yes")</f>
        <v>Yes</v>
      </c>
      <c r="AE812" s="5" t="str">
        <f ca="1">IFERROR(__xludf.DUMMYFUNCTION("""COMPUTED_VALUE"""),"Yes")</f>
        <v>Yes</v>
      </c>
      <c r="AF812" s="5" t="str">
        <f ca="1">IFERROR(__xludf.DUMMYFUNCTION("""COMPUTED_VALUE"""),"Yes")</f>
        <v>Yes</v>
      </c>
      <c r="AG812" s="5" t="str">
        <f ca="1">IFERROR(__xludf.DUMMYFUNCTION("""COMPUTED_VALUE"""),"Yes")</f>
        <v>Yes</v>
      </c>
      <c r="AH812" s="5" t="str">
        <f ca="1">IFERROR(__xludf.DUMMYFUNCTION("""COMPUTED_VALUE"""),"Yes")</f>
        <v>Yes</v>
      </c>
      <c r="AI812" s="5" t="str">
        <f ca="1">IFERROR(__xludf.DUMMYFUNCTION("""COMPUTED_VALUE"""),"No")</f>
        <v>No</v>
      </c>
      <c r="AJ812" s="5" t="str">
        <f ca="1">IFERROR(__xludf.DUMMYFUNCTION("""COMPUTED_VALUE"""),"No")</f>
        <v>No</v>
      </c>
      <c r="AK812" s="5" t="str">
        <f ca="1">IFERROR(__xludf.DUMMYFUNCTION("""COMPUTED_VALUE"""),"No")</f>
        <v>No</v>
      </c>
      <c r="AL812" s="5" t="str">
        <f ca="1">IFERROR(__xludf.DUMMYFUNCTION("""COMPUTED_VALUE"""),"No")</f>
        <v>No</v>
      </c>
      <c r="AM812" s="5"/>
      <c r="AN812" s="5"/>
      <c r="AO812" s="5"/>
      <c r="AP812" s="5"/>
      <c r="AQ812" s="5"/>
      <c r="AR812" s="5"/>
      <c r="AS812" s="5"/>
      <c r="AT812" s="5"/>
      <c r="AU812" s="5"/>
      <c r="AV812" s="5"/>
      <c r="AW812" s="5"/>
      <c r="AX812" s="5"/>
      <c r="AY812" s="5"/>
    </row>
    <row r="813" spans="1:51" x14ac:dyDescent="0.25">
      <c r="A8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3" s="5">
        <f ca="1">IFERROR(__xludf.DUMMYFUNCTION("""COMPUTED_VALUE"""),851)</f>
        <v>851</v>
      </c>
      <c r="C813" s="5">
        <f ca="1">IFERROR(__xludf.DUMMYFUNCTION("""COMPUTED_VALUE"""),180091)</f>
        <v>180091</v>
      </c>
      <c r="D813" s="5" t="str">
        <f ca="1">IFERROR(__xludf.DUMMYFUNCTION("""COMPUTED_VALUE"""),"RedstoneXBombFire")</f>
        <v>RedstoneXBombFire</v>
      </c>
      <c r="E813" s="5" t="str">
        <f ca="1">IFERROR(__xludf.DUMMYFUNCTION("""COMPUTED_VALUE"""),"Yes")</f>
        <v>Yes</v>
      </c>
      <c r="F813" s="5" t="str">
        <f ca="1">IFERROR(__xludf.DUMMYFUNCTION("""COMPUTED_VALUE"""),"Yes")</f>
        <v>Yes</v>
      </c>
      <c r="G813" s="5" t="str">
        <f ca="1">IFERROR(__xludf.DUMMYFUNCTION("""COMPUTED_VALUE"""),"Yes")</f>
        <v>Yes</v>
      </c>
      <c r="H813" s="5" t="str">
        <f ca="1">IFERROR(__xludf.DUMMYFUNCTION("""COMPUTED_VALUE"""),"Yes")</f>
        <v>Yes</v>
      </c>
      <c r="I813" s="5" t="str">
        <f ca="1">IFERROR(__xludf.DUMMYFUNCTION("""COMPUTED_VALUE"""),"Yes")</f>
        <v>Yes</v>
      </c>
      <c r="J813" s="5" t="str">
        <f ca="1">IFERROR(__xludf.DUMMYFUNCTION("""COMPUTED_VALUE"""),"Yes")</f>
        <v>Yes</v>
      </c>
      <c r="K813" s="5" t="str">
        <f ca="1">IFERROR(__xludf.DUMMYFUNCTION("""COMPUTED_VALUE"""),"Yes")</f>
        <v>Yes</v>
      </c>
      <c r="L813" s="5" t="str">
        <f ca="1">IFERROR(__xludf.DUMMYFUNCTION("""COMPUTED_VALUE"""),"Yes")</f>
        <v>Yes</v>
      </c>
      <c r="M813" s="5" t="str">
        <f ca="1">IFERROR(__xludf.DUMMYFUNCTION("""COMPUTED_VALUE"""),"Yes")</f>
        <v>Yes</v>
      </c>
      <c r="N813" s="5" t="str">
        <f ca="1">IFERROR(__xludf.DUMMYFUNCTION("""COMPUTED_VALUE"""),"Yes")</f>
        <v>Yes</v>
      </c>
      <c r="O813" s="5" t="str">
        <f ca="1">IFERROR(__xludf.DUMMYFUNCTION("""COMPUTED_VALUE"""),"Yes")</f>
        <v>Yes</v>
      </c>
      <c r="P813" s="5" t="str">
        <f ca="1">IFERROR(__xludf.DUMMYFUNCTION("""COMPUTED_VALUE"""),"Yes")</f>
        <v>Yes</v>
      </c>
      <c r="Q813" s="5" t="str">
        <f ca="1">IFERROR(__xludf.DUMMYFUNCTION("""COMPUTED_VALUE"""),"Yes")</f>
        <v>Yes</v>
      </c>
      <c r="R813" s="5" t="str">
        <f ca="1">IFERROR(__xludf.DUMMYFUNCTION("""COMPUTED_VALUE"""),"Yes")</f>
        <v>Yes</v>
      </c>
      <c r="S813" s="5" t="str">
        <f ca="1">IFERROR(__xludf.DUMMYFUNCTION("""COMPUTED_VALUE"""),"Yes")</f>
        <v>Yes</v>
      </c>
      <c r="T813" s="5" t="str">
        <f ca="1">IFERROR(__xludf.DUMMYFUNCTION("""COMPUTED_VALUE"""),"Yes")</f>
        <v>Yes</v>
      </c>
      <c r="U813" s="5" t="str">
        <f ca="1">IFERROR(__xludf.DUMMYFUNCTION("""COMPUTED_VALUE"""),"Yes")</f>
        <v>Yes</v>
      </c>
      <c r="V813" s="5" t="str">
        <f ca="1">IFERROR(__xludf.DUMMYFUNCTION("""COMPUTED_VALUE"""),"Yes")</f>
        <v>Yes</v>
      </c>
      <c r="W813" s="5" t="str">
        <f ca="1">IFERROR(__xludf.DUMMYFUNCTION("""COMPUTED_VALUE"""),"Yes")</f>
        <v>Yes</v>
      </c>
      <c r="X813" s="5" t="str">
        <f ca="1">IFERROR(__xludf.DUMMYFUNCTION("""COMPUTED_VALUE"""),"Yes")</f>
        <v>Yes</v>
      </c>
      <c r="Y813" s="5" t="str">
        <f ca="1">IFERROR(__xludf.DUMMYFUNCTION("""COMPUTED_VALUE"""),"Yes")</f>
        <v>Yes</v>
      </c>
      <c r="Z813" s="5" t="str">
        <f ca="1">IFERROR(__xludf.DUMMYFUNCTION("""COMPUTED_VALUE"""),"Yes")</f>
        <v>Yes</v>
      </c>
      <c r="AA813" s="5" t="str">
        <f ca="1">IFERROR(__xludf.DUMMYFUNCTION("""COMPUTED_VALUE"""),"Yes")</f>
        <v>Yes</v>
      </c>
      <c r="AB813" s="5" t="str">
        <f ca="1">IFERROR(__xludf.DUMMYFUNCTION("""COMPUTED_VALUE"""),"Yes")</f>
        <v>Yes</v>
      </c>
      <c r="AC813" s="5" t="str">
        <f ca="1">IFERROR(__xludf.DUMMYFUNCTION("""COMPUTED_VALUE"""),"Yes")</f>
        <v>Yes</v>
      </c>
      <c r="AD813" s="5" t="str">
        <f ca="1">IFERROR(__xludf.DUMMYFUNCTION("""COMPUTED_VALUE"""),"Yes")</f>
        <v>Yes</v>
      </c>
      <c r="AE813" s="5" t="str">
        <f ca="1">IFERROR(__xludf.DUMMYFUNCTION("""COMPUTED_VALUE"""),"Yes")</f>
        <v>Yes</v>
      </c>
      <c r="AF813" s="5" t="str">
        <f ca="1">IFERROR(__xludf.DUMMYFUNCTION("""COMPUTED_VALUE"""),"Yes")</f>
        <v>Yes</v>
      </c>
      <c r="AG813" s="5" t="str">
        <f ca="1">IFERROR(__xludf.DUMMYFUNCTION("""COMPUTED_VALUE"""),"Yes")</f>
        <v>Yes</v>
      </c>
      <c r="AH813" s="5" t="str">
        <f ca="1">IFERROR(__xludf.DUMMYFUNCTION("""COMPUTED_VALUE"""),"Yes")</f>
        <v>Yes</v>
      </c>
      <c r="AI813" s="5" t="str">
        <f ca="1">IFERROR(__xludf.DUMMYFUNCTION("""COMPUTED_VALUE"""),"No")</f>
        <v>No</v>
      </c>
      <c r="AJ813" s="5" t="str">
        <f ca="1">IFERROR(__xludf.DUMMYFUNCTION("""COMPUTED_VALUE"""),"No")</f>
        <v>No</v>
      </c>
      <c r="AK813" s="5" t="str">
        <f ca="1">IFERROR(__xludf.DUMMYFUNCTION("""COMPUTED_VALUE"""),"No")</f>
        <v>No</v>
      </c>
      <c r="AL813" s="5" t="str">
        <f ca="1">IFERROR(__xludf.DUMMYFUNCTION("""COMPUTED_VALUE"""),"No")</f>
        <v>No</v>
      </c>
      <c r="AM813" s="5"/>
      <c r="AN813" s="5"/>
      <c r="AO813" s="5"/>
      <c r="AP813" s="5"/>
      <c r="AQ813" s="5"/>
      <c r="AR813" s="5"/>
      <c r="AS813" s="5"/>
      <c r="AT813" s="5"/>
      <c r="AU813" s="5"/>
      <c r="AV813" s="5"/>
      <c r="AW813" s="5"/>
      <c r="AX813" s="5"/>
      <c r="AY813" s="5"/>
    </row>
    <row r="814" spans="1:51" x14ac:dyDescent="0.25">
      <c r="B814" s="5"/>
      <c r="C814" s="5"/>
      <c r="D814" s="5"/>
      <c r="E814" s="5" t="str">
        <f ca="1">IFERROR(__xludf.DUMMYFUNCTION("""COMPUTED_VALUE"""),"Yes")</f>
        <v>Yes</v>
      </c>
      <c r="F814" s="5" t="str">
        <f ca="1">IFERROR(__xludf.DUMMYFUNCTION("""COMPUTED_VALUE"""),"Yes")</f>
        <v>Yes</v>
      </c>
      <c r="G814" s="5" t="str">
        <f ca="1">IFERROR(__xludf.DUMMYFUNCTION("""COMPUTED_VALUE"""),"Yes")</f>
        <v>Yes</v>
      </c>
      <c r="H814" s="5" t="str">
        <f ca="1">IFERROR(__xludf.DUMMYFUNCTION("""COMPUTED_VALUE"""),"Yes")</f>
        <v>Yes</v>
      </c>
      <c r="I814" s="5" t="str">
        <f ca="1">IFERROR(__xludf.DUMMYFUNCTION("""COMPUTED_VALUE"""),"Yes")</f>
        <v>Yes</v>
      </c>
      <c r="J814" s="5" t="str">
        <f ca="1">IFERROR(__xludf.DUMMYFUNCTION("""COMPUTED_VALUE"""),"Yes")</f>
        <v>Yes</v>
      </c>
      <c r="K814" s="5" t="str">
        <f ca="1">IFERROR(__xludf.DUMMYFUNCTION("""COMPUTED_VALUE"""),"Yes")</f>
        <v>Yes</v>
      </c>
      <c r="L814" s="5" t="str">
        <f ca="1">IFERROR(__xludf.DUMMYFUNCTION("""COMPUTED_VALUE"""),"Yes")</f>
        <v>Yes</v>
      </c>
      <c r="M814" s="5" t="str">
        <f ca="1">IFERROR(__xludf.DUMMYFUNCTION("""COMPUTED_VALUE"""),"Yes")</f>
        <v>Yes</v>
      </c>
      <c r="N814" s="5" t="str">
        <f ca="1">IFERROR(__xludf.DUMMYFUNCTION("""COMPUTED_VALUE"""),"Yes")</f>
        <v>Yes</v>
      </c>
      <c r="O814" s="5" t="str">
        <f ca="1">IFERROR(__xludf.DUMMYFUNCTION("""COMPUTED_VALUE"""),"Yes")</f>
        <v>Yes</v>
      </c>
      <c r="P814" s="5" t="str">
        <f ca="1">IFERROR(__xludf.DUMMYFUNCTION("""COMPUTED_VALUE"""),"Yes")</f>
        <v>Yes</v>
      </c>
      <c r="Q814" s="5" t="str">
        <f ca="1">IFERROR(__xludf.DUMMYFUNCTION("""COMPUTED_VALUE"""),"Yes")</f>
        <v>Yes</v>
      </c>
      <c r="R814" s="5" t="str">
        <f ca="1">IFERROR(__xludf.DUMMYFUNCTION("""COMPUTED_VALUE"""),"Yes")</f>
        <v>Yes</v>
      </c>
      <c r="S814" s="5" t="str">
        <f ca="1">IFERROR(__xludf.DUMMYFUNCTION("""COMPUTED_VALUE"""),"Yes")</f>
        <v>Yes</v>
      </c>
      <c r="T814" s="5" t="str">
        <f ca="1">IFERROR(__xludf.DUMMYFUNCTION("""COMPUTED_VALUE"""),"No")</f>
        <v>No</v>
      </c>
      <c r="U814" s="5" t="str">
        <f ca="1">IFERROR(__xludf.DUMMYFUNCTION("""COMPUTED_VALUE"""),"No")</f>
        <v>No</v>
      </c>
      <c r="V814" s="5" t="str">
        <f ca="1">IFERROR(__xludf.DUMMYFUNCTION("""COMPUTED_VALUE"""),"No")</f>
        <v>No</v>
      </c>
      <c r="W814" s="5" t="str">
        <f ca="1">IFERROR(__xludf.DUMMYFUNCTION("""COMPUTED_VALUE"""),"No")</f>
        <v>No</v>
      </c>
      <c r="X814" s="5" t="str">
        <f ca="1">IFERROR(__xludf.DUMMYFUNCTION("""COMPUTED_VALUE"""),"No")</f>
        <v>No</v>
      </c>
      <c r="Y814" s="5" t="str">
        <f ca="1">IFERROR(__xludf.DUMMYFUNCTION("""COMPUTED_VALUE"""),"No")</f>
        <v>No</v>
      </c>
      <c r="Z814" s="5" t="str">
        <f ca="1">IFERROR(__xludf.DUMMYFUNCTION("""COMPUTED_VALUE"""),"No")</f>
        <v>No</v>
      </c>
      <c r="AA814" s="5" t="str">
        <f ca="1">IFERROR(__xludf.DUMMYFUNCTION("""COMPUTED_VALUE"""),"Yes")</f>
        <v>Yes</v>
      </c>
      <c r="AB814" s="5" t="str">
        <f ca="1">IFERROR(__xludf.DUMMYFUNCTION("""COMPUTED_VALUE"""),"No")</f>
        <v>No</v>
      </c>
      <c r="AC814" s="5" t="str">
        <f ca="1">IFERROR(__xludf.DUMMYFUNCTION("""COMPUTED_VALUE"""),"No")</f>
        <v>No</v>
      </c>
      <c r="AD814" s="5" t="str">
        <f ca="1">IFERROR(__xludf.DUMMYFUNCTION("""COMPUTED_VALUE"""),"No")</f>
        <v>No</v>
      </c>
      <c r="AE814" s="5" t="str">
        <f ca="1">IFERROR(__xludf.DUMMYFUNCTION("""COMPUTED_VALUE"""),"No")</f>
        <v>No</v>
      </c>
      <c r="AF814" s="5" t="str">
        <f ca="1">IFERROR(__xludf.DUMMYFUNCTION("""COMPUTED_VALUE"""),"Yes")</f>
        <v>Yes</v>
      </c>
      <c r="AG814" s="5" t="str">
        <f ca="1">IFERROR(__xludf.DUMMYFUNCTION("""COMPUTED_VALUE"""),"No")</f>
        <v>No</v>
      </c>
      <c r="AH814" s="5" t="str">
        <f ca="1">IFERROR(__xludf.DUMMYFUNCTION("""COMPUTED_VALUE"""),"Yes")</f>
        <v>Yes</v>
      </c>
      <c r="AI814" s="5" t="str">
        <f ca="1">IFERROR(__xludf.DUMMYFUNCTION("""COMPUTED_VALUE"""),"No")</f>
        <v>No</v>
      </c>
      <c r="AJ814" s="5" t="str">
        <f ca="1">IFERROR(__xludf.DUMMYFUNCTION("""COMPUTED_VALUE"""),"No")</f>
        <v>No</v>
      </c>
      <c r="AK814" s="5" t="str">
        <f ca="1">IFERROR(__xludf.DUMMYFUNCTION("""COMPUTED_VALUE"""),"No")</f>
        <v>No</v>
      </c>
      <c r="AL814" s="5" t="str">
        <f ca="1">IFERROR(__xludf.DUMMYFUNCTION("""COMPUTED_VALUE"""),"No")</f>
        <v>No</v>
      </c>
      <c r="AM814" s="5"/>
      <c r="AN814" s="5"/>
      <c r="AO814" s="5"/>
      <c r="AP814" s="5"/>
      <c r="AQ814" s="5"/>
      <c r="AR814" s="5"/>
      <c r="AS814" s="5"/>
      <c r="AT814" s="5"/>
      <c r="AU814" s="5"/>
      <c r="AV814" s="5"/>
      <c r="AW814" s="5"/>
      <c r="AX814" s="5"/>
      <c r="AY814" s="5"/>
    </row>
    <row r="815" spans="1:51" x14ac:dyDescent="0.2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row>
    <row r="816" spans="1:51" x14ac:dyDescent="0.2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row>
    <row r="817" spans="2:51" x14ac:dyDescent="0.2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row>
    <row r="818" spans="2:51" x14ac:dyDescent="0.2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row>
    <row r="819" spans="2:51" x14ac:dyDescent="0.2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row>
    <row r="820" spans="2:51" x14ac:dyDescent="0.2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row>
    <row r="821" spans="2:51" x14ac:dyDescent="0.2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row>
    <row r="822" spans="2:51" x14ac:dyDescent="0.2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row>
    <row r="823" spans="2:51" x14ac:dyDescent="0.2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row>
    <row r="824" spans="2:51" x14ac:dyDescent="0.2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row>
    <row r="825" spans="2:51" x14ac:dyDescent="0.2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row>
    <row r="826" spans="2:51" x14ac:dyDescent="0.2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row>
    <row r="827" spans="2:51" x14ac:dyDescent="0.2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row>
    <row r="828" spans="2:51" x14ac:dyDescent="0.2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row>
    <row r="829" spans="2:51" x14ac:dyDescent="0.2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row>
    <row r="830" spans="2:51" x14ac:dyDescent="0.2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row>
    <row r="831" spans="2:51" x14ac:dyDescent="0.2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row>
    <row r="832" spans="2:51" x14ac:dyDescent="0.2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row>
    <row r="833" spans="2:51" x14ac:dyDescent="0.2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row>
    <row r="834" spans="2:51" x14ac:dyDescent="0.2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row>
    <row r="835" spans="2:51" x14ac:dyDescent="0.2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row>
    <row r="836" spans="2:51" x14ac:dyDescent="0.2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row>
    <row r="837" spans="2:51" x14ac:dyDescent="0.2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row>
    <row r="838" spans="2:51" x14ac:dyDescent="0.2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row>
    <row r="839" spans="2:51" x14ac:dyDescent="0.2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row>
    <row r="840" spans="2:51" x14ac:dyDescent="0.2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row>
    <row r="841" spans="2:51" x14ac:dyDescent="0.2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row>
    <row r="842" spans="2:51" x14ac:dyDescent="0.2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row>
    <row r="843" spans="2:51" x14ac:dyDescent="0.2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row>
    <row r="844" spans="2:51" x14ac:dyDescent="0.2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row>
    <row r="845" spans="2:51" x14ac:dyDescent="0.2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row>
    <row r="846" spans="2:51" x14ac:dyDescent="0.2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row>
    <row r="847" spans="2:51" x14ac:dyDescent="0.2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row>
    <row r="848" spans="2:51" x14ac:dyDescent="0.2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row>
    <row r="849" spans="2:51" x14ac:dyDescent="0.2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row>
    <row r="850" spans="2:51" x14ac:dyDescent="0.2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row>
    <row r="851" spans="2:51" x14ac:dyDescent="0.2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row>
    <row r="852" spans="2:51" x14ac:dyDescent="0.2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row>
    <row r="853" spans="2:51" x14ac:dyDescent="0.2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row>
    <row r="854" spans="2:51" x14ac:dyDescent="0.2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row>
    <row r="855" spans="2:51" x14ac:dyDescent="0.2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row>
    <row r="856" spans="2:51" x14ac:dyDescent="0.2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row>
    <row r="857" spans="2:51" x14ac:dyDescent="0.2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row>
    <row r="858" spans="2:51" x14ac:dyDescent="0.2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row>
    <row r="859" spans="2:51" x14ac:dyDescent="0.2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row>
    <row r="860" spans="2:51" x14ac:dyDescent="0.2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row>
    <row r="861" spans="2:51" x14ac:dyDescent="0.2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row>
    <row r="862" spans="2:51" x14ac:dyDescent="0.2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row>
    <row r="863" spans="2:51" x14ac:dyDescent="0.2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row>
    <row r="864" spans="2:51" x14ac:dyDescent="0.2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row>
    <row r="865" spans="2:51" x14ac:dyDescent="0.2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row>
    <row r="866" spans="2:51" x14ac:dyDescent="0.2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row>
    <row r="867" spans="2:51" x14ac:dyDescent="0.2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row>
    <row r="868" spans="2:51" x14ac:dyDescent="0.2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row>
    <row r="869" spans="2:51" x14ac:dyDescent="0.2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row>
    <row r="870" spans="2:51" x14ac:dyDescent="0.2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row>
    <row r="871" spans="2:51" x14ac:dyDescent="0.2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row>
    <row r="872" spans="2:51" x14ac:dyDescent="0.2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row>
    <row r="873" spans="2:51" x14ac:dyDescent="0.2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row>
    <row r="874" spans="2:51" x14ac:dyDescent="0.2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row>
    <row r="875" spans="2:51" x14ac:dyDescent="0.2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row>
    <row r="876" spans="2:51" x14ac:dyDescent="0.2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row>
    <row r="877" spans="2:51" x14ac:dyDescent="0.2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row>
    <row r="878" spans="2:51" x14ac:dyDescent="0.2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row>
    <row r="879" spans="2:51" x14ac:dyDescent="0.2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row>
    <row r="880" spans="2:51" x14ac:dyDescent="0.2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row>
    <row r="881" spans="2:51" x14ac:dyDescent="0.2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row>
    <row r="882" spans="2:51" x14ac:dyDescent="0.2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row>
    <row r="883" spans="2:51" x14ac:dyDescent="0.2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row>
    <row r="884" spans="2:51" x14ac:dyDescent="0.2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row>
    <row r="885" spans="2:51" x14ac:dyDescent="0.2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row>
    <row r="886" spans="2:51" x14ac:dyDescent="0.2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row>
    <row r="887" spans="2:51" x14ac:dyDescent="0.2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row>
    <row r="888" spans="2:51" x14ac:dyDescent="0.2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row>
    <row r="889" spans="2:51" x14ac:dyDescent="0.2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row>
    <row r="890" spans="2:51" x14ac:dyDescent="0.2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row>
    <row r="891" spans="2:51" x14ac:dyDescent="0.2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row>
    <row r="892" spans="2:51" x14ac:dyDescent="0.2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row>
    <row r="893" spans="2:51" x14ac:dyDescent="0.2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row>
    <row r="894" spans="2:51" x14ac:dyDescent="0.2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row>
    <row r="895" spans="2:51" x14ac:dyDescent="0.2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row>
    <row r="896" spans="2:51" x14ac:dyDescent="0.2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row>
    <row r="897" spans="2:51" x14ac:dyDescent="0.2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row>
    <row r="898" spans="2:51" x14ac:dyDescent="0.2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row>
    <row r="899" spans="2:51" x14ac:dyDescent="0.2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row>
    <row r="900" spans="2:51" x14ac:dyDescent="0.2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row>
    <row r="901" spans="2:51" x14ac:dyDescent="0.2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row>
    <row r="902" spans="2:51" x14ac:dyDescent="0.2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row>
    <row r="903" spans="2:51" x14ac:dyDescent="0.2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row>
    <row r="904" spans="2:51" x14ac:dyDescent="0.2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row>
    <row r="905" spans="2:51" x14ac:dyDescent="0.2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row>
    <row r="906" spans="2:51" x14ac:dyDescent="0.2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row>
    <row r="907" spans="2:51" x14ac:dyDescent="0.2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row>
    <row r="908" spans="2:51" x14ac:dyDescent="0.2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row>
    <row r="909" spans="2:51" x14ac:dyDescent="0.2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row>
    <row r="910" spans="2:51" x14ac:dyDescent="0.2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row>
    <row r="911" spans="2:51" x14ac:dyDescent="0.2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row>
    <row r="912" spans="2:51" x14ac:dyDescent="0.2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row>
    <row r="913" spans="2:51" x14ac:dyDescent="0.2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row>
    <row r="914" spans="2:51" x14ac:dyDescent="0.2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row>
    <row r="915" spans="2:51" x14ac:dyDescent="0.2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row>
    <row r="916" spans="2:51" x14ac:dyDescent="0.2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row>
    <row r="917" spans="2:51" x14ac:dyDescent="0.2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row>
    <row r="918" spans="2:51" x14ac:dyDescent="0.2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row>
    <row r="919" spans="2:51" x14ac:dyDescent="0.2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row>
    <row r="920" spans="2:51" x14ac:dyDescent="0.2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row>
    <row r="921" spans="2:51" x14ac:dyDescent="0.2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row>
    <row r="922" spans="2:51" x14ac:dyDescent="0.2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row>
    <row r="923" spans="2:51" x14ac:dyDescent="0.2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row>
    <row r="924" spans="2:51" x14ac:dyDescent="0.2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row>
    <row r="925" spans="2:51" x14ac:dyDescent="0.2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row>
    <row r="926" spans="2:51" x14ac:dyDescent="0.2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row>
    <row r="927" spans="2:51" x14ac:dyDescent="0.2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row>
    <row r="928" spans="2:51" x14ac:dyDescent="0.2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row>
    <row r="929" spans="2:51" x14ac:dyDescent="0.2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row>
    <row r="930" spans="2:51" x14ac:dyDescent="0.2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row>
    <row r="931" spans="2:51" x14ac:dyDescent="0.2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row>
    <row r="932" spans="2:51" x14ac:dyDescent="0.2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row>
    <row r="933" spans="2:51" x14ac:dyDescent="0.2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row>
    <row r="934" spans="2:51" x14ac:dyDescent="0.2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row>
    <row r="935" spans="2:51" x14ac:dyDescent="0.2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row>
    <row r="936" spans="2:51" x14ac:dyDescent="0.2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row>
    <row r="937" spans="2:51" x14ac:dyDescent="0.2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row>
    <row r="938" spans="2:51" x14ac:dyDescent="0.2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row>
    <row r="939" spans="2:51" x14ac:dyDescent="0.2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row>
    <row r="940" spans="2:51" x14ac:dyDescent="0.2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row>
    <row r="941" spans="2:51" x14ac:dyDescent="0.2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row>
    <row r="942" spans="2:51" x14ac:dyDescent="0.2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row>
    <row r="943" spans="2:51" x14ac:dyDescent="0.2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row>
    <row r="944" spans="2:51" x14ac:dyDescent="0.2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row>
    <row r="945" spans="2:51" x14ac:dyDescent="0.2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row>
    <row r="946" spans="2:51" x14ac:dyDescent="0.2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row>
    <row r="947" spans="2:51" x14ac:dyDescent="0.2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row>
    <row r="948" spans="2:51" x14ac:dyDescent="0.2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row>
    <row r="949" spans="2:51" x14ac:dyDescent="0.2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row>
    <row r="950" spans="2:51" x14ac:dyDescent="0.2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row>
    <row r="951" spans="2:51" x14ac:dyDescent="0.2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row>
    <row r="952" spans="2:51" x14ac:dyDescent="0.2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row>
    <row r="953" spans="2:51" x14ac:dyDescent="0.2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row>
    <row r="954" spans="2:51" x14ac:dyDescent="0.2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row>
    <row r="955" spans="2:51" x14ac:dyDescent="0.2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row>
    <row r="956" spans="2:51" x14ac:dyDescent="0.2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row>
    <row r="957" spans="2:51" x14ac:dyDescent="0.2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row>
    <row r="958" spans="2:51" x14ac:dyDescent="0.2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row>
    <row r="959" spans="2:51" x14ac:dyDescent="0.2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row>
    <row r="960" spans="2:51" x14ac:dyDescent="0.2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row>
    <row r="961" spans="2:51" x14ac:dyDescent="0.2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row>
    <row r="962" spans="2:51" x14ac:dyDescent="0.2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row>
    <row r="963" spans="2:51" x14ac:dyDescent="0.2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row>
    <row r="964" spans="2:51" x14ac:dyDescent="0.2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row>
    <row r="965" spans="2:51" x14ac:dyDescent="0.2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row>
    <row r="966" spans="2:51" x14ac:dyDescent="0.2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row>
    <row r="967" spans="2:51" x14ac:dyDescent="0.2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row>
    <row r="968" spans="2:51" x14ac:dyDescent="0.2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row>
    <row r="969" spans="2:51" x14ac:dyDescent="0.2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row>
    <row r="970" spans="2:51" x14ac:dyDescent="0.2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row>
    <row r="971" spans="2:51" x14ac:dyDescent="0.2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row>
    <row r="972" spans="2:51" x14ac:dyDescent="0.2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row>
    <row r="973" spans="2:51" x14ac:dyDescent="0.2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row>
    <row r="974" spans="2:51" x14ac:dyDescent="0.2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row>
    <row r="975" spans="2:51" x14ac:dyDescent="0.2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row>
    <row r="976" spans="2:51" x14ac:dyDescent="0.2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row>
    <row r="977" spans="2:51" x14ac:dyDescent="0.2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row>
    <row r="978" spans="2:51" x14ac:dyDescent="0.2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row>
    <row r="979" spans="2:51" x14ac:dyDescent="0.2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row>
    <row r="980" spans="2:51" x14ac:dyDescent="0.2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row>
    <row r="981" spans="2:51" x14ac:dyDescent="0.2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row>
    <row r="982" spans="2:51" x14ac:dyDescent="0.2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row>
    <row r="983" spans="2:51" x14ac:dyDescent="0.2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row>
    <row r="984" spans="2:51" x14ac:dyDescent="0.2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row>
    <row r="985" spans="2:51" x14ac:dyDescent="0.2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row>
    <row r="986" spans="2:51" x14ac:dyDescent="0.2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row>
    <row r="987" spans="2:51" x14ac:dyDescent="0.2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row>
    <row r="988" spans="2:51" x14ac:dyDescent="0.2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row>
    <row r="989" spans="2:51" x14ac:dyDescent="0.2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row>
    <row r="990" spans="2:51" x14ac:dyDescent="0.2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row>
    <row r="991" spans="2:51" x14ac:dyDescent="0.2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row>
    <row r="992" spans="2:51" x14ac:dyDescent="0.2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row>
    <row r="993" spans="2:51" x14ac:dyDescent="0.2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row>
    <row r="994" spans="2:51" x14ac:dyDescent="0.2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row>
    <row r="995" spans="2:51" x14ac:dyDescent="0.2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row>
    <row r="996" spans="2:51" x14ac:dyDescent="0.2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row>
    <row r="997" spans="2:51" x14ac:dyDescent="0.2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row>
    <row r="998" spans="2:51" x14ac:dyDescent="0.2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row>
    <row r="999" spans="2:51" x14ac:dyDescent="0.2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row>
    <row r="1000" spans="2:51" x14ac:dyDescent="0.2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BE1000"/>
  <sheetViews>
    <sheetView workbookViewId="0"/>
  </sheetViews>
  <sheetFormatPr defaultColWidth="12.6640625" defaultRowHeight="15.75" customHeight="1" x14ac:dyDescent="0.25"/>
  <cols>
    <col min="55" max="55" width="18.109375" customWidth="1"/>
  </cols>
  <sheetData>
    <row r="1" spans="1:57" x14ac:dyDescent="0.25">
      <c r="A1" s="5" t="str">
        <f ca="1">IFERROR(__xludf.DUMMYFUNCTION("IMPORTRANGE(""1G-EdsaEa0dkMkYpa8dYlgC9oTAomyN6JSY3z9qBegX4"", ""Games!A:DZ"")"),"#")</f>
        <v>#</v>
      </c>
      <c r="B1" s="5" t="str">
        <f ca="1">IFERROR(__xludf.DUMMYFUNCTION("""COMPUTED_VALUE"""),"ID")</f>
        <v>ID</v>
      </c>
      <c r="C1" s="5" t="str">
        <f ca="1">IFERROR(__xludf.DUMMYFUNCTION("""COMPUTED_VALUE"""),"GameStudio")</f>
        <v>GameStudio</v>
      </c>
      <c r="D1" s="5" t="str">
        <f ca="1">IFERROR(__xludf.DUMMYFUNCTION("""COMPUTED_VALUE"""),"GameName")</f>
        <v>GameName</v>
      </c>
      <c r="E1" s="5" t="str">
        <f ca="1">IFERROR(__xludf.DUMMYFUNCTION("""COMPUTED_VALUE"""),"Owner")</f>
        <v>Owner</v>
      </c>
      <c r="F1" s="5" t="str">
        <f ca="1">IFERROR(__xludf.DUMMYFUNCTION("""COMPUTED_VALUE"""),"GameID")</f>
        <v>GameID</v>
      </c>
      <c r="G1" s="5" t="str">
        <f ca="1">IFERROR(__xludf.DUMMYFUNCTION("""COMPUTED_VALUE"""),"GameStatusID")</f>
        <v>GameStatusID</v>
      </c>
      <c r="H1" s="5" t="str">
        <f ca="1">IFERROR(__xludf.DUMMYFUNCTION("""COMPUTED_VALUE"""),"BrandedGame")</f>
        <v>BrandedGame</v>
      </c>
      <c r="I1" s="5" t="str">
        <f ca="1">IFERROR(__xludf.DUMMYFUNCTION("""COMPUTED_VALUE"""),"EngineID")</f>
        <v>EngineID</v>
      </c>
      <c r="J1" s="5" t="str">
        <f ca="1">IFERROR(__xludf.DUMMYFUNCTION("""COMPUTED_VALUE"""),"ProtocolID")</f>
        <v>ProtocolID</v>
      </c>
      <c r="K1" s="5" t="str">
        <f ca="1">IFERROR(__xludf.DUMMYFUNCTION("""COMPUTED_VALUE"""),"GameCategoryID")</f>
        <v>GameCategoryID</v>
      </c>
      <c r="L1" s="5" t="str">
        <f ca="1">IFERROR(__xludf.DUMMYFUNCTION("""COMPUTED_VALUE"""),"GameType")</f>
        <v>GameType</v>
      </c>
      <c r="M1" s="5" t="str">
        <f ca="1">IFERROR(__xludf.DUMMYFUNCTION("""COMPUTED_VALUE"""),"OriginalGame")</f>
        <v>OriginalGame</v>
      </c>
      <c r="N1" s="5" t="str">
        <f ca="1">IFERROR(__xludf.DUMMYFUNCTION("""COMPUTED_VALUE"""),"GameSheet")</f>
        <v>GameSheet</v>
      </c>
      <c r="O1" s="5" t="str">
        <f ca="1">IFERROR(__xludf.DUMMYFUNCTION("""COMPUTED_VALUE"""),"GameRules")</f>
        <v>GameRules</v>
      </c>
      <c r="P1" s="5" t="str">
        <f ca="1">IFERROR(__xludf.DUMMYFUNCTION("""COMPUTED_VALUE"""),"GameSize")</f>
        <v>GameSize</v>
      </c>
      <c r="Q1" s="5" t="str">
        <f ca="1">IFERROR(__xludf.DUMMYFUNCTION("""COMPUTED_VALUE"""),"Deployment date")</f>
        <v>Deployment date</v>
      </c>
      <c r="R1" s="5" t="str">
        <f ca="1">IFERROR(__xludf.DUMMYFUNCTION("""COMPUTED_VALUE"""),"Marketing date")</f>
        <v>Marketing date</v>
      </c>
      <c r="S1" s="5" t="str">
        <f ca="1">IFERROR(__xludf.DUMMYFUNCTION("""COMPUTED_VALUE"""),"ReleaseDate")</f>
        <v>ReleaseDate</v>
      </c>
      <c r="T1" s="5" t="str">
        <f ca="1">IFERROR(__xludf.DUMMYFUNCTION("""COMPUTED_VALUE"""),"ReleaseConfirmed")</f>
        <v>ReleaseConfirmed</v>
      </c>
      <c r="U1" s="5" t="str">
        <f ca="1">IFERROR(__xludf.DUMMYFUNCTION("""COMPUTED_VALUE"""),"ReelsAndRows")</f>
        <v>ReelsAndRows</v>
      </c>
      <c r="V1" s="12" t="str">
        <f ca="1">IFERROR(__xludf.DUMMYFUNCTION("""COMPUTED_VALUE"""),"Paylines")</f>
        <v>Paylines</v>
      </c>
      <c r="W1" s="12" t="str">
        <f ca="1">IFERROR(__xludf.DUMMYFUNCTION("""COMPUTED_VALUE"""),"PayableLines")</f>
        <v>PayableLines</v>
      </c>
      <c r="X1" s="13" t="str">
        <f ca="1">IFERROR(__xludf.DUMMYFUNCTION("""COMPUTED_VALUE"""),"RTP")</f>
        <v>RTP</v>
      </c>
      <c r="Y1" s="5" t="str">
        <f ca="1">IFERROR(__xludf.DUMMYFUNCTION("""COMPUTED_VALUE"""),"VolatilityID")</f>
        <v>VolatilityID</v>
      </c>
      <c r="Z1" s="14" t="str">
        <f ca="1">IFERROR(__xludf.DUMMYFUNCTION("""COMPUTED_VALUE"""),"HitFrequency")</f>
        <v>HitFrequency</v>
      </c>
      <c r="AA1" s="14" t="str">
        <f ca="1">IFERROR(__xludf.DUMMYFUNCTION("""COMPUTED_VALUE"""),"MaxExposure")</f>
        <v>MaxExposure</v>
      </c>
      <c r="AB1" s="5" t="str">
        <f ca="1">IFERROR(__xludf.DUMMYFUNCTION("""COMPUTED_VALUE"""),"FeatureFrequency")</f>
        <v>FeatureFrequency</v>
      </c>
      <c r="AC1" s="5" t="str">
        <f ca="1">IFERROR(__xludf.DUMMYFUNCTION("""COMPUTED_VALUE"""),"Features")</f>
        <v>Features</v>
      </c>
      <c r="AD1" s="5" t="str">
        <f ca="1">IFERROR(__xludf.DUMMYFUNCTION("""COMPUTED_VALUE"""),"MinAndMaxBet")</f>
        <v>MinAndMaxBet</v>
      </c>
      <c r="AE1" s="5" t="str">
        <f ca="1">IFERROR(__xludf.DUMMYFUNCTION("""COMPUTED_VALUE"""),"Created")</f>
        <v>Created</v>
      </c>
      <c r="AF1" s="5" t="str">
        <f ca="1">IFERROR(__xludf.DUMMYFUNCTION("""COMPUTED_VALUE"""),"CreatedBy")</f>
        <v>CreatedBy</v>
      </c>
      <c r="AG1" s="5" t="str">
        <f ca="1">IFERROR(__xludf.DUMMYFUNCTION("""COMPUTED_VALUE"""),"LastUpdated")</f>
        <v>LastUpdated</v>
      </c>
      <c r="AH1" s="5" t="str">
        <f ca="1">IFERROR(__xludf.DUMMYFUNCTION("""COMPUTED_VALUE"""),"LastUpdatedBy")</f>
        <v>LastUpdatedBy</v>
      </c>
      <c r="AI1" s="5" t="str">
        <f ca="1">IFERROR(__xludf.DUMMYFUNCTION("""COMPUTED_VALUE"""),"Pre-ReleaseDate")</f>
        <v>Pre-ReleaseDate</v>
      </c>
      <c r="AJ1" s="5" t="str">
        <f ca="1">IFERROR(__xludf.DUMMYFUNCTION("""COMPUTED_VALUE"""),"Pre-ReleaseClients")</f>
        <v>Pre-ReleaseClients</v>
      </c>
      <c r="AK1" s="5" t="str">
        <f ca="1">IFERROR(__xludf.DUMMYFUNCTION("""COMPUTED_VALUE"""),"RealNumberOfLines")</f>
        <v>RealNumberOfLines</v>
      </c>
      <c r="AL1" s="5" t="str">
        <f ca="1">IFERROR(__xludf.DUMMYFUNCTION("""COMPUTED_VALUE"""),"Jackpot")</f>
        <v>Jackpot</v>
      </c>
      <c r="AM1" s="5" t="str">
        <f ca="1">IFERROR(__xludf.DUMMYFUNCTION("""COMPUTED_VALUE"""),"Respin")</f>
        <v>Respin</v>
      </c>
      <c r="AN1" s="5" t="str">
        <f ca="1">IFERROR(__xludf.DUMMYFUNCTION("""COMPUTED_VALUE"""),"DemoLink")</f>
        <v>DemoLink</v>
      </c>
      <c r="AO1" s="5" t="str">
        <f ca="1">IFERROR(__xludf.DUMMYFUNCTION("""COMPUTED_VALUE"""),"SocialAvailable")</f>
        <v>SocialAvailable</v>
      </c>
      <c r="AP1" s="5" t="str">
        <f ca="1">IFERROR(__xludf.DUMMYFUNCTION("""COMPUTED_VALUE"""),"FreeRounds")</f>
        <v>FreeRounds</v>
      </c>
      <c r="AQ1" s="5" t="str">
        <f ca="1">IFERROR(__xludf.DUMMYFUNCTION("""COMPUTED_VALUE"""),"ClientAreaActive")</f>
        <v>ClientAreaActive</v>
      </c>
      <c r="AR1" s="5" t="str">
        <f ca="1">IFERROR(__xludf.DUMMYFUNCTION("""COMPUTED_VALUE"""),"Branded")</f>
        <v>Branded</v>
      </c>
      <c r="AS1" s="5" t="str">
        <f ca="1">IFERROR(__xludf.DUMMYFUNCTION("""COMPUTED_VALUE"""),"PromoText")</f>
        <v>PromoText</v>
      </c>
      <c r="AT1" s="5" t="str">
        <f ca="1">IFERROR(__xludf.DUMMYFUNCTION("""COMPUTED_VALUE"""),"FreeRoundsTesting")</f>
        <v>FreeRoundsTesting</v>
      </c>
      <c r="AU1" s="5" t="str">
        <f ca="1">IFERROR(__xludf.DUMMYFUNCTION("""COMPUTED_VALUE"""),"MathAPI")</f>
        <v>MathAPI</v>
      </c>
      <c r="AV1" s="5" t="str">
        <f ca="1">IFERROR(__xludf.DUMMYFUNCTION("""COMPUTED_VALUE"""),"BetDivisibleWith")</f>
        <v>BetDivisibleWith</v>
      </c>
      <c r="AW1" s="5" t="str">
        <f ca="1">IFERROR(__xludf.DUMMYFUNCTION("""COMPUTED_VALUE"""),"FreeRoundsComment")</f>
        <v>FreeRoundsComment</v>
      </c>
      <c r="AX1" s="5" t="str">
        <f ca="1">IFERROR(__xludf.DUMMYFUNCTION("""COMPUTED_VALUE"""),"StageingDate")</f>
        <v>StageingDate</v>
      </c>
      <c r="AY1" s="5" t="str">
        <f ca="1">IFERROR(__xludf.DUMMYFUNCTION("""COMPUTED_VALUE"""),"VariableRTP")</f>
        <v>VariableRTP</v>
      </c>
      <c r="AZ1" s="5" t="str">
        <f ca="1">IFERROR(__xludf.DUMMYFUNCTION("""COMPUTED_VALUE"""),"URL")</f>
        <v>URL</v>
      </c>
      <c r="BA1" s="5" t="str">
        <f ca="1">IFERROR(__xludf.DUMMYFUNCTION("""COMPUTED_VALUE"""),"BuyFeaturePriceXBet")</f>
        <v>BuyFeaturePriceXBet</v>
      </c>
      <c r="BB1" s="5" t="str">
        <f ca="1">IFERROR(__xludf.DUMMYFUNCTION("""COMPUTED_VALUE"""),"GameReady")</f>
        <v>GameReady</v>
      </c>
      <c r="BC1" s="5" t="str">
        <f ca="1">IFERROR(__xludf.DUMMYFUNCTION("""COMPUTED_VALUE"""),"GameStudioFoxi")</f>
        <v>GameStudioFoxi</v>
      </c>
      <c r="BD1" s="5" t="str">
        <f ca="1">IFERROR(__xludf.DUMMYFUNCTION("""COMPUTED_VALUE"""),"DemoLinkFoxi")</f>
        <v>DemoLinkFoxi</v>
      </c>
      <c r="BE1" s="5" t="str">
        <f ca="1">IFERROR(__xludf.DUMMYFUNCTION("""COMPUTED_VALUE"""),"ClientAreaActiveFoxi")</f>
        <v>ClientAreaActiveFoxi</v>
      </c>
    </row>
    <row r="2" spans="1:57" x14ac:dyDescent="0.25">
      <c r="A2" s="5">
        <f ca="1">IFERROR(__xludf.DUMMYFUNCTION("""COMPUTED_VALUE"""),1)</f>
        <v>1</v>
      </c>
      <c r="B2" s="5">
        <f ca="1">IFERROR(__xludf.DUMMYFUNCTION("""COMPUTED_VALUE"""),0)</f>
        <v>0</v>
      </c>
      <c r="C2" s="5" t="str">
        <f ca="1">IFERROR(__xludf.DUMMYFUNCTION("""COMPUTED_VALUE"""),"Fazi")</f>
        <v>Fazi</v>
      </c>
      <c r="D2" s="5" t="str">
        <f ca="1">IFERROR(__xludf.DUMMYFUNCTION("""COMPUTED_VALUE"""),"Postman")</f>
        <v>Postman</v>
      </c>
      <c r="E2" s="5" t="str">
        <f ca="1">IFERROR(__xludf.DUMMYFUNCTION("""COMPUTED_VALUE"""),"V2")</f>
        <v>V2</v>
      </c>
      <c r="F2" s="5" t="str">
        <f ca="1">IFERROR(__xludf.DUMMYFUNCTION("""COMPUTED_VALUE"""),"Postman")</f>
        <v>Postman</v>
      </c>
      <c r="G2" s="5" t="str">
        <f ca="1">IFERROR(__xludf.DUMMYFUNCTION("""COMPUTED_VALUE"""),"Live")</f>
        <v>Live</v>
      </c>
      <c r="H2" s="5"/>
      <c r="I2" s="5" t="str">
        <f ca="1">IFERROR(__xludf.DUMMYFUNCTION("""COMPUTED_VALUE"""),"V2")</f>
        <v>V2</v>
      </c>
      <c r="J2" s="5" t="str">
        <f ca="1">IFERROR(__xludf.DUMMYFUNCTION("""COMPUTED_VALUE"""),"Binary")</f>
        <v>Binary</v>
      </c>
      <c r="K2" s="5" t="str">
        <f ca="1">IFERROR(__xludf.DUMMYFUNCTION("""COMPUTED_VALUE"""),"Slot")</f>
        <v>Slot</v>
      </c>
      <c r="L2" s="5"/>
      <c r="M2" s="5"/>
      <c r="N2" s="5"/>
      <c r="O2" s="5"/>
      <c r="P2" s="14">
        <f ca="1">IFERROR(__xludf.DUMMYFUNCTION("""COMPUTED_VALUE"""),36.2)</f>
        <v>36.200000000000003</v>
      </c>
      <c r="Q2" s="5"/>
      <c r="R2" s="5"/>
      <c r="S2" s="15">
        <f ca="1">IFERROR(__xludf.DUMMYFUNCTION("""COMPUTED_VALUE"""),42948)</f>
        <v>42948</v>
      </c>
      <c r="T2" s="5" t="b">
        <f ca="1">IFERROR(__xludf.DUMMYFUNCTION("""COMPUTED_VALUE"""),TRUE)</f>
        <v>1</v>
      </c>
      <c r="U2" s="5" t="str">
        <f ca="1">IFERROR(__xludf.DUMMYFUNCTION("""COMPUTED_VALUE"""),"5x3")</f>
        <v>5x3</v>
      </c>
      <c r="V2" s="12" t="str">
        <f ca="1">IFERROR(__xludf.DUMMYFUNCTION("""COMPUTED_VALUE"""),"10")</f>
        <v>10</v>
      </c>
      <c r="W2" s="12" t="str">
        <f ca="1">IFERROR(__xludf.DUMMYFUNCTION("""COMPUTED_VALUE"""),"1,3,5,7,10")</f>
        <v>1,3,5,7,10</v>
      </c>
      <c r="X2" s="5">
        <f ca="1">IFERROR(__xludf.DUMMYFUNCTION("""COMPUTED_VALUE"""),82.602)</f>
        <v>82.602000000000004</v>
      </c>
      <c r="Y2" s="5" t="str">
        <f ca="1">IFERROR(__xludf.DUMMYFUNCTION("""COMPUTED_VALUE"""),"High")</f>
        <v>High</v>
      </c>
      <c r="Z2" s="5">
        <f ca="1">IFERROR(__xludf.DUMMYFUNCTION("""COMPUTED_VALUE"""),24.04)</f>
        <v>24.04</v>
      </c>
      <c r="AA2" s="14">
        <f ca="1">IFERROR(__xludf.DUMMYFUNCTION("""COMPUTED_VALUE"""),4368)</f>
        <v>4368</v>
      </c>
      <c r="AB2" s="5">
        <f ca="1">IFERROR(__xludf.DUMMYFUNCTION("""COMPUTED_VALUE"""),305)</f>
        <v>305</v>
      </c>
      <c r="AC2" s="5" t="str">
        <f ca="1">IFERROR(__xludf.DUMMYFUNCTION("""COMPUTED_VALUE"""),"Bonus Game with Multiplier, Wild Multiplier, Scatter")</f>
        <v>Bonus Game with Multiplier, Wild Multiplier, Scatter</v>
      </c>
      <c r="AD2" s="5" t="str">
        <f ca="1">IFERROR(__xludf.DUMMYFUNCTION("""COMPUTED_VALUE"""),"0.01/40")</f>
        <v>0.01/40</v>
      </c>
      <c r="AE2" s="5"/>
      <c r="AF2" s="5"/>
      <c r="AG2" s="16">
        <f ca="1">IFERROR(__xludf.DUMMYFUNCTION("""COMPUTED_VALUE"""),45454.5526273148)</f>
        <v>45454.552627314799</v>
      </c>
      <c r="AH2" s="5" t="str">
        <f ca="1">IFERROR(__xludf.DUMMYFUNCTION("""COMPUTED_VALUE"""),"iva.cirkovic@fazi.rs")</f>
        <v>iva.cirkovic@fazi.rs</v>
      </c>
      <c r="AI2" s="5"/>
      <c r="AJ2" s="5"/>
      <c r="AK2" s="5">
        <f ca="1">IFERROR(__xludf.DUMMYFUNCTION("""COMPUTED_VALUE"""),10)</f>
        <v>10</v>
      </c>
      <c r="AL2" s="5" t="str">
        <f ca="1">IFERROR(__xludf.DUMMYFUNCTION("""COMPUTED_VALUE"""),"Yes")</f>
        <v>Yes</v>
      </c>
      <c r="AM2" s="5"/>
      <c r="AN2" s="7" t="str">
        <f ca="1">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AO2" s="5"/>
      <c r="AP2" s="5"/>
      <c r="AQ2" s="5" t="b">
        <f ca="1">IFERROR(__xludf.DUMMYFUNCTION("""COMPUTED_VALUE"""),TRUE)</f>
        <v>1</v>
      </c>
      <c r="AR2" s="5"/>
      <c r="AS2" s="5" t="str">
        <f ca="1">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AT2" s="5"/>
      <c r="AU2" s="5" t="str">
        <f ca="1">IFERROR(__xludf.DUMMYFUNCTION("""COMPUTED_VALUE"""),"Fazi")</f>
        <v>Fazi</v>
      </c>
      <c r="AV2" s="5"/>
      <c r="AW2" s="5"/>
      <c r="AX2" s="5"/>
      <c r="AY2" s="5"/>
      <c r="AZ2" s="5"/>
      <c r="BA2" s="5" t="str">
        <f ca="1">IFERROR(__xludf.DUMMYFUNCTION("""COMPUTED_VALUE"""),"")</f>
        <v/>
      </c>
      <c r="BB2" s="5"/>
      <c r="BC2" s="5" t="str">
        <f ca="1">IFERROR(__xludf.DUMMYFUNCTION("""COMPUTED_VALUE"""),"Foxi")</f>
        <v>Foxi</v>
      </c>
      <c r="BD2" s="7" t="str">
        <f ca="1">IFERROR(__xludf.DUMMYFUNCTION("""COMPUTED_VALUE"""),"https://gameserver-store-client-area.orbionlimited.com/Home/IntegrationGameLaunch/client-area?moneyType=0&amp;gameName=Postman&amp;platform=desktop&amp;languageCode=eng&amp;currency=EUR")</f>
        <v>https://gameserver-store-client-area.orbionlimited.com/Home/IntegrationGameLaunch/client-area?moneyType=0&amp;gameName=Postman&amp;platform=desktop&amp;languageCode=eng&amp;currency=EUR</v>
      </c>
      <c r="BE2" s="5" t="b">
        <f ca="1">IFERROR(__xludf.DUMMYFUNCTION("""COMPUTED_VALUE"""),TRUE)</f>
        <v>1</v>
      </c>
    </row>
    <row r="3" spans="1:57" x14ac:dyDescent="0.25">
      <c r="A3" s="5">
        <f ca="1">IFERROR(__xludf.DUMMYFUNCTION("""COMPUTED_VALUE"""),2)</f>
        <v>2</v>
      </c>
      <c r="B3" s="5">
        <f ca="1">IFERROR(__xludf.DUMMYFUNCTION("""COMPUTED_VALUE"""),1)</f>
        <v>1</v>
      </c>
      <c r="C3" s="5" t="str">
        <f ca="1">IFERROR(__xludf.DUMMYFUNCTION("""COMPUTED_VALUE"""),"Fazi")</f>
        <v>Fazi</v>
      </c>
      <c r="D3" s="5" t="str">
        <f ca="1">IFERROR(__xludf.DUMMYFUNCTION("""COMPUTED_VALUE"""),"Deep Jungle")</f>
        <v>Deep Jungle</v>
      </c>
      <c r="E3" s="5" t="str">
        <f ca="1">IFERROR(__xludf.DUMMYFUNCTION("""COMPUTED_VALUE"""),"V2")</f>
        <v>V2</v>
      </c>
      <c r="F3" s="5" t="str">
        <f ca="1">IFERROR(__xludf.DUMMYFUNCTION("""COMPUTED_VALUE"""),"DeepJungle")</f>
        <v>DeepJungle</v>
      </c>
      <c r="G3" s="5" t="str">
        <f ca="1">IFERROR(__xludf.DUMMYFUNCTION("""COMPUTED_VALUE"""),"Live")</f>
        <v>Live</v>
      </c>
      <c r="H3" s="5"/>
      <c r="I3" s="5" t="str">
        <f ca="1">IFERROR(__xludf.DUMMYFUNCTION("""COMPUTED_VALUE"""),"V2")</f>
        <v>V2</v>
      </c>
      <c r="J3" s="5" t="str">
        <f ca="1">IFERROR(__xludf.DUMMYFUNCTION("""COMPUTED_VALUE"""),"Binary")</f>
        <v>Binary</v>
      </c>
      <c r="K3" s="5" t="str">
        <f ca="1">IFERROR(__xludf.DUMMYFUNCTION("""COMPUTED_VALUE"""),"Slot")</f>
        <v>Slot</v>
      </c>
      <c r="L3" s="5"/>
      <c r="M3" s="5"/>
      <c r="N3" s="5"/>
      <c r="O3" s="5"/>
      <c r="P3" s="14">
        <f ca="1">IFERROR(__xludf.DUMMYFUNCTION("""COMPUTED_VALUE"""),25.3)</f>
        <v>25.3</v>
      </c>
      <c r="Q3" s="5"/>
      <c r="R3" s="5"/>
      <c r="S3" s="15">
        <f ca="1">IFERROR(__xludf.DUMMYFUNCTION("""COMPUTED_VALUE"""),42767)</f>
        <v>42767</v>
      </c>
      <c r="T3" s="5"/>
      <c r="U3" s="5" t="str">
        <f ca="1">IFERROR(__xludf.DUMMYFUNCTION("""COMPUTED_VALUE"""),"5x3")</f>
        <v>5x3</v>
      </c>
      <c r="V3" s="12" t="str">
        <f ca="1">IFERROR(__xludf.DUMMYFUNCTION("""COMPUTED_VALUE"""),"20")</f>
        <v>20</v>
      </c>
      <c r="W3" s="12" t="str">
        <f ca="1">IFERROR(__xludf.DUMMYFUNCTION("""COMPUTED_VALUE"""),"20")</f>
        <v>20</v>
      </c>
      <c r="X3" s="5">
        <f ca="1">IFERROR(__xludf.DUMMYFUNCTION("""COMPUTED_VALUE"""),96.288)</f>
        <v>96.287999999999997</v>
      </c>
      <c r="Y3" s="5" t="str">
        <f ca="1">IFERROR(__xludf.DUMMYFUNCTION("""COMPUTED_VALUE"""),"Medium")</f>
        <v>Medium</v>
      </c>
      <c r="Z3" s="5">
        <f ca="1">IFERROR(__xludf.DUMMYFUNCTION("""COMPUTED_VALUE"""),22.04)</f>
        <v>22.04</v>
      </c>
      <c r="AA3" s="14">
        <f ca="1">IFERROR(__xludf.DUMMYFUNCTION("""COMPUTED_VALUE"""),1005)</f>
        <v>1005</v>
      </c>
      <c r="AB3" s="5">
        <f ca="1">IFERROR(__xludf.DUMMYFUNCTION("""COMPUTED_VALUE"""),51)</f>
        <v>51</v>
      </c>
      <c r="AC3" s="5" t="str">
        <f ca="1">IFERROR(__xludf.DUMMYFUNCTION("""COMPUTED_VALUE"""),"Scatter, Wild Symbol, Exploding Wild")</f>
        <v>Scatter, Wild Symbol, Exploding Wild</v>
      </c>
      <c r="AD3" s="5" t="str">
        <f ca="1">IFERROR(__xludf.DUMMYFUNCTION("""COMPUTED_VALUE"""),"0.2/50")</f>
        <v>0.2/50</v>
      </c>
      <c r="AE3" s="5"/>
      <c r="AF3" s="5"/>
      <c r="AG3" s="10">
        <f ca="1">IFERROR(__xludf.DUMMYFUNCTION("""COMPUTED_VALUE"""),46055.5046875)</f>
        <v>46055.504687499997</v>
      </c>
      <c r="AH3" s="5" t="str">
        <f ca="1">IFERROR(__xludf.DUMMYFUNCTION("""COMPUTED_VALUE"""),"djordje.jankovic@fazi.rs")</f>
        <v>djordje.jankovic@fazi.rs</v>
      </c>
      <c r="AI3" s="5"/>
      <c r="AJ3" s="5"/>
      <c r="AK3" s="5">
        <f ca="1">IFERROR(__xludf.DUMMYFUNCTION("""COMPUTED_VALUE"""),20)</f>
        <v>20</v>
      </c>
      <c r="AL3" s="5" t="str">
        <f ca="1">IFERROR(__xludf.DUMMYFUNCTION("""COMPUTED_VALUE"""),"Yes")</f>
        <v>Yes</v>
      </c>
      <c r="AM3" s="5"/>
      <c r="AN3" s="7" t="str">
        <f ca="1">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AO3" s="5"/>
      <c r="AP3" s="5"/>
      <c r="AQ3" s="5" t="b">
        <f ca="1">IFERROR(__xludf.DUMMYFUNCTION("""COMPUTED_VALUE"""),TRUE)</f>
        <v>1</v>
      </c>
      <c r="AR3" s="5"/>
      <c r="AS3" s="5" t="str">
        <f ca="1">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AT3" s="5"/>
      <c r="AU3" s="5" t="str">
        <f ca="1">IFERROR(__xludf.DUMMYFUNCTION("""COMPUTED_VALUE"""),"Fazi")</f>
        <v>Fazi</v>
      </c>
      <c r="AV3" s="5"/>
      <c r="AW3" s="5"/>
      <c r="AX3" s="5"/>
      <c r="AY3" s="5"/>
      <c r="AZ3" s="7" t="str">
        <f ca="1">IFERROR(__xludf.DUMMYFUNCTION("""COMPUTED_VALUE"""),"https://drive.google.com/drive/folders/1eAhqfN9MTsssPa1gNwX2PQPL_WHWv2MA")</f>
        <v>https://drive.google.com/drive/folders/1eAhqfN9MTsssPa1gNwX2PQPL_WHWv2MA</v>
      </c>
      <c r="BA3" s="5" t="str">
        <f ca="1">IFERROR(__xludf.DUMMYFUNCTION("""COMPUTED_VALUE"""),"")</f>
        <v/>
      </c>
      <c r="BB3" s="5"/>
      <c r="BC3" s="5" t="str">
        <f ca="1">IFERROR(__xludf.DUMMYFUNCTION("""COMPUTED_VALUE"""),"Foxi")</f>
        <v>Foxi</v>
      </c>
      <c r="BD3" s="7" t="str">
        <f ca="1">IFERROR(__xludf.DUMMYFUNCTION("""COMPUTED_VALUE"""),"https://gameserver-store-client-area.orbionlimited.com/Home/IntegrationGameLaunch/client-area?moneyType=0&amp;gameName=DeepJungle&amp;platform=desktop&amp;languageCode=eng&amp;currency=EUR")</f>
        <v>https://gameserver-store-client-area.orbionlimited.com/Home/IntegrationGameLaunch/client-area?moneyType=0&amp;gameName=DeepJungle&amp;platform=desktop&amp;languageCode=eng&amp;currency=EUR</v>
      </c>
      <c r="BE3" s="5" t="b">
        <f ca="1">IFERROR(__xludf.DUMMYFUNCTION("""COMPUTED_VALUE"""),TRUE)</f>
        <v>1</v>
      </c>
    </row>
    <row r="4" spans="1:57" x14ac:dyDescent="0.25">
      <c r="A4" s="5">
        <f ca="1">IFERROR(__xludf.DUMMYFUNCTION("""COMPUTED_VALUE"""),3)</f>
        <v>3</v>
      </c>
      <c r="B4" s="5">
        <f ca="1">IFERROR(__xludf.DUMMYFUNCTION("""COMPUTED_VALUE"""),2)</f>
        <v>2</v>
      </c>
      <c r="C4" s="5" t="str">
        <f ca="1">IFERROR(__xludf.DUMMYFUNCTION("""COMPUTED_VALUE"""),"Fazi")</f>
        <v>Fazi</v>
      </c>
      <c r="D4" s="5" t="str">
        <f ca="1">IFERROR(__xludf.DUMMYFUNCTION("""COMPUTED_VALUE"""),"Wizard")</f>
        <v>Wizard</v>
      </c>
      <c r="E4" s="5" t="str">
        <f ca="1">IFERROR(__xludf.DUMMYFUNCTION("""COMPUTED_VALUE"""),"V2")</f>
        <v>V2</v>
      </c>
      <c r="F4" s="5" t="str">
        <f ca="1">IFERROR(__xludf.DUMMYFUNCTION("""COMPUTED_VALUE"""),"Wizard")</f>
        <v>Wizard</v>
      </c>
      <c r="G4" s="5" t="str">
        <f ca="1">IFERROR(__xludf.DUMMYFUNCTION("""COMPUTED_VALUE"""),"Live")</f>
        <v>Live</v>
      </c>
      <c r="H4" s="5"/>
      <c r="I4" s="5" t="str">
        <f ca="1">IFERROR(__xludf.DUMMYFUNCTION("""COMPUTED_VALUE"""),"V2")</f>
        <v>V2</v>
      </c>
      <c r="J4" s="5" t="str">
        <f ca="1">IFERROR(__xludf.DUMMYFUNCTION("""COMPUTED_VALUE"""),"Binary")</f>
        <v>Binary</v>
      </c>
      <c r="K4" s="5" t="str">
        <f ca="1">IFERROR(__xludf.DUMMYFUNCTION("""COMPUTED_VALUE"""),"Slot")</f>
        <v>Slot</v>
      </c>
      <c r="L4" s="5"/>
      <c r="M4" s="5"/>
      <c r="N4" s="5"/>
      <c r="O4" s="5"/>
      <c r="P4" s="14">
        <f ca="1">IFERROR(__xludf.DUMMYFUNCTION("""COMPUTED_VALUE"""),29.8)</f>
        <v>29.8</v>
      </c>
      <c r="Q4" s="5"/>
      <c r="R4" s="5"/>
      <c r="S4" s="15">
        <f ca="1">IFERROR(__xludf.DUMMYFUNCTION("""COMPUTED_VALUE"""),43040)</f>
        <v>43040</v>
      </c>
      <c r="T4" s="5" t="b">
        <f ca="1">IFERROR(__xludf.DUMMYFUNCTION("""COMPUTED_VALUE"""),TRUE)</f>
        <v>1</v>
      </c>
      <c r="U4" s="5" t="str">
        <f ca="1">IFERROR(__xludf.DUMMYFUNCTION("""COMPUTED_VALUE"""),"5x3")</f>
        <v>5x3</v>
      </c>
      <c r="V4" s="12" t="str">
        <f ca="1">IFERROR(__xludf.DUMMYFUNCTION("""COMPUTED_VALUE"""),"20")</f>
        <v>20</v>
      </c>
      <c r="W4" s="12" t="str">
        <f ca="1">IFERROR(__xludf.DUMMYFUNCTION("""COMPUTED_VALUE"""),"1,3,5,7,9,10,20")</f>
        <v>1,3,5,7,9,10,20</v>
      </c>
      <c r="X4" s="5">
        <f ca="1">IFERROR(__xludf.DUMMYFUNCTION("""COMPUTED_VALUE"""),96.087)</f>
        <v>96.087000000000003</v>
      </c>
      <c r="Y4" s="5" t="str">
        <f ca="1">IFERROR(__xludf.DUMMYFUNCTION("""COMPUTED_VALUE"""),"High")</f>
        <v>High</v>
      </c>
      <c r="Z4" s="5">
        <f ca="1">IFERROR(__xludf.DUMMYFUNCTION("""COMPUTED_VALUE"""),38.06)</f>
        <v>38.06</v>
      </c>
      <c r="AA4" s="14">
        <f ca="1">IFERROR(__xludf.DUMMYFUNCTION("""COMPUTED_VALUE"""),3428)</f>
        <v>3428</v>
      </c>
      <c r="AB4" s="5">
        <f ca="1">IFERROR(__xludf.DUMMYFUNCTION("""COMPUTED_VALUE"""),261)</f>
        <v>261</v>
      </c>
      <c r="AC4" s="5" t="str">
        <f ca="1">IFERROR(__xludf.DUMMYFUNCTION("""COMPUTED_VALUE"""),"Bonus Game with Multiplier, Wild Multiplier, Scatter")</f>
        <v>Bonus Game with Multiplier, Wild Multiplier, Scatter</v>
      </c>
      <c r="AD4" s="5" t="str">
        <f ca="1">IFERROR(__xludf.DUMMYFUNCTION("""COMPUTED_VALUE"""),"0.20/50")</f>
        <v>0.20/50</v>
      </c>
      <c r="AE4" s="5"/>
      <c r="AF4" s="5"/>
      <c r="AG4" s="10">
        <f ca="1">IFERROR(__xludf.DUMMYFUNCTION("""COMPUTED_VALUE"""),46099.7036921296)</f>
        <v>46099.703692129602</v>
      </c>
      <c r="AH4" s="5" t="str">
        <f ca="1">IFERROR(__xludf.DUMMYFUNCTION("""COMPUTED_VALUE"""),"iva.cirkovic@fazi.rs")</f>
        <v>iva.cirkovic@fazi.rs</v>
      </c>
      <c r="AI4" s="5"/>
      <c r="AJ4" s="5"/>
      <c r="AK4" s="5">
        <f ca="1">IFERROR(__xludf.DUMMYFUNCTION("""COMPUTED_VALUE"""),20)</f>
        <v>20</v>
      </c>
      <c r="AL4" s="5" t="str">
        <f ca="1">IFERROR(__xludf.DUMMYFUNCTION("""COMPUTED_VALUE"""),"Yes")</f>
        <v>Yes</v>
      </c>
      <c r="AM4" s="5"/>
      <c r="AN4" s="7" t="str">
        <f ca="1">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AO4" s="5"/>
      <c r="AP4" s="5"/>
      <c r="AQ4" s="5" t="b">
        <f ca="1">IFERROR(__xludf.DUMMYFUNCTION("""COMPUTED_VALUE"""),TRUE)</f>
        <v>1</v>
      </c>
      <c r="AR4" s="5"/>
      <c r="AS4" s="5" t="str">
        <f ca="1">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AT4" s="5"/>
      <c r="AU4" s="5" t="str">
        <f ca="1">IFERROR(__xludf.DUMMYFUNCTION("""COMPUTED_VALUE"""),"Fazi")</f>
        <v>Fazi</v>
      </c>
      <c r="AV4" s="5"/>
      <c r="AW4" s="5"/>
      <c r="AX4" s="5"/>
      <c r="AY4" s="5"/>
      <c r="AZ4" s="7" t="str">
        <f ca="1">IFERROR(__xludf.DUMMYFUNCTION("""COMPUTED_VALUE"""),"https://drive.google.com/drive/folders/1q7qLsDD3MeXJAtJq5qGDM--q3a9mnJVA")</f>
        <v>https://drive.google.com/drive/folders/1q7qLsDD3MeXJAtJq5qGDM--q3a9mnJVA</v>
      </c>
      <c r="BA4" s="5" t="str">
        <f ca="1">IFERROR(__xludf.DUMMYFUNCTION("""COMPUTED_VALUE"""),"")</f>
        <v/>
      </c>
      <c r="BB4" s="5"/>
      <c r="BC4" s="5" t="str">
        <f ca="1">IFERROR(__xludf.DUMMYFUNCTION("""COMPUTED_VALUE"""),"Foxi")</f>
        <v>Foxi</v>
      </c>
      <c r="BD4" s="7" t="str">
        <f ca="1">IFERROR(__xludf.DUMMYFUNCTION("""COMPUTED_VALUE"""),"https://gameserver-store-client-area.orbionlimited.com/Home/IntegrationGameLaunch/client-area?moneyType=0&amp;gameName=Wizard&amp;platform=desktop&amp;languageCode=eng&amp;currency=EUR")</f>
        <v>https://gameserver-store-client-area.orbionlimited.com/Home/IntegrationGameLaunch/client-area?moneyType=0&amp;gameName=Wizard&amp;platform=desktop&amp;languageCode=eng&amp;currency=EUR</v>
      </c>
      <c r="BE4" s="5" t="b">
        <f ca="1">IFERROR(__xludf.DUMMYFUNCTION("""COMPUTED_VALUE"""),TRUE)</f>
        <v>1</v>
      </c>
    </row>
    <row r="5" spans="1:57" x14ac:dyDescent="0.25">
      <c r="A5" s="5">
        <f ca="1">IFERROR(__xludf.DUMMYFUNCTION("""COMPUTED_VALUE"""),4)</f>
        <v>4</v>
      </c>
      <c r="B5" s="5">
        <f ca="1">IFERROR(__xludf.DUMMYFUNCTION("""COMPUTED_VALUE"""),3)</f>
        <v>3</v>
      </c>
      <c r="C5" s="5" t="str">
        <f ca="1">IFERROR(__xludf.DUMMYFUNCTION("""COMPUTED_VALUE"""),"Fazi")</f>
        <v>Fazi</v>
      </c>
      <c r="D5" s="5" t="str">
        <f ca="1">IFERROR(__xludf.DUMMYFUNCTION("""COMPUTED_VALUE"""),"Fruits and Stars")</f>
        <v>Fruits and Stars</v>
      </c>
      <c r="E5" s="5" t="str">
        <f ca="1">IFERROR(__xludf.DUMMYFUNCTION("""COMPUTED_VALUE"""),"V2")</f>
        <v>V2</v>
      </c>
      <c r="F5" s="5" t="str">
        <f ca="1">IFERROR(__xludf.DUMMYFUNCTION("""COMPUTED_VALUE"""),"FruitsAndStars")</f>
        <v>FruitsAndStars</v>
      </c>
      <c r="G5" s="5" t="str">
        <f ca="1">IFERROR(__xludf.DUMMYFUNCTION("""COMPUTED_VALUE"""),"Live")</f>
        <v>Live</v>
      </c>
      <c r="H5" s="5"/>
      <c r="I5" s="5" t="str">
        <f ca="1">IFERROR(__xludf.DUMMYFUNCTION("""COMPUTED_VALUE"""),"V2")</f>
        <v>V2</v>
      </c>
      <c r="J5" s="5" t="str">
        <f ca="1">IFERROR(__xludf.DUMMYFUNCTION("""COMPUTED_VALUE"""),"JSON")</f>
        <v>JSON</v>
      </c>
      <c r="K5" s="5" t="str">
        <f ca="1">IFERROR(__xludf.DUMMYFUNCTION("""COMPUTED_VALUE"""),"Slot")</f>
        <v>Slot</v>
      </c>
      <c r="L5" s="5"/>
      <c r="M5" s="5"/>
      <c r="N5" s="5"/>
      <c r="O5" s="5"/>
      <c r="P5" s="14">
        <f ca="1">IFERROR(__xludf.DUMMYFUNCTION("""COMPUTED_VALUE"""),19.5)</f>
        <v>19.5</v>
      </c>
      <c r="Q5" s="5"/>
      <c r="R5" s="5"/>
      <c r="S5" s="15">
        <f ca="1">IFERROR(__xludf.DUMMYFUNCTION("""COMPUTED_VALUE"""),42826)</f>
        <v>42826</v>
      </c>
      <c r="T5" s="5" t="b">
        <f ca="1">IFERROR(__xludf.DUMMYFUNCTION("""COMPUTED_VALUE"""),TRUE)</f>
        <v>1</v>
      </c>
      <c r="U5" s="5" t="str">
        <f ca="1">IFERROR(__xludf.DUMMYFUNCTION("""COMPUTED_VALUE"""),"5x3")</f>
        <v>5x3</v>
      </c>
      <c r="V5" s="12" t="str">
        <f ca="1">IFERROR(__xludf.DUMMYFUNCTION("""COMPUTED_VALUE"""),"20")</f>
        <v>20</v>
      </c>
      <c r="W5" s="12" t="str">
        <f ca="1">IFERROR(__xludf.DUMMYFUNCTION("""COMPUTED_VALUE"""),"1,3,5,7,10,20")</f>
        <v>1,3,5,7,10,20</v>
      </c>
      <c r="X5" s="5">
        <f ca="1">IFERROR(__xludf.DUMMYFUNCTION("""COMPUTED_VALUE"""),95.79)</f>
        <v>95.79</v>
      </c>
      <c r="Y5" s="5" t="str">
        <f ca="1">IFERROR(__xludf.DUMMYFUNCTION("""COMPUTED_VALUE"""),"Low")</f>
        <v>Low</v>
      </c>
      <c r="Z5" s="5">
        <f ca="1">IFERROR(__xludf.DUMMYFUNCTION("""COMPUTED_VALUE"""),17.45)</f>
        <v>17.45</v>
      </c>
      <c r="AA5" s="14">
        <f ca="1">IFERROR(__xludf.DUMMYFUNCTION("""COMPUTED_VALUE"""),1000)</f>
        <v>1000</v>
      </c>
      <c r="AB5" s="5" t="str">
        <f ca="1">IFERROR(__xludf.DUMMYFUNCTION("""COMPUTED_VALUE"""),"/")</f>
        <v>/</v>
      </c>
      <c r="AC5" s="5" t="str">
        <f ca="1">IFERROR(__xludf.DUMMYFUNCTION("""COMPUTED_VALUE"""),"Wild Symbol, Scatter")</f>
        <v>Wild Symbol, Scatter</v>
      </c>
      <c r="AD5" s="5" t="str">
        <f ca="1">IFERROR(__xludf.DUMMYFUNCTION("""COMPUTED_VALUE"""),"0.01/50")</f>
        <v>0.01/50</v>
      </c>
      <c r="AE5" s="5"/>
      <c r="AF5" s="5"/>
      <c r="AG5" s="10">
        <f ca="1">IFERROR(__xludf.DUMMYFUNCTION("""COMPUTED_VALUE"""),46197.0743518518)</f>
        <v>46197.074351851799</v>
      </c>
      <c r="AH5" s="5" t="str">
        <f ca="1">IFERROR(__xludf.DUMMYFUNCTION("""COMPUTED_VALUE"""),"iva.cirkovic@fazi.rs")</f>
        <v>iva.cirkovic@fazi.rs</v>
      </c>
      <c r="AI5" s="5"/>
      <c r="AJ5" s="5"/>
      <c r="AK5" s="5">
        <f ca="1">IFERROR(__xludf.DUMMYFUNCTION("""COMPUTED_VALUE"""),20)</f>
        <v>20</v>
      </c>
      <c r="AL5" s="5" t="str">
        <f ca="1">IFERROR(__xludf.DUMMYFUNCTION("""COMPUTED_VALUE"""),"Yes")</f>
        <v>Yes</v>
      </c>
      <c r="AM5" s="5"/>
      <c r="AN5" s="7" t="str">
        <f ca="1">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AO5" s="5" t="str">
        <f ca="1">IFERROR(__xludf.DUMMYFUNCTION("""COMPUTED_VALUE"""),"Yes")</f>
        <v>Yes</v>
      </c>
      <c r="AP5" s="5" t="str">
        <f ca="1">IFERROR(__xludf.DUMMYFUNCTION("""COMPUTED_VALUE"""),"Yes")</f>
        <v>Yes</v>
      </c>
      <c r="AQ5" s="5" t="b">
        <f ca="1">IFERROR(__xludf.DUMMYFUNCTION("""COMPUTED_VALUE"""),TRUE)</f>
        <v>1</v>
      </c>
      <c r="AR5" s="5"/>
      <c r="AS5" s="5" t="str">
        <f ca="1">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AT5" s="5" t="str">
        <f ca="1">IFERROR(__xludf.DUMMYFUNCTION("""COMPUTED_VALUE"""),"No")</f>
        <v>No</v>
      </c>
      <c r="AU5" s="5" t="str">
        <f ca="1">IFERROR(__xludf.DUMMYFUNCTION("""COMPUTED_VALUE"""),"Fazi")</f>
        <v>Fazi</v>
      </c>
      <c r="AV5" s="5"/>
      <c r="AW5" s="5"/>
      <c r="AX5" s="5"/>
      <c r="AY5" s="5" t="str">
        <f ca="1">IFERROR(__xludf.DUMMYFUNCTION("""COMPUTED_VALUE"""),"87.5%, 89.5%, 91.5%, 93.5%, 94.5%, 95.5%, 96.5%")</f>
        <v>87.5%, 89.5%, 91.5%, 93.5%, 94.5%, 95.5%, 96.5%</v>
      </c>
      <c r="AZ5" s="7" t="str">
        <f ca="1">IFERROR(__xludf.DUMMYFUNCTION("""COMPUTED_VALUE"""),"https://drive.google.com/drive/folders/1F58FR3Kzj28XzgM5QV9dzINmVlxd4PoB")</f>
        <v>https://drive.google.com/drive/folders/1F58FR3Kzj28XzgM5QV9dzINmVlxd4PoB</v>
      </c>
      <c r="BA5" s="5"/>
      <c r="BB5" s="5" t="b">
        <f ca="1">IFERROR(__xludf.DUMMYFUNCTION("""COMPUTED_VALUE"""),TRUE)</f>
        <v>1</v>
      </c>
      <c r="BC5" s="5" t="str">
        <f ca="1">IFERROR(__xludf.DUMMYFUNCTION("""COMPUTED_VALUE"""),"Foxi")</f>
        <v>Foxi</v>
      </c>
      <c r="BD5" s="7" t="str">
        <f ca="1">IFERROR(__xludf.DUMMYFUNCTION("""COMPUTED_VALUE"""),"https://gameserver-store-client-area.orbionlimited.com/Home/IntegrationGameLaunch/client-area?moneyType=0&amp;gameName=FruitsAndStars&amp;platform=desktop&amp;languageCode=eng&amp;currency=EUR")</f>
        <v>https://gameserver-store-client-area.orbionlimited.com/Home/IntegrationGameLaunch/client-area?moneyType=0&amp;gameName=FruitsAndStars&amp;platform=desktop&amp;languageCode=eng&amp;currency=EUR</v>
      </c>
      <c r="BE5" s="5" t="b">
        <f ca="1">IFERROR(__xludf.DUMMYFUNCTION("""COMPUTED_VALUE"""),TRUE)</f>
        <v>1</v>
      </c>
    </row>
    <row r="6" spans="1:57" x14ac:dyDescent="0.25">
      <c r="A6" s="5">
        <f ca="1">IFERROR(__xludf.DUMMYFUNCTION("""COMPUTED_VALUE"""),5)</f>
        <v>5</v>
      </c>
      <c r="B6" s="5">
        <f ca="1">IFERROR(__xludf.DUMMYFUNCTION("""COMPUTED_VALUE"""),4)</f>
        <v>4</v>
      </c>
      <c r="C6" s="5" t="str">
        <f ca="1">IFERROR(__xludf.DUMMYFUNCTION("""COMPUTED_VALUE"""),"Fazi")</f>
        <v>Fazi</v>
      </c>
      <c r="D6" s="5" t="str">
        <f ca="1">IFERROR(__xludf.DUMMYFUNCTION("""COMPUTED_VALUE"""),"Nevada Hot")</f>
        <v>Nevada Hot</v>
      </c>
      <c r="E6" s="5"/>
      <c r="F6" s="5" t="str">
        <f ca="1">IFERROR(__xludf.DUMMYFUNCTION("""COMPUTED_VALUE"""),"VegasHot")</f>
        <v>VegasHot</v>
      </c>
      <c r="G6" s="5" t="str">
        <f ca="1">IFERROR(__xludf.DUMMYFUNCTION("""COMPUTED_VALUE"""),"Retired")</f>
        <v>Retired</v>
      </c>
      <c r="H6" s="5"/>
      <c r="I6" s="5"/>
      <c r="J6" s="5"/>
      <c r="K6" s="5" t="str">
        <f ca="1">IFERROR(__xludf.DUMMYFUNCTION("""COMPUTED_VALUE"""),"Slot")</f>
        <v>Slot</v>
      </c>
      <c r="L6" s="5"/>
      <c r="M6" s="5"/>
      <c r="N6" s="5"/>
      <c r="O6" s="5"/>
      <c r="P6" s="5"/>
      <c r="Q6" s="5"/>
      <c r="R6" s="5"/>
      <c r="S6" s="5"/>
      <c r="T6" s="5"/>
      <c r="U6" s="5"/>
      <c r="V6" s="12" t="str">
        <f ca="1">IFERROR(__xludf.DUMMYFUNCTION("""COMPUTED_VALUE"""),"5")</f>
        <v>5</v>
      </c>
      <c r="W6" s="5"/>
      <c r="X6" s="13">
        <f ca="1">IFERROR(__xludf.DUMMYFUNCTION("""COMPUTED_VALUE"""),0)</f>
        <v>0</v>
      </c>
      <c r="Y6" s="5"/>
      <c r="Z6" s="5">
        <f ca="1">IFERROR(__xludf.DUMMYFUNCTION("""COMPUTED_VALUE"""),0)</f>
        <v>0</v>
      </c>
      <c r="AA6" s="5"/>
      <c r="AB6" s="5"/>
      <c r="AC6" s="5" t="str">
        <f ca="1">IFERROR(__xludf.DUMMYFUNCTION("""COMPUTED_VALUE"""),"Expanding Wild, Expanding Wild, Scatter")</f>
        <v>Expanding Wild, Expanding Wild, Scatter</v>
      </c>
      <c r="AD6" s="5"/>
      <c r="AE6" s="5"/>
      <c r="AF6" s="5"/>
      <c r="AG6" s="10">
        <f ca="1">IFERROR(__xludf.DUMMYFUNCTION("""COMPUTED_VALUE"""),45855.4710069444)</f>
        <v>45855.471006944397</v>
      </c>
      <c r="AH6" s="5" t="str">
        <f ca="1">IFERROR(__xludf.DUMMYFUNCTION("""COMPUTED_VALUE"""),"iva.cirkovic@fazi.rs")</f>
        <v>iva.cirkovic@fazi.rs</v>
      </c>
      <c r="AI6" s="5"/>
      <c r="AJ6" s="5"/>
      <c r="AK6" s="5">
        <f ca="1">IFERROR(__xludf.DUMMYFUNCTION("""COMPUTED_VALUE"""),5)</f>
        <v>5</v>
      </c>
      <c r="AL6" s="5" t="str">
        <f ca="1">IFERROR(__xludf.DUMMYFUNCTION("""COMPUTED_VALUE"""),"Yes")</f>
        <v>Yes</v>
      </c>
      <c r="AM6" s="5"/>
      <c r="AN6" s="5"/>
      <c r="AO6" s="5"/>
      <c r="AP6" s="5"/>
      <c r="AQ6" s="5"/>
      <c r="AR6" s="5"/>
      <c r="AS6" s="5"/>
      <c r="AT6" s="5"/>
      <c r="AU6" s="5" t="str">
        <f ca="1">IFERROR(__xludf.DUMMYFUNCTION("""COMPUTED_VALUE"""),"Fazi")</f>
        <v>Fazi</v>
      </c>
      <c r="AV6" s="5"/>
      <c r="AW6" s="5"/>
      <c r="AX6" s="5"/>
      <c r="AY6" s="5"/>
      <c r="AZ6" s="5"/>
      <c r="BA6" s="5" t="str">
        <f ca="1">IFERROR(__xludf.DUMMYFUNCTION("""COMPUTED_VALUE"""),"")</f>
        <v/>
      </c>
      <c r="BB6" s="5"/>
      <c r="BC6" s="5" t="str">
        <f ca="1">IFERROR(__xludf.DUMMYFUNCTION("""COMPUTED_VALUE"""),"Foxi")</f>
        <v>Foxi</v>
      </c>
      <c r="BD6" s="5" t="str">
        <f ca="1">IFERROR(__xludf.DUMMYFUNCTION("""COMPUTED_VALUE"""),"")</f>
        <v/>
      </c>
      <c r="BE6" s="5"/>
    </row>
    <row r="7" spans="1:57" x14ac:dyDescent="0.25">
      <c r="A7" s="5">
        <f ca="1">IFERROR(__xludf.DUMMYFUNCTION("""COMPUTED_VALUE"""),6)</f>
        <v>6</v>
      </c>
      <c r="B7" s="5">
        <f ca="1">IFERROR(__xludf.DUMMYFUNCTION("""COMPUTED_VALUE"""),5)</f>
        <v>5</v>
      </c>
      <c r="C7" s="5" t="str">
        <f ca="1">IFERROR(__xludf.DUMMYFUNCTION("""COMPUTED_VALUE"""),"Fazi")</f>
        <v>Fazi</v>
      </c>
      <c r="D7" s="5" t="str">
        <f ca="1">IFERROR(__xludf.DUMMYFUNCTION("""COMPUTED_VALUE"""),"Golden Fenix")</f>
        <v>Golden Fenix</v>
      </c>
      <c r="E7" s="5"/>
      <c r="F7" s="5" t="str">
        <f ca="1">IFERROR(__xludf.DUMMYFUNCTION("""COMPUTED_VALUE"""),"FenixPlay")</f>
        <v>FenixPlay</v>
      </c>
      <c r="G7" s="5" t="str">
        <f ca="1">IFERROR(__xludf.DUMMYFUNCTION("""COMPUTED_VALUE"""),"Retired")</f>
        <v>Retired</v>
      </c>
      <c r="H7" s="5"/>
      <c r="I7" s="5"/>
      <c r="J7" s="5"/>
      <c r="K7" s="5" t="str">
        <f ca="1">IFERROR(__xludf.DUMMYFUNCTION("""COMPUTED_VALUE"""),"Slot")</f>
        <v>Slot</v>
      </c>
      <c r="L7" s="5"/>
      <c r="M7" s="5"/>
      <c r="N7" s="5"/>
      <c r="O7" s="5"/>
      <c r="P7" s="5"/>
      <c r="Q7" s="5"/>
      <c r="R7" s="5"/>
      <c r="S7" s="5"/>
      <c r="T7" s="5"/>
      <c r="U7" s="5"/>
      <c r="V7" s="12" t="str">
        <f ca="1">IFERROR(__xludf.DUMMYFUNCTION("""COMPUTED_VALUE"""),"5")</f>
        <v>5</v>
      </c>
      <c r="W7" s="5"/>
      <c r="X7" s="13">
        <f ca="1">IFERROR(__xludf.DUMMYFUNCTION("""COMPUTED_VALUE"""),0)</f>
        <v>0</v>
      </c>
      <c r="Y7" s="5"/>
      <c r="Z7" s="5">
        <f ca="1">IFERROR(__xludf.DUMMYFUNCTION("""COMPUTED_VALUE"""),0)</f>
        <v>0</v>
      </c>
      <c r="AA7" s="5"/>
      <c r="AB7" s="5"/>
      <c r="AC7" s="5"/>
      <c r="AD7" s="5"/>
      <c r="AE7" s="5"/>
      <c r="AF7" s="5"/>
      <c r="AG7" s="10">
        <f ca="1">IFERROR(__xludf.DUMMYFUNCTION("""COMPUTED_VALUE"""),45855.4704050925)</f>
        <v>45855.470405092499</v>
      </c>
      <c r="AH7" s="5" t="str">
        <f ca="1">IFERROR(__xludf.DUMMYFUNCTION("""COMPUTED_VALUE"""),"iva.cirkovic@fazi.rs")</f>
        <v>iva.cirkovic@fazi.rs</v>
      </c>
      <c r="AI7" s="5"/>
      <c r="AJ7" s="5"/>
      <c r="AK7" s="5">
        <f ca="1">IFERROR(__xludf.DUMMYFUNCTION("""COMPUTED_VALUE"""),5)</f>
        <v>5</v>
      </c>
      <c r="AL7" s="5"/>
      <c r="AM7" s="5" t="str">
        <f ca="1">IFERROR(__xludf.DUMMYFUNCTION("""COMPUTED_VALUE"""),"Yes")</f>
        <v>Yes</v>
      </c>
      <c r="AN7" s="5"/>
      <c r="AO7" s="5"/>
      <c r="AP7" s="5"/>
      <c r="AQ7" s="5"/>
      <c r="AR7" s="5"/>
      <c r="AS7" s="5"/>
      <c r="AT7" s="5"/>
      <c r="AU7" s="5" t="str">
        <f ca="1">IFERROR(__xludf.DUMMYFUNCTION("""COMPUTED_VALUE"""),"Fazi")</f>
        <v>Fazi</v>
      </c>
      <c r="AV7" s="5"/>
      <c r="AW7" s="5"/>
      <c r="AX7" s="5"/>
      <c r="AY7" s="5"/>
      <c r="AZ7" s="5"/>
      <c r="BA7" s="5" t="str">
        <f ca="1">IFERROR(__xludf.DUMMYFUNCTION("""COMPUTED_VALUE"""),"")</f>
        <v/>
      </c>
      <c r="BB7" s="5"/>
      <c r="BC7" s="5" t="str">
        <f ca="1">IFERROR(__xludf.DUMMYFUNCTION("""COMPUTED_VALUE"""),"Foxi")</f>
        <v>Foxi</v>
      </c>
      <c r="BD7" s="5" t="str">
        <f ca="1">IFERROR(__xludf.DUMMYFUNCTION("""COMPUTED_VALUE"""),"")</f>
        <v/>
      </c>
      <c r="BE7" s="5"/>
    </row>
    <row r="8" spans="1:57" x14ac:dyDescent="0.25">
      <c r="A8" s="5">
        <f ca="1">IFERROR(__xludf.DUMMYFUNCTION("""COMPUTED_VALUE"""),7)</f>
        <v>7</v>
      </c>
      <c r="B8" s="5">
        <f ca="1">IFERROR(__xludf.DUMMYFUNCTION("""COMPUTED_VALUE"""),6)</f>
        <v>6</v>
      </c>
      <c r="C8" s="5" t="str">
        <f ca="1">IFERROR(__xludf.DUMMYFUNCTION("""COMPUTED_VALUE"""),"Fazi")</f>
        <v>Fazi</v>
      </c>
      <c r="D8" s="5" t="str">
        <f ca="1">IFERROR(__xludf.DUMMYFUNCTION("""COMPUTED_VALUE"""),"Hot Beach")</f>
        <v>Hot Beach</v>
      </c>
      <c r="E8" s="5"/>
      <c r="F8" s="5" t="str">
        <f ca="1">IFERROR(__xludf.DUMMYFUNCTION("""COMPUTED_VALUE"""),"HotParty")</f>
        <v>HotParty</v>
      </c>
      <c r="G8" s="5" t="str">
        <f ca="1">IFERROR(__xludf.DUMMYFUNCTION("""COMPUTED_VALUE"""),"Retired")</f>
        <v>Retired</v>
      </c>
      <c r="H8" s="5"/>
      <c r="I8" s="5"/>
      <c r="J8" s="5"/>
      <c r="K8" s="5" t="str">
        <f ca="1">IFERROR(__xludf.DUMMYFUNCTION("""COMPUTED_VALUE"""),"Slot")</f>
        <v>Slot</v>
      </c>
      <c r="L8" s="5"/>
      <c r="M8" s="5"/>
      <c r="N8" s="5"/>
      <c r="O8" s="5"/>
      <c r="P8" s="5"/>
      <c r="Q8" s="5"/>
      <c r="R8" s="5"/>
      <c r="S8" s="5"/>
      <c r="T8" s="5"/>
      <c r="U8" s="5"/>
      <c r="V8" s="5"/>
      <c r="W8" s="5"/>
      <c r="X8" s="13">
        <f ca="1">IFERROR(__xludf.DUMMYFUNCTION("""COMPUTED_VALUE"""),0)</f>
        <v>0</v>
      </c>
      <c r="Y8" s="5"/>
      <c r="Z8" s="5">
        <f ca="1">IFERROR(__xludf.DUMMYFUNCTION("""COMPUTED_VALUE"""),0)</f>
        <v>0</v>
      </c>
      <c r="AA8" s="5"/>
      <c r="AB8" s="5"/>
      <c r="AC8" s="5" t="str">
        <f ca="1">IFERROR(__xludf.DUMMYFUNCTION("""COMPUTED_VALUE"""),"Win Multiplier")</f>
        <v>Win Multiplier</v>
      </c>
      <c r="AD8" s="5"/>
      <c r="AE8" s="5"/>
      <c r="AF8" s="5"/>
      <c r="AG8" s="10">
        <f ca="1">IFERROR(__xludf.DUMMYFUNCTION("""COMPUTED_VALUE"""),45855.4710648148)</f>
        <v>45855.471064814803</v>
      </c>
      <c r="AH8" s="5" t="str">
        <f ca="1">IFERROR(__xludf.DUMMYFUNCTION("""COMPUTED_VALUE"""),"iva.cirkovic@fazi.rs")</f>
        <v>iva.cirkovic@fazi.rs</v>
      </c>
      <c r="AI8" s="5"/>
      <c r="AJ8" s="5"/>
      <c r="AK8" s="5" t="str">
        <f ca="1">IFERROR(__xludf.DUMMYFUNCTION("""COMPUTED_VALUE"""),"#N/A")</f>
        <v>#N/A</v>
      </c>
      <c r="AL8" s="5"/>
      <c r="AM8" s="5"/>
      <c r="AN8" s="5"/>
      <c r="AO8" s="5"/>
      <c r="AP8" s="5"/>
      <c r="AQ8" s="5"/>
      <c r="AR8" s="5"/>
      <c r="AS8" s="5"/>
      <c r="AT8" s="5"/>
      <c r="AU8" s="5" t="str">
        <f ca="1">IFERROR(__xludf.DUMMYFUNCTION("""COMPUTED_VALUE"""),"Fazi")</f>
        <v>Fazi</v>
      </c>
      <c r="AV8" s="5"/>
      <c r="AW8" s="5"/>
      <c r="AX8" s="5"/>
      <c r="AY8" s="5"/>
      <c r="AZ8" s="5"/>
      <c r="BA8" s="5" t="str">
        <f ca="1">IFERROR(__xludf.DUMMYFUNCTION("""COMPUTED_VALUE"""),"")</f>
        <v/>
      </c>
      <c r="BB8" s="5"/>
      <c r="BC8" s="5" t="str">
        <f ca="1">IFERROR(__xludf.DUMMYFUNCTION("""COMPUTED_VALUE"""),"Foxi")</f>
        <v>Foxi</v>
      </c>
      <c r="BD8" s="5" t="str">
        <f ca="1">IFERROR(__xludf.DUMMYFUNCTION("""COMPUTED_VALUE"""),"")</f>
        <v/>
      </c>
      <c r="BE8" s="5"/>
    </row>
    <row r="9" spans="1:57" x14ac:dyDescent="0.25">
      <c r="A9" s="5">
        <f ca="1">IFERROR(__xludf.DUMMYFUNCTION("""COMPUTED_VALUE"""),8)</f>
        <v>8</v>
      </c>
      <c r="B9" s="5">
        <f ca="1">IFERROR(__xludf.DUMMYFUNCTION("""COMPUTED_VALUE"""),7)</f>
        <v>7</v>
      </c>
      <c r="C9" s="5" t="str">
        <f ca="1">IFERROR(__xludf.DUMMYFUNCTION("""COMPUTED_VALUE"""),"Fazi")</f>
        <v>Fazi</v>
      </c>
      <c r="D9" s="5" t="str">
        <f ca="1">IFERROR(__xludf.DUMMYFUNCTION("""COMPUTED_VALUE"""),"King Of The Sea")</f>
        <v>King Of The Sea</v>
      </c>
      <c r="E9" s="5"/>
      <c r="F9" s="5" t="str">
        <f ca="1">IFERROR(__xludf.DUMMYFUNCTION("""COMPUTED_VALUE"""),"CaptainShark")</f>
        <v>CaptainShark</v>
      </c>
      <c r="G9" s="5" t="str">
        <f ca="1">IFERROR(__xludf.DUMMYFUNCTION("""COMPUTED_VALUE"""),"Retired")</f>
        <v>Retired</v>
      </c>
      <c r="H9" s="5"/>
      <c r="I9" s="5"/>
      <c r="J9" s="5"/>
      <c r="K9" s="5" t="str">
        <f ca="1">IFERROR(__xludf.DUMMYFUNCTION("""COMPUTED_VALUE"""),"Slot")</f>
        <v>Slot</v>
      </c>
      <c r="L9" s="5"/>
      <c r="M9" s="5"/>
      <c r="N9" s="5"/>
      <c r="O9" s="5"/>
      <c r="P9" s="5"/>
      <c r="Q9" s="5"/>
      <c r="R9" s="5"/>
      <c r="S9" s="5"/>
      <c r="T9" s="5"/>
      <c r="U9" s="5"/>
      <c r="V9" s="12" t="str">
        <f ca="1">IFERROR(__xludf.DUMMYFUNCTION("""COMPUTED_VALUE"""),"20")</f>
        <v>20</v>
      </c>
      <c r="W9" s="5"/>
      <c r="X9" s="13">
        <f ca="1">IFERROR(__xludf.DUMMYFUNCTION("""COMPUTED_VALUE"""),0)</f>
        <v>0</v>
      </c>
      <c r="Y9" s="5"/>
      <c r="Z9" s="5">
        <f ca="1">IFERROR(__xludf.DUMMYFUNCTION("""COMPUTED_VALUE"""),0)</f>
        <v>0</v>
      </c>
      <c r="AA9" s="5"/>
      <c r="AB9" s="5"/>
      <c r="AC9" s="5"/>
      <c r="AD9" s="5"/>
      <c r="AE9" s="5"/>
      <c r="AF9" s="5"/>
      <c r="AG9" s="5"/>
      <c r="AH9" s="5"/>
      <c r="AI9" s="5"/>
      <c r="AJ9" s="5"/>
      <c r="AK9" s="5">
        <f ca="1">IFERROR(__xludf.DUMMYFUNCTION("""COMPUTED_VALUE"""),20)</f>
        <v>20</v>
      </c>
      <c r="AL9" s="5"/>
      <c r="AM9" s="5"/>
      <c r="AN9" s="5"/>
      <c r="AO9" s="5"/>
      <c r="AP9" s="5"/>
      <c r="AQ9" s="5"/>
      <c r="AR9" s="5"/>
      <c r="AS9" s="5"/>
      <c r="AT9" s="5"/>
      <c r="AU9" s="5" t="str">
        <f ca="1">IFERROR(__xludf.DUMMYFUNCTION("""COMPUTED_VALUE"""),"Fazi")</f>
        <v>Fazi</v>
      </c>
      <c r="AV9" s="5"/>
      <c r="AW9" s="5"/>
      <c r="AX9" s="5"/>
      <c r="AY9" s="5"/>
      <c r="AZ9" s="5"/>
      <c r="BA9" s="5" t="str">
        <f ca="1">IFERROR(__xludf.DUMMYFUNCTION("""COMPUTED_VALUE"""),"")</f>
        <v/>
      </c>
      <c r="BB9" s="5"/>
      <c r="BC9" s="5" t="str">
        <f ca="1">IFERROR(__xludf.DUMMYFUNCTION("""COMPUTED_VALUE"""),"Foxi")</f>
        <v>Foxi</v>
      </c>
      <c r="BD9" s="5" t="str">
        <f ca="1">IFERROR(__xludf.DUMMYFUNCTION("""COMPUTED_VALUE"""),"")</f>
        <v/>
      </c>
      <c r="BE9" s="5"/>
    </row>
    <row r="10" spans="1:57" x14ac:dyDescent="0.25">
      <c r="A10" s="5">
        <f ca="1">IFERROR(__xludf.DUMMYFUNCTION("""COMPUTED_VALUE"""),9)</f>
        <v>9</v>
      </c>
      <c r="B10" s="5">
        <f ca="1">IFERROR(__xludf.DUMMYFUNCTION("""COMPUTED_VALUE"""),8)</f>
        <v>8</v>
      </c>
      <c r="C10" s="5" t="str">
        <f ca="1">IFERROR(__xludf.DUMMYFUNCTION("""COMPUTED_VALUE"""),"Fazi")</f>
        <v>Fazi</v>
      </c>
      <c r="D10" s="5" t="str">
        <f ca="1">IFERROR(__xludf.DUMMYFUNCTION("""COMPUTED_VALUE"""),"Magic Joker")</f>
        <v>Magic Joker</v>
      </c>
      <c r="E10" s="5"/>
      <c r="F10" s="5" t="str">
        <f ca="1">IFERROR(__xludf.DUMMYFUNCTION("""COMPUTED_VALUE"""),"MagicTarget")</f>
        <v>MagicTarget</v>
      </c>
      <c r="G10" s="5" t="str">
        <f ca="1">IFERROR(__xludf.DUMMYFUNCTION("""COMPUTED_VALUE"""),"Retired")</f>
        <v>Retired</v>
      </c>
      <c r="H10" s="5"/>
      <c r="I10" s="5"/>
      <c r="J10" s="5"/>
      <c r="K10" s="5" t="str">
        <f ca="1">IFERROR(__xludf.DUMMYFUNCTION("""COMPUTED_VALUE"""),"Slot")</f>
        <v>Slot</v>
      </c>
      <c r="L10" s="5"/>
      <c r="M10" s="5"/>
      <c r="N10" s="5"/>
      <c r="O10" s="5"/>
      <c r="P10" s="5"/>
      <c r="Q10" s="5"/>
      <c r="R10" s="5"/>
      <c r="S10" s="5"/>
      <c r="T10" s="5"/>
      <c r="U10" s="5"/>
      <c r="V10" s="12" t="str">
        <f ca="1">IFERROR(__xludf.DUMMYFUNCTION("""COMPUTED_VALUE"""),"20")</f>
        <v>20</v>
      </c>
      <c r="W10" s="5"/>
      <c r="X10" s="13">
        <f ca="1">IFERROR(__xludf.DUMMYFUNCTION("""COMPUTED_VALUE"""),0)</f>
        <v>0</v>
      </c>
      <c r="Y10" s="5"/>
      <c r="Z10" s="5">
        <f ca="1">IFERROR(__xludf.DUMMYFUNCTION("""COMPUTED_VALUE"""),0)</f>
        <v>0</v>
      </c>
      <c r="AA10" s="5"/>
      <c r="AB10" s="5"/>
      <c r="AC10" s="5"/>
      <c r="AD10" s="5"/>
      <c r="AE10" s="5"/>
      <c r="AF10" s="5"/>
      <c r="AG10" s="5"/>
      <c r="AH10" s="5"/>
      <c r="AI10" s="5"/>
      <c r="AJ10" s="5"/>
      <c r="AK10" s="5">
        <f ca="1">IFERROR(__xludf.DUMMYFUNCTION("""COMPUTED_VALUE"""),20)</f>
        <v>20</v>
      </c>
      <c r="AL10" s="5"/>
      <c r="AM10" s="5"/>
      <c r="AN10" s="5"/>
      <c r="AO10" s="5"/>
      <c r="AP10" s="5"/>
      <c r="AQ10" s="5"/>
      <c r="AR10" s="5"/>
      <c r="AS10" s="5"/>
      <c r="AT10" s="5"/>
      <c r="AU10" s="5" t="str">
        <f ca="1">IFERROR(__xludf.DUMMYFUNCTION("""COMPUTED_VALUE"""),"Fazi")</f>
        <v>Fazi</v>
      </c>
      <c r="AV10" s="5"/>
      <c r="AW10" s="5"/>
      <c r="AX10" s="5"/>
      <c r="AY10" s="5"/>
      <c r="AZ10" s="5"/>
      <c r="BA10" s="5" t="str">
        <f ca="1">IFERROR(__xludf.DUMMYFUNCTION("""COMPUTED_VALUE"""),"")</f>
        <v/>
      </c>
      <c r="BB10" s="5"/>
      <c r="BC10" s="5" t="str">
        <f ca="1">IFERROR(__xludf.DUMMYFUNCTION("""COMPUTED_VALUE"""),"Foxi")</f>
        <v>Foxi</v>
      </c>
      <c r="BD10" s="5" t="str">
        <f ca="1">IFERROR(__xludf.DUMMYFUNCTION("""COMPUTED_VALUE"""),"")</f>
        <v/>
      </c>
      <c r="BE10" s="5"/>
    </row>
    <row r="11" spans="1:57" x14ac:dyDescent="0.25">
      <c r="A11" s="5">
        <f ca="1">IFERROR(__xludf.DUMMYFUNCTION("""COMPUTED_VALUE"""),10)</f>
        <v>10</v>
      </c>
      <c r="B11" s="5">
        <f ca="1">IFERROR(__xludf.DUMMYFUNCTION("""COMPUTED_VALUE"""),9)</f>
        <v>9</v>
      </c>
      <c r="C11" s="5" t="str">
        <f ca="1">IFERROR(__xludf.DUMMYFUNCTION("""COMPUTED_VALUE"""),"Fazi")</f>
        <v>Fazi</v>
      </c>
      <c r="D11" s="5" t="str">
        <f ca="1">IFERROR(__xludf.DUMMYFUNCTION("""COMPUTED_VALUE"""),"Rings Magic")</f>
        <v>Rings Magic</v>
      </c>
      <c r="E11" s="5"/>
      <c r="F11" s="5" t="str">
        <f ca="1">IFERROR(__xludf.DUMMYFUNCTION("""COMPUTED_VALUE"""),"MagicOfTheRing")</f>
        <v>MagicOfTheRing</v>
      </c>
      <c r="G11" s="5" t="str">
        <f ca="1">IFERROR(__xludf.DUMMYFUNCTION("""COMPUTED_VALUE"""),"Retired")</f>
        <v>Retired</v>
      </c>
      <c r="H11" s="5"/>
      <c r="I11" s="5"/>
      <c r="J11" s="5"/>
      <c r="K11" s="5" t="str">
        <f ca="1">IFERROR(__xludf.DUMMYFUNCTION("""COMPUTED_VALUE"""),"Slot")</f>
        <v>Slot</v>
      </c>
      <c r="L11" s="5"/>
      <c r="M11" s="5"/>
      <c r="N11" s="5"/>
      <c r="O11" s="5"/>
      <c r="P11" s="5"/>
      <c r="Q11" s="5"/>
      <c r="R11" s="5"/>
      <c r="S11" s="5"/>
      <c r="T11" s="5"/>
      <c r="U11" s="5"/>
      <c r="V11" s="12" t="str">
        <f ca="1">IFERROR(__xludf.DUMMYFUNCTION("""COMPUTED_VALUE"""),"10")</f>
        <v>10</v>
      </c>
      <c r="W11" s="5"/>
      <c r="X11" s="13">
        <f ca="1">IFERROR(__xludf.DUMMYFUNCTION("""COMPUTED_VALUE"""),0)</f>
        <v>0</v>
      </c>
      <c r="Y11" s="5"/>
      <c r="Z11" s="5">
        <f ca="1">IFERROR(__xludf.DUMMYFUNCTION("""COMPUTED_VALUE"""),0)</f>
        <v>0</v>
      </c>
      <c r="AA11" s="5"/>
      <c r="AB11" s="5"/>
      <c r="AC11" s="5"/>
      <c r="AD11" s="5"/>
      <c r="AE11" s="5"/>
      <c r="AF11" s="5"/>
      <c r="AG11" s="5"/>
      <c r="AH11" s="5"/>
      <c r="AI11" s="5"/>
      <c r="AJ11" s="5"/>
      <c r="AK11" s="5">
        <f ca="1">IFERROR(__xludf.DUMMYFUNCTION("""COMPUTED_VALUE"""),10)</f>
        <v>10</v>
      </c>
      <c r="AL11" s="5"/>
      <c r="AM11" s="5"/>
      <c r="AN11" s="5"/>
      <c r="AO11" s="5"/>
      <c r="AP11" s="5"/>
      <c r="AQ11" s="5"/>
      <c r="AR11" s="5"/>
      <c r="AS11" s="5"/>
      <c r="AT11" s="5"/>
      <c r="AU11" s="5" t="str">
        <f ca="1">IFERROR(__xludf.DUMMYFUNCTION("""COMPUTED_VALUE"""),"Fazi")</f>
        <v>Fazi</v>
      </c>
      <c r="AV11" s="5"/>
      <c r="AW11" s="5"/>
      <c r="AX11" s="5"/>
      <c r="AY11" s="5"/>
      <c r="AZ11" s="5"/>
      <c r="BA11" s="5" t="str">
        <f ca="1">IFERROR(__xludf.DUMMYFUNCTION("""COMPUTED_VALUE"""),"")</f>
        <v/>
      </c>
      <c r="BB11" s="5"/>
      <c r="BC11" s="5" t="str">
        <f ca="1">IFERROR(__xludf.DUMMYFUNCTION("""COMPUTED_VALUE"""),"Foxi")</f>
        <v>Foxi</v>
      </c>
      <c r="BD11" s="5" t="str">
        <f ca="1">IFERROR(__xludf.DUMMYFUNCTION("""COMPUTED_VALUE"""),"")</f>
        <v/>
      </c>
      <c r="BE11" s="5"/>
    </row>
    <row r="12" spans="1:57" x14ac:dyDescent="0.25">
      <c r="A12" s="5">
        <f ca="1">IFERROR(__xludf.DUMMYFUNCTION("""COMPUTED_VALUE"""),11)</f>
        <v>11</v>
      </c>
      <c r="B12" s="5">
        <f ca="1">IFERROR(__xludf.DUMMYFUNCTION("""COMPUTED_VALUE"""),10)</f>
        <v>10</v>
      </c>
      <c r="C12" s="5" t="str">
        <f ca="1">IFERROR(__xludf.DUMMYFUNCTION("""COMPUTED_VALUE"""),"Fazi")</f>
        <v>Fazi</v>
      </c>
      <c r="D12" s="5" t="str">
        <f ca="1">IFERROR(__xludf.DUMMYFUNCTION("""COMPUTED_VALUE"""),"The Triple 7 Hot")</f>
        <v>The Triple 7 Hot</v>
      </c>
      <c r="E12" s="5"/>
      <c r="F12" s="5" t="str">
        <f ca="1">IFERROR(__xludf.DUMMYFUNCTION("""COMPUTED_VALUE"""),"Hot777")</f>
        <v>Hot777</v>
      </c>
      <c r="G12" s="5" t="str">
        <f ca="1">IFERROR(__xludf.DUMMYFUNCTION("""COMPUTED_VALUE"""),"Retired")</f>
        <v>Retired</v>
      </c>
      <c r="H12" s="5"/>
      <c r="I12" s="5"/>
      <c r="J12" s="5"/>
      <c r="K12" s="5" t="str">
        <f ca="1">IFERROR(__xludf.DUMMYFUNCTION("""COMPUTED_VALUE"""),"Slot")</f>
        <v>Slot</v>
      </c>
      <c r="L12" s="5"/>
      <c r="M12" s="5"/>
      <c r="N12" s="5"/>
      <c r="O12" s="5"/>
      <c r="P12" s="5"/>
      <c r="Q12" s="5"/>
      <c r="R12" s="5"/>
      <c r="S12" s="5"/>
      <c r="T12" s="5"/>
      <c r="U12" s="5"/>
      <c r="V12" s="12" t="str">
        <f ca="1">IFERROR(__xludf.DUMMYFUNCTION("""COMPUTED_VALUE"""),"5")</f>
        <v>5</v>
      </c>
      <c r="W12" s="5"/>
      <c r="X12" s="13">
        <f ca="1">IFERROR(__xludf.DUMMYFUNCTION("""COMPUTED_VALUE"""),0)</f>
        <v>0</v>
      </c>
      <c r="Y12" s="5"/>
      <c r="Z12" s="5">
        <f ca="1">IFERROR(__xludf.DUMMYFUNCTION("""COMPUTED_VALUE"""),0)</f>
        <v>0</v>
      </c>
      <c r="AA12" s="5"/>
      <c r="AB12" s="5"/>
      <c r="AC12" s="5" t="str">
        <f ca="1">IFERROR(__xludf.DUMMYFUNCTION("""COMPUTED_VALUE"""),"Respin")</f>
        <v>Respin</v>
      </c>
      <c r="AD12" s="5"/>
      <c r="AE12" s="5"/>
      <c r="AF12" s="5"/>
      <c r="AG12" s="10">
        <f ca="1">IFERROR(__xludf.DUMMYFUNCTION("""COMPUTED_VALUE"""),46120.6537152777)</f>
        <v>46120.653715277702</v>
      </c>
      <c r="AH12" s="5" t="str">
        <f ca="1">IFERROR(__xludf.DUMMYFUNCTION("""COMPUTED_VALUE"""),"iva.cirkovic@fazi.rs")</f>
        <v>iva.cirkovic@fazi.rs</v>
      </c>
      <c r="AI12" s="5"/>
      <c r="AJ12" s="5"/>
      <c r="AK12" s="5">
        <f ca="1">IFERROR(__xludf.DUMMYFUNCTION("""COMPUTED_VALUE"""),5)</f>
        <v>5</v>
      </c>
      <c r="AL12" s="5"/>
      <c r="AM12" s="5"/>
      <c r="AN12" s="7" t="str">
        <f ca="1">IFERROR(__xludf.DUMMYFUNCTION("""COMPUTED_VALUE"""),"https://onlinegamespromo.fazi.rs/Home/IntegrationGameLaunch?moneyType=0&amp;gameName=Hot777&amp;platform=desktop&amp;languageCode=eng&amp;currency=EUR")</f>
        <v>https://onlinegamespromo.fazi.rs/Home/IntegrationGameLaunch?moneyType=0&amp;gameName=Hot777&amp;platform=desktop&amp;languageCode=eng&amp;currency=EUR</v>
      </c>
      <c r="AO12" s="5"/>
      <c r="AP12" s="5"/>
      <c r="AQ12" s="5"/>
      <c r="AR12" s="5"/>
      <c r="AS12" s="5"/>
      <c r="AT12" s="5"/>
      <c r="AU12" s="5" t="str">
        <f ca="1">IFERROR(__xludf.DUMMYFUNCTION("""COMPUTED_VALUE"""),"Fazi")</f>
        <v>Fazi</v>
      </c>
      <c r="AV12" s="5"/>
      <c r="AW12" s="5"/>
      <c r="AX12" s="5"/>
      <c r="AY12" s="5"/>
      <c r="AZ12" s="7" t="str">
        <f ca="1">IFERROR(__xludf.DUMMYFUNCTION("""COMPUTED_VALUE"""),"https://drive.google.com/drive/folders/1VWYsrqnjTUG7-oda2zHN8BriOazH8oro")</f>
        <v>https://drive.google.com/drive/folders/1VWYsrqnjTUG7-oda2zHN8BriOazH8oro</v>
      </c>
      <c r="BA12" s="5"/>
      <c r="BB12" s="5"/>
      <c r="BC12" s="5" t="str">
        <f ca="1">IFERROR(__xludf.DUMMYFUNCTION("""COMPUTED_VALUE"""),"Foxi")</f>
        <v>Foxi</v>
      </c>
      <c r="BD12" s="7" t="str">
        <f ca="1">IFERROR(__xludf.DUMMYFUNCTION("""COMPUTED_VALUE"""),"https://gameserver-store-client-area.orbionlimited.com/Home/IntegrationGameLaunch/client-area?moneyType=0&amp;gameName=Hot777&amp;platform=desktop&amp;languageCode=eng&amp;currency=EUR")</f>
        <v>https://gameserver-store-client-area.orbionlimited.com/Home/IntegrationGameLaunch/client-area?moneyType=0&amp;gameName=Hot777&amp;platform=desktop&amp;languageCode=eng&amp;currency=EUR</v>
      </c>
      <c r="BE12" s="5"/>
    </row>
    <row r="13" spans="1:57" x14ac:dyDescent="0.25">
      <c r="A13" s="5">
        <f ca="1">IFERROR(__xludf.DUMMYFUNCTION("""COMPUTED_VALUE"""),12)</f>
        <v>12</v>
      </c>
      <c r="B13" s="5">
        <f ca="1">IFERROR(__xludf.DUMMYFUNCTION("""COMPUTED_VALUE"""),11)</f>
        <v>11</v>
      </c>
      <c r="C13" s="5" t="str">
        <f ca="1">IFERROR(__xludf.DUMMYFUNCTION("""COMPUTED_VALUE"""),"Fazi")</f>
        <v>Fazi</v>
      </c>
      <c r="D13" s="5" t="str">
        <f ca="1">IFERROR(__xludf.DUMMYFUNCTION("""COMPUTED_VALUE"""),"Magic Cherry")</f>
        <v>Magic Cherry</v>
      </c>
      <c r="E13" s="5"/>
      <c r="F13" s="5" t="str">
        <f ca="1">IFERROR(__xludf.DUMMYFUNCTION("""COMPUTED_VALUE"""),"MagicFruits")</f>
        <v>MagicFruits</v>
      </c>
      <c r="G13" s="5" t="str">
        <f ca="1">IFERROR(__xludf.DUMMYFUNCTION("""COMPUTED_VALUE"""),"Retired")</f>
        <v>Retired</v>
      </c>
      <c r="H13" s="5"/>
      <c r="I13" s="5"/>
      <c r="J13" s="5"/>
      <c r="K13" s="5" t="str">
        <f ca="1">IFERROR(__xludf.DUMMYFUNCTION("""COMPUTED_VALUE"""),"Slot")</f>
        <v>Slot</v>
      </c>
      <c r="L13" s="5"/>
      <c r="M13" s="5"/>
      <c r="N13" s="5"/>
      <c r="O13" s="5"/>
      <c r="P13" s="5"/>
      <c r="Q13" s="5"/>
      <c r="R13" s="5"/>
      <c r="S13" s="5"/>
      <c r="T13" s="5"/>
      <c r="U13" s="5"/>
      <c r="V13" s="12" t="str">
        <f ca="1">IFERROR(__xludf.DUMMYFUNCTION("""COMPUTED_VALUE"""),"5")</f>
        <v>5</v>
      </c>
      <c r="W13" s="5"/>
      <c r="X13" s="13">
        <f ca="1">IFERROR(__xludf.DUMMYFUNCTION("""COMPUTED_VALUE"""),0)</f>
        <v>0</v>
      </c>
      <c r="Y13" s="5"/>
      <c r="Z13" s="5">
        <f ca="1">IFERROR(__xludf.DUMMYFUNCTION("""COMPUTED_VALUE"""),0)</f>
        <v>0</v>
      </c>
      <c r="AA13" s="5"/>
      <c r="AB13" s="5"/>
      <c r="AC13" s="5"/>
      <c r="AD13" s="5"/>
      <c r="AE13" s="5"/>
      <c r="AF13" s="5"/>
      <c r="AG13" s="5"/>
      <c r="AH13" s="5"/>
      <c r="AI13" s="5"/>
      <c r="AJ13" s="5"/>
      <c r="AK13" s="5">
        <f ca="1">IFERROR(__xludf.DUMMYFUNCTION("""COMPUTED_VALUE"""),5)</f>
        <v>5</v>
      </c>
      <c r="AL13" s="5"/>
      <c r="AM13" s="5"/>
      <c r="AN13" s="5"/>
      <c r="AO13" s="5"/>
      <c r="AP13" s="5"/>
      <c r="AQ13" s="5"/>
      <c r="AR13" s="5"/>
      <c r="AS13" s="5"/>
      <c r="AT13" s="5"/>
      <c r="AU13" s="5" t="str">
        <f ca="1">IFERROR(__xludf.DUMMYFUNCTION("""COMPUTED_VALUE"""),"Fazi")</f>
        <v>Fazi</v>
      </c>
      <c r="AV13" s="5"/>
      <c r="AW13" s="5"/>
      <c r="AX13" s="5"/>
      <c r="AY13" s="5"/>
      <c r="AZ13" s="5"/>
      <c r="BA13" s="5" t="str">
        <f ca="1">IFERROR(__xludf.DUMMYFUNCTION("""COMPUTED_VALUE"""),"")</f>
        <v/>
      </c>
      <c r="BB13" s="5"/>
      <c r="BC13" s="5" t="str">
        <f ca="1">IFERROR(__xludf.DUMMYFUNCTION("""COMPUTED_VALUE"""),"Foxi")</f>
        <v>Foxi</v>
      </c>
      <c r="BD13" s="5" t="str">
        <f ca="1">IFERROR(__xludf.DUMMYFUNCTION("""COMPUTED_VALUE"""),"")</f>
        <v/>
      </c>
      <c r="BE13" s="5"/>
    </row>
    <row r="14" spans="1:57" x14ac:dyDescent="0.25">
      <c r="A14" s="5">
        <f ca="1">IFERROR(__xludf.DUMMYFUNCTION("""COMPUTED_VALUE"""),13)</f>
        <v>13</v>
      </c>
      <c r="B14" s="5">
        <f ca="1">IFERROR(__xludf.DUMMYFUNCTION("""COMPUTED_VALUE"""),12)</f>
        <v>12</v>
      </c>
      <c r="C14" s="5" t="str">
        <f ca="1">IFERROR(__xludf.DUMMYFUNCTION("""COMPUTED_VALUE"""),"Fazi")</f>
        <v>Fazi</v>
      </c>
      <c r="D14" s="5" t="str">
        <f ca="1">IFERROR(__xludf.DUMMYFUNCTION("""COMPUTED_VALUE"""),"Spellbook")</f>
        <v>Spellbook</v>
      </c>
      <c r="E14" s="5" t="str">
        <f ca="1">IFERROR(__xludf.DUMMYFUNCTION("""COMPUTED_VALUE"""),"V2")</f>
        <v>V2</v>
      </c>
      <c r="F14" s="5" t="str">
        <f ca="1">IFERROR(__xludf.DUMMYFUNCTION("""COMPUTED_VALUE"""),"Spellbook")</f>
        <v>Spellbook</v>
      </c>
      <c r="G14" s="5" t="str">
        <f ca="1">IFERROR(__xludf.DUMMYFUNCTION("""COMPUTED_VALUE"""),"Live")</f>
        <v>Live</v>
      </c>
      <c r="H14" s="5"/>
      <c r="I14" s="5" t="str">
        <f ca="1">IFERROR(__xludf.DUMMYFUNCTION("""COMPUTED_VALUE"""),"V2")</f>
        <v>V2</v>
      </c>
      <c r="J14" s="5" t="str">
        <f ca="1">IFERROR(__xludf.DUMMYFUNCTION("""COMPUTED_VALUE"""),"Binary")</f>
        <v>Binary</v>
      </c>
      <c r="K14" s="5" t="str">
        <f ca="1">IFERROR(__xludf.DUMMYFUNCTION("""COMPUTED_VALUE"""),"Slot")</f>
        <v>Slot</v>
      </c>
      <c r="L14" s="5"/>
      <c r="M14" s="5"/>
      <c r="N14" s="5"/>
      <c r="O14" s="5"/>
      <c r="P14" s="5"/>
      <c r="Q14" s="5"/>
      <c r="R14" s="5"/>
      <c r="S14" s="5"/>
      <c r="T14" s="5"/>
      <c r="U14" s="5" t="str">
        <f ca="1">IFERROR(__xludf.DUMMYFUNCTION("""COMPUTED_VALUE"""),"5x3")</f>
        <v>5x3</v>
      </c>
      <c r="V14" s="12" t="str">
        <f ca="1">IFERROR(__xludf.DUMMYFUNCTION("""COMPUTED_VALUE"""),"10")</f>
        <v>10</v>
      </c>
      <c r="W14" s="12" t="str">
        <f ca="1">IFERROR(__xludf.DUMMYFUNCTION("""COMPUTED_VALUE"""),"1,3,5,7,10")</f>
        <v>1,3,5,7,10</v>
      </c>
      <c r="X14" s="5">
        <f ca="1">IFERROR(__xludf.DUMMYFUNCTION("""COMPUTED_VALUE"""),96.064)</f>
        <v>96.063999999999993</v>
      </c>
      <c r="Y14" s="5" t="str">
        <f ca="1">IFERROR(__xludf.DUMMYFUNCTION("""COMPUTED_VALUE"""),"High")</f>
        <v>High</v>
      </c>
      <c r="Z14" s="5">
        <f ca="1">IFERROR(__xludf.DUMMYFUNCTION("""COMPUTED_VALUE"""),31.47)</f>
        <v>31.47</v>
      </c>
      <c r="AA14" s="14">
        <f ca="1">IFERROR(__xludf.DUMMYFUNCTION("""COMPUTED_VALUE"""),5512)</f>
        <v>5512</v>
      </c>
      <c r="AB14" s="5">
        <f ca="1">IFERROR(__xludf.DUMMYFUNCTION("""COMPUTED_VALUE"""),212)</f>
        <v>212</v>
      </c>
      <c r="AC14" s="5" t="str">
        <f ca="1">IFERROR(__xludf.DUMMYFUNCTION("""COMPUTED_VALUE"""),"Book Of Game, Wild Symbol, Scatter")</f>
        <v>Book Of Game, Wild Symbol, Scatter</v>
      </c>
      <c r="AD14" s="5"/>
      <c r="AE14" s="5"/>
      <c r="AF14" s="5"/>
      <c r="AG14" s="5"/>
      <c r="AH14" s="5"/>
      <c r="AI14" s="5"/>
      <c r="AJ14" s="5"/>
      <c r="AK14" s="5">
        <f ca="1">IFERROR(__xludf.DUMMYFUNCTION("""COMPUTED_VALUE"""),10)</f>
        <v>10</v>
      </c>
      <c r="AL14" s="5"/>
      <c r="AM14" s="5"/>
      <c r="AN14" s="5"/>
      <c r="AO14" s="5"/>
      <c r="AP14" s="5"/>
      <c r="AQ14" s="5"/>
      <c r="AR14" s="5"/>
      <c r="AS14" s="5"/>
      <c r="AT14" s="5"/>
      <c r="AU14" s="5" t="str">
        <f ca="1">IFERROR(__xludf.DUMMYFUNCTION("""COMPUTED_VALUE"""),"Fazi")</f>
        <v>Fazi</v>
      </c>
      <c r="AV14" s="5"/>
      <c r="AW14" s="5"/>
      <c r="AX14" s="5"/>
      <c r="AY14" s="5"/>
      <c r="AZ14" s="5"/>
      <c r="BA14" s="5" t="str">
        <f ca="1">IFERROR(__xludf.DUMMYFUNCTION("""COMPUTED_VALUE"""),"")</f>
        <v/>
      </c>
      <c r="BB14" s="5"/>
      <c r="BC14" s="5" t="str">
        <f ca="1">IFERROR(__xludf.DUMMYFUNCTION("""COMPUTED_VALUE"""),"Foxi")</f>
        <v>Foxi</v>
      </c>
      <c r="BD14" s="5" t="str">
        <f ca="1">IFERROR(__xludf.DUMMYFUNCTION("""COMPUTED_VALUE"""),"")</f>
        <v/>
      </c>
      <c r="BE14" s="5"/>
    </row>
    <row r="15" spans="1:57" x14ac:dyDescent="0.25">
      <c r="A15" s="5">
        <f ca="1">IFERROR(__xludf.DUMMYFUNCTION("""COMPUTED_VALUE"""),14)</f>
        <v>14</v>
      </c>
      <c r="B15" s="5">
        <f ca="1">IFERROR(__xludf.DUMMYFUNCTION("""COMPUTED_VALUE"""),13)</f>
        <v>13</v>
      </c>
      <c r="C15" s="5" t="str">
        <f ca="1">IFERROR(__xludf.DUMMYFUNCTION("""COMPUTED_VALUE"""),"Fazi")</f>
        <v>Fazi</v>
      </c>
      <c r="D15" s="5" t="str">
        <f ca="1">IFERROR(__xludf.DUMMYFUNCTION("""COMPUTED_VALUE"""),"Wild West")</f>
        <v>Wild West</v>
      </c>
      <c r="E15" s="5" t="str">
        <f ca="1">IFERROR(__xludf.DUMMYFUNCTION("""COMPUTED_VALUE"""),"V2")</f>
        <v>V2</v>
      </c>
      <c r="F15" s="5" t="str">
        <f ca="1">IFERROR(__xludf.DUMMYFUNCTION("""COMPUTED_VALUE"""),"WildWest")</f>
        <v>WildWest</v>
      </c>
      <c r="G15" s="5" t="str">
        <f ca="1">IFERROR(__xludf.DUMMYFUNCTION("""COMPUTED_VALUE"""),"Live")</f>
        <v>Live</v>
      </c>
      <c r="H15" s="5"/>
      <c r="I15" s="5" t="str">
        <f ca="1">IFERROR(__xludf.DUMMYFUNCTION("""COMPUTED_VALUE"""),"V2")</f>
        <v>V2</v>
      </c>
      <c r="J15" s="5" t="str">
        <f ca="1">IFERROR(__xludf.DUMMYFUNCTION("""COMPUTED_VALUE"""),"Binary")</f>
        <v>Binary</v>
      </c>
      <c r="K15" s="5" t="str">
        <f ca="1">IFERROR(__xludf.DUMMYFUNCTION("""COMPUTED_VALUE"""),"Slot")</f>
        <v>Slot</v>
      </c>
      <c r="L15" s="5"/>
      <c r="M15" s="5"/>
      <c r="N15" s="5"/>
      <c r="O15" s="5"/>
      <c r="P15" s="14">
        <f ca="1">IFERROR(__xludf.DUMMYFUNCTION("""COMPUTED_VALUE"""),32.7)</f>
        <v>32.700000000000003</v>
      </c>
      <c r="Q15" s="5"/>
      <c r="R15" s="5"/>
      <c r="S15" s="15">
        <f ca="1">IFERROR(__xludf.DUMMYFUNCTION("""COMPUTED_VALUE"""),42979)</f>
        <v>42979</v>
      </c>
      <c r="T15" s="5" t="b">
        <f ca="1">IFERROR(__xludf.DUMMYFUNCTION("""COMPUTED_VALUE"""),TRUE)</f>
        <v>1</v>
      </c>
      <c r="U15" s="5" t="str">
        <f ca="1">IFERROR(__xludf.DUMMYFUNCTION("""COMPUTED_VALUE"""),"5x3")</f>
        <v>5x3</v>
      </c>
      <c r="V15" s="12" t="str">
        <f ca="1">IFERROR(__xludf.DUMMYFUNCTION("""COMPUTED_VALUE"""),"20")</f>
        <v>20</v>
      </c>
      <c r="W15" s="12" t="str">
        <f ca="1">IFERROR(__xludf.DUMMYFUNCTION("""COMPUTED_VALUE"""),"20")</f>
        <v>20</v>
      </c>
      <c r="X15" s="5">
        <f ca="1">IFERROR(__xludf.DUMMYFUNCTION("""COMPUTED_VALUE"""),95.625)</f>
        <v>95.625</v>
      </c>
      <c r="Y15" s="5" t="str">
        <f ca="1">IFERROR(__xludf.DUMMYFUNCTION("""COMPUTED_VALUE"""),"High")</f>
        <v>High</v>
      </c>
      <c r="Z15" s="5">
        <f ca="1">IFERROR(__xludf.DUMMYFUNCTION("""COMPUTED_VALUE"""),26.36)</f>
        <v>26.36</v>
      </c>
      <c r="AA15" s="14">
        <f ca="1">IFERROR(__xludf.DUMMYFUNCTION("""COMPUTED_VALUE"""),1005)</f>
        <v>1005</v>
      </c>
      <c r="AB15" s="5">
        <f ca="1">IFERROR(__xludf.DUMMYFUNCTION("""COMPUTED_VALUE"""),152)</f>
        <v>152</v>
      </c>
      <c r="AC15" s="5" t="str">
        <f ca="1">IFERROR(__xludf.DUMMYFUNCTION("""COMPUTED_VALUE"""),"Wild Symbol, Bonus Game with Sticky Wild")</f>
        <v>Wild Symbol, Bonus Game with Sticky Wild</v>
      </c>
      <c r="AD15" s="5" t="str">
        <f ca="1">IFERROR(__xludf.DUMMYFUNCTION("""COMPUTED_VALUE"""),"0.20/50")</f>
        <v>0.20/50</v>
      </c>
      <c r="AE15" s="5"/>
      <c r="AF15" s="5"/>
      <c r="AG15" s="5"/>
      <c r="AH15" s="5"/>
      <c r="AI15" s="5"/>
      <c r="AJ15" s="5"/>
      <c r="AK15" s="5">
        <f ca="1">IFERROR(__xludf.DUMMYFUNCTION("""COMPUTED_VALUE"""),20)</f>
        <v>20</v>
      </c>
      <c r="AL15" s="5" t="str">
        <f ca="1">IFERROR(__xludf.DUMMYFUNCTION("""COMPUTED_VALUE"""),"Yes")</f>
        <v>Yes</v>
      </c>
      <c r="AM15" s="5"/>
      <c r="AN15" s="7" t="str">
        <f ca="1">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AO15" s="5"/>
      <c r="AP15" s="5"/>
      <c r="AQ15" s="5" t="b">
        <f ca="1">IFERROR(__xludf.DUMMYFUNCTION("""COMPUTED_VALUE"""),TRUE)</f>
        <v>1</v>
      </c>
      <c r="AR15" s="5"/>
      <c r="AS15" s="5" t="str">
        <f ca="1">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AT15" s="5"/>
      <c r="AU15" s="5" t="str">
        <f ca="1">IFERROR(__xludf.DUMMYFUNCTION("""COMPUTED_VALUE"""),"Fazi")</f>
        <v>Fazi</v>
      </c>
      <c r="AV15" s="5"/>
      <c r="AW15" s="5"/>
      <c r="AX15" s="5"/>
      <c r="AY15" s="5"/>
      <c r="AZ15" s="5"/>
      <c r="BA15" s="5" t="str">
        <f ca="1">IFERROR(__xludf.DUMMYFUNCTION("""COMPUTED_VALUE"""),"")</f>
        <v/>
      </c>
      <c r="BB15" s="5"/>
      <c r="BC15" s="5" t="str">
        <f ca="1">IFERROR(__xludf.DUMMYFUNCTION("""COMPUTED_VALUE"""),"Foxi")</f>
        <v>Foxi</v>
      </c>
      <c r="BD15" s="7" t="str">
        <f ca="1">IFERROR(__xludf.DUMMYFUNCTION("""COMPUTED_VALUE"""),"https://gameserver-store-client-area.orbionlimited.com/Home/IntegrationGameLaunch/client-area?moneyType=0&amp;gameName=WildWest&amp;platform=desktop&amp;languageCode=eng&amp;currency=EUR")</f>
        <v>https://gameserver-store-client-area.orbionlimited.com/Home/IntegrationGameLaunch/client-area?moneyType=0&amp;gameName=WildWest&amp;platform=desktop&amp;languageCode=eng&amp;currency=EUR</v>
      </c>
      <c r="BE15" s="5" t="b">
        <f ca="1">IFERROR(__xludf.DUMMYFUNCTION("""COMPUTED_VALUE"""),TRUE)</f>
        <v>1</v>
      </c>
    </row>
    <row r="16" spans="1:57" x14ac:dyDescent="0.25">
      <c r="A16" s="5">
        <f ca="1">IFERROR(__xludf.DUMMYFUNCTION("""COMPUTED_VALUE"""),15)</f>
        <v>15</v>
      </c>
      <c r="B16" s="5">
        <f ca="1">IFERROR(__xludf.DUMMYFUNCTION("""COMPUTED_VALUE"""),14)</f>
        <v>14</v>
      </c>
      <c r="C16" s="5" t="str">
        <f ca="1">IFERROR(__xludf.DUMMYFUNCTION("""COMPUTED_VALUE"""),"Fazi")</f>
        <v>Fazi</v>
      </c>
      <c r="D16" s="5" t="str">
        <f ca="1">IFERROR(__xludf.DUMMYFUNCTION("""COMPUTED_VALUE"""),"Rolling Dices 81")</f>
        <v>Rolling Dices 81</v>
      </c>
      <c r="E16" s="5"/>
      <c r="F16" s="5" t="str">
        <f ca="1">IFERROR(__xludf.DUMMYFUNCTION("""COMPUTED_VALUE"""),"RollingDices81")</f>
        <v>RollingDices81</v>
      </c>
      <c r="G16" s="5" t="str">
        <f ca="1">IFERROR(__xludf.DUMMYFUNCTION("""COMPUTED_VALUE"""),"Live")</f>
        <v>Live</v>
      </c>
      <c r="H16" s="5"/>
      <c r="I16" s="5"/>
      <c r="J16" s="5"/>
      <c r="K16" s="5" t="str">
        <f ca="1">IFERROR(__xludf.DUMMYFUNCTION("""COMPUTED_VALUE"""),"Slot")</f>
        <v>Slot</v>
      </c>
      <c r="L16" s="5"/>
      <c r="M16" s="5"/>
      <c r="N16" s="5"/>
      <c r="O16" s="5"/>
      <c r="P16" s="5"/>
      <c r="Q16" s="5"/>
      <c r="R16" s="5"/>
      <c r="S16" s="5"/>
      <c r="T16" s="5"/>
      <c r="U16" s="5"/>
      <c r="V16" s="12" t="str">
        <f ca="1">IFERROR(__xludf.DUMMYFUNCTION("""COMPUTED_VALUE"""),"81")</f>
        <v>81</v>
      </c>
      <c r="W16" s="5"/>
      <c r="X16" s="13">
        <f ca="1">IFERROR(__xludf.DUMMYFUNCTION("""COMPUTED_VALUE"""),0)</f>
        <v>0</v>
      </c>
      <c r="Y16" s="5"/>
      <c r="Z16" s="5">
        <f ca="1">IFERROR(__xludf.DUMMYFUNCTION("""COMPUTED_VALUE"""),0)</f>
        <v>0</v>
      </c>
      <c r="AA16" s="5"/>
      <c r="AB16" s="5"/>
      <c r="AC16" s="5"/>
      <c r="AD16" s="5"/>
      <c r="AE16" s="5"/>
      <c r="AF16" s="5"/>
      <c r="AG16" s="5"/>
      <c r="AH16" s="5"/>
      <c r="AI16" s="5"/>
      <c r="AJ16" s="5"/>
      <c r="AK16" s="5">
        <f ca="1">IFERROR(__xludf.DUMMYFUNCTION("""COMPUTED_VALUE"""),81)</f>
        <v>81</v>
      </c>
      <c r="AL16" s="5"/>
      <c r="AM16" s="5"/>
      <c r="AN16" s="5"/>
      <c r="AO16" s="5"/>
      <c r="AP16" s="5"/>
      <c r="AQ16" s="5"/>
      <c r="AR16" s="5"/>
      <c r="AS16" s="5"/>
      <c r="AT16" s="5"/>
      <c r="AU16" s="5" t="str">
        <f ca="1">IFERROR(__xludf.DUMMYFUNCTION("""COMPUTED_VALUE"""),"Fazi")</f>
        <v>Fazi</v>
      </c>
      <c r="AV16" s="5"/>
      <c r="AW16" s="5"/>
      <c r="AX16" s="5"/>
      <c r="AY16" s="5"/>
      <c r="AZ16" s="5"/>
      <c r="BA16" s="5" t="str">
        <f ca="1">IFERROR(__xludf.DUMMYFUNCTION("""COMPUTED_VALUE"""),"")</f>
        <v/>
      </c>
      <c r="BB16" s="5"/>
      <c r="BC16" s="5" t="str">
        <f ca="1">IFERROR(__xludf.DUMMYFUNCTION("""COMPUTED_VALUE"""),"Foxi")</f>
        <v>Foxi</v>
      </c>
      <c r="BD16" s="5" t="str">
        <f ca="1">IFERROR(__xludf.DUMMYFUNCTION("""COMPUTED_VALUE"""),"")</f>
        <v/>
      </c>
      <c r="BE16" s="5"/>
    </row>
    <row r="17" spans="1:57" x14ac:dyDescent="0.25">
      <c r="A17" s="5">
        <f ca="1">IFERROR(__xludf.DUMMYFUNCTION("""COMPUTED_VALUE"""),16)</f>
        <v>16</v>
      </c>
      <c r="B17" s="5">
        <f ca="1">IFERROR(__xludf.DUMMYFUNCTION("""COMPUTED_VALUE"""),15)</f>
        <v>15</v>
      </c>
      <c r="C17" s="5" t="str">
        <f ca="1">IFERROR(__xludf.DUMMYFUNCTION("""COMPUTED_VALUE"""),"Fazi")</f>
        <v>Fazi</v>
      </c>
      <c r="D17" s="5" t="str">
        <f ca="1">IFERROR(__xludf.DUMMYFUNCTION("""COMPUTED_VALUE"""),"Pyramid")</f>
        <v>Pyramid</v>
      </c>
      <c r="E17" s="5" t="str">
        <f ca="1">IFERROR(__xludf.DUMMYFUNCTION("""COMPUTED_VALUE"""),"V2")</f>
        <v>V2</v>
      </c>
      <c r="F17" s="5" t="str">
        <f ca="1">IFERROR(__xludf.DUMMYFUNCTION("""COMPUTED_VALUE"""),"Pyramid")</f>
        <v>Pyramid</v>
      </c>
      <c r="G17" s="5" t="str">
        <f ca="1">IFERROR(__xludf.DUMMYFUNCTION("""COMPUTED_VALUE"""),"Live")</f>
        <v>Live</v>
      </c>
      <c r="H17" s="5"/>
      <c r="I17" s="5" t="str">
        <f ca="1">IFERROR(__xludf.DUMMYFUNCTION("""COMPUTED_VALUE"""),"V2")</f>
        <v>V2</v>
      </c>
      <c r="J17" s="5" t="str">
        <f ca="1">IFERROR(__xludf.DUMMYFUNCTION("""COMPUTED_VALUE"""),"Binary")</f>
        <v>Binary</v>
      </c>
      <c r="K17" s="5" t="str">
        <f ca="1">IFERROR(__xludf.DUMMYFUNCTION("""COMPUTED_VALUE"""),"Slot")</f>
        <v>Slot</v>
      </c>
      <c r="L17" s="5"/>
      <c r="M17" s="5"/>
      <c r="N17" s="5"/>
      <c r="O17" s="5"/>
      <c r="P17" s="14">
        <f ca="1">IFERROR(__xludf.DUMMYFUNCTION("""COMPUTED_VALUE"""),32.3)</f>
        <v>32.299999999999997</v>
      </c>
      <c r="Q17" s="5"/>
      <c r="R17" s="5"/>
      <c r="S17" s="15">
        <f ca="1">IFERROR(__xludf.DUMMYFUNCTION("""COMPUTED_VALUE"""),42979)</f>
        <v>42979</v>
      </c>
      <c r="T17" s="5" t="b">
        <f ca="1">IFERROR(__xludf.DUMMYFUNCTION("""COMPUTED_VALUE"""),TRUE)</f>
        <v>1</v>
      </c>
      <c r="U17" s="5" t="str">
        <f ca="1">IFERROR(__xludf.DUMMYFUNCTION("""COMPUTED_VALUE"""),"5x3")</f>
        <v>5x3</v>
      </c>
      <c r="V17" s="12" t="str">
        <f ca="1">IFERROR(__xludf.DUMMYFUNCTION("""COMPUTED_VALUE"""),"15")</f>
        <v>15</v>
      </c>
      <c r="W17" s="12" t="str">
        <f ca="1">IFERROR(__xludf.DUMMYFUNCTION("""COMPUTED_VALUE"""),"1,3,5,9,15")</f>
        <v>1,3,5,9,15</v>
      </c>
      <c r="X17" s="5">
        <f ca="1">IFERROR(__xludf.DUMMYFUNCTION("""COMPUTED_VALUE"""),96.142)</f>
        <v>96.141999999999996</v>
      </c>
      <c r="Y17" s="5" t="str">
        <f ca="1">IFERROR(__xludf.DUMMYFUNCTION("""COMPUTED_VALUE"""),"High")</f>
        <v>High</v>
      </c>
      <c r="Z17" s="5">
        <f ca="1">IFERROR(__xludf.DUMMYFUNCTION("""COMPUTED_VALUE"""),28.08)</f>
        <v>28.08</v>
      </c>
      <c r="AA17" s="14">
        <f ca="1">IFERROR(__xludf.DUMMYFUNCTION("""COMPUTED_VALUE"""),1530)</f>
        <v>1530</v>
      </c>
      <c r="AB17" s="5">
        <f ca="1">IFERROR(__xludf.DUMMYFUNCTION("""COMPUTED_VALUE"""),149)</f>
        <v>149</v>
      </c>
      <c r="AC17" s="5" t="str">
        <f ca="1">IFERROR(__xludf.DUMMYFUNCTION("""COMPUTED_VALUE"""),"Wild Symbol, Bonus Game with Free Spins, Respin, Sticky Wild")</f>
        <v>Wild Symbol, Bonus Game with Free Spins, Respin, Sticky Wild</v>
      </c>
      <c r="AD17" s="5" t="str">
        <f ca="1">IFERROR(__xludf.DUMMYFUNCTION("""COMPUTED_VALUE"""),"0.01/45")</f>
        <v>0.01/45</v>
      </c>
      <c r="AE17" s="5"/>
      <c r="AF17" s="5"/>
      <c r="AG17" s="5"/>
      <c r="AH17" s="5"/>
      <c r="AI17" s="5"/>
      <c r="AJ17" s="5"/>
      <c r="AK17" s="5">
        <f ca="1">IFERROR(__xludf.DUMMYFUNCTION("""COMPUTED_VALUE"""),15)</f>
        <v>15</v>
      </c>
      <c r="AL17" s="5" t="str">
        <f ca="1">IFERROR(__xludf.DUMMYFUNCTION("""COMPUTED_VALUE"""),"Yes")</f>
        <v>Yes</v>
      </c>
      <c r="AM17" s="5"/>
      <c r="AN17" s="7" t="str">
        <f ca="1">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AO17" s="5"/>
      <c r="AP17" s="5"/>
      <c r="AQ17" s="5" t="b">
        <f ca="1">IFERROR(__xludf.DUMMYFUNCTION("""COMPUTED_VALUE"""),TRUE)</f>
        <v>1</v>
      </c>
      <c r="AR17" s="5"/>
      <c r="AS17" s="5" t="str">
        <f ca="1">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AT17" s="5"/>
      <c r="AU17" s="5" t="str">
        <f ca="1">IFERROR(__xludf.DUMMYFUNCTION("""COMPUTED_VALUE"""),"Fazi")</f>
        <v>Fazi</v>
      </c>
      <c r="AV17" s="5"/>
      <c r="AW17" s="5"/>
      <c r="AX17" s="5"/>
      <c r="AY17" s="5"/>
      <c r="AZ17" s="5"/>
      <c r="BA17" s="5" t="str">
        <f ca="1">IFERROR(__xludf.DUMMYFUNCTION("""COMPUTED_VALUE"""),"")</f>
        <v/>
      </c>
      <c r="BB17" s="5"/>
      <c r="BC17" s="5" t="str">
        <f ca="1">IFERROR(__xludf.DUMMYFUNCTION("""COMPUTED_VALUE"""),"Foxi")</f>
        <v>Foxi</v>
      </c>
      <c r="BD17" s="7" t="str">
        <f ca="1">IFERROR(__xludf.DUMMYFUNCTION("""COMPUTED_VALUE"""),"https://gameserver-store-client-area.orbionlimited.com/Home/IntegrationGameLaunch/client-area?moneyType=0&amp;gameName=Pyramid&amp;platform=desktop&amp;languageCode=eng&amp;currency=EUR")</f>
        <v>https://gameserver-store-client-area.orbionlimited.com/Home/IntegrationGameLaunch/client-area?moneyType=0&amp;gameName=Pyramid&amp;platform=desktop&amp;languageCode=eng&amp;currency=EUR</v>
      </c>
      <c r="BE17" s="5" t="b">
        <f ca="1">IFERROR(__xludf.DUMMYFUNCTION("""COMPUTED_VALUE"""),TRUE)</f>
        <v>1</v>
      </c>
    </row>
    <row r="18" spans="1:57" x14ac:dyDescent="0.25">
      <c r="A18" s="5">
        <f ca="1">IFERROR(__xludf.DUMMYFUNCTION("""COMPUTED_VALUE"""),17)</f>
        <v>17</v>
      </c>
      <c r="B18" s="5">
        <f ca="1">IFERROR(__xludf.DUMMYFUNCTION("""COMPUTED_VALUE"""),16)</f>
        <v>16</v>
      </c>
      <c r="C18" s="5" t="str">
        <f ca="1">IFERROR(__xludf.DUMMYFUNCTION("""COMPUTED_VALUE"""),"Fazi")</f>
        <v>Fazi</v>
      </c>
      <c r="D18" s="5" t="str">
        <f ca="1">IFERROR(__xludf.DUMMYFUNCTION("""COMPUTED_VALUE"""),"Roulette")</f>
        <v>Roulette</v>
      </c>
      <c r="E18" s="5" t="str">
        <f ca="1">IFERROR(__xludf.DUMMYFUNCTION("""COMPUTED_VALUE"""),"V2")</f>
        <v>V2</v>
      </c>
      <c r="F18" s="5" t="str">
        <f ca="1">IFERROR(__xludf.DUMMYFUNCTION("""COMPUTED_VALUE"""),"Roulette")</f>
        <v>Roulette</v>
      </c>
      <c r="G18" s="5" t="str">
        <f ca="1">IFERROR(__xludf.DUMMYFUNCTION("""COMPUTED_VALUE"""),"Live")</f>
        <v>Live</v>
      </c>
      <c r="H18" s="5"/>
      <c r="I18" s="5" t="str">
        <f ca="1">IFERROR(__xludf.DUMMYFUNCTION("""COMPUTED_VALUE"""),"V2")</f>
        <v>V2</v>
      </c>
      <c r="J18" s="5" t="str">
        <f ca="1">IFERROR(__xludf.DUMMYFUNCTION("""COMPUTED_VALUE"""),"Binary")</f>
        <v>Binary</v>
      </c>
      <c r="K18" s="5" t="str">
        <f ca="1">IFERROR(__xludf.DUMMYFUNCTION("""COMPUTED_VALUE"""),"Roulette")</f>
        <v>Roulette</v>
      </c>
      <c r="L18" s="5"/>
      <c r="M18" s="5"/>
      <c r="N18" s="5"/>
      <c r="O18" s="5"/>
      <c r="P18" s="14">
        <f ca="1">IFERROR(__xludf.DUMMYFUNCTION("""COMPUTED_VALUE"""),46.8)</f>
        <v>46.8</v>
      </c>
      <c r="Q18" s="5"/>
      <c r="R18" s="5"/>
      <c r="S18" s="15">
        <f ca="1">IFERROR(__xludf.DUMMYFUNCTION("""COMPUTED_VALUE"""),42979)</f>
        <v>42979</v>
      </c>
      <c r="T18" s="5" t="b">
        <f ca="1">IFERROR(__xludf.DUMMYFUNCTION("""COMPUTED_VALUE"""),TRUE)</f>
        <v>1</v>
      </c>
      <c r="U18" s="5" t="str">
        <f ca="1">IFERROR(__xludf.DUMMYFUNCTION("""COMPUTED_VALUE"""),"/")</f>
        <v>/</v>
      </c>
      <c r="V18" s="12" t="str">
        <f ca="1">IFERROR(__xludf.DUMMYFUNCTION("""COMPUTED_VALUE"""),"/")</f>
        <v>/</v>
      </c>
      <c r="W18" s="12" t="str">
        <f ca="1">IFERROR(__xludf.DUMMYFUNCTION("""COMPUTED_VALUE"""),"/")</f>
        <v>/</v>
      </c>
      <c r="X18" s="5">
        <f ca="1">IFERROR(__xludf.DUMMYFUNCTION("""COMPUTED_VALUE"""),97.3)</f>
        <v>97.3</v>
      </c>
      <c r="Y18" s="5" t="str">
        <f ca="1">IFERROR(__xludf.DUMMYFUNCTION("""COMPUTED_VALUE"""),"Medium")</f>
        <v>Medium</v>
      </c>
      <c r="Z18" s="5">
        <f ca="1">IFERROR(__xludf.DUMMYFUNCTION("""COMPUTED_VALUE"""),-1)</f>
        <v>-1</v>
      </c>
      <c r="AA18" s="14">
        <f ca="1">IFERROR(__xludf.DUMMYFUNCTION("""COMPUTED_VALUE"""),36)</f>
        <v>36</v>
      </c>
      <c r="AB18" s="5" t="str">
        <f ca="1">IFERROR(__xludf.DUMMYFUNCTION("""COMPUTED_VALUE"""),"/")</f>
        <v>/</v>
      </c>
      <c r="AC18" s="5"/>
      <c r="AD18" s="5" t="str">
        <f ca="1">IFERROR(__xludf.DUMMYFUNCTION("""COMPUTED_VALUE"""),"0.1/6000")</f>
        <v>0.1/6000</v>
      </c>
      <c r="AE18" s="5"/>
      <c r="AF18" s="5"/>
      <c r="AG18" s="10">
        <f ca="1">IFERROR(__xludf.DUMMYFUNCTION("""COMPUTED_VALUE"""),46197.5407986111)</f>
        <v>46197.540798611102</v>
      </c>
      <c r="AH18" s="5" t="str">
        <f ca="1">IFERROR(__xludf.DUMMYFUNCTION("""COMPUTED_VALUE"""),"selena.mihajlovic@fazi.rs")</f>
        <v>selena.mihajlovic@fazi.rs</v>
      </c>
      <c r="AI18" s="5"/>
      <c r="AJ18" s="5"/>
      <c r="AK18" s="5">
        <f ca="1">IFERROR(__xludf.DUMMYFUNCTION("""COMPUTED_VALUE"""),0)</f>
        <v>0</v>
      </c>
      <c r="AL18" s="5" t="str">
        <f ca="1">IFERROR(__xludf.DUMMYFUNCTION("""COMPUTED_VALUE"""),"Yes")</f>
        <v>Yes</v>
      </c>
      <c r="AM18" s="5"/>
      <c r="AN18" s="7" t="str">
        <f ca="1">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AO18" s="5"/>
      <c r="AP18" s="5"/>
      <c r="AQ18" s="5" t="b">
        <f ca="1">IFERROR(__xludf.DUMMYFUNCTION("""COMPUTED_VALUE"""),TRUE)</f>
        <v>1</v>
      </c>
      <c r="AR18" s="5"/>
      <c r="AS18" s="5" t="str">
        <f ca="1">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AT18" s="5"/>
      <c r="AU18" s="5" t="str">
        <f ca="1">IFERROR(__xludf.DUMMYFUNCTION("""COMPUTED_VALUE"""),"Fazi")</f>
        <v>Fazi</v>
      </c>
      <c r="AV18" s="5"/>
      <c r="AW18" s="5"/>
      <c r="AX18" s="5"/>
      <c r="AY18" s="5"/>
      <c r="AZ18" s="5"/>
      <c r="BA18" s="5"/>
      <c r="BB18" s="5" t="b">
        <f ca="1">IFERROR(__xludf.DUMMYFUNCTION("""COMPUTED_VALUE"""),TRUE)</f>
        <v>1</v>
      </c>
      <c r="BC18" s="5" t="str">
        <f ca="1">IFERROR(__xludf.DUMMYFUNCTION("""COMPUTED_VALUE"""),"Foxi")</f>
        <v>Foxi</v>
      </c>
      <c r="BD18" s="7" t="str">
        <f ca="1">IFERROR(__xludf.DUMMYFUNCTION("""COMPUTED_VALUE"""),"https://gameserver-store-client-area.orbionlimited.com/Home/IntegrationGameLaunch/client-area?moneyType=0&amp;gameName=Roulette&amp;platform=desktop&amp;languageCode=eng&amp;currency=EUR")</f>
        <v>https://gameserver-store-client-area.orbionlimited.com/Home/IntegrationGameLaunch/client-area?moneyType=0&amp;gameName=Roulette&amp;platform=desktop&amp;languageCode=eng&amp;currency=EUR</v>
      </c>
      <c r="BE18" s="5" t="b">
        <f ca="1">IFERROR(__xludf.DUMMYFUNCTION("""COMPUTED_VALUE"""),FALSE)</f>
        <v>0</v>
      </c>
    </row>
    <row r="19" spans="1:57" x14ac:dyDescent="0.25">
      <c r="A19" s="5">
        <f ca="1">IFERROR(__xludf.DUMMYFUNCTION("""COMPUTED_VALUE"""),18)</f>
        <v>18</v>
      </c>
      <c r="B19" s="5">
        <f ca="1">IFERROR(__xludf.DUMMYFUNCTION("""COMPUTED_VALUE"""),17)</f>
        <v>17</v>
      </c>
      <c r="C19" s="5" t="str">
        <f ca="1">IFERROR(__xludf.DUMMYFUNCTION("""COMPUTED_VALUE"""),"Fazi")</f>
        <v>Fazi</v>
      </c>
      <c r="D19" s="5" t="str">
        <f ca="1">IFERROR(__xludf.DUMMYFUNCTION("""COMPUTED_VALUE"""),"Jolly Poker")</f>
        <v>Jolly Poker</v>
      </c>
      <c r="E19" s="5" t="str">
        <f ca="1">IFERROR(__xludf.DUMMYFUNCTION("""COMPUTED_VALUE"""),"V2")</f>
        <v>V2</v>
      </c>
      <c r="F19" s="5" t="str">
        <f ca="1">IFERROR(__xludf.DUMMYFUNCTION("""COMPUTED_VALUE"""),"JollyPoker")</f>
        <v>JollyPoker</v>
      </c>
      <c r="G19" s="5" t="str">
        <f ca="1">IFERROR(__xludf.DUMMYFUNCTION("""COMPUTED_VALUE"""),"Live")</f>
        <v>Live</v>
      </c>
      <c r="H19" s="5"/>
      <c r="I19" s="5" t="str">
        <f ca="1">IFERROR(__xludf.DUMMYFUNCTION("""COMPUTED_VALUE"""),"V2")</f>
        <v>V2</v>
      </c>
      <c r="J19" s="5" t="str">
        <f ca="1">IFERROR(__xludf.DUMMYFUNCTION("""COMPUTED_VALUE"""),"Binary")</f>
        <v>Binary</v>
      </c>
      <c r="K19" s="5" t="str">
        <f ca="1">IFERROR(__xludf.DUMMYFUNCTION("""COMPUTED_VALUE"""),"Poker")</f>
        <v>Poker</v>
      </c>
      <c r="L19" s="5"/>
      <c r="M19" s="5"/>
      <c r="N19" s="5"/>
      <c r="O19" s="5"/>
      <c r="P19" s="14">
        <f ca="1">IFERROR(__xludf.DUMMYFUNCTION("""COMPUTED_VALUE"""),14.8)</f>
        <v>14.8</v>
      </c>
      <c r="Q19" s="5"/>
      <c r="R19" s="5"/>
      <c r="S19" s="15">
        <f ca="1">IFERROR(__xludf.DUMMYFUNCTION("""COMPUTED_VALUE"""),43070)</f>
        <v>43070</v>
      </c>
      <c r="T19" s="5" t="b">
        <f ca="1">IFERROR(__xludf.DUMMYFUNCTION("""COMPUTED_VALUE"""),TRUE)</f>
        <v>1</v>
      </c>
      <c r="U19" s="5" t="str">
        <f ca="1">IFERROR(__xludf.DUMMYFUNCTION("""COMPUTED_VALUE"""),"/")</f>
        <v>/</v>
      </c>
      <c r="V19" s="12" t="str">
        <f ca="1">IFERROR(__xludf.DUMMYFUNCTION("""COMPUTED_VALUE"""),"/")</f>
        <v>/</v>
      </c>
      <c r="W19" s="5"/>
      <c r="X19" s="5">
        <f ca="1">IFERROR(__xludf.DUMMYFUNCTION("""COMPUTED_VALUE"""),98.398)</f>
        <v>98.397999999999996</v>
      </c>
      <c r="Y19" s="5" t="str">
        <f ca="1">IFERROR(__xludf.DUMMYFUNCTION("""COMPUTED_VALUE"""),"Low")</f>
        <v>Low</v>
      </c>
      <c r="Z19" s="5"/>
      <c r="AA19" s="14">
        <f ca="1">IFERROR(__xludf.DUMMYFUNCTION("""COMPUTED_VALUE"""),1000)</f>
        <v>1000</v>
      </c>
      <c r="AB19" s="5" t="str">
        <f ca="1">IFERROR(__xludf.DUMMYFUNCTION("""COMPUTED_VALUE"""),"/")</f>
        <v>/</v>
      </c>
      <c r="AC19" s="5" t="str">
        <f ca="1">IFERROR(__xludf.DUMMYFUNCTION("""COMPUTED_VALUE"""),"Poker machine")</f>
        <v>Poker machine</v>
      </c>
      <c r="AD19" s="5" t="str">
        <f ca="1">IFERROR(__xludf.DUMMYFUNCTION("""COMPUTED_VALUE"""),"0.20/10")</f>
        <v>0.20/10</v>
      </c>
      <c r="AE19" s="5"/>
      <c r="AF19" s="5"/>
      <c r="AG19" s="5"/>
      <c r="AH19" s="5"/>
      <c r="AI19" s="5"/>
      <c r="AJ19" s="5"/>
      <c r="AK19" s="5">
        <f ca="1">IFERROR(__xludf.DUMMYFUNCTION("""COMPUTED_VALUE"""),0)</f>
        <v>0</v>
      </c>
      <c r="AL19" s="5" t="str">
        <f ca="1">IFERROR(__xludf.DUMMYFUNCTION("""COMPUTED_VALUE"""),"Yes")</f>
        <v>Yes</v>
      </c>
      <c r="AM19" s="5"/>
      <c r="AN19" s="7" t="str">
        <f ca="1">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AO19" s="5"/>
      <c r="AP19" s="5"/>
      <c r="AQ19" s="5" t="b">
        <f ca="1">IFERROR(__xludf.DUMMYFUNCTION("""COMPUTED_VALUE"""),TRUE)</f>
        <v>1</v>
      </c>
      <c r="AR19" s="5"/>
      <c r="AS19" s="5" t="str">
        <f ca="1">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AT19" s="5"/>
      <c r="AU19" s="5" t="str">
        <f ca="1">IFERROR(__xludf.DUMMYFUNCTION("""COMPUTED_VALUE"""),"Fazi")</f>
        <v>Fazi</v>
      </c>
      <c r="AV19" s="5"/>
      <c r="AW19" s="5"/>
      <c r="AX19" s="5"/>
      <c r="AY19" s="5"/>
      <c r="AZ19" s="5"/>
      <c r="BA19" s="5" t="str">
        <f ca="1">IFERROR(__xludf.DUMMYFUNCTION("""COMPUTED_VALUE"""),"")</f>
        <v/>
      </c>
      <c r="BB19" s="5"/>
      <c r="BC19" s="5" t="str">
        <f ca="1">IFERROR(__xludf.DUMMYFUNCTION("""COMPUTED_VALUE"""),"Foxi")</f>
        <v>Foxi</v>
      </c>
      <c r="BD19" s="7" t="str">
        <f ca="1">IFERROR(__xludf.DUMMYFUNCTION("""COMPUTED_VALUE"""),"https://gameserver-store-client-area.orbionlimited.com/Home/IntegrationGameLaunch/client-area?moneyType=0&amp;gameName=JollyPoker&amp;platform=desktop&amp;languageCode=eng&amp;currency=EUR")</f>
        <v>https://gameserver-store-client-area.orbionlimited.com/Home/IntegrationGameLaunch/client-area?moneyType=0&amp;gameName=JollyPoker&amp;platform=desktop&amp;languageCode=eng&amp;currency=EUR</v>
      </c>
      <c r="BE19" s="5" t="b">
        <f ca="1">IFERROR(__xludf.DUMMYFUNCTION("""COMPUTED_VALUE"""),TRUE)</f>
        <v>1</v>
      </c>
    </row>
    <row r="20" spans="1:57" x14ac:dyDescent="0.25">
      <c r="A20" s="5">
        <f ca="1">IFERROR(__xludf.DUMMYFUNCTION("""COMPUTED_VALUE"""),19)</f>
        <v>19</v>
      </c>
      <c r="B20" s="5">
        <f ca="1">IFERROR(__xludf.DUMMYFUNCTION("""COMPUTED_VALUE"""),18)</f>
        <v>18</v>
      </c>
      <c r="C20" s="5" t="str">
        <f ca="1">IFERROR(__xludf.DUMMYFUNCTION("""COMPUTED_VALUE"""),"Fazi")</f>
        <v>Fazi</v>
      </c>
      <c r="D20" s="5" t="str">
        <f ca="1">IFERROR(__xludf.DUMMYFUNCTION("""COMPUTED_VALUE"""),"Alpinist")</f>
        <v>Alpinist</v>
      </c>
      <c r="E20" s="5" t="str">
        <f ca="1">IFERROR(__xludf.DUMMYFUNCTION("""COMPUTED_VALUE"""),"V2")</f>
        <v>V2</v>
      </c>
      <c r="F20" s="5" t="str">
        <f ca="1">IFERROR(__xludf.DUMMYFUNCTION("""COMPUTED_VALUE"""),"Alpinist")</f>
        <v>Alpinist</v>
      </c>
      <c r="G20" s="5" t="str">
        <f ca="1">IFERROR(__xludf.DUMMYFUNCTION("""COMPUTED_VALUE"""),"Retired")</f>
        <v>Retired</v>
      </c>
      <c r="H20" s="5"/>
      <c r="I20" s="5" t="str">
        <f ca="1">IFERROR(__xludf.DUMMYFUNCTION("""COMPUTED_VALUE"""),"V2")</f>
        <v>V2</v>
      </c>
      <c r="J20" s="5" t="str">
        <f ca="1">IFERROR(__xludf.DUMMYFUNCTION("""COMPUTED_VALUE"""),"Binary")</f>
        <v>Binary</v>
      </c>
      <c r="K20" s="5" t="str">
        <f ca="1">IFERROR(__xludf.DUMMYFUNCTION("""COMPUTED_VALUE"""),"Slot")</f>
        <v>Slot</v>
      </c>
      <c r="L20" s="5"/>
      <c r="M20" s="5"/>
      <c r="N20" s="5"/>
      <c r="O20" s="5"/>
      <c r="P20" s="5"/>
      <c r="Q20" s="5"/>
      <c r="R20" s="5"/>
      <c r="S20" s="5"/>
      <c r="T20" s="5"/>
      <c r="U20" s="5"/>
      <c r="V20" s="12" t="str">
        <f ca="1">IFERROR(__xludf.DUMMYFUNCTION("""COMPUTED_VALUE"""),"15")</f>
        <v>15</v>
      </c>
      <c r="W20" s="5"/>
      <c r="X20" s="13">
        <f ca="1">IFERROR(__xludf.DUMMYFUNCTION("""COMPUTED_VALUE"""),0)</f>
        <v>0</v>
      </c>
      <c r="Y20" s="5"/>
      <c r="Z20" s="5"/>
      <c r="AA20" s="5"/>
      <c r="AB20" s="5"/>
      <c r="AC20" s="5"/>
      <c r="AD20" s="5"/>
      <c r="AE20" s="5"/>
      <c r="AF20" s="5"/>
      <c r="AG20" s="10">
        <f ca="1">IFERROR(__xludf.DUMMYFUNCTION("""COMPUTED_VALUE"""),45960.4435300925)</f>
        <v>45960.443530092503</v>
      </c>
      <c r="AH20" s="5" t="str">
        <f ca="1">IFERROR(__xludf.DUMMYFUNCTION("""COMPUTED_VALUE"""),"nikola.antic@fazi.rs")</f>
        <v>nikola.antic@fazi.rs</v>
      </c>
      <c r="AI20" s="5"/>
      <c r="AJ20" s="5"/>
      <c r="AK20" s="5">
        <f ca="1">IFERROR(__xludf.DUMMYFUNCTION("""COMPUTED_VALUE"""),15)</f>
        <v>15</v>
      </c>
      <c r="AL20" s="5"/>
      <c r="AM20" s="5"/>
      <c r="AN20" s="5"/>
      <c r="AO20" s="5"/>
      <c r="AP20" s="5"/>
      <c r="AQ20" s="5"/>
      <c r="AR20" s="5"/>
      <c r="AS20" s="5"/>
      <c r="AT20" s="5"/>
      <c r="AU20" s="5" t="str">
        <f ca="1">IFERROR(__xludf.DUMMYFUNCTION("""COMPUTED_VALUE"""),"Fazi")</f>
        <v>Fazi</v>
      </c>
      <c r="AV20" s="5"/>
      <c r="AW20" s="5"/>
      <c r="AX20" s="5"/>
      <c r="AY20" s="5"/>
      <c r="AZ20" s="5"/>
      <c r="BA20" s="5" t="str">
        <f ca="1">IFERROR(__xludf.DUMMYFUNCTION("""COMPUTED_VALUE"""),"")</f>
        <v/>
      </c>
      <c r="BB20" s="5"/>
      <c r="BC20" s="5" t="str">
        <f ca="1">IFERROR(__xludf.DUMMYFUNCTION("""COMPUTED_VALUE"""),"Foxi")</f>
        <v>Foxi</v>
      </c>
      <c r="BD20" s="5" t="str">
        <f ca="1">IFERROR(__xludf.DUMMYFUNCTION("""COMPUTED_VALUE"""),"")</f>
        <v/>
      </c>
      <c r="BE20" s="5"/>
    </row>
    <row r="21" spans="1:57" x14ac:dyDescent="0.25">
      <c r="A21" s="5">
        <f ca="1">IFERROR(__xludf.DUMMYFUNCTION("""COMPUTED_VALUE"""),20)</f>
        <v>20</v>
      </c>
      <c r="B21" s="5">
        <f ca="1">IFERROR(__xludf.DUMMYFUNCTION("""COMPUTED_VALUE"""),19)</f>
        <v>19</v>
      </c>
      <c r="C21" s="5" t="str">
        <f ca="1">IFERROR(__xludf.DUMMYFUNCTION("""COMPUTED_VALUE"""),"Fazi")</f>
        <v>Fazi</v>
      </c>
      <c r="D21" s="5" t="str">
        <f ca="1">IFERROR(__xludf.DUMMYFUNCTION("""COMPUTED_VALUE"""),"Diamonds")</f>
        <v>Diamonds</v>
      </c>
      <c r="E21" s="5" t="str">
        <f ca="1">IFERROR(__xludf.DUMMYFUNCTION("""COMPUTED_VALUE"""),"V2")</f>
        <v>V2</v>
      </c>
      <c r="F21" s="5" t="str">
        <f ca="1">IFERROR(__xludf.DUMMYFUNCTION("""COMPUTED_VALUE"""),"Diamonds")</f>
        <v>Diamonds</v>
      </c>
      <c r="G21" s="5" t="str">
        <f ca="1">IFERROR(__xludf.DUMMYFUNCTION("""COMPUTED_VALUE"""),"Retired")</f>
        <v>Retired</v>
      </c>
      <c r="H21" s="5"/>
      <c r="I21" s="5" t="str">
        <f ca="1">IFERROR(__xludf.DUMMYFUNCTION("""COMPUTED_VALUE"""),"V2")</f>
        <v>V2</v>
      </c>
      <c r="J21" s="5" t="str">
        <f ca="1">IFERROR(__xludf.DUMMYFUNCTION("""COMPUTED_VALUE"""),"Binary")</f>
        <v>Binary</v>
      </c>
      <c r="K21" s="5" t="str">
        <f ca="1">IFERROR(__xludf.DUMMYFUNCTION("""COMPUTED_VALUE"""),"Slot")</f>
        <v>Slot</v>
      </c>
      <c r="L21" s="5"/>
      <c r="M21" s="5"/>
      <c r="N21" s="5"/>
      <c r="O21" s="5"/>
      <c r="P21" s="5"/>
      <c r="Q21" s="5"/>
      <c r="R21" s="5"/>
      <c r="S21" s="5"/>
      <c r="T21" s="5"/>
      <c r="U21" s="5" t="str">
        <f ca="1">IFERROR(__xludf.DUMMYFUNCTION("""COMPUTED_VALUE"""),"5x3")</f>
        <v>5x3</v>
      </c>
      <c r="V21" s="12" t="str">
        <f ca="1">IFERROR(__xludf.DUMMYFUNCTION("""COMPUTED_VALUE"""),"10")</f>
        <v>10</v>
      </c>
      <c r="W21" s="12" t="str">
        <f ca="1">IFERROR(__xludf.DUMMYFUNCTION("""COMPUTED_VALUE"""),"1,3,5,7,10")</f>
        <v>1,3,5,7,10</v>
      </c>
      <c r="X21" s="5">
        <f ca="1">IFERROR(__xludf.DUMMYFUNCTION("""COMPUTED_VALUE"""),95.421)</f>
        <v>95.421000000000006</v>
      </c>
      <c r="Y21" s="5" t="str">
        <f ca="1">IFERROR(__xludf.DUMMYFUNCTION("""COMPUTED_VALUE"""),"Medium")</f>
        <v>Medium</v>
      </c>
      <c r="Z21" s="5">
        <f ca="1">IFERROR(__xludf.DUMMYFUNCTION("""COMPUTED_VALUE"""),15.82)</f>
        <v>15.82</v>
      </c>
      <c r="AA21" s="14">
        <f ca="1">IFERROR(__xludf.DUMMYFUNCTION("""COMPUTED_VALUE"""),5000)</f>
        <v>5000</v>
      </c>
      <c r="AB21" s="5" t="str">
        <f ca="1">IFERROR(__xludf.DUMMYFUNCTION("""COMPUTED_VALUE"""),"/")</f>
        <v>/</v>
      </c>
      <c r="AC21" s="5" t="str">
        <f ca="1">IFERROR(__xludf.DUMMYFUNCTION("""COMPUTED_VALUE"""),"Adjacent pays, Scatter")</f>
        <v>Adjacent pays, Scatter</v>
      </c>
      <c r="AD21" s="5"/>
      <c r="AE21" s="5"/>
      <c r="AF21" s="5"/>
      <c r="AG21" s="10">
        <f ca="1">IFERROR(__xludf.DUMMYFUNCTION("""COMPUTED_VALUE"""),45699.5926273148)</f>
        <v>45699.5926273148</v>
      </c>
      <c r="AH21" s="5" t="str">
        <f ca="1">IFERROR(__xludf.DUMMYFUNCTION("""COMPUTED_VALUE"""),"nikola.antic@fazi.rs")</f>
        <v>nikola.antic@fazi.rs</v>
      </c>
      <c r="AI21" s="5"/>
      <c r="AJ21" s="5"/>
      <c r="AK21" s="5">
        <f ca="1">IFERROR(__xludf.DUMMYFUNCTION("""COMPUTED_VALUE"""),10)</f>
        <v>10</v>
      </c>
      <c r="AL21" s="5"/>
      <c r="AM21" s="5"/>
      <c r="AN21" s="5"/>
      <c r="AO21" s="5"/>
      <c r="AP21" s="5"/>
      <c r="AQ21" s="5"/>
      <c r="AR21" s="5"/>
      <c r="AS21" s="5"/>
      <c r="AT21" s="5"/>
      <c r="AU21" s="5" t="str">
        <f ca="1">IFERROR(__xludf.DUMMYFUNCTION("""COMPUTED_VALUE"""),"Fazi")</f>
        <v>Fazi</v>
      </c>
      <c r="AV21" s="5"/>
      <c r="AW21" s="5"/>
      <c r="AX21" s="5"/>
      <c r="AY21" s="5"/>
      <c r="AZ21" s="5"/>
      <c r="BA21" s="5" t="str">
        <f ca="1">IFERROR(__xludf.DUMMYFUNCTION("""COMPUTED_VALUE"""),"")</f>
        <v/>
      </c>
      <c r="BB21" s="5"/>
      <c r="BC21" s="5" t="str">
        <f ca="1">IFERROR(__xludf.DUMMYFUNCTION("""COMPUTED_VALUE"""),"Foxi")</f>
        <v>Foxi</v>
      </c>
      <c r="BD21" s="5" t="str">
        <f ca="1">IFERROR(__xludf.DUMMYFUNCTION("""COMPUTED_VALUE"""),"")</f>
        <v/>
      </c>
      <c r="BE21" s="5"/>
    </row>
    <row r="22" spans="1:57" x14ac:dyDescent="0.25">
      <c r="A22" s="5">
        <f ca="1">IFERROR(__xludf.DUMMYFUNCTION("""COMPUTED_VALUE"""),21)</f>
        <v>21</v>
      </c>
      <c r="B22" s="5">
        <f ca="1">IFERROR(__xludf.DUMMYFUNCTION("""COMPUTED_VALUE"""),20)</f>
        <v>20</v>
      </c>
      <c r="C22" s="5" t="str">
        <f ca="1">IFERROR(__xludf.DUMMYFUNCTION("""COMPUTED_VALUE"""),"Fazi")</f>
        <v>Fazi</v>
      </c>
      <c r="D22" s="5" t="str">
        <f ca="1">IFERROR(__xludf.DUMMYFUNCTION("""COMPUTED_VALUE"""),"Juicy Hot")</f>
        <v>Juicy Hot</v>
      </c>
      <c r="E22" s="5" t="str">
        <f ca="1">IFERROR(__xludf.DUMMYFUNCTION("""COMPUTED_VALUE"""),"V2")</f>
        <v>V2</v>
      </c>
      <c r="F22" s="5" t="str">
        <f ca="1">IFERROR(__xludf.DUMMYFUNCTION("""COMPUTED_VALUE"""),"JuicyHot")</f>
        <v>JuicyHot</v>
      </c>
      <c r="G22" s="5" t="str">
        <f ca="1">IFERROR(__xludf.DUMMYFUNCTION("""COMPUTED_VALUE"""),"Live")</f>
        <v>Live</v>
      </c>
      <c r="H22" s="5"/>
      <c r="I22" s="5" t="str">
        <f ca="1">IFERROR(__xludf.DUMMYFUNCTION("""COMPUTED_VALUE"""),"V2")</f>
        <v>V2</v>
      </c>
      <c r="J22" s="5" t="str">
        <f ca="1">IFERROR(__xludf.DUMMYFUNCTION("""COMPUTED_VALUE"""),"Binary")</f>
        <v>Binary</v>
      </c>
      <c r="K22" s="5" t="str">
        <f ca="1">IFERROR(__xludf.DUMMYFUNCTION("""COMPUTED_VALUE"""),"Slot")</f>
        <v>Slot</v>
      </c>
      <c r="L22" s="5"/>
      <c r="M22" s="5"/>
      <c r="N22" s="5"/>
      <c r="O22" s="5"/>
      <c r="P22" s="14">
        <f ca="1">IFERROR(__xludf.DUMMYFUNCTION("""COMPUTED_VALUE"""),20.7)</f>
        <v>20.7</v>
      </c>
      <c r="Q22" s="5"/>
      <c r="R22" s="5"/>
      <c r="S22" s="15">
        <f ca="1">IFERROR(__xludf.DUMMYFUNCTION("""COMPUTED_VALUE"""),42887)</f>
        <v>42887</v>
      </c>
      <c r="T22" s="5"/>
      <c r="U22" s="5" t="str">
        <f ca="1">IFERROR(__xludf.DUMMYFUNCTION("""COMPUTED_VALUE"""),"5x3")</f>
        <v>5x3</v>
      </c>
      <c r="V22" s="12" t="str">
        <f ca="1">IFERROR(__xludf.DUMMYFUNCTION("""COMPUTED_VALUE"""),"20")</f>
        <v>20</v>
      </c>
      <c r="W22" s="12" t="str">
        <f ca="1">IFERROR(__xludf.DUMMYFUNCTION("""COMPUTED_VALUE"""),"1,3,5,7,9,10,20")</f>
        <v>1,3,5,7,9,10,20</v>
      </c>
      <c r="X22" s="5">
        <f ca="1">IFERROR(__xludf.DUMMYFUNCTION("""COMPUTED_VALUE"""),93.694)</f>
        <v>93.694000000000003</v>
      </c>
      <c r="Y22" s="5" t="str">
        <f ca="1">IFERROR(__xludf.DUMMYFUNCTION("""COMPUTED_VALUE"""),"Low")</f>
        <v>Low</v>
      </c>
      <c r="Z22" s="5">
        <f ca="1">IFERROR(__xludf.DUMMYFUNCTION("""COMPUTED_VALUE"""),17.21)</f>
        <v>17.21</v>
      </c>
      <c r="AA22" s="14">
        <f ca="1">IFERROR(__xludf.DUMMYFUNCTION("""COMPUTED_VALUE"""),252.5)</f>
        <v>252.5</v>
      </c>
      <c r="AB22" s="5" t="str">
        <f ca="1">IFERROR(__xludf.DUMMYFUNCTION("""COMPUTED_VALUE"""),"/")</f>
        <v>/</v>
      </c>
      <c r="AC22" s="5" t="str">
        <f ca="1">IFERROR(__xludf.DUMMYFUNCTION("""COMPUTED_VALUE"""),"Scatter")</f>
        <v>Scatter</v>
      </c>
      <c r="AD22" s="5" t="str">
        <f ca="1">IFERROR(__xludf.DUMMYFUNCTION("""COMPUTED_VALUE"""),"0.01/50")</f>
        <v>0.01/50</v>
      </c>
      <c r="AE22" s="5"/>
      <c r="AF22" s="5"/>
      <c r="AG22" s="10">
        <f ca="1">IFERROR(__xludf.DUMMYFUNCTION("""COMPUTED_VALUE"""),46055.5053356481)</f>
        <v>46055.5053356481</v>
      </c>
      <c r="AH22" s="5" t="str">
        <f ca="1">IFERROR(__xludf.DUMMYFUNCTION("""COMPUTED_VALUE"""),"djordje.jankovic@fazi.rs")</f>
        <v>djordje.jankovic@fazi.rs</v>
      </c>
      <c r="AI22" s="5"/>
      <c r="AJ22" s="5"/>
      <c r="AK22" s="5">
        <f ca="1">IFERROR(__xludf.DUMMYFUNCTION("""COMPUTED_VALUE"""),20)</f>
        <v>20</v>
      </c>
      <c r="AL22" s="5" t="str">
        <f ca="1">IFERROR(__xludf.DUMMYFUNCTION("""COMPUTED_VALUE"""),"Yes")</f>
        <v>Yes</v>
      </c>
      <c r="AM22" s="5"/>
      <c r="AN22" s="7" t="str">
        <f ca="1">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AO22" s="5"/>
      <c r="AP22" s="5"/>
      <c r="AQ22" s="5" t="b">
        <f ca="1">IFERROR(__xludf.DUMMYFUNCTION("""COMPUTED_VALUE"""),TRUE)</f>
        <v>1</v>
      </c>
      <c r="AR22" s="5"/>
      <c r="AS22" s="5" t="str">
        <f ca="1">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AT22" s="5"/>
      <c r="AU22" s="5" t="str">
        <f ca="1">IFERROR(__xludf.DUMMYFUNCTION("""COMPUTED_VALUE"""),"Fazi")</f>
        <v>Fazi</v>
      </c>
      <c r="AV22" s="5"/>
      <c r="AW22" s="5"/>
      <c r="AX22" s="5"/>
      <c r="AY22" s="5"/>
      <c r="AZ22" s="5"/>
      <c r="BA22" s="5" t="str">
        <f ca="1">IFERROR(__xludf.DUMMYFUNCTION("""COMPUTED_VALUE"""),"")</f>
        <v/>
      </c>
      <c r="BB22" s="5"/>
      <c r="BC22" s="5" t="str">
        <f ca="1">IFERROR(__xludf.DUMMYFUNCTION("""COMPUTED_VALUE"""),"Foxi")</f>
        <v>Foxi</v>
      </c>
      <c r="BD22" s="7" t="str">
        <f ca="1">IFERROR(__xludf.DUMMYFUNCTION("""COMPUTED_VALUE"""),"https://gameserver-store-client-area.orbionlimited.com/Home/IntegrationGameLaunch/client-area?moneyType=0&amp;gameName=JuicyHot&amp;platform=desktop&amp;languageCode=eng&amp;currency=EUR")</f>
        <v>https://gameserver-store-client-area.orbionlimited.com/Home/IntegrationGameLaunch/client-area?moneyType=0&amp;gameName=JuicyHot&amp;platform=desktop&amp;languageCode=eng&amp;currency=EUR</v>
      </c>
      <c r="BE22" s="5" t="b">
        <f ca="1">IFERROR(__xludf.DUMMYFUNCTION("""COMPUTED_VALUE"""),TRUE)</f>
        <v>1</v>
      </c>
    </row>
    <row r="23" spans="1:57" x14ac:dyDescent="0.25">
      <c r="A23" s="5">
        <f ca="1">IFERROR(__xludf.DUMMYFUNCTION("""COMPUTED_VALUE"""),22)</f>
        <v>22</v>
      </c>
      <c r="B23" s="5">
        <f ca="1">IFERROR(__xludf.DUMMYFUNCTION("""COMPUTED_VALUE"""),21)</f>
        <v>21</v>
      </c>
      <c r="C23" s="5" t="str">
        <f ca="1">IFERROR(__xludf.DUMMYFUNCTION("""COMPUTED_VALUE"""),"Fazi")</f>
        <v>Fazi</v>
      </c>
      <c r="D23" s="5" t="str">
        <f ca="1">IFERROR(__xludf.DUMMYFUNCTION("""COMPUTED_VALUE"""),"Hot Stars")</f>
        <v>Hot Stars</v>
      </c>
      <c r="E23" s="5" t="str">
        <f ca="1">IFERROR(__xludf.DUMMYFUNCTION("""COMPUTED_VALUE"""),"V2")</f>
        <v>V2</v>
      </c>
      <c r="F23" s="5" t="str">
        <f ca="1">IFERROR(__xludf.DUMMYFUNCTION("""COMPUTED_VALUE"""),"HotStars")</f>
        <v>HotStars</v>
      </c>
      <c r="G23" s="5" t="str">
        <f ca="1">IFERROR(__xludf.DUMMYFUNCTION("""COMPUTED_VALUE"""),"Live")</f>
        <v>Live</v>
      </c>
      <c r="H23" s="5"/>
      <c r="I23" s="5" t="str">
        <f ca="1">IFERROR(__xludf.DUMMYFUNCTION("""COMPUTED_VALUE"""),"V2")</f>
        <v>V2</v>
      </c>
      <c r="J23" s="5" t="str">
        <f ca="1">IFERROR(__xludf.DUMMYFUNCTION("""COMPUTED_VALUE"""),"Binary")</f>
        <v>Binary</v>
      </c>
      <c r="K23" s="5" t="str">
        <f ca="1">IFERROR(__xludf.DUMMYFUNCTION("""COMPUTED_VALUE"""),"Slot")</f>
        <v>Slot</v>
      </c>
      <c r="L23" s="5"/>
      <c r="M23" s="5"/>
      <c r="N23" s="5"/>
      <c r="O23" s="5"/>
      <c r="P23" s="14">
        <f ca="1">IFERROR(__xludf.DUMMYFUNCTION("""COMPUTED_VALUE"""),23.7)</f>
        <v>23.7</v>
      </c>
      <c r="Q23" s="5"/>
      <c r="R23" s="5"/>
      <c r="S23" s="15">
        <f ca="1">IFERROR(__xludf.DUMMYFUNCTION("""COMPUTED_VALUE"""),42856)</f>
        <v>42856</v>
      </c>
      <c r="T23" s="5" t="b">
        <f ca="1">IFERROR(__xludf.DUMMYFUNCTION("""COMPUTED_VALUE"""),TRUE)</f>
        <v>1</v>
      </c>
      <c r="U23" s="5" t="str">
        <f ca="1">IFERROR(__xludf.DUMMYFUNCTION("""COMPUTED_VALUE"""),"5x3")</f>
        <v>5x3</v>
      </c>
      <c r="V23" s="12" t="str">
        <f ca="1">IFERROR(__xludf.DUMMYFUNCTION("""COMPUTED_VALUE"""),"10")</f>
        <v>10</v>
      </c>
      <c r="W23" s="12" t="str">
        <f ca="1">IFERROR(__xludf.DUMMYFUNCTION("""COMPUTED_VALUE"""),"1,3,5,7,10")</f>
        <v>1,3,5,7,10</v>
      </c>
      <c r="X23" s="5">
        <f ca="1">IFERROR(__xludf.DUMMYFUNCTION("""COMPUTED_VALUE"""),95.544)</f>
        <v>95.543999999999997</v>
      </c>
      <c r="Y23" s="5" t="str">
        <f ca="1">IFERROR(__xludf.DUMMYFUNCTION("""COMPUTED_VALUE"""),"Medium")</f>
        <v>Medium</v>
      </c>
      <c r="Z23" s="5">
        <f ca="1">IFERROR(__xludf.DUMMYFUNCTION("""COMPUTED_VALUE"""),13.02)</f>
        <v>13.02</v>
      </c>
      <c r="AA23" s="14">
        <f ca="1">IFERROR(__xludf.DUMMYFUNCTION("""COMPUTED_VALUE"""),1611)</f>
        <v>1611</v>
      </c>
      <c r="AB23" s="5">
        <f ca="1">IFERROR(__xludf.DUMMYFUNCTION("""COMPUTED_VALUE"""),18)</f>
        <v>18</v>
      </c>
      <c r="AC23" s="5" t="str">
        <f ca="1">IFERROR(__xludf.DUMMYFUNCTION("""COMPUTED_VALUE"""),"Expanding Wild, Respin, Bothways")</f>
        <v>Expanding Wild, Respin, Bothways</v>
      </c>
      <c r="AD23" s="5" t="str">
        <f ca="1">IFERROR(__xludf.DUMMYFUNCTION("""COMPUTED_VALUE"""),"0.01/40")</f>
        <v>0.01/40</v>
      </c>
      <c r="AE23" s="5"/>
      <c r="AF23" s="5"/>
      <c r="AG23" s="5"/>
      <c r="AH23" s="5"/>
      <c r="AI23" s="5"/>
      <c r="AJ23" s="5"/>
      <c r="AK23" s="5">
        <f ca="1">IFERROR(__xludf.DUMMYFUNCTION("""COMPUTED_VALUE"""),10)</f>
        <v>10</v>
      </c>
      <c r="AL23" s="5" t="str">
        <f ca="1">IFERROR(__xludf.DUMMYFUNCTION("""COMPUTED_VALUE"""),"Yes")</f>
        <v>Yes</v>
      </c>
      <c r="AM23" s="5"/>
      <c r="AN23" s="7" t="str">
        <f ca="1">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AO23" s="5"/>
      <c r="AP23" s="5"/>
      <c r="AQ23" s="5" t="b">
        <f ca="1">IFERROR(__xludf.DUMMYFUNCTION("""COMPUTED_VALUE"""),TRUE)</f>
        <v>1</v>
      </c>
      <c r="AR23" s="5"/>
      <c r="AS23" s="5" t="str">
        <f ca="1">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AT23" s="5"/>
      <c r="AU23" s="5" t="str">
        <f ca="1">IFERROR(__xludf.DUMMYFUNCTION("""COMPUTED_VALUE"""),"Fazi")</f>
        <v>Fazi</v>
      </c>
      <c r="AV23" s="5"/>
      <c r="AW23" s="5"/>
      <c r="AX23" s="5"/>
      <c r="AY23" s="5"/>
      <c r="AZ23" s="5"/>
      <c r="BA23" s="5" t="str">
        <f ca="1">IFERROR(__xludf.DUMMYFUNCTION("""COMPUTED_VALUE"""),"")</f>
        <v/>
      </c>
      <c r="BB23" s="5"/>
      <c r="BC23" s="5" t="str">
        <f ca="1">IFERROR(__xludf.DUMMYFUNCTION("""COMPUTED_VALUE"""),"Foxi")</f>
        <v>Foxi</v>
      </c>
      <c r="BD23" s="7" t="str">
        <f ca="1">IFERROR(__xludf.DUMMYFUNCTION("""COMPUTED_VALUE"""),"https://gameserver-store-client-area.orbionlimited.com/Home/IntegrationGameLaunch/client-area?moneyType=0&amp;gameName=HotStars&amp;platform=desktop&amp;languageCode=eng&amp;currency=EUR")</f>
        <v>https://gameserver-store-client-area.orbionlimited.com/Home/IntegrationGameLaunch/client-area?moneyType=0&amp;gameName=HotStars&amp;platform=desktop&amp;languageCode=eng&amp;currency=EUR</v>
      </c>
      <c r="BE23" s="5" t="b">
        <f ca="1">IFERROR(__xludf.DUMMYFUNCTION("""COMPUTED_VALUE"""),TRUE)</f>
        <v>1</v>
      </c>
    </row>
    <row r="24" spans="1:57" x14ac:dyDescent="0.25">
      <c r="A24" s="5">
        <f ca="1">IFERROR(__xludf.DUMMYFUNCTION("""COMPUTED_VALUE"""),23)</f>
        <v>23</v>
      </c>
      <c r="B24" s="5">
        <f ca="1">IFERROR(__xludf.DUMMYFUNCTION("""COMPUTED_VALUE"""),22)</f>
        <v>22</v>
      </c>
      <c r="C24" s="5" t="str">
        <f ca="1">IFERROR(__xludf.DUMMYFUNCTION("""COMPUTED_VALUE"""),"Fazi")</f>
        <v>Fazi</v>
      </c>
      <c r="D24" s="5" t="str">
        <f ca="1">IFERROR(__xludf.DUMMYFUNCTION("""COMPUTED_VALUE"""),"Triple Crown")</f>
        <v>Triple Crown</v>
      </c>
      <c r="E24" s="5"/>
      <c r="F24" s="5" t="str">
        <f ca="1">IFERROR(__xludf.DUMMYFUNCTION("""COMPUTED_VALUE"""),"TripleCrown")</f>
        <v>TripleCrown</v>
      </c>
      <c r="G24" s="5" t="str">
        <f ca="1">IFERROR(__xludf.DUMMYFUNCTION("""COMPUTED_VALUE"""),"Retired")</f>
        <v>Retired</v>
      </c>
      <c r="H24" s="5"/>
      <c r="I24" s="5"/>
      <c r="J24" s="5"/>
      <c r="K24" s="5" t="str">
        <f ca="1">IFERROR(__xludf.DUMMYFUNCTION("""COMPUTED_VALUE"""),"Triple Crown Roulette")</f>
        <v>Triple Crown Roulette</v>
      </c>
      <c r="L24" s="5"/>
      <c r="M24" s="5"/>
      <c r="N24" s="5"/>
      <c r="O24" s="5"/>
      <c r="P24" s="5"/>
      <c r="Q24" s="5"/>
      <c r="R24" s="5"/>
      <c r="S24" s="5"/>
      <c r="T24" s="5"/>
      <c r="U24" s="5"/>
      <c r="V24" s="5"/>
      <c r="W24" s="5"/>
      <c r="X24" s="13">
        <f ca="1">IFERROR(__xludf.DUMMYFUNCTION("""COMPUTED_VALUE"""),0)</f>
        <v>0</v>
      </c>
      <c r="Y24" s="5"/>
      <c r="Z24" s="5">
        <f ca="1">IFERROR(__xludf.DUMMYFUNCTION("""COMPUTED_VALUE"""),0)</f>
        <v>0</v>
      </c>
      <c r="AA24" s="5"/>
      <c r="AB24" s="5"/>
      <c r="AC24" s="5"/>
      <c r="AD24" s="5"/>
      <c r="AE24" s="5"/>
      <c r="AF24" s="5"/>
      <c r="AG24" s="10">
        <f ca="1">IFERROR(__xludf.DUMMYFUNCTION("""COMPUTED_VALUE"""),45721.4023611111)</f>
        <v>45721.402361111097</v>
      </c>
      <c r="AH24" s="5" t="str">
        <f ca="1">IFERROR(__xludf.DUMMYFUNCTION("""COMPUTED_VALUE"""),"iva.cirkovic@fazi.rs")</f>
        <v>iva.cirkovic@fazi.rs</v>
      </c>
      <c r="AI24" s="5"/>
      <c r="AJ24" s="5"/>
      <c r="AK24" s="5">
        <f ca="1">IFERROR(__xludf.DUMMYFUNCTION("""COMPUTED_VALUE"""),0)</f>
        <v>0</v>
      </c>
      <c r="AL24" s="5"/>
      <c r="AM24" s="5"/>
      <c r="AN24" s="5"/>
      <c r="AO24" s="5"/>
      <c r="AP24" s="5"/>
      <c r="AQ24" s="5"/>
      <c r="AR24" s="5"/>
      <c r="AS24" s="5"/>
      <c r="AT24" s="5"/>
      <c r="AU24" s="5" t="str">
        <f ca="1">IFERROR(__xludf.DUMMYFUNCTION("""COMPUTED_VALUE"""),"Fazi")</f>
        <v>Fazi</v>
      </c>
      <c r="AV24" s="5"/>
      <c r="AW24" s="5"/>
      <c r="AX24" s="5"/>
      <c r="AY24" s="5"/>
      <c r="AZ24" s="5"/>
      <c r="BA24" s="5" t="str">
        <f ca="1">IFERROR(__xludf.DUMMYFUNCTION("""COMPUTED_VALUE"""),"")</f>
        <v/>
      </c>
      <c r="BB24" s="5"/>
      <c r="BC24" s="5" t="str">
        <f ca="1">IFERROR(__xludf.DUMMYFUNCTION("""COMPUTED_VALUE"""),"Foxi")</f>
        <v>Foxi</v>
      </c>
      <c r="BD24" s="5" t="str">
        <f ca="1">IFERROR(__xludf.DUMMYFUNCTION("""COMPUTED_VALUE"""),"")</f>
        <v/>
      </c>
      <c r="BE24" s="5"/>
    </row>
    <row r="25" spans="1:57" x14ac:dyDescent="0.25">
      <c r="A25" s="5">
        <f ca="1">IFERROR(__xludf.DUMMYFUNCTION("""COMPUTED_VALUE"""),24)</f>
        <v>24</v>
      </c>
      <c r="B25" s="5">
        <f ca="1">IFERROR(__xludf.DUMMYFUNCTION("""COMPUTED_VALUE"""),23)</f>
        <v>23</v>
      </c>
      <c r="C25" s="5" t="str">
        <f ca="1">IFERROR(__xludf.DUMMYFUNCTION("""COMPUTED_VALUE"""),"Fazi")</f>
        <v>Fazi</v>
      </c>
      <c r="D25" s="5" t="str">
        <f ca="1">IFERROR(__xludf.DUMMYFUNCTION("""COMPUTED_VALUE"""),"Book of Spells")</f>
        <v>Book of Spells</v>
      </c>
      <c r="E25" s="5" t="str">
        <f ca="1">IFERROR(__xludf.DUMMYFUNCTION("""COMPUTED_VALUE"""),"V2")</f>
        <v>V2</v>
      </c>
      <c r="F25" s="5" t="str">
        <f ca="1">IFERROR(__xludf.DUMMYFUNCTION("""COMPUTED_VALUE"""),"BookOfSpells")</f>
        <v>BookOfSpells</v>
      </c>
      <c r="G25" s="5" t="str">
        <f ca="1">IFERROR(__xludf.DUMMYFUNCTION("""COMPUTED_VALUE"""),"Live")</f>
        <v>Live</v>
      </c>
      <c r="H25" s="5"/>
      <c r="I25" s="5" t="str">
        <f ca="1">IFERROR(__xludf.DUMMYFUNCTION("""COMPUTED_VALUE"""),"V2")</f>
        <v>V2</v>
      </c>
      <c r="J25" s="5" t="str">
        <f ca="1">IFERROR(__xludf.DUMMYFUNCTION("""COMPUTED_VALUE"""),"JSON")</f>
        <v>JSON</v>
      </c>
      <c r="K25" s="5" t="str">
        <f ca="1">IFERROR(__xludf.DUMMYFUNCTION("""COMPUTED_VALUE"""),"Slot")</f>
        <v>Slot</v>
      </c>
      <c r="L25" s="5"/>
      <c r="M25" s="5"/>
      <c r="N25" s="5"/>
      <c r="O25" s="5"/>
      <c r="P25" s="14">
        <f ca="1">IFERROR(__xludf.DUMMYFUNCTION("""COMPUTED_VALUE"""),37)</f>
        <v>37</v>
      </c>
      <c r="Q25" s="5"/>
      <c r="R25" s="5"/>
      <c r="S25" s="15">
        <f ca="1">IFERROR(__xludf.DUMMYFUNCTION("""COMPUTED_VALUE"""),42736)</f>
        <v>42736</v>
      </c>
      <c r="T25" s="5"/>
      <c r="U25" s="5" t="str">
        <f ca="1">IFERROR(__xludf.DUMMYFUNCTION("""COMPUTED_VALUE"""),"5x3")</f>
        <v>5x3</v>
      </c>
      <c r="V25" s="12" t="str">
        <f ca="1">IFERROR(__xludf.DUMMYFUNCTION("""COMPUTED_VALUE"""),"10")</f>
        <v>10</v>
      </c>
      <c r="W25" s="12" t="str">
        <f ca="1">IFERROR(__xludf.DUMMYFUNCTION("""COMPUTED_VALUE"""),"1,3,5,7,10")</f>
        <v>1,3,5,7,10</v>
      </c>
      <c r="X25" s="13">
        <f ca="1">IFERROR(__xludf.DUMMYFUNCTION("""COMPUTED_VALUE"""),96.064)</f>
        <v>96.063999999999993</v>
      </c>
      <c r="Y25" s="5" t="str">
        <f ca="1">IFERROR(__xludf.DUMMYFUNCTION("""COMPUTED_VALUE"""),"High")</f>
        <v>High</v>
      </c>
      <c r="Z25" s="5">
        <f ca="1">IFERROR(__xludf.DUMMYFUNCTION("""COMPUTED_VALUE"""),31.467)</f>
        <v>31.466999999999999</v>
      </c>
      <c r="AA25" s="14">
        <f ca="1">IFERROR(__xludf.DUMMYFUNCTION("""COMPUTED_VALUE"""),5512)</f>
        <v>5512</v>
      </c>
      <c r="AB25" s="5"/>
      <c r="AC25" s="5" t="str">
        <f ca="1">IFERROR(__xludf.DUMMYFUNCTION("""COMPUTED_VALUE"""),"Buy Bonus, Book Of Game, Wild Symbol, Scatter")</f>
        <v>Buy Bonus, Book Of Game, Wild Symbol, Scatter</v>
      </c>
      <c r="AD25" s="5" t="str">
        <f ca="1">IFERROR(__xludf.DUMMYFUNCTION("""COMPUTED_VALUE"""),"0.01/40")</f>
        <v>0.01/40</v>
      </c>
      <c r="AE25" s="5"/>
      <c r="AF25" s="5"/>
      <c r="AG25" s="10">
        <f ca="1">IFERROR(__xludf.DUMMYFUNCTION("""COMPUTED_VALUE"""),46100.4257407407)</f>
        <v>46100.425740740699</v>
      </c>
      <c r="AH25" s="5" t="str">
        <f ca="1">IFERROR(__xludf.DUMMYFUNCTION("""COMPUTED_VALUE"""),"milutin.toskic@fazi.rs")</f>
        <v>milutin.toskic@fazi.rs</v>
      </c>
      <c r="AI25" s="5"/>
      <c r="AJ25" s="5"/>
      <c r="AK25" s="5">
        <f ca="1">IFERROR(__xludf.DUMMYFUNCTION("""COMPUTED_VALUE"""),10)</f>
        <v>10</v>
      </c>
      <c r="AL25" s="5" t="str">
        <f ca="1">IFERROR(__xludf.DUMMYFUNCTION("""COMPUTED_VALUE"""),"Yes")</f>
        <v>Yes</v>
      </c>
      <c r="AM25" s="5"/>
      <c r="AN25" s="7" t="str">
        <f ca="1">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AO25" s="5" t="str">
        <f ca="1">IFERROR(__xludf.DUMMYFUNCTION("""COMPUTED_VALUE"""),"Yes")</f>
        <v>Yes</v>
      </c>
      <c r="AP25" s="5" t="str">
        <f ca="1">IFERROR(__xludf.DUMMYFUNCTION("""COMPUTED_VALUE"""),"Yes")</f>
        <v>Yes</v>
      </c>
      <c r="AQ25" s="5" t="b">
        <f ca="1">IFERROR(__xludf.DUMMYFUNCTION("""COMPUTED_VALUE"""),TRUE)</f>
        <v>1</v>
      </c>
      <c r="AR25" s="5"/>
      <c r="AS25" s="5" t="str">
        <f ca="1">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AT25" s="5"/>
      <c r="AU25" s="5" t="str">
        <f ca="1">IFERROR(__xludf.DUMMYFUNCTION("""COMPUTED_VALUE"""),"Fazi")</f>
        <v>Fazi</v>
      </c>
      <c r="AV25" s="5"/>
      <c r="AW25" s="5"/>
      <c r="AX25" s="5"/>
      <c r="AY25" s="5" t="str">
        <f ca="1">IFERROR(__xludf.DUMMYFUNCTION("""COMPUTED_VALUE"""),"87.5%, 89.5%, 91.5%, 93.5%, 94.5%, 95.5%, 96.5%")</f>
        <v>87.5%, 89.5%, 91.5%, 93.5%, 94.5%, 95.5%, 96.5%</v>
      </c>
      <c r="AZ25" s="5"/>
      <c r="BA25" s="5" t="str">
        <f ca="1">IFERROR(__xludf.DUMMYFUNCTION("""COMPUTED_VALUE"""),"110")</f>
        <v>110</v>
      </c>
      <c r="BB25" s="5"/>
      <c r="BC25" s="5" t="str">
        <f ca="1">IFERROR(__xludf.DUMMYFUNCTION("""COMPUTED_VALUE"""),"Foxi")</f>
        <v>Foxi</v>
      </c>
      <c r="BD25" s="7" t="str">
        <f ca="1">IFERROR(__xludf.DUMMYFUNCTION("""COMPUTED_VALUE"""),"https://gameserver-store-client-area.orbionlimited.com/Home/IntegrationGameLaunch/client-area?moneyType=0&amp;gameName=BookOfSpells&amp;platform=desktop&amp;languageCode=eng&amp;currency=EUR")</f>
        <v>https://gameserver-store-client-area.orbionlimited.com/Home/IntegrationGameLaunch/client-area?moneyType=0&amp;gameName=BookOfSpells&amp;platform=desktop&amp;languageCode=eng&amp;currency=EUR</v>
      </c>
      <c r="BE25" s="5" t="b">
        <f ca="1">IFERROR(__xludf.DUMMYFUNCTION("""COMPUTED_VALUE"""),TRUE)</f>
        <v>1</v>
      </c>
    </row>
    <row r="26" spans="1:57" x14ac:dyDescent="0.25">
      <c r="A26" s="5">
        <f ca="1">IFERROR(__xludf.DUMMYFUNCTION("""COMPUTED_VALUE"""),25)</f>
        <v>25</v>
      </c>
      <c r="B26" s="5">
        <f ca="1">IFERROR(__xludf.DUMMYFUNCTION("""COMPUTED_VALUE"""),24)</f>
        <v>24</v>
      </c>
      <c r="C26" s="5" t="str">
        <f ca="1">IFERROR(__xludf.DUMMYFUNCTION("""COMPUTED_VALUE"""),"Fazi")</f>
        <v>Fazi</v>
      </c>
      <c r="D26" s="5" t="str">
        <f ca="1">IFERROR(__xludf.DUMMYFUNCTION("""COMPUTED_VALUE"""),"Mega Hot")</f>
        <v>Mega Hot</v>
      </c>
      <c r="E26" s="5" t="str">
        <f ca="1">IFERROR(__xludf.DUMMYFUNCTION("""COMPUTED_VALUE"""),"V2")</f>
        <v>V2</v>
      </c>
      <c r="F26" s="5" t="str">
        <f ca="1">IFERROR(__xludf.DUMMYFUNCTION("""COMPUTED_VALUE"""),"MegaHot")</f>
        <v>MegaHot</v>
      </c>
      <c r="G26" s="5" t="str">
        <f ca="1">IFERROR(__xludf.DUMMYFUNCTION("""COMPUTED_VALUE"""),"Live")</f>
        <v>Live</v>
      </c>
      <c r="H26" s="5"/>
      <c r="I26" s="5" t="str">
        <f ca="1">IFERROR(__xludf.DUMMYFUNCTION("""COMPUTED_VALUE"""),"V2")</f>
        <v>V2</v>
      </c>
      <c r="J26" s="5" t="str">
        <f ca="1">IFERROR(__xludf.DUMMYFUNCTION("""COMPUTED_VALUE"""),"Binary")</f>
        <v>Binary</v>
      </c>
      <c r="K26" s="5" t="str">
        <f ca="1">IFERROR(__xludf.DUMMYFUNCTION("""COMPUTED_VALUE"""),"Slot")</f>
        <v>Slot</v>
      </c>
      <c r="L26" s="5"/>
      <c r="M26" s="5"/>
      <c r="N26" s="5"/>
      <c r="O26" s="5"/>
      <c r="P26" s="14">
        <f ca="1">IFERROR(__xludf.DUMMYFUNCTION("""COMPUTED_VALUE"""),19.1)</f>
        <v>19.100000000000001</v>
      </c>
      <c r="Q26" s="5"/>
      <c r="R26" s="5"/>
      <c r="S26" s="15">
        <f ca="1">IFERROR(__xludf.DUMMYFUNCTION("""COMPUTED_VALUE"""),42917)</f>
        <v>42917</v>
      </c>
      <c r="T26" s="5" t="b">
        <f ca="1">IFERROR(__xludf.DUMMYFUNCTION("""COMPUTED_VALUE"""),TRUE)</f>
        <v>1</v>
      </c>
      <c r="U26" s="5" t="str">
        <f ca="1">IFERROR(__xludf.DUMMYFUNCTION("""COMPUTED_VALUE"""),"5x3")</f>
        <v>5x3</v>
      </c>
      <c r="V26" s="12" t="str">
        <f ca="1">IFERROR(__xludf.DUMMYFUNCTION("""COMPUTED_VALUE"""),"5")</f>
        <v>5</v>
      </c>
      <c r="W26" s="12" t="str">
        <f ca="1">IFERROR(__xludf.DUMMYFUNCTION("""COMPUTED_VALUE"""),"5")</f>
        <v>5</v>
      </c>
      <c r="X26" s="5">
        <f ca="1">IFERROR(__xludf.DUMMYFUNCTION("""COMPUTED_VALUE"""),95.741)</f>
        <v>95.741</v>
      </c>
      <c r="Y26" s="5" t="str">
        <f ca="1">IFERROR(__xludf.DUMMYFUNCTION("""COMPUTED_VALUE"""),"Medium")</f>
        <v>Medium</v>
      </c>
      <c r="Z26" s="5">
        <f ca="1">IFERROR(__xludf.DUMMYFUNCTION("""COMPUTED_VALUE"""),13.5)</f>
        <v>13.5</v>
      </c>
      <c r="AA26" s="14">
        <f ca="1">IFERROR(__xludf.DUMMYFUNCTION("""COMPUTED_VALUE"""),1000)</f>
        <v>1000</v>
      </c>
      <c r="AB26" s="5" t="str">
        <f ca="1">IFERROR(__xludf.DUMMYFUNCTION("""COMPUTED_VALUE"""),"/")</f>
        <v>/</v>
      </c>
      <c r="AC26" s="5" t="str">
        <f ca="1">IFERROR(__xludf.DUMMYFUNCTION("""COMPUTED_VALUE"""),"Scatter, Win Multiplier")</f>
        <v>Scatter, Win Multiplier</v>
      </c>
      <c r="AD26" s="5" t="str">
        <f ca="1">IFERROR(__xludf.DUMMYFUNCTION("""COMPUTED_VALUE"""),"0.05/30")</f>
        <v>0.05/30</v>
      </c>
      <c r="AE26" s="5"/>
      <c r="AF26" s="5"/>
      <c r="AG26" s="5"/>
      <c r="AH26" s="5"/>
      <c r="AI26" s="5"/>
      <c r="AJ26" s="5"/>
      <c r="AK26" s="5">
        <f ca="1">IFERROR(__xludf.DUMMYFUNCTION("""COMPUTED_VALUE"""),5)</f>
        <v>5</v>
      </c>
      <c r="AL26" s="5" t="str">
        <f ca="1">IFERROR(__xludf.DUMMYFUNCTION("""COMPUTED_VALUE"""),"Yes")</f>
        <v>Yes</v>
      </c>
      <c r="AM26" s="5"/>
      <c r="AN26" s="7" t="str">
        <f ca="1">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AO26" s="5"/>
      <c r="AP26" s="5"/>
      <c r="AQ26" s="5" t="b">
        <f ca="1">IFERROR(__xludf.DUMMYFUNCTION("""COMPUTED_VALUE"""),TRUE)</f>
        <v>1</v>
      </c>
      <c r="AR26" s="5"/>
      <c r="AS26" s="5" t="str">
        <f ca="1">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AT26" s="5"/>
      <c r="AU26" s="5" t="str">
        <f ca="1">IFERROR(__xludf.DUMMYFUNCTION("""COMPUTED_VALUE"""),"Fazi")</f>
        <v>Fazi</v>
      </c>
      <c r="AV26" s="5"/>
      <c r="AW26" s="5"/>
      <c r="AX26" s="5"/>
      <c r="AY26" s="5"/>
      <c r="AZ26" s="5"/>
      <c r="BA26" s="5" t="str">
        <f ca="1">IFERROR(__xludf.DUMMYFUNCTION("""COMPUTED_VALUE"""),"")</f>
        <v/>
      </c>
      <c r="BB26" s="5"/>
      <c r="BC26" s="5" t="str">
        <f ca="1">IFERROR(__xludf.DUMMYFUNCTION("""COMPUTED_VALUE"""),"Foxi")</f>
        <v>Foxi</v>
      </c>
      <c r="BD26" s="7" t="str">
        <f ca="1">IFERROR(__xludf.DUMMYFUNCTION("""COMPUTED_VALUE"""),"https://gameserver-store-client-area.orbionlimited.com/Home/IntegrationGameLaunch/client-area?moneyType=0&amp;gameName=MegaHot&amp;platform=desktop&amp;languageCode=eng&amp;currency=EUR")</f>
        <v>https://gameserver-store-client-area.orbionlimited.com/Home/IntegrationGameLaunch/client-area?moneyType=0&amp;gameName=MegaHot&amp;platform=desktop&amp;languageCode=eng&amp;currency=EUR</v>
      </c>
      <c r="BE26" s="5" t="b">
        <f ca="1">IFERROR(__xludf.DUMMYFUNCTION("""COMPUTED_VALUE"""),TRUE)</f>
        <v>1</v>
      </c>
    </row>
    <row r="27" spans="1:57" x14ac:dyDescent="0.25">
      <c r="A27" s="5">
        <f ca="1">IFERROR(__xludf.DUMMYFUNCTION("""COMPUTED_VALUE"""),26)</f>
        <v>26</v>
      </c>
      <c r="B27" s="5">
        <f ca="1">IFERROR(__xludf.DUMMYFUNCTION("""COMPUTED_VALUE"""),25)</f>
        <v>25</v>
      </c>
      <c r="C27" s="5" t="str">
        <f ca="1">IFERROR(__xludf.DUMMYFUNCTION("""COMPUTED_VALUE"""),"Fazi")</f>
        <v>Fazi</v>
      </c>
      <c r="D27" s="5" t="str">
        <f ca="1">IFERROR(__xludf.DUMMYFUNCTION("""COMPUTED_VALUE"""),"Live European Roulette")</f>
        <v>Live European Roulette</v>
      </c>
      <c r="E27" s="5"/>
      <c r="F27" s="5" t="str">
        <f ca="1">IFERROR(__xludf.DUMMYFUNCTION("""COMPUTED_VALUE"""),"LiveEuropeanRoulette")</f>
        <v>LiveEuropeanRoulette</v>
      </c>
      <c r="G27" s="5" t="str">
        <f ca="1">IFERROR(__xludf.DUMMYFUNCTION("""COMPUTED_VALUE"""),"Retired")</f>
        <v>Retired</v>
      </c>
      <c r="H27" s="5"/>
      <c r="I27" s="5"/>
      <c r="J27" s="5"/>
      <c r="K27" s="5" t="str">
        <f ca="1">IFERROR(__xludf.DUMMYFUNCTION("""COMPUTED_VALUE"""),"Live European Roulette")</f>
        <v>Live European Roulette</v>
      </c>
      <c r="L27" s="5"/>
      <c r="M27" s="5"/>
      <c r="N27" s="5"/>
      <c r="O27" s="5"/>
      <c r="P27" s="5"/>
      <c r="Q27" s="5"/>
      <c r="R27" s="5"/>
      <c r="S27" s="5"/>
      <c r="T27" s="5"/>
      <c r="U27" s="5"/>
      <c r="V27" s="5"/>
      <c r="W27" s="5"/>
      <c r="X27" s="13">
        <f ca="1">IFERROR(__xludf.DUMMYFUNCTION("""COMPUTED_VALUE"""),0)</f>
        <v>0</v>
      </c>
      <c r="Y27" s="5"/>
      <c r="Z27" s="5">
        <f ca="1">IFERROR(__xludf.DUMMYFUNCTION("""COMPUTED_VALUE"""),0)</f>
        <v>0</v>
      </c>
      <c r="AA27" s="5"/>
      <c r="AB27" s="5"/>
      <c r="AC27" s="5"/>
      <c r="AD27" s="5"/>
      <c r="AE27" s="5"/>
      <c r="AF27" s="5"/>
      <c r="AG27" s="5"/>
      <c r="AH27" s="5"/>
      <c r="AI27" s="5"/>
      <c r="AJ27" s="5"/>
      <c r="AK27" s="5">
        <f ca="1">IFERROR(__xludf.DUMMYFUNCTION("""COMPUTED_VALUE"""),0)</f>
        <v>0</v>
      </c>
      <c r="AL27" s="5"/>
      <c r="AM27" s="5"/>
      <c r="AN27" s="5"/>
      <c r="AO27" s="5"/>
      <c r="AP27" s="5"/>
      <c r="AQ27" s="5"/>
      <c r="AR27" s="5"/>
      <c r="AS27" s="5"/>
      <c r="AT27" s="5"/>
      <c r="AU27" s="5" t="str">
        <f ca="1">IFERROR(__xludf.DUMMYFUNCTION("""COMPUTED_VALUE"""),"Fazi")</f>
        <v>Fazi</v>
      </c>
      <c r="AV27" s="5"/>
      <c r="AW27" s="5"/>
      <c r="AX27" s="5"/>
      <c r="AY27" s="5"/>
      <c r="AZ27" s="5"/>
      <c r="BA27" s="5" t="str">
        <f ca="1">IFERROR(__xludf.DUMMYFUNCTION("""COMPUTED_VALUE"""),"")</f>
        <v/>
      </c>
      <c r="BB27" s="5"/>
      <c r="BC27" s="5" t="str">
        <f ca="1">IFERROR(__xludf.DUMMYFUNCTION("""COMPUTED_VALUE"""),"Foxi")</f>
        <v>Foxi</v>
      </c>
      <c r="BD27" s="5" t="str">
        <f ca="1">IFERROR(__xludf.DUMMYFUNCTION("""COMPUTED_VALUE"""),"")</f>
        <v/>
      </c>
      <c r="BE27" s="5"/>
    </row>
    <row r="28" spans="1:57" x14ac:dyDescent="0.25">
      <c r="A28" s="5">
        <f ca="1">IFERROR(__xludf.DUMMYFUNCTION("""COMPUTED_VALUE"""),27)</f>
        <v>27</v>
      </c>
      <c r="B28" s="5">
        <f ca="1">IFERROR(__xludf.DUMMYFUNCTION("""COMPUTED_VALUE"""),26)</f>
        <v>26</v>
      </c>
      <c r="C28" s="5" t="str">
        <f ca="1">IFERROR(__xludf.DUMMYFUNCTION("""COMPUTED_VALUE"""),"Fazi")</f>
        <v>Fazi</v>
      </c>
      <c r="D28" s="5" t="str">
        <f ca="1">IFERROR(__xludf.DUMMYFUNCTION("""COMPUTED_VALUE"""),"Live American Roulette")</f>
        <v>Live American Roulette</v>
      </c>
      <c r="E28" s="5"/>
      <c r="F28" s="5" t="str">
        <f ca="1">IFERROR(__xludf.DUMMYFUNCTION("""COMPUTED_VALUE"""),"LiveAmericanRoulette")</f>
        <v>LiveAmericanRoulette</v>
      </c>
      <c r="G28" s="5" t="str">
        <f ca="1">IFERROR(__xludf.DUMMYFUNCTION("""COMPUTED_VALUE"""),"Retired")</f>
        <v>Retired</v>
      </c>
      <c r="H28" s="5"/>
      <c r="I28" s="5"/>
      <c r="J28" s="5"/>
      <c r="K28" s="5" t="str">
        <f ca="1">IFERROR(__xludf.DUMMYFUNCTION("""COMPUTED_VALUE"""),"Live European Roulette")</f>
        <v>Live European Roulette</v>
      </c>
      <c r="L28" s="5"/>
      <c r="M28" s="5"/>
      <c r="N28" s="5"/>
      <c r="O28" s="5"/>
      <c r="P28" s="5"/>
      <c r="Q28" s="5"/>
      <c r="R28" s="5"/>
      <c r="S28" s="5"/>
      <c r="T28" s="5"/>
      <c r="U28" s="5"/>
      <c r="V28" s="5"/>
      <c r="W28" s="5"/>
      <c r="X28" s="13">
        <f ca="1">IFERROR(__xludf.DUMMYFUNCTION("""COMPUTED_VALUE"""),0)</f>
        <v>0</v>
      </c>
      <c r="Y28" s="5"/>
      <c r="Z28" s="5">
        <f ca="1">IFERROR(__xludf.DUMMYFUNCTION("""COMPUTED_VALUE"""),0)</f>
        <v>0</v>
      </c>
      <c r="AA28" s="5"/>
      <c r="AB28" s="5"/>
      <c r="AC28" s="5"/>
      <c r="AD28" s="5"/>
      <c r="AE28" s="5"/>
      <c r="AF28" s="5"/>
      <c r="AG28" s="5"/>
      <c r="AH28" s="5"/>
      <c r="AI28" s="5"/>
      <c r="AJ28" s="5"/>
      <c r="AK28" s="5">
        <f ca="1">IFERROR(__xludf.DUMMYFUNCTION("""COMPUTED_VALUE"""),0)</f>
        <v>0</v>
      </c>
      <c r="AL28" s="5"/>
      <c r="AM28" s="5"/>
      <c r="AN28" s="5"/>
      <c r="AO28" s="5"/>
      <c r="AP28" s="5"/>
      <c r="AQ28" s="5"/>
      <c r="AR28" s="5"/>
      <c r="AS28" s="5"/>
      <c r="AT28" s="5"/>
      <c r="AU28" s="5" t="str">
        <f ca="1">IFERROR(__xludf.DUMMYFUNCTION("""COMPUTED_VALUE"""),"Fazi")</f>
        <v>Fazi</v>
      </c>
      <c r="AV28" s="5"/>
      <c r="AW28" s="5"/>
      <c r="AX28" s="5"/>
      <c r="AY28" s="5"/>
      <c r="AZ28" s="5"/>
      <c r="BA28" s="5" t="str">
        <f ca="1">IFERROR(__xludf.DUMMYFUNCTION("""COMPUTED_VALUE"""),"")</f>
        <v/>
      </c>
      <c r="BB28" s="5"/>
      <c r="BC28" s="5" t="str">
        <f ca="1">IFERROR(__xludf.DUMMYFUNCTION("""COMPUTED_VALUE"""),"Foxi")</f>
        <v>Foxi</v>
      </c>
      <c r="BD28" s="5" t="str">
        <f ca="1">IFERROR(__xludf.DUMMYFUNCTION("""COMPUTED_VALUE"""),"")</f>
        <v/>
      </c>
      <c r="BE28" s="5"/>
    </row>
    <row r="29" spans="1:57" x14ac:dyDescent="0.25">
      <c r="A29" s="5">
        <f ca="1">IFERROR(__xludf.DUMMYFUNCTION("""COMPUTED_VALUE"""),28)</f>
        <v>28</v>
      </c>
      <c r="B29" s="5">
        <f ca="1">IFERROR(__xludf.DUMMYFUNCTION("""COMPUTED_VALUE"""),27)</f>
        <v>27</v>
      </c>
      <c r="C29" s="5" t="str">
        <f ca="1">IFERROR(__xludf.DUMMYFUNCTION("""COMPUTED_VALUE"""),"Fazi")</f>
        <v>Fazi</v>
      </c>
      <c r="D29" s="5" t="str">
        <f ca="1">IFERROR(__xludf.DUMMYFUNCTION("""COMPUTED_VALUE"""),"Burning Ice")</f>
        <v>Burning Ice</v>
      </c>
      <c r="E29" s="5" t="str">
        <f ca="1">IFERROR(__xludf.DUMMYFUNCTION("""COMPUTED_VALUE"""),"V2")</f>
        <v>V2</v>
      </c>
      <c r="F29" s="5" t="str">
        <f ca="1">IFERROR(__xludf.DUMMYFUNCTION("""COMPUTED_VALUE"""),"BurningIce")</f>
        <v>BurningIce</v>
      </c>
      <c r="G29" s="5" t="str">
        <f ca="1">IFERROR(__xludf.DUMMYFUNCTION("""COMPUTED_VALUE"""),"Retired")</f>
        <v>Retired</v>
      </c>
      <c r="H29" s="5"/>
      <c r="I29" s="5" t="str">
        <f ca="1">IFERROR(__xludf.DUMMYFUNCTION("""COMPUTED_VALUE"""),"V2")</f>
        <v>V2</v>
      </c>
      <c r="J29" s="5" t="str">
        <f ca="1">IFERROR(__xludf.DUMMYFUNCTION("""COMPUTED_VALUE"""),"Binary")</f>
        <v>Binary</v>
      </c>
      <c r="K29" s="5" t="str">
        <f ca="1">IFERROR(__xludf.DUMMYFUNCTION("""COMPUTED_VALUE"""),"Slot")</f>
        <v>Slot</v>
      </c>
      <c r="L29" s="5"/>
      <c r="M29" s="5"/>
      <c r="N29" s="5"/>
      <c r="O29" s="5"/>
      <c r="P29" s="5"/>
      <c r="Q29" s="5"/>
      <c r="R29" s="5"/>
      <c r="S29" s="5"/>
      <c r="T29" s="5"/>
      <c r="U29" s="5" t="str">
        <f ca="1">IFERROR(__xludf.DUMMYFUNCTION("""COMPUTED_VALUE"""),"3x3")</f>
        <v>3x3</v>
      </c>
      <c r="V29" s="12" t="str">
        <f ca="1">IFERROR(__xludf.DUMMYFUNCTION("""COMPUTED_VALUE"""),"27")</f>
        <v>27</v>
      </c>
      <c r="W29" s="12" t="str">
        <f ca="1">IFERROR(__xludf.DUMMYFUNCTION("""COMPUTED_VALUE"""),"27")</f>
        <v>27</v>
      </c>
      <c r="X29" s="5">
        <f ca="1">IFERROR(__xludf.DUMMYFUNCTION("""COMPUTED_VALUE"""),96.352)</f>
        <v>96.352000000000004</v>
      </c>
      <c r="Y29" s="5" t="str">
        <f ca="1">IFERROR(__xludf.DUMMYFUNCTION("""COMPUTED_VALUE"""),"Medium")</f>
        <v>Medium</v>
      </c>
      <c r="Z29" s="5">
        <f ca="1">IFERROR(__xludf.DUMMYFUNCTION("""COMPUTED_VALUE"""),8.03)</f>
        <v>8.0299999999999994</v>
      </c>
      <c r="AA29" s="14">
        <f ca="1">IFERROR(__xludf.DUMMYFUNCTION("""COMPUTED_VALUE"""),360)</f>
        <v>360</v>
      </c>
      <c r="AB29" s="5"/>
      <c r="AC29" s="5" t="str">
        <f ca="1">IFERROR(__xludf.DUMMYFUNCTION("""COMPUTED_VALUE"""),"Respin, Mystery symbol")</f>
        <v>Respin, Mystery symbol</v>
      </c>
      <c r="AD29" s="5"/>
      <c r="AE29" s="5"/>
      <c r="AF29" s="5"/>
      <c r="AG29" s="5"/>
      <c r="AH29" s="5"/>
      <c r="AI29" s="5"/>
      <c r="AJ29" s="5"/>
      <c r="AK29" s="5">
        <f ca="1">IFERROR(__xludf.DUMMYFUNCTION("""COMPUTED_VALUE"""),1)</f>
        <v>1</v>
      </c>
      <c r="AL29" s="5"/>
      <c r="AM29" s="5"/>
      <c r="AN29" s="5"/>
      <c r="AO29" s="5"/>
      <c r="AP29" s="5"/>
      <c r="AQ29" s="5"/>
      <c r="AR29" s="5"/>
      <c r="AS29" s="5"/>
      <c r="AT29" s="5"/>
      <c r="AU29" s="5" t="str">
        <f ca="1">IFERROR(__xludf.DUMMYFUNCTION("""COMPUTED_VALUE"""),"Fazi")</f>
        <v>Fazi</v>
      </c>
      <c r="AV29" s="5"/>
      <c r="AW29" s="5"/>
      <c r="AX29" s="5"/>
      <c r="AY29" s="5"/>
      <c r="AZ29" s="5"/>
      <c r="BA29" s="5" t="str">
        <f ca="1">IFERROR(__xludf.DUMMYFUNCTION("""COMPUTED_VALUE"""),"")</f>
        <v/>
      </c>
      <c r="BB29" s="5"/>
      <c r="BC29" s="5" t="str">
        <f ca="1">IFERROR(__xludf.DUMMYFUNCTION("""COMPUTED_VALUE"""),"Foxi")</f>
        <v>Foxi</v>
      </c>
      <c r="BD29" s="5" t="str">
        <f ca="1">IFERROR(__xludf.DUMMYFUNCTION("""COMPUTED_VALUE"""),"")</f>
        <v/>
      </c>
      <c r="BE29" s="5"/>
    </row>
    <row r="30" spans="1:57" x14ac:dyDescent="0.25">
      <c r="A30" s="5">
        <f ca="1">IFERROR(__xludf.DUMMYFUNCTION("""COMPUTED_VALUE"""),29)</f>
        <v>29</v>
      </c>
      <c r="B30" s="5">
        <f ca="1">IFERROR(__xludf.DUMMYFUNCTION("""COMPUTED_VALUE"""),28)</f>
        <v>28</v>
      </c>
      <c r="C30" s="5" t="str">
        <f ca="1">IFERROR(__xludf.DUMMYFUNCTION("""COMPUTED_VALUE"""),"Fazi")</f>
        <v>Fazi</v>
      </c>
      <c r="D30" s="5" t="str">
        <f ca="1">IFERROR(__xludf.DUMMYFUNCTION("""COMPUTED_VALUE"""),"Turbo Hot 40")</f>
        <v>Turbo Hot 40</v>
      </c>
      <c r="E30" s="5" t="str">
        <f ca="1">IFERROR(__xludf.DUMMYFUNCTION("""COMPUTED_VALUE"""),"V2")</f>
        <v>V2</v>
      </c>
      <c r="F30" s="5" t="str">
        <f ca="1">IFERROR(__xludf.DUMMYFUNCTION("""COMPUTED_VALUE"""),"TurboHot40")</f>
        <v>TurboHot40</v>
      </c>
      <c r="G30" s="5" t="str">
        <f ca="1">IFERROR(__xludf.DUMMYFUNCTION("""COMPUTED_VALUE"""),"Live")</f>
        <v>Live</v>
      </c>
      <c r="H30" s="5"/>
      <c r="I30" s="5" t="str">
        <f ca="1">IFERROR(__xludf.DUMMYFUNCTION("""COMPUTED_VALUE"""),"V2")</f>
        <v>V2</v>
      </c>
      <c r="J30" s="5" t="str">
        <f ca="1">IFERROR(__xludf.DUMMYFUNCTION("""COMPUTED_VALUE"""),"JSON")</f>
        <v>JSON</v>
      </c>
      <c r="K30" s="5" t="str">
        <f ca="1">IFERROR(__xludf.DUMMYFUNCTION("""COMPUTED_VALUE"""),"Slot")</f>
        <v>Slot</v>
      </c>
      <c r="L30" s="5"/>
      <c r="M30" s="5"/>
      <c r="N30" s="5"/>
      <c r="O30" s="5"/>
      <c r="P30" s="14">
        <f ca="1">IFERROR(__xludf.DUMMYFUNCTION("""COMPUTED_VALUE"""),21.3)</f>
        <v>21.3</v>
      </c>
      <c r="Q30" s="5"/>
      <c r="R30" s="5"/>
      <c r="S30" s="15">
        <f ca="1">IFERROR(__xludf.DUMMYFUNCTION("""COMPUTED_VALUE"""),43435)</f>
        <v>43435</v>
      </c>
      <c r="T30" s="5" t="b">
        <f ca="1">IFERROR(__xludf.DUMMYFUNCTION("""COMPUTED_VALUE"""),TRUE)</f>
        <v>1</v>
      </c>
      <c r="U30" s="5" t="str">
        <f ca="1">IFERROR(__xludf.DUMMYFUNCTION("""COMPUTED_VALUE"""),"5x4")</f>
        <v>5x4</v>
      </c>
      <c r="V30" s="12" t="str">
        <f ca="1">IFERROR(__xludf.DUMMYFUNCTION("""COMPUTED_VALUE"""),"40")</f>
        <v>40</v>
      </c>
      <c r="W30" s="12" t="str">
        <f ca="1">IFERROR(__xludf.DUMMYFUNCTION("""COMPUTED_VALUE"""),"40")</f>
        <v>40</v>
      </c>
      <c r="X30" s="5">
        <f ca="1">IFERROR(__xludf.DUMMYFUNCTION("""COMPUTED_VALUE"""),96.584)</f>
        <v>96.584000000000003</v>
      </c>
      <c r="Y30" s="5" t="str">
        <f ca="1">IFERROR(__xludf.DUMMYFUNCTION("""COMPUTED_VALUE"""),"Low")</f>
        <v>Low</v>
      </c>
      <c r="Z30" s="5">
        <f ca="1">IFERROR(__xludf.DUMMYFUNCTION("""COMPUTED_VALUE"""),16.73)</f>
        <v>16.73</v>
      </c>
      <c r="AA30" s="14">
        <f ca="1">IFERROR(__xludf.DUMMYFUNCTION("""COMPUTED_VALUE"""),1000)</f>
        <v>1000</v>
      </c>
      <c r="AB30" s="5" t="str">
        <f ca="1">IFERROR(__xludf.DUMMYFUNCTION("""COMPUTED_VALUE"""),"/")</f>
        <v>/</v>
      </c>
      <c r="AC30" s="5" t="str">
        <f ca="1">IFERROR(__xludf.DUMMYFUNCTION("""COMPUTED_VALUE"""),"Wild Symbol, Scatter")</f>
        <v>Wild Symbol, Scatter</v>
      </c>
      <c r="AD30" s="5" t="str">
        <f ca="1">IFERROR(__xludf.DUMMYFUNCTION("""COMPUTED_VALUE"""),"0.40/60")</f>
        <v>0.40/60</v>
      </c>
      <c r="AE30" s="5"/>
      <c r="AF30" s="5"/>
      <c r="AG30" s="10">
        <f ca="1">IFERROR(__xludf.DUMMYFUNCTION("""COMPUTED_VALUE"""),45876.5016550925)</f>
        <v>45876.501655092499</v>
      </c>
      <c r="AH30" s="5" t="str">
        <f ca="1">IFERROR(__xludf.DUMMYFUNCTION("""COMPUTED_VALUE"""),"marko.tepavac@fazi.rs")</f>
        <v>marko.tepavac@fazi.rs</v>
      </c>
      <c r="AI30" s="5"/>
      <c r="AJ30" s="5"/>
      <c r="AK30" s="5">
        <f ca="1">IFERROR(__xludf.DUMMYFUNCTION("""COMPUTED_VALUE"""),40)</f>
        <v>40</v>
      </c>
      <c r="AL30" s="5" t="str">
        <f ca="1">IFERROR(__xludf.DUMMYFUNCTION("""COMPUTED_VALUE"""),"Yes")</f>
        <v>Yes</v>
      </c>
      <c r="AM30" s="5"/>
      <c r="AN30" s="7" t="str">
        <f ca="1">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AO30" s="5" t="str">
        <f ca="1">IFERROR(__xludf.DUMMYFUNCTION("""COMPUTED_VALUE"""),"Yes")</f>
        <v>Yes</v>
      </c>
      <c r="AP30" s="5"/>
      <c r="AQ30" s="5" t="b">
        <f ca="1">IFERROR(__xludf.DUMMYFUNCTION("""COMPUTED_VALUE"""),TRUE)</f>
        <v>1</v>
      </c>
      <c r="AR30" s="5"/>
      <c r="AS30" s="5" t="str">
        <f ca="1">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AT30" s="5"/>
      <c r="AU30" s="5" t="str">
        <f ca="1">IFERROR(__xludf.DUMMYFUNCTION("""COMPUTED_VALUE"""),"Fazi")</f>
        <v>Fazi</v>
      </c>
      <c r="AV30" s="5"/>
      <c r="AW30" s="5"/>
      <c r="AX30" s="5"/>
      <c r="AY30" s="5"/>
      <c r="AZ30" s="5"/>
      <c r="BA30" s="5" t="str">
        <f ca="1">IFERROR(__xludf.DUMMYFUNCTION("""COMPUTED_VALUE"""),"")</f>
        <v/>
      </c>
      <c r="BB30" s="5"/>
      <c r="BC30" s="5" t="str">
        <f ca="1">IFERROR(__xludf.DUMMYFUNCTION("""COMPUTED_VALUE"""),"Foxi")</f>
        <v>Foxi</v>
      </c>
      <c r="BD30" s="7" t="str">
        <f ca="1">IFERROR(__xludf.DUMMYFUNCTION("""COMPUTED_VALUE"""),"https://gameserver-store-client-area.orbionlimited.com/Home/IntegrationGameLaunch/client-area?moneyType=0&amp;gameName=TurboHot40&amp;platform=desktop&amp;languageCode=eng&amp;currency=EUR")</f>
        <v>https://gameserver-store-client-area.orbionlimited.com/Home/IntegrationGameLaunch/client-area?moneyType=0&amp;gameName=TurboHot40&amp;platform=desktop&amp;languageCode=eng&amp;currency=EUR</v>
      </c>
      <c r="BE30" s="5" t="b">
        <f ca="1">IFERROR(__xludf.DUMMYFUNCTION("""COMPUTED_VALUE"""),TRUE)</f>
        <v>1</v>
      </c>
    </row>
    <row r="31" spans="1:57" x14ac:dyDescent="0.25">
      <c r="A31" s="5">
        <f ca="1">IFERROR(__xludf.DUMMYFUNCTION("""COMPUTED_VALUE"""),30)</f>
        <v>30</v>
      </c>
      <c r="B31" s="5">
        <f ca="1">IFERROR(__xludf.DUMMYFUNCTION("""COMPUTED_VALUE"""),29)</f>
        <v>29</v>
      </c>
      <c r="C31" s="5" t="str">
        <f ca="1">IFERROR(__xludf.DUMMYFUNCTION("""COMPUTED_VALUE"""),"Fazi")</f>
        <v>Fazi</v>
      </c>
      <c r="D31" s="5" t="str">
        <f ca="1">IFERROR(__xludf.DUMMYFUNCTION("""COMPUTED_VALUE"""),"Crystals of Magic")</f>
        <v>Crystals of Magic</v>
      </c>
      <c r="E31" s="5" t="str">
        <f ca="1">IFERROR(__xludf.DUMMYFUNCTION("""COMPUTED_VALUE"""),"V2")</f>
        <v>V2</v>
      </c>
      <c r="F31" s="5" t="str">
        <f ca="1">IFERROR(__xludf.DUMMYFUNCTION("""COMPUTED_VALUE"""),"CrystalsOfMagic")</f>
        <v>CrystalsOfMagic</v>
      </c>
      <c r="G31" s="5" t="str">
        <f ca="1">IFERROR(__xludf.DUMMYFUNCTION("""COMPUTED_VALUE"""),"Live")</f>
        <v>Live</v>
      </c>
      <c r="H31" s="5"/>
      <c r="I31" s="5" t="str">
        <f ca="1">IFERROR(__xludf.DUMMYFUNCTION("""COMPUTED_VALUE"""),"V2")</f>
        <v>V2</v>
      </c>
      <c r="J31" s="5" t="str">
        <f ca="1">IFERROR(__xludf.DUMMYFUNCTION("""COMPUTED_VALUE"""),"Binary")</f>
        <v>Binary</v>
      </c>
      <c r="K31" s="5" t="str">
        <f ca="1">IFERROR(__xludf.DUMMYFUNCTION("""COMPUTED_VALUE"""),"Slot")</f>
        <v>Slot</v>
      </c>
      <c r="L31" s="5"/>
      <c r="M31" s="5"/>
      <c r="N31" s="5"/>
      <c r="O31" s="5"/>
      <c r="P31" s="14">
        <f ca="1">IFERROR(__xludf.DUMMYFUNCTION("""COMPUTED_VALUE"""),90.5)</f>
        <v>90.5</v>
      </c>
      <c r="Q31" s="5"/>
      <c r="R31" s="5"/>
      <c r="S31" s="15">
        <f ca="1">IFERROR(__xludf.DUMMYFUNCTION("""COMPUTED_VALUE"""),43160)</f>
        <v>43160</v>
      </c>
      <c r="T31" s="5"/>
      <c r="U31" s="5" t="str">
        <f ca="1">IFERROR(__xludf.DUMMYFUNCTION("""COMPUTED_VALUE"""),"5x3")</f>
        <v>5x3</v>
      </c>
      <c r="V31" s="12" t="str">
        <f ca="1">IFERROR(__xludf.DUMMYFUNCTION("""COMPUTED_VALUE"""),"25")</f>
        <v>25</v>
      </c>
      <c r="W31" s="12" t="str">
        <f ca="1">IFERROR(__xludf.DUMMYFUNCTION("""COMPUTED_VALUE"""),"25")</f>
        <v>25</v>
      </c>
      <c r="X31" s="5">
        <f ca="1">IFERROR(__xludf.DUMMYFUNCTION("""COMPUTED_VALUE"""),96.037)</f>
        <v>96.037000000000006</v>
      </c>
      <c r="Y31" s="5" t="str">
        <f ca="1">IFERROR(__xludf.DUMMYFUNCTION("""COMPUTED_VALUE"""),"Low")</f>
        <v>Low</v>
      </c>
      <c r="Z31" s="5">
        <f ca="1">IFERROR(__xludf.DUMMYFUNCTION("""COMPUTED_VALUE"""),58.33)</f>
        <v>58.33</v>
      </c>
      <c r="AA31" s="14">
        <f ca="1">IFERROR(__xludf.DUMMYFUNCTION("""COMPUTED_VALUE"""),504)</f>
        <v>504</v>
      </c>
      <c r="AB31" s="5">
        <f ca="1">IFERROR(__xludf.DUMMYFUNCTION("""COMPUTED_VALUE"""),161)</f>
        <v>161</v>
      </c>
      <c r="AC31" s="5" t="str">
        <f ca="1">IFERROR(__xludf.DUMMYFUNCTION("""COMPUTED_VALUE"""),"Wild Symbol, Bonus Game with Free Spins, Sticky Wild, Bonus Game with Multiplier")</f>
        <v>Wild Symbol, Bonus Game with Free Spins, Sticky Wild, Bonus Game with Multiplier</v>
      </c>
      <c r="AD31" s="5" t="str">
        <f ca="1">IFERROR(__xludf.DUMMYFUNCTION("""COMPUTED_VALUE"""),"0.25/62.5")</f>
        <v>0.25/62.5</v>
      </c>
      <c r="AE31" s="5"/>
      <c r="AF31" s="5"/>
      <c r="AG31" s="10">
        <f ca="1">IFERROR(__xludf.DUMMYFUNCTION("""COMPUTED_VALUE"""),46055.5070138888)</f>
        <v>46055.507013888797</v>
      </c>
      <c r="AH31" s="5" t="str">
        <f ca="1">IFERROR(__xludf.DUMMYFUNCTION("""COMPUTED_VALUE"""),"djordje.jankovic@fazi.rs")</f>
        <v>djordje.jankovic@fazi.rs</v>
      </c>
      <c r="AI31" s="5"/>
      <c r="AJ31" s="5"/>
      <c r="AK31" s="5">
        <f ca="1">IFERROR(__xludf.DUMMYFUNCTION("""COMPUTED_VALUE"""),25)</f>
        <v>25</v>
      </c>
      <c r="AL31" s="5" t="str">
        <f ca="1">IFERROR(__xludf.DUMMYFUNCTION("""COMPUTED_VALUE"""),"Yes")</f>
        <v>Yes</v>
      </c>
      <c r="AM31" s="5"/>
      <c r="AN31" s="7" t="str">
        <f ca="1">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AO31" s="5"/>
      <c r="AP31" s="5"/>
      <c r="AQ31" s="5" t="b">
        <f ca="1">IFERROR(__xludf.DUMMYFUNCTION("""COMPUTED_VALUE"""),TRUE)</f>
        <v>1</v>
      </c>
      <c r="AR31" s="5"/>
      <c r="AS31" s="5" t="str">
        <f ca="1">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AT31" s="5"/>
      <c r="AU31" s="5" t="str">
        <f ca="1">IFERROR(__xludf.DUMMYFUNCTION("""COMPUTED_VALUE"""),"Fazi")</f>
        <v>Fazi</v>
      </c>
      <c r="AV31" s="5"/>
      <c r="AW31" s="5"/>
      <c r="AX31" s="5"/>
      <c r="AY31" s="5"/>
      <c r="AZ31" s="5"/>
      <c r="BA31" s="5" t="str">
        <f ca="1">IFERROR(__xludf.DUMMYFUNCTION("""COMPUTED_VALUE"""),"")</f>
        <v/>
      </c>
      <c r="BB31" s="5"/>
      <c r="BC31" s="5" t="str">
        <f ca="1">IFERROR(__xludf.DUMMYFUNCTION("""COMPUTED_VALUE"""),"Foxi")</f>
        <v>Foxi</v>
      </c>
      <c r="BD31" s="7" t="str">
        <f ca="1">IFERROR(__xludf.DUMMYFUNCTION("""COMPUTED_VALUE"""),"https://gameserver-store-client-area.orbionlimited.com/Home/IntegrationGameLaunch/client-area?moneyType=0&amp;gameName=CrystalsOfMagic&amp;platform=desktop&amp;languageCode=eng&amp;currency=EUR")</f>
        <v>https://gameserver-store-client-area.orbionlimited.com/Home/IntegrationGameLaunch/client-area?moneyType=0&amp;gameName=CrystalsOfMagic&amp;platform=desktop&amp;languageCode=eng&amp;currency=EUR</v>
      </c>
      <c r="BE31" s="5" t="b">
        <f ca="1">IFERROR(__xludf.DUMMYFUNCTION("""COMPUTED_VALUE"""),TRUE)</f>
        <v>1</v>
      </c>
    </row>
    <row r="32" spans="1:57" x14ac:dyDescent="0.25">
      <c r="A32" s="5">
        <f ca="1">IFERROR(__xludf.DUMMYFUNCTION("""COMPUTED_VALUE"""),31)</f>
        <v>31</v>
      </c>
      <c r="B32" s="5">
        <f ca="1">IFERROR(__xludf.DUMMYFUNCTION("""COMPUTED_VALUE"""),30)</f>
        <v>30</v>
      </c>
      <c r="C32" s="5" t="str">
        <f ca="1">IFERROR(__xludf.DUMMYFUNCTION("""COMPUTED_VALUE"""),"Fazi")</f>
        <v>Fazi</v>
      </c>
      <c r="D32" s="5" t="str">
        <f ca="1">IFERROR(__xludf.DUMMYFUNCTION("""COMPUTED_VALUE"""),"Pirates")</f>
        <v>Pirates</v>
      </c>
      <c r="E32" s="5" t="str">
        <f ca="1">IFERROR(__xludf.DUMMYFUNCTION("""COMPUTED_VALUE"""),"V2")</f>
        <v>V2</v>
      </c>
      <c r="F32" s="5" t="str">
        <f ca="1">IFERROR(__xludf.DUMMYFUNCTION("""COMPUTED_VALUE"""),"Pirates")</f>
        <v>Pirates</v>
      </c>
      <c r="G32" s="5" t="str">
        <f ca="1">IFERROR(__xludf.DUMMYFUNCTION("""COMPUTED_VALUE"""),"Retired")</f>
        <v>Retired</v>
      </c>
      <c r="H32" s="5"/>
      <c r="I32" s="5" t="str">
        <f ca="1">IFERROR(__xludf.DUMMYFUNCTION("""COMPUTED_VALUE"""),"V2")</f>
        <v>V2</v>
      </c>
      <c r="J32" s="5" t="str">
        <f ca="1">IFERROR(__xludf.DUMMYFUNCTION("""COMPUTED_VALUE"""),"Binary")</f>
        <v>Binary</v>
      </c>
      <c r="K32" s="5" t="str">
        <f ca="1">IFERROR(__xludf.DUMMYFUNCTION("""COMPUTED_VALUE"""),"Slot")</f>
        <v>Slot</v>
      </c>
      <c r="L32" s="5"/>
      <c r="M32" s="5"/>
      <c r="N32" s="5"/>
      <c r="O32" s="5"/>
      <c r="P32" s="14">
        <f ca="1">IFERROR(__xludf.DUMMYFUNCTION("""COMPUTED_VALUE"""),41.8)</f>
        <v>41.8</v>
      </c>
      <c r="Q32" s="5"/>
      <c r="R32" s="5"/>
      <c r="S32" s="15">
        <f ca="1">IFERROR(__xludf.DUMMYFUNCTION("""COMPUTED_VALUE"""),43252)</f>
        <v>43252</v>
      </c>
      <c r="T32" s="5" t="b">
        <f ca="1">IFERROR(__xludf.DUMMYFUNCTION("""COMPUTED_VALUE"""),TRUE)</f>
        <v>1</v>
      </c>
      <c r="U32" s="5"/>
      <c r="V32" s="12" t="str">
        <f ca="1">IFERROR(__xludf.DUMMYFUNCTION("""COMPUTED_VALUE"""),"15")</f>
        <v>15</v>
      </c>
      <c r="W32" s="5"/>
      <c r="X32" s="13">
        <f ca="1">IFERROR(__xludf.DUMMYFUNCTION("""COMPUTED_VALUE"""),0)</f>
        <v>0</v>
      </c>
      <c r="Y32" s="5"/>
      <c r="Z32" s="5">
        <f ca="1">IFERROR(__xludf.DUMMYFUNCTION("""COMPUTED_VALUE"""),0)</f>
        <v>0</v>
      </c>
      <c r="AA32" s="5"/>
      <c r="AB32" s="5"/>
      <c r="AC32" s="5"/>
      <c r="AD32" s="5" t="str">
        <f ca="1">IFERROR(__xludf.DUMMYFUNCTION("""COMPUTED_VALUE"""),"0.01/45")</f>
        <v>0.01/45</v>
      </c>
      <c r="AE32" s="5"/>
      <c r="AF32" s="5"/>
      <c r="AG32" s="5"/>
      <c r="AH32" s="5"/>
      <c r="AI32" s="5"/>
      <c r="AJ32" s="5"/>
      <c r="AK32" s="5" t="str">
        <f ca="1">IFERROR(__xludf.DUMMYFUNCTION("""COMPUTED_VALUE"""),"NULL")</f>
        <v>NULL</v>
      </c>
      <c r="AL32" s="5" t="str">
        <f ca="1">IFERROR(__xludf.DUMMYFUNCTION("""COMPUTED_VALUE"""),"Yes")</f>
        <v>Yes</v>
      </c>
      <c r="AM32" s="5"/>
      <c r="AN32" s="7" t="str">
        <f ca="1">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32" s="5"/>
      <c r="AP32" s="5"/>
      <c r="AQ32" s="5"/>
      <c r="AR32" s="5"/>
      <c r="AS32" s="5"/>
      <c r="AT32" s="5"/>
      <c r="AU32" s="5" t="str">
        <f ca="1">IFERROR(__xludf.DUMMYFUNCTION("""COMPUTED_VALUE"""),"Fazi")</f>
        <v>Fazi</v>
      </c>
      <c r="AV32" s="5"/>
      <c r="AW32" s="5"/>
      <c r="AX32" s="5"/>
      <c r="AY32" s="5"/>
      <c r="AZ32" s="5"/>
      <c r="BA32" s="5" t="str">
        <f ca="1">IFERROR(__xludf.DUMMYFUNCTION("""COMPUTED_VALUE"""),"")</f>
        <v/>
      </c>
      <c r="BB32" s="5"/>
      <c r="BC32" s="5" t="str">
        <f ca="1">IFERROR(__xludf.DUMMYFUNCTION("""COMPUTED_VALUE"""),"Foxi")</f>
        <v>Foxi</v>
      </c>
      <c r="BD32" s="7" t="str">
        <f ca="1">IFERROR(__xludf.DUMMYFUNCTION("""COMPUTED_VALUE"""),"https://gameserver-store-client-area.orbionlimited.com/Home/IntegrationGameLaunch/client-area?moneyType=0&amp;gameName=Pirates&amp;platform=desktop&amp;languageCode=eng&amp;currency=EUR")</f>
        <v>https://gameserver-store-client-area.orbionlimited.com/Home/IntegrationGameLaunch/client-area?moneyType=0&amp;gameName=Pirates&amp;platform=desktop&amp;languageCode=eng&amp;currency=EUR</v>
      </c>
      <c r="BE32" s="5"/>
    </row>
    <row r="33" spans="1:57" x14ac:dyDescent="0.25">
      <c r="A33" s="5">
        <f ca="1">IFERROR(__xludf.DUMMYFUNCTION("""COMPUTED_VALUE"""),32)</f>
        <v>32</v>
      </c>
      <c r="B33" s="5">
        <f ca="1">IFERROR(__xludf.DUMMYFUNCTION("""COMPUTED_VALUE"""),31)</f>
        <v>31</v>
      </c>
      <c r="C33" s="5" t="str">
        <f ca="1">IFERROR(__xludf.DUMMYFUNCTION("""COMPUTED_VALUE"""),"Fazi")</f>
        <v>Fazi</v>
      </c>
      <c r="D33" s="5" t="str">
        <f ca="1">IFERROR(__xludf.DUMMYFUNCTION("""COMPUTED_VALUE"""),"Book of Bruno")</f>
        <v>Book of Bruno</v>
      </c>
      <c r="E33" s="5" t="str">
        <f ca="1">IFERROR(__xludf.DUMMYFUNCTION("""COMPUTED_VALUE"""),"V2")</f>
        <v>V2</v>
      </c>
      <c r="F33" s="5" t="str">
        <f ca="1">IFERROR(__xludf.DUMMYFUNCTION("""COMPUTED_VALUE"""),"BookOfBruno")</f>
        <v>BookOfBruno</v>
      </c>
      <c r="G33" s="5" t="str">
        <f ca="1">IFERROR(__xludf.DUMMYFUNCTION("""COMPUTED_VALUE"""),"Live")</f>
        <v>Live</v>
      </c>
      <c r="H33" s="5"/>
      <c r="I33" s="5" t="str">
        <f ca="1">IFERROR(__xludf.DUMMYFUNCTION("""COMPUTED_VALUE"""),"V2")</f>
        <v>V2</v>
      </c>
      <c r="J33" s="5" t="str">
        <f ca="1">IFERROR(__xludf.DUMMYFUNCTION("""COMPUTED_VALUE"""),"Binary")</f>
        <v>Binary</v>
      </c>
      <c r="K33" s="5" t="str">
        <f ca="1">IFERROR(__xludf.DUMMYFUNCTION("""COMPUTED_VALUE"""),"Slot")</f>
        <v>Slot</v>
      </c>
      <c r="L33" s="5"/>
      <c r="M33" s="5"/>
      <c r="N33" s="5"/>
      <c r="O33" s="5"/>
      <c r="P33" s="14">
        <f ca="1">IFERROR(__xludf.DUMMYFUNCTION("""COMPUTED_VALUE"""),26.4)</f>
        <v>26.4</v>
      </c>
      <c r="Q33" s="5"/>
      <c r="R33" s="5"/>
      <c r="S33" s="15">
        <f ca="1">IFERROR(__xludf.DUMMYFUNCTION("""COMPUTED_VALUE"""),43101)</f>
        <v>43101</v>
      </c>
      <c r="T33" s="5"/>
      <c r="U33" s="5" t="str">
        <f ca="1">IFERROR(__xludf.DUMMYFUNCTION("""COMPUTED_VALUE"""),"5x3")</f>
        <v>5x3</v>
      </c>
      <c r="V33" s="12" t="str">
        <f ca="1">IFERROR(__xludf.DUMMYFUNCTION("""COMPUTED_VALUE"""),"10")</f>
        <v>10</v>
      </c>
      <c r="W33" s="12" t="str">
        <f ca="1">IFERROR(__xludf.DUMMYFUNCTION("""COMPUTED_VALUE"""),"1,3,5,7,10")</f>
        <v>1,3,5,7,10</v>
      </c>
      <c r="X33" s="5">
        <f ca="1">IFERROR(__xludf.DUMMYFUNCTION("""COMPUTED_VALUE"""),96.064)</f>
        <v>96.063999999999993</v>
      </c>
      <c r="Y33" s="5" t="str">
        <f ca="1">IFERROR(__xludf.DUMMYFUNCTION("""COMPUTED_VALUE"""),"High")</f>
        <v>High</v>
      </c>
      <c r="Z33" s="5">
        <f ca="1">IFERROR(__xludf.DUMMYFUNCTION("""COMPUTED_VALUE"""),31.66)</f>
        <v>31.66</v>
      </c>
      <c r="AA33" s="14">
        <f ca="1">IFERROR(__xludf.DUMMYFUNCTION("""COMPUTED_VALUE"""),6408)</f>
        <v>6408</v>
      </c>
      <c r="AB33" s="5">
        <f ca="1">IFERROR(__xludf.DUMMYFUNCTION("""COMPUTED_VALUE"""),212)</f>
        <v>212</v>
      </c>
      <c r="AC33" s="5" t="str">
        <f ca="1">IFERROR(__xludf.DUMMYFUNCTION("""COMPUTED_VALUE"""),"Bonus Game with Special Symbol, Wild Symbol, Scatter, Book Of Game")</f>
        <v>Bonus Game with Special Symbol, Wild Symbol, Scatter, Book Of Game</v>
      </c>
      <c r="AD33" s="5" t="str">
        <f ca="1">IFERROR(__xludf.DUMMYFUNCTION("""COMPUTED_VALUE"""),"0.01/40")</f>
        <v>0.01/40</v>
      </c>
      <c r="AE33" s="5"/>
      <c r="AF33" s="5"/>
      <c r="AG33" s="10">
        <f ca="1">IFERROR(__xludf.DUMMYFUNCTION("""COMPUTED_VALUE"""),45964.9147222222)</f>
        <v>45964.914722222202</v>
      </c>
      <c r="AH33" s="5" t="str">
        <f ca="1">IFERROR(__xludf.DUMMYFUNCTION("""COMPUTED_VALUE"""),"djordje.jankovic@fazi.rs")</f>
        <v>djordje.jankovic@fazi.rs</v>
      </c>
      <c r="AI33" s="5"/>
      <c r="AJ33" s="5"/>
      <c r="AK33" s="5">
        <f ca="1">IFERROR(__xludf.DUMMYFUNCTION("""COMPUTED_VALUE"""),10)</f>
        <v>10</v>
      </c>
      <c r="AL33" s="5" t="str">
        <f ca="1">IFERROR(__xludf.DUMMYFUNCTION("""COMPUTED_VALUE"""),"Yes")</f>
        <v>Yes</v>
      </c>
      <c r="AM33" s="5"/>
      <c r="AN33" s="7" t="str">
        <f ca="1">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AO33" s="5"/>
      <c r="AP33" s="5"/>
      <c r="AQ33" s="5" t="b">
        <f ca="1">IFERROR(__xludf.DUMMYFUNCTION("""COMPUTED_VALUE"""),TRUE)</f>
        <v>1</v>
      </c>
      <c r="AR33" s="5"/>
      <c r="AS33" s="5" t="str">
        <f ca="1">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AT33" s="5"/>
      <c r="AU33" s="5" t="str">
        <f ca="1">IFERROR(__xludf.DUMMYFUNCTION("""COMPUTED_VALUE"""),"Fazi")</f>
        <v>Fazi</v>
      </c>
      <c r="AV33" s="5"/>
      <c r="AW33" s="5"/>
      <c r="AX33" s="5"/>
      <c r="AY33" s="5"/>
      <c r="AZ33" s="5"/>
      <c r="BA33" s="5" t="str">
        <f ca="1">IFERROR(__xludf.DUMMYFUNCTION("""COMPUTED_VALUE"""),"")</f>
        <v/>
      </c>
      <c r="BB33" s="5"/>
      <c r="BC33" s="5" t="str">
        <f ca="1">IFERROR(__xludf.DUMMYFUNCTION("""COMPUTED_VALUE"""),"Foxi")</f>
        <v>Foxi</v>
      </c>
      <c r="BD33" s="7" t="str">
        <f ca="1">IFERROR(__xludf.DUMMYFUNCTION("""COMPUTED_VALUE"""),"https://gameserver-store-client-area.orbionlimited.com/Home/IntegrationGameLaunch/client-area?moneyType=0&amp;gameName=BookOfBruno&amp;platform=desktop&amp;languageCode=eng&amp;currency=EUR")</f>
        <v>https://gameserver-store-client-area.orbionlimited.com/Home/IntegrationGameLaunch/client-area?moneyType=0&amp;gameName=BookOfBruno&amp;platform=desktop&amp;languageCode=eng&amp;currency=EUR</v>
      </c>
      <c r="BE33" s="5" t="b">
        <f ca="1">IFERROR(__xludf.DUMMYFUNCTION("""COMPUTED_VALUE"""),TRUE)</f>
        <v>1</v>
      </c>
    </row>
    <row r="34" spans="1:57" x14ac:dyDescent="0.25">
      <c r="A34" s="5">
        <f ca="1">IFERROR(__xludf.DUMMYFUNCTION("""COMPUTED_VALUE"""),33)</f>
        <v>33</v>
      </c>
      <c r="B34" s="5">
        <f ca="1">IFERROR(__xludf.DUMMYFUNCTION("""COMPUTED_VALUE"""),32)</f>
        <v>32</v>
      </c>
      <c r="C34" s="5" t="str">
        <f ca="1">IFERROR(__xludf.DUMMYFUNCTION("""COMPUTED_VALUE"""),"Fazi")</f>
        <v>Fazi</v>
      </c>
      <c r="D34" s="5" t="str">
        <f ca="1">IFERROR(__xludf.DUMMYFUNCTION("""COMPUTED_VALUE"""),"Tropical Hot")</f>
        <v>Tropical Hot</v>
      </c>
      <c r="E34" s="5" t="str">
        <f ca="1">IFERROR(__xludf.DUMMYFUNCTION("""COMPUTED_VALUE"""),"V2")</f>
        <v>V2</v>
      </c>
      <c r="F34" s="5" t="str">
        <f ca="1">IFERROR(__xludf.DUMMYFUNCTION("""COMPUTED_VALUE"""),"TropicalHot")</f>
        <v>TropicalHot</v>
      </c>
      <c r="G34" s="5" t="str">
        <f ca="1">IFERROR(__xludf.DUMMYFUNCTION("""COMPUTED_VALUE"""),"Live")</f>
        <v>Live</v>
      </c>
      <c r="H34" s="5"/>
      <c r="I34" s="5" t="str">
        <f ca="1">IFERROR(__xludf.DUMMYFUNCTION("""COMPUTED_VALUE"""),"V2")</f>
        <v>V2</v>
      </c>
      <c r="J34" s="5" t="str">
        <f ca="1">IFERROR(__xludf.DUMMYFUNCTION("""COMPUTED_VALUE"""),"Binary")</f>
        <v>Binary</v>
      </c>
      <c r="K34" s="5" t="str">
        <f ca="1">IFERROR(__xludf.DUMMYFUNCTION("""COMPUTED_VALUE"""),"Slot")</f>
        <v>Slot</v>
      </c>
      <c r="L34" s="5" t="str">
        <f ca="1">IFERROR(__xludf.DUMMYFUNCTION("""COMPUTED_VALUE"""),"Clone")</f>
        <v>Clone</v>
      </c>
      <c r="M34" s="5" t="str">
        <f ca="1">IFERROR(__xludf.DUMMYFUNCTION("""COMPUTED_VALUE"""),"Juicy Hot")</f>
        <v>Juicy Hot</v>
      </c>
      <c r="N34" s="5"/>
      <c r="O34" s="5"/>
      <c r="P34" s="14">
        <f ca="1">IFERROR(__xludf.DUMMYFUNCTION("""COMPUTED_VALUE"""),23.8)</f>
        <v>23.8</v>
      </c>
      <c r="Q34" s="5"/>
      <c r="R34" s="5"/>
      <c r="S34" s="15">
        <f ca="1">IFERROR(__xludf.DUMMYFUNCTION("""COMPUTED_VALUE"""),43405)</f>
        <v>43405</v>
      </c>
      <c r="T34" s="5" t="b">
        <f ca="1">IFERROR(__xludf.DUMMYFUNCTION("""COMPUTED_VALUE"""),TRUE)</f>
        <v>1</v>
      </c>
      <c r="U34" s="5" t="str">
        <f ca="1">IFERROR(__xludf.DUMMYFUNCTION("""COMPUTED_VALUE"""),"5x3")</f>
        <v>5x3</v>
      </c>
      <c r="V34" s="12" t="str">
        <f ca="1">IFERROR(__xludf.DUMMYFUNCTION("""COMPUTED_VALUE"""),"20")</f>
        <v>20</v>
      </c>
      <c r="W34" s="12" t="str">
        <f ca="1">IFERROR(__xludf.DUMMYFUNCTION("""COMPUTED_VALUE"""),"1,3,5,7,9,10,20")</f>
        <v>1,3,5,7,9,10,20</v>
      </c>
      <c r="X34" s="5">
        <f ca="1">IFERROR(__xludf.DUMMYFUNCTION("""COMPUTED_VALUE"""),93.694)</f>
        <v>93.694000000000003</v>
      </c>
      <c r="Y34" s="5" t="str">
        <f ca="1">IFERROR(__xludf.DUMMYFUNCTION("""COMPUTED_VALUE"""),"Low")</f>
        <v>Low</v>
      </c>
      <c r="Z34" s="5">
        <f ca="1">IFERROR(__xludf.DUMMYFUNCTION("""COMPUTED_VALUE"""),17.205)</f>
        <v>17.204999999999998</v>
      </c>
      <c r="AA34" s="14">
        <f ca="1">IFERROR(__xludf.DUMMYFUNCTION("""COMPUTED_VALUE"""),252.5)</f>
        <v>252.5</v>
      </c>
      <c r="AB34" s="5" t="str">
        <f ca="1">IFERROR(__xludf.DUMMYFUNCTION("""COMPUTED_VALUE"""),"/")</f>
        <v>/</v>
      </c>
      <c r="AC34" s="5" t="str">
        <f ca="1">IFERROR(__xludf.DUMMYFUNCTION("""COMPUTED_VALUE"""),"Scatter")</f>
        <v>Scatter</v>
      </c>
      <c r="AD34" s="5" t="str">
        <f ca="1">IFERROR(__xludf.DUMMYFUNCTION("""COMPUTED_VALUE"""),"0.20/50")</f>
        <v>0.20/50</v>
      </c>
      <c r="AE34" s="5"/>
      <c r="AF34" s="5"/>
      <c r="AG34" s="10">
        <f ca="1">IFERROR(__xludf.DUMMYFUNCTION("""COMPUTED_VALUE"""),46038.7175)</f>
        <v>46038.717499999999</v>
      </c>
      <c r="AH34" s="5" t="str">
        <f ca="1">IFERROR(__xludf.DUMMYFUNCTION("""COMPUTED_VALUE"""),"djordje.petrovic@fazi.rs")</f>
        <v>djordje.petrovic@fazi.rs</v>
      </c>
      <c r="AI34" s="5"/>
      <c r="AJ34" s="5"/>
      <c r="AK34" s="5">
        <f ca="1">IFERROR(__xludf.DUMMYFUNCTION("""COMPUTED_VALUE"""),20)</f>
        <v>20</v>
      </c>
      <c r="AL34" s="5" t="str">
        <f ca="1">IFERROR(__xludf.DUMMYFUNCTION("""COMPUTED_VALUE"""),"Yes")</f>
        <v>Yes</v>
      </c>
      <c r="AM34" s="5"/>
      <c r="AN34" s="7" t="str">
        <f ca="1">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AO34" s="5"/>
      <c r="AP34" s="5"/>
      <c r="AQ34" s="5" t="b">
        <f ca="1">IFERROR(__xludf.DUMMYFUNCTION("""COMPUTED_VALUE"""),TRUE)</f>
        <v>1</v>
      </c>
      <c r="AR34" s="5"/>
      <c r="AS34" s="5" t="str">
        <f ca="1">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AT34" s="5"/>
      <c r="AU34" s="5" t="str">
        <f ca="1">IFERROR(__xludf.DUMMYFUNCTION("""COMPUTED_VALUE"""),"Fazi")</f>
        <v>Fazi</v>
      </c>
      <c r="AV34" s="5"/>
      <c r="AW34" s="5"/>
      <c r="AX34" s="5"/>
      <c r="AY34" s="5"/>
      <c r="AZ34" s="5"/>
      <c r="BA34" s="5" t="str">
        <f ca="1">IFERROR(__xludf.DUMMYFUNCTION("""COMPUTED_VALUE"""),"")</f>
        <v/>
      </c>
      <c r="BB34" s="5"/>
      <c r="BC34" s="5" t="str">
        <f ca="1">IFERROR(__xludf.DUMMYFUNCTION("""COMPUTED_VALUE"""),"Foxi")</f>
        <v>Foxi</v>
      </c>
      <c r="BD34" s="7" t="str">
        <f ca="1">IFERROR(__xludf.DUMMYFUNCTION("""COMPUTED_VALUE"""),"https://gameserver-store-client-area.orbionlimited.com/Home/IntegrationGameLaunch/client-area?moneyType=0&amp;gameName=TropicalHot&amp;platform=desktop&amp;languageCode=eng&amp;currency=EUR")</f>
        <v>https://gameserver-store-client-area.orbionlimited.com/Home/IntegrationGameLaunch/client-area?moneyType=0&amp;gameName=TropicalHot&amp;platform=desktop&amp;languageCode=eng&amp;currency=EUR</v>
      </c>
      <c r="BE34" s="5" t="b">
        <f ca="1">IFERROR(__xludf.DUMMYFUNCTION("""COMPUTED_VALUE"""),TRUE)</f>
        <v>1</v>
      </c>
    </row>
    <row r="35" spans="1:57" x14ac:dyDescent="0.25">
      <c r="A35" s="5">
        <f ca="1">IFERROR(__xludf.DUMMYFUNCTION("""COMPUTED_VALUE"""),34)</f>
        <v>34</v>
      </c>
      <c r="B35" s="5">
        <f ca="1">IFERROR(__xludf.DUMMYFUNCTION("""COMPUTED_VALUE"""),33)</f>
        <v>33</v>
      </c>
      <c r="C35" s="5" t="str">
        <f ca="1">IFERROR(__xludf.DUMMYFUNCTION("""COMPUTED_VALUE"""),"Fazi")</f>
        <v>Fazi</v>
      </c>
      <c r="D35" s="5" t="str">
        <f ca="1">IFERROR(__xludf.DUMMYFUNCTION("""COMPUTED_VALUE"""),"Monsters")</f>
        <v>Monsters</v>
      </c>
      <c r="E35" s="5" t="str">
        <f ca="1">IFERROR(__xludf.DUMMYFUNCTION("""COMPUTED_VALUE"""),"V2")</f>
        <v>V2</v>
      </c>
      <c r="F35" s="5" t="str">
        <f ca="1">IFERROR(__xludf.DUMMYFUNCTION("""COMPUTED_VALUE"""),"Monsters")</f>
        <v>Monsters</v>
      </c>
      <c r="G35" s="5" t="str">
        <f ca="1">IFERROR(__xludf.DUMMYFUNCTION("""COMPUTED_VALUE"""),"Live")</f>
        <v>Live</v>
      </c>
      <c r="H35" s="5"/>
      <c r="I35" s="5" t="str">
        <f ca="1">IFERROR(__xludf.DUMMYFUNCTION("""COMPUTED_VALUE"""),"V2")</f>
        <v>V2</v>
      </c>
      <c r="J35" s="5" t="str">
        <f ca="1">IFERROR(__xludf.DUMMYFUNCTION("""COMPUTED_VALUE"""),"Binary")</f>
        <v>Binary</v>
      </c>
      <c r="K35" s="5" t="str">
        <f ca="1">IFERROR(__xludf.DUMMYFUNCTION("""COMPUTED_VALUE"""),"Slot")</f>
        <v>Slot</v>
      </c>
      <c r="L35" s="5"/>
      <c r="M35" s="5"/>
      <c r="N35" s="5"/>
      <c r="O35" s="5"/>
      <c r="P35" s="14">
        <f ca="1">IFERROR(__xludf.DUMMYFUNCTION("""COMPUTED_VALUE"""),34)</f>
        <v>34</v>
      </c>
      <c r="Q35" s="5"/>
      <c r="R35" s="5"/>
      <c r="S35" s="15">
        <f ca="1">IFERROR(__xludf.DUMMYFUNCTION("""COMPUTED_VALUE"""),43105)</f>
        <v>43105</v>
      </c>
      <c r="T35" s="5" t="b">
        <f ca="1">IFERROR(__xludf.DUMMYFUNCTION("""COMPUTED_VALUE"""),TRUE)</f>
        <v>1</v>
      </c>
      <c r="U35" s="5" t="str">
        <f ca="1">IFERROR(__xludf.DUMMYFUNCTION("""COMPUTED_VALUE"""),"5x3")</f>
        <v>5x3</v>
      </c>
      <c r="V35" s="12" t="str">
        <f ca="1">IFERROR(__xludf.DUMMYFUNCTION("""COMPUTED_VALUE"""),"20")</f>
        <v>20</v>
      </c>
      <c r="W35" s="12" t="str">
        <f ca="1">IFERROR(__xludf.DUMMYFUNCTION("""COMPUTED_VALUE"""),"20")</f>
        <v>20</v>
      </c>
      <c r="X35" s="5">
        <f ca="1">IFERROR(__xludf.DUMMYFUNCTION("""COMPUTED_VALUE"""),95.639)</f>
        <v>95.638999999999996</v>
      </c>
      <c r="Y35" s="5" t="str">
        <f ca="1">IFERROR(__xludf.DUMMYFUNCTION("""COMPUTED_VALUE"""),"High")</f>
        <v>High</v>
      </c>
      <c r="Z35" s="5">
        <f ca="1">IFERROR(__xludf.DUMMYFUNCTION("""COMPUTED_VALUE"""),26.35)</f>
        <v>26.35</v>
      </c>
      <c r="AA35" s="14">
        <f ca="1">IFERROR(__xludf.DUMMYFUNCTION("""COMPUTED_VALUE"""),1067)</f>
        <v>1067</v>
      </c>
      <c r="AB35" s="5">
        <f ca="1">IFERROR(__xludf.DUMMYFUNCTION("""COMPUTED_VALUE"""),152)</f>
        <v>152</v>
      </c>
      <c r="AC35" s="5" t="str">
        <f ca="1">IFERROR(__xludf.DUMMYFUNCTION("""COMPUTED_VALUE"""),"Wild Symbol, Bonus Game with Sticky Wild")</f>
        <v>Wild Symbol, Bonus Game with Sticky Wild</v>
      </c>
      <c r="AD35" s="5" t="str">
        <f ca="1">IFERROR(__xludf.DUMMYFUNCTION("""COMPUTED_VALUE"""),"0.2/50")</f>
        <v>0.2/50</v>
      </c>
      <c r="AE35" s="5"/>
      <c r="AF35" s="5"/>
      <c r="AG35" s="5"/>
      <c r="AH35" s="5"/>
      <c r="AI35" s="5"/>
      <c r="AJ35" s="5"/>
      <c r="AK35" s="5">
        <f ca="1">IFERROR(__xludf.DUMMYFUNCTION("""COMPUTED_VALUE"""),20)</f>
        <v>20</v>
      </c>
      <c r="AL35" s="5" t="str">
        <f ca="1">IFERROR(__xludf.DUMMYFUNCTION("""COMPUTED_VALUE"""),"Yes")</f>
        <v>Yes</v>
      </c>
      <c r="AM35" s="5"/>
      <c r="AN35" s="7" t="str">
        <f ca="1">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AO35" s="5"/>
      <c r="AP35" s="5"/>
      <c r="AQ35" s="5" t="b">
        <f ca="1">IFERROR(__xludf.DUMMYFUNCTION("""COMPUTED_VALUE"""),TRUE)</f>
        <v>1</v>
      </c>
      <c r="AR35" s="5"/>
      <c r="AS35" s="5" t="str">
        <f ca="1">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AT35" s="5"/>
      <c r="AU35" s="5" t="str">
        <f ca="1">IFERROR(__xludf.DUMMYFUNCTION("""COMPUTED_VALUE"""),"Fazi")</f>
        <v>Fazi</v>
      </c>
      <c r="AV35" s="5"/>
      <c r="AW35" s="5"/>
      <c r="AX35" s="5"/>
      <c r="AY35" s="5"/>
      <c r="AZ35" s="5"/>
      <c r="BA35" s="5" t="str">
        <f ca="1">IFERROR(__xludf.DUMMYFUNCTION("""COMPUTED_VALUE"""),"")</f>
        <v/>
      </c>
      <c r="BB35" s="5"/>
      <c r="BC35" s="5" t="str">
        <f ca="1">IFERROR(__xludf.DUMMYFUNCTION("""COMPUTED_VALUE"""),"Foxi")</f>
        <v>Foxi</v>
      </c>
      <c r="BD35" s="7" t="str">
        <f ca="1">IFERROR(__xludf.DUMMYFUNCTION("""COMPUTED_VALUE"""),"https://gameserver-store-client-area.orbionlimited.com/Home/IntegrationGameLaunch/client-area?moneyType=0&amp;gameName=Monsters&amp;platform=desktop&amp;languageCode=eng&amp;currency=EUR")</f>
        <v>https://gameserver-store-client-area.orbionlimited.com/Home/IntegrationGameLaunch/client-area?moneyType=0&amp;gameName=Monsters&amp;platform=desktop&amp;languageCode=eng&amp;currency=EUR</v>
      </c>
      <c r="BE35" s="5" t="b">
        <f ca="1">IFERROR(__xludf.DUMMYFUNCTION("""COMPUTED_VALUE"""),TRUE)</f>
        <v>1</v>
      </c>
    </row>
    <row r="36" spans="1:57" x14ac:dyDescent="0.25">
      <c r="A36" s="5">
        <f ca="1">IFERROR(__xludf.DUMMYFUNCTION("""COMPUTED_VALUE"""),35)</f>
        <v>35</v>
      </c>
      <c r="B36" s="5">
        <f ca="1">IFERROR(__xludf.DUMMYFUNCTION("""COMPUTED_VALUE"""),34)</f>
        <v>34</v>
      </c>
      <c r="C36" s="5" t="str">
        <f ca="1">IFERROR(__xludf.DUMMYFUNCTION("""COMPUTED_VALUE"""),"Fazi")</f>
        <v>Fazi</v>
      </c>
      <c r="D36" s="5" t="str">
        <f ca="1">IFERROR(__xludf.DUMMYFUNCTION("""COMPUTED_VALUE"""),"Forest Fruits")</f>
        <v>Forest Fruits</v>
      </c>
      <c r="E36" s="5" t="str">
        <f ca="1">IFERROR(__xludf.DUMMYFUNCTION("""COMPUTED_VALUE"""),"V2")</f>
        <v>V2</v>
      </c>
      <c r="F36" s="5" t="str">
        <f ca="1">IFERROR(__xludf.DUMMYFUNCTION("""COMPUTED_VALUE"""),"ForestFruits")</f>
        <v>ForestFruits</v>
      </c>
      <c r="G36" s="5" t="str">
        <f ca="1">IFERROR(__xludf.DUMMYFUNCTION("""COMPUTED_VALUE"""),"Live")</f>
        <v>Live</v>
      </c>
      <c r="H36" s="5"/>
      <c r="I36" s="5" t="str">
        <f ca="1">IFERROR(__xludf.DUMMYFUNCTION("""COMPUTED_VALUE"""),"V2")</f>
        <v>V2</v>
      </c>
      <c r="J36" s="5" t="str">
        <f ca="1">IFERROR(__xludf.DUMMYFUNCTION("""COMPUTED_VALUE"""),"Binary")</f>
        <v>Binary</v>
      </c>
      <c r="K36" s="5" t="str">
        <f ca="1">IFERROR(__xludf.DUMMYFUNCTION("""COMPUTED_VALUE"""),"Slot")</f>
        <v>Slot</v>
      </c>
      <c r="L36" s="5" t="str">
        <f ca="1">IFERROR(__xludf.DUMMYFUNCTION("""COMPUTED_VALUE"""),"Clone")</f>
        <v>Clone</v>
      </c>
      <c r="M36" s="5" t="str">
        <f ca="1">IFERROR(__xludf.DUMMYFUNCTION("""COMPUTED_VALUE"""),"Fruits and Stars")</f>
        <v>Fruits and Stars</v>
      </c>
      <c r="N36" s="5"/>
      <c r="O36" s="5"/>
      <c r="P36" s="14">
        <f ca="1">IFERROR(__xludf.DUMMYFUNCTION("""COMPUTED_VALUE"""),21.7)</f>
        <v>21.7</v>
      </c>
      <c r="Q36" s="5"/>
      <c r="R36" s="5"/>
      <c r="S36" s="15">
        <f ca="1">IFERROR(__xludf.DUMMYFUNCTION("""COMPUTED_VALUE"""),43191)</f>
        <v>43191</v>
      </c>
      <c r="T36" s="5" t="b">
        <f ca="1">IFERROR(__xludf.DUMMYFUNCTION("""COMPUTED_VALUE"""),TRUE)</f>
        <v>1</v>
      </c>
      <c r="U36" s="5" t="str">
        <f ca="1">IFERROR(__xludf.DUMMYFUNCTION("""COMPUTED_VALUE"""),"5x3")</f>
        <v>5x3</v>
      </c>
      <c r="V36" s="12" t="str">
        <f ca="1">IFERROR(__xludf.DUMMYFUNCTION("""COMPUTED_VALUE"""),"20")</f>
        <v>20</v>
      </c>
      <c r="W36" s="12" t="str">
        <f ca="1">IFERROR(__xludf.DUMMYFUNCTION("""COMPUTED_VALUE"""),"1,3,5,7,9,10,20")</f>
        <v>1,3,5,7,9,10,20</v>
      </c>
      <c r="X36" s="5">
        <f ca="1">IFERROR(__xludf.DUMMYFUNCTION("""COMPUTED_VALUE"""),95.79)</f>
        <v>95.79</v>
      </c>
      <c r="Y36" s="5" t="str">
        <f ca="1">IFERROR(__xludf.DUMMYFUNCTION("""COMPUTED_VALUE"""),"Low")</f>
        <v>Low</v>
      </c>
      <c r="Z36" s="5">
        <f ca="1">IFERROR(__xludf.DUMMYFUNCTION("""COMPUTED_VALUE"""),17.45)</f>
        <v>17.45</v>
      </c>
      <c r="AA36" s="14">
        <f ca="1">IFERROR(__xludf.DUMMYFUNCTION("""COMPUTED_VALUE"""),1000)</f>
        <v>1000</v>
      </c>
      <c r="AB36" s="5" t="str">
        <f ca="1">IFERROR(__xludf.DUMMYFUNCTION("""COMPUTED_VALUE"""),"/")</f>
        <v>/</v>
      </c>
      <c r="AC36" s="5" t="str">
        <f ca="1">IFERROR(__xludf.DUMMYFUNCTION("""COMPUTED_VALUE"""),"Wild Symbol, Scatter")</f>
        <v>Wild Symbol, Scatter</v>
      </c>
      <c r="AD36" s="5" t="str">
        <f ca="1">IFERROR(__xludf.DUMMYFUNCTION("""COMPUTED_VALUE"""),"0.01/50")</f>
        <v>0.01/50</v>
      </c>
      <c r="AE36" s="5"/>
      <c r="AF36" s="5"/>
      <c r="AG36" s="5"/>
      <c r="AH36" s="5"/>
      <c r="AI36" s="5"/>
      <c r="AJ36" s="5"/>
      <c r="AK36" s="5">
        <f ca="1">IFERROR(__xludf.DUMMYFUNCTION("""COMPUTED_VALUE"""),20)</f>
        <v>20</v>
      </c>
      <c r="AL36" s="5" t="str">
        <f ca="1">IFERROR(__xludf.DUMMYFUNCTION("""COMPUTED_VALUE"""),"Yes")</f>
        <v>Yes</v>
      </c>
      <c r="AM36" s="5"/>
      <c r="AN36" s="7" t="str">
        <f ca="1">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AO36" s="5"/>
      <c r="AP36" s="5"/>
      <c r="AQ36" s="5" t="b">
        <f ca="1">IFERROR(__xludf.DUMMYFUNCTION("""COMPUTED_VALUE"""),TRUE)</f>
        <v>1</v>
      </c>
      <c r="AR36" s="5"/>
      <c r="AS36" s="5" t="str">
        <f ca="1">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AT36" s="5"/>
      <c r="AU36" s="5" t="str">
        <f ca="1">IFERROR(__xludf.DUMMYFUNCTION("""COMPUTED_VALUE"""),"Fazi")</f>
        <v>Fazi</v>
      </c>
      <c r="AV36" s="5"/>
      <c r="AW36" s="5"/>
      <c r="AX36" s="5"/>
      <c r="AY36" s="5"/>
      <c r="AZ36" s="5"/>
      <c r="BA36" s="5" t="str">
        <f ca="1">IFERROR(__xludf.DUMMYFUNCTION("""COMPUTED_VALUE"""),"")</f>
        <v/>
      </c>
      <c r="BB36" s="5"/>
      <c r="BC36" s="5" t="str">
        <f ca="1">IFERROR(__xludf.DUMMYFUNCTION("""COMPUTED_VALUE"""),"Foxi")</f>
        <v>Foxi</v>
      </c>
      <c r="BD36" s="7" t="str">
        <f ca="1">IFERROR(__xludf.DUMMYFUNCTION("""COMPUTED_VALUE"""),"https://gameserver-store-client-area.orbionlimited.com/Home/IntegrationGameLaunch/client-area?moneyType=0&amp;gameName=ForestFruits&amp;platform=desktop&amp;languageCode=eng&amp;currency=EUR")</f>
        <v>https://gameserver-store-client-area.orbionlimited.com/Home/IntegrationGameLaunch/client-area?moneyType=0&amp;gameName=ForestFruits&amp;platform=desktop&amp;languageCode=eng&amp;currency=EUR</v>
      </c>
      <c r="BE36" s="5" t="b">
        <f ca="1">IFERROR(__xludf.DUMMYFUNCTION("""COMPUTED_VALUE"""),TRUE)</f>
        <v>1</v>
      </c>
    </row>
    <row r="37" spans="1:57" x14ac:dyDescent="0.25">
      <c r="A37" s="5">
        <f ca="1">IFERROR(__xludf.DUMMYFUNCTION("""COMPUTED_VALUE"""),36)</f>
        <v>36</v>
      </c>
      <c r="B37" s="5">
        <f ca="1">IFERROR(__xludf.DUMMYFUNCTION("""COMPUTED_VALUE"""),35)</f>
        <v>35</v>
      </c>
      <c r="C37" s="5" t="str">
        <f ca="1">IFERROR(__xludf.DUMMYFUNCTION("""COMPUTED_VALUE"""),"Fazi")</f>
        <v>Fazi</v>
      </c>
      <c r="D37" s="5" t="str">
        <f ca="1">IFERROR(__xludf.DUMMYFUNCTION("""COMPUTED_VALUE"""),"Viking Gold")</f>
        <v>Viking Gold</v>
      </c>
      <c r="E37" s="5" t="str">
        <f ca="1">IFERROR(__xludf.DUMMYFUNCTION("""COMPUTED_VALUE"""),"V2")</f>
        <v>V2</v>
      </c>
      <c r="F37" s="5" t="str">
        <f ca="1">IFERROR(__xludf.DUMMYFUNCTION("""COMPUTED_VALUE"""),"VikingGold")</f>
        <v>VikingGold</v>
      </c>
      <c r="G37" s="5" t="str">
        <f ca="1">IFERROR(__xludf.DUMMYFUNCTION("""COMPUTED_VALUE"""),"Live")</f>
        <v>Live</v>
      </c>
      <c r="H37" s="5"/>
      <c r="I37" s="5" t="str">
        <f ca="1">IFERROR(__xludf.DUMMYFUNCTION("""COMPUTED_VALUE"""),"V2")</f>
        <v>V2</v>
      </c>
      <c r="J37" s="5" t="str">
        <f ca="1">IFERROR(__xludf.DUMMYFUNCTION("""COMPUTED_VALUE"""),"Binary")</f>
        <v>Binary</v>
      </c>
      <c r="K37" s="5" t="str">
        <f ca="1">IFERROR(__xludf.DUMMYFUNCTION("""COMPUTED_VALUE"""),"Slot")</f>
        <v>Slot</v>
      </c>
      <c r="L37" s="5"/>
      <c r="M37" s="5"/>
      <c r="N37" s="5"/>
      <c r="O37" s="5"/>
      <c r="P37" s="14">
        <f ca="1">IFERROR(__xludf.DUMMYFUNCTION("""COMPUTED_VALUE"""),34.7)</f>
        <v>34.700000000000003</v>
      </c>
      <c r="Q37" s="5"/>
      <c r="R37" s="5"/>
      <c r="S37" s="15">
        <f ca="1">IFERROR(__xludf.DUMMYFUNCTION("""COMPUTED_VALUE"""),43435)</f>
        <v>43435</v>
      </c>
      <c r="T37" s="5" t="b">
        <f ca="1">IFERROR(__xludf.DUMMYFUNCTION("""COMPUTED_VALUE"""),TRUE)</f>
        <v>1</v>
      </c>
      <c r="U37" s="5" t="str">
        <f ca="1">IFERROR(__xludf.DUMMYFUNCTION("""COMPUTED_VALUE"""),"5x3")</f>
        <v>5x3</v>
      </c>
      <c r="V37" s="12" t="str">
        <f ca="1">IFERROR(__xludf.DUMMYFUNCTION("""COMPUTED_VALUE"""),"20")</f>
        <v>20</v>
      </c>
      <c r="W37" s="12" t="str">
        <f ca="1">IFERROR(__xludf.DUMMYFUNCTION("""COMPUTED_VALUE"""),"20")</f>
        <v>20</v>
      </c>
      <c r="X37" s="5">
        <f ca="1">IFERROR(__xludf.DUMMYFUNCTION("""COMPUTED_VALUE"""),95.952)</f>
        <v>95.951999999999998</v>
      </c>
      <c r="Y37" s="5" t="str">
        <f ca="1">IFERROR(__xludf.DUMMYFUNCTION("""COMPUTED_VALUE"""),"Medium")</f>
        <v>Medium</v>
      </c>
      <c r="Z37" s="5">
        <f ca="1">IFERROR(__xludf.DUMMYFUNCTION("""COMPUTED_VALUE"""),43.7699999999999)</f>
        <v>43.769999999999897</v>
      </c>
      <c r="AA37" s="14">
        <f ca="1">IFERROR(__xludf.DUMMYFUNCTION("""COMPUTED_VALUE"""),3910)</f>
        <v>3910</v>
      </c>
      <c r="AB37" s="5">
        <f ca="1">IFERROR(__xludf.DUMMYFUNCTION("""COMPUTED_VALUE"""),147)</f>
        <v>147</v>
      </c>
      <c r="AC37" s="5" t="str">
        <f ca="1">IFERROR(__xludf.DUMMYFUNCTION("""COMPUTED_VALUE"""),"Cascade Game, Wild Symbol, Increasing Multiplier, Bonus Game with Multiplier")</f>
        <v>Cascade Game, Wild Symbol, Increasing Multiplier, Bonus Game with Multiplier</v>
      </c>
      <c r="AD37" s="5" t="str">
        <f ca="1">IFERROR(__xludf.DUMMYFUNCTION("""COMPUTED_VALUE"""),"0.20/50")</f>
        <v>0.20/50</v>
      </c>
      <c r="AE37" s="5"/>
      <c r="AF37" s="5"/>
      <c r="AG37" s="5"/>
      <c r="AH37" s="5"/>
      <c r="AI37" s="5"/>
      <c r="AJ37" s="5"/>
      <c r="AK37" s="5">
        <f ca="1">IFERROR(__xludf.DUMMYFUNCTION("""COMPUTED_VALUE"""),20)</f>
        <v>20</v>
      </c>
      <c r="AL37" s="5" t="str">
        <f ca="1">IFERROR(__xludf.DUMMYFUNCTION("""COMPUTED_VALUE"""),"Yes")</f>
        <v>Yes</v>
      </c>
      <c r="AM37" s="5"/>
      <c r="AN37" s="7" t="str">
        <f ca="1">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AO37" s="5"/>
      <c r="AP37" s="5"/>
      <c r="AQ37" s="5" t="b">
        <f ca="1">IFERROR(__xludf.DUMMYFUNCTION("""COMPUTED_VALUE"""),TRUE)</f>
        <v>1</v>
      </c>
      <c r="AR37" s="5"/>
      <c r="AS37" s="5" t="str">
        <f ca="1">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AT37" s="5"/>
      <c r="AU37" s="5" t="str">
        <f ca="1">IFERROR(__xludf.DUMMYFUNCTION("""COMPUTED_VALUE"""),"Fazi")</f>
        <v>Fazi</v>
      </c>
      <c r="AV37" s="5"/>
      <c r="AW37" s="5"/>
      <c r="AX37" s="5"/>
      <c r="AY37" s="5"/>
      <c r="AZ37" s="5"/>
      <c r="BA37" s="5" t="str">
        <f ca="1">IFERROR(__xludf.DUMMYFUNCTION("""COMPUTED_VALUE"""),"")</f>
        <v/>
      </c>
      <c r="BB37" s="5"/>
      <c r="BC37" s="5" t="str">
        <f ca="1">IFERROR(__xludf.DUMMYFUNCTION("""COMPUTED_VALUE"""),"Foxi")</f>
        <v>Foxi</v>
      </c>
      <c r="BD37" s="7" t="str">
        <f ca="1">IFERROR(__xludf.DUMMYFUNCTION("""COMPUTED_VALUE"""),"https://gameserver-store-client-area.orbionlimited.com/Home/IntegrationGameLaunch/client-area?moneyType=0&amp;gameName=VikingGold&amp;platform=desktop&amp;languageCode=eng&amp;currency=EUR")</f>
        <v>https://gameserver-store-client-area.orbionlimited.com/Home/IntegrationGameLaunch/client-area?moneyType=0&amp;gameName=VikingGold&amp;platform=desktop&amp;languageCode=eng&amp;currency=EUR</v>
      </c>
      <c r="BE37" s="5" t="b">
        <f ca="1">IFERROR(__xludf.DUMMYFUNCTION("""COMPUTED_VALUE"""),TRUE)</f>
        <v>1</v>
      </c>
    </row>
    <row r="38" spans="1:57" x14ac:dyDescent="0.25">
      <c r="A38" s="5">
        <f ca="1">IFERROR(__xludf.DUMMYFUNCTION("""COMPUTED_VALUE"""),37)</f>
        <v>37</v>
      </c>
      <c r="B38" s="5">
        <f ca="1">IFERROR(__xludf.DUMMYFUNCTION("""COMPUTED_VALUE"""),36)</f>
        <v>36</v>
      </c>
      <c r="C38" s="5" t="str">
        <f ca="1">IFERROR(__xludf.DUMMYFUNCTION("""COMPUTED_VALUE"""),"Fazi")</f>
        <v>Fazi</v>
      </c>
      <c r="D38" s="5" t="str">
        <f ca="1">IFERROR(__xludf.DUMMYFUNCTION("""COMPUTED_VALUE"""),"Star Gems")</f>
        <v>Star Gems</v>
      </c>
      <c r="E38" s="5" t="str">
        <f ca="1">IFERROR(__xludf.DUMMYFUNCTION("""COMPUTED_VALUE"""),"V2")</f>
        <v>V2</v>
      </c>
      <c r="F38" s="5" t="str">
        <f ca="1">IFERROR(__xludf.DUMMYFUNCTION("""COMPUTED_VALUE"""),"StarGems")</f>
        <v>StarGems</v>
      </c>
      <c r="G38" s="5" t="str">
        <f ca="1">IFERROR(__xludf.DUMMYFUNCTION("""COMPUTED_VALUE"""),"Live")</f>
        <v>Live</v>
      </c>
      <c r="H38" s="5"/>
      <c r="I38" s="5" t="str">
        <f ca="1">IFERROR(__xludf.DUMMYFUNCTION("""COMPUTED_VALUE"""),"V2")</f>
        <v>V2</v>
      </c>
      <c r="J38" s="5" t="str">
        <f ca="1">IFERROR(__xludf.DUMMYFUNCTION("""COMPUTED_VALUE"""),"Binary")</f>
        <v>Binary</v>
      </c>
      <c r="K38" s="5" t="str">
        <f ca="1">IFERROR(__xludf.DUMMYFUNCTION("""COMPUTED_VALUE"""),"Slot")</f>
        <v>Slot</v>
      </c>
      <c r="L38" s="5"/>
      <c r="M38" s="5"/>
      <c r="N38" s="5"/>
      <c r="O38" s="5"/>
      <c r="P38" s="14">
        <f ca="1">IFERROR(__xludf.DUMMYFUNCTION("""COMPUTED_VALUE"""),23.9)</f>
        <v>23.9</v>
      </c>
      <c r="Q38" s="5"/>
      <c r="R38" s="5"/>
      <c r="S38" s="15">
        <f ca="1">IFERROR(__xludf.DUMMYFUNCTION("""COMPUTED_VALUE"""),43313)</f>
        <v>43313</v>
      </c>
      <c r="T38" s="5" t="b">
        <f ca="1">IFERROR(__xludf.DUMMYFUNCTION("""COMPUTED_VALUE"""),TRUE)</f>
        <v>1</v>
      </c>
      <c r="U38" s="5" t="str">
        <f ca="1">IFERROR(__xludf.DUMMYFUNCTION("""COMPUTED_VALUE"""),"5x3")</f>
        <v>5x3</v>
      </c>
      <c r="V38" s="12" t="str">
        <f ca="1">IFERROR(__xludf.DUMMYFUNCTION("""COMPUTED_VALUE"""),"10")</f>
        <v>10</v>
      </c>
      <c r="W38" s="12" t="str">
        <f ca="1">IFERROR(__xludf.DUMMYFUNCTION("""COMPUTED_VALUE"""),"1,3,5,7,10")</f>
        <v>1,3,5,7,10</v>
      </c>
      <c r="X38" s="5">
        <f ca="1">IFERROR(__xludf.DUMMYFUNCTION("""COMPUTED_VALUE"""),96.05)</f>
        <v>96.05</v>
      </c>
      <c r="Y38" s="5" t="str">
        <f ca="1">IFERROR(__xludf.DUMMYFUNCTION("""COMPUTED_VALUE"""),"Low")</f>
        <v>Low</v>
      </c>
      <c r="Z38" s="5">
        <f ca="1">IFERROR(__xludf.DUMMYFUNCTION("""COMPUTED_VALUE"""),20.28)</f>
        <v>20.28</v>
      </c>
      <c r="AA38" s="14">
        <f ca="1">IFERROR(__xludf.DUMMYFUNCTION("""COMPUTED_VALUE"""),581)</f>
        <v>581</v>
      </c>
      <c r="AB38" s="5">
        <f ca="1">IFERROR(__xludf.DUMMYFUNCTION("""COMPUTED_VALUE"""),12)</f>
        <v>12</v>
      </c>
      <c r="AC38" s="5" t="str">
        <f ca="1">IFERROR(__xludf.DUMMYFUNCTION("""COMPUTED_VALUE"""),"Wild Symbol, Respin, Bothways")</f>
        <v>Wild Symbol, Respin, Bothways</v>
      </c>
      <c r="AD38" s="5" t="str">
        <f ca="1">IFERROR(__xludf.DUMMYFUNCTION("""COMPUTED_VALUE"""),"0.10/40")</f>
        <v>0.10/40</v>
      </c>
      <c r="AE38" s="5"/>
      <c r="AF38" s="5"/>
      <c r="AG38" s="5"/>
      <c r="AH38" s="5"/>
      <c r="AI38" s="5"/>
      <c r="AJ38" s="5"/>
      <c r="AK38" s="5">
        <f ca="1">IFERROR(__xludf.DUMMYFUNCTION("""COMPUTED_VALUE"""),10)</f>
        <v>10</v>
      </c>
      <c r="AL38" s="5" t="str">
        <f ca="1">IFERROR(__xludf.DUMMYFUNCTION("""COMPUTED_VALUE"""),"Yes")</f>
        <v>Yes</v>
      </c>
      <c r="AM38" s="5"/>
      <c r="AN38" s="7" t="str">
        <f ca="1">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AO38" s="5"/>
      <c r="AP38" s="5"/>
      <c r="AQ38" s="5" t="b">
        <f ca="1">IFERROR(__xludf.DUMMYFUNCTION("""COMPUTED_VALUE"""),TRUE)</f>
        <v>1</v>
      </c>
      <c r="AR38" s="5"/>
      <c r="AS38" s="5" t="str">
        <f ca="1">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AT38" s="5"/>
      <c r="AU38" s="5" t="str">
        <f ca="1">IFERROR(__xludf.DUMMYFUNCTION("""COMPUTED_VALUE"""),"Fazi")</f>
        <v>Fazi</v>
      </c>
      <c r="AV38" s="5"/>
      <c r="AW38" s="5"/>
      <c r="AX38" s="5"/>
      <c r="AY38" s="5"/>
      <c r="AZ38" s="5"/>
      <c r="BA38" s="5" t="str">
        <f ca="1">IFERROR(__xludf.DUMMYFUNCTION("""COMPUTED_VALUE"""),"")</f>
        <v/>
      </c>
      <c r="BB38" s="5"/>
      <c r="BC38" s="5" t="str">
        <f ca="1">IFERROR(__xludf.DUMMYFUNCTION("""COMPUTED_VALUE"""),"Foxi")</f>
        <v>Foxi</v>
      </c>
      <c r="BD38" s="7" t="str">
        <f ca="1">IFERROR(__xludf.DUMMYFUNCTION("""COMPUTED_VALUE"""),"https://gameserver-store-client-area.orbionlimited.com/Home/IntegrationGameLaunch/client-area?moneyType=0&amp;gameName=StarGems&amp;platform=desktop&amp;languageCode=eng&amp;currency=EUR")</f>
        <v>https://gameserver-store-client-area.orbionlimited.com/Home/IntegrationGameLaunch/client-area?moneyType=0&amp;gameName=StarGems&amp;platform=desktop&amp;languageCode=eng&amp;currency=EUR</v>
      </c>
      <c r="BE38" s="5" t="b">
        <f ca="1">IFERROR(__xludf.DUMMYFUNCTION("""COMPUTED_VALUE"""),TRUE)</f>
        <v>1</v>
      </c>
    </row>
    <row r="39" spans="1:57" x14ac:dyDescent="0.25">
      <c r="A39" s="5">
        <f ca="1">IFERROR(__xludf.DUMMYFUNCTION("""COMPUTED_VALUE"""),38)</f>
        <v>38</v>
      </c>
      <c r="B39" s="5">
        <f ca="1">IFERROR(__xludf.DUMMYFUNCTION("""COMPUTED_VALUE"""),37)</f>
        <v>37</v>
      </c>
      <c r="C39" s="5" t="str">
        <f ca="1">IFERROR(__xludf.DUMMYFUNCTION("""COMPUTED_VALUE"""),"Fazi")</f>
        <v>Fazi</v>
      </c>
      <c r="D39" s="5" t="str">
        <f ca="1">IFERROR(__xludf.DUMMYFUNCTION("""COMPUTED_VALUE"""),"Book of Spells V2")</f>
        <v>Book of Spells V2</v>
      </c>
      <c r="E39" s="5" t="str">
        <f ca="1">IFERROR(__xludf.DUMMYFUNCTION("""COMPUTED_VALUE"""),"V2")</f>
        <v>V2</v>
      </c>
      <c r="F39" s="5" t="str">
        <f ca="1">IFERROR(__xludf.DUMMYFUNCTION("""COMPUTED_VALUE"""),"BookOfSpellsV2")</f>
        <v>BookOfSpellsV2</v>
      </c>
      <c r="G39" s="5" t="str">
        <f ca="1">IFERROR(__xludf.DUMMYFUNCTION("""COMPUTED_VALUE"""),"Live")</f>
        <v>Live</v>
      </c>
      <c r="H39" s="5"/>
      <c r="I39" s="5" t="str">
        <f ca="1">IFERROR(__xludf.DUMMYFUNCTION("""COMPUTED_VALUE"""),"V2")</f>
        <v>V2</v>
      </c>
      <c r="J39" s="5" t="str">
        <f ca="1">IFERROR(__xludf.DUMMYFUNCTION("""COMPUTED_VALUE"""),"JSON")</f>
        <v>JSON</v>
      </c>
      <c r="K39" s="5" t="str">
        <f ca="1">IFERROR(__xludf.DUMMYFUNCTION("""COMPUTED_VALUE"""),"Slot")</f>
        <v>Slot</v>
      </c>
      <c r="L39" s="5" t="str">
        <f ca="1">IFERROR(__xludf.DUMMYFUNCTION("""COMPUTED_VALUE"""),"Clone")</f>
        <v>Clone</v>
      </c>
      <c r="M39" s="5" t="str">
        <f ca="1">IFERROR(__xludf.DUMMYFUNCTION("""COMPUTED_VALUE"""),"Book of Spells")</f>
        <v>Book of Spells</v>
      </c>
      <c r="N39" s="5"/>
      <c r="O39" s="5"/>
      <c r="P39" s="5"/>
      <c r="Q39" s="5"/>
      <c r="R39" s="5"/>
      <c r="S39" s="5"/>
      <c r="T39" s="5"/>
      <c r="U39" s="5" t="str">
        <f ca="1">IFERROR(__xludf.DUMMYFUNCTION("""COMPUTED_VALUE"""),"5x3")</f>
        <v>5x3</v>
      </c>
      <c r="V39" s="12" t="str">
        <f ca="1">IFERROR(__xludf.DUMMYFUNCTION("""COMPUTED_VALUE"""),"10")</f>
        <v>10</v>
      </c>
      <c r="W39" s="12" t="str">
        <f ca="1">IFERROR(__xludf.DUMMYFUNCTION("""COMPUTED_VALUE"""),"1,3,5,7,10")</f>
        <v>1,3,5,7,10</v>
      </c>
      <c r="X39" s="13">
        <f ca="1">IFERROR(__xludf.DUMMYFUNCTION("""COMPUTED_VALUE"""),96.06)</f>
        <v>96.06</v>
      </c>
      <c r="Y39" s="5" t="str">
        <f ca="1">IFERROR(__xludf.DUMMYFUNCTION("""COMPUTED_VALUE"""),"High")</f>
        <v>High</v>
      </c>
      <c r="Z39" s="5">
        <f ca="1">IFERROR(__xludf.DUMMYFUNCTION("""COMPUTED_VALUE"""),31.47)</f>
        <v>31.47</v>
      </c>
      <c r="AA39" s="14">
        <f ca="1">IFERROR(__xludf.DUMMYFUNCTION("""COMPUTED_VALUE"""),5512)</f>
        <v>5512</v>
      </c>
      <c r="AB39" s="5">
        <f ca="1">IFERROR(__xludf.DUMMYFUNCTION("""COMPUTED_VALUE"""),212)</f>
        <v>212</v>
      </c>
      <c r="AC39" s="5" t="str">
        <f ca="1">IFERROR(__xludf.DUMMYFUNCTION("""COMPUTED_VALUE"""),"Book Of Game, Wild Symbol, Scatter")</f>
        <v>Book Of Game, Wild Symbol, Scatter</v>
      </c>
      <c r="AD39" s="5"/>
      <c r="AE39" s="5"/>
      <c r="AF39" s="5"/>
      <c r="AG39" s="10">
        <f ca="1">IFERROR(__xludf.DUMMYFUNCTION("""COMPUTED_VALUE"""),45876.5042476851)</f>
        <v>45876.504247685101</v>
      </c>
      <c r="AH39" s="5" t="str">
        <f ca="1">IFERROR(__xludf.DUMMYFUNCTION("""COMPUTED_VALUE"""),"marko.tepavac@fazi.rs")</f>
        <v>marko.tepavac@fazi.rs</v>
      </c>
      <c r="AI39" s="5"/>
      <c r="AJ39" s="5"/>
      <c r="AK39" s="5" t="str">
        <f ca="1">IFERROR(__xludf.DUMMYFUNCTION("""COMPUTED_VALUE"""),"#N/A")</f>
        <v>#N/A</v>
      </c>
      <c r="AL39" s="5"/>
      <c r="AM39" s="5"/>
      <c r="AN39" s="5"/>
      <c r="AO39" s="5" t="str">
        <f ca="1">IFERROR(__xludf.DUMMYFUNCTION("""COMPUTED_VALUE"""),"Yes")</f>
        <v>Yes</v>
      </c>
      <c r="AP39" s="5"/>
      <c r="AQ39" s="5"/>
      <c r="AR39" s="5"/>
      <c r="AS39" s="5"/>
      <c r="AT39" s="5"/>
      <c r="AU39" s="5" t="str">
        <f ca="1">IFERROR(__xludf.DUMMYFUNCTION("""COMPUTED_VALUE"""),"Fazi")</f>
        <v>Fazi</v>
      </c>
      <c r="AV39" s="5"/>
      <c r="AW39" s="5"/>
      <c r="AX39" s="5"/>
      <c r="AY39" s="5"/>
      <c r="AZ39" s="5"/>
      <c r="BA39" s="5" t="str">
        <f ca="1">IFERROR(__xludf.DUMMYFUNCTION("""COMPUTED_VALUE"""),"")</f>
        <v/>
      </c>
      <c r="BB39" s="5"/>
      <c r="BC39" s="5" t="str">
        <f ca="1">IFERROR(__xludf.DUMMYFUNCTION("""COMPUTED_VALUE"""),"Foxi")</f>
        <v>Foxi</v>
      </c>
      <c r="BD39" s="5" t="str">
        <f ca="1">IFERROR(__xludf.DUMMYFUNCTION("""COMPUTED_VALUE"""),"")</f>
        <v/>
      </c>
      <c r="BE39" s="5"/>
    </row>
    <row r="40" spans="1:57" x14ac:dyDescent="0.25">
      <c r="A40" s="5">
        <f ca="1">IFERROR(__xludf.DUMMYFUNCTION("""COMPUTED_VALUE"""),39)</f>
        <v>39</v>
      </c>
      <c r="B40" s="5">
        <f ca="1">IFERROR(__xludf.DUMMYFUNCTION("""COMPUTED_VALUE"""),38)</f>
        <v>38</v>
      </c>
      <c r="C40" s="5" t="str">
        <f ca="1">IFERROR(__xludf.DUMMYFUNCTION("""COMPUTED_VALUE"""),"Fazi")</f>
        <v>Fazi</v>
      </c>
      <c r="D40" s="5" t="str">
        <f ca="1">IFERROR(__xludf.DUMMYFUNCTION("""COMPUTED_VALUE"""),"Templars Quest")</f>
        <v>Templars Quest</v>
      </c>
      <c r="E40" s="5" t="str">
        <f ca="1">IFERROR(__xludf.DUMMYFUNCTION("""COMPUTED_VALUE"""),"V2")</f>
        <v>V2</v>
      </c>
      <c r="F40" s="5" t="str">
        <f ca="1">IFERROR(__xludf.DUMMYFUNCTION("""COMPUTED_VALUE"""),"TemplarsQuest")</f>
        <v>TemplarsQuest</v>
      </c>
      <c r="G40" s="5" t="str">
        <f ca="1">IFERROR(__xludf.DUMMYFUNCTION("""COMPUTED_VALUE"""),"Live")</f>
        <v>Live</v>
      </c>
      <c r="H40" s="5"/>
      <c r="I40" s="5" t="str">
        <f ca="1">IFERROR(__xludf.DUMMYFUNCTION("""COMPUTED_VALUE"""),"V2")</f>
        <v>V2</v>
      </c>
      <c r="J40" s="5" t="str">
        <f ca="1">IFERROR(__xludf.DUMMYFUNCTION("""COMPUTED_VALUE"""),"Binary")</f>
        <v>Binary</v>
      </c>
      <c r="K40" s="5" t="str">
        <f ca="1">IFERROR(__xludf.DUMMYFUNCTION("""COMPUTED_VALUE"""),"Slot")</f>
        <v>Slot</v>
      </c>
      <c r="L40" s="5"/>
      <c r="M40" s="5"/>
      <c r="N40" s="5"/>
      <c r="O40" s="5"/>
      <c r="P40" s="14">
        <f ca="1">IFERROR(__xludf.DUMMYFUNCTION("""COMPUTED_VALUE"""),55.7)</f>
        <v>55.7</v>
      </c>
      <c r="Q40" s="5"/>
      <c r="R40" s="5"/>
      <c r="S40" s="15">
        <f ca="1">IFERROR(__xludf.DUMMYFUNCTION("""COMPUTED_VALUE"""),43374)</f>
        <v>43374</v>
      </c>
      <c r="T40" s="5" t="b">
        <f ca="1">IFERROR(__xludf.DUMMYFUNCTION("""COMPUTED_VALUE"""),TRUE)</f>
        <v>1</v>
      </c>
      <c r="U40" s="5" t="str">
        <f ca="1">IFERROR(__xludf.DUMMYFUNCTION("""COMPUTED_VALUE"""),"5x3")</f>
        <v>5x3</v>
      </c>
      <c r="V40" s="12" t="str">
        <f ca="1">IFERROR(__xludf.DUMMYFUNCTION("""COMPUTED_VALUE"""),"10")</f>
        <v>10</v>
      </c>
      <c r="W40" s="12" t="str">
        <f ca="1">IFERROR(__xludf.DUMMYFUNCTION("""COMPUTED_VALUE"""),"10")</f>
        <v>10</v>
      </c>
      <c r="X40" s="5">
        <f ca="1">IFERROR(__xludf.DUMMYFUNCTION("""COMPUTED_VALUE"""),95.499)</f>
        <v>95.498999999999995</v>
      </c>
      <c r="Y40" s="5" t="str">
        <f ca="1">IFERROR(__xludf.DUMMYFUNCTION("""COMPUTED_VALUE"""),"Medium")</f>
        <v>Medium</v>
      </c>
      <c r="Z40" s="5">
        <f ca="1">IFERROR(__xludf.DUMMYFUNCTION("""COMPUTED_VALUE"""),27.76)</f>
        <v>27.76</v>
      </c>
      <c r="AA40" s="14">
        <f ca="1">IFERROR(__xludf.DUMMYFUNCTION("""COMPUTED_VALUE"""),292)</f>
        <v>292</v>
      </c>
      <c r="AB40" s="5">
        <f ca="1">IFERROR(__xludf.DUMMYFUNCTION("""COMPUTED_VALUE"""),216)</f>
        <v>216</v>
      </c>
      <c r="AC40" s="5" t="str">
        <f ca="1">IFERROR(__xludf.DUMMYFUNCTION("""COMPUTED_VALUE"""),"Wild Symbol, Hold and Win")</f>
        <v>Wild Symbol, Hold and Win</v>
      </c>
      <c r="AD40" s="5" t="str">
        <f ca="1">IFERROR(__xludf.DUMMYFUNCTION("""COMPUTED_VALUE"""),"0.10/40")</f>
        <v>0.10/40</v>
      </c>
      <c r="AE40" s="5"/>
      <c r="AF40" s="5"/>
      <c r="AG40" s="5"/>
      <c r="AH40" s="5"/>
      <c r="AI40" s="5"/>
      <c r="AJ40" s="5"/>
      <c r="AK40" s="5">
        <f ca="1">IFERROR(__xludf.DUMMYFUNCTION("""COMPUTED_VALUE"""),10)</f>
        <v>10</v>
      </c>
      <c r="AL40" s="5" t="str">
        <f ca="1">IFERROR(__xludf.DUMMYFUNCTION("""COMPUTED_VALUE"""),"Yes")</f>
        <v>Yes</v>
      </c>
      <c r="AM40" s="5"/>
      <c r="AN40" s="7" t="str">
        <f ca="1">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AO40" s="5"/>
      <c r="AP40" s="5"/>
      <c r="AQ40" s="5" t="b">
        <f ca="1">IFERROR(__xludf.DUMMYFUNCTION("""COMPUTED_VALUE"""),TRUE)</f>
        <v>1</v>
      </c>
      <c r="AR40" s="5"/>
      <c r="AS40" s="5" t="str">
        <f ca="1">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AT40" s="5"/>
      <c r="AU40" s="5" t="str">
        <f ca="1">IFERROR(__xludf.DUMMYFUNCTION("""COMPUTED_VALUE"""),"Fazi")</f>
        <v>Fazi</v>
      </c>
      <c r="AV40" s="5"/>
      <c r="AW40" s="5"/>
      <c r="AX40" s="5"/>
      <c r="AY40" s="5"/>
      <c r="AZ40" s="5"/>
      <c r="BA40" s="5" t="str">
        <f ca="1">IFERROR(__xludf.DUMMYFUNCTION("""COMPUTED_VALUE"""),"")</f>
        <v/>
      </c>
      <c r="BB40" s="5"/>
      <c r="BC40" s="5" t="str">
        <f ca="1">IFERROR(__xludf.DUMMYFUNCTION("""COMPUTED_VALUE"""),"Foxi")</f>
        <v>Foxi</v>
      </c>
      <c r="BD40" s="7" t="str">
        <f ca="1">IFERROR(__xludf.DUMMYFUNCTION("""COMPUTED_VALUE"""),"https://gameserver-store-client-area.orbionlimited.com/Home/IntegrationGameLaunch/client-area?moneyType=0&amp;gameName=TemplarsQuest&amp;platform=desktop&amp;languageCode=eng&amp;currency=EUR")</f>
        <v>https://gameserver-store-client-area.orbionlimited.com/Home/IntegrationGameLaunch/client-area?moneyType=0&amp;gameName=TemplarsQuest&amp;platform=desktop&amp;languageCode=eng&amp;currency=EUR</v>
      </c>
      <c r="BE40" s="5" t="b">
        <f ca="1">IFERROR(__xludf.DUMMYFUNCTION("""COMPUTED_VALUE"""),TRUE)</f>
        <v>1</v>
      </c>
    </row>
    <row r="41" spans="1:57" x14ac:dyDescent="0.25">
      <c r="A41" s="5">
        <f ca="1">IFERROR(__xludf.DUMMYFUNCTION("""COMPUTED_VALUE"""),40)</f>
        <v>40</v>
      </c>
      <c r="B41" s="5">
        <f ca="1">IFERROR(__xludf.DUMMYFUNCTION("""COMPUTED_VALUE"""),39)</f>
        <v>39</v>
      </c>
      <c r="C41" s="5" t="str">
        <f ca="1">IFERROR(__xludf.DUMMYFUNCTION("""COMPUTED_VALUE"""),"Fazi")</f>
        <v>Fazi</v>
      </c>
      <c r="D41" s="5" t="str">
        <f ca="1">IFERROR(__xludf.DUMMYFUNCTION("""COMPUTED_VALUE"""),"Space Guardians")</f>
        <v>Space Guardians</v>
      </c>
      <c r="E41" s="5" t="str">
        <f ca="1">IFERROR(__xludf.DUMMYFUNCTION("""COMPUTED_VALUE"""),"V2")</f>
        <v>V2</v>
      </c>
      <c r="F41" s="5" t="str">
        <f ca="1">IFERROR(__xludf.DUMMYFUNCTION("""COMPUTED_VALUE"""),"SpaceGuardians")</f>
        <v>SpaceGuardians</v>
      </c>
      <c r="G41" s="5" t="str">
        <f ca="1">IFERROR(__xludf.DUMMYFUNCTION("""COMPUTED_VALUE"""),"Live")</f>
        <v>Live</v>
      </c>
      <c r="H41" s="5"/>
      <c r="I41" s="5" t="str">
        <f ca="1">IFERROR(__xludf.DUMMYFUNCTION("""COMPUTED_VALUE"""),"V2")</f>
        <v>V2</v>
      </c>
      <c r="J41" s="5" t="str">
        <f ca="1">IFERROR(__xludf.DUMMYFUNCTION("""COMPUTED_VALUE"""),"Binary")</f>
        <v>Binary</v>
      </c>
      <c r="K41" s="5" t="str">
        <f ca="1">IFERROR(__xludf.DUMMYFUNCTION("""COMPUTED_VALUE"""),"Slot")</f>
        <v>Slot</v>
      </c>
      <c r="L41" s="5" t="str">
        <f ca="1">IFERROR(__xludf.DUMMYFUNCTION("""COMPUTED_VALUE"""),"Clone")</f>
        <v>Clone</v>
      </c>
      <c r="M41" s="5" t="str">
        <f ca="1">IFERROR(__xludf.DUMMYFUNCTION("""COMPUTED_VALUE"""),"Hot Stars")</f>
        <v>Hot Stars</v>
      </c>
      <c r="N41" s="5"/>
      <c r="O41" s="5"/>
      <c r="P41" s="14">
        <f ca="1">IFERROR(__xludf.DUMMYFUNCTION("""COMPUTED_VALUE"""),26.8)</f>
        <v>26.8</v>
      </c>
      <c r="Q41" s="5"/>
      <c r="R41" s="5"/>
      <c r="S41" s="15">
        <f ca="1">IFERROR(__xludf.DUMMYFUNCTION("""COMPUTED_VALUE"""),43282)</f>
        <v>43282</v>
      </c>
      <c r="T41" s="5" t="b">
        <f ca="1">IFERROR(__xludf.DUMMYFUNCTION("""COMPUTED_VALUE"""),TRUE)</f>
        <v>1</v>
      </c>
      <c r="U41" s="5" t="str">
        <f ca="1">IFERROR(__xludf.DUMMYFUNCTION("""COMPUTED_VALUE"""),"5x3")</f>
        <v>5x3</v>
      </c>
      <c r="V41" s="12" t="str">
        <f ca="1">IFERROR(__xludf.DUMMYFUNCTION("""COMPUTED_VALUE"""),"10")</f>
        <v>10</v>
      </c>
      <c r="W41" s="12" t="str">
        <f ca="1">IFERROR(__xludf.DUMMYFUNCTION("""COMPUTED_VALUE"""),"1,3,5,7,10")</f>
        <v>1,3,5,7,10</v>
      </c>
      <c r="X41" s="5">
        <f ca="1">IFERROR(__xludf.DUMMYFUNCTION("""COMPUTED_VALUE"""),95.544)</f>
        <v>95.543999999999997</v>
      </c>
      <c r="Y41" s="5" t="str">
        <f ca="1">IFERROR(__xludf.DUMMYFUNCTION("""COMPUTED_VALUE"""),"Medium")</f>
        <v>Medium</v>
      </c>
      <c r="Z41" s="5">
        <f ca="1">IFERROR(__xludf.DUMMYFUNCTION("""COMPUTED_VALUE"""),13.02)</f>
        <v>13.02</v>
      </c>
      <c r="AA41" s="14">
        <f ca="1">IFERROR(__xludf.DUMMYFUNCTION("""COMPUTED_VALUE"""),1611)</f>
        <v>1611</v>
      </c>
      <c r="AB41" s="5">
        <f ca="1">IFERROR(__xludf.DUMMYFUNCTION("""COMPUTED_VALUE"""),18)</f>
        <v>18</v>
      </c>
      <c r="AC41" s="5" t="str">
        <f ca="1">IFERROR(__xludf.DUMMYFUNCTION("""COMPUTED_VALUE"""),"Expanding Wild, Respin, Bothways")</f>
        <v>Expanding Wild, Respin, Bothways</v>
      </c>
      <c r="AD41" s="5" t="str">
        <f ca="1">IFERROR(__xludf.DUMMYFUNCTION("""COMPUTED_VALUE"""),"0.10/40")</f>
        <v>0.10/40</v>
      </c>
      <c r="AE41" s="5"/>
      <c r="AF41" s="5"/>
      <c r="AG41" s="5"/>
      <c r="AH41" s="5"/>
      <c r="AI41" s="5"/>
      <c r="AJ41" s="5"/>
      <c r="AK41" s="5">
        <f ca="1">IFERROR(__xludf.DUMMYFUNCTION("""COMPUTED_VALUE"""),10)</f>
        <v>10</v>
      </c>
      <c r="AL41" s="5" t="str">
        <f ca="1">IFERROR(__xludf.DUMMYFUNCTION("""COMPUTED_VALUE"""),"Yes")</f>
        <v>Yes</v>
      </c>
      <c r="AM41" s="5"/>
      <c r="AN41" s="7" t="str">
        <f ca="1">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AO41" s="5"/>
      <c r="AP41" s="5"/>
      <c r="AQ41" s="5" t="b">
        <f ca="1">IFERROR(__xludf.DUMMYFUNCTION("""COMPUTED_VALUE"""),TRUE)</f>
        <v>1</v>
      </c>
      <c r="AR41" s="5"/>
      <c r="AS41" s="5" t="str">
        <f ca="1">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AT41" s="5"/>
      <c r="AU41" s="5" t="str">
        <f ca="1">IFERROR(__xludf.DUMMYFUNCTION("""COMPUTED_VALUE"""),"Fazi")</f>
        <v>Fazi</v>
      </c>
      <c r="AV41" s="5"/>
      <c r="AW41" s="5"/>
      <c r="AX41" s="5"/>
      <c r="AY41" s="5"/>
      <c r="AZ41" s="5"/>
      <c r="BA41" s="5" t="str">
        <f ca="1">IFERROR(__xludf.DUMMYFUNCTION("""COMPUTED_VALUE"""),"")</f>
        <v/>
      </c>
      <c r="BB41" s="5"/>
      <c r="BC41" s="5" t="str">
        <f ca="1">IFERROR(__xludf.DUMMYFUNCTION("""COMPUTED_VALUE"""),"Foxi")</f>
        <v>Foxi</v>
      </c>
      <c r="BD41" s="7" t="str">
        <f ca="1">IFERROR(__xludf.DUMMYFUNCTION("""COMPUTED_VALUE"""),"https://gameserver-store-client-area.orbionlimited.com/Home/IntegrationGameLaunch/client-area?moneyType=0&amp;gameName=SpaceGuardians&amp;platform=desktop&amp;languageCode=eng&amp;currency=EUR")</f>
        <v>https://gameserver-store-client-area.orbionlimited.com/Home/IntegrationGameLaunch/client-area?moneyType=0&amp;gameName=SpaceGuardians&amp;platform=desktop&amp;languageCode=eng&amp;currency=EUR</v>
      </c>
      <c r="BE41" s="5" t="b">
        <f ca="1">IFERROR(__xludf.DUMMYFUNCTION("""COMPUTED_VALUE"""),TRUE)</f>
        <v>1</v>
      </c>
    </row>
    <row r="42" spans="1:57" x14ac:dyDescent="0.25">
      <c r="A42" s="5">
        <f ca="1">IFERROR(__xludf.DUMMYFUNCTION("""COMPUTED_VALUE"""),41)</f>
        <v>41</v>
      </c>
      <c r="B42" s="5">
        <f ca="1">IFERROR(__xludf.DUMMYFUNCTION("""COMPUTED_VALUE"""),40)</f>
        <v>40</v>
      </c>
      <c r="C42" s="5" t="str">
        <f ca="1">IFERROR(__xludf.DUMMYFUNCTION("""COMPUTED_VALUE"""),"Fazi")</f>
        <v>Fazi</v>
      </c>
      <c r="D42" s="5" t="str">
        <f ca="1">IFERROR(__xludf.DUMMYFUNCTION("""COMPUTED_VALUE"""),"Neon Hot 5")</f>
        <v>Neon Hot 5</v>
      </c>
      <c r="E42" s="5" t="str">
        <f ca="1">IFERROR(__xludf.DUMMYFUNCTION("""COMPUTED_VALUE"""),"V2")</f>
        <v>V2</v>
      </c>
      <c r="F42" s="5" t="str">
        <f ca="1">IFERROR(__xludf.DUMMYFUNCTION("""COMPUTED_VALUE"""),"NeonHot5")</f>
        <v>NeonHot5</v>
      </c>
      <c r="G42" s="5" t="str">
        <f ca="1">IFERROR(__xludf.DUMMYFUNCTION("""COMPUTED_VALUE"""),"Retired")</f>
        <v>Retired</v>
      </c>
      <c r="H42" s="5"/>
      <c r="I42" s="5" t="str">
        <f ca="1">IFERROR(__xludf.DUMMYFUNCTION("""COMPUTED_VALUE"""),"V2")</f>
        <v>V2</v>
      </c>
      <c r="J42" s="5" t="str">
        <f ca="1">IFERROR(__xludf.DUMMYFUNCTION("""COMPUTED_VALUE"""),"Binary")</f>
        <v>Binary</v>
      </c>
      <c r="K42" s="5" t="str">
        <f ca="1">IFERROR(__xludf.DUMMYFUNCTION("""COMPUTED_VALUE"""),"Slot")</f>
        <v>Slot</v>
      </c>
      <c r="L42" s="5"/>
      <c r="M42" s="5"/>
      <c r="N42" s="5"/>
      <c r="O42" s="5"/>
      <c r="P42" s="5"/>
      <c r="Q42" s="5"/>
      <c r="R42" s="5"/>
      <c r="S42" s="5"/>
      <c r="T42" s="5"/>
      <c r="U42" s="5" t="str">
        <f ca="1">IFERROR(__xludf.DUMMYFUNCTION("""COMPUTED_VALUE"""),"5x3")</f>
        <v>5x3</v>
      </c>
      <c r="V42" s="12" t="str">
        <f ca="1">IFERROR(__xludf.DUMMYFUNCTION("""COMPUTED_VALUE"""),"5")</f>
        <v>5</v>
      </c>
      <c r="W42" s="12" t="str">
        <f ca="1">IFERROR(__xludf.DUMMYFUNCTION("""COMPUTED_VALUE"""),"5")</f>
        <v>5</v>
      </c>
      <c r="X42" s="5">
        <f ca="1">IFERROR(__xludf.DUMMYFUNCTION("""COMPUTED_VALUE"""),95.74)</f>
        <v>95.74</v>
      </c>
      <c r="Y42" s="5" t="str">
        <f ca="1">IFERROR(__xludf.DUMMYFUNCTION("""COMPUTED_VALUE"""),"Medium")</f>
        <v>Medium</v>
      </c>
      <c r="Z42" s="5">
        <f ca="1">IFERROR(__xludf.DUMMYFUNCTION("""COMPUTED_VALUE"""),12.55)</f>
        <v>12.55</v>
      </c>
      <c r="AA42" s="14">
        <f ca="1">IFERROR(__xludf.DUMMYFUNCTION("""COMPUTED_VALUE"""),1000)</f>
        <v>1000</v>
      </c>
      <c r="AB42" s="5" t="str">
        <f ca="1">IFERROR(__xludf.DUMMYFUNCTION("""COMPUTED_VALUE"""),"/")</f>
        <v>/</v>
      </c>
      <c r="AC42" s="5" t="str">
        <f ca="1">IFERROR(__xludf.DUMMYFUNCTION("""COMPUTED_VALUE"""),"Scatter")</f>
        <v>Scatter</v>
      </c>
      <c r="AD42" s="5"/>
      <c r="AE42" s="5"/>
      <c r="AF42" s="5"/>
      <c r="AG42" s="5"/>
      <c r="AH42" s="5"/>
      <c r="AI42" s="5"/>
      <c r="AJ42" s="5"/>
      <c r="AK42" s="5">
        <f ca="1">IFERROR(__xludf.DUMMYFUNCTION("""COMPUTED_VALUE"""),5)</f>
        <v>5</v>
      </c>
      <c r="AL42" s="5"/>
      <c r="AM42" s="5"/>
      <c r="AN42" s="5"/>
      <c r="AO42" s="5"/>
      <c r="AP42" s="5"/>
      <c r="AQ42" s="5"/>
      <c r="AR42" s="5"/>
      <c r="AS42" s="5"/>
      <c r="AT42" s="5"/>
      <c r="AU42" s="5" t="str">
        <f ca="1">IFERROR(__xludf.DUMMYFUNCTION("""COMPUTED_VALUE"""),"Fazi")</f>
        <v>Fazi</v>
      </c>
      <c r="AV42" s="5"/>
      <c r="AW42" s="5"/>
      <c r="AX42" s="5"/>
      <c r="AY42" s="5"/>
      <c r="AZ42" s="5"/>
      <c r="BA42" s="5" t="str">
        <f ca="1">IFERROR(__xludf.DUMMYFUNCTION("""COMPUTED_VALUE"""),"")</f>
        <v/>
      </c>
      <c r="BB42" s="5"/>
      <c r="BC42" s="5" t="str">
        <f ca="1">IFERROR(__xludf.DUMMYFUNCTION("""COMPUTED_VALUE"""),"Foxi")</f>
        <v>Foxi</v>
      </c>
      <c r="BD42" s="5" t="str">
        <f ca="1">IFERROR(__xludf.DUMMYFUNCTION("""COMPUTED_VALUE"""),"")</f>
        <v/>
      </c>
      <c r="BE42" s="5"/>
    </row>
    <row r="43" spans="1:57" x14ac:dyDescent="0.25">
      <c r="A43" s="5">
        <f ca="1">IFERROR(__xludf.DUMMYFUNCTION("""COMPUTED_VALUE"""),42)</f>
        <v>42</v>
      </c>
      <c r="B43" s="5">
        <f ca="1">IFERROR(__xludf.DUMMYFUNCTION("""COMPUTED_VALUE"""),41)</f>
        <v>41</v>
      </c>
      <c r="C43" s="5" t="str">
        <f ca="1">IFERROR(__xludf.DUMMYFUNCTION("""COMPUTED_VALUE"""),"Fazi")</f>
        <v>Fazi</v>
      </c>
      <c r="D43" s="5" t="str">
        <f ca="1">IFERROR(__xludf.DUMMYFUNCTION("""COMPUTED_VALUE"""),"Starlight")</f>
        <v>Starlight</v>
      </c>
      <c r="E43" s="5" t="str">
        <f ca="1">IFERROR(__xludf.DUMMYFUNCTION("""COMPUTED_VALUE"""),"V2")</f>
        <v>V2</v>
      </c>
      <c r="F43" s="5" t="str">
        <f ca="1">IFERROR(__xludf.DUMMYFUNCTION("""COMPUTED_VALUE"""),"Starlight")</f>
        <v>Starlight</v>
      </c>
      <c r="G43" s="5" t="str">
        <f ca="1">IFERROR(__xludf.DUMMYFUNCTION("""COMPUTED_VALUE"""),"Live")</f>
        <v>Live</v>
      </c>
      <c r="H43" s="5"/>
      <c r="I43" s="5" t="str">
        <f ca="1">IFERROR(__xludf.DUMMYFUNCTION("""COMPUTED_VALUE"""),"V2")</f>
        <v>V2</v>
      </c>
      <c r="J43" s="5" t="str">
        <f ca="1">IFERROR(__xludf.DUMMYFUNCTION("""COMPUTED_VALUE"""),"Binary")</f>
        <v>Binary</v>
      </c>
      <c r="K43" s="5" t="str">
        <f ca="1">IFERROR(__xludf.DUMMYFUNCTION("""COMPUTED_VALUE"""),"Slot")</f>
        <v>Slot</v>
      </c>
      <c r="L43" s="5" t="str">
        <f ca="1">IFERROR(__xludf.DUMMYFUNCTION("""COMPUTED_VALUE"""),"Clone")</f>
        <v>Clone</v>
      </c>
      <c r="M43" s="5" t="str">
        <f ca="1">IFERROR(__xludf.DUMMYFUNCTION("""COMPUTED_VALUE"""),"Star Gems")</f>
        <v>Star Gems</v>
      </c>
      <c r="N43" s="5"/>
      <c r="O43" s="5"/>
      <c r="P43" s="14">
        <f ca="1">IFERROR(__xludf.DUMMYFUNCTION("""COMPUTED_VALUE"""),32.7)</f>
        <v>32.700000000000003</v>
      </c>
      <c r="Q43" s="5"/>
      <c r="R43" s="5"/>
      <c r="S43" s="15">
        <f ca="1">IFERROR(__xludf.DUMMYFUNCTION("""COMPUTED_VALUE"""),43344)</f>
        <v>43344</v>
      </c>
      <c r="T43" s="5" t="b">
        <f ca="1">IFERROR(__xludf.DUMMYFUNCTION("""COMPUTED_VALUE"""),TRUE)</f>
        <v>1</v>
      </c>
      <c r="U43" s="5" t="str">
        <f ca="1">IFERROR(__xludf.DUMMYFUNCTION("""COMPUTED_VALUE"""),"5x3")</f>
        <v>5x3</v>
      </c>
      <c r="V43" s="12" t="str">
        <f ca="1">IFERROR(__xludf.DUMMYFUNCTION("""COMPUTED_VALUE"""),"10")</f>
        <v>10</v>
      </c>
      <c r="W43" s="12" t="str">
        <f ca="1">IFERROR(__xludf.DUMMYFUNCTION("""COMPUTED_VALUE"""),"1,3,5,7,10")</f>
        <v>1,3,5,7,10</v>
      </c>
      <c r="X43" s="5">
        <f ca="1">IFERROR(__xludf.DUMMYFUNCTION("""COMPUTED_VALUE"""),96.05)</f>
        <v>96.05</v>
      </c>
      <c r="Y43" s="5" t="str">
        <f ca="1">IFERROR(__xludf.DUMMYFUNCTION("""COMPUTED_VALUE"""),"Low")</f>
        <v>Low</v>
      </c>
      <c r="Z43" s="5">
        <f ca="1">IFERROR(__xludf.DUMMYFUNCTION("""COMPUTED_VALUE"""),20.28)</f>
        <v>20.28</v>
      </c>
      <c r="AA43" s="14">
        <f ca="1">IFERROR(__xludf.DUMMYFUNCTION("""COMPUTED_VALUE"""),581)</f>
        <v>581</v>
      </c>
      <c r="AB43" s="5">
        <f ca="1">IFERROR(__xludf.DUMMYFUNCTION("""COMPUTED_VALUE"""),12)</f>
        <v>12</v>
      </c>
      <c r="AC43" s="5" t="str">
        <f ca="1">IFERROR(__xludf.DUMMYFUNCTION("""COMPUTED_VALUE"""),"Expanding Wild, Respin, Bothways")</f>
        <v>Expanding Wild, Respin, Bothways</v>
      </c>
      <c r="AD43" s="5" t="str">
        <f ca="1">IFERROR(__xludf.DUMMYFUNCTION("""COMPUTED_VALUE"""),"0.10/40")</f>
        <v>0.10/40</v>
      </c>
      <c r="AE43" s="5"/>
      <c r="AF43" s="5"/>
      <c r="AG43" s="5"/>
      <c r="AH43" s="5"/>
      <c r="AI43" s="5"/>
      <c r="AJ43" s="5"/>
      <c r="AK43" s="5">
        <f ca="1">IFERROR(__xludf.DUMMYFUNCTION("""COMPUTED_VALUE"""),10)</f>
        <v>10</v>
      </c>
      <c r="AL43" s="5" t="str">
        <f ca="1">IFERROR(__xludf.DUMMYFUNCTION("""COMPUTED_VALUE"""),"Yes")</f>
        <v>Yes</v>
      </c>
      <c r="AM43" s="5"/>
      <c r="AN43" s="7" t="str">
        <f ca="1">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AO43" s="5"/>
      <c r="AP43" s="5"/>
      <c r="AQ43" s="5" t="b">
        <f ca="1">IFERROR(__xludf.DUMMYFUNCTION("""COMPUTED_VALUE"""),TRUE)</f>
        <v>1</v>
      </c>
      <c r="AR43" s="5"/>
      <c r="AS43" s="5" t="str">
        <f ca="1">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AT43" s="5"/>
      <c r="AU43" s="5" t="str">
        <f ca="1">IFERROR(__xludf.DUMMYFUNCTION("""COMPUTED_VALUE"""),"Fazi")</f>
        <v>Fazi</v>
      </c>
      <c r="AV43" s="5"/>
      <c r="AW43" s="5"/>
      <c r="AX43" s="5"/>
      <c r="AY43" s="5"/>
      <c r="AZ43" s="5"/>
      <c r="BA43" s="5" t="str">
        <f ca="1">IFERROR(__xludf.DUMMYFUNCTION("""COMPUTED_VALUE"""),"")</f>
        <v/>
      </c>
      <c r="BB43" s="5"/>
      <c r="BC43" s="5" t="str">
        <f ca="1">IFERROR(__xludf.DUMMYFUNCTION("""COMPUTED_VALUE"""),"Foxi")</f>
        <v>Foxi</v>
      </c>
      <c r="BD43" s="7" t="str">
        <f ca="1">IFERROR(__xludf.DUMMYFUNCTION("""COMPUTED_VALUE"""),"https://gameserver-store-client-area.orbionlimited.com/Home/IntegrationGameLaunch/client-area?moneyType=0&amp;gameName=Starlight&amp;platform=desktop&amp;languageCode=eng&amp;currency=EUR")</f>
        <v>https://gameserver-store-client-area.orbionlimited.com/Home/IntegrationGameLaunch/client-area?moneyType=0&amp;gameName=Starlight&amp;platform=desktop&amp;languageCode=eng&amp;currency=EUR</v>
      </c>
      <c r="BE43" s="5" t="b">
        <f ca="1">IFERROR(__xludf.DUMMYFUNCTION("""COMPUTED_VALUE"""),TRUE)</f>
        <v>1</v>
      </c>
    </row>
    <row r="44" spans="1:57" x14ac:dyDescent="0.25">
      <c r="A44" s="5">
        <f ca="1">IFERROR(__xludf.DUMMYFUNCTION("""COMPUTED_VALUE"""),43)</f>
        <v>43</v>
      </c>
      <c r="B44" s="5">
        <f ca="1">IFERROR(__xludf.DUMMYFUNCTION("""COMPUTED_VALUE"""),42)</f>
        <v>42</v>
      </c>
      <c r="C44" s="5" t="str">
        <f ca="1">IFERROR(__xludf.DUMMYFUNCTION("""COMPUTED_VALUE"""),"Fazi")</f>
        <v>Fazi</v>
      </c>
      <c r="D44" s="5" t="str">
        <f ca="1">IFERROR(__xludf.DUMMYFUNCTION("""COMPUTED_VALUE"""),"Triple Hot")</f>
        <v>Triple Hot</v>
      </c>
      <c r="E44" s="5" t="str">
        <f ca="1">IFERROR(__xludf.DUMMYFUNCTION("""COMPUTED_VALUE"""),"V2")</f>
        <v>V2</v>
      </c>
      <c r="F44" s="5" t="str">
        <f ca="1">IFERROR(__xludf.DUMMYFUNCTION("""COMPUTED_VALUE"""),"TripleHot")</f>
        <v>TripleHot</v>
      </c>
      <c r="G44" s="5" t="str">
        <f ca="1">IFERROR(__xludf.DUMMYFUNCTION("""COMPUTED_VALUE"""),"Live")</f>
        <v>Live</v>
      </c>
      <c r="H44" s="5"/>
      <c r="I44" s="5" t="str">
        <f ca="1">IFERROR(__xludf.DUMMYFUNCTION("""COMPUTED_VALUE"""),"V2")</f>
        <v>V2</v>
      </c>
      <c r="J44" s="5" t="str">
        <f ca="1">IFERROR(__xludf.DUMMYFUNCTION("""COMPUTED_VALUE"""),"Binary")</f>
        <v>Binary</v>
      </c>
      <c r="K44" s="5" t="str">
        <f ca="1">IFERROR(__xludf.DUMMYFUNCTION("""COMPUTED_VALUE"""),"Slot")</f>
        <v>Slot</v>
      </c>
      <c r="L44" s="5"/>
      <c r="M44" s="5"/>
      <c r="N44" s="5"/>
      <c r="O44" s="5"/>
      <c r="P44" s="14">
        <f ca="1">IFERROR(__xludf.DUMMYFUNCTION("""COMPUTED_VALUE"""),24.7)</f>
        <v>24.7</v>
      </c>
      <c r="Q44" s="5"/>
      <c r="R44" s="5"/>
      <c r="S44" s="15">
        <f ca="1">IFERROR(__xludf.DUMMYFUNCTION("""COMPUTED_VALUE"""),43531)</f>
        <v>43531</v>
      </c>
      <c r="T44" s="5" t="b">
        <f ca="1">IFERROR(__xludf.DUMMYFUNCTION("""COMPUTED_VALUE"""),TRUE)</f>
        <v>1</v>
      </c>
      <c r="U44" s="5" t="str">
        <f ca="1">IFERROR(__xludf.DUMMYFUNCTION("""COMPUTED_VALUE"""),"3x3")</f>
        <v>3x3</v>
      </c>
      <c r="V44" s="12" t="str">
        <f ca="1">IFERROR(__xludf.DUMMYFUNCTION("""COMPUTED_VALUE"""),"5")</f>
        <v>5</v>
      </c>
      <c r="W44" s="12" t="str">
        <f ca="1">IFERROR(__xludf.DUMMYFUNCTION("""COMPUTED_VALUE"""),"5")</f>
        <v>5</v>
      </c>
      <c r="X44" s="5">
        <f ca="1">IFERROR(__xludf.DUMMYFUNCTION("""COMPUTED_VALUE"""),95.513)</f>
        <v>95.513000000000005</v>
      </c>
      <c r="Y44" s="5" t="str">
        <f ca="1">IFERROR(__xludf.DUMMYFUNCTION("""COMPUTED_VALUE"""),"Low")</f>
        <v>Low</v>
      </c>
      <c r="Z44" s="5">
        <f ca="1">IFERROR(__xludf.DUMMYFUNCTION("""COMPUTED_VALUE"""),6.51)</f>
        <v>6.51</v>
      </c>
      <c r="AA44" s="14">
        <f ca="1">IFERROR(__xludf.DUMMYFUNCTION("""COMPUTED_VALUE"""),60)</f>
        <v>60</v>
      </c>
      <c r="AB44" s="5" t="str">
        <f ca="1">IFERROR(__xludf.DUMMYFUNCTION("""COMPUTED_VALUE"""),"/")</f>
        <v>/</v>
      </c>
      <c r="AC44" s="5"/>
      <c r="AD44" s="5" t="str">
        <f ca="1">IFERROR(__xludf.DUMMYFUNCTION("""COMPUTED_VALUE"""),"0.05/30")</f>
        <v>0.05/30</v>
      </c>
      <c r="AE44" s="5"/>
      <c r="AF44" s="5"/>
      <c r="AG44" s="5"/>
      <c r="AH44" s="5"/>
      <c r="AI44" s="5"/>
      <c r="AJ44" s="5"/>
      <c r="AK44" s="5">
        <f ca="1">IFERROR(__xludf.DUMMYFUNCTION("""COMPUTED_VALUE"""),5)</f>
        <v>5</v>
      </c>
      <c r="AL44" s="5" t="str">
        <f ca="1">IFERROR(__xludf.DUMMYFUNCTION("""COMPUTED_VALUE"""),"Yes")</f>
        <v>Yes</v>
      </c>
      <c r="AM44" s="5"/>
      <c r="AN44" s="7" t="str">
        <f ca="1">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AO44" s="5"/>
      <c r="AP44" s="5"/>
      <c r="AQ44" s="5" t="b">
        <f ca="1">IFERROR(__xludf.DUMMYFUNCTION("""COMPUTED_VALUE"""),TRUE)</f>
        <v>1</v>
      </c>
      <c r="AR44" s="5"/>
      <c r="AS44" s="5" t="str">
        <f ca="1">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AT44" s="5"/>
      <c r="AU44" s="5" t="str">
        <f ca="1">IFERROR(__xludf.DUMMYFUNCTION("""COMPUTED_VALUE"""),"Fazi")</f>
        <v>Fazi</v>
      </c>
      <c r="AV44" s="5"/>
      <c r="AW44" s="5"/>
      <c r="AX44" s="5"/>
      <c r="AY44" s="5"/>
      <c r="AZ44" s="5"/>
      <c r="BA44" s="5" t="str">
        <f ca="1">IFERROR(__xludf.DUMMYFUNCTION("""COMPUTED_VALUE"""),"")</f>
        <v/>
      </c>
      <c r="BB44" s="5"/>
      <c r="BC44" s="5" t="str">
        <f ca="1">IFERROR(__xludf.DUMMYFUNCTION("""COMPUTED_VALUE"""),"Foxi")</f>
        <v>Foxi</v>
      </c>
      <c r="BD44" s="7" t="str">
        <f ca="1">IFERROR(__xludf.DUMMYFUNCTION("""COMPUTED_VALUE"""),"https://gameserver-store-client-area.orbionlimited.com/Home/IntegrationGameLaunch/client-area?moneyType=0&amp;gameName=TripleHot&amp;platform=desktop&amp;languageCode=eng&amp;currency=EUR")</f>
        <v>https://gameserver-store-client-area.orbionlimited.com/Home/IntegrationGameLaunch/client-area?moneyType=0&amp;gameName=TripleHot&amp;platform=desktop&amp;languageCode=eng&amp;currency=EUR</v>
      </c>
      <c r="BE44" s="5" t="b">
        <f ca="1">IFERROR(__xludf.DUMMYFUNCTION("""COMPUTED_VALUE"""),TRUE)</f>
        <v>1</v>
      </c>
    </row>
    <row r="45" spans="1:57" x14ac:dyDescent="0.25">
      <c r="A45" s="5">
        <f ca="1">IFERROR(__xludf.DUMMYFUNCTION("""COMPUTED_VALUE"""),44)</f>
        <v>44</v>
      </c>
      <c r="B45" s="5">
        <f ca="1">IFERROR(__xludf.DUMMYFUNCTION("""COMPUTED_VALUE"""),43)</f>
        <v>43</v>
      </c>
      <c r="C45" s="5" t="str">
        <f ca="1">IFERROR(__xludf.DUMMYFUNCTION("""COMPUTED_VALUE"""),"Fazi")</f>
        <v>Fazi</v>
      </c>
      <c r="D45" s="5" t="str">
        <f ca="1">IFERROR(__xludf.DUMMYFUNCTION("""COMPUTED_VALUE"""),"Crystal Hot 40")</f>
        <v>Crystal Hot 40</v>
      </c>
      <c r="E45" s="5" t="str">
        <f ca="1">IFERROR(__xludf.DUMMYFUNCTION("""COMPUTED_VALUE"""),"V2")</f>
        <v>V2</v>
      </c>
      <c r="F45" s="5" t="str">
        <f ca="1">IFERROR(__xludf.DUMMYFUNCTION("""COMPUTED_VALUE"""),"CrystalHot40")</f>
        <v>CrystalHot40</v>
      </c>
      <c r="G45" s="5" t="str">
        <f ca="1">IFERROR(__xludf.DUMMYFUNCTION("""COMPUTED_VALUE"""),"Live")</f>
        <v>Live</v>
      </c>
      <c r="H45" s="5"/>
      <c r="I45" s="5" t="str">
        <f ca="1">IFERROR(__xludf.DUMMYFUNCTION("""COMPUTED_VALUE"""),"V2")</f>
        <v>V2</v>
      </c>
      <c r="J45" s="5" t="str">
        <f ca="1">IFERROR(__xludf.DUMMYFUNCTION("""COMPUTED_VALUE"""),"JSON")</f>
        <v>JSON</v>
      </c>
      <c r="K45" s="5" t="str">
        <f ca="1">IFERROR(__xludf.DUMMYFUNCTION("""COMPUTED_VALUE"""),"Slot")</f>
        <v>Slot</v>
      </c>
      <c r="L45" s="5" t="str">
        <f ca="1">IFERROR(__xludf.DUMMYFUNCTION("""COMPUTED_VALUE"""),"Clone")</f>
        <v>Clone</v>
      </c>
      <c r="M45" s="5" t="str">
        <f ca="1">IFERROR(__xludf.DUMMYFUNCTION("""COMPUTED_VALUE"""),"Turbo Hot 40")</f>
        <v>Turbo Hot 40</v>
      </c>
      <c r="N45" s="5"/>
      <c r="O45" s="5"/>
      <c r="P45" s="14">
        <f ca="1">IFERROR(__xludf.DUMMYFUNCTION("""COMPUTED_VALUE"""),31.5)</f>
        <v>31.5</v>
      </c>
      <c r="Q45" s="5"/>
      <c r="R45" s="5"/>
      <c r="S45" s="15">
        <f ca="1">IFERROR(__xludf.DUMMYFUNCTION("""COMPUTED_VALUE"""),43555)</f>
        <v>43555</v>
      </c>
      <c r="T45" s="5"/>
      <c r="U45" s="5" t="str">
        <f ca="1">IFERROR(__xludf.DUMMYFUNCTION("""COMPUTED_VALUE"""),"5x4")</f>
        <v>5x4</v>
      </c>
      <c r="V45" s="12" t="str">
        <f ca="1">IFERROR(__xludf.DUMMYFUNCTION("""COMPUTED_VALUE"""),"40")</f>
        <v>40</v>
      </c>
      <c r="W45" s="12" t="str">
        <f ca="1">IFERROR(__xludf.DUMMYFUNCTION("""COMPUTED_VALUE"""),"40")</f>
        <v>40</v>
      </c>
      <c r="X45" s="5">
        <f ca="1">IFERROR(__xludf.DUMMYFUNCTION("""COMPUTED_VALUE"""),96.584)</f>
        <v>96.584000000000003</v>
      </c>
      <c r="Y45" s="5" t="str">
        <f ca="1">IFERROR(__xludf.DUMMYFUNCTION("""COMPUTED_VALUE"""),"Low")</f>
        <v>Low</v>
      </c>
      <c r="Z45" s="5">
        <f ca="1">IFERROR(__xludf.DUMMYFUNCTION("""COMPUTED_VALUE"""),16.73)</f>
        <v>16.73</v>
      </c>
      <c r="AA45" s="14">
        <f ca="1">IFERROR(__xludf.DUMMYFUNCTION("""COMPUTED_VALUE"""),1000)</f>
        <v>1000</v>
      </c>
      <c r="AB45" s="5" t="str">
        <f ca="1">IFERROR(__xludf.DUMMYFUNCTION("""COMPUTED_VALUE"""),"/")</f>
        <v>/</v>
      </c>
      <c r="AC45" s="5" t="str">
        <f ca="1">IFERROR(__xludf.DUMMYFUNCTION("""COMPUTED_VALUE"""),"Wild Symbol, Scatter")</f>
        <v>Wild Symbol, Scatter</v>
      </c>
      <c r="AD45" s="5" t="str">
        <f ca="1">IFERROR(__xludf.DUMMYFUNCTION("""COMPUTED_VALUE"""),"0.4/60")</f>
        <v>0.4/60</v>
      </c>
      <c r="AE45" s="5"/>
      <c r="AF45" s="5"/>
      <c r="AG45" s="10">
        <f ca="1">IFERROR(__xludf.DUMMYFUNCTION("""COMPUTED_VALUE"""),46104.4276041666)</f>
        <v>46104.427604166602</v>
      </c>
      <c r="AH45" s="5" t="str">
        <f ca="1">IFERROR(__xludf.DUMMYFUNCTION("""COMPUTED_VALUE"""),"marko.tepavac@fazi.rs")</f>
        <v>marko.tepavac@fazi.rs</v>
      </c>
      <c r="AI45" s="5"/>
      <c r="AJ45" s="5"/>
      <c r="AK45" s="5">
        <f ca="1">IFERROR(__xludf.DUMMYFUNCTION("""COMPUTED_VALUE"""),40)</f>
        <v>40</v>
      </c>
      <c r="AL45" s="5" t="str">
        <f ca="1">IFERROR(__xludf.DUMMYFUNCTION("""COMPUTED_VALUE"""),"Yes")</f>
        <v>Yes</v>
      </c>
      <c r="AM45" s="5"/>
      <c r="AN45" s="7" t="str">
        <f ca="1">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AO45" s="5" t="str">
        <f ca="1">IFERROR(__xludf.DUMMYFUNCTION("""COMPUTED_VALUE"""),"Yes")</f>
        <v>Yes</v>
      </c>
      <c r="AP45" s="5" t="str">
        <f ca="1">IFERROR(__xludf.DUMMYFUNCTION("""COMPUTED_VALUE"""),"Yes")</f>
        <v>Yes</v>
      </c>
      <c r="AQ45" s="5" t="b">
        <f ca="1">IFERROR(__xludf.DUMMYFUNCTION("""COMPUTED_VALUE"""),TRUE)</f>
        <v>1</v>
      </c>
      <c r="AR45" s="5"/>
      <c r="AS45" s="5" t="str">
        <f ca="1">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45" s="5" t="str">
        <f ca="1">IFERROR(__xludf.DUMMYFUNCTION("""COMPUTED_VALUE"""),"No")</f>
        <v>No</v>
      </c>
      <c r="AU45" s="5" t="str">
        <f ca="1">IFERROR(__xludf.DUMMYFUNCTION("""COMPUTED_VALUE"""),"Fazi")</f>
        <v>Fazi</v>
      </c>
      <c r="AV45" s="5"/>
      <c r="AW45" s="5"/>
      <c r="AX45" s="5"/>
      <c r="AY45" s="5" t="str">
        <f ca="1">IFERROR(__xludf.DUMMYFUNCTION("""COMPUTED_VALUE"""),"87.5%, 89.5%, 91.5%, 93.5%, 94.5%, 95.5%, 96.5%")</f>
        <v>87.5%, 89.5%, 91.5%, 93.5%, 94.5%, 95.5%, 96.5%</v>
      </c>
      <c r="AZ45" s="5"/>
      <c r="BA45" s="5" t="str">
        <f ca="1">IFERROR(__xludf.DUMMYFUNCTION("""COMPUTED_VALUE"""),"")</f>
        <v/>
      </c>
      <c r="BB45" s="5"/>
      <c r="BC45" s="5" t="str">
        <f ca="1">IFERROR(__xludf.DUMMYFUNCTION("""COMPUTED_VALUE"""),"Foxi")</f>
        <v>Foxi</v>
      </c>
      <c r="BD45" s="7" t="str">
        <f ca="1">IFERROR(__xludf.DUMMYFUNCTION("""COMPUTED_VALUE"""),"https://gameserver-store-client-area.orbionlimited.com/Home/IntegrationGameLaunch/client-area?moneyType=0&amp;gameName=CrystalHot40&amp;platform=desktop&amp;languageCode=eng&amp;currency=EUR")</f>
        <v>https://gameserver-store-client-area.orbionlimited.com/Home/IntegrationGameLaunch/client-area?moneyType=0&amp;gameName=CrystalHot40&amp;platform=desktop&amp;languageCode=eng&amp;currency=EUR</v>
      </c>
      <c r="BE45" s="5" t="b">
        <f ca="1">IFERROR(__xludf.DUMMYFUNCTION("""COMPUTED_VALUE"""),TRUE)</f>
        <v>1</v>
      </c>
    </row>
    <row r="46" spans="1:57" x14ac:dyDescent="0.25">
      <c r="A46" s="5">
        <f ca="1">IFERROR(__xludf.DUMMYFUNCTION("""COMPUTED_VALUE"""),45)</f>
        <v>45</v>
      </c>
      <c r="B46" s="5">
        <f ca="1">IFERROR(__xludf.DUMMYFUNCTION("""COMPUTED_VALUE"""),44)</f>
        <v>44</v>
      </c>
      <c r="C46" s="5" t="str">
        <f ca="1">IFERROR(__xludf.DUMMYFUNCTION("""COMPUTED_VALUE"""),"Fazi")</f>
        <v>Fazi</v>
      </c>
      <c r="D46" s="5" t="str">
        <f ca="1">IFERROR(__xludf.DUMMYFUNCTION("""COMPUTED_VALUE"""),"Burning Ice Deluxe")</f>
        <v>Burning Ice Deluxe</v>
      </c>
      <c r="E46" s="5" t="str">
        <f ca="1">IFERROR(__xludf.DUMMYFUNCTION("""COMPUTED_VALUE"""),"V2")</f>
        <v>V2</v>
      </c>
      <c r="F46" s="5" t="str">
        <f ca="1">IFERROR(__xludf.DUMMYFUNCTION("""COMPUTED_VALUE"""),"BurningIceDeluxe")</f>
        <v>BurningIceDeluxe</v>
      </c>
      <c r="G46" s="5" t="str">
        <f ca="1">IFERROR(__xludf.DUMMYFUNCTION("""COMPUTED_VALUE"""),"Retired")</f>
        <v>Retired</v>
      </c>
      <c r="H46" s="5"/>
      <c r="I46" s="5" t="str">
        <f ca="1">IFERROR(__xludf.DUMMYFUNCTION("""COMPUTED_VALUE"""),"V2")</f>
        <v>V2</v>
      </c>
      <c r="J46" s="5" t="str">
        <f ca="1">IFERROR(__xludf.DUMMYFUNCTION("""COMPUTED_VALUE"""),"Binary")</f>
        <v>Binary</v>
      </c>
      <c r="K46" s="5" t="str">
        <f ca="1">IFERROR(__xludf.DUMMYFUNCTION("""COMPUTED_VALUE"""),"Slot")</f>
        <v>Slot</v>
      </c>
      <c r="L46" s="5" t="str">
        <f ca="1">IFERROR(__xludf.DUMMYFUNCTION("""COMPUTED_VALUE"""),"Clone")</f>
        <v>Clone</v>
      </c>
      <c r="M46" s="5" t="str">
        <f ca="1">IFERROR(__xludf.DUMMYFUNCTION("""COMPUTED_VALUE"""),"Burning Ice")</f>
        <v>Burning Ice</v>
      </c>
      <c r="N46" s="5"/>
      <c r="O46" s="5"/>
      <c r="P46" s="5"/>
      <c r="Q46" s="5"/>
      <c r="R46" s="5"/>
      <c r="S46" s="5"/>
      <c r="T46" s="5"/>
      <c r="U46" s="5" t="str">
        <f ca="1">IFERROR(__xludf.DUMMYFUNCTION("""COMPUTED_VALUE"""),"3x3")</f>
        <v>3x3</v>
      </c>
      <c r="V46" s="12" t="str">
        <f ca="1">IFERROR(__xludf.DUMMYFUNCTION("""COMPUTED_VALUE"""),"27")</f>
        <v>27</v>
      </c>
      <c r="W46" s="12" t="str">
        <f ca="1">IFERROR(__xludf.DUMMYFUNCTION("""COMPUTED_VALUE"""),"27")</f>
        <v>27</v>
      </c>
      <c r="X46" s="5">
        <f ca="1">IFERROR(__xludf.DUMMYFUNCTION("""COMPUTED_VALUE"""),96.352)</f>
        <v>96.352000000000004</v>
      </c>
      <c r="Y46" s="5" t="str">
        <f ca="1">IFERROR(__xludf.DUMMYFUNCTION("""COMPUTED_VALUE"""),"Medium")</f>
        <v>Medium</v>
      </c>
      <c r="Z46" s="5">
        <f ca="1">IFERROR(__xludf.DUMMYFUNCTION("""COMPUTED_VALUE"""),8.03)</f>
        <v>8.0299999999999994</v>
      </c>
      <c r="AA46" s="14">
        <f ca="1">IFERROR(__xludf.DUMMYFUNCTION("""COMPUTED_VALUE"""),360)</f>
        <v>360</v>
      </c>
      <c r="AB46" s="5"/>
      <c r="AC46" s="5" t="str">
        <f ca="1">IFERROR(__xludf.DUMMYFUNCTION("""COMPUTED_VALUE"""),"Respin, Mystery symbol")</f>
        <v>Respin, Mystery symbol</v>
      </c>
      <c r="AD46" s="5"/>
      <c r="AE46" s="5"/>
      <c r="AF46" s="5"/>
      <c r="AG46" s="5"/>
      <c r="AH46" s="5"/>
      <c r="AI46" s="5"/>
      <c r="AJ46" s="5"/>
      <c r="AK46" s="5">
        <f ca="1">IFERROR(__xludf.DUMMYFUNCTION("""COMPUTED_VALUE"""),1)</f>
        <v>1</v>
      </c>
      <c r="AL46" s="5"/>
      <c r="AM46" s="5"/>
      <c r="AN46" s="5"/>
      <c r="AO46" s="5"/>
      <c r="AP46" s="5"/>
      <c r="AQ46" s="5"/>
      <c r="AR46" s="5"/>
      <c r="AS46" s="5"/>
      <c r="AT46" s="5"/>
      <c r="AU46" s="5" t="str">
        <f ca="1">IFERROR(__xludf.DUMMYFUNCTION("""COMPUTED_VALUE"""),"Fazi")</f>
        <v>Fazi</v>
      </c>
      <c r="AV46" s="5"/>
      <c r="AW46" s="5"/>
      <c r="AX46" s="5"/>
      <c r="AY46" s="5"/>
      <c r="AZ46" s="5"/>
      <c r="BA46" s="5" t="str">
        <f ca="1">IFERROR(__xludf.DUMMYFUNCTION("""COMPUTED_VALUE"""),"")</f>
        <v/>
      </c>
      <c r="BB46" s="5"/>
      <c r="BC46" s="5" t="str">
        <f ca="1">IFERROR(__xludf.DUMMYFUNCTION("""COMPUTED_VALUE"""),"Foxi")</f>
        <v>Foxi</v>
      </c>
      <c r="BD46" s="5" t="str">
        <f ca="1">IFERROR(__xludf.DUMMYFUNCTION("""COMPUTED_VALUE"""),"")</f>
        <v/>
      </c>
      <c r="BE46" s="5"/>
    </row>
    <row r="47" spans="1:57" x14ac:dyDescent="0.25">
      <c r="A47" s="5">
        <f ca="1">IFERROR(__xludf.DUMMYFUNCTION("""COMPUTED_VALUE"""),46)</f>
        <v>46</v>
      </c>
      <c r="B47" s="5">
        <f ca="1">IFERROR(__xludf.DUMMYFUNCTION("""COMPUTED_VALUE"""),45)</f>
        <v>45</v>
      </c>
      <c r="C47" s="5" t="str">
        <f ca="1">IFERROR(__xludf.DUMMYFUNCTION("""COMPUTED_VALUE"""),"Fazi")</f>
        <v>Fazi</v>
      </c>
      <c r="D47" s="5" t="str">
        <f ca="1">IFERROR(__xludf.DUMMYFUNCTION("""COMPUTED_VALUE"""),"Neon Dice 5")</f>
        <v>Neon Dice 5</v>
      </c>
      <c r="E47" s="5"/>
      <c r="F47" s="5" t="str">
        <f ca="1">IFERROR(__xludf.DUMMYFUNCTION("""COMPUTED_VALUE"""),"NeonDice5")</f>
        <v>NeonDice5</v>
      </c>
      <c r="G47" s="5" t="str">
        <f ca="1">IFERROR(__xludf.DUMMYFUNCTION("""COMPUTED_VALUE"""),"Retired")</f>
        <v>Retired</v>
      </c>
      <c r="H47" s="5"/>
      <c r="I47" s="5"/>
      <c r="J47" s="5"/>
      <c r="K47" s="5" t="str">
        <f ca="1">IFERROR(__xludf.DUMMYFUNCTION("""COMPUTED_VALUE"""),"Slot")</f>
        <v>Slot</v>
      </c>
      <c r="L47" s="5" t="str">
        <f ca="1">IFERROR(__xludf.DUMMYFUNCTION("""COMPUTED_VALUE"""),"Clone")</f>
        <v>Clone</v>
      </c>
      <c r="M47" s="5" t="str">
        <f ca="1">IFERROR(__xludf.DUMMYFUNCTION("""COMPUTED_VALUE"""),"Neon Hot 5")</f>
        <v>Neon Hot 5</v>
      </c>
      <c r="N47" s="5"/>
      <c r="O47" s="5"/>
      <c r="P47" s="5"/>
      <c r="Q47" s="5"/>
      <c r="R47" s="5"/>
      <c r="S47" s="5"/>
      <c r="T47" s="5"/>
      <c r="U47" s="5" t="str">
        <f ca="1">IFERROR(__xludf.DUMMYFUNCTION("""COMPUTED_VALUE"""),"5x3")</f>
        <v>5x3</v>
      </c>
      <c r="V47" s="12" t="str">
        <f ca="1">IFERROR(__xludf.DUMMYFUNCTION("""COMPUTED_VALUE"""),"5")</f>
        <v>5</v>
      </c>
      <c r="W47" s="12" t="str">
        <f ca="1">IFERROR(__xludf.DUMMYFUNCTION("""COMPUTED_VALUE"""),"5")</f>
        <v>5</v>
      </c>
      <c r="X47" s="5">
        <f ca="1">IFERROR(__xludf.DUMMYFUNCTION("""COMPUTED_VALUE"""),95.74)</f>
        <v>95.74</v>
      </c>
      <c r="Y47" s="5" t="str">
        <f ca="1">IFERROR(__xludf.DUMMYFUNCTION("""COMPUTED_VALUE"""),"Medium")</f>
        <v>Medium</v>
      </c>
      <c r="Z47" s="5">
        <f ca="1">IFERROR(__xludf.DUMMYFUNCTION("""COMPUTED_VALUE"""),12.55)</f>
        <v>12.55</v>
      </c>
      <c r="AA47" s="14">
        <f ca="1">IFERROR(__xludf.DUMMYFUNCTION("""COMPUTED_VALUE"""),1000)</f>
        <v>1000</v>
      </c>
      <c r="AB47" s="5" t="str">
        <f ca="1">IFERROR(__xludf.DUMMYFUNCTION("""COMPUTED_VALUE"""),"/")</f>
        <v>/</v>
      </c>
      <c r="AC47" s="5" t="str">
        <f ca="1">IFERROR(__xludf.DUMMYFUNCTION("""COMPUTED_VALUE"""),"Scatter")</f>
        <v>Scatter</v>
      </c>
      <c r="AD47" s="5"/>
      <c r="AE47" s="5"/>
      <c r="AF47" s="5"/>
      <c r="AG47" s="10">
        <f ca="1">IFERROR(__xludf.DUMMYFUNCTION("""COMPUTED_VALUE"""),45699.5940972222)</f>
        <v>45699.594097222202</v>
      </c>
      <c r="AH47" s="5" t="str">
        <f ca="1">IFERROR(__xludf.DUMMYFUNCTION("""COMPUTED_VALUE"""),"milutin.toskic@fazi.rs")</f>
        <v>milutin.toskic@fazi.rs</v>
      </c>
      <c r="AI47" s="5"/>
      <c r="AJ47" s="5"/>
      <c r="AK47" s="5">
        <f ca="1">IFERROR(__xludf.DUMMYFUNCTION("""COMPUTED_VALUE"""),5)</f>
        <v>5</v>
      </c>
      <c r="AL47" s="5"/>
      <c r="AM47" s="5"/>
      <c r="AN47" s="5"/>
      <c r="AO47" s="5"/>
      <c r="AP47" s="5"/>
      <c r="AQ47" s="5"/>
      <c r="AR47" s="5"/>
      <c r="AS47" s="5"/>
      <c r="AT47" s="5"/>
      <c r="AU47" s="5" t="str">
        <f ca="1">IFERROR(__xludf.DUMMYFUNCTION("""COMPUTED_VALUE"""),"Fazi")</f>
        <v>Fazi</v>
      </c>
      <c r="AV47" s="5"/>
      <c r="AW47" s="5"/>
      <c r="AX47" s="5"/>
      <c r="AY47" s="5"/>
      <c r="AZ47" s="5"/>
      <c r="BA47" s="5" t="str">
        <f ca="1">IFERROR(__xludf.DUMMYFUNCTION("""COMPUTED_VALUE"""),"")</f>
        <v/>
      </c>
      <c r="BB47" s="5"/>
      <c r="BC47" s="5" t="str">
        <f ca="1">IFERROR(__xludf.DUMMYFUNCTION("""COMPUTED_VALUE"""),"Foxi")</f>
        <v>Foxi</v>
      </c>
      <c r="BD47" s="5" t="str">
        <f ca="1">IFERROR(__xludf.DUMMYFUNCTION("""COMPUTED_VALUE"""),"")</f>
        <v/>
      </c>
      <c r="BE47" s="5"/>
    </row>
    <row r="48" spans="1:57" x14ac:dyDescent="0.25">
      <c r="A48" s="5">
        <f ca="1">IFERROR(__xludf.DUMMYFUNCTION("""COMPUTED_VALUE"""),47)</f>
        <v>47</v>
      </c>
      <c r="B48" s="5">
        <f ca="1">IFERROR(__xludf.DUMMYFUNCTION("""COMPUTED_VALUE"""),46)</f>
        <v>46</v>
      </c>
      <c r="C48" s="5" t="str">
        <f ca="1">IFERROR(__xludf.DUMMYFUNCTION("""COMPUTED_VALUE"""),"Fazi")</f>
        <v>Fazi</v>
      </c>
      <c r="D48" s="5" t="str">
        <f ca="1">IFERROR(__xludf.DUMMYFUNCTION("""COMPUTED_VALUE"""),"Turbo Dice 40")</f>
        <v>Turbo Dice 40</v>
      </c>
      <c r="E48" s="5" t="str">
        <f ca="1">IFERROR(__xludf.DUMMYFUNCTION("""COMPUTED_VALUE"""),"V2")</f>
        <v>V2</v>
      </c>
      <c r="F48" s="5" t="str">
        <f ca="1">IFERROR(__xludf.DUMMYFUNCTION("""COMPUTED_VALUE"""),"TurboDice40")</f>
        <v>TurboDice40</v>
      </c>
      <c r="G48" s="5" t="str">
        <f ca="1">IFERROR(__xludf.DUMMYFUNCTION("""COMPUTED_VALUE"""),"Live")</f>
        <v>Live</v>
      </c>
      <c r="H48" s="5"/>
      <c r="I48" s="5" t="str">
        <f ca="1">IFERROR(__xludf.DUMMYFUNCTION("""COMPUTED_VALUE"""),"V2")</f>
        <v>V2</v>
      </c>
      <c r="J48" s="5" t="str">
        <f ca="1">IFERROR(__xludf.DUMMYFUNCTION("""COMPUTED_VALUE"""),"Binary")</f>
        <v>Binary</v>
      </c>
      <c r="K48" s="5" t="str">
        <f ca="1">IFERROR(__xludf.DUMMYFUNCTION("""COMPUTED_VALUE"""),"Slot")</f>
        <v>Slot</v>
      </c>
      <c r="L48" s="5" t="str">
        <f ca="1">IFERROR(__xludf.DUMMYFUNCTION("""COMPUTED_VALUE"""),"Clone")</f>
        <v>Clone</v>
      </c>
      <c r="M48" s="5" t="str">
        <f ca="1">IFERROR(__xludf.DUMMYFUNCTION("""COMPUTED_VALUE"""),"Turbo Hot 40")</f>
        <v>Turbo Hot 40</v>
      </c>
      <c r="N48" s="5"/>
      <c r="O48" s="5"/>
      <c r="P48" s="14">
        <f ca="1">IFERROR(__xludf.DUMMYFUNCTION("""COMPUTED_VALUE"""),19.3)</f>
        <v>19.3</v>
      </c>
      <c r="Q48" s="5"/>
      <c r="R48" s="5"/>
      <c r="S48" s="15">
        <f ca="1">IFERROR(__xludf.DUMMYFUNCTION("""COMPUTED_VALUE"""),43843)</f>
        <v>43843</v>
      </c>
      <c r="T48" s="5" t="b">
        <f ca="1">IFERROR(__xludf.DUMMYFUNCTION("""COMPUTED_VALUE"""),TRUE)</f>
        <v>1</v>
      </c>
      <c r="U48" s="5" t="str">
        <f ca="1">IFERROR(__xludf.DUMMYFUNCTION("""COMPUTED_VALUE"""),"5x4")</f>
        <v>5x4</v>
      </c>
      <c r="V48" s="12" t="str">
        <f ca="1">IFERROR(__xludf.DUMMYFUNCTION("""COMPUTED_VALUE"""),"40")</f>
        <v>40</v>
      </c>
      <c r="W48" s="12" t="str">
        <f ca="1">IFERROR(__xludf.DUMMYFUNCTION("""COMPUTED_VALUE"""),"40")</f>
        <v>40</v>
      </c>
      <c r="X48" s="5">
        <f ca="1">IFERROR(__xludf.DUMMYFUNCTION("""COMPUTED_VALUE"""),96.584)</f>
        <v>96.584000000000003</v>
      </c>
      <c r="Y48" s="5" t="str">
        <f ca="1">IFERROR(__xludf.DUMMYFUNCTION("""COMPUTED_VALUE"""),"Low")</f>
        <v>Low</v>
      </c>
      <c r="Z48" s="5">
        <f ca="1">IFERROR(__xludf.DUMMYFUNCTION("""COMPUTED_VALUE"""),16.735)</f>
        <v>16.734999999999999</v>
      </c>
      <c r="AA48" s="14">
        <f ca="1">IFERROR(__xludf.DUMMYFUNCTION("""COMPUTED_VALUE"""),1000)</f>
        <v>1000</v>
      </c>
      <c r="AB48" s="5" t="str">
        <f ca="1">IFERROR(__xludf.DUMMYFUNCTION("""COMPUTED_VALUE"""),"/")</f>
        <v>/</v>
      </c>
      <c r="AC48" s="5" t="str">
        <f ca="1">IFERROR(__xludf.DUMMYFUNCTION("""COMPUTED_VALUE"""),"Scatter, Wild Symbol")</f>
        <v>Scatter, Wild Symbol</v>
      </c>
      <c r="AD48" s="5" t="str">
        <f ca="1">IFERROR(__xludf.DUMMYFUNCTION("""COMPUTED_VALUE"""),"0.40/60")</f>
        <v>0.40/60</v>
      </c>
      <c r="AE48" s="5"/>
      <c r="AF48" s="5"/>
      <c r="AG48" s="10">
        <f ca="1">IFERROR(__xludf.DUMMYFUNCTION("""COMPUTED_VALUE"""),46038.7177430555)</f>
        <v>46038.717743055502</v>
      </c>
      <c r="AH48" s="5" t="str">
        <f ca="1">IFERROR(__xludf.DUMMYFUNCTION("""COMPUTED_VALUE"""),"djordje.petrovic@fazi.rs")</f>
        <v>djordje.petrovic@fazi.rs</v>
      </c>
      <c r="AI48" s="5"/>
      <c r="AJ48" s="5"/>
      <c r="AK48" s="5">
        <f ca="1">IFERROR(__xludf.DUMMYFUNCTION("""COMPUTED_VALUE"""),40)</f>
        <v>40</v>
      </c>
      <c r="AL48" s="5" t="str">
        <f ca="1">IFERROR(__xludf.DUMMYFUNCTION("""COMPUTED_VALUE"""),"Yes")</f>
        <v>Yes</v>
      </c>
      <c r="AM48" s="5"/>
      <c r="AN48" s="7" t="str">
        <f ca="1">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AO48" s="5"/>
      <c r="AP48" s="5"/>
      <c r="AQ48" s="5" t="b">
        <f ca="1">IFERROR(__xludf.DUMMYFUNCTION("""COMPUTED_VALUE"""),TRUE)</f>
        <v>1</v>
      </c>
      <c r="AR48" s="5"/>
      <c r="AS48" s="5" t="str">
        <f ca="1">IFERROR(__xludf.DUMMYFUNCTION("""COMPUTED_VALUE"""),"Roll your dice and feel the power of wining enormous price! Try your luck with the incredible magic of turbo dice!")</f>
        <v>Roll your dice and feel the power of wining enormous price! Try your luck with the incredible magic of turbo dice!</v>
      </c>
      <c r="AT48" s="5"/>
      <c r="AU48" s="5" t="str">
        <f ca="1">IFERROR(__xludf.DUMMYFUNCTION("""COMPUTED_VALUE"""),"Fazi")</f>
        <v>Fazi</v>
      </c>
      <c r="AV48" s="5"/>
      <c r="AW48" s="5"/>
      <c r="AX48" s="5"/>
      <c r="AY48" s="5"/>
      <c r="AZ48" s="5"/>
      <c r="BA48" s="5" t="str">
        <f ca="1">IFERROR(__xludf.DUMMYFUNCTION("""COMPUTED_VALUE"""),"")</f>
        <v/>
      </c>
      <c r="BB48" s="5"/>
      <c r="BC48" s="5" t="str">
        <f ca="1">IFERROR(__xludf.DUMMYFUNCTION("""COMPUTED_VALUE"""),"Foxi")</f>
        <v>Foxi</v>
      </c>
      <c r="BD48" s="7" t="str">
        <f ca="1">IFERROR(__xludf.DUMMYFUNCTION("""COMPUTED_VALUE"""),"https://gameserver-store-client-area.orbionlimited.com/Home/IntegrationGameLaunch/client-area?moneyType=0&amp;gameName=TurboDice40&amp;platform=desktop&amp;languageCode=eng&amp;currency=EUR")</f>
        <v>https://gameserver-store-client-area.orbionlimited.com/Home/IntegrationGameLaunch/client-area?moneyType=0&amp;gameName=TurboDice40&amp;platform=desktop&amp;languageCode=eng&amp;currency=EUR</v>
      </c>
      <c r="BE48" s="5" t="b">
        <f ca="1">IFERROR(__xludf.DUMMYFUNCTION("""COMPUTED_VALUE"""),TRUE)</f>
        <v>1</v>
      </c>
    </row>
    <row r="49" spans="1:57" x14ac:dyDescent="0.25">
      <c r="A49" s="5">
        <f ca="1">IFERROR(__xludf.DUMMYFUNCTION("""COMPUTED_VALUE"""),48)</f>
        <v>48</v>
      </c>
      <c r="B49" s="5">
        <f ca="1">IFERROR(__xludf.DUMMYFUNCTION("""COMPUTED_VALUE"""),47)</f>
        <v>47</v>
      </c>
      <c r="C49" s="5" t="str">
        <f ca="1">IFERROR(__xludf.DUMMYFUNCTION("""COMPUTED_VALUE"""),"Fazi")</f>
        <v>Fazi</v>
      </c>
      <c r="D49" s="5" t="str">
        <f ca="1">IFERROR(__xludf.DUMMYFUNCTION("""COMPUTED_VALUE"""),"Triple Dice")</f>
        <v>Triple Dice</v>
      </c>
      <c r="E49" s="5" t="str">
        <f ca="1">IFERROR(__xludf.DUMMYFUNCTION("""COMPUTED_VALUE"""),"V2")</f>
        <v>V2</v>
      </c>
      <c r="F49" s="5" t="str">
        <f ca="1">IFERROR(__xludf.DUMMYFUNCTION("""COMPUTED_VALUE"""),"TripleDice")</f>
        <v>TripleDice</v>
      </c>
      <c r="G49" s="5" t="str">
        <f ca="1">IFERROR(__xludf.DUMMYFUNCTION("""COMPUTED_VALUE"""),"Live")</f>
        <v>Live</v>
      </c>
      <c r="H49" s="5"/>
      <c r="I49" s="5" t="str">
        <f ca="1">IFERROR(__xludf.DUMMYFUNCTION("""COMPUTED_VALUE"""),"V2")</f>
        <v>V2</v>
      </c>
      <c r="J49" s="5" t="str">
        <f ca="1">IFERROR(__xludf.DUMMYFUNCTION("""COMPUTED_VALUE"""),"Binary")</f>
        <v>Binary</v>
      </c>
      <c r="K49" s="5" t="str">
        <f ca="1">IFERROR(__xludf.DUMMYFUNCTION("""COMPUTED_VALUE"""),"Slot")</f>
        <v>Slot</v>
      </c>
      <c r="L49" s="5" t="str">
        <f ca="1">IFERROR(__xludf.DUMMYFUNCTION("""COMPUTED_VALUE"""),"Clone")</f>
        <v>Clone</v>
      </c>
      <c r="M49" s="5" t="str">
        <f ca="1">IFERROR(__xludf.DUMMYFUNCTION("""COMPUTED_VALUE"""),"Triple Hot")</f>
        <v>Triple Hot</v>
      </c>
      <c r="N49" s="5"/>
      <c r="O49" s="5"/>
      <c r="P49" s="14">
        <f ca="1">IFERROR(__xludf.DUMMYFUNCTION("""COMPUTED_VALUE"""),24.1)</f>
        <v>24.1</v>
      </c>
      <c r="Q49" s="5"/>
      <c r="R49" s="5"/>
      <c r="S49" s="15">
        <f ca="1">IFERROR(__xludf.DUMMYFUNCTION("""COMPUTED_VALUE"""),43531)</f>
        <v>43531</v>
      </c>
      <c r="T49" s="5" t="b">
        <f ca="1">IFERROR(__xludf.DUMMYFUNCTION("""COMPUTED_VALUE"""),TRUE)</f>
        <v>1</v>
      </c>
      <c r="U49" s="5" t="str">
        <f ca="1">IFERROR(__xludf.DUMMYFUNCTION("""COMPUTED_VALUE"""),"3x3")</f>
        <v>3x3</v>
      </c>
      <c r="V49" s="12" t="str">
        <f ca="1">IFERROR(__xludf.DUMMYFUNCTION("""COMPUTED_VALUE"""),"5")</f>
        <v>5</v>
      </c>
      <c r="W49" s="12" t="str">
        <f ca="1">IFERROR(__xludf.DUMMYFUNCTION("""COMPUTED_VALUE"""),"5")</f>
        <v>5</v>
      </c>
      <c r="X49" s="5">
        <f ca="1">IFERROR(__xludf.DUMMYFUNCTION("""COMPUTED_VALUE"""),95.513)</f>
        <v>95.513000000000005</v>
      </c>
      <c r="Y49" s="5" t="str">
        <f ca="1">IFERROR(__xludf.DUMMYFUNCTION("""COMPUTED_VALUE"""),"Low")</f>
        <v>Low</v>
      </c>
      <c r="Z49" s="5">
        <f ca="1">IFERROR(__xludf.DUMMYFUNCTION("""COMPUTED_VALUE"""),6.51)</f>
        <v>6.51</v>
      </c>
      <c r="AA49" s="14">
        <f ca="1">IFERROR(__xludf.DUMMYFUNCTION("""COMPUTED_VALUE"""),60)</f>
        <v>60</v>
      </c>
      <c r="AB49" s="5" t="str">
        <f ca="1">IFERROR(__xludf.DUMMYFUNCTION("""COMPUTED_VALUE"""),"/")</f>
        <v>/</v>
      </c>
      <c r="AC49" s="5"/>
      <c r="AD49" s="5" t="str">
        <f ca="1">IFERROR(__xludf.DUMMYFUNCTION("""COMPUTED_VALUE"""),"0.05/30")</f>
        <v>0.05/30</v>
      </c>
      <c r="AE49" s="5"/>
      <c r="AF49" s="5"/>
      <c r="AG49" s="5"/>
      <c r="AH49" s="5"/>
      <c r="AI49" s="5"/>
      <c r="AJ49" s="5"/>
      <c r="AK49" s="5">
        <f ca="1">IFERROR(__xludf.DUMMYFUNCTION("""COMPUTED_VALUE"""),5)</f>
        <v>5</v>
      </c>
      <c r="AL49" s="5" t="str">
        <f ca="1">IFERROR(__xludf.DUMMYFUNCTION("""COMPUTED_VALUE"""),"Yes")</f>
        <v>Yes</v>
      </c>
      <c r="AM49" s="5"/>
      <c r="AN49" s="7" t="str">
        <f ca="1">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AO49" s="5"/>
      <c r="AP49" s="5"/>
      <c r="AQ49" s="5" t="b">
        <f ca="1">IFERROR(__xludf.DUMMYFUNCTION("""COMPUTED_VALUE"""),TRUE)</f>
        <v>1</v>
      </c>
      <c r="AR49" s="5"/>
      <c r="AS49" s="5" t="str">
        <f ca="1">IFERROR(__xludf.DUMMYFUNCTION("""COMPUTED_VALUE"""),"If you feel lucky come and play sassy Triple Dice in retro style with 3x3 and 5 lines.")</f>
        <v>If you feel lucky come and play sassy Triple Dice in retro style with 3x3 and 5 lines.</v>
      </c>
      <c r="AT49" s="5"/>
      <c r="AU49" s="5" t="str">
        <f ca="1">IFERROR(__xludf.DUMMYFUNCTION("""COMPUTED_VALUE"""),"Fazi")</f>
        <v>Fazi</v>
      </c>
      <c r="AV49" s="5"/>
      <c r="AW49" s="5"/>
      <c r="AX49" s="5"/>
      <c r="AY49" s="5"/>
      <c r="AZ49" s="5"/>
      <c r="BA49" s="5" t="str">
        <f ca="1">IFERROR(__xludf.DUMMYFUNCTION("""COMPUTED_VALUE"""),"")</f>
        <v/>
      </c>
      <c r="BB49" s="5"/>
      <c r="BC49" s="5" t="str">
        <f ca="1">IFERROR(__xludf.DUMMYFUNCTION("""COMPUTED_VALUE"""),"Foxi")</f>
        <v>Foxi</v>
      </c>
      <c r="BD49" s="7" t="str">
        <f ca="1">IFERROR(__xludf.DUMMYFUNCTION("""COMPUTED_VALUE"""),"https://gameserver-store-client-area.orbionlimited.com/Home/IntegrationGameLaunch/client-area?moneyType=0&amp;gameName=TripleDice&amp;platform=desktop&amp;languageCode=eng&amp;currency=EUR")</f>
        <v>https://gameserver-store-client-area.orbionlimited.com/Home/IntegrationGameLaunch/client-area?moneyType=0&amp;gameName=TripleDice&amp;platform=desktop&amp;languageCode=eng&amp;currency=EUR</v>
      </c>
      <c r="BE49" s="5" t="b">
        <f ca="1">IFERROR(__xludf.DUMMYFUNCTION("""COMPUTED_VALUE"""),TRUE)</f>
        <v>1</v>
      </c>
    </row>
    <row r="50" spans="1:57" x14ac:dyDescent="0.25">
      <c r="A50" s="5">
        <f ca="1">IFERROR(__xludf.DUMMYFUNCTION("""COMPUTED_VALUE"""),49)</f>
        <v>49</v>
      </c>
      <c r="B50" s="5">
        <f ca="1">IFERROR(__xludf.DUMMYFUNCTION("""COMPUTED_VALUE"""),48)</f>
        <v>48</v>
      </c>
      <c r="C50" s="5" t="str">
        <f ca="1">IFERROR(__xludf.DUMMYFUNCTION("""COMPUTED_VALUE"""),"Fazi")</f>
        <v>Fazi</v>
      </c>
      <c r="D50" s="5" t="str">
        <f ca="1">IFERROR(__xludf.DUMMYFUNCTION("""COMPUTED_VALUE"""),"Flashing Dice")</f>
        <v>Flashing Dice</v>
      </c>
      <c r="E50" s="5" t="str">
        <f ca="1">IFERROR(__xludf.DUMMYFUNCTION("""COMPUTED_VALUE"""),"V2")</f>
        <v>V2</v>
      </c>
      <c r="F50" s="5" t="str">
        <f ca="1">IFERROR(__xludf.DUMMYFUNCTION("""COMPUTED_VALUE"""),"FlashingDice")</f>
        <v>FlashingDice</v>
      </c>
      <c r="G50" s="5" t="str">
        <f ca="1">IFERROR(__xludf.DUMMYFUNCTION("""COMPUTED_VALUE"""),"Retired")</f>
        <v>Retired</v>
      </c>
      <c r="H50" s="5"/>
      <c r="I50" s="5" t="str">
        <f ca="1">IFERROR(__xludf.DUMMYFUNCTION("""COMPUTED_VALUE"""),"V2")</f>
        <v>V2</v>
      </c>
      <c r="J50" s="5" t="str">
        <f ca="1">IFERROR(__xludf.DUMMYFUNCTION("""COMPUTED_VALUE"""),"Binary")</f>
        <v>Binary</v>
      </c>
      <c r="K50" s="5" t="str">
        <f ca="1">IFERROR(__xludf.DUMMYFUNCTION("""COMPUTED_VALUE"""),"Slot")</f>
        <v>Slot</v>
      </c>
      <c r="L50" s="5" t="str">
        <f ca="1">IFERROR(__xludf.DUMMYFUNCTION("""COMPUTED_VALUE"""),"Clone")</f>
        <v>Clone</v>
      </c>
      <c r="M50" s="5" t="str">
        <f ca="1">IFERROR(__xludf.DUMMYFUNCTION("""COMPUTED_VALUE"""),"Burning Ice")</f>
        <v>Burning Ice</v>
      </c>
      <c r="N50" s="5"/>
      <c r="O50" s="5"/>
      <c r="P50" s="5"/>
      <c r="Q50" s="5"/>
      <c r="R50" s="5"/>
      <c r="S50" s="5"/>
      <c r="T50" s="5"/>
      <c r="U50" s="5" t="str">
        <f ca="1">IFERROR(__xludf.DUMMYFUNCTION("""COMPUTED_VALUE"""),"3x3")</f>
        <v>3x3</v>
      </c>
      <c r="V50" s="12" t="str">
        <f ca="1">IFERROR(__xludf.DUMMYFUNCTION("""COMPUTED_VALUE"""),"27")</f>
        <v>27</v>
      </c>
      <c r="W50" s="12" t="str">
        <f ca="1">IFERROR(__xludf.DUMMYFUNCTION("""COMPUTED_VALUE"""),"27")</f>
        <v>27</v>
      </c>
      <c r="X50" s="5">
        <f ca="1">IFERROR(__xludf.DUMMYFUNCTION("""COMPUTED_VALUE"""),96.352)</f>
        <v>96.352000000000004</v>
      </c>
      <c r="Y50" s="5" t="str">
        <f ca="1">IFERROR(__xludf.DUMMYFUNCTION("""COMPUTED_VALUE"""),"Medium")</f>
        <v>Medium</v>
      </c>
      <c r="Z50" s="5">
        <f ca="1">IFERROR(__xludf.DUMMYFUNCTION("""COMPUTED_VALUE"""),8.03)</f>
        <v>8.0299999999999994</v>
      </c>
      <c r="AA50" s="14">
        <f ca="1">IFERROR(__xludf.DUMMYFUNCTION("""COMPUTED_VALUE"""),360)</f>
        <v>360</v>
      </c>
      <c r="AB50" s="5"/>
      <c r="AC50" s="5" t="str">
        <f ca="1">IFERROR(__xludf.DUMMYFUNCTION("""COMPUTED_VALUE"""),"Respin, Mystery symbol")</f>
        <v>Respin, Mystery symbol</v>
      </c>
      <c r="AD50" s="5"/>
      <c r="AE50" s="5"/>
      <c r="AF50" s="5"/>
      <c r="AG50" s="10">
        <f ca="1">IFERROR(__xludf.DUMMYFUNCTION("""COMPUTED_VALUE"""),45699.5947569444)</f>
        <v>45699.594756944403</v>
      </c>
      <c r="AH50" s="5" t="str">
        <f ca="1">IFERROR(__xludf.DUMMYFUNCTION("""COMPUTED_VALUE"""),"milutin.toskic@fazi.rs")</f>
        <v>milutin.toskic@fazi.rs</v>
      </c>
      <c r="AI50" s="5"/>
      <c r="AJ50" s="5"/>
      <c r="AK50" s="5">
        <f ca="1">IFERROR(__xludf.DUMMYFUNCTION("""COMPUTED_VALUE"""),1)</f>
        <v>1</v>
      </c>
      <c r="AL50" s="5"/>
      <c r="AM50" s="5"/>
      <c r="AN50" s="5"/>
      <c r="AO50" s="5"/>
      <c r="AP50" s="5"/>
      <c r="AQ50" s="5"/>
      <c r="AR50" s="5"/>
      <c r="AS50" s="5"/>
      <c r="AT50" s="5"/>
      <c r="AU50" s="5" t="str">
        <f ca="1">IFERROR(__xludf.DUMMYFUNCTION("""COMPUTED_VALUE"""),"Fazi")</f>
        <v>Fazi</v>
      </c>
      <c r="AV50" s="5"/>
      <c r="AW50" s="5"/>
      <c r="AX50" s="5"/>
      <c r="AY50" s="5"/>
      <c r="AZ50" s="5"/>
      <c r="BA50" s="5" t="str">
        <f ca="1">IFERROR(__xludf.DUMMYFUNCTION("""COMPUTED_VALUE"""),"")</f>
        <v/>
      </c>
      <c r="BB50" s="5"/>
      <c r="BC50" s="5" t="str">
        <f ca="1">IFERROR(__xludf.DUMMYFUNCTION("""COMPUTED_VALUE"""),"Foxi")</f>
        <v>Foxi</v>
      </c>
      <c r="BD50" s="5" t="str">
        <f ca="1">IFERROR(__xludf.DUMMYFUNCTION("""COMPUTED_VALUE"""),"")</f>
        <v/>
      </c>
      <c r="BE50" s="5"/>
    </row>
    <row r="51" spans="1:57" x14ac:dyDescent="0.25">
      <c r="A51" s="5">
        <f ca="1">IFERROR(__xludf.DUMMYFUNCTION("""COMPUTED_VALUE"""),50)</f>
        <v>50</v>
      </c>
      <c r="B51" s="5">
        <f ca="1">IFERROR(__xludf.DUMMYFUNCTION("""COMPUTED_VALUE"""),49)</f>
        <v>49</v>
      </c>
      <c r="C51" s="5" t="str">
        <f ca="1">IFERROR(__xludf.DUMMYFUNCTION("""COMPUTED_VALUE"""),"Fazi")</f>
        <v>Fazi</v>
      </c>
      <c r="D51" s="5" t="str">
        <f ca="1">IFERROR(__xludf.DUMMYFUNCTION("""COMPUTED_VALUE"""),"Spin Cards")</f>
        <v>Spin Cards</v>
      </c>
      <c r="E51" s="5"/>
      <c r="F51" s="5" t="str">
        <f ca="1">IFERROR(__xludf.DUMMYFUNCTION("""COMPUTED_VALUE"""),"SpinCards")</f>
        <v>SpinCards</v>
      </c>
      <c r="G51" s="5" t="str">
        <f ca="1">IFERROR(__xludf.DUMMYFUNCTION("""COMPUTED_VALUE"""),"Retired")</f>
        <v>Retired</v>
      </c>
      <c r="H51" s="5"/>
      <c r="I51" s="5" t="str">
        <f ca="1">IFERROR(__xludf.DUMMYFUNCTION("""COMPUTED_VALUE"""),"V3")</f>
        <v>V3</v>
      </c>
      <c r="J51" s="5" t="str">
        <f ca="1">IFERROR(__xludf.DUMMYFUNCTION("""COMPUTED_VALUE"""),"Binary")</f>
        <v>Binary</v>
      </c>
      <c r="K51" s="5" t="str">
        <f ca="1">IFERROR(__xludf.DUMMYFUNCTION("""COMPUTED_VALUE"""),"Slot")</f>
        <v>Slot</v>
      </c>
      <c r="L51" s="5"/>
      <c r="M51" s="5"/>
      <c r="N51" s="5"/>
      <c r="O51" s="5"/>
      <c r="P51" s="14">
        <f ca="1">IFERROR(__xludf.DUMMYFUNCTION("""COMPUTED_VALUE"""),47.6)</f>
        <v>47.6</v>
      </c>
      <c r="Q51" s="5"/>
      <c r="R51" s="5"/>
      <c r="S51" s="15">
        <f ca="1">IFERROR(__xludf.DUMMYFUNCTION("""COMPUTED_VALUE"""),44074)</f>
        <v>44074</v>
      </c>
      <c r="T51" s="5" t="b">
        <f ca="1">IFERROR(__xludf.DUMMYFUNCTION("""COMPUTED_VALUE"""),TRUE)</f>
        <v>1</v>
      </c>
      <c r="U51" s="5" t="str">
        <f ca="1">IFERROR(__xludf.DUMMYFUNCTION("""COMPUTED_VALUE"""),"5x3")</f>
        <v>5x3</v>
      </c>
      <c r="V51" s="12" t="str">
        <f ca="1">IFERROR(__xludf.DUMMYFUNCTION("""COMPUTED_VALUE"""),"9")</f>
        <v>9</v>
      </c>
      <c r="W51" s="12" t="str">
        <f ca="1">IFERROR(__xludf.DUMMYFUNCTION("""COMPUTED_VALUE"""),"1,3,5,7,9")</f>
        <v>1,3,5,7,9</v>
      </c>
      <c r="X51" s="5">
        <f ca="1">IFERROR(__xludf.DUMMYFUNCTION("""COMPUTED_VALUE"""),96.254)</f>
        <v>96.254000000000005</v>
      </c>
      <c r="Y51" s="5" t="str">
        <f ca="1">IFERROR(__xludf.DUMMYFUNCTION("""COMPUTED_VALUE"""),"Medium")</f>
        <v>Medium</v>
      </c>
      <c r="Z51" s="5">
        <f ca="1">IFERROR(__xludf.DUMMYFUNCTION("""COMPUTED_VALUE"""),27.72)</f>
        <v>27.72</v>
      </c>
      <c r="AA51" s="14">
        <f ca="1">IFERROR(__xludf.DUMMYFUNCTION("""COMPUTED_VALUE"""),557)</f>
        <v>557</v>
      </c>
      <c r="AB51" s="5">
        <f ca="1">IFERROR(__xludf.DUMMYFUNCTION("""COMPUTED_VALUE"""),74)</f>
        <v>74</v>
      </c>
      <c r="AC51" s="5" t="str">
        <f ca="1">IFERROR(__xludf.DUMMYFUNCTION("""COMPUTED_VALUE"""),"Bonus Game with Free Spins")</f>
        <v>Bonus Game with Free Spins</v>
      </c>
      <c r="AD51" s="5" t="str">
        <f ca="1">IFERROR(__xludf.DUMMYFUNCTION("""COMPUTED_VALUE"""),"0.01/36")</f>
        <v>0.01/36</v>
      </c>
      <c r="AE51" s="5"/>
      <c r="AF51" s="5"/>
      <c r="AG51" s="5"/>
      <c r="AH51" s="5"/>
      <c r="AI51" s="5"/>
      <c r="AJ51" s="5"/>
      <c r="AK51" s="5">
        <f ca="1">IFERROR(__xludf.DUMMYFUNCTION("""COMPUTED_VALUE"""),9)</f>
        <v>9</v>
      </c>
      <c r="AL51" s="5"/>
      <c r="AM51" s="5"/>
      <c r="AN51" s="5"/>
      <c r="AO51" s="5"/>
      <c r="AP51" s="5"/>
      <c r="AQ51" s="5"/>
      <c r="AR51" s="5"/>
      <c r="AS51" s="5"/>
      <c r="AT51" s="5"/>
      <c r="AU51" s="5" t="str">
        <f ca="1">IFERROR(__xludf.DUMMYFUNCTION("""COMPUTED_VALUE"""),"Fazi")</f>
        <v>Fazi</v>
      </c>
      <c r="AV51" s="5"/>
      <c r="AW51" s="5"/>
      <c r="AX51" s="5"/>
      <c r="AY51" s="5"/>
      <c r="AZ51" s="5"/>
      <c r="BA51" s="5" t="str">
        <f ca="1">IFERROR(__xludf.DUMMYFUNCTION("""COMPUTED_VALUE"""),"")</f>
        <v/>
      </c>
      <c r="BB51" s="5"/>
      <c r="BC51" s="5" t="str">
        <f ca="1">IFERROR(__xludf.DUMMYFUNCTION("""COMPUTED_VALUE"""),"Foxi")</f>
        <v>Foxi</v>
      </c>
      <c r="BD51" s="5" t="str">
        <f ca="1">IFERROR(__xludf.DUMMYFUNCTION("""COMPUTED_VALUE"""),"")</f>
        <v/>
      </c>
      <c r="BE51" s="5"/>
    </row>
    <row r="52" spans="1:57" x14ac:dyDescent="0.25">
      <c r="A52" s="5">
        <f ca="1">IFERROR(__xludf.DUMMYFUNCTION("""COMPUTED_VALUE"""),51)</f>
        <v>51</v>
      </c>
      <c r="B52" s="5">
        <f ca="1">IFERROR(__xludf.DUMMYFUNCTION("""COMPUTED_VALUE"""),50)</f>
        <v>50</v>
      </c>
      <c r="C52" s="5" t="str">
        <f ca="1">IFERROR(__xludf.DUMMYFUNCTION("""COMPUTED_VALUE"""),"Fazi")</f>
        <v>Fazi</v>
      </c>
      <c r="D52" s="5" t="str">
        <f ca="1">IFERROR(__xludf.DUMMYFUNCTION("""COMPUTED_VALUE"""),"Lucky Twister")</f>
        <v>Lucky Twister</v>
      </c>
      <c r="E52" s="5"/>
      <c r="F52" s="5" t="str">
        <f ca="1">IFERROR(__xludf.DUMMYFUNCTION("""COMPUTED_VALUE"""),"LuckyTwister")</f>
        <v>LuckyTwister</v>
      </c>
      <c r="G52" s="5" t="str">
        <f ca="1">IFERROR(__xludf.DUMMYFUNCTION("""COMPUTED_VALUE"""),"Retired")</f>
        <v>Retired</v>
      </c>
      <c r="H52" s="5"/>
      <c r="I52" s="5" t="str">
        <f ca="1">IFERROR(__xludf.DUMMYFUNCTION("""COMPUTED_VALUE"""),"V3")</f>
        <v>V3</v>
      </c>
      <c r="J52" s="5" t="str">
        <f ca="1">IFERROR(__xludf.DUMMYFUNCTION("""COMPUTED_VALUE"""),"Binary")</f>
        <v>Binary</v>
      </c>
      <c r="K52" s="5" t="str">
        <f ca="1">IFERROR(__xludf.DUMMYFUNCTION("""COMPUTED_VALUE"""),"Slot")</f>
        <v>Slot</v>
      </c>
      <c r="L52" s="5"/>
      <c r="M52" s="5"/>
      <c r="N52" s="5"/>
      <c r="O52" s="5"/>
      <c r="P52" s="14">
        <f ca="1">IFERROR(__xludf.DUMMYFUNCTION("""COMPUTED_VALUE"""),38)</f>
        <v>38</v>
      </c>
      <c r="Q52" s="5"/>
      <c r="R52" s="5"/>
      <c r="S52" s="15">
        <f ca="1">IFERROR(__xludf.DUMMYFUNCTION("""COMPUTED_VALUE"""),44004)</f>
        <v>44004</v>
      </c>
      <c r="T52" s="5" t="b">
        <f ca="1">IFERROR(__xludf.DUMMYFUNCTION("""COMPUTED_VALUE"""),TRUE)</f>
        <v>1</v>
      </c>
      <c r="U52" s="5" t="str">
        <f ca="1">IFERROR(__xludf.DUMMYFUNCTION("""COMPUTED_VALUE"""),"6x5")</f>
        <v>6x5</v>
      </c>
      <c r="V52" s="12" t="str">
        <f ca="1">IFERROR(__xludf.DUMMYFUNCTION("""COMPUTED_VALUE"""),"10")</f>
        <v>10</v>
      </c>
      <c r="W52" s="5"/>
      <c r="X52" s="5">
        <f ca="1">IFERROR(__xludf.DUMMYFUNCTION("""COMPUTED_VALUE"""),96.249)</f>
        <v>96.248999999999995</v>
      </c>
      <c r="Y52" s="5" t="str">
        <f ca="1">IFERROR(__xludf.DUMMYFUNCTION("""COMPUTED_VALUE"""),"Low")</f>
        <v>Low</v>
      </c>
      <c r="Z52" s="5">
        <f ca="1">IFERROR(__xludf.DUMMYFUNCTION("""COMPUTED_VALUE"""),39.66)</f>
        <v>39.659999999999997</v>
      </c>
      <c r="AA52" s="14">
        <f ca="1">IFERROR(__xludf.DUMMYFUNCTION("""COMPUTED_VALUE"""),1000)</f>
        <v>1000</v>
      </c>
      <c r="AB52" s="5" t="str">
        <f ca="1">IFERROR(__xludf.DUMMYFUNCTION("""COMPUTED_VALUE"""),"/")</f>
        <v>/</v>
      </c>
      <c r="AC52" s="5" t="str">
        <f ca="1">IFERROR(__xludf.DUMMYFUNCTION("""COMPUTED_VALUE"""),"Cluster Win")</f>
        <v>Cluster Win</v>
      </c>
      <c r="AD52" s="5" t="str">
        <f ca="1">IFERROR(__xludf.DUMMYFUNCTION("""COMPUTED_VALUE"""),"0.1/40")</f>
        <v>0.1/40</v>
      </c>
      <c r="AE52" s="5"/>
      <c r="AF52" s="5"/>
      <c r="AG52" s="5"/>
      <c r="AH52" s="5"/>
      <c r="AI52" s="5"/>
      <c r="AJ52" s="5"/>
      <c r="AK52" s="5">
        <f ca="1">IFERROR(__xludf.DUMMYFUNCTION("""COMPUTED_VALUE"""),10)</f>
        <v>10</v>
      </c>
      <c r="AL52" s="5"/>
      <c r="AM52" s="5"/>
      <c r="AN52" s="5"/>
      <c r="AO52" s="5"/>
      <c r="AP52" s="5"/>
      <c r="AQ52" s="5"/>
      <c r="AR52" s="5"/>
      <c r="AS52" s="5"/>
      <c r="AT52" s="5"/>
      <c r="AU52" s="5" t="str">
        <f ca="1">IFERROR(__xludf.DUMMYFUNCTION("""COMPUTED_VALUE"""),"Fazi")</f>
        <v>Fazi</v>
      </c>
      <c r="AV52" s="5"/>
      <c r="AW52" s="5"/>
      <c r="AX52" s="5"/>
      <c r="AY52" s="5"/>
      <c r="AZ52" s="5"/>
      <c r="BA52" s="5" t="str">
        <f ca="1">IFERROR(__xludf.DUMMYFUNCTION("""COMPUTED_VALUE"""),"")</f>
        <v/>
      </c>
      <c r="BB52" s="5"/>
      <c r="BC52" s="5" t="str">
        <f ca="1">IFERROR(__xludf.DUMMYFUNCTION("""COMPUTED_VALUE"""),"Foxi")</f>
        <v>Foxi</v>
      </c>
      <c r="BD52" s="5" t="str">
        <f ca="1">IFERROR(__xludf.DUMMYFUNCTION("""COMPUTED_VALUE"""),"")</f>
        <v/>
      </c>
      <c r="BE52" s="5"/>
    </row>
    <row r="53" spans="1:57" x14ac:dyDescent="0.25">
      <c r="A53" s="5">
        <f ca="1">IFERROR(__xludf.DUMMYFUNCTION("""COMPUTED_VALUE"""),52)</f>
        <v>52</v>
      </c>
      <c r="B53" s="5">
        <f ca="1">IFERROR(__xludf.DUMMYFUNCTION("""COMPUTED_VALUE"""),51)</f>
        <v>51</v>
      </c>
      <c r="C53" s="5" t="str">
        <f ca="1">IFERROR(__xludf.DUMMYFUNCTION("""COMPUTED_VALUE"""),"Fazi")</f>
        <v>Fazi</v>
      </c>
      <c r="D53" s="5" t="str">
        <f ca="1">IFERROR(__xludf.DUMMYFUNCTION("""COMPUTED_VALUE"""),"Katanas Of Time")</f>
        <v>Katanas Of Time</v>
      </c>
      <c r="E53" s="5" t="str">
        <f ca="1">IFERROR(__xludf.DUMMYFUNCTION("""COMPUTED_VALUE"""),"V2")</f>
        <v>V2</v>
      </c>
      <c r="F53" s="5" t="str">
        <f ca="1">IFERROR(__xludf.DUMMYFUNCTION("""COMPUTED_VALUE"""),"KatanasOfTime")</f>
        <v>KatanasOfTime</v>
      </c>
      <c r="G53" s="5" t="str">
        <f ca="1">IFERROR(__xludf.DUMMYFUNCTION("""COMPUTED_VALUE"""),"Live")</f>
        <v>Live</v>
      </c>
      <c r="H53" s="5"/>
      <c r="I53" s="5" t="str">
        <f ca="1">IFERROR(__xludf.DUMMYFUNCTION("""COMPUTED_VALUE"""),"V2")</f>
        <v>V2</v>
      </c>
      <c r="J53" s="5" t="str">
        <f ca="1">IFERROR(__xludf.DUMMYFUNCTION("""COMPUTED_VALUE"""),"Binary")</f>
        <v>Binary</v>
      </c>
      <c r="K53" s="5" t="str">
        <f ca="1">IFERROR(__xludf.DUMMYFUNCTION("""COMPUTED_VALUE"""),"Slot")</f>
        <v>Slot</v>
      </c>
      <c r="L53" s="5" t="str">
        <f ca="1">IFERROR(__xludf.DUMMYFUNCTION("""COMPUTED_VALUE"""),"Clone")</f>
        <v>Clone</v>
      </c>
      <c r="M53" s="5" t="str">
        <f ca="1">IFERROR(__xludf.DUMMYFUNCTION("""COMPUTED_VALUE"""),"Wizard")</f>
        <v>Wizard</v>
      </c>
      <c r="N53" s="5"/>
      <c r="O53" s="5"/>
      <c r="P53" s="14">
        <f ca="1">IFERROR(__xludf.DUMMYFUNCTION("""COMPUTED_VALUE"""),36.1)</f>
        <v>36.1</v>
      </c>
      <c r="Q53" s="5"/>
      <c r="R53" s="5"/>
      <c r="S53" s="15">
        <f ca="1">IFERROR(__xludf.DUMMYFUNCTION("""COMPUTED_VALUE"""),42947)</f>
        <v>42947</v>
      </c>
      <c r="T53" s="5" t="b">
        <f ca="1">IFERROR(__xludf.DUMMYFUNCTION("""COMPUTED_VALUE"""),TRUE)</f>
        <v>1</v>
      </c>
      <c r="U53" s="5" t="str">
        <f ca="1">IFERROR(__xludf.DUMMYFUNCTION("""COMPUTED_VALUE"""),"5x3")</f>
        <v>5x3</v>
      </c>
      <c r="V53" s="12" t="str">
        <f ca="1">IFERROR(__xludf.DUMMYFUNCTION("""COMPUTED_VALUE"""),"20")</f>
        <v>20</v>
      </c>
      <c r="W53" s="12" t="str">
        <f ca="1">IFERROR(__xludf.DUMMYFUNCTION("""COMPUTED_VALUE"""),"1,3,5,9,10,20")</f>
        <v>1,3,5,9,10,20</v>
      </c>
      <c r="X53" s="5">
        <f ca="1">IFERROR(__xludf.DUMMYFUNCTION("""COMPUTED_VALUE"""),96.087)</f>
        <v>96.087000000000003</v>
      </c>
      <c r="Y53" s="5" t="str">
        <f ca="1">IFERROR(__xludf.DUMMYFUNCTION("""COMPUTED_VALUE"""),"High")</f>
        <v>High</v>
      </c>
      <c r="Z53" s="5">
        <f ca="1">IFERROR(__xludf.DUMMYFUNCTION("""COMPUTED_VALUE"""),38.06)</f>
        <v>38.06</v>
      </c>
      <c r="AA53" s="14">
        <f ca="1">IFERROR(__xludf.DUMMYFUNCTION("""COMPUTED_VALUE"""),4063)</f>
        <v>4063</v>
      </c>
      <c r="AB53" s="5">
        <f ca="1">IFERROR(__xludf.DUMMYFUNCTION("""COMPUTED_VALUE"""),261)</f>
        <v>261</v>
      </c>
      <c r="AC53" s="5" t="str">
        <f ca="1">IFERROR(__xludf.DUMMYFUNCTION("""COMPUTED_VALUE"""),"Bonus Game with Multiplier, Wild Multiplier, Scatter")</f>
        <v>Bonus Game with Multiplier, Wild Multiplier, Scatter</v>
      </c>
      <c r="AD53" s="5" t="str">
        <f ca="1">IFERROR(__xludf.DUMMYFUNCTION("""COMPUTED_VALUE"""),"0.01/50")</f>
        <v>0.01/50</v>
      </c>
      <c r="AE53" s="5"/>
      <c r="AF53" s="5"/>
      <c r="AG53" s="5"/>
      <c r="AH53" s="5"/>
      <c r="AI53" s="5"/>
      <c r="AJ53" s="5"/>
      <c r="AK53" s="5">
        <f ca="1">IFERROR(__xludf.DUMMYFUNCTION("""COMPUTED_VALUE"""),20)</f>
        <v>20</v>
      </c>
      <c r="AL53" s="5" t="str">
        <f ca="1">IFERROR(__xludf.DUMMYFUNCTION("""COMPUTED_VALUE"""),"Yes")</f>
        <v>Yes</v>
      </c>
      <c r="AM53" s="5"/>
      <c r="AN53" s="7" t="str">
        <f ca="1">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AO53" s="5"/>
      <c r="AP53" s="5"/>
      <c r="AQ53" s="5" t="b">
        <f ca="1">IFERROR(__xludf.DUMMYFUNCTION("""COMPUTED_VALUE"""),TRUE)</f>
        <v>1</v>
      </c>
      <c r="AR53" s="5"/>
      <c r="AS53" s="5" t="str">
        <f ca="1">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AT53" s="5"/>
      <c r="AU53" s="5" t="str">
        <f ca="1">IFERROR(__xludf.DUMMYFUNCTION("""COMPUTED_VALUE"""),"Fazi")</f>
        <v>Fazi</v>
      </c>
      <c r="AV53" s="5"/>
      <c r="AW53" s="5"/>
      <c r="AX53" s="5"/>
      <c r="AY53" s="5"/>
      <c r="AZ53" s="5"/>
      <c r="BA53" s="5" t="str">
        <f ca="1">IFERROR(__xludf.DUMMYFUNCTION("""COMPUTED_VALUE"""),"")</f>
        <v/>
      </c>
      <c r="BB53" s="5"/>
      <c r="BC53" s="5" t="str">
        <f ca="1">IFERROR(__xludf.DUMMYFUNCTION("""COMPUTED_VALUE"""),"Foxi")</f>
        <v>Foxi</v>
      </c>
      <c r="BD53" s="7" t="str">
        <f ca="1">IFERROR(__xludf.DUMMYFUNCTION("""COMPUTED_VALUE"""),"https://gameserver-store-client-area.orbionlimited.com/Home/IntegrationGameLaunch/client-area?moneyType=0&amp;gameName=KatanasOfTime&amp;platform=desktop&amp;languageCode=eng&amp;currency=EUR")</f>
        <v>https://gameserver-store-client-area.orbionlimited.com/Home/IntegrationGameLaunch/client-area?moneyType=0&amp;gameName=KatanasOfTime&amp;platform=desktop&amp;languageCode=eng&amp;currency=EUR</v>
      </c>
      <c r="BE53" s="5" t="b">
        <f ca="1">IFERROR(__xludf.DUMMYFUNCTION("""COMPUTED_VALUE"""),TRUE)</f>
        <v>1</v>
      </c>
    </row>
    <row r="54" spans="1:57" x14ac:dyDescent="0.25">
      <c r="A54" s="5">
        <f ca="1">IFERROR(__xludf.DUMMYFUNCTION("""COMPUTED_VALUE"""),53)</f>
        <v>53</v>
      </c>
      <c r="B54" s="5">
        <f ca="1">IFERROR(__xludf.DUMMYFUNCTION("""COMPUTED_VALUE"""),52)</f>
        <v>52</v>
      </c>
      <c r="C54" s="5" t="str">
        <f ca="1">IFERROR(__xludf.DUMMYFUNCTION("""COMPUTED_VALUE"""),"Fazi")</f>
        <v>Fazi</v>
      </c>
      <c r="D54" s="5" t="str">
        <f ca="1">IFERROR(__xludf.DUMMYFUNCTION("""COMPUTED_VALUE"""),"Retro 7 Hot")</f>
        <v>Retro 7 Hot</v>
      </c>
      <c r="E54" s="5" t="str">
        <f ca="1">IFERROR(__xludf.DUMMYFUNCTION("""COMPUTED_VALUE"""),"V2")</f>
        <v>V2</v>
      </c>
      <c r="F54" s="5" t="str">
        <f ca="1">IFERROR(__xludf.DUMMYFUNCTION("""COMPUTED_VALUE"""),"Retro7Hot")</f>
        <v>Retro7Hot</v>
      </c>
      <c r="G54" s="5" t="str">
        <f ca="1">IFERROR(__xludf.DUMMYFUNCTION("""COMPUTED_VALUE"""),"Live")</f>
        <v>Live</v>
      </c>
      <c r="H54" s="5"/>
      <c r="I54" s="5" t="str">
        <f ca="1">IFERROR(__xludf.DUMMYFUNCTION("""COMPUTED_VALUE"""),"V2")</f>
        <v>V2</v>
      </c>
      <c r="J54" s="5" t="str">
        <f ca="1">IFERROR(__xludf.DUMMYFUNCTION("""COMPUTED_VALUE"""),"Binary")</f>
        <v>Binary</v>
      </c>
      <c r="K54" s="5" t="str">
        <f ca="1">IFERROR(__xludf.DUMMYFUNCTION("""COMPUTED_VALUE"""),"Slot")</f>
        <v>Slot</v>
      </c>
      <c r="L54" s="5" t="str">
        <f ca="1">IFERROR(__xludf.DUMMYFUNCTION("""COMPUTED_VALUE"""),"Clone")</f>
        <v>Clone</v>
      </c>
      <c r="M54" s="5" t="str">
        <f ca="1">IFERROR(__xludf.DUMMYFUNCTION("""COMPUTED_VALUE"""),"The Triple 7 Hot")</f>
        <v>The Triple 7 Hot</v>
      </c>
      <c r="N54" s="5"/>
      <c r="O54" s="5"/>
      <c r="P54" s="14">
        <f ca="1">IFERROR(__xludf.DUMMYFUNCTION("""COMPUTED_VALUE"""),25.7)</f>
        <v>25.7</v>
      </c>
      <c r="Q54" s="5"/>
      <c r="R54" s="5"/>
      <c r="S54" s="15">
        <f ca="1">IFERROR(__xludf.DUMMYFUNCTION("""COMPUTED_VALUE"""),43646)</f>
        <v>43646</v>
      </c>
      <c r="T54" s="5" t="b">
        <f ca="1">IFERROR(__xludf.DUMMYFUNCTION("""COMPUTED_VALUE"""),TRUE)</f>
        <v>1</v>
      </c>
      <c r="U54" s="5" t="str">
        <f ca="1">IFERROR(__xludf.DUMMYFUNCTION("""COMPUTED_VALUE"""),"3x3")</f>
        <v>3x3</v>
      </c>
      <c r="V54" s="12" t="str">
        <f ca="1">IFERROR(__xludf.DUMMYFUNCTION("""COMPUTED_VALUE"""),"5")</f>
        <v>5</v>
      </c>
      <c r="W54" s="12" t="str">
        <f ca="1">IFERROR(__xludf.DUMMYFUNCTION("""COMPUTED_VALUE"""),"5")</f>
        <v>5</v>
      </c>
      <c r="X54" s="5">
        <f ca="1">IFERROR(__xludf.DUMMYFUNCTION("""COMPUTED_VALUE"""),95.513)</f>
        <v>95.513000000000005</v>
      </c>
      <c r="Y54" s="5" t="str">
        <f ca="1">IFERROR(__xludf.DUMMYFUNCTION("""COMPUTED_VALUE"""),"Low")</f>
        <v>Low</v>
      </c>
      <c r="Z54" s="5">
        <f ca="1">IFERROR(__xludf.DUMMYFUNCTION("""COMPUTED_VALUE"""),6.51)</f>
        <v>6.51</v>
      </c>
      <c r="AA54" s="14">
        <f ca="1">IFERROR(__xludf.DUMMYFUNCTION("""COMPUTED_VALUE"""),60)</f>
        <v>60</v>
      </c>
      <c r="AB54" s="5" t="str">
        <f ca="1">IFERROR(__xludf.DUMMYFUNCTION("""COMPUTED_VALUE"""),"/")</f>
        <v>/</v>
      </c>
      <c r="AC54" s="5"/>
      <c r="AD54" s="5" t="str">
        <f ca="1">IFERROR(__xludf.DUMMYFUNCTION("""COMPUTED_VALUE"""),"0.05/30")</f>
        <v>0.05/30</v>
      </c>
      <c r="AE54" s="5"/>
      <c r="AF54" s="5"/>
      <c r="AG54" s="5"/>
      <c r="AH54" s="5"/>
      <c r="AI54" s="5"/>
      <c r="AJ54" s="5"/>
      <c r="AK54" s="5">
        <f ca="1">IFERROR(__xludf.DUMMYFUNCTION("""COMPUTED_VALUE"""),5)</f>
        <v>5</v>
      </c>
      <c r="AL54" s="5" t="str">
        <f ca="1">IFERROR(__xludf.DUMMYFUNCTION("""COMPUTED_VALUE"""),"Yes")</f>
        <v>Yes</v>
      </c>
      <c r="AM54" s="5"/>
      <c r="AN54" s="7" t="str">
        <f ca="1">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AO54" s="5"/>
      <c r="AP54" s="5"/>
      <c r="AQ54" s="5" t="b">
        <f ca="1">IFERROR(__xludf.DUMMYFUNCTION("""COMPUTED_VALUE"""),TRUE)</f>
        <v>1</v>
      </c>
      <c r="AR54" s="5"/>
      <c r="AS54" s="5" t="str">
        <f ca="1">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AT54" s="5"/>
      <c r="AU54" s="5" t="str">
        <f ca="1">IFERROR(__xludf.DUMMYFUNCTION("""COMPUTED_VALUE"""),"Fazi")</f>
        <v>Fazi</v>
      </c>
      <c r="AV54" s="5"/>
      <c r="AW54" s="5"/>
      <c r="AX54" s="5"/>
      <c r="AY54" s="5"/>
      <c r="AZ54" s="5"/>
      <c r="BA54" s="5" t="str">
        <f ca="1">IFERROR(__xludf.DUMMYFUNCTION("""COMPUTED_VALUE"""),"")</f>
        <v/>
      </c>
      <c r="BB54" s="5"/>
      <c r="BC54" s="5" t="str">
        <f ca="1">IFERROR(__xludf.DUMMYFUNCTION("""COMPUTED_VALUE"""),"Foxi")</f>
        <v>Foxi</v>
      </c>
      <c r="BD54" s="7" t="str">
        <f ca="1">IFERROR(__xludf.DUMMYFUNCTION("""COMPUTED_VALUE"""),"https://gameserver-store-client-area.orbionlimited.com/Home/IntegrationGameLaunch/client-area?moneyType=0&amp;gameName=Retro7Hot&amp;platform=desktop&amp;languageCode=eng&amp;currency=EUR")</f>
        <v>https://gameserver-store-client-area.orbionlimited.com/Home/IntegrationGameLaunch/client-area?moneyType=0&amp;gameName=Retro7Hot&amp;platform=desktop&amp;languageCode=eng&amp;currency=EUR</v>
      </c>
      <c r="BE54" s="5" t="b">
        <f ca="1">IFERROR(__xludf.DUMMYFUNCTION("""COMPUTED_VALUE"""),TRUE)</f>
        <v>1</v>
      </c>
    </row>
    <row r="55" spans="1:57" x14ac:dyDescent="0.25">
      <c r="A55" s="5">
        <f ca="1">IFERROR(__xludf.DUMMYFUNCTION("""COMPUTED_VALUE"""),54)</f>
        <v>54</v>
      </c>
      <c r="B55" s="5">
        <f ca="1">IFERROR(__xludf.DUMMYFUNCTION("""COMPUTED_VALUE"""),53)</f>
        <v>53</v>
      </c>
      <c r="C55" s="5" t="str">
        <f ca="1">IFERROR(__xludf.DUMMYFUNCTION("""COMPUTED_VALUE"""),"Fazi")</f>
        <v>Fazi</v>
      </c>
      <c r="D55" s="5" t="str">
        <f ca="1">IFERROR(__xludf.DUMMYFUNCTION("""COMPUTED_VALUE"""),"VIP Roulette")</f>
        <v>VIP Roulette</v>
      </c>
      <c r="E55" s="5" t="str">
        <f ca="1">IFERROR(__xludf.DUMMYFUNCTION("""COMPUTED_VALUE"""),"V2")</f>
        <v>V2</v>
      </c>
      <c r="F55" s="5" t="str">
        <f ca="1">IFERROR(__xludf.DUMMYFUNCTION("""COMPUTED_VALUE"""),"VipRoulette")</f>
        <v>VipRoulette</v>
      </c>
      <c r="G55" s="5" t="str">
        <f ca="1">IFERROR(__xludf.DUMMYFUNCTION("""COMPUTED_VALUE"""),"Live")</f>
        <v>Live</v>
      </c>
      <c r="H55" s="5"/>
      <c r="I55" s="5" t="str">
        <f ca="1">IFERROR(__xludf.DUMMYFUNCTION("""COMPUTED_VALUE"""),"V2")</f>
        <v>V2</v>
      </c>
      <c r="J55" s="5" t="str">
        <f ca="1">IFERROR(__xludf.DUMMYFUNCTION("""COMPUTED_VALUE"""),"Binary")</f>
        <v>Binary</v>
      </c>
      <c r="K55" s="5" t="str">
        <f ca="1">IFERROR(__xludf.DUMMYFUNCTION("""COMPUTED_VALUE"""),"Roulette")</f>
        <v>Roulette</v>
      </c>
      <c r="L55" s="5"/>
      <c r="M55" s="5"/>
      <c r="N55" s="5"/>
      <c r="O55" s="5"/>
      <c r="P55" s="14">
        <f ca="1">IFERROR(__xludf.DUMMYFUNCTION("""COMPUTED_VALUE"""),45.9)</f>
        <v>45.9</v>
      </c>
      <c r="Q55" s="5"/>
      <c r="R55" s="5"/>
      <c r="S55" s="15">
        <f ca="1">IFERROR(__xludf.DUMMYFUNCTION("""COMPUTED_VALUE"""),36539)</f>
        <v>36539</v>
      </c>
      <c r="T55" s="5"/>
      <c r="U55" s="5" t="str">
        <f ca="1">IFERROR(__xludf.DUMMYFUNCTION("""COMPUTED_VALUE"""),"/")</f>
        <v>/</v>
      </c>
      <c r="V55" s="12" t="str">
        <f ca="1">IFERROR(__xludf.DUMMYFUNCTION("""COMPUTED_VALUE"""),"/")</f>
        <v>/</v>
      </c>
      <c r="W55" s="12" t="str">
        <f ca="1">IFERROR(__xludf.DUMMYFUNCTION("""COMPUTED_VALUE"""),"/")</f>
        <v>/</v>
      </c>
      <c r="X55" s="5">
        <f ca="1">IFERROR(__xludf.DUMMYFUNCTION("""COMPUTED_VALUE"""),97.3)</f>
        <v>97.3</v>
      </c>
      <c r="Y55" s="5" t="str">
        <f ca="1">IFERROR(__xludf.DUMMYFUNCTION("""COMPUTED_VALUE"""),"Low")</f>
        <v>Low</v>
      </c>
      <c r="Z55" s="5">
        <f ca="1">IFERROR(__xludf.DUMMYFUNCTION("""COMPUTED_VALUE"""),0)</f>
        <v>0</v>
      </c>
      <c r="AA55" s="14">
        <f ca="1">IFERROR(__xludf.DUMMYFUNCTION("""COMPUTED_VALUE"""),36)</f>
        <v>36</v>
      </c>
      <c r="AB55" s="5"/>
      <c r="AC55" s="5"/>
      <c r="AD55" s="5" t="str">
        <f ca="1">IFERROR(__xludf.DUMMYFUNCTION("""COMPUTED_VALUE"""),"/")</f>
        <v>/</v>
      </c>
      <c r="AE55" s="5"/>
      <c r="AF55" s="5"/>
      <c r="AG55" s="10">
        <f ca="1">IFERROR(__xludf.DUMMYFUNCTION("""COMPUTED_VALUE"""),46197.539849537)</f>
        <v>46197.539849537003</v>
      </c>
      <c r="AH55" s="5" t="str">
        <f ca="1">IFERROR(__xludf.DUMMYFUNCTION("""COMPUTED_VALUE"""),"selena.mihajlovic@fazi.rs")</f>
        <v>selena.mihajlovic@fazi.rs</v>
      </c>
      <c r="AI55" s="5"/>
      <c r="AJ55" s="5"/>
      <c r="AK55" s="5" t="str">
        <f ca="1">IFERROR(__xludf.DUMMYFUNCTION("""COMPUTED_VALUE"""),"/")</f>
        <v>/</v>
      </c>
      <c r="AL55" s="5" t="str">
        <f ca="1">IFERROR(__xludf.DUMMYFUNCTION("""COMPUTED_VALUE"""),"Yes")</f>
        <v>Yes</v>
      </c>
      <c r="AM55" s="5"/>
      <c r="AN55" s="7" t="str">
        <f ca="1">IFERROR(__xludf.DUMMYFUNCTION("""COMPUTED_VALUE"""),"https://onlinegamespromo.fazi.rs/Home/IntegrationGameLaunch?moneyType=0&amp;gameName=VIPROULETTE&amp;platform=desktop&amp;languageCode=eng&amp;currency=EUR")</f>
        <v>https://onlinegamespromo.fazi.rs/Home/IntegrationGameLaunch?moneyType=0&amp;gameName=VIPROULETTE&amp;platform=desktop&amp;languageCode=eng&amp;currency=EUR</v>
      </c>
      <c r="AO55" s="5"/>
      <c r="AP55" s="5"/>
      <c r="AQ55" s="5" t="b">
        <f ca="1">IFERROR(__xludf.DUMMYFUNCTION("""COMPUTED_VALUE"""),FALSE)</f>
        <v>0</v>
      </c>
      <c r="AR55" s="5"/>
      <c r="AS55" s="5" t="str">
        <f ca="1">IFERROR(__xludf.DUMMYFUNCTION("""COMPUTED_VALUE"""),"Place your bets and let the charming lady spin the wheel and take you into this amazing adventure. Enjoy the new Fazi VIP Roulette. Great winning are closer than ever!")</f>
        <v>Place your bets and let the charming lady spin the wheel and take you into this amazing adventure. Enjoy the new Fazi VIP Roulette. Great winning are closer than ever!</v>
      </c>
      <c r="AT55" s="5"/>
      <c r="AU55" s="5" t="str">
        <f ca="1">IFERROR(__xludf.DUMMYFUNCTION("""COMPUTED_VALUE"""),"Fazi")</f>
        <v>Fazi</v>
      </c>
      <c r="AV55" s="5"/>
      <c r="AW55" s="5"/>
      <c r="AX55" s="5"/>
      <c r="AY55" s="5"/>
      <c r="AZ55" s="5"/>
      <c r="BA55" s="5"/>
      <c r="BB55" s="5" t="b">
        <f ca="1">IFERROR(__xludf.DUMMYFUNCTION("""COMPUTED_VALUE"""),TRUE)</f>
        <v>1</v>
      </c>
      <c r="BC55" s="5" t="str">
        <f ca="1">IFERROR(__xludf.DUMMYFUNCTION("""COMPUTED_VALUE"""),"Foxi")</f>
        <v>Foxi</v>
      </c>
      <c r="BD55" s="7" t="str">
        <f ca="1">IFERROR(__xludf.DUMMYFUNCTION("""COMPUTED_VALUE"""),"https://gameserver-store-client-area.orbionlimited.com/Home/IntegrationGameLaunch/client-area?moneyType=0&amp;gameName=VipRoulette&amp;platform=desktop&amp;languageCode=eng&amp;currency=EUR")</f>
        <v>https://gameserver-store-client-area.orbionlimited.com/Home/IntegrationGameLaunch/client-area?moneyType=0&amp;gameName=VipRoulette&amp;platform=desktop&amp;languageCode=eng&amp;currency=EUR</v>
      </c>
      <c r="BE55" s="5" t="b">
        <f ca="1">IFERROR(__xludf.DUMMYFUNCTION("""COMPUTED_VALUE"""),FALSE)</f>
        <v>0</v>
      </c>
    </row>
    <row r="56" spans="1:57" x14ac:dyDescent="0.25">
      <c r="A56" s="5">
        <f ca="1">IFERROR(__xludf.DUMMYFUNCTION("""COMPUTED_VALUE"""),55)</f>
        <v>55</v>
      </c>
      <c r="B56" s="5">
        <f ca="1">IFERROR(__xludf.DUMMYFUNCTION("""COMPUTED_VALUE"""),54)</f>
        <v>54</v>
      </c>
      <c r="C56" s="5" t="str">
        <f ca="1">IFERROR(__xludf.DUMMYFUNCTION("""COMPUTED_VALUE"""),"Fazi")</f>
        <v>Fazi</v>
      </c>
      <c r="D56" s="5" t="str">
        <f ca="1">IFERROR(__xludf.DUMMYFUNCTION("""COMPUTED_VALUE"""),"Star Runner")</f>
        <v>Star Runner</v>
      </c>
      <c r="E56" s="5" t="str">
        <f ca="1">IFERROR(__xludf.DUMMYFUNCTION("""COMPUTED_VALUE"""),"V2")</f>
        <v>V2</v>
      </c>
      <c r="F56" s="5" t="str">
        <f ca="1">IFERROR(__xludf.DUMMYFUNCTION("""COMPUTED_VALUE"""),"StarRunner")</f>
        <v>StarRunner</v>
      </c>
      <c r="G56" s="5" t="str">
        <f ca="1">IFERROR(__xludf.DUMMYFUNCTION("""COMPUTED_VALUE"""),"Live")</f>
        <v>Live</v>
      </c>
      <c r="H56" s="5"/>
      <c r="I56" s="5" t="str">
        <f ca="1">IFERROR(__xludf.DUMMYFUNCTION("""COMPUTED_VALUE"""),"V2")</f>
        <v>V2</v>
      </c>
      <c r="J56" s="5" t="str">
        <f ca="1">IFERROR(__xludf.DUMMYFUNCTION("""COMPUTED_VALUE"""),"Binary")</f>
        <v>Binary</v>
      </c>
      <c r="K56" s="5" t="str">
        <f ca="1">IFERROR(__xludf.DUMMYFUNCTION("""COMPUTED_VALUE"""),"Slot")</f>
        <v>Slot</v>
      </c>
      <c r="L56" s="5"/>
      <c r="M56" s="5"/>
      <c r="N56" s="5"/>
      <c r="O56" s="5"/>
      <c r="P56" s="14">
        <f ca="1">IFERROR(__xludf.DUMMYFUNCTION("""COMPUTED_VALUE"""),29.6)</f>
        <v>29.6</v>
      </c>
      <c r="Q56" s="5"/>
      <c r="R56" s="5"/>
      <c r="S56" s="15">
        <f ca="1">IFERROR(__xludf.DUMMYFUNCTION("""COMPUTED_VALUE"""),43705)</f>
        <v>43705</v>
      </c>
      <c r="T56" s="5" t="b">
        <f ca="1">IFERROR(__xludf.DUMMYFUNCTION("""COMPUTED_VALUE"""),TRUE)</f>
        <v>1</v>
      </c>
      <c r="U56" s="5" t="str">
        <f ca="1">IFERROR(__xludf.DUMMYFUNCTION("""COMPUTED_VALUE"""),"5x3")</f>
        <v>5x3</v>
      </c>
      <c r="V56" s="12" t="str">
        <f ca="1">IFERROR(__xludf.DUMMYFUNCTION("""COMPUTED_VALUE"""),"10")</f>
        <v>10</v>
      </c>
      <c r="W56" s="12" t="str">
        <f ca="1">IFERROR(__xludf.DUMMYFUNCTION("""COMPUTED_VALUE"""),"1,3,5,7,10")</f>
        <v>1,3,5,7,10</v>
      </c>
      <c r="X56" s="5">
        <f ca="1">IFERROR(__xludf.DUMMYFUNCTION("""COMPUTED_VALUE"""),96.077)</f>
        <v>96.076999999999998</v>
      </c>
      <c r="Y56" s="5" t="str">
        <f ca="1">IFERROR(__xludf.DUMMYFUNCTION("""COMPUTED_VALUE"""),"Medium")</f>
        <v>Medium</v>
      </c>
      <c r="Z56" s="5">
        <f ca="1">IFERROR(__xludf.DUMMYFUNCTION("""COMPUTED_VALUE"""),19.55)</f>
        <v>19.55</v>
      </c>
      <c r="AA56" s="14">
        <f ca="1">IFERROR(__xludf.DUMMYFUNCTION("""COMPUTED_VALUE"""),598)</f>
        <v>598</v>
      </c>
      <c r="AB56" s="5">
        <f ca="1">IFERROR(__xludf.DUMMYFUNCTION("""COMPUTED_VALUE"""),11)</f>
        <v>11</v>
      </c>
      <c r="AC56" s="5" t="str">
        <f ca="1">IFERROR(__xludf.DUMMYFUNCTION("""COMPUTED_VALUE"""),"Wild Symbol, Respin, Bothways")</f>
        <v>Wild Symbol, Respin, Bothways</v>
      </c>
      <c r="AD56" s="5" t="str">
        <f ca="1">IFERROR(__xludf.DUMMYFUNCTION("""COMPUTED_VALUE"""),"0.10/40")</f>
        <v>0.10/40</v>
      </c>
      <c r="AE56" s="5"/>
      <c r="AF56" s="5"/>
      <c r="AG56" s="5"/>
      <c r="AH56" s="5"/>
      <c r="AI56" s="5"/>
      <c r="AJ56" s="5"/>
      <c r="AK56" s="5">
        <f ca="1">IFERROR(__xludf.DUMMYFUNCTION("""COMPUTED_VALUE"""),10)</f>
        <v>10</v>
      </c>
      <c r="AL56" s="5" t="str">
        <f ca="1">IFERROR(__xludf.DUMMYFUNCTION("""COMPUTED_VALUE"""),"Yes")</f>
        <v>Yes</v>
      </c>
      <c r="AM56" s="5"/>
      <c r="AN56" s="7" t="str">
        <f ca="1">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AO56" s="5"/>
      <c r="AP56" s="5"/>
      <c r="AQ56" s="5" t="b">
        <f ca="1">IFERROR(__xludf.DUMMYFUNCTION("""COMPUTED_VALUE"""),TRUE)</f>
        <v>1</v>
      </c>
      <c r="AR56" s="5"/>
      <c r="AS56" s="5" t="str">
        <f ca="1">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AT56" s="5"/>
      <c r="AU56" s="5" t="str">
        <f ca="1">IFERROR(__xludf.DUMMYFUNCTION("""COMPUTED_VALUE"""),"Fazi")</f>
        <v>Fazi</v>
      </c>
      <c r="AV56" s="5"/>
      <c r="AW56" s="5"/>
      <c r="AX56" s="5"/>
      <c r="AY56" s="5"/>
      <c r="AZ56" s="5"/>
      <c r="BA56" s="5" t="str">
        <f ca="1">IFERROR(__xludf.DUMMYFUNCTION("""COMPUTED_VALUE"""),"")</f>
        <v/>
      </c>
      <c r="BB56" s="5"/>
      <c r="BC56" s="5" t="str">
        <f ca="1">IFERROR(__xludf.DUMMYFUNCTION("""COMPUTED_VALUE"""),"Foxi")</f>
        <v>Foxi</v>
      </c>
      <c r="BD56" s="7" t="str">
        <f ca="1">IFERROR(__xludf.DUMMYFUNCTION("""COMPUTED_VALUE"""),"https://gameserver-store-client-area.orbionlimited.com/Home/IntegrationGameLaunch/client-area?moneyType=0&amp;gameName=StarRunner&amp;platform=desktop&amp;languageCode=eng&amp;currency=EUR")</f>
        <v>https://gameserver-store-client-area.orbionlimited.com/Home/IntegrationGameLaunch/client-area?moneyType=0&amp;gameName=StarRunner&amp;platform=desktop&amp;languageCode=eng&amp;currency=EUR</v>
      </c>
      <c r="BE56" s="5" t="b">
        <f ca="1">IFERROR(__xludf.DUMMYFUNCTION("""COMPUTED_VALUE"""),TRUE)</f>
        <v>1</v>
      </c>
    </row>
    <row r="57" spans="1:57" x14ac:dyDescent="0.25">
      <c r="A57" s="5">
        <f ca="1">IFERROR(__xludf.DUMMYFUNCTION("""COMPUTED_VALUE"""),56)</f>
        <v>56</v>
      </c>
      <c r="B57" s="5">
        <f ca="1">IFERROR(__xludf.DUMMYFUNCTION("""COMPUTED_VALUE"""),55)</f>
        <v>55</v>
      </c>
      <c r="C57" s="5" t="str">
        <f ca="1">IFERROR(__xludf.DUMMYFUNCTION("""COMPUTED_VALUE"""),"Fazi")</f>
        <v>Fazi</v>
      </c>
      <c r="D57" s="5" t="str">
        <f ca="1">IFERROR(__xludf.DUMMYFUNCTION("""COMPUTED_VALUE"""),"Aloha Charm")</f>
        <v>Aloha Charm</v>
      </c>
      <c r="E57" s="5" t="str">
        <f ca="1">IFERROR(__xludf.DUMMYFUNCTION("""COMPUTED_VALUE"""),"V2")</f>
        <v>V2</v>
      </c>
      <c r="F57" s="5" t="str">
        <f ca="1">IFERROR(__xludf.DUMMYFUNCTION("""COMPUTED_VALUE"""),"AlohaCharm")</f>
        <v>AlohaCharm</v>
      </c>
      <c r="G57" s="5" t="str">
        <f ca="1">IFERROR(__xludf.DUMMYFUNCTION("""COMPUTED_VALUE"""),"Live")</f>
        <v>Live</v>
      </c>
      <c r="H57" s="5"/>
      <c r="I57" s="5" t="str">
        <f ca="1">IFERROR(__xludf.DUMMYFUNCTION("""COMPUTED_VALUE"""),"V2")</f>
        <v>V2</v>
      </c>
      <c r="J57" s="5" t="str">
        <f ca="1">IFERROR(__xludf.DUMMYFUNCTION("""COMPUTED_VALUE"""),"Binary")</f>
        <v>Binary</v>
      </c>
      <c r="K57" s="5" t="str">
        <f ca="1">IFERROR(__xludf.DUMMYFUNCTION("""COMPUTED_VALUE"""),"Slot")</f>
        <v>Slot</v>
      </c>
      <c r="L57" s="5"/>
      <c r="M57" s="5"/>
      <c r="N57" s="5"/>
      <c r="O57" s="5"/>
      <c r="P57" s="14">
        <f ca="1">IFERROR(__xludf.DUMMYFUNCTION("""COMPUTED_VALUE"""),29.6)</f>
        <v>29.6</v>
      </c>
      <c r="Q57" s="5"/>
      <c r="R57" s="5"/>
      <c r="S57" s="15">
        <f ca="1">IFERROR(__xludf.DUMMYFUNCTION("""COMPUTED_VALUE"""),43738)</f>
        <v>43738</v>
      </c>
      <c r="T57" s="5"/>
      <c r="U57" s="5" t="str">
        <f ca="1">IFERROR(__xludf.DUMMYFUNCTION("""COMPUTED_VALUE"""),"5x3")</f>
        <v>5x3</v>
      </c>
      <c r="V57" s="12" t="str">
        <f ca="1">IFERROR(__xludf.DUMMYFUNCTION("""COMPUTED_VALUE"""),"10")</f>
        <v>10</v>
      </c>
      <c r="W57" s="12" t="str">
        <f ca="1">IFERROR(__xludf.DUMMYFUNCTION("""COMPUTED_VALUE"""),"1,3,5,7,9,10")</f>
        <v>1,3,5,7,9,10</v>
      </c>
      <c r="X57" s="5">
        <f ca="1">IFERROR(__xludf.DUMMYFUNCTION("""COMPUTED_VALUE"""),95.125)</f>
        <v>95.125</v>
      </c>
      <c r="Y57" s="5" t="str">
        <f ca="1">IFERROR(__xludf.DUMMYFUNCTION("""COMPUTED_VALUE"""),"High")</f>
        <v>High</v>
      </c>
      <c r="Z57" s="5">
        <f ca="1">IFERROR(__xludf.DUMMYFUNCTION("""COMPUTED_VALUE"""),25.18)</f>
        <v>25.18</v>
      </c>
      <c r="AA57" s="14">
        <f ca="1">IFERROR(__xludf.DUMMYFUNCTION("""COMPUTED_VALUE"""),4016)</f>
        <v>4016</v>
      </c>
      <c r="AB57" s="5">
        <f ca="1">IFERROR(__xludf.DUMMYFUNCTION("""COMPUTED_VALUE"""),262)</f>
        <v>262</v>
      </c>
      <c r="AC57" s="5" t="str">
        <f ca="1">IFERROR(__xludf.DUMMYFUNCTION("""COMPUTED_VALUE"""),"Wild Symbol, Scatter, Bonus Game with Free Spins, Win Multiplier")</f>
        <v>Wild Symbol, Scatter, Bonus Game with Free Spins, Win Multiplier</v>
      </c>
      <c r="AD57" s="5" t="str">
        <f ca="1">IFERROR(__xludf.DUMMYFUNCTION("""COMPUTED_VALUE"""),"0.01/40")</f>
        <v>0.01/40</v>
      </c>
      <c r="AE57" s="5"/>
      <c r="AF57" s="5"/>
      <c r="AG57" s="10">
        <f ca="1">IFERROR(__xludf.DUMMYFUNCTION("""COMPUTED_VALUE"""),45964.910949074)</f>
        <v>45964.910949074001</v>
      </c>
      <c r="AH57" s="5" t="str">
        <f ca="1">IFERROR(__xludf.DUMMYFUNCTION("""COMPUTED_VALUE"""),"djordje.jankovic@fazi.rs")</f>
        <v>djordje.jankovic@fazi.rs</v>
      </c>
      <c r="AI57" s="5"/>
      <c r="AJ57" s="5"/>
      <c r="AK57" s="5">
        <f ca="1">IFERROR(__xludf.DUMMYFUNCTION("""COMPUTED_VALUE"""),10)</f>
        <v>10</v>
      </c>
      <c r="AL57" s="5" t="str">
        <f ca="1">IFERROR(__xludf.DUMMYFUNCTION("""COMPUTED_VALUE"""),"Yes")</f>
        <v>Yes</v>
      </c>
      <c r="AM57" s="5"/>
      <c r="AN57" s="7" t="str">
        <f ca="1">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AO57" s="5"/>
      <c r="AP57" s="5"/>
      <c r="AQ57" s="5" t="b">
        <f ca="1">IFERROR(__xludf.DUMMYFUNCTION("""COMPUTED_VALUE"""),TRUE)</f>
        <v>1</v>
      </c>
      <c r="AR57" s="5"/>
      <c r="AS57" s="5" t="str">
        <f ca="1">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AT57" s="5"/>
      <c r="AU57" s="5" t="str">
        <f ca="1">IFERROR(__xludf.DUMMYFUNCTION("""COMPUTED_VALUE"""),"Fazi")</f>
        <v>Fazi</v>
      </c>
      <c r="AV57" s="5"/>
      <c r="AW57" s="5"/>
      <c r="AX57" s="5"/>
      <c r="AY57" s="5"/>
      <c r="AZ57" s="5"/>
      <c r="BA57" s="5" t="str">
        <f ca="1">IFERROR(__xludf.DUMMYFUNCTION("""COMPUTED_VALUE"""),"")</f>
        <v/>
      </c>
      <c r="BB57" s="5"/>
      <c r="BC57" s="5" t="str">
        <f ca="1">IFERROR(__xludf.DUMMYFUNCTION("""COMPUTED_VALUE"""),"Foxi")</f>
        <v>Foxi</v>
      </c>
      <c r="BD57" s="7" t="str">
        <f ca="1">IFERROR(__xludf.DUMMYFUNCTION("""COMPUTED_VALUE"""),"https://gameserver-store-client-area.orbionlimited.com/Home/IntegrationGameLaunch/client-area?moneyType=0&amp;gameName=AlohaCharm&amp;platform=desktop&amp;languageCode=eng&amp;currency=EUR")</f>
        <v>https://gameserver-store-client-area.orbionlimited.com/Home/IntegrationGameLaunch/client-area?moneyType=0&amp;gameName=AlohaCharm&amp;platform=desktop&amp;languageCode=eng&amp;currency=EUR</v>
      </c>
      <c r="BE57" s="5" t="b">
        <f ca="1">IFERROR(__xludf.DUMMYFUNCTION("""COMPUTED_VALUE"""),TRUE)</f>
        <v>1</v>
      </c>
    </row>
    <row r="58" spans="1:57" x14ac:dyDescent="0.25">
      <c r="A58" s="5">
        <f ca="1">IFERROR(__xludf.DUMMYFUNCTION("""COMPUTED_VALUE"""),57)</f>
        <v>57</v>
      </c>
      <c r="B58" s="5">
        <f ca="1">IFERROR(__xludf.DUMMYFUNCTION("""COMPUTED_VALUE"""),56)</f>
        <v>56</v>
      </c>
      <c r="C58" s="5" t="str">
        <f ca="1">IFERROR(__xludf.DUMMYFUNCTION("""COMPUTED_VALUE"""),"Fazi")</f>
        <v>Fazi</v>
      </c>
      <c r="D58" s="5" t="str">
        <f ca="1">IFERROR(__xludf.DUMMYFUNCTION("""COMPUTED_VALUE"""),"Lux Roulette")</f>
        <v>Lux Roulette</v>
      </c>
      <c r="E58" s="5" t="str">
        <f ca="1">IFERROR(__xludf.DUMMYFUNCTION("""COMPUTED_VALUE"""),"V2")</f>
        <v>V2</v>
      </c>
      <c r="F58" s="5" t="str">
        <f ca="1">IFERROR(__xludf.DUMMYFUNCTION("""COMPUTED_VALUE"""),"LuxRoulette")</f>
        <v>LuxRoulette</v>
      </c>
      <c r="G58" s="5" t="str">
        <f ca="1">IFERROR(__xludf.DUMMYFUNCTION("""COMPUTED_VALUE"""),"Live")</f>
        <v>Live</v>
      </c>
      <c r="H58" s="5"/>
      <c r="I58" s="5" t="str">
        <f ca="1">IFERROR(__xludf.DUMMYFUNCTION("""COMPUTED_VALUE"""),"V2")</f>
        <v>V2</v>
      </c>
      <c r="J58" s="5" t="str">
        <f ca="1">IFERROR(__xludf.DUMMYFUNCTION("""COMPUTED_VALUE"""),"Binary")</f>
        <v>Binary</v>
      </c>
      <c r="K58" s="5" t="str">
        <f ca="1">IFERROR(__xludf.DUMMYFUNCTION("""COMPUTED_VALUE"""),"Roulette")</f>
        <v>Roulette</v>
      </c>
      <c r="L58" s="5"/>
      <c r="M58" s="5"/>
      <c r="N58" s="5"/>
      <c r="O58" s="5"/>
      <c r="P58" s="5"/>
      <c r="Q58" s="5"/>
      <c r="R58" s="5"/>
      <c r="S58" s="5"/>
      <c r="T58" s="5"/>
      <c r="U58" s="5"/>
      <c r="V58" s="5"/>
      <c r="W58" s="5"/>
      <c r="X58" s="5">
        <f ca="1">IFERROR(__xludf.DUMMYFUNCTION("""COMPUTED_VALUE"""),97.3)</f>
        <v>97.3</v>
      </c>
      <c r="Y58" s="5"/>
      <c r="Z58" s="5">
        <f ca="1">IFERROR(__xludf.DUMMYFUNCTION("""COMPUTED_VALUE"""),0)</f>
        <v>0</v>
      </c>
      <c r="AA58" s="14">
        <f ca="1">IFERROR(__xludf.DUMMYFUNCTION("""COMPUTED_VALUE"""),36)</f>
        <v>36</v>
      </c>
      <c r="AB58" s="5"/>
      <c r="AC58" s="5"/>
      <c r="AD58" s="5"/>
      <c r="AE58" s="5"/>
      <c r="AF58" s="5"/>
      <c r="AG58" s="10">
        <f ca="1">IFERROR(__xludf.DUMMYFUNCTION("""COMPUTED_VALUE"""),45700.4378703703)</f>
        <v>45700.437870370297</v>
      </c>
      <c r="AH58" s="5" t="str">
        <f ca="1">IFERROR(__xludf.DUMMYFUNCTION("""COMPUTED_VALUE"""),"milutin.toskic@fazi.rs")</f>
        <v>milutin.toskic@fazi.rs</v>
      </c>
      <c r="AI58" s="5"/>
      <c r="AJ58" s="5"/>
      <c r="AK58" s="5">
        <f ca="1">IFERROR(__xludf.DUMMYFUNCTION("""COMPUTED_VALUE"""),0)</f>
        <v>0</v>
      </c>
      <c r="AL58" s="5"/>
      <c r="AM58" s="5"/>
      <c r="AN58" s="5"/>
      <c r="AO58" s="5"/>
      <c r="AP58" s="5"/>
      <c r="AQ58" s="5"/>
      <c r="AR58" s="5"/>
      <c r="AS58" s="5"/>
      <c r="AT58" s="5"/>
      <c r="AU58" s="5" t="str">
        <f ca="1">IFERROR(__xludf.DUMMYFUNCTION("""COMPUTED_VALUE"""),"Fazi")</f>
        <v>Fazi</v>
      </c>
      <c r="AV58" s="5"/>
      <c r="AW58" s="5"/>
      <c r="AX58" s="5"/>
      <c r="AY58" s="5"/>
      <c r="AZ58" s="5"/>
      <c r="BA58" s="5" t="str">
        <f ca="1">IFERROR(__xludf.DUMMYFUNCTION("""COMPUTED_VALUE"""),"")</f>
        <v/>
      </c>
      <c r="BB58" s="5"/>
      <c r="BC58" s="5" t="str">
        <f ca="1">IFERROR(__xludf.DUMMYFUNCTION("""COMPUTED_VALUE"""),"Foxi")</f>
        <v>Foxi</v>
      </c>
      <c r="BD58" s="5" t="str">
        <f ca="1">IFERROR(__xludf.DUMMYFUNCTION("""COMPUTED_VALUE"""),"")</f>
        <v/>
      </c>
      <c r="BE58" s="5"/>
    </row>
    <row r="59" spans="1:57" x14ac:dyDescent="0.25">
      <c r="A59" s="5">
        <f ca="1">IFERROR(__xludf.DUMMYFUNCTION("""COMPUTED_VALUE"""),58)</f>
        <v>58</v>
      </c>
      <c r="B59" s="5">
        <f ca="1">IFERROR(__xludf.DUMMYFUNCTION("""COMPUTED_VALUE"""),57)</f>
        <v>57</v>
      </c>
      <c r="C59" s="5" t="str">
        <f ca="1">IFERROR(__xludf.DUMMYFUNCTION("""COMPUTED_VALUE"""),"Fazi")</f>
        <v>Fazi</v>
      </c>
      <c r="D59" s="5" t="str">
        <f ca="1">IFERROR(__xludf.DUMMYFUNCTION("""COMPUTED_VALUE"""),"Fruits And Stars 40")</f>
        <v>Fruits And Stars 40</v>
      </c>
      <c r="E59" s="5" t="str">
        <f ca="1">IFERROR(__xludf.DUMMYFUNCTION("""COMPUTED_VALUE"""),"V2")</f>
        <v>V2</v>
      </c>
      <c r="F59" s="5" t="str">
        <f ca="1">IFERROR(__xludf.DUMMYFUNCTION("""COMPUTED_VALUE"""),"FruitsAndStars40")</f>
        <v>FruitsAndStars40</v>
      </c>
      <c r="G59" s="5" t="str">
        <f ca="1">IFERROR(__xludf.DUMMYFUNCTION("""COMPUTED_VALUE"""),"Live")</f>
        <v>Live</v>
      </c>
      <c r="H59" s="5"/>
      <c r="I59" s="5" t="str">
        <f ca="1">IFERROR(__xludf.DUMMYFUNCTION("""COMPUTED_VALUE"""),"V2")</f>
        <v>V2</v>
      </c>
      <c r="J59" s="5" t="str">
        <f ca="1">IFERROR(__xludf.DUMMYFUNCTION("""COMPUTED_VALUE"""),"JSON")</f>
        <v>JSON</v>
      </c>
      <c r="K59" s="5" t="str">
        <f ca="1">IFERROR(__xludf.DUMMYFUNCTION("""COMPUTED_VALUE"""),"Slot")</f>
        <v>Slot</v>
      </c>
      <c r="L59" s="5" t="str">
        <f ca="1">IFERROR(__xludf.DUMMYFUNCTION("""COMPUTED_VALUE"""),"Clone")</f>
        <v>Clone</v>
      </c>
      <c r="M59" s="5" t="str">
        <f ca="1">IFERROR(__xludf.DUMMYFUNCTION("""COMPUTED_VALUE"""),"Fruits and Stars")</f>
        <v>Fruits and Stars</v>
      </c>
      <c r="N59" s="5"/>
      <c r="O59" s="5"/>
      <c r="P59" s="14">
        <f ca="1">IFERROR(__xludf.DUMMYFUNCTION("""COMPUTED_VALUE"""),29.4)</f>
        <v>29.4</v>
      </c>
      <c r="Q59" s="5"/>
      <c r="R59" s="5"/>
      <c r="S59" s="15">
        <f ca="1">IFERROR(__xludf.DUMMYFUNCTION("""COMPUTED_VALUE"""),43766)</f>
        <v>43766</v>
      </c>
      <c r="T59" s="5" t="b">
        <f ca="1">IFERROR(__xludf.DUMMYFUNCTION("""COMPUTED_VALUE"""),TRUE)</f>
        <v>1</v>
      </c>
      <c r="U59" s="5" t="str">
        <f ca="1">IFERROR(__xludf.DUMMYFUNCTION("""COMPUTED_VALUE"""),"5x3")</f>
        <v>5x3</v>
      </c>
      <c r="V59" s="12" t="str">
        <f ca="1">IFERROR(__xludf.DUMMYFUNCTION("""COMPUTED_VALUE"""),"40")</f>
        <v>40</v>
      </c>
      <c r="W59" s="12" t="str">
        <f ca="1">IFERROR(__xludf.DUMMYFUNCTION("""COMPUTED_VALUE"""),"1,3,5,7,10,15,20,25,30,35,40")</f>
        <v>1,3,5,7,10,15,20,25,30,35,40</v>
      </c>
      <c r="X59" s="5">
        <f ca="1">IFERROR(__xludf.DUMMYFUNCTION("""COMPUTED_VALUE"""),95.79)</f>
        <v>95.79</v>
      </c>
      <c r="Y59" s="5" t="str">
        <f ca="1">IFERROR(__xludf.DUMMYFUNCTION("""COMPUTED_VALUE"""),"Low")</f>
        <v>Low</v>
      </c>
      <c r="Z59" s="5">
        <f ca="1">IFERROR(__xludf.DUMMYFUNCTION("""COMPUTED_VALUE"""),18.24)</f>
        <v>18.239999999999998</v>
      </c>
      <c r="AA59" s="14">
        <f ca="1">IFERROR(__xludf.DUMMYFUNCTION("""COMPUTED_VALUE"""),1000)</f>
        <v>1000</v>
      </c>
      <c r="AB59" s="5" t="str">
        <f ca="1">IFERROR(__xludf.DUMMYFUNCTION("""COMPUTED_VALUE"""),"/")</f>
        <v>/</v>
      </c>
      <c r="AC59" s="5" t="str">
        <f ca="1">IFERROR(__xludf.DUMMYFUNCTION("""COMPUTED_VALUE"""),"Wild Symbol, Scatter")</f>
        <v>Wild Symbol, Scatter</v>
      </c>
      <c r="AD59" s="5" t="str">
        <f ca="1">IFERROR(__xludf.DUMMYFUNCTION("""COMPUTED_VALUE"""),"0.01/60")</f>
        <v>0.01/60</v>
      </c>
      <c r="AE59" s="5"/>
      <c r="AF59" s="5"/>
      <c r="AG59" s="10">
        <f ca="1">IFERROR(__xludf.DUMMYFUNCTION("""COMPUTED_VALUE"""),46083.6824189814)</f>
        <v>46083.6824189814</v>
      </c>
      <c r="AH59" s="5" t="str">
        <f ca="1">IFERROR(__xludf.DUMMYFUNCTION("""COMPUTED_VALUE"""),"milutin.toskic@fazi.rs")</f>
        <v>milutin.toskic@fazi.rs</v>
      </c>
      <c r="AI59" s="5"/>
      <c r="AJ59" s="5"/>
      <c r="AK59" s="5">
        <f ca="1">IFERROR(__xludf.DUMMYFUNCTION("""COMPUTED_VALUE"""),40)</f>
        <v>40</v>
      </c>
      <c r="AL59" s="5" t="str">
        <f ca="1">IFERROR(__xludf.DUMMYFUNCTION("""COMPUTED_VALUE"""),"Yes")</f>
        <v>Yes</v>
      </c>
      <c r="AM59" s="5"/>
      <c r="AN59" s="7" t="str">
        <f ca="1">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AO59" s="5" t="str">
        <f ca="1">IFERROR(__xludf.DUMMYFUNCTION("""COMPUTED_VALUE"""),"Yes")</f>
        <v>Yes</v>
      </c>
      <c r="AP59" s="5"/>
      <c r="AQ59" s="5" t="b">
        <f ca="1">IFERROR(__xludf.DUMMYFUNCTION("""COMPUTED_VALUE"""),TRUE)</f>
        <v>1</v>
      </c>
      <c r="AR59" s="5"/>
      <c r="AS59" s="5" t="str">
        <f ca="1">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AT59" s="5"/>
      <c r="AU59" s="5" t="str">
        <f ca="1">IFERROR(__xludf.DUMMYFUNCTION("""COMPUTED_VALUE"""),"Fazi")</f>
        <v>Fazi</v>
      </c>
      <c r="AV59" s="5"/>
      <c r="AW59" s="5"/>
      <c r="AX59" s="5"/>
      <c r="AY59" s="5"/>
      <c r="AZ59" s="5"/>
      <c r="BA59" s="5" t="str">
        <f ca="1">IFERROR(__xludf.DUMMYFUNCTION("""COMPUTED_VALUE"""),"")</f>
        <v/>
      </c>
      <c r="BB59" s="5"/>
      <c r="BC59" s="5" t="str">
        <f ca="1">IFERROR(__xludf.DUMMYFUNCTION("""COMPUTED_VALUE"""),"Foxi")</f>
        <v>Foxi</v>
      </c>
      <c r="BD59" s="7" t="str">
        <f ca="1">IFERROR(__xludf.DUMMYFUNCTION("""COMPUTED_VALUE"""),"https://gameserver-store-client-area.orbionlimited.com/Home/IntegrationGameLaunch/client-area?moneyType=0&amp;gameName=FruitsAndStars40&amp;platform=desktop&amp;languageCode=eng&amp;currency=EUR")</f>
        <v>https://gameserver-store-client-area.orbionlimited.com/Home/IntegrationGameLaunch/client-area?moneyType=0&amp;gameName=FruitsAndStars40&amp;platform=desktop&amp;languageCode=eng&amp;currency=EUR</v>
      </c>
      <c r="BE59" s="5" t="b">
        <f ca="1">IFERROR(__xludf.DUMMYFUNCTION("""COMPUTED_VALUE"""),TRUE)</f>
        <v>1</v>
      </c>
    </row>
    <row r="60" spans="1:57" x14ac:dyDescent="0.25">
      <c r="A60" s="5">
        <f ca="1">IFERROR(__xludf.DUMMYFUNCTION("""COMPUTED_VALUE"""),59)</f>
        <v>59</v>
      </c>
      <c r="B60" s="5">
        <f ca="1">IFERROR(__xludf.DUMMYFUNCTION("""COMPUTED_VALUE"""),58)</f>
        <v>58</v>
      </c>
      <c r="C60" s="5" t="str">
        <f ca="1">IFERROR(__xludf.DUMMYFUNCTION("""COMPUTED_VALUE"""),"Fazi")</f>
        <v>Fazi</v>
      </c>
      <c r="D60" s="5" t="str">
        <f ca="1">IFERROR(__xludf.DUMMYFUNCTION("""COMPUTED_VALUE"""),"Twinkling Hot 5")</f>
        <v>Twinkling Hot 5</v>
      </c>
      <c r="E60" s="5" t="str">
        <f ca="1">IFERROR(__xludf.DUMMYFUNCTION("""COMPUTED_VALUE"""),"V2")</f>
        <v>V2</v>
      </c>
      <c r="F60" s="5" t="str">
        <f ca="1">IFERROR(__xludf.DUMMYFUNCTION("""COMPUTED_VALUE"""),"TwinklingHot5")</f>
        <v>TwinklingHot5</v>
      </c>
      <c r="G60" s="5" t="str">
        <f ca="1">IFERROR(__xludf.DUMMYFUNCTION("""COMPUTED_VALUE"""),"Live")</f>
        <v>Live</v>
      </c>
      <c r="H60" s="5"/>
      <c r="I60" s="5" t="str">
        <f ca="1">IFERROR(__xludf.DUMMYFUNCTION("""COMPUTED_VALUE"""),"V2")</f>
        <v>V2</v>
      </c>
      <c r="J60" s="5" t="str">
        <f ca="1">IFERROR(__xludf.DUMMYFUNCTION("""COMPUTED_VALUE"""),"JSON")</f>
        <v>JSON</v>
      </c>
      <c r="K60" s="5" t="str">
        <f ca="1">IFERROR(__xludf.DUMMYFUNCTION("""COMPUTED_VALUE"""),"Slot")</f>
        <v>Slot</v>
      </c>
      <c r="L60" s="5"/>
      <c r="M60" s="5"/>
      <c r="N60" s="5"/>
      <c r="O60" s="5"/>
      <c r="P60" s="14">
        <f ca="1">IFERROR(__xludf.DUMMYFUNCTION("""COMPUTED_VALUE"""),27.6)</f>
        <v>27.6</v>
      </c>
      <c r="Q60" s="5"/>
      <c r="R60" s="5"/>
      <c r="S60" s="15">
        <f ca="1">IFERROR(__xludf.DUMMYFUNCTION("""COMPUTED_VALUE"""),43815)</f>
        <v>43815</v>
      </c>
      <c r="T60" s="5" t="b">
        <f ca="1">IFERROR(__xludf.DUMMYFUNCTION("""COMPUTED_VALUE"""),TRUE)</f>
        <v>1</v>
      </c>
      <c r="U60" s="5" t="str">
        <f ca="1">IFERROR(__xludf.DUMMYFUNCTION("""COMPUTED_VALUE"""),"5x3")</f>
        <v>5x3</v>
      </c>
      <c r="V60" s="12" t="str">
        <f ca="1">IFERROR(__xludf.DUMMYFUNCTION("""COMPUTED_VALUE"""),"5")</f>
        <v>5</v>
      </c>
      <c r="W60" s="12" t="str">
        <f ca="1">IFERROR(__xludf.DUMMYFUNCTION("""COMPUTED_VALUE"""),"5")</f>
        <v>5</v>
      </c>
      <c r="X60" s="5">
        <f ca="1">IFERROR(__xludf.DUMMYFUNCTION("""COMPUTED_VALUE"""),95.656)</f>
        <v>95.656000000000006</v>
      </c>
      <c r="Y60" s="5" t="str">
        <f ca="1">IFERROR(__xludf.DUMMYFUNCTION("""COMPUTED_VALUE"""),"Medium")</f>
        <v>Medium</v>
      </c>
      <c r="Z60" s="5">
        <f ca="1">IFERROR(__xludf.DUMMYFUNCTION("""COMPUTED_VALUE"""),12.49)</f>
        <v>12.49</v>
      </c>
      <c r="AA60" s="14">
        <f ca="1">IFERROR(__xludf.DUMMYFUNCTION("""COMPUTED_VALUE"""),1000)</f>
        <v>1000</v>
      </c>
      <c r="AB60" s="5" t="str">
        <f ca="1">IFERROR(__xludf.DUMMYFUNCTION("""COMPUTED_VALUE"""),"/")</f>
        <v>/</v>
      </c>
      <c r="AC60" s="5" t="str">
        <f ca="1">IFERROR(__xludf.DUMMYFUNCTION("""COMPUTED_VALUE"""),"Scatter")</f>
        <v>Scatter</v>
      </c>
      <c r="AD60" s="5" t="str">
        <f ca="1">IFERROR(__xludf.DUMMYFUNCTION("""COMPUTED_VALUE"""),"0.05/30")</f>
        <v>0.05/30</v>
      </c>
      <c r="AE60" s="5"/>
      <c r="AF60" s="5"/>
      <c r="AG60" s="10">
        <f ca="1">IFERROR(__xludf.DUMMYFUNCTION("""COMPUTED_VALUE"""),46104.4255439814)</f>
        <v>46104.425543981401</v>
      </c>
      <c r="AH60" s="5" t="str">
        <f ca="1">IFERROR(__xludf.DUMMYFUNCTION("""COMPUTED_VALUE"""),"marko.tepavac@fazi.rs")</f>
        <v>marko.tepavac@fazi.rs</v>
      </c>
      <c r="AI60" s="5"/>
      <c r="AJ60" s="5"/>
      <c r="AK60" s="5">
        <f ca="1">IFERROR(__xludf.DUMMYFUNCTION("""COMPUTED_VALUE"""),5)</f>
        <v>5</v>
      </c>
      <c r="AL60" s="5" t="str">
        <f ca="1">IFERROR(__xludf.DUMMYFUNCTION("""COMPUTED_VALUE"""),"Yes")</f>
        <v>Yes</v>
      </c>
      <c r="AM60" s="5"/>
      <c r="AN60" s="7" t="str">
        <f ca="1">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AO60" s="5" t="str">
        <f ca="1">IFERROR(__xludf.DUMMYFUNCTION("""COMPUTED_VALUE"""),"Yes")</f>
        <v>Yes</v>
      </c>
      <c r="AP60" s="5" t="str">
        <f ca="1">IFERROR(__xludf.DUMMYFUNCTION("""COMPUTED_VALUE"""),"Yes")</f>
        <v>Yes</v>
      </c>
      <c r="AQ60" s="5" t="b">
        <f ca="1">IFERROR(__xludf.DUMMYFUNCTION("""COMPUTED_VALUE"""),TRUE)</f>
        <v>1</v>
      </c>
      <c r="AR60" s="5"/>
      <c r="AS60" s="5" t="str">
        <f ca="1">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AT60" s="5" t="str">
        <f ca="1">IFERROR(__xludf.DUMMYFUNCTION("""COMPUTED_VALUE"""),"No")</f>
        <v>No</v>
      </c>
      <c r="AU60" s="5" t="str">
        <f ca="1">IFERROR(__xludf.DUMMYFUNCTION("""COMPUTED_VALUE"""),"Fazi")</f>
        <v>Fazi</v>
      </c>
      <c r="AV60" s="5"/>
      <c r="AW60" s="5"/>
      <c r="AX60" s="5"/>
      <c r="AY60" s="5"/>
      <c r="AZ60" s="5"/>
      <c r="BA60" s="5" t="str">
        <f ca="1">IFERROR(__xludf.DUMMYFUNCTION("""COMPUTED_VALUE"""),"")</f>
        <v/>
      </c>
      <c r="BB60" s="5"/>
      <c r="BC60" s="5" t="str">
        <f ca="1">IFERROR(__xludf.DUMMYFUNCTION("""COMPUTED_VALUE"""),"Foxi")</f>
        <v>Foxi</v>
      </c>
      <c r="BD60" s="7" t="str">
        <f ca="1">IFERROR(__xludf.DUMMYFUNCTION("""COMPUTED_VALUE"""),"https://gameserver-store-client-area.orbionlimited.com/Home/IntegrationGameLaunch/client-area?moneyType=0&amp;gameName=TwinklingHot5&amp;platform=desktop&amp;languageCode=eng&amp;currency=EUR")</f>
        <v>https://gameserver-store-client-area.orbionlimited.com/Home/IntegrationGameLaunch/client-area?moneyType=0&amp;gameName=TwinklingHot5&amp;platform=desktop&amp;languageCode=eng&amp;currency=EUR</v>
      </c>
      <c r="BE60" s="5" t="b">
        <f ca="1">IFERROR(__xludf.DUMMYFUNCTION("""COMPUTED_VALUE"""),TRUE)</f>
        <v>1</v>
      </c>
    </row>
    <row r="61" spans="1:57" x14ac:dyDescent="0.25">
      <c r="A61" s="5">
        <f ca="1">IFERROR(__xludf.DUMMYFUNCTION("""COMPUTED_VALUE"""),60)</f>
        <v>60</v>
      </c>
      <c r="B61" s="5">
        <f ca="1">IFERROR(__xludf.DUMMYFUNCTION("""COMPUTED_VALUE"""),59)</f>
        <v>59</v>
      </c>
      <c r="C61" s="5" t="str">
        <f ca="1">IFERROR(__xludf.DUMMYFUNCTION("""COMPUTED_VALUE"""),"Fazi")</f>
        <v>Fazi</v>
      </c>
      <c r="D61" s="5" t="str">
        <f ca="1">IFERROR(__xludf.DUMMYFUNCTION("""COMPUTED_VALUE"""),"Dice Of Spells")</f>
        <v>Dice Of Spells</v>
      </c>
      <c r="E61" s="5" t="str">
        <f ca="1">IFERROR(__xludf.DUMMYFUNCTION("""COMPUTED_VALUE"""),"V2")</f>
        <v>V2</v>
      </c>
      <c r="F61" s="5" t="str">
        <f ca="1">IFERROR(__xludf.DUMMYFUNCTION("""COMPUTED_VALUE"""),"DiceOfSpells")</f>
        <v>DiceOfSpells</v>
      </c>
      <c r="G61" s="5" t="str">
        <f ca="1">IFERROR(__xludf.DUMMYFUNCTION("""COMPUTED_VALUE"""),"Live")</f>
        <v>Live</v>
      </c>
      <c r="H61" s="5"/>
      <c r="I61" s="5" t="str">
        <f ca="1">IFERROR(__xludf.DUMMYFUNCTION("""COMPUTED_VALUE"""),"V2")</f>
        <v>V2</v>
      </c>
      <c r="J61" s="5" t="str">
        <f ca="1">IFERROR(__xludf.DUMMYFUNCTION("""COMPUTED_VALUE"""),"Binary")</f>
        <v>Binary</v>
      </c>
      <c r="K61" s="5" t="str">
        <f ca="1">IFERROR(__xludf.DUMMYFUNCTION("""COMPUTED_VALUE"""),"Slot")</f>
        <v>Slot</v>
      </c>
      <c r="L61" s="5" t="str">
        <f ca="1">IFERROR(__xludf.DUMMYFUNCTION("""COMPUTED_VALUE"""),"Clone")</f>
        <v>Clone</v>
      </c>
      <c r="M61" s="5" t="str">
        <f ca="1">IFERROR(__xludf.DUMMYFUNCTION("""COMPUTED_VALUE"""),"Book of Spells")</f>
        <v>Book of Spells</v>
      </c>
      <c r="N61" s="5"/>
      <c r="O61" s="5"/>
      <c r="P61" s="14">
        <f ca="1">IFERROR(__xludf.DUMMYFUNCTION("""COMPUTED_VALUE"""),37.2)</f>
        <v>37.200000000000003</v>
      </c>
      <c r="Q61" s="5"/>
      <c r="R61" s="5"/>
      <c r="S61" s="15">
        <f ca="1">IFERROR(__xludf.DUMMYFUNCTION("""COMPUTED_VALUE"""),43922)</f>
        <v>43922</v>
      </c>
      <c r="T61" s="5" t="b">
        <f ca="1">IFERROR(__xludf.DUMMYFUNCTION("""COMPUTED_VALUE"""),TRUE)</f>
        <v>1</v>
      </c>
      <c r="U61" s="5" t="str">
        <f ca="1">IFERROR(__xludf.DUMMYFUNCTION("""COMPUTED_VALUE"""),"5x3")</f>
        <v>5x3</v>
      </c>
      <c r="V61" s="12" t="str">
        <f ca="1">IFERROR(__xludf.DUMMYFUNCTION("""COMPUTED_VALUE"""),"10")</f>
        <v>10</v>
      </c>
      <c r="W61" s="12" t="str">
        <f ca="1">IFERROR(__xludf.DUMMYFUNCTION("""COMPUTED_VALUE"""),"1,3,5,7,10")</f>
        <v>1,3,5,7,10</v>
      </c>
      <c r="X61" s="5">
        <f ca="1">IFERROR(__xludf.DUMMYFUNCTION("""COMPUTED_VALUE"""),96.064)</f>
        <v>96.063999999999993</v>
      </c>
      <c r="Y61" s="5" t="str">
        <f ca="1">IFERROR(__xludf.DUMMYFUNCTION("""COMPUTED_VALUE"""),"High")</f>
        <v>High</v>
      </c>
      <c r="Z61" s="5">
        <f ca="1">IFERROR(__xludf.DUMMYFUNCTION("""COMPUTED_VALUE"""),31.47)</f>
        <v>31.47</v>
      </c>
      <c r="AA61" s="14">
        <f ca="1">IFERROR(__xludf.DUMMYFUNCTION("""COMPUTED_VALUE"""),5512)</f>
        <v>5512</v>
      </c>
      <c r="AB61" s="5">
        <f ca="1">IFERROR(__xludf.DUMMYFUNCTION("""COMPUTED_VALUE"""),212)</f>
        <v>212</v>
      </c>
      <c r="AC61" s="5" t="str">
        <f ca="1">IFERROR(__xludf.DUMMYFUNCTION("""COMPUTED_VALUE"""),"Book Of Game, Wild Symbol, Scatter")</f>
        <v>Book Of Game, Wild Symbol, Scatter</v>
      </c>
      <c r="AD61" s="5" t="str">
        <f ca="1">IFERROR(__xludf.DUMMYFUNCTION("""COMPUTED_VALUE"""),"0.01/40")</f>
        <v>0.01/40</v>
      </c>
      <c r="AE61" s="5"/>
      <c r="AF61" s="5"/>
      <c r="AG61" s="5"/>
      <c r="AH61" s="5"/>
      <c r="AI61" s="5"/>
      <c r="AJ61" s="5"/>
      <c r="AK61" s="5">
        <f ca="1">IFERROR(__xludf.DUMMYFUNCTION("""COMPUTED_VALUE"""),10)</f>
        <v>10</v>
      </c>
      <c r="AL61" s="5" t="str">
        <f ca="1">IFERROR(__xludf.DUMMYFUNCTION("""COMPUTED_VALUE"""),"Yes")</f>
        <v>Yes</v>
      </c>
      <c r="AM61" s="5"/>
      <c r="AN61" s="7" t="str">
        <f ca="1">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AO61" s="5"/>
      <c r="AP61" s="5"/>
      <c r="AQ61" s="5" t="b">
        <f ca="1">IFERROR(__xludf.DUMMYFUNCTION("""COMPUTED_VALUE"""),TRUE)</f>
        <v>1</v>
      </c>
      <c r="AR61" s="5"/>
      <c r="AS61" s="5" t="str">
        <f ca="1">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AT61" s="5"/>
      <c r="AU61" s="5" t="str">
        <f ca="1">IFERROR(__xludf.DUMMYFUNCTION("""COMPUTED_VALUE"""),"Fazi")</f>
        <v>Fazi</v>
      </c>
      <c r="AV61" s="5"/>
      <c r="AW61" s="5"/>
      <c r="AX61" s="5"/>
      <c r="AY61" s="5"/>
      <c r="AZ61" s="5"/>
      <c r="BA61" s="5" t="str">
        <f ca="1">IFERROR(__xludf.DUMMYFUNCTION("""COMPUTED_VALUE"""),"")</f>
        <v/>
      </c>
      <c r="BB61" s="5"/>
      <c r="BC61" s="5" t="str">
        <f ca="1">IFERROR(__xludf.DUMMYFUNCTION("""COMPUTED_VALUE"""),"Foxi")</f>
        <v>Foxi</v>
      </c>
      <c r="BD61" s="7" t="str">
        <f ca="1">IFERROR(__xludf.DUMMYFUNCTION("""COMPUTED_VALUE"""),"https://gameserver-store-client-area.orbionlimited.com/Home/IntegrationGameLaunch/client-area?moneyType=0&amp;gameName=DiceOfSpells&amp;platform=desktop&amp;languageCode=eng&amp;currency=EUR")</f>
        <v>https://gameserver-store-client-area.orbionlimited.com/Home/IntegrationGameLaunch/client-area?moneyType=0&amp;gameName=DiceOfSpells&amp;platform=desktop&amp;languageCode=eng&amp;currency=EUR</v>
      </c>
      <c r="BE61" s="5" t="b">
        <f ca="1">IFERROR(__xludf.DUMMYFUNCTION("""COMPUTED_VALUE"""),TRUE)</f>
        <v>1</v>
      </c>
    </row>
    <row r="62" spans="1:57" x14ac:dyDescent="0.25">
      <c r="A62" s="5">
        <f ca="1">IFERROR(__xludf.DUMMYFUNCTION("""COMPUTED_VALUE"""),61)</f>
        <v>61</v>
      </c>
      <c r="B62" s="5">
        <f ca="1">IFERROR(__xludf.DUMMYFUNCTION("""COMPUTED_VALUE"""),60)</f>
        <v>60</v>
      </c>
      <c r="C62" s="5" t="str">
        <f ca="1">IFERROR(__xludf.DUMMYFUNCTION("""COMPUTED_VALUE"""),"Fazi")</f>
        <v>Fazi</v>
      </c>
      <c r="D62" s="5" t="str">
        <f ca="1">IFERROR(__xludf.DUMMYFUNCTION("""COMPUTED_VALUE"""),"Cubes And Stars")</f>
        <v>Cubes And Stars</v>
      </c>
      <c r="E62" s="5" t="str">
        <f ca="1">IFERROR(__xludf.DUMMYFUNCTION("""COMPUTED_VALUE"""),"V2")</f>
        <v>V2</v>
      </c>
      <c r="F62" s="5" t="str">
        <f ca="1">IFERROR(__xludf.DUMMYFUNCTION("""COMPUTED_VALUE"""),"CubesAndStars")</f>
        <v>CubesAndStars</v>
      </c>
      <c r="G62" s="5" t="str">
        <f ca="1">IFERROR(__xludf.DUMMYFUNCTION("""COMPUTED_VALUE"""),"Live")</f>
        <v>Live</v>
      </c>
      <c r="H62" s="5"/>
      <c r="I62" s="5" t="str">
        <f ca="1">IFERROR(__xludf.DUMMYFUNCTION("""COMPUTED_VALUE"""),"V2")</f>
        <v>V2</v>
      </c>
      <c r="J62" s="5" t="str">
        <f ca="1">IFERROR(__xludf.DUMMYFUNCTION("""COMPUTED_VALUE"""),"Binary")</f>
        <v>Binary</v>
      </c>
      <c r="K62" s="5" t="str">
        <f ca="1">IFERROR(__xludf.DUMMYFUNCTION("""COMPUTED_VALUE"""),"Slot")</f>
        <v>Slot</v>
      </c>
      <c r="L62" s="5" t="str">
        <f ca="1">IFERROR(__xludf.DUMMYFUNCTION("""COMPUTED_VALUE"""),"Clone")</f>
        <v>Clone</v>
      </c>
      <c r="M62" s="5" t="str">
        <f ca="1">IFERROR(__xludf.DUMMYFUNCTION("""COMPUTED_VALUE"""),"Fruits and Stars")</f>
        <v>Fruits and Stars</v>
      </c>
      <c r="N62" s="5"/>
      <c r="O62" s="5"/>
      <c r="P62" s="14">
        <f ca="1">IFERROR(__xludf.DUMMYFUNCTION("""COMPUTED_VALUE"""),19.7)</f>
        <v>19.7</v>
      </c>
      <c r="Q62" s="5"/>
      <c r="R62" s="5"/>
      <c r="S62" s="15">
        <f ca="1">IFERROR(__xludf.DUMMYFUNCTION("""COMPUTED_VALUE"""),43525)</f>
        <v>43525</v>
      </c>
      <c r="T62" s="5"/>
      <c r="U62" s="5" t="str">
        <f ca="1">IFERROR(__xludf.DUMMYFUNCTION("""COMPUTED_VALUE"""),"5x3")</f>
        <v>5x3</v>
      </c>
      <c r="V62" s="12" t="str">
        <f ca="1">IFERROR(__xludf.DUMMYFUNCTION("""COMPUTED_VALUE"""),"20")</f>
        <v>20</v>
      </c>
      <c r="W62" s="12" t="str">
        <f ca="1">IFERROR(__xludf.DUMMYFUNCTION("""COMPUTED_VALUE"""),"1,3,5,7,10,20")</f>
        <v>1,3,5,7,10,20</v>
      </c>
      <c r="X62" s="5">
        <f ca="1">IFERROR(__xludf.DUMMYFUNCTION("""COMPUTED_VALUE"""),95.79)</f>
        <v>95.79</v>
      </c>
      <c r="Y62" s="5" t="str">
        <f ca="1">IFERROR(__xludf.DUMMYFUNCTION("""COMPUTED_VALUE"""),"Low")</f>
        <v>Low</v>
      </c>
      <c r="Z62" s="5">
        <f ca="1">IFERROR(__xludf.DUMMYFUNCTION("""COMPUTED_VALUE"""),17.45)</f>
        <v>17.45</v>
      </c>
      <c r="AA62" s="14">
        <f ca="1">IFERROR(__xludf.DUMMYFUNCTION("""COMPUTED_VALUE"""),1000)</f>
        <v>1000</v>
      </c>
      <c r="AB62" s="5" t="str">
        <f ca="1">IFERROR(__xludf.DUMMYFUNCTION("""COMPUTED_VALUE"""),"/")</f>
        <v>/</v>
      </c>
      <c r="AC62" s="5" t="str">
        <f ca="1">IFERROR(__xludf.DUMMYFUNCTION("""COMPUTED_VALUE"""),"Wild Symbol, Scatter")</f>
        <v>Wild Symbol, Scatter</v>
      </c>
      <c r="AD62" s="5" t="str">
        <f ca="1">IFERROR(__xludf.DUMMYFUNCTION("""COMPUTED_VALUE"""),"0.01/50")</f>
        <v>0.01/50</v>
      </c>
      <c r="AE62" s="5"/>
      <c r="AF62" s="5"/>
      <c r="AG62" s="10">
        <f ca="1">IFERROR(__xludf.DUMMYFUNCTION("""COMPUTED_VALUE"""),46055.5083449074)</f>
        <v>46055.508344907401</v>
      </c>
      <c r="AH62" s="5" t="str">
        <f ca="1">IFERROR(__xludf.DUMMYFUNCTION("""COMPUTED_VALUE"""),"djordje.jankovic@fazi.rs")</f>
        <v>djordje.jankovic@fazi.rs</v>
      </c>
      <c r="AI62" s="5"/>
      <c r="AJ62" s="5"/>
      <c r="AK62" s="5">
        <f ca="1">IFERROR(__xludf.DUMMYFUNCTION("""COMPUTED_VALUE"""),20)</f>
        <v>20</v>
      </c>
      <c r="AL62" s="5" t="str">
        <f ca="1">IFERROR(__xludf.DUMMYFUNCTION("""COMPUTED_VALUE"""),"Yes")</f>
        <v>Yes</v>
      </c>
      <c r="AM62" s="5"/>
      <c r="AN62" s="7" t="str">
        <f ca="1">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AO62" s="5"/>
      <c r="AP62" s="5"/>
      <c r="AQ62" s="5" t="b">
        <f ca="1">IFERROR(__xludf.DUMMYFUNCTION("""COMPUTED_VALUE"""),TRUE)</f>
        <v>1</v>
      </c>
      <c r="AR62" s="5"/>
      <c r="AS62" s="5" t="str">
        <f ca="1">IFERROR(__xludf.DUMMYFUNCTION("""COMPUTED_VALUE"""),"Roll the dice and your day will get better than nice !")</f>
        <v>Roll the dice and your day will get better than nice !</v>
      </c>
      <c r="AT62" s="5"/>
      <c r="AU62" s="5" t="str">
        <f ca="1">IFERROR(__xludf.DUMMYFUNCTION("""COMPUTED_VALUE"""),"Fazi")</f>
        <v>Fazi</v>
      </c>
      <c r="AV62" s="5"/>
      <c r="AW62" s="5"/>
      <c r="AX62" s="5"/>
      <c r="AY62" s="5"/>
      <c r="AZ62" s="5"/>
      <c r="BA62" s="5" t="str">
        <f ca="1">IFERROR(__xludf.DUMMYFUNCTION("""COMPUTED_VALUE"""),"")</f>
        <v/>
      </c>
      <c r="BB62" s="5"/>
      <c r="BC62" s="5" t="str">
        <f ca="1">IFERROR(__xludf.DUMMYFUNCTION("""COMPUTED_VALUE"""),"Foxi")</f>
        <v>Foxi</v>
      </c>
      <c r="BD62" s="7" t="str">
        <f ca="1">IFERROR(__xludf.DUMMYFUNCTION("""COMPUTED_VALUE"""),"https://gameserver-store-client-area.orbionlimited.com/Home/IntegrationGameLaunch/client-area?moneyType=0&amp;gameName=CubesAndStars&amp;platform=desktop&amp;languageCode=eng&amp;currency=EUR")</f>
        <v>https://gameserver-store-client-area.orbionlimited.com/Home/IntegrationGameLaunch/client-area?moneyType=0&amp;gameName=CubesAndStars&amp;platform=desktop&amp;languageCode=eng&amp;currency=EUR</v>
      </c>
      <c r="BE62" s="5" t="b">
        <f ca="1">IFERROR(__xludf.DUMMYFUNCTION("""COMPUTED_VALUE"""),TRUE)</f>
        <v>1</v>
      </c>
    </row>
    <row r="63" spans="1:57" x14ac:dyDescent="0.25">
      <c r="A63" s="5">
        <f ca="1">IFERROR(__xludf.DUMMYFUNCTION("""COMPUTED_VALUE"""),62)</f>
        <v>62</v>
      </c>
      <c r="B63" s="5">
        <f ca="1">IFERROR(__xludf.DUMMYFUNCTION("""COMPUTED_VALUE"""),61)</f>
        <v>61</v>
      </c>
      <c r="C63" s="5" t="str">
        <f ca="1">IFERROR(__xludf.DUMMYFUNCTION("""COMPUTED_VALUE"""),"Fazi")</f>
        <v>Fazi</v>
      </c>
      <c r="D63" s="5" t="str">
        <f ca="1">IFERROR(__xludf.DUMMYFUNCTION("""COMPUTED_VALUE"""),"Twinkling Hot 40")</f>
        <v>Twinkling Hot 40</v>
      </c>
      <c r="E63" s="5" t="str">
        <f ca="1">IFERROR(__xludf.DUMMYFUNCTION("""COMPUTED_VALUE"""),"V2")</f>
        <v>V2</v>
      </c>
      <c r="F63" s="5" t="str">
        <f ca="1">IFERROR(__xludf.DUMMYFUNCTION("""COMPUTED_VALUE"""),"TwinklingHot40")</f>
        <v>TwinklingHot40</v>
      </c>
      <c r="G63" s="5" t="str">
        <f ca="1">IFERROR(__xludf.DUMMYFUNCTION("""COMPUTED_VALUE"""),"Live")</f>
        <v>Live</v>
      </c>
      <c r="H63" s="5"/>
      <c r="I63" s="5" t="str">
        <f ca="1">IFERROR(__xludf.DUMMYFUNCTION("""COMPUTED_VALUE"""),"V2")</f>
        <v>V2</v>
      </c>
      <c r="J63" s="5" t="str">
        <f ca="1">IFERROR(__xludf.DUMMYFUNCTION("""COMPUTED_VALUE"""),"JSON")</f>
        <v>JSON</v>
      </c>
      <c r="K63" s="5" t="str">
        <f ca="1">IFERROR(__xludf.DUMMYFUNCTION("""COMPUTED_VALUE"""),"Slot")</f>
        <v>Slot</v>
      </c>
      <c r="L63" s="5" t="str">
        <f ca="1">IFERROR(__xludf.DUMMYFUNCTION("""COMPUTED_VALUE"""),"Clone")</f>
        <v>Clone</v>
      </c>
      <c r="M63" s="5" t="str">
        <f ca="1">IFERROR(__xludf.DUMMYFUNCTION("""COMPUTED_VALUE"""),"Twinkling Hot 5")</f>
        <v>Twinkling Hot 5</v>
      </c>
      <c r="N63" s="5"/>
      <c r="O63" s="5"/>
      <c r="P63" s="14">
        <f ca="1">IFERROR(__xludf.DUMMYFUNCTION("""COMPUTED_VALUE"""),27.9)</f>
        <v>27.9</v>
      </c>
      <c r="Q63" s="5"/>
      <c r="R63" s="5"/>
      <c r="S63" s="15">
        <f ca="1">IFERROR(__xludf.DUMMYFUNCTION("""COMPUTED_VALUE"""),43843)</f>
        <v>43843</v>
      </c>
      <c r="T63" s="5" t="b">
        <f ca="1">IFERROR(__xludf.DUMMYFUNCTION("""COMPUTED_VALUE"""),TRUE)</f>
        <v>1</v>
      </c>
      <c r="U63" s="5" t="str">
        <f ca="1">IFERROR(__xludf.DUMMYFUNCTION("""COMPUTED_VALUE"""),"5x3")</f>
        <v>5x3</v>
      </c>
      <c r="V63" s="12" t="str">
        <f ca="1">IFERROR(__xludf.DUMMYFUNCTION("""COMPUTED_VALUE"""),"40")</f>
        <v>40</v>
      </c>
      <c r="W63" s="12" t="str">
        <f ca="1">IFERROR(__xludf.DUMMYFUNCTION("""COMPUTED_VALUE"""),"40")</f>
        <v>40</v>
      </c>
      <c r="X63" s="5">
        <f ca="1">IFERROR(__xludf.DUMMYFUNCTION("""COMPUTED_VALUE"""),95.656)</f>
        <v>95.656000000000006</v>
      </c>
      <c r="Y63" s="5" t="str">
        <f ca="1">IFERROR(__xludf.DUMMYFUNCTION("""COMPUTED_VALUE"""),"Low")</f>
        <v>Low</v>
      </c>
      <c r="Z63" s="5">
        <f ca="1">IFERROR(__xludf.DUMMYFUNCTION("""COMPUTED_VALUE"""),17.87)</f>
        <v>17.87</v>
      </c>
      <c r="AA63" s="14">
        <f ca="1">IFERROR(__xludf.DUMMYFUNCTION("""COMPUTED_VALUE"""),200)</f>
        <v>200</v>
      </c>
      <c r="AB63" s="5" t="str">
        <f ca="1">IFERROR(__xludf.DUMMYFUNCTION("""COMPUTED_VALUE"""),"/")</f>
        <v>/</v>
      </c>
      <c r="AC63" s="5" t="str">
        <f ca="1">IFERROR(__xludf.DUMMYFUNCTION("""COMPUTED_VALUE"""),"Scatter")</f>
        <v>Scatter</v>
      </c>
      <c r="AD63" s="5" t="str">
        <f ca="1">IFERROR(__xludf.DUMMYFUNCTION("""COMPUTED_VALUE"""),"0.40/60")</f>
        <v>0.40/60</v>
      </c>
      <c r="AE63" s="5"/>
      <c r="AF63" s="5"/>
      <c r="AG63" s="10">
        <f ca="1">IFERROR(__xludf.DUMMYFUNCTION("""COMPUTED_VALUE"""),46104.4259027777)</f>
        <v>46104.425902777701</v>
      </c>
      <c r="AH63" s="5" t="str">
        <f ca="1">IFERROR(__xludf.DUMMYFUNCTION("""COMPUTED_VALUE"""),"marko.tepavac@fazi.rs")</f>
        <v>marko.tepavac@fazi.rs</v>
      </c>
      <c r="AI63" s="5"/>
      <c r="AJ63" s="5"/>
      <c r="AK63" s="5">
        <f ca="1">IFERROR(__xludf.DUMMYFUNCTION("""COMPUTED_VALUE"""),40)</f>
        <v>40</v>
      </c>
      <c r="AL63" s="5" t="str">
        <f ca="1">IFERROR(__xludf.DUMMYFUNCTION("""COMPUTED_VALUE"""),"Yes")</f>
        <v>Yes</v>
      </c>
      <c r="AM63" s="5"/>
      <c r="AN63" s="7" t="str">
        <f ca="1">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AO63" s="5" t="str">
        <f ca="1">IFERROR(__xludf.DUMMYFUNCTION("""COMPUTED_VALUE"""),"Yes")</f>
        <v>Yes</v>
      </c>
      <c r="AP63" s="5" t="str">
        <f ca="1">IFERROR(__xludf.DUMMYFUNCTION("""COMPUTED_VALUE"""),"Yes")</f>
        <v>Yes</v>
      </c>
      <c r="AQ63" s="5" t="b">
        <f ca="1">IFERROR(__xludf.DUMMYFUNCTION("""COMPUTED_VALUE"""),TRUE)</f>
        <v>1</v>
      </c>
      <c r="AR63" s="5"/>
      <c r="AS63" s="5" t="str">
        <f ca="1">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AT63" s="5" t="str">
        <f ca="1">IFERROR(__xludf.DUMMYFUNCTION("""COMPUTED_VALUE"""),"No")</f>
        <v>No</v>
      </c>
      <c r="AU63" s="5" t="str">
        <f ca="1">IFERROR(__xludf.DUMMYFUNCTION("""COMPUTED_VALUE"""),"Fazi")</f>
        <v>Fazi</v>
      </c>
      <c r="AV63" s="5"/>
      <c r="AW63" s="5"/>
      <c r="AX63" s="5"/>
      <c r="AY63" s="5"/>
      <c r="AZ63" s="5"/>
      <c r="BA63" s="5" t="str">
        <f ca="1">IFERROR(__xludf.DUMMYFUNCTION("""COMPUTED_VALUE"""),"")</f>
        <v/>
      </c>
      <c r="BB63" s="5"/>
      <c r="BC63" s="5" t="str">
        <f ca="1">IFERROR(__xludf.DUMMYFUNCTION("""COMPUTED_VALUE"""),"Foxi")</f>
        <v>Foxi</v>
      </c>
      <c r="BD63" s="7" t="str">
        <f ca="1">IFERROR(__xludf.DUMMYFUNCTION("""COMPUTED_VALUE"""),"https://gameserver-store-client-area.orbionlimited.com/Home/IntegrationGameLaunch/client-area?moneyType=0&amp;gameName=TwinklingHot40&amp;platform=desktop&amp;languageCode=eng&amp;currency=EUR")</f>
        <v>https://gameserver-store-client-area.orbionlimited.com/Home/IntegrationGameLaunch/client-area?moneyType=0&amp;gameName=TwinklingHot40&amp;platform=desktop&amp;languageCode=eng&amp;currency=EUR</v>
      </c>
      <c r="BE63" s="5" t="b">
        <f ca="1">IFERROR(__xludf.DUMMYFUNCTION("""COMPUTED_VALUE"""),TRUE)</f>
        <v>1</v>
      </c>
    </row>
    <row r="64" spans="1:57" x14ac:dyDescent="0.25">
      <c r="A64" s="5">
        <f ca="1">IFERROR(__xludf.DUMMYFUNCTION("""COMPUTED_VALUE"""),63)</f>
        <v>63</v>
      </c>
      <c r="B64" s="5">
        <f ca="1">IFERROR(__xludf.DUMMYFUNCTION("""COMPUTED_VALUE"""),62)</f>
        <v>62</v>
      </c>
      <c r="C64" s="5" t="str">
        <f ca="1">IFERROR(__xludf.DUMMYFUNCTION("""COMPUTED_VALUE"""),"Fazi")</f>
        <v>Fazi</v>
      </c>
      <c r="D64" s="5" t="str">
        <f ca="1">IFERROR(__xludf.DUMMYFUNCTION("""COMPUTED_VALUE"""),"Book Of Spells Deluxe")</f>
        <v>Book Of Spells Deluxe</v>
      </c>
      <c r="E64" s="5" t="str">
        <f ca="1">IFERROR(__xludf.DUMMYFUNCTION("""COMPUTED_VALUE"""),"V2")</f>
        <v>V2</v>
      </c>
      <c r="F64" s="5" t="str">
        <f ca="1">IFERROR(__xludf.DUMMYFUNCTION("""COMPUTED_VALUE"""),"BookOfSpellsDeluxe")</f>
        <v>BookOfSpellsDeluxe</v>
      </c>
      <c r="G64" s="5" t="str">
        <f ca="1">IFERROR(__xludf.DUMMYFUNCTION("""COMPUTED_VALUE"""),"Live")</f>
        <v>Live</v>
      </c>
      <c r="H64" s="5"/>
      <c r="I64" s="5" t="str">
        <f ca="1">IFERROR(__xludf.DUMMYFUNCTION("""COMPUTED_VALUE"""),"V2")</f>
        <v>V2</v>
      </c>
      <c r="J64" s="5" t="str">
        <f ca="1">IFERROR(__xludf.DUMMYFUNCTION("""COMPUTED_VALUE"""),"Binary")</f>
        <v>Binary</v>
      </c>
      <c r="K64" s="5" t="str">
        <f ca="1">IFERROR(__xludf.DUMMYFUNCTION("""COMPUTED_VALUE"""),"Slot")</f>
        <v>Slot</v>
      </c>
      <c r="L64" s="5" t="str">
        <f ca="1">IFERROR(__xludf.DUMMYFUNCTION("""COMPUTED_VALUE"""),"Clone")</f>
        <v>Clone</v>
      </c>
      <c r="M64" s="5" t="str">
        <f ca="1">IFERROR(__xludf.DUMMYFUNCTION("""COMPUTED_VALUE"""),"Book of Spells")</f>
        <v>Book of Spells</v>
      </c>
      <c r="N64" s="5"/>
      <c r="O64" s="5"/>
      <c r="P64" s="14">
        <f ca="1">IFERROR(__xludf.DUMMYFUNCTION("""COMPUTED_VALUE"""),41.4)</f>
        <v>41.4</v>
      </c>
      <c r="Q64" s="5"/>
      <c r="R64" s="5"/>
      <c r="S64" s="15">
        <f ca="1">IFERROR(__xludf.DUMMYFUNCTION("""COMPUTED_VALUE"""),43872)</f>
        <v>43872</v>
      </c>
      <c r="T64" s="5" t="b">
        <f ca="1">IFERROR(__xludf.DUMMYFUNCTION("""COMPUTED_VALUE"""),TRUE)</f>
        <v>1</v>
      </c>
      <c r="U64" s="5" t="str">
        <f ca="1">IFERROR(__xludf.DUMMYFUNCTION("""COMPUTED_VALUE"""),"5x3")</f>
        <v>5x3</v>
      </c>
      <c r="V64" s="12" t="str">
        <f ca="1">IFERROR(__xludf.DUMMYFUNCTION("""COMPUTED_VALUE"""),"10")</f>
        <v>10</v>
      </c>
      <c r="W64" s="12" t="str">
        <f ca="1">IFERROR(__xludf.DUMMYFUNCTION("""COMPUTED_VALUE"""),"1,3,5,7,10")</f>
        <v>1,3,5,7,10</v>
      </c>
      <c r="X64" s="5">
        <f ca="1">IFERROR(__xludf.DUMMYFUNCTION("""COMPUTED_VALUE"""),96.064)</f>
        <v>96.063999999999993</v>
      </c>
      <c r="Y64" s="5" t="str">
        <f ca="1">IFERROR(__xludf.DUMMYFUNCTION("""COMPUTED_VALUE"""),"High")</f>
        <v>High</v>
      </c>
      <c r="Z64" s="5">
        <f ca="1">IFERROR(__xludf.DUMMYFUNCTION("""COMPUTED_VALUE"""),31.47)</f>
        <v>31.47</v>
      </c>
      <c r="AA64" s="14">
        <f ca="1">IFERROR(__xludf.DUMMYFUNCTION("""COMPUTED_VALUE"""),5512)</f>
        <v>5512</v>
      </c>
      <c r="AB64" s="5">
        <f ca="1">IFERROR(__xludf.DUMMYFUNCTION("""COMPUTED_VALUE"""),212)</f>
        <v>212</v>
      </c>
      <c r="AC64" s="5" t="str">
        <f ca="1">IFERROR(__xludf.DUMMYFUNCTION("""COMPUTED_VALUE"""),"Book Of Game, Wild Symbol, Scatter")</f>
        <v>Book Of Game, Wild Symbol, Scatter</v>
      </c>
      <c r="AD64" s="5" t="str">
        <f ca="1">IFERROR(__xludf.DUMMYFUNCTION("""COMPUTED_VALUE"""),"0.01/40")</f>
        <v>0.01/40</v>
      </c>
      <c r="AE64" s="5"/>
      <c r="AF64" s="5"/>
      <c r="AG64" s="10">
        <f ca="1">IFERROR(__xludf.DUMMYFUNCTION("""COMPUTED_VALUE"""),45870.4106712963)</f>
        <v>45870.410671296297</v>
      </c>
      <c r="AH64" s="5" t="str">
        <f ca="1">IFERROR(__xludf.DUMMYFUNCTION("""COMPUTED_VALUE"""),"iva.cirkovic@fazi.rs")</f>
        <v>iva.cirkovic@fazi.rs</v>
      </c>
      <c r="AI64" s="5"/>
      <c r="AJ64" s="5"/>
      <c r="AK64" s="5">
        <f ca="1">IFERROR(__xludf.DUMMYFUNCTION("""COMPUTED_VALUE"""),10)</f>
        <v>10</v>
      </c>
      <c r="AL64" s="5" t="str">
        <f ca="1">IFERROR(__xludf.DUMMYFUNCTION("""COMPUTED_VALUE"""),"Yes")</f>
        <v>Yes</v>
      </c>
      <c r="AM64" s="5"/>
      <c r="AN64" s="7" t="str">
        <f ca="1">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AO64" s="5"/>
      <c r="AP64" s="5"/>
      <c r="AQ64" s="5" t="b">
        <f ca="1">IFERROR(__xludf.DUMMYFUNCTION("""COMPUTED_VALUE"""),TRUE)</f>
        <v>1</v>
      </c>
      <c r="AR64" s="5"/>
      <c r="AS64" s="5" t="str">
        <f ca="1">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64" s="5"/>
      <c r="AU64" s="5" t="str">
        <f ca="1">IFERROR(__xludf.DUMMYFUNCTION("""COMPUTED_VALUE"""),"Fazi")</f>
        <v>Fazi</v>
      </c>
      <c r="AV64" s="5"/>
      <c r="AW64" s="5"/>
      <c r="AX64" s="5"/>
      <c r="AY64" s="5"/>
      <c r="AZ64" s="5"/>
      <c r="BA64" s="5" t="str">
        <f ca="1">IFERROR(__xludf.DUMMYFUNCTION("""COMPUTED_VALUE"""),"")</f>
        <v/>
      </c>
      <c r="BB64" s="5"/>
      <c r="BC64" s="5" t="str">
        <f ca="1">IFERROR(__xludf.DUMMYFUNCTION("""COMPUTED_VALUE"""),"Foxi")</f>
        <v>Foxi</v>
      </c>
      <c r="BD64" s="7" t="str">
        <f ca="1">IFERROR(__xludf.DUMMYFUNCTION("""COMPUTED_VALUE"""),"https://gameserver-store-client-area.orbionlimited.com/Home/IntegrationGameLaunch/client-area?moneyType=0&amp;gameName=BookOfSpellsDeluxe&amp;platform=desktop&amp;languageCode=eng&amp;currency=EUR")</f>
        <v>https://gameserver-store-client-area.orbionlimited.com/Home/IntegrationGameLaunch/client-area?moneyType=0&amp;gameName=BookOfSpellsDeluxe&amp;platform=desktop&amp;languageCode=eng&amp;currency=EUR</v>
      </c>
      <c r="BE64" s="5" t="b">
        <f ca="1">IFERROR(__xludf.DUMMYFUNCTION("""COMPUTED_VALUE"""),TRUE)</f>
        <v>1</v>
      </c>
    </row>
    <row r="65" spans="1:57" x14ac:dyDescent="0.25">
      <c r="A65" s="5">
        <f ca="1">IFERROR(__xludf.DUMMYFUNCTION("""COMPUTED_VALUE"""),64)</f>
        <v>64</v>
      </c>
      <c r="B65" s="5">
        <f ca="1">IFERROR(__xludf.DUMMYFUNCTION("""COMPUTED_VALUE"""),63)</f>
        <v>63</v>
      </c>
      <c r="C65" s="5" t="str">
        <f ca="1">IFERROR(__xludf.DUMMYFUNCTION("""COMPUTED_VALUE"""),"Fazi")</f>
        <v>Fazi</v>
      </c>
      <c r="D65" s="5" t="str">
        <f ca="1">IFERROR(__xludf.DUMMYFUNCTION("""COMPUTED_VALUE"""),"Jazzy Fruits")</f>
        <v>Jazzy Fruits</v>
      </c>
      <c r="E65" s="5" t="str">
        <f ca="1">IFERROR(__xludf.DUMMYFUNCTION("""COMPUTED_VALUE"""),"V2")</f>
        <v>V2</v>
      </c>
      <c r="F65" s="5" t="str">
        <f ca="1">IFERROR(__xludf.DUMMYFUNCTION("""COMPUTED_VALUE"""),"JazzyFruits")</f>
        <v>JazzyFruits</v>
      </c>
      <c r="G65" s="5" t="str">
        <f ca="1">IFERROR(__xludf.DUMMYFUNCTION("""COMPUTED_VALUE"""),"Live")</f>
        <v>Live</v>
      </c>
      <c r="H65" s="5"/>
      <c r="I65" s="5" t="str">
        <f ca="1">IFERROR(__xludf.DUMMYFUNCTION("""COMPUTED_VALUE"""),"V2")</f>
        <v>V2</v>
      </c>
      <c r="J65" s="5" t="str">
        <f ca="1">IFERROR(__xludf.DUMMYFUNCTION("""COMPUTED_VALUE"""),"JSON")</f>
        <v>JSON</v>
      </c>
      <c r="K65" s="5" t="str">
        <f ca="1">IFERROR(__xludf.DUMMYFUNCTION("""COMPUTED_VALUE"""),"Slot")</f>
        <v>Slot</v>
      </c>
      <c r="L65" s="5" t="str">
        <f ca="1">IFERROR(__xludf.DUMMYFUNCTION("""COMPUTED_VALUE"""),"Clone")</f>
        <v>Clone</v>
      </c>
      <c r="M65" s="5" t="str">
        <f ca="1">IFERROR(__xludf.DUMMYFUNCTION("""COMPUTED_VALUE"""),"Twinkling Hot 5")</f>
        <v>Twinkling Hot 5</v>
      </c>
      <c r="N65" s="5"/>
      <c r="O65" s="5"/>
      <c r="P65" s="14">
        <f ca="1">IFERROR(__xludf.DUMMYFUNCTION("""COMPUTED_VALUE"""),23.7)</f>
        <v>23.7</v>
      </c>
      <c r="Q65" s="5"/>
      <c r="R65" s="5"/>
      <c r="S65" s="15">
        <f ca="1">IFERROR(__xludf.DUMMYFUNCTION("""COMPUTED_VALUE"""),43899)</f>
        <v>43899</v>
      </c>
      <c r="T65" s="5" t="b">
        <f ca="1">IFERROR(__xludf.DUMMYFUNCTION("""COMPUTED_VALUE"""),TRUE)</f>
        <v>1</v>
      </c>
      <c r="U65" s="5" t="str">
        <f ca="1">IFERROR(__xludf.DUMMYFUNCTION("""COMPUTED_VALUE"""),"5x3")</f>
        <v>5x3</v>
      </c>
      <c r="V65" s="12" t="str">
        <f ca="1">IFERROR(__xludf.DUMMYFUNCTION("""COMPUTED_VALUE"""),"5")</f>
        <v>5</v>
      </c>
      <c r="W65" s="12" t="str">
        <f ca="1">IFERROR(__xludf.DUMMYFUNCTION("""COMPUTED_VALUE"""),"5")</f>
        <v>5</v>
      </c>
      <c r="X65" s="5">
        <f ca="1">IFERROR(__xludf.DUMMYFUNCTION("""COMPUTED_VALUE"""),95.656)</f>
        <v>95.656000000000006</v>
      </c>
      <c r="Y65" s="5" t="str">
        <f ca="1">IFERROR(__xludf.DUMMYFUNCTION("""COMPUTED_VALUE"""),"Medium")</f>
        <v>Medium</v>
      </c>
      <c r="Z65" s="5">
        <f ca="1">IFERROR(__xludf.DUMMYFUNCTION("""COMPUTED_VALUE"""),12.49)</f>
        <v>12.49</v>
      </c>
      <c r="AA65" s="14">
        <f ca="1">IFERROR(__xludf.DUMMYFUNCTION("""COMPUTED_VALUE"""),1000)</f>
        <v>1000</v>
      </c>
      <c r="AB65" s="5" t="str">
        <f ca="1">IFERROR(__xludf.DUMMYFUNCTION("""COMPUTED_VALUE"""),"/")</f>
        <v>/</v>
      </c>
      <c r="AC65" s="5" t="str">
        <f ca="1">IFERROR(__xludf.DUMMYFUNCTION("""COMPUTED_VALUE"""),"Scatter")</f>
        <v>Scatter</v>
      </c>
      <c r="AD65" s="5" t="str">
        <f ca="1">IFERROR(__xludf.DUMMYFUNCTION("""COMPUTED_VALUE"""),"0.05/30")</f>
        <v>0.05/30</v>
      </c>
      <c r="AE65" s="5"/>
      <c r="AF65" s="5"/>
      <c r="AG65" s="10">
        <f ca="1">IFERROR(__xludf.DUMMYFUNCTION("""COMPUTED_VALUE"""),46006.4278356481)</f>
        <v>46006.427835648101</v>
      </c>
      <c r="AH65" s="5" t="str">
        <f ca="1">IFERROR(__xludf.DUMMYFUNCTION("""COMPUTED_VALUE"""),"milutin.toskic@fazi.rs")</f>
        <v>milutin.toskic@fazi.rs</v>
      </c>
      <c r="AI65" s="5"/>
      <c r="AJ65" s="5"/>
      <c r="AK65" s="5">
        <f ca="1">IFERROR(__xludf.DUMMYFUNCTION("""COMPUTED_VALUE"""),5)</f>
        <v>5</v>
      </c>
      <c r="AL65" s="5" t="str">
        <f ca="1">IFERROR(__xludf.DUMMYFUNCTION("""COMPUTED_VALUE"""),"Yes")</f>
        <v>Yes</v>
      </c>
      <c r="AM65" s="5"/>
      <c r="AN65" s="7" t="str">
        <f ca="1">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AO65" s="5" t="str">
        <f ca="1">IFERROR(__xludf.DUMMYFUNCTION("""COMPUTED_VALUE"""),"Yes")</f>
        <v>Yes</v>
      </c>
      <c r="AP65" s="5" t="str">
        <f ca="1">IFERROR(__xludf.DUMMYFUNCTION("""COMPUTED_VALUE"""),"Yes")</f>
        <v>Yes</v>
      </c>
      <c r="AQ65" s="5" t="b">
        <f ca="1">IFERROR(__xludf.DUMMYFUNCTION("""COMPUTED_VALUE"""),TRUE)</f>
        <v>1</v>
      </c>
      <c r="AR65" s="5"/>
      <c r="AS65" s="5" t="str">
        <f ca="1">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AT65" s="5"/>
      <c r="AU65" s="5" t="str">
        <f ca="1">IFERROR(__xludf.DUMMYFUNCTION("""COMPUTED_VALUE"""),"Fazi")</f>
        <v>Fazi</v>
      </c>
      <c r="AV65" s="5"/>
      <c r="AW65" s="5"/>
      <c r="AX65" s="5"/>
      <c r="AY65" s="5"/>
      <c r="AZ65" s="5"/>
      <c r="BA65" s="5" t="str">
        <f ca="1">IFERROR(__xludf.DUMMYFUNCTION("""COMPUTED_VALUE"""),"")</f>
        <v/>
      </c>
      <c r="BB65" s="5"/>
      <c r="BC65" s="5" t="str">
        <f ca="1">IFERROR(__xludf.DUMMYFUNCTION("""COMPUTED_VALUE"""),"Foxi")</f>
        <v>Foxi</v>
      </c>
      <c r="BD65" s="7" t="str">
        <f ca="1">IFERROR(__xludf.DUMMYFUNCTION("""COMPUTED_VALUE"""),"https://gameserver-store-client-area.orbionlimited.com/Home/IntegrationGameLaunch/client-area?moneyType=0&amp;gameName=JazzyFruits&amp;platform=desktop&amp;languageCode=eng&amp;currency=EUR")</f>
        <v>https://gameserver-store-client-area.orbionlimited.com/Home/IntegrationGameLaunch/client-area?moneyType=0&amp;gameName=JazzyFruits&amp;platform=desktop&amp;languageCode=eng&amp;currency=EUR</v>
      </c>
      <c r="BE65" s="5" t="b">
        <f ca="1">IFERROR(__xludf.DUMMYFUNCTION("""COMPUTED_VALUE"""),TRUE)</f>
        <v>1</v>
      </c>
    </row>
    <row r="66" spans="1:57" x14ac:dyDescent="0.25">
      <c r="A66" s="5">
        <f ca="1">IFERROR(__xludf.DUMMYFUNCTION("""COMPUTED_VALUE"""),65)</f>
        <v>65</v>
      </c>
      <c r="B66" s="5">
        <f ca="1">IFERROR(__xludf.DUMMYFUNCTION("""COMPUTED_VALUE"""),64)</f>
        <v>64</v>
      </c>
      <c r="C66" s="5" t="str">
        <f ca="1">IFERROR(__xludf.DUMMYFUNCTION("""COMPUTED_VALUE"""),"Fazi")</f>
        <v>Fazi</v>
      </c>
      <c r="D66" s="5" t="str">
        <f ca="1">IFERROR(__xludf.DUMMYFUNCTION("""COMPUTED_VALUE"""),"Crystal Hot 80")</f>
        <v>Crystal Hot 80</v>
      </c>
      <c r="E66" s="5" t="str">
        <f ca="1">IFERROR(__xludf.DUMMYFUNCTION("""COMPUTED_VALUE"""),"V2")</f>
        <v>V2</v>
      </c>
      <c r="F66" s="5" t="str">
        <f ca="1">IFERROR(__xludf.DUMMYFUNCTION("""COMPUTED_VALUE"""),"CrystalHot80")</f>
        <v>CrystalHot80</v>
      </c>
      <c r="G66" s="5" t="str">
        <f ca="1">IFERROR(__xludf.DUMMYFUNCTION("""COMPUTED_VALUE"""),"Live")</f>
        <v>Live</v>
      </c>
      <c r="H66" s="5"/>
      <c r="I66" s="5" t="str">
        <f ca="1">IFERROR(__xludf.DUMMYFUNCTION("""COMPUTED_VALUE"""),"V2")</f>
        <v>V2</v>
      </c>
      <c r="J66" s="5" t="str">
        <f ca="1">IFERROR(__xludf.DUMMYFUNCTION("""COMPUTED_VALUE"""),"JSON")</f>
        <v>JSON</v>
      </c>
      <c r="K66" s="5" t="str">
        <f ca="1">IFERROR(__xludf.DUMMYFUNCTION("""COMPUTED_VALUE"""),"Slot")</f>
        <v>Slot</v>
      </c>
      <c r="L66" s="5" t="str">
        <f ca="1">IFERROR(__xludf.DUMMYFUNCTION("""COMPUTED_VALUE"""),"Clone")</f>
        <v>Clone</v>
      </c>
      <c r="M66" s="5" t="str">
        <f ca="1">IFERROR(__xludf.DUMMYFUNCTION("""COMPUTED_VALUE"""),"Turbo Hot 40")</f>
        <v>Turbo Hot 40</v>
      </c>
      <c r="N66" s="5"/>
      <c r="O66" s="5"/>
      <c r="P66" s="14">
        <f ca="1">IFERROR(__xludf.DUMMYFUNCTION("""COMPUTED_VALUE"""),29.5)</f>
        <v>29.5</v>
      </c>
      <c r="Q66" s="5"/>
      <c r="R66" s="5"/>
      <c r="S66" s="15">
        <f ca="1">IFERROR(__xludf.DUMMYFUNCTION("""COMPUTED_VALUE"""),43948)</f>
        <v>43948</v>
      </c>
      <c r="T66" s="5" t="b">
        <f ca="1">IFERROR(__xludf.DUMMYFUNCTION("""COMPUTED_VALUE"""),TRUE)</f>
        <v>1</v>
      </c>
      <c r="U66" s="5" t="str">
        <f ca="1">IFERROR(__xludf.DUMMYFUNCTION("""COMPUTED_VALUE"""),"5x4")</f>
        <v>5x4</v>
      </c>
      <c r="V66" s="12" t="str">
        <f ca="1">IFERROR(__xludf.DUMMYFUNCTION("""COMPUTED_VALUE"""),"80")</f>
        <v>80</v>
      </c>
      <c r="W66" s="12" t="str">
        <f ca="1">IFERROR(__xludf.DUMMYFUNCTION("""COMPUTED_VALUE"""),"80")</f>
        <v>80</v>
      </c>
      <c r="X66" s="5">
        <f ca="1">IFERROR(__xludf.DUMMYFUNCTION("""COMPUTED_VALUE"""),96.584)</f>
        <v>96.584000000000003</v>
      </c>
      <c r="Y66" s="5" t="str">
        <f ca="1">IFERROR(__xludf.DUMMYFUNCTION("""COMPUTED_VALUE"""),"Low")</f>
        <v>Low</v>
      </c>
      <c r="Z66" s="5">
        <f ca="1">IFERROR(__xludf.DUMMYFUNCTION("""COMPUTED_VALUE"""),20.81)</f>
        <v>20.81</v>
      </c>
      <c r="AA66" s="14">
        <f ca="1">IFERROR(__xludf.DUMMYFUNCTION("""COMPUTED_VALUE"""),1000)</f>
        <v>1000</v>
      </c>
      <c r="AB66" s="5" t="str">
        <f ca="1">IFERROR(__xludf.DUMMYFUNCTION("""COMPUTED_VALUE"""),"/")</f>
        <v>/</v>
      </c>
      <c r="AC66" s="5" t="str">
        <f ca="1">IFERROR(__xludf.DUMMYFUNCTION("""COMPUTED_VALUE"""),"Scatter, Wild Symbol")</f>
        <v>Scatter, Wild Symbol</v>
      </c>
      <c r="AD66" s="5" t="str">
        <f ca="1">IFERROR(__xludf.DUMMYFUNCTION("""COMPUTED_VALUE"""),"0.8/80")</f>
        <v>0.8/80</v>
      </c>
      <c r="AE66" s="5"/>
      <c r="AF66" s="5"/>
      <c r="AG66" s="10">
        <f ca="1">IFERROR(__xludf.DUMMYFUNCTION("""COMPUTED_VALUE"""),46098.5438541666)</f>
        <v>46098.543854166601</v>
      </c>
      <c r="AH66" s="5" t="str">
        <f ca="1">IFERROR(__xludf.DUMMYFUNCTION("""COMPUTED_VALUE"""),"milutin.toskic@fazi.rs")</f>
        <v>milutin.toskic@fazi.rs</v>
      </c>
      <c r="AI66" s="5"/>
      <c r="AJ66" s="5"/>
      <c r="AK66" s="5">
        <f ca="1">IFERROR(__xludf.DUMMYFUNCTION("""COMPUTED_VALUE"""),80)</f>
        <v>80</v>
      </c>
      <c r="AL66" s="5" t="str">
        <f ca="1">IFERROR(__xludf.DUMMYFUNCTION("""COMPUTED_VALUE"""),"Yes")</f>
        <v>Yes</v>
      </c>
      <c r="AM66" s="5"/>
      <c r="AN66" s="7" t="str">
        <f ca="1">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AO66" s="5" t="str">
        <f ca="1">IFERROR(__xludf.DUMMYFUNCTION("""COMPUTED_VALUE"""),"Yes")</f>
        <v>Yes</v>
      </c>
      <c r="AP66" s="5" t="str">
        <f ca="1">IFERROR(__xludf.DUMMYFUNCTION("""COMPUTED_VALUE"""),"Yes")</f>
        <v>Yes</v>
      </c>
      <c r="AQ66" s="5" t="b">
        <f ca="1">IFERROR(__xludf.DUMMYFUNCTION("""COMPUTED_VALUE"""),TRUE)</f>
        <v>1</v>
      </c>
      <c r="AR66" s="5"/>
      <c r="AS66" s="5" t="str">
        <f ca="1">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AT66" s="5" t="str">
        <f ca="1">IFERROR(__xludf.DUMMYFUNCTION("""COMPUTED_VALUE"""),"No")</f>
        <v>No</v>
      </c>
      <c r="AU66" s="5" t="str">
        <f ca="1">IFERROR(__xludf.DUMMYFUNCTION("""COMPUTED_VALUE"""),"Fazi")</f>
        <v>Fazi</v>
      </c>
      <c r="AV66" s="5"/>
      <c r="AW66" s="5"/>
      <c r="AX66" s="5"/>
      <c r="AY66" s="5" t="str">
        <f ca="1">IFERROR(__xludf.DUMMYFUNCTION("""COMPUTED_VALUE"""),"87.5%, 89.5%, 91.5%, 93.5%, 94.5%, 95.5%, 96.5%")</f>
        <v>87.5%, 89.5%, 91.5%, 93.5%, 94.5%, 95.5%, 96.5%</v>
      </c>
      <c r="AZ66" s="5"/>
      <c r="BA66" s="5" t="str">
        <f ca="1">IFERROR(__xludf.DUMMYFUNCTION("""COMPUTED_VALUE"""),"")</f>
        <v/>
      </c>
      <c r="BB66" s="5"/>
      <c r="BC66" s="5" t="str">
        <f ca="1">IFERROR(__xludf.DUMMYFUNCTION("""COMPUTED_VALUE"""),"Foxi")</f>
        <v>Foxi</v>
      </c>
      <c r="BD66" s="7" t="str">
        <f ca="1">IFERROR(__xludf.DUMMYFUNCTION("""COMPUTED_VALUE"""),"https://gameserver-store-client-area.orbionlimited.com/Home/IntegrationGameLaunch/client-area?moneyType=0&amp;gameName=CrystalHot80&amp;platform=desktop&amp;languageCode=eng&amp;currency=EUR")</f>
        <v>https://gameserver-store-client-area.orbionlimited.com/Home/IntegrationGameLaunch/client-area?moneyType=0&amp;gameName=CrystalHot80&amp;platform=desktop&amp;languageCode=eng&amp;currency=EUR</v>
      </c>
      <c r="BE66" s="5" t="b">
        <f ca="1">IFERROR(__xludf.DUMMYFUNCTION("""COMPUTED_VALUE"""),TRUE)</f>
        <v>1</v>
      </c>
    </row>
    <row r="67" spans="1:57" x14ac:dyDescent="0.25">
      <c r="A67" s="5">
        <f ca="1">IFERROR(__xludf.DUMMYFUNCTION("""COMPUTED_VALUE"""),66)</f>
        <v>66</v>
      </c>
      <c r="B67" s="5">
        <f ca="1">IFERROR(__xludf.DUMMYFUNCTION("""COMPUTED_VALUE"""),65)</f>
        <v>65</v>
      </c>
      <c r="C67" s="5" t="str">
        <f ca="1">IFERROR(__xludf.DUMMYFUNCTION("""COMPUTED_VALUE"""),"Fazi")</f>
        <v>Fazi</v>
      </c>
      <c r="D67" s="5" t="str">
        <f ca="1">IFERROR(__xludf.DUMMYFUNCTION("""COMPUTED_VALUE"""),"Crystal Hot 40 gd")</f>
        <v>Crystal Hot 40 gd</v>
      </c>
      <c r="E67" s="5" t="str">
        <f ca="1">IFERROR(__xludf.DUMMYFUNCTION("""COMPUTED_VALUE"""),"V2")</f>
        <v>V2</v>
      </c>
      <c r="F67" s="5" t="str">
        <f ca="1">IFERROR(__xludf.DUMMYFUNCTION("""COMPUTED_VALUE"""),"CrystalHot40Gd")</f>
        <v>CrystalHot40Gd</v>
      </c>
      <c r="G67" s="5" t="str">
        <f ca="1">IFERROR(__xludf.DUMMYFUNCTION("""COMPUTED_VALUE"""),"Live")</f>
        <v>Live</v>
      </c>
      <c r="H67" s="5" t="str">
        <f ca="1">IFERROR(__xludf.DUMMYFUNCTION("""COMPUTED_VALUE"""),"Golden Palace")</f>
        <v>Golden Palace</v>
      </c>
      <c r="I67" s="5" t="str">
        <f ca="1">IFERROR(__xludf.DUMMYFUNCTION("""COMPUTED_VALUE"""),"V2")</f>
        <v>V2</v>
      </c>
      <c r="J67" s="5" t="str">
        <f ca="1">IFERROR(__xludf.DUMMYFUNCTION("""COMPUTED_VALUE"""),"Binary")</f>
        <v>Binary</v>
      </c>
      <c r="K67" s="5" t="str">
        <f ca="1">IFERROR(__xludf.DUMMYFUNCTION("""COMPUTED_VALUE"""),"Slot")</f>
        <v>Slot</v>
      </c>
      <c r="L67" s="5" t="str">
        <f ca="1">IFERROR(__xludf.DUMMYFUNCTION("""COMPUTED_VALUE"""),"Clone")</f>
        <v>Clone</v>
      </c>
      <c r="M67" s="5" t="str">
        <f ca="1">IFERROR(__xludf.DUMMYFUNCTION("""COMPUTED_VALUE"""),"Turbo Hot 40")</f>
        <v>Turbo Hot 40</v>
      </c>
      <c r="N67" s="5"/>
      <c r="O67" s="5"/>
      <c r="P67" s="5"/>
      <c r="Q67" s="5"/>
      <c r="R67" s="5"/>
      <c r="S67" s="5"/>
      <c r="T67" s="5"/>
      <c r="U67" s="5" t="str">
        <f ca="1">IFERROR(__xludf.DUMMYFUNCTION("""COMPUTED_VALUE"""),"5x4")</f>
        <v>5x4</v>
      </c>
      <c r="V67" s="12" t="str">
        <f ca="1">IFERROR(__xludf.DUMMYFUNCTION("""COMPUTED_VALUE"""),"40")</f>
        <v>40</v>
      </c>
      <c r="W67" s="12" t="str">
        <f ca="1">IFERROR(__xludf.DUMMYFUNCTION("""COMPUTED_VALUE"""),"40")</f>
        <v>40</v>
      </c>
      <c r="X67" s="5">
        <f ca="1">IFERROR(__xludf.DUMMYFUNCTION("""COMPUTED_VALUE"""),96.584)</f>
        <v>96.584000000000003</v>
      </c>
      <c r="Y67" s="5" t="str">
        <f ca="1">IFERROR(__xludf.DUMMYFUNCTION("""COMPUTED_VALUE"""),"Low")</f>
        <v>Low</v>
      </c>
      <c r="Z67" s="5">
        <f ca="1">IFERROR(__xludf.DUMMYFUNCTION("""COMPUTED_VALUE"""),16.73)</f>
        <v>16.73</v>
      </c>
      <c r="AA67" s="14">
        <f ca="1">IFERROR(__xludf.DUMMYFUNCTION("""COMPUTED_VALUE"""),1000)</f>
        <v>1000</v>
      </c>
      <c r="AB67" s="5" t="str">
        <f ca="1">IFERROR(__xludf.DUMMYFUNCTION("""COMPUTED_VALUE"""),"/")</f>
        <v>/</v>
      </c>
      <c r="AC67" s="5" t="str">
        <f ca="1">IFERROR(__xludf.DUMMYFUNCTION("""COMPUTED_VALUE"""),"Scatter, Wild Symbol")</f>
        <v>Scatter, Wild Symbol</v>
      </c>
      <c r="AD67" s="5"/>
      <c r="AE67" s="5"/>
      <c r="AF67" s="5"/>
      <c r="AG67" s="10">
        <f ca="1">IFERROR(__xludf.DUMMYFUNCTION("""COMPUTED_VALUE"""),46104.5919907407)</f>
        <v>46104.591990740701</v>
      </c>
      <c r="AH67" s="5" t="str">
        <f ca="1">IFERROR(__xludf.DUMMYFUNCTION("""COMPUTED_VALUE"""),"petra.ilic@fazi.rs")</f>
        <v>petra.ilic@fazi.rs</v>
      </c>
      <c r="AI67" s="5"/>
      <c r="AJ67" s="5"/>
      <c r="AK67" s="5">
        <f ca="1">IFERROR(__xludf.DUMMYFUNCTION("""COMPUTED_VALUE"""),40)</f>
        <v>40</v>
      </c>
      <c r="AL67" s="5"/>
      <c r="AM67" s="5"/>
      <c r="AN67" s="5"/>
      <c r="AO67" s="5"/>
      <c r="AP67" s="5"/>
      <c r="AQ67" s="5"/>
      <c r="AR67" s="5" t="b">
        <f ca="1">IFERROR(__xludf.DUMMYFUNCTION("""COMPUTED_VALUE"""),TRUE)</f>
        <v>1</v>
      </c>
      <c r="AS67" s="5"/>
      <c r="AT67" s="5"/>
      <c r="AU67" s="5" t="str">
        <f ca="1">IFERROR(__xludf.DUMMYFUNCTION("""COMPUTED_VALUE"""),"Fazi")</f>
        <v>Fazi</v>
      </c>
      <c r="AV67" s="5"/>
      <c r="AW67" s="5"/>
      <c r="AX67" s="5"/>
      <c r="AY67" s="5"/>
      <c r="AZ67" s="5"/>
      <c r="BA67" s="5" t="str">
        <f ca="1">IFERROR(__xludf.DUMMYFUNCTION("""COMPUTED_VALUE"""),"")</f>
        <v/>
      </c>
      <c r="BB67" s="5"/>
      <c r="BC67" s="5" t="str">
        <f ca="1">IFERROR(__xludf.DUMMYFUNCTION("""COMPUTED_VALUE"""),"Foxi")</f>
        <v>Foxi</v>
      </c>
      <c r="BD67" s="5" t="str">
        <f ca="1">IFERROR(__xludf.DUMMYFUNCTION("""COMPUTED_VALUE"""),"")</f>
        <v/>
      </c>
      <c r="BE67" s="5"/>
    </row>
    <row r="68" spans="1:57" x14ac:dyDescent="0.25">
      <c r="A68" s="5">
        <f ca="1">IFERROR(__xludf.DUMMYFUNCTION("""COMPUTED_VALUE"""),67)</f>
        <v>67</v>
      </c>
      <c r="B68" s="5">
        <f ca="1">IFERROR(__xludf.DUMMYFUNCTION("""COMPUTED_VALUE"""),66)</f>
        <v>66</v>
      </c>
      <c r="C68" s="5" t="str">
        <f ca="1">IFERROR(__xludf.DUMMYFUNCTION("""COMPUTED_VALUE"""),"Fazi")</f>
        <v>Fazi</v>
      </c>
      <c r="D68" s="5" t="str">
        <f ca="1">IFERROR(__xludf.DUMMYFUNCTION("""COMPUTED_VALUE"""),"Crystal Hot 40 Deluxe")</f>
        <v>Crystal Hot 40 Deluxe</v>
      </c>
      <c r="E68" s="5" t="str">
        <f ca="1">IFERROR(__xludf.DUMMYFUNCTION("""COMPUTED_VALUE"""),"V2")</f>
        <v>V2</v>
      </c>
      <c r="F68" s="5" t="str">
        <f ca="1">IFERROR(__xludf.DUMMYFUNCTION("""COMPUTED_VALUE"""),"CrystalHot40Deluxe")</f>
        <v>CrystalHot40Deluxe</v>
      </c>
      <c r="G68" s="5" t="str">
        <f ca="1">IFERROR(__xludf.DUMMYFUNCTION("""COMPUTED_VALUE"""),"Live")</f>
        <v>Live</v>
      </c>
      <c r="H68" s="5"/>
      <c r="I68" s="5" t="str">
        <f ca="1">IFERROR(__xludf.DUMMYFUNCTION("""COMPUTED_VALUE"""),"V2")</f>
        <v>V2</v>
      </c>
      <c r="J68" s="5" t="str">
        <f ca="1">IFERROR(__xludf.DUMMYFUNCTION("""COMPUTED_VALUE"""),"JSON")</f>
        <v>JSON</v>
      </c>
      <c r="K68" s="5" t="str">
        <f ca="1">IFERROR(__xludf.DUMMYFUNCTION("""COMPUTED_VALUE"""),"Slot")</f>
        <v>Slot</v>
      </c>
      <c r="L68" s="5" t="str">
        <f ca="1">IFERROR(__xludf.DUMMYFUNCTION("""COMPUTED_VALUE"""),"Clone")</f>
        <v>Clone</v>
      </c>
      <c r="M68" s="5" t="str">
        <f ca="1">IFERROR(__xludf.DUMMYFUNCTION("""COMPUTED_VALUE"""),"Turbo Hot 40")</f>
        <v>Turbo Hot 40</v>
      </c>
      <c r="N68" s="5"/>
      <c r="O68" s="5"/>
      <c r="P68" s="14">
        <f ca="1">IFERROR(__xludf.DUMMYFUNCTION("""COMPUTED_VALUE"""),28.8)</f>
        <v>28.8</v>
      </c>
      <c r="Q68" s="5"/>
      <c r="R68" s="5"/>
      <c r="S68" s="15">
        <f ca="1">IFERROR(__xludf.DUMMYFUNCTION("""COMPUTED_VALUE"""),43976)</f>
        <v>43976</v>
      </c>
      <c r="T68" s="5"/>
      <c r="U68" s="5" t="str">
        <f ca="1">IFERROR(__xludf.DUMMYFUNCTION("""COMPUTED_VALUE"""),"5x4")</f>
        <v>5x4</v>
      </c>
      <c r="V68" s="12" t="str">
        <f ca="1">IFERROR(__xludf.DUMMYFUNCTION("""COMPUTED_VALUE"""),"40")</f>
        <v>40</v>
      </c>
      <c r="W68" s="12" t="str">
        <f ca="1">IFERROR(__xludf.DUMMYFUNCTION("""COMPUTED_VALUE"""),"40")</f>
        <v>40</v>
      </c>
      <c r="X68" s="5">
        <f ca="1">IFERROR(__xludf.DUMMYFUNCTION("""COMPUTED_VALUE"""),96.433)</f>
        <v>96.433000000000007</v>
      </c>
      <c r="Y68" s="5" t="str">
        <f ca="1">IFERROR(__xludf.DUMMYFUNCTION("""COMPUTED_VALUE"""),"Low")</f>
        <v>Low</v>
      </c>
      <c r="Z68" s="5">
        <f ca="1">IFERROR(__xludf.DUMMYFUNCTION("""COMPUTED_VALUE"""),19.9399999999999)</f>
        <v>19.939999999999898</v>
      </c>
      <c r="AA68" s="14">
        <f ca="1">IFERROR(__xludf.DUMMYFUNCTION("""COMPUTED_VALUE"""),1000)</f>
        <v>1000</v>
      </c>
      <c r="AB68" s="5" t="str">
        <f ca="1">IFERROR(__xludf.DUMMYFUNCTION("""COMPUTED_VALUE"""),"/")</f>
        <v>/</v>
      </c>
      <c r="AC68" s="5" t="str">
        <f ca="1">IFERROR(__xludf.DUMMYFUNCTION("""COMPUTED_VALUE"""),"Scatter, Wild Symbol")</f>
        <v>Scatter, Wild Symbol</v>
      </c>
      <c r="AD68" s="5" t="str">
        <f ca="1">IFERROR(__xludf.DUMMYFUNCTION("""COMPUTED_VALUE"""),"0.4/40")</f>
        <v>0.4/40</v>
      </c>
      <c r="AE68" s="5"/>
      <c r="AF68" s="5"/>
      <c r="AG68" s="10">
        <f ca="1">IFERROR(__xludf.DUMMYFUNCTION("""COMPUTED_VALUE"""),46055.509224537)</f>
        <v>46055.509224537003</v>
      </c>
      <c r="AH68" s="5" t="str">
        <f ca="1">IFERROR(__xludf.DUMMYFUNCTION("""COMPUTED_VALUE"""),"djordje.jankovic@fazi.rs")</f>
        <v>djordje.jankovic@fazi.rs</v>
      </c>
      <c r="AI68" s="5"/>
      <c r="AJ68" s="5"/>
      <c r="AK68" s="5">
        <f ca="1">IFERROR(__xludf.DUMMYFUNCTION("""COMPUTED_VALUE"""),40)</f>
        <v>40</v>
      </c>
      <c r="AL68" s="5" t="str">
        <f ca="1">IFERROR(__xludf.DUMMYFUNCTION("""COMPUTED_VALUE"""),"Yes")</f>
        <v>Yes</v>
      </c>
      <c r="AM68" s="5"/>
      <c r="AN68" s="7" t="str">
        <f ca="1">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8" s="5" t="str">
        <f ca="1">IFERROR(__xludf.DUMMYFUNCTION("""COMPUTED_VALUE"""),"Yes")</f>
        <v>Yes</v>
      </c>
      <c r="AP68" s="5"/>
      <c r="AQ68" s="5" t="b">
        <f ca="1">IFERROR(__xludf.DUMMYFUNCTION("""COMPUTED_VALUE"""),TRUE)</f>
        <v>1</v>
      </c>
      <c r="AR68" s="5"/>
      <c r="AS68" s="5" t="str">
        <f ca="1">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AT68" s="5"/>
      <c r="AU68" s="5" t="str">
        <f ca="1">IFERROR(__xludf.DUMMYFUNCTION("""COMPUTED_VALUE"""),"Fazi")</f>
        <v>Fazi</v>
      </c>
      <c r="AV68" s="5"/>
      <c r="AW68" s="5"/>
      <c r="AX68" s="5"/>
      <c r="AY68" s="5"/>
      <c r="AZ68" s="5"/>
      <c r="BA68" s="5" t="str">
        <f ca="1">IFERROR(__xludf.DUMMYFUNCTION("""COMPUTED_VALUE"""),"")</f>
        <v/>
      </c>
      <c r="BB68" s="5"/>
      <c r="BC68" s="5" t="str">
        <f ca="1">IFERROR(__xludf.DUMMYFUNCTION("""COMPUTED_VALUE"""),"Foxi")</f>
        <v>Foxi</v>
      </c>
      <c r="BD68" s="7" t="str">
        <f ca="1">IFERROR(__xludf.DUMMYFUNCTION("""COMPUTED_VALUE"""),"https://gameserver-store-client-area.orbionlimited.com/Home/IntegrationGameLaunch/client-area?moneyType=0&amp;gameName=CrystalHot40Deluxe&amp;platform=desktop&amp;languageCode=eng&amp;currency=EUR")</f>
        <v>https://gameserver-store-client-area.orbionlimited.com/Home/IntegrationGameLaunch/client-area?moneyType=0&amp;gameName=CrystalHot40Deluxe&amp;platform=desktop&amp;languageCode=eng&amp;currency=EUR</v>
      </c>
      <c r="BE68" s="5" t="b">
        <f ca="1">IFERROR(__xludf.DUMMYFUNCTION("""COMPUTED_VALUE"""),TRUE)</f>
        <v>1</v>
      </c>
    </row>
    <row r="69" spans="1:57" x14ac:dyDescent="0.25">
      <c r="A69" s="5">
        <f ca="1">IFERROR(__xludf.DUMMYFUNCTION("""COMPUTED_VALUE"""),68)</f>
        <v>68</v>
      </c>
      <c r="B69" s="5">
        <f ca="1">IFERROR(__xludf.DUMMYFUNCTION("""COMPUTED_VALUE"""),67)</f>
        <v>67</v>
      </c>
      <c r="C69" s="5" t="str">
        <f ca="1">IFERROR(__xludf.DUMMYFUNCTION("""COMPUTED_VALUE"""),"Fazi")</f>
        <v>Fazi</v>
      </c>
      <c r="D69" s="5" t="str">
        <f ca="1">IFERROR(__xludf.DUMMYFUNCTION("""COMPUTED_VALUE"""),"Live Fazi Roulette")</f>
        <v>Live Fazi Roulette</v>
      </c>
      <c r="E69" s="5" t="str">
        <f ca="1">IFERROR(__xludf.DUMMYFUNCTION("""COMPUTED_VALUE"""),"V2")</f>
        <v>V2</v>
      </c>
      <c r="F69" s="5" t="str">
        <f ca="1">IFERROR(__xludf.DUMMYFUNCTION("""COMPUTED_VALUE"""),"LiveFaziRoulette")</f>
        <v>LiveFaziRoulette</v>
      </c>
      <c r="G69" s="5" t="str">
        <f ca="1">IFERROR(__xludf.DUMMYFUNCTION("""COMPUTED_VALUE"""),"Retired")</f>
        <v>Retired</v>
      </c>
      <c r="H69" s="5"/>
      <c r="I69" s="5" t="str">
        <f ca="1">IFERROR(__xludf.DUMMYFUNCTION("""COMPUTED_VALUE"""),"V2")</f>
        <v>V2</v>
      </c>
      <c r="J69" s="5" t="str">
        <f ca="1">IFERROR(__xludf.DUMMYFUNCTION("""COMPUTED_VALUE"""),"Binary")</f>
        <v>Binary</v>
      </c>
      <c r="K69" s="5" t="str">
        <f ca="1">IFERROR(__xludf.DUMMYFUNCTION("""COMPUTED_VALUE"""),"Live European Roulette")</f>
        <v>Live European Roulette</v>
      </c>
      <c r="L69" s="5"/>
      <c r="M69" s="5"/>
      <c r="N69" s="5"/>
      <c r="O69" s="5"/>
      <c r="P69" s="5"/>
      <c r="Q69" s="5"/>
      <c r="R69" s="5"/>
      <c r="S69" s="5"/>
      <c r="T69" s="5"/>
      <c r="U69" s="5"/>
      <c r="V69" s="5"/>
      <c r="W69" s="5"/>
      <c r="X69" s="13">
        <f ca="1">IFERROR(__xludf.DUMMYFUNCTION("""COMPUTED_VALUE"""),0)</f>
        <v>0</v>
      </c>
      <c r="Y69" s="5"/>
      <c r="Z69" s="5">
        <f ca="1">IFERROR(__xludf.DUMMYFUNCTION("""COMPUTED_VALUE"""),0)</f>
        <v>0</v>
      </c>
      <c r="AA69" s="5"/>
      <c r="AB69" s="5"/>
      <c r="AC69" s="5"/>
      <c r="AD69" s="5"/>
      <c r="AE69" s="5"/>
      <c r="AF69" s="5"/>
      <c r="AG69" s="10">
        <f ca="1">IFERROR(__xludf.DUMMYFUNCTION("""COMPUTED_VALUE"""),45699.5933449074)</f>
        <v>45699.5933449074</v>
      </c>
      <c r="AH69" s="5" t="str">
        <f ca="1">IFERROR(__xludf.DUMMYFUNCTION("""COMPUTED_VALUE"""),"nikola.antic@fazi.rs")</f>
        <v>nikola.antic@fazi.rs</v>
      </c>
      <c r="AI69" s="5"/>
      <c r="AJ69" s="5"/>
      <c r="AK69" s="5" t="str">
        <f ca="1">IFERROR(__xludf.DUMMYFUNCTION("""COMPUTED_VALUE"""),"NULL")</f>
        <v>NULL</v>
      </c>
      <c r="AL69" s="5" t="str">
        <f ca="1">IFERROR(__xludf.DUMMYFUNCTION("""COMPUTED_VALUE"""),"Yes")</f>
        <v>Yes</v>
      </c>
      <c r="AM69" s="5"/>
      <c r="AN69" s="7" t="str">
        <f ca="1">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9" s="5"/>
      <c r="AP69" s="5"/>
      <c r="AQ69" s="5"/>
      <c r="AR69" s="5"/>
      <c r="AS69" s="5"/>
      <c r="AT69" s="5"/>
      <c r="AU69" s="5" t="str">
        <f ca="1">IFERROR(__xludf.DUMMYFUNCTION("""COMPUTED_VALUE"""),"Fazi")</f>
        <v>Fazi</v>
      </c>
      <c r="AV69" s="5"/>
      <c r="AW69" s="5"/>
      <c r="AX69" s="5"/>
      <c r="AY69" s="5"/>
      <c r="AZ69" s="5"/>
      <c r="BA69" s="5" t="str">
        <f ca="1">IFERROR(__xludf.DUMMYFUNCTION("""COMPUTED_VALUE"""),"")</f>
        <v/>
      </c>
      <c r="BB69" s="5"/>
      <c r="BC69" s="5" t="str">
        <f ca="1">IFERROR(__xludf.DUMMYFUNCTION("""COMPUTED_VALUE"""),"Foxi")</f>
        <v>Foxi</v>
      </c>
      <c r="BD69" s="7" t="str">
        <f ca="1">IFERROR(__xludf.DUMMYFUNCTION("""COMPUTED_VALUE"""),"https://gameserver-store-client-area.orbionlimited.com/Home/IntegrationGameLaunch/client-area?moneyType=0&amp;gameName=LiveFaziRoulette&amp;platform=desktop&amp;languageCode=eng&amp;currency=EUR")</f>
        <v>https://gameserver-store-client-area.orbionlimited.com/Home/IntegrationGameLaunch/client-area?moneyType=0&amp;gameName=LiveFaziRoulette&amp;platform=desktop&amp;languageCode=eng&amp;currency=EUR</v>
      </c>
      <c r="BE69" s="5"/>
    </row>
    <row r="70" spans="1:57" x14ac:dyDescent="0.25">
      <c r="A70" s="5">
        <f ca="1">IFERROR(__xludf.DUMMYFUNCTION("""COMPUTED_VALUE"""),69)</f>
        <v>69</v>
      </c>
      <c r="B70" s="5">
        <f ca="1">IFERROR(__xludf.DUMMYFUNCTION("""COMPUTED_VALUE"""),68)</f>
        <v>68</v>
      </c>
      <c r="C70" s="5" t="str">
        <f ca="1">IFERROR(__xludf.DUMMYFUNCTION("""COMPUTED_VALUE"""),"Fazi")</f>
        <v>Fazi</v>
      </c>
      <c r="D70" s="5" t="str">
        <f ca="1">IFERROR(__xludf.DUMMYFUNCTION("""COMPUTED_VALUE"""),"Golden Clover")</f>
        <v>Golden Clover</v>
      </c>
      <c r="E70" s="5"/>
      <c r="F70" s="5" t="str">
        <f ca="1">IFERROR(__xludf.DUMMYFUNCTION("""COMPUTED_VALUE"""),"GoldenClover")</f>
        <v>GoldenClover</v>
      </c>
      <c r="G70" s="5" t="str">
        <f ca="1">IFERROR(__xludf.DUMMYFUNCTION("""COMPUTED_VALUE"""),"Live")</f>
        <v>Live</v>
      </c>
      <c r="H70" s="5"/>
      <c r="I70" s="5"/>
      <c r="J70" s="5"/>
      <c r="K70" s="5" t="str">
        <f ca="1">IFERROR(__xludf.DUMMYFUNCTION("""COMPUTED_VALUE"""),"Slot")</f>
        <v>Slot</v>
      </c>
      <c r="L70" s="5"/>
      <c r="M70" s="5"/>
      <c r="N70" s="5"/>
      <c r="O70" s="5"/>
      <c r="P70" s="5"/>
      <c r="Q70" s="5"/>
      <c r="R70" s="5"/>
      <c r="S70" s="5"/>
      <c r="T70" s="5"/>
      <c r="U70" s="5"/>
      <c r="V70" s="12" t="str">
        <f ca="1">IFERROR(__xludf.DUMMYFUNCTION("""COMPUTED_VALUE"""),"50")</f>
        <v>50</v>
      </c>
      <c r="W70" s="5"/>
      <c r="X70" s="13">
        <f ca="1">IFERROR(__xludf.DUMMYFUNCTION("""COMPUTED_VALUE"""),0)</f>
        <v>0</v>
      </c>
      <c r="Y70" s="5"/>
      <c r="Z70" s="5">
        <f ca="1">IFERROR(__xludf.DUMMYFUNCTION("""COMPUTED_VALUE"""),0)</f>
        <v>0</v>
      </c>
      <c r="AA70" s="5"/>
      <c r="AB70" s="5"/>
      <c r="AC70" s="5"/>
      <c r="AD70" s="5"/>
      <c r="AE70" s="5"/>
      <c r="AF70" s="5"/>
      <c r="AG70" s="5"/>
      <c r="AH70" s="5"/>
      <c r="AI70" s="5"/>
      <c r="AJ70" s="5"/>
      <c r="AK70" s="5">
        <f ca="1">IFERROR(__xludf.DUMMYFUNCTION("""COMPUTED_VALUE"""),50)</f>
        <v>50</v>
      </c>
      <c r="AL70" s="5" t="str">
        <f ca="1">IFERROR(__xludf.DUMMYFUNCTION("""COMPUTED_VALUE"""),"Yes")</f>
        <v>Yes</v>
      </c>
      <c r="AM70" s="5"/>
      <c r="AN70" s="7" t="str">
        <f ca="1">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70" s="5"/>
      <c r="AP70" s="5"/>
      <c r="AQ70" s="5"/>
      <c r="AR70" s="5"/>
      <c r="AS70" s="5"/>
      <c r="AT70" s="5"/>
      <c r="AU70" s="5" t="str">
        <f ca="1">IFERROR(__xludf.DUMMYFUNCTION("""COMPUTED_VALUE"""),"Fazi")</f>
        <v>Fazi</v>
      </c>
      <c r="AV70" s="5"/>
      <c r="AW70" s="5"/>
      <c r="AX70" s="5"/>
      <c r="AY70" s="5"/>
      <c r="AZ70" s="5"/>
      <c r="BA70" s="5" t="str">
        <f ca="1">IFERROR(__xludf.DUMMYFUNCTION("""COMPUTED_VALUE"""),"")</f>
        <v/>
      </c>
      <c r="BB70" s="5"/>
      <c r="BC70" s="5" t="str">
        <f ca="1">IFERROR(__xludf.DUMMYFUNCTION("""COMPUTED_VALUE"""),"Foxi")</f>
        <v>Foxi</v>
      </c>
      <c r="BD70" s="7" t="str">
        <f ca="1">IFERROR(__xludf.DUMMYFUNCTION("""COMPUTED_VALUE"""),"https://gameserver-store-client-area.orbionlimited.com/Home/IntegrationGameLaunch/client-area?moneyType=0&amp;gameName=GoldenClover&amp;platform=desktop&amp;languageCode=eng&amp;currency=EUR")</f>
        <v>https://gameserver-store-client-area.orbionlimited.com/Home/IntegrationGameLaunch/client-area?moneyType=0&amp;gameName=GoldenClover&amp;platform=desktop&amp;languageCode=eng&amp;currency=EUR</v>
      </c>
      <c r="BE70" s="5"/>
    </row>
    <row r="71" spans="1:57" x14ac:dyDescent="0.25">
      <c r="A71" s="5">
        <f ca="1">IFERROR(__xludf.DUMMYFUNCTION("""COMPUTED_VALUE"""),70)</f>
        <v>70</v>
      </c>
      <c r="B71" s="5">
        <f ca="1">IFERROR(__xludf.DUMMYFUNCTION("""COMPUTED_VALUE"""),69)</f>
        <v>69</v>
      </c>
      <c r="C71" s="5" t="str">
        <f ca="1">IFERROR(__xludf.DUMMYFUNCTION("""COMPUTED_VALUE"""),"Fazi")</f>
        <v>Fazi</v>
      </c>
      <c r="D71" s="5" t="str">
        <f ca="1">IFERROR(__xludf.DUMMYFUNCTION("""COMPUTED_VALUE"""),"Crystal Hot 40 gd2")</f>
        <v>Crystal Hot 40 gd2</v>
      </c>
      <c r="E71" s="5" t="str">
        <f ca="1">IFERROR(__xludf.DUMMYFUNCTION("""COMPUTED_VALUE"""),"V2")</f>
        <v>V2</v>
      </c>
      <c r="F71" s="5" t="str">
        <f ca="1">IFERROR(__xludf.DUMMYFUNCTION("""COMPUTED_VALUE"""),"CrystalHot40Gd2")</f>
        <v>CrystalHot40Gd2</v>
      </c>
      <c r="G71" s="5" t="str">
        <f ca="1">IFERROR(__xludf.DUMMYFUNCTION("""COMPUTED_VALUE"""),"Live")</f>
        <v>Live</v>
      </c>
      <c r="H71" s="5" t="str">
        <f ca="1">IFERROR(__xludf.DUMMYFUNCTION("""COMPUTED_VALUE"""),"Golden Palace")</f>
        <v>Golden Palace</v>
      </c>
      <c r="I71" s="5" t="str">
        <f ca="1">IFERROR(__xludf.DUMMYFUNCTION("""COMPUTED_VALUE"""),"V2")</f>
        <v>V2</v>
      </c>
      <c r="J71" s="5" t="str">
        <f ca="1">IFERROR(__xludf.DUMMYFUNCTION("""COMPUTED_VALUE"""),"Binary")</f>
        <v>Binary</v>
      </c>
      <c r="K71" s="5" t="str">
        <f ca="1">IFERROR(__xludf.DUMMYFUNCTION("""COMPUTED_VALUE"""),"Slot")</f>
        <v>Slot</v>
      </c>
      <c r="L71" s="5" t="str">
        <f ca="1">IFERROR(__xludf.DUMMYFUNCTION("""COMPUTED_VALUE"""),"Clone")</f>
        <v>Clone</v>
      </c>
      <c r="M71" s="5" t="str">
        <f ca="1">IFERROR(__xludf.DUMMYFUNCTION("""COMPUTED_VALUE"""),"Turbo Hot 40")</f>
        <v>Turbo Hot 40</v>
      </c>
      <c r="N71" s="5"/>
      <c r="O71" s="5"/>
      <c r="P71" s="5"/>
      <c r="Q71" s="5"/>
      <c r="R71" s="5"/>
      <c r="S71" s="5"/>
      <c r="T71" s="5"/>
      <c r="U71" s="5" t="str">
        <f ca="1">IFERROR(__xludf.DUMMYFUNCTION("""COMPUTED_VALUE"""),"5x4")</f>
        <v>5x4</v>
      </c>
      <c r="V71" s="12" t="str">
        <f ca="1">IFERROR(__xludf.DUMMYFUNCTION("""COMPUTED_VALUE"""),"40")</f>
        <v>40</v>
      </c>
      <c r="W71" s="12" t="str">
        <f ca="1">IFERROR(__xludf.DUMMYFUNCTION("""COMPUTED_VALUE"""),"40")</f>
        <v>40</v>
      </c>
      <c r="X71" s="5">
        <f ca="1">IFERROR(__xludf.DUMMYFUNCTION("""COMPUTED_VALUE"""),96.584)</f>
        <v>96.584000000000003</v>
      </c>
      <c r="Y71" s="5" t="str">
        <f ca="1">IFERROR(__xludf.DUMMYFUNCTION("""COMPUTED_VALUE"""),"Low")</f>
        <v>Low</v>
      </c>
      <c r="Z71" s="5">
        <f ca="1">IFERROR(__xludf.DUMMYFUNCTION("""COMPUTED_VALUE"""),16.73)</f>
        <v>16.73</v>
      </c>
      <c r="AA71" s="14">
        <f ca="1">IFERROR(__xludf.DUMMYFUNCTION("""COMPUTED_VALUE"""),1000)</f>
        <v>1000</v>
      </c>
      <c r="AB71" s="5" t="str">
        <f ca="1">IFERROR(__xludf.DUMMYFUNCTION("""COMPUTED_VALUE"""),"/")</f>
        <v>/</v>
      </c>
      <c r="AC71" s="5" t="str">
        <f ca="1">IFERROR(__xludf.DUMMYFUNCTION("""COMPUTED_VALUE"""),"Scatter, Wild Symbol")</f>
        <v>Scatter, Wild Symbol</v>
      </c>
      <c r="AD71" s="5"/>
      <c r="AE71" s="5"/>
      <c r="AF71" s="5"/>
      <c r="AG71" s="10">
        <f ca="1">IFERROR(__xludf.DUMMYFUNCTION("""COMPUTED_VALUE"""),46104.5916319444)</f>
        <v>46104.5916319444</v>
      </c>
      <c r="AH71" s="5" t="str">
        <f ca="1">IFERROR(__xludf.DUMMYFUNCTION("""COMPUTED_VALUE"""),"petra.ilic@fazi.rs")</f>
        <v>petra.ilic@fazi.rs</v>
      </c>
      <c r="AI71" s="5"/>
      <c r="AJ71" s="5"/>
      <c r="AK71" s="5">
        <f ca="1">IFERROR(__xludf.DUMMYFUNCTION("""COMPUTED_VALUE"""),40)</f>
        <v>40</v>
      </c>
      <c r="AL71" s="5"/>
      <c r="AM71" s="5"/>
      <c r="AN71" s="5"/>
      <c r="AO71" s="5"/>
      <c r="AP71" s="5"/>
      <c r="AQ71" s="5"/>
      <c r="AR71" s="5" t="b">
        <f ca="1">IFERROR(__xludf.DUMMYFUNCTION("""COMPUTED_VALUE"""),TRUE)</f>
        <v>1</v>
      </c>
      <c r="AS71" s="5"/>
      <c r="AT71" s="5"/>
      <c r="AU71" s="5" t="str">
        <f ca="1">IFERROR(__xludf.DUMMYFUNCTION("""COMPUTED_VALUE"""),"Fazi")</f>
        <v>Fazi</v>
      </c>
      <c r="AV71" s="5"/>
      <c r="AW71" s="5"/>
      <c r="AX71" s="5"/>
      <c r="AY71" s="5"/>
      <c r="AZ71" s="5"/>
      <c r="BA71" s="5" t="str">
        <f ca="1">IFERROR(__xludf.DUMMYFUNCTION("""COMPUTED_VALUE"""),"")</f>
        <v/>
      </c>
      <c r="BB71" s="5"/>
      <c r="BC71" s="5" t="str">
        <f ca="1">IFERROR(__xludf.DUMMYFUNCTION("""COMPUTED_VALUE"""),"Foxi")</f>
        <v>Foxi</v>
      </c>
      <c r="BD71" s="5" t="str">
        <f ca="1">IFERROR(__xludf.DUMMYFUNCTION("""COMPUTED_VALUE"""),"")</f>
        <v/>
      </c>
      <c r="BE71" s="5"/>
    </row>
    <row r="72" spans="1:57" x14ac:dyDescent="0.25">
      <c r="A72" s="5">
        <f ca="1">IFERROR(__xludf.DUMMYFUNCTION("""COMPUTED_VALUE"""),71)</f>
        <v>71</v>
      </c>
      <c r="B72" s="5">
        <f ca="1">IFERROR(__xludf.DUMMYFUNCTION("""COMPUTED_VALUE"""),70)</f>
        <v>70</v>
      </c>
      <c r="C72" s="5" t="str">
        <f ca="1">IFERROR(__xludf.DUMMYFUNCTION("""COMPUTED_VALUE"""),"Fazi")</f>
        <v>Fazi</v>
      </c>
      <c r="D72" s="5" t="str">
        <f ca="1">IFERROR(__xludf.DUMMYFUNCTION("""COMPUTED_VALUE"""),"Crystal Win")</f>
        <v>Crystal Win</v>
      </c>
      <c r="E72" s="5"/>
      <c r="F72" s="5" t="str">
        <f ca="1">IFERROR(__xludf.DUMMYFUNCTION("""COMPUTED_VALUE"""),"CrystalWin")</f>
        <v>CrystalWin</v>
      </c>
      <c r="G72" s="5" t="str">
        <f ca="1">IFERROR(__xludf.DUMMYFUNCTION("""COMPUTED_VALUE"""),"Retired")</f>
        <v>Retired</v>
      </c>
      <c r="H72" s="5"/>
      <c r="I72" s="5" t="str">
        <f ca="1">IFERROR(__xludf.DUMMYFUNCTION("""COMPUTED_VALUE"""),"V2")</f>
        <v>V2</v>
      </c>
      <c r="J72" s="5"/>
      <c r="K72" s="5" t="str">
        <f ca="1">IFERROR(__xludf.DUMMYFUNCTION("""COMPUTED_VALUE"""),"Slot")</f>
        <v>Slot</v>
      </c>
      <c r="L72" s="5"/>
      <c r="M72" s="5"/>
      <c r="N72" s="5"/>
      <c r="O72" s="5"/>
      <c r="P72" s="5"/>
      <c r="Q72" s="5"/>
      <c r="R72" s="5"/>
      <c r="S72" s="5"/>
      <c r="T72" s="5"/>
      <c r="U72" s="5"/>
      <c r="V72" s="12" t="str">
        <f ca="1">IFERROR(__xludf.DUMMYFUNCTION("""COMPUTED_VALUE"""),"10")</f>
        <v>10</v>
      </c>
      <c r="W72" s="5"/>
      <c r="X72" s="13">
        <f ca="1">IFERROR(__xludf.DUMMYFUNCTION("""COMPUTED_VALUE"""),0)</f>
        <v>0</v>
      </c>
      <c r="Y72" s="5"/>
      <c r="Z72" s="5">
        <f ca="1">IFERROR(__xludf.DUMMYFUNCTION("""COMPUTED_VALUE"""),0)</f>
        <v>0</v>
      </c>
      <c r="AA72" s="5"/>
      <c r="AB72" s="5"/>
      <c r="AC72" s="5"/>
      <c r="AD72" s="5"/>
      <c r="AE72" s="5"/>
      <c r="AF72" s="5"/>
      <c r="AG72" s="10">
        <f ca="1">IFERROR(__xludf.DUMMYFUNCTION("""COMPUTED_VALUE"""),45699.5952430555)</f>
        <v>45699.595243055497</v>
      </c>
      <c r="AH72" s="5" t="str">
        <f ca="1">IFERROR(__xludf.DUMMYFUNCTION("""COMPUTED_VALUE"""),"milutin.toskic@fazi.rs")</f>
        <v>milutin.toskic@fazi.rs</v>
      </c>
      <c r="AI72" s="5"/>
      <c r="AJ72" s="5"/>
      <c r="AK72" s="5">
        <f ca="1">IFERROR(__xludf.DUMMYFUNCTION("""COMPUTED_VALUE"""),10)</f>
        <v>10</v>
      </c>
      <c r="AL72" s="5"/>
      <c r="AM72" s="5"/>
      <c r="AN72" s="5"/>
      <c r="AO72" s="5"/>
      <c r="AP72" s="5"/>
      <c r="AQ72" s="5"/>
      <c r="AR72" s="5"/>
      <c r="AS72" s="5"/>
      <c r="AT72" s="5"/>
      <c r="AU72" s="5" t="str">
        <f ca="1">IFERROR(__xludf.DUMMYFUNCTION("""COMPUTED_VALUE"""),"Fazi")</f>
        <v>Fazi</v>
      </c>
      <c r="AV72" s="5"/>
      <c r="AW72" s="5"/>
      <c r="AX72" s="5"/>
      <c r="AY72" s="5"/>
      <c r="AZ72" s="5"/>
      <c r="BA72" s="5" t="str">
        <f ca="1">IFERROR(__xludf.DUMMYFUNCTION("""COMPUTED_VALUE"""),"")</f>
        <v/>
      </c>
      <c r="BB72" s="5"/>
      <c r="BC72" s="5" t="str">
        <f ca="1">IFERROR(__xludf.DUMMYFUNCTION("""COMPUTED_VALUE"""),"Foxi")</f>
        <v>Foxi</v>
      </c>
      <c r="BD72" s="5" t="str">
        <f ca="1">IFERROR(__xludf.DUMMYFUNCTION("""COMPUTED_VALUE"""),"")</f>
        <v/>
      </c>
      <c r="BE72" s="5"/>
    </row>
    <row r="73" spans="1:57" x14ac:dyDescent="0.25">
      <c r="A73" s="5">
        <f ca="1">IFERROR(__xludf.DUMMYFUNCTION("""COMPUTED_VALUE"""),72)</f>
        <v>72</v>
      </c>
      <c r="B73" s="5">
        <f ca="1">IFERROR(__xludf.DUMMYFUNCTION("""COMPUTED_VALUE"""),71)</f>
        <v>71</v>
      </c>
      <c r="C73" s="5" t="str">
        <f ca="1">IFERROR(__xludf.DUMMYFUNCTION("""COMPUTED_VALUE"""),"Tiptop")</f>
        <v>Tiptop</v>
      </c>
      <c r="D73" s="5" t="str">
        <f ca="1">IFERROR(__xludf.DUMMYFUNCTION("""COMPUTED_VALUE"""),"Vegas Dice")</f>
        <v>Vegas Dice</v>
      </c>
      <c r="E73" s="5"/>
      <c r="F73" s="5" t="str">
        <f ca="1">IFERROR(__xludf.DUMMYFUNCTION("""COMPUTED_VALUE"""),"UnicornVegasDice")</f>
        <v>UnicornVegasDice</v>
      </c>
      <c r="G73" s="5" t="str">
        <f ca="1">IFERROR(__xludf.DUMMYFUNCTION("""COMPUTED_VALUE"""),"Live")</f>
        <v>Live</v>
      </c>
      <c r="H73" s="5"/>
      <c r="I73" s="5" t="str">
        <f ca="1">IFERROR(__xludf.DUMMYFUNCTION("""COMPUTED_VALUE"""),"TipTop")</f>
        <v>TipTop</v>
      </c>
      <c r="J73" s="5" t="str">
        <f ca="1">IFERROR(__xludf.DUMMYFUNCTION("""COMPUTED_VALUE"""),"JSON")</f>
        <v>JSON</v>
      </c>
      <c r="K73" s="5" t="str">
        <f ca="1">IFERROR(__xludf.DUMMYFUNCTION("""COMPUTED_VALUE"""),"Dice Slots")</f>
        <v>Dice Slots</v>
      </c>
      <c r="L73" s="5"/>
      <c r="M73" s="5"/>
      <c r="N73" s="5"/>
      <c r="O73" s="5"/>
      <c r="P73" s="14">
        <f ca="1">IFERROR(__xludf.DUMMYFUNCTION("""COMPUTED_VALUE"""),15.5)</f>
        <v>15.5</v>
      </c>
      <c r="Q73" s="5"/>
      <c r="R73" s="5"/>
      <c r="S73" s="15">
        <f ca="1">IFERROR(__xludf.DUMMYFUNCTION("""COMPUTED_VALUE"""),44371)</f>
        <v>44371</v>
      </c>
      <c r="T73" s="5"/>
      <c r="U73" s="5" t="str">
        <f ca="1">IFERROR(__xludf.DUMMYFUNCTION("""COMPUTED_VALUE"""),"5x3")</f>
        <v>5x3</v>
      </c>
      <c r="V73" s="12" t="str">
        <f ca="1">IFERROR(__xludf.DUMMYFUNCTION("""COMPUTED_VALUE"""),"5")</f>
        <v>5</v>
      </c>
      <c r="W73" s="12" t="str">
        <f ca="1">IFERROR(__xludf.DUMMYFUNCTION("""COMPUTED_VALUE"""),"5")</f>
        <v>5</v>
      </c>
      <c r="X73" s="13">
        <f ca="1">IFERROR(__xludf.DUMMYFUNCTION("""COMPUTED_VALUE"""),96)</f>
        <v>96</v>
      </c>
      <c r="Y73" s="5" t="str">
        <f ca="1">IFERROR(__xludf.DUMMYFUNCTION("""COMPUTED_VALUE"""),"Low")</f>
        <v>Low</v>
      </c>
      <c r="Z73" s="5">
        <f ca="1">IFERROR(__xludf.DUMMYFUNCTION("""COMPUTED_VALUE"""),10.5)</f>
        <v>10.5</v>
      </c>
      <c r="AA73" s="14">
        <f ca="1">IFERROR(__xludf.DUMMYFUNCTION("""COMPUTED_VALUE"""),1000)</f>
        <v>1000</v>
      </c>
      <c r="AB73" s="5"/>
      <c r="AC73" s="5"/>
      <c r="AD73" s="5" t="str">
        <f ca="1">IFERROR(__xludf.DUMMYFUNCTION("""COMPUTED_VALUE"""),"0.05/40")</f>
        <v>0.05/40</v>
      </c>
      <c r="AE73" s="5"/>
      <c r="AF73" s="5"/>
      <c r="AG73" s="10">
        <f ca="1">IFERROR(__xludf.DUMMYFUNCTION("""COMPUTED_VALUE"""),46190.5393518518)</f>
        <v>46190.539351851803</v>
      </c>
      <c r="AH73" s="5"/>
      <c r="AI73" s="5"/>
      <c r="AJ73" s="5"/>
      <c r="AK73" s="5">
        <f ca="1">IFERROR(__xludf.DUMMYFUNCTION("""COMPUTED_VALUE"""),5)</f>
        <v>5</v>
      </c>
      <c r="AL73" s="5" t="str">
        <f ca="1">IFERROR(__xludf.DUMMYFUNCTION("""COMPUTED_VALUE"""),"No")</f>
        <v>No</v>
      </c>
      <c r="AM73" s="5"/>
      <c r="AN73" s="7" t="str">
        <f ca="1">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3" s="5"/>
      <c r="AP73" s="5"/>
      <c r="AQ73" s="5" t="b">
        <f ca="1">IFERROR(__xludf.DUMMYFUNCTION("""COMPUTED_VALUE"""),TRUE)</f>
        <v>1</v>
      </c>
      <c r="AR73" s="5"/>
      <c r="AS73" s="5" t="str">
        <f ca="1">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AT73" s="5"/>
      <c r="AU73" s="5" t="str">
        <f ca="1">IFERROR(__xludf.DUMMYFUNCTION("""COMPUTED_VALUE"""),"Fazi")</f>
        <v>Fazi</v>
      </c>
      <c r="AV73" s="5"/>
      <c r="AW73" s="5"/>
      <c r="AX73" s="5"/>
      <c r="AY73" s="5"/>
      <c r="AZ73" s="5"/>
      <c r="BA73" s="5"/>
      <c r="BB73" s="5" t="b">
        <f ca="1">IFERROR(__xludf.DUMMYFUNCTION("""COMPUTED_VALUE"""),TRUE)</f>
        <v>1</v>
      </c>
      <c r="BC73" s="5" t="str">
        <f ca="1">IFERROR(__xludf.DUMMYFUNCTION("""COMPUTED_VALUE"""),"Tiptop")</f>
        <v>Tiptop</v>
      </c>
      <c r="BD73" s="7" t="str">
        <f ca="1">IFERROR(__xludf.DUMMYFUNCTION("""COMPUTED_VALUE"""),"https://gameserver-store-client-area.orbionlimited.com/Home/IntegrationGameLaunch/client-area?moneyType=0&amp;gameName=UnicornVegasDice&amp;platform=desktop&amp;languageCode=eng&amp;currency=EUR")</f>
        <v>https://gameserver-store-client-area.orbionlimited.com/Home/IntegrationGameLaunch/client-area?moneyType=0&amp;gameName=UnicornVegasDice&amp;platform=desktop&amp;languageCode=eng&amp;currency=EUR</v>
      </c>
      <c r="BE73" s="5" t="b">
        <f ca="1">IFERROR(__xludf.DUMMYFUNCTION("""COMPUTED_VALUE"""),TRUE)</f>
        <v>1</v>
      </c>
    </row>
    <row r="74" spans="1:57" x14ac:dyDescent="0.25">
      <c r="A74" s="5">
        <f ca="1">IFERROR(__xludf.DUMMYFUNCTION("""COMPUTED_VALUE"""),73)</f>
        <v>73</v>
      </c>
      <c r="B74" s="5">
        <f ca="1">IFERROR(__xludf.DUMMYFUNCTION("""COMPUTED_VALUE"""),72)</f>
        <v>72</v>
      </c>
      <c r="C74" s="5" t="str">
        <f ca="1">IFERROR(__xludf.DUMMYFUNCTION("""COMPUTED_VALUE"""),"Fazi")</f>
        <v>Fazi</v>
      </c>
      <c r="D74" s="5" t="str">
        <f ca="1">IFERROR(__xludf.DUMMYFUNCTION("""COMPUTED_VALUE"""),"Book Of Mayan Gold")</f>
        <v>Book Of Mayan Gold</v>
      </c>
      <c r="E74" s="5" t="str">
        <f ca="1">IFERROR(__xludf.DUMMYFUNCTION("""COMPUTED_VALUE"""),"V2")</f>
        <v>V2</v>
      </c>
      <c r="F74" s="5" t="str">
        <f ca="1">IFERROR(__xludf.DUMMYFUNCTION("""COMPUTED_VALUE"""),"BookOfMayanGold")</f>
        <v>BookOfMayanGold</v>
      </c>
      <c r="G74" s="5" t="str">
        <f ca="1">IFERROR(__xludf.DUMMYFUNCTION("""COMPUTED_VALUE"""),"Live")</f>
        <v>Live</v>
      </c>
      <c r="H74" s="5"/>
      <c r="I74" s="5" t="str">
        <f ca="1">IFERROR(__xludf.DUMMYFUNCTION("""COMPUTED_VALUE"""),"V2")</f>
        <v>V2</v>
      </c>
      <c r="J74" s="5" t="str">
        <f ca="1">IFERROR(__xludf.DUMMYFUNCTION("""COMPUTED_VALUE"""),"Binary")</f>
        <v>Binary</v>
      </c>
      <c r="K74" s="5" t="str">
        <f ca="1">IFERROR(__xludf.DUMMYFUNCTION("""COMPUTED_VALUE"""),"Slot")</f>
        <v>Slot</v>
      </c>
      <c r="L74" s="5"/>
      <c r="M74" s="5"/>
      <c r="N74" s="5"/>
      <c r="O74" s="5"/>
      <c r="P74" s="5"/>
      <c r="Q74" s="5"/>
      <c r="R74" s="5"/>
      <c r="S74" s="5"/>
      <c r="T74" s="5"/>
      <c r="U74" s="5"/>
      <c r="V74" s="12" t="str">
        <f ca="1">IFERROR(__xludf.DUMMYFUNCTION("""COMPUTED_VALUE"""),"10")</f>
        <v>10</v>
      </c>
      <c r="W74" s="5"/>
      <c r="X74" s="13">
        <f ca="1">IFERROR(__xludf.DUMMYFUNCTION("""COMPUTED_VALUE"""),0)</f>
        <v>0</v>
      </c>
      <c r="Y74" s="5"/>
      <c r="Z74" s="5">
        <f ca="1">IFERROR(__xludf.DUMMYFUNCTION("""COMPUTED_VALUE"""),0)</f>
        <v>0</v>
      </c>
      <c r="AA74" s="5"/>
      <c r="AB74" s="5"/>
      <c r="AC74" s="5"/>
      <c r="AD74" s="5"/>
      <c r="AE74" s="5"/>
      <c r="AF74" s="5"/>
      <c r="AG74" s="5"/>
      <c r="AH74" s="5"/>
      <c r="AI74" s="5"/>
      <c r="AJ74" s="5"/>
      <c r="AK74" s="5" t="str">
        <f ca="1">IFERROR(__xludf.DUMMYFUNCTION("""COMPUTED_VALUE"""),"NULL")</f>
        <v>NULL</v>
      </c>
      <c r="AL74" s="5"/>
      <c r="AM74" s="5"/>
      <c r="AN74" s="7" t="str">
        <f ca="1">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4" s="5"/>
      <c r="AP74" s="5"/>
      <c r="AQ74" s="5"/>
      <c r="AR74" s="5"/>
      <c r="AS74" s="5"/>
      <c r="AT74" s="5"/>
      <c r="AU74" s="5" t="str">
        <f ca="1">IFERROR(__xludf.DUMMYFUNCTION("""COMPUTED_VALUE"""),"Fazi")</f>
        <v>Fazi</v>
      </c>
      <c r="AV74" s="5"/>
      <c r="AW74" s="5"/>
      <c r="AX74" s="5"/>
      <c r="AY74" s="5"/>
      <c r="AZ74" s="5"/>
      <c r="BA74" s="5" t="str">
        <f ca="1">IFERROR(__xludf.DUMMYFUNCTION("""COMPUTED_VALUE"""),"")</f>
        <v/>
      </c>
      <c r="BB74" s="5"/>
      <c r="BC74" s="5" t="str">
        <f ca="1">IFERROR(__xludf.DUMMYFUNCTION("""COMPUTED_VALUE"""),"Foxi")</f>
        <v>Foxi</v>
      </c>
      <c r="BD74" s="7" t="str">
        <f ca="1">IFERROR(__xludf.DUMMYFUNCTION("""COMPUTED_VALUE"""),"https://gameserver-store-client-area.orbionlimited.com/Home/IntegrationGameLaunch/client-area?moneyType=0&amp;gameName=BookOfMayanGold&amp;platform=desktop&amp;languageCode=eng&amp;currency=EUR")</f>
        <v>https://gameserver-store-client-area.orbionlimited.com/Home/IntegrationGameLaunch/client-area?moneyType=0&amp;gameName=BookOfMayanGold&amp;platform=desktop&amp;languageCode=eng&amp;currency=EUR</v>
      </c>
      <c r="BE74" s="5"/>
    </row>
    <row r="75" spans="1:57" x14ac:dyDescent="0.25">
      <c r="A75" s="5">
        <f ca="1">IFERROR(__xludf.DUMMYFUNCTION("""COMPUTED_VALUE"""),74)</f>
        <v>74</v>
      </c>
      <c r="B75" s="5">
        <f ca="1">IFERROR(__xludf.DUMMYFUNCTION("""COMPUTED_VALUE"""),73)</f>
        <v>73</v>
      </c>
      <c r="C75" s="5" t="str">
        <f ca="1">IFERROR(__xludf.DUMMYFUNCTION("""COMPUTED_VALUE"""),"Fazi")</f>
        <v>Fazi</v>
      </c>
      <c r="D75" s="5" t="str">
        <f ca="1">IFERROR(__xludf.DUMMYFUNCTION("""COMPUTED_VALUE"""),"Bursting Hot 5")</f>
        <v>Bursting Hot 5</v>
      </c>
      <c r="E75" s="5" t="str">
        <f ca="1">IFERROR(__xludf.DUMMYFUNCTION("""COMPUTED_VALUE"""),"V2")</f>
        <v>V2</v>
      </c>
      <c r="F75" s="5" t="str">
        <f ca="1">IFERROR(__xludf.DUMMYFUNCTION("""COMPUTED_VALUE"""),"BurstingHot5")</f>
        <v>BurstingHot5</v>
      </c>
      <c r="G75" s="5" t="str">
        <f ca="1">IFERROR(__xludf.DUMMYFUNCTION("""COMPUTED_VALUE"""),"Retired")</f>
        <v>Retired</v>
      </c>
      <c r="H75" s="5"/>
      <c r="I75" s="5" t="str">
        <f ca="1">IFERROR(__xludf.DUMMYFUNCTION("""COMPUTED_VALUE"""),"V2")</f>
        <v>V2</v>
      </c>
      <c r="J75" s="5" t="str">
        <f ca="1">IFERROR(__xludf.DUMMYFUNCTION("""COMPUTED_VALUE"""),"Binary")</f>
        <v>Binary</v>
      </c>
      <c r="K75" s="5" t="str">
        <f ca="1">IFERROR(__xludf.DUMMYFUNCTION("""COMPUTED_VALUE"""),"Slot")</f>
        <v>Slot</v>
      </c>
      <c r="L75" s="5"/>
      <c r="M75" s="5"/>
      <c r="N75" s="5"/>
      <c r="O75" s="5"/>
      <c r="P75" s="5"/>
      <c r="Q75" s="5"/>
      <c r="R75" s="5"/>
      <c r="S75" s="5"/>
      <c r="T75" s="5"/>
      <c r="U75" s="5" t="str">
        <f ca="1">IFERROR(__xludf.DUMMYFUNCTION("""COMPUTED_VALUE"""),"5x3")</f>
        <v>5x3</v>
      </c>
      <c r="V75" s="12" t="str">
        <f ca="1">IFERROR(__xludf.DUMMYFUNCTION("""COMPUTED_VALUE"""),"5")</f>
        <v>5</v>
      </c>
      <c r="W75" s="12" t="str">
        <f ca="1">IFERROR(__xludf.DUMMYFUNCTION("""COMPUTED_VALUE"""),"5")</f>
        <v>5</v>
      </c>
      <c r="X75" s="5">
        <f ca="1">IFERROR(__xludf.DUMMYFUNCTION("""COMPUTED_VALUE"""),96.447)</f>
        <v>96.447000000000003</v>
      </c>
      <c r="Y75" s="5" t="str">
        <f ca="1">IFERROR(__xludf.DUMMYFUNCTION("""COMPUTED_VALUE"""),"Medium")</f>
        <v>Medium</v>
      </c>
      <c r="Z75" s="5">
        <f ca="1">IFERROR(__xludf.DUMMYFUNCTION("""COMPUTED_VALUE"""),14.51)</f>
        <v>14.51</v>
      </c>
      <c r="AA75" s="14">
        <f ca="1">IFERROR(__xludf.DUMMYFUNCTION("""COMPUTED_VALUE"""),1222)</f>
        <v>1222</v>
      </c>
      <c r="AB75" s="5">
        <f ca="1">IFERROR(__xludf.DUMMYFUNCTION("""COMPUTED_VALUE"""),4)</f>
        <v>4</v>
      </c>
      <c r="AC75" s="5" t="str">
        <f ca="1">IFERROR(__xludf.DUMMYFUNCTION("""COMPUTED_VALUE"""),"Scatter, Expanding Wild")</f>
        <v>Scatter, Expanding Wild</v>
      </c>
      <c r="AD75" s="5"/>
      <c r="AE75" s="5"/>
      <c r="AF75" s="5"/>
      <c r="AG75" s="10">
        <f ca="1">IFERROR(__xludf.DUMMYFUNCTION("""COMPUTED_VALUE"""),45699.5956712962)</f>
        <v>45699.5956712962</v>
      </c>
      <c r="AH75" s="5" t="str">
        <f ca="1">IFERROR(__xludf.DUMMYFUNCTION("""COMPUTED_VALUE"""),"milutin.toskic@fazi.rs")</f>
        <v>milutin.toskic@fazi.rs</v>
      </c>
      <c r="AI75" s="5"/>
      <c r="AJ75" s="5"/>
      <c r="AK75" s="5">
        <f ca="1">IFERROR(__xludf.DUMMYFUNCTION("""COMPUTED_VALUE"""),5)</f>
        <v>5</v>
      </c>
      <c r="AL75" s="5"/>
      <c r="AM75" s="5"/>
      <c r="AN75" s="5"/>
      <c r="AO75" s="5"/>
      <c r="AP75" s="5"/>
      <c r="AQ75" s="5"/>
      <c r="AR75" s="5"/>
      <c r="AS75" s="5"/>
      <c r="AT75" s="5"/>
      <c r="AU75" s="5" t="str">
        <f ca="1">IFERROR(__xludf.DUMMYFUNCTION("""COMPUTED_VALUE"""),"Fazi")</f>
        <v>Fazi</v>
      </c>
      <c r="AV75" s="5"/>
      <c r="AW75" s="5"/>
      <c r="AX75" s="5"/>
      <c r="AY75" s="5"/>
      <c r="AZ75" s="5"/>
      <c r="BA75" s="5" t="str">
        <f ca="1">IFERROR(__xludf.DUMMYFUNCTION("""COMPUTED_VALUE"""),"")</f>
        <v/>
      </c>
      <c r="BB75" s="5"/>
      <c r="BC75" s="5" t="str">
        <f ca="1">IFERROR(__xludf.DUMMYFUNCTION("""COMPUTED_VALUE"""),"Foxi")</f>
        <v>Foxi</v>
      </c>
      <c r="BD75" s="5" t="str">
        <f ca="1">IFERROR(__xludf.DUMMYFUNCTION("""COMPUTED_VALUE"""),"")</f>
        <v/>
      </c>
      <c r="BE75" s="5"/>
    </row>
    <row r="76" spans="1:57" x14ac:dyDescent="0.25">
      <c r="A76" s="5">
        <f ca="1">IFERROR(__xludf.DUMMYFUNCTION("""COMPUTED_VALUE"""),75)</f>
        <v>75</v>
      </c>
      <c r="B76" s="5">
        <f ca="1">IFERROR(__xludf.DUMMYFUNCTION("""COMPUTED_VALUE"""),74)</f>
        <v>74</v>
      </c>
      <c r="C76" s="5" t="str">
        <f ca="1">IFERROR(__xludf.DUMMYFUNCTION("""COMPUTED_VALUE"""),"Fazi")</f>
        <v>Fazi</v>
      </c>
      <c r="D76" s="5" t="str">
        <f ca="1">IFERROR(__xludf.DUMMYFUNCTION("""COMPUTED_VALUE"""),"Wild Hot 40")</f>
        <v>Wild Hot 40</v>
      </c>
      <c r="E76" s="5" t="str">
        <f ca="1">IFERROR(__xludf.DUMMYFUNCTION("""COMPUTED_VALUE"""),"V2")</f>
        <v>V2</v>
      </c>
      <c r="F76" s="5" t="str">
        <f ca="1">IFERROR(__xludf.DUMMYFUNCTION("""COMPUTED_VALUE"""),"WildHot40")</f>
        <v>WildHot40</v>
      </c>
      <c r="G76" s="5" t="str">
        <f ca="1">IFERROR(__xludf.DUMMYFUNCTION("""COMPUTED_VALUE"""),"Live")</f>
        <v>Live</v>
      </c>
      <c r="H76" s="5"/>
      <c r="I76" s="5" t="str">
        <f ca="1">IFERROR(__xludf.DUMMYFUNCTION("""COMPUTED_VALUE"""),"V2")</f>
        <v>V2</v>
      </c>
      <c r="J76" s="5" t="str">
        <f ca="1">IFERROR(__xludf.DUMMYFUNCTION("""COMPUTED_VALUE"""),"JSON")</f>
        <v>JSON</v>
      </c>
      <c r="K76" s="5" t="str">
        <f ca="1">IFERROR(__xludf.DUMMYFUNCTION("""COMPUTED_VALUE"""),"Slot")</f>
        <v>Slot</v>
      </c>
      <c r="L76" s="5" t="str">
        <f ca="1">IFERROR(__xludf.DUMMYFUNCTION("""COMPUTED_VALUE"""),"Clone")</f>
        <v>Clone</v>
      </c>
      <c r="M76" s="5" t="str">
        <f ca="1">IFERROR(__xludf.DUMMYFUNCTION("""COMPUTED_VALUE"""),"Turbo Hot 40")</f>
        <v>Turbo Hot 40</v>
      </c>
      <c r="N76" s="5"/>
      <c r="O76" s="5"/>
      <c r="P76" s="14">
        <f ca="1">IFERROR(__xludf.DUMMYFUNCTION("""COMPUTED_VALUE"""),27.7)</f>
        <v>27.7</v>
      </c>
      <c r="Q76" s="5"/>
      <c r="R76" s="5"/>
      <c r="S76" s="15">
        <f ca="1">IFERROR(__xludf.DUMMYFUNCTION("""COMPUTED_VALUE"""),43872)</f>
        <v>43872</v>
      </c>
      <c r="T76" s="5" t="b">
        <f ca="1">IFERROR(__xludf.DUMMYFUNCTION("""COMPUTED_VALUE"""),TRUE)</f>
        <v>1</v>
      </c>
      <c r="U76" s="5" t="str">
        <f ca="1">IFERROR(__xludf.DUMMYFUNCTION("""COMPUTED_VALUE"""),"5x4")</f>
        <v>5x4</v>
      </c>
      <c r="V76" s="12" t="str">
        <f ca="1">IFERROR(__xludf.DUMMYFUNCTION("""COMPUTED_VALUE"""),"40")</f>
        <v>40</v>
      </c>
      <c r="W76" s="12" t="str">
        <f ca="1">IFERROR(__xludf.DUMMYFUNCTION("""COMPUTED_VALUE"""),"40")</f>
        <v>40</v>
      </c>
      <c r="X76" s="5">
        <f ca="1">IFERROR(__xludf.DUMMYFUNCTION("""COMPUTED_VALUE"""),96.584)</f>
        <v>96.584000000000003</v>
      </c>
      <c r="Y76" s="5" t="str">
        <f ca="1">IFERROR(__xludf.DUMMYFUNCTION("""COMPUTED_VALUE"""),"Low")</f>
        <v>Low</v>
      </c>
      <c r="Z76" s="5">
        <f ca="1">IFERROR(__xludf.DUMMYFUNCTION("""COMPUTED_VALUE"""),16.73)</f>
        <v>16.73</v>
      </c>
      <c r="AA76" s="14">
        <f ca="1">IFERROR(__xludf.DUMMYFUNCTION("""COMPUTED_VALUE"""),1000)</f>
        <v>1000</v>
      </c>
      <c r="AB76" s="5" t="str">
        <f ca="1">IFERROR(__xludf.DUMMYFUNCTION("""COMPUTED_VALUE"""),"/")</f>
        <v>/</v>
      </c>
      <c r="AC76" s="5" t="str">
        <f ca="1">IFERROR(__xludf.DUMMYFUNCTION("""COMPUTED_VALUE"""),"Wild Symbol, Scatter")</f>
        <v>Wild Symbol, Scatter</v>
      </c>
      <c r="AD76" s="5" t="str">
        <f ca="1">IFERROR(__xludf.DUMMYFUNCTION("""COMPUTED_VALUE"""),"0.40/60")</f>
        <v>0.40/60</v>
      </c>
      <c r="AE76" s="5"/>
      <c r="AF76" s="5"/>
      <c r="AG76" s="10">
        <f ca="1">IFERROR(__xludf.DUMMYFUNCTION("""COMPUTED_VALUE"""),46056.4548148148)</f>
        <v>46056.454814814802</v>
      </c>
      <c r="AH76" s="5" t="str">
        <f ca="1">IFERROR(__xludf.DUMMYFUNCTION("""COMPUTED_VALUE"""),"aleksandar.trajkovic@fazi.rs")</f>
        <v>aleksandar.trajkovic@fazi.rs</v>
      </c>
      <c r="AI76" s="5"/>
      <c r="AJ76" s="5"/>
      <c r="AK76" s="5">
        <f ca="1">IFERROR(__xludf.DUMMYFUNCTION("""COMPUTED_VALUE"""),40)</f>
        <v>40</v>
      </c>
      <c r="AL76" s="5" t="str">
        <f ca="1">IFERROR(__xludf.DUMMYFUNCTION("""COMPUTED_VALUE"""),"Yes")</f>
        <v>Yes</v>
      </c>
      <c r="AM76" s="5"/>
      <c r="AN76" s="7" t="str">
        <f ca="1">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AO76" s="5" t="str">
        <f ca="1">IFERROR(__xludf.DUMMYFUNCTION("""COMPUTED_VALUE"""),"Yes")</f>
        <v>Yes</v>
      </c>
      <c r="AP76" s="5" t="str">
        <f ca="1">IFERROR(__xludf.DUMMYFUNCTION("""COMPUTED_VALUE"""),"Yes")</f>
        <v>Yes</v>
      </c>
      <c r="AQ76" s="5" t="b">
        <f ca="1">IFERROR(__xludf.DUMMYFUNCTION("""COMPUTED_VALUE"""),TRUE)</f>
        <v>1</v>
      </c>
      <c r="AR76" s="5"/>
      <c r="AS76" s="5" t="str">
        <f ca="1">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AT76" s="5"/>
      <c r="AU76" s="5" t="str">
        <f ca="1">IFERROR(__xludf.DUMMYFUNCTION("""COMPUTED_VALUE"""),"Fazi")</f>
        <v>Fazi</v>
      </c>
      <c r="AV76" s="5"/>
      <c r="AW76" s="5"/>
      <c r="AX76" s="5"/>
      <c r="AY76" s="5" t="str">
        <f ca="1">IFERROR(__xludf.DUMMYFUNCTION("""COMPUTED_VALUE"""),"87.5%, 89.5%, 91.5%, 93.5%, 94.5%, 95.5%, 96.5%")</f>
        <v>87.5%, 89.5%, 91.5%, 93.5%, 94.5%, 95.5%, 96.5%</v>
      </c>
      <c r="AZ76" s="5"/>
      <c r="BA76" s="5" t="str">
        <f ca="1">IFERROR(__xludf.DUMMYFUNCTION("""COMPUTED_VALUE"""),"")</f>
        <v/>
      </c>
      <c r="BB76" s="5"/>
      <c r="BC76" s="5" t="str">
        <f ca="1">IFERROR(__xludf.DUMMYFUNCTION("""COMPUTED_VALUE"""),"Foxi")</f>
        <v>Foxi</v>
      </c>
      <c r="BD76" s="7" t="str">
        <f ca="1">IFERROR(__xludf.DUMMYFUNCTION("""COMPUTED_VALUE"""),"https://gameserver-store-client-area.orbionlimited.com/Home/IntegrationGameLaunch/client-area?moneyType=0&amp;gameName=WildHot40&amp;platform=desktop&amp;languageCode=eng&amp;currency=EUR")</f>
        <v>https://gameserver-store-client-area.orbionlimited.com/Home/IntegrationGameLaunch/client-area?moneyType=0&amp;gameName=WildHot40&amp;platform=desktop&amp;languageCode=eng&amp;currency=EUR</v>
      </c>
      <c r="BE76" s="5" t="b">
        <f ca="1">IFERROR(__xludf.DUMMYFUNCTION("""COMPUTED_VALUE"""),TRUE)</f>
        <v>1</v>
      </c>
    </row>
    <row r="77" spans="1:57" x14ac:dyDescent="0.25">
      <c r="A77" s="5">
        <f ca="1">IFERROR(__xludf.DUMMYFUNCTION("""COMPUTED_VALUE"""),76)</f>
        <v>76</v>
      </c>
      <c r="B77" s="5">
        <f ca="1">IFERROR(__xludf.DUMMYFUNCTION("""COMPUTED_VALUE"""),75)</f>
        <v>75</v>
      </c>
      <c r="C77" s="5" t="str">
        <f ca="1">IFERROR(__xludf.DUMMYFUNCTION("""COMPUTED_VALUE"""),"Fazi")</f>
        <v>Fazi</v>
      </c>
      <c r="D77" s="5" t="str">
        <f ca="1">IFERROR(__xludf.DUMMYFUNCTION("""COMPUTED_VALUE"""),"Burning Ice Gd")</f>
        <v>Burning Ice Gd</v>
      </c>
      <c r="E77" s="5" t="str">
        <f ca="1">IFERROR(__xludf.DUMMYFUNCTION("""COMPUTED_VALUE"""),"V2")</f>
        <v>V2</v>
      </c>
      <c r="F77" s="5" t="str">
        <f ca="1">IFERROR(__xludf.DUMMYFUNCTION("""COMPUTED_VALUE"""),"BurningIceGd")</f>
        <v>BurningIceGd</v>
      </c>
      <c r="G77" s="5" t="str">
        <f ca="1">IFERROR(__xludf.DUMMYFUNCTION("""COMPUTED_VALUE"""),"Retired")</f>
        <v>Retired</v>
      </c>
      <c r="H77" s="5" t="str">
        <f ca="1">IFERROR(__xludf.DUMMYFUNCTION("""COMPUTED_VALUE"""),"Golden Palace")</f>
        <v>Golden Palace</v>
      </c>
      <c r="I77" s="5" t="str">
        <f ca="1">IFERROR(__xludf.DUMMYFUNCTION("""COMPUTED_VALUE"""),"V2")</f>
        <v>V2</v>
      </c>
      <c r="J77" s="5" t="str">
        <f ca="1">IFERROR(__xludf.DUMMYFUNCTION("""COMPUTED_VALUE"""),"Binary")</f>
        <v>Binary</v>
      </c>
      <c r="K77" s="5" t="str">
        <f ca="1">IFERROR(__xludf.DUMMYFUNCTION("""COMPUTED_VALUE"""),"Slot")</f>
        <v>Slot</v>
      </c>
      <c r="L77" s="5"/>
      <c r="M77" s="5"/>
      <c r="N77" s="5"/>
      <c r="O77" s="5"/>
      <c r="P77" s="5"/>
      <c r="Q77" s="5"/>
      <c r="R77" s="5"/>
      <c r="S77" s="5"/>
      <c r="T77" s="5"/>
      <c r="U77" s="5"/>
      <c r="V77" s="12" t="str">
        <f ca="1">IFERROR(__xludf.DUMMYFUNCTION("""COMPUTED_VALUE"""),"27")</f>
        <v>27</v>
      </c>
      <c r="W77" s="5"/>
      <c r="X77" s="13">
        <f ca="1">IFERROR(__xludf.DUMMYFUNCTION("""COMPUTED_VALUE"""),96.352)</f>
        <v>96.352000000000004</v>
      </c>
      <c r="Y77" s="5"/>
      <c r="Z77" s="5">
        <f ca="1">IFERROR(__xludf.DUMMYFUNCTION("""COMPUTED_VALUE"""),0)</f>
        <v>0</v>
      </c>
      <c r="AA77" s="5"/>
      <c r="AB77" s="5"/>
      <c r="AC77" s="5"/>
      <c r="AD77" s="5"/>
      <c r="AE77" s="5"/>
      <c r="AF77" s="5"/>
      <c r="AG77" s="10">
        <f ca="1">IFERROR(__xludf.DUMMYFUNCTION("""COMPUTED_VALUE"""),46104.5921875)</f>
        <v>46104.592187499999</v>
      </c>
      <c r="AH77" s="5" t="str">
        <f ca="1">IFERROR(__xludf.DUMMYFUNCTION("""COMPUTED_VALUE"""),"petra.ilic@fazi.rs")</f>
        <v>petra.ilic@fazi.rs</v>
      </c>
      <c r="AI77" s="5"/>
      <c r="AJ77" s="5"/>
      <c r="AK77" s="5">
        <f ca="1">IFERROR(__xludf.DUMMYFUNCTION("""COMPUTED_VALUE"""),1)</f>
        <v>1</v>
      </c>
      <c r="AL77" s="5"/>
      <c r="AM77" s="5"/>
      <c r="AN77" s="5"/>
      <c r="AO77" s="5"/>
      <c r="AP77" s="5"/>
      <c r="AQ77" s="5"/>
      <c r="AR77" s="5" t="b">
        <f ca="1">IFERROR(__xludf.DUMMYFUNCTION("""COMPUTED_VALUE"""),TRUE)</f>
        <v>1</v>
      </c>
      <c r="AS77" s="5"/>
      <c r="AT77" s="5"/>
      <c r="AU77" s="5" t="str">
        <f ca="1">IFERROR(__xludf.DUMMYFUNCTION("""COMPUTED_VALUE"""),"Fazi")</f>
        <v>Fazi</v>
      </c>
      <c r="AV77" s="5"/>
      <c r="AW77" s="5"/>
      <c r="AX77" s="5"/>
      <c r="AY77" s="5"/>
      <c r="AZ77" s="5"/>
      <c r="BA77" s="5" t="str">
        <f ca="1">IFERROR(__xludf.DUMMYFUNCTION("""COMPUTED_VALUE"""),"")</f>
        <v/>
      </c>
      <c r="BB77" s="5"/>
      <c r="BC77" s="5" t="str">
        <f ca="1">IFERROR(__xludf.DUMMYFUNCTION("""COMPUTED_VALUE"""),"Foxi")</f>
        <v>Foxi</v>
      </c>
      <c r="BD77" s="5" t="str">
        <f ca="1">IFERROR(__xludf.DUMMYFUNCTION("""COMPUTED_VALUE"""),"")</f>
        <v/>
      </c>
      <c r="BE77" s="5"/>
    </row>
    <row r="78" spans="1:57" x14ac:dyDescent="0.25">
      <c r="A78" s="5">
        <f ca="1">IFERROR(__xludf.DUMMYFUNCTION("""COMPUTED_VALUE"""),77)</f>
        <v>77</v>
      </c>
      <c r="B78" s="5">
        <f ca="1">IFERROR(__xludf.DUMMYFUNCTION("""COMPUTED_VALUE"""),76)</f>
        <v>76</v>
      </c>
      <c r="C78" s="5" t="str">
        <f ca="1">IFERROR(__xludf.DUMMYFUNCTION("""COMPUTED_VALUE"""),"Tiptop")</f>
        <v>Tiptop</v>
      </c>
      <c r="D78" s="5" t="str">
        <f ca="1">IFERROR(__xludf.DUMMYFUNCTION("""COMPUTED_VALUE"""),"Reel Dice")</f>
        <v>Reel Dice</v>
      </c>
      <c r="E78" s="5"/>
      <c r="F78" s="5" t="str">
        <f ca="1">IFERROR(__xludf.DUMMYFUNCTION("""COMPUTED_VALUE"""),"UnicornReelDice")</f>
        <v>UnicornReelDice</v>
      </c>
      <c r="G78" s="5" t="str">
        <f ca="1">IFERROR(__xludf.DUMMYFUNCTION("""COMPUTED_VALUE"""),"Live")</f>
        <v>Live</v>
      </c>
      <c r="H78" s="5"/>
      <c r="I78" s="5" t="str">
        <f ca="1">IFERROR(__xludf.DUMMYFUNCTION("""COMPUTED_VALUE"""),"TipTop")</f>
        <v>TipTop</v>
      </c>
      <c r="J78" s="5" t="str">
        <f ca="1">IFERROR(__xludf.DUMMYFUNCTION("""COMPUTED_VALUE"""),"JSON")</f>
        <v>JSON</v>
      </c>
      <c r="K78" s="5" t="str">
        <f ca="1">IFERROR(__xludf.DUMMYFUNCTION("""COMPUTED_VALUE"""),"Dice Slots")</f>
        <v>Dice Slots</v>
      </c>
      <c r="L78" s="5"/>
      <c r="M78" s="5"/>
      <c r="N78" s="5"/>
      <c r="O78" s="5"/>
      <c r="P78" s="14">
        <f ca="1">IFERROR(__xludf.DUMMYFUNCTION("""COMPUTED_VALUE"""),15.6)</f>
        <v>15.6</v>
      </c>
      <c r="Q78" s="5"/>
      <c r="R78" s="5"/>
      <c r="S78" s="15">
        <f ca="1">IFERROR(__xludf.DUMMYFUNCTION("""COMPUTED_VALUE"""),44371)</f>
        <v>44371</v>
      </c>
      <c r="T78" s="5"/>
      <c r="U78" s="5" t="str">
        <f ca="1">IFERROR(__xludf.DUMMYFUNCTION("""COMPUTED_VALUE"""),"5x3")</f>
        <v>5x3</v>
      </c>
      <c r="V78" s="12" t="str">
        <f ca="1">IFERROR(__xludf.DUMMYFUNCTION("""COMPUTED_VALUE"""),"5")</f>
        <v>5</v>
      </c>
      <c r="W78" s="12" t="str">
        <f ca="1">IFERROR(__xludf.DUMMYFUNCTION("""COMPUTED_VALUE"""),"5")</f>
        <v>5</v>
      </c>
      <c r="X78" s="5">
        <f ca="1">IFERROR(__xludf.DUMMYFUNCTION("""COMPUTED_VALUE"""),96)</f>
        <v>96</v>
      </c>
      <c r="Y78" s="5" t="str">
        <f ca="1">IFERROR(__xludf.DUMMYFUNCTION("""COMPUTED_VALUE"""),"Low")</f>
        <v>Low</v>
      </c>
      <c r="Z78" s="5">
        <f ca="1">IFERROR(__xludf.DUMMYFUNCTION("""COMPUTED_VALUE"""),9.2)</f>
        <v>9.1999999999999993</v>
      </c>
      <c r="AA78" s="14">
        <f ca="1">IFERROR(__xludf.DUMMYFUNCTION("""COMPUTED_VALUE"""),1000)</f>
        <v>1000</v>
      </c>
      <c r="AB78" s="5"/>
      <c r="AC78" s="5"/>
      <c r="AD78" s="5" t="str">
        <f ca="1">IFERROR(__xludf.DUMMYFUNCTION("""COMPUTED_VALUE"""),"0.05/100")</f>
        <v>0.05/100</v>
      </c>
      <c r="AE78" s="5"/>
      <c r="AF78" s="5"/>
      <c r="AG78" s="10">
        <f ca="1">IFERROR(__xludf.DUMMYFUNCTION("""COMPUTED_VALUE"""),46190.5398842592)</f>
        <v>46190.539884259197</v>
      </c>
      <c r="AH78" s="5"/>
      <c r="AI78" s="5"/>
      <c r="AJ78" s="5"/>
      <c r="AK78" s="5">
        <f ca="1">IFERROR(__xludf.DUMMYFUNCTION("""COMPUTED_VALUE"""),5)</f>
        <v>5</v>
      </c>
      <c r="AL78" s="5" t="str">
        <f ca="1">IFERROR(__xludf.DUMMYFUNCTION("""COMPUTED_VALUE"""),"No")</f>
        <v>No</v>
      </c>
      <c r="AM78" s="5"/>
      <c r="AN78" s="7" t="str">
        <f ca="1">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AO78" s="5"/>
      <c r="AP78" s="5"/>
      <c r="AQ78" s="5" t="b">
        <f ca="1">IFERROR(__xludf.DUMMYFUNCTION("""COMPUTED_VALUE"""),TRUE)</f>
        <v>1</v>
      </c>
      <c r="AR78" s="5"/>
      <c r="AS78" s="5" t="str">
        <f ca="1">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AT78" s="5"/>
      <c r="AU78" s="5" t="str">
        <f ca="1">IFERROR(__xludf.DUMMYFUNCTION("""COMPUTED_VALUE"""),"Fazi")</f>
        <v>Fazi</v>
      </c>
      <c r="AV78" s="5"/>
      <c r="AW78" s="5"/>
      <c r="AX78" s="5"/>
      <c r="AY78" s="5"/>
      <c r="AZ78" s="5"/>
      <c r="BA78" s="5"/>
      <c r="BB78" s="5" t="b">
        <f ca="1">IFERROR(__xludf.DUMMYFUNCTION("""COMPUTED_VALUE"""),TRUE)</f>
        <v>1</v>
      </c>
      <c r="BC78" s="5" t="str">
        <f ca="1">IFERROR(__xludf.DUMMYFUNCTION("""COMPUTED_VALUE"""),"Tiptop")</f>
        <v>Tiptop</v>
      </c>
      <c r="BD78" s="7" t="str">
        <f ca="1">IFERROR(__xludf.DUMMYFUNCTION("""COMPUTED_VALUE"""),"https://gameserver-store-client-area.orbionlimited.com/Home/IntegrationGameLaunch/client-area?moneyType=0&amp;gameName=UnicornReelDice&amp;platform=desktop&amp;languageCode=eng&amp;currency=EUR")</f>
        <v>https://gameserver-store-client-area.orbionlimited.com/Home/IntegrationGameLaunch/client-area?moneyType=0&amp;gameName=UnicornReelDice&amp;platform=desktop&amp;languageCode=eng&amp;currency=EUR</v>
      </c>
      <c r="BE78" s="5" t="b">
        <f ca="1">IFERROR(__xludf.DUMMYFUNCTION("""COMPUTED_VALUE"""),TRUE)</f>
        <v>1</v>
      </c>
    </row>
    <row r="79" spans="1:57" x14ac:dyDescent="0.25">
      <c r="A79" s="5">
        <f ca="1">IFERROR(__xludf.DUMMYFUNCTION("""COMPUTED_VALUE"""),78)</f>
        <v>78</v>
      </c>
      <c r="B79" s="5">
        <f ca="1">IFERROR(__xludf.DUMMYFUNCTION("""COMPUTED_VALUE"""),77)</f>
        <v>77</v>
      </c>
      <c r="C79" s="5" t="str">
        <f ca="1">IFERROR(__xludf.DUMMYFUNCTION("""COMPUTED_VALUE"""),"Fazi")</f>
        <v>Fazi</v>
      </c>
      <c r="D79" s="5" t="str">
        <f ca="1">IFERROR(__xludf.DUMMYFUNCTION("""COMPUTED_VALUE"""),"Bursting Hot 40")</f>
        <v>Bursting Hot 40</v>
      </c>
      <c r="E79" s="5" t="str">
        <f ca="1">IFERROR(__xludf.DUMMYFUNCTION("""COMPUTED_VALUE"""),"V2")</f>
        <v>V2</v>
      </c>
      <c r="F79" s="5" t="str">
        <f ca="1">IFERROR(__xludf.DUMMYFUNCTION("""COMPUTED_VALUE"""),"BurstingHot40")</f>
        <v>BurstingHot40</v>
      </c>
      <c r="G79" s="5" t="str">
        <f ca="1">IFERROR(__xludf.DUMMYFUNCTION("""COMPUTED_VALUE"""),"Retired")</f>
        <v>Retired</v>
      </c>
      <c r="H79" s="5"/>
      <c r="I79" s="5" t="str">
        <f ca="1">IFERROR(__xludf.DUMMYFUNCTION("""COMPUTED_VALUE"""),"V2")</f>
        <v>V2</v>
      </c>
      <c r="J79" s="5" t="str">
        <f ca="1">IFERROR(__xludf.DUMMYFUNCTION("""COMPUTED_VALUE"""),"Binary")</f>
        <v>Binary</v>
      </c>
      <c r="K79" s="5" t="str">
        <f ca="1">IFERROR(__xludf.DUMMYFUNCTION("""COMPUTED_VALUE"""),"Slot")</f>
        <v>Slot</v>
      </c>
      <c r="L79" s="5" t="str">
        <f ca="1">IFERROR(__xludf.DUMMYFUNCTION("""COMPUTED_VALUE"""),"Clone")</f>
        <v>Clone</v>
      </c>
      <c r="M79" s="5" t="str">
        <f ca="1">IFERROR(__xludf.DUMMYFUNCTION("""COMPUTED_VALUE"""),"Bursting Hot 5")</f>
        <v>Bursting Hot 5</v>
      </c>
      <c r="N79" s="5"/>
      <c r="O79" s="5"/>
      <c r="P79" s="5"/>
      <c r="Q79" s="5"/>
      <c r="R79" s="5"/>
      <c r="S79" s="5"/>
      <c r="T79" s="5"/>
      <c r="U79" s="5" t="str">
        <f ca="1">IFERROR(__xludf.DUMMYFUNCTION("""COMPUTED_VALUE"""),"5x3")</f>
        <v>5x3</v>
      </c>
      <c r="V79" s="12" t="str">
        <f ca="1">IFERROR(__xludf.DUMMYFUNCTION("""COMPUTED_VALUE"""),"40")</f>
        <v>40</v>
      </c>
      <c r="W79" s="12" t="str">
        <f ca="1">IFERROR(__xludf.DUMMYFUNCTION("""COMPUTED_VALUE"""),"40")</f>
        <v>40</v>
      </c>
      <c r="X79" s="5">
        <f ca="1">IFERROR(__xludf.DUMMYFUNCTION("""COMPUTED_VALUE"""),96.53)</f>
        <v>96.53</v>
      </c>
      <c r="Y79" s="5" t="str">
        <f ca="1">IFERROR(__xludf.DUMMYFUNCTION("""COMPUTED_VALUE"""),"Low")</f>
        <v>Low</v>
      </c>
      <c r="Z79" s="5">
        <f ca="1">IFERROR(__xludf.DUMMYFUNCTION("""COMPUTED_VALUE"""),23.38)</f>
        <v>23.38</v>
      </c>
      <c r="AA79" s="14">
        <f ca="1">IFERROR(__xludf.DUMMYFUNCTION("""COMPUTED_VALUE"""),876.75)</f>
        <v>876.75</v>
      </c>
      <c r="AB79" s="5">
        <f ca="1">IFERROR(__xludf.DUMMYFUNCTION("""COMPUTED_VALUE"""),4)</f>
        <v>4</v>
      </c>
      <c r="AC79" s="5" t="str">
        <f ca="1">IFERROR(__xludf.DUMMYFUNCTION("""COMPUTED_VALUE"""),"Scatter, Expanding Wild")</f>
        <v>Scatter, Expanding Wild</v>
      </c>
      <c r="AD79" s="5"/>
      <c r="AE79" s="5"/>
      <c r="AF79" s="5"/>
      <c r="AG79" s="10">
        <f ca="1">IFERROR(__xludf.DUMMYFUNCTION("""COMPUTED_VALUE"""),45699.5961805555)</f>
        <v>45699.596180555498</v>
      </c>
      <c r="AH79" s="5" t="str">
        <f ca="1">IFERROR(__xludf.DUMMYFUNCTION("""COMPUTED_VALUE"""),"milutin.toskic@fazi.rs")</f>
        <v>milutin.toskic@fazi.rs</v>
      </c>
      <c r="AI79" s="5"/>
      <c r="AJ79" s="5"/>
      <c r="AK79" s="5">
        <f ca="1">IFERROR(__xludf.DUMMYFUNCTION("""COMPUTED_VALUE"""),40)</f>
        <v>40</v>
      </c>
      <c r="AL79" s="5"/>
      <c r="AM79" s="5"/>
      <c r="AN79" s="5"/>
      <c r="AO79" s="5"/>
      <c r="AP79" s="5"/>
      <c r="AQ79" s="5"/>
      <c r="AR79" s="5"/>
      <c r="AS79" s="5"/>
      <c r="AT79" s="5"/>
      <c r="AU79" s="5" t="str">
        <f ca="1">IFERROR(__xludf.DUMMYFUNCTION("""COMPUTED_VALUE"""),"Fazi")</f>
        <v>Fazi</v>
      </c>
      <c r="AV79" s="5"/>
      <c r="AW79" s="5"/>
      <c r="AX79" s="5"/>
      <c r="AY79" s="5"/>
      <c r="AZ79" s="5"/>
      <c r="BA79" s="5" t="str">
        <f ca="1">IFERROR(__xludf.DUMMYFUNCTION("""COMPUTED_VALUE"""),"")</f>
        <v/>
      </c>
      <c r="BB79" s="5"/>
      <c r="BC79" s="5" t="str">
        <f ca="1">IFERROR(__xludf.DUMMYFUNCTION("""COMPUTED_VALUE"""),"Foxi")</f>
        <v>Foxi</v>
      </c>
      <c r="BD79" s="5" t="str">
        <f ca="1">IFERROR(__xludf.DUMMYFUNCTION("""COMPUTED_VALUE"""),"")</f>
        <v/>
      </c>
      <c r="BE79" s="5"/>
    </row>
    <row r="80" spans="1:57" x14ac:dyDescent="0.25">
      <c r="A80" s="5">
        <f ca="1">IFERROR(__xludf.DUMMYFUNCTION("""COMPUTED_VALUE"""),79)</f>
        <v>79</v>
      </c>
      <c r="B80" s="5">
        <f ca="1">IFERROR(__xludf.DUMMYFUNCTION("""COMPUTED_VALUE"""),78)</f>
        <v>78</v>
      </c>
      <c r="C80" s="5" t="str">
        <f ca="1">IFERROR(__xludf.DUMMYFUNCTION("""COMPUTED_VALUE"""),"Fazi")</f>
        <v>Fazi</v>
      </c>
      <c r="D80" s="5" t="str">
        <f ca="1">IFERROR(__xludf.DUMMYFUNCTION("""COMPUTED_VALUE"""),"Buffalo Fortune")</f>
        <v>Buffalo Fortune</v>
      </c>
      <c r="E80" s="5"/>
      <c r="F80" s="5" t="str">
        <f ca="1">IFERROR(__xludf.DUMMYFUNCTION("""COMPUTED_VALUE"""),"BuffaloFortune")</f>
        <v>BuffaloFortune</v>
      </c>
      <c r="G80" s="5" t="str">
        <f ca="1">IFERROR(__xludf.DUMMYFUNCTION("""COMPUTED_VALUE"""),"Retired")</f>
        <v>Retired</v>
      </c>
      <c r="H80" s="5"/>
      <c r="I80" s="5" t="str">
        <f ca="1">IFERROR(__xludf.DUMMYFUNCTION("""COMPUTED_VALUE"""),"V3")</f>
        <v>V3</v>
      </c>
      <c r="J80" s="5" t="str">
        <f ca="1">IFERROR(__xludf.DUMMYFUNCTION("""COMPUTED_VALUE"""),"Binary")</f>
        <v>Binary</v>
      </c>
      <c r="K80" s="5" t="str">
        <f ca="1">IFERROR(__xludf.DUMMYFUNCTION("""COMPUTED_VALUE"""),"Slot")</f>
        <v>Slot</v>
      </c>
      <c r="L80" s="5" t="str">
        <f ca="1">IFERROR(__xludf.DUMMYFUNCTION("""COMPUTED_VALUE"""),"Clone")</f>
        <v>Clone</v>
      </c>
      <c r="M80" s="5" t="str">
        <f ca="1">IFERROR(__xludf.DUMMYFUNCTION("""COMPUTED_VALUE"""),"Lucky Twister")</f>
        <v>Lucky Twister</v>
      </c>
      <c r="N80" s="5"/>
      <c r="O80" s="5"/>
      <c r="P80" s="14">
        <f ca="1">IFERROR(__xludf.DUMMYFUNCTION("""COMPUTED_VALUE"""),47.5)</f>
        <v>47.5</v>
      </c>
      <c r="Q80" s="5"/>
      <c r="R80" s="5"/>
      <c r="S80" s="15">
        <f ca="1">IFERROR(__xludf.DUMMYFUNCTION("""COMPUTED_VALUE"""),44242)</f>
        <v>44242</v>
      </c>
      <c r="T80" s="5" t="b">
        <f ca="1">IFERROR(__xludf.DUMMYFUNCTION("""COMPUTED_VALUE"""),TRUE)</f>
        <v>1</v>
      </c>
      <c r="U80" s="5" t="str">
        <f ca="1">IFERROR(__xludf.DUMMYFUNCTION("""COMPUTED_VALUE"""),"6x5")</f>
        <v>6x5</v>
      </c>
      <c r="V80" s="12" t="str">
        <f ca="1">IFERROR(__xludf.DUMMYFUNCTION("""COMPUTED_VALUE"""),"10")</f>
        <v>10</v>
      </c>
      <c r="W80" s="5"/>
      <c r="X80" s="5">
        <f ca="1">IFERROR(__xludf.DUMMYFUNCTION("""COMPUTED_VALUE"""),96.249)</f>
        <v>96.248999999999995</v>
      </c>
      <c r="Y80" s="5" t="str">
        <f ca="1">IFERROR(__xludf.DUMMYFUNCTION("""COMPUTED_VALUE"""),"Low")</f>
        <v>Low</v>
      </c>
      <c r="Z80" s="5">
        <f ca="1">IFERROR(__xludf.DUMMYFUNCTION("""COMPUTED_VALUE"""),39.66)</f>
        <v>39.659999999999997</v>
      </c>
      <c r="AA80" s="14">
        <f ca="1">IFERROR(__xludf.DUMMYFUNCTION("""COMPUTED_VALUE"""),1000)</f>
        <v>1000</v>
      </c>
      <c r="AB80" s="5" t="str">
        <f ca="1">IFERROR(__xludf.DUMMYFUNCTION("""COMPUTED_VALUE"""),"/")</f>
        <v>/</v>
      </c>
      <c r="AC80" s="5" t="str">
        <f ca="1">IFERROR(__xludf.DUMMYFUNCTION("""COMPUTED_VALUE"""),"Cluster Win")</f>
        <v>Cluster Win</v>
      </c>
      <c r="AD80" s="5" t="str">
        <f ca="1">IFERROR(__xludf.DUMMYFUNCTION("""COMPUTED_VALUE"""),"0.1/40")</f>
        <v>0.1/40</v>
      </c>
      <c r="AE80" s="5"/>
      <c r="AF80" s="5"/>
      <c r="AG80" s="5"/>
      <c r="AH80" s="5"/>
      <c r="AI80" s="5"/>
      <c r="AJ80" s="5"/>
      <c r="AK80" s="5">
        <f ca="1">IFERROR(__xludf.DUMMYFUNCTION("""COMPUTED_VALUE"""),10)</f>
        <v>10</v>
      </c>
      <c r="AL80" s="5"/>
      <c r="AM80" s="5"/>
      <c r="AN80" s="5"/>
      <c r="AO80" s="5"/>
      <c r="AP80" s="5"/>
      <c r="AQ80" s="5"/>
      <c r="AR80" s="5"/>
      <c r="AS80" s="5"/>
      <c r="AT80" s="5"/>
      <c r="AU80" s="5" t="str">
        <f ca="1">IFERROR(__xludf.DUMMYFUNCTION("""COMPUTED_VALUE"""),"Fazi")</f>
        <v>Fazi</v>
      </c>
      <c r="AV80" s="5"/>
      <c r="AW80" s="5"/>
      <c r="AX80" s="5"/>
      <c r="AY80" s="5"/>
      <c r="AZ80" s="5"/>
      <c r="BA80" s="5" t="str">
        <f ca="1">IFERROR(__xludf.DUMMYFUNCTION("""COMPUTED_VALUE"""),"")</f>
        <v/>
      </c>
      <c r="BB80" s="5"/>
      <c r="BC80" s="5" t="str">
        <f ca="1">IFERROR(__xludf.DUMMYFUNCTION("""COMPUTED_VALUE"""),"Foxi")</f>
        <v>Foxi</v>
      </c>
      <c r="BD80" s="5" t="str">
        <f ca="1">IFERROR(__xludf.DUMMYFUNCTION("""COMPUTED_VALUE"""),"")</f>
        <v/>
      </c>
      <c r="BE80" s="5"/>
    </row>
    <row r="81" spans="1:57" x14ac:dyDescent="0.25">
      <c r="A81" s="5">
        <f ca="1">IFERROR(__xludf.DUMMYFUNCTION("""COMPUTED_VALUE"""),80)</f>
        <v>80</v>
      </c>
      <c r="B81" s="5">
        <f ca="1">IFERROR(__xludf.DUMMYFUNCTION("""COMPUTED_VALUE"""),79)</f>
        <v>79</v>
      </c>
      <c r="C81" s="5" t="str">
        <f ca="1">IFERROR(__xludf.DUMMYFUNCTION("""COMPUTED_VALUE"""),"Fazi")</f>
        <v>Fazi</v>
      </c>
      <c r="D81" s="5" t="str">
        <f ca="1">IFERROR(__xludf.DUMMYFUNCTION("""COMPUTED_VALUE"""),"Dolphin's Shine")</f>
        <v>Dolphin's Shine</v>
      </c>
      <c r="E81" s="5" t="str">
        <f ca="1">IFERROR(__xludf.DUMMYFUNCTION("""COMPUTED_VALUE"""),"V2")</f>
        <v>V2</v>
      </c>
      <c r="F81" s="5" t="str">
        <f ca="1">IFERROR(__xludf.DUMMYFUNCTION("""COMPUTED_VALUE"""),"DolphinsShine")</f>
        <v>DolphinsShine</v>
      </c>
      <c r="G81" s="5" t="str">
        <f ca="1">IFERROR(__xludf.DUMMYFUNCTION("""COMPUTED_VALUE"""),"Live")</f>
        <v>Live</v>
      </c>
      <c r="H81" s="5"/>
      <c r="I81" s="5" t="str">
        <f ca="1">IFERROR(__xludf.DUMMYFUNCTION("""COMPUTED_VALUE"""),"V2")</f>
        <v>V2</v>
      </c>
      <c r="J81" s="5" t="str">
        <f ca="1">IFERROR(__xludf.DUMMYFUNCTION("""COMPUTED_VALUE"""),"Binary")</f>
        <v>Binary</v>
      </c>
      <c r="K81" s="5" t="str">
        <f ca="1">IFERROR(__xludf.DUMMYFUNCTION("""COMPUTED_VALUE"""),"Slot")</f>
        <v>Slot</v>
      </c>
      <c r="L81" s="5"/>
      <c r="M81" s="5"/>
      <c r="N81" s="5"/>
      <c r="O81" s="5"/>
      <c r="P81" s="14">
        <f ca="1">IFERROR(__xludf.DUMMYFUNCTION("""COMPUTED_VALUE"""),27.9)</f>
        <v>27.9</v>
      </c>
      <c r="Q81" s="5"/>
      <c r="R81" s="5"/>
      <c r="S81" s="15">
        <f ca="1">IFERROR(__xludf.DUMMYFUNCTION("""COMPUTED_VALUE"""),44221)</f>
        <v>44221</v>
      </c>
      <c r="T81" s="5"/>
      <c r="U81" s="5" t="str">
        <f ca="1">IFERROR(__xludf.DUMMYFUNCTION("""COMPUTED_VALUE"""),"5x3")</f>
        <v>5x3</v>
      </c>
      <c r="V81" s="12" t="str">
        <f ca="1">IFERROR(__xludf.DUMMYFUNCTION("""COMPUTED_VALUE"""),"9")</f>
        <v>9</v>
      </c>
      <c r="W81" s="12" t="str">
        <f ca="1">IFERROR(__xludf.DUMMYFUNCTION("""COMPUTED_VALUE"""),"9")</f>
        <v>9</v>
      </c>
      <c r="X81" s="5">
        <f ca="1">IFERROR(__xludf.DUMMYFUNCTION("""COMPUTED_VALUE"""),96.17)</f>
        <v>96.17</v>
      </c>
      <c r="Y81" s="5" t="str">
        <f ca="1">IFERROR(__xludf.DUMMYFUNCTION("""COMPUTED_VALUE"""),"High")</f>
        <v>High</v>
      </c>
      <c r="Z81" s="5">
        <f ca="1">IFERROR(__xludf.DUMMYFUNCTION("""COMPUTED_VALUE"""),24.7)</f>
        <v>24.7</v>
      </c>
      <c r="AA81" s="14">
        <f ca="1">IFERROR(__xludf.DUMMYFUNCTION("""COMPUTED_VALUE"""),4319)</f>
        <v>4319</v>
      </c>
      <c r="AB81" s="5">
        <f ca="1">IFERROR(__xludf.DUMMYFUNCTION("""COMPUTED_VALUE"""),262)</f>
        <v>262</v>
      </c>
      <c r="AC81" s="5" t="str">
        <f ca="1">IFERROR(__xludf.DUMMYFUNCTION("""COMPUTED_VALUE"""),"Bonus Game with Multiplier, Wild Multiplier, Scatter")</f>
        <v>Bonus Game with Multiplier, Wild Multiplier, Scatter</v>
      </c>
      <c r="AD81" s="5" t="str">
        <f ca="1">IFERROR(__xludf.DUMMYFUNCTION("""COMPUTED_VALUE"""),"0.09/36")</f>
        <v>0.09/36</v>
      </c>
      <c r="AE81" s="5"/>
      <c r="AF81" s="5"/>
      <c r="AG81" s="10">
        <f ca="1">IFERROR(__xludf.DUMMYFUNCTION("""COMPUTED_VALUE"""),46162.4921643518)</f>
        <v>46162.492164351803</v>
      </c>
      <c r="AH81" s="5" t="str">
        <f ca="1">IFERROR(__xludf.DUMMYFUNCTION("""COMPUTED_VALUE"""),"petra.ilic@fazi.rs")</f>
        <v>petra.ilic@fazi.rs</v>
      </c>
      <c r="AI81" s="5"/>
      <c r="AJ81" s="5"/>
      <c r="AK81" s="5">
        <f ca="1">IFERROR(__xludf.DUMMYFUNCTION("""COMPUTED_VALUE"""),9)</f>
        <v>9</v>
      </c>
      <c r="AL81" s="5" t="str">
        <f ca="1">IFERROR(__xludf.DUMMYFUNCTION("""COMPUTED_VALUE"""),"Yes")</f>
        <v>Yes</v>
      </c>
      <c r="AM81" s="5"/>
      <c r="AN81" s="7" t="str">
        <f ca="1">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AO81" s="5"/>
      <c r="AP81" s="5"/>
      <c r="AQ81" s="5" t="b">
        <f ca="1">IFERROR(__xludf.DUMMYFUNCTION("""COMPUTED_VALUE"""),TRUE)</f>
        <v>1</v>
      </c>
      <c r="AR81" s="5"/>
      <c r="AS81" s="5" t="str">
        <f ca="1">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AT81" s="5"/>
      <c r="AU81" s="5" t="str">
        <f ca="1">IFERROR(__xludf.DUMMYFUNCTION("""COMPUTED_VALUE"""),"Fazi")</f>
        <v>Fazi</v>
      </c>
      <c r="AV81" s="5"/>
      <c r="AW81" s="5"/>
      <c r="AX81" s="5"/>
      <c r="AY81" s="5"/>
      <c r="AZ81" s="5"/>
      <c r="BA81" s="5"/>
      <c r="BB81" s="5"/>
      <c r="BC81" s="5" t="str">
        <f ca="1">IFERROR(__xludf.DUMMYFUNCTION("""COMPUTED_VALUE"""),"Foxi")</f>
        <v>Foxi</v>
      </c>
      <c r="BD81" s="7" t="str">
        <f ca="1">IFERROR(__xludf.DUMMYFUNCTION("""COMPUTED_VALUE"""),"https://gameserver-store-client-area.orbionlimited.com/Home/IntegrationGameLaunch/client-area?moneyType=0&amp;gameName=DolphinsShine&amp;platform=desktop&amp;languageCode=eng&amp;currency=EUR")</f>
        <v>https://gameserver-store-client-area.orbionlimited.com/Home/IntegrationGameLaunch/client-area?moneyType=0&amp;gameName=DolphinsShine&amp;platform=desktop&amp;languageCode=eng&amp;currency=EUR</v>
      </c>
      <c r="BE81" s="5" t="b">
        <f ca="1">IFERROR(__xludf.DUMMYFUNCTION("""COMPUTED_VALUE"""),TRUE)</f>
        <v>1</v>
      </c>
    </row>
    <row r="82" spans="1:57" x14ac:dyDescent="0.25">
      <c r="A82" s="5">
        <f ca="1">IFERROR(__xludf.DUMMYFUNCTION("""COMPUTED_VALUE"""),81)</f>
        <v>81</v>
      </c>
      <c r="B82" s="5">
        <f ca="1">IFERROR(__xludf.DUMMYFUNCTION("""COMPUTED_VALUE"""),80)</f>
        <v>80</v>
      </c>
      <c r="C82" s="5" t="str">
        <f ca="1">IFERROR(__xludf.DUMMYFUNCTION("""COMPUTED_VALUE"""),"Fazi")</f>
        <v>Fazi</v>
      </c>
      <c r="D82" s="5" t="str">
        <f ca="1">IFERROR(__xludf.DUMMYFUNCTION("""COMPUTED_VALUE"""),"Golden Crown")</f>
        <v>Golden Crown</v>
      </c>
      <c r="E82" s="5" t="str">
        <f ca="1">IFERROR(__xludf.DUMMYFUNCTION("""COMPUTED_VALUE"""),"V2")</f>
        <v>V2</v>
      </c>
      <c r="F82" s="5" t="str">
        <f ca="1">IFERROR(__xludf.DUMMYFUNCTION("""COMPUTED_VALUE"""),"GoldenCrown")</f>
        <v>GoldenCrown</v>
      </c>
      <c r="G82" s="5" t="str">
        <f ca="1">IFERROR(__xludf.DUMMYFUNCTION("""COMPUTED_VALUE"""),"Live")</f>
        <v>Live</v>
      </c>
      <c r="H82" s="5"/>
      <c r="I82" s="5" t="str">
        <f ca="1">IFERROR(__xludf.DUMMYFUNCTION("""COMPUTED_VALUE"""),"V2")</f>
        <v>V2</v>
      </c>
      <c r="J82" s="5" t="str">
        <f ca="1">IFERROR(__xludf.DUMMYFUNCTION("""COMPUTED_VALUE"""),"JSON")</f>
        <v>JSON</v>
      </c>
      <c r="K82" s="5" t="str">
        <f ca="1">IFERROR(__xludf.DUMMYFUNCTION("""COMPUTED_VALUE"""),"Slot")</f>
        <v>Slot</v>
      </c>
      <c r="L82" s="5"/>
      <c r="M82" s="5"/>
      <c r="N82" s="5"/>
      <c r="O82" s="5"/>
      <c r="P82" s="14">
        <f ca="1">IFERROR(__xludf.DUMMYFUNCTION("""COMPUTED_VALUE"""),46.2)</f>
        <v>46.2</v>
      </c>
      <c r="Q82" s="5"/>
      <c r="R82" s="5"/>
      <c r="S82" s="15">
        <f ca="1">IFERROR(__xludf.DUMMYFUNCTION("""COMPUTED_VALUE"""),44256)</f>
        <v>44256</v>
      </c>
      <c r="T82" s="5" t="b">
        <f ca="1">IFERROR(__xludf.DUMMYFUNCTION("""COMPUTED_VALUE"""),TRUE)</f>
        <v>1</v>
      </c>
      <c r="U82" s="5" t="str">
        <f ca="1">IFERROR(__xludf.DUMMYFUNCTION("""COMPUTED_VALUE"""),"5x3")</f>
        <v>5x3</v>
      </c>
      <c r="V82" s="12" t="str">
        <f ca="1">IFERROR(__xludf.DUMMYFUNCTION("""COMPUTED_VALUE"""),"10")</f>
        <v>10</v>
      </c>
      <c r="W82" s="12" t="str">
        <f ca="1">IFERROR(__xludf.DUMMYFUNCTION("""COMPUTED_VALUE"""),"10")</f>
        <v>10</v>
      </c>
      <c r="X82" s="5">
        <f ca="1">IFERROR(__xludf.DUMMYFUNCTION("""COMPUTED_VALUE"""),95.962)</f>
        <v>95.962000000000003</v>
      </c>
      <c r="Y82" s="5" t="str">
        <f ca="1">IFERROR(__xludf.DUMMYFUNCTION("""COMPUTED_VALUE"""),"Medium")</f>
        <v>Medium</v>
      </c>
      <c r="Z82" s="5">
        <f ca="1">IFERROR(__xludf.DUMMYFUNCTION("""COMPUTED_VALUE"""),14.63)</f>
        <v>14.63</v>
      </c>
      <c r="AA82" s="14">
        <f ca="1">IFERROR(__xludf.DUMMYFUNCTION("""COMPUTED_VALUE"""),1538)</f>
        <v>1538</v>
      </c>
      <c r="AB82" s="5">
        <f ca="1">IFERROR(__xludf.DUMMYFUNCTION("""COMPUTED_VALUE"""),4)</f>
        <v>4</v>
      </c>
      <c r="AC82" s="5" t="str">
        <f ca="1">IFERROR(__xludf.DUMMYFUNCTION("""COMPUTED_VALUE"""),"Scatter, Expanding Wild")</f>
        <v>Scatter, Expanding Wild</v>
      </c>
      <c r="AD82" s="5" t="str">
        <f ca="1">IFERROR(__xludf.DUMMYFUNCTION("""COMPUTED_VALUE"""),"0.1/40")</f>
        <v>0.1/40</v>
      </c>
      <c r="AE82" s="5"/>
      <c r="AF82" s="5"/>
      <c r="AG82" s="10">
        <f ca="1">IFERROR(__xludf.DUMMYFUNCTION("""COMPUTED_VALUE"""),46056.4531018518)</f>
        <v>46056.453101851803</v>
      </c>
      <c r="AH82" s="5" t="str">
        <f ca="1">IFERROR(__xludf.DUMMYFUNCTION("""COMPUTED_VALUE"""),"aleksandar.trajkovic@fazi.rs")</f>
        <v>aleksandar.trajkovic@fazi.rs</v>
      </c>
      <c r="AI82" s="5"/>
      <c r="AJ82" s="5"/>
      <c r="AK82" s="5">
        <f ca="1">IFERROR(__xludf.DUMMYFUNCTION("""COMPUTED_VALUE"""),10)</f>
        <v>10</v>
      </c>
      <c r="AL82" s="5" t="str">
        <f ca="1">IFERROR(__xludf.DUMMYFUNCTION("""COMPUTED_VALUE"""),"Yes")</f>
        <v>Yes</v>
      </c>
      <c r="AM82" s="5"/>
      <c r="AN82" s="7" t="str">
        <f ca="1">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82" s="5" t="str">
        <f ca="1">IFERROR(__xludf.DUMMYFUNCTION("""COMPUTED_VALUE"""),"Yes")</f>
        <v>Yes</v>
      </c>
      <c r="AP82" s="5" t="str">
        <f ca="1">IFERROR(__xludf.DUMMYFUNCTION("""COMPUTED_VALUE"""),"Yes")</f>
        <v>Yes</v>
      </c>
      <c r="AQ82" s="5" t="b">
        <f ca="1">IFERROR(__xludf.DUMMYFUNCTION("""COMPUTED_VALUE"""),TRUE)</f>
        <v>1</v>
      </c>
      <c r="AR82" s="5"/>
      <c r="AS82" s="5" t="str">
        <f ca="1">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AT82" s="5"/>
      <c r="AU82" s="5" t="str">
        <f ca="1">IFERROR(__xludf.DUMMYFUNCTION("""COMPUTED_VALUE"""),"Fazi")</f>
        <v>Fazi</v>
      </c>
      <c r="AV82" s="5"/>
      <c r="AW82" s="5"/>
      <c r="AX82" s="5"/>
      <c r="AY82" s="5" t="str">
        <f ca="1">IFERROR(__xludf.DUMMYFUNCTION("""COMPUTED_VALUE"""),"87.5%, 89.5%, 91.5%, 93.5%, 94.5%, 95.5%, 96.5%")</f>
        <v>87.5%, 89.5%, 91.5%, 93.5%, 94.5%, 95.5%, 96.5%</v>
      </c>
      <c r="AZ82" s="5"/>
      <c r="BA82" s="5" t="str">
        <f ca="1">IFERROR(__xludf.DUMMYFUNCTION("""COMPUTED_VALUE"""),"")</f>
        <v/>
      </c>
      <c r="BB82" s="5"/>
      <c r="BC82" s="5" t="str">
        <f ca="1">IFERROR(__xludf.DUMMYFUNCTION("""COMPUTED_VALUE"""),"Foxi")</f>
        <v>Foxi</v>
      </c>
      <c r="BD82" s="7" t="str">
        <f ca="1">IFERROR(__xludf.DUMMYFUNCTION("""COMPUTED_VALUE"""),"https://gameserver-store-client-area.orbionlimited.com/Home/IntegrationGameLaunch/client-area?moneyType=0&amp;gameName=GoldenCrown&amp;platform=desktop&amp;languageCode=eng&amp;currency=EUR")</f>
        <v>https://gameserver-store-client-area.orbionlimited.com/Home/IntegrationGameLaunch/client-area?moneyType=0&amp;gameName=GoldenCrown&amp;platform=desktop&amp;languageCode=eng&amp;currency=EUR</v>
      </c>
      <c r="BE82" s="5" t="b">
        <f ca="1">IFERROR(__xludf.DUMMYFUNCTION("""COMPUTED_VALUE"""),TRUE)</f>
        <v>1</v>
      </c>
    </row>
    <row r="83" spans="1:57" x14ac:dyDescent="0.25">
      <c r="A83" s="5">
        <f ca="1">IFERROR(__xludf.DUMMYFUNCTION("""COMPUTED_VALUE"""),82)</f>
        <v>82</v>
      </c>
      <c r="B83" s="5">
        <f ca="1">IFERROR(__xludf.DUMMYFUNCTION("""COMPUTED_VALUE"""),81)</f>
        <v>81</v>
      </c>
      <c r="C83" s="5" t="str">
        <f ca="1">IFERROR(__xludf.DUMMYFUNCTION("""COMPUTED_VALUE"""),"Fazi")</f>
        <v>Fazi</v>
      </c>
      <c r="D83" s="5" t="str">
        <f ca="1">IFERROR(__xludf.DUMMYFUNCTION("""COMPUTED_VALUE"""),"Crystal Hot 40 1X")</f>
        <v>Crystal Hot 40 1X</v>
      </c>
      <c r="E83" s="5" t="str">
        <f ca="1">IFERROR(__xludf.DUMMYFUNCTION("""COMPUTED_VALUE"""),"V2")</f>
        <v>V2</v>
      </c>
      <c r="F83" s="5" t="str">
        <f ca="1">IFERROR(__xludf.DUMMYFUNCTION("""COMPUTED_VALUE"""),"CrystalHot401X")</f>
        <v>CrystalHot401X</v>
      </c>
      <c r="G83" s="5" t="str">
        <f ca="1">IFERROR(__xludf.DUMMYFUNCTION("""COMPUTED_VALUE"""),"Live")</f>
        <v>Live</v>
      </c>
      <c r="H83" s="5" t="str">
        <f ca="1">IFERROR(__xludf.DUMMYFUNCTION("""COMPUTED_VALUE"""),"1xbet1 - Chigwell")</f>
        <v>1xbet1 - Chigwell</v>
      </c>
      <c r="I83" s="5" t="str">
        <f ca="1">IFERROR(__xludf.DUMMYFUNCTION("""COMPUTED_VALUE"""),"V2")</f>
        <v>V2</v>
      </c>
      <c r="J83" s="5" t="str">
        <f ca="1">IFERROR(__xludf.DUMMYFUNCTION("""COMPUTED_VALUE"""),"Binary")</f>
        <v>Binary</v>
      </c>
      <c r="K83" s="5" t="str">
        <f ca="1">IFERROR(__xludf.DUMMYFUNCTION("""COMPUTED_VALUE"""),"Slot")</f>
        <v>Slot</v>
      </c>
      <c r="L83" s="5" t="str">
        <f ca="1">IFERROR(__xludf.DUMMYFUNCTION("""COMPUTED_VALUE"""),"Clone")</f>
        <v>Clone</v>
      </c>
      <c r="M83" s="5" t="str">
        <f ca="1">IFERROR(__xludf.DUMMYFUNCTION("""COMPUTED_VALUE"""),"Turbo Hot 40")</f>
        <v>Turbo Hot 40</v>
      </c>
      <c r="N83" s="5"/>
      <c r="O83" s="5"/>
      <c r="P83" s="5"/>
      <c r="Q83" s="5"/>
      <c r="R83" s="5"/>
      <c r="S83" s="5"/>
      <c r="T83" s="5"/>
      <c r="U83" s="5" t="str">
        <f ca="1">IFERROR(__xludf.DUMMYFUNCTION("""COMPUTED_VALUE"""),"5x4")</f>
        <v>5x4</v>
      </c>
      <c r="V83" s="12" t="str">
        <f ca="1">IFERROR(__xludf.DUMMYFUNCTION("""COMPUTED_VALUE"""),"40")</f>
        <v>40</v>
      </c>
      <c r="W83" s="12" t="str">
        <f ca="1">IFERROR(__xludf.DUMMYFUNCTION("""COMPUTED_VALUE"""),"40")</f>
        <v>40</v>
      </c>
      <c r="X83" s="5">
        <f ca="1">IFERROR(__xludf.DUMMYFUNCTION("""COMPUTED_VALUE"""),96.584)</f>
        <v>96.584000000000003</v>
      </c>
      <c r="Y83" s="5" t="str">
        <f ca="1">IFERROR(__xludf.DUMMYFUNCTION("""COMPUTED_VALUE"""),"Low")</f>
        <v>Low</v>
      </c>
      <c r="Z83" s="5">
        <f ca="1">IFERROR(__xludf.DUMMYFUNCTION("""COMPUTED_VALUE"""),16.73)</f>
        <v>16.73</v>
      </c>
      <c r="AA83" s="14">
        <f ca="1">IFERROR(__xludf.DUMMYFUNCTION("""COMPUTED_VALUE"""),1000)</f>
        <v>1000</v>
      </c>
      <c r="AB83" s="5" t="str">
        <f ca="1">IFERROR(__xludf.DUMMYFUNCTION("""COMPUTED_VALUE"""),"/")</f>
        <v>/</v>
      </c>
      <c r="AC83" s="5" t="str">
        <f ca="1">IFERROR(__xludf.DUMMYFUNCTION("""COMPUTED_VALUE"""),"Scatter, Wild Symbol")</f>
        <v>Scatter, Wild Symbol</v>
      </c>
      <c r="AD83" s="5"/>
      <c r="AE83" s="5"/>
      <c r="AF83" s="5"/>
      <c r="AG83" s="10">
        <f ca="1">IFERROR(__xludf.DUMMYFUNCTION("""COMPUTED_VALUE"""),46020.5269097222)</f>
        <v>46020.526909722197</v>
      </c>
      <c r="AH83" s="5" t="str">
        <f ca="1">IFERROR(__xludf.DUMMYFUNCTION("""COMPUTED_VALUE"""),"djordje.jankovic@fazi.rs")</f>
        <v>djordje.jankovic@fazi.rs</v>
      </c>
      <c r="AI83" s="5"/>
      <c r="AJ83" s="5"/>
      <c r="AK83" s="5">
        <f ca="1">IFERROR(__xludf.DUMMYFUNCTION("""COMPUTED_VALUE"""),40)</f>
        <v>40</v>
      </c>
      <c r="AL83" s="5" t="str">
        <f ca="1">IFERROR(__xludf.DUMMYFUNCTION("""COMPUTED_VALUE"""),"Yes")</f>
        <v>Yes</v>
      </c>
      <c r="AM83" s="5"/>
      <c r="AN83" s="5"/>
      <c r="AO83" s="5"/>
      <c r="AP83" s="5"/>
      <c r="AQ83" s="5"/>
      <c r="AR83" s="5" t="b">
        <f ca="1">IFERROR(__xludf.DUMMYFUNCTION("""COMPUTED_VALUE"""),TRUE)</f>
        <v>1</v>
      </c>
      <c r="AS83" s="5"/>
      <c r="AT83" s="5"/>
      <c r="AU83" s="5" t="str">
        <f ca="1">IFERROR(__xludf.DUMMYFUNCTION("""COMPUTED_VALUE"""),"Fazi")</f>
        <v>Fazi</v>
      </c>
      <c r="AV83" s="5"/>
      <c r="AW83" s="5"/>
      <c r="AX83" s="5"/>
      <c r="AY83" s="5"/>
      <c r="AZ83" s="5"/>
      <c r="BA83" s="5" t="str">
        <f ca="1">IFERROR(__xludf.DUMMYFUNCTION("""COMPUTED_VALUE"""),"")</f>
        <v/>
      </c>
      <c r="BB83" s="5"/>
      <c r="BC83" s="5" t="str">
        <f ca="1">IFERROR(__xludf.DUMMYFUNCTION("""COMPUTED_VALUE"""),"Foxi")</f>
        <v>Foxi</v>
      </c>
      <c r="BD83" s="5" t="str">
        <f ca="1">IFERROR(__xludf.DUMMYFUNCTION("""COMPUTED_VALUE"""),"")</f>
        <v/>
      </c>
      <c r="BE83" s="5"/>
    </row>
    <row r="84" spans="1:57" x14ac:dyDescent="0.25">
      <c r="A84" s="5">
        <f ca="1">IFERROR(__xludf.DUMMYFUNCTION("""COMPUTED_VALUE"""),83)</f>
        <v>83</v>
      </c>
      <c r="B84" s="5">
        <f ca="1">IFERROR(__xludf.DUMMYFUNCTION("""COMPUTED_VALUE"""),82)</f>
        <v>82</v>
      </c>
      <c r="C84" s="5" t="str">
        <f ca="1">IFERROR(__xludf.DUMMYFUNCTION("""COMPUTED_VALUE"""),"Redstone")</f>
        <v>Redstone</v>
      </c>
      <c r="D84" s="5" t="str">
        <f ca="1">IFERROR(__xludf.DUMMYFUNCTION("""COMPUTED_VALUE"""),"40 Wild Clover")</f>
        <v>40 Wild Clover</v>
      </c>
      <c r="E84" s="5" t="str">
        <f ca="1">IFERROR(__xludf.DUMMYFUNCTION("""COMPUTED_VALUE"""),"Redstone")</f>
        <v>Redstone</v>
      </c>
      <c r="F84" s="5" t="str">
        <f ca="1">IFERROR(__xludf.DUMMYFUNCTION("""COMPUTED_VALUE"""),"WildClover40")</f>
        <v>WildClover40</v>
      </c>
      <c r="G84" s="5" t="str">
        <f ca="1">IFERROR(__xludf.DUMMYFUNCTION("""COMPUTED_VALUE"""),"Live")</f>
        <v>Live</v>
      </c>
      <c r="H84" s="5"/>
      <c r="I84" s="5" t="str">
        <f ca="1">IFERROR(__xludf.DUMMYFUNCTION("""COMPUTED_VALUE"""),"Redstone")</f>
        <v>Redstone</v>
      </c>
      <c r="J84" s="5" t="str">
        <f ca="1">IFERROR(__xludf.DUMMYFUNCTION("""COMPUTED_VALUE"""),"JSON")</f>
        <v>JSON</v>
      </c>
      <c r="K84" s="5" t="str">
        <f ca="1">IFERROR(__xludf.DUMMYFUNCTION("""COMPUTED_VALUE"""),"Slot")</f>
        <v>Slot</v>
      </c>
      <c r="L84" s="5" t="str">
        <f ca="1">IFERROR(__xludf.DUMMYFUNCTION("""COMPUTED_VALUE"""),"Master")</f>
        <v>Master</v>
      </c>
      <c r="M84" s="5"/>
      <c r="N84" s="7" t="str">
        <f ca="1">IFERROR(__xludf.DUMMYFUNCTION("""COMPUTED_VALUE"""),"https://docs.google.com/document/d/1Uy4tt6hjEDARsEKbYmUXlmaGTBet09gC/edit?usp=drive_link&amp;ouid=107596163405648766688&amp;rtpof=true&amp;sd=true")</f>
        <v>https://docs.google.com/document/d/1Uy4tt6hjEDARsEKbYmUXlmaGTBet09gC/edit?usp=drive_link&amp;ouid=107596163405648766688&amp;rtpof=true&amp;sd=true</v>
      </c>
      <c r="O84" s="7" t="str">
        <f ca="1">IFERROR(__xludf.DUMMYFUNCTION("""COMPUTED_VALUE"""),"https://docs.google.com/document/d/1h3ldOOr6x6wyMw4LsEKfr6TQVCocTUMs/edit?usp=drive_link&amp;ouid=107596163405648766688&amp;rtpof=true&amp;sd=true")</f>
        <v>https://docs.google.com/document/d/1h3ldOOr6x6wyMw4LsEKfr6TQVCocTUMs/edit?usp=drive_link&amp;ouid=107596163405648766688&amp;rtpof=true&amp;sd=true</v>
      </c>
      <c r="P84" s="14">
        <f ca="1">IFERROR(__xludf.DUMMYFUNCTION("""COMPUTED_VALUE"""),9.73)</f>
        <v>9.73</v>
      </c>
      <c r="Q84" s="5"/>
      <c r="R84" s="5"/>
      <c r="S84" s="15">
        <f ca="1">IFERROR(__xludf.DUMMYFUNCTION("""COMPUTED_VALUE"""),44350)</f>
        <v>44350</v>
      </c>
      <c r="T84" s="5"/>
      <c r="U84" s="5" t="str">
        <f ca="1">IFERROR(__xludf.DUMMYFUNCTION("""COMPUTED_VALUE"""),"5x4")</f>
        <v>5x4</v>
      </c>
      <c r="V84" s="12" t="str">
        <f ca="1">IFERROR(__xludf.DUMMYFUNCTION("""COMPUTED_VALUE"""),"40")</f>
        <v>40</v>
      </c>
      <c r="W84" s="12" t="str">
        <f ca="1">IFERROR(__xludf.DUMMYFUNCTION("""COMPUTED_VALUE"""),"40")</f>
        <v>40</v>
      </c>
      <c r="X84" s="5">
        <f ca="1">IFERROR(__xludf.DUMMYFUNCTION("""COMPUTED_VALUE"""),95.32)</f>
        <v>95.32</v>
      </c>
      <c r="Y84" s="5" t="str">
        <f ca="1">IFERROR(__xludf.DUMMYFUNCTION("""COMPUTED_VALUE"""),"Medium")</f>
        <v>Medium</v>
      </c>
      <c r="Z84" s="5">
        <f ca="1">IFERROR(__xludf.DUMMYFUNCTION("""COMPUTED_VALUE"""),12.34)</f>
        <v>12.34</v>
      </c>
      <c r="AA84" s="14">
        <f ca="1">IFERROR(__xludf.DUMMYFUNCTION("""COMPUTED_VALUE"""),2000)</f>
        <v>2000</v>
      </c>
      <c r="AB84" s="5"/>
      <c r="AC84" s="5" t="str">
        <f ca="1">IFERROR(__xludf.DUMMYFUNCTION("""COMPUTED_VALUE"""),"Wild Symbol, Scatter, Bonus Game with Free Spins")</f>
        <v>Wild Symbol, Scatter, Bonus Game with Free Spins</v>
      </c>
      <c r="AD84" s="5" t="str">
        <f ca="1">IFERROR(__xludf.DUMMYFUNCTION("""COMPUTED_VALUE"""),"0.40/60")</f>
        <v>0.40/60</v>
      </c>
      <c r="AE84" s="5"/>
      <c r="AF84" s="5"/>
      <c r="AG84" s="10">
        <f ca="1">IFERROR(__xludf.DUMMYFUNCTION("""COMPUTED_VALUE"""),46157.3875)</f>
        <v>46157.387499999997</v>
      </c>
      <c r="AH84" s="5"/>
      <c r="AI84" s="5"/>
      <c r="AJ84" s="5"/>
      <c r="AK84" s="5">
        <f ca="1">IFERROR(__xludf.DUMMYFUNCTION("""COMPUTED_VALUE"""),1)</f>
        <v>1</v>
      </c>
      <c r="AL84" s="5" t="str">
        <f ca="1">IFERROR(__xludf.DUMMYFUNCTION("""COMPUTED_VALUE"""),"No")</f>
        <v>No</v>
      </c>
      <c r="AM84" s="5" t="str">
        <f ca="1">IFERROR(__xludf.DUMMYFUNCTION("""COMPUTED_VALUE"""),"No")</f>
        <v>No</v>
      </c>
      <c r="AN84" s="7" t="str">
        <f ca="1">IFERROR(__xludf.DUMMYFUNCTION("""COMPUTED_VALUE"""),"https://static.redstone.rs/games/40-wild-clover/")</f>
        <v>https://static.redstone.rs/games/40-wild-clover/</v>
      </c>
      <c r="AO84" s="5" t="str">
        <f ca="1">IFERROR(__xludf.DUMMYFUNCTION("""COMPUTED_VALUE"""),"No")</f>
        <v>No</v>
      </c>
      <c r="AP84" s="5" t="str">
        <f ca="1">IFERROR(__xludf.DUMMYFUNCTION("""COMPUTED_VALUE"""),"No")</f>
        <v>No</v>
      </c>
      <c r="AQ84" s="5" t="b">
        <f ca="1">IFERROR(__xludf.DUMMYFUNCTION("""COMPUTED_VALUE"""),TRUE)</f>
        <v>1</v>
      </c>
      <c r="AR84" s="5"/>
      <c r="AS84" s="5" t="str">
        <f ca="1">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AT84" s="5"/>
      <c r="AU84" s="5" t="str">
        <f ca="1">IFERROR(__xludf.DUMMYFUNCTION("""COMPUTED_VALUE"""),"Redstone")</f>
        <v>Redstone</v>
      </c>
      <c r="AV84" s="5"/>
      <c r="AW84" s="5"/>
      <c r="AX84" s="5"/>
      <c r="AY84" s="5"/>
      <c r="AZ84" s="5"/>
      <c r="BA84" s="5"/>
      <c r="BB84" s="5" t="b">
        <f ca="1">IFERROR(__xludf.DUMMYFUNCTION("""COMPUTED_VALUE"""),TRUE)</f>
        <v>1</v>
      </c>
      <c r="BC84" s="5" t="str">
        <f ca="1">IFERROR(__xludf.DUMMYFUNCTION("""COMPUTED_VALUE"""),"Redstone")</f>
        <v>Redstone</v>
      </c>
      <c r="BD84" s="7" t="str">
        <f ca="1">IFERROR(__xludf.DUMMYFUNCTION("""COMPUTED_VALUE"""),"https://static.redstone.rs/games/40-wild-clover/")</f>
        <v>https://static.redstone.rs/games/40-wild-clover/</v>
      </c>
      <c r="BE84" s="5" t="b">
        <f ca="1">IFERROR(__xludf.DUMMYFUNCTION("""COMPUTED_VALUE"""),TRUE)</f>
        <v>1</v>
      </c>
    </row>
    <row r="85" spans="1:57" x14ac:dyDescent="0.25">
      <c r="A85" s="5">
        <f ca="1">IFERROR(__xludf.DUMMYFUNCTION("""COMPUTED_VALUE"""),84)</f>
        <v>84</v>
      </c>
      <c r="B85" s="5">
        <f ca="1">IFERROR(__xludf.DUMMYFUNCTION("""COMPUTED_VALUE"""),83)</f>
        <v>83</v>
      </c>
      <c r="C85" s="5" t="str">
        <f ca="1">IFERROR(__xludf.DUMMYFUNCTION("""COMPUTED_VALUE"""),"Fazi")</f>
        <v>Fazi</v>
      </c>
      <c r="D85" s="5" t="str">
        <f ca="1">IFERROR(__xludf.DUMMYFUNCTION("""COMPUTED_VALUE"""),"Mystery Joker Hot")</f>
        <v>Mystery Joker Hot</v>
      </c>
      <c r="E85" s="5" t="str">
        <f ca="1">IFERROR(__xludf.DUMMYFUNCTION("""COMPUTED_VALUE"""),"V2")</f>
        <v>V2</v>
      </c>
      <c r="F85" s="5" t="str">
        <f ca="1">IFERROR(__xludf.DUMMYFUNCTION("""COMPUTED_VALUE"""),"MysteryJokerHot")</f>
        <v>MysteryJokerHot</v>
      </c>
      <c r="G85" s="5" t="str">
        <f ca="1">IFERROR(__xludf.DUMMYFUNCTION("""COMPUTED_VALUE"""),"Live")</f>
        <v>Live</v>
      </c>
      <c r="H85" s="5"/>
      <c r="I85" s="5" t="str">
        <f ca="1">IFERROR(__xludf.DUMMYFUNCTION("""COMPUTED_VALUE"""),"V2")</f>
        <v>V2</v>
      </c>
      <c r="J85" s="5" t="str">
        <f ca="1">IFERROR(__xludf.DUMMYFUNCTION("""COMPUTED_VALUE"""),"Binary")</f>
        <v>Binary</v>
      </c>
      <c r="K85" s="5" t="str">
        <f ca="1">IFERROR(__xludf.DUMMYFUNCTION("""COMPUTED_VALUE"""),"Slot")</f>
        <v>Slot</v>
      </c>
      <c r="L85" s="5"/>
      <c r="M85" s="5"/>
      <c r="N85" s="5"/>
      <c r="O85" s="5"/>
      <c r="P85" s="14">
        <f ca="1">IFERROR(__xludf.DUMMYFUNCTION("""COMPUTED_VALUE"""),28.2)</f>
        <v>28.2</v>
      </c>
      <c r="Q85" s="5"/>
      <c r="R85" s="5"/>
      <c r="S85" s="15">
        <f ca="1">IFERROR(__xludf.DUMMYFUNCTION("""COMPUTED_VALUE"""),44341)</f>
        <v>44341</v>
      </c>
      <c r="T85" s="5" t="b">
        <f ca="1">IFERROR(__xludf.DUMMYFUNCTION("""COMPUTED_VALUE"""),TRUE)</f>
        <v>1</v>
      </c>
      <c r="U85" s="5" t="str">
        <f ca="1">IFERROR(__xludf.DUMMYFUNCTION("""COMPUTED_VALUE"""),"3x3")</f>
        <v>3x3</v>
      </c>
      <c r="V85" s="12" t="str">
        <f ca="1">IFERROR(__xludf.DUMMYFUNCTION("""COMPUTED_VALUE"""),"27")</f>
        <v>27</v>
      </c>
      <c r="W85" s="12" t="str">
        <f ca="1">IFERROR(__xludf.DUMMYFUNCTION("""COMPUTED_VALUE"""),"27")</f>
        <v>27</v>
      </c>
      <c r="X85" s="5">
        <f ca="1">IFERROR(__xludf.DUMMYFUNCTION("""COMPUTED_VALUE"""),96.291)</f>
        <v>96.290999999999997</v>
      </c>
      <c r="Y85" s="5" t="str">
        <f ca="1">IFERROR(__xludf.DUMMYFUNCTION("""COMPUTED_VALUE"""),"Medium")</f>
        <v>Medium</v>
      </c>
      <c r="Z85" s="5">
        <f ca="1">IFERROR(__xludf.DUMMYFUNCTION("""COMPUTED_VALUE"""),7.95)</f>
        <v>7.95</v>
      </c>
      <c r="AA85" s="14">
        <f ca="1">IFERROR(__xludf.DUMMYFUNCTION("""COMPUTED_VALUE"""),540)</f>
        <v>540</v>
      </c>
      <c r="AB85" s="5"/>
      <c r="AC85" s="5" t="str">
        <f ca="1">IFERROR(__xludf.DUMMYFUNCTION("""COMPUTED_VALUE"""),"Wild Symbol, Respin, Win Multiplier")</f>
        <v>Wild Symbol, Respin, Win Multiplier</v>
      </c>
      <c r="AD85" s="5" t="str">
        <f ca="1">IFERROR(__xludf.DUMMYFUNCTION("""COMPUTED_VALUE"""),"0.1/50")</f>
        <v>0.1/50</v>
      </c>
      <c r="AE85" s="5"/>
      <c r="AF85" s="5"/>
      <c r="AG85" s="10">
        <f ca="1">IFERROR(__xludf.DUMMYFUNCTION("""COMPUTED_VALUE"""),46038.714375)</f>
        <v>46038.714375000003</v>
      </c>
      <c r="AH85" s="5" t="str">
        <f ca="1">IFERROR(__xludf.DUMMYFUNCTION("""COMPUTED_VALUE"""),"djordje.petrovic@fazi.rs")</f>
        <v>djordje.petrovic@fazi.rs</v>
      </c>
      <c r="AI85" s="5"/>
      <c r="AJ85" s="5"/>
      <c r="AK85" s="5">
        <f ca="1">IFERROR(__xludf.DUMMYFUNCTION("""COMPUTED_VALUE"""),1)</f>
        <v>1</v>
      </c>
      <c r="AL85" s="5" t="str">
        <f ca="1">IFERROR(__xludf.DUMMYFUNCTION("""COMPUTED_VALUE"""),"Yes")</f>
        <v>Yes</v>
      </c>
      <c r="AM85" s="5"/>
      <c r="AN85" s="7" t="str">
        <f ca="1">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AO85" s="5"/>
      <c r="AP85" s="5"/>
      <c r="AQ85" s="5" t="b">
        <f ca="1">IFERROR(__xludf.DUMMYFUNCTION("""COMPUTED_VALUE"""),TRUE)</f>
        <v>1</v>
      </c>
      <c r="AR85" s="5"/>
      <c r="AS85" s="5" t="str">
        <f ca="1">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AT85" s="5"/>
      <c r="AU85" s="5" t="str">
        <f ca="1">IFERROR(__xludf.DUMMYFUNCTION("""COMPUTED_VALUE"""),"Fazi")</f>
        <v>Fazi</v>
      </c>
      <c r="AV85" s="5"/>
      <c r="AW85" s="5"/>
      <c r="AX85" s="5"/>
      <c r="AY85" s="5"/>
      <c r="AZ85" s="5"/>
      <c r="BA85" s="5" t="str">
        <f ca="1">IFERROR(__xludf.DUMMYFUNCTION("""COMPUTED_VALUE"""),"")</f>
        <v/>
      </c>
      <c r="BB85" s="5"/>
      <c r="BC85" s="5" t="str">
        <f ca="1">IFERROR(__xludf.DUMMYFUNCTION("""COMPUTED_VALUE"""),"Foxi")</f>
        <v>Foxi</v>
      </c>
      <c r="BD85" s="7" t="str">
        <f ca="1">IFERROR(__xludf.DUMMYFUNCTION("""COMPUTED_VALUE"""),"https://gameserver-store-client-area.orbionlimited.com/Home/IntegrationGameLaunch/client-area?moneyType=0&amp;gameName=MysteryJokerHot&amp;platform=desktop&amp;languageCode=eng&amp;currency=EUR")</f>
        <v>https://gameserver-store-client-area.orbionlimited.com/Home/IntegrationGameLaunch/client-area?moneyType=0&amp;gameName=MysteryJokerHot&amp;platform=desktop&amp;languageCode=eng&amp;currency=EUR</v>
      </c>
      <c r="BE85" s="5" t="b">
        <f ca="1">IFERROR(__xludf.DUMMYFUNCTION("""COMPUTED_VALUE"""),TRUE)</f>
        <v>1</v>
      </c>
    </row>
    <row r="86" spans="1:57" x14ac:dyDescent="0.25">
      <c r="A86" s="5">
        <f ca="1">IFERROR(__xludf.DUMMYFUNCTION("""COMPUTED_VALUE"""),85)</f>
        <v>85</v>
      </c>
      <c r="B86" s="5">
        <f ca="1">IFERROR(__xludf.DUMMYFUNCTION("""COMPUTED_VALUE"""),84)</f>
        <v>84</v>
      </c>
      <c r="C86" s="5" t="str">
        <f ca="1">IFERROR(__xludf.DUMMYFUNCTION("""COMPUTED_VALUE"""),"Fazi")</f>
        <v>Fazi</v>
      </c>
      <c r="D86" s="5" t="str">
        <f ca="1">IFERROR(__xludf.DUMMYFUNCTION("""COMPUTED_VALUE"""),"Crystal Joker Hot")</f>
        <v>Crystal Joker Hot</v>
      </c>
      <c r="E86" s="5" t="str">
        <f ca="1">IFERROR(__xludf.DUMMYFUNCTION("""COMPUTED_VALUE"""),"V2")</f>
        <v>V2</v>
      </c>
      <c r="F86" s="5" t="str">
        <f ca="1">IFERROR(__xludf.DUMMYFUNCTION("""COMPUTED_VALUE"""),"CrystalJokerHot")</f>
        <v>CrystalJokerHot</v>
      </c>
      <c r="G86" s="5" t="str">
        <f ca="1">IFERROR(__xludf.DUMMYFUNCTION("""COMPUTED_VALUE"""),"Live")</f>
        <v>Live</v>
      </c>
      <c r="H86" s="5"/>
      <c r="I86" s="5" t="str">
        <f ca="1">IFERROR(__xludf.DUMMYFUNCTION("""COMPUTED_VALUE"""),"V2")</f>
        <v>V2</v>
      </c>
      <c r="J86" s="5" t="str">
        <f ca="1">IFERROR(__xludf.DUMMYFUNCTION("""COMPUTED_VALUE"""),"JSON")</f>
        <v>JSON</v>
      </c>
      <c r="K86" s="5" t="str">
        <f ca="1">IFERROR(__xludf.DUMMYFUNCTION("""COMPUTED_VALUE"""),"Slot")</f>
        <v>Slot</v>
      </c>
      <c r="L86" s="5" t="str">
        <f ca="1">IFERROR(__xludf.DUMMYFUNCTION("""COMPUTED_VALUE"""),"Clone")</f>
        <v>Clone</v>
      </c>
      <c r="M86" s="5" t="str">
        <f ca="1">IFERROR(__xludf.DUMMYFUNCTION("""COMPUTED_VALUE"""),"Turbo Hot 40")</f>
        <v>Turbo Hot 40</v>
      </c>
      <c r="N86" s="5"/>
      <c r="O86" s="5"/>
      <c r="P86" s="14">
        <f ca="1">IFERROR(__xludf.DUMMYFUNCTION("""COMPUTED_VALUE"""),23.2)</f>
        <v>23.2</v>
      </c>
      <c r="Q86" s="5"/>
      <c r="R86" s="5"/>
      <c r="S86" s="15">
        <f ca="1">IFERROR(__xludf.DUMMYFUNCTION("""COMPUTED_VALUE"""),44285)</f>
        <v>44285</v>
      </c>
      <c r="T86" s="5" t="b">
        <f ca="1">IFERROR(__xludf.DUMMYFUNCTION("""COMPUTED_VALUE"""),TRUE)</f>
        <v>1</v>
      </c>
      <c r="U86" s="5" t="str">
        <f ca="1">IFERROR(__xludf.DUMMYFUNCTION("""COMPUTED_VALUE"""),"5x4")</f>
        <v>5x4</v>
      </c>
      <c r="V86" s="12" t="str">
        <f ca="1">IFERROR(__xludf.DUMMYFUNCTION("""COMPUTED_VALUE"""),"40")</f>
        <v>40</v>
      </c>
      <c r="W86" s="12" t="str">
        <f ca="1">IFERROR(__xludf.DUMMYFUNCTION("""COMPUTED_VALUE"""),"40")</f>
        <v>40</v>
      </c>
      <c r="X86" s="5">
        <f ca="1">IFERROR(__xludf.DUMMYFUNCTION("""COMPUTED_VALUE"""),96.584)</f>
        <v>96.584000000000003</v>
      </c>
      <c r="Y86" s="5" t="str">
        <f ca="1">IFERROR(__xludf.DUMMYFUNCTION("""COMPUTED_VALUE"""),"Low")</f>
        <v>Low</v>
      </c>
      <c r="Z86" s="5">
        <f ca="1">IFERROR(__xludf.DUMMYFUNCTION("""COMPUTED_VALUE"""),16.73)</f>
        <v>16.73</v>
      </c>
      <c r="AA86" s="14">
        <f ca="1">IFERROR(__xludf.DUMMYFUNCTION("""COMPUTED_VALUE"""),1000)</f>
        <v>1000</v>
      </c>
      <c r="AB86" s="5" t="str">
        <f ca="1">IFERROR(__xludf.DUMMYFUNCTION("""COMPUTED_VALUE"""),"/")</f>
        <v>/</v>
      </c>
      <c r="AC86" s="5" t="str">
        <f ca="1">IFERROR(__xludf.DUMMYFUNCTION("""COMPUTED_VALUE"""),"Scatter, Wild Symbol")</f>
        <v>Scatter, Wild Symbol</v>
      </c>
      <c r="AD86" s="5" t="str">
        <f ca="1">IFERROR(__xludf.DUMMYFUNCTION("""COMPUTED_VALUE"""),"0.4/60")</f>
        <v>0.4/60</v>
      </c>
      <c r="AE86" s="5"/>
      <c r="AF86" s="5"/>
      <c r="AG86" s="10">
        <f ca="1">IFERROR(__xludf.DUMMYFUNCTION("""COMPUTED_VALUE"""),45876.5026388888)</f>
        <v>45876.5026388888</v>
      </c>
      <c r="AH86" s="5" t="str">
        <f ca="1">IFERROR(__xludf.DUMMYFUNCTION("""COMPUTED_VALUE"""),"marko.tepavac@fazi.rs")</f>
        <v>marko.tepavac@fazi.rs</v>
      </c>
      <c r="AI86" s="5"/>
      <c r="AJ86" s="5"/>
      <c r="AK86" s="5">
        <f ca="1">IFERROR(__xludf.DUMMYFUNCTION("""COMPUTED_VALUE"""),40)</f>
        <v>40</v>
      </c>
      <c r="AL86" s="5" t="str">
        <f ca="1">IFERROR(__xludf.DUMMYFUNCTION("""COMPUTED_VALUE"""),"Yes")</f>
        <v>Yes</v>
      </c>
      <c r="AM86" s="5"/>
      <c r="AN86" s="7" t="str">
        <f ca="1">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AO86" s="5" t="str">
        <f ca="1">IFERROR(__xludf.DUMMYFUNCTION("""COMPUTED_VALUE"""),"Yes")</f>
        <v>Yes</v>
      </c>
      <c r="AP86" s="5"/>
      <c r="AQ86" s="5" t="b">
        <f ca="1">IFERROR(__xludf.DUMMYFUNCTION("""COMPUTED_VALUE"""),TRUE)</f>
        <v>1</v>
      </c>
      <c r="AR86" s="5"/>
      <c r="AS86" s="5" t="str">
        <f ca="1">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AT86" s="5"/>
      <c r="AU86" s="5" t="str">
        <f ca="1">IFERROR(__xludf.DUMMYFUNCTION("""COMPUTED_VALUE"""),"Fazi")</f>
        <v>Fazi</v>
      </c>
      <c r="AV86" s="5"/>
      <c r="AW86" s="5"/>
      <c r="AX86" s="5"/>
      <c r="AY86" s="5"/>
      <c r="AZ86" s="5"/>
      <c r="BA86" s="5" t="str">
        <f ca="1">IFERROR(__xludf.DUMMYFUNCTION("""COMPUTED_VALUE"""),"")</f>
        <v/>
      </c>
      <c r="BB86" s="5"/>
      <c r="BC86" s="5" t="str">
        <f ca="1">IFERROR(__xludf.DUMMYFUNCTION("""COMPUTED_VALUE"""),"Foxi")</f>
        <v>Foxi</v>
      </c>
      <c r="BD86" s="7" t="str">
        <f ca="1">IFERROR(__xludf.DUMMYFUNCTION("""COMPUTED_VALUE"""),"https://gameserver-store-client-area.orbionlimited.com/Home/IntegrationGameLaunch/client-area?moneyType=0&amp;gameName=CrystalJokerHot&amp;platform=desktop&amp;languageCode=eng&amp;currency=EUR")</f>
        <v>https://gameserver-store-client-area.orbionlimited.com/Home/IntegrationGameLaunch/client-area?moneyType=0&amp;gameName=CrystalJokerHot&amp;platform=desktop&amp;languageCode=eng&amp;currency=EUR</v>
      </c>
      <c r="BE86" s="5" t="b">
        <f ca="1">IFERROR(__xludf.DUMMYFUNCTION("""COMPUTED_VALUE"""),TRUE)</f>
        <v>1</v>
      </c>
    </row>
    <row r="87" spans="1:57" x14ac:dyDescent="0.25">
      <c r="A87" s="5">
        <f ca="1">IFERROR(__xludf.DUMMYFUNCTION("""COMPUTED_VALUE"""),86)</f>
        <v>86</v>
      </c>
      <c r="B87" s="5">
        <f ca="1">IFERROR(__xludf.DUMMYFUNCTION("""COMPUTED_VALUE"""),85)</f>
        <v>85</v>
      </c>
      <c r="C87" s="5" t="str">
        <f ca="1">IFERROR(__xludf.DUMMYFUNCTION("""COMPUTED_VALUE"""),"Tiptop")</f>
        <v>Tiptop</v>
      </c>
      <c r="D87" s="5" t="str">
        <f ca="1">IFERROR(__xludf.DUMMYFUNCTION("""COMPUTED_VALUE"""),"Fruit Island")</f>
        <v>Fruit Island</v>
      </c>
      <c r="E87" s="5"/>
      <c r="F87" s="5" t="str">
        <f ca="1">IFERROR(__xludf.DUMMYFUNCTION("""COMPUTED_VALUE"""),"UnicornFruitIsland")</f>
        <v>UnicornFruitIsland</v>
      </c>
      <c r="G87" s="5" t="str">
        <f ca="1">IFERROR(__xludf.DUMMYFUNCTION("""COMPUTED_VALUE"""),"Live")</f>
        <v>Live</v>
      </c>
      <c r="H87" s="5"/>
      <c r="I87" s="5" t="str">
        <f ca="1">IFERROR(__xludf.DUMMYFUNCTION("""COMPUTED_VALUE"""),"TipTop")</f>
        <v>TipTop</v>
      </c>
      <c r="J87" s="5" t="str">
        <f ca="1">IFERROR(__xludf.DUMMYFUNCTION("""COMPUTED_VALUE"""),"JSON")</f>
        <v>JSON</v>
      </c>
      <c r="K87" s="5" t="str">
        <f ca="1">IFERROR(__xludf.DUMMYFUNCTION("""COMPUTED_VALUE"""),"Slot")</f>
        <v>Slot</v>
      </c>
      <c r="L87" s="5"/>
      <c r="M87" s="5"/>
      <c r="N87" s="5"/>
      <c r="O87" s="5"/>
      <c r="P87" s="14">
        <f ca="1">IFERROR(__xludf.DUMMYFUNCTION("""COMPUTED_VALUE"""),13.7)</f>
        <v>13.7</v>
      </c>
      <c r="Q87" s="5"/>
      <c r="R87" s="5"/>
      <c r="S87" s="15">
        <f ca="1">IFERROR(__xludf.DUMMYFUNCTION("""COMPUTED_VALUE"""),44343)</f>
        <v>44343</v>
      </c>
      <c r="T87" s="5"/>
      <c r="U87" s="5" t="str">
        <f ca="1">IFERROR(__xludf.DUMMYFUNCTION("""COMPUTED_VALUE"""),"5x3")</f>
        <v>5x3</v>
      </c>
      <c r="V87" s="12" t="str">
        <f ca="1">IFERROR(__xludf.DUMMYFUNCTION("""COMPUTED_VALUE"""),"5")</f>
        <v>5</v>
      </c>
      <c r="W87" s="12" t="str">
        <f ca="1">IFERROR(__xludf.DUMMYFUNCTION("""COMPUTED_VALUE"""),"5")</f>
        <v>5</v>
      </c>
      <c r="X87" s="5">
        <f ca="1">IFERROR(__xludf.DUMMYFUNCTION("""COMPUTED_VALUE"""),96)</f>
        <v>96</v>
      </c>
      <c r="Y87" s="5" t="str">
        <f ca="1">IFERROR(__xludf.DUMMYFUNCTION("""COMPUTED_VALUE"""),"Low")</f>
        <v>Low</v>
      </c>
      <c r="Z87" s="5">
        <f ca="1">IFERROR(__xludf.DUMMYFUNCTION("""COMPUTED_VALUE"""),10.5)</f>
        <v>10.5</v>
      </c>
      <c r="AA87" s="14">
        <f ca="1">IFERROR(__xludf.DUMMYFUNCTION("""COMPUTED_VALUE"""),1000)</f>
        <v>1000</v>
      </c>
      <c r="AB87" s="5"/>
      <c r="AC87" s="5"/>
      <c r="AD87" s="5" t="str">
        <f ca="1">IFERROR(__xludf.DUMMYFUNCTION("""COMPUTED_VALUE"""),"0.05/40")</f>
        <v>0.05/40</v>
      </c>
      <c r="AE87" s="5"/>
      <c r="AF87" s="5"/>
      <c r="AG87" s="10">
        <f ca="1">IFERROR(__xludf.DUMMYFUNCTION("""COMPUTED_VALUE"""),46197.4483333333)</f>
        <v>46197.448333333297</v>
      </c>
      <c r="AH87" s="5" t="str">
        <f ca="1">IFERROR(__xludf.DUMMYFUNCTION("""COMPUTED_VALUE"""),"selena.mihajlovic@fazi.rs")</f>
        <v>selena.mihajlovic@fazi.rs</v>
      </c>
      <c r="AI87" s="5"/>
      <c r="AJ87" s="5"/>
      <c r="AK87" s="5">
        <f ca="1">IFERROR(__xludf.DUMMYFUNCTION("""COMPUTED_VALUE"""),5)</f>
        <v>5</v>
      </c>
      <c r="AL87" s="5" t="str">
        <f ca="1">IFERROR(__xludf.DUMMYFUNCTION("""COMPUTED_VALUE"""),"No")</f>
        <v>No</v>
      </c>
      <c r="AM87" s="5"/>
      <c r="AN87" s="7" t="str">
        <f ca="1">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AO87" s="5"/>
      <c r="AP87" s="5"/>
      <c r="AQ87" s="5" t="b">
        <f ca="1">IFERROR(__xludf.DUMMYFUNCTION("""COMPUTED_VALUE"""),TRUE)</f>
        <v>1</v>
      </c>
      <c r="AR87" s="5"/>
      <c r="AS87" s="5" t="str">
        <f ca="1">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AT87" s="5"/>
      <c r="AU87" s="5" t="str">
        <f ca="1">IFERROR(__xludf.DUMMYFUNCTION("""COMPUTED_VALUE"""),"Fazi")</f>
        <v>Fazi</v>
      </c>
      <c r="AV87" s="5"/>
      <c r="AW87" s="5"/>
      <c r="AX87" s="5"/>
      <c r="AY87" s="5"/>
      <c r="AZ87" s="5"/>
      <c r="BA87" s="5"/>
      <c r="BB87" s="5" t="b">
        <f ca="1">IFERROR(__xludf.DUMMYFUNCTION("""COMPUTED_VALUE"""),TRUE)</f>
        <v>1</v>
      </c>
      <c r="BC87" s="5" t="str">
        <f ca="1">IFERROR(__xludf.DUMMYFUNCTION("""COMPUTED_VALUE"""),"Tiptop")</f>
        <v>Tiptop</v>
      </c>
      <c r="BD87" s="7" t="str">
        <f ca="1">IFERROR(__xludf.DUMMYFUNCTION("""COMPUTED_VALUE"""),"https://gameserver-store-client-area.orbionlimited.com/Home/IntegrationGameLaunch/client-area?moneyType=0&amp;gameName=UnicornFruitIsland&amp;platform=desktop&amp;languageCode=eng&amp;currency=EUR")</f>
        <v>https://gameserver-store-client-area.orbionlimited.com/Home/IntegrationGameLaunch/client-area?moneyType=0&amp;gameName=UnicornFruitIsland&amp;platform=desktop&amp;languageCode=eng&amp;currency=EUR</v>
      </c>
      <c r="BE87" s="5" t="b">
        <f ca="1">IFERROR(__xludf.DUMMYFUNCTION("""COMPUTED_VALUE"""),TRUE)</f>
        <v>1</v>
      </c>
    </row>
    <row r="88" spans="1:57" x14ac:dyDescent="0.25">
      <c r="A88" s="5">
        <f ca="1">IFERROR(__xludf.DUMMYFUNCTION("""COMPUTED_VALUE"""),87)</f>
        <v>87</v>
      </c>
      <c r="B88" s="5">
        <f ca="1">IFERROR(__xludf.DUMMYFUNCTION("""COMPUTED_VALUE"""),86)</f>
        <v>86</v>
      </c>
      <c r="C88" s="5" t="str">
        <f ca="1">IFERROR(__xludf.DUMMYFUNCTION("""COMPUTED_VALUE"""),"Fazi")</f>
        <v>Fazi</v>
      </c>
      <c r="D88" s="5" t="str">
        <f ca="1">IFERROR(__xludf.DUMMYFUNCTION("""COMPUTED_VALUE"""),"Fruity Joker Hot")</f>
        <v>Fruity Joker Hot</v>
      </c>
      <c r="E88" s="5" t="str">
        <f ca="1">IFERROR(__xludf.DUMMYFUNCTION("""COMPUTED_VALUE"""),"V2")</f>
        <v>V2</v>
      </c>
      <c r="F88" s="5" t="str">
        <f ca="1">IFERROR(__xludf.DUMMYFUNCTION("""COMPUTED_VALUE"""),"FruityJokerHot")</f>
        <v>FruityJokerHot</v>
      </c>
      <c r="G88" s="5" t="str">
        <f ca="1">IFERROR(__xludf.DUMMYFUNCTION("""COMPUTED_VALUE"""),"Live")</f>
        <v>Live</v>
      </c>
      <c r="H88" s="5"/>
      <c r="I88" s="5" t="str">
        <f ca="1">IFERROR(__xludf.DUMMYFUNCTION("""COMPUTED_VALUE"""),"V2")</f>
        <v>V2</v>
      </c>
      <c r="J88" s="5" t="str">
        <f ca="1">IFERROR(__xludf.DUMMYFUNCTION("""COMPUTED_VALUE"""),"JSON")</f>
        <v>JSON</v>
      </c>
      <c r="K88" s="5" t="str">
        <f ca="1">IFERROR(__xludf.DUMMYFUNCTION("""COMPUTED_VALUE"""),"Slot")</f>
        <v>Slot</v>
      </c>
      <c r="L88" s="5"/>
      <c r="M88" s="5"/>
      <c r="N88" s="5"/>
      <c r="O88" s="5"/>
      <c r="P88" s="14">
        <f ca="1">IFERROR(__xludf.DUMMYFUNCTION("""COMPUTED_VALUE"""),26.9)</f>
        <v>26.9</v>
      </c>
      <c r="Q88" s="5"/>
      <c r="R88" s="5"/>
      <c r="S88" s="15">
        <f ca="1">IFERROR(__xludf.DUMMYFUNCTION("""COMPUTED_VALUE"""),44312)</f>
        <v>44312</v>
      </c>
      <c r="T88" s="5"/>
      <c r="U88" s="5" t="str">
        <f ca="1">IFERROR(__xludf.DUMMYFUNCTION("""COMPUTED_VALUE"""),"5x3")</f>
        <v>5x3</v>
      </c>
      <c r="V88" s="12" t="str">
        <f ca="1">IFERROR(__xludf.DUMMYFUNCTION("""COMPUTED_VALUE"""),"20")</f>
        <v>20</v>
      </c>
      <c r="W88" s="12" t="str">
        <f ca="1">IFERROR(__xludf.DUMMYFUNCTION("""COMPUTED_VALUE"""),"20")</f>
        <v>20</v>
      </c>
      <c r="X88" s="5">
        <f ca="1">IFERROR(__xludf.DUMMYFUNCTION("""COMPUTED_VALUE"""),96.019)</f>
        <v>96.019000000000005</v>
      </c>
      <c r="Y88" s="5" t="str">
        <f ca="1">IFERROR(__xludf.DUMMYFUNCTION("""COMPUTED_VALUE"""),"Low")</f>
        <v>Low</v>
      </c>
      <c r="Z88" s="5">
        <f ca="1">IFERROR(__xludf.DUMMYFUNCTION("""COMPUTED_VALUE"""),19.77)</f>
        <v>19.77</v>
      </c>
      <c r="AA88" s="14">
        <f ca="1">IFERROR(__xludf.DUMMYFUNCTION("""COMPUTED_VALUE"""),1500)</f>
        <v>1500</v>
      </c>
      <c r="AB88" s="5" t="str">
        <f ca="1">IFERROR(__xludf.DUMMYFUNCTION("""COMPUTED_VALUE"""),"/")</f>
        <v>/</v>
      </c>
      <c r="AC88" s="5" t="str">
        <f ca="1">IFERROR(__xludf.DUMMYFUNCTION("""COMPUTED_VALUE"""),"Scatter, Wild Symbol")</f>
        <v>Scatter, Wild Symbol</v>
      </c>
      <c r="AD88" s="5" t="str">
        <f ca="1">IFERROR(__xludf.DUMMYFUNCTION("""COMPUTED_VALUE"""),"0.2/50")</f>
        <v>0.2/50</v>
      </c>
      <c r="AE88" s="5"/>
      <c r="AF88" s="5"/>
      <c r="AG88" s="10">
        <f ca="1">IFERROR(__xludf.DUMMYFUNCTION("""COMPUTED_VALUE"""),46100.4246759259)</f>
        <v>46100.424675925897</v>
      </c>
      <c r="AH88" s="5" t="str">
        <f ca="1">IFERROR(__xludf.DUMMYFUNCTION("""COMPUTED_VALUE"""),"milutin.toskic@fazi.rs")</f>
        <v>milutin.toskic@fazi.rs</v>
      </c>
      <c r="AI88" s="5"/>
      <c r="AJ88" s="5"/>
      <c r="AK88" s="5">
        <f ca="1">IFERROR(__xludf.DUMMYFUNCTION("""COMPUTED_VALUE"""),20)</f>
        <v>20</v>
      </c>
      <c r="AL88" s="5" t="str">
        <f ca="1">IFERROR(__xludf.DUMMYFUNCTION("""COMPUTED_VALUE"""),"Yes")</f>
        <v>Yes</v>
      </c>
      <c r="AM88" s="5"/>
      <c r="AN88" s="7" t="str">
        <f ca="1">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AO88" s="5" t="str">
        <f ca="1">IFERROR(__xludf.DUMMYFUNCTION("""COMPUTED_VALUE"""),"Yes")</f>
        <v>Yes</v>
      </c>
      <c r="AP88" s="5" t="str">
        <f ca="1">IFERROR(__xludf.DUMMYFUNCTION("""COMPUTED_VALUE"""),"Yes")</f>
        <v>Yes</v>
      </c>
      <c r="AQ88" s="5" t="b">
        <f ca="1">IFERROR(__xludf.DUMMYFUNCTION("""COMPUTED_VALUE"""),TRUE)</f>
        <v>1</v>
      </c>
      <c r="AR88" s="5"/>
      <c r="AS88" s="5" t="str">
        <f ca="1">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AT88" s="5" t="str">
        <f ca="1">IFERROR(__xludf.DUMMYFUNCTION("""COMPUTED_VALUE"""),"No")</f>
        <v>No</v>
      </c>
      <c r="AU88" s="5" t="str">
        <f ca="1">IFERROR(__xludf.DUMMYFUNCTION("""COMPUTED_VALUE"""),"Fazi")</f>
        <v>Fazi</v>
      </c>
      <c r="AV88" s="5"/>
      <c r="AW88" s="5"/>
      <c r="AX88" s="5"/>
      <c r="AY88" s="5"/>
      <c r="AZ88" s="5"/>
      <c r="BA88" s="5" t="str">
        <f ca="1">IFERROR(__xludf.DUMMYFUNCTION("""COMPUTED_VALUE"""),"")</f>
        <v/>
      </c>
      <c r="BB88" s="5"/>
      <c r="BC88" s="5" t="str">
        <f ca="1">IFERROR(__xludf.DUMMYFUNCTION("""COMPUTED_VALUE"""),"Foxi")</f>
        <v>Foxi</v>
      </c>
      <c r="BD88" s="7" t="str">
        <f ca="1">IFERROR(__xludf.DUMMYFUNCTION("""COMPUTED_VALUE"""),"https://gameserver-store-client-area.orbionlimited.com/Home/IntegrationGameLaunch/client-area?moneyType=0&amp;gameName=FruityJokerHot&amp;platform=desktop&amp;languageCode=eng&amp;currency=EUR")</f>
        <v>https://gameserver-store-client-area.orbionlimited.com/Home/IntegrationGameLaunch/client-area?moneyType=0&amp;gameName=FruityJokerHot&amp;platform=desktop&amp;languageCode=eng&amp;currency=EUR</v>
      </c>
      <c r="BE88" s="5" t="b">
        <f ca="1">IFERROR(__xludf.DUMMYFUNCTION("""COMPUTED_VALUE"""),TRUE)</f>
        <v>1</v>
      </c>
    </row>
    <row r="89" spans="1:57" x14ac:dyDescent="0.25">
      <c r="A89" s="5">
        <f ca="1">IFERROR(__xludf.DUMMYFUNCTION("""COMPUTED_VALUE"""),88)</f>
        <v>88</v>
      </c>
      <c r="B89" s="5">
        <f ca="1">IFERROR(__xludf.DUMMYFUNCTION("""COMPUTED_VALUE"""),87)</f>
        <v>87</v>
      </c>
      <c r="C89" s="5" t="str">
        <f ca="1">IFERROR(__xludf.DUMMYFUNCTION("""COMPUTED_VALUE"""),"Tiptop")</f>
        <v>Tiptop</v>
      </c>
      <c r="D89" s="5" t="str">
        <f ca="1">IFERROR(__xludf.DUMMYFUNCTION("""COMPUTED_VALUE"""),"Wild Paradice")</f>
        <v>Wild Paradice</v>
      </c>
      <c r="E89" s="5"/>
      <c r="F89" s="5" t="str">
        <f ca="1">IFERROR(__xludf.DUMMYFUNCTION("""COMPUTED_VALUE"""),"UnicornWildParadise")</f>
        <v>UnicornWildParadise</v>
      </c>
      <c r="G89" s="5" t="str">
        <f ca="1">IFERROR(__xludf.DUMMYFUNCTION("""COMPUTED_VALUE"""),"Live")</f>
        <v>Live</v>
      </c>
      <c r="H89" s="5"/>
      <c r="I89" s="5" t="str">
        <f ca="1">IFERROR(__xludf.DUMMYFUNCTION("""COMPUTED_VALUE"""),"TipTop")</f>
        <v>TipTop</v>
      </c>
      <c r="J89" s="5" t="str">
        <f ca="1">IFERROR(__xludf.DUMMYFUNCTION("""COMPUTED_VALUE"""),"JSON")</f>
        <v>JSON</v>
      </c>
      <c r="K89" s="5" t="str">
        <f ca="1">IFERROR(__xludf.DUMMYFUNCTION("""COMPUTED_VALUE"""),"Dice Slots")</f>
        <v>Dice Slots</v>
      </c>
      <c r="L89" s="5"/>
      <c r="M89" s="5"/>
      <c r="N89" s="5"/>
      <c r="O89" s="5"/>
      <c r="P89" s="14">
        <f ca="1">IFERROR(__xludf.DUMMYFUNCTION("""COMPUTED_VALUE"""),11.1)</f>
        <v>11.1</v>
      </c>
      <c r="Q89" s="5"/>
      <c r="R89" s="5"/>
      <c r="S89" s="15">
        <f ca="1">IFERROR(__xludf.DUMMYFUNCTION("""COMPUTED_VALUE"""),44585)</f>
        <v>44585</v>
      </c>
      <c r="T89" s="5"/>
      <c r="U89" s="5" t="str">
        <f ca="1">IFERROR(__xludf.DUMMYFUNCTION("""COMPUTED_VALUE"""),"5X3")</f>
        <v>5X3</v>
      </c>
      <c r="V89" s="12" t="str">
        <f ca="1">IFERROR(__xludf.DUMMYFUNCTION("""COMPUTED_VALUE"""),"10")</f>
        <v>10</v>
      </c>
      <c r="W89" s="12" t="str">
        <f ca="1">IFERROR(__xludf.DUMMYFUNCTION("""COMPUTED_VALUE"""),"10")</f>
        <v>10</v>
      </c>
      <c r="X89" s="5">
        <f ca="1">IFERROR(__xludf.DUMMYFUNCTION("""COMPUTED_VALUE"""),96)</f>
        <v>96</v>
      </c>
      <c r="Y89" s="5" t="str">
        <f ca="1">IFERROR(__xludf.DUMMYFUNCTION("""COMPUTED_VALUE"""),"Low")</f>
        <v>Low</v>
      </c>
      <c r="Z89" s="5">
        <f ca="1">IFERROR(__xludf.DUMMYFUNCTION("""COMPUTED_VALUE"""),26.12)</f>
        <v>26.12</v>
      </c>
      <c r="AA89" s="14">
        <f ca="1">IFERROR(__xludf.DUMMYFUNCTION("""COMPUTED_VALUE"""),1060)</f>
        <v>1060</v>
      </c>
      <c r="AB89" s="5"/>
      <c r="AC89" s="5" t="str">
        <f ca="1">IFERROR(__xludf.DUMMYFUNCTION("""COMPUTED_VALUE"""),"Expanding Wild")</f>
        <v>Expanding Wild</v>
      </c>
      <c r="AD89" s="5" t="str">
        <f ca="1">IFERROR(__xludf.DUMMYFUNCTION("""COMPUTED_VALUE"""),"0.1/100")</f>
        <v>0.1/100</v>
      </c>
      <c r="AE89" s="5"/>
      <c r="AF89" s="5"/>
      <c r="AG89" s="10">
        <f ca="1">IFERROR(__xludf.DUMMYFUNCTION("""COMPUTED_VALUE"""),46197.4486689814)</f>
        <v>46197.4486689814</v>
      </c>
      <c r="AH89" s="5" t="str">
        <f ca="1">IFERROR(__xludf.DUMMYFUNCTION("""COMPUTED_VALUE"""),"selena.mihajlovic@fazi.rs")</f>
        <v>selena.mihajlovic@fazi.rs</v>
      </c>
      <c r="AI89" s="5"/>
      <c r="AJ89" s="5"/>
      <c r="AK89" s="5">
        <f ca="1">IFERROR(__xludf.DUMMYFUNCTION("""COMPUTED_VALUE"""),10)</f>
        <v>10</v>
      </c>
      <c r="AL89" s="5" t="str">
        <f ca="1">IFERROR(__xludf.DUMMYFUNCTION("""COMPUTED_VALUE"""),"No")</f>
        <v>No</v>
      </c>
      <c r="AM89" s="5"/>
      <c r="AN89" s="7" t="str">
        <f ca="1">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AO89" s="5"/>
      <c r="AP89" s="5"/>
      <c r="AQ89" s="5" t="b">
        <f ca="1">IFERROR(__xludf.DUMMYFUNCTION("""COMPUTED_VALUE"""),TRUE)</f>
        <v>1</v>
      </c>
      <c r="AR89" s="5"/>
      <c r="AS89" s="5" t="str">
        <f ca="1">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AT89" s="5"/>
      <c r="AU89" s="5" t="str">
        <f ca="1">IFERROR(__xludf.DUMMYFUNCTION("""COMPUTED_VALUE"""),"Fazi")</f>
        <v>Fazi</v>
      </c>
      <c r="AV89" s="5"/>
      <c r="AW89" s="5"/>
      <c r="AX89" s="5"/>
      <c r="AY89" s="5"/>
      <c r="AZ89" s="5"/>
      <c r="BA89" s="5"/>
      <c r="BB89" s="5" t="b">
        <f ca="1">IFERROR(__xludf.DUMMYFUNCTION("""COMPUTED_VALUE"""),TRUE)</f>
        <v>1</v>
      </c>
      <c r="BC89" s="5" t="str">
        <f ca="1">IFERROR(__xludf.DUMMYFUNCTION("""COMPUTED_VALUE"""),"Tiptop")</f>
        <v>Tiptop</v>
      </c>
      <c r="BD89" s="7" t="str">
        <f ca="1">IFERROR(__xludf.DUMMYFUNCTION("""COMPUTED_VALUE"""),"https://gameserver-store-client-area.orbionlimited.com/Home/IntegrationGameLaunch/client-area?moneyType=0&amp;gameName=UnicornWildParadise&amp;platform=desktop&amp;languageCode=eng&amp;currency=EUR")</f>
        <v>https://gameserver-store-client-area.orbionlimited.com/Home/IntegrationGameLaunch/client-area?moneyType=0&amp;gameName=UnicornWildParadise&amp;platform=desktop&amp;languageCode=eng&amp;currency=EUR</v>
      </c>
      <c r="BE89" s="5" t="b">
        <f ca="1">IFERROR(__xludf.DUMMYFUNCTION("""COMPUTED_VALUE"""),TRUE)</f>
        <v>1</v>
      </c>
    </row>
    <row r="90" spans="1:57" x14ac:dyDescent="0.25">
      <c r="A90" s="5">
        <f ca="1">IFERROR(__xludf.DUMMYFUNCTION("""COMPUTED_VALUE"""),89)</f>
        <v>89</v>
      </c>
      <c r="B90" s="5">
        <f ca="1">IFERROR(__xludf.DUMMYFUNCTION("""COMPUTED_VALUE"""),88)</f>
        <v>88</v>
      </c>
      <c r="C90" s="5" t="str">
        <f ca="1">IFERROR(__xludf.DUMMYFUNCTION("""COMPUTED_VALUE"""),"Tiptop")</f>
        <v>Tiptop</v>
      </c>
      <c r="D90" s="5" t="str">
        <f ca="1">IFERROR(__xludf.DUMMYFUNCTION("""COMPUTED_VALUE"""),"Rainbow Sevens")</f>
        <v>Rainbow Sevens</v>
      </c>
      <c r="E90" s="5"/>
      <c r="F90" s="5" t="str">
        <f ca="1">IFERROR(__xludf.DUMMYFUNCTION("""COMPUTED_VALUE"""),"UnicornRainbowSevens")</f>
        <v>UnicornRainbowSevens</v>
      </c>
      <c r="G90" s="5" t="str">
        <f ca="1">IFERROR(__xludf.DUMMYFUNCTION("""COMPUTED_VALUE"""),"Live")</f>
        <v>Live</v>
      </c>
      <c r="H90" s="5"/>
      <c r="I90" s="5" t="str">
        <f ca="1">IFERROR(__xludf.DUMMYFUNCTION("""COMPUTED_VALUE"""),"TipTop")</f>
        <v>TipTop</v>
      </c>
      <c r="J90" s="5" t="str">
        <f ca="1">IFERROR(__xludf.DUMMYFUNCTION("""COMPUTED_VALUE"""),"JSON")</f>
        <v>JSON</v>
      </c>
      <c r="K90" s="5" t="str">
        <f ca="1">IFERROR(__xludf.DUMMYFUNCTION("""COMPUTED_VALUE"""),"Slot")</f>
        <v>Slot</v>
      </c>
      <c r="L90" s="5"/>
      <c r="M90" s="5"/>
      <c r="N90" s="5"/>
      <c r="O90" s="5"/>
      <c r="P90" s="14">
        <f ca="1">IFERROR(__xludf.DUMMYFUNCTION("""COMPUTED_VALUE"""),14.9)</f>
        <v>14.9</v>
      </c>
      <c r="Q90" s="5"/>
      <c r="R90" s="5"/>
      <c r="S90" s="15">
        <f ca="1">IFERROR(__xludf.DUMMYFUNCTION("""COMPUTED_VALUE"""),44396)</f>
        <v>44396</v>
      </c>
      <c r="T90" s="5"/>
      <c r="U90" s="5" t="str">
        <f ca="1">IFERROR(__xludf.DUMMYFUNCTION("""COMPUTED_VALUE"""),"5X3")</f>
        <v>5X3</v>
      </c>
      <c r="V90" s="12" t="str">
        <f ca="1">IFERROR(__xludf.DUMMYFUNCTION("""COMPUTED_VALUE"""),"5")</f>
        <v>5</v>
      </c>
      <c r="W90" s="12" t="str">
        <f ca="1">IFERROR(__xludf.DUMMYFUNCTION("""COMPUTED_VALUE"""),"5")</f>
        <v>5</v>
      </c>
      <c r="X90" s="5">
        <f ca="1">IFERROR(__xludf.DUMMYFUNCTION("""COMPUTED_VALUE"""),96)</f>
        <v>96</v>
      </c>
      <c r="Y90" s="5" t="str">
        <f ca="1">IFERROR(__xludf.DUMMYFUNCTION("""COMPUTED_VALUE"""),"Low")</f>
        <v>Low</v>
      </c>
      <c r="Z90" s="5">
        <f ca="1">IFERROR(__xludf.DUMMYFUNCTION("""COMPUTED_VALUE"""),9.2)</f>
        <v>9.1999999999999993</v>
      </c>
      <c r="AA90" s="14">
        <f ca="1">IFERROR(__xludf.DUMMYFUNCTION("""COMPUTED_VALUE"""),1000)</f>
        <v>1000</v>
      </c>
      <c r="AB90" s="5"/>
      <c r="AC90" s="5"/>
      <c r="AD90" s="5" t="str">
        <f ca="1">IFERROR(__xludf.DUMMYFUNCTION("""COMPUTED_VALUE"""),"0.05/100")</f>
        <v>0.05/100</v>
      </c>
      <c r="AE90" s="5"/>
      <c r="AF90" s="5"/>
      <c r="AG90" s="10">
        <f ca="1">IFERROR(__xludf.DUMMYFUNCTION("""COMPUTED_VALUE"""),46190.5414583333)</f>
        <v>46190.541458333297</v>
      </c>
      <c r="AH90" s="5"/>
      <c r="AI90" s="5"/>
      <c r="AJ90" s="5"/>
      <c r="AK90" s="5">
        <f ca="1">IFERROR(__xludf.DUMMYFUNCTION("""COMPUTED_VALUE"""),5)</f>
        <v>5</v>
      </c>
      <c r="AL90" s="5" t="str">
        <f ca="1">IFERROR(__xludf.DUMMYFUNCTION("""COMPUTED_VALUE"""),"No")</f>
        <v>No</v>
      </c>
      <c r="AM90" s="5"/>
      <c r="AN90" s="7" t="str">
        <f ca="1">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AO90" s="5"/>
      <c r="AP90" s="5"/>
      <c r="AQ90" s="5" t="b">
        <f ca="1">IFERROR(__xludf.DUMMYFUNCTION("""COMPUTED_VALUE"""),TRUE)</f>
        <v>1</v>
      </c>
      <c r="AR90" s="5"/>
      <c r="AS90" s="5" t="str">
        <f ca="1">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AT90" s="5"/>
      <c r="AU90" s="5" t="str">
        <f ca="1">IFERROR(__xludf.DUMMYFUNCTION("""COMPUTED_VALUE"""),"Fazi")</f>
        <v>Fazi</v>
      </c>
      <c r="AV90" s="5"/>
      <c r="AW90" s="5"/>
      <c r="AX90" s="5"/>
      <c r="AY90" s="5"/>
      <c r="AZ90" s="5"/>
      <c r="BA90" s="5"/>
      <c r="BB90" s="5" t="b">
        <f ca="1">IFERROR(__xludf.DUMMYFUNCTION("""COMPUTED_VALUE"""),TRUE)</f>
        <v>1</v>
      </c>
      <c r="BC90" s="5" t="str">
        <f ca="1">IFERROR(__xludf.DUMMYFUNCTION("""COMPUTED_VALUE"""),"Tiptop")</f>
        <v>Tiptop</v>
      </c>
      <c r="BD90" s="7" t="str">
        <f ca="1">IFERROR(__xludf.DUMMYFUNCTION("""COMPUTED_VALUE"""),"https://gameserver-store-client-area.orbionlimited.com/Home/IntegrationGameLaunch/client-area?moneyType=0&amp;gameName=UnicornRainbowSevens&amp;platform=desktop&amp;languageCode=eng&amp;currency=EUR")</f>
        <v>https://gameserver-store-client-area.orbionlimited.com/Home/IntegrationGameLaunch/client-area?moneyType=0&amp;gameName=UnicornRainbowSevens&amp;platform=desktop&amp;languageCode=eng&amp;currency=EUR</v>
      </c>
      <c r="BE90" s="5" t="b">
        <f ca="1">IFERROR(__xludf.DUMMYFUNCTION("""COMPUTED_VALUE"""),TRUE)</f>
        <v>1</v>
      </c>
    </row>
    <row r="91" spans="1:57" x14ac:dyDescent="0.25">
      <c r="A91" s="5">
        <f ca="1">IFERROR(__xludf.DUMMYFUNCTION("""COMPUTED_VALUE"""),90)</f>
        <v>90</v>
      </c>
      <c r="B91" s="5">
        <f ca="1">IFERROR(__xludf.DUMMYFUNCTION("""COMPUTED_VALUE"""),89)</f>
        <v>89</v>
      </c>
      <c r="C91" s="5" t="str">
        <f ca="1">IFERROR(__xludf.DUMMYFUNCTION("""COMPUTED_VALUE"""),"Tiptop")</f>
        <v>Tiptop</v>
      </c>
      <c r="D91" s="5" t="str">
        <f ca="1">IFERROR(__xludf.DUMMYFUNCTION("""COMPUTED_VALUE"""),"Havana Dice")</f>
        <v>Havana Dice</v>
      </c>
      <c r="E91" s="5"/>
      <c r="F91" s="5" t="str">
        <f ca="1">IFERROR(__xludf.DUMMYFUNCTION("""COMPUTED_VALUE"""),"UnicornHavanaDice")</f>
        <v>UnicornHavanaDice</v>
      </c>
      <c r="G91" s="5" t="str">
        <f ca="1">IFERROR(__xludf.DUMMYFUNCTION("""COMPUTED_VALUE"""),"Live")</f>
        <v>Live</v>
      </c>
      <c r="H91" s="5"/>
      <c r="I91" s="5" t="str">
        <f ca="1">IFERROR(__xludf.DUMMYFUNCTION("""COMPUTED_VALUE"""),"TipTop")</f>
        <v>TipTop</v>
      </c>
      <c r="J91" s="5" t="str">
        <f ca="1">IFERROR(__xludf.DUMMYFUNCTION("""COMPUTED_VALUE"""),"JSON")</f>
        <v>JSON</v>
      </c>
      <c r="K91" s="5" t="str">
        <f ca="1">IFERROR(__xludf.DUMMYFUNCTION("""COMPUTED_VALUE"""),"Dice Slots")</f>
        <v>Dice Slots</v>
      </c>
      <c r="L91" s="5"/>
      <c r="M91" s="5"/>
      <c r="N91" s="5"/>
      <c r="O91" s="5"/>
      <c r="P91" s="14">
        <f ca="1">IFERROR(__xludf.DUMMYFUNCTION("""COMPUTED_VALUE"""),11.5)</f>
        <v>11.5</v>
      </c>
      <c r="Q91" s="5"/>
      <c r="R91" s="5"/>
      <c r="S91" s="15">
        <f ca="1">IFERROR(__xludf.DUMMYFUNCTION("""COMPUTED_VALUE"""),44606)</f>
        <v>44606</v>
      </c>
      <c r="T91" s="5"/>
      <c r="U91" s="5" t="str">
        <f ca="1">IFERROR(__xludf.DUMMYFUNCTION("""COMPUTED_VALUE"""),"5X3")</f>
        <v>5X3</v>
      </c>
      <c r="V91" s="12" t="str">
        <f ca="1">IFERROR(__xludf.DUMMYFUNCTION("""COMPUTED_VALUE"""),"10")</f>
        <v>10</v>
      </c>
      <c r="W91" s="12" t="str">
        <f ca="1">IFERROR(__xludf.DUMMYFUNCTION("""COMPUTED_VALUE"""),"10")</f>
        <v>10</v>
      </c>
      <c r="X91" s="5">
        <f ca="1">IFERROR(__xludf.DUMMYFUNCTION("""COMPUTED_VALUE"""),96)</f>
        <v>96</v>
      </c>
      <c r="Y91" s="5" t="str">
        <f ca="1">IFERROR(__xludf.DUMMYFUNCTION("""COMPUTED_VALUE"""),"Low")</f>
        <v>Low</v>
      </c>
      <c r="Z91" s="5">
        <f ca="1">IFERROR(__xludf.DUMMYFUNCTION("""COMPUTED_VALUE"""),12.79)</f>
        <v>12.79</v>
      </c>
      <c r="AA91" s="14">
        <f ca="1">IFERROR(__xludf.DUMMYFUNCTION("""COMPUTED_VALUE"""),2000)</f>
        <v>2000</v>
      </c>
      <c r="AB91" s="5"/>
      <c r="AC91" s="5" t="str">
        <f ca="1">IFERROR(__xludf.DUMMYFUNCTION("""COMPUTED_VALUE"""),"Wild Symbol")</f>
        <v>Wild Symbol</v>
      </c>
      <c r="AD91" s="5" t="str">
        <f ca="1">IFERROR(__xludf.DUMMYFUNCTION("""COMPUTED_VALUE"""),"0.1/100")</f>
        <v>0.1/100</v>
      </c>
      <c r="AE91" s="5"/>
      <c r="AF91" s="5"/>
      <c r="AG91" s="10">
        <f ca="1">IFERROR(__xludf.DUMMYFUNCTION("""COMPUTED_VALUE"""),46197.4491550925)</f>
        <v>46197.449155092501</v>
      </c>
      <c r="AH91" s="5" t="str">
        <f ca="1">IFERROR(__xludf.DUMMYFUNCTION("""COMPUTED_VALUE"""),"selena.mihajlovic@fazi.rs")</f>
        <v>selena.mihajlovic@fazi.rs</v>
      </c>
      <c r="AI91" s="5"/>
      <c r="AJ91" s="5"/>
      <c r="AK91" s="5">
        <f ca="1">IFERROR(__xludf.DUMMYFUNCTION("""COMPUTED_VALUE"""),10)</f>
        <v>10</v>
      </c>
      <c r="AL91" s="5" t="str">
        <f ca="1">IFERROR(__xludf.DUMMYFUNCTION("""COMPUTED_VALUE"""),"No")</f>
        <v>No</v>
      </c>
      <c r="AM91" s="5"/>
      <c r="AN91" s="7" t="str">
        <f ca="1">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AO91" s="5"/>
      <c r="AP91" s="5"/>
      <c r="AQ91" s="5" t="b">
        <f ca="1">IFERROR(__xludf.DUMMYFUNCTION("""COMPUTED_VALUE"""),TRUE)</f>
        <v>1</v>
      </c>
      <c r="AR91" s="5"/>
      <c r="AS91" s="5" t="str">
        <f ca="1">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AT91" s="5"/>
      <c r="AU91" s="5" t="str">
        <f ca="1">IFERROR(__xludf.DUMMYFUNCTION("""COMPUTED_VALUE"""),"Fazi")</f>
        <v>Fazi</v>
      </c>
      <c r="AV91" s="5"/>
      <c r="AW91" s="5"/>
      <c r="AX91" s="5"/>
      <c r="AY91" s="5"/>
      <c r="AZ91" s="5"/>
      <c r="BA91" s="5"/>
      <c r="BB91" s="5" t="b">
        <f ca="1">IFERROR(__xludf.DUMMYFUNCTION("""COMPUTED_VALUE"""),TRUE)</f>
        <v>1</v>
      </c>
      <c r="BC91" s="5" t="str">
        <f ca="1">IFERROR(__xludf.DUMMYFUNCTION("""COMPUTED_VALUE"""),"Tiptop")</f>
        <v>Tiptop</v>
      </c>
      <c r="BD91" s="7" t="str">
        <f ca="1">IFERROR(__xludf.DUMMYFUNCTION("""COMPUTED_VALUE"""),"https://gameserver-store-client-area.orbionlimited.com/Home/IntegrationGameLaunch/client-area?moneyType=0&amp;gameName=UnicornHavanaDice&amp;platform=desktop&amp;languageCode=eng&amp;currency=EUR")</f>
        <v>https://gameserver-store-client-area.orbionlimited.com/Home/IntegrationGameLaunch/client-area?moneyType=0&amp;gameName=UnicornHavanaDice&amp;platform=desktop&amp;languageCode=eng&amp;currency=EUR</v>
      </c>
      <c r="BE91" s="5" t="b">
        <f ca="1">IFERROR(__xludf.DUMMYFUNCTION("""COMPUTED_VALUE"""),TRUE)</f>
        <v>1</v>
      </c>
    </row>
    <row r="92" spans="1:57" x14ac:dyDescent="0.25">
      <c r="A92" s="5">
        <f ca="1">IFERROR(__xludf.DUMMYFUNCTION("""COMPUTED_VALUE"""),91)</f>
        <v>91</v>
      </c>
      <c r="B92" s="5">
        <f ca="1">IFERROR(__xludf.DUMMYFUNCTION("""COMPUTED_VALUE"""),90)</f>
        <v>90</v>
      </c>
      <c r="C92" s="5" t="str">
        <f ca="1">IFERROR(__xludf.DUMMYFUNCTION("""COMPUTED_VALUE"""),"Redstone")</f>
        <v>Redstone</v>
      </c>
      <c r="D92" s="5" t="str">
        <f ca="1">IFERROR(__xludf.DUMMYFUNCTION("""COMPUTED_VALUE"""),"Mayan Coins")</f>
        <v>Mayan Coins</v>
      </c>
      <c r="E92" s="5" t="str">
        <f ca="1">IFERROR(__xludf.DUMMYFUNCTION("""COMPUTED_VALUE"""),"Redstone")</f>
        <v>Redstone</v>
      </c>
      <c r="F92" s="5" t="str">
        <f ca="1">IFERROR(__xludf.DUMMYFUNCTION("""COMPUTED_VALUE"""),"MayanCoins")</f>
        <v>MayanCoins</v>
      </c>
      <c r="G92" s="5" t="str">
        <f ca="1">IFERROR(__xludf.DUMMYFUNCTION("""COMPUTED_VALUE"""),"Live")</f>
        <v>Live</v>
      </c>
      <c r="H92" s="5"/>
      <c r="I92" s="5" t="str">
        <f ca="1">IFERROR(__xludf.DUMMYFUNCTION("""COMPUTED_VALUE"""),"Redstone")</f>
        <v>Redstone</v>
      </c>
      <c r="J92" s="5" t="str">
        <f ca="1">IFERROR(__xludf.DUMMYFUNCTION("""COMPUTED_VALUE"""),"JSON")</f>
        <v>JSON</v>
      </c>
      <c r="K92" s="5" t="str">
        <f ca="1">IFERROR(__xludf.DUMMYFUNCTION("""COMPUTED_VALUE"""),"Slot")</f>
        <v>Slot</v>
      </c>
      <c r="L92" s="5" t="str">
        <f ca="1">IFERROR(__xludf.DUMMYFUNCTION("""COMPUTED_VALUE"""),"Master")</f>
        <v>Master</v>
      </c>
      <c r="M92" s="5"/>
      <c r="N92" s="7" t="str">
        <f ca="1">IFERROR(__xludf.DUMMYFUNCTION("""COMPUTED_VALUE"""),"https://docs.google.com/document/d/1mq8xqqryq1MA1Lb8eRerXA0Qu4oy9dK8/edit?usp=drive_link&amp;ouid=107596163405648766688&amp;rtpof=true&amp;sd=true")</f>
        <v>https://docs.google.com/document/d/1mq8xqqryq1MA1Lb8eRerXA0Qu4oy9dK8/edit?usp=drive_link&amp;ouid=107596163405648766688&amp;rtpof=true&amp;sd=true</v>
      </c>
      <c r="O92" s="7" t="str">
        <f ca="1">IFERROR(__xludf.DUMMYFUNCTION("""COMPUTED_VALUE"""),"https://docs.google.com/document/d/1f4hwx73fZvTmit9C3Wj6HjLYQHHt_GGS/edit?usp=drive_link&amp;ouid=107596163405648766688&amp;rtpof=true&amp;sd=true")</f>
        <v>https://docs.google.com/document/d/1f4hwx73fZvTmit9C3Wj6HjLYQHHt_GGS/edit?usp=drive_link&amp;ouid=107596163405648766688&amp;rtpof=true&amp;sd=true</v>
      </c>
      <c r="P92" s="14">
        <f ca="1">IFERROR(__xludf.DUMMYFUNCTION("""COMPUTED_VALUE"""),15)</f>
        <v>15</v>
      </c>
      <c r="Q92" s="5"/>
      <c r="R92" s="5"/>
      <c r="S92" s="15">
        <f ca="1">IFERROR(__xludf.DUMMYFUNCTION("""COMPUTED_VALUE"""),44669)</f>
        <v>44669</v>
      </c>
      <c r="T92" s="5"/>
      <c r="U92" s="5" t="str">
        <f ca="1">IFERROR(__xludf.DUMMYFUNCTION("""COMPUTED_VALUE"""),"5x3")</f>
        <v>5x3</v>
      </c>
      <c r="V92" s="12" t="str">
        <f ca="1">IFERROR(__xludf.DUMMYFUNCTION("""COMPUTED_VALUE"""),"10")</f>
        <v>10</v>
      </c>
      <c r="W92" s="12" t="str">
        <f ca="1">IFERROR(__xludf.DUMMYFUNCTION("""COMPUTED_VALUE"""),"10")</f>
        <v>10</v>
      </c>
      <c r="X92" s="5">
        <f ca="1">IFERROR(__xludf.DUMMYFUNCTION("""COMPUTED_VALUE"""),95.45)</f>
        <v>95.45</v>
      </c>
      <c r="Y92" s="5" t="str">
        <f ca="1">IFERROR(__xludf.DUMMYFUNCTION("""COMPUTED_VALUE"""),"Medium")</f>
        <v>Medium</v>
      </c>
      <c r="Z92" s="5">
        <f ca="1">IFERROR(__xludf.DUMMYFUNCTION("""COMPUTED_VALUE"""),12.54)</f>
        <v>12.54</v>
      </c>
      <c r="AA92" s="14">
        <f ca="1">IFERROR(__xludf.DUMMYFUNCTION("""COMPUTED_VALUE"""),1250)</f>
        <v>1250</v>
      </c>
      <c r="AB92" s="5"/>
      <c r="AC92" s="5" t="str">
        <f ca="1">IFERROR(__xludf.DUMMYFUNCTION("""COMPUTED_VALUE"""),"Hold and Win, Wild Symbol")</f>
        <v>Hold and Win, Wild Symbol</v>
      </c>
      <c r="AD92" s="5" t="str">
        <f ca="1">IFERROR(__xludf.DUMMYFUNCTION("""COMPUTED_VALUE"""),"0.10/40")</f>
        <v>0.10/40</v>
      </c>
      <c r="AE92" s="5"/>
      <c r="AF92" s="5"/>
      <c r="AG92" s="10">
        <f ca="1">IFERROR(__xludf.DUMMYFUNCTION("""COMPUTED_VALUE"""),46157.3876388888)</f>
        <v>46157.387638888802</v>
      </c>
      <c r="AH92" s="5"/>
      <c r="AI92" s="5"/>
      <c r="AJ92" s="5"/>
      <c r="AK92" s="5">
        <f ca="1">IFERROR(__xludf.DUMMYFUNCTION("""COMPUTED_VALUE"""),1)</f>
        <v>1</v>
      </c>
      <c r="AL92" s="5" t="str">
        <f ca="1">IFERROR(__xludf.DUMMYFUNCTION("""COMPUTED_VALUE"""),"No")</f>
        <v>No</v>
      </c>
      <c r="AM92" s="5" t="str">
        <f ca="1">IFERROR(__xludf.DUMMYFUNCTION("""COMPUTED_VALUE"""),"No")</f>
        <v>No</v>
      </c>
      <c r="AN92" s="7" t="str">
        <f ca="1">IFERROR(__xludf.DUMMYFUNCTION("""COMPUTED_VALUE"""),"https://static.redstone.rs/games/mayan-coins/")</f>
        <v>https://static.redstone.rs/games/mayan-coins/</v>
      </c>
      <c r="AO92" s="5" t="str">
        <f ca="1">IFERROR(__xludf.DUMMYFUNCTION("""COMPUTED_VALUE"""),"No")</f>
        <v>No</v>
      </c>
      <c r="AP92" s="5" t="str">
        <f ca="1">IFERROR(__xludf.DUMMYFUNCTION("""COMPUTED_VALUE"""),"No")</f>
        <v>No</v>
      </c>
      <c r="AQ92" s="5" t="b">
        <f ca="1">IFERROR(__xludf.DUMMYFUNCTION("""COMPUTED_VALUE"""),TRUE)</f>
        <v>1</v>
      </c>
      <c r="AR92" s="5"/>
      <c r="AS92" s="5" t="str">
        <f ca="1">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AT92" s="5"/>
      <c r="AU92" s="5" t="str">
        <f ca="1">IFERROR(__xludf.DUMMYFUNCTION("""COMPUTED_VALUE"""),"Redstone")</f>
        <v>Redstone</v>
      </c>
      <c r="AV92" s="5"/>
      <c r="AW92" s="5"/>
      <c r="AX92" s="5"/>
      <c r="AY92" s="5"/>
      <c r="AZ92" s="5"/>
      <c r="BA92" s="5"/>
      <c r="BB92" s="5" t="b">
        <f ca="1">IFERROR(__xludf.DUMMYFUNCTION("""COMPUTED_VALUE"""),TRUE)</f>
        <v>1</v>
      </c>
      <c r="BC92" s="5" t="str">
        <f ca="1">IFERROR(__xludf.DUMMYFUNCTION("""COMPUTED_VALUE"""),"Redstone")</f>
        <v>Redstone</v>
      </c>
      <c r="BD92" s="7" t="str">
        <f ca="1">IFERROR(__xludf.DUMMYFUNCTION("""COMPUTED_VALUE"""),"https://static.redstone.rs/games/mayan-coins/")</f>
        <v>https://static.redstone.rs/games/mayan-coins/</v>
      </c>
      <c r="BE92" s="5" t="b">
        <f ca="1">IFERROR(__xludf.DUMMYFUNCTION("""COMPUTED_VALUE"""),TRUE)</f>
        <v>1</v>
      </c>
    </row>
    <row r="93" spans="1:57" x14ac:dyDescent="0.25">
      <c r="A93" s="5">
        <f ca="1">IFERROR(__xludf.DUMMYFUNCTION("""COMPUTED_VALUE"""),92)</f>
        <v>92</v>
      </c>
      <c r="B93" s="5">
        <f ca="1">IFERROR(__xludf.DUMMYFUNCTION("""COMPUTED_VALUE"""),91)</f>
        <v>91</v>
      </c>
      <c r="C93" s="5" t="str">
        <f ca="1">IFERROR(__xludf.DUMMYFUNCTION("""COMPUTED_VALUE"""),"Redstone")</f>
        <v>Redstone</v>
      </c>
      <c r="D93" s="5" t="str">
        <f ca="1">IFERROR(__xludf.DUMMYFUNCTION("""COMPUTED_VALUE"""),"5 Clover Fire")</f>
        <v>5 Clover Fire</v>
      </c>
      <c r="E93" s="5" t="str">
        <f ca="1">IFERROR(__xludf.DUMMYFUNCTION("""COMPUTED_VALUE"""),"Redstone")</f>
        <v>Redstone</v>
      </c>
      <c r="F93" s="5" t="str">
        <f ca="1">IFERROR(__xludf.DUMMYFUNCTION("""COMPUTED_VALUE"""),"FireClover5")</f>
        <v>FireClover5</v>
      </c>
      <c r="G93" s="5" t="str">
        <f ca="1">IFERROR(__xludf.DUMMYFUNCTION("""COMPUTED_VALUE"""),"Live")</f>
        <v>Live</v>
      </c>
      <c r="H93" s="5"/>
      <c r="I93" s="5" t="str">
        <f ca="1">IFERROR(__xludf.DUMMYFUNCTION("""COMPUTED_VALUE"""),"Redstone")</f>
        <v>Redstone</v>
      </c>
      <c r="J93" s="5" t="str">
        <f ca="1">IFERROR(__xludf.DUMMYFUNCTION("""COMPUTED_VALUE"""),"JSON")</f>
        <v>JSON</v>
      </c>
      <c r="K93" s="5" t="str">
        <f ca="1">IFERROR(__xludf.DUMMYFUNCTION("""COMPUTED_VALUE"""),"Slot")</f>
        <v>Slot</v>
      </c>
      <c r="L93" s="5" t="str">
        <f ca="1">IFERROR(__xludf.DUMMYFUNCTION("""COMPUTED_VALUE"""),"Master")</f>
        <v>Master</v>
      </c>
      <c r="M93" s="5"/>
      <c r="N93" s="7" t="str">
        <f ca="1">IFERROR(__xludf.DUMMYFUNCTION("""COMPUTED_VALUE"""),"https://docs.google.com/document/d/1W6yZna9lcBlDEKAPvgpVg91_F4apPdmQ/edit?usp=drive_link&amp;ouid=107596163405648766688&amp;rtpof=true&amp;sd=true")</f>
        <v>https://docs.google.com/document/d/1W6yZna9lcBlDEKAPvgpVg91_F4apPdmQ/edit?usp=drive_link&amp;ouid=107596163405648766688&amp;rtpof=true&amp;sd=true</v>
      </c>
      <c r="O93" s="7" t="str">
        <f ca="1">IFERROR(__xludf.DUMMYFUNCTION("""COMPUTED_VALUE"""),"https://docs.google.com/document/d/1a-k-sqrXxJhyaIYI-IrLVx4jyIToz-pP/edit")</f>
        <v>https://docs.google.com/document/d/1a-k-sqrXxJhyaIYI-IrLVx4jyIToz-pP/edit</v>
      </c>
      <c r="P93" s="14">
        <f ca="1">IFERROR(__xludf.DUMMYFUNCTION("""COMPUTED_VALUE"""),8.7)</f>
        <v>8.6999999999999993</v>
      </c>
      <c r="Q93" s="5"/>
      <c r="R93" s="5"/>
      <c r="S93" s="15">
        <f ca="1">IFERROR(__xludf.DUMMYFUNCTION("""COMPUTED_VALUE"""),44368)</f>
        <v>44368</v>
      </c>
      <c r="T93" s="5"/>
      <c r="U93" s="5" t="str">
        <f ca="1">IFERROR(__xludf.DUMMYFUNCTION("""COMPUTED_VALUE"""),"5x3")</f>
        <v>5x3</v>
      </c>
      <c r="V93" s="12" t="str">
        <f ca="1">IFERROR(__xludf.DUMMYFUNCTION("""COMPUTED_VALUE"""),"5")</f>
        <v>5</v>
      </c>
      <c r="W93" s="12" t="str">
        <f ca="1">IFERROR(__xludf.DUMMYFUNCTION("""COMPUTED_VALUE"""),"5")</f>
        <v>5</v>
      </c>
      <c r="X93" s="5">
        <f ca="1">IFERROR(__xludf.DUMMYFUNCTION("""COMPUTED_VALUE"""),96.45)</f>
        <v>96.45</v>
      </c>
      <c r="Y93" s="5" t="str">
        <f ca="1">IFERROR(__xludf.DUMMYFUNCTION("""COMPUTED_VALUE"""),"Medium")</f>
        <v>Medium</v>
      </c>
      <c r="Z93" s="5">
        <f ca="1">IFERROR(__xludf.DUMMYFUNCTION("""COMPUTED_VALUE"""),14.5)</f>
        <v>14.5</v>
      </c>
      <c r="AA93" s="14">
        <f ca="1">IFERROR(__xludf.DUMMYFUNCTION("""COMPUTED_VALUE"""),1222)</f>
        <v>1222</v>
      </c>
      <c r="AB93" s="5"/>
      <c r="AC93" s="5" t="str">
        <f ca="1">IFERROR(__xludf.DUMMYFUNCTION("""COMPUTED_VALUE"""),"Expanding Wild, Scatter")</f>
        <v>Expanding Wild, Scatter</v>
      </c>
      <c r="AD93" s="5" t="str">
        <f ca="1">IFERROR(__xludf.DUMMYFUNCTION("""COMPUTED_VALUE"""),"0.05/30")</f>
        <v>0.05/30</v>
      </c>
      <c r="AE93" s="5"/>
      <c r="AF93" s="5"/>
      <c r="AG93" s="10">
        <f ca="1">IFERROR(__xludf.DUMMYFUNCTION("""COMPUTED_VALUE"""),46212.4831597222)</f>
        <v>46212.4831597222</v>
      </c>
      <c r="AH93" s="5" t="str">
        <f ca="1">IFERROR(__xludf.DUMMYFUNCTION("""COMPUTED_VALUE"""),"selena.mihajlovic@fazi.rs")</f>
        <v>selena.mihajlovic@fazi.rs</v>
      </c>
      <c r="AI93" s="5"/>
      <c r="AJ93" s="5"/>
      <c r="AK93" s="5">
        <f ca="1">IFERROR(__xludf.DUMMYFUNCTION("""COMPUTED_VALUE"""),5)</f>
        <v>5</v>
      </c>
      <c r="AL93" s="5" t="str">
        <f ca="1">IFERROR(__xludf.DUMMYFUNCTION("""COMPUTED_VALUE"""),"No")</f>
        <v>No</v>
      </c>
      <c r="AM93" s="5" t="str">
        <f ca="1">IFERROR(__xludf.DUMMYFUNCTION("""COMPUTED_VALUE"""),"No")</f>
        <v>No</v>
      </c>
      <c r="AN93" s="7" t="str">
        <f ca="1">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AO93" s="5" t="str">
        <f ca="1">IFERROR(__xludf.DUMMYFUNCTION("""COMPUTED_VALUE"""),"No")</f>
        <v>No</v>
      </c>
      <c r="AP93" s="5" t="str">
        <f ca="1">IFERROR(__xludf.DUMMYFUNCTION("""COMPUTED_VALUE"""),"No")</f>
        <v>No</v>
      </c>
      <c r="AQ93" s="5" t="b">
        <f ca="1">IFERROR(__xludf.DUMMYFUNCTION("""COMPUTED_VALUE"""),TRUE)</f>
        <v>1</v>
      </c>
      <c r="AR93" s="5"/>
      <c r="AS93" s="5" t="str">
        <f ca="1">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AT93" s="5"/>
      <c r="AU93" s="5" t="str">
        <f ca="1">IFERROR(__xludf.DUMMYFUNCTION("""COMPUTED_VALUE"""),"Redstone")</f>
        <v>Redstone</v>
      </c>
      <c r="AV93" s="5"/>
      <c r="AW93" s="5"/>
      <c r="AX93" s="5"/>
      <c r="AY93" s="5"/>
      <c r="AZ93" s="5"/>
      <c r="BA93" s="5"/>
      <c r="BB93" s="5" t="b">
        <f ca="1">IFERROR(__xludf.DUMMYFUNCTION("""COMPUTED_VALUE"""),TRUE)</f>
        <v>1</v>
      </c>
      <c r="BC93" s="5" t="str">
        <f ca="1">IFERROR(__xludf.DUMMYFUNCTION("""COMPUTED_VALUE"""),"Redstone")</f>
        <v>Redstone</v>
      </c>
      <c r="BD93" s="7" t="str">
        <f ca="1">IFERROR(__xludf.DUMMYFUNCTION("""COMPUTED_VALUE"""),"https://gameserver-store-client-area.orbionlimited.com/Home/IntegrationGameLaunch/client-area?moneyType=0&amp;gameName=FireClover5&amp;platform=desktop&amp;languageCode=eng&amp;currency=EUR")</f>
        <v>https://gameserver-store-client-area.orbionlimited.com/Home/IntegrationGameLaunch/client-area?moneyType=0&amp;gameName=FireClover5&amp;platform=desktop&amp;languageCode=eng&amp;currency=EUR</v>
      </c>
      <c r="BE93" s="5" t="b">
        <f ca="1">IFERROR(__xludf.DUMMYFUNCTION("""COMPUTED_VALUE"""),TRUE)</f>
        <v>1</v>
      </c>
    </row>
    <row r="94" spans="1:57" x14ac:dyDescent="0.25">
      <c r="A94" s="5">
        <f ca="1">IFERROR(__xludf.DUMMYFUNCTION("""COMPUTED_VALUE"""),93)</f>
        <v>93</v>
      </c>
      <c r="B94" s="5">
        <f ca="1">IFERROR(__xludf.DUMMYFUNCTION("""COMPUTED_VALUE"""),92)</f>
        <v>92</v>
      </c>
      <c r="C94" s="5" t="str">
        <f ca="1">IFERROR(__xludf.DUMMYFUNCTION("""COMPUTED_VALUE"""),"Fazi")</f>
        <v>Fazi</v>
      </c>
      <c r="D94" s="5" t="str">
        <f ca="1">IFERROR(__xludf.DUMMYFUNCTION("""COMPUTED_VALUE"""),"Crystal Hot Yes")</f>
        <v>Crystal Hot Yes</v>
      </c>
      <c r="E94" s="5" t="str">
        <f ca="1">IFERROR(__xludf.DUMMYFUNCTION("""COMPUTED_VALUE"""),"V2")</f>
        <v>V2</v>
      </c>
      <c r="F94" s="5" t="str">
        <f ca="1">IFERROR(__xludf.DUMMYFUNCTION("""COMPUTED_VALUE"""),"CrystalHotAdmiral")</f>
        <v>CrystalHotAdmiral</v>
      </c>
      <c r="G94" s="5" t="str">
        <f ca="1">IFERROR(__xludf.DUMMYFUNCTION("""COMPUTED_VALUE"""),"Live")</f>
        <v>Live</v>
      </c>
      <c r="H94" s="5" t="str">
        <f ca="1">IFERROR(__xludf.DUMMYFUNCTION("""COMPUTED_VALUE"""),"AdmiralIt - Admiral Sport")</f>
        <v>AdmiralIt - Admiral Sport</v>
      </c>
      <c r="I94" s="5" t="str">
        <f ca="1">IFERROR(__xludf.DUMMYFUNCTION("""COMPUTED_VALUE"""),"V2")</f>
        <v>V2</v>
      </c>
      <c r="J94" s="5" t="str">
        <f ca="1">IFERROR(__xludf.DUMMYFUNCTION("""COMPUTED_VALUE"""),"Binary")</f>
        <v>Binary</v>
      </c>
      <c r="K94" s="5" t="str">
        <f ca="1">IFERROR(__xludf.DUMMYFUNCTION("""COMPUTED_VALUE"""),"Slot")</f>
        <v>Slot</v>
      </c>
      <c r="L94" s="5" t="str">
        <f ca="1">IFERROR(__xludf.DUMMYFUNCTION("""COMPUTED_VALUE"""),"Clone")</f>
        <v>Clone</v>
      </c>
      <c r="M94" s="5" t="str">
        <f ca="1">IFERROR(__xludf.DUMMYFUNCTION("""COMPUTED_VALUE"""),"Turbo Hot 40")</f>
        <v>Turbo Hot 40</v>
      </c>
      <c r="N94" s="5"/>
      <c r="O94" s="5"/>
      <c r="P94" s="5"/>
      <c r="Q94" s="5"/>
      <c r="R94" s="5"/>
      <c r="S94" s="5"/>
      <c r="T94" s="5"/>
      <c r="U94" s="5" t="str">
        <f ca="1">IFERROR(__xludf.DUMMYFUNCTION("""COMPUTED_VALUE"""),"5x4")</f>
        <v>5x4</v>
      </c>
      <c r="V94" s="12" t="str">
        <f ca="1">IFERROR(__xludf.DUMMYFUNCTION("""COMPUTED_VALUE"""),"40")</f>
        <v>40</v>
      </c>
      <c r="W94" s="12" t="str">
        <f ca="1">IFERROR(__xludf.DUMMYFUNCTION("""COMPUTED_VALUE"""),"40")</f>
        <v>40</v>
      </c>
      <c r="X94" s="5">
        <f ca="1">IFERROR(__xludf.DUMMYFUNCTION("""COMPUTED_VALUE"""),96.584)</f>
        <v>96.584000000000003</v>
      </c>
      <c r="Y94" s="5" t="str">
        <f ca="1">IFERROR(__xludf.DUMMYFUNCTION("""COMPUTED_VALUE"""),"Low")</f>
        <v>Low</v>
      </c>
      <c r="Z94" s="5">
        <f ca="1">IFERROR(__xludf.DUMMYFUNCTION("""COMPUTED_VALUE"""),16.73)</f>
        <v>16.73</v>
      </c>
      <c r="AA94" s="14">
        <f ca="1">IFERROR(__xludf.DUMMYFUNCTION("""COMPUTED_VALUE"""),1000)</f>
        <v>1000</v>
      </c>
      <c r="AB94" s="5" t="str">
        <f ca="1">IFERROR(__xludf.DUMMYFUNCTION("""COMPUTED_VALUE"""),"/")</f>
        <v>/</v>
      </c>
      <c r="AC94" s="5" t="str">
        <f ca="1">IFERROR(__xludf.DUMMYFUNCTION("""COMPUTED_VALUE"""),"Scatter, Wild Symbol")</f>
        <v>Scatter, Wild Symbol</v>
      </c>
      <c r="AD94" s="5"/>
      <c r="AE94" s="5"/>
      <c r="AF94" s="5"/>
      <c r="AG94" s="10">
        <f ca="1">IFERROR(__xludf.DUMMYFUNCTION("""COMPUTED_VALUE"""),46162.5001504629)</f>
        <v>46162.500150462904</v>
      </c>
      <c r="AH94" s="5" t="str">
        <f ca="1">IFERROR(__xludf.DUMMYFUNCTION("""COMPUTED_VALUE"""),"petra.ilic@fazi.rs")</f>
        <v>petra.ilic@fazi.rs</v>
      </c>
      <c r="AI94" s="5"/>
      <c r="AJ94" s="5"/>
      <c r="AK94" s="5">
        <f ca="1">IFERROR(__xludf.DUMMYFUNCTION("""COMPUTED_VALUE"""),40)</f>
        <v>40</v>
      </c>
      <c r="AL94" s="5" t="str">
        <f ca="1">IFERROR(__xludf.DUMMYFUNCTION("""COMPUTED_VALUE"""),"Yes")</f>
        <v>Yes</v>
      </c>
      <c r="AM94" s="5"/>
      <c r="AN94" s="5"/>
      <c r="AO94" s="5"/>
      <c r="AP94" s="5"/>
      <c r="AQ94" s="5"/>
      <c r="AR94" s="5" t="b">
        <f ca="1">IFERROR(__xludf.DUMMYFUNCTION("""COMPUTED_VALUE"""),TRUE)</f>
        <v>1</v>
      </c>
      <c r="AS94" s="5"/>
      <c r="AT94" s="5"/>
      <c r="AU94" s="5" t="str">
        <f ca="1">IFERROR(__xludf.DUMMYFUNCTION("""COMPUTED_VALUE"""),"Fazi")</f>
        <v>Fazi</v>
      </c>
      <c r="AV94" s="5"/>
      <c r="AW94" s="5"/>
      <c r="AX94" s="5"/>
      <c r="AY94" s="5"/>
      <c r="AZ94" s="5"/>
      <c r="BA94" s="5"/>
      <c r="BB94" s="5"/>
      <c r="BC94" s="5" t="str">
        <f ca="1">IFERROR(__xludf.DUMMYFUNCTION("""COMPUTED_VALUE"""),"Foxi")</f>
        <v>Foxi</v>
      </c>
      <c r="BD94" s="5" t="str">
        <f ca="1">IFERROR(__xludf.DUMMYFUNCTION("""COMPUTED_VALUE"""),"")</f>
        <v/>
      </c>
      <c r="BE94" s="5"/>
    </row>
    <row r="95" spans="1:57" x14ac:dyDescent="0.25">
      <c r="A95" s="5">
        <f ca="1">IFERROR(__xludf.DUMMYFUNCTION("""COMPUTED_VALUE"""),94)</f>
        <v>94</v>
      </c>
      <c r="B95" s="5">
        <f ca="1">IFERROR(__xludf.DUMMYFUNCTION("""COMPUTED_VALUE"""),93)</f>
        <v>93</v>
      </c>
      <c r="C95" s="5" t="str">
        <f ca="1">IFERROR(__xludf.DUMMYFUNCTION("""COMPUTED_VALUE"""),"Redstone")</f>
        <v>Redstone</v>
      </c>
      <c r="D95" s="5" t="str">
        <f ca="1">IFERROR(__xludf.DUMMYFUNCTION("""COMPUTED_VALUE"""),"10 Wild Crown")</f>
        <v>10 Wild Crown</v>
      </c>
      <c r="E95" s="5" t="str">
        <f ca="1">IFERROR(__xludf.DUMMYFUNCTION("""COMPUTED_VALUE"""),"Redstone")</f>
        <v>Redstone</v>
      </c>
      <c r="F95" s="5" t="str">
        <f ca="1">IFERROR(__xludf.DUMMYFUNCTION("""COMPUTED_VALUE"""),"WildCrown10")</f>
        <v>WildCrown10</v>
      </c>
      <c r="G95" s="5" t="str">
        <f ca="1">IFERROR(__xludf.DUMMYFUNCTION("""COMPUTED_VALUE"""),"Live")</f>
        <v>Live</v>
      </c>
      <c r="H95" s="5"/>
      <c r="I95" s="5" t="str">
        <f ca="1">IFERROR(__xludf.DUMMYFUNCTION("""COMPUTED_VALUE"""),"Redstone")</f>
        <v>Redstone</v>
      </c>
      <c r="J95" s="5" t="str">
        <f ca="1">IFERROR(__xludf.DUMMYFUNCTION("""COMPUTED_VALUE"""),"JSON")</f>
        <v>JSON</v>
      </c>
      <c r="K95" s="5" t="str">
        <f ca="1">IFERROR(__xludf.DUMMYFUNCTION("""COMPUTED_VALUE"""),"Slot")</f>
        <v>Slot</v>
      </c>
      <c r="L95" s="5" t="str">
        <f ca="1">IFERROR(__xludf.DUMMYFUNCTION("""COMPUTED_VALUE"""),"Master")</f>
        <v>Master</v>
      </c>
      <c r="M95" s="5"/>
      <c r="N95" s="7" t="str">
        <f ca="1">IFERROR(__xludf.DUMMYFUNCTION("""COMPUTED_VALUE"""),"https://docs.google.com/document/d/1Z50Fp4FF6DZh_40cGOxFXNzQViVYjCjD/edit?usp=drive_link&amp;ouid=107596163405648766688&amp;rtpof=true&amp;sd=true")</f>
        <v>https://docs.google.com/document/d/1Z50Fp4FF6DZh_40cGOxFXNzQViVYjCjD/edit?usp=drive_link&amp;ouid=107596163405648766688&amp;rtpof=true&amp;sd=true</v>
      </c>
      <c r="O95" s="7" t="str">
        <f ca="1">IFERROR(__xludf.DUMMYFUNCTION("""COMPUTED_VALUE"""),"https://docs.google.com/document/d/1uWE3sLTOc515kbSKJU7txNkRg8MstcLU/edit?usp=drive_link&amp;ouid=107596163405648766688&amp;rtpof=true&amp;sd=true")</f>
        <v>https://docs.google.com/document/d/1uWE3sLTOc515kbSKJU7txNkRg8MstcLU/edit?usp=drive_link&amp;ouid=107596163405648766688&amp;rtpof=true&amp;sd=true</v>
      </c>
      <c r="P95" s="14">
        <f ca="1">IFERROR(__xludf.DUMMYFUNCTION("""COMPUTED_VALUE"""),7.39)</f>
        <v>7.39</v>
      </c>
      <c r="Q95" s="5"/>
      <c r="R95" s="5"/>
      <c r="S95" s="15">
        <f ca="1">IFERROR(__xludf.DUMMYFUNCTION("""COMPUTED_VALUE"""),44398)</f>
        <v>44398</v>
      </c>
      <c r="T95" s="5"/>
      <c r="U95" s="5" t="str">
        <f ca="1">IFERROR(__xludf.DUMMYFUNCTION("""COMPUTED_VALUE"""),"5x3")</f>
        <v>5x3</v>
      </c>
      <c r="V95" s="12" t="str">
        <f ca="1">IFERROR(__xludf.DUMMYFUNCTION("""COMPUTED_VALUE"""),"10")</f>
        <v>10</v>
      </c>
      <c r="W95" s="12" t="str">
        <f ca="1">IFERROR(__xludf.DUMMYFUNCTION("""COMPUTED_VALUE"""),"10")</f>
        <v>10</v>
      </c>
      <c r="X95" s="5">
        <f ca="1">IFERROR(__xludf.DUMMYFUNCTION("""COMPUTED_VALUE"""),95.96)</f>
        <v>95.96</v>
      </c>
      <c r="Y95" s="5" t="str">
        <f ca="1">IFERROR(__xludf.DUMMYFUNCTION("""COMPUTED_VALUE"""),"Medium")</f>
        <v>Medium</v>
      </c>
      <c r="Z95" s="5">
        <f ca="1">IFERROR(__xludf.DUMMYFUNCTION("""COMPUTED_VALUE"""),14.63)</f>
        <v>14.63</v>
      </c>
      <c r="AA95" s="14">
        <f ca="1">IFERROR(__xludf.DUMMYFUNCTION("""COMPUTED_VALUE"""),1538)</f>
        <v>1538</v>
      </c>
      <c r="AB95" s="5"/>
      <c r="AC95" s="5" t="str">
        <f ca="1">IFERROR(__xludf.DUMMYFUNCTION("""COMPUTED_VALUE"""),"Expanding Wild, Scatter")</f>
        <v>Expanding Wild, Scatter</v>
      </c>
      <c r="AD95" s="5" t="str">
        <f ca="1">IFERROR(__xludf.DUMMYFUNCTION("""COMPUTED_VALUE"""),"0.10/40")</f>
        <v>0.10/40</v>
      </c>
      <c r="AE95" s="5"/>
      <c r="AF95" s="5"/>
      <c r="AG95" s="10">
        <f ca="1">IFERROR(__xludf.DUMMYFUNCTION("""COMPUTED_VALUE"""),46157.3879976851)</f>
        <v>46157.387997685102</v>
      </c>
      <c r="AH95" s="5"/>
      <c r="AI95" s="5"/>
      <c r="AJ95" s="5"/>
      <c r="AK95" s="5">
        <f ca="1">IFERROR(__xludf.DUMMYFUNCTION("""COMPUTED_VALUE"""),1)</f>
        <v>1</v>
      </c>
      <c r="AL95" s="5" t="str">
        <f ca="1">IFERROR(__xludf.DUMMYFUNCTION("""COMPUTED_VALUE"""),"No")</f>
        <v>No</v>
      </c>
      <c r="AM95" s="5" t="str">
        <f ca="1">IFERROR(__xludf.DUMMYFUNCTION("""COMPUTED_VALUE"""),"No")</f>
        <v>No</v>
      </c>
      <c r="AN95" s="7" t="str">
        <f ca="1">IFERROR(__xludf.DUMMYFUNCTION("""COMPUTED_VALUE"""),"https://static.redstone.rs/games/10-wild-crown/")</f>
        <v>https://static.redstone.rs/games/10-wild-crown/</v>
      </c>
      <c r="AO95" s="5" t="str">
        <f ca="1">IFERROR(__xludf.DUMMYFUNCTION("""COMPUTED_VALUE"""),"No")</f>
        <v>No</v>
      </c>
      <c r="AP95" s="5" t="str">
        <f ca="1">IFERROR(__xludf.DUMMYFUNCTION("""COMPUTED_VALUE"""),"No")</f>
        <v>No</v>
      </c>
      <c r="AQ95" s="5" t="b">
        <f ca="1">IFERROR(__xludf.DUMMYFUNCTION("""COMPUTED_VALUE"""),TRUE)</f>
        <v>1</v>
      </c>
      <c r="AR95" s="5"/>
      <c r="AS95" s="5" t="str">
        <f ca="1">IFERROR(__xludf.DUMMYFUNCTION("""COMPUTED_VALUE"""),"Hot and explosive experience. Conquer luck and land up to 3 Expanding Wilds for massive wins. The Crown is yours!")</f>
        <v>Hot and explosive experience. Conquer luck and land up to 3 Expanding Wilds for massive wins. The Crown is yours!</v>
      </c>
      <c r="AT95" s="5"/>
      <c r="AU95" s="5" t="str">
        <f ca="1">IFERROR(__xludf.DUMMYFUNCTION("""COMPUTED_VALUE"""),"Redstone")</f>
        <v>Redstone</v>
      </c>
      <c r="AV95" s="5"/>
      <c r="AW95" s="5"/>
      <c r="AX95" s="5"/>
      <c r="AY95" s="5"/>
      <c r="AZ95" s="5"/>
      <c r="BA95" s="5"/>
      <c r="BB95" s="5" t="b">
        <f ca="1">IFERROR(__xludf.DUMMYFUNCTION("""COMPUTED_VALUE"""),TRUE)</f>
        <v>1</v>
      </c>
      <c r="BC95" s="5" t="str">
        <f ca="1">IFERROR(__xludf.DUMMYFUNCTION("""COMPUTED_VALUE"""),"Redstone")</f>
        <v>Redstone</v>
      </c>
      <c r="BD95" s="7" t="str">
        <f ca="1">IFERROR(__xludf.DUMMYFUNCTION("""COMPUTED_VALUE"""),"https://static.redstone.rs/games/10-wild-crown/")</f>
        <v>https://static.redstone.rs/games/10-wild-crown/</v>
      </c>
      <c r="BE95" s="5" t="b">
        <f ca="1">IFERROR(__xludf.DUMMYFUNCTION("""COMPUTED_VALUE"""),TRUE)</f>
        <v>1</v>
      </c>
    </row>
    <row r="96" spans="1:57" x14ac:dyDescent="0.25">
      <c r="A96" s="5">
        <f ca="1">IFERROR(__xludf.DUMMYFUNCTION("""COMPUTED_VALUE"""),95)</f>
        <v>95</v>
      </c>
      <c r="B96" s="5">
        <f ca="1">IFERROR(__xludf.DUMMYFUNCTION("""COMPUTED_VALUE"""),94)</f>
        <v>94</v>
      </c>
      <c r="C96" s="5" t="str">
        <f ca="1">IFERROR(__xludf.DUMMYFUNCTION("""COMPUTED_VALUE"""),"Tiptop")</f>
        <v>Tiptop</v>
      </c>
      <c r="D96" s="5" t="str">
        <f ca="1">IFERROR(__xludf.DUMMYFUNCTION("""COMPUTED_VALUE"""),"Casino Fruits")</f>
        <v>Casino Fruits</v>
      </c>
      <c r="E96" s="5"/>
      <c r="F96" s="5" t="str">
        <f ca="1">IFERROR(__xludf.DUMMYFUNCTION("""COMPUTED_VALUE"""),"UnicornCasinoFruits")</f>
        <v>UnicornCasinoFruits</v>
      </c>
      <c r="G96" s="5" t="str">
        <f ca="1">IFERROR(__xludf.DUMMYFUNCTION("""COMPUTED_VALUE"""),"Live")</f>
        <v>Live</v>
      </c>
      <c r="H96" s="5"/>
      <c r="I96" s="5" t="str">
        <f ca="1">IFERROR(__xludf.DUMMYFUNCTION("""COMPUTED_VALUE"""),"TipTop")</f>
        <v>TipTop</v>
      </c>
      <c r="J96" s="5" t="str">
        <f ca="1">IFERROR(__xludf.DUMMYFUNCTION("""COMPUTED_VALUE"""),"JSON")</f>
        <v>JSON</v>
      </c>
      <c r="K96" s="5" t="str">
        <f ca="1">IFERROR(__xludf.DUMMYFUNCTION("""COMPUTED_VALUE"""),"Slot")</f>
        <v>Slot</v>
      </c>
      <c r="L96" s="5"/>
      <c r="M96" s="5"/>
      <c r="N96" s="5"/>
      <c r="O96" s="5"/>
      <c r="P96" s="14">
        <f ca="1">IFERROR(__xludf.DUMMYFUNCTION("""COMPUTED_VALUE"""),12.7)</f>
        <v>12.7</v>
      </c>
      <c r="Q96" s="5"/>
      <c r="R96" s="5"/>
      <c r="S96" s="15">
        <f ca="1">IFERROR(__xludf.DUMMYFUNCTION("""COMPUTED_VALUE"""),44462)</f>
        <v>44462</v>
      </c>
      <c r="T96" s="5"/>
      <c r="U96" s="5" t="str">
        <f ca="1">IFERROR(__xludf.DUMMYFUNCTION("""COMPUTED_VALUE"""),"5X3")</f>
        <v>5X3</v>
      </c>
      <c r="V96" s="12" t="str">
        <f ca="1">IFERROR(__xludf.DUMMYFUNCTION("""COMPUTED_VALUE"""),"10")</f>
        <v>10</v>
      </c>
      <c r="W96" s="12" t="str">
        <f ca="1">IFERROR(__xludf.DUMMYFUNCTION("""COMPUTED_VALUE"""),"10")</f>
        <v>10</v>
      </c>
      <c r="X96" s="5">
        <f ca="1">IFERROR(__xludf.DUMMYFUNCTION("""COMPUTED_VALUE"""),96)</f>
        <v>96</v>
      </c>
      <c r="Y96" s="5" t="str">
        <f ca="1">IFERROR(__xludf.DUMMYFUNCTION("""COMPUTED_VALUE"""),"Low")</f>
        <v>Low</v>
      </c>
      <c r="Z96" s="5">
        <f ca="1">IFERROR(__xludf.DUMMYFUNCTION("""COMPUTED_VALUE"""),12.79)</f>
        <v>12.79</v>
      </c>
      <c r="AA96" s="14">
        <f ca="1">IFERROR(__xludf.DUMMYFUNCTION("""COMPUTED_VALUE"""),2000)</f>
        <v>2000</v>
      </c>
      <c r="AB96" s="5"/>
      <c r="AC96" s="5" t="str">
        <f ca="1">IFERROR(__xludf.DUMMYFUNCTION("""COMPUTED_VALUE"""),"Wild Symbol")</f>
        <v>Wild Symbol</v>
      </c>
      <c r="AD96" s="5" t="str">
        <f ca="1">IFERROR(__xludf.DUMMYFUNCTION("""COMPUTED_VALUE"""),"0.1/100")</f>
        <v>0.1/100</v>
      </c>
      <c r="AE96" s="5"/>
      <c r="AF96" s="5"/>
      <c r="AG96" s="10">
        <f ca="1">IFERROR(__xludf.DUMMYFUNCTION("""COMPUTED_VALUE"""),46197.4495717592)</f>
        <v>46197.4495717592</v>
      </c>
      <c r="AH96" s="5" t="str">
        <f ca="1">IFERROR(__xludf.DUMMYFUNCTION("""COMPUTED_VALUE"""),"selena.mihajlovic@fazi.rs")</f>
        <v>selena.mihajlovic@fazi.rs</v>
      </c>
      <c r="AI96" s="5"/>
      <c r="AJ96" s="5"/>
      <c r="AK96" s="5">
        <f ca="1">IFERROR(__xludf.DUMMYFUNCTION("""COMPUTED_VALUE"""),10)</f>
        <v>10</v>
      </c>
      <c r="AL96" s="5" t="str">
        <f ca="1">IFERROR(__xludf.DUMMYFUNCTION("""COMPUTED_VALUE"""),"No")</f>
        <v>No</v>
      </c>
      <c r="AM96" s="5"/>
      <c r="AN96" s="7" t="str">
        <f ca="1">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AO96" s="5"/>
      <c r="AP96" s="5"/>
      <c r="AQ96" s="5" t="b">
        <f ca="1">IFERROR(__xludf.DUMMYFUNCTION("""COMPUTED_VALUE"""),TRUE)</f>
        <v>1</v>
      </c>
      <c r="AR96" s="5"/>
      <c r="AS96" s="5" t="str">
        <f ca="1">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AT96" s="5"/>
      <c r="AU96" s="5" t="str">
        <f ca="1">IFERROR(__xludf.DUMMYFUNCTION("""COMPUTED_VALUE"""),"Fazi")</f>
        <v>Fazi</v>
      </c>
      <c r="AV96" s="5"/>
      <c r="AW96" s="5"/>
      <c r="AX96" s="5"/>
      <c r="AY96" s="5"/>
      <c r="AZ96" s="5"/>
      <c r="BA96" s="5"/>
      <c r="BB96" s="5" t="b">
        <f ca="1">IFERROR(__xludf.DUMMYFUNCTION("""COMPUTED_VALUE"""),TRUE)</f>
        <v>1</v>
      </c>
      <c r="BC96" s="5" t="str">
        <f ca="1">IFERROR(__xludf.DUMMYFUNCTION("""COMPUTED_VALUE"""),"Tiptop")</f>
        <v>Tiptop</v>
      </c>
      <c r="BD96" s="7" t="str">
        <f ca="1">IFERROR(__xludf.DUMMYFUNCTION("""COMPUTED_VALUE"""),"https://gameserver-store-client-area.orbionlimited.com/Home/IntegrationGameLaunch/client-area?moneyType=0&amp;gameName=UnicornCasinoFruits&amp;platform=desktop&amp;languageCode=eng&amp;currency=EUR")</f>
        <v>https://gameserver-store-client-area.orbionlimited.com/Home/IntegrationGameLaunch/client-area?moneyType=0&amp;gameName=UnicornCasinoFruits&amp;platform=desktop&amp;languageCode=eng&amp;currency=EUR</v>
      </c>
      <c r="BE96" s="5" t="b">
        <f ca="1">IFERROR(__xludf.DUMMYFUNCTION("""COMPUTED_VALUE"""),TRUE)</f>
        <v>1</v>
      </c>
    </row>
    <row r="97" spans="1:57" x14ac:dyDescent="0.25">
      <c r="A97" s="5">
        <f ca="1">IFERROR(__xludf.DUMMYFUNCTION("""COMPUTED_VALUE"""),96)</f>
        <v>96</v>
      </c>
      <c r="B97" s="5">
        <f ca="1">IFERROR(__xludf.DUMMYFUNCTION("""COMPUTED_VALUE"""),95)</f>
        <v>95</v>
      </c>
      <c r="C97" s="5" t="str">
        <f ca="1">IFERROR(__xludf.DUMMYFUNCTION("""COMPUTED_VALUE"""),"Tiptop")</f>
        <v>Tiptop</v>
      </c>
      <c r="D97" s="5" t="str">
        <f ca="1">IFERROR(__xludf.DUMMYFUNCTION("""COMPUTED_VALUE"""),"The Crown Fruit")</f>
        <v>The Crown Fruit</v>
      </c>
      <c r="E97" s="5"/>
      <c r="F97" s="5" t="str">
        <f ca="1">IFERROR(__xludf.DUMMYFUNCTION("""COMPUTED_VALUE"""),"UnicornTheCrownFruit")</f>
        <v>UnicornTheCrownFruit</v>
      </c>
      <c r="G97" s="5" t="str">
        <f ca="1">IFERROR(__xludf.DUMMYFUNCTION("""COMPUTED_VALUE"""),"Live")</f>
        <v>Live</v>
      </c>
      <c r="H97" s="5"/>
      <c r="I97" s="5" t="str">
        <f ca="1">IFERROR(__xludf.DUMMYFUNCTION("""COMPUTED_VALUE"""),"TipTop")</f>
        <v>TipTop</v>
      </c>
      <c r="J97" s="5" t="str">
        <f ca="1">IFERROR(__xludf.DUMMYFUNCTION("""COMPUTED_VALUE"""),"JSON")</f>
        <v>JSON</v>
      </c>
      <c r="K97" s="5" t="str">
        <f ca="1">IFERROR(__xludf.DUMMYFUNCTION("""COMPUTED_VALUE"""),"Slot")</f>
        <v>Slot</v>
      </c>
      <c r="L97" s="5"/>
      <c r="M97" s="5"/>
      <c r="N97" s="5"/>
      <c r="O97" s="5"/>
      <c r="P97" s="14">
        <f ca="1">IFERROR(__xludf.DUMMYFUNCTION("""COMPUTED_VALUE"""),12.7)</f>
        <v>12.7</v>
      </c>
      <c r="Q97" s="5"/>
      <c r="R97" s="5"/>
      <c r="S97" s="15">
        <f ca="1">IFERROR(__xludf.DUMMYFUNCTION("""COMPUTED_VALUE"""),44421)</f>
        <v>44421</v>
      </c>
      <c r="T97" s="5"/>
      <c r="U97" s="5" t="str">
        <f ca="1">IFERROR(__xludf.DUMMYFUNCTION("""COMPUTED_VALUE"""),"5X3")</f>
        <v>5X3</v>
      </c>
      <c r="V97" s="12" t="str">
        <f ca="1">IFERROR(__xludf.DUMMYFUNCTION("""COMPUTED_VALUE"""),"10")</f>
        <v>10</v>
      </c>
      <c r="W97" s="12" t="str">
        <f ca="1">IFERROR(__xludf.DUMMYFUNCTION("""COMPUTED_VALUE"""),"10")</f>
        <v>10</v>
      </c>
      <c r="X97" s="5">
        <f ca="1">IFERROR(__xludf.DUMMYFUNCTION("""COMPUTED_VALUE"""),96)</f>
        <v>96</v>
      </c>
      <c r="Y97" s="5" t="str">
        <f ca="1">IFERROR(__xludf.DUMMYFUNCTION("""COMPUTED_VALUE"""),"Low")</f>
        <v>Low</v>
      </c>
      <c r="Z97" s="5">
        <f ca="1">IFERROR(__xludf.DUMMYFUNCTION("""COMPUTED_VALUE"""),26.12)</f>
        <v>26.12</v>
      </c>
      <c r="AA97" s="14">
        <f ca="1">IFERROR(__xludf.DUMMYFUNCTION("""COMPUTED_VALUE"""),1060)</f>
        <v>1060</v>
      </c>
      <c r="AB97" s="5"/>
      <c r="AC97" s="5" t="str">
        <f ca="1">IFERROR(__xludf.DUMMYFUNCTION("""COMPUTED_VALUE"""),"Expanding Wild")</f>
        <v>Expanding Wild</v>
      </c>
      <c r="AD97" s="5" t="str">
        <f ca="1">IFERROR(__xludf.DUMMYFUNCTION("""COMPUTED_VALUE"""),"0.1/100")</f>
        <v>0.1/100</v>
      </c>
      <c r="AE97" s="5"/>
      <c r="AF97" s="5"/>
      <c r="AG97" s="10">
        <f ca="1">IFERROR(__xludf.DUMMYFUNCTION("""COMPUTED_VALUE"""),46197.4498263888)</f>
        <v>46197.449826388802</v>
      </c>
      <c r="AH97" s="5" t="str">
        <f ca="1">IFERROR(__xludf.DUMMYFUNCTION("""COMPUTED_VALUE"""),"selena.mihajlovic@fazi.rs")</f>
        <v>selena.mihajlovic@fazi.rs</v>
      </c>
      <c r="AI97" s="5"/>
      <c r="AJ97" s="5"/>
      <c r="AK97" s="5">
        <f ca="1">IFERROR(__xludf.DUMMYFUNCTION("""COMPUTED_VALUE"""),10)</f>
        <v>10</v>
      </c>
      <c r="AL97" s="5" t="str">
        <f ca="1">IFERROR(__xludf.DUMMYFUNCTION("""COMPUTED_VALUE"""),"No")</f>
        <v>No</v>
      </c>
      <c r="AM97" s="5"/>
      <c r="AN97" s="7" t="str">
        <f ca="1">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AO97" s="5"/>
      <c r="AP97" s="5"/>
      <c r="AQ97" s="5" t="b">
        <f ca="1">IFERROR(__xludf.DUMMYFUNCTION("""COMPUTED_VALUE"""),TRUE)</f>
        <v>1</v>
      </c>
      <c r="AR97" s="5"/>
      <c r="AS97" s="5" t="str">
        <f ca="1">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AT97" s="5"/>
      <c r="AU97" s="5" t="str">
        <f ca="1">IFERROR(__xludf.DUMMYFUNCTION("""COMPUTED_VALUE"""),"Fazi")</f>
        <v>Fazi</v>
      </c>
      <c r="AV97" s="5"/>
      <c r="AW97" s="5"/>
      <c r="AX97" s="5"/>
      <c r="AY97" s="5"/>
      <c r="AZ97" s="5"/>
      <c r="BA97" s="5"/>
      <c r="BB97" s="5" t="b">
        <f ca="1">IFERROR(__xludf.DUMMYFUNCTION("""COMPUTED_VALUE"""),TRUE)</f>
        <v>1</v>
      </c>
      <c r="BC97" s="5" t="str">
        <f ca="1">IFERROR(__xludf.DUMMYFUNCTION("""COMPUTED_VALUE"""),"Tiptop")</f>
        <v>Tiptop</v>
      </c>
      <c r="BD97" s="7" t="str">
        <f ca="1">IFERROR(__xludf.DUMMYFUNCTION("""COMPUTED_VALUE"""),"https://gameserver-store-client-area.orbionlimited.com/Home/IntegrationGameLaunch/client-area?moneyType=0&amp;gameName=UnicornTheCrownFruit&amp;platform=desktop&amp;languageCode=eng&amp;currency=EUR")</f>
        <v>https://gameserver-store-client-area.orbionlimited.com/Home/IntegrationGameLaunch/client-area?moneyType=0&amp;gameName=UnicornTheCrownFruit&amp;platform=desktop&amp;languageCode=eng&amp;currency=EUR</v>
      </c>
      <c r="BE97" s="5" t="b">
        <f ca="1">IFERROR(__xludf.DUMMYFUNCTION("""COMPUTED_VALUE"""),TRUE)</f>
        <v>1</v>
      </c>
    </row>
    <row r="98" spans="1:57" x14ac:dyDescent="0.25">
      <c r="A98" s="5">
        <f ca="1">IFERROR(__xludf.DUMMYFUNCTION("""COMPUTED_VALUE"""),97)</f>
        <v>97</v>
      </c>
      <c r="B98" s="5">
        <f ca="1">IFERROR(__xludf.DUMMYFUNCTION("""COMPUTED_VALUE"""),96)</f>
        <v>96</v>
      </c>
      <c r="C98" s="5" t="str">
        <f ca="1">IFERROR(__xludf.DUMMYFUNCTION("""COMPUTED_VALUE"""),"Redstone")</f>
        <v>Redstone</v>
      </c>
      <c r="D98" s="5" t="str">
        <f ca="1">IFERROR(__xludf.DUMMYFUNCTION("""COMPUTED_VALUE"""),"40 Wild Dice")</f>
        <v>40 Wild Dice</v>
      </c>
      <c r="E98" s="5" t="str">
        <f ca="1">IFERROR(__xludf.DUMMYFUNCTION("""COMPUTED_VALUE"""),"Redstone")</f>
        <v>Redstone</v>
      </c>
      <c r="F98" s="5" t="str">
        <f ca="1">IFERROR(__xludf.DUMMYFUNCTION("""COMPUTED_VALUE"""),"WildCloverDice40")</f>
        <v>WildCloverDice40</v>
      </c>
      <c r="G98" s="5" t="str">
        <f ca="1">IFERROR(__xludf.DUMMYFUNCTION("""COMPUTED_VALUE"""),"Live")</f>
        <v>Live</v>
      </c>
      <c r="H98" s="5"/>
      <c r="I98" s="5" t="str">
        <f ca="1">IFERROR(__xludf.DUMMYFUNCTION("""COMPUTED_VALUE"""),"Redstone")</f>
        <v>Redstone</v>
      </c>
      <c r="J98" s="5" t="str">
        <f ca="1">IFERROR(__xludf.DUMMYFUNCTION("""COMPUTED_VALUE"""),"JSON")</f>
        <v>JSON</v>
      </c>
      <c r="K98" s="5" t="str">
        <f ca="1">IFERROR(__xludf.DUMMYFUNCTION("""COMPUTED_VALUE"""),"Dice Slots")</f>
        <v>Dice Slots</v>
      </c>
      <c r="L98" s="5" t="str">
        <f ca="1">IFERROR(__xludf.DUMMYFUNCTION("""COMPUTED_VALUE""")," Clone")</f>
        <v xml:space="preserve"> Clone</v>
      </c>
      <c r="M98" s="5" t="str">
        <f ca="1">IFERROR(__xludf.DUMMYFUNCTION("""COMPUTED_VALUE"""),"40 Wild Clover")</f>
        <v>40 Wild Clover</v>
      </c>
      <c r="N98" s="7" t="str">
        <f ca="1">IFERROR(__xludf.DUMMYFUNCTION("""COMPUTED_VALUE"""),"https://docs.google.com/document/d/1NYlpxxRJH491AIbshvguO-Dek5JfEaq3/edit?usp=drive_link&amp;ouid=107596163405648766688&amp;rtpof=true&amp;sd=true")</f>
        <v>https://docs.google.com/document/d/1NYlpxxRJH491AIbshvguO-Dek5JfEaq3/edit?usp=drive_link&amp;ouid=107596163405648766688&amp;rtpof=true&amp;sd=true</v>
      </c>
      <c r="O98" s="7" t="str">
        <f ca="1">IFERROR(__xludf.DUMMYFUNCTION("""COMPUTED_VALUE"""),"https://docs.google.com/document/d/1jTAe-G3pX4INF9Td2YQ1ubQZXahSBYKw/edit?usp=drive_link&amp;ouid=107596163405648766688&amp;rtpof=true&amp;sd=true")</f>
        <v>https://docs.google.com/document/d/1jTAe-G3pX4INF9Td2YQ1ubQZXahSBYKw/edit?usp=drive_link&amp;ouid=107596163405648766688&amp;rtpof=true&amp;sd=true</v>
      </c>
      <c r="P98" s="14">
        <f ca="1">IFERROR(__xludf.DUMMYFUNCTION("""COMPUTED_VALUE"""),9.25)</f>
        <v>9.25</v>
      </c>
      <c r="Q98" s="5"/>
      <c r="R98" s="5"/>
      <c r="S98" s="15">
        <f ca="1">IFERROR(__xludf.DUMMYFUNCTION("""COMPUTED_VALUE"""),44433)</f>
        <v>44433</v>
      </c>
      <c r="T98" s="5"/>
      <c r="U98" s="5" t="str">
        <f ca="1">IFERROR(__xludf.DUMMYFUNCTION("""COMPUTED_VALUE"""),"5x4")</f>
        <v>5x4</v>
      </c>
      <c r="V98" s="12" t="str">
        <f ca="1">IFERROR(__xludf.DUMMYFUNCTION("""COMPUTED_VALUE"""),"40")</f>
        <v>40</v>
      </c>
      <c r="W98" s="12" t="str">
        <f ca="1">IFERROR(__xludf.DUMMYFUNCTION("""COMPUTED_VALUE"""),"40")</f>
        <v>40</v>
      </c>
      <c r="X98" s="5">
        <f ca="1">IFERROR(__xludf.DUMMYFUNCTION("""COMPUTED_VALUE"""),95.32)</f>
        <v>95.32</v>
      </c>
      <c r="Y98" s="5" t="str">
        <f ca="1">IFERROR(__xludf.DUMMYFUNCTION("""COMPUTED_VALUE"""),"Medium")</f>
        <v>Medium</v>
      </c>
      <c r="Z98" s="5">
        <f ca="1">IFERROR(__xludf.DUMMYFUNCTION("""COMPUTED_VALUE"""),12.34)</f>
        <v>12.34</v>
      </c>
      <c r="AA98" s="14">
        <f ca="1">IFERROR(__xludf.DUMMYFUNCTION("""COMPUTED_VALUE"""),2000)</f>
        <v>2000</v>
      </c>
      <c r="AB98" s="5"/>
      <c r="AC98" s="5" t="str">
        <f ca="1">IFERROR(__xludf.DUMMYFUNCTION("""COMPUTED_VALUE"""),"Bonus Game with Free Spins, Wild Symbol, Scatter")</f>
        <v>Bonus Game with Free Spins, Wild Symbol, Scatter</v>
      </c>
      <c r="AD98" s="5" t="str">
        <f ca="1">IFERROR(__xludf.DUMMYFUNCTION("""COMPUTED_VALUE"""),"0.40/60")</f>
        <v>0.40/60</v>
      </c>
      <c r="AE98" s="5"/>
      <c r="AF98" s="5"/>
      <c r="AG98" s="10">
        <f ca="1">IFERROR(__xludf.DUMMYFUNCTION("""COMPUTED_VALUE"""),46157.4458680555)</f>
        <v>46157.445868055504</v>
      </c>
      <c r="AH98" s="5"/>
      <c r="AI98" s="5"/>
      <c r="AJ98" s="5"/>
      <c r="AK98" s="5">
        <f ca="1">IFERROR(__xludf.DUMMYFUNCTION("""COMPUTED_VALUE"""),1)</f>
        <v>1</v>
      </c>
      <c r="AL98" s="5" t="str">
        <f ca="1">IFERROR(__xludf.DUMMYFUNCTION("""COMPUTED_VALUE"""),"No")</f>
        <v>No</v>
      </c>
      <c r="AM98" s="5" t="str">
        <f ca="1">IFERROR(__xludf.DUMMYFUNCTION("""COMPUTED_VALUE"""),"No")</f>
        <v>No</v>
      </c>
      <c r="AN98" s="7" t="str">
        <f ca="1">IFERROR(__xludf.DUMMYFUNCTION("""COMPUTED_VALUE"""),"https://static.redstone.rs/games/40-wild-dice/")</f>
        <v>https://static.redstone.rs/games/40-wild-dice/</v>
      </c>
      <c r="AO98" s="5" t="str">
        <f ca="1">IFERROR(__xludf.DUMMYFUNCTION("""COMPUTED_VALUE"""),"No")</f>
        <v>No</v>
      </c>
      <c r="AP98" s="5" t="str">
        <f ca="1">IFERROR(__xludf.DUMMYFUNCTION("""COMPUTED_VALUE"""),"No")</f>
        <v>No</v>
      </c>
      <c r="AQ98" s="5" t="b">
        <f ca="1">IFERROR(__xludf.DUMMYFUNCTION("""COMPUTED_VALUE"""),TRUE)</f>
        <v>1</v>
      </c>
      <c r="AR98" s="5"/>
      <c r="AS98" s="5" t="str">
        <f ca="1">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AT98" s="5"/>
      <c r="AU98" s="5" t="str">
        <f ca="1">IFERROR(__xludf.DUMMYFUNCTION("""COMPUTED_VALUE"""),"Redstone")</f>
        <v>Redstone</v>
      </c>
      <c r="AV98" s="5"/>
      <c r="AW98" s="5"/>
      <c r="AX98" s="5"/>
      <c r="AY98" s="5"/>
      <c r="AZ98" s="5"/>
      <c r="BA98" s="5"/>
      <c r="BB98" s="5" t="b">
        <f ca="1">IFERROR(__xludf.DUMMYFUNCTION("""COMPUTED_VALUE"""),TRUE)</f>
        <v>1</v>
      </c>
      <c r="BC98" s="5" t="str">
        <f ca="1">IFERROR(__xludf.DUMMYFUNCTION("""COMPUTED_VALUE"""),"Redstone")</f>
        <v>Redstone</v>
      </c>
      <c r="BD98" s="7" t="str">
        <f ca="1">IFERROR(__xludf.DUMMYFUNCTION("""COMPUTED_VALUE"""),"https://static.redstone.rs/games/40-wild-dice/")</f>
        <v>https://static.redstone.rs/games/40-wild-dice/</v>
      </c>
      <c r="BE98" s="5" t="b">
        <f ca="1">IFERROR(__xludf.DUMMYFUNCTION("""COMPUTED_VALUE"""),TRUE)</f>
        <v>1</v>
      </c>
    </row>
    <row r="99" spans="1:57" x14ac:dyDescent="0.25">
      <c r="A99" s="5">
        <f ca="1">IFERROR(__xludf.DUMMYFUNCTION("""COMPUTED_VALUE"""),98)</f>
        <v>98</v>
      </c>
      <c r="B99" s="5">
        <f ca="1">IFERROR(__xludf.DUMMYFUNCTION("""COMPUTED_VALUE"""),97)</f>
        <v>97</v>
      </c>
      <c r="C99" s="5" t="str">
        <f ca="1">IFERROR(__xludf.DUMMYFUNCTION("""COMPUTED_VALUE"""),"Tiptop")</f>
        <v>Tiptop</v>
      </c>
      <c r="D99" s="5" t="str">
        <f ca="1">IFERROR(__xludf.DUMMYFUNCTION("""COMPUTED_VALUE"""),"Twenty Fruits")</f>
        <v>Twenty Fruits</v>
      </c>
      <c r="E99" s="5"/>
      <c r="F99" s="5" t="str">
        <f ca="1">IFERROR(__xludf.DUMMYFUNCTION("""COMPUTED_VALUE"""),"UnicornTwentyFruits")</f>
        <v>UnicornTwentyFruits</v>
      </c>
      <c r="G99" s="5" t="str">
        <f ca="1">IFERROR(__xludf.DUMMYFUNCTION("""COMPUTED_VALUE"""),"Live")</f>
        <v>Live</v>
      </c>
      <c r="H99" s="5"/>
      <c r="I99" s="5" t="str">
        <f ca="1">IFERROR(__xludf.DUMMYFUNCTION("""COMPUTED_VALUE"""),"TipTop")</f>
        <v>TipTop</v>
      </c>
      <c r="J99" s="5" t="str">
        <f ca="1">IFERROR(__xludf.DUMMYFUNCTION("""COMPUTED_VALUE"""),"JSON")</f>
        <v>JSON</v>
      </c>
      <c r="K99" s="5" t="str">
        <f ca="1">IFERROR(__xludf.DUMMYFUNCTION("""COMPUTED_VALUE"""),"Slot")</f>
        <v>Slot</v>
      </c>
      <c r="L99" s="5"/>
      <c r="M99" s="5"/>
      <c r="N99" s="5"/>
      <c r="O99" s="5"/>
      <c r="P99" s="14">
        <f ca="1">IFERROR(__xludf.DUMMYFUNCTION("""COMPUTED_VALUE"""),9)</f>
        <v>9</v>
      </c>
      <c r="Q99" s="5"/>
      <c r="R99" s="5"/>
      <c r="S99" s="15">
        <f ca="1">IFERROR(__xludf.DUMMYFUNCTION("""COMPUTED_VALUE"""),44519)</f>
        <v>44519</v>
      </c>
      <c r="T99" s="5"/>
      <c r="U99" s="5" t="str">
        <f ca="1">IFERROR(__xludf.DUMMYFUNCTION("""COMPUTED_VALUE"""),"5x4")</f>
        <v>5x4</v>
      </c>
      <c r="V99" s="12" t="str">
        <f ca="1">IFERROR(__xludf.DUMMYFUNCTION("""COMPUTED_VALUE"""),"20")</f>
        <v>20</v>
      </c>
      <c r="W99" s="12" t="str">
        <f ca="1">IFERROR(__xludf.DUMMYFUNCTION("""COMPUTED_VALUE"""),"20")</f>
        <v>20</v>
      </c>
      <c r="X99" s="5">
        <f ca="1">IFERROR(__xludf.DUMMYFUNCTION("""COMPUTED_VALUE"""),96)</f>
        <v>96</v>
      </c>
      <c r="Y99" s="5" t="str">
        <f ca="1">IFERROR(__xludf.DUMMYFUNCTION("""COMPUTED_VALUE"""),"Low")</f>
        <v>Low</v>
      </c>
      <c r="Z99" s="5">
        <f ca="1">IFERROR(__xludf.DUMMYFUNCTION("""COMPUTED_VALUE"""),11.7)</f>
        <v>11.7</v>
      </c>
      <c r="AA99" s="14">
        <f ca="1">IFERROR(__xludf.DUMMYFUNCTION("""COMPUTED_VALUE"""),5000)</f>
        <v>5000</v>
      </c>
      <c r="AB99" s="5"/>
      <c r="AC99" s="5"/>
      <c r="AD99" s="5" t="str">
        <f ca="1">IFERROR(__xludf.DUMMYFUNCTION("""COMPUTED_VALUE"""),"0.2/100")</f>
        <v>0.2/100</v>
      </c>
      <c r="AE99" s="5"/>
      <c r="AF99" s="5"/>
      <c r="AG99" s="10">
        <f ca="1">IFERROR(__xludf.DUMMYFUNCTION("""COMPUTED_VALUE"""),46197.450011574)</f>
        <v>46197.450011574001</v>
      </c>
      <c r="AH99" s="5" t="str">
        <f ca="1">IFERROR(__xludf.DUMMYFUNCTION("""COMPUTED_VALUE"""),"selena.mihajlovic@fazi.rs")</f>
        <v>selena.mihajlovic@fazi.rs</v>
      </c>
      <c r="AI99" s="5"/>
      <c r="AJ99" s="5"/>
      <c r="AK99" s="5">
        <f ca="1">IFERROR(__xludf.DUMMYFUNCTION("""COMPUTED_VALUE"""),20)</f>
        <v>20</v>
      </c>
      <c r="AL99" s="5" t="str">
        <f ca="1">IFERROR(__xludf.DUMMYFUNCTION("""COMPUTED_VALUE"""),"No")</f>
        <v>No</v>
      </c>
      <c r="AM99" s="5"/>
      <c r="AN99" s="7" t="str">
        <f ca="1">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AO99" s="5"/>
      <c r="AP99" s="5"/>
      <c r="AQ99" s="5" t="b">
        <f ca="1">IFERROR(__xludf.DUMMYFUNCTION("""COMPUTED_VALUE"""),TRUE)</f>
        <v>1</v>
      </c>
      <c r="AR99" s="5"/>
      <c r="AS99" s="5" t="str">
        <f ca="1">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AT99" s="5"/>
      <c r="AU99" s="5" t="str">
        <f ca="1">IFERROR(__xludf.DUMMYFUNCTION("""COMPUTED_VALUE"""),"Fazi")</f>
        <v>Fazi</v>
      </c>
      <c r="AV99" s="5"/>
      <c r="AW99" s="5"/>
      <c r="AX99" s="5"/>
      <c r="AY99" s="5"/>
      <c r="AZ99" s="5"/>
      <c r="BA99" s="5"/>
      <c r="BB99" s="5" t="b">
        <f ca="1">IFERROR(__xludf.DUMMYFUNCTION("""COMPUTED_VALUE"""),TRUE)</f>
        <v>1</v>
      </c>
      <c r="BC99" s="5" t="str">
        <f ca="1">IFERROR(__xludf.DUMMYFUNCTION("""COMPUTED_VALUE"""),"Tiptop")</f>
        <v>Tiptop</v>
      </c>
      <c r="BD99" s="7" t="str">
        <f ca="1">IFERROR(__xludf.DUMMYFUNCTION("""COMPUTED_VALUE"""),"https://gameserver-store-client-area.orbionlimited.com/Home/IntegrationGameLaunch/client-area?moneyType=0&amp;gameName=UnicornTwentyFruits&amp;platform=desktop&amp;languageCode=eng&amp;currency=EUR")</f>
        <v>https://gameserver-store-client-area.orbionlimited.com/Home/IntegrationGameLaunch/client-area?moneyType=0&amp;gameName=UnicornTwentyFruits&amp;platform=desktop&amp;languageCode=eng&amp;currency=EUR</v>
      </c>
      <c r="BE99" s="5" t="b">
        <f ca="1">IFERROR(__xludf.DUMMYFUNCTION("""COMPUTED_VALUE"""),TRUE)</f>
        <v>1</v>
      </c>
    </row>
    <row r="100" spans="1:57" x14ac:dyDescent="0.25">
      <c r="A100" s="5">
        <f ca="1">IFERROR(__xludf.DUMMYFUNCTION("""COMPUTED_VALUE"""),99)</f>
        <v>99</v>
      </c>
      <c r="B100" s="5">
        <f ca="1">IFERROR(__xludf.DUMMYFUNCTION("""COMPUTED_VALUE"""),98)</f>
        <v>98</v>
      </c>
      <c r="C100" s="5" t="str">
        <f ca="1">IFERROR(__xludf.DUMMYFUNCTION("""COMPUTED_VALUE"""),"Tiptop")</f>
        <v>Tiptop</v>
      </c>
      <c r="D100" s="5" t="str">
        <f ca="1">IFERROR(__xludf.DUMMYFUNCTION("""COMPUTED_VALUE"""),"Twenty Dice")</f>
        <v>Twenty Dice</v>
      </c>
      <c r="E100" s="5"/>
      <c r="F100" s="5" t="str">
        <f ca="1">IFERROR(__xludf.DUMMYFUNCTION("""COMPUTED_VALUE"""),"UnicornTwentyDice")</f>
        <v>UnicornTwentyDice</v>
      </c>
      <c r="G100" s="5" t="str">
        <f ca="1">IFERROR(__xludf.DUMMYFUNCTION("""COMPUTED_VALUE"""),"Live")</f>
        <v>Live</v>
      </c>
      <c r="H100" s="5"/>
      <c r="I100" s="5" t="str">
        <f ca="1">IFERROR(__xludf.DUMMYFUNCTION("""COMPUTED_VALUE"""),"TipTop")</f>
        <v>TipTop</v>
      </c>
      <c r="J100" s="5" t="str">
        <f ca="1">IFERROR(__xludf.DUMMYFUNCTION("""COMPUTED_VALUE"""),"JSON")</f>
        <v>JSON</v>
      </c>
      <c r="K100" s="5" t="str">
        <f ca="1">IFERROR(__xludf.DUMMYFUNCTION("""COMPUTED_VALUE"""),"Dice Slots")</f>
        <v>Dice Slots</v>
      </c>
      <c r="L100" s="5"/>
      <c r="M100" s="5"/>
      <c r="N100" s="5"/>
      <c r="O100" s="5"/>
      <c r="P100" s="14">
        <f ca="1">IFERROR(__xludf.DUMMYFUNCTION("""COMPUTED_VALUE"""),9)</f>
        <v>9</v>
      </c>
      <c r="Q100" s="5"/>
      <c r="R100" s="5"/>
      <c r="S100" s="15">
        <f ca="1">IFERROR(__xludf.DUMMYFUNCTION("""COMPUTED_VALUE"""),44519)</f>
        <v>44519</v>
      </c>
      <c r="T100" s="5"/>
      <c r="U100" s="5" t="str">
        <f ca="1">IFERROR(__xludf.DUMMYFUNCTION("""COMPUTED_VALUE"""),"5x4")</f>
        <v>5x4</v>
      </c>
      <c r="V100" s="12" t="str">
        <f ca="1">IFERROR(__xludf.DUMMYFUNCTION("""COMPUTED_VALUE"""),"20")</f>
        <v>20</v>
      </c>
      <c r="W100" s="12" t="str">
        <f ca="1">IFERROR(__xludf.DUMMYFUNCTION("""COMPUTED_VALUE"""),"20")</f>
        <v>20</v>
      </c>
      <c r="X100" s="5">
        <f ca="1">IFERROR(__xludf.DUMMYFUNCTION("""COMPUTED_VALUE"""),96)</f>
        <v>96</v>
      </c>
      <c r="Y100" s="5" t="str">
        <f ca="1">IFERROR(__xludf.DUMMYFUNCTION("""COMPUTED_VALUE"""),"Low")</f>
        <v>Low</v>
      </c>
      <c r="Z100" s="5">
        <f ca="1">IFERROR(__xludf.DUMMYFUNCTION("""COMPUTED_VALUE"""),11.7)</f>
        <v>11.7</v>
      </c>
      <c r="AA100" s="14">
        <f ca="1">IFERROR(__xludf.DUMMYFUNCTION("""COMPUTED_VALUE"""),5000)</f>
        <v>5000</v>
      </c>
      <c r="AB100" s="5"/>
      <c r="AC100" s="5"/>
      <c r="AD100" s="5" t="str">
        <f ca="1">IFERROR(__xludf.DUMMYFUNCTION("""COMPUTED_VALUE"""),"0.2/100")</f>
        <v>0.2/100</v>
      </c>
      <c r="AE100" s="5"/>
      <c r="AF100" s="5"/>
      <c r="AG100" s="10">
        <f ca="1">IFERROR(__xludf.DUMMYFUNCTION("""COMPUTED_VALUE"""),46197.4501967592)</f>
        <v>46197.4501967592</v>
      </c>
      <c r="AH100" s="5" t="str">
        <f ca="1">IFERROR(__xludf.DUMMYFUNCTION("""COMPUTED_VALUE"""),"selena.mihajlovic@fazi.rs")</f>
        <v>selena.mihajlovic@fazi.rs</v>
      </c>
      <c r="AI100" s="5"/>
      <c r="AJ100" s="5"/>
      <c r="AK100" s="5">
        <f ca="1">IFERROR(__xludf.DUMMYFUNCTION("""COMPUTED_VALUE"""),20)</f>
        <v>20</v>
      </c>
      <c r="AL100" s="5" t="str">
        <f ca="1">IFERROR(__xludf.DUMMYFUNCTION("""COMPUTED_VALUE"""),"No")</f>
        <v>No</v>
      </c>
      <c r="AM100" s="5"/>
      <c r="AN100" s="7" t="str">
        <f ca="1">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AO100" s="5"/>
      <c r="AP100" s="5"/>
      <c r="AQ100" s="5" t="b">
        <f ca="1">IFERROR(__xludf.DUMMYFUNCTION("""COMPUTED_VALUE"""),TRUE)</f>
        <v>1</v>
      </c>
      <c r="AR100" s="5"/>
      <c r="AS100" s="5" t="str">
        <f ca="1">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AT100" s="5"/>
      <c r="AU100" s="5" t="str">
        <f ca="1">IFERROR(__xludf.DUMMYFUNCTION("""COMPUTED_VALUE"""),"Fazi")</f>
        <v>Fazi</v>
      </c>
      <c r="AV100" s="5"/>
      <c r="AW100" s="5"/>
      <c r="AX100" s="5"/>
      <c r="AY100" s="5"/>
      <c r="AZ100" s="5"/>
      <c r="BA100" s="5"/>
      <c r="BB100" s="5" t="b">
        <f ca="1">IFERROR(__xludf.DUMMYFUNCTION("""COMPUTED_VALUE"""),TRUE)</f>
        <v>1</v>
      </c>
      <c r="BC100" s="5" t="str">
        <f ca="1">IFERROR(__xludf.DUMMYFUNCTION("""COMPUTED_VALUE"""),"Tiptop")</f>
        <v>Tiptop</v>
      </c>
      <c r="BD100" s="7" t="str">
        <f ca="1">IFERROR(__xludf.DUMMYFUNCTION("""COMPUTED_VALUE"""),"https://gameserver-store-client-area.orbionlimited.com/Home/IntegrationGameLaunch/client-area?moneyType=0&amp;gameName=UnicornTwentyDice&amp;platform=desktop&amp;languageCode=eng&amp;currency=EUR")</f>
        <v>https://gameserver-store-client-area.orbionlimited.com/Home/IntegrationGameLaunch/client-area?moneyType=0&amp;gameName=UnicornTwentyDice&amp;platform=desktop&amp;languageCode=eng&amp;currency=EUR</v>
      </c>
      <c r="BE100" s="5" t="b">
        <f ca="1">IFERROR(__xludf.DUMMYFUNCTION("""COMPUTED_VALUE"""),TRUE)</f>
        <v>1</v>
      </c>
    </row>
    <row r="101" spans="1:57" x14ac:dyDescent="0.25">
      <c r="A101" s="5">
        <f ca="1">IFERROR(__xludf.DUMMYFUNCTION("""COMPUTED_VALUE"""),100)</f>
        <v>100</v>
      </c>
      <c r="B101" s="5">
        <f ca="1">IFERROR(__xludf.DUMMYFUNCTION("""COMPUTED_VALUE"""),99)</f>
        <v>99</v>
      </c>
      <c r="C101" s="5" t="str">
        <f ca="1">IFERROR(__xludf.DUMMYFUNCTION("""COMPUTED_VALUE"""),"Redstone")</f>
        <v>Redstone</v>
      </c>
      <c r="D101" s="5" t="str">
        <f ca="1">IFERROR(__xludf.DUMMYFUNCTION("""COMPUTED_VALUE"""),"5 Dice Fire")</f>
        <v>5 Dice Fire</v>
      </c>
      <c r="E101" s="5" t="str">
        <f ca="1">IFERROR(__xludf.DUMMYFUNCTION("""COMPUTED_VALUE"""),"Redstone")</f>
        <v>Redstone</v>
      </c>
      <c r="F101" s="5" t="str">
        <f ca="1">IFERROR(__xludf.DUMMYFUNCTION("""COMPUTED_VALUE"""),"FireCloverDice5")</f>
        <v>FireCloverDice5</v>
      </c>
      <c r="G101" s="5" t="str">
        <f ca="1">IFERROR(__xludf.DUMMYFUNCTION("""COMPUTED_VALUE"""),"Live")</f>
        <v>Live</v>
      </c>
      <c r="H101" s="5"/>
      <c r="I101" s="5" t="str">
        <f ca="1">IFERROR(__xludf.DUMMYFUNCTION("""COMPUTED_VALUE"""),"Redstone")</f>
        <v>Redstone</v>
      </c>
      <c r="J101" s="5" t="str">
        <f ca="1">IFERROR(__xludf.DUMMYFUNCTION("""COMPUTED_VALUE"""),"JSON")</f>
        <v>JSON</v>
      </c>
      <c r="K101" s="5" t="str">
        <f ca="1">IFERROR(__xludf.DUMMYFUNCTION("""COMPUTED_VALUE"""),"Dice Slots")</f>
        <v>Dice Slots</v>
      </c>
      <c r="L101" s="5" t="str">
        <f ca="1">IFERROR(__xludf.DUMMYFUNCTION("""COMPUTED_VALUE""")," Clone")</f>
        <v xml:space="preserve"> Clone</v>
      </c>
      <c r="M101" s="5" t="str">
        <f ca="1">IFERROR(__xludf.DUMMYFUNCTION("""COMPUTED_VALUE"""),"5 Clover Fire")</f>
        <v>5 Clover Fire</v>
      </c>
      <c r="N101" s="7" t="str">
        <f ca="1">IFERROR(__xludf.DUMMYFUNCTION("""COMPUTED_VALUE"""),"https://docs.google.com/document/d/1xvhBFQylMfwPlUAxAQg05J1BzFnLy581/edit?usp=drive_link&amp;ouid=107596163405648766688&amp;rtpof=true&amp;sd=true")</f>
        <v>https://docs.google.com/document/d/1xvhBFQylMfwPlUAxAQg05J1BzFnLy581/edit?usp=drive_link&amp;ouid=107596163405648766688&amp;rtpof=true&amp;sd=true</v>
      </c>
      <c r="O101" s="7" t="str">
        <f ca="1">IFERROR(__xludf.DUMMYFUNCTION("""COMPUTED_VALUE"""),"https://docs.google.com/document/d/1o5-igOWhrvuBtMNzHLshyzuuLZgY5hE3/edit?usp=drive_link&amp;ouid=107596163405648766688&amp;rtpof=true&amp;sd=true")</f>
        <v>https://docs.google.com/document/d/1o5-igOWhrvuBtMNzHLshyzuuLZgY5hE3/edit?usp=drive_link&amp;ouid=107596163405648766688&amp;rtpof=true&amp;sd=true</v>
      </c>
      <c r="P101" s="14">
        <f ca="1">IFERROR(__xludf.DUMMYFUNCTION("""COMPUTED_VALUE"""),6.25)</f>
        <v>6.25</v>
      </c>
      <c r="Q101" s="5"/>
      <c r="R101" s="5"/>
      <c r="S101" s="15">
        <f ca="1">IFERROR(__xludf.DUMMYFUNCTION("""COMPUTED_VALUE"""),44439)</f>
        <v>44439</v>
      </c>
      <c r="T101" s="5"/>
      <c r="U101" s="5" t="str">
        <f ca="1">IFERROR(__xludf.DUMMYFUNCTION("""COMPUTED_VALUE"""),"5x3")</f>
        <v>5x3</v>
      </c>
      <c r="V101" s="12" t="str">
        <f ca="1">IFERROR(__xludf.DUMMYFUNCTION("""COMPUTED_VALUE"""),"5")</f>
        <v>5</v>
      </c>
      <c r="W101" s="12" t="str">
        <f ca="1">IFERROR(__xludf.DUMMYFUNCTION("""COMPUTED_VALUE"""),"5")</f>
        <v>5</v>
      </c>
      <c r="X101" s="5">
        <f ca="1">IFERROR(__xludf.DUMMYFUNCTION("""COMPUTED_VALUE"""),96.45)</f>
        <v>96.45</v>
      </c>
      <c r="Y101" s="5" t="str">
        <f ca="1">IFERROR(__xludf.DUMMYFUNCTION("""COMPUTED_VALUE"""),"Medium")</f>
        <v>Medium</v>
      </c>
      <c r="Z101" s="5">
        <f ca="1">IFERROR(__xludf.DUMMYFUNCTION("""COMPUTED_VALUE"""),14.5)</f>
        <v>14.5</v>
      </c>
      <c r="AA101" s="14">
        <f ca="1">IFERROR(__xludf.DUMMYFUNCTION("""COMPUTED_VALUE"""),1222)</f>
        <v>1222</v>
      </c>
      <c r="AB101" s="5"/>
      <c r="AC101" s="5" t="str">
        <f ca="1">IFERROR(__xludf.DUMMYFUNCTION("""COMPUTED_VALUE"""),"Expanding Wild, Scatter")</f>
        <v>Expanding Wild, Scatter</v>
      </c>
      <c r="AD101" s="5" t="str">
        <f ca="1">IFERROR(__xludf.DUMMYFUNCTION("""COMPUTED_VALUE"""),"0.05/30")</f>
        <v>0.05/30</v>
      </c>
      <c r="AE101" s="5"/>
      <c r="AF101" s="5"/>
      <c r="AG101" s="10">
        <f ca="1">IFERROR(__xludf.DUMMYFUNCTION("""COMPUTED_VALUE"""),46157.3881481481)</f>
        <v>46157.3881481481</v>
      </c>
      <c r="AH101" s="5"/>
      <c r="AI101" s="5"/>
      <c r="AJ101" s="5"/>
      <c r="AK101" s="5">
        <f ca="1">IFERROR(__xludf.DUMMYFUNCTION("""COMPUTED_VALUE"""),1)</f>
        <v>1</v>
      </c>
      <c r="AL101" s="5" t="str">
        <f ca="1">IFERROR(__xludf.DUMMYFUNCTION("""COMPUTED_VALUE"""),"No")</f>
        <v>No</v>
      </c>
      <c r="AM101" s="5" t="str">
        <f ca="1">IFERROR(__xludf.DUMMYFUNCTION("""COMPUTED_VALUE"""),"No")</f>
        <v>No</v>
      </c>
      <c r="AN101" s="7" t="str">
        <f ca="1">IFERROR(__xludf.DUMMYFUNCTION("""COMPUTED_VALUE"""),"https://static.redstone.rs/games/5-dice-fire/")</f>
        <v>https://static.redstone.rs/games/5-dice-fire/</v>
      </c>
      <c r="AO101" s="5" t="str">
        <f ca="1">IFERROR(__xludf.DUMMYFUNCTION("""COMPUTED_VALUE"""),"No")</f>
        <v>No</v>
      </c>
      <c r="AP101" s="5" t="str">
        <f ca="1">IFERROR(__xludf.DUMMYFUNCTION("""COMPUTED_VALUE"""),"No")</f>
        <v>No</v>
      </c>
      <c r="AQ101" s="5" t="b">
        <f ca="1">IFERROR(__xludf.DUMMYFUNCTION("""COMPUTED_VALUE"""),TRUE)</f>
        <v>1</v>
      </c>
      <c r="AR101" s="5"/>
      <c r="AS101" s="5" t="str">
        <f ca="1">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AT101" s="5"/>
      <c r="AU101" s="5" t="str">
        <f ca="1">IFERROR(__xludf.DUMMYFUNCTION("""COMPUTED_VALUE"""),"Redstone")</f>
        <v>Redstone</v>
      </c>
      <c r="AV101" s="5"/>
      <c r="AW101" s="5"/>
      <c r="AX101" s="5"/>
      <c r="AY101" s="5"/>
      <c r="AZ101" s="5"/>
      <c r="BA101" s="5"/>
      <c r="BB101" s="5" t="b">
        <f ca="1">IFERROR(__xludf.DUMMYFUNCTION("""COMPUTED_VALUE"""),TRUE)</f>
        <v>1</v>
      </c>
      <c r="BC101" s="5" t="str">
        <f ca="1">IFERROR(__xludf.DUMMYFUNCTION("""COMPUTED_VALUE"""),"Redstone")</f>
        <v>Redstone</v>
      </c>
      <c r="BD101" s="7" t="str">
        <f ca="1">IFERROR(__xludf.DUMMYFUNCTION("""COMPUTED_VALUE"""),"https://static.redstone.rs/games/5-dice-fire/")</f>
        <v>https://static.redstone.rs/games/5-dice-fire/</v>
      </c>
      <c r="BE101" s="5" t="b">
        <f ca="1">IFERROR(__xludf.DUMMYFUNCTION("""COMPUTED_VALUE"""),TRUE)</f>
        <v>1</v>
      </c>
    </row>
    <row r="102" spans="1:57" x14ac:dyDescent="0.25">
      <c r="A102" s="5">
        <f ca="1">IFERROR(__xludf.DUMMYFUNCTION("""COMPUTED_VALUE"""),101)</f>
        <v>101</v>
      </c>
      <c r="B102" s="5">
        <f ca="1">IFERROR(__xludf.DUMMYFUNCTION("""COMPUTED_VALUE"""),100)</f>
        <v>100</v>
      </c>
      <c r="C102" s="5" t="str">
        <f ca="1">IFERROR(__xludf.DUMMYFUNCTION("""COMPUTED_VALUE"""),"Fazi")</f>
        <v>Fazi</v>
      </c>
      <c r="D102" s="5" t="str">
        <f ca="1">IFERROR(__xludf.DUMMYFUNCTION("""COMPUTED_VALUE"""),"Wild Kingdom")</f>
        <v>Wild Kingdom</v>
      </c>
      <c r="E102" s="5" t="str">
        <f ca="1">IFERROR(__xludf.DUMMYFUNCTION("""COMPUTED_VALUE"""),"V2")</f>
        <v>V2</v>
      </c>
      <c r="F102" s="5" t="str">
        <f ca="1">IFERROR(__xludf.DUMMYFUNCTION("""COMPUTED_VALUE"""),"WildKingdom")</f>
        <v>WildKingdom</v>
      </c>
      <c r="G102" s="5" t="str">
        <f ca="1">IFERROR(__xludf.DUMMYFUNCTION("""COMPUTED_VALUE"""),"Live")</f>
        <v>Live</v>
      </c>
      <c r="H102" s="5"/>
      <c r="I102" s="5" t="str">
        <f ca="1">IFERROR(__xludf.DUMMYFUNCTION("""COMPUTED_VALUE"""),"V2")</f>
        <v>V2</v>
      </c>
      <c r="J102" s="5" t="str">
        <f ca="1">IFERROR(__xludf.DUMMYFUNCTION("""COMPUTED_VALUE"""),"Binary")</f>
        <v>Binary</v>
      </c>
      <c r="K102" s="5" t="str">
        <f ca="1">IFERROR(__xludf.DUMMYFUNCTION("""COMPUTED_VALUE"""),"Slot")</f>
        <v>Slot</v>
      </c>
      <c r="L102" s="5" t="str">
        <f ca="1">IFERROR(__xludf.DUMMYFUNCTION("""COMPUTED_VALUE"""),"Clone")</f>
        <v>Clone</v>
      </c>
      <c r="M102" s="5" t="str">
        <f ca="1">IFERROR(__xludf.DUMMYFUNCTION("""COMPUTED_VALUE"""),"Pyramid")</f>
        <v>Pyramid</v>
      </c>
      <c r="N102" s="5"/>
      <c r="O102" s="5"/>
      <c r="P102" s="14">
        <f ca="1">IFERROR(__xludf.DUMMYFUNCTION("""COMPUTED_VALUE"""),21.3)</f>
        <v>21.3</v>
      </c>
      <c r="Q102" s="5"/>
      <c r="R102" s="5"/>
      <c r="S102" s="15">
        <f ca="1">IFERROR(__xludf.DUMMYFUNCTION("""COMPUTED_VALUE"""),44364)</f>
        <v>44364</v>
      </c>
      <c r="T102" s="5" t="b">
        <f ca="1">IFERROR(__xludf.DUMMYFUNCTION("""COMPUTED_VALUE"""),TRUE)</f>
        <v>1</v>
      </c>
      <c r="U102" s="5" t="str">
        <f ca="1">IFERROR(__xludf.DUMMYFUNCTION("""COMPUTED_VALUE"""),"5x3")</f>
        <v>5x3</v>
      </c>
      <c r="V102" s="12" t="str">
        <f ca="1">IFERROR(__xludf.DUMMYFUNCTION("""COMPUTED_VALUE"""),"15")</f>
        <v>15</v>
      </c>
      <c r="W102" s="12" t="str">
        <f ca="1">IFERROR(__xludf.DUMMYFUNCTION("""COMPUTED_VALUE"""),"1,3,5,9,15")</f>
        <v>1,3,5,9,15</v>
      </c>
      <c r="X102" s="5">
        <f ca="1">IFERROR(__xludf.DUMMYFUNCTION("""COMPUTED_VALUE"""),96.142)</f>
        <v>96.141999999999996</v>
      </c>
      <c r="Y102" s="5" t="str">
        <f ca="1">IFERROR(__xludf.DUMMYFUNCTION("""COMPUTED_VALUE"""),"High")</f>
        <v>High</v>
      </c>
      <c r="Z102" s="5">
        <f ca="1">IFERROR(__xludf.DUMMYFUNCTION("""COMPUTED_VALUE"""),28.08)</f>
        <v>28.08</v>
      </c>
      <c r="AA102" s="14">
        <f ca="1">IFERROR(__xludf.DUMMYFUNCTION("""COMPUTED_VALUE"""),1530)</f>
        <v>1530</v>
      </c>
      <c r="AB102" s="5">
        <f ca="1">IFERROR(__xludf.DUMMYFUNCTION("""COMPUTED_VALUE"""),149)</f>
        <v>149</v>
      </c>
      <c r="AC102" s="5" t="str">
        <f ca="1">IFERROR(__xludf.DUMMYFUNCTION("""COMPUTED_VALUE"""),"Wild Symbol, Bonus Game with Free Spins, Respin, Sticky Wild")</f>
        <v>Wild Symbol, Bonus Game with Free Spins, Respin, Sticky Wild</v>
      </c>
      <c r="AD102" s="5" t="str">
        <f ca="1">IFERROR(__xludf.DUMMYFUNCTION("""COMPUTED_VALUE"""),"0.15/45")</f>
        <v>0.15/45</v>
      </c>
      <c r="AE102" s="5"/>
      <c r="AF102" s="5"/>
      <c r="AG102" s="5"/>
      <c r="AH102" s="5"/>
      <c r="AI102" s="5"/>
      <c r="AJ102" s="5"/>
      <c r="AK102" s="5">
        <f ca="1">IFERROR(__xludf.DUMMYFUNCTION("""COMPUTED_VALUE"""),15)</f>
        <v>15</v>
      </c>
      <c r="AL102" s="5" t="str">
        <f ca="1">IFERROR(__xludf.DUMMYFUNCTION("""COMPUTED_VALUE"""),"Yes")</f>
        <v>Yes</v>
      </c>
      <c r="AM102" s="5"/>
      <c r="AN102" s="7" t="str">
        <f ca="1">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AO102" s="5"/>
      <c r="AP102" s="5"/>
      <c r="AQ102" s="5" t="b">
        <f ca="1">IFERROR(__xludf.DUMMYFUNCTION("""COMPUTED_VALUE"""),TRUE)</f>
        <v>1</v>
      </c>
      <c r="AR102" s="5"/>
      <c r="AS102" s="5" t="str">
        <f ca="1">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AT102" s="5"/>
      <c r="AU102" s="5" t="str">
        <f ca="1">IFERROR(__xludf.DUMMYFUNCTION("""COMPUTED_VALUE"""),"Fazi")</f>
        <v>Fazi</v>
      </c>
      <c r="AV102" s="5"/>
      <c r="AW102" s="5"/>
      <c r="AX102" s="5"/>
      <c r="AY102" s="5"/>
      <c r="AZ102" s="5"/>
      <c r="BA102" s="5" t="str">
        <f ca="1">IFERROR(__xludf.DUMMYFUNCTION("""COMPUTED_VALUE"""),"")</f>
        <v/>
      </c>
      <c r="BB102" s="5"/>
      <c r="BC102" s="5" t="str">
        <f ca="1">IFERROR(__xludf.DUMMYFUNCTION("""COMPUTED_VALUE"""),"Foxi")</f>
        <v>Foxi</v>
      </c>
      <c r="BD102" s="7" t="str">
        <f ca="1">IFERROR(__xludf.DUMMYFUNCTION("""COMPUTED_VALUE"""),"https://gameserver-store-client-area.orbionlimited.com/Home/IntegrationGameLaunch/client-area?moneyType=0&amp;gameName=WildKingdom&amp;platform=desktop&amp;languageCode=eng&amp;currency=EUR")</f>
        <v>https://gameserver-store-client-area.orbionlimited.com/Home/IntegrationGameLaunch/client-area?moneyType=0&amp;gameName=WildKingdom&amp;platform=desktop&amp;languageCode=eng&amp;currency=EUR</v>
      </c>
      <c r="BE102" s="5" t="b">
        <f ca="1">IFERROR(__xludf.DUMMYFUNCTION("""COMPUTED_VALUE"""),TRUE)</f>
        <v>1</v>
      </c>
    </row>
    <row r="103" spans="1:57" x14ac:dyDescent="0.25">
      <c r="A103" s="5">
        <f ca="1">IFERROR(__xludf.DUMMYFUNCTION("""COMPUTED_VALUE"""),102)</f>
        <v>102</v>
      </c>
      <c r="B103" s="5">
        <f ca="1">IFERROR(__xludf.DUMMYFUNCTION("""COMPUTED_VALUE"""),101)</f>
        <v>101</v>
      </c>
      <c r="C103" s="5" t="str">
        <f ca="1">IFERROR(__xludf.DUMMYFUNCTION("""COMPUTED_VALUE"""),"Fazi")</f>
        <v>Fazi</v>
      </c>
      <c r="D103" s="5" t="str">
        <f ca="1">IFERROR(__xludf.DUMMYFUNCTION("""COMPUTED_VALUE"""),"Book Of Luxor Double")</f>
        <v>Book Of Luxor Double</v>
      </c>
      <c r="E103" s="5" t="str">
        <f ca="1">IFERROR(__xludf.DUMMYFUNCTION("""COMPUTED_VALUE"""),"V2")</f>
        <v>V2</v>
      </c>
      <c r="F103" s="5" t="str">
        <f ca="1">IFERROR(__xludf.DUMMYFUNCTION("""COMPUTED_VALUE"""),"BookOfLuxorDouble")</f>
        <v>BookOfLuxorDouble</v>
      </c>
      <c r="G103" s="5" t="str">
        <f ca="1">IFERROR(__xludf.DUMMYFUNCTION("""COMPUTED_VALUE"""),"Live")</f>
        <v>Live</v>
      </c>
      <c r="H103" s="5"/>
      <c r="I103" s="5" t="str">
        <f ca="1">IFERROR(__xludf.DUMMYFUNCTION("""COMPUTED_VALUE"""),"V2")</f>
        <v>V2</v>
      </c>
      <c r="J103" s="5" t="str">
        <f ca="1">IFERROR(__xludf.DUMMYFUNCTION("""COMPUTED_VALUE"""),"JSON")</f>
        <v>JSON</v>
      </c>
      <c r="K103" s="5" t="str">
        <f ca="1">IFERROR(__xludf.DUMMYFUNCTION("""COMPUTED_VALUE"""),"Slot")</f>
        <v>Slot</v>
      </c>
      <c r="L103" s="5"/>
      <c r="M103" s="5"/>
      <c r="N103" s="5"/>
      <c r="O103" s="5"/>
      <c r="P103" s="14">
        <f ca="1">IFERROR(__xludf.DUMMYFUNCTION("""COMPUTED_VALUE"""),40.4)</f>
        <v>40.4</v>
      </c>
      <c r="Q103" s="5"/>
      <c r="R103" s="5"/>
      <c r="S103" s="15">
        <f ca="1">IFERROR(__xludf.DUMMYFUNCTION("""COMPUTED_VALUE"""),44494)</f>
        <v>44494</v>
      </c>
      <c r="T103" s="5"/>
      <c r="U103" s="5" t="str">
        <f ca="1">IFERROR(__xludf.DUMMYFUNCTION("""COMPUTED_VALUE"""),"5x3")</f>
        <v>5x3</v>
      </c>
      <c r="V103" s="12" t="str">
        <f ca="1">IFERROR(__xludf.DUMMYFUNCTION("""COMPUTED_VALUE"""),"20")</f>
        <v>20</v>
      </c>
      <c r="W103" s="12" t="str">
        <f ca="1">IFERROR(__xludf.DUMMYFUNCTION("""COMPUTED_VALUE"""),"1,3,5,7,10")</f>
        <v>1,3,5,7,10</v>
      </c>
      <c r="X103" s="5">
        <f ca="1">IFERROR(__xludf.DUMMYFUNCTION("""COMPUTED_VALUE"""),96.201)</f>
        <v>96.200999999999993</v>
      </c>
      <c r="Y103" s="5" t="str">
        <f ca="1">IFERROR(__xludf.DUMMYFUNCTION("""COMPUTED_VALUE"""),"High")</f>
        <v>High</v>
      </c>
      <c r="Z103" s="5">
        <f ca="1">IFERROR(__xludf.DUMMYFUNCTION("""COMPUTED_VALUE"""),30.8199999999999)</f>
        <v>30.819999999999901</v>
      </c>
      <c r="AA103" s="14">
        <f ca="1">IFERROR(__xludf.DUMMYFUNCTION("""COMPUTED_VALUE"""),5456)</f>
        <v>5456</v>
      </c>
      <c r="AB103" s="5">
        <f ca="1">IFERROR(__xludf.DUMMYFUNCTION("""COMPUTED_VALUE"""),212)</f>
        <v>212</v>
      </c>
      <c r="AC103" s="5" t="str">
        <f ca="1">IFERROR(__xludf.DUMMYFUNCTION("""COMPUTED_VALUE"""),"Buy Bonus, Book Of Game, Bonus Game with Free Spins")</f>
        <v>Buy Bonus, Book Of Game, Bonus Game with Free Spins</v>
      </c>
      <c r="AD103" s="5" t="str">
        <f ca="1">IFERROR(__xludf.DUMMYFUNCTION("""COMPUTED_VALUE"""),"0.01/40")</f>
        <v>0.01/40</v>
      </c>
      <c r="AE103" s="5"/>
      <c r="AF103" s="5"/>
      <c r="AG103" s="10">
        <f ca="1">IFERROR(__xludf.DUMMYFUNCTION("""COMPUTED_VALUE"""),46056.4504166666)</f>
        <v>46056.450416666601</v>
      </c>
      <c r="AH103" s="5" t="str">
        <f ca="1">IFERROR(__xludf.DUMMYFUNCTION("""COMPUTED_VALUE"""),"aleksandar.trajkovic@fazi.rs")</f>
        <v>aleksandar.trajkovic@fazi.rs</v>
      </c>
      <c r="AI103" s="5"/>
      <c r="AJ103" s="5"/>
      <c r="AK103" s="5">
        <f ca="1">IFERROR(__xludf.DUMMYFUNCTION("""COMPUTED_VALUE"""),10)</f>
        <v>10</v>
      </c>
      <c r="AL103" s="5" t="str">
        <f ca="1">IFERROR(__xludf.DUMMYFUNCTION("""COMPUTED_VALUE"""),"Yes")</f>
        <v>Yes</v>
      </c>
      <c r="AM103" s="5"/>
      <c r="AN103" s="7" t="str">
        <f ca="1">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AO103" s="5" t="str">
        <f ca="1">IFERROR(__xludf.DUMMYFUNCTION("""COMPUTED_VALUE"""),"Yes")</f>
        <v>Yes</v>
      </c>
      <c r="AP103" s="5" t="str">
        <f ca="1">IFERROR(__xludf.DUMMYFUNCTION("""COMPUTED_VALUE"""),"Yes")</f>
        <v>Yes</v>
      </c>
      <c r="AQ103" s="5" t="b">
        <f ca="1">IFERROR(__xludf.DUMMYFUNCTION("""COMPUTED_VALUE"""),TRUE)</f>
        <v>1</v>
      </c>
      <c r="AR103" s="5"/>
      <c r="AS103" s="5" t="str">
        <f ca="1">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103" s="5"/>
      <c r="AU103" s="5" t="str">
        <f ca="1">IFERROR(__xludf.DUMMYFUNCTION("""COMPUTED_VALUE"""),"Fazi")</f>
        <v>Fazi</v>
      </c>
      <c r="AV103" s="5"/>
      <c r="AW103" s="5"/>
      <c r="AX103" s="5"/>
      <c r="AY103" s="5" t="str">
        <f ca="1">IFERROR(__xludf.DUMMYFUNCTION("""COMPUTED_VALUE"""),"87.5%, 89.5%, 91.5%, 93.5%, 94.5%, 95.5%, 96.5%")</f>
        <v>87.5%, 89.5%, 91.5%, 93.5%, 94.5%, 95.5%, 96.5%</v>
      </c>
      <c r="AZ103" s="5"/>
      <c r="BA103" s="5" t="str">
        <f ca="1">IFERROR(__xludf.DUMMYFUNCTION("""COMPUTED_VALUE"""),"116")</f>
        <v>116</v>
      </c>
      <c r="BB103" s="5"/>
      <c r="BC103" s="5" t="str">
        <f ca="1">IFERROR(__xludf.DUMMYFUNCTION("""COMPUTED_VALUE"""),"Foxi")</f>
        <v>Foxi</v>
      </c>
      <c r="BD103" s="7" t="str">
        <f ca="1">IFERROR(__xludf.DUMMYFUNCTION("""COMPUTED_VALUE"""),"https://gameserver-store-client-area.orbionlimited.com/Home/IntegrationGameLaunch/client-area?moneyType=0&amp;gameName=BookOfLuxorDouble&amp;platform=desktop&amp;languageCode=eng&amp;currency=EUR")</f>
        <v>https://gameserver-store-client-area.orbionlimited.com/Home/IntegrationGameLaunch/client-area?moneyType=0&amp;gameName=BookOfLuxorDouble&amp;platform=desktop&amp;languageCode=eng&amp;currency=EUR</v>
      </c>
      <c r="BE103" s="5" t="b">
        <f ca="1">IFERROR(__xludf.DUMMYFUNCTION("""COMPUTED_VALUE"""),TRUE)</f>
        <v>1</v>
      </c>
    </row>
    <row r="104" spans="1:57" x14ac:dyDescent="0.25">
      <c r="A104" s="5">
        <f ca="1">IFERROR(__xludf.DUMMYFUNCTION("""COMPUTED_VALUE"""),103)</f>
        <v>103</v>
      </c>
      <c r="B104" s="5">
        <f ca="1">IFERROR(__xludf.DUMMYFUNCTION("""COMPUTED_VALUE"""),102)</f>
        <v>102</v>
      </c>
      <c r="C104" s="5" t="str">
        <f ca="1">IFERROR(__xludf.DUMMYFUNCTION("""COMPUTED_VALUE"""),"Fazi")</f>
        <v>Fazi</v>
      </c>
      <c r="D104" s="5" t="str">
        <f ca="1">IFERROR(__xludf.DUMMYFUNCTION("""COMPUTED_VALUE"""),"Mega Cubes Deluxe")</f>
        <v>Mega Cubes Deluxe</v>
      </c>
      <c r="E104" s="5" t="str">
        <f ca="1">IFERROR(__xludf.DUMMYFUNCTION("""COMPUTED_VALUE"""),"V2")</f>
        <v>V2</v>
      </c>
      <c r="F104" s="5" t="str">
        <f ca="1">IFERROR(__xludf.DUMMYFUNCTION("""COMPUTED_VALUE"""),"MegaCubesDeluxe")</f>
        <v>MegaCubesDeluxe</v>
      </c>
      <c r="G104" s="5" t="str">
        <f ca="1">IFERROR(__xludf.DUMMYFUNCTION("""COMPUTED_VALUE"""),"Live")</f>
        <v>Live</v>
      </c>
      <c r="H104" s="5"/>
      <c r="I104" s="5" t="str">
        <f ca="1">IFERROR(__xludf.DUMMYFUNCTION("""COMPUTED_VALUE"""),"V2")</f>
        <v>V2</v>
      </c>
      <c r="J104" s="5" t="str">
        <f ca="1">IFERROR(__xludf.DUMMYFUNCTION("""COMPUTED_VALUE"""),"Binary")</f>
        <v>Binary</v>
      </c>
      <c r="K104" s="5" t="str">
        <f ca="1">IFERROR(__xludf.DUMMYFUNCTION("""COMPUTED_VALUE"""),"Slot")</f>
        <v>Slot</v>
      </c>
      <c r="L104" s="5"/>
      <c r="M104" s="5"/>
      <c r="N104" s="5"/>
      <c r="O104" s="5"/>
      <c r="P104" s="14">
        <f ca="1">IFERROR(__xludf.DUMMYFUNCTION("""COMPUTED_VALUE"""),15.5)</f>
        <v>15.5</v>
      </c>
      <c r="Q104" s="5"/>
      <c r="R104" s="5"/>
      <c r="S104" s="15">
        <f ca="1">IFERROR(__xludf.DUMMYFUNCTION("""COMPUTED_VALUE"""),44399)</f>
        <v>44399</v>
      </c>
      <c r="T104" s="5"/>
      <c r="U104" s="5" t="str">
        <f ca="1">IFERROR(__xludf.DUMMYFUNCTION("""COMPUTED_VALUE"""),"5x3")</f>
        <v>5x3</v>
      </c>
      <c r="V104" s="12" t="str">
        <f ca="1">IFERROR(__xludf.DUMMYFUNCTION("""COMPUTED_VALUE"""),"5")</f>
        <v>5</v>
      </c>
      <c r="W104" s="12" t="str">
        <f ca="1">IFERROR(__xludf.DUMMYFUNCTION("""COMPUTED_VALUE"""),"5")</f>
        <v>5</v>
      </c>
      <c r="X104" s="5">
        <f ca="1">IFERROR(__xludf.DUMMYFUNCTION("""COMPUTED_VALUE"""),95.485)</f>
        <v>95.484999999999999</v>
      </c>
      <c r="Y104" s="5" t="str">
        <f ca="1">IFERROR(__xludf.DUMMYFUNCTION("""COMPUTED_VALUE"""),"Medium")</f>
        <v>Medium</v>
      </c>
      <c r="Z104" s="5">
        <f ca="1">IFERROR(__xludf.DUMMYFUNCTION("""COMPUTED_VALUE"""),12.49)</f>
        <v>12.49</v>
      </c>
      <c r="AA104" s="14">
        <f ca="1">IFERROR(__xludf.DUMMYFUNCTION("""COMPUTED_VALUE"""),480)</f>
        <v>480</v>
      </c>
      <c r="AB104" s="5" t="str">
        <f ca="1">IFERROR(__xludf.DUMMYFUNCTION("""COMPUTED_VALUE"""),"/")</f>
        <v>/</v>
      </c>
      <c r="AC104" s="5" t="str">
        <f ca="1">IFERROR(__xludf.DUMMYFUNCTION("""COMPUTED_VALUE"""),"Scatter")</f>
        <v>Scatter</v>
      </c>
      <c r="AD104" s="5" t="str">
        <f ca="1">IFERROR(__xludf.DUMMYFUNCTION("""COMPUTED_VALUE"""),"0.05/30")</f>
        <v>0.05/30</v>
      </c>
      <c r="AE104" s="5"/>
      <c r="AF104" s="5"/>
      <c r="AG104" s="10">
        <f ca="1">IFERROR(__xludf.DUMMYFUNCTION("""COMPUTED_VALUE"""),46055.5111342592)</f>
        <v>46055.511134259199</v>
      </c>
      <c r="AH104" s="5" t="str">
        <f ca="1">IFERROR(__xludf.DUMMYFUNCTION("""COMPUTED_VALUE"""),"djordje.jankovic@fazi.rs")</f>
        <v>djordje.jankovic@fazi.rs</v>
      </c>
      <c r="AI104" s="5"/>
      <c r="AJ104" s="5"/>
      <c r="AK104" s="5">
        <f ca="1">IFERROR(__xludf.DUMMYFUNCTION("""COMPUTED_VALUE"""),5)</f>
        <v>5</v>
      </c>
      <c r="AL104" s="5" t="str">
        <f ca="1">IFERROR(__xludf.DUMMYFUNCTION("""COMPUTED_VALUE"""),"Yes")</f>
        <v>Yes</v>
      </c>
      <c r="AM104" s="5"/>
      <c r="AN104" s="7" t="str">
        <f ca="1">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AO104" s="5"/>
      <c r="AP104" s="5"/>
      <c r="AQ104" s="5" t="b">
        <f ca="1">IFERROR(__xludf.DUMMYFUNCTION("""COMPUTED_VALUE"""),TRUE)</f>
        <v>1</v>
      </c>
      <c r="AR104" s="5"/>
      <c r="AS104" s="5" t="str">
        <f ca="1">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AT104" s="5"/>
      <c r="AU104" s="5" t="str">
        <f ca="1">IFERROR(__xludf.DUMMYFUNCTION("""COMPUTED_VALUE"""),"Fazi")</f>
        <v>Fazi</v>
      </c>
      <c r="AV104" s="5"/>
      <c r="AW104" s="5"/>
      <c r="AX104" s="5"/>
      <c r="AY104" s="5"/>
      <c r="AZ104" s="5"/>
      <c r="BA104" s="5" t="str">
        <f ca="1">IFERROR(__xludf.DUMMYFUNCTION("""COMPUTED_VALUE"""),"")</f>
        <v/>
      </c>
      <c r="BB104" s="5"/>
      <c r="BC104" s="5" t="str">
        <f ca="1">IFERROR(__xludf.DUMMYFUNCTION("""COMPUTED_VALUE"""),"Foxi")</f>
        <v>Foxi</v>
      </c>
      <c r="BD104" s="7" t="str">
        <f ca="1">IFERROR(__xludf.DUMMYFUNCTION("""COMPUTED_VALUE"""),"https://gameserver-store-client-area.orbionlimited.com/Home/IntegrationGameLaunch/client-area?moneyType=0&amp;gameName=MegaCubesDeluxe&amp;platform=desktop&amp;languageCode=eng&amp;currency=EUR")</f>
        <v>https://gameserver-store-client-area.orbionlimited.com/Home/IntegrationGameLaunch/client-area?moneyType=0&amp;gameName=MegaCubesDeluxe&amp;platform=desktop&amp;languageCode=eng&amp;currency=EUR</v>
      </c>
      <c r="BE104" s="5" t="b">
        <f ca="1">IFERROR(__xludf.DUMMYFUNCTION("""COMPUTED_VALUE"""),TRUE)</f>
        <v>1</v>
      </c>
    </row>
    <row r="105" spans="1:57" x14ac:dyDescent="0.25">
      <c r="A105" s="5">
        <f ca="1">IFERROR(__xludf.DUMMYFUNCTION("""COMPUTED_VALUE"""),104)</f>
        <v>104</v>
      </c>
      <c r="B105" s="5">
        <f ca="1">IFERROR(__xludf.DUMMYFUNCTION("""COMPUTED_VALUE"""),103)</f>
        <v>103</v>
      </c>
      <c r="C105" s="5" t="str">
        <f ca="1">IFERROR(__xludf.DUMMYFUNCTION("""COMPUTED_VALUE"""),"Fazi")</f>
        <v>Fazi</v>
      </c>
      <c r="D105" s="5" t="str">
        <f ca="1">IFERROR(__xludf.DUMMYFUNCTION("""COMPUTED_VALUE"""),"Lolla's World")</f>
        <v>Lolla's World</v>
      </c>
      <c r="E105" s="5" t="str">
        <f ca="1">IFERROR(__xludf.DUMMYFUNCTION("""COMPUTED_VALUE"""),"V2")</f>
        <v>V2</v>
      </c>
      <c r="F105" s="5" t="str">
        <f ca="1">IFERROR(__xludf.DUMMYFUNCTION("""COMPUTED_VALUE"""),"LollasWorld")</f>
        <v>LollasWorld</v>
      </c>
      <c r="G105" s="5" t="str">
        <f ca="1">IFERROR(__xludf.DUMMYFUNCTION("""COMPUTED_VALUE"""),"Live")</f>
        <v>Live</v>
      </c>
      <c r="H105" s="5"/>
      <c r="I105" s="5" t="str">
        <f ca="1">IFERROR(__xludf.DUMMYFUNCTION("""COMPUTED_VALUE"""),"V2")</f>
        <v>V2</v>
      </c>
      <c r="J105" s="5" t="str">
        <f ca="1">IFERROR(__xludf.DUMMYFUNCTION("""COMPUTED_VALUE"""),"JSON")</f>
        <v>JSON</v>
      </c>
      <c r="K105" s="5" t="str">
        <f ca="1">IFERROR(__xludf.DUMMYFUNCTION("""COMPUTED_VALUE"""),"Slot")</f>
        <v>Slot</v>
      </c>
      <c r="L105" s="5"/>
      <c r="M105" s="5"/>
      <c r="N105" s="5"/>
      <c r="O105" s="5"/>
      <c r="P105" s="14">
        <f ca="1">IFERROR(__xludf.DUMMYFUNCTION("""COMPUTED_VALUE"""),29.3)</f>
        <v>29.3</v>
      </c>
      <c r="Q105" s="5"/>
      <c r="R105" s="5"/>
      <c r="S105" s="15">
        <f ca="1">IFERROR(__xludf.DUMMYFUNCTION("""COMPUTED_VALUE"""),44434)</f>
        <v>44434</v>
      </c>
      <c r="T105" s="5"/>
      <c r="U105" s="5" t="str">
        <f ca="1">IFERROR(__xludf.DUMMYFUNCTION("""COMPUTED_VALUE"""),"5x4")</f>
        <v>5x4</v>
      </c>
      <c r="V105" s="12" t="str">
        <f ca="1">IFERROR(__xludf.DUMMYFUNCTION("""COMPUTED_VALUE"""),"40")</f>
        <v>40</v>
      </c>
      <c r="W105" s="12" t="str">
        <f ca="1">IFERROR(__xludf.DUMMYFUNCTION("""COMPUTED_VALUE"""),"40")</f>
        <v>40</v>
      </c>
      <c r="X105" s="5">
        <f ca="1">IFERROR(__xludf.DUMMYFUNCTION("""COMPUTED_VALUE"""),95.479)</f>
        <v>95.478999999999999</v>
      </c>
      <c r="Y105" s="5" t="str">
        <f ca="1">IFERROR(__xludf.DUMMYFUNCTION("""COMPUTED_VALUE"""),"Medium")</f>
        <v>Medium</v>
      </c>
      <c r="Z105" s="5">
        <f ca="1">IFERROR(__xludf.DUMMYFUNCTION("""COMPUTED_VALUE"""),14.7999999999999)</f>
        <v>14.799999999999899</v>
      </c>
      <c r="AA105" s="14">
        <f ca="1">IFERROR(__xludf.DUMMYFUNCTION("""COMPUTED_VALUE"""),1000)</f>
        <v>1000</v>
      </c>
      <c r="AB105" s="5" t="str">
        <f ca="1">IFERROR(__xludf.DUMMYFUNCTION("""COMPUTED_VALUE"""),"/")</f>
        <v>/</v>
      </c>
      <c r="AC105" s="5" t="str">
        <f ca="1">IFERROR(__xludf.DUMMYFUNCTION("""COMPUTED_VALUE"""),"Scatter, Wild Symbol")</f>
        <v>Scatter, Wild Symbol</v>
      </c>
      <c r="AD105" s="5" t="str">
        <f ca="1">IFERROR(__xludf.DUMMYFUNCTION("""COMPUTED_VALUE"""),"0.4/60")</f>
        <v>0.4/60</v>
      </c>
      <c r="AE105" s="5"/>
      <c r="AF105" s="5"/>
      <c r="AG105" s="10">
        <f ca="1">IFERROR(__xludf.DUMMYFUNCTION("""COMPUTED_VALUE"""),46056.453599537)</f>
        <v>46056.453599537002</v>
      </c>
      <c r="AH105" s="5" t="str">
        <f ca="1">IFERROR(__xludf.DUMMYFUNCTION("""COMPUTED_VALUE"""),"aleksandar.trajkovic@fazi.rs")</f>
        <v>aleksandar.trajkovic@fazi.rs</v>
      </c>
      <c r="AI105" s="5"/>
      <c r="AJ105" s="5"/>
      <c r="AK105" s="5">
        <f ca="1">IFERROR(__xludf.DUMMYFUNCTION("""COMPUTED_VALUE"""),40)</f>
        <v>40</v>
      </c>
      <c r="AL105" s="5" t="str">
        <f ca="1">IFERROR(__xludf.DUMMYFUNCTION("""COMPUTED_VALUE"""),"Yes")</f>
        <v>Yes</v>
      </c>
      <c r="AM105" s="5"/>
      <c r="AN105" s="7" t="str">
        <f ca="1">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AO105" s="5" t="str">
        <f ca="1">IFERROR(__xludf.DUMMYFUNCTION("""COMPUTED_VALUE"""),"Yes")</f>
        <v>Yes</v>
      </c>
      <c r="AP105" s="5" t="str">
        <f ca="1">IFERROR(__xludf.DUMMYFUNCTION("""COMPUTED_VALUE"""),"Yes")</f>
        <v>Yes</v>
      </c>
      <c r="AQ105" s="5" t="b">
        <f ca="1">IFERROR(__xludf.DUMMYFUNCTION("""COMPUTED_VALUE"""),TRUE)</f>
        <v>1</v>
      </c>
      <c r="AR105" s="5"/>
      <c r="AS105" s="5" t="str">
        <f ca="1">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AT105" s="5"/>
      <c r="AU105" s="5" t="str">
        <f ca="1">IFERROR(__xludf.DUMMYFUNCTION("""COMPUTED_VALUE"""),"Fazi")</f>
        <v>Fazi</v>
      </c>
      <c r="AV105" s="5"/>
      <c r="AW105" s="5"/>
      <c r="AX105" s="5"/>
      <c r="AY105" s="5" t="str">
        <f ca="1">IFERROR(__xludf.DUMMYFUNCTION("""COMPUTED_VALUE"""),"87.5%, 89.5%, 91.5%, 93.5%, 94.5%, 95.5%, 96.5%")</f>
        <v>87.5%, 89.5%, 91.5%, 93.5%, 94.5%, 95.5%, 96.5%</v>
      </c>
      <c r="AZ105" s="5"/>
      <c r="BA105" s="5" t="str">
        <f ca="1">IFERROR(__xludf.DUMMYFUNCTION("""COMPUTED_VALUE"""),"")</f>
        <v/>
      </c>
      <c r="BB105" s="5"/>
      <c r="BC105" s="5" t="str">
        <f ca="1">IFERROR(__xludf.DUMMYFUNCTION("""COMPUTED_VALUE"""),"Foxi")</f>
        <v>Foxi</v>
      </c>
      <c r="BD105" s="7" t="str">
        <f ca="1">IFERROR(__xludf.DUMMYFUNCTION("""COMPUTED_VALUE"""),"https://gameserver-store-client-area.orbionlimited.com/Home/IntegrationGameLaunch/client-area?moneyType=0&amp;gameName=LollasWorld&amp;platform=desktop&amp;languageCode=eng&amp;currency=EUR")</f>
        <v>https://gameserver-store-client-area.orbionlimited.com/Home/IntegrationGameLaunch/client-area?moneyType=0&amp;gameName=LollasWorld&amp;platform=desktop&amp;languageCode=eng&amp;currency=EUR</v>
      </c>
      <c r="BE105" s="5" t="b">
        <f ca="1">IFERROR(__xludf.DUMMYFUNCTION("""COMPUTED_VALUE"""),TRUE)</f>
        <v>1</v>
      </c>
    </row>
    <row r="106" spans="1:57" x14ac:dyDescent="0.25">
      <c r="A106" s="5">
        <f ca="1">IFERROR(__xludf.DUMMYFUNCTION("""COMPUTED_VALUE"""),105)</f>
        <v>105</v>
      </c>
      <c r="B106" s="5">
        <f ca="1">IFERROR(__xludf.DUMMYFUNCTION("""COMPUTED_VALUE"""),104)</f>
        <v>104</v>
      </c>
      <c r="C106" s="5" t="str">
        <f ca="1">IFERROR(__xludf.DUMMYFUNCTION("""COMPUTED_VALUE"""),"Redstone")</f>
        <v>Redstone</v>
      </c>
      <c r="D106" s="5" t="str">
        <f ca="1">IFERROR(__xludf.DUMMYFUNCTION("""COMPUTED_VALUE"""),"40 Clover Fire")</f>
        <v>40 Clover Fire</v>
      </c>
      <c r="E106" s="5" t="str">
        <f ca="1">IFERROR(__xludf.DUMMYFUNCTION("""COMPUTED_VALUE"""),"Redstone")</f>
        <v>Redstone</v>
      </c>
      <c r="F106" s="5" t="str">
        <f ca="1">IFERROR(__xludf.DUMMYFUNCTION("""COMPUTED_VALUE"""),"FireClover40")</f>
        <v>FireClover40</v>
      </c>
      <c r="G106" s="5" t="str">
        <f ca="1">IFERROR(__xludf.DUMMYFUNCTION("""COMPUTED_VALUE"""),"Live")</f>
        <v>Live</v>
      </c>
      <c r="H106" s="5"/>
      <c r="I106" s="5" t="str">
        <f ca="1">IFERROR(__xludf.DUMMYFUNCTION("""COMPUTED_VALUE"""),"Redstone")</f>
        <v>Redstone</v>
      </c>
      <c r="J106" s="5" t="str">
        <f ca="1">IFERROR(__xludf.DUMMYFUNCTION("""COMPUTED_VALUE"""),"JSON")</f>
        <v>JSON</v>
      </c>
      <c r="K106" s="5" t="str">
        <f ca="1">IFERROR(__xludf.DUMMYFUNCTION("""COMPUTED_VALUE"""),"Slot")</f>
        <v>Slot</v>
      </c>
      <c r="L106" s="5" t="str">
        <f ca="1">IFERROR(__xludf.DUMMYFUNCTION("""COMPUTED_VALUE"""),"Master")</f>
        <v>Master</v>
      </c>
      <c r="M106" s="5"/>
      <c r="N106" s="7" t="str">
        <f ca="1">IFERROR(__xludf.DUMMYFUNCTION("""COMPUTED_VALUE"""),"https://docs.google.com/document/d/134OvURJFj6vy5RZvoh-CfV3klcsPJgiz/edit?usp=drive_link&amp;ouid=107596163405648766688&amp;rtpof=true&amp;sd=true")</f>
        <v>https://docs.google.com/document/d/134OvURJFj6vy5RZvoh-CfV3klcsPJgiz/edit?usp=drive_link&amp;ouid=107596163405648766688&amp;rtpof=true&amp;sd=true</v>
      </c>
      <c r="O106" s="7" t="str">
        <f ca="1">IFERROR(__xludf.DUMMYFUNCTION("""COMPUTED_VALUE"""),"https://docs.google.com/document/d/1UeCqpU91M7Y1Yb7b65rSY0_PdJaQkUld/edit?usp=drive_link&amp;ouid=107596163405648766688&amp;rtpof=true&amp;sd=true")</f>
        <v>https://docs.google.com/document/d/1UeCqpU91M7Y1Yb7b65rSY0_PdJaQkUld/edit?usp=drive_link&amp;ouid=107596163405648766688&amp;rtpof=true&amp;sd=true</v>
      </c>
      <c r="P106" s="14">
        <f ca="1">IFERROR(__xludf.DUMMYFUNCTION("""COMPUTED_VALUE"""),8.56)</f>
        <v>8.56</v>
      </c>
      <c r="Q106" s="5"/>
      <c r="R106" s="5"/>
      <c r="S106" s="15">
        <f ca="1">IFERROR(__xludf.DUMMYFUNCTION("""COMPUTED_VALUE"""),44420)</f>
        <v>44420</v>
      </c>
      <c r="T106" s="5"/>
      <c r="U106" s="5" t="str">
        <f ca="1">IFERROR(__xludf.DUMMYFUNCTION("""COMPUTED_VALUE"""),"5x3")</f>
        <v>5x3</v>
      </c>
      <c r="V106" s="12" t="str">
        <f ca="1">IFERROR(__xludf.DUMMYFUNCTION("""COMPUTED_VALUE"""),"40")</f>
        <v>40</v>
      </c>
      <c r="W106" s="12" t="str">
        <f ca="1">IFERROR(__xludf.DUMMYFUNCTION("""COMPUTED_VALUE"""),"40")</f>
        <v>40</v>
      </c>
      <c r="X106" s="5">
        <f ca="1">IFERROR(__xludf.DUMMYFUNCTION("""COMPUTED_VALUE"""),96.53)</f>
        <v>96.53</v>
      </c>
      <c r="Y106" s="5" t="str">
        <f ca="1">IFERROR(__xludf.DUMMYFUNCTION("""COMPUTED_VALUE"""),"Low")</f>
        <v>Low</v>
      </c>
      <c r="Z106" s="5">
        <f ca="1">IFERROR(__xludf.DUMMYFUNCTION("""COMPUTED_VALUE"""),23.37)</f>
        <v>23.37</v>
      </c>
      <c r="AA106" s="14">
        <f ca="1">IFERROR(__xludf.DUMMYFUNCTION("""COMPUTED_VALUE"""),3507)</f>
        <v>3507</v>
      </c>
      <c r="AB106" s="5"/>
      <c r="AC106" s="5" t="str">
        <f ca="1">IFERROR(__xludf.DUMMYFUNCTION("""COMPUTED_VALUE"""),"Expanding Wild, Scatter")</f>
        <v>Expanding Wild, Scatter</v>
      </c>
      <c r="AD106" s="5" t="str">
        <f ca="1">IFERROR(__xludf.DUMMYFUNCTION("""COMPUTED_VALUE"""),"0.40/60")</f>
        <v>0.40/60</v>
      </c>
      <c r="AE106" s="5"/>
      <c r="AF106" s="5"/>
      <c r="AG106" s="10">
        <f ca="1">IFERROR(__xludf.DUMMYFUNCTION("""COMPUTED_VALUE"""),46157.446099537)</f>
        <v>46157.446099537003</v>
      </c>
      <c r="AH106" s="5"/>
      <c r="AI106" s="5"/>
      <c r="AJ106" s="5"/>
      <c r="AK106" s="5">
        <f ca="1">IFERROR(__xludf.DUMMYFUNCTION("""COMPUTED_VALUE"""),1)</f>
        <v>1</v>
      </c>
      <c r="AL106" s="5" t="str">
        <f ca="1">IFERROR(__xludf.DUMMYFUNCTION("""COMPUTED_VALUE"""),"No")</f>
        <v>No</v>
      </c>
      <c r="AM106" s="5" t="str">
        <f ca="1">IFERROR(__xludf.DUMMYFUNCTION("""COMPUTED_VALUE"""),"No")</f>
        <v>No</v>
      </c>
      <c r="AN106" s="7" t="str">
        <f ca="1">IFERROR(__xludf.DUMMYFUNCTION("""COMPUTED_VALUE"""),"https://static.redstone.rs/games/40-clover-fire/")</f>
        <v>https://static.redstone.rs/games/40-clover-fire/</v>
      </c>
      <c r="AO106" s="5" t="str">
        <f ca="1">IFERROR(__xludf.DUMMYFUNCTION("""COMPUTED_VALUE"""),"No")</f>
        <v>No</v>
      </c>
      <c r="AP106" s="5" t="str">
        <f ca="1">IFERROR(__xludf.DUMMYFUNCTION("""COMPUTED_VALUE"""),"No")</f>
        <v>No</v>
      </c>
      <c r="AQ106" s="5" t="b">
        <f ca="1">IFERROR(__xludf.DUMMYFUNCTION("""COMPUTED_VALUE"""),TRUE)</f>
        <v>1</v>
      </c>
      <c r="AR106" s="5"/>
      <c r="AS106" s="5" t="str">
        <f ca="1">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AT106" s="5"/>
      <c r="AU106" s="5" t="str">
        <f ca="1">IFERROR(__xludf.DUMMYFUNCTION("""COMPUTED_VALUE"""),"Redstone")</f>
        <v>Redstone</v>
      </c>
      <c r="AV106" s="5"/>
      <c r="AW106" s="5"/>
      <c r="AX106" s="5"/>
      <c r="AY106" s="5"/>
      <c r="AZ106" s="5"/>
      <c r="BA106" s="5"/>
      <c r="BB106" s="5" t="b">
        <f ca="1">IFERROR(__xludf.DUMMYFUNCTION("""COMPUTED_VALUE"""),TRUE)</f>
        <v>1</v>
      </c>
      <c r="BC106" s="5" t="str">
        <f ca="1">IFERROR(__xludf.DUMMYFUNCTION("""COMPUTED_VALUE"""),"Redstone")</f>
        <v>Redstone</v>
      </c>
      <c r="BD106" s="7" t="str">
        <f ca="1">IFERROR(__xludf.DUMMYFUNCTION("""COMPUTED_VALUE"""),"https://static.redstone.rs/games/40-clover-fire/")</f>
        <v>https://static.redstone.rs/games/40-clover-fire/</v>
      </c>
      <c r="BE106" s="5" t="b">
        <f ca="1">IFERROR(__xludf.DUMMYFUNCTION("""COMPUTED_VALUE"""),TRUE)</f>
        <v>1</v>
      </c>
    </row>
    <row r="107" spans="1:57" x14ac:dyDescent="0.25">
      <c r="A107" s="5">
        <f ca="1">IFERROR(__xludf.DUMMYFUNCTION("""COMPUTED_VALUE"""),106)</f>
        <v>106</v>
      </c>
      <c r="B107" s="5">
        <f ca="1">IFERROR(__xludf.DUMMYFUNCTION("""COMPUTED_VALUE"""),105)</f>
        <v>105</v>
      </c>
      <c r="C107" s="5" t="str">
        <f ca="1">IFERROR(__xludf.DUMMYFUNCTION("""COMPUTED_VALUE"""),"Fazi")</f>
        <v>Fazi</v>
      </c>
      <c r="D107" s="5" t="str">
        <f ca="1">IFERROR(__xludf.DUMMYFUNCTION("""COMPUTED_VALUE"""),"Very Hot 5")</f>
        <v>Very Hot 5</v>
      </c>
      <c r="E107" s="5" t="str">
        <f ca="1">IFERROR(__xludf.DUMMYFUNCTION("""COMPUTED_VALUE"""),"V2")</f>
        <v>V2</v>
      </c>
      <c r="F107" s="5" t="str">
        <f ca="1">IFERROR(__xludf.DUMMYFUNCTION("""COMPUTED_VALUE"""),"VeryHot5")</f>
        <v>VeryHot5</v>
      </c>
      <c r="G107" s="5" t="str">
        <f ca="1">IFERROR(__xludf.DUMMYFUNCTION("""COMPUTED_VALUE"""),"Live")</f>
        <v>Live</v>
      </c>
      <c r="H107" s="5"/>
      <c r="I107" s="5" t="str">
        <f ca="1">IFERROR(__xludf.DUMMYFUNCTION("""COMPUTED_VALUE"""),"V2")</f>
        <v>V2</v>
      </c>
      <c r="J107" s="5" t="str">
        <f ca="1">IFERROR(__xludf.DUMMYFUNCTION("""COMPUTED_VALUE"""),"JSON")</f>
        <v>JSON</v>
      </c>
      <c r="K107" s="5" t="str">
        <f ca="1">IFERROR(__xludf.DUMMYFUNCTION("""COMPUTED_VALUE"""),"Slot")</f>
        <v>Slot</v>
      </c>
      <c r="L107" s="5" t="str">
        <f ca="1">IFERROR(__xludf.DUMMYFUNCTION("""COMPUTED_VALUE"""),"Clone")</f>
        <v>Clone</v>
      </c>
      <c r="M107" s="5" t="str">
        <f ca="1">IFERROR(__xludf.DUMMYFUNCTION("""COMPUTED_VALUE"""),"Bursting Hot 5")</f>
        <v>Bursting Hot 5</v>
      </c>
      <c r="N107" s="5"/>
      <c r="O107" s="5"/>
      <c r="P107" s="14">
        <f ca="1">IFERROR(__xludf.DUMMYFUNCTION("""COMPUTED_VALUE"""),17.3)</f>
        <v>17.3</v>
      </c>
      <c r="Q107" s="5"/>
      <c r="R107" s="5"/>
      <c r="S107" s="15">
        <f ca="1">IFERROR(__xludf.DUMMYFUNCTION("""COMPUTED_VALUE"""),44420)</f>
        <v>44420</v>
      </c>
      <c r="T107" s="5"/>
      <c r="U107" s="5" t="str">
        <f ca="1">IFERROR(__xludf.DUMMYFUNCTION("""COMPUTED_VALUE"""),"5x3")</f>
        <v>5x3</v>
      </c>
      <c r="V107" s="12" t="str">
        <f ca="1">IFERROR(__xludf.DUMMYFUNCTION("""COMPUTED_VALUE"""),"5")</f>
        <v>5</v>
      </c>
      <c r="W107" s="12" t="str">
        <f ca="1">IFERROR(__xludf.DUMMYFUNCTION("""COMPUTED_VALUE"""),"5")</f>
        <v>5</v>
      </c>
      <c r="X107" s="5">
        <f ca="1">IFERROR(__xludf.DUMMYFUNCTION("""COMPUTED_VALUE"""),96.447)</f>
        <v>96.447000000000003</v>
      </c>
      <c r="Y107" s="5" t="str">
        <f ca="1">IFERROR(__xludf.DUMMYFUNCTION("""COMPUTED_VALUE"""),"Medium")</f>
        <v>Medium</v>
      </c>
      <c r="Z107" s="5">
        <f ca="1">IFERROR(__xludf.DUMMYFUNCTION("""COMPUTED_VALUE"""),14.51)</f>
        <v>14.51</v>
      </c>
      <c r="AA107" s="14">
        <f ca="1">IFERROR(__xludf.DUMMYFUNCTION("""COMPUTED_VALUE"""),1222)</f>
        <v>1222</v>
      </c>
      <c r="AB107" s="5">
        <f ca="1">IFERROR(__xludf.DUMMYFUNCTION("""COMPUTED_VALUE"""),4)</f>
        <v>4</v>
      </c>
      <c r="AC107" s="5" t="str">
        <f ca="1">IFERROR(__xludf.DUMMYFUNCTION("""COMPUTED_VALUE"""),"Scatter, Expanding Wild")</f>
        <v>Scatter, Expanding Wild</v>
      </c>
      <c r="AD107" s="5" t="str">
        <f ca="1">IFERROR(__xludf.DUMMYFUNCTION("""COMPUTED_VALUE"""),"0.05/30")</f>
        <v>0.05/30</v>
      </c>
      <c r="AE107" s="5"/>
      <c r="AF107" s="5"/>
      <c r="AG107" s="10">
        <f ca="1">IFERROR(__xludf.DUMMYFUNCTION("""COMPUTED_VALUE"""),46056.45375)</f>
        <v>46056.453750000001</v>
      </c>
      <c r="AH107" s="5" t="str">
        <f ca="1">IFERROR(__xludf.DUMMYFUNCTION("""COMPUTED_VALUE"""),"aleksandar.trajkovic@fazi.rs")</f>
        <v>aleksandar.trajkovic@fazi.rs</v>
      </c>
      <c r="AI107" s="5"/>
      <c r="AJ107" s="5"/>
      <c r="AK107" s="5">
        <f ca="1">IFERROR(__xludf.DUMMYFUNCTION("""COMPUTED_VALUE"""),5)</f>
        <v>5</v>
      </c>
      <c r="AL107" s="5" t="str">
        <f ca="1">IFERROR(__xludf.DUMMYFUNCTION("""COMPUTED_VALUE"""),"Yes")</f>
        <v>Yes</v>
      </c>
      <c r="AM107" s="5"/>
      <c r="AN107" s="7" t="str">
        <f ca="1">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AO107" s="5" t="str">
        <f ca="1">IFERROR(__xludf.DUMMYFUNCTION("""COMPUTED_VALUE"""),"Yes")</f>
        <v>Yes</v>
      </c>
      <c r="AP107" s="5" t="str">
        <f ca="1">IFERROR(__xludf.DUMMYFUNCTION("""COMPUTED_VALUE"""),"Yes")</f>
        <v>Yes</v>
      </c>
      <c r="AQ107" s="5" t="b">
        <f ca="1">IFERROR(__xludf.DUMMYFUNCTION("""COMPUTED_VALUE"""),TRUE)</f>
        <v>1</v>
      </c>
      <c r="AR107" s="5"/>
      <c r="AS107" s="5" t="str">
        <f ca="1">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AT107" s="5"/>
      <c r="AU107" s="5" t="str">
        <f ca="1">IFERROR(__xludf.DUMMYFUNCTION("""COMPUTED_VALUE"""),"Fazi")</f>
        <v>Fazi</v>
      </c>
      <c r="AV107" s="5"/>
      <c r="AW107" s="5"/>
      <c r="AX107" s="5"/>
      <c r="AY107" s="5" t="str">
        <f ca="1">IFERROR(__xludf.DUMMYFUNCTION("""COMPUTED_VALUE"""),"87.5%, 89.5%, 91.5%, 93.5%, 94.5%, 95.5%, 96.5%")</f>
        <v>87.5%, 89.5%, 91.5%, 93.5%, 94.5%, 95.5%, 96.5%</v>
      </c>
      <c r="AZ107" s="5"/>
      <c r="BA107" s="5" t="str">
        <f ca="1">IFERROR(__xludf.DUMMYFUNCTION("""COMPUTED_VALUE"""),"")</f>
        <v/>
      </c>
      <c r="BB107" s="5"/>
      <c r="BC107" s="5" t="str">
        <f ca="1">IFERROR(__xludf.DUMMYFUNCTION("""COMPUTED_VALUE"""),"Foxi")</f>
        <v>Foxi</v>
      </c>
      <c r="BD107" s="7" t="str">
        <f ca="1">IFERROR(__xludf.DUMMYFUNCTION("""COMPUTED_VALUE"""),"https://gameserver-store-client-area.orbionlimited.com/Home/IntegrationGameLaunch/client-area?moneyType=0&amp;gameName=VeryHot5&amp;platform=desktop&amp;languageCode=eng&amp;currency=EUR")</f>
        <v>https://gameserver-store-client-area.orbionlimited.com/Home/IntegrationGameLaunch/client-area?moneyType=0&amp;gameName=VeryHot5&amp;platform=desktop&amp;languageCode=eng&amp;currency=EUR</v>
      </c>
      <c r="BE107" s="5" t="b">
        <f ca="1">IFERROR(__xludf.DUMMYFUNCTION("""COMPUTED_VALUE"""),TRUE)</f>
        <v>1</v>
      </c>
    </row>
    <row r="108" spans="1:57" x14ac:dyDescent="0.25">
      <c r="A108" s="5">
        <f ca="1">IFERROR(__xludf.DUMMYFUNCTION("""COMPUTED_VALUE"""),107)</f>
        <v>107</v>
      </c>
      <c r="B108" s="5">
        <f ca="1">IFERROR(__xludf.DUMMYFUNCTION("""COMPUTED_VALUE"""),106)</f>
        <v>106</v>
      </c>
      <c r="C108" s="5" t="str">
        <f ca="1">IFERROR(__xludf.DUMMYFUNCTION("""COMPUTED_VALUE"""),"Fazi")</f>
        <v>Fazi</v>
      </c>
      <c r="D108" s="5" t="str">
        <f ca="1">IFERROR(__xludf.DUMMYFUNCTION("""COMPUTED_VALUE"""),"Very Hot 40")</f>
        <v>Very Hot 40</v>
      </c>
      <c r="E108" s="5" t="str">
        <f ca="1">IFERROR(__xludf.DUMMYFUNCTION("""COMPUTED_VALUE"""),"V2")</f>
        <v>V2</v>
      </c>
      <c r="F108" s="5" t="str">
        <f ca="1">IFERROR(__xludf.DUMMYFUNCTION("""COMPUTED_VALUE"""),"VeryHot40")</f>
        <v>VeryHot40</v>
      </c>
      <c r="G108" s="5" t="str">
        <f ca="1">IFERROR(__xludf.DUMMYFUNCTION("""COMPUTED_VALUE"""),"Live")</f>
        <v>Live</v>
      </c>
      <c r="H108" s="5"/>
      <c r="I108" s="5" t="str">
        <f ca="1">IFERROR(__xludf.DUMMYFUNCTION("""COMPUTED_VALUE"""),"V2")</f>
        <v>V2</v>
      </c>
      <c r="J108" s="5" t="str">
        <f ca="1">IFERROR(__xludf.DUMMYFUNCTION("""COMPUTED_VALUE"""),"JSON")</f>
        <v>JSON</v>
      </c>
      <c r="K108" s="5" t="str">
        <f ca="1">IFERROR(__xludf.DUMMYFUNCTION("""COMPUTED_VALUE"""),"Slot")</f>
        <v>Slot</v>
      </c>
      <c r="L108" s="5" t="str">
        <f ca="1">IFERROR(__xludf.DUMMYFUNCTION("""COMPUTED_VALUE"""),"Clone")</f>
        <v>Clone</v>
      </c>
      <c r="M108" s="5" t="str">
        <f ca="1">IFERROR(__xludf.DUMMYFUNCTION("""COMPUTED_VALUE"""),"Bursting Hot 40")</f>
        <v>Bursting Hot 40</v>
      </c>
      <c r="N108" s="5"/>
      <c r="O108" s="5"/>
      <c r="P108" s="14">
        <f ca="1">IFERROR(__xludf.DUMMYFUNCTION("""COMPUTED_VALUE"""),17.4)</f>
        <v>17.399999999999999</v>
      </c>
      <c r="Q108" s="5"/>
      <c r="R108" s="5"/>
      <c r="S108" s="15">
        <f ca="1">IFERROR(__xludf.DUMMYFUNCTION("""COMPUTED_VALUE"""),44420)</f>
        <v>44420</v>
      </c>
      <c r="T108" s="5" t="b">
        <f ca="1">IFERROR(__xludf.DUMMYFUNCTION("""COMPUTED_VALUE"""),TRUE)</f>
        <v>1</v>
      </c>
      <c r="U108" s="5" t="str">
        <f ca="1">IFERROR(__xludf.DUMMYFUNCTION("""COMPUTED_VALUE"""),"5x3")</f>
        <v>5x3</v>
      </c>
      <c r="V108" s="12" t="str">
        <f ca="1">IFERROR(__xludf.DUMMYFUNCTION("""COMPUTED_VALUE"""),"40")</f>
        <v>40</v>
      </c>
      <c r="W108" s="12" t="str">
        <f ca="1">IFERROR(__xludf.DUMMYFUNCTION("""COMPUTED_VALUE"""),"40")</f>
        <v>40</v>
      </c>
      <c r="X108" s="5">
        <f ca="1">IFERROR(__xludf.DUMMYFUNCTION("""COMPUTED_VALUE"""),96.53)</f>
        <v>96.53</v>
      </c>
      <c r="Y108" s="5" t="str">
        <f ca="1">IFERROR(__xludf.DUMMYFUNCTION("""COMPUTED_VALUE"""),"Low")</f>
        <v>Low</v>
      </c>
      <c r="Z108" s="5">
        <f ca="1">IFERROR(__xludf.DUMMYFUNCTION("""COMPUTED_VALUE"""),23.38)</f>
        <v>23.38</v>
      </c>
      <c r="AA108" s="14">
        <f ca="1">IFERROR(__xludf.DUMMYFUNCTION("""COMPUTED_VALUE"""),876.75)</f>
        <v>876.75</v>
      </c>
      <c r="AB108" s="5">
        <f ca="1">IFERROR(__xludf.DUMMYFUNCTION("""COMPUTED_VALUE"""),4)</f>
        <v>4</v>
      </c>
      <c r="AC108" s="5" t="str">
        <f ca="1">IFERROR(__xludf.DUMMYFUNCTION("""COMPUTED_VALUE"""),"Scatter, Expanding Wild")</f>
        <v>Scatter, Expanding Wild</v>
      </c>
      <c r="AD108" s="5" t="str">
        <f ca="1">IFERROR(__xludf.DUMMYFUNCTION("""COMPUTED_VALUE"""),"0.4/60")</f>
        <v>0.4/60</v>
      </c>
      <c r="AE108" s="5"/>
      <c r="AF108" s="5"/>
      <c r="AG108" s="10">
        <f ca="1">IFERROR(__xludf.DUMMYFUNCTION("""COMPUTED_VALUE"""),46056.4538310185)</f>
        <v>46056.453831018502</v>
      </c>
      <c r="AH108" s="5" t="str">
        <f ca="1">IFERROR(__xludf.DUMMYFUNCTION("""COMPUTED_VALUE"""),"aleksandar.trajkovic@fazi.rs")</f>
        <v>aleksandar.trajkovic@fazi.rs</v>
      </c>
      <c r="AI108" s="5"/>
      <c r="AJ108" s="5"/>
      <c r="AK108" s="5">
        <f ca="1">IFERROR(__xludf.DUMMYFUNCTION("""COMPUTED_VALUE"""),40)</f>
        <v>40</v>
      </c>
      <c r="AL108" s="5" t="str">
        <f ca="1">IFERROR(__xludf.DUMMYFUNCTION("""COMPUTED_VALUE"""),"Yes")</f>
        <v>Yes</v>
      </c>
      <c r="AM108" s="5"/>
      <c r="AN108" s="7" t="str">
        <f ca="1">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AO108" s="5" t="str">
        <f ca="1">IFERROR(__xludf.DUMMYFUNCTION("""COMPUTED_VALUE"""),"Yes")</f>
        <v>Yes</v>
      </c>
      <c r="AP108" s="5" t="str">
        <f ca="1">IFERROR(__xludf.DUMMYFUNCTION("""COMPUTED_VALUE"""),"Yes")</f>
        <v>Yes</v>
      </c>
      <c r="AQ108" s="5" t="b">
        <f ca="1">IFERROR(__xludf.DUMMYFUNCTION("""COMPUTED_VALUE"""),TRUE)</f>
        <v>1</v>
      </c>
      <c r="AR108" s="5"/>
      <c r="AS108" s="5" t="str">
        <f ca="1">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AT108" s="5"/>
      <c r="AU108" s="5" t="str">
        <f ca="1">IFERROR(__xludf.DUMMYFUNCTION("""COMPUTED_VALUE"""),"Fazi")</f>
        <v>Fazi</v>
      </c>
      <c r="AV108" s="5"/>
      <c r="AW108" s="5"/>
      <c r="AX108" s="5"/>
      <c r="AY108" s="5" t="str">
        <f ca="1">IFERROR(__xludf.DUMMYFUNCTION("""COMPUTED_VALUE"""),"87.5%, 89.5%, 91.5%, 93.5%, 94.5%, 95.5%, 96.5%")</f>
        <v>87.5%, 89.5%, 91.5%, 93.5%, 94.5%, 95.5%, 96.5%</v>
      </c>
      <c r="AZ108" s="5"/>
      <c r="BA108" s="5" t="str">
        <f ca="1">IFERROR(__xludf.DUMMYFUNCTION("""COMPUTED_VALUE"""),"")</f>
        <v/>
      </c>
      <c r="BB108" s="5"/>
      <c r="BC108" s="5" t="str">
        <f ca="1">IFERROR(__xludf.DUMMYFUNCTION("""COMPUTED_VALUE"""),"Foxi")</f>
        <v>Foxi</v>
      </c>
      <c r="BD108" s="7" t="str">
        <f ca="1">IFERROR(__xludf.DUMMYFUNCTION("""COMPUTED_VALUE"""),"https://gameserver-store-client-area.orbionlimited.com/Home/IntegrationGameLaunch/client-area?moneyType=0&amp;gameName=VeryHot40&amp;platform=desktop&amp;languageCode=eng&amp;currency=EUR")</f>
        <v>https://gameserver-store-client-area.orbionlimited.com/Home/IntegrationGameLaunch/client-area?moneyType=0&amp;gameName=VeryHot40&amp;platform=desktop&amp;languageCode=eng&amp;currency=EUR</v>
      </c>
      <c r="BE108" s="5" t="b">
        <f ca="1">IFERROR(__xludf.DUMMYFUNCTION("""COMPUTED_VALUE"""),TRUE)</f>
        <v>1</v>
      </c>
    </row>
    <row r="109" spans="1:57" x14ac:dyDescent="0.25">
      <c r="A109" s="5">
        <f ca="1">IFERROR(__xludf.DUMMYFUNCTION("""COMPUTED_VALUE"""),108)</f>
        <v>108</v>
      </c>
      <c r="B109" s="5">
        <f ca="1">IFERROR(__xludf.DUMMYFUNCTION("""COMPUTED_VALUE"""),107)</f>
        <v>107</v>
      </c>
      <c r="C109" s="5" t="str">
        <f ca="1">IFERROR(__xludf.DUMMYFUNCTION("""COMPUTED_VALUE"""),"Fazi")</f>
        <v>Fazi</v>
      </c>
      <c r="D109" s="5" t="str">
        <f ca="1">IFERROR(__xludf.DUMMYFUNCTION("""COMPUTED_VALUE"""),"Jewels Beat")</f>
        <v>Jewels Beat</v>
      </c>
      <c r="E109" s="5" t="str">
        <f ca="1">IFERROR(__xludf.DUMMYFUNCTION("""COMPUTED_VALUE"""),"V2")</f>
        <v>V2</v>
      </c>
      <c r="F109" s="5" t="str">
        <f ca="1">IFERROR(__xludf.DUMMYFUNCTION("""COMPUTED_VALUE"""),"JewelsBeat")</f>
        <v>JewelsBeat</v>
      </c>
      <c r="G109" s="5" t="str">
        <f ca="1">IFERROR(__xludf.DUMMYFUNCTION("""COMPUTED_VALUE"""),"Live")</f>
        <v>Live</v>
      </c>
      <c r="H109" s="5"/>
      <c r="I109" s="5" t="str">
        <f ca="1">IFERROR(__xludf.DUMMYFUNCTION("""COMPUTED_VALUE"""),"V2")</f>
        <v>V2</v>
      </c>
      <c r="J109" s="5" t="str">
        <f ca="1">IFERROR(__xludf.DUMMYFUNCTION("""COMPUTED_VALUE"""),"Binary")</f>
        <v>Binary</v>
      </c>
      <c r="K109" s="5" t="str">
        <f ca="1">IFERROR(__xludf.DUMMYFUNCTION("""COMPUTED_VALUE"""),"Slot")</f>
        <v>Slot</v>
      </c>
      <c r="L109" s="5" t="str">
        <f ca="1">IFERROR(__xludf.DUMMYFUNCTION("""COMPUTED_VALUE"""),"Clone")</f>
        <v>Clone</v>
      </c>
      <c r="M109" s="5" t="str">
        <f ca="1">IFERROR(__xludf.DUMMYFUNCTION("""COMPUTED_VALUE"""),"Diamonds")</f>
        <v>Diamonds</v>
      </c>
      <c r="N109" s="5"/>
      <c r="O109" s="5"/>
      <c r="P109" s="14">
        <f ca="1">IFERROR(__xludf.DUMMYFUNCTION("""COMPUTED_VALUE"""),23.7)</f>
        <v>23.7</v>
      </c>
      <c r="Q109" s="5"/>
      <c r="R109" s="5"/>
      <c r="S109" s="15">
        <f ca="1">IFERROR(__xludf.DUMMYFUNCTION("""COMPUTED_VALUE"""),44561)</f>
        <v>44561</v>
      </c>
      <c r="T109" s="5"/>
      <c r="U109" s="5" t="str">
        <f ca="1">IFERROR(__xludf.DUMMYFUNCTION("""COMPUTED_VALUE"""),"5x3")</f>
        <v>5x3</v>
      </c>
      <c r="V109" s="12" t="str">
        <f ca="1">IFERROR(__xludf.DUMMYFUNCTION("""COMPUTED_VALUE"""),"10")</f>
        <v>10</v>
      </c>
      <c r="W109" s="12" t="str">
        <f ca="1">IFERROR(__xludf.DUMMYFUNCTION("""COMPUTED_VALUE"""),"1,3,5,7,10")</f>
        <v>1,3,5,7,10</v>
      </c>
      <c r="X109" s="5">
        <f ca="1">IFERROR(__xludf.DUMMYFUNCTION("""COMPUTED_VALUE"""),95.421)</f>
        <v>95.421000000000006</v>
      </c>
      <c r="Y109" s="5" t="str">
        <f ca="1">IFERROR(__xludf.DUMMYFUNCTION("""COMPUTED_VALUE"""),"Medium")</f>
        <v>Medium</v>
      </c>
      <c r="Z109" s="5">
        <f ca="1">IFERROR(__xludf.DUMMYFUNCTION("""COMPUTED_VALUE"""),15.82)</f>
        <v>15.82</v>
      </c>
      <c r="AA109" s="14">
        <f ca="1">IFERROR(__xludf.DUMMYFUNCTION("""COMPUTED_VALUE"""),5000)</f>
        <v>5000</v>
      </c>
      <c r="AB109" s="5" t="str">
        <f ca="1">IFERROR(__xludf.DUMMYFUNCTION("""COMPUTED_VALUE"""),"/")</f>
        <v>/</v>
      </c>
      <c r="AC109" s="5" t="str">
        <f ca="1">IFERROR(__xludf.DUMMYFUNCTION("""COMPUTED_VALUE"""),"Adjacent pays, Scatter")</f>
        <v>Adjacent pays, Scatter</v>
      </c>
      <c r="AD109" s="5" t="str">
        <f ca="1">IFERROR(__xludf.DUMMYFUNCTION("""COMPUTED_VALUE"""),"0.01/40")</f>
        <v>0.01/40</v>
      </c>
      <c r="AE109" s="5"/>
      <c r="AF109" s="5"/>
      <c r="AG109" s="10">
        <f ca="1">IFERROR(__xludf.DUMMYFUNCTION("""COMPUTED_VALUE"""),46055.5121527777)</f>
        <v>46055.512152777701</v>
      </c>
      <c r="AH109" s="5" t="str">
        <f ca="1">IFERROR(__xludf.DUMMYFUNCTION("""COMPUTED_VALUE"""),"djordje.jankovic@fazi.rs")</f>
        <v>djordje.jankovic@fazi.rs</v>
      </c>
      <c r="AI109" s="5"/>
      <c r="AJ109" s="5"/>
      <c r="AK109" s="5">
        <f ca="1">IFERROR(__xludf.DUMMYFUNCTION("""COMPUTED_VALUE"""),10)</f>
        <v>10</v>
      </c>
      <c r="AL109" s="5" t="str">
        <f ca="1">IFERROR(__xludf.DUMMYFUNCTION("""COMPUTED_VALUE"""),"Yes")</f>
        <v>Yes</v>
      </c>
      <c r="AM109" s="5"/>
      <c r="AN109" s="7" t="str">
        <f ca="1">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AO109" s="5"/>
      <c r="AP109" s="5"/>
      <c r="AQ109" s="5" t="b">
        <f ca="1">IFERROR(__xludf.DUMMYFUNCTION("""COMPUTED_VALUE"""),TRUE)</f>
        <v>1</v>
      </c>
      <c r="AR109" s="5"/>
      <c r="AS109" s="5" t="str">
        <f ca="1">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AT109" s="5"/>
      <c r="AU109" s="5" t="str">
        <f ca="1">IFERROR(__xludf.DUMMYFUNCTION("""COMPUTED_VALUE"""),"Fazi")</f>
        <v>Fazi</v>
      </c>
      <c r="AV109" s="5"/>
      <c r="AW109" s="5"/>
      <c r="AX109" s="5"/>
      <c r="AY109" s="5"/>
      <c r="AZ109" s="5"/>
      <c r="BA109" s="5" t="str">
        <f ca="1">IFERROR(__xludf.DUMMYFUNCTION("""COMPUTED_VALUE"""),"")</f>
        <v/>
      </c>
      <c r="BB109" s="5"/>
      <c r="BC109" s="5" t="str">
        <f ca="1">IFERROR(__xludf.DUMMYFUNCTION("""COMPUTED_VALUE"""),"Foxi")</f>
        <v>Foxi</v>
      </c>
      <c r="BD109" s="7" t="str">
        <f ca="1">IFERROR(__xludf.DUMMYFUNCTION("""COMPUTED_VALUE"""),"https://gameserver-store-client-area.orbionlimited.com/Home/IntegrationGameLaunch/client-area?moneyType=0&amp;gameName=JewelsBeat&amp;platform=desktop&amp;languageCode=eng&amp;currency=EUR")</f>
        <v>https://gameserver-store-client-area.orbionlimited.com/Home/IntegrationGameLaunch/client-area?moneyType=0&amp;gameName=JewelsBeat&amp;platform=desktop&amp;languageCode=eng&amp;currency=EUR</v>
      </c>
      <c r="BE109" s="5" t="b">
        <f ca="1">IFERROR(__xludf.DUMMYFUNCTION("""COMPUTED_VALUE"""),TRUE)</f>
        <v>1</v>
      </c>
    </row>
    <row r="110" spans="1:57" x14ac:dyDescent="0.25">
      <c r="A110" s="5">
        <f ca="1">IFERROR(__xludf.DUMMYFUNCTION("""COMPUTED_VALUE"""),109)</f>
        <v>109</v>
      </c>
      <c r="B110" s="5">
        <f ca="1">IFERROR(__xludf.DUMMYFUNCTION("""COMPUTED_VALUE"""),108)</f>
        <v>108</v>
      </c>
      <c r="C110" s="5" t="str">
        <f ca="1">IFERROR(__xludf.DUMMYFUNCTION("""COMPUTED_VALUE"""),"Fazi")</f>
        <v>Fazi</v>
      </c>
      <c r="D110" s="5" t="str">
        <f ca="1">IFERROR(__xludf.DUMMYFUNCTION("""COMPUTED_VALUE"""),"Heating Ice")</f>
        <v>Heating Ice</v>
      </c>
      <c r="E110" s="5" t="str">
        <f ca="1">IFERROR(__xludf.DUMMYFUNCTION("""COMPUTED_VALUE"""),"V2")</f>
        <v>V2</v>
      </c>
      <c r="F110" s="5" t="str">
        <f ca="1">IFERROR(__xludf.DUMMYFUNCTION("""COMPUTED_VALUE"""),"HeatingIce")</f>
        <v>HeatingIce</v>
      </c>
      <c r="G110" s="5" t="str">
        <f ca="1">IFERROR(__xludf.DUMMYFUNCTION("""COMPUTED_VALUE"""),"Live")</f>
        <v>Live</v>
      </c>
      <c r="H110" s="5"/>
      <c r="I110" s="5" t="str">
        <f ca="1">IFERROR(__xludf.DUMMYFUNCTION("""COMPUTED_VALUE"""),"V2")</f>
        <v>V2</v>
      </c>
      <c r="J110" s="5" t="str">
        <f ca="1">IFERROR(__xludf.DUMMYFUNCTION("""COMPUTED_VALUE"""),"Binary")</f>
        <v>Binary</v>
      </c>
      <c r="K110" s="5" t="str">
        <f ca="1">IFERROR(__xludf.DUMMYFUNCTION("""COMPUTED_VALUE"""),"Slot")</f>
        <v>Slot</v>
      </c>
      <c r="L110" s="5" t="str">
        <f ca="1">IFERROR(__xludf.DUMMYFUNCTION("""COMPUTED_VALUE"""),"Clone")</f>
        <v>Clone</v>
      </c>
      <c r="M110" s="5" t="str">
        <f ca="1">IFERROR(__xludf.DUMMYFUNCTION("""COMPUTED_VALUE"""),"Burning Ice")</f>
        <v>Burning Ice</v>
      </c>
      <c r="N110" s="5"/>
      <c r="O110" s="5"/>
      <c r="P110" s="14">
        <f ca="1">IFERROR(__xludf.DUMMYFUNCTION("""COMPUTED_VALUE"""),35.5)</f>
        <v>35.5</v>
      </c>
      <c r="Q110" s="5"/>
      <c r="R110" s="5"/>
      <c r="S110" s="15">
        <f ca="1">IFERROR(__xludf.DUMMYFUNCTION("""COMPUTED_VALUE"""),44561)</f>
        <v>44561</v>
      </c>
      <c r="T110" s="5" t="b">
        <f ca="1">IFERROR(__xludf.DUMMYFUNCTION("""COMPUTED_VALUE"""),TRUE)</f>
        <v>1</v>
      </c>
      <c r="U110" s="5" t="str">
        <f ca="1">IFERROR(__xludf.DUMMYFUNCTION("""COMPUTED_VALUE"""),"3x3")</f>
        <v>3x3</v>
      </c>
      <c r="V110" s="12" t="str">
        <f ca="1">IFERROR(__xludf.DUMMYFUNCTION("""COMPUTED_VALUE"""),"27")</f>
        <v>27</v>
      </c>
      <c r="W110" s="12" t="str">
        <f ca="1">IFERROR(__xludf.DUMMYFUNCTION("""COMPUTED_VALUE"""),"27")</f>
        <v>27</v>
      </c>
      <c r="X110" s="5">
        <f ca="1">IFERROR(__xludf.DUMMYFUNCTION("""COMPUTED_VALUE"""),96.352)</f>
        <v>96.352000000000004</v>
      </c>
      <c r="Y110" s="5" t="str">
        <f ca="1">IFERROR(__xludf.DUMMYFUNCTION("""COMPUTED_VALUE"""),"Medium")</f>
        <v>Medium</v>
      </c>
      <c r="Z110" s="5">
        <f ca="1">IFERROR(__xludf.DUMMYFUNCTION("""COMPUTED_VALUE"""),8.02)</f>
        <v>8.02</v>
      </c>
      <c r="AA110" s="14">
        <f ca="1">IFERROR(__xludf.DUMMYFUNCTION("""COMPUTED_VALUE"""),360)</f>
        <v>360</v>
      </c>
      <c r="AB110" s="5"/>
      <c r="AC110" s="5" t="str">
        <f ca="1">IFERROR(__xludf.DUMMYFUNCTION("""COMPUTED_VALUE"""),"Respin, Mystery symbol")</f>
        <v>Respin, Mystery symbol</v>
      </c>
      <c r="AD110" s="5" t="str">
        <f ca="1">IFERROR(__xludf.DUMMYFUNCTION("""COMPUTED_VALUE"""),"0.1/50")</f>
        <v>0.1/50</v>
      </c>
      <c r="AE110" s="5"/>
      <c r="AF110" s="5"/>
      <c r="AG110" s="5"/>
      <c r="AH110" s="5"/>
      <c r="AI110" s="5"/>
      <c r="AJ110" s="5"/>
      <c r="AK110" s="5">
        <f ca="1">IFERROR(__xludf.DUMMYFUNCTION("""COMPUTED_VALUE"""),1)</f>
        <v>1</v>
      </c>
      <c r="AL110" s="5" t="str">
        <f ca="1">IFERROR(__xludf.DUMMYFUNCTION("""COMPUTED_VALUE"""),"Yes")</f>
        <v>Yes</v>
      </c>
      <c r="AM110" s="5"/>
      <c r="AN110" s="7" t="str">
        <f ca="1">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AO110" s="5"/>
      <c r="AP110" s="5"/>
      <c r="AQ110" s="5" t="b">
        <f ca="1">IFERROR(__xludf.DUMMYFUNCTION("""COMPUTED_VALUE"""),TRUE)</f>
        <v>1</v>
      </c>
      <c r="AR110" s="5"/>
      <c r="AS110" s="5" t="str">
        <f ca="1">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AT110" s="5"/>
      <c r="AU110" s="5" t="str">
        <f ca="1">IFERROR(__xludf.DUMMYFUNCTION("""COMPUTED_VALUE"""),"Fazi")</f>
        <v>Fazi</v>
      </c>
      <c r="AV110" s="5"/>
      <c r="AW110" s="5"/>
      <c r="AX110" s="5"/>
      <c r="AY110" s="5"/>
      <c r="AZ110" s="5"/>
      <c r="BA110" s="5" t="str">
        <f ca="1">IFERROR(__xludf.DUMMYFUNCTION("""COMPUTED_VALUE"""),"")</f>
        <v/>
      </c>
      <c r="BB110" s="5"/>
      <c r="BC110" s="5" t="str">
        <f ca="1">IFERROR(__xludf.DUMMYFUNCTION("""COMPUTED_VALUE"""),"Foxi")</f>
        <v>Foxi</v>
      </c>
      <c r="BD110" s="7" t="str">
        <f ca="1">IFERROR(__xludf.DUMMYFUNCTION("""COMPUTED_VALUE"""),"https://gameserver-store-client-area.orbionlimited.com/Home/IntegrationGameLaunch/client-area?moneyType=0&amp;gameName=HeatingIce&amp;platform=desktop&amp;languageCode=eng&amp;currency=EUR")</f>
        <v>https://gameserver-store-client-area.orbionlimited.com/Home/IntegrationGameLaunch/client-area?moneyType=0&amp;gameName=HeatingIce&amp;platform=desktop&amp;languageCode=eng&amp;currency=EUR</v>
      </c>
      <c r="BE110" s="5" t="b">
        <f ca="1">IFERROR(__xludf.DUMMYFUNCTION("""COMPUTED_VALUE"""),TRUE)</f>
        <v>1</v>
      </c>
    </row>
    <row r="111" spans="1:57" x14ac:dyDescent="0.25">
      <c r="A111" s="5">
        <f ca="1">IFERROR(__xludf.DUMMYFUNCTION("""COMPUTED_VALUE"""),110)</f>
        <v>110</v>
      </c>
      <c r="B111" s="5">
        <f ca="1">IFERROR(__xludf.DUMMYFUNCTION("""COMPUTED_VALUE"""),109)</f>
        <v>109</v>
      </c>
      <c r="C111" s="5" t="str">
        <f ca="1">IFERROR(__xludf.DUMMYFUNCTION("""COMPUTED_VALUE"""),"Fazi")</f>
        <v>Fazi</v>
      </c>
      <c r="D111" s="5" t="str">
        <f ca="1">IFERROR(__xludf.DUMMYFUNCTION("""COMPUTED_VALUE"""),"Heating Ice Deluxe")</f>
        <v>Heating Ice Deluxe</v>
      </c>
      <c r="E111" s="5" t="str">
        <f ca="1">IFERROR(__xludf.DUMMYFUNCTION("""COMPUTED_VALUE"""),"V2")</f>
        <v>V2</v>
      </c>
      <c r="F111" s="5" t="str">
        <f ca="1">IFERROR(__xludf.DUMMYFUNCTION("""COMPUTED_VALUE"""),"HeatingIceDeluxe")</f>
        <v>HeatingIceDeluxe</v>
      </c>
      <c r="G111" s="5" t="str">
        <f ca="1">IFERROR(__xludf.DUMMYFUNCTION("""COMPUTED_VALUE"""),"Live")</f>
        <v>Live</v>
      </c>
      <c r="H111" s="5"/>
      <c r="I111" s="5" t="str">
        <f ca="1">IFERROR(__xludf.DUMMYFUNCTION("""COMPUTED_VALUE"""),"V2")</f>
        <v>V2</v>
      </c>
      <c r="J111" s="5" t="str">
        <f ca="1">IFERROR(__xludf.DUMMYFUNCTION("""COMPUTED_VALUE"""),"Binary")</f>
        <v>Binary</v>
      </c>
      <c r="K111" s="5" t="str">
        <f ca="1">IFERROR(__xludf.DUMMYFUNCTION("""COMPUTED_VALUE"""),"Slot")</f>
        <v>Slot</v>
      </c>
      <c r="L111" s="5" t="str">
        <f ca="1">IFERROR(__xludf.DUMMYFUNCTION("""COMPUTED_VALUE"""),"Clone")</f>
        <v>Clone</v>
      </c>
      <c r="M111" s="5" t="str">
        <f ca="1">IFERROR(__xludf.DUMMYFUNCTION("""COMPUTED_VALUE"""),"Burning Ice")</f>
        <v>Burning Ice</v>
      </c>
      <c r="N111" s="5"/>
      <c r="O111" s="5"/>
      <c r="P111" s="14">
        <f ca="1">IFERROR(__xludf.DUMMYFUNCTION("""COMPUTED_VALUE"""),38.4)</f>
        <v>38.4</v>
      </c>
      <c r="Q111" s="5"/>
      <c r="R111" s="5"/>
      <c r="S111" s="15">
        <f ca="1">IFERROR(__xludf.DUMMYFUNCTION("""COMPUTED_VALUE"""),44551)</f>
        <v>44551</v>
      </c>
      <c r="T111" s="5" t="b">
        <f ca="1">IFERROR(__xludf.DUMMYFUNCTION("""COMPUTED_VALUE"""),TRUE)</f>
        <v>1</v>
      </c>
      <c r="U111" s="5" t="str">
        <f ca="1">IFERROR(__xludf.DUMMYFUNCTION("""COMPUTED_VALUE"""),"3x3")</f>
        <v>3x3</v>
      </c>
      <c r="V111" s="12" t="str">
        <f ca="1">IFERROR(__xludf.DUMMYFUNCTION("""COMPUTED_VALUE"""),"27")</f>
        <v>27</v>
      </c>
      <c r="W111" s="12" t="str">
        <f ca="1">IFERROR(__xludf.DUMMYFUNCTION("""COMPUTED_VALUE"""),"27")</f>
        <v>27</v>
      </c>
      <c r="X111" s="5">
        <f ca="1">IFERROR(__xludf.DUMMYFUNCTION("""COMPUTED_VALUE"""),96.352)</f>
        <v>96.352000000000004</v>
      </c>
      <c r="Y111" s="5" t="str">
        <f ca="1">IFERROR(__xludf.DUMMYFUNCTION("""COMPUTED_VALUE"""),"Medium")</f>
        <v>Medium</v>
      </c>
      <c r="Z111" s="5">
        <f ca="1">IFERROR(__xludf.DUMMYFUNCTION("""COMPUTED_VALUE"""),8.02)</f>
        <v>8.02</v>
      </c>
      <c r="AA111" s="14">
        <f ca="1">IFERROR(__xludf.DUMMYFUNCTION("""COMPUTED_VALUE"""),360)</f>
        <v>360</v>
      </c>
      <c r="AB111" s="5"/>
      <c r="AC111" s="5" t="str">
        <f ca="1">IFERROR(__xludf.DUMMYFUNCTION("""COMPUTED_VALUE"""),"Respin, Mystery symbol")</f>
        <v>Respin, Mystery symbol</v>
      </c>
      <c r="AD111" s="5" t="str">
        <f ca="1">IFERROR(__xludf.DUMMYFUNCTION("""COMPUTED_VALUE"""),"0.1/50")</f>
        <v>0.1/50</v>
      </c>
      <c r="AE111" s="5"/>
      <c r="AF111" s="5"/>
      <c r="AG111" s="5"/>
      <c r="AH111" s="5"/>
      <c r="AI111" s="5"/>
      <c r="AJ111" s="5"/>
      <c r="AK111" s="5">
        <f ca="1">IFERROR(__xludf.DUMMYFUNCTION("""COMPUTED_VALUE"""),1)</f>
        <v>1</v>
      </c>
      <c r="AL111" s="5" t="str">
        <f ca="1">IFERROR(__xludf.DUMMYFUNCTION("""COMPUTED_VALUE"""),"Yes")</f>
        <v>Yes</v>
      </c>
      <c r="AM111" s="5"/>
      <c r="AN111" s="7" t="str">
        <f ca="1">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AO111" s="5"/>
      <c r="AP111" s="5"/>
      <c r="AQ111" s="5" t="b">
        <f ca="1">IFERROR(__xludf.DUMMYFUNCTION("""COMPUTED_VALUE"""),TRUE)</f>
        <v>1</v>
      </c>
      <c r="AR111" s="5"/>
      <c r="AS111" s="5" t="str">
        <f ca="1">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AT111" s="5"/>
      <c r="AU111" s="5" t="str">
        <f ca="1">IFERROR(__xludf.DUMMYFUNCTION("""COMPUTED_VALUE"""),"Fazi")</f>
        <v>Fazi</v>
      </c>
      <c r="AV111" s="5"/>
      <c r="AW111" s="5"/>
      <c r="AX111" s="5"/>
      <c r="AY111" s="5"/>
      <c r="AZ111" s="5"/>
      <c r="BA111" s="5" t="str">
        <f ca="1">IFERROR(__xludf.DUMMYFUNCTION("""COMPUTED_VALUE"""),"")</f>
        <v/>
      </c>
      <c r="BB111" s="5"/>
      <c r="BC111" s="5" t="str">
        <f ca="1">IFERROR(__xludf.DUMMYFUNCTION("""COMPUTED_VALUE"""),"Foxi")</f>
        <v>Foxi</v>
      </c>
      <c r="BD111" s="7" t="str">
        <f ca="1">IFERROR(__xludf.DUMMYFUNCTION("""COMPUTED_VALUE"""),"https://gameserver-store-client-area.orbionlimited.com/Home/IntegrationGameLaunch/client-area?moneyType=0&amp;gameName=HeatingIceDeluxe&amp;platform=desktop&amp;languageCode=eng&amp;currency=EUR")</f>
        <v>https://gameserver-store-client-area.orbionlimited.com/Home/IntegrationGameLaunch/client-area?moneyType=0&amp;gameName=HeatingIceDeluxe&amp;platform=desktop&amp;languageCode=eng&amp;currency=EUR</v>
      </c>
      <c r="BE111" s="5" t="b">
        <f ca="1">IFERROR(__xludf.DUMMYFUNCTION("""COMPUTED_VALUE"""),TRUE)</f>
        <v>1</v>
      </c>
    </row>
    <row r="112" spans="1:57" x14ac:dyDescent="0.25">
      <c r="A112" s="5">
        <f ca="1">IFERROR(__xludf.DUMMYFUNCTION("""COMPUTED_VALUE"""),111)</f>
        <v>111</v>
      </c>
      <c r="B112" s="5">
        <f ca="1">IFERROR(__xludf.DUMMYFUNCTION("""COMPUTED_VALUE"""),110)</f>
        <v>110</v>
      </c>
      <c r="C112" s="5" t="str">
        <f ca="1">IFERROR(__xludf.DUMMYFUNCTION("""COMPUTED_VALUE"""),"Fazi")</f>
        <v>Fazi</v>
      </c>
      <c r="D112" s="5" t="str">
        <f ca="1">IFERROR(__xludf.DUMMYFUNCTION("""COMPUTED_VALUE"""),"Fluo Dice 5")</f>
        <v>Fluo Dice 5</v>
      </c>
      <c r="E112" s="5" t="str">
        <f ca="1">IFERROR(__xludf.DUMMYFUNCTION("""COMPUTED_VALUE"""),"V2")</f>
        <v>V2</v>
      </c>
      <c r="F112" s="5" t="str">
        <f ca="1">IFERROR(__xludf.DUMMYFUNCTION("""COMPUTED_VALUE"""),"FluoDice5")</f>
        <v>FluoDice5</v>
      </c>
      <c r="G112" s="5" t="str">
        <f ca="1">IFERROR(__xludf.DUMMYFUNCTION("""COMPUTED_VALUE"""),"Live")</f>
        <v>Live</v>
      </c>
      <c r="H112" s="5"/>
      <c r="I112" s="5" t="str">
        <f ca="1">IFERROR(__xludf.DUMMYFUNCTION("""COMPUTED_VALUE"""),"V2")</f>
        <v>V2</v>
      </c>
      <c r="J112" s="5" t="str">
        <f ca="1">IFERROR(__xludf.DUMMYFUNCTION("""COMPUTED_VALUE"""),"Binary")</f>
        <v>Binary</v>
      </c>
      <c r="K112" s="5" t="str">
        <f ca="1">IFERROR(__xludf.DUMMYFUNCTION("""COMPUTED_VALUE"""),"Slot")</f>
        <v>Slot</v>
      </c>
      <c r="L112" s="5" t="str">
        <f ca="1">IFERROR(__xludf.DUMMYFUNCTION("""COMPUTED_VALUE"""),"Clone")</f>
        <v>Clone</v>
      </c>
      <c r="M112" s="5" t="str">
        <f ca="1">IFERROR(__xludf.DUMMYFUNCTION("""COMPUTED_VALUE"""),"Neon Hot 5")</f>
        <v>Neon Hot 5</v>
      </c>
      <c r="N112" s="5"/>
      <c r="O112" s="5"/>
      <c r="P112" s="14">
        <f ca="1">IFERROR(__xludf.DUMMYFUNCTION("""COMPUTED_VALUE"""),31.9)</f>
        <v>31.9</v>
      </c>
      <c r="Q112" s="5"/>
      <c r="R112" s="5"/>
      <c r="S112" s="15">
        <f ca="1">IFERROR(__xludf.DUMMYFUNCTION("""COMPUTED_VALUE"""),38544)</f>
        <v>38544</v>
      </c>
      <c r="T112" s="5"/>
      <c r="U112" s="5" t="str">
        <f ca="1">IFERROR(__xludf.DUMMYFUNCTION("""COMPUTED_VALUE"""),"5x3")</f>
        <v>5x3</v>
      </c>
      <c r="V112" s="12" t="str">
        <f ca="1">IFERROR(__xludf.DUMMYFUNCTION("""COMPUTED_VALUE"""),"5")</f>
        <v>5</v>
      </c>
      <c r="W112" s="12" t="str">
        <f ca="1">IFERROR(__xludf.DUMMYFUNCTION("""COMPUTED_VALUE"""),"5")</f>
        <v>5</v>
      </c>
      <c r="X112" s="5">
        <f ca="1">IFERROR(__xludf.DUMMYFUNCTION("""COMPUTED_VALUE"""),95.74)</f>
        <v>95.74</v>
      </c>
      <c r="Y112" s="5" t="str">
        <f ca="1">IFERROR(__xludf.DUMMYFUNCTION("""COMPUTED_VALUE"""),"Medium")</f>
        <v>Medium</v>
      </c>
      <c r="Z112" s="5">
        <f ca="1">IFERROR(__xludf.DUMMYFUNCTION("""COMPUTED_VALUE"""),12.55)</f>
        <v>12.55</v>
      </c>
      <c r="AA112" s="14">
        <f ca="1">IFERROR(__xludf.DUMMYFUNCTION("""COMPUTED_VALUE"""),1000)</f>
        <v>1000</v>
      </c>
      <c r="AB112" s="5" t="str">
        <f ca="1">IFERROR(__xludf.DUMMYFUNCTION("""COMPUTED_VALUE"""),"/")</f>
        <v>/</v>
      </c>
      <c r="AC112" s="5" t="str">
        <f ca="1">IFERROR(__xludf.DUMMYFUNCTION("""COMPUTED_VALUE"""),"Scatter")</f>
        <v>Scatter</v>
      </c>
      <c r="AD112" s="5" t="str">
        <f ca="1">IFERROR(__xludf.DUMMYFUNCTION("""COMPUTED_VALUE"""),"0.05/30")</f>
        <v>0.05/30</v>
      </c>
      <c r="AE112" s="5"/>
      <c r="AF112" s="5"/>
      <c r="AG112" s="10">
        <f ca="1">IFERROR(__xludf.DUMMYFUNCTION("""COMPUTED_VALUE"""),46055.5126388888)</f>
        <v>46055.512638888802</v>
      </c>
      <c r="AH112" s="5" t="str">
        <f ca="1">IFERROR(__xludf.DUMMYFUNCTION("""COMPUTED_VALUE"""),"djordje.jankovic@fazi.rs")</f>
        <v>djordje.jankovic@fazi.rs</v>
      </c>
      <c r="AI112" s="5"/>
      <c r="AJ112" s="5"/>
      <c r="AK112" s="5">
        <f ca="1">IFERROR(__xludf.DUMMYFUNCTION("""COMPUTED_VALUE"""),5)</f>
        <v>5</v>
      </c>
      <c r="AL112" s="5" t="str">
        <f ca="1">IFERROR(__xludf.DUMMYFUNCTION("""COMPUTED_VALUE"""),"Yes")</f>
        <v>Yes</v>
      </c>
      <c r="AM112" s="5"/>
      <c r="AN112" s="7" t="str">
        <f ca="1">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AO112" s="5"/>
      <c r="AP112" s="5"/>
      <c r="AQ112" s="5" t="b">
        <f ca="1">IFERROR(__xludf.DUMMYFUNCTION("""COMPUTED_VALUE"""),TRUE)</f>
        <v>1</v>
      </c>
      <c r="AR112" s="5"/>
      <c r="AS112" s="5" t="str">
        <f ca="1">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AT112" s="5"/>
      <c r="AU112" s="5" t="str">
        <f ca="1">IFERROR(__xludf.DUMMYFUNCTION("""COMPUTED_VALUE"""),"Fazi")</f>
        <v>Fazi</v>
      </c>
      <c r="AV112" s="5"/>
      <c r="AW112" s="5"/>
      <c r="AX112" s="5"/>
      <c r="AY112" s="5"/>
      <c r="AZ112" s="5"/>
      <c r="BA112" s="5" t="str">
        <f ca="1">IFERROR(__xludf.DUMMYFUNCTION("""COMPUTED_VALUE"""),"")</f>
        <v/>
      </c>
      <c r="BB112" s="5"/>
      <c r="BC112" s="5" t="str">
        <f ca="1">IFERROR(__xludf.DUMMYFUNCTION("""COMPUTED_VALUE"""),"Foxi")</f>
        <v>Foxi</v>
      </c>
      <c r="BD112" s="7" t="str">
        <f ca="1">IFERROR(__xludf.DUMMYFUNCTION("""COMPUTED_VALUE"""),"https://gameserver-store-client-area.orbionlimited.com/Home/IntegrationGameLaunch/client-area?moneyType=0&amp;gameName=FluoDice5&amp;platform=desktop&amp;languageCode=eng&amp;currency=EUR")</f>
        <v>https://gameserver-store-client-area.orbionlimited.com/Home/IntegrationGameLaunch/client-area?moneyType=0&amp;gameName=FluoDice5&amp;platform=desktop&amp;languageCode=eng&amp;currency=EUR</v>
      </c>
      <c r="BE112" s="5" t="b">
        <f ca="1">IFERROR(__xludf.DUMMYFUNCTION("""COMPUTED_VALUE"""),TRUE)</f>
        <v>1</v>
      </c>
    </row>
    <row r="113" spans="1:57" x14ac:dyDescent="0.25">
      <c r="A113" s="5">
        <f ca="1">IFERROR(__xludf.DUMMYFUNCTION("""COMPUTED_VALUE"""),112)</f>
        <v>112</v>
      </c>
      <c r="B113" s="5">
        <f ca="1">IFERROR(__xludf.DUMMYFUNCTION("""COMPUTED_VALUE"""),111)</f>
        <v>111</v>
      </c>
      <c r="C113" s="5" t="str">
        <f ca="1">IFERROR(__xludf.DUMMYFUNCTION("""COMPUTED_VALUE"""),"Fazi")</f>
        <v>Fazi</v>
      </c>
      <c r="D113" s="5" t="str">
        <f ca="1">IFERROR(__xludf.DUMMYFUNCTION("""COMPUTED_VALUE"""),"Fluo Hot 5")</f>
        <v>Fluo Hot 5</v>
      </c>
      <c r="E113" s="5" t="str">
        <f ca="1">IFERROR(__xludf.DUMMYFUNCTION("""COMPUTED_VALUE"""),"V2")</f>
        <v>V2</v>
      </c>
      <c r="F113" s="5" t="str">
        <f ca="1">IFERROR(__xludf.DUMMYFUNCTION("""COMPUTED_VALUE"""),"FluoHot5")</f>
        <v>FluoHot5</v>
      </c>
      <c r="G113" s="5" t="str">
        <f ca="1">IFERROR(__xludf.DUMMYFUNCTION("""COMPUTED_VALUE"""),"Live")</f>
        <v>Live</v>
      </c>
      <c r="H113" s="5"/>
      <c r="I113" s="5" t="str">
        <f ca="1">IFERROR(__xludf.DUMMYFUNCTION("""COMPUTED_VALUE"""),"V2")</f>
        <v>V2</v>
      </c>
      <c r="J113" s="5" t="str">
        <f ca="1">IFERROR(__xludf.DUMMYFUNCTION("""COMPUTED_VALUE"""),"Binary")</f>
        <v>Binary</v>
      </c>
      <c r="K113" s="5" t="str">
        <f ca="1">IFERROR(__xludf.DUMMYFUNCTION("""COMPUTED_VALUE"""),"Slot")</f>
        <v>Slot</v>
      </c>
      <c r="L113" s="5" t="str">
        <f ca="1">IFERROR(__xludf.DUMMYFUNCTION("""COMPUTED_VALUE"""),"Clone")</f>
        <v>Clone</v>
      </c>
      <c r="M113" s="5" t="str">
        <f ca="1">IFERROR(__xludf.DUMMYFUNCTION("""COMPUTED_VALUE"""),"Neon Hot 5")</f>
        <v>Neon Hot 5</v>
      </c>
      <c r="N113" s="5"/>
      <c r="O113" s="5"/>
      <c r="P113" s="14">
        <f ca="1">IFERROR(__xludf.DUMMYFUNCTION("""COMPUTED_VALUE"""),33)</f>
        <v>33</v>
      </c>
      <c r="Q113" s="5"/>
      <c r="R113" s="5"/>
      <c r="S113" s="15">
        <f ca="1">IFERROR(__xludf.DUMMYFUNCTION("""COMPUTED_VALUE"""),44561)</f>
        <v>44561</v>
      </c>
      <c r="T113" s="5"/>
      <c r="U113" s="5" t="str">
        <f ca="1">IFERROR(__xludf.DUMMYFUNCTION("""COMPUTED_VALUE"""),"5x3")</f>
        <v>5x3</v>
      </c>
      <c r="V113" s="12" t="str">
        <f ca="1">IFERROR(__xludf.DUMMYFUNCTION("""COMPUTED_VALUE"""),"5")</f>
        <v>5</v>
      </c>
      <c r="W113" s="12" t="str">
        <f ca="1">IFERROR(__xludf.DUMMYFUNCTION("""COMPUTED_VALUE"""),"5")</f>
        <v>5</v>
      </c>
      <c r="X113" s="5">
        <f ca="1">IFERROR(__xludf.DUMMYFUNCTION("""COMPUTED_VALUE"""),95.74)</f>
        <v>95.74</v>
      </c>
      <c r="Y113" s="5" t="str">
        <f ca="1">IFERROR(__xludf.DUMMYFUNCTION("""COMPUTED_VALUE"""),"Medium")</f>
        <v>Medium</v>
      </c>
      <c r="Z113" s="5">
        <f ca="1">IFERROR(__xludf.DUMMYFUNCTION("""COMPUTED_VALUE"""),12.55)</f>
        <v>12.55</v>
      </c>
      <c r="AA113" s="14">
        <f ca="1">IFERROR(__xludf.DUMMYFUNCTION("""COMPUTED_VALUE"""),1000)</f>
        <v>1000</v>
      </c>
      <c r="AB113" s="5" t="str">
        <f ca="1">IFERROR(__xludf.DUMMYFUNCTION("""COMPUTED_VALUE"""),"/")</f>
        <v>/</v>
      </c>
      <c r="AC113" s="5" t="str">
        <f ca="1">IFERROR(__xludf.DUMMYFUNCTION("""COMPUTED_VALUE"""),"Scatter")</f>
        <v>Scatter</v>
      </c>
      <c r="AD113" s="5" t="str">
        <f ca="1">IFERROR(__xludf.DUMMYFUNCTION("""COMPUTED_VALUE"""),"0.05/30")</f>
        <v>0.05/30</v>
      </c>
      <c r="AE113" s="5"/>
      <c r="AF113" s="5"/>
      <c r="AG113" s="10">
        <f ca="1">IFERROR(__xludf.DUMMYFUNCTION("""COMPUTED_VALUE"""),46055.5129050925)</f>
        <v>46055.512905092502</v>
      </c>
      <c r="AH113" s="5" t="str">
        <f ca="1">IFERROR(__xludf.DUMMYFUNCTION("""COMPUTED_VALUE"""),"djordje.jankovic@fazi.rs")</f>
        <v>djordje.jankovic@fazi.rs</v>
      </c>
      <c r="AI113" s="5"/>
      <c r="AJ113" s="5"/>
      <c r="AK113" s="5">
        <f ca="1">IFERROR(__xludf.DUMMYFUNCTION("""COMPUTED_VALUE"""),5)</f>
        <v>5</v>
      </c>
      <c r="AL113" s="5" t="str">
        <f ca="1">IFERROR(__xludf.DUMMYFUNCTION("""COMPUTED_VALUE"""),"Yes")</f>
        <v>Yes</v>
      </c>
      <c r="AM113" s="5"/>
      <c r="AN113" s="7" t="str">
        <f ca="1">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AO113" s="5"/>
      <c r="AP113" s="5"/>
      <c r="AQ113" s="5" t="b">
        <f ca="1">IFERROR(__xludf.DUMMYFUNCTION("""COMPUTED_VALUE"""),TRUE)</f>
        <v>1</v>
      </c>
      <c r="AR113" s="5"/>
      <c r="AS113" s="5" t="str">
        <f ca="1">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AT113" s="5"/>
      <c r="AU113" s="5" t="str">
        <f ca="1">IFERROR(__xludf.DUMMYFUNCTION("""COMPUTED_VALUE"""),"Fazi")</f>
        <v>Fazi</v>
      </c>
      <c r="AV113" s="5"/>
      <c r="AW113" s="5"/>
      <c r="AX113" s="5"/>
      <c r="AY113" s="5"/>
      <c r="AZ113" s="5"/>
      <c r="BA113" s="5" t="str">
        <f ca="1">IFERROR(__xludf.DUMMYFUNCTION("""COMPUTED_VALUE"""),"")</f>
        <v/>
      </c>
      <c r="BB113" s="5"/>
      <c r="BC113" s="5" t="str">
        <f ca="1">IFERROR(__xludf.DUMMYFUNCTION("""COMPUTED_VALUE"""),"Foxi")</f>
        <v>Foxi</v>
      </c>
      <c r="BD113" s="7" t="str">
        <f ca="1">IFERROR(__xludf.DUMMYFUNCTION("""COMPUTED_VALUE"""),"https://gameserver-store-client-area.orbionlimited.com/Home/IntegrationGameLaunch/client-area?moneyType=0&amp;gameName=FluoHot5&amp;platform=desktop&amp;languageCode=eng&amp;currency=EUR")</f>
        <v>https://gameserver-store-client-area.orbionlimited.com/Home/IntegrationGameLaunch/client-area?moneyType=0&amp;gameName=FluoHot5&amp;platform=desktop&amp;languageCode=eng&amp;currency=EUR</v>
      </c>
      <c r="BE113" s="5" t="b">
        <f ca="1">IFERROR(__xludf.DUMMYFUNCTION("""COMPUTED_VALUE"""),TRUE)</f>
        <v>1</v>
      </c>
    </row>
    <row r="114" spans="1:57" x14ac:dyDescent="0.25">
      <c r="A114" s="5">
        <f ca="1">IFERROR(__xludf.DUMMYFUNCTION("""COMPUTED_VALUE"""),113)</f>
        <v>113</v>
      </c>
      <c r="B114" s="5">
        <f ca="1">IFERROR(__xludf.DUMMYFUNCTION("""COMPUTED_VALUE"""),112)</f>
        <v>112</v>
      </c>
      <c r="C114" s="5" t="str">
        <f ca="1">IFERROR(__xludf.DUMMYFUNCTION("""COMPUTED_VALUE"""),"Fazi")</f>
        <v>Fazi</v>
      </c>
      <c r="D114" s="5" t="str">
        <f ca="1">IFERROR(__xludf.DUMMYFUNCTION("""COMPUTED_VALUE"""),"Heating Dice")</f>
        <v>Heating Dice</v>
      </c>
      <c r="E114" s="5" t="str">
        <f ca="1">IFERROR(__xludf.DUMMYFUNCTION("""COMPUTED_VALUE"""),"V2")</f>
        <v>V2</v>
      </c>
      <c r="F114" s="5" t="str">
        <f ca="1">IFERROR(__xludf.DUMMYFUNCTION("""COMPUTED_VALUE"""),"HeatingDice")</f>
        <v>HeatingDice</v>
      </c>
      <c r="G114" s="5" t="str">
        <f ca="1">IFERROR(__xludf.DUMMYFUNCTION("""COMPUTED_VALUE"""),"Live")</f>
        <v>Live</v>
      </c>
      <c r="H114" s="5"/>
      <c r="I114" s="5" t="str">
        <f ca="1">IFERROR(__xludf.DUMMYFUNCTION("""COMPUTED_VALUE"""),"V2")</f>
        <v>V2</v>
      </c>
      <c r="J114" s="5" t="str">
        <f ca="1">IFERROR(__xludf.DUMMYFUNCTION("""COMPUTED_VALUE"""),"Binary")</f>
        <v>Binary</v>
      </c>
      <c r="K114" s="5" t="str">
        <f ca="1">IFERROR(__xludf.DUMMYFUNCTION("""COMPUTED_VALUE"""),"Slot")</f>
        <v>Slot</v>
      </c>
      <c r="L114" s="5" t="str">
        <f ca="1">IFERROR(__xludf.DUMMYFUNCTION("""COMPUTED_VALUE"""),"Clone")</f>
        <v>Clone</v>
      </c>
      <c r="M114" s="5" t="str">
        <f ca="1">IFERROR(__xludf.DUMMYFUNCTION("""COMPUTED_VALUE"""),"Burning Ice")</f>
        <v>Burning Ice</v>
      </c>
      <c r="N114" s="5"/>
      <c r="O114" s="5"/>
      <c r="P114" s="14">
        <f ca="1">IFERROR(__xludf.DUMMYFUNCTION("""COMPUTED_VALUE"""),33.1)</f>
        <v>33.1</v>
      </c>
      <c r="Q114" s="5"/>
      <c r="R114" s="5"/>
      <c r="S114" s="15">
        <f ca="1">IFERROR(__xludf.DUMMYFUNCTION("""COMPUTED_VALUE"""),44561)</f>
        <v>44561</v>
      </c>
      <c r="T114" s="5" t="b">
        <f ca="1">IFERROR(__xludf.DUMMYFUNCTION("""COMPUTED_VALUE"""),TRUE)</f>
        <v>1</v>
      </c>
      <c r="U114" s="5" t="str">
        <f ca="1">IFERROR(__xludf.DUMMYFUNCTION("""COMPUTED_VALUE"""),"3x3")</f>
        <v>3x3</v>
      </c>
      <c r="V114" s="12" t="str">
        <f ca="1">IFERROR(__xludf.DUMMYFUNCTION("""COMPUTED_VALUE"""),"27")</f>
        <v>27</v>
      </c>
      <c r="W114" s="12" t="str">
        <f ca="1">IFERROR(__xludf.DUMMYFUNCTION("""COMPUTED_VALUE"""),"27")</f>
        <v>27</v>
      </c>
      <c r="X114" s="5">
        <f ca="1">IFERROR(__xludf.DUMMYFUNCTION("""COMPUTED_VALUE"""),96.352)</f>
        <v>96.352000000000004</v>
      </c>
      <c r="Y114" s="5" t="str">
        <f ca="1">IFERROR(__xludf.DUMMYFUNCTION("""COMPUTED_VALUE"""),"Medium")</f>
        <v>Medium</v>
      </c>
      <c r="Z114" s="5">
        <f ca="1">IFERROR(__xludf.DUMMYFUNCTION("""COMPUTED_VALUE"""),8.02)</f>
        <v>8.02</v>
      </c>
      <c r="AA114" s="14">
        <f ca="1">IFERROR(__xludf.DUMMYFUNCTION("""COMPUTED_VALUE"""),360)</f>
        <v>360</v>
      </c>
      <c r="AB114" s="5"/>
      <c r="AC114" s="5" t="str">
        <f ca="1">IFERROR(__xludf.DUMMYFUNCTION("""COMPUTED_VALUE"""),"Respin, Mystery symbol")</f>
        <v>Respin, Mystery symbol</v>
      </c>
      <c r="AD114" s="5" t="str">
        <f ca="1">IFERROR(__xludf.DUMMYFUNCTION("""COMPUTED_VALUE"""),"0.1/50")</f>
        <v>0.1/50</v>
      </c>
      <c r="AE114" s="5"/>
      <c r="AF114" s="5"/>
      <c r="AG114" s="5"/>
      <c r="AH114" s="5"/>
      <c r="AI114" s="5"/>
      <c r="AJ114" s="5"/>
      <c r="AK114" s="5">
        <f ca="1">IFERROR(__xludf.DUMMYFUNCTION("""COMPUTED_VALUE"""),1)</f>
        <v>1</v>
      </c>
      <c r="AL114" s="5" t="str">
        <f ca="1">IFERROR(__xludf.DUMMYFUNCTION("""COMPUTED_VALUE"""),"Yes")</f>
        <v>Yes</v>
      </c>
      <c r="AM114" s="5"/>
      <c r="AN114" s="7" t="str">
        <f ca="1">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AO114" s="5"/>
      <c r="AP114" s="5"/>
      <c r="AQ114" s="5" t="b">
        <f ca="1">IFERROR(__xludf.DUMMYFUNCTION("""COMPUTED_VALUE"""),TRUE)</f>
        <v>1</v>
      </c>
      <c r="AR114" s="5"/>
      <c r="AS114" s="5" t="str">
        <f ca="1">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AT114" s="5"/>
      <c r="AU114" s="5" t="str">
        <f ca="1">IFERROR(__xludf.DUMMYFUNCTION("""COMPUTED_VALUE"""),"Fazi")</f>
        <v>Fazi</v>
      </c>
      <c r="AV114" s="5"/>
      <c r="AW114" s="5"/>
      <c r="AX114" s="5"/>
      <c r="AY114" s="5"/>
      <c r="AZ114" s="5"/>
      <c r="BA114" s="5" t="str">
        <f ca="1">IFERROR(__xludf.DUMMYFUNCTION("""COMPUTED_VALUE"""),"")</f>
        <v/>
      </c>
      <c r="BB114" s="5"/>
      <c r="BC114" s="5" t="str">
        <f ca="1">IFERROR(__xludf.DUMMYFUNCTION("""COMPUTED_VALUE"""),"Foxi")</f>
        <v>Foxi</v>
      </c>
      <c r="BD114" s="7" t="str">
        <f ca="1">IFERROR(__xludf.DUMMYFUNCTION("""COMPUTED_VALUE"""),"https://gameserver-store-client-area.orbionlimited.com/Home/IntegrationGameLaunch/client-area?moneyType=0&amp;gameName=HeatingDice&amp;platform=desktop&amp;languageCode=eng&amp;currency=EUR")</f>
        <v>https://gameserver-store-client-area.orbionlimited.com/Home/IntegrationGameLaunch/client-area?moneyType=0&amp;gameName=HeatingDice&amp;platform=desktop&amp;languageCode=eng&amp;currency=EUR</v>
      </c>
      <c r="BE114" s="5" t="b">
        <f ca="1">IFERROR(__xludf.DUMMYFUNCTION("""COMPUTED_VALUE"""),TRUE)</f>
        <v>1</v>
      </c>
    </row>
    <row r="115" spans="1:57" x14ac:dyDescent="0.25">
      <c r="A115" s="5">
        <f ca="1">IFERROR(__xludf.DUMMYFUNCTION("""COMPUTED_VALUE"""),114)</f>
        <v>114</v>
      </c>
      <c r="B115" s="5">
        <f ca="1">IFERROR(__xludf.DUMMYFUNCTION("""COMPUTED_VALUE"""),113)</f>
        <v>113</v>
      </c>
      <c r="C115" s="5" t="str">
        <f ca="1">IFERROR(__xludf.DUMMYFUNCTION("""COMPUTED_VALUE"""),"Fazi")</f>
        <v>Fazi</v>
      </c>
      <c r="D115" s="5" t="str">
        <f ca="1">IFERROR(__xludf.DUMMYFUNCTION("""COMPUTED_VALUE"""),"Crystal Jewels")</f>
        <v>Crystal Jewels</v>
      </c>
      <c r="E115" s="5" t="str">
        <f ca="1">IFERROR(__xludf.DUMMYFUNCTION("""COMPUTED_VALUE"""),"V2")</f>
        <v>V2</v>
      </c>
      <c r="F115" s="5" t="str">
        <f ca="1">IFERROR(__xludf.DUMMYFUNCTION("""COMPUTED_VALUE"""),"CrystalJewels")</f>
        <v>CrystalJewels</v>
      </c>
      <c r="G115" s="5" t="str">
        <f ca="1">IFERROR(__xludf.DUMMYFUNCTION("""COMPUTED_VALUE"""),"Live")</f>
        <v>Live</v>
      </c>
      <c r="H115" s="5"/>
      <c r="I115" s="5" t="str">
        <f ca="1">IFERROR(__xludf.DUMMYFUNCTION("""COMPUTED_VALUE"""),"V2")</f>
        <v>V2</v>
      </c>
      <c r="J115" s="5" t="str">
        <f ca="1">IFERROR(__xludf.DUMMYFUNCTION("""COMPUTED_VALUE"""),"Binary")</f>
        <v>Binary</v>
      </c>
      <c r="K115" s="5" t="str">
        <f ca="1">IFERROR(__xludf.DUMMYFUNCTION("""COMPUTED_VALUE"""),"Slot")</f>
        <v>Slot</v>
      </c>
      <c r="L115" s="5" t="str">
        <f ca="1">IFERROR(__xludf.DUMMYFUNCTION("""COMPUTED_VALUE"""),"Clone")</f>
        <v>Clone</v>
      </c>
      <c r="M115" s="5" t="str">
        <f ca="1">IFERROR(__xludf.DUMMYFUNCTION("""COMPUTED_VALUE"""),"Star Runner")</f>
        <v>Star Runner</v>
      </c>
      <c r="N115" s="5"/>
      <c r="O115" s="5"/>
      <c r="P115" s="14">
        <f ca="1">IFERROR(__xludf.DUMMYFUNCTION("""COMPUTED_VALUE"""),30.8)</f>
        <v>30.8</v>
      </c>
      <c r="Q115" s="5"/>
      <c r="R115" s="5"/>
      <c r="S115" s="15">
        <f ca="1">IFERROR(__xludf.DUMMYFUNCTION("""COMPUTED_VALUE"""),44434)</f>
        <v>44434</v>
      </c>
      <c r="T115" s="5" t="b">
        <f ca="1">IFERROR(__xludf.DUMMYFUNCTION("""COMPUTED_VALUE"""),TRUE)</f>
        <v>1</v>
      </c>
      <c r="U115" s="5" t="str">
        <f ca="1">IFERROR(__xludf.DUMMYFUNCTION("""COMPUTED_VALUE"""),"5x3")</f>
        <v>5x3</v>
      </c>
      <c r="V115" s="12" t="str">
        <f ca="1">IFERROR(__xludf.DUMMYFUNCTION("""COMPUTED_VALUE"""),"10")</f>
        <v>10</v>
      </c>
      <c r="W115" s="12" t="str">
        <f ca="1">IFERROR(__xludf.DUMMYFUNCTION("""COMPUTED_VALUE"""),"1,3,5,7,10")</f>
        <v>1,3,5,7,10</v>
      </c>
      <c r="X115" s="5">
        <f ca="1">IFERROR(__xludf.DUMMYFUNCTION("""COMPUTED_VALUE"""),96.077)</f>
        <v>96.076999999999998</v>
      </c>
      <c r="Y115" s="5" t="str">
        <f ca="1">IFERROR(__xludf.DUMMYFUNCTION("""COMPUTED_VALUE"""),"Medium")</f>
        <v>Medium</v>
      </c>
      <c r="Z115" s="5">
        <f ca="1">IFERROR(__xludf.DUMMYFUNCTION("""COMPUTED_VALUE"""),19.54)</f>
        <v>19.54</v>
      </c>
      <c r="AA115" s="14">
        <f ca="1">IFERROR(__xludf.DUMMYFUNCTION("""COMPUTED_VALUE"""),598)</f>
        <v>598</v>
      </c>
      <c r="AB115" s="5">
        <f ca="1">IFERROR(__xludf.DUMMYFUNCTION("""COMPUTED_VALUE"""),11)</f>
        <v>11</v>
      </c>
      <c r="AC115" s="5" t="str">
        <f ca="1">IFERROR(__xludf.DUMMYFUNCTION("""COMPUTED_VALUE"""),"Wild Symbol, Respin, Bothways")</f>
        <v>Wild Symbol, Respin, Bothways</v>
      </c>
      <c r="AD115" s="5" t="str">
        <f ca="1">IFERROR(__xludf.DUMMYFUNCTION("""COMPUTED_VALUE"""),"0.01/40")</f>
        <v>0.01/40</v>
      </c>
      <c r="AE115" s="5"/>
      <c r="AF115" s="5"/>
      <c r="AG115" s="5"/>
      <c r="AH115" s="5"/>
      <c r="AI115" s="5"/>
      <c r="AJ115" s="5"/>
      <c r="AK115" s="5">
        <f ca="1">IFERROR(__xludf.DUMMYFUNCTION("""COMPUTED_VALUE"""),10)</f>
        <v>10</v>
      </c>
      <c r="AL115" s="5" t="str">
        <f ca="1">IFERROR(__xludf.DUMMYFUNCTION("""COMPUTED_VALUE"""),"Yes")</f>
        <v>Yes</v>
      </c>
      <c r="AM115" s="5"/>
      <c r="AN115" s="7" t="str">
        <f ca="1">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AO115" s="5"/>
      <c r="AP115" s="5"/>
      <c r="AQ115" s="5" t="b">
        <f ca="1">IFERROR(__xludf.DUMMYFUNCTION("""COMPUTED_VALUE"""),TRUE)</f>
        <v>1</v>
      </c>
      <c r="AR115" s="5"/>
      <c r="AS115" s="5" t="str">
        <f ca="1">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AT115" s="5"/>
      <c r="AU115" s="5" t="str">
        <f ca="1">IFERROR(__xludf.DUMMYFUNCTION("""COMPUTED_VALUE"""),"Fazi")</f>
        <v>Fazi</v>
      </c>
      <c r="AV115" s="5"/>
      <c r="AW115" s="5"/>
      <c r="AX115" s="5"/>
      <c r="AY115" s="5"/>
      <c r="AZ115" s="5"/>
      <c r="BA115" s="5" t="str">
        <f ca="1">IFERROR(__xludf.DUMMYFUNCTION("""COMPUTED_VALUE"""),"")</f>
        <v/>
      </c>
      <c r="BB115" s="5"/>
      <c r="BC115" s="5" t="str">
        <f ca="1">IFERROR(__xludf.DUMMYFUNCTION("""COMPUTED_VALUE"""),"Foxi")</f>
        <v>Foxi</v>
      </c>
      <c r="BD115" s="7" t="str">
        <f ca="1">IFERROR(__xludf.DUMMYFUNCTION("""COMPUTED_VALUE"""),"https://gameserver-store-client-area.orbionlimited.com/Home/IntegrationGameLaunch/client-area?moneyType=0&amp;gameName=CrystalJewels&amp;platform=desktop&amp;languageCode=eng&amp;currency=EUR")</f>
        <v>https://gameserver-store-client-area.orbionlimited.com/Home/IntegrationGameLaunch/client-area?moneyType=0&amp;gameName=CrystalJewels&amp;platform=desktop&amp;languageCode=eng&amp;currency=EUR</v>
      </c>
      <c r="BE115" s="5" t="b">
        <f ca="1">IFERROR(__xludf.DUMMYFUNCTION("""COMPUTED_VALUE"""),TRUE)</f>
        <v>1</v>
      </c>
    </row>
    <row r="116" spans="1:57" x14ac:dyDescent="0.25">
      <c r="A116" s="5">
        <f ca="1">IFERROR(__xludf.DUMMYFUNCTION("""COMPUTED_VALUE"""),115)</f>
        <v>115</v>
      </c>
      <c r="B116" s="5">
        <f ca="1">IFERROR(__xludf.DUMMYFUNCTION("""COMPUTED_VALUE"""),114)</f>
        <v>114</v>
      </c>
      <c r="C116" s="5" t="str">
        <f ca="1">IFERROR(__xludf.DUMMYFUNCTION("""COMPUTED_VALUE"""),"Redstone")</f>
        <v>Redstone</v>
      </c>
      <c r="D116" s="5" t="str">
        <f ca="1">IFERROR(__xludf.DUMMYFUNCTION("""COMPUTED_VALUE"""),"50 Wild Cash")</f>
        <v>50 Wild Cash</v>
      </c>
      <c r="E116" s="5" t="str">
        <f ca="1">IFERROR(__xludf.DUMMYFUNCTION("""COMPUTED_VALUE"""),"Redstone")</f>
        <v>Redstone</v>
      </c>
      <c r="F116" s="5" t="str">
        <f ca="1">IFERROR(__xludf.DUMMYFUNCTION("""COMPUTED_VALUE"""),"WildClover506")</f>
        <v>WildClover506</v>
      </c>
      <c r="G116" s="5" t="str">
        <f ca="1">IFERROR(__xludf.DUMMYFUNCTION("""COMPUTED_VALUE"""),"Live")</f>
        <v>Live</v>
      </c>
      <c r="H116" s="5"/>
      <c r="I116" s="5" t="str">
        <f ca="1">IFERROR(__xludf.DUMMYFUNCTION("""COMPUTED_VALUE"""),"Redstone")</f>
        <v>Redstone</v>
      </c>
      <c r="J116" s="5" t="str">
        <f ca="1">IFERROR(__xludf.DUMMYFUNCTION("""COMPUTED_VALUE"""),"JSON")</f>
        <v>JSON</v>
      </c>
      <c r="K116" s="5" t="str">
        <f ca="1">IFERROR(__xludf.DUMMYFUNCTION("""COMPUTED_VALUE"""),"Slot")</f>
        <v>Slot</v>
      </c>
      <c r="L116" s="5" t="str">
        <f ca="1">IFERROR(__xludf.DUMMYFUNCTION("""COMPUTED_VALUE"""),"Master")</f>
        <v>Master</v>
      </c>
      <c r="M116" s="5"/>
      <c r="N116" s="7" t="str">
        <f ca="1">IFERROR(__xludf.DUMMYFUNCTION("""COMPUTED_VALUE"""),"https://docs.google.com/document/d/1hethQ-7BhyW7C1czw_h-bGgzvJVp0qmK/edit?usp=drive_link&amp;ouid=107596163405648766688&amp;rtpof=true&amp;sd=true")</f>
        <v>https://docs.google.com/document/d/1hethQ-7BhyW7C1czw_h-bGgzvJVp0qmK/edit?usp=drive_link&amp;ouid=107596163405648766688&amp;rtpof=true&amp;sd=true</v>
      </c>
      <c r="O116" s="7" t="str">
        <f ca="1">IFERROR(__xludf.DUMMYFUNCTION("""COMPUTED_VALUE"""),"https://docs.google.com/document/d/1ztiv_8kAahTieT52oxOwMehAb_szRHvc/edit?usp=drive_link&amp;ouid=107596163405648766688&amp;rtpof=true&amp;sd=true")</f>
        <v>https://docs.google.com/document/d/1ztiv_8kAahTieT52oxOwMehAb_szRHvc/edit?usp=drive_link&amp;ouid=107596163405648766688&amp;rtpof=true&amp;sd=true</v>
      </c>
      <c r="P116" s="14">
        <f ca="1">IFERROR(__xludf.DUMMYFUNCTION("""COMPUTED_VALUE"""),7.02)</f>
        <v>7.02</v>
      </c>
      <c r="Q116" s="5"/>
      <c r="R116" s="5"/>
      <c r="S116" s="15">
        <f ca="1">IFERROR(__xludf.DUMMYFUNCTION("""COMPUTED_VALUE"""),44462)</f>
        <v>44462</v>
      </c>
      <c r="T116" s="5"/>
      <c r="U116" s="5" t="str">
        <f ca="1">IFERROR(__xludf.DUMMYFUNCTION("""COMPUTED_VALUE"""),"6x4")</f>
        <v>6x4</v>
      </c>
      <c r="V116" s="12" t="str">
        <f ca="1">IFERROR(__xludf.DUMMYFUNCTION("""COMPUTED_VALUE"""),"50")</f>
        <v>50</v>
      </c>
      <c r="W116" s="12" t="str">
        <f ca="1">IFERROR(__xludf.DUMMYFUNCTION("""COMPUTED_VALUE"""),"50")</f>
        <v>50</v>
      </c>
      <c r="X116" s="5">
        <f ca="1">IFERROR(__xludf.DUMMYFUNCTION("""COMPUTED_VALUE"""),95.26)</f>
        <v>95.26</v>
      </c>
      <c r="Y116" s="5" t="str">
        <f ca="1">IFERROR(__xludf.DUMMYFUNCTION("""COMPUTED_VALUE"""),"Medium")</f>
        <v>Medium</v>
      </c>
      <c r="Z116" s="5">
        <f ca="1">IFERROR(__xludf.DUMMYFUNCTION("""COMPUTED_VALUE"""),13.33)</f>
        <v>13.33</v>
      </c>
      <c r="AA116" s="14">
        <f ca="1">IFERROR(__xludf.DUMMYFUNCTION("""COMPUTED_VALUE"""),2500)</f>
        <v>2500</v>
      </c>
      <c r="AB116" s="5"/>
      <c r="AC116" s="5" t="str">
        <f ca="1">IFERROR(__xludf.DUMMYFUNCTION("""COMPUTED_VALUE"""),"Bonus Game with Free Spins, Special Wild, Scatter")</f>
        <v>Bonus Game with Free Spins, Special Wild, Scatter</v>
      </c>
      <c r="AD116" s="5" t="str">
        <f ca="1">IFERROR(__xludf.DUMMYFUNCTION("""COMPUTED_VALUE"""),"0.5/75")</f>
        <v>0.5/75</v>
      </c>
      <c r="AE116" s="5"/>
      <c r="AF116" s="5"/>
      <c r="AG116" s="10">
        <f ca="1">IFERROR(__xludf.DUMMYFUNCTION("""COMPUTED_VALUE"""),46190.3880092592)</f>
        <v>46190.388009259201</v>
      </c>
      <c r="AH116" s="5"/>
      <c r="AI116" s="5"/>
      <c r="AJ116" s="5"/>
      <c r="AK116" s="5">
        <f ca="1">IFERROR(__xludf.DUMMYFUNCTION("""COMPUTED_VALUE"""),1)</f>
        <v>1</v>
      </c>
      <c r="AL116" s="5" t="str">
        <f ca="1">IFERROR(__xludf.DUMMYFUNCTION("""COMPUTED_VALUE"""),"No")</f>
        <v>No</v>
      </c>
      <c r="AM116" s="5" t="str">
        <f ca="1">IFERROR(__xludf.DUMMYFUNCTION("""COMPUTED_VALUE"""),"No")</f>
        <v>No</v>
      </c>
      <c r="AN116" s="7" t="str">
        <f ca="1">IFERROR(__xludf.DUMMYFUNCTION("""COMPUTED_VALUE"""),"https://static.redstone.rs/games/50-wild-cash/")</f>
        <v>https://static.redstone.rs/games/50-wild-cash/</v>
      </c>
      <c r="AO116" s="5" t="str">
        <f ca="1">IFERROR(__xludf.DUMMYFUNCTION("""COMPUTED_VALUE"""),"No")</f>
        <v>No</v>
      </c>
      <c r="AP116" s="5" t="str">
        <f ca="1">IFERROR(__xludf.DUMMYFUNCTION("""COMPUTED_VALUE"""),"No")</f>
        <v>No</v>
      </c>
      <c r="AQ116" s="5" t="b">
        <f ca="1">IFERROR(__xludf.DUMMYFUNCTION("""COMPUTED_VALUE"""),TRUE)</f>
        <v>1</v>
      </c>
      <c r="AR116" s="5"/>
      <c r="AS116" s="5" t="str">
        <f ca="1">IFERROR(__xludf.DUMMYFUNCTION("""COMPUTED_VALUE"""),"Wild Pots full of gold! With a little bit of luck you can land full reels of stacked Wild Pots for massive wins. Free Games symbols trigger Free Spins feature. ")</f>
        <v xml:space="preserve">Wild Pots full of gold! With a little bit of luck you can land full reels of stacked Wild Pots for massive wins. Free Games symbols trigger Free Spins feature. </v>
      </c>
      <c r="AT116" s="5"/>
      <c r="AU116" s="5" t="str">
        <f ca="1">IFERROR(__xludf.DUMMYFUNCTION("""COMPUTED_VALUE"""),"Redstone")</f>
        <v>Redstone</v>
      </c>
      <c r="AV116" s="5"/>
      <c r="AW116" s="5"/>
      <c r="AX116" s="5"/>
      <c r="AY116" s="5"/>
      <c r="AZ116" s="5"/>
      <c r="BA116" s="5"/>
      <c r="BB116" s="5" t="b">
        <f ca="1">IFERROR(__xludf.DUMMYFUNCTION("""COMPUTED_VALUE"""),TRUE)</f>
        <v>1</v>
      </c>
      <c r="BC116" s="5" t="str">
        <f ca="1">IFERROR(__xludf.DUMMYFUNCTION("""COMPUTED_VALUE"""),"Redstone")</f>
        <v>Redstone</v>
      </c>
      <c r="BD116" s="7" t="str">
        <f ca="1">IFERROR(__xludf.DUMMYFUNCTION("""COMPUTED_VALUE"""),"https://static.redstone.rs/games/50-wild-cash/")</f>
        <v>https://static.redstone.rs/games/50-wild-cash/</v>
      </c>
      <c r="BE116" s="5" t="b">
        <f ca="1">IFERROR(__xludf.DUMMYFUNCTION("""COMPUTED_VALUE"""),TRUE)</f>
        <v>1</v>
      </c>
    </row>
    <row r="117" spans="1:57" x14ac:dyDescent="0.25">
      <c r="A117" s="5">
        <f ca="1">IFERROR(__xludf.DUMMYFUNCTION("""COMPUTED_VALUE"""),116)</f>
        <v>116</v>
      </c>
      <c r="B117" s="5">
        <f ca="1">IFERROR(__xludf.DUMMYFUNCTION("""COMPUTED_VALUE"""),115)</f>
        <v>115</v>
      </c>
      <c r="C117" s="5" t="str">
        <f ca="1">IFERROR(__xludf.DUMMYFUNCTION("""COMPUTED_VALUE"""),"Fazi")</f>
        <v>Fazi</v>
      </c>
      <c r="D117" s="5" t="str">
        <f ca="1">IFERROR(__xludf.DUMMYFUNCTION("""COMPUTED_VALUE"""),"Twinkling Hot 80")</f>
        <v>Twinkling Hot 80</v>
      </c>
      <c r="E117" s="5" t="str">
        <f ca="1">IFERROR(__xludf.DUMMYFUNCTION("""COMPUTED_VALUE"""),"V2")</f>
        <v>V2</v>
      </c>
      <c r="F117" s="5" t="str">
        <f ca="1">IFERROR(__xludf.DUMMYFUNCTION("""COMPUTED_VALUE"""),"TwinklingHot80")</f>
        <v>TwinklingHot80</v>
      </c>
      <c r="G117" s="5" t="str">
        <f ca="1">IFERROR(__xludf.DUMMYFUNCTION("""COMPUTED_VALUE"""),"Live")</f>
        <v>Live</v>
      </c>
      <c r="H117" s="5"/>
      <c r="I117" s="5" t="str">
        <f ca="1">IFERROR(__xludf.DUMMYFUNCTION("""COMPUTED_VALUE"""),"V2")</f>
        <v>V2</v>
      </c>
      <c r="J117" s="5" t="str">
        <f ca="1">IFERROR(__xludf.DUMMYFUNCTION("""COMPUTED_VALUE"""),"JSON")</f>
        <v>JSON</v>
      </c>
      <c r="K117" s="5" t="str">
        <f ca="1">IFERROR(__xludf.DUMMYFUNCTION("""COMPUTED_VALUE"""),"Slot")</f>
        <v>Slot</v>
      </c>
      <c r="L117" s="5" t="str">
        <f ca="1">IFERROR(__xludf.DUMMYFUNCTION("""COMPUTED_VALUE"""),"Clone")</f>
        <v>Clone</v>
      </c>
      <c r="M117" s="5" t="str">
        <f ca="1">IFERROR(__xludf.DUMMYFUNCTION("""COMPUTED_VALUE"""),"Twinkling Hot 80")</f>
        <v>Twinkling Hot 80</v>
      </c>
      <c r="N117" s="5"/>
      <c r="O117" s="5"/>
      <c r="P117" s="14">
        <f ca="1">IFERROR(__xludf.DUMMYFUNCTION("""COMPUTED_VALUE"""),27.6)</f>
        <v>27.6</v>
      </c>
      <c r="Q117" s="5"/>
      <c r="R117" s="5"/>
      <c r="S117" s="15">
        <f ca="1">IFERROR(__xludf.DUMMYFUNCTION("""COMPUTED_VALUE"""),44390)</f>
        <v>44390</v>
      </c>
      <c r="T117" s="5" t="b">
        <f ca="1">IFERROR(__xludf.DUMMYFUNCTION("""COMPUTED_VALUE"""),TRUE)</f>
        <v>1</v>
      </c>
      <c r="U117" s="5" t="str">
        <f ca="1">IFERROR(__xludf.DUMMYFUNCTION("""COMPUTED_VALUE"""),"5x3")</f>
        <v>5x3</v>
      </c>
      <c r="V117" s="12" t="str">
        <f ca="1">IFERROR(__xludf.DUMMYFUNCTION("""COMPUTED_VALUE"""),"80")</f>
        <v>80</v>
      </c>
      <c r="W117" s="12" t="str">
        <f ca="1">IFERROR(__xludf.DUMMYFUNCTION("""COMPUTED_VALUE"""),"80")</f>
        <v>80</v>
      </c>
      <c r="X117" s="5">
        <f ca="1">IFERROR(__xludf.DUMMYFUNCTION("""COMPUTED_VALUE"""),95.656)</f>
        <v>95.656000000000006</v>
      </c>
      <c r="Y117" s="5" t="str">
        <f ca="1">IFERROR(__xludf.DUMMYFUNCTION("""COMPUTED_VALUE"""),"Low")</f>
        <v>Low</v>
      </c>
      <c r="Z117" s="5">
        <f ca="1">IFERROR(__xludf.DUMMYFUNCTION("""COMPUTED_VALUE"""),17.87)</f>
        <v>17.87</v>
      </c>
      <c r="AA117" s="14">
        <f ca="1">IFERROR(__xludf.DUMMYFUNCTION("""COMPUTED_VALUE"""),200)</f>
        <v>200</v>
      </c>
      <c r="AB117" s="5" t="str">
        <f ca="1">IFERROR(__xludf.DUMMYFUNCTION("""COMPUTED_VALUE"""),"/")</f>
        <v>/</v>
      </c>
      <c r="AC117" s="5" t="str">
        <f ca="1">IFERROR(__xludf.DUMMYFUNCTION("""COMPUTED_VALUE"""),"Scatter")</f>
        <v>Scatter</v>
      </c>
      <c r="AD117" s="5" t="str">
        <f ca="1">IFERROR(__xludf.DUMMYFUNCTION("""COMPUTED_VALUE"""),"0.8/80")</f>
        <v>0.8/80</v>
      </c>
      <c r="AE117" s="5"/>
      <c r="AF117" s="5"/>
      <c r="AG117" s="10">
        <f ca="1">IFERROR(__xludf.DUMMYFUNCTION("""COMPUTED_VALUE"""),46104.426099537)</f>
        <v>46104.426099536999</v>
      </c>
      <c r="AH117" s="5" t="str">
        <f ca="1">IFERROR(__xludf.DUMMYFUNCTION("""COMPUTED_VALUE"""),"marko.tepavac@fazi.rs")</f>
        <v>marko.tepavac@fazi.rs</v>
      </c>
      <c r="AI117" s="5"/>
      <c r="AJ117" s="5"/>
      <c r="AK117" s="5">
        <f ca="1">IFERROR(__xludf.DUMMYFUNCTION("""COMPUTED_VALUE"""),80)</f>
        <v>80</v>
      </c>
      <c r="AL117" s="5" t="str">
        <f ca="1">IFERROR(__xludf.DUMMYFUNCTION("""COMPUTED_VALUE"""),"Yes")</f>
        <v>Yes</v>
      </c>
      <c r="AM117" s="5"/>
      <c r="AN117" s="7" t="str">
        <f ca="1">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AO117" s="5" t="str">
        <f ca="1">IFERROR(__xludf.DUMMYFUNCTION("""COMPUTED_VALUE"""),"Yes")</f>
        <v>Yes</v>
      </c>
      <c r="AP117" s="5" t="str">
        <f ca="1">IFERROR(__xludf.DUMMYFUNCTION("""COMPUTED_VALUE"""),"Yes")</f>
        <v>Yes</v>
      </c>
      <c r="AQ117" s="5" t="b">
        <f ca="1">IFERROR(__xludf.DUMMYFUNCTION("""COMPUTED_VALUE"""),TRUE)</f>
        <v>1</v>
      </c>
      <c r="AR117" s="5"/>
      <c r="AS117" s="5" t="str">
        <f ca="1">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AT117" s="5" t="str">
        <f ca="1">IFERROR(__xludf.DUMMYFUNCTION("""COMPUTED_VALUE"""),"No")</f>
        <v>No</v>
      </c>
      <c r="AU117" s="5" t="str">
        <f ca="1">IFERROR(__xludf.DUMMYFUNCTION("""COMPUTED_VALUE"""),"Fazi")</f>
        <v>Fazi</v>
      </c>
      <c r="AV117" s="5"/>
      <c r="AW117" s="5"/>
      <c r="AX117" s="5"/>
      <c r="AY117" s="5"/>
      <c r="AZ117" s="5"/>
      <c r="BA117" s="5" t="str">
        <f ca="1">IFERROR(__xludf.DUMMYFUNCTION("""COMPUTED_VALUE"""),"")</f>
        <v/>
      </c>
      <c r="BB117" s="5"/>
      <c r="BC117" s="5" t="str">
        <f ca="1">IFERROR(__xludf.DUMMYFUNCTION("""COMPUTED_VALUE"""),"Foxi")</f>
        <v>Foxi</v>
      </c>
      <c r="BD117" s="7" t="str">
        <f ca="1">IFERROR(__xludf.DUMMYFUNCTION("""COMPUTED_VALUE"""),"https://gameserver-store-client-area.orbionlimited.com/Home/IntegrationGameLaunch/client-area?moneyType=0&amp;gameName=TwinklingHot80&amp;platform=desktop&amp;languageCode=eng&amp;currency=EUR")</f>
        <v>https://gameserver-store-client-area.orbionlimited.com/Home/IntegrationGameLaunch/client-area?moneyType=0&amp;gameName=TwinklingHot80&amp;platform=desktop&amp;languageCode=eng&amp;currency=EUR</v>
      </c>
      <c r="BE117" s="5" t="b">
        <f ca="1">IFERROR(__xludf.DUMMYFUNCTION("""COMPUTED_VALUE"""),TRUE)</f>
        <v>1</v>
      </c>
    </row>
    <row r="118" spans="1:57" x14ac:dyDescent="0.25">
      <c r="A118" s="5">
        <f ca="1">IFERROR(__xludf.DUMMYFUNCTION("""COMPUTED_VALUE"""),117)</f>
        <v>117</v>
      </c>
      <c r="B118" s="5">
        <f ca="1">IFERROR(__xludf.DUMMYFUNCTION("""COMPUTED_VALUE"""),116)</f>
        <v>116</v>
      </c>
      <c r="C118" s="5" t="str">
        <f ca="1">IFERROR(__xludf.DUMMYFUNCTION("""COMPUTED_VALUE"""),"Tiptop")</f>
        <v>Tiptop</v>
      </c>
      <c r="D118" s="5" t="str">
        <f ca="1">IFERROR(__xludf.DUMMYFUNCTION("""COMPUTED_VALUE"""),"Island Respins")</f>
        <v>Island Respins</v>
      </c>
      <c r="E118" s="5"/>
      <c r="F118" s="5" t="str">
        <f ca="1">IFERROR(__xludf.DUMMYFUNCTION("""COMPUTED_VALUE"""),"UnicornIslandRespins")</f>
        <v>UnicornIslandRespins</v>
      </c>
      <c r="G118" s="5" t="str">
        <f ca="1">IFERROR(__xludf.DUMMYFUNCTION("""COMPUTED_VALUE"""),"Live")</f>
        <v>Live</v>
      </c>
      <c r="H118" s="5"/>
      <c r="I118" s="5" t="str">
        <f ca="1">IFERROR(__xludf.DUMMYFUNCTION("""COMPUTED_VALUE"""),"TipTop")</f>
        <v>TipTop</v>
      </c>
      <c r="J118" s="5" t="str">
        <f ca="1">IFERROR(__xludf.DUMMYFUNCTION("""COMPUTED_VALUE"""),"JSON")</f>
        <v>JSON</v>
      </c>
      <c r="K118" s="5" t="str">
        <f ca="1">IFERROR(__xludf.DUMMYFUNCTION("""COMPUTED_VALUE"""),"Slot")</f>
        <v>Slot</v>
      </c>
      <c r="L118" s="5"/>
      <c r="M118" s="5"/>
      <c r="N118" s="5"/>
      <c r="O118" s="5"/>
      <c r="P118" s="14">
        <f ca="1">IFERROR(__xludf.DUMMYFUNCTION("""COMPUTED_VALUE"""),12.4)</f>
        <v>12.4</v>
      </c>
      <c r="Q118" s="5"/>
      <c r="R118" s="5"/>
      <c r="S118" s="15">
        <f ca="1">IFERROR(__xludf.DUMMYFUNCTION("""COMPUTED_VALUE"""),44796)</f>
        <v>44796</v>
      </c>
      <c r="T118" s="5"/>
      <c r="U118" s="5" t="str">
        <f ca="1">IFERROR(__xludf.DUMMYFUNCTION("""COMPUTED_VALUE"""),"5X3")</f>
        <v>5X3</v>
      </c>
      <c r="V118" s="12" t="str">
        <f ca="1">IFERROR(__xludf.DUMMYFUNCTION("""COMPUTED_VALUE"""),"10")</f>
        <v>10</v>
      </c>
      <c r="W118" s="12" t="str">
        <f ca="1">IFERROR(__xludf.DUMMYFUNCTION("""COMPUTED_VALUE"""),"10")</f>
        <v>10</v>
      </c>
      <c r="X118" s="5">
        <f ca="1">IFERROR(__xludf.DUMMYFUNCTION("""COMPUTED_VALUE"""),96)</f>
        <v>96</v>
      </c>
      <c r="Y118" s="5" t="str">
        <f ca="1">IFERROR(__xludf.DUMMYFUNCTION("""COMPUTED_VALUE"""),"Medium")</f>
        <v>Medium</v>
      </c>
      <c r="Z118" s="5">
        <f ca="1">IFERROR(__xludf.DUMMYFUNCTION("""COMPUTED_VALUE"""),12.55)</f>
        <v>12.55</v>
      </c>
      <c r="AA118" s="14">
        <f ca="1">IFERROR(__xludf.DUMMYFUNCTION("""COMPUTED_VALUE"""),5000)</f>
        <v>5000</v>
      </c>
      <c r="AB118" s="5"/>
      <c r="AC118" s="5" t="str">
        <f ca="1">IFERROR(__xludf.DUMMYFUNCTION("""COMPUTED_VALUE"""),"Respin, TipTop Feature - Island Respins")</f>
        <v>Respin, TipTop Feature - Island Respins</v>
      </c>
      <c r="AD118" s="5" t="str">
        <f ca="1">IFERROR(__xludf.DUMMYFUNCTION("""COMPUTED_VALUE"""),"0.1/100")</f>
        <v>0.1/100</v>
      </c>
      <c r="AE118" s="5"/>
      <c r="AF118" s="5"/>
      <c r="AG118" s="10">
        <f ca="1">IFERROR(__xludf.DUMMYFUNCTION("""COMPUTED_VALUE"""),46197.4503587963)</f>
        <v>46197.450358796297</v>
      </c>
      <c r="AH118" s="5" t="str">
        <f ca="1">IFERROR(__xludf.DUMMYFUNCTION("""COMPUTED_VALUE"""),"selena.mihajlovic@fazi.rs")</f>
        <v>selena.mihajlovic@fazi.rs</v>
      </c>
      <c r="AI118" s="5"/>
      <c r="AJ118" s="5"/>
      <c r="AK118" s="5">
        <f ca="1">IFERROR(__xludf.DUMMYFUNCTION("""COMPUTED_VALUE"""),10)</f>
        <v>10</v>
      </c>
      <c r="AL118" s="5" t="str">
        <f ca="1">IFERROR(__xludf.DUMMYFUNCTION("""COMPUTED_VALUE"""),"No")</f>
        <v>No</v>
      </c>
      <c r="AM118" s="5"/>
      <c r="AN118" s="7" t="str">
        <f ca="1">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AO118" s="5"/>
      <c r="AP118" s="5"/>
      <c r="AQ118" s="5" t="b">
        <f ca="1">IFERROR(__xludf.DUMMYFUNCTION("""COMPUTED_VALUE"""),TRUE)</f>
        <v>1</v>
      </c>
      <c r="AR118" s="5"/>
      <c r="AS118" s="5" t="str">
        <f ca="1">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AT118" s="5"/>
      <c r="AU118" s="5" t="str">
        <f ca="1">IFERROR(__xludf.DUMMYFUNCTION("""COMPUTED_VALUE"""),"Fazi")</f>
        <v>Fazi</v>
      </c>
      <c r="AV118" s="5"/>
      <c r="AW118" s="5"/>
      <c r="AX118" s="5"/>
      <c r="AY118" s="5"/>
      <c r="AZ118" s="5"/>
      <c r="BA118" s="5"/>
      <c r="BB118" s="5" t="b">
        <f ca="1">IFERROR(__xludf.DUMMYFUNCTION("""COMPUTED_VALUE"""),TRUE)</f>
        <v>1</v>
      </c>
      <c r="BC118" s="5" t="str">
        <f ca="1">IFERROR(__xludf.DUMMYFUNCTION("""COMPUTED_VALUE"""),"Tiptop")</f>
        <v>Tiptop</v>
      </c>
      <c r="BD118" s="7" t="str">
        <f ca="1">IFERROR(__xludf.DUMMYFUNCTION("""COMPUTED_VALUE"""),"https://gameserver-store-client-area.orbionlimited.com/Home/IntegrationGameLaunch/client-area?moneyType=0&amp;gameName=UnicornIslandRespins&amp;platform=desktop&amp;languageCode=eng&amp;currency=EUR")</f>
        <v>https://gameserver-store-client-area.orbionlimited.com/Home/IntegrationGameLaunch/client-area?moneyType=0&amp;gameName=UnicornIslandRespins&amp;platform=desktop&amp;languageCode=eng&amp;currency=EUR</v>
      </c>
      <c r="BE118" s="5" t="b">
        <f ca="1">IFERROR(__xludf.DUMMYFUNCTION("""COMPUTED_VALUE"""),TRUE)</f>
        <v>1</v>
      </c>
    </row>
    <row r="119" spans="1:57" x14ac:dyDescent="0.25">
      <c r="A119" s="5">
        <f ca="1">IFERROR(__xludf.DUMMYFUNCTION("""COMPUTED_VALUE"""),118)</f>
        <v>118</v>
      </c>
      <c r="B119" s="5">
        <f ca="1">IFERROR(__xludf.DUMMYFUNCTION("""COMPUTED_VALUE"""),117)</f>
        <v>117</v>
      </c>
      <c r="C119" s="5" t="str">
        <f ca="1">IFERROR(__xludf.DUMMYFUNCTION("""COMPUTED_VALUE"""),"Tiptop")</f>
        <v>Tiptop</v>
      </c>
      <c r="D119" s="5" t="str">
        <f ca="1">IFERROR(__xludf.DUMMYFUNCTION("""COMPUTED_VALUE"""),"Unicorn Dice Respins")</f>
        <v>Unicorn Dice Respins</v>
      </c>
      <c r="E119" s="5"/>
      <c r="F119" s="5" t="str">
        <f ca="1">IFERROR(__xludf.DUMMYFUNCTION("""COMPUTED_VALUE"""),"UnicornDiceRespins")</f>
        <v>UnicornDiceRespins</v>
      </c>
      <c r="G119" s="5" t="str">
        <f ca="1">IFERROR(__xludf.DUMMYFUNCTION("""COMPUTED_VALUE"""),"Retired")</f>
        <v>Retired</v>
      </c>
      <c r="H119" s="5"/>
      <c r="I119" s="5" t="str">
        <f ca="1">IFERROR(__xludf.DUMMYFUNCTION("""COMPUTED_VALUE"""),"TipTop")</f>
        <v>TipTop</v>
      </c>
      <c r="J119" s="5"/>
      <c r="K119" s="5" t="str">
        <f ca="1">IFERROR(__xludf.DUMMYFUNCTION("""COMPUTED_VALUE"""),"Slot")</f>
        <v>Slot</v>
      </c>
      <c r="L119" s="5"/>
      <c r="M119" s="5"/>
      <c r="N119" s="5"/>
      <c r="O119" s="5"/>
      <c r="P119" s="5"/>
      <c r="Q119" s="5"/>
      <c r="R119" s="5"/>
      <c r="S119" s="5"/>
      <c r="T119" s="5"/>
      <c r="U119" s="5"/>
      <c r="V119" s="5"/>
      <c r="W119" s="5"/>
      <c r="X119" s="13">
        <f ca="1">IFERROR(__xludf.DUMMYFUNCTION("""COMPUTED_VALUE"""),0)</f>
        <v>0</v>
      </c>
      <c r="Y119" s="5"/>
      <c r="Z119" s="5">
        <f ca="1">IFERROR(__xludf.DUMMYFUNCTION("""COMPUTED_VALUE"""),0)</f>
        <v>0</v>
      </c>
      <c r="AA119" s="5"/>
      <c r="AB119" s="5"/>
      <c r="AC119" s="5"/>
      <c r="AD119" s="5"/>
      <c r="AE119" s="5"/>
      <c r="AF119" s="5"/>
      <c r="AG119" s="10">
        <f ca="1">IFERROR(__xludf.DUMMYFUNCTION("""COMPUTED_VALUE"""),46213.3806712963)</f>
        <v>46213.380671296298</v>
      </c>
      <c r="AH119" s="5"/>
      <c r="AI119" s="5"/>
      <c r="AJ119" s="5"/>
      <c r="AK119" s="5" t="str">
        <f ca="1">IFERROR(__xludf.DUMMYFUNCTION("""COMPUTED_VALUE"""),"NULL")</f>
        <v>NULL</v>
      </c>
      <c r="AL119" s="5"/>
      <c r="AM119" s="5"/>
      <c r="AN119" s="5"/>
      <c r="AO119" s="5"/>
      <c r="AP119" s="5"/>
      <c r="AQ119" s="5"/>
      <c r="AR119" s="5"/>
      <c r="AS119" s="5"/>
      <c r="AT119" s="5"/>
      <c r="AU119" s="5" t="str">
        <f ca="1">IFERROR(__xludf.DUMMYFUNCTION("""COMPUTED_VALUE"""),"Fazi")</f>
        <v>Fazi</v>
      </c>
      <c r="AV119" s="5"/>
      <c r="AW119" s="5"/>
      <c r="AX119" s="5"/>
      <c r="AY119" s="5"/>
      <c r="AZ119" s="5"/>
      <c r="BA119" s="5"/>
      <c r="BB119" s="5"/>
      <c r="BC119" s="5" t="str">
        <f ca="1">IFERROR(__xludf.DUMMYFUNCTION("""COMPUTED_VALUE"""),"Tiptop")</f>
        <v>Tiptop</v>
      </c>
      <c r="BD119" s="5"/>
      <c r="BE119" s="5"/>
    </row>
    <row r="120" spans="1:57" x14ac:dyDescent="0.25">
      <c r="A120" s="5">
        <f ca="1">IFERROR(__xludf.DUMMYFUNCTION("""COMPUTED_VALUE"""),119)</f>
        <v>119</v>
      </c>
      <c r="B120" s="5">
        <f ca="1">IFERROR(__xludf.DUMMYFUNCTION("""COMPUTED_VALUE"""),118)</f>
        <v>118</v>
      </c>
      <c r="C120" s="5" t="str">
        <f ca="1">IFERROR(__xludf.DUMMYFUNCTION("""COMPUTED_VALUE"""),"Redstone")</f>
        <v>Redstone</v>
      </c>
      <c r="D120" s="5" t="str">
        <f ca="1">IFERROR(__xludf.DUMMYFUNCTION("""COMPUTED_VALUE"""),"Lost Book")</f>
        <v>Lost Book</v>
      </c>
      <c r="E120" s="5" t="str">
        <f ca="1">IFERROR(__xludf.DUMMYFUNCTION("""COMPUTED_VALUE"""),"Redstone")</f>
        <v>Redstone</v>
      </c>
      <c r="F120" s="5" t="str">
        <f ca="1">IFERROR(__xludf.DUMMYFUNCTION("""COMPUTED_VALUE"""),"LostBook")</f>
        <v>LostBook</v>
      </c>
      <c r="G120" s="5" t="str">
        <f ca="1">IFERROR(__xludf.DUMMYFUNCTION("""COMPUTED_VALUE"""),"Live")</f>
        <v>Live</v>
      </c>
      <c r="H120" s="5"/>
      <c r="I120" s="5" t="str">
        <f ca="1">IFERROR(__xludf.DUMMYFUNCTION("""COMPUTED_VALUE"""),"Redstone")</f>
        <v>Redstone</v>
      </c>
      <c r="J120" s="5" t="str">
        <f ca="1">IFERROR(__xludf.DUMMYFUNCTION("""COMPUTED_VALUE"""),"JSON")</f>
        <v>JSON</v>
      </c>
      <c r="K120" s="5" t="str">
        <f ca="1">IFERROR(__xludf.DUMMYFUNCTION("""COMPUTED_VALUE"""),"Slot")</f>
        <v>Slot</v>
      </c>
      <c r="L120" s="5" t="str">
        <f ca="1">IFERROR(__xludf.DUMMYFUNCTION("""COMPUTED_VALUE"""),"Master")</f>
        <v>Master</v>
      </c>
      <c r="M120" s="5"/>
      <c r="N120" s="7" t="str">
        <f ca="1">IFERROR(__xludf.DUMMYFUNCTION("""COMPUTED_VALUE"""),"https://docs.google.com/document/d/1gUX7LG55yGx6j3tAxRhlcmJiDfTj2tUl/edit?usp=drive_link&amp;ouid=107596163405648766688&amp;rtpof=true&amp;sd=true")</f>
        <v>https://docs.google.com/document/d/1gUX7LG55yGx6j3tAxRhlcmJiDfTj2tUl/edit?usp=drive_link&amp;ouid=107596163405648766688&amp;rtpof=true&amp;sd=true</v>
      </c>
      <c r="O120" s="7" t="str">
        <f ca="1">IFERROR(__xludf.DUMMYFUNCTION("""COMPUTED_VALUE"""),"https://docs.google.com/document/d/1hJ7uzVuMAnWzme7nHV7odsYNjxqkNDWu/edit?usp=drive_link&amp;ouid=107596163405648766688&amp;rtpof=true&amp;sd=true")</f>
        <v>https://docs.google.com/document/d/1hJ7uzVuMAnWzme7nHV7odsYNjxqkNDWu/edit?usp=drive_link&amp;ouid=107596163405648766688&amp;rtpof=true&amp;sd=true</v>
      </c>
      <c r="P120" s="14">
        <f ca="1">IFERROR(__xludf.DUMMYFUNCTION("""COMPUTED_VALUE"""),12)</f>
        <v>12</v>
      </c>
      <c r="Q120" s="5"/>
      <c r="R120" s="5"/>
      <c r="S120" s="15">
        <f ca="1">IFERROR(__xludf.DUMMYFUNCTION("""COMPUTED_VALUE"""),44522)</f>
        <v>44522</v>
      </c>
      <c r="T120" s="5"/>
      <c r="U120" s="5" t="str">
        <f ca="1">IFERROR(__xludf.DUMMYFUNCTION("""COMPUTED_VALUE"""),"5x3")</f>
        <v>5x3</v>
      </c>
      <c r="V120" s="12" t="str">
        <f ca="1">IFERROR(__xludf.DUMMYFUNCTION("""COMPUTED_VALUE"""),"10")</f>
        <v>10</v>
      </c>
      <c r="W120" s="12" t="str">
        <f ca="1">IFERROR(__xludf.DUMMYFUNCTION("""COMPUTED_VALUE"""),"10")</f>
        <v>10</v>
      </c>
      <c r="X120" s="13">
        <f ca="1">IFERROR(__xludf.DUMMYFUNCTION("""COMPUTED_VALUE"""),96.2)</f>
        <v>96.2</v>
      </c>
      <c r="Y120" s="5" t="str">
        <f ca="1">IFERROR(__xludf.DUMMYFUNCTION("""COMPUTED_VALUE"""),"High")</f>
        <v>High</v>
      </c>
      <c r="Z120" s="5">
        <f ca="1">IFERROR(__xludf.DUMMYFUNCTION("""COMPUTED_VALUE"""),12.34)</f>
        <v>12.34</v>
      </c>
      <c r="AA120" s="14">
        <f ca="1">IFERROR(__xludf.DUMMYFUNCTION("""COMPUTED_VALUE"""),5512)</f>
        <v>5512</v>
      </c>
      <c r="AB120" s="5"/>
      <c r="AC120" s="5" t="str">
        <f ca="1">IFERROR(__xludf.DUMMYFUNCTION("""COMPUTED_VALUE"""),"Bonus Game with Free Spins, Wild Symbol, Scatter")</f>
        <v>Bonus Game with Free Spins, Wild Symbol, Scatter</v>
      </c>
      <c r="AD120" s="5" t="str">
        <f ca="1">IFERROR(__xludf.DUMMYFUNCTION("""COMPUTED_VALUE"""),"0.10/40")</f>
        <v>0.10/40</v>
      </c>
      <c r="AE120" s="5"/>
      <c r="AF120" s="5"/>
      <c r="AG120" s="10">
        <f ca="1">IFERROR(__xludf.DUMMYFUNCTION("""COMPUTED_VALUE"""),46157.4781597222)</f>
        <v>46157.478159722203</v>
      </c>
      <c r="AH120" s="5"/>
      <c r="AI120" s="5"/>
      <c r="AJ120" s="5"/>
      <c r="AK120" s="5">
        <f ca="1">IFERROR(__xludf.DUMMYFUNCTION("""COMPUTED_VALUE"""),1)</f>
        <v>1</v>
      </c>
      <c r="AL120" s="5" t="str">
        <f ca="1">IFERROR(__xludf.DUMMYFUNCTION("""COMPUTED_VALUE"""),"No")</f>
        <v>No</v>
      </c>
      <c r="AM120" s="5" t="str">
        <f ca="1">IFERROR(__xludf.DUMMYFUNCTION("""COMPUTED_VALUE"""),"No")</f>
        <v>No</v>
      </c>
      <c r="AN120" s="7" t="str">
        <f ca="1">IFERROR(__xludf.DUMMYFUNCTION("""COMPUTED_VALUE"""),"https://static.redstone.rs/games/lost-book/")</f>
        <v>https://static.redstone.rs/games/lost-book/</v>
      </c>
      <c r="AO120" s="5" t="str">
        <f ca="1">IFERROR(__xludf.DUMMYFUNCTION("""COMPUTED_VALUE"""),"No")</f>
        <v>No</v>
      </c>
      <c r="AP120" s="5" t="str">
        <f ca="1">IFERROR(__xludf.DUMMYFUNCTION("""COMPUTED_VALUE"""),"No")</f>
        <v>No</v>
      </c>
      <c r="AQ120" s="5" t="b">
        <f ca="1">IFERROR(__xludf.DUMMYFUNCTION("""COMPUTED_VALUE"""),TRUE)</f>
        <v>1</v>
      </c>
      <c r="AR120" s="5"/>
      <c r="AS120" s="5" t="str">
        <f ca="1">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AT120" s="5"/>
      <c r="AU120" s="5" t="str">
        <f ca="1">IFERROR(__xludf.DUMMYFUNCTION("""COMPUTED_VALUE"""),"Redstone")</f>
        <v>Redstone</v>
      </c>
      <c r="AV120" s="5"/>
      <c r="AW120" s="5"/>
      <c r="AX120" s="5"/>
      <c r="AY120" s="5"/>
      <c r="AZ120" s="5"/>
      <c r="BA120" s="5"/>
      <c r="BB120" s="5" t="b">
        <f ca="1">IFERROR(__xludf.DUMMYFUNCTION("""COMPUTED_VALUE"""),TRUE)</f>
        <v>1</v>
      </c>
      <c r="BC120" s="5" t="str">
        <f ca="1">IFERROR(__xludf.DUMMYFUNCTION("""COMPUTED_VALUE"""),"Redstone")</f>
        <v>Redstone</v>
      </c>
      <c r="BD120" s="7" t="str">
        <f ca="1">IFERROR(__xludf.DUMMYFUNCTION("""COMPUTED_VALUE"""),"https://static.redstone.rs/games/lost-book/")</f>
        <v>https://static.redstone.rs/games/lost-book/</v>
      </c>
      <c r="BE120" s="5" t="b">
        <f ca="1">IFERROR(__xludf.DUMMYFUNCTION("""COMPUTED_VALUE"""),TRUE)</f>
        <v>1</v>
      </c>
    </row>
    <row r="121" spans="1:57" x14ac:dyDescent="0.25">
      <c r="A121" s="5">
        <f ca="1">IFERROR(__xludf.DUMMYFUNCTION("""COMPUTED_VALUE"""),120)</f>
        <v>120</v>
      </c>
      <c r="B121" s="5">
        <f ca="1">IFERROR(__xludf.DUMMYFUNCTION("""COMPUTED_VALUE"""),119)</f>
        <v>119</v>
      </c>
      <c r="C121" s="5" t="str">
        <f ca="1">IFERROR(__xludf.DUMMYFUNCTION("""COMPUTED_VALUE"""),"Fazi")</f>
        <v>Fazi</v>
      </c>
      <c r="D121" s="5" t="str">
        <f ca="1">IFERROR(__xludf.DUMMYFUNCTION("""COMPUTED_VALUE"""),"Bursting Hot 40 Mozzart")</f>
        <v>Bursting Hot 40 Mozzart</v>
      </c>
      <c r="E121" s="5" t="str">
        <f ca="1">IFERROR(__xludf.DUMMYFUNCTION("""COMPUTED_VALUE"""),"V2")</f>
        <v>V2</v>
      </c>
      <c r="F121" s="5" t="str">
        <f ca="1">IFERROR(__xludf.DUMMYFUNCTION("""COMPUTED_VALUE"""),"BurstingHot40Mozzart")</f>
        <v>BurstingHot40Mozzart</v>
      </c>
      <c r="G121" s="5" t="str">
        <f ca="1">IFERROR(__xludf.DUMMYFUNCTION("""COMPUTED_VALUE"""),"Live")</f>
        <v>Live</v>
      </c>
      <c r="H121" s="5" t="str">
        <f ca="1">IFERROR(__xludf.DUMMYFUNCTION("""COMPUTED_VALUE"""),"MozzartBet
MozzartBetRS
MozzartKE
Mozzartbet Services")</f>
        <v>MozzartBet
MozzartBetRS
MozzartKE
Mozzartbet Services</v>
      </c>
      <c r="I121" s="5" t="str">
        <f ca="1">IFERROR(__xludf.DUMMYFUNCTION("""COMPUTED_VALUE"""),"V2")</f>
        <v>V2</v>
      </c>
      <c r="J121" s="5" t="str">
        <f ca="1">IFERROR(__xludf.DUMMYFUNCTION("""COMPUTED_VALUE"""),"Binary")</f>
        <v>Binary</v>
      </c>
      <c r="K121" s="5" t="str">
        <f ca="1">IFERROR(__xludf.DUMMYFUNCTION("""COMPUTED_VALUE"""),"Slot")</f>
        <v>Slot</v>
      </c>
      <c r="L121" s="5" t="str">
        <f ca="1">IFERROR(__xludf.DUMMYFUNCTION("""COMPUTED_VALUE"""),"Clone")</f>
        <v>Clone</v>
      </c>
      <c r="M121" s="5" t="str">
        <f ca="1">IFERROR(__xludf.DUMMYFUNCTION("""COMPUTED_VALUE"""),"Bursting Hot 40")</f>
        <v>Bursting Hot 40</v>
      </c>
      <c r="N121" s="5"/>
      <c r="O121" s="5"/>
      <c r="P121" s="5"/>
      <c r="Q121" s="5"/>
      <c r="R121" s="5"/>
      <c r="S121" s="5"/>
      <c r="T121" s="5"/>
      <c r="U121" s="5" t="str">
        <f ca="1">IFERROR(__xludf.DUMMYFUNCTION("""COMPUTED_VALUE"""),"5x3")</f>
        <v>5x3</v>
      </c>
      <c r="V121" s="12" t="str">
        <f ca="1">IFERROR(__xludf.DUMMYFUNCTION("""COMPUTED_VALUE"""),"40")</f>
        <v>40</v>
      </c>
      <c r="W121" s="12" t="str">
        <f ca="1">IFERROR(__xludf.DUMMYFUNCTION("""COMPUTED_VALUE"""),"40")</f>
        <v>40</v>
      </c>
      <c r="X121" s="13">
        <f ca="1">IFERROR(__xludf.DUMMYFUNCTION("""COMPUTED_VALUE"""),96.53)</f>
        <v>96.53</v>
      </c>
      <c r="Y121" s="5" t="str">
        <f ca="1">IFERROR(__xludf.DUMMYFUNCTION("""COMPUTED_VALUE"""),"Low")</f>
        <v>Low</v>
      </c>
      <c r="Z121" s="5">
        <f ca="1">IFERROR(__xludf.DUMMYFUNCTION("""COMPUTED_VALUE"""),23.38)</f>
        <v>23.38</v>
      </c>
      <c r="AA121" s="14">
        <f ca="1">IFERROR(__xludf.DUMMYFUNCTION("""COMPUTED_VALUE"""),876.75)</f>
        <v>876.75</v>
      </c>
      <c r="AB121" s="5">
        <f ca="1">IFERROR(__xludf.DUMMYFUNCTION("""COMPUTED_VALUE"""),4)</f>
        <v>4</v>
      </c>
      <c r="AC121" s="5" t="str">
        <f ca="1">IFERROR(__xludf.DUMMYFUNCTION("""COMPUTED_VALUE"""),"Scatter, Expanding Wild")</f>
        <v>Scatter, Expanding Wild</v>
      </c>
      <c r="AD121" s="5"/>
      <c r="AE121" s="5"/>
      <c r="AF121" s="5"/>
      <c r="AG121" s="10">
        <f ca="1">IFERROR(__xludf.DUMMYFUNCTION("""COMPUTED_VALUE"""),46020.5178935185)</f>
        <v>46020.517893518503</v>
      </c>
      <c r="AH121" s="5" t="str">
        <f ca="1">IFERROR(__xludf.DUMMYFUNCTION("""COMPUTED_VALUE"""),"djordje.jankovic@fazi.rs")</f>
        <v>djordje.jankovic@fazi.rs</v>
      </c>
      <c r="AI121" s="5"/>
      <c r="AJ121" s="5"/>
      <c r="AK121" s="5">
        <f ca="1">IFERROR(__xludf.DUMMYFUNCTION("""COMPUTED_VALUE"""),40)</f>
        <v>40</v>
      </c>
      <c r="AL121" s="5" t="str">
        <f ca="1">IFERROR(__xludf.DUMMYFUNCTION("""COMPUTED_VALUE"""),"Yes")</f>
        <v>Yes</v>
      </c>
      <c r="AM121" s="5"/>
      <c r="AN121" s="5"/>
      <c r="AO121" s="5"/>
      <c r="AP121" s="5"/>
      <c r="AQ121" s="5"/>
      <c r="AR121" s="5" t="b">
        <f ca="1">IFERROR(__xludf.DUMMYFUNCTION("""COMPUTED_VALUE"""),TRUE)</f>
        <v>1</v>
      </c>
      <c r="AS121" s="5"/>
      <c r="AT121" s="5"/>
      <c r="AU121" s="5" t="str">
        <f ca="1">IFERROR(__xludf.DUMMYFUNCTION("""COMPUTED_VALUE"""),"Fazi")</f>
        <v>Fazi</v>
      </c>
      <c r="AV121" s="5"/>
      <c r="AW121" s="5"/>
      <c r="AX121" s="5"/>
      <c r="AY121" s="5"/>
      <c r="AZ121" s="5"/>
      <c r="BA121" s="5" t="str">
        <f ca="1">IFERROR(__xludf.DUMMYFUNCTION("""COMPUTED_VALUE"""),"")</f>
        <v/>
      </c>
      <c r="BB121" s="5"/>
      <c r="BC121" s="5" t="str">
        <f ca="1">IFERROR(__xludf.DUMMYFUNCTION("""COMPUTED_VALUE"""),"Foxi")</f>
        <v>Foxi</v>
      </c>
      <c r="BD121" s="5" t="str">
        <f ca="1">IFERROR(__xludf.DUMMYFUNCTION("""COMPUTED_VALUE"""),"")</f>
        <v/>
      </c>
      <c r="BE121" s="5"/>
    </row>
    <row r="122" spans="1:57" x14ac:dyDescent="0.25">
      <c r="A122" s="5">
        <f ca="1">IFERROR(__xludf.DUMMYFUNCTION("""COMPUTED_VALUE"""),121)</f>
        <v>121</v>
      </c>
      <c r="B122" s="5">
        <f ca="1">IFERROR(__xludf.DUMMYFUNCTION("""COMPUTED_VALUE"""),120)</f>
        <v>120</v>
      </c>
      <c r="C122" s="5" t="str">
        <f ca="1">IFERROR(__xludf.DUMMYFUNCTION("""COMPUTED_VALUE"""),"Fazi")</f>
        <v>Fazi</v>
      </c>
      <c r="D122" s="5" t="str">
        <f ca="1">IFERROR(__xludf.DUMMYFUNCTION("""COMPUTED_VALUE"""),"Maxbet Crown")</f>
        <v>Maxbet Crown</v>
      </c>
      <c r="E122" s="5" t="str">
        <f ca="1">IFERROR(__xludf.DUMMYFUNCTION("""COMPUTED_VALUE"""),"V2")</f>
        <v>V2</v>
      </c>
      <c r="F122" s="5" t="str">
        <f ca="1">IFERROR(__xludf.DUMMYFUNCTION("""COMPUTED_VALUE"""),"GoldenCrownMaxbet")</f>
        <v>GoldenCrownMaxbet</v>
      </c>
      <c r="G122" s="5" t="str">
        <f ca="1">IFERROR(__xludf.DUMMYFUNCTION("""COMPUTED_VALUE"""),"Live")</f>
        <v>Live</v>
      </c>
      <c r="H122" s="5" t="str">
        <f ca="1">IFERROR(__xludf.DUMMYFUNCTION("""COMPUTED_VALUE"""),"MaxBet - Dan Plus International")</f>
        <v>MaxBet - Dan Plus International</v>
      </c>
      <c r="I122" s="5" t="str">
        <f ca="1">IFERROR(__xludf.DUMMYFUNCTION("""COMPUTED_VALUE"""),"V2")</f>
        <v>V2</v>
      </c>
      <c r="J122" s="5" t="str">
        <f ca="1">IFERROR(__xludf.DUMMYFUNCTION("""COMPUTED_VALUE"""),"Binary")</f>
        <v>Binary</v>
      </c>
      <c r="K122" s="5" t="str">
        <f ca="1">IFERROR(__xludf.DUMMYFUNCTION("""COMPUTED_VALUE"""),"Slot")</f>
        <v>Slot</v>
      </c>
      <c r="L122" s="5"/>
      <c r="M122" s="5"/>
      <c r="N122" s="5"/>
      <c r="O122" s="5"/>
      <c r="P122" s="5"/>
      <c r="Q122" s="5"/>
      <c r="R122" s="5"/>
      <c r="S122" s="5"/>
      <c r="T122" s="5"/>
      <c r="U122" s="5" t="str">
        <f ca="1">IFERROR(__xludf.DUMMYFUNCTION("""COMPUTED_VALUE"""),"5x3")</f>
        <v>5x3</v>
      </c>
      <c r="V122" s="12" t="str">
        <f ca="1">IFERROR(__xludf.DUMMYFUNCTION("""COMPUTED_VALUE"""),"10")</f>
        <v>10</v>
      </c>
      <c r="W122" s="12" t="str">
        <f ca="1">IFERROR(__xludf.DUMMYFUNCTION("""COMPUTED_VALUE"""),"10")</f>
        <v>10</v>
      </c>
      <c r="X122" s="13">
        <f ca="1">IFERROR(__xludf.DUMMYFUNCTION("""COMPUTED_VALUE"""),95.962)</f>
        <v>95.962000000000003</v>
      </c>
      <c r="Y122" s="5" t="str">
        <f ca="1">IFERROR(__xludf.DUMMYFUNCTION("""COMPUTED_VALUE"""),"Medium")</f>
        <v>Medium</v>
      </c>
      <c r="Z122" s="5">
        <f ca="1">IFERROR(__xludf.DUMMYFUNCTION("""COMPUTED_VALUE"""),14.63)</f>
        <v>14.63</v>
      </c>
      <c r="AA122" s="14">
        <f ca="1">IFERROR(__xludf.DUMMYFUNCTION("""COMPUTED_VALUE"""),1538)</f>
        <v>1538</v>
      </c>
      <c r="AB122" s="5"/>
      <c r="AC122" s="5"/>
      <c r="AD122" s="5" t="str">
        <f ca="1">IFERROR(__xludf.DUMMYFUNCTION("""COMPUTED_VALUE"""),"0.1/40")</f>
        <v>0.1/40</v>
      </c>
      <c r="AE122" s="5"/>
      <c r="AF122" s="5"/>
      <c r="AG122" s="10">
        <f ca="1">IFERROR(__xludf.DUMMYFUNCTION("""COMPUTED_VALUE"""),46169.4734375)</f>
        <v>46169.473437499997</v>
      </c>
      <c r="AH122" s="5" t="str">
        <f ca="1">IFERROR(__xludf.DUMMYFUNCTION("""COMPUTED_VALUE"""),"petra.ilic@fazi.rs")</f>
        <v>petra.ilic@fazi.rs</v>
      </c>
      <c r="AI122" s="5"/>
      <c r="AJ122" s="5"/>
      <c r="AK122" s="5">
        <f ca="1">IFERROR(__xludf.DUMMYFUNCTION("""COMPUTED_VALUE"""),10)</f>
        <v>10</v>
      </c>
      <c r="AL122" s="5" t="str">
        <f ca="1">IFERROR(__xludf.DUMMYFUNCTION("""COMPUTED_VALUE"""),"Yes")</f>
        <v>Yes</v>
      </c>
      <c r="AM122" s="5"/>
      <c r="AN122" s="5"/>
      <c r="AO122" s="5"/>
      <c r="AP122" s="5"/>
      <c r="AQ122" s="5"/>
      <c r="AR122" s="5" t="b">
        <f ca="1">IFERROR(__xludf.DUMMYFUNCTION("""COMPUTED_VALUE"""),TRUE)</f>
        <v>1</v>
      </c>
      <c r="AS122" s="5"/>
      <c r="AT122" s="5"/>
      <c r="AU122" s="5" t="str">
        <f ca="1">IFERROR(__xludf.DUMMYFUNCTION("""COMPUTED_VALUE"""),"Fazi")</f>
        <v>Fazi</v>
      </c>
      <c r="AV122" s="5"/>
      <c r="AW122" s="5"/>
      <c r="AX122" s="5"/>
      <c r="AY122" s="5"/>
      <c r="AZ122" s="5"/>
      <c r="BA122" s="5"/>
      <c r="BB122" s="5"/>
      <c r="BC122" s="5" t="str">
        <f ca="1">IFERROR(__xludf.DUMMYFUNCTION("""COMPUTED_VALUE"""),"Foxi")</f>
        <v>Foxi</v>
      </c>
      <c r="BD122" s="5" t="str">
        <f ca="1">IFERROR(__xludf.DUMMYFUNCTION("""COMPUTED_VALUE"""),"")</f>
        <v/>
      </c>
      <c r="BE122" s="5"/>
    </row>
    <row r="123" spans="1:57" x14ac:dyDescent="0.25">
      <c r="A123" s="5">
        <f ca="1">IFERROR(__xludf.DUMMYFUNCTION("""COMPUTED_VALUE"""),122)</f>
        <v>122</v>
      </c>
      <c r="B123" s="5">
        <f ca="1">IFERROR(__xludf.DUMMYFUNCTION("""COMPUTED_VALUE"""),121)</f>
        <v>121</v>
      </c>
      <c r="C123" s="5" t="str">
        <f ca="1">IFERROR(__xludf.DUMMYFUNCTION("""COMPUTED_VALUE"""),"Redstone")</f>
        <v>Redstone</v>
      </c>
      <c r="D123" s="5" t="str">
        <f ca="1">IFERROR(__xludf.DUMMYFUNCTION("""COMPUTED_VALUE"""),"Fire Dice 40")</f>
        <v>Fire Dice 40</v>
      </c>
      <c r="E123" s="5" t="str">
        <f ca="1">IFERROR(__xludf.DUMMYFUNCTION("""COMPUTED_VALUE"""),"Redstone")</f>
        <v>Redstone</v>
      </c>
      <c r="F123" s="5" t="str">
        <f ca="1">IFERROR(__xludf.DUMMYFUNCTION("""COMPUTED_VALUE"""),"FireDice40")</f>
        <v>FireDice40</v>
      </c>
      <c r="G123" s="5" t="str">
        <f ca="1">IFERROR(__xludf.DUMMYFUNCTION("""COMPUTED_VALUE"""),"Live")</f>
        <v>Live</v>
      </c>
      <c r="H123" s="5"/>
      <c r="I123" s="5" t="str">
        <f ca="1">IFERROR(__xludf.DUMMYFUNCTION("""COMPUTED_VALUE"""),"Redstone")</f>
        <v>Redstone</v>
      </c>
      <c r="J123" s="5" t="str">
        <f ca="1">IFERROR(__xludf.DUMMYFUNCTION("""COMPUTED_VALUE"""),"JSON")</f>
        <v>JSON</v>
      </c>
      <c r="K123" s="5" t="str">
        <f ca="1">IFERROR(__xludf.DUMMYFUNCTION("""COMPUTED_VALUE"""),"Dice Slots")</f>
        <v>Dice Slots</v>
      </c>
      <c r="L123" s="5" t="str">
        <f ca="1">IFERROR(__xludf.DUMMYFUNCTION("""COMPUTED_VALUE""")," Clone")</f>
        <v xml:space="preserve"> Clone</v>
      </c>
      <c r="M123" s="5" t="str">
        <f ca="1">IFERROR(__xludf.DUMMYFUNCTION("""COMPUTED_VALUE"""),"40 Clover Fire")</f>
        <v>40 Clover Fire</v>
      </c>
      <c r="N123" s="7" t="str">
        <f ca="1">IFERROR(__xludf.DUMMYFUNCTION("""COMPUTED_VALUE"""),"https://docs.google.com/document/d/1MJ3lFrASukAREOdpS2C0i7nDu4-kGpJk/edit?usp=drive_link&amp;ouid=107596163405648766688&amp;rtpof=true&amp;sd=true")</f>
        <v>https://docs.google.com/document/d/1MJ3lFrASukAREOdpS2C0i7nDu4-kGpJk/edit?usp=drive_link&amp;ouid=107596163405648766688&amp;rtpof=true&amp;sd=true</v>
      </c>
      <c r="O123" s="7" t="str">
        <f ca="1">IFERROR(__xludf.DUMMYFUNCTION("""COMPUTED_VALUE"""),"https://docs.google.com/document/d/1Bmk7HWKas2YhSSQsbvIW7F9KZLsVT-9m/edit?usp=drive_link&amp;ouid=107596163405648766688&amp;rtpof=true&amp;sd=true")</f>
        <v>https://docs.google.com/document/d/1Bmk7HWKas2YhSSQsbvIW7F9KZLsVT-9m/edit?usp=drive_link&amp;ouid=107596163405648766688&amp;rtpof=true&amp;sd=true</v>
      </c>
      <c r="P123" s="14">
        <f ca="1">IFERROR(__xludf.DUMMYFUNCTION("""COMPUTED_VALUE"""),7.03)</f>
        <v>7.03</v>
      </c>
      <c r="Q123" s="5"/>
      <c r="R123" s="5"/>
      <c r="S123" s="15">
        <f ca="1">IFERROR(__xludf.DUMMYFUNCTION("""COMPUTED_VALUE"""),44438)</f>
        <v>44438</v>
      </c>
      <c r="T123" s="5"/>
      <c r="U123" s="5" t="str">
        <f ca="1">IFERROR(__xludf.DUMMYFUNCTION("""COMPUTED_VALUE"""),"5x3")</f>
        <v>5x3</v>
      </c>
      <c r="V123" s="12" t="str">
        <f ca="1">IFERROR(__xludf.DUMMYFUNCTION("""COMPUTED_VALUE"""),"40")</f>
        <v>40</v>
      </c>
      <c r="W123" s="12" t="str">
        <f ca="1">IFERROR(__xludf.DUMMYFUNCTION("""COMPUTED_VALUE"""),"40")</f>
        <v>40</v>
      </c>
      <c r="X123" s="13">
        <f ca="1">IFERROR(__xludf.DUMMYFUNCTION("""COMPUTED_VALUE"""),96.53)</f>
        <v>96.53</v>
      </c>
      <c r="Y123" s="5" t="str">
        <f ca="1">IFERROR(__xludf.DUMMYFUNCTION("""COMPUTED_VALUE"""),"Low")</f>
        <v>Low</v>
      </c>
      <c r="Z123" s="5">
        <f ca="1">IFERROR(__xludf.DUMMYFUNCTION("""COMPUTED_VALUE"""),23.38)</f>
        <v>23.38</v>
      </c>
      <c r="AA123" s="14">
        <f ca="1">IFERROR(__xludf.DUMMYFUNCTION("""COMPUTED_VALUE"""),3507)</f>
        <v>3507</v>
      </c>
      <c r="AB123" s="5"/>
      <c r="AC123" s="5" t="str">
        <f ca="1">IFERROR(__xludf.DUMMYFUNCTION("""COMPUTED_VALUE"""),"Expanding Wild, Scatter")</f>
        <v>Expanding Wild, Scatter</v>
      </c>
      <c r="AD123" s="5" t="str">
        <f ca="1">IFERROR(__xludf.DUMMYFUNCTION("""COMPUTED_VALUE"""),"0.40/60")</f>
        <v>0.40/60</v>
      </c>
      <c r="AE123" s="5"/>
      <c r="AF123" s="5"/>
      <c r="AG123" s="10">
        <f ca="1">IFERROR(__xludf.DUMMYFUNCTION("""COMPUTED_VALUE"""),46157.446261574)</f>
        <v>46157.446261573998</v>
      </c>
      <c r="AH123" s="5"/>
      <c r="AI123" s="5"/>
      <c r="AJ123" s="5"/>
      <c r="AK123" s="5">
        <f ca="1">IFERROR(__xludf.DUMMYFUNCTION("""COMPUTED_VALUE"""),40)</f>
        <v>40</v>
      </c>
      <c r="AL123" s="5" t="str">
        <f ca="1">IFERROR(__xludf.DUMMYFUNCTION("""COMPUTED_VALUE"""),"No")</f>
        <v>No</v>
      </c>
      <c r="AM123" s="5" t="str">
        <f ca="1">IFERROR(__xludf.DUMMYFUNCTION("""COMPUTED_VALUE"""),"No")</f>
        <v>No</v>
      </c>
      <c r="AN123" s="7" t="str">
        <f ca="1">IFERROR(__xludf.DUMMYFUNCTION("""COMPUTED_VALUE"""),"https://static.redstone.rs/games/40-dice-fire/")</f>
        <v>https://static.redstone.rs/games/40-dice-fire/</v>
      </c>
      <c r="AO123" s="5" t="str">
        <f ca="1">IFERROR(__xludf.DUMMYFUNCTION("""COMPUTED_VALUE"""),"No")</f>
        <v>No</v>
      </c>
      <c r="AP123" s="5" t="str">
        <f ca="1">IFERROR(__xludf.DUMMYFUNCTION("""COMPUTED_VALUE"""),"No")</f>
        <v>No</v>
      </c>
      <c r="AQ123" s="5" t="b">
        <f ca="1">IFERROR(__xludf.DUMMYFUNCTION("""COMPUTED_VALUE"""),TRUE)</f>
        <v>1</v>
      </c>
      <c r="AR123" s="5"/>
      <c r="AS123" s="5" t="str">
        <f ca="1">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AT123" s="5"/>
      <c r="AU123" s="5" t="str">
        <f ca="1">IFERROR(__xludf.DUMMYFUNCTION("""COMPUTED_VALUE"""),"Redstone")</f>
        <v>Redstone</v>
      </c>
      <c r="AV123" s="5"/>
      <c r="AW123" s="5"/>
      <c r="AX123" s="5"/>
      <c r="AY123" s="5"/>
      <c r="AZ123" s="5"/>
      <c r="BA123" s="5"/>
      <c r="BB123" s="5" t="b">
        <f ca="1">IFERROR(__xludf.DUMMYFUNCTION("""COMPUTED_VALUE"""),TRUE)</f>
        <v>1</v>
      </c>
      <c r="BC123" s="5" t="str">
        <f ca="1">IFERROR(__xludf.DUMMYFUNCTION("""COMPUTED_VALUE"""),"Redstone")</f>
        <v>Redstone</v>
      </c>
      <c r="BD123" s="7" t="str">
        <f ca="1">IFERROR(__xludf.DUMMYFUNCTION("""COMPUTED_VALUE"""),"https://static.redstone.rs/games/40-dice-fire/")</f>
        <v>https://static.redstone.rs/games/40-dice-fire/</v>
      </c>
      <c r="BE123" s="5" t="b">
        <f ca="1">IFERROR(__xludf.DUMMYFUNCTION("""COMPUTED_VALUE"""),TRUE)</f>
        <v>1</v>
      </c>
    </row>
    <row r="124" spans="1:57" x14ac:dyDescent="0.25">
      <c r="A124" s="5">
        <f ca="1">IFERROR(__xludf.DUMMYFUNCTION("""COMPUTED_VALUE"""),123)</f>
        <v>123</v>
      </c>
      <c r="B124" s="5">
        <f ca="1">IFERROR(__xludf.DUMMYFUNCTION("""COMPUTED_VALUE"""),122)</f>
        <v>122</v>
      </c>
      <c r="C124" s="5" t="str">
        <f ca="1">IFERROR(__xludf.DUMMYFUNCTION("""COMPUTED_VALUE"""),"Tiptop")</f>
        <v>Tiptop</v>
      </c>
      <c r="D124" s="5" t="str">
        <f ca="1">IFERROR(__xludf.DUMMYFUNCTION("""COMPUTED_VALUE"""),"Unicorn The Stolen Book")</f>
        <v>Unicorn The Stolen Book</v>
      </c>
      <c r="E124" s="5"/>
      <c r="F124" s="5" t="str">
        <f ca="1">IFERROR(__xludf.DUMMYFUNCTION("""COMPUTED_VALUE"""),"UnicornTheStolenBook")</f>
        <v>UnicornTheStolenBook</v>
      </c>
      <c r="G124" s="5" t="str">
        <f ca="1">IFERROR(__xludf.DUMMYFUNCTION("""COMPUTED_VALUE"""),"Retired")</f>
        <v>Retired</v>
      </c>
      <c r="H124" s="5"/>
      <c r="I124" s="5" t="str">
        <f ca="1">IFERROR(__xludf.DUMMYFUNCTION("""COMPUTED_VALUE"""),"TipTop")</f>
        <v>TipTop</v>
      </c>
      <c r="J124" s="5"/>
      <c r="K124" s="5" t="str">
        <f ca="1">IFERROR(__xludf.DUMMYFUNCTION("""COMPUTED_VALUE"""),"Slot")</f>
        <v>Slot</v>
      </c>
      <c r="L124" s="5"/>
      <c r="M124" s="5"/>
      <c r="N124" s="5"/>
      <c r="O124" s="5"/>
      <c r="P124" s="5"/>
      <c r="Q124" s="5"/>
      <c r="R124" s="5"/>
      <c r="S124" s="5"/>
      <c r="T124" s="5"/>
      <c r="U124" s="5"/>
      <c r="V124" s="5"/>
      <c r="W124" s="5"/>
      <c r="X124" s="13">
        <f ca="1">IFERROR(__xludf.DUMMYFUNCTION("""COMPUTED_VALUE"""),0)</f>
        <v>0</v>
      </c>
      <c r="Y124" s="5"/>
      <c r="Z124" s="5">
        <f ca="1">IFERROR(__xludf.DUMMYFUNCTION("""COMPUTED_VALUE"""),0)</f>
        <v>0</v>
      </c>
      <c r="AA124" s="5"/>
      <c r="AB124" s="5"/>
      <c r="AC124" s="5"/>
      <c r="AD124" s="5"/>
      <c r="AE124" s="5"/>
      <c r="AF124" s="5"/>
      <c r="AG124" s="10">
        <f ca="1">IFERROR(__xludf.DUMMYFUNCTION("""COMPUTED_VALUE"""),46213.3804282407)</f>
        <v>46213.3804282407</v>
      </c>
      <c r="AH124" s="5"/>
      <c r="AI124" s="5"/>
      <c r="AJ124" s="5"/>
      <c r="AK124" s="5" t="str">
        <f ca="1">IFERROR(__xludf.DUMMYFUNCTION("""COMPUTED_VALUE"""),"#N/A")</f>
        <v>#N/A</v>
      </c>
      <c r="AL124" s="5"/>
      <c r="AM124" s="5"/>
      <c r="AN124" s="5"/>
      <c r="AO124" s="5"/>
      <c r="AP124" s="5"/>
      <c r="AQ124" s="5"/>
      <c r="AR124" s="5"/>
      <c r="AS124" s="5"/>
      <c r="AT124" s="5"/>
      <c r="AU124" s="5" t="str">
        <f ca="1">IFERROR(__xludf.DUMMYFUNCTION("""COMPUTED_VALUE"""),"Fazi")</f>
        <v>Fazi</v>
      </c>
      <c r="AV124" s="5"/>
      <c r="AW124" s="5"/>
      <c r="AX124" s="5"/>
      <c r="AY124" s="5"/>
      <c r="AZ124" s="5"/>
      <c r="BA124" s="5"/>
      <c r="BB124" s="5"/>
      <c r="BC124" s="5" t="str">
        <f ca="1">IFERROR(__xludf.DUMMYFUNCTION("""COMPUTED_VALUE"""),"Tiptop")</f>
        <v>Tiptop</v>
      </c>
      <c r="BD124" s="5"/>
      <c r="BE124" s="5"/>
    </row>
    <row r="125" spans="1:57" x14ac:dyDescent="0.25">
      <c r="A125" s="5">
        <f ca="1">IFERROR(__xludf.DUMMYFUNCTION("""COMPUTED_VALUE"""),124)</f>
        <v>124</v>
      </c>
      <c r="B125" s="5">
        <f ca="1">IFERROR(__xludf.DUMMYFUNCTION("""COMPUTED_VALUE"""),123)</f>
        <v>123</v>
      </c>
      <c r="C125" s="5" t="str">
        <f ca="1">IFERROR(__xludf.DUMMYFUNCTION("""COMPUTED_VALUE"""),"Fazi")</f>
        <v>Fazi</v>
      </c>
      <c r="D125" s="5" t="str">
        <f ca="1">IFERROR(__xludf.DUMMYFUNCTION("""COMPUTED_VALUE"""),"Lucky Brilliants")</f>
        <v>Lucky Brilliants</v>
      </c>
      <c r="E125" s="5" t="str">
        <f ca="1">IFERROR(__xludf.DUMMYFUNCTION("""COMPUTED_VALUE"""),"V2")</f>
        <v>V2</v>
      </c>
      <c r="F125" s="5" t="str">
        <f ca="1">IFERROR(__xludf.DUMMYFUNCTION("""COMPUTED_VALUE"""),"LuckyBrilliants")</f>
        <v>LuckyBrilliants</v>
      </c>
      <c r="G125" s="5" t="str">
        <f ca="1">IFERROR(__xludf.DUMMYFUNCTION("""COMPUTED_VALUE"""),"Live")</f>
        <v>Live</v>
      </c>
      <c r="H125" s="5"/>
      <c r="I125" s="5" t="str">
        <f ca="1">IFERROR(__xludf.DUMMYFUNCTION("""COMPUTED_VALUE"""),"V2")</f>
        <v>V2</v>
      </c>
      <c r="J125" s="5" t="str">
        <f ca="1">IFERROR(__xludf.DUMMYFUNCTION("""COMPUTED_VALUE"""),"Binary")</f>
        <v>Binary</v>
      </c>
      <c r="K125" s="5" t="str">
        <f ca="1">IFERROR(__xludf.DUMMYFUNCTION("""COMPUTED_VALUE"""),"Slot")</f>
        <v>Slot</v>
      </c>
      <c r="L125" s="5" t="str">
        <f ca="1">IFERROR(__xludf.DUMMYFUNCTION("""COMPUTED_VALUE"""),"Clone")</f>
        <v>Clone</v>
      </c>
      <c r="M125" s="5" t="str">
        <f ca="1">IFERROR(__xludf.DUMMYFUNCTION("""COMPUTED_VALUE"""),"Twinkling Hot 5")</f>
        <v>Twinkling Hot 5</v>
      </c>
      <c r="N125" s="5"/>
      <c r="O125" s="5"/>
      <c r="P125" s="14">
        <f ca="1">IFERROR(__xludf.DUMMYFUNCTION("""COMPUTED_VALUE"""),12.9)</f>
        <v>12.9</v>
      </c>
      <c r="Q125" s="5"/>
      <c r="R125" s="5"/>
      <c r="S125" s="15">
        <f ca="1">IFERROR(__xludf.DUMMYFUNCTION("""COMPUTED_VALUE"""),44452)</f>
        <v>44452</v>
      </c>
      <c r="T125" s="5"/>
      <c r="U125" s="5" t="str">
        <f ca="1">IFERROR(__xludf.DUMMYFUNCTION("""COMPUTED_VALUE"""),"5x3")</f>
        <v>5x3</v>
      </c>
      <c r="V125" s="12" t="str">
        <f ca="1">IFERROR(__xludf.DUMMYFUNCTION("""COMPUTED_VALUE"""),"20")</f>
        <v>20</v>
      </c>
      <c r="W125" s="12" t="str">
        <f ca="1">IFERROR(__xludf.DUMMYFUNCTION("""COMPUTED_VALUE"""),"20")</f>
        <v>20</v>
      </c>
      <c r="X125" s="5">
        <f ca="1">IFERROR(__xludf.DUMMYFUNCTION("""COMPUTED_VALUE"""),95.656)</f>
        <v>95.656000000000006</v>
      </c>
      <c r="Y125" s="5" t="str">
        <f ca="1">IFERROR(__xludf.DUMMYFUNCTION("""COMPUTED_VALUE"""),"Low")</f>
        <v>Low</v>
      </c>
      <c r="Z125" s="5">
        <f ca="1">IFERROR(__xludf.DUMMYFUNCTION("""COMPUTED_VALUE"""),17.08)</f>
        <v>17.079999999999998</v>
      </c>
      <c r="AA125" s="14">
        <f ca="1">IFERROR(__xludf.DUMMYFUNCTION("""COMPUTED_VALUE"""),250)</f>
        <v>250</v>
      </c>
      <c r="AB125" s="5" t="str">
        <f ca="1">IFERROR(__xludf.DUMMYFUNCTION("""COMPUTED_VALUE"""),"/")</f>
        <v>/</v>
      </c>
      <c r="AC125" s="5" t="str">
        <f ca="1">IFERROR(__xludf.DUMMYFUNCTION("""COMPUTED_VALUE"""),"Scatter")</f>
        <v>Scatter</v>
      </c>
      <c r="AD125" s="5" t="str">
        <f ca="1">IFERROR(__xludf.DUMMYFUNCTION("""COMPUTED_VALUE"""),"0.2/50")</f>
        <v>0.2/50</v>
      </c>
      <c r="AE125" s="5"/>
      <c r="AF125" s="5"/>
      <c r="AG125" s="10">
        <f ca="1">IFERROR(__xludf.DUMMYFUNCTION("""COMPUTED_VALUE"""),46055.5132291666)</f>
        <v>46055.513229166601</v>
      </c>
      <c r="AH125" s="5" t="str">
        <f ca="1">IFERROR(__xludf.DUMMYFUNCTION("""COMPUTED_VALUE"""),"djordje.jankovic@fazi.rs")</f>
        <v>djordje.jankovic@fazi.rs</v>
      </c>
      <c r="AI125" s="5"/>
      <c r="AJ125" s="5"/>
      <c r="AK125" s="5">
        <f ca="1">IFERROR(__xludf.DUMMYFUNCTION("""COMPUTED_VALUE"""),20)</f>
        <v>20</v>
      </c>
      <c r="AL125" s="5" t="str">
        <f ca="1">IFERROR(__xludf.DUMMYFUNCTION("""COMPUTED_VALUE"""),"Yes")</f>
        <v>Yes</v>
      </c>
      <c r="AM125" s="5"/>
      <c r="AN125" s="7" t="str">
        <f ca="1">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AO125" s="5"/>
      <c r="AP125" s="5"/>
      <c r="AQ125" s="5" t="b">
        <f ca="1">IFERROR(__xludf.DUMMYFUNCTION("""COMPUTED_VALUE"""),TRUE)</f>
        <v>1</v>
      </c>
      <c r="AR125" s="5"/>
      <c r="AS125" s="5" t="str">
        <f ca="1">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AT125" s="5"/>
      <c r="AU125" s="5" t="str">
        <f ca="1">IFERROR(__xludf.DUMMYFUNCTION("""COMPUTED_VALUE"""),"Fazi")</f>
        <v>Fazi</v>
      </c>
      <c r="AV125" s="5"/>
      <c r="AW125" s="5"/>
      <c r="AX125" s="5"/>
      <c r="AY125" s="5"/>
      <c r="AZ125" s="5"/>
      <c r="BA125" s="5" t="str">
        <f ca="1">IFERROR(__xludf.DUMMYFUNCTION("""COMPUTED_VALUE"""),"")</f>
        <v/>
      </c>
      <c r="BB125" s="5"/>
      <c r="BC125" s="5" t="str">
        <f ca="1">IFERROR(__xludf.DUMMYFUNCTION("""COMPUTED_VALUE"""),"Foxi")</f>
        <v>Foxi</v>
      </c>
      <c r="BD125" s="7" t="str">
        <f ca="1">IFERROR(__xludf.DUMMYFUNCTION("""COMPUTED_VALUE"""),"https://gameserver-store-client-area.orbionlimited.com/Home/IntegrationGameLaunch/client-area?moneyType=0&amp;gameName=LuckyBrilliants&amp;platform=desktop&amp;languageCode=eng&amp;currency=EUR")</f>
        <v>https://gameserver-store-client-area.orbionlimited.com/Home/IntegrationGameLaunch/client-area?moneyType=0&amp;gameName=LuckyBrilliants&amp;platform=desktop&amp;languageCode=eng&amp;currency=EUR</v>
      </c>
      <c r="BE125" s="5" t="b">
        <f ca="1">IFERROR(__xludf.DUMMYFUNCTION("""COMPUTED_VALUE"""),TRUE)</f>
        <v>1</v>
      </c>
    </row>
    <row r="126" spans="1:57" x14ac:dyDescent="0.25">
      <c r="A126" s="5">
        <f ca="1">IFERROR(__xludf.DUMMYFUNCTION("""COMPUTED_VALUE"""),125)</f>
        <v>125</v>
      </c>
      <c r="B126" s="5">
        <f ca="1">IFERROR(__xludf.DUMMYFUNCTION("""COMPUTED_VALUE"""),124)</f>
        <v>124</v>
      </c>
      <c r="C126" s="5" t="str">
        <f ca="1">IFERROR(__xludf.DUMMYFUNCTION("""COMPUTED_VALUE"""),"Fazi")</f>
        <v>Fazi</v>
      </c>
      <c r="D126" s="5" t="str">
        <f ca="1">IFERROR(__xludf.DUMMYFUNCTION("""COMPUTED_VALUE"""),"Crystal Hot 40 Soccer")</f>
        <v>Crystal Hot 40 Soccer</v>
      </c>
      <c r="E126" s="5" t="str">
        <f ca="1">IFERROR(__xludf.DUMMYFUNCTION("""COMPUTED_VALUE"""),"V2")</f>
        <v>V2</v>
      </c>
      <c r="F126" s="5" t="str">
        <f ca="1">IFERROR(__xludf.DUMMYFUNCTION("""COMPUTED_VALUE"""),"CrystalHot40Soccer")</f>
        <v>CrystalHot40Soccer</v>
      </c>
      <c r="G126" s="5" t="str">
        <f ca="1">IFERROR(__xludf.DUMMYFUNCTION("""COMPUTED_VALUE"""),"Live")</f>
        <v>Live</v>
      </c>
      <c r="H126" s="5" t="str">
        <f ca="1">IFERROR(__xludf.DUMMYFUNCTION("""COMPUTED_VALUE"""),"Soccer - Phuket")</f>
        <v>Soccer - Phuket</v>
      </c>
      <c r="I126" s="5" t="str">
        <f ca="1">IFERROR(__xludf.DUMMYFUNCTION("""COMPUTED_VALUE"""),"V2")</f>
        <v>V2</v>
      </c>
      <c r="J126" s="5" t="str">
        <f ca="1">IFERROR(__xludf.DUMMYFUNCTION("""COMPUTED_VALUE"""),"Binary")</f>
        <v>Binary</v>
      </c>
      <c r="K126" s="5" t="str">
        <f ca="1">IFERROR(__xludf.DUMMYFUNCTION("""COMPUTED_VALUE"""),"Slot")</f>
        <v>Slot</v>
      </c>
      <c r="L126" s="5"/>
      <c r="M126" s="5"/>
      <c r="N126" s="5"/>
      <c r="O126" s="5"/>
      <c r="P126" s="5"/>
      <c r="Q126" s="5"/>
      <c r="R126" s="5"/>
      <c r="S126" s="5"/>
      <c r="T126" s="5"/>
      <c r="U126" s="5" t="str">
        <f ca="1">IFERROR(__xludf.DUMMYFUNCTION("""COMPUTED_VALUE"""),"5x4")</f>
        <v>5x4</v>
      </c>
      <c r="V126" s="12" t="str">
        <f ca="1">IFERROR(__xludf.DUMMYFUNCTION("""COMPUTED_VALUE"""),"40")</f>
        <v>40</v>
      </c>
      <c r="W126" s="12" t="str">
        <f ca="1">IFERROR(__xludf.DUMMYFUNCTION("""COMPUTED_VALUE"""),"40")</f>
        <v>40</v>
      </c>
      <c r="X126" s="5">
        <f ca="1">IFERROR(__xludf.DUMMYFUNCTION("""COMPUTED_VALUE"""),96.584)</f>
        <v>96.584000000000003</v>
      </c>
      <c r="Y126" s="5" t="str">
        <f ca="1">IFERROR(__xludf.DUMMYFUNCTION("""COMPUTED_VALUE"""),"Low")</f>
        <v>Low</v>
      </c>
      <c r="Z126" s="5">
        <f ca="1">IFERROR(__xludf.DUMMYFUNCTION("""COMPUTED_VALUE"""),16.73)</f>
        <v>16.73</v>
      </c>
      <c r="AA126" s="14">
        <f ca="1">IFERROR(__xludf.DUMMYFUNCTION("""COMPUTED_VALUE"""),1000)</f>
        <v>1000</v>
      </c>
      <c r="AB126" s="5" t="str">
        <f ca="1">IFERROR(__xludf.DUMMYFUNCTION("""COMPUTED_VALUE"""),"/")</f>
        <v>/</v>
      </c>
      <c r="AC126" s="5" t="str">
        <f ca="1">IFERROR(__xludf.DUMMYFUNCTION("""COMPUTED_VALUE"""),"Scatter, Wild Symbol")</f>
        <v>Scatter, Wild Symbol</v>
      </c>
      <c r="AD126" s="5"/>
      <c r="AE126" s="5"/>
      <c r="AF126" s="5"/>
      <c r="AG126" s="10">
        <f ca="1">IFERROR(__xludf.DUMMYFUNCTION("""COMPUTED_VALUE"""),46020.52625)</f>
        <v>46020.526250000003</v>
      </c>
      <c r="AH126" s="5" t="str">
        <f ca="1">IFERROR(__xludf.DUMMYFUNCTION("""COMPUTED_VALUE"""),"djordje.jankovic@fazi.rs")</f>
        <v>djordje.jankovic@fazi.rs</v>
      </c>
      <c r="AI126" s="5"/>
      <c r="AJ126" s="5"/>
      <c r="AK126" s="5">
        <f ca="1">IFERROR(__xludf.DUMMYFUNCTION("""COMPUTED_VALUE"""),40)</f>
        <v>40</v>
      </c>
      <c r="AL126" s="5" t="str">
        <f ca="1">IFERROR(__xludf.DUMMYFUNCTION("""COMPUTED_VALUE"""),"Yes")</f>
        <v>Yes</v>
      </c>
      <c r="AM126" s="5"/>
      <c r="AN126" s="5"/>
      <c r="AO126" s="5"/>
      <c r="AP126" s="5"/>
      <c r="AQ126" s="5"/>
      <c r="AR126" s="5" t="b">
        <f ca="1">IFERROR(__xludf.DUMMYFUNCTION("""COMPUTED_VALUE"""),TRUE)</f>
        <v>1</v>
      </c>
      <c r="AS126" s="5"/>
      <c r="AT126" s="5"/>
      <c r="AU126" s="5" t="str">
        <f ca="1">IFERROR(__xludf.DUMMYFUNCTION("""COMPUTED_VALUE"""),"Fazi")</f>
        <v>Fazi</v>
      </c>
      <c r="AV126" s="5"/>
      <c r="AW126" s="5"/>
      <c r="AX126" s="5"/>
      <c r="AY126" s="5"/>
      <c r="AZ126" s="5"/>
      <c r="BA126" s="5" t="str">
        <f ca="1">IFERROR(__xludf.DUMMYFUNCTION("""COMPUTED_VALUE"""),"")</f>
        <v/>
      </c>
      <c r="BB126" s="5"/>
      <c r="BC126" s="5" t="str">
        <f ca="1">IFERROR(__xludf.DUMMYFUNCTION("""COMPUTED_VALUE"""),"Foxi")</f>
        <v>Foxi</v>
      </c>
      <c r="BD126" s="5" t="str">
        <f ca="1">IFERROR(__xludf.DUMMYFUNCTION("""COMPUTED_VALUE"""),"")</f>
        <v/>
      </c>
      <c r="BE126" s="5"/>
    </row>
    <row r="127" spans="1:57" x14ac:dyDescent="0.25">
      <c r="A127" s="5">
        <f ca="1">IFERROR(__xludf.DUMMYFUNCTION("""COMPUTED_VALUE"""),126)</f>
        <v>126</v>
      </c>
      <c r="B127" s="5">
        <f ca="1">IFERROR(__xludf.DUMMYFUNCTION("""COMPUTED_VALUE"""),125)</f>
        <v>125</v>
      </c>
      <c r="C127" s="5" t="str">
        <f ca="1">IFERROR(__xludf.DUMMYFUNCTION("""COMPUTED_VALUE"""),"Fazi")</f>
        <v>Fazi</v>
      </c>
      <c r="D127" s="5" t="str">
        <f ca="1">IFERROR(__xludf.DUMMYFUNCTION("""COMPUTED_VALUE"""),"Bursting Hot 5 Admiral")</f>
        <v>Bursting Hot 5 Admiral</v>
      </c>
      <c r="E127" s="5" t="str">
        <f ca="1">IFERROR(__xludf.DUMMYFUNCTION("""COMPUTED_VALUE"""),"V2")</f>
        <v>V2</v>
      </c>
      <c r="F127" s="5" t="str">
        <f ca="1">IFERROR(__xludf.DUMMYFUNCTION("""COMPUTED_VALUE"""),"BurstingHot5Admiral")</f>
        <v>BurstingHot5Admiral</v>
      </c>
      <c r="G127" s="5" t="str">
        <f ca="1">IFERROR(__xludf.DUMMYFUNCTION("""COMPUTED_VALUE"""),"Live")</f>
        <v>Live</v>
      </c>
      <c r="H127" s="5" t="str">
        <f ca="1">IFERROR(__xludf.DUMMYFUNCTION("""COMPUTED_VALUE"""),"Millennium Bet - Zbet.rs")</f>
        <v>Millennium Bet - Zbet.rs</v>
      </c>
      <c r="I127" s="5" t="str">
        <f ca="1">IFERROR(__xludf.DUMMYFUNCTION("""COMPUTED_VALUE"""),"V2")</f>
        <v>V2</v>
      </c>
      <c r="J127" s="5" t="str">
        <f ca="1">IFERROR(__xludf.DUMMYFUNCTION("""COMPUTED_VALUE"""),"Binary")</f>
        <v>Binary</v>
      </c>
      <c r="K127" s="5" t="str">
        <f ca="1">IFERROR(__xludf.DUMMYFUNCTION("""COMPUTED_VALUE"""),"Slot")</f>
        <v>Slot</v>
      </c>
      <c r="L127" s="5"/>
      <c r="M127" s="5"/>
      <c r="N127" s="5"/>
      <c r="O127" s="5"/>
      <c r="P127" s="5"/>
      <c r="Q127" s="5"/>
      <c r="R127" s="5"/>
      <c r="S127" s="5"/>
      <c r="T127" s="5"/>
      <c r="U127" s="5" t="str">
        <f ca="1">IFERROR(__xludf.DUMMYFUNCTION("""COMPUTED_VALUE"""),"5x3")</f>
        <v>5x3</v>
      </c>
      <c r="V127" s="12" t="str">
        <f ca="1">IFERROR(__xludf.DUMMYFUNCTION("""COMPUTED_VALUE"""),"5")</f>
        <v>5</v>
      </c>
      <c r="W127" s="12" t="str">
        <f ca="1">IFERROR(__xludf.DUMMYFUNCTION("""COMPUTED_VALUE"""),"5")</f>
        <v>5</v>
      </c>
      <c r="X127" s="13">
        <f ca="1">IFERROR(__xludf.DUMMYFUNCTION("""COMPUTED_VALUE"""),96.447)</f>
        <v>96.447000000000003</v>
      </c>
      <c r="Y127" s="5" t="str">
        <f ca="1">IFERROR(__xludf.DUMMYFUNCTION("""COMPUTED_VALUE"""),"Medium")</f>
        <v>Medium</v>
      </c>
      <c r="Z127" s="5">
        <f ca="1">IFERROR(__xludf.DUMMYFUNCTION("""COMPUTED_VALUE"""),14.51)</f>
        <v>14.51</v>
      </c>
      <c r="AA127" s="14">
        <f ca="1">IFERROR(__xludf.DUMMYFUNCTION("""COMPUTED_VALUE"""),1222)</f>
        <v>1222</v>
      </c>
      <c r="AB127" s="5"/>
      <c r="AC127" s="5"/>
      <c r="AD127" s="5"/>
      <c r="AE127" s="5"/>
      <c r="AF127" s="5"/>
      <c r="AG127" s="10">
        <f ca="1">IFERROR(__xludf.DUMMYFUNCTION("""COMPUTED_VALUE"""),46055.4741898148)</f>
        <v>46055.474189814799</v>
      </c>
      <c r="AH127" s="5" t="str">
        <f ca="1">IFERROR(__xludf.DUMMYFUNCTION("""COMPUTED_VALUE"""),"djordje.jankovic@fazi.rs")</f>
        <v>djordje.jankovic@fazi.rs</v>
      </c>
      <c r="AI127" s="5"/>
      <c r="AJ127" s="5"/>
      <c r="AK127" s="5" t="str">
        <f ca="1">IFERROR(__xludf.DUMMYFUNCTION("""COMPUTED_VALUE"""),"NULL")</f>
        <v>NULL</v>
      </c>
      <c r="AL127" s="5" t="str">
        <f ca="1">IFERROR(__xludf.DUMMYFUNCTION("""COMPUTED_VALUE"""),"Yes")</f>
        <v>Yes</v>
      </c>
      <c r="AM127" s="5"/>
      <c r="AN127" s="5"/>
      <c r="AO127" s="5"/>
      <c r="AP127" s="5"/>
      <c r="AQ127" s="5"/>
      <c r="AR127" s="5" t="b">
        <f ca="1">IFERROR(__xludf.DUMMYFUNCTION("""COMPUTED_VALUE"""),TRUE)</f>
        <v>1</v>
      </c>
      <c r="AS127" s="5"/>
      <c r="AT127" s="5"/>
      <c r="AU127" s="5" t="str">
        <f ca="1">IFERROR(__xludf.DUMMYFUNCTION("""COMPUTED_VALUE"""),"Fazi")</f>
        <v>Fazi</v>
      </c>
      <c r="AV127" s="5"/>
      <c r="AW127" s="5"/>
      <c r="AX127" s="5"/>
      <c r="AY127" s="5"/>
      <c r="AZ127" s="5"/>
      <c r="BA127" s="5" t="str">
        <f ca="1">IFERROR(__xludf.DUMMYFUNCTION("""COMPUTED_VALUE"""),"")</f>
        <v/>
      </c>
      <c r="BB127" s="5"/>
      <c r="BC127" s="5" t="str">
        <f ca="1">IFERROR(__xludf.DUMMYFUNCTION("""COMPUTED_VALUE"""),"Foxi")</f>
        <v>Foxi</v>
      </c>
      <c r="BD127" s="5" t="str">
        <f ca="1">IFERROR(__xludf.DUMMYFUNCTION("""COMPUTED_VALUE"""),"")</f>
        <v/>
      </c>
      <c r="BE127" s="5"/>
    </row>
    <row r="128" spans="1:57" x14ac:dyDescent="0.25">
      <c r="A128" s="5">
        <f ca="1">IFERROR(__xludf.DUMMYFUNCTION("""COMPUTED_VALUE"""),127)</f>
        <v>127</v>
      </c>
      <c r="B128" s="5">
        <f ca="1">IFERROR(__xludf.DUMMYFUNCTION("""COMPUTED_VALUE"""),126)</f>
        <v>126</v>
      </c>
      <c r="C128" s="5" t="str">
        <f ca="1">IFERROR(__xludf.DUMMYFUNCTION("""COMPUTED_VALUE"""),"Fazi")</f>
        <v>Fazi</v>
      </c>
      <c r="D128" s="5" t="str">
        <f ca="1">IFERROR(__xludf.DUMMYFUNCTION("""COMPUTED_VALUE"""),"Golden Crown 20 BalkanBet")</f>
        <v>Golden Crown 20 BalkanBet</v>
      </c>
      <c r="E128" s="5" t="str">
        <f ca="1">IFERROR(__xludf.DUMMYFUNCTION("""COMPUTED_VALUE"""),"V2")</f>
        <v>V2</v>
      </c>
      <c r="F128" s="5" t="str">
        <f ca="1">IFERROR(__xludf.DUMMYFUNCTION("""COMPUTED_VALUE"""),"GoldenCrown20BalkanBet")</f>
        <v>GoldenCrown20BalkanBet</v>
      </c>
      <c r="G128" s="5" t="str">
        <f ca="1">IFERROR(__xludf.DUMMYFUNCTION("""COMPUTED_VALUE"""),"Live")</f>
        <v>Live</v>
      </c>
      <c r="H128" s="5" t="str">
        <f ca="1">IFERROR(__xludf.DUMMYFUNCTION("""COMPUTED_VALUE"""),"Balkan Bet")</f>
        <v>Balkan Bet</v>
      </c>
      <c r="I128" s="5" t="str">
        <f ca="1">IFERROR(__xludf.DUMMYFUNCTION("""COMPUTED_VALUE"""),"V2")</f>
        <v>V2</v>
      </c>
      <c r="J128" s="5" t="str">
        <f ca="1">IFERROR(__xludf.DUMMYFUNCTION("""COMPUTED_VALUE"""),"Binary")</f>
        <v>Binary</v>
      </c>
      <c r="K128" s="5" t="str">
        <f ca="1">IFERROR(__xludf.DUMMYFUNCTION("""COMPUTED_VALUE"""),"Slot")</f>
        <v>Slot</v>
      </c>
      <c r="L128" s="5"/>
      <c r="M128" s="5"/>
      <c r="N128" s="5"/>
      <c r="O128" s="5"/>
      <c r="P128" s="5"/>
      <c r="Q128" s="5"/>
      <c r="R128" s="5"/>
      <c r="S128" s="5"/>
      <c r="T128" s="5"/>
      <c r="U128" s="5"/>
      <c r="V128" s="12" t="str">
        <f ca="1">IFERROR(__xludf.DUMMYFUNCTION("""COMPUTED_VALUE"""),"20")</f>
        <v>20</v>
      </c>
      <c r="W128" s="5"/>
      <c r="X128" s="13">
        <f ca="1">IFERROR(__xludf.DUMMYFUNCTION("""COMPUTED_VALUE"""),95.962)</f>
        <v>95.962000000000003</v>
      </c>
      <c r="Y128" s="5"/>
      <c r="Z128" s="5">
        <f ca="1">IFERROR(__xludf.DUMMYFUNCTION("""COMPUTED_VALUE"""),0)</f>
        <v>0</v>
      </c>
      <c r="AA128" s="5"/>
      <c r="AB128" s="5"/>
      <c r="AC128" s="5"/>
      <c r="AD128" s="5"/>
      <c r="AE128" s="5"/>
      <c r="AF128" s="5"/>
      <c r="AG128" s="10">
        <f ca="1">IFERROR(__xludf.DUMMYFUNCTION("""COMPUTED_VALUE"""),46020.5256481481)</f>
        <v>46020.525648148097</v>
      </c>
      <c r="AH128" s="5" t="str">
        <f ca="1">IFERROR(__xludf.DUMMYFUNCTION("""COMPUTED_VALUE"""),"djordje.jankovic@fazi.rs")</f>
        <v>djordje.jankovic@fazi.rs</v>
      </c>
      <c r="AI128" s="5"/>
      <c r="AJ128" s="5"/>
      <c r="AK128" s="5" t="str">
        <f ca="1">IFERROR(__xludf.DUMMYFUNCTION("""COMPUTED_VALUE"""),"NULL")</f>
        <v>NULL</v>
      </c>
      <c r="AL128" s="5" t="str">
        <f ca="1">IFERROR(__xludf.DUMMYFUNCTION("""COMPUTED_VALUE"""),"Yes")</f>
        <v>Yes</v>
      </c>
      <c r="AM128" s="5"/>
      <c r="AN128" s="5"/>
      <c r="AO128" s="5"/>
      <c r="AP128" s="5"/>
      <c r="AQ128" s="5"/>
      <c r="AR128" s="5" t="b">
        <f ca="1">IFERROR(__xludf.DUMMYFUNCTION("""COMPUTED_VALUE"""),TRUE)</f>
        <v>1</v>
      </c>
      <c r="AS128" s="5"/>
      <c r="AT128" s="5"/>
      <c r="AU128" s="5" t="str">
        <f ca="1">IFERROR(__xludf.DUMMYFUNCTION("""COMPUTED_VALUE"""),"Fazi")</f>
        <v>Fazi</v>
      </c>
      <c r="AV128" s="5"/>
      <c r="AW128" s="5"/>
      <c r="AX128" s="5"/>
      <c r="AY128" s="5"/>
      <c r="AZ128" s="5"/>
      <c r="BA128" s="5" t="str">
        <f ca="1">IFERROR(__xludf.DUMMYFUNCTION("""COMPUTED_VALUE"""),"")</f>
        <v/>
      </c>
      <c r="BB128" s="5"/>
      <c r="BC128" s="5" t="str">
        <f ca="1">IFERROR(__xludf.DUMMYFUNCTION("""COMPUTED_VALUE"""),"Foxi")</f>
        <v>Foxi</v>
      </c>
      <c r="BD128" s="5" t="str">
        <f ca="1">IFERROR(__xludf.DUMMYFUNCTION("""COMPUTED_VALUE"""),"")</f>
        <v/>
      </c>
      <c r="BE128" s="5"/>
    </row>
    <row r="129" spans="1:57" x14ac:dyDescent="0.25">
      <c r="A129" s="5">
        <f ca="1">IFERROR(__xludf.DUMMYFUNCTION("""COMPUTED_VALUE"""),128)</f>
        <v>128</v>
      </c>
      <c r="B129" s="5">
        <f ca="1">IFERROR(__xludf.DUMMYFUNCTION("""COMPUTED_VALUE"""),127)</f>
        <v>127</v>
      </c>
      <c r="C129" s="5" t="str">
        <f ca="1">IFERROR(__xludf.DUMMYFUNCTION("""COMPUTED_VALUE"""),"Fazi")</f>
        <v>Fazi</v>
      </c>
      <c r="D129" s="5" t="str">
        <f ca="1">IFERROR(__xludf.DUMMYFUNCTION("""COMPUTED_VALUE"""),"Wild Hot 40 Meridian")</f>
        <v>Wild Hot 40 Meridian</v>
      </c>
      <c r="E129" s="5" t="str">
        <f ca="1">IFERROR(__xludf.DUMMYFUNCTION("""COMPUTED_VALUE"""),"V2")</f>
        <v>V2</v>
      </c>
      <c r="F129" s="5" t="str">
        <f ca="1">IFERROR(__xludf.DUMMYFUNCTION("""COMPUTED_VALUE"""),"WildHot40Meridian")</f>
        <v>WildHot40Meridian</v>
      </c>
      <c r="G129" s="5" t="str">
        <f ca="1">IFERROR(__xludf.DUMMYFUNCTION("""COMPUTED_VALUE"""),"Live")</f>
        <v>Live</v>
      </c>
      <c r="H129" s="5" t="str">
        <f ca="1">IFERROR(__xludf.DUMMYFUNCTION("""COMPUTED_VALUE"""),"Meridian Tech")</f>
        <v>Meridian Tech</v>
      </c>
      <c r="I129" s="5" t="str">
        <f ca="1">IFERROR(__xludf.DUMMYFUNCTION("""COMPUTED_VALUE"""),"V2")</f>
        <v>V2</v>
      </c>
      <c r="J129" s="5" t="str">
        <f ca="1">IFERROR(__xludf.DUMMYFUNCTION("""COMPUTED_VALUE"""),"Binary")</f>
        <v>Binary</v>
      </c>
      <c r="K129" s="5" t="str">
        <f ca="1">IFERROR(__xludf.DUMMYFUNCTION("""COMPUTED_VALUE"""),"Slot")</f>
        <v>Slot</v>
      </c>
      <c r="L129" s="5"/>
      <c r="M129" s="5"/>
      <c r="N129" s="5"/>
      <c r="O129" s="5"/>
      <c r="P129" s="5"/>
      <c r="Q129" s="5"/>
      <c r="R129" s="5"/>
      <c r="S129" s="5"/>
      <c r="T129" s="5"/>
      <c r="U129" s="5"/>
      <c r="V129" s="12" t="str">
        <f ca="1">IFERROR(__xludf.DUMMYFUNCTION("""COMPUTED_VALUE"""),"40")</f>
        <v>40</v>
      </c>
      <c r="W129" s="5"/>
      <c r="X129" s="13">
        <f ca="1">IFERROR(__xludf.DUMMYFUNCTION("""COMPUTED_VALUE"""),96.584)</f>
        <v>96.584000000000003</v>
      </c>
      <c r="Y129" s="5"/>
      <c r="Z129" s="5">
        <f ca="1">IFERROR(__xludf.DUMMYFUNCTION("""COMPUTED_VALUE"""),0)</f>
        <v>0</v>
      </c>
      <c r="AA129" s="5"/>
      <c r="AB129" s="5"/>
      <c r="AC129" s="5"/>
      <c r="AD129" s="5"/>
      <c r="AE129" s="5"/>
      <c r="AF129" s="5"/>
      <c r="AG129" s="10">
        <f ca="1">IFERROR(__xludf.DUMMYFUNCTION("""COMPUTED_VALUE"""),46020.5255324074)</f>
        <v>46020.525532407402</v>
      </c>
      <c r="AH129" s="5" t="str">
        <f ca="1">IFERROR(__xludf.DUMMYFUNCTION("""COMPUTED_VALUE"""),"djordje.jankovic@fazi.rs")</f>
        <v>djordje.jankovic@fazi.rs</v>
      </c>
      <c r="AI129" s="5"/>
      <c r="AJ129" s="5"/>
      <c r="AK129" s="5" t="str">
        <f ca="1">IFERROR(__xludf.DUMMYFUNCTION("""COMPUTED_VALUE"""),"NULL")</f>
        <v>NULL</v>
      </c>
      <c r="AL129" s="5" t="str">
        <f ca="1">IFERROR(__xludf.DUMMYFUNCTION("""COMPUTED_VALUE"""),"Yes")</f>
        <v>Yes</v>
      </c>
      <c r="AM129" s="5"/>
      <c r="AN129" s="5"/>
      <c r="AO129" s="5"/>
      <c r="AP129" s="5"/>
      <c r="AQ129" s="5"/>
      <c r="AR129" s="5" t="b">
        <f ca="1">IFERROR(__xludf.DUMMYFUNCTION("""COMPUTED_VALUE"""),TRUE)</f>
        <v>1</v>
      </c>
      <c r="AS129" s="5"/>
      <c r="AT129" s="5"/>
      <c r="AU129" s="5" t="str">
        <f ca="1">IFERROR(__xludf.DUMMYFUNCTION("""COMPUTED_VALUE"""),"Fazi")</f>
        <v>Fazi</v>
      </c>
      <c r="AV129" s="5"/>
      <c r="AW129" s="5"/>
      <c r="AX129" s="5"/>
      <c r="AY129" s="5"/>
      <c r="AZ129" s="5"/>
      <c r="BA129" s="5" t="str">
        <f ca="1">IFERROR(__xludf.DUMMYFUNCTION("""COMPUTED_VALUE"""),"")</f>
        <v/>
      </c>
      <c r="BB129" s="5"/>
      <c r="BC129" s="5" t="str">
        <f ca="1">IFERROR(__xludf.DUMMYFUNCTION("""COMPUTED_VALUE"""),"Foxi")</f>
        <v>Foxi</v>
      </c>
      <c r="BD129" s="5" t="str">
        <f ca="1">IFERROR(__xludf.DUMMYFUNCTION("""COMPUTED_VALUE"""),"")</f>
        <v/>
      </c>
      <c r="BE129" s="5"/>
    </row>
    <row r="130" spans="1:57" x14ac:dyDescent="0.25">
      <c r="A130" s="5">
        <f ca="1">IFERROR(__xludf.DUMMYFUNCTION("""COMPUTED_VALUE"""),129)</f>
        <v>129</v>
      </c>
      <c r="B130" s="5">
        <f ca="1">IFERROR(__xludf.DUMMYFUNCTION("""COMPUTED_VALUE"""),128)</f>
        <v>128</v>
      </c>
      <c r="C130" s="5" t="str">
        <f ca="1">IFERROR(__xludf.DUMMYFUNCTION("""COMPUTED_VALUE"""),"Fazi")</f>
        <v>Fazi</v>
      </c>
      <c r="D130" s="5" t="str">
        <f ca="1">IFERROR(__xludf.DUMMYFUNCTION("""COMPUTED_VALUE"""),"Crystal Hot 40 Free")</f>
        <v>Crystal Hot 40 Free</v>
      </c>
      <c r="E130" s="5" t="str">
        <f ca="1">IFERROR(__xludf.DUMMYFUNCTION("""COMPUTED_VALUE"""),"V2")</f>
        <v>V2</v>
      </c>
      <c r="F130" s="5" t="str">
        <f ca="1">IFERROR(__xludf.DUMMYFUNCTION("""COMPUTED_VALUE"""),"CrystalHot40Free")</f>
        <v>CrystalHot40Free</v>
      </c>
      <c r="G130" s="5" t="str">
        <f ca="1">IFERROR(__xludf.DUMMYFUNCTION("""COMPUTED_VALUE"""),"Live")</f>
        <v>Live</v>
      </c>
      <c r="H130" s="5"/>
      <c r="I130" s="5" t="str">
        <f ca="1">IFERROR(__xludf.DUMMYFUNCTION("""COMPUTED_VALUE"""),"V2")</f>
        <v>V2</v>
      </c>
      <c r="J130" s="5" t="str">
        <f ca="1">IFERROR(__xludf.DUMMYFUNCTION("""COMPUTED_VALUE"""),"JSON")</f>
        <v>JSON</v>
      </c>
      <c r="K130" s="5" t="str">
        <f ca="1">IFERROR(__xludf.DUMMYFUNCTION("""COMPUTED_VALUE"""),"Slot")</f>
        <v>Slot</v>
      </c>
      <c r="L130" s="5"/>
      <c r="M130" s="5"/>
      <c r="N130" s="5"/>
      <c r="O130" s="5"/>
      <c r="P130" s="14">
        <f ca="1">IFERROR(__xludf.DUMMYFUNCTION("""COMPUTED_VALUE"""),32.9)</f>
        <v>32.9</v>
      </c>
      <c r="Q130" s="5"/>
      <c r="R130" s="5"/>
      <c r="S130" s="15">
        <f ca="1">IFERROR(__xludf.DUMMYFUNCTION("""COMPUTED_VALUE"""),44487)</f>
        <v>44487</v>
      </c>
      <c r="T130" s="5"/>
      <c r="U130" s="5" t="str">
        <f ca="1">IFERROR(__xludf.DUMMYFUNCTION("""COMPUTED_VALUE"""),"5x4")</f>
        <v>5x4</v>
      </c>
      <c r="V130" s="12" t="str">
        <f ca="1">IFERROR(__xludf.DUMMYFUNCTION("""COMPUTED_VALUE"""),"40")</f>
        <v>40</v>
      </c>
      <c r="W130" s="12" t="str">
        <f ca="1">IFERROR(__xludf.DUMMYFUNCTION("""COMPUTED_VALUE"""),"40")</f>
        <v>40</v>
      </c>
      <c r="X130" s="5">
        <f ca="1">IFERROR(__xludf.DUMMYFUNCTION("""COMPUTED_VALUE"""),96.024)</f>
        <v>96.024000000000001</v>
      </c>
      <c r="Y130" s="5" t="str">
        <f ca="1">IFERROR(__xludf.DUMMYFUNCTION("""COMPUTED_VALUE"""),"Low")</f>
        <v>Low</v>
      </c>
      <c r="Z130" s="5">
        <f ca="1">IFERROR(__xludf.DUMMYFUNCTION("""COMPUTED_VALUE"""),17.23)</f>
        <v>17.23</v>
      </c>
      <c r="AA130" s="14">
        <f ca="1">IFERROR(__xludf.DUMMYFUNCTION("""COMPUTED_VALUE"""),1046)</f>
        <v>1046</v>
      </c>
      <c r="AB130" s="5">
        <f ca="1">IFERROR(__xludf.DUMMYFUNCTION("""COMPUTED_VALUE"""),152)</f>
        <v>152</v>
      </c>
      <c r="AC130" s="5" t="str">
        <f ca="1">IFERROR(__xludf.DUMMYFUNCTION("""COMPUTED_VALUE"""),"Buy Bonus, Wild Symbol, Bonus Game with Free Spins")</f>
        <v>Buy Bonus, Wild Symbol, Bonus Game with Free Spins</v>
      </c>
      <c r="AD130" s="5" t="str">
        <f ca="1">IFERROR(__xludf.DUMMYFUNCTION("""COMPUTED_VALUE"""),"0.4/60")</f>
        <v>0.4/60</v>
      </c>
      <c r="AE130" s="5"/>
      <c r="AF130" s="5"/>
      <c r="AG130" s="10">
        <f ca="1">IFERROR(__xludf.DUMMYFUNCTION("""COMPUTED_VALUE"""),46112.6249537037)</f>
        <v>46112.6249537037</v>
      </c>
      <c r="AH130" s="5" t="str">
        <f ca="1">IFERROR(__xludf.DUMMYFUNCTION("""COMPUTED_VALUE"""),"marko.tepavac@fazi.rs")</f>
        <v>marko.tepavac@fazi.rs</v>
      </c>
      <c r="AI130" s="5"/>
      <c r="AJ130" s="5"/>
      <c r="AK130" s="5">
        <f ca="1">IFERROR(__xludf.DUMMYFUNCTION("""COMPUTED_VALUE"""),40)</f>
        <v>40</v>
      </c>
      <c r="AL130" s="5" t="str">
        <f ca="1">IFERROR(__xludf.DUMMYFUNCTION("""COMPUTED_VALUE"""),"Yes")</f>
        <v>Yes</v>
      </c>
      <c r="AM130" s="5"/>
      <c r="AN130" s="7" t="str">
        <f ca="1">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AO130" s="5" t="str">
        <f ca="1">IFERROR(__xludf.DUMMYFUNCTION("""COMPUTED_VALUE"""),"Yes")</f>
        <v>Yes</v>
      </c>
      <c r="AP130" s="5" t="str">
        <f ca="1">IFERROR(__xludf.DUMMYFUNCTION("""COMPUTED_VALUE"""),"Yes")</f>
        <v>Yes</v>
      </c>
      <c r="AQ130" s="5" t="b">
        <f ca="1">IFERROR(__xludf.DUMMYFUNCTION("""COMPUTED_VALUE"""),TRUE)</f>
        <v>1</v>
      </c>
      <c r="AR130" s="5"/>
      <c r="AS130" s="5" t="str">
        <f ca="1">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AT130" s="5"/>
      <c r="AU130" s="5" t="str">
        <f ca="1">IFERROR(__xludf.DUMMYFUNCTION("""COMPUTED_VALUE"""),"Fazi")</f>
        <v>Fazi</v>
      </c>
      <c r="AV130" s="5"/>
      <c r="AW130" s="5"/>
      <c r="AX130" s="5"/>
      <c r="AY130" s="5" t="str">
        <f ca="1">IFERROR(__xludf.DUMMYFUNCTION("""COMPUTED_VALUE"""),"87.5%, 89.5%, 91.5%, 93.5%, 94.5%, 95.5%, 96.5%")</f>
        <v>87.5%, 89.5%, 91.5%, 93.5%, 94.5%, 95.5%, 96.5%</v>
      </c>
      <c r="AZ130" s="5"/>
      <c r="BA130" s="5" t="str">
        <f ca="1">IFERROR(__xludf.DUMMYFUNCTION("""COMPUTED_VALUE"""),"30, 42, 63")</f>
        <v>30, 42, 63</v>
      </c>
      <c r="BB130" s="5"/>
      <c r="BC130" s="5" t="str">
        <f ca="1">IFERROR(__xludf.DUMMYFUNCTION("""COMPUTED_VALUE"""),"Foxi")</f>
        <v>Foxi</v>
      </c>
      <c r="BD130" s="7" t="str">
        <f ca="1">IFERROR(__xludf.DUMMYFUNCTION("""COMPUTED_VALUE"""),"https://gameserver-store-client-area.orbionlimited.com/Home/IntegrationGameLaunch/client-area?moneyType=0&amp;gameName=CrystalHot40Free&amp;platform=desktop&amp;languageCode=eng&amp;currency=EUR")</f>
        <v>https://gameserver-store-client-area.orbionlimited.com/Home/IntegrationGameLaunch/client-area?moneyType=0&amp;gameName=CrystalHot40Free&amp;platform=desktop&amp;languageCode=eng&amp;currency=EUR</v>
      </c>
      <c r="BE130" s="5" t="b">
        <f ca="1">IFERROR(__xludf.DUMMYFUNCTION("""COMPUTED_VALUE"""),TRUE)</f>
        <v>1</v>
      </c>
    </row>
    <row r="131" spans="1:57" x14ac:dyDescent="0.25">
      <c r="A131" s="5">
        <f ca="1">IFERROR(__xludf.DUMMYFUNCTION("""COMPUTED_VALUE"""),130)</f>
        <v>130</v>
      </c>
      <c r="B131" s="5">
        <f ca="1">IFERROR(__xludf.DUMMYFUNCTION("""COMPUTED_VALUE"""),129)</f>
        <v>129</v>
      </c>
      <c r="C131" s="5" t="str">
        <f ca="1">IFERROR(__xludf.DUMMYFUNCTION("""COMPUTED_VALUE"""),"Fazi")</f>
        <v>Fazi</v>
      </c>
      <c r="D131" s="5" t="str">
        <f ca="1">IFERROR(__xludf.DUMMYFUNCTION("""COMPUTED_VALUE"""),"Planet Hot 40")</f>
        <v>Planet Hot 40</v>
      </c>
      <c r="E131" s="5" t="str">
        <f ca="1">IFERROR(__xludf.DUMMYFUNCTION("""COMPUTED_VALUE"""),"V2")</f>
        <v>V2</v>
      </c>
      <c r="F131" s="5" t="str">
        <f ca="1">IFERROR(__xludf.DUMMYFUNCTION("""COMPUTED_VALUE"""),"CrystalHot40Pw")</f>
        <v>CrystalHot40Pw</v>
      </c>
      <c r="G131" s="5" t="str">
        <f ca="1">IFERROR(__xludf.DUMMYFUNCTION("""COMPUTED_VALUE"""),"Live")</f>
        <v>Live</v>
      </c>
      <c r="H131" s="5" t="str">
        <f ca="1">IFERROR(__xludf.DUMMYFUNCTION("""COMPUTED_VALUE"""),"PlanetWinITA - SKS365 Malta")</f>
        <v>PlanetWinITA - SKS365 Malta</v>
      </c>
      <c r="I131" s="5" t="str">
        <f ca="1">IFERROR(__xludf.DUMMYFUNCTION("""COMPUTED_VALUE"""),"V2")</f>
        <v>V2</v>
      </c>
      <c r="J131" s="5" t="str">
        <f ca="1">IFERROR(__xludf.DUMMYFUNCTION("""COMPUTED_VALUE"""),"Binary")</f>
        <v>Binary</v>
      </c>
      <c r="K131" s="5" t="str">
        <f ca="1">IFERROR(__xludf.DUMMYFUNCTION("""COMPUTED_VALUE"""),"Slot")</f>
        <v>Slot</v>
      </c>
      <c r="L131" s="5" t="str">
        <f ca="1">IFERROR(__xludf.DUMMYFUNCTION("""COMPUTED_VALUE"""),"Clone")</f>
        <v>Clone</v>
      </c>
      <c r="M131" s="5" t="str">
        <f ca="1">IFERROR(__xludf.DUMMYFUNCTION("""COMPUTED_VALUE"""),"Turbo Hot 40")</f>
        <v>Turbo Hot 40</v>
      </c>
      <c r="N131" s="5"/>
      <c r="O131" s="5"/>
      <c r="P131" s="5"/>
      <c r="Q131" s="5"/>
      <c r="R131" s="5"/>
      <c r="S131" s="5"/>
      <c r="T131" s="5"/>
      <c r="U131" s="5" t="str">
        <f ca="1">IFERROR(__xludf.DUMMYFUNCTION("""COMPUTED_VALUE"""),"5x4")</f>
        <v>5x4</v>
      </c>
      <c r="V131" s="12" t="str">
        <f ca="1">IFERROR(__xludf.DUMMYFUNCTION("""COMPUTED_VALUE"""),"40")</f>
        <v>40</v>
      </c>
      <c r="W131" s="12" t="str">
        <f ca="1">IFERROR(__xludf.DUMMYFUNCTION("""COMPUTED_VALUE"""),"40")</f>
        <v>40</v>
      </c>
      <c r="X131" s="5">
        <f ca="1">IFERROR(__xludf.DUMMYFUNCTION("""COMPUTED_VALUE"""),96.584)</f>
        <v>96.584000000000003</v>
      </c>
      <c r="Y131" s="5" t="str">
        <f ca="1">IFERROR(__xludf.DUMMYFUNCTION("""COMPUTED_VALUE"""),"Low")</f>
        <v>Low</v>
      </c>
      <c r="Z131" s="5">
        <f ca="1">IFERROR(__xludf.DUMMYFUNCTION("""COMPUTED_VALUE"""),16.73)</f>
        <v>16.73</v>
      </c>
      <c r="AA131" s="14">
        <f ca="1">IFERROR(__xludf.DUMMYFUNCTION("""COMPUTED_VALUE"""),1000)</f>
        <v>1000</v>
      </c>
      <c r="AB131" s="5" t="str">
        <f ca="1">IFERROR(__xludf.DUMMYFUNCTION("""COMPUTED_VALUE"""),"/")</f>
        <v>/</v>
      </c>
      <c r="AC131" s="5" t="str">
        <f ca="1">IFERROR(__xludf.DUMMYFUNCTION("""COMPUTED_VALUE"""),"Scatter, Wild Symbol")</f>
        <v>Scatter, Wild Symbol</v>
      </c>
      <c r="AD131" s="5"/>
      <c r="AE131" s="5"/>
      <c r="AF131" s="5"/>
      <c r="AG131" s="10">
        <f ca="1">IFERROR(__xludf.DUMMYFUNCTION("""COMPUTED_VALUE"""),46162.4986342592)</f>
        <v>46162.498634259202</v>
      </c>
      <c r="AH131" s="5" t="str">
        <f ca="1">IFERROR(__xludf.DUMMYFUNCTION("""COMPUTED_VALUE"""),"petra.ilic@fazi.rs")</f>
        <v>petra.ilic@fazi.rs</v>
      </c>
      <c r="AI131" s="5"/>
      <c r="AJ131" s="5"/>
      <c r="AK131" s="5">
        <f ca="1">IFERROR(__xludf.DUMMYFUNCTION("""COMPUTED_VALUE"""),40)</f>
        <v>40</v>
      </c>
      <c r="AL131" s="5" t="str">
        <f ca="1">IFERROR(__xludf.DUMMYFUNCTION("""COMPUTED_VALUE"""),"Yes")</f>
        <v>Yes</v>
      </c>
      <c r="AM131" s="5"/>
      <c r="AN131" s="5"/>
      <c r="AO131" s="5"/>
      <c r="AP131" s="5"/>
      <c r="AQ131" s="5"/>
      <c r="AR131" s="5" t="b">
        <f ca="1">IFERROR(__xludf.DUMMYFUNCTION("""COMPUTED_VALUE"""),TRUE)</f>
        <v>1</v>
      </c>
      <c r="AS131" s="5"/>
      <c r="AT131" s="5"/>
      <c r="AU131" s="5" t="str">
        <f ca="1">IFERROR(__xludf.DUMMYFUNCTION("""COMPUTED_VALUE"""),"Fazi")</f>
        <v>Fazi</v>
      </c>
      <c r="AV131" s="5"/>
      <c r="AW131" s="5"/>
      <c r="AX131" s="5"/>
      <c r="AY131" s="5"/>
      <c r="AZ131" s="5"/>
      <c r="BA131" s="5"/>
      <c r="BB131" s="5"/>
      <c r="BC131" s="5" t="str">
        <f ca="1">IFERROR(__xludf.DUMMYFUNCTION("""COMPUTED_VALUE"""),"Foxi")</f>
        <v>Foxi</v>
      </c>
      <c r="BD131" s="5" t="str">
        <f ca="1">IFERROR(__xludf.DUMMYFUNCTION("""COMPUTED_VALUE"""),"")</f>
        <v/>
      </c>
      <c r="BE131" s="5"/>
    </row>
    <row r="132" spans="1:57" x14ac:dyDescent="0.25">
      <c r="A132" s="5">
        <f ca="1">IFERROR(__xludf.DUMMYFUNCTION("""COMPUTED_VALUE"""),132)</f>
        <v>132</v>
      </c>
      <c r="B132" s="5">
        <f ca="1">IFERROR(__xludf.DUMMYFUNCTION("""COMPUTED_VALUE"""),131)</f>
        <v>131</v>
      </c>
      <c r="C132" s="5" t="str">
        <f ca="1">IFERROR(__xludf.DUMMYFUNCTION("""COMPUTED_VALUE"""),"Fazi")</f>
        <v>Fazi</v>
      </c>
      <c r="D132" s="5" t="str">
        <f ca="1">IFERROR(__xludf.DUMMYFUNCTION("""COMPUTED_VALUE"""),"El Grande Toro")</f>
        <v>El Grande Toro</v>
      </c>
      <c r="E132" s="5" t="str">
        <f ca="1">IFERROR(__xludf.DUMMYFUNCTION("""COMPUTED_VALUE"""),"V2")</f>
        <v>V2</v>
      </c>
      <c r="F132" s="5" t="str">
        <f ca="1">IFERROR(__xludf.DUMMYFUNCTION("""COMPUTED_VALUE"""),"ElGrandeToro")</f>
        <v>ElGrandeToro</v>
      </c>
      <c r="G132" s="5" t="str">
        <f ca="1">IFERROR(__xludf.DUMMYFUNCTION("""COMPUTED_VALUE"""),"Live")</f>
        <v>Live</v>
      </c>
      <c r="H132" s="5"/>
      <c r="I132" s="5" t="str">
        <f ca="1">IFERROR(__xludf.DUMMYFUNCTION("""COMPUTED_VALUE"""),"V2")</f>
        <v>V2</v>
      </c>
      <c r="J132" s="5" t="str">
        <f ca="1">IFERROR(__xludf.DUMMYFUNCTION("""COMPUTED_VALUE"""),"Binary")</f>
        <v>Binary</v>
      </c>
      <c r="K132" s="5" t="str">
        <f ca="1">IFERROR(__xludf.DUMMYFUNCTION("""COMPUTED_VALUE"""),"Slot")</f>
        <v>Slot</v>
      </c>
      <c r="L132" s="5"/>
      <c r="M132" s="5"/>
      <c r="N132" s="5"/>
      <c r="O132" s="5"/>
      <c r="P132" s="14">
        <f ca="1">IFERROR(__xludf.DUMMYFUNCTION("""COMPUTED_VALUE"""),38.9)</f>
        <v>38.9</v>
      </c>
      <c r="Q132" s="5"/>
      <c r="R132" s="5"/>
      <c r="S132" s="15">
        <f ca="1">IFERROR(__xludf.DUMMYFUNCTION("""COMPUTED_VALUE"""),44515)</f>
        <v>44515</v>
      </c>
      <c r="T132" s="5" t="b">
        <f ca="1">IFERROR(__xludf.DUMMYFUNCTION("""COMPUTED_VALUE"""),TRUE)</f>
        <v>1</v>
      </c>
      <c r="U132" s="5" t="str">
        <f ca="1">IFERROR(__xludf.DUMMYFUNCTION("""COMPUTED_VALUE"""),"5x3")</f>
        <v>5x3</v>
      </c>
      <c r="V132" s="12" t="str">
        <f ca="1">IFERROR(__xludf.DUMMYFUNCTION("""COMPUTED_VALUE"""),"10")</f>
        <v>10</v>
      </c>
      <c r="W132" s="12" t="str">
        <f ca="1">IFERROR(__xludf.DUMMYFUNCTION("""COMPUTED_VALUE"""),"10")</f>
        <v>10</v>
      </c>
      <c r="X132" s="5">
        <f ca="1">IFERROR(__xludf.DUMMYFUNCTION("""COMPUTED_VALUE"""),96.016)</f>
        <v>96.016000000000005</v>
      </c>
      <c r="Y132" s="5" t="str">
        <f ca="1">IFERROR(__xludf.DUMMYFUNCTION("""COMPUTED_VALUE"""),"High")</f>
        <v>High</v>
      </c>
      <c r="Z132" s="5">
        <f ca="1">IFERROR(__xludf.DUMMYFUNCTION("""COMPUTED_VALUE"""),31.33)</f>
        <v>31.33</v>
      </c>
      <c r="AA132" s="14">
        <f ca="1">IFERROR(__xludf.DUMMYFUNCTION("""COMPUTED_VALUE"""),3755)</f>
        <v>3755</v>
      </c>
      <c r="AB132" s="5">
        <f ca="1">IFERROR(__xludf.DUMMYFUNCTION("""COMPUTED_VALUE"""),248)</f>
        <v>248</v>
      </c>
      <c r="AC132" s="5" t="str">
        <f ca="1">IFERROR(__xludf.DUMMYFUNCTION("""COMPUTED_VALUE"""),"Buy Bonus, Sticky Wild, Wild Symbol, Bonus Game with Free Spins")</f>
        <v>Buy Bonus, Sticky Wild, Wild Symbol, Bonus Game with Free Spins</v>
      </c>
      <c r="AD132" s="5" t="str">
        <f ca="1">IFERROR(__xludf.DUMMYFUNCTION("""COMPUTED_VALUE"""),"0.1/50")</f>
        <v>0.1/50</v>
      </c>
      <c r="AE132" s="5"/>
      <c r="AF132" s="5"/>
      <c r="AG132" s="10">
        <f ca="1">IFERROR(__xludf.DUMMYFUNCTION("""COMPUTED_VALUE"""),45967.565636574)</f>
        <v>45967.565636574</v>
      </c>
      <c r="AH132" s="5" t="str">
        <f ca="1">IFERROR(__xludf.DUMMYFUNCTION("""COMPUTED_VALUE"""),"djordje.petrovic@fazi.rs")</f>
        <v>djordje.petrovic@fazi.rs</v>
      </c>
      <c r="AI132" s="5"/>
      <c r="AJ132" s="5"/>
      <c r="AK132" s="5">
        <f ca="1">IFERROR(__xludf.DUMMYFUNCTION("""COMPUTED_VALUE"""),10)</f>
        <v>10</v>
      </c>
      <c r="AL132" s="5" t="str">
        <f ca="1">IFERROR(__xludf.DUMMYFUNCTION("""COMPUTED_VALUE"""),"Yes")</f>
        <v>Yes</v>
      </c>
      <c r="AM132" s="5"/>
      <c r="AN132" s="7" t="str">
        <f ca="1">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AO132" s="5"/>
      <c r="AP132" s="5"/>
      <c r="AQ132" s="5" t="b">
        <f ca="1">IFERROR(__xludf.DUMMYFUNCTION("""COMPUTED_VALUE"""),TRUE)</f>
        <v>1</v>
      </c>
      <c r="AR132" s="5"/>
      <c r="AS132" s="5" t="str">
        <f ca="1">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AT132" s="5"/>
      <c r="AU132" s="5" t="str">
        <f ca="1">IFERROR(__xludf.DUMMYFUNCTION("""COMPUTED_VALUE"""),"Fazi")</f>
        <v>Fazi</v>
      </c>
      <c r="AV132" s="5"/>
      <c r="AW132" s="5"/>
      <c r="AX132" s="5"/>
      <c r="AY132" s="5"/>
      <c r="AZ132" s="5"/>
      <c r="BA132" s="5" t="str">
        <f ca="1">IFERROR(__xludf.DUMMYFUNCTION("""COMPUTED_VALUE"""),"102")</f>
        <v>102</v>
      </c>
      <c r="BB132" s="5"/>
      <c r="BC132" s="5" t="str">
        <f ca="1">IFERROR(__xludf.DUMMYFUNCTION("""COMPUTED_VALUE"""),"Foxi")</f>
        <v>Foxi</v>
      </c>
      <c r="BD132" s="7" t="str">
        <f ca="1">IFERROR(__xludf.DUMMYFUNCTION("""COMPUTED_VALUE"""),"https://gameserver-store-client-area.orbionlimited.com/Home/IntegrationGameLaunch/client-area?moneyType=0&amp;gameName=ElGrandeToro&amp;platform=desktop&amp;languageCode=eng&amp;currency=EUR")</f>
        <v>https://gameserver-store-client-area.orbionlimited.com/Home/IntegrationGameLaunch/client-area?moneyType=0&amp;gameName=ElGrandeToro&amp;platform=desktop&amp;languageCode=eng&amp;currency=EUR</v>
      </c>
      <c r="BE132" s="5" t="b">
        <f ca="1">IFERROR(__xludf.DUMMYFUNCTION("""COMPUTED_VALUE"""),TRUE)</f>
        <v>1</v>
      </c>
    </row>
    <row r="133" spans="1:57" x14ac:dyDescent="0.25">
      <c r="A133" s="5">
        <f ca="1">IFERROR(__xludf.DUMMYFUNCTION("""COMPUTED_VALUE"""),133)</f>
        <v>133</v>
      </c>
      <c r="B133" s="5">
        <f ca="1">IFERROR(__xludf.DUMMYFUNCTION("""COMPUTED_VALUE"""),132)</f>
        <v>132</v>
      </c>
      <c r="C133" s="5" t="str">
        <f ca="1">IFERROR(__xludf.DUMMYFUNCTION("""COMPUTED_VALUE"""),"Tiptop")</f>
        <v>Tiptop</v>
      </c>
      <c r="D133" s="5" t="str">
        <f ca="1">IFERROR(__xludf.DUMMYFUNCTION("""COMPUTED_VALUE"""),"Great Whale")</f>
        <v>Great Whale</v>
      </c>
      <c r="E133" s="5"/>
      <c r="F133" s="5" t="str">
        <f ca="1">IFERROR(__xludf.DUMMYFUNCTION("""COMPUTED_VALUE"""),"UnicornGreatWhale")</f>
        <v>UnicornGreatWhale</v>
      </c>
      <c r="G133" s="5" t="str">
        <f ca="1">IFERROR(__xludf.DUMMYFUNCTION("""COMPUTED_VALUE"""),"Live")</f>
        <v>Live</v>
      </c>
      <c r="H133" s="5"/>
      <c r="I133" s="5" t="str">
        <f ca="1">IFERROR(__xludf.DUMMYFUNCTION("""COMPUTED_VALUE"""),"TipTop")</f>
        <v>TipTop</v>
      </c>
      <c r="J133" s="5" t="str">
        <f ca="1">IFERROR(__xludf.DUMMYFUNCTION("""COMPUTED_VALUE"""),"JSON")</f>
        <v>JSON</v>
      </c>
      <c r="K133" s="5" t="str">
        <f ca="1">IFERROR(__xludf.DUMMYFUNCTION("""COMPUTED_VALUE"""),"Slot")</f>
        <v>Slot</v>
      </c>
      <c r="L133" s="5"/>
      <c r="M133" s="5"/>
      <c r="N133" s="5"/>
      <c r="O133" s="5"/>
      <c r="P133" s="14">
        <f ca="1">IFERROR(__xludf.DUMMYFUNCTION("""COMPUTED_VALUE"""),23.7)</f>
        <v>23.7</v>
      </c>
      <c r="Q133" s="5"/>
      <c r="R133" s="5"/>
      <c r="S133" s="15">
        <f ca="1">IFERROR(__xludf.DUMMYFUNCTION("""COMPUTED_VALUE"""),44670)</f>
        <v>44670</v>
      </c>
      <c r="T133" s="5"/>
      <c r="U133" s="5" t="str">
        <f ca="1">IFERROR(__xludf.DUMMYFUNCTION("""COMPUTED_VALUE"""),"5X3")</f>
        <v>5X3</v>
      </c>
      <c r="V133" s="12" t="str">
        <f ca="1">IFERROR(__xludf.DUMMYFUNCTION("""COMPUTED_VALUE"""),"5")</f>
        <v>5</v>
      </c>
      <c r="W133" s="12" t="str">
        <f ca="1">IFERROR(__xludf.DUMMYFUNCTION("""COMPUTED_VALUE"""),"5")</f>
        <v>5</v>
      </c>
      <c r="X133" s="5">
        <f ca="1">IFERROR(__xludf.DUMMYFUNCTION("""COMPUTED_VALUE"""),96)</f>
        <v>96</v>
      </c>
      <c r="Y133" s="5" t="str">
        <f ca="1">IFERROR(__xludf.DUMMYFUNCTION("""COMPUTED_VALUE"""),"High")</f>
        <v>High</v>
      </c>
      <c r="Z133" s="5">
        <f ca="1">IFERROR(__xludf.DUMMYFUNCTION("""COMPUTED_VALUE"""),19.8)</f>
        <v>19.8</v>
      </c>
      <c r="AA133" s="14">
        <f ca="1">IFERROR(__xludf.DUMMYFUNCTION("""COMPUTED_VALUE"""),7500)</f>
        <v>7500</v>
      </c>
      <c r="AB133" s="5"/>
      <c r="AC133" s="5" t="str">
        <f ca="1">IFERROR(__xludf.DUMMYFUNCTION("""COMPUTED_VALUE"""),"Bonus Game with Sticky Wild")</f>
        <v>Bonus Game with Sticky Wild</v>
      </c>
      <c r="AD133" s="5" t="str">
        <f ca="1">IFERROR(__xludf.DUMMYFUNCTION("""COMPUTED_VALUE"""),"0.05/100")</f>
        <v>0.05/100</v>
      </c>
      <c r="AE133" s="5"/>
      <c r="AF133" s="5"/>
      <c r="AG133" s="10">
        <f ca="1">IFERROR(__xludf.DUMMYFUNCTION("""COMPUTED_VALUE"""),46197.4510069444)</f>
        <v>46197.4510069444</v>
      </c>
      <c r="AH133" s="5" t="str">
        <f ca="1">IFERROR(__xludf.DUMMYFUNCTION("""COMPUTED_VALUE"""),"selena.mihajlovic@fazi.rs")</f>
        <v>selena.mihajlovic@fazi.rs</v>
      </c>
      <c r="AI133" s="5"/>
      <c r="AJ133" s="5"/>
      <c r="AK133" s="5">
        <f ca="1">IFERROR(__xludf.DUMMYFUNCTION("""COMPUTED_VALUE"""),5)</f>
        <v>5</v>
      </c>
      <c r="AL133" s="5" t="str">
        <f ca="1">IFERROR(__xludf.DUMMYFUNCTION("""COMPUTED_VALUE"""),"No")</f>
        <v>No</v>
      </c>
      <c r="AM133" s="5"/>
      <c r="AN133" s="7" t="str">
        <f ca="1">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AO133" s="5"/>
      <c r="AP133" s="5"/>
      <c r="AQ133" s="5" t="b">
        <f ca="1">IFERROR(__xludf.DUMMYFUNCTION("""COMPUTED_VALUE"""),TRUE)</f>
        <v>1</v>
      </c>
      <c r="AR133" s="5"/>
      <c r="AS133" s="5" t="str">
        <f ca="1">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AT133" s="5"/>
      <c r="AU133" s="5" t="str">
        <f ca="1">IFERROR(__xludf.DUMMYFUNCTION("""COMPUTED_VALUE"""),"Fazi")</f>
        <v>Fazi</v>
      </c>
      <c r="AV133" s="5"/>
      <c r="AW133" s="5"/>
      <c r="AX133" s="5"/>
      <c r="AY133" s="5"/>
      <c r="AZ133" s="5"/>
      <c r="BA133" s="5"/>
      <c r="BB133" s="5" t="b">
        <f ca="1">IFERROR(__xludf.DUMMYFUNCTION("""COMPUTED_VALUE"""),TRUE)</f>
        <v>1</v>
      </c>
      <c r="BC133" s="5" t="str">
        <f ca="1">IFERROR(__xludf.DUMMYFUNCTION("""COMPUTED_VALUE"""),"Tiptop")</f>
        <v>Tiptop</v>
      </c>
      <c r="BD133" s="7" t="str">
        <f ca="1">IFERROR(__xludf.DUMMYFUNCTION("""COMPUTED_VALUE"""),"https://gameserver-store-client-area.orbionlimited.com/Home/IntegrationGameLaunch/client-area?moneyType=0&amp;gameName=UnicornGreatWhale&amp;platform=desktop&amp;languageCode=eng&amp;currency=EUR")</f>
        <v>https://gameserver-store-client-area.orbionlimited.com/Home/IntegrationGameLaunch/client-area?moneyType=0&amp;gameName=UnicornGreatWhale&amp;platform=desktop&amp;languageCode=eng&amp;currency=EUR</v>
      </c>
      <c r="BE133" s="5" t="b">
        <f ca="1">IFERROR(__xludf.DUMMYFUNCTION("""COMPUTED_VALUE"""),TRUE)</f>
        <v>1</v>
      </c>
    </row>
    <row r="134" spans="1:57" x14ac:dyDescent="0.25">
      <c r="A134" s="5">
        <f ca="1">IFERROR(__xludf.DUMMYFUNCTION("""COMPUTED_VALUE"""),134)</f>
        <v>134</v>
      </c>
      <c r="B134" s="5">
        <f ca="1">IFERROR(__xludf.DUMMYFUNCTION("""COMPUTED_VALUE"""),133)</f>
        <v>133</v>
      </c>
      <c r="C134" s="5" t="str">
        <f ca="1">IFERROR(__xludf.DUMMYFUNCTION("""COMPUTED_VALUE"""),"Fazi")</f>
        <v>Fazi</v>
      </c>
      <c r="D134" s="5" t="str">
        <f ca="1">IFERROR(__xludf.DUMMYFUNCTION("""COMPUTED_VALUE"""),"Winning Stars")</f>
        <v>Winning Stars</v>
      </c>
      <c r="E134" s="5" t="str">
        <f ca="1">IFERROR(__xludf.DUMMYFUNCTION("""COMPUTED_VALUE"""),"V2")</f>
        <v>V2</v>
      </c>
      <c r="F134" s="5" t="str">
        <f ca="1">IFERROR(__xludf.DUMMYFUNCTION("""COMPUTED_VALUE"""),"WinningStars")</f>
        <v>WinningStars</v>
      </c>
      <c r="G134" s="5" t="str">
        <f ca="1">IFERROR(__xludf.DUMMYFUNCTION("""COMPUTED_VALUE"""),"Live")</f>
        <v>Live</v>
      </c>
      <c r="H134" s="5"/>
      <c r="I134" s="5" t="str">
        <f ca="1">IFERROR(__xludf.DUMMYFUNCTION("""COMPUTED_VALUE"""),"V2")</f>
        <v>V2</v>
      </c>
      <c r="J134" s="5" t="str">
        <f ca="1">IFERROR(__xludf.DUMMYFUNCTION("""COMPUTED_VALUE"""),"Binary")</f>
        <v>Binary</v>
      </c>
      <c r="K134" s="5" t="str">
        <f ca="1">IFERROR(__xludf.DUMMYFUNCTION("""COMPUTED_VALUE"""),"Slot")</f>
        <v>Slot</v>
      </c>
      <c r="L134" s="5" t="str">
        <f ca="1">IFERROR(__xludf.DUMMYFUNCTION("""COMPUTED_VALUE"""),"Clone")</f>
        <v>Clone</v>
      </c>
      <c r="M134" s="5" t="str">
        <f ca="1">IFERROR(__xludf.DUMMYFUNCTION("""COMPUTED_VALUE"""),"Hot Stars")</f>
        <v>Hot Stars</v>
      </c>
      <c r="N134" s="5"/>
      <c r="O134" s="5"/>
      <c r="P134" s="14">
        <f ca="1">IFERROR(__xludf.DUMMYFUNCTION("""COMPUTED_VALUE"""),26)</f>
        <v>26</v>
      </c>
      <c r="Q134" s="5"/>
      <c r="R134" s="5"/>
      <c r="S134" s="15">
        <f ca="1">IFERROR(__xludf.DUMMYFUNCTION("""COMPUTED_VALUE"""),44531)</f>
        <v>44531</v>
      </c>
      <c r="T134" s="5" t="b">
        <f ca="1">IFERROR(__xludf.DUMMYFUNCTION("""COMPUTED_VALUE"""),TRUE)</f>
        <v>1</v>
      </c>
      <c r="U134" s="5" t="str">
        <f ca="1">IFERROR(__xludf.DUMMYFUNCTION("""COMPUTED_VALUE"""),"5x3")</f>
        <v>5x3</v>
      </c>
      <c r="V134" s="12" t="str">
        <f ca="1">IFERROR(__xludf.DUMMYFUNCTION("""COMPUTED_VALUE"""),"10")</f>
        <v>10</v>
      </c>
      <c r="W134" s="12" t="str">
        <f ca="1">IFERROR(__xludf.DUMMYFUNCTION("""COMPUTED_VALUE"""),"10")</f>
        <v>10</v>
      </c>
      <c r="X134" s="5">
        <f ca="1">IFERROR(__xludf.DUMMYFUNCTION("""COMPUTED_VALUE"""),95.544)</f>
        <v>95.543999999999997</v>
      </c>
      <c r="Y134" s="5" t="str">
        <f ca="1">IFERROR(__xludf.DUMMYFUNCTION("""COMPUTED_VALUE"""),"Medium")</f>
        <v>Medium</v>
      </c>
      <c r="Z134" s="5">
        <f ca="1">IFERROR(__xludf.DUMMYFUNCTION("""COMPUTED_VALUE"""),13.02)</f>
        <v>13.02</v>
      </c>
      <c r="AA134" s="14">
        <f ca="1">IFERROR(__xludf.DUMMYFUNCTION("""COMPUTED_VALUE"""),1611)</f>
        <v>1611</v>
      </c>
      <c r="AB134" s="5">
        <f ca="1">IFERROR(__xludf.DUMMYFUNCTION("""COMPUTED_VALUE"""),18)</f>
        <v>18</v>
      </c>
      <c r="AC134" s="5" t="str">
        <f ca="1">IFERROR(__xludf.DUMMYFUNCTION("""COMPUTED_VALUE"""),"Expanding Wild, Respin, Bothways")</f>
        <v>Expanding Wild, Respin, Bothways</v>
      </c>
      <c r="AD134" s="5" t="str">
        <f ca="1">IFERROR(__xludf.DUMMYFUNCTION("""COMPUTED_VALUE"""),"0.10/40")</f>
        <v>0.10/40</v>
      </c>
      <c r="AE134" s="5"/>
      <c r="AF134" s="5"/>
      <c r="AG134" s="5"/>
      <c r="AH134" s="5"/>
      <c r="AI134" s="5"/>
      <c r="AJ134" s="5"/>
      <c r="AK134" s="5">
        <f ca="1">IFERROR(__xludf.DUMMYFUNCTION("""COMPUTED_VALUE"""),10)</f>
        <v>10</v>
      </c>
      <c r="AL134" s="5" t="str">
        <f ca="1">IFERROR(__xludf.DUMMYFUNCTION("""COMPUTED_VALUE"""),"Yes")</f>
        <v>Yes</v>
      </c>
      <c r="AM134" s="5"/>
      <c r="AN134" s="7" t="str">
        <f ca="1">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AO134" s="5"/>
      <c r="AP134" s="5"/>
      <c r="AQ134" s="5" t="b">
        <f ca="1">IFERROR(__xludf.DUMMYFUNCTION("""COMPUTED_VALUE"""),TRUE)</f>
        <v>1</v>
      </c>
      <c r="AR134" s="5"/>
      <c r="AS134" s="5" t="str">
        <f ca="1">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AT134" s="5"/>
      <c r="AU134" s="5" t="str">
        <f ca="1">IFERROR(__xludf.DUMMYFUNCTION("""COMPUTED_VALUE"""),"Fazi")</f>
        <v>Fazi</v>
      </c>
      <c r="AV134" s="5"/>
      <c r="AW134" s="5"/>
      <c r="AX134" s="5"/>
      <c r="AY134" s="5"/>
      <c r="AZ134" s="5"/>
      <c r="BA134" s="5" t="str">
        <f ca="1">IFERROR(__xludf.DUMMYFUNCTION("""COMPUTED_VALUE"""),"")</f>
        <v/>
      </c>
      <c r="BB134" s="5"/>
      <c r="BC134" s="5" t="str">
        <f ca="1">IFERROR(__xludf.DUMMYFUNCTION("""COMPUTED_VALUE"""),"Foxi")</f>
        <v>Foxi</v>
      </c>
      <c r="BD134" s="7" t="str">
        <f ca="1">IFERROR(__xludf.DUMMYFUNCTION("""COMPUTED_VALUE"""),"https://gameserver-store-client-area.orbionlimited.com/Home/IntegrationGameLaunch/client-area?moneyType=0&amp;gameName=WinningStars&amp;platform=desktop&amp;languageCode=eng&amp;currency=EUR")</f>
        <v>https://gameserver-store-client-area.orbionlimited.com/Home/IntegrationGameLaunch/client-area?moneyType=0&amp;gameName=WinningStars&amp;platform=desktop&amp;languageCode=eng&amp;currency=EUR</v>
      </c>
      <c r="BE134" s="5" t="b">
        <f ca="1">IFERROR(__xludf.DUMMYFUNCTION("""COMPUTED_VALUE"""),TRUE)</f>
        <v>1</v>
      </c>
    </row>
    <row r="135" spans="1:57" x14ac:dyDescent="0.25">
      <c r="A135" s="5">
        <f ca="1">IFERROR(__xludf.DUMMYFUNCTION("""COMPUTED_VALUE"""),135)</f>
        <v>135</v>
      </c>
      <c r="B135" s="5">
        <f ca="1">IFERROR(__xludf.DUMMYFUNCTION("""COMPUTED_VALUE"""),134)</f>
        <v>134</v>
      </c>
      <c r="C135" s="5" t="str">
        <f ca="1">IFERROR(__xludf.DUMMYFUNCTION("""COMPUTED_VALUE"""),"Fazi")</f>
        <v>Fazi</v>
      </c>
      <c r="D135" s="5" t="str">
        <f ca="1">IFERROR(__xludf.DUMMYFUNCTION("""COMPUTED_VALUE"""),"Big Buddha")</f>
        <v>Big Buddha</v>
      </c>
      <c r="E135" s="5" t="str">
        <f ca="1">IFERROR(__xludf.DUMMYFUNCTION("""COMPUTED_VALUE"""),"V2")</f>
        <v>V2</v>
      </c>
      <c r="F135" s="5" t="str">
        <f ca="1">IFERROR(__xludf.DUMMYFUNCTION("""COMPUTED_VALUE"""),"BigBuddha")</f>
        <v>BigBuddha</v>
      </c>
      <c r="G135" s="5" t="str">
        <f ca="1">IFERROR(__xludf.DUMMYFUNCTION("""COMPUTED_VALUE"""),"Live")</f>
        <v>Live</v>
      </c>
      <c r="H135" s="5"/>
      <c r="I135" s="5" t="str">
        <f ca="1">IFERROR(__xludf.DUMMYFUNCTION("""COMPUTED_VALUE"""),"V2")</f>
        <v>V2</v>
      </c>
      <c r="J135" s="5" t="str">
        <f ca="1">IFERROR(__xludf.DUMMYFUNCTION("""COMPUTED_VALUE"""),"Binary")</f>
        <v>Binary</v>
      </c>
      <c r="K135" s="5" t="str">
        <f ca="1">IFERROR(__xludf.DUMMYFUNCTION("""COMPUTED_VALUE"""),"Slot")</f>
        <v>Slot</v>
      </c>
      <c r="L135" s="5"/>
      <c r="M135" s="5"/>
      <c r="N135" s="5"/>
      <c r="O135" s="5"/>
      <c r="P135" s="5"/>
      <c r="Q135" s="5"/>
      <c r="R135" s="5"/>
      <c r="S135" s="15">
        <f ca="1">IFERROR(__xludf.DUMMYFUNCTION("""COMPUTED_VALUE"""),44531)</f>
        <v>44531</v>
      </c>
      <c r="T135" s="5"/>
      <c r="U135" s="5" t="str">
        <f ca="1">IFERROR(__xludf.DUMMYFUNCTION("""COMPUTED_VALUE"""),"5x3")</f>
        <v>5x3</v>
      </c>
      <c r="V135" s="12" t="str">
        <f ca="1">IFERROR(__xludf.DUMMYFUNCTION("""COMPUTED_VALUE"""),"20")</f>
        <v>20</v>
      </c>
      <c r="W135" s="12" t="str">
        <f ca="1">IFERROR(__xludf.DUMMYFUNCTION("""COMPUTED_VALUE"""),"20")</f>
        <v>20</v>
      </c>
      <c r="X135" s="5">
        <f ca="1">IFERROR(__xludf.DUMMYFUNCTION("""COMPUTED_VALUE"""),95.951)</f>
        <v>95.950999999999993</v>
      </c>
      <c r="Y135" s="5" t="str">
        <f ca="1">IFERROR(__xludf.DUMMYFUNCTION("""COMPUTED_VALUE"""),"Medium")</f>
        <v>Medium</v>
      </c>
      <c r="Z135" s="5">
        <f ca="1">IFERROR(__xludf.DUMMYFUNCTION("""COMPUTED_VALUE"""),9.69)</f>
        <v>9.69</v>
      </c>
      <c r="AA135" s="14">
        <f ca="1">IFERROR(__xludf.DUMMYFUNCTION("""COMPUTED_VALUE"""),1005)</f>
        <v>1005</v>
      </c>
      <c r="AB135" s="5">
        <f ca="1">IFERROR(__xludf.DUMMYFUNCTION("""COMPUTED_VALUE"""),51)</f>
        <v>51</v>
      </c>
      <c r="AC135" s="5" t="str">
        <f ca="1">IFERROR(__xludf.DUMMYFUNCTION("""COMPUTED_VALUE"""),"Scatter, Wild Symbol, Exploding Wild")</f>
        <v>Scatter, Wild Symbol, Exploding Wild</v>
      </c>
      <c r="AD135" s="5"/>
      <c r="AE135" s="5"/>
      <c r="AF135" s="5"/>
      <c r="AG135" s="5"/>
      <c r="AH135" s="5"/>
      <c r="AI135" s="5"/>
      <c r="AJ135" s="5"/>
      <c r="AK135" s="5">
        <f ca="1">IFERROR(__xludf.DUMMYFUNCTION("""COMPUTED_VALUE"""),20)</f>
        <v>20</v>
      </c>
      <c r="AL135" s="5" t="str">
        <f ca="1">IFERROR(__xludf.DUMMYFUNCTION("""COMPUTED_VALUE"""),"Yes")</f>
        <v>Yes</v>
      </c>
      <c r="AM135" s="5"/>
      <c r="AN135" s="5"/>
      <c r="AO135" s="5"/>
      <c r="AP135" s="5"/>
      <c r="AQ135" s="5"/>
      <c r="AR135" s="5"/>
      <c r="AS135" s="5"/>
      <c r="AT135" s="5"/>
      <c r="AU135" s="5" t="str">
        <f ca="1">IFERROR(__xludf.DUMMYFUNCTION("""COMPUTED_VALUE"""),"Fazi")</f>
        <v>Fazi</v>
      </c>
      <c r="AV135" s="5"/>
      <c r="AW135" s="5"/>
      <c r="AX135" s="5"/>
      <c r="AY135" s="5"/>
      <c r="AZ135" s="5"/>
      <c r="BA135" s="5" t="str">
        <f ca="1">IFERROR(__xludf.DUMMYFUNCTION("""COMPUTED_VALUE"""),"")</f>
        <v/>
      </c>
      <c r="BB135" s="5"/>
      <c r="BC135" s="5" t="str">
        <f ca="1">IFERROR(__xludf.DUMMYFUNCTION("""COMPUTED_VALUE"""),"Foxi")</f>
        <v>Foxi</v>
      </c>
      <c r="BD135" s="5" t="str">
        <f ca="1">IFERROR(__xludf.DUMMYFUNCTION("""COMPUTED_VALUE"""),"")</f>
        <v/>
      </c>
      <c r="BE135" s="5"/>
    </row>
    <row r="136" spans="1:57" x14ac:dyDescent="0.25">
      <c r="A136" s="5">
        <f ca="1">IFERROR(__xludf.DUMMYFUNCTION("""COMPUTED_VALUE"""),136)</f>
        <v>136</v>
      </c>
      <c r="B136" s="5">
        <f ca="1">IFERROR(__xludf.DUMMYFUNCTION("""COMPUTED_VALUE"""),135)</f>
        <v>135</v>
      </c>
      <c r="C136" s="5" t="str">
        <f ca="1">IFERROR(__xludf.DUMMYFUNCTION("""COMPUTED_VALUE"""),"Fazi")</f>
        <v>Fazi</v>
      </c>
      <c r="D136" s="5" t="str">
        <f ca="1">IFERROR(__xludf.DUMMYFUNCTION("""COMPUTED_VALUE"""),"Crystal Hot 100")</f>
        <v>Crystal Hot 100</v>
      </c>
      <c r="E136" s="5" t="str">
        <f ca="1">IFERROR(__xludf.DUMMYFUNCTION("""COMPUTED_VALUE"""),"V2")</f>
        <v>V2</v>
      </c>
      <c r="F136" s="5" t="str">
        <f ca="1">IFERROR(__xludf.DUMMYFUNCTION("""COMPUTED_VALUE"""),"CrystalHot100")</f>
        <v>CrystalHot100</v>
      </c>
      <c r="G136" s="5" t="str">
        <f ca="1">IFERROR(__xludf.DUMMYFUNCTION("""COMPUTED_VALUE"""),"Live")</f>
        <v>Live</v>
      </c>
      <c r="H136" s="5"/>
      <c r="I136" s="5" t="str">
        <f ca="1">IFERROR(__xludf.DUMMYFUNCTION("""COMPUTED_VALUE"""),"V2")</f>
        <v>V2</v>
      </c>
      <c r="J136" s="5" t="str">
        <f ca="1">IFERROR(__xludf.DUMMYFUNCTION("""COMPUTED_VALUE"""),"JSON")</f>
        <v>JSON</v>
      </c>
      <c r="K136" s="5" t="str">
        <f ca="1">IFERROR(__xludf.DUMMYFUNCTION("""COMPUTED_VALUE"""),"Slot")</f>
        <v>Slot</v>
      </c>
      <c r="L136" s="5" t="str">
        <f ca="1">IFERROR(__xludf.DUMMYFUNCTION("""COMPUTED_VALUE"""),"Clone")</f>
        <v>Clone</v>
      </c>
      <c r="M136" s="5" t="str">
        <f ca="1">IFERROR(__xludf.DUMMYFUNCTION("""COMPUTED_VALUE"""),"Crystal Hot 40")</f>
        <v>Crystal Hot 40</v>
      </c>
      <c r="N136" s="5"/>
      <c r="O136" s="5"/>
      <c r="P136" s="14">
        <f ca="1">IFERROR(__xludf.DUMMYFUNCTION("""COMPUTED_VALUE"""),30.8)</f>
        <v>30.8</v>
      </c>
      <c r="Q136" s="5"/>
      <c r="R136" s="5"/>
      <c r="S136" s="15">
        <f ca="1">IFERROR(__xludf.DUMMYFUNCTION("""COMPUTED_VALUE"""),44480)</f>
        <v>44480</v>
      </c>
      <c r="T136" s="5" t="b">
        <f ca="1">IFERROR(__xludf.DUMMYFUNCTION("""COMPUTED_VALUE"""),TRUE)</f>
        <v>1</v>
      </c>
      <c r="U136" s="5" t="str">
        <f ca="1">IFERROR(__xludf.DUMMYFUNCTION("""COMPUTED_VALUE"""),"5x4")</f>
        <v>5x4</v>
      </c>
      <c r="V136" s="12" t="str">
        <f ca="1">IFERROR(__xludf.DUMMYFUNCTION("""COMPUTED_VALUE"""),"100")</f>
        <v>100</v>
      </c>
      <c r="W136" s="12" t="str">
        <f ca="1">IFERROR(__xludf.DUMMYFUNCTION("""COMPUTED_VALUE"""),"100")</f>
        <v>100</v>
      </c>
      <c r="X136" s="5">
        <f ca="1">IFERROR(__xludf.DUMMYFUNCTION("""COMPUTED_VALUE"""),96.584)</f>
        <v>96.584000000000003</v>
      </c>
      <c r="Y136" s="5" t="str">
        <f ca="1">IFERROR(__xludf.DUMMYFUNCTION("""COMPUTED_VALUE"""),"Low")</f>
        <v>Low</v>
      </c>
      <c r="Z136" s="5">
        <f ca="1">IFERROR(__xludf.DUMMYFUNCTION("""COMPUTED_VALUE"""),20.81)</f>
        <v>20.81</v>
      </c>
      <c r="AA136" s="14">
        <f ca="1">IFERROR(__xludf.DUMMYFUNCTION("""COMPUTED_VALUE"""),1000)</f>
        <v>1000</v>
      </c>
      <c r="AB136" s="5" t="str">
        <f ca="1">IFERROR(__xludf.DUMMYFUNCTION("""COMPUTED_VALUE"""),"/")</f>
        <v>/</v>
      </c>
      <c r="AC136" s="5" t="str">
        <f ca="1">IFERROR(__xludf.DUMMYFUNCTION("""COMPUTED_VALUE"""),"Wild Symbol, Scatter")</f>
        <v>Wild Symbol, Scatter</v>
      </c>
      <c r="AD136" s="5" t="str">
        <f ca="1">IFERROR(__xludf.DUMMYFUNCTION("""COMPUTED_VALUE"""),"1/100")</f>
        <v>1/100</v>
      </c>
      <c r="AE136" s="5"/>
      <c r="AF136" s="5"/>
      <c r="AG136" s="10">
        <f ca="1">IFERROR(__xludf.DUMMYFUNCTION("""COMPUTED_VALUE"""),46100.621099537)</f>
        <v>46100.621099536998</v>
      </c>
      <c r="AH136" s="5" t="str">
        <f ca="1">IFERROR(__xludf.DUMMYFUNCTION("""COMPUTED_VALUE"""),"milutin.toskic@fazi.rs")</f>
        <v>milutin.toskic@fazi.rs</v>
      </c>
      <c r="AI136" s="5"/>
      <c r="AJ136" s="5"/>
      <c r="AK136" s="5">
        <f ca="1">IFERROR(__xludf.DUMMYFUNCTION("""COMPUTED_VALUE"""),100)</f>
        <v>100</v>
      </c>
      <c r="AL136" s="5" t="str">
        <f ca="1">IFERROR(__xludf.DUMMYFUNCTION("""COMPUTED_VALUE"""),"Yes")</f>
        <v>Yes</v>
      </c>
      <c r="AM136" s="5"/>
      <c r="AN136" s="7" t="str">
        <f ca="1">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AO136" s="5" t="str">
        <f ca="1">IFERROR(__xludf.DUMMYFUNCTION("""COMPUTED_VALUE"""),"Yes")</f>
        <v>Yes</v>
      </c>
      <c r="AP136" s="5" t="str">
        <f ca="1">IFERROR(__xludf.DUMMYFUNCTION("""COMPUTED_VALUE"""),"Yes")</f>
        <v>Yes</v>
      </c>
      <c r="AQ136" s="5" t="b">
        <f ca="1">IFERROR(__xludf.DUMMYFUNCTION("""COMPUTED_VALUE"""),TRUE)</f>
        <v>1</v>
      </c>
      <c r="AR136" s="5"/>
      <c r="AS136" s="5" t="str">
        <f ca="1">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AT136" s="5"/>
      <c r="AU136" s="5" t="str">
        <f ca="1">IFERROR(__xludf.DUMMYFUNCTION("""COMPUTED_VALUE"""),"Fazi")</f>
        <v>Fazi</v>
      </c>
      <c r="AV136" s="5"/>
      <c r="AW136" s="5"/>
      <c r="AX136" s="5"/>
      <c r="AY136" s="5" t="str">
        <f ca="1">IFERROR(__xludf.DUMMYFUNCTION("""COMPUTED_VALUE"""),"87.5%, 89.5%, 91.5%, 93.5%, 94.5%, 95.5%, 96.5%")</f>
        <v>87.5%, 89.5%, 91.5%, 93.5%, 94.5%, 95.5%, 96.5%</v>
      </c>
      <c r="AZ136" s="5"/>
      <c r="BA136" s="5" t="str">
        <f ca="1">IFERROR(__xludf.DUMMYFUNCTION("""COMPUTED_VALUE"""),"")</f>
        <v/>
      </c>
      <c r="BB136" s="5"/>
      <c r="BC136" s="5" t="str">
        <f ca="1">IFERROR(__xludf.DUMMYFUNCTION("""COMPUTED_VALUE"""),"Foxi")</f>
        <v>Foxi</v>
      </c>
      <c r="BD136" s="7" t="str">
        <f ca="1">IFERROR(__xludf.DUMMYFUNCTION("""COMPUTED_VALUE"""),"https://gameserver-store-client-area.orbionlimited.com/Home/IntegrationGameLaunch/client-area?moneyType=0&amp;gameName=CrystalHot100&amp;platform=desktop&amp;languageCode=eng&amp;currency=EUR")</f>
        <v>https://gameserver-store-client-area.orbionlimited.com/Home/IntegrationGameLaunch/client-area?moneyType=0&amp;gameName=CrystalHot100&amp;platform=desktop&amp;languageCode=eng&amp;currency=EUR</v>
      </c>
      <c r="BE136" s="5" t="b">
        <f ca="1">IFERROR(__xludf.DUMMYFUNCTION("""COMPUTED_VALUE"""),TRUE)</f>
        <v>1</v>
      </c>
    </row>
    <row r="137" spans="1:57" x14ac:dyDescent="0.25">
      <c r="A137" s="5">
        <f ca="1">IFERROR(__xludf.DUMMYFUNCTION("""COMPUTED_VALUE"""),137)</f>
        <v>137</v>
      </c>
      <c r="B137" s="5">
        <f ca="1">IFERROR(__xludf.DUMMYFUNCTION("""COMPUTED_VALUE"""),136)</f>
        <v>136</v>
      </c>
      <c r="C137" s="5" t="str">
        <f ca="1">IFERROR(__xludf.DUMMYFUNCTION("""COMPUTED_VALUE"""),"Fazi")</f>
        <v>Fazi</v>
      </c>
      <c r="D137" s="5" t="str">
        <f ca="1">IFERROR(__xludf.DUMMYFUNCTION("""COMPUTED_VALUE"""),"Turbo Hot 80")</f>
        <v>Turbo Hot 80</v>
      </c>
      <c r="E137" s="5" t="str">
        <f ca="1">IFERROR(__xludf.DUMMYFUNCTION("""COMPUTED_VALUE"""),"V2")</f>
        <v>V2</v>
      </c>
      <c r="F137" s="5" t="str">
        <f ca="1">IFERROR(__xludf.DUMMYFUNCTION("""COMPUTED_VALUE"""),"TurboHot80")</f>
        <v>TurboHot80</v>
      </c>
      <c r="G137" s="5" t="str">
        <f ca="1">IFERROR(__xludf.DUMMYFUNCTION("""COMPUTED_VALUE"""),"Live")</f>
        <v>Live</v>
      </c>
      <c r="H137" s="5"/>
      <c r="I137" s="5" t="str">
        <f ca="1">IFERROR(__xludf.DUMMYFUNCTION("""COMPUTED_VALUE"""),"V2")</f>
        <v>V2</v>
      </c>
      <c r="J137" s="5" t="str">
        <f ca="1">IFERROR(__xludf.DUMMYFUNCTION("""COMPUTED_VALUE"""),"JSON")</f>
        <v>JSON</v>
      </c>
      <c r="K137" s="5" t="str">
        <f ca="1">IFERROR(__xludf.DUMMYFUNCTION("""COMPUTED_VALUE"""),"Slot")</f>
        <v>Slot</v>
      </c>
      <c r="L137" s="5" t="str">
        <f ca="1">IFERROR(__xludf.DUMMYFUNCTION("""COMPUTED_VALUE"""),"Clone")</f>
        <v>Clone</v>
      </c>
      <c r="M137" s="5" t="str">
        <f ca="1">IFERROR(__xludf.DUMMYFUNCTION("""COMPUTED_VALUE"""),"Turbo Hot 40")</f>
        <v>Turbo Hot 40</v>
      </c>
      <c r="N137" s="5"/>
      <c r="O137" s="5"/>
      <c r="P137" s="14">
        <f ca="1">IFERROR(__xludf.DUMMYFUNCTION("""COMPUTED_VALUE"""),22.6)</f>
        <v>22.6</v>
      </c>
      <c r="Q137" s="5"/>
      <c r="R137" s="5"/>
      <c r="S137" s="15">
        <f ca="1">IFERROR(__xludf.DUMMYFUNCTION("""COMPUTED_VALUE"""),44503)</f>
        <v>44503</v>
      </c>
      <c r="T137" s="5" t="b">
        <f ca="1">IFERROR(__xludf.DUMMYFUNCTION("""COMPUTED_VALUE"""),TRUE)</f>
        <v>1</v>
      </c>
      <c r="U137" s="5" t="str">
        <f ca="1">IFERROR(__xludf.DUMMYFUNCTION("""COMPUTED_VALUE"""),"5x4")</f>
        <v>5x4</v>
      </c>
      <c r="V137" s="12" t="str">
        <f ca="1">IFERROR(__xludf.DUMMYFUNCTION("""COMPUTED_VALUE"""),"80")</f>
        <v>80</v>
      </c>
      <c r="W137" s="12" t="str">
        <f ca="1">IFERROR(__xludf.DUMMYFUNCTION("""COMPUTED_VALUE"""),"80")</f>
        <v>80</v>
      </c>
      <c r="X137" s="5">
        <f ca="1">IFERROR(__xludf.DUMMYFUNCTION("""COMPUTED_VALUE"""),96.584)</f>
        <v>96.584000000000003</v>
      </c>
      <c r="Y137" s="5" t="str">
        <f ca="1">IFERROR(__xludf.DUMMYFUNCTION("""COMPUTED_VALUE"""),"Low")</f>
        <v>Low</v>
      </c>
      <c r="Z137" s="5">
        <f ca="1">IFERROR(__xludf.DUMMYFUNCTION("""COMPUTED_VALUE"""),20.81)</f>
        <v>20.81</v>
      </c>
      <c r="AA137" s="14">
        <f ca="1">IFERROR(__xludf.DUMMYFUNCTION("""COMPUTED_VALUE"""),1000)</f>
        <v>1000</v>
      </c>
      <c r="AB137" s="5" t="str">
        <f ca="1">IFERROR(__xludf.DUMMYFUNCTION("""COMPUTED_VALUE"""),"/")</f>
        <v>/</v>
      </c>
      <c r="AC137" s="5" t="str">
        <f ca="1">IFERROR(__xludf.DUMMYFUNCTION("""COMPUTED_VALUE"""),"Wild Symbol, Scatter")</f>
        <v>Wild Symbol, Scatter</v>
      </c>
      <c r="AD137" s="5" t="str">
        <f ca="1">IFERROR(__xludf.DUMMYFUNCTION("""COMPUTED_VALUE"""),"0.8/80")</f>
        <v>0.8/80</v>
      </c>
      <c r="AE137" s="5"/>
      <c r="AF137" s="5"/>
      <c r="AG137" s="10">
        <f ca="1">IFERROR(__xludf.DUMMYFUNCTION("""COMPUTED_VALUE"""),46083.6836574074)</f>
        <v>46083.683657407397</v>
      </c>
      <c r="AH137" s="5" t="str">
        <f ca="1">IFERROR(__xludf.DUMMYFUNCTION("""COMPUTED_VALUE"""),"milutin.toskic@fazi.rs")</f>
        <v>milutin.toskic@fazi.rs</v>
      </c>
      <c r="AI137" s="5"/>
      <c r="AJ137" s="5"/>
      <c r="AK137" s="5">
        <f ca="1">IFERROR(__xludf.DUMMYFUNCTION("""COMPUTED_VALUE"""),80)</f>
        <v>80</v>
      </c>
      <c r="AL137" s="5" t="str">
        <f ca="1">IFERROR(__xludf.DUMMYFUNCTION("""COMPUTED_VALUE"""),"Yes")</f>
        <v>Yes</v>
      </c>
      <c r="AM137" s="5"/>
      <c r="AN137" s="7" t="str">
        <f ca="1">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AO137" s="5" t="str">
        <f ca="1">IFERROR(__xludf.DUMMYFUNCTION("""COMPUTED_VALUE"""),"Yes")</f>
        <v>Yes</v>
      </c>
      <c r="AP137" s="5"/>
      <c r="AQ137" s="5" t="b">
        <f ca="1">IFERROR(__xludf.DUMMYFUNCTION("""COMPUTED_VALUE"""),TRUE)</f>
        <v>1</v>
      </c>
      <c r="AR137" s="5"/>
      <c r="AS137" s="5" t="str">
        <f ca="1">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AT137" s="5"/>
      <c r="AU137" s="5" t="str">
        <f ca="1">IFERROR(__xludf.DUMMYFUNCTION("""COMPUTED_VALUE"""),"Fazi")</f>
        <v>Fazi</v>
      </c>
      <c r="AV137" s="5"/>
      <c r="AW137" s="5"/>
      <c r="AX137" s="5"/>
      <c r="AY137" s="5"/>
      <c r="AZ137" s="5"/>
      <c r="BA137" s="5" t="str">
        <f ca="1">IFERROR(__xludf.DUMMYFUNCTION("""COMPUTED_VALUE"""),"")</f>
        <v/>
      </c>
      <c r="BB137" s="5"/>
      <c r="BC137" s="5" t="str">
        <f ca="1">IFERROR(__xludf.DUMMYFUNCTION("""COMPUTED_VALUE"""),"Foxi")</f>
        <v>Foxi</v>
      </c>
      <c r="BD137" s="7" t="str">
        <f ca="1">IFERROR(__xludf.DUMMYFUNCTION("""COMPUTED_VALUE"""),"https://gameserver-store-client-area.orbionlimited.com/Home/IntegrationGameLaunch/client-area?moneyType=0&amp;gameName=TurboHot80&amp;platform=desktop&amp;languageCode=eng&amp;currency=EUR")</f>
        <v>https://gameserver-store-client-area.orbionlimited.com/Home/IntegrationGameLaunch/client-area?moneyType=0&amp;gameName=TurboHot80&amp;platform=desktop&amp;languageCode=eng&amp;currency=EUR</v>
      </c>
      <c r="BE137" s="5" t="b">
        <f ca="1">IFERROR(__xludf.DUMMYFUNCTION("""COMPUTED_VALUE"""),TRUE)</f>
        <v>1</v>
      </c>
    </row>
    <row r="138" spans="1:57" x14ac:dyDescent="0.25">
      <c r="A138" s="5">
        <f ca="1">IFERROR(__xludf.DUMMYFUNCTION("""COMPUTED_VALUE"""),138)</f>
        <v>138</v>
      </c>
      <c r="B138" s="5">
        <f ca="1">IFERROR(__xludf.DUMMYFUNCTION("""COMPUTED_VALUE"""),137)</f>
        <v>137</v>
      </c>
      <c r="C138" s="5" t="str">
        <f ca="1">IFERROR(__xludf.DUMMYFUNCTION("""COMPUTED_VALUE"""),"Fazi")</f>
        <v>Fazi</v>
      </c>
      <c r="D138" s="5" t="str">
        <f ca="1">IFERROR(__xludf.DUMMYFUNCTION("""COMPUTED_VALUE"""),"Seven Classic Slot")</f>
        <v>Seven Classic Slot</v>
      </c>
      <c r="E138" s="5" t="str">
        <f ca="1">IFERROR(__xludf.DUMMYFUNCTION("""COMPUTED_VALUE"""),"V2")</f>
        <v>V2</v>
      </c>
      <c r="F138" s="5" t="str">
        <f ca="1">IFERROR(__xludf.DUMMYFUNCTION("""COMPUTED_VALUE"""),"SevenClassicHot")</f>
        <v>SevenClassicHot</v>
      </c>
      <c r="G138" s="5" t="str">
        <f ca="1">IFERROR(__xludf.DUMMYFUNCTION("""COMPUTED_VALUE"""),"Live")</f>
        <v>Live</v>
      </c>
      <c r="H138" s="5"/>
      <c r="I138" s="5" t="str">
        <f ca="1">IFERROR(__xludf.DUMMYFUNCTION("""COMPUTED_VALUE"""),"V2")</f>
        <v>V2</v>
      </c>
      <c r="J138" s="5" t="str">
        <f ca="1">IFERROR(__xludf.DUMMYFUNCTION("""COMPUTED_VALUE"""),"Binary")</f>
        <v>Binary</v>
      </c>
      <c r="K138" s="5" t="str">
        <f ca="1">IFERROR(__xludf.DUMMYFUNCTION("""COMPUTED_VALUE"""),"Slot")</f>
        <v>Slot</v>
      </c>
      <c r="L138" s="5"/>
      <c r="M138" s="5"/>
      <c r="N138" s="5"/>
      <c r="O138" s="5"/>
      <c r="P138" s="14">
        <f ca="1">IFERROR(__xludf.DUMMYFUNCTION("""COMPUTED_VALUE"""),17)</f>
        <v>17</v>
      </c>
      <c r="Q138" s="5"/>
      <c r="R138" s="5"/>
      <c r="S138" s="15">
        <f ca="1">IFERROR(__xludf.DUMMYFUNCTION("""COMPUTED_VALUE"""),44547)</f>
        <v>44547</v>
      </c>
      <c r="T138" s="5"/>
      <c r="U138" s="5" t="str">
        <f ca="1">IFERROR(__xludf.DUMMYFUNCTION("""COMPUTED_VALUE"""),"5x3")</f>
        <v>5x3</v>
      </c>
      <c r="V138" s="12" t="str">
        <f ca="1">IFERROR(__xludf.DUMMYFUNCTION("""COMPUTED_VALUE"""),"20")</f>
        <v>20</v>
      </c>
      <c r="W138" s="12" t="str">
        <f ca="1">IFERROR(__xludf.DUMMYFUNCTION("""COMPUTED_VALUE"""),"1,3,5,9,10,20")</f>
        <v>1,3,5,9,10,20</v>
      </c>
      <c r="X138" s="5">
        <f ca="1">IFERROR(__xludf.DUMMYFUNCTION("""COMPUTED_VALUE"""),96.134)</f>
        <v>96.134</v>
      </c>
      <c r="Y138" s="5" t="str">
        <f ca="1">IFERROR(__xludf.DUMMYFUNCTION("""COMPUTED_VALUE"""),"High")</f>
        <v>High</v>
      </c>
      <c r="Z138" s="5">
        <f ca="1">IFERROR(__xludf.DUMMYFUNCTION("""COMPUTED_VALUE"""),26.95)</f>
        <v>26.95</v>
      </c>
      <c r="AA138" s="14">
        <f ca="1">IFERROR(__xludf.DUMMYFUNCTION("""COMPUTED_VALUE"""),4200)</f>
        <v>4200</v>
      </c>
      <c r="AB138" s="5">
        <f ca="1">IFERROR(__xludf.DUMMYFUNCTION("""COMPUTED_VALUE"""),190)</f>
        <v>190</v>
      </c>
      <c r="AC138" s="5" t="str">
        <f ca="1">IFERROR(__xludf.DUMMYFUNCTION("""COMPUTED_VALUE"""),"Wild Symbol, Bonus Game with Free Spins")</f>
        <v>Wild Symbol, Bonus Game with Free Spins</v>
      </c>
      <c r="AD138" s="5" t="str">
        <f ca="1">IFERROR(__xludf.DUMMYFUNCTION("""COMPUTED_VALUE"""),"0.2/80")</f>
        <v>0.2/80</v>
      </c>
      <c r="AE138" s="5"/>
      <c r="AF138" s="5"/>
      <c r="AG138" s="10">
        <f ca="1">IFERROR(__xludf.DUMMYFUNCTION("""COMPUTED_VALUE"""),46162.4927662037)</f>
        <v>46162.492766203701</v>
      </c>
      <c r="AH138" s="5" t="str">
        <f ca="1">IFERROR(__xludf.DUMMYFUNCTION("""COMPUTED_VALUE"""),"petra.ilic@fazi.rs")</f>
        <v>petra.ilic@fazi.rs</v>
      </c>
      <c r="AI138" s="5"/>
      <c r="AJ138" s="5"/>
      <c r="AK138" s="5">
        <f ca="1">IFERROR(__xludf.DUMMYFUNCTION("""COMPUTED_VALUE"""),20)</f>
        <v>20</v>
      </c>
      <c r="AL138" s="5" t="str">
        <f ca="1">IFERROR(__xludf.DUMMYFUNCTION("""COMPUTED_VALUE"""),"Yes")</f>
        <v>Yes</v>
      </c>
      <c r="AM138" s="5"/>
      <c r="AN138" s="7" t="str">
        <f ca="1">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AO138" s="5"/>
      <c r="AP138" s="5"/>
      <c r="AQ138" s="5" t="b">
        <f ca="1">IFERROR(__xludf.DUMMYFUNCTION("""COMPUTED_VALUE"""),TRUE)</f>
        <v>1</v>
      </c>
      <c r="AR138" s="5"/>
      <c r="AS138" s="5" t="str">
        <f ca="1">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AT138" s="5"/>
      <c r="AU138" s="5" t="str">
        <f ca="1">IFERROR(__xludf.DUMMYFUNCTION("""COMPUTED_VALUE"""),"Fazi")</f>
        <v>Fazi</v>
      </c>
      <c r="AV138" s="5"/>
      <c r="AW138" s="5"/>
      <c r="AX138" s="5"/>
      <c r="AY138" s="5"/>
      <c r="AZ138" s="5"/>
      <c r="BA138" s="5"/>
      <c r="BB138" s="5"/>
      <c r="BC138" s="5" t="str">
        <f ca="1">IFERROR(__xludf.DUMMYFUNCTION("""COMPUTED_VALUE"""),"Foxi")</f>
        <v>Foxi</v>
      </c>
      <c r="BD138" s="7" t="str">
        <f ca="1">IFERROR(__xludf.DUMMYFUNCTION("""COMPUTED_VALUE"""),"https://gameserver-store-client-area.orbionlimited.com/Home/IntegrationGameLaunch/client-area?moneyType=0&amp;gameName=SevenClassicHot&amp;platform=desktop&amp;languageCode=eng&amp;currency=EUR")</f>
        <v>https://gameserver-store-client-area.orbionlimited.com/Home/IntegrationGameLaunch/client-area?moneyType=0&amp;gameName=SevenClassicHot&amp;platform=desktop&amp;languageCode=eng&amp;currency=EUR</v>
      </c>
      <c r="BE138" s="5" t="b">
        <f ca="1">IFERROR(__xludf.DUMMYFUNCTION("""COMPUTED_VALUE"""),TRUE)</f>
        <v>1</v>
      </c>
    </row>
    <row r="139" spans="1:57" x14ac:dyDescent="0.25">
      <c r="A139" s="5">
        <f ca="1">IFERROR(__xludf.DUMMYFUNCTION("""COMPUTED_VALUE"""),139)</f>
        <v>139</v>
      </c>
      <c r="B139" s="5">
        <f ca="1">IFERROR(__xludf.DUMMYFUNCTION("""COMPUTED_VALUE"""),138)</f>
        <v>138</v>
      </c>
      <c r="C139" s="5" t="str">
        <f ca="1">IFERROR(__xludf.DUMMYFUNCTION("""COMPUTED_VALUE"""),"Fazi")</f>
        <v>Fazi</v>
      </c>
      <c r="D139" s="5" t="str">
        <f ca="1">IFERROR(__xludf.DUMMYFUNCTION("""COMPUTED_VALUE"""),"Turbo Hot 100")</f>
        <v>Turbo Hot 100</v>
      </c>
      <c r="E139" s="5" t="str">
        <f ca="1">IFERROR(__xludf.DUMMYFUNCTION("""COMPUTED_VALUE"""),"V2")</f>
        <v>V2</v>
      </c>
      <c r="F139" s="5" t="str">
        <f ca="1">IFERROR(__xludf.DUMMYFUNCTION("""COMPUTED_VALUE"""),"TurboHot100")</f>
        <v>TurboHot100</v>
      </c>
      <c r="G139" s="5" t="str">
        <f ca="1">IFERROR(__xludf.DUMMYFUNCTION("""COMPUTED_VALUE"""),"Live")</f>
        <v>Live</v>
      </c>
      <c r="H139" s="5"/>
      <c r="I139" s="5" t="str">
        <f ca="1">IFERROR(__xludf.DUMMYFUNCTION("""COMPUTED_VALUE"""),"V2")</f>
        <v>V2</v>
      </c>
      <c r="J139" s="5" t="str">
        <f ca="1">IFERROR(__xludf.DUMMYFUNCTION("""COMPUTED_VALUE"""),"JSON")</f>
        <v>JSON</v>
      </c>
      <c r="K139" s="5" t="str">
        <f ca="1">IFERROR(__xludf.DUMMYFUNCTION("""COMPUTED_VALUE"""),"Slot")</f>
        <v>Slot</v>
      </c>
      <c r="L139" s="5" t="str">
        <f ca="1">IFERROR(__xludf.DUMMYFUNCTION("""COMPUTED_VALUE"""),"Clone")</f>
        <v>Clone</v>
      </c>
      <c r="M139" s="5" t="str">
        <f ca="1">IFERROR(__xludf.DUMMYFUNCTION("""COMPUTED_VALUE"""),"Turbo Hot 40")</f>
        <v>Turbo Hot 40</v>
      </c>
      <c r="N139" s="5"/>
      <c r="O139" s="5"/>
      <c r="P139" s="14">
        <f ca="1">IFERROR(__xludf.DUMMYFUNCTION("""COMPUTED_VALUE"""),22.5)</f>
        <v>22.5</v>
      </c>
      <c r="Q139" s="5"/>
      <c r="R139" s="5"/>
      <c r="S139" s="15">
        <f ca="1">IFERROR(__xludf.DUMMYFUNCTION("""COMPUTED_VALUE"""),44524)</f>
        <v>44524</v>
      </c>
      <c r="T139" s="5" t="b">
        <f ca="1">IFERROR(__xludf.DUMMYFUNCTION("""COMPUTED_VALUE"""),TRUE)</f>
        <v>1</v>
      </c>
      <c r="U139" s="5" t="str">
        <f ca="1">IFERROR(__xludf.DUMMYFUNCTION("""COMPUTED_VALUE"""),"5x4")</f>
        <v>5x4</v>
      </c>
      <c r="V139" s="12" t="str">
        <f ca="1">IFERROR(__xludf.DUMMYFUNCTION("""COMPUTED_VALUE"""),"100")</f>
        <v>100</v>
      </c>
      <c r="W139" s="12" t="str">
        <f ca="1">IFERROR(__xludf.DUMMYFUNCTION("""COMPUTED_VALUE"""),"100")</f>
        <v>100</v>
      </c>
      <c r="X139" s="5">
        <f ca="1">IFERROR(__xludf.DUMMYFUNCTION("""COMPUTED_VALUE"""),96.584)</f>
        <v>96.584000000000003</v>
      </c>
      <c r="Y139" s="5" t="str">
        <f ca="1">IFERROR(__xludf.DUMMYFUNCTION("""COMPUTED_VALUE"""),"Low")</f>
        <v>Low</v>
      </c>
      <c r="Z139" s="5">
        <f ca="1">IFERROR(__xludf.DUMMYFUNCTION("""COMPUTED_VALUE"""),20.81)</f>
        <v>20.81</v>
      </c>
      <c r="AA139" s="14">
        <f ca="1">IFERROR(__xludf.DUMMYFUNCTION("""COMPUTED_VALUE"""),1000)</f>
        <v>1000</v>
      </c>
      <c r="AB139" s="5" t="str">
        <f ca="1">IFERROR(__xludf.DUMMYFUNCTION("""COMPUTED_VALUE"""),"/")</f>
        <v>/</v>
      </c>
      <c r="AC139" s="5" t="str">
        <f ca="1">IFERROR(__xludf.DUMMYFUNCTION("""COMPUTED_VALUE"""),"Wild Symbol, Scatter")</f>
        <v>Wild Symbol, Scatter</v>
      </c>
      <c r="AD139" s="5" t="str">
        <f ca="1">IFERROR(__xludf.DUMMYFUNCTION("""COMPUTED_VALUE"""),"1/100")</f>
        <v>1/100</v>
      </c>
      <c r="AE139" s="5"/>
      <c r="AF139" s="5"/>
      <c r="AG139" s="10">
        <f ca="1">IFERROR(__xludf.DUMMYFUNCTION("""COMPUTED_VALUE"""),46083.6840046296)</f>
        <v>46083.684004629598</v>
      </c>
      <c r="AH139" s="5" t="str">
        <f ca="1">IFERROR(__xludf.DUMMYFUNCTION("""COMPUTED_VALUE"""),"milutin.toskic@fazi.rs")</f>
        <v>milutin.toskic@fazi.rs</v>
      </c>
      <c r="AI139" s="5"/>
      <c r="AJ139" s="5"/>
      <c r="AK139" s="5">
        <f ca="1">IFERROR(__xludf.DUMMYFUNCTION("""COMPUTED_VALUE"""),100)</f>
        <v>100</v>
      </c>
      <c r="AL139" s="5" t="str">
        <f ca="1">IFERROR(__xludf.DUMMYFUNCTION("""COMPUTED_VALUE"""),"Yes")</f>
        <v>Yes</v>
      </c>
      <c r="AM139" s="5"/>
      <c r="AN139" s="7" t="str">
        <f ca="1">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AO139" s="5" t="str">
        <f ca="1">IFERROR(__xludf.DUMMYFUNCTION("""COMPUTED_VALUE"""),"Yes")</f>
        <v>Yes</v>
      </c>
      <c r="AP139" s="5"/>
      <c r="AQ139" s="5" t="b">
        <f ca="1">IFERROR(__xludf.DUMMYFUNCTION("""COMPUTED_VALUE"""),TRUE)</f>
        <v>1</v>
      </c>
      <c r="AR139" s="5"/>
      <c r="AS139" s="5" t="str">
        <f ca="1">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AT139" s="5"/>
      <c r="AU139" s="5" t="str">
        <f ca="1">IFERROR(__xludf.DUMMYFUNCTION("""COMPUTED_VALUE"""),"Fazi")</f>
        <v>Fazi</v>
      </c>
      <c r="AV139" s="5"/>
      <c r="AW139" s="5"/>
      <c r="AX139" s="5"/>
      <c r="AY139" s="5"/>
      <c r="AZ139" s="5"/>
      <c r="BA139" s="5" t="str">
        <f ca="1">IFERROR(__xludf.DUMMYFUNCTION("""COMPUTED_VALUE"""),"")</f>
        <v/>
      </c>
      <c r="BB139" s="5"/>
      <c r="BC139" s="5" t="str">
        <f ca="1">IFERROR(__xludf.DUMMYFUNCTION("""COMPUTED_VALUE"""),"Foxi")</f>
        <v>Foxi</v>
      </c>
      <c r="BD139" s="7" t="str">
        <f ca="1">IFERROR(__xludf.DUMMYFUNCTION("""COMPUTED_VALUE"""),"https://gameserver-store-client-area.orbionlimited.com/Home/IntegrationGameLaunch/client-area?moneyType=0&amp;gameName=TurboHot100&amp;platform=desktop&amp;languageCode=eng&amp;currency=EUR")</f>
        <v>https://gameserver-store-client-area.orbionlimited.com/Home/IntegrationGameLaunch/client-area?moneyType=0&amp;gameName=TurboHot100&amp;platform=desktop&amp;languageCode=eng&amp;currency=EUR</v>
      </c>
      <c r="BE139" s="5" t="b">
        <f ca="1">IFERROR(__xludf.DUMMYFUNCTION("""COMPUTED_VALUE"""),TRUE)</f>
        <v>1</v>
      </c>
    </row>
    <row r="140" spans="1:57" x14ac:dyDescent="0.25">
      <c r="A140" s="5">
        <f ca="1">IFERROR(__xludf.DUMMYFUNCTION("""COMPUTED_VALUE"""),140)</f>
        <v>140</v>
      </c>
      <c r="B140" s="5">
        <f ca="1">IFERROR(__xludf.DUMMYFUNCTION("""COMPUTED_VALUE"""),139)</f>
        <v>139</v>
      </c>
      <c r="C140" s="5" t="str">
        <f ca="1">IFERROR(__xludf.DUMMYFUNCTION("""COMPUTED_VALUE"""),"Fazi")</f>
        <v>Fazi</v>
      </c>
      <c r="D140" s="5" t="str">
        <f ca="1">IFERROR(__xludf.DUMMYFUNCTION("""COMPUTED_VALUE"""),"Bonus Bells")</f>
        <v>Bonus Bells</v>
      </c>
      <c r="E140" s="5" t="str">
        <f ca="1">IFERROR(__xludf.DUMMYFUNCTION("""COMPUTED_VALUE"""),"V4-1")</f>
        <v>V4-1</v>
      </c>
      <c r="F140" s="5" t="str">
        <f ca="1">IFERROR(__xludf.DUMMYFUNCTION("""COMPUTED_VALUE"""),"BonusBells")</f>
        <v>BonusBells</v>
      </c>
      <c r="G140" s="5" t="str">
        <f ca="1">IFERROR(__xludf.DUMMYFUNCTION("""COMPUTED_VALUE"""),"Live")</f>
        <v>Live</v>
      </c>
      <c r="H140" s="5"/>
      <c r="I140" s="5" t="str">
        <f ca="1">IFERROR(__xludf.DUMMYFUNCTION("""COMPUTED_VALUE"""),"V4")</f>
        <v>V4</v>
      </c>
      <c r="J140" s="5" t="str">
        <f ca="1">IFERROR(__xludf.DUMMYFUNCTION("""COMPUTED_VALUE"""),"JSON")</f>
        <v>JSON</v>
      </c>
      <c r="K140" s="5" t="str">
        <f ca="1">IFERROR(__xludf.DUMMYFUNCTION("""COMPUTED_VALUE"""),"Slot")</f>
        <v>Slot</v>
      </c>
      <c r="L140" s="5"/>
      <c r="M140" s="5"/>
      <c r="N140" s="5"/>
      <c r="O140" s="5"/>
      <c r="P140" s="14">
        <f ca="1">IFERROR(__xludf.DUMMYFUNCTION("""COMPUTED_VALUE"""),231)</f>
        <v>231</v>
      </c>
      <c r="Q140" s="5"/>
      <c r="R140" s="5"/>
      <c r="S140" s="15">
        <f ca="1">IFERROR(__xludf.DUMMYFUNCTION("""COMPUTED_VALUE"""),44880)</f>
        <v>44880</v>
      </c>
      <c r="T140" s="5" t="b">
        <f ca="1">IFERROR(__xludf.DUMMYFUNCTION("""COMPUTED_VALUE"""),TRUE)</f>
        <v>1</v>
      </c>
      <c r="U140" s="5" t="str">
        <f ca="1">IFERROR(__xludf.DUMMYFUNCTION("""COMPUTED_VALUE"""),"5x3")</f>
        <v>5x3</v>
      </c>
      <c r="V140" s="12" t="str">
        <f ca="1">IFERROR(__xludf.DUMMYFUNCTION("""COMPUTED_VALUE"""),"10")</f>
        <v>10</v>
      </c>
      <c r="W140" s="12" t="str">
        <f ca="1">IFERROR(__xludf.DUMMYFUNCTION("""COMPUTED_VALUE"""),"10")</f>
        <v>10</v>
      </c>
      <c r="X140" s="5">
        <f ca="1">IFERROR(__xludf.DUMMYFUNCTION("""COMPUTED_VALUE"""),96.247)</f>
        <v>96.247</v>
      </c>
      <c r="Y140" s="5" t="str">
        <f ca="1">IFERROR(__xludf.DUMMYFUNCTION("""COMPUTED_VALUE"""),"High")</f>
        <v>High</v>
      </c>
      <c r="Z140" s="5">
        <f ca="1">IFERROR(__xludf.DUMMYFUNCTION("""COMPUTED_VALUE"""),12.636)</f>
        <v>12.635999999999999</v>
      </c>
      <c r="AA140" s="14">
        <f ca="1">IFERROR(__xludf.DUMMYFUNCTION("""COMPUTED_VALUE"""),12104)</f>
        <v>12104</v>
      </c>
      <c r="AB140" s="5">
        <f ca="1">IFERROR(__xludf.DUMMYFUNCTION("""COMPUTED_VALUE"""),309)</f>
        <v>309</v>
      </c>
      <c r="AC140" s="5" t="str">
        <f ca="1">IFERROR(__xludf.DUMMYFUNCTION("""COMPUTED_VALUE"""),"Buy Bonus, Wild Symbol, Expanding Wild, Bonus Game with Free Spins")</f>
        <v>Buy Bonus, Wild Symbol, Expanding Wild, Bonus Game with Free Spins</v>
      </c>
      <c r="AD140" s="5" t="str">
        <f ca="1">IFERROR(__xludf.DUMMYFUNCTION("""COMPUTED_VALUE"""),"0.1/40")</f>
        <v>0.1/40</v>
      </c>
      <c r="AE140" s="5"/>
      <c r="AF140" s="5"/>
      <c r="AG140" s="10">
        <f ca="1">IFERROR(__xludf.DUMMYFUNCTION("""COMPUTED_VALUE"""),46162.4184375)</f>
        <v>46162.418437499997</v>
      </c>
      <c r="AH140" s="5" t="str">
        <f ca="1">IFERROR(__xludf.DUMMYFUNCTION("""COMPUTED_VALUE"""),"djordje.petrovic@fazi.rs")</f>
        <v>djordje.petrovic@fazi.rs</v>
      </c>
      <c r="AI140" s="5"/>
      <c r="AJ140" s="5"/>
      <c r="AK140" s="5">
        <f ca="1">IFERROR(__xludf.DUMMYFUNCTION("""COMPUTED_VALUE"""),10)</f>
        <v>10</v>
      </c>
      <c r="AL140" s="5" t="str">
        <f ca="1">IFERROR(__xludf.DUMMYFUNCTION("""COMPUTED_VALUE"""),"Yes")</f>
        <v>Yes</v>
      </c>
      <c r="AM140" s="5"/>
      <c r="AN140" s="7" t="str">
        <f ca="1">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AO140" s="5" t="str">
        <f ca="1">IFERROR(__xludf.DUMMYFUNCTION("""COMPUTED_VALUE"""),"Yes")</f>
        <v>Yes</v>
      </c>
      <c r="AP140" s="5" t="str">
        <f ca="1">IFERROR(__xludf.DUMMYFUNCTION("""COMPUTED_VALUE"""),"Yes")</f>
        <v>Yes</v>
      </c>
      <c r="AQ140" s="5" t="b">
        <f ca="1">IFERROR(__xludf.DUMMYFUNCTION("""COMPUTED_VALUE"""),TRUE)</f>
        <v>1</v>
      </c>
      <c r="AR140" s="5"/>
      <c r="AS140" s="5" t="str">
        <f ca="1">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AT140" s="5" t="str">
        <f ca="1">IFERROR(__xludf.DUMMYFUNCTION("""COMPUTED_VALUE"""),"Yes")</f>
        <v>Yes</v>
      </c>
      <c r="AU140" s="5" t="str">
        <f ca="1">IFERROR(__xludf.DUMMYFUNCTION("""COMPUTED_VALUE"""),"Fazi")</f>
        <v>Fazi</v>
      </c>
      <c r="AV140" s="5"/>
      <c r="AW140" s="5"/>
      <c r="AX140" s="5"/>
      <c r="AY140" s="5"/>
      <c r="AZ140" s="5"/>
      <c r="BA140" s="5">
        <f ca="1">IFERROR(__xludf.DUMMYFUNCTION("""COMPUTED_VALUE"""),86)</f>
        <v>86</v>
      </c>
      <c r="BB140" s="5"/>
      <c r="BC140" s="5" t="str">
        <f ca="1">IFERROR(__xludf.DUMMYFUNCTION("""COMPUTED_VALUE"""),"Foxi")</f>
        <v>Foxi</v>
      </c>
      <c r="BD140" s="7" t="str">
        <f ca="1">IFERROR(__xludf.DUMMYFUNCTION("""COMPUTED_VALUE"""),"https://gameserver-store-client-area.orbionlimited.com/Home/IntegrationGameLaunch/client-area?moneyType=0&amp;gameName=BonusBells&amp;platform=desktop&amp;languageCode=eng&amp;currency=EUR")</f>
        <v>https://gameserver-store-client-area.orbionlimited.com/Home/IntegrationGameLaunch/client-area?moneyType=0&amp;gameName=BonusBells&amp;platform=desktop&amp;languageCode=eng&amp;currency=EUR</v>
      </c>
      <c r="BE140" s="5" t="b">
        <f ca="1">IFERROR(__xludf.DUMMYFUNCTION("""COMPUTED_VALUE"""),TRUE)</f>
        <v>1</v>
      </c>
    </row>
    <row r="141" spans="1:57" x14ac:dyDescent="0.25">
      <c r="A141" s="5">
        <f ca="1">IFERROR(__xludf.DUMMYFUNCTION("""COMPUTED_VALUE"""),141)</f>
        <v>141</v>
      </c>
      <c r="B141" s="5">
        <f ca="1">IFERROR(__xludf.DUMMYFUNCTION("""COMPUTED_VALUE"""),140)</f>
        <v>140</v>
      </c>
      <c r="C141" s="5" t="str">
        <f ca="1">IFERROR(__xludf.DUMMYFUNCTION("""COMPUTED_VALUE"""),"Fazi")</f>
        <v>Fazi</v>
      </c>
      <c r="D141" s="5" t="str">
        <f ca="1">IFERROR(__xludf.DUMMYFUNCTION("""COMPUTED_VALUE"""),"Fruity Hot")</f>
        <v>Fruity Hot</v>
      </c>
      <c r="E141" s="5" t="str">
        <f ca="1">IFERROR(__xludf.DUMMYFUNCTION("""COMPUTED_VALUE"""),"V2")</f>
        <v>V2</v>
      </c>
      <c r="F141" s="5" t="str">
        <f ca="1">IFERROR(__xludf.DUMMYFUNCTION("""COMPUTED_VALUE"""),"FruityHot")</f>
        <v>FruityHot</v>
      </c>
      <c r="G141" s="5" t="str">
        <f ca="1">IFERROR(__xludf.DUMMYFUNCTION("""COMPUTED_VALUE"""),"Live")</f>
        <v>Live</v>
      </c>
      <c r="H141" s="5"/>
      <c r="I141" s="5" t="str">
        <f ca="1">IFERROR(__xludf.DUMMYFUNCTION("""COMPUTED_VALUE"""),"V2")</f>
        <v>V2</v>
      </c>
      <c r="J141" s="5" t="str">
        <f ca="1">IFERROR(__xludf.DUMMYFUNCTION("""COMPUTED_VALUE"""),"JSON")</f>
        <v>JSON</v>
      </c>
      <c r="K141" s="5" t="str">
        <f ca="1">IFERROR(__xludf.DUMMYFUNCTION("""COMPUTED_VALUE"""),"Slot")</f>
        <v>Slot</v>
      </c>
      <c r="L141" s="5" t="str">
        <f ca="1">IFERROR(__xludf.DUMMYFUNCTION("""COMPUTED_VALUE"""),"Clone")</f>
        <v>Clone</v>
      </c>
      <c r="M141" s="5" t="str">
        <f ca="1">IFERROR(__xludf.DUMMYFUNCTION("""COMPUTED_VALUE"""),"Fruits and Stars")</f>
        <v>Fruits and Stars</v>
      </c>
      <c r="N141" s="5"/>
      <c r="O141" s="5"/>
      <c r="P141" s="14">
        <f ca="1">IFERROR(__xludf.DUMMYFUNCTION("""COMPUTED_VALUE"""),13.9)</f>
        <v>13.9</v>
      </c>
      <c r="Q141" s="5"/>
      <c r="R141" s="5"/>
      <c r="S141" s="15">
        <f ca="1">IFERROR(__xludf.DUMMYFUNCTION("""COMPUTED_VALUE"""),44539)</f>
        <v>44539</v>
      </c>
      <c r="T141" s="5"/>
      <c r="U141" s="5" t="str">
        <f ca="1">IFERROR(__xludf.DUMMYFUNCTION("""COMPUTED_VALUE"""),"5x3")</f>
        <v>5x3</v>
      </c>
      <c r="V141" s="12" t="str">
        <f ca="1">IFERROR(__xludf.DUMMYFUNCTION("""COMPUTED_VALUE"""),"20")</f>
        <v>20</v>
      </c>
      <c r="W141" s="12" t="str">
        <f ca="1">IFERROR(__xludf.DUMMYFUNCTION("""COMPUTED_VALUE"""),"1,3,5,9,10,15,20")</f>
        <v>1,3,5,9,10,15,20</v>
      </c>
      <c r="X141" s="5">
        <f ca="1">IFERROR(__xludf.DUMMYFUNCTION("""COMPUTED_VALUE"""),95.79)</f>
        <v>95.79</v>
      </c>
      <c r="Y141" s="5" t="str">
        <f ca="1">IFERROR(__xludf.DUMMYFUNCTION("""COMPUTED_VALUE"""),"Low")</f>
        <v>Low</v>
      </c>
      <c r="Z141" s="5">
        <f ca="1">IFERROR(__xludf.DUMMYFUNCTION("""COMPUTED_VALUE"""),16.1899999999999)</f>
        <v>16.189999999999898</v>
      </c>
      <c r="AA141" s="14">
        <f ca="1">IFERROR(__xludf.DUMMYFUNCTION("""COMPUTED_VALUE"""),1000)</f>
        <v>1000</v>
      </c>
      <c r="AB141" s="5" t="str">
        <f ca="1">IFERROR(__xludf.DUMMYFUNCTION("""COMPUTED_VALUE"""),"/")</f>
        <v>/</v>
      </c>
      <c r="AC141" s="5" t="str">
        <f ca="1">IFERROR(__xludf.DUMMYFUNCTION("""COMPUTED_VALUE"""),"Wild Symbol, Scatter")</f>
        <v>Wild Symbol, Scatter</v>
      </c>
      <c r="AD141" s="5" t="str">
        <f ca="1">IFERROR(__xludf.DUMMYFUNCTION("""COMPUTED_VALUE"""),"0.2/50")</f>
        <v>0.2/50</v>
      </c>
      <c r="AE141" s="5"/>
      <c r="AF141" s="5"/>
      <c r="AG141" s="10">
        <f ca="1">IFERROR(__xludf.DUMMYFUNCTION("""COMPUTED_VALUE"""),46104.4262962963)</f>
        <v>46104.426296296297</v>
      </c>
      <c r="AH141" s="5" t="str">
        <f ca="1">IFERROR(__xludf.DUMMYFUNCTION("""COMPUTED_VALUE"""),"marko.tepavac@fazi.rs")</f>
        <v>marko.tepavac@fazi.rs</v>
      </c>
      <c r="AI141" s="5"/>
      <c r="AJ141" s="5"/>
      <c r="AK141" s="5">
        <f ca="1">IFERROR(__xludf.DUMMYFUNCTION("""COMPUTED_VALUE"""),20)</f>
        <v>20</v>
      </c>
      <c r="AL141" s="5" t="str">
        <f ca="1">IFERROR(__xludf.DUMMYFUNCTION("""COMPUTED_VALUE"""),"Yes")</f>
        <v>Yes</v>
      </c>
      <c r="AM141" s="5"/>
      <c r="AN141" s="7" t="str">
        <f ca="1">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AO141" s="5" t="str">
        <f ca="1">IFERROR(__xludf.DUMMYFUNCTION("""COMPUTED_VALUE"""),"Yes")</f>
        <v>Yes</v>
      </c>
      <c r="AP141" s="5" t="str">
        <f ca="1">IFERROR(__xludf.DUMMYFUNCTION("""COMPUTED_VALUE"""),"Yes")</f>
        <v>Yes</v>
      </c>
      <c r="AQ141" s="5" t="b">
        <f ca="1">IFERROR(__xludf.DUMMYFUNCTION("""COMPUTED_VALUE"""),TRUE)</f>
        <v>1</v>
      </c>
      <c r="AR141" s="5"/>
      <c r="AS141" s="5" t="str">
        <f ca="1">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41" s="5" t="str">
        <f ca="1">IFERROR(__xludf.DUMMYFUNCTION("""COMPUTED_VALUE"""),"No")</f>
        <v>No</v>
      </c>
      <c r="AU141" s="5" t="str">
        <f ca="1">IFERROR(__xludf.DUMMYFUNCTION("""COMPUTED_VALUE"""),"Fazi")</f>
        <v>Fazi</v>
      </c>
      <c r="AV141" s="5"/>
      <c r="AW141" s="5"/>
      <c r="AX141" s="5"/>
      <c r="AY141" s="5" t="str">
        <f ca="1">IFERROR(__xludf.DUMMYFUNCTION("""COMPUTED_VALUE"""),"87.5%, 89.5%, 91.5%, 93.5%, 94.5%, 95.5%, 96.5%")</f>
        <v>87.5%, 89.5%, 91.5%, 93.5%, 94.5%, 95.5%, 96.5%</v>
      </c>
      <c r="AZ141" s="5"/>
      <c r="BA141" s="5" t="str">
        <f ca="1">IFERROR(__xludf.DUMMYFUNCTION("""COMPUTED_VALUE"""),"")</f>
        <v/>
      </c>
      <c r="BB141" s="5"/>
      <c r="BC141" s="5" t="str">
        <f ca="1">IFERROR(__xludf.DUMMYFUNCTION("""COMPUTED_VALUE"""),"Foxi")</f>
        <v>Foxi</v>
      </c>
      <c r="BD141" s="7" t="str">
        <f ca="1">IFERROR(__xludf.DUMMYFUNCTION("""COMPUTED_VALUE"""),"https://gameserver-store-client-area.orbionlimited.com/Home/IntegrationGameLaunch/client-area?moneyType=0&amp;gameName=FruityHot&amp;platform=desktop&amp;languageCode=eng&amp;currency=EUR")</f>
        <v>https://gameserver-store-client-area.orbionlimited.com/Home/IntegrationGameLaunch/client-area?moneyType=0&amp;gameName=FruityHot&amp;platform=desktop&amp;languageCode=eng&amp;currency=EUR</v>
      </c>
      <c r="BE141" s="5" t="b">
        <f ca="1">IFERROR(__xludf.DUMMYFUNCTION("""COMPUTED_VALUE"""),TRUE)</f>
        <v>1</v>
      </c>
    </row>
    <row r="142" spans="1:57" x14ac:dyDescent="0.25">
      <c r="A142" s="5">
        <f ca="1">IFERROR(__xludf.DUMMYFUNCTION("""COMPUTED_VALUE"""),142)</f>
        <v>142</v>
      </c>
      <c r="B142" s="5">
        <f ca="1">IFERROR(__xludf.DUMMYFUNCTION("""COMPUTED_VALUE"""),141)</f>
        <v>141</v>
      </c>
      <c r="C142" s="5" t="str">
        <f ca="1">IFERROR(__xludf.DUMMYFUNCTION("""COMPUTED_VALUE"""),"Redstone")</f>
        <v>Redstone</v>
      </c>
      <c r="D142" s="5" t="str">
        <f ca="1">IFERROR(__xludf.DUMMYFUNCTION("""COMPUTED_VALUE"""),"Action Hot 40")</f>
        <v>Action Hot 40</v>
      </c>
      <c r="E142" s="5" t="str">
        <f ca="1">IFERROR(__xludf.DUMMYFUNCTION("""COMPUTED_VALUE"""),"Redstone")</f>
        <v>Redstone</v>
      </c>
      <c r="F142" s="5" t="str">
        <f ca="1">IFERROR(__xludf.DUMMYFUNCTION("""COMPUTED_VALUE"""),"ActionHot40")</f>
        <v>ActionHot40</v>
      </c>
      <c r="G142" s="5" t="str">
        <f ca="1">IFERROR(__xludf.DUMMYFUNCTION("""COMPUTED_VALUE"""),"Live")</f>
        <v>Live</v>
      </c>
      <c r="H142" s="5"/>
      <c r="I142" s="5" t="str">
        <f ca="1">IFERROR(__xludf.DUMMYFUNCTION("""COMPUTED_VALUE"""),"Redstone")</f>
        <v>Redstone</v>
      </c>
      <c r="J142" s="5" t="str">
        <f ca="1">IFERROR(__xludf.DUMMYFUNCTION("""COMPUTED_VALUE"""),"JSON")</f>
        <v>JSON</v>
      </c>
      <c r="K142" s="5" t="str">
        <f ca="1">IFERROR(__xludf.DUMMYFUNCTION("""COMPUTED_VALUE"""),"Slot")</f>
        <v>Slot</v>
      </c>
      <c r="L142" s="5" t="str">
        <f ca="1">IFERROR(__xludf.DUMMYFUNCTION("""COMPUTED_VALUE"""),"Master")</f>
        <v>Master</v>
      </c>
      <c r="M142" s="5"/>
      <c r="N142" s="7" t="str">
        <f ca="1">IFERROR(__xludf.DUMMYFUNCTION("""COMPUTED_VALUE"""),"https://docs.google.com/document/d/1nwnNzfl7oxEDxlJw4311vi-yBfC_ahNs/edit?usp=drive_link&amp;ouid=107596163405648766688&amp;rtpof=true&amp;sd=true")</f>
        <v>https://docs.google.com/document/d/1nwnNzfl7oxEDxlJw4311vi-yBfC_ahNs/edit?usp=drive_link&amp;ouid=107596163405648766688&amp;rtpof=true&amp;sd=true</v>
      </c>
      <c r="O142" s="7" t="str">
        <f ca="1">IFERROR(__xludf.DUMMYFUNCTION("""COMPUTED_VALUE"""),"https://docs.google.com/document/d/18iFKQdk7iCjneYcv34WRQOkNafpeBq1O/edit?usp=drive_link&amp;ouid=107596163405648766688&amp;rtpof=true&amp;sd=true")</f>
        <v>https://docs.google.com/document/d/18iFKQdk7iCjneYcv34WRQOkNafpeBq1O/edit?usp=drive_link&amp;ouid=107596163405648766688&amp;rtpof=true&amp;sd=true</v>
      </c>
      <c r="P142" s="14">
        <f ca="1">IFERROR(__xludf.DUMMYFUNCTION("""COMPUTED_VALUE"""),9.3)</f>
        <v>9.3000000000000007</v>
      </c>
      <c r="Q142" s="5"/>
      <c r="R142" s="5"/>
      <c r="S142" s="15">
        <f ca="1">IFERROR(__xludf.DUMMYFUNCTION("""COMPUTED_VALUE"""),44588)</f>
        <v>44588</v>
      </c>
      <c r="T142" s="5"/>
      <c r="U142" s="5" t="str">
        <f ca="1">IFERROR(__xludf.DUMMYFUNCTION("""COMPUTED_VALUE"""),"5x4")</f>
        <v>5x4</v>
      </c>
      <c r="V142" s="12" t="str">
        <f ca="1">IFERROR(__xludf.DUMMYFUNCTION("""COMPUTED_VALUE"""),"40")</f>
        <v>40</v>
      </c>
      <c r="W142" s="12" t="str">
        <f ca="1">IFERROR(__xludf.DUMMYFUNCTION("""COMPUTED_VALUE"""),"40")</f>
        <v>40</v>
      </c>
      <c r="X142" s="5">
        <f ca="1">IFERROR(__xludf.DUMMYFUNCTION("""COMPUTED_VALUE"""),96.58)</f>
        <v>96.58</v>
      </c>
      <c r="Y142" s="5" t="str">
        <f ca="1">IFERROR(__xludf.DUMMYFUNCTION("""COMPUTED_VALUE"""),"Low")</f>
        <v>Low</v>
      </c>
      <c r="Z142" s="5">
        <f ca="1">IFERROR(__xludf.DUMMYFUNCTION("""COMPUTED_VALUE"""),16.725)</f>
        <v>16.725000000000001</v>
      </c>
      <c r="AA142" s="14">
        <f ca="1">IFERROR(__xludf.DUMMYFUNCTION("""COMPUTED_VALUE"""),1000)</f>
        <v>1000</v>
      </c>
      <c r="AB142" s="5"/>
      <c r="AC142" s="5" t="str">
        <f ca="1">IFERROR(__xludf.DUMMYFUNCTION("""COMPUTED_VALUE"""),"Scatter, Special Wild")</f>
        <v>Scatter, Special Wild</v>
      </c>
      <c r="AD142" s="5" t="str">
        <f ca="1">IFERROR(__xludf.DUMMYFUNCTION("""COMPUTED_VALUE"""),"0.40/60")</f>
        <v>0.40/60</v>
      </c>
      <c r="AE142" s="5"/>
      <c r="AF142" s="5"/>
      <c r="AG142" s="10">
        <f ca="1">IFERROR(__xludf.DUMMYFUNCTION("""COMPUTED_VALUE"""),46157.4463773148)</f>
        <v>46157.446377314802</v>
      </c>
      <c r="AH142" s="5"/>
      <c r="AI142" s="5"/>
      <c r="AJ142" s="5"/>
      <c r="AK142" s="5">
        <f ca="1">IFERROR(__xludf.DUMMYFUNCTION("""COMPUTED_VALUE"""),1)</f>
        <v>1</v>
      </c>
      <c r="AL142" s="5" t="str">
        <f ca="1">IFERROR(__xludf.DUMMYFUNCTION("""COMPUTED_VALUE"""),"No")</f>
        <v>No</v>
      </c>
      <c r="AM142" s="5" t="str">
        <f ca="1">IFERROR(__xludf.DUMMYFUNCTION("""COMPUTED_VALUE"""),"No")</f>
        <v>No</v>
      </c>
      <c r="AN142" s="7" t="str">
        <f ca="1">IFERROR(__xludf.DUMMYFUNCTION("""COMPUTED_VALUE"""),"https://static.redstone.rs/games/action-hot-40/")</f>
        <v>https://static.redstone.rs/games/action-hot-40/</v>
      </c>
      <c r="AO142" s="5" t="str">
        <f ca="1">IFERROR(__xludf.DUMMYFUNCTION("""COMPUTED_VALUE"""),"No")</f>
        <v>No</v>
      </c>
      <c r="AP142" s="5" t="str">
        <f ca="1">IFERROR(__xludf.DUMMYFUNCTION("""COMPUTED_VALUE"""),"No")</f>
        <v>No</v>
      </c>
      <c r="AQ142" s="5" t="b">
        <f ca="1">IFERROR(__xludf.DUMMYFUNCTION("""COMPUTED_VALUE"""),TRUE)</f>
        <v>1</v>
      </c>
      <c r="AR142" s="5"/>
      <c r="AS142" s="5" t="str">
        <f ca="1">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AT142" s="5"/>
      <c r="AU142" s="5" t="str">
        <f ca="1">IFERROR(__xludf.DUMMYFUNCTION("""COMPUTED_VALUE"""),"Redstone")</f>
        <v>Redstone</v>
      </c>
      <c r="AV142" s="5"/>
      <c r="AW142" s="5"/>
      <c r="AX142" s="5"/>
      <c r="AY142" s="5"/>
      <c r="AZ142" s="5"/>
      <c r="BA142" s="5"/>
      <c r="BB142" s="5" t="b">
        <f ca="1">IFERROR(__xludf.DUMMYFUNCTION("""COMPUTED_VALUE"""),TRUE)</f>
        <v>1</v>
      </c>
      <c r="BC142" s="5" t="str">
        <f ca="1">IFERROR(__xludf.DUMMYFUNCTION("""COMPUTED_VALUE"""),"Redstone")</f>
        <v>Redstone</v>
      </c>
      <c r="BD142" s="7" t="str">
        <f ca="1">IFERROR(__xludf.DUMMYFUNCTION("""COMPUTED_VALUE"""),"https://static.redstone.rs/games/action-hot-40/")</f>
        <v>https://static.redstone.rs/games/action-hot-40/</v>
      </c>
      <c r="BE142" s="5" t="b">
        <f ca="1">IFERROR(__xludf.DUMMYFUNCTION("""COMPUTED_VALUE"""),TRUE)</f>
        <v>1</v>
      </c>
    </row>
    <row r="143" spans="1:57" x14ac:dyDescent="0.25">
      <c r="A143" s="5">
        <f ca="1">IFERROR(__xludf.DUMMYFUNCTION("""COMPUTED_VALUE"""),143)</f>
        <v>143</v>
      </c>
      <c r="B143" s="5">
        <f ca="1">IFERROR(__xludf.DUMMYFUNCTION("""COMPUTED_VALUE"""),142)</f>
        <v>142</v>
      </c>
      <c r="C143" s="5" t="str">
        <f ca="1">IFERROR(__xludf.DUMMYFUNCTION("""COMPUTED_VALUE"""),"Fazi")</f>
        <v>Fazi</v>
      </c>
      <c r="D143" s="5" t="str">
        <f ca="1">IFERROR(__xludf.DUMMYFUNCTION("""COMPUTED_VALUE"""),"Turbo Pinn 40")</f>
        <v>Turbo Pinn 40</v>
      </c>
      <c r="E143" s="5" t="str">
        <f ca="1">IFERROR(__xludf.DUMMYFUNCTION("""COMPUTED_VALUE"""),"V2")</f>
        <v>V2</v>
      </c>
      <c r="F143" s="5" t="str">
        <f ca="1">IFERROR(__xludf.DUMMYFUNCTION("""COMPUTED_VALUE"""),"TurboPinn40")</f>
        <v>TurboPinn40</v>
      </c>
      <c r="G143" s="5" t="str">
        <f ca="1">IFERROR(__xludf.DUMMYFUNCTION("""COMPUTED_VALUE"""),"Live")</f>
        <v>Live</v>
      </c>
      <c r="H143" s="5" t="str">
        <f ca="1">IFERROR(__xludf.DUMMYFUNCTION("""COMPUTED_VALUE"""),"Pinbet")</f>
        <v>Pinbet</v>
      </c>
      <c r="I143" s="5" t="str">
        <f ca="1">IFERROR(__xludf.DUMMYFUNCTION("""COMPUTED_VALUE"""),"V2")</f>
        <v>V2</v>
      </c>
      <c r="J143" s="5" t="str">
        <f ca="1">IFERROR(__xludf.DUMMYFUNCTION("""COMPUTED_VALUE"""),"Binary")</f>
        <v>Binary</v>
      </c>
      <c r="K143" s="5" t="str">
        <f ca="1">IFERROR(__xludf.DUMMYFUNCTION("""COMPUTED_VALUE"""),"Slot")</f>
        <v>Slot</v>
      </c>
      <c r="L143" s="5"/>
      <c r="M143" s="5" t="str">
        <f ca="1">IFERROR(__xludf.DUMMYFUNCTION("""COMPUTED_VALUE"""),"Turbo Hot 40")</f>
        <v>Turbo Hot 40</v>
      </c>
      <c r="N143" s="5"/>
      <c r="O143" s="5"/>
      <c r="P143" s="5"/>
      <c r="Q143" s="5"/>
      <c r="R143" s="5"/>
      <c r="S143" s="5"/>
      <c r="T143" s="5"/>
      <c r="U143" s="5"/>
      <c r="V143" s="12" t="str">
        <f ca="1">IFERROR(__xludf.DUMMYFUNCTION("""COMPUTED_VALUE"""),"40")</f>
        <v>40</v>
      </c>
      <c r="W143" s="5"/>
      <c r="X143" s="13">
        <f ca="1">IFERROR(__xludf.DUMMYFUNCTION("""COMPUTED_VALUE"""),96.584)</f>
        <v>96.584000000000003</v>
      </c>
      <c r="Y143" s="5"/>
      <c r="Z143" s="5">
        <f ca="1">IFERROR(__xludf.DUMMYFUNCTION("""COMPUTED_VALUE"""),0)</f>
        <v>0</v>
      </c>
      <c r="AA143" s="5"/>
      <c r="AB143" s="5"/>
      <c r="AC143" s="5"/>
      <c r="AD143" s="5"/>
      <c r="AE143" s="5"/>
      <c r="AF143" s="5"/>
      <c r="AG143" s="10">
        <f ca="1">IFERROR(__xludf.DUMMYFUNCTION("""COMPUTED_VALUE"""),46057.4142824074)</f>
        <v>46057.414282407401</v>
      </c>
      <c r="AH143" s="5" t="str">
        <f ca="1">IFERROR(__xludf.DUMMYFUNCTION("""COMPUTED_VALUE"""),"petra.ilic@fazi.rs")</f>
        <v>petra.ilic@fazi.rs</v>
      </c>
      <c r="AI143" s="5"/>
      <c r="AJ143" s="5"/>
      <c r="AK143" s="5" t="str">
        <f ca="1">IFERROR(__xludf.DUMMYFUNCTION("""COMPUTED_VALUE"""),"NULL")</f>
        <v>NULL</v>
      </c>
      <c r="AL143" s="5" t="str">
        <f ca="1">IFERROR(__xludf.DUMMYFUNCTION("""COMPUTED_VALUE"""),"Yes")</f>
        <v>Yes</v>
      </c>
      <c r="AM143" s="5"/>
      <c r="AN143" s="5"/>
      <c r="AO143" s="5"/>
      <c r="AP143" s="5"/>
      <c r="AQ143" s="5"/>
      <c r="AR143" s="5" t="b">
        <f ca="1">IFERROR(__xludf.DUMMYFUNCTION("""COMPUTED_VALUE"""),TRUE)</f>
        <v>1</v>
      </c>
      <c r="AS143" s="5"/>
      <c r="AT143" s="5"/>
      <c r="AU143" s="5" t="str">
        <f ca="1">IFERROR(__xludf.DUMMYFUNCTION("""COMPUTED_VALUE"""),"Fazi")</f>
        <v>Fazi</v>
      </c>
      <c r="AV143" s="5"/>
      <c r="AW143" s="5"/>
      <c r="AX143" s="5"/>
      <c r="AY143" s="5"/>
      <c r="AZ143" s="5"/>
      <c r="BA143" s="5" t="str">
        <f ca="1">IFERROR(__xludf.DUMMYFUNCTION("""COMPUTED_VALUE"""),"")</f>
        <v/>
      </c>
      <c r="BB143" s="5"/>
      <c r="BC143" s="5" t="str">
        <f ca="1">IFERROR(__xludf.DUMMYFUNCTION("""COMPUTED_VALUE"""),"Foxi")</f>
        <v>Foxi</v>
      </c>
      <c r="BD143" s="5" t="str">
        <f ca="1">IFERROR(__xludf.DUMMYFUNCTION("""COMPUTED_VALUE"""),"")</f>
        <v/>
      </c>
      <c r="BE143" s="5"/>
    </row>
    <row r="144" spans="1:57" x14ac:dyDescent="0.25">
      <c r="A144" s="5">
        <f ca="1">IFERROR(__xludf.DUMMYFUNCTION("""COMPUTED_VALUE"""),144)</f>
        <v>144</v>
      </c>
      <c r="B144" s="5">
        <f ca="1">IFERROR(__xludf.DUMMYFUNCTION("""COMPUTED_VALUE"""),143)</f>
        <v>143</v>
      </c>
      <c r="C144" s="5" t="str">
        <f ca="1">IFERROR(__xludf.DUMMYFUNCTION("""COMPUTED_VALUE"""),"Fazi")</f>
        <v>Fazi</v>
      </c>
      <c r="D144" s="5" t="str">
        <f ca="1">IFERROR(__xludf.DUMMYFUNCTION("""COMPUTED_VALUE"""),"Stars of Oktagon")</f>
        <v>Stars of Oktagon</v>
      </c>
      <c r="E144" s="5"/>
      <c r="F144" s="5" t="str">
        <f ca="1">IFERROR(__xludf.DUMMYFUNCTION("""COMPUTED_VALUE"""),"StarsOfOktagon")</f>
        <v>StarsOfOktagon</v>
      </c>
      <c r="G144" s="5" t="str">
        <f ca="1">IFERROR(__xludf.DUMMYFUNCTION("""COMPUTED_VALUE"""),"Live")</f>
        <v>Live</v>
      </c>
      <c r="H144" s="5" t="str">
        <f ca="1">IFERROR(__xludf.DUMMYFUNCTION("""COMPUTED_VALUE"""),"Oktagon - Alphapex")</f>
        <v>Oktagon - Alphapex</v>
      </c>
      <c r="I144" s="5" t="str">
        <f ca="1">IFERROR(__xludf.DUMMYFUNCTION("""COMPUTED_VALUE"""),"V2")</f>
        <v>V2</v>
      </c>
      <c r="J144" s="5"/>
      <c r="K144" s="5" t="str">
        <f ca="1">IFERROR(__xludf.DUMMYFUNCTION("""COMPUTED_VALUE"""),"Slot")</f>
        <v>Slot</v>
      </c>
      <c r="L144" s="5"/>
      <c r="M144" s="5" t="str">
        <f ca="1">IFERROR(__xludf.DUMMYFUNCTION("""COMPUTED_VALUE"""),"Fruits and Stars")</f>
        <v>Fruits and Stars</v>
      </c>
      <c r="N144" s="5"/>
      <c r="O144" s="5"/>
      <c r="P144" s="5"/>
      <c r="Q144" s="5"/>
      <c r="R144" s="5"/>
      <c r="S144" s="5"/>
      <c r="T144" s="5"/>
      <c r="U144" s="5"/>
      <c r="V144" s="12" t="str">
        <f ca="1">IFERROR(__xludf.DUMMYFUNCTION("""COMPUTED_VALUE"""),"40")</f>
        <v>40</v>
      </c>
      <c r="W144" s="5"/>
      <c r="X144" s="13">
        <f ca="1">IFERROR(__xludf.DUMMYFUNCTION("""COMPUTED_VALUE"""),95.79)</f>
        <v>95.79</v>
      </c>
      <c r="Y144" s="5"/>
      <c r="Z144" s="5">
        <f ca="1">IFERROR(__xludf.DUMMYFUNCTION("""COMPUTED_VALUE"""),0)</f>
        <v>0</v>
      </c>
      <c r="AA144" s="5"/>
      <c r="AB144" s="5"/>
      <c r="AC144" s="5"/>
      <c r="AD144" s="5"/>
      <c r="AE144" s="5"/>
      <c r="AF144" s="5"/>
      <c r="AG144" s="10">
        <f ca="1">IFERROR(__xludf.DUMMYFUNCTION("""COMPUTED_VALUE"""),46057.4147106481)</f>
        <v>46057.414710648103</v>
      </c>
      <c r="AH144" s="5" t="str">
        <f ca="1">IFERROR(__xludf.DUMMYFUNCTION("""COMPUTED_VALUE"""),"petra.ilic@fazi.rs")</f>
        <v>petra.ilic@fazi.rs</v>
      </c>
      <c r="AI144" s="5"/>
      <c r="AJ144" s="5"/>
      <c r="AK144" s="5" t="str">
        <f ca="1">IFERROR(__xludf.DUMMYFUNCTION("""COMPUTED_VALUE"""),"NULL")</f>
        <v>NULL</v>
      </c>
      <c r="AL144" s="5" t="str">
        <f ca="1">IFERROR(__xludf.DUMMYFUNCTION("""COMPUTED_VALUE"""),"Yes")</f>
        <v>Yes</v>
      </c>
      <c r="AM144" s="5"/>
      <c r="AN144" s="5"/>
      <c r="AO144" s="5"/>
      <c r="AP144" s="5"/>
      <c r="AQ144" s="5"/>
      <c r="AR144" s="5" t="b">
        <f ca="1">IFERROR(__xludf.DUMMYFUNCTION("""COMPUTED_VALUE"""),TRUE)</f>
        <v>1</v>
      </c>
      <c r="AS144" s="5"/>
      <c r="AT144" s="5"/>
      <c r="AU144" s="5" t="str">
        <f ca="1">IFERROR(__xludf.DUMMYFUNCTION("""COMPUTED_VALUE"""),"Fazi")</f>
        <v>Fazi</v>
      </c>
      <c r="AV144" s="5"/>
      <c r="AW144" s="5"/>
      <c r="AX144" s="5"/>
      <c r="AY144" s="5"/>
      <c r="AZ144" s="5"/>
      <c r="BA144" s="5" t="str">
        <f ca="1">IFERROR(__xludf.DUMMYFUNCTION("""COMPUTED_VALUE"""),"")</f>
        <v/>
      </c>
      <c r="BB144" s="5"/>
      <c r="BC144" s="5" t="str">
        <f ca="1">IFERROR(__xludf.DUMMYFUNCTION("""COMPUTED_VALUE"""),"Foxi")</f>
        <v>Foxi</v>
      </c>
      <c r="BD144" s="5" t="str">
        <f ca="1">IFERROR(__xludf.DUMMYFUNCTION("""COMPUTED_VALUE"""),"")</f>
        <v/>
      </c>
      <c r="BE144" s="5"/>
    </row>
    <row r="145" spans="1:57" x14ac:dyDescent="0.25">
      <c r="A145" s="5">
        <f ca="1">IFERROR(__xludf.DUMMYFUNCTION("""COMPUTED_VALUE"""),145)</f>
        <v>145</v>
      </c>
      <c r="B145" s="5">
        <f ca="1">IFERROR(__xludf.DUMMYFUNCTION("""COMPUTED_VALUE"""),144)</f>
        <v>144</v>
      </c>
      <c r="C145" s="5" t="str">
        <f ca="1">IFERROR(__xludf.DUMMYFUNCTION("""COMPUTED_VALUE"""),"Fazi")</f>
        <v>Fazi</v>
      </c>
      <c r="D145" s="5" t="str">
        <f ca="1">IFERROR(__xludf.DUMMYFUNCTION("""COMPUTED_VALUE"""),"Eye Of Tut")</f>
        <v>Eye Of Tut</v>
      </c>
      <c r="E145" s="5" t="str">
        <f ca="1">IFERROR(__xludf.DUMMYFUNCTION("""COMPUTED_VALUE"""),"V2")</f>
        <v>V2</v>
      </c>
      <c r="F145" s="5" t="str">
        <f ca="1">IFERROR(__xludf.DUMMYFUNCTION("""COMPUTED_VALUE"""),"EyeOfTut")</f>
        <v>EyeOfTut</v>
      </c>
      <c r="G145" s="5" t="str">
        <f ca="1">IFERROR(__xludf.DUMMYFUNCTION("""COMPUTED_VALUE"""),"Live")</f>
        <v>Live</v>
      </c>
      <c r="H145" s="5"/>
      <c r="I145" s="5" t="str">
        <f ca="1">IFERROR(__xludf.DUMMYFUNCTION("""COMPUTED_VALUE"""),"V2")</f>
        <v>V2</v>
      </c>
      <c r="J145" s="5" t="str">
        <f ca="1">IFERROR(__xludf.DUMMYFUNCTION("""COMPUTED_VALUE"""),"Binary")</f>
        <v>Binary</v>
      </c>
      <c r="K145" s="5" t="str">
        <f ca="1">IFERROR(__xludf.DUMMYFUNCTION("""COMPUTED_VALUE"""),"Slot")</f>
        <v>Slot</v>
      </c>
      <c r="L145" s="5" t="str">
        <f ca="1">IFERROR(__xludf.DUMMYFUNCTION("""COMPUTED_VALUE"""),"Clone")</f>
        <v>Clone</v>
      </c>
      <c r="M145" s="5" t="str">
        <f ca="1">IFERROR(__xludf.DUMMYFUNCTION("""COMPUTED_VALUE"""),"Pyramid")</f>
        <v>Pyramid</v>
      </c>
      <c r="N145" s="5"/>
      <c r="O145" s="5"/>
      <c r="P145" s="14">
        <f ca="1">IFERROR(__xludf.DUMMYFUNCTION("""COMPUTED_VALUE"""),38.2)</f>
        <v>38.200000000000003</v>
      </c>
      <c r="Q145" s="5"/>
      <c r="R145" s="5"/>
      <c r="S145" s="15">
        <f ca="1">IFERROR(__xludf.DUMMYFUNCTION("""COMPUTED_VALUE"""),44742)</f>
        <v>44742</v>
      </c>
      <c r="T145" s="5"/>
      <c r="U145" s="5" t="str">
        <f ca="1">IFERROR(__xludf.DUMMYFUNCTION("""COMPUTED_VALUE"""),"5x3")</f>
        <v>5x3</v>
      </c>
      <c r="V145" s="12" t="str">
        <f ca="1">IFERROR(__xludf.DUMMYFUNCTION("""COMPUTED_VALUE"""),"15")</f>
        <v>15</v>
      </c>
      <c r="W145" s="12" t="str">
        <f ca="1">IFERROR(__xludf.DUMMYFUNCTION("""COMPUTED_VALUE"""),"15")</f>
        <v>15</v>
      </c>
      <c r="X145" s="5">
        <f ca="1">IFERROR(__xludf.DUMMYFUNCTION("""COMPUTED_VALUE"""),96.142)</f>
        <v>96.141999999999996</v>
      </c>
      <c r="Y145" s="5" t="str">
        <f ca="1">IFERROR(__xludf.DUMMYFUNCTION("""COMPUTED_VALUE"""),"High")</f>
        <v>High</v>
      </c>
      <c r="Z145" s="5">
        <f ca="1">IFERROR(__xludf.DUMMYFUNCTION("""COMPUTED_VALUE"""),28.08)</f>
        <v>28.08</v>
      </c>
      <c r="AA145" s="14">
        <f ca="1">IFERROR(__xludf.DUMMYFUNCTION("""COMPUTED_VALUE"""),1530)</f>
        <v>1530</v>
      </c>
      <c r="AB145" s="5">
        <f ca="1">IFERROR(__xludf.DUMMYFUNCTION("""COMPUTED_VALUE"""),149)</f>
        <v>149</v>
      </c>
      <c r="AC145" s="5" t="str">
        <f ca="1">IFERROR(__xludf.DUMMYFUNCTION("""COMPUTED_VALUE"""),"Wild Symbol, Bonus Game with Free Spins, Sticky Wild")</f>
        <v>Wild Symbol, Bonus Game with Free Spins, Sticky Wild</v>
      </c>
      <c r="AD145" s="5" t="str">
        <f ca="1">IFERROR(__xludf.DUMMYFUNCTION("""COMPUTED_VALUE"""),"0.01/45")</f>
        <v>0.01/45</v>
      </c>
      <c r="AE145" s="5"/>
      <c r="AF145" s="5"/>
      <c r="AG145" s="10">
        <f ca="1">IFERROR(__xludf.DUMMYFUNCTION("""COMPUTED_VALUE"""),46055.5154050925)</f>
        <v>46055.515405092498</v>
      </c>
      <c r="AH145" s="5" t="str">
        <f ca="1">IFERROR(__xludf.DUMMYFUNCTION("""COMPUTED_VALUE"""),"djordje.jankovic@fazi.rs")</f>
        <v>djordje.jankovic@fazi.rs</v>
      </c>
      <c r="AI145" s="5"/>
      <c r="AJ145" s="5"/>
      <c r="AK145" s="5">
        <f ca="1">IFERROR(__xludf.DUMMYFUNCTION("""COMPUTED_VALUE"""),15)</f>
        <v>15</v>
      </c>
      <c r="AL145" s="5" t="str">
        <f ca="1">IFERROR(__xludf.DUMMYFUNCTION("""COMPUTED_VALUE"""),"Yes")</f>
        <v>Yes</v>
      </c>
      <c r="AM145" s="5"/>
      <c r="AN145" s="7" t="str">
        <f ca="1">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AO145" s="5"/>
      <c r="AP145" s="5"/>
      <c r="AQ145" s="5" t="b">
        <f ca="1">IFERROR(__xludf.DUMMYFUNCTION("""COMPUTED_VALUE"""),TRUE)</f>
        <v>1</v>
      </c>
      <c r="AR145" s="5"/>
      <c r="AS145" s="5" t="str">
        <f ca="1">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AT145" s="5"/>
      <c r="AU145" s="5" t="str">
        <f ca="1">IFERROR(__xludf.DUMMYFUNCTION("""COMPUTED_VALUE"""),"Fazi")</f>
        <v>Fazi</v>
      </c>
      <c r="AV145" s="5"/>
      <c r="AW145" s="5"/>
      <c r="AX145" s="5"/>
      <c r="AY145" s="5"/>
      <c r="AZ145" s="5"/>
      <c r="BA145" s="5" t="str">
        <f ca="1">IFERROR(__xludf.DUMMYFUNCTION("""COMPUTED_VALUE"""),"")</f>
        <v/>
      </c>
      <c r="BB145" s="5"/>
      <c r="BC145" s="5" t="str">
        <f ca="1">IFERROR(__xludf.DUMMYFUNCTION("""COMPUTED_VALUE"""),"Foxi")</f>
        <v>Foxi</v>
      </c>
      <c r="BD145" s="7" t="str">
        <f ca="1">IFERROR(__xludf.DUMMYFUNCTION("""COMPUTED_VALUE"""),"https://gameserver-store-client-area.orbionlimited.com/Home/IntegrationGameLaunch/client-area?moneyType=0&amp;gameName=EyeOfTut&amp;platform=desktop&amp;languageCode=eng&amp;currency=EUR")</f>
        <v>https://gameserver-store-client-area.orbionlimited.com/Home/IntegrationGameLaunch/client-area?moneyType=0&amp;gameName=EyeOfTut&amp;platform=desktop&amp;languageCode=eng&amp;currency=EUR</v>
      </c>
      <c r="BE145" s="5" t="b">
        <f ca="1">IFERROR(__xludf.DUMMYFUNCTION("""COMPUTED_VALUE"""),TRUE)</f>
        <v>1</v>
      </c>
    </row>
    <row r="146" spans="1:57" x14ac:dyDescent="0.25">
      <c r="A146" s="5">
        <f ca="1">IFERROR(__xludf.DUMMYFUNCTION("""COMPUTED_VALUE"""),146)</f>
        <v>146</v>
      </c>
      <c r="B146" s="5">
        <f ca="1">IFERROR(__xludf.DUMMYFUNCTION("""COMPUTED_VALUE"""),145)</f>
        <v>145</v>
      </c>
      <c r="C146" s="5" t="str">
        <f ca="1">IFERROR(__xludf.DUMMYFUNCTION("""COMPUTED_VALUE"""),"Fazi")</f>
        <v>Fazi</v>
      </c>
      <c r="D146" s="5" t="str">
        <f ca="1">IFERROR(__xludf.DUMMYFUNCTION("""COMPUTED_VALUE"""),"Fruity Win 40")</f>
        <v>Fruity Win 40</v>
      </c>
      <c r="E146" s="5" t="str">
        <f ca="1">IFERROR(__xludf.DUMMYFUNCTION("""COMPUTED_VALUE"""),"V2")</f>
        <v>V2</v>
      </c>
      <c r="F146" s="5" t="str">
        <f ca="1">IFERROR(__xludf.DUMMYFUNCTION("""COMPUTED_VALUE"""),"FruityWin40")</f>
        <v>FruityWin40</v>
      </c>
      <c r="G146" s="5" t="str">
        <f ca="1">IFERROR(__xludf.DUMMYFUNCTION("""COMPUTED_VALUE"""),"Live")</f>
        <v>Live</v>
      </c>
      <c r="H146" s="5"/>
      <c r="I146" s="5" t="str">
        <f ca="1">IFERROR(__xludf.DUMMYFUNCTION("""COMPUTED_VALUE"""),"V2")</f>
        <v>V2</v>
      </c>
      <c r="J146" s="5" t="str">
        <f ca="1">IFERROR(__xludf.DUMMYFUNCTION("""COMPUTED_VALUE"""),"JSON")</f>
        <v>JSON</v>
      </c>
      <c r="K146" s="5" t="str">
        <f ca="1">IFERROR(__xludf.DUMMYFUNCTION("""COMPUTED_VALUE"""),"Slot")</f>
        <v>Slot</v>
      </c>
      <c r="L146" s="5" t="str">
        <f ca="1">IFERROR(__xludf.DUMMYFUNCTION("""COMPUTED_VALUE"""),"Clone")</f>
        <v>Clone</v>
      </c>
      <c r="M146" s="5" t="str">
        <f ca="1">IFERROR(__xludf.DUMMYFUNCTION("""COMPUTED_VALUE"""),"Turbo Hot 40")</f>
        <v>Turbo Hot 40</v>
      </c>
      <c r="N146" s="5"/>
      <c r="O146" s="5"/>
      <c r="P146" s="14">
        <f ca="1">IFERROR(__xludf.DUMMYFUNCTION("""COMPUTED_VALUE"""),26.5)</f>
        <v>26.5</v>
      </c>
      <c r="Q146" s="5"/>
      <c r="R146" s="5"/>
      <c r="S146" s="15">
        <f ca="1">IFERROR(__xludf.DUMMYFUNCTION("""COMPUTED_VALUE"""),44606)</f>
        <v>44606</v>
      </c>
      <c r="T146" s="5" t="b">
        <f ca="1">IFERROR(__xludf.DUMMYFUNCTION("""COMPUTED_VALUE"""),TRUE)</f>
        <v>1</v>
      </c>
      <c r="U146" s="5" t="str">
        <f ca="1">IFERROR(__xludf.DUMMYFUNCTION("""COMPUTED_VALUE"""),"5x4")</f>
        <v>5x4</v>
      </c>
      <c r="V146" s="12" t="str">
        <f ca="1">IFERROR(__xludf.DUMMYFUNCTION("""COMPUTED_VALUE"""),"40")</f>
        <v>40</v>
      </c>
      <c r="W146" s="12" t="str">
        <f ca="1">IFERROR(__xludf.DUMMYFUNCTION("""COMPUTED_VALUE"""),"40")</f>
        <v>40</v>
      </c>
      <c r="X146" s="5">
        <f ca="1">IFERROR(__xludf.DUMMYFUNCTION("""COMPUTED_VALUE"""),96.584)</f>
        <v>96.584000000000003</v>
      </c>
      <c r="Y146" s="5" t="str">
        <f ca="1">IFERROR(__xludf.DUMMYFUNCTION("""COMPUTED_VALUE"""),"Low")</f>
        <v>Low</v>
      </c>
      <c r="Z146" s="5">
        <f ca="1">IFERROR(__xludf.DUMMYFUNCTION("""COMPUTED_VALUE"""),16.73)</f>
        <v>16.73</v>
      </c>
      <c r="AA146" s="14">
        <f ca="1">IFERROR(__xludf.DUMMYFUNCTION("""COMPUTED_VALUE"""),1000)</f>
        <v>1000</v>
      </c>
      <c r="AB146" s="5" t="str">
        <f ca="1">IFERROR(__xludf.DUMMYFUNCTION("""COMPUTED_VALUE"""),"/")</f>
        <v>/</v>
      </c>
      <c r="AC146" s="5" t="str">
        <f ca="1">IFERROR(__xludf.DUMMYFUNCTION("""COMPUTED_VALUE"""),"Expanding Wild, Scatter")</f>
        <v>Expanding Wild, Scatter</v>
      </c>
      <c r="AD146" s="5" t="str">
        <f ca="1">IFERROR(__xludf.DUMMYFUNCTION("""COMPUTED_VALUE"""),"0.4/60")</f>
        <v>0.4/60</v>
      </c>
      <c r="AE146" s="5"/>
      <c r="AF146" s="5"/>
      <c r="AG146" s="10">
        <f ca="1">IFERROR(__xludf.DUMMYFUNCTION("""COMPUTED_VALUE"""),46101.6154166666)</f>
        <v>46101.615416666602</v>
      </c>
      <c r="AH146" s="5" t="str">
        <f ca="1">IFERROR(__xludf.DUMMYFUNCTION("""COMPUTED_VALUE"""),"milutin.toskic@fazi.rs")</f>
        <v>milutin.toskic@fazi.rs</v>
      </c>
      <c r="AI146" s="5"/>
      <c r="AJ146" s="5"/>
      <c r="AK146" s="5">
        <f ca="1">IFERROR(__xludf.DUMMYFUNCTION("""COMPUTED_VALUE"""),40)</f>
        <v>40</v>
      </c>
      <c r="AL146" s="5" t="str">
        <f ca="1">IFERROR(__xludf.DUMMYFUNCTION("""COMPUTED_VALUE"""),"Yes")</f>
        <v>Yes</v>
      </c>
      <c r="AM146" s="5"/>
      <c r="AN146" s="7" t="str">
        <f ca="1">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AO146" s="5" t="str">
        <f ca="1">IFERROR(__xludf.DUMMYFUNCTION("""COMPUTED_VALUE"""),"Yes")</f>
        <v>Yes</v>
      </c>
      <c r="AP146" s="5" t="str">
        <f ca="1">IFERROR(__xludf.DUMMYFUNCTION("""COMPUTED_VALUE"""),"Yes")</f>
        <v>Yes</v>
      </c>
      <c r="AQ146" s="5" t="b">
        <f ca="1">IFERROR(__xludf.DUMMYFUNCTION("""COMPUTED_VALUE"""),TRUE)</f>
        <v>1</v>
      </c>
      <c r="AR146" s="5"/>
      <c r="AS146" s="5" t="str">
        <f ca="1">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46" s="5" t="str">
        <f ca="1">IFERROR(__xludf.DUMMYFUNCTION("""COMPUTED_VALUE"""),"No")</f>
        <v>No</v>
      </c>
      <c r="AU146" s="5" t="str">
        <f ca="1">IFERROR(__xludf.DUMMYFUNCTION("""COMPUTED_VALUE"""),"Fazi")</f>
        <v>Fazi</v>
      </c>
      <c r="AV146" s="5"/>
      <c r="AW146" s="5"/>
      <c r="AX146" s="5"/>
      <c r="AY146" s="5" t="str">
        <f ca="1">IFERROR(__xludf.DUMMYFUNCTION("""COMPUTED_VALUE"""),"87.5%, 89.5%, 91.5%, 93.5%, 94.5%, 95.5%, 96.5%")</f>
        <v>87.5%, 89.5%, 91.5%, 93.5%, 94.5%, 95.5%, 96.5%</v>
      </c>
      <c r="AZ146" s="5"/>
      <c r="BA146" s="5" t="str">
        <f ca="1">IFERROR(__xludf.DUMMYFUNCTION("""COMPUTED_VALUE"""),"")</f>
        <v/>
      </c>
      <c r="BB146" s="5"/>
      <c r="BC146" s="5" t="str">
        <f ca="1">IFERROR(__xludf.DUMMYFUNCTION("""COMPUTED_VALUE"""),"Foxi")</f>
        <v>Foxi</v>
      </c>
      <c r="BD146" s="7" t="str">
        <f ca="1">IFERROR(__xludf.DUMMYFUNCTION("""COMPUTED_VALUE"""),"https://gameserver-store-client-area.orbionlimited.com/Home/IntegrationGameLaunch/client-area?moneyType=0&amp;gameName=FruityWin40&amp;platform=desktop&amp;languageCode=eng&amp;currency=EUR")</f>
        <v>https://gameserver-store-client-area.orbionlimited.com/Home/IntegrationGameLaunch/client-area?moneyType=0&amp;gameName=FruityWin40&amp;platform=desktop&amp;languageCode=eng&amp;currency=EUR</v>
      </c>
      <c r="BE146" s="5" t="b">
        <f ca="1">IFERROR(__xludf.DUMMYFUNCTION("""COMPUTED_VALUE"""),TRUE)</f>
        <v>1</v>
      </c>
    </row>
    <row r="147" spans="1:57" x14ac:dyDescent="0.25">
      <c r="A147" s="5">
        <f ca="1">IFERROR(__xludf.DUMMYFUNCTION("""COMPUTED_VALUE"""),147)</f>
        <v>147</v>
      </c>
      <c r="B147" s="5">
        <f ca="1">IFERROR(__xludf.DUMMYFUNCTION("""COMPUTED_VALUE"""),146)</f>
        <v>146</v>
      </c>
      <c r="C147" s="5" t="str">
        <f ca="1">IFERROR(__xludf.DUMMYFUNCTION("""COMPUTED_VALUE"""),"Redstone")</f>
        <v>Redstone</v>
      </c>
      <c r="D147" s="5" t="str">
        <f ca="1">IFERROR(__xludf.DUMMYFUNCTION("""COMPUTED_VALUE"""),"Action Hot 20")</f>
        <v>Action Hot 20</v>
      </c>
      <c r="E147" s="5" t="str">
        <f ca="1">IFERROR(__xludf.DUMMYFUNCTION("""COMPUTED_VALUE"""),"Redstone")</f>
        <v>Redstone</v>
      </c>
      <c r="F147" s="5" t="str">
        <f ca="1">IFERROR(__xludf.DUMMYFUNCTION("""COMPUTED_VALUE"""),"ActionHot20")</f>
        <v>ActionHot20</v>
      </c>
      <c r="G147" s="5" t="str">
        <f ca="1">IFERROR(__xludf.DUMMYFUNCTION("""COMPUTED_VALUE"""),"Live")</f>
        <v>Live</v>
      </c>
      <c r="H147" s="5"/>
      <c r="I147" s="5" t="str">
        <f ca="1">IFERROR(__xludf.DUMMYFUNCTION("""COMPUTED_VALUE"""),"Redstone")</f>
        <v>Redstone</v>
      </c>
      <c r="J147" s="5" t="str">
        <f ca="1">IFERROR(__xludf.DUMMYFUNCTION("""COMPUTED_VALUE"""),"JSON")</f>
        <v>JSON</v>
      </c>
      <c r="K147" s="5" t="str">
        <f ca="1">IFERROR(__xludf.DUMMYFUNCTION("""COMPUTED_VALUE"""),"Slot")</f>
        <v>Slot</v>
      </c>
      <c r="L147" s="5" t="str">
        <f ca="1">IFERROR(__xludf.DUMMYFUNCTION("""COMPUTED_VALUE"""),"Master")</f>
        <v>Master</v>
      </c>
      <c r="M147" s="5"/>
      <c r="N147" s="7" t="str">
        <f ca="1">IFERROR(__xludf.DUMMYFUNCTION("""COMPUTED_VALUE"""),"https://docs.google.com/document/d/1I70szBKiznP9PJN0ObllSPE8NEvHilKj/edit?usp=drive_link&amp;ouid=107596163405648766688&amp;rtpof=true&amp;sd=true")</f>
        <v>https://docs.google.com/document/d/1I70szBKiznP9PJN0ObllSPE8NEvHilKj/edit?usp=drive_link&amp;ouid=107596163405648766688&amp;rtpof=true&amp;sd=true</v>
      </c>
      <c r="O147" s="7" t="str">
        <f ca="1">IFERROR(__xludf.DUMMYFUNCTION("""COMPUTED_VALUE"""),"https://docs.google.com/document/d/1WNid3PmWjnfKjctAJN3sdrKWqZpmswUe/edit?usp=drive_link&amp;ouid=107596163405648766688&amp;rtpof=true&amp;sd=true")</f>
        <v>https://docs.google.com/document/d/1WNid3PmWjnfKjctAJN3sdrKWqZpmswUe/edit?usp=drive_link&amp;ouid=107596163405648766688&amp;rtpof=true&amp;sd=true</v>
      </c>
      <c r="P147" s="14">
        <f ca="1">IFERROR(__xludf.DUMMYFUNCTION("""COMPUTED_VALUE"""),9.3)</f>
        <v>9.3000000000000007</v>
      </c>
      <c r="Q147" s="5"/>
      <c r="R147" s="5"/>
      <c r="S147" s="15">
        <f ca="1">IFERROR(__xludf.DUMMYFUNCTION("""COMPUTED_VALUE"""),44588)</f>
        <v>44588</v>
      </c>
      <c r="T147" s="5"/>
      <c r="U147" s="5" t="str">
        <f ca="1">IFERROR(__xludf.DUMMYFUNCTION("""COMPUTED_VALUE"""),"5x3")</f>
        <v>5x3</v>
      </c>
      <c r="V147" s="12" t="str">
        <f ca="1">IFERROR(__xludf.DUMMYFUNCTION("""COMPUTED_VALUE"""),"20")</f>
        <v>20</v>
      </c>
      <c r="W147" s="12" t="str">
        <f ca="1">IFERROR(__xludf.DUMMYFUNCTION("""COMPUTED_VALUE"""),"20")</f>
        <v>20</v>
      </c>
      <c r="X147" s="5">
        <f ca="1">IFERROR(__xludf.DUMMYFUNCTION("""COMPUTED_VALUE"""),95.79)</f>
        <v>95.79</v>
      </c>
      <c r="Y147" s="5" t="str">
        <f ca="1">IFERROR(__xludf.DUMMYFUNCTION("""COMPUTED_VALUE"""),"Low")</f>
        <v>Low</v>
      </c>
      <c r="Z147" s="5">
        <f ca="1">IFERROR(__xludf.DUMMYFUNCTION("""COMPUTED_VALUE"""),17.45)</f>
        <v>17.45</v>
      </c>
      <c r="AA147" s="14">
        <f ca="1">IFERROR(__xludf.DUMMYFUNCTION("""COMPUTED_VALUE"""),1000)</f>
        <v>1000</v>
      </c>
      <c r="AB147" s="5"/>
      <c r="AC147" s="5" t="str">
        <f ca="1">IFERROR(__xludf.DUMMYFUNCTION("""COMPUTED_VALUE"""),"Scatter, Special Wild")</f>
        <v>Scatter, Special Wild</v>
      </c>
      <c r="AD147" s="5" t="str">
        <f ca="1">IFERROR(__xludf.DUMMYFUNCTION("""COMPUTED_VALUE"""),"0.20/50")</f>
        <v>0.20/50</v>
      </c>
      <c r="AE147" s="5"/>
      <c r="AF147" s="5"/>
      <c r="AG147" s="10">
        <f ca="1">IFERROR(__xludf.DUMMYFUNCTION("""COMPUTED_VALUE"""),46157.4465856481)</f>
        <v>46157.446585648097</v>
      </c>
      <c r="AH147" s="5"/>
      <c r="AI147" s="5"/>
      <c r="AJ147" s="5"/>
      <c r="AK147" s="5">
        <f ca="1">IFERROR(__xludf.DUMMYFUNCTION("""COMPUTED_VALUE"""),1)</f>
        <v>1</v>
      </c>
      <c r="AL147" s="5" t="str">
        <f ca="1">IFERROR(__xludf.DUMMYFUNCTION("""COMPUTED_VALUE"""),"No")</f>
        <v>No</v>
      </c>
      <c r="AM147" s="5" t="str">
        <f ca="1">IFERROR(__xludf.DUMMYFUNCTION("""COMPUTED_VALUE"""),"No")</f>
        <v>No</v>
      </c>
      <c r="AN147" s="7" t="str">
        <f ca="1">IFERROR(__xludf.DUMMYFUNCTION("""COMPUTED_VALUE"""),"https://static.redstone.rs/games/action-hot-20/")</f>
        <v>https://static.redstone.rs/games/action-hot-20/</v>
      </c>
      <c r="AO147" s="5" t="str">
        <f ca="1">IFERROR(__xludf.DUMMYFUNCTION("""COMPUTED_VALUE"""),"No")</f>
        <v>No</v>
      </c>
      <c r="AP147" s="5" t="str">
        <f ca="1">IFERROR(__xludf.DUMMYFUNCTION("""COMPUTED_VALUE"""),"No")</f>
        <v>No</v>
      </c>
      <c r="AQ147" s="5" t="b">
        <f ca="1">IFERROR(__xludf.DUMMYFUNCTION("""COMPUTED_VALUE"""),TRUE)</f>
        <v>1</v>
      </c>
      <c r="AR147" s="5"/>
      <c r="AS147" s="5" t="str">
        <f ca="1">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AT147" s="5"/>
      <c r="AU147" s="5" t="str">
        <f ca="1">IFERROR(__xludf.DUMMYFUNCTION("""COMPUTED_VALUE"""),"Redstone")</f>
        <v>Redstone</v>
      </c>
      <c r="AV147" s="5"/>
      <c r="AW147" s="5"/>
      <c r="AX147" s="5"/>
      <c r="AY147" s="5"/>
      <c r="AZ147" s="5"/>
      <c r="BA147" s="5"/>
      <c r="BB147" s="5" t="b">
        <f ca="1">IFERROR(__xludf.DUMMYFUNCTION("""COMPUTED_VALUE"""),TRUE)</f>
        <v>1</v>
      </c>
      <c r="BC147" s="5" t="str">
        <f ca="1">IFERROR(__xludf.DUMMYFUNCTION("""COMPUTED_VALUE"""),"Redstone")</f>
        <v>Redstone</v>
      </c>
      <c r="BD147" s="7" t="str">
        <f ca="1">IFERROR(__xludf.DUMMYFUNCTION("""COMPUTED_VALUE"""),"https://static.redstone.rs/games/action-hot-20/")</f>
        <v>https://static.redstone.rs/games/action-hot-20/</v>
      </c>
      <c r="BE147" s="5" t="b">
        <f ca="1">IFERROR(__xludf.DUMMYFUNCTION("""COMPUTED_VALUE"""),TRUE)</f>
        <v>1</v>
      </c>
    </row>
    <row r="148" spans="1:57" x14ac:dyDescent="0.25">
      <c r="A148" s="5">
        <f ca="1">IFERROR(__xludf.DUMMYFUNCTION("""COMPUTED_VALUE"""),148)</f>
        <v>148</v>
      </c>
      <c r="B148" s="5">
        <f ca="1">IFERROR(__xludf.DUMMYFUNCTION("""COMPUTED_VALUE"""),147)</f>
        <v>147</v>
      </c>
      <c r="C148" s="5"/>
      <c r="D148" s="5" t="str">
        <f ca="1">IFERROR(__xludf.DUMMYFUNCTION("""COMPUTED_VALUE"""),"Joker Queen")</f>
        <v>Joker Queen</v>
      </c>
      <c r="E148" s="5"/>
      <c r="F148" s="5" t="str">
        <f ca="1">IFERROR(__xludf.DUMMYFUNCTION("""COMPUTED_VALUE"""),"JokerQueen")</f>
        <v>JokerQueen</v>
      </c>
      <c r="G148" s="5" t="str">
        <f ca="1">IFERROR(__xludf.DUMMYFUNCTION("""COMPUTED_VALUE"""),"Live")</f>
        <v>Live</v>
      </c>
      <c r="H148" s="5"/>
      <c r="I148" s="5"/>
      <c r="J148" s="5"/>
      <c r="K148" s="5" t="str">
        <f ca="1">IFERROR(__xludf.DUMMYFUNCTION("""COMPUTED_VALUE"""),"Slot")</f>
        <v>Slot</v>
      </c>
      <c r="L148" s="5"/>
      <c r="M148" s="5"/>
      <c r="N148" s="5"/>
      <c r="O148" s="5"/>
      <c r="P148" s="5"/>
      <c r="Q148" s="5"/>
      <c r="R148" s="5"/>
      <c r="S148" s="5"/>
      <c r="T148" s="5"/>
      <c r="U148" s="5"/>
      <c r="V148" s="12" t="str">
        <f ca="1">IFERROR(__xludf.DUMMYFUNCTION("""COMPUTED_VALUE"""),"5")</f>
        <v>5</v>
      </c>
      <c r="W148" s="5"/>
      <c r="X148" s="13">
        <f ca="1">IFERROR(__xludf.DUMMYFUNCTION("""COMPUTED_VALUE"""),0)</f>
        <v>0</v>
      </c>
      <c r="Y148" s="5"/>
      <c r="Z148" s="5">
        <f ca="1">IFERROR(__xludf.DUMMYFUNCTION("""COMPUTED_VALUE"""),0)</f>
        <v>0</v>
      </c>
      <c r="AA148" s="5"/>
      <c r="AB148" s="5"/>
      <c r="AC148" s="5"/>
      <c r="AD148" s="5"/>
      <c r="AE148" s="5"/>
      <c r="AF148" s="5"/>
      <c r="AG148" s="5"/>
      <c r="AH148" s="5"/>
      <c r="AI148" s="5"/>
      <c r="AJ148" s="5"/>
      <c r="AK148" s="5" t="str">
        <f ca="1">IFERROR(__xludf.DUMMYFUNCTION("""COMPUTED_VALUE"""),"NULL")</f>
        <v>NULL</v>
      </c>
      <c r="AL148" s="5"/>
      <c r="AM148" s="5"/>
      <c r="AN148" s="5"/>
      <c r="AO148" s="5"/>
      <c r="AP148" s="5"/>
      <c r="AQ148" s="5"/>
      <c r="AR148" s="5"/>
      <c r="AS148" s="5"/>
      <c r="AT148" s="5"/>
      <c r="AU148" s="5"/>
      <c r="AV148" s="5"/>
      <c r="AW148" s="5"/>
      <c r="AX148" s="5"/>
      <c r="AY148" s="5"/>
      <c r="AZ148" s="5"/>
      <c r="BA148" s="5" t="str">
        <f ca="1">IFERROR(__xludf.DUMMYFUNCTION("""COMPUTED_VALUE"""),"")</f>
        <v/>
      </c>
      <c r="BB148" s="5"/>
      <c r="BC148" s="5"/>
      <c r="BD148" s="5"/>
      <c r="BE148" s="5"/>
    </row>
    <row r="149" spans="1:57" x14ac:dyDescent="0.25">
      <c r="A149" s="5">
        <f ca="1">IFERROR(__xludf.DUMMYFUNCTION("""COMPUTED_VALUE"""),149)</f>
        <v>149</v>
      </c>
      <c r="B149" s="5">
        <f ca="1">IFERROR(__xludf.DUMMYFUNCTION("""COMPUTED_VALUE"""),148)</f>
        <v>148</v>
      </c>
      <c r="C149" s="5" t="str">
        <f ca="1">IFERROR(__xludf.DUMMYFUNCTION("""COMPUTED_VALUE"""),"Fazi")</f>
        <v>Fazi</v>
      </c>
      <c r="D149" s="5" t="str">
        <f ca="1">IFERROR(__xludf.DUMMYFUNCTION("""COMPUTED_VALUE"""),"Roulette On Demand")</f>
        <v>Roulette On Demand</v>
      </c>
      <c r="E149" s="5"/>
      <c r="F149" s="5" t="str">
        <f ca="1">IFERROR(__xludf.DUMMYFUNCTION("""COMPUTED_VALUE"""),"RouletteOnDemand")</f>
        <v>RouletteOnDemand</v>
      </c>
      <c r="G149" s="5" t="str">
        <f ca="1">IFERROR(__xludf.DUMMYFUNCTION("""COMPUTED_VALUE"""),"Live")</f>
        <v>Live</v>
      </c>
      <c r="H149" s="5"/>
      <c r="I149" s="5"/>
      <c r="J149" s="5"/>
      <c r="K149" s="5" t="str">
        <f ca="1">IFERROR(__xludf.DUMMYFUNCTION("""COMPUTED_VALUE"""),"Roulette")</f>
        <v>Roulette</v>
      </c>
      <c r="L149" s="5"/>
      <c r="M149" s="5"/>
      <c r="N149" s="5"/>
      <c r="O149" s="5"/>
      <c r="P149" s="5"/>
      <c r="Q149" s="5"/>
      <c r="R149" s="5"/>
      <c r="S149" s="5"/>
      <c r="T149" s="5"/>
      <c r="U149" s="5"/>
      <c r="V149" s="5"/>
      <c r="W149" s="5"/>
      <c r="X149" s="13">
        <f ca="1">IFERROR(__xludf.DUMMYFUNCTION("""COMPUTED_VALUE"""),0)</f>
        <v>0</v>
      </c>
      <c r="Y149" s="5"/>
      <c r="Z149" s="5">
        <f ca="1">IFERROR(__xludf.DUMMYFUNCTION("""COMPUTED_VALUE"""),0)</f>
        <v>0</v>
      </c>
      <c r="AA149" s="5"/>
      <c r="AB149" s="5"/>
      <c r="AC149" s="5"/>
      <c r="AD149" s="5"/>
      <c r="AE149" s="5"/>
      <c r="AF149" s="5"/>
      <c r="AG149" s="5"/>
      <c r="AH149" s="5"/>
      <c r="AI149" s="5"/>
      <c r="AJ149" s="5"/>
      <c r="AK149" s="5" t="str">
        <f ca="1">IFERROR(__xludf.DUMMYFUNCTION("""COMPUTED_VALUE"""),"#N/A")</f>
        <v>#N/A</v>
      </c>
      <c r="AL149" s="5"/>
      <c r="AM149" s="5"/>
      <c r="AN149" s="5"/>
      <c r="AO149" s="5"/>
      <c r="AP149" s="5"/>
      <c r="AQ149" s="5"/>
      <c r="AR149" s="5"/>
      <c r="AS149" s="5"/>
      <c r="AT149" s="5"/>
      <c r="AU149" s="5" t="str">
        <f ca="1">IFERROR(__xludf.DUMMYFUNCTION("""COMPUTED_VALUE"""),"Fazi")</f>
        <v>Fazi</v>
      </c>
      <c r="AV149" s="5"/>
      <c r="AW149" s="5"/>
      <c r="AX149" s="5"/>
      <c r="AY149" s="5"/>
      <c r="AZ149" s="5"/>
      <c r="BA149" s="5" t="str">
        <f ca="1">IFERROR(__xludf.DUMMYFUNCTION("""COMPUTED_VALUE"""),"")</f>
        <v/>
      </c>
      <c r="BB149" s="5"/>
      <c r="BC149" s="5" t="str">
        <f ca="1">IFERROR(__xludf.DUMMYFUNCTION("""COMPUTED_VALUE"""),"Foxi")</f>
        <v>Foxi</v>
      </c>
      <c r="BD149" s="5" t="str">
        <f ca="1">IFERROR(__xludf.DUMMYFUNCTION("""COMPUTED_VALUE"""),"")</f>
        <v/>
      </c>
      <c r="BE149" s="5"/>
    </row>
    <row r="150" spans="1:57" x14ac:dyDescent="0.25">
      <c r="A150" s="5">
        <f ca="1">IFERROR(__xludf.DUMMYFUNCTION("""COMPUTED_VALUE"""),150)</f>
        <v>150</v>
      </c>
      <c r="B150" s="5">
        <f ca="1">IFERROR(__xludf.DUMMYFUNCTION("""COMPUTED_VALUE"""),149)</f>
        <v>149</v>
      </c>
      <c r="C150" s="5" t="str">
        <f ca="1">IFERROR(__xludf.DUMMYFUNCTION("""COMPUTED_VALUE"""),"Fazi")</f>
        <v>Fazi</v>
      </c>
      <c r="D150" s="5" t="str">
        <f ca="1">IFERROR(__xludf.DUMMYFUNCTION("""COMPUTED_VALUE"""),"Olimp Hot")</f>
        <v>Olimp Hot</v>
      </c>
      <c r="E150" s="5" t="str">
        <f ca="1">IFERROR(__xludf.DUMMYFUNCTION("""COMPUTED_VALUE"""),"V2")</f>
        <v>V2</v>
      </c>
      <c r="F150" s="5" t="str">
        <f ca="1">IFERROR(__xludf.DUMMYFUNCTION("""COMPUTED_VALUE"""),"OlimpHot")</f>
        <v>OlimpHot</v>
      </c>
      <c r="G150" s="5" t="str">
        <f ca="1">IFERROR(__xludf.DUMMYFUNCTION("""COMPUTED_VALUE"""),"Live")</f>
        <v>Live</v>
      </c>
      <c r="H150" s="5" t="str">
        <f ca="1">IFERROR(__xludf.DUMMYFUNCTION("""COMPUTED_VALUE"""),"Olimp Kladionice - In Export")</f>
        <v>Olimp Kladionice - In Export</v>
      </c>
      <c r="I150" s="5" t="str">
        <f ca="1">IFERROR(__xludf.DUMMYFUNCTION("""COMPUTED_VALUE"""),"V2")</f>
        <v>V2</v>
      </c>
      <c r="J150" s="5" t="str">
        <f ca="1">IFERROR(__xludf.DUMMYFUNCTION("""COMPUTED_VALUE"""),"Binary")</f>
        <v>Binary</v>
      </c>
      <c r="K150" s="5" t="str">
        <f ca="1">IFERROR(__xludf.DUMMYFUNCTION("""COMPUTED_VALUE"""),"Slot")</f>
        <v>Slot</v>
      </c>
      <c r="L150" s="5"/>
      <c r="M150" s="5" t="str">
        <f ca="1">IFERROR(__xludf.DUMMYFUNCTION("""COMPUTED_VALUE"""),"Crystal Hot 80")</f>
        <v>Crystal Hot 80</v>
      </c>
      <c r="N150" s="5"/>
      <c r="O150" s="5"/>
      <c r="P150" s="5"/>
      <c r="Q150" s="5"/>
      <c r="R150" s="5"/>
      <c r="S150" s="5"/>
      <c r="T150" s="5"/>
      <c r="U150" s="5"/>
      <c r="V150" s="12" t="str">
        <f ca="1">IFERROR(__xludf.DUMMYFUNCTION("""COMPUTED_VALUE"""),"80")</f>
        <v>80</v>
      </c>
      <c r="W150" s="5"/>
      <c r="X150" s="13">
        <f ca="1">IFERROR(__xludf.DUMMYFUNCTION("""COMPUTED_VALUE"""),96.584)</f>
        <v>96.584000000000003</v>
      </c>
      <c r="Y150" s="5"/>
      <c r="Z150" s="5">
        <f ca="1">IFERROR(__xludf.DUMMYFUNCTION("""COMPUTED_VALUE"""),0)</f>
        <v>0</v>
      </c>
      <c r="AA150" s="5"/>
      <c r="AB150" s="5"/>
      <c r="AC150" s="5"/>
      <c r="AD150" s="5"/>
      <c r="AE150" s="5"/>
      <c r="AF150" s="5"/>
      <c r="AG150" s="10">
        <f ca="1">IFERROR(__xludf.DUMMYFUNCTION("""COMPUTED_VALUE"""),46057.4149768518)</f>
        <v>46057.414976851796</v>
      </c>
      <c r="AH150" s="5" t="str">
        <f ca="1">IFERROR(__xludf.DUMMYFUNCTION("""COMPUTED_VALUE"""),"petra.ilic@fazi.rs")</f>
        <v>petra.ilic@fazi.rs</v>
      </c>
      <c r="AI150" s="5"/>
      <c r="AJ150" s="5"/>
      <c r="AK150" s="5">
        <f ca="1">IFERROR(__xludf.DUMMYFUNCTION("""COMPUTED_VALUE"""),80)</f>
        <v>80</v>
      </c>
      <c r="AL150" s="5" t="str">
        <f ca="1">IFERROR(__xludf.DUMMYFUNCTION("""COMPUTED_VALUE"""),"Yes")</f>
        <v>Yes</v>
      </c>
      <c r="AM150" s="5"/>
      <c r="AN150" s="5"/>
      <c r="AO150" s="5"/>
      <c r="AP150" s="5"/>
      <c r="AQ150" s="5"/>
      <c r="AR150" s="5" t="b">
        <f ca="1">IFERROR(__xludf.DUMMYFUNCTION("""COMPUTED_VALUE"""),TRUE)</f>
        <v>1</v>
      </c>
      <c r="AS150" s="5"/>
      <c r="AT150" s="5"/>
      <c r="AU150" s="5" t="str">
        <f ca="1">IFERROR(__xludf.DUMMYFUNCTION("""COMPUTED_VALUE"""),"Fazi")</f>
        <v>Fazi</v>
      </c>
      <c r="AV150" s="5"/>
      <c r="AW150" s="5"/>
      <c r="AX150" s="5"/>
      <c r="AY150" s="5"/>
      <c r="AZ150" s="5"/>
      <c r="BA150" s="5" t="str">
        <f ca="1">IFERROR(__xludf.DUMMYFUNCTION("""COMPUTED_VALUE"""),"")</f>
        <v/>
      </c>
      <c r="BB150" s="5"/>
      <c r="BC150" s="5" t="str">
        <f ca="1">IFERROR(__xludf.DUMMYFUNCTION("""COMPUTED_VALUE"""),"Foxi")</f>
        <v>Foxi</v>
      </c>
      <c r="BD150" s="5" t="str">
        <f ca="1">IFERROR(__xludf.DUMMYFUNCTION("""COMPUTED_VALUE"""),"")</f>
        <v/>
      </c>
      <c r="BE150" s="5"/>
    </row>
    <row r="151" spans="1:57" x14ac:dyDescent="0.25">
      <c r="A151" s="5">
        <f ca="1">IFERROR(__xludf.DUMMYFUNCTION("""COMPUTED_VALUE"""),151)</f>
        <v>151</v>
      </c>
      <c r="B151" s="5">
        <f ca="1">IFERROR(__xludf.DUMMYFUNCTION("""COMPUTED_VALUE"""),150)</f>
        <v>150</v>
      </c>
      <c r="C151" s="5" t="str">
        <f ca="1">IFERROR(__xludf.DUMMYFUNCTION("""COMPUTED_VALUE"""),"Redstone")</f>
        <v>Redstone</v>
      </c>
      <c r="D151" s="5" t="str">
        <f ca="1">IFERROR(__xludf.DUMMYFUNCTION("""COMPUTED_VALUE"""),"40 Cash Bells")</f>
        <v>40 Cash Bells</v>
      </c>
      <c r="E151" s="5" t="str">
        <f ca="1">IFERROR(__xludf.DUMMYFUNCTION("""COMPUTED_VALUE"""),"Redstone")</f>
        <v>Redstone</v>
      </c>
      <c r="F151" s="5" t="str">
        <f ca="1">IFERROR(__xludf.DUMMYFUNCTION("""COMPUTED_VALUE"""),"CashBells40")</f>
        <v>CashBells40</v>
      </c>
      <c r="G151" s="5" t="str">
        <f ca="1">IFERROR(__xludf.DUMMYFUNCTION("""COMPUTED_VALUE"""),"Live")</f>
        <v>Live</v>
      </c>
      <c r="H151" s="5"/>
      <c r="I151" s="5" t="str">
        <f ca="1">IFERROR(__xludf.DUMMYFUNCTION("""COMPUTED_VALUE"""),"Redstone")</f>
        <v>Redstone</v>
      </c>
      <c r="J151" s="5" t="str">
        <f ca="1">IFERROR(__xludf.DUMMYFUNCTION("""COMPUTED_VALUE"""),"JSON")</f>
        <v>JSON</v>
      </c>
      <c r="K151" s="5" t="str">
        <f ca="1">IFERROR(__xludf.DUMMYFUNCTION("""COMPUTED_VALUE"""),"Slot")</f>
        <v>Slot</v>
      </c>
      <c r="L151" s="5" t="str">
        <f ca="1">IFERROR(__xludf.DUMMYFUNCTION("""COMPUTED_VALUE"""),"Master")</f>
        <v>Master</v>
      </c>
      <c r="M151" s="5"/>
      <c r="N151" s="7" t="str">
        <f ca="1">IFERROR(__xludf.DUMMYFUNCTION("""COMPUTED_VALUE"""),"https://docs.google.com/document/d/1CyErVCulJFeM4crdjcdYPGw9WRRQG_bT/edit?usp=drive_link&amp;ouid=107596163405648766688&amp;rtpof=true&amp;sd=true")</f>
        <v>https://docs.google.com/document/d/1CyErVCulJFeM4crdjcdYPGw9WRRQG_bT/edit?usp=drive_link&amp;ouid=107596163405648766688&amp;rtpof=true&amp;sd=true</v>
      </c>
      <c r="O151" s="7" t="str">
        <f ca="1">IFERROR(__xludf.DUMMYFUNCTION("""COMPUTED_VALUE"""),"https://docs.google.com/document/d/1HKXxFgVjWiTtUnMBPA35r0ReKfgvUw3E/edit?usp=drive_link&amp;ouid=107596163405648766688&amp;rtpof=true&amp;sd=true")</f>
        <v>https://docs.google.com/document/d/1HKXxFgVjWiTtUnMBPA35r0ReKfgvUw3E/edit?usp=drive_link&amp;ouid=107596163405648766688&amp;rtpof=true&amp;sd=true</v>
      </c>
      <c r="P151" s="14">
        <f ca="1">IFERROR(__xludf.DUMMYFUNCTION("""COMPUTED_VALUE"""),8.4)</f>
        <v>8.4</v>
      </c>
      <c r="Q151" s="5"/>
      <c r="R151" s="5"/>
      <c r="S151" s="15">
        <f ca="1">IFERROR(__xludf.DUMMYFUNCTION("""COMPUTED_VALUE"""),44602)</f>
        <v>44602</v>
      </c>
      <c r="T151" s="5"/>
      <c r="U151" s="5" t="str">
        <f ca="1">IFERROR(__xludf.DUMMYFUNCTION("""COMPUTED_VALUE"""),"6x4")</f>
        <v>6x4</v>
      </c>
      <c r="V151" s="12" t="str">
        <f ca="1">IFERROR(__xludf.DUMMYFUNCTION("""COMPUTED_VALUE"""),"40")</f>
        <v>40</v>
      </c>
      <c r="W151" s="12" t="str">
        <f ca="1">IFERROR(__xludf.DUMMYFUNCTION("""COMPUTED_VALUE"""),"40")</f>
        <v>40</v>
      </c>
      <c r="X151" s="13">
        <f ca="1">IFERROR(__xludf.DUMMYFUNCTION("""COMPUTED_VALUE"""),95.41)</f>
        <v>95.41</v>
      </c>
      <c r="Y151" s="5" t="str">
        <f ca="1">IFERROR(__xludf.DUMMYFUNCTION("""COMPUTED_VALUE"""),"Medium")</f>
        <v>Medium</v>
      </c>
      <c r="Z151" s="5">
        <f ca="1">IFERROR(__xludf.DUMMYFUNCTION("""COMPUTED_VALUE"""),13.33)</f>
        <v>13.33</v>
      </c>
      <c r="AA151" s="14">
        <f ca="1">IFERROR(__xludf.DUMMYFUNCTION("""COMPUTED_VALUE"""),2400)</f>
        <v>2400</v>
      </c>
      <c r="AB151" s="5"/>
      <c r="AC151" s="5" t="str">
        <f ca="1">IFERROR(__xludf.DUMMYFUNCTION("""COMPUTED_VALUE"""),"Bonus Game with Free Spins, Scatter, Special Wild")</f>
        <v>Bonus Game with Free Spins, Scatter, Special Wild</v>
      </c>
      <c r="AD151" s="5" t="str">
        <f ca="1">IFERROR(__xludf.DUMMYFUNCTION("""COMPUTED_VALUE"""),"0.40/60")</f>
        <v>0.40/60</v>
      </c>
      <c r="AE151" s="5"/>
      <c r="AF151" s="5"/>
      <c r="AG151" s="10">
        <f ca="1">IFERROR(__xludf.DUMMYFUNCTION("""COMPUTED_VALUE"""),46157.4467939814)</f>
        <v>46157.446793981399</v>
      </c>
      <c r="AH151" s="5"/>
      <c r="AI151" s="5"/>
      <c r="AJ151" s="5"/>
      <c r="AK151" s="5">
        <f ca="1">IFERROR(__xludf.DUMMYFUNCTION("""COMPUTED_VALUE"""),1)</f>
        <v>1</v>
      </c>
      <c r="AL151" s="5" t="str">
        <f ca="1">IFERROR(__xludf.DUMMYFUNCTION("""COMPUTED_VALUE"""),"No")</f>
        <v>No</v>
      </c>
      <c r="AM151" s="5" t="str">
        <f ca="1">IFERROR(__xludf.DUMMYFUNCTION("""COMPUTED_VALUE"""),"No")</f>
        <v>No</v>
      </c>
      <c r="AN151" s="7" t="str">
        <f ca="1">IFERROR(__xludf.DUMMYFUNCTION("""COMPUTED_VALUE"""),"https://static.redstone.rs/games/40-cash-bells/")</f>
        <v>https://static.redstone.rs/games/40-cash-bells/</v>
      </c>
      <c r="AO151" s="5" t="str">
        <f ca="1">IFERROR(__xludf.DUMMYFUNCTION("""COMPUTED_VALUE"""),"No")</f>
        <v>No</v>
      </c>
      <c r="AP151" s="5" t="str">
        <f ca="1">IFERROR(__xludf.DUMMYFUNCTION("""COMPUTED_VALUE"""),"No")</f>
        <v>No</v>
      </c>
      <c r="AQ151" s="5" t="b">
        <f ca="1">IFERROR(__xludf.DUMMYFUNCTION("""COMPUTED_VALUE"""),TRUE)</f>
        <v>1</v>
      </c>
      <c r="AR151" s="5"/>
      <c r="AS151" s="5" t="str">
        <f ca="1">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AT151" s="5"/>
      <c r="AU151" s="5" t="str">
        <f ca="1">IFERROR(__xludf.DUMMYFUNCTION("""COMPUTED_VALUE"""),"Redstone")</f>
        <v>Redstone</v>
      </c>
      <c r="AV151" s="5"/>
      <c r="AW151" s="5"/>
      <c r="AX151" s="5"/>
      <c r="AY151" s="5"/>
      <c r="AZ151" s="5"/>
      <c r="BA151" s="5"/>
      <c r="BB151" s="5" t="b">
        <f ca="1">IFERROR(__xludf.DUMMYFUNCTION("""COMPUTED_VALUE"""),TRUE)</f>
        <v>1</v>
      </c>
      <c r="BC151" s="5" t="str">
        <f ca="1">IFERROR(__xludf.DUMMYFUNCTION("""COMPUTED_VALUE"""),"Redstone")</f>
        <v>Redstone</v>
      </c>
      <c r="BD151" s="7" t="str">
        <f ca="1">IFERROR(__xludf.DUMMYFUNCTION("""COMPUTED_VALUE"""),"https://static.redstone.rs/games/40-cash-bells/")</f>
        <v>https://static.redstone.rs/games/40-cash-bells/</v>
      </c>
      <c r="BE151" s="5" t="b">
        <f ca="1">IFERROR(__xludf.DUMMYFUNCTION("""COMPUTED_VALUE"""),TRUE)</f>
        <v>1</v>
      </c>
    </row>
    <row r="152" spans="1:57" x14ac:dyDescent="0.25">
      <c r="A152" s="5">
        <f ca="1">IFERROR(__xludf.DUMMYFUNCTION("""COMPUTED_VALUE"""),152)</f>
        <v>152</v>
      </c>
      <c r="B152" s="5">
        <f ca="1">IFERROR(__xludf.DUMMYFUNCTION("""COMPUTED_VALUE"""),151)</f>
        <v>151</v>
      </c>
      <c r="C152" s="5" t="str">
        <f ca="1">IFERROR(__xludf.DUMMYFUNCTION("""COMPUTED_VALUE"""),"Redstone")</f>
        <v>Redstone</v>
      </c>
      <c r="D152" s="5" t="str">
        <f ca="1">IFERROR(__xludf.DUMMYFUNCTION("""COMPUTED_VALUE"""),"Simply Runner")</f>
        <v>Simply Runner</v>
      </c>
      <c r="E152" s="5"/>
      <c r="F152" s="5" t="str">
        <f ca="1">IFERROR(__xludf.DUMMYFUNCTION("""COMPUTED_VALUE"""),"SimplyRunner")</f>
        <v>SimplyRunner</v>
      </c>
      <c r="G152" s="5" t="str">
        <f ca="1">IFERROR(__xludf.DUMMYFUNCTION("""COMPUTED_VALUE"""),"Planned")</f>
        <v>Planned</v>
      </c>
      <c r="H152" s="5"/>
      <c r="I152" s="5" t="str">
        <f ca="1">IFERROR(__xludf.DUMMYFUNCTION("""COMPUTED_VALUE"""),"Redstone")</f>
        <v>Redstone</v>
      </c>
      <c r="J152" s="5" t="str">
        <f ca="1">IFERROR(__xludf.DUMMYFUNCTION("""COMPUTED_VALUE"""),"JSON")</f>
        <v>JSON</v>
      </c>
      <c r="K152" s="5" t="str">
        <f ca="1">IFERROR(__xludf.DUMMYFUNCTION("""COMPUTED_VALUE"""),"Slot")</f>
        <v>Slot</v>
      </c>
      <c r="L152" s="5"/>
      <c r="M152" s="5"/>
      <c r="N152" s="5"/>
      <c r="O152" s="5"/>
      <c r="P152" s="5"/>
      <c r="Q152" s="5"/>
      <c r="R152" s="5"/>
      <c r="S152" s="5"/>
      <c r="T152" s="5"/>
      <c r="U152" s="5"/>
      <c r="V152" s="5"/>
      <c r="W152" s="5"/>
      <c r="X152" s="13">
        <f ca="1">IFERROR(__xludf.DUMMYFUNCTION("""COMPUTED_VALUE"""),0)</f>
        <v>0</v>
      </c>
      <c r="Y152" s="5"/>
      <c r="Z152" s="5">
        <f ca="1">IFERROR(__xludf.DUMMYFUNCTION("""COMPUTED_VALUE"""),0)</f>
        <v>0</v>
      </c>
      <c r="AA152" s="5"/>
      <c r="AB152" s="5"/>
      <c r="AC152" s="5"/>
      <c r="AD152" s="5"/>
      <c r="AE152" s="5"/>
      <c r="AF152" s="5"/>
      <c r="AG152" s="10">
        <f ca="1">IFERROR(__xludf.DUMMYFUNCTION("""COMPUTED_VALUE"""),46157.4722685185)</f>
        <v>46157.472268518497</v>
      </c>
      <c r="AH152" s="5"/>
      <c r="AI152" s="5"/>
      <c r="AJ152" s="5"/>
      <c r="AK152" s="5" t="str">
        <f ca="1">IFERROR(__xludf.DUMMYFUNCTION("""COMPUTED_VALUE"""),"#N/A")</f>
        <v>#N/A</v>
      </c>
      <c r="AL152" s="5" t="str">
        <f ca="1">IFERROR(__xludf.DUMMYFUNCTION("""COMPUTED_VALUE"""),"No")</f>
        <v>No</v>
      </c>
      <c r="AM152" s="5"/>
      <c r="AN152" s="5"/>
      <c r="AO152" s="5"/>
      <c r="AP152" s="5"/>
      <c r="AQ152" s="5"/>
      <c r="AR152" s="5"/>
      <c r="AS152" s="5"/>
      <c r="AT152" s="5"/>
      <c r="AU152" s="5" t="str">
        <f ca="1">IFERROR(__xludf.DUMMYFUNCTION("""COMPUTED_VALUE"""),"Redstone")</f>
        <v>Redstone</v>
      </c>
      <c r="AV152" s="5"/>
      <c r="AW152" s="5"/>
      <c r="AX152" s="5"/>
      <c r="AY152" s="5"/>
      <c r="AZ152" s="5"/>
      <c r="BA152" s="5"/>
      <c r="BB152" s="5"/>
      <c r="BC152" s="5" t="str">
        <f ca="1">IFERROR(__xludf.DUMMYFUNCTION("""COMPUTED_VALUE"""),"Redstone")</f>
        <v>Redstone</v>
      </c>
      <c r="BD152" s="5"/>
      <c r="BE152" s="5"/>
    </row>
    <row r="153" spans="1:57" x14ac:dyDescent="0.25">
      <c r="A153" s="5">
        <f ca="1">IFERROR(__xludf.DUMMYFUNCTION("""COMPUTED_VALUE"""),153)</f>
        <v>153</v>
      </c>
      <c r="B153" s="5">
        <f ca="1">IFERROR(__xludf.DUMMYFUNCTION("""COMPUTED_VALUE"""),152)</f>
        <v>152</v>
      </c>
      <c r="C153" s="5" t="str">
        <f ca="1">IFERROR(__xludf.DUMMYFUNCTION("""COMPUTED_VALUE"""),"Tiptop")</f>
        <v>Tiptop</v>
      </c>
      <c r="D153" s="5" t="str">
        <f ca="1">IFERROR(__xludf.DUMMYFUNCTION("""COMPUTED_VALUE"""),"20 Mega Flames")</f>
        <v>20 Mega Flames</v>
      </c>
      <c r="E153" s="5"/>
      <c r="F153" s="5" t="str">
        <f ca="1">IFERROR(__xludf.DUMMYFUNCTION("""COMPUTED_VALUE"""),"Unicorn20MegaFlames")</f>
        <v>Unicorn20MegaFlames</v>
      </c>
      <c r="G153" s="5" t="str">
        <f ca="1">IFERROR(__xludf.DUMMYFUNCTION("""COMPUTED_VALUE"""),"Live")</f>
        <v>Live</v>
      </c>
      <c r="H153" s="5"/>
      <c r="I153" s="5" t="str">
        <f ca="1">IFERROR(__xludf.DUMMYFUNCTION("""COMPUTED_VALUE"""),"TipTop")</f>
        <v>TipTop</v>
      </c>
      <c r="J153" s="5" t="str">
        <f ca="1">IFERROR(__xludf.DUMMYFUNCTION("""COMPUTED_VALUE"""),"JSON")</f>
        <v>JSON</v>
      </c>
      <c r="K153" s="5" t="str">
        <f ca="1">IFERROR(__xludf.DUMMYFUNCTION("""COMPUTED_VALUE"""),"Slot")</f>
        <v>Slot</v>
      </c>
      <c r="L153" s="5"/>
      <c r="M153" s="5"/>
      <c r="N153" s="5"/>
      <c r="O153" s="5"/>
      <c r="P153" s="14">
        <f ca="1">IFERROR(__xludf.DUMMYFUNCTION("""COMPUTED_VALUE"""),22.2)</f>
        <v>22.2</v>
      </c>
      <c r="Q153" s="5"/>
      <c r="R153" s="5"/>
      <c r="S153" s="15">
        <f ca="1">IFERROR(__xludf.DUMMYFUNCTION("""COMPUTED_VALUE"""),44649)</f>
        <v>44649</v>
      </c>
      <c r="T153" s="5"/>
      <c r="U153" s="5" t="str">
        <f ca="1">IFERROR(__xludf.DUMMYFUNCTION("""COMPUTED_VALUE"""),"5X3")</f>
        <v>5X3</v>
      </c>
      <c r="V153" s="12" t="str">
        <f ca="1">IFERROR(__xludf.DUMMYFUNCTION("""COMPUTED_VALUE"""),"20")</f>
        <v>20</v>
      </c>
      <c r="W153" s="12" t="str">
        <f ca="1">IFERROR(__xludf.DUMMYFUNCTION("""COMPUTED_VALUE"""),"20")</f>
        <v>20</v>
      </c>
      <c r="X153" s="5">
        <f ca="1">IFERROR(__xludf.DUMMYFUNCTION("""COMPUTED_VALUE"""),96)</f>
        <v>96</v>
      </c>
      <c r="Y153" s="5" t="str">
        <f ca="1">IFERROR(__xludf.DUMMYFUNCTION("""COMPUTED_VALUE"""),"Low")</f>
        <v>Low</v>
      </c>
      <c r="Z153" s="5">
        <f ca="1">IFERROR(__xludf.DUMMYFUNCTION("""COMPUTED_VALUE"""),30.07)</f>
        <v>30.07</v>
      </c>
      <c r="AA153" s="14">
        <f ca="1">IFERROR(__xludf.DUMMYFUNCTION("""COMPUTED_VALUE"""),200)</f>
        <v>200</v>
      </c>
      <c r="AB153" s="5"/>
      <c r="AC153" s="5"/>
      <c r="AD153" s="5" t="str">
        <f ca="1">IFERROR(__xludf.DUMMYFUNCTION("""COMPUTED_VALUE"""),"0.2/100")</f>
        <v>0.2/100</v>
      </c>
      <c r="AE153" s="5"/>
      <c r="AF153" s="5"/>
      <c r="AG153" s="10">
        <f ca="1">IFERROR(__xludf.DUMMYFUNCTION("""COMPUTED_VALUE"""),46197.4515046296)</f>
        <v>46197.4515046296</v>
      </c>
      <c r="AH153" s="5" t="str">
        <f ca="1">IFERROR(__xludf.DUMMYFUNCTION("""COMPUTED_VALUE"""),"selena.mihajlovic@fazi.rs")</f>
        <v>selena.mihajlovic@fazi.rs</v>
      </c>
      <c r="AI153" s="5"/>
      <c r="AJ153" s="5"/>
      <c r="AK153" s="5">
        <f ca="1">IFERROR(__xludf.DUMMYFUNCTION("""COMPUTED_VALUE"""),20)</f>
        <v>20</v>
      </c>
      <c r="AL153" s="5" t="str">
        <f ca="1">IFERROR(__xludf.DUMMYFUNCTION("""COMPUTED_VALUE"""),"No")</f>
        <v>No</v>
      </c>
      <c r="AM153" s="5"/>
      <c r="AN153" s="7" t="str">
        <f ca="1">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AO153" s="5"/>
      <c r="AP153" s="5"/>
      <c r="AQ153" s="5" t="b">
        <f ca="1">IFERROR(__xludf.DUMMYFUNCTION("""COMPUTED_VALUE"""),TRUE)</f>
        <v>1</v>
      </c>
      <c r="AR153" s="5"/>
      <c r="AS153" s="5" t="str">
        <f ca="1">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AT153" s="5"/>
      <c r="AU153" s="5" t="str">
        <f ca="1">IFERROR(__xludf.DUMMYFUNCTION("""COMPUTED_VALUE"""),"Fazi")</f>
        <v>Fazi</v>
      </c>
      <c r="AV153" s="5"/>
      <c r="AW153" s="5"/>
      <c r="AX153" s="5"/>
      <c r="AY153" s="5"/>
      <c r="AZ153" s="5"/>
      <c r="BA153" s="5"/>
      <c r="BB153" s="5" t="b">
        <f ca="1">IFERROR(__xludf.DUMMYFUNCTION("""COMPUTED_VALUE"""),TRUE)</f>
        <v>1</v>
      </c>
      <c r="BC153" s="5" t="str">
        <f ca="1">IFERROR(__xludf.DUMMYFUNCTION("""COMPUTED_VALUE"""),"Tiptop")</f>
        <v>Tiptop</v>
      </c>
      <c r="BD153" s="7" t="str">
        <f ca="1">IFERROR(__xludf.DUMMYFUNCTION("""COMPUTED_VALUE"""),"https://gameserver-store-client-area.orbionlimited.com/Home/IntegrationGameLaunch/client-area?moneyType=0&amp;gameName=Unicorn20MegaFlames&amp;platform=desktop&amp;languageCode=eng&amp;currency=EUR")</f>
        <v>https://gameserver-store-client-area.orbionlimited.com/Home/IntegrationGameLaunch/client-area?moneyType=0&amp;gameName=Unicorn20MegaFlames&amp;platform=desktop&amp;languageCode=eng&amp;currency=EUR</v>
      </c>
      <c r="BE153" s="5" t="b">
        <f ca="1">IFERROR(__xludf.DUMMYFUNCTION("""COMPUTED_VALUE"""),TRUE)</f>
        <v>1</v>
      </c>
    </row>
    <row r="154" spans="1:57" x14ac:dyDescent="0.25">
      <c r="A154" s="5">
        <f ca="1">IFERROR(__xludf.DUMMYFUNCTION("""COMPUTED_VALUE"""),154)</f>
        <v>154</v>
      </c>
      <c r="B154" s="5">
        <f ca="1">IFERROR(__xludf.DUMMYFUNCTION("""COMPUTED_VALUE"""),153)</f>
        <v>153</v>
      </c>
      <c r="C154" s="5" t="str">
        <f ca="1">IFERROR(__xludf.DUMMYFUNCTION("""COMPUTED_VALUE"""),"Fazi")</f>
        <v>Fazi</v>
      </c>
      <c r="D154" s="5" t="str">
        <f ca="1">IFERROR(__xludf.DUMMYFUNCTION("""COMPUTED_VALUE"""),"Very Hot 20")</f>
        <v>Very Hot 20</v>
      </c>
      <c r="E154" s="5" t="str">
        <f ca="1">IFERROR(__xludf.DUMMYFUNCTION("""COMPUTED_VALUE"""),"V2")</f>
        <v>V2</v>
      </c>
      <c r="F154" s="5" t="str">
        <f ca="1">IFERROR(__xludf.DUMMYFUNCTION("""COMPUTED_VALUE"""),"VeryHot20")</f>
        <v>VeryHot20</v>
      </c>
      <c r="G154" s="5" t="str">
        <f ca="1">IFERROR(__xludf.DUMMYFUNCTION("""COMPUTED_VALUE"""),"Live")</f>
        <v>Live</v>
      </c>
      <c r="H154" s="5"/>
      <c r="I154" s="5" t="str">
        <f ca="1">IFERROR(__xludf.DUMMYFUNCTION("""COMPUTED_VALUE"""),"V2")</f>
        <v>V2</v>
      </c>
      <c r="J154" s="5" t="str">
        <f ca="1">IFERROR(__xludf.DUMMYFUNCTION("""COMPUTED_VALUE"""),"JSON")</f>
        <v>JSON</v>
      </c>
      <c r="K154" s="5" t="str">
        <f ca="1">IFERROR(__xludf.DUMMYFUNCTION("""COMPUTED_VALUE"""),"Slot")</f>
        <v>Slot</v>
      </c>
      <c r="L154" s="5" t="str">
        <f ca="1">IFERROR(__xludf.DUMMYFUNCTION("""COMPUTED_VALUE"""),"Clone")</f>
        <v>Clone</v>
      </c>
      <c r="M154" s="5" t="str">
        <f ca="1">IFERROR(__xludf.DUMMYFUNCTION("""COMPUTED_VALUE"""),"Very Hot 5")</f>
        <v>Very Hot 5</v>
      </c>
      <c r="N154" s="5"/>
      <c r="O154" s="5"/>
      <c r="P154" s="14">
        <f ca="1">IFERROR(__xludf.DUMMYFUNCTION("""COMPUTED_VALUE"""),17.3)</f>
        <v>17.3</v>
      </c>
      <c r="Q154" s="5"/>
      <c r="R154" s="5"/>
      <c r="S154" s="15">
        <f ca="1">IFERROR(__xludf.DUMMYFUNCTION("""COMPUTED_VALUE"""),44613)</f>
        <v>44613</v>
      </c>
      <c r="T154" s="5" t="b">
        <f ca="1">IFERROR(__xludf.DUMMYFUNCTION("""COMPUTED_VALUE"""),TRUE)</f>
        <v>1</v>
      </c>
      <c r="U154" s="5" t="str">
        <f ca="1">IFERROR(__xludf.DUMMYFUNCTION("""COMPUTED_VALUE"""),"5x3")</f>
        <v>5x3</v>
      </c>
      <c r="V154" s="12" t="str">
        <f ca="1">IFERROR(__xludf.DUMMYFUNCTION("""COMPUTED_VALUE"""),"20")</f>
        <v>20</v>
      </c>
      <c r="W154" s="12" t="str">
        <f ca="1">IFERROR(__xludf.DUMMYFUNCTION("""COMPUTED_VALUE"""),"20")</f>
        <v>20</v>
      </c>
      <c r="X154" s="5">
        <f ca="1">IFERROR(__xludf.DUMMYFUNCTION("""COMPUTED_VALUE"""),96.504)</f>
        <v>96.504000000000005</v>
      </c>
      <c r="Y154" s="5" t="str">
        <f ca="1">IFERROR(__xludf.DUMMYFUNCTION("""COMPUTED_VALUE"""),"Medium")</f>
        <v>Medium</v>
      </c>
      <c r="Z154" s="5">
        <f ca="1">IFERROR(__xludf.DUMMYFUNCTION("""COMPUTED_VALUE"""),21.75)</f>
        <v>21.75</v>
      </c>
      <c r="AA154" s="14">
        <f ca="1">IFERROR(__xludf.DUMMYFUNCTION("""COMPUTED_VALUE"""),1231.5)</f>
        <v>1231.5</v>
      </c>
      <c r="AB154" s="5">
        <f ca="1">IFERROR(__xludf.DUMMYFUNCTION("""COMPUTED_VALUE"""),4)</f>
        <v>4</v>
      </c>
      <c r="AC154" s="5" t="str">
        <f ca="1">IFERROR(__xludf.DUMMYFUNCTION("""COMPUTED_VALUE"""),"Scatter, Expanding Wild")</f>
        <v>Scatter, Expanding Wild</v>
      </c>
      <c r="AD154" s="5" t="str">
        <f ca="1">IFERROR(__xludf.DUMMYFUNCTION("""COMPUTED_VALUE"""),"0.2/50")</f>
        <v>0.2/50</v>
      </c>
      <c r="AE154" s="5"/>
      <c r="AF154" s="5"/>
      <c r="AG154" s="10">
        <f ca="1">IFERROR(__xludf.DUMMYFUNCTION("""COMPUTED_VALUE"""),46104.4265393518)</f>
        <v>46104.4265393518</v>
      </c>
      <c r="AH154" s="5" t="str">
        <f ca="1">IFERROR(__xludf.DUMMYFUNCTION("""COMPUTED_VALUE"""),"marko.tepavac@fazi.rs")</f>
        <v>marko.tepavac@fazi.rs</v>
      </c>
      <c r="AI154" s="5"/>
      <c r="AJ154" s="5"/>
      <c r="AK154" s="5">
        <f ca="1">IFERROR(__xludf.DUMMYFUNCTION("""COMPUTED_VALUE"""),20)</f>
        <v>20</v>
      </c>
      <c r="AL154" s="5" t="str">
        <f ca="1">IFERROR(__xludf.DUMMYFUNCTION("""COMPUTED_VALUE"""),"Yes")</f>
        <v>Yes</v>
      </c>
      <c r="AM154" s="5"/>
      <c r="AN154" s="7" t="str">
        <f ca="1">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AO154" s="5" t="str">
        <f ca="1">IFERROR(__xludf.DUMMYFUNCTION("""COMPUTED_VALUE"""),"Yes")</f>
        <v>Yes</v>
      </c>
      <c r="AP154" s="5" t="str">
        <f ca="1">IFERROR(__xludf.DUMMYFUNCTION("""COMPUTED_VALUE"""),"Yes")</f>
        <v>Yes</v>
      </c>
      <c r="AQ154" s="5" t="b">
        <f ca="1">IFERROR(__xludf.DUMMYFUNCTION("""COMPUTED_VALUE"""),TRUE)</f>
        <v>1</v>
      </c>
      <c r="AR154" s="5"/>
      <c r="AS154" s="5" t="str">
        <f ca="1">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AT154" s="5" t="str">
        <f ca="1">IFERROR(__xludf.DUMMYFUNCTION("""COMPUTED_VALUE"""),"No")</f>
        <v>No</v>
      </c>
      <c r="AU154" s="5" t="str">
        <f ca="1">IFERROR(__xludf.DUMMYFUNCTION("""COMPUTED_VALUE"""),"Fazi")</f>
        <v>Fazi</v>
      </c>
      <c r="AV154" s="5"/>
      <c r="AW154" s="5"/>
      <c r="AX154" s="5"/>
      <c r="AY154" s="5" t="str">
        <f ca="1">IFERROR(__xludf.DUMMYFUNCTION("""COMPUTED_VALUE"""),"87.5%, 89.5%, 91.5%, 93.5%, 94.5%, 95.5%, 96.5%")</f>
        <v>87.5%, 89.5%, 91.5%, 93.5%, 94.5%, 95.5%, 96.5%</v>
      </c>
      <c r="AZ154" s="5"/>
      <c r="BA154" s="5" t="str">
        <f ca="1">IFERROR(__xludf.DUMMYFUNCTION("""COMPUTED_VALUE"""),"")</f>
        <v/>
      </c>
      <c r="BB154" s="5"/>
      <c r="BC154" s="5" t="str">
        <f ca="1">IFERROR(__xludf.DUMMYFUNCTION("""COMPUTED_VALUE"""),"Foxi")</f>
        <v>Foxi</v>
      </c>
      <c r="BD154" s="7" t="str">
        <f ca="1">IFERROR(__xludf.DUMMYFUNCTION("""COMPUTED_VALUE"""),"https://gameserver-store-client-area.orbionlimited.com/Home/IntegrationGameLaunch/client-area?moneyType=0&amp;gameName=VeryHot20&amp;platform=desktop&amp;languageCode=eng&amp;currency=EUR")</f>
        <v>https://gameserver-store-client-area.orbionlimited.com/Home/IntegrationGameLaunch/client-area?moneyType=0&amp;gameName=VeryHot20&amp;platform=desktop&amp;languageCode=eng&amp;currency=EUR</v>
      </c>
      <c r="BE154" s="5" t="b">
        <f ca="1">IFERROR(__xludf.DUMMYFUNCTION("""COMPUTED_VALUE"""),TRUE)</f>
        <v>1</v>
      </c>
    </row>
    <row r="155" spans="1:57" x14ac:dyDescent="0.25">
      <c r="A155" s="5">
        <f ca="1">IFERROR(__xludf.DUMMYFUNCTION("""COMPUTED_VALUE"""),155)</f>
        <v>155</v>
      </c>
      <c r="B155" s="5">
        <f ca="1">IFERROR(__xludf.DUMMYFUNCTION("""COMPUTED_VALUE"""),154)</f>
        <v>154</v>
      </c>
      <c r="C155" s="5" t="str">
        <f ca="1">IFERROR(__xludf.DUMMYFUNCTION("""COMPUTED_VALUE"""),"Fazi")</f>
        <v>Fazi</v>
      </c>
      <c r="D155" s="5" t="str">
        <f ca="1">IFERROR(__xludf.DUMMYFUNCTION("""COMPUTED_VALUE"""),"King Of Thunder")</f>
        <v>King Of Thunder</v>
      </c>
      <c r="E155" s="5" t="str">
        <f ca="1">IFERROR(__xludf.DUMMYFUNCTION("""COMPUTED_VALUE"""),"V4-1")</f>
        <v>V4-1</v>
      </c>
      <c r="F155" s="5" t="str">
        <f ca="1">IFERROR(__xludf.DUMMYFUNCTION("""COMPUTED_VALUE"""),"KingOfThunder")</f>
        <v>KingOfThunder</v>
      </c>
      <c r="G155" s="5" t="str">
        <f ca="1">IFERROR(__xludf.DUMMYFUNCTION("""COMPUTED_VALUE"""),"Live")</f>
        <v>Live</v>
      </c>
      <c r="H155" s="5"/>
      <c r="I155" s="5" t="str">
        <f ca="1">IFERROR(__xludf.DUMMYFUNCTION("""COMPUTED_VALUE"""),"V4")</f>
        <v>V4</v>
      </c>
      <c r="J155" s="5" t="str">
        <f ca="1">IFERROR(__xludf.DUMMYFUNCTION("""COMPUTED_VALUE"""),"JSON")</f>
        <v>JSON</v>
      </c>
      <c r="K155" s="5" t="str">
        <f ca="1">IFERROR(__xludf.DUMMYFUNCTION("""COMPUTED_VALUE"""),"Slot")</f>
        <v>Slot</v>
      </c>
      <c r="L155" s="5"/>
      <c r="M155" s="5"/>
      <c r="N155" s="5"/>
      <c r="O155" s="5"/>
      <c r="P155" s="14">
        <f ca="1">IFERROR(__xludf.DUMMYFUNCTION("""COMPUTED_VALUE"""),77.3)</f>
        <v>77.3</v>
      </c>
      <c r="Q155" s="5"/>
      <c r="R155" s="5"/>
      <c r="S155" s="15">
        <f ca="1">IFERROR(__xludf.DUMMYFUNCTION("""COMPUTED_VALUE"""),44911)</f>
        <v>44911</v>
      </c>
      <c r="T155" s="5" t="b">
        <f ca="1">IFERROR(__xludf.DUMMYFUNCTION("""COMPUTED_VALUE"""),TRUE)</f>
        <v>1</v>
      </c>
      <c r="U155" s="5" t="str">
        <f ca="1">IFERROR(__xludf.DUMMYFUNCTION("""COMPUTED_VALUE"""),"5x3")</f>
        <v>5x3</v>
      </c>
      <c r="V155" s="12" t="str">
        <f ca="1">IFERROR(__xludf.DUMMYFUNCTION("""COMPUTED_VALUE"""),"10")</f>
        <v>10</v>
      </c>
      <c r="W155" s="12" t="str">
        <f ca="1">IFERROR(__xludf.DUMMYFUNCTION("""COMPUTED_VALUE"""),"10")</f>
        <v>10</v>
      </c>
      <c r="X155" s="5">
        <f ca="1">IFERROR(__xludf.DUMMYFUNCTION("""COMPUTED_VALUE"""),96.214)</f>
        <v>96.213999999999999</v>
      </c>
      <c r="Y155" s="5" t="str">
        <f ca="1">IFERROR(__xludf.DUMMYFUNCTION("""COMPUTED_VALUE"""),"Medium")</f>
        <v>Medium</v>
      </c>
      <c r="Z155" s="5">
        <f ca="1">IFERROR(__xludf.DUMMYFUNCTION("""COMPUTED_VALUE"""),15.02)</f>
        <v>15.02</v>
      </c>
      <c r="AA155" s="14">
        <f ca="1">IFERROR(__xludf.DUMMYFUNCTION("""COMPUTED_VALUE"""),1656)</f>
        <v>1656</v>
      </c>
      <c r="AB155" s="5">
        <f ca="1">IFERROR(__xludf.DUMMYFUNCTION("""COMPUTED_VALUE"""),202)</f>
        <v>202</v>
      </c>
      <c r="AC155" s="5" t="str">
        <f ca="1">IFERROR(__xludf.DUMMYFUNCTION("""COMPUTED_VALUE"""),"Buy Bonus, Shifting Wild, Bonus Game with Free Spins")</f>
        <v>Buy Bonus, Shifting Wild, Bonus Game with Free Spins</v>
      </c>
      <c r="AD155" s="5" t="str">
        <f ca="1">IFERROR(__xludf.DUMMYFUNCTION("""COMPUTED_VALUE"""),"0.1/40")</f>
        <v>0.1/40</v>
      </c>
      <c r="AE155" s="5"/>
      <c r="AF155" s="5"/>
      <c r="AG155" s="10">
        <f ca="1">IFERROR(__xludf.DUMMYFUNCTION("""COMPUTED_VALUE"""),46162.4188078703)</f>
        <v>46162.418807870301</v>
      </c>
      <c r="AH155" s="5" t="str">
        <f ca="1">IFERROR(__xludf.DUMMYFUNCTION("""COMPUTED_VALUE"""),"djordje.petrovic@fazi.rs")</f>
        <v>djordje.petrovic@fazi.rs</v>
      </c>
      <c r="AI155" s="5"/>
      <c r="AJ155" s="5"/>
      <c r="AK155" s="5">
        <f ca="1">IFERROR(__xludf.DUMMYFUNCTION("""COMPUTED_VALUE"""),10)</f>
        <v>10</v>
      </c>
      <c r="AL155" s="5" t="str">
        <f ca="1">IFERROR(__xludf.DUMMYFUNCTION("""COMPUTED_VALUE"""),"Yes")</f>
        <v>Yes</v>
      </c>
      <c r="AM155" s="5"/>
      <c r="AN155" s="7" t="str">
        <f ca="1">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AO155" s="5" t="str">
        <f ca="1">IFERROR(__xludf.DUMMYFUNCTION("""COMPUTED_VALUE"""),"Yes")</f>
        <v>Yes</v>
      </c>
      <c r="AP155" s="5" t="str">
        <f ca="1">IFERROR(__xludf.DUMMYFUNCTION("""COMPUTED_VALUE"""),"Yes")</f>
        <v>Yes</v>
      </c>
      <c r="AQ155" s="5" t="b">
        <f ca="1">IFERROR(__xludf.DUMMYFUNCTION("""COMPUTED_VALUE"""),TRUE)</f>
        <v>1</v>
      </c>
      <c r="AR155" s="5"/>
      <c r="AS155" s="5" t="str">
        <f ca="1">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AT155" s="5" t="str">
        <f ca="1">IFERROR(__xludf.DUMMYFUNCTION("""COMPUTED_VALUE"""),"Yes")</f>
        <v>Yes</v>
      </c>
      <c r="AU155" s="5" t="str">
        <f ca="1">IFERROR(__xludf.DUMMYFUNCTION("""COMPUTED_VALUE"""),"Fazi")</f>
        <v>Fazi</v>
      </c>
      <c r="AV155" s="5"/>
      <c r="AW155"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55" s="5"/>
      <c r="AY155" s="5"/>
      <c r="AZ155" s="5"/>
      <c r="BA155" s="5">
        <f ca="1">IFERROR(__xludf.DUMMYFUNCTION("""COMPUTED_VALUE"""),70)</f>
        <v>70</v>
      </c>
      <c r="BB155" s="5"/>
      <c r="BC155" s="5" t="str">
        <f ca="1">IFERROR(__xludf.DUMMYFUNCTION("""COMPUTED_VALUE"""),"Foxi")</f>
        <v>Foxi</v>
      </c>
      <c r="BD155" s="7" t="str">
        <f ca="1">IFERROR(__xludf.DUMMYFUNCTION("""COMPUTED_VALUE"""),"https://gameserver-store-client-area.orbionlimited.com/Home/IntegrationGameLaunch/client-area?moneyType=0&amp;gameName=KingOfThunder&amp;platform=desktop&amp;languageCode=eng&amp;currency=EUR")</f>
        <v>https://gameserver-store-client-area.orbionlimited.com/Home/IntegrationGameLaunch/client-area?moneyType=0&amp;gameName=KingOfThunder&amp;platform=desktop&amp;languageCode=eng&amp;currency=EUR</v>
      </c>
      <c r="BE155" s="5" t="b">
        <f ca="1">IFERROR(__xludf.DUMMYFUNCTION("""COMPUTED_VALUE"""),TRUE)</f>
        <v>1</v>
      </c>
    </row>
    <row r="156" spans="1:57" x14ac:dyDescent="0.25">
      <c r="A156" s="5">
        <f ca="1">IFERROR(__xludf.DUMMYFUNCTION("""COMPUTED_VALUE"""),156)</f>
        <v>156</v>
      </c>
      <c r="B156" s="5">
        <f ca="1">IFERROR(__xludf.DUMMYFUNCTION("""COMPUTED_VALUE"""),155)</f>
        <v>155</v>
      </c>
      <c r="C156" s="5" t="str">
        <f ca="1">IFERROR(__xludf.DUMMYFUNCTION("""COMPUTED_VALUE"""),"Fazi")</f>
        <v>Fazi</v>
      </c>
      <c r="D156" s="5" t="str">
        <f ca="1">IFERROR(__xludf.DUMMYFUNCTION("""COMPUTED_VALUE"""),"Book Of Spells 2")</f>
        <v>Book Of Spells 2</v>
      </c>
      <c r="E156" s="5" t="str">
        <f ca="1">IFERROR(__xludf.DUMMYFUNCTION("""COMPUTED_VALUE"""),"V2")</f>
        <v>V2</v>
      </c>
      <c r="F156" s="5" t="str">
        <f ca="1">IFERROR(__xludf.DUMMYFUNCTION("""COMPUTED_VALUE"""),"BookOfSpells2")</f>
        <v>BookOfSpells2</v>
      </c>
      <c r="G156" s="5" t="str">
        <f ca="1">IFERROR(__xludf.DUMMYFUNCTION("""COMPUTED_VALUE"""),"Live")</f>
        <v>Live</v>
      </c>
      <c r="H156" s="5"/>
      <c r="I156" s="5" t="str">
        <f ca="1">IFERROR(__xludf.DUMMYFUNCTION("""COMPUTED_VALUE"""),"V2")</f>
        <v>V2</v>
      </c>
      <c r="J156" s="5" t="str">
        <f ca="1">IFERROR(__xludf.DUMMYFUNCTION("""COMPUTED_VALUE"""),"JSON")</f>
        <v>JSON</v>
      </c>
      <c r="K156" s="5" t="str">
        <f ca="1">IFERROR(__xludf.DUMMYFUNCTION("""COMPUTED_VALUE"""),"Slot")</f>
        <v>Slot</v>
      </c>
      <c r="L156" s="5" t="str">
        <f ca="1">IFERROR(__xludf.DUMMYFUNCTION("""COMPUTED_VALUE"""),"Clone")</f>
        <v>Clone</v>
      </c>
      <c r="M156" s="5" t="str">
        <f ca="1">IFERROR(__xludf.DUMMYFUNCTION("""COMPUTED_VALUE"""),"Book of Spells")</f>
        <v>Book of Spells</v>
      </c>
      <c r="N156" s="5"/>
      <c r="O156" s="5"/>
      <c r="P156" s="14">
        <f ca="1">IFERROR(__xludf.DUMMYFUNCTION("""COMPUTED_VALUE"""),31.1)</f>
        <v>31.1</v>
      </c>
      <c r="Q156" s="5"/>
      <c r="R156" s="5"/>
      <c r="S156" s="15">
        <f ca="1">IFERROR(__xludf.DUMMYFUNCTION("""COMPUTED_VALUE"""),44759)</f>
        <v>44759</v>
      </c>
      <c r="T156" s="5"/>
      <c r="U156" s="5" t="str">
        <f ca="1">IFERROR(__xludf.DUMMYFUNCTION("""COMPUTED_VALUE"""),"5x3")</f>
        <v>5x3</v>
      </c>
      <c r="V156" s="12" t="str">
        <f ca="1">IFERROR(__xludf.DUMMYFUNCTION("""COMPUTED_VALUE"""),"10")</f>
        <v>10</v>
      </c>
      <c r="W156" s="12" t="str">
        <f ca="1">IFERROR(__xludf.DUMMYFUNCTION("""COMPUTED_VALUE"""),"1,3,5,7,10")</f>
        <v>1,3,5,7,10</v>
      </c>
      <c r="X156" s="5">
        <f ca="1">IFERROR(__xludf.DUMMYFUNCTION("""COMPUTED_VALUE"""),96.064)</f>
        <v>96.063999999999993</v>
      </c>
      <c r="Y156" s="5" t="str">
        <f ca="1">IFERROR(__xludf.DUMMYFUNCTION("""COMPUTED_VALUE"""),"High")</f>
        <v>High</v>
      </c>
      <c r="Z156" s="5">
        <f ca="1">IFERROR(__xludf.DUMMYFUNCTION("""COMPUTED_VALUE"""),31.47)</f>
        <v>31.47</v>
      </c>
      <c r="AA156" s="14">
        <f ca="1">IFERROR(__xludf.DUMMYFUNCTION("""COMPUTED_VALUE"""),5512)</f>
        <v>5512</v>
      </c>
      <c r="AB156" s="5">
        <f ca="1">IFERROR(__xludf.DUMMYFUNCTION("""COMPUTED_VALUE"""),212)</f>
        <v>212</v>
      </c>
      <c r="AC156" s="5" t="str">
        <f ca="1">IFERROR(__xludf.DUMMYFUNCTION("""COMPUTED_VALUE"""),"Buy Bonus, Book Of Game, Expanding Wild, Bonus Game with Free Spins")</f>
        <v>Buy Bonus, Book Of Game, Expanding Wild, Bonus Game with Free Spins</v>
      </c>
      <c r="AD156" s="5" t="str">
        <f ca="1">IFERROR(__xludf.DUMMYFUNCTION("""COMPUTED_VALUE"""),"0.01/40")</f>
        <v>0.01/40</v>
      </c>
      <c r="AE156" s="5"/>
      <c r="AF156" s="5"/>
      <c r="AG156" s="10">
        <f ca="1">IFERROR(__xludf.DUMMYFUNCTION("""COMPUTED_VALUE"""),46083.6844212963)</f>
        <v>46083.684421296297</v>
      </c>
      <c r="AH156" s="5" t="str">
        <f ca="1">IFERROR(__xludf.DUMMYFUNCTION("""COMPUTED_VALUE"""),"milutin.toskic@fazi.rs")</f>
        <v>milutin.toskic@fazi.rs</v>
      </c>
      <c r="AI156" s="5"/>
      <c r="AJ156" s="5"/>
      <c r="AK156" s="5">
        <f ca="1">IFERROR(__xludf.DUMMYFUNCTION("""COMPUTED_VALUE"""),10)</f>
        <v>10</v>
      </c>
      <c r="AL156" s="5" t="str">
        <f ca="1">IFERROR(__xludf.DUMMYFUNCTION("""COMPUTED_VALUE"""),"Yes")</f>
        <v>Yes</v>
      </c>
      <c r="AM156" s="5"/>
      <c r="AN156" s="7" t="str">
        <f ca="1">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AO156" s="5" t="str">
        <f ca="1">IFERROR(__xludf.DUMMYFUNCTION("""COMPUTED_VALUE"""),"Yes")</f>
        <v>Yes</v>
      </c>
      <c r="AP156" s="5"/>
      <c r="AQ156" s="5" t="b">
        <f ca="1">IFERROR(__xludf.DUMMYFUNCTION("""COMPUTED_VALUE"""),TRUE)</f>
        <v>1</v>
      </c>
      <c r="AR156" s="5"/>
      <c r="AS156" s="5" t="str">
        <f ca="1">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AT156" s="5"/>
      <c r="AU156" s="5" t="str">
        <f ca="1">IFERROR(__xludf.DUMMYFUNCTION("""COMPUTED_VALUE"""),"Fazi")</f>
        <v>Fazi</v>
      </c>
      <c r="AV156" s="5"/>
      <c r="AW156" s="5"/>
      <c r="AX156" s="5"/>
      <c r="AY156" s="5"/>
      <c r="AZ156" s="5"/>
      <c r="BA156" s="5" t="str">
        <f ca="1">IFERROR(__xludf.DUMMYFUNCTION("""COMPUTED_VALUE"""),"110")</f>
        <v>110</v>
      </c>
      <c r="BB156" s="5"/>
      <c r="BC156" s="5" t="str">
        <f ca="1">IFERROR(__xludf.DUMMYFUNCTION("""COMPUTED_VALUE"""),"Foxi")</f>
        <v>Foxi</v>
      </c>
      <c r="BD156" s="7" t="str">
        <f ca="1">IFERROR(__xludf.DUMMYFUNCTION("""COMPUTED_VALUE"""),"https://gameserver-store-client-area.orbionlimited.com/Home/IntegrationGameLaunch/client-area?moneyType=0&amp;gameName=BookOfSpells2&amp;platform=desktop&amp;languageCode=eng&amp;currency=EUR")</f>
        <v>https://gameserver-store-client-area.orbionlimited.com/Home/IntegrationGameLaunch/client-area?moneyType=0&amp;gameName=BookOfSpells2&amp;platform=desktop&amp;languageCode=eng&amp;currency=EUR</v>
      </c>
      <c r="BE156" s="5" t="b">
        <f ca="1">IFERROR(__xludf.DUMMYFUNCTION("""COMPUTED_VALUE"""),TRUE)</f>
        <v>1</v>
      </c>
    </row>
    <row r="157" spans="1:57" x14ac:dyDescent="0.25">
      <c r="A157" s="5">
        <f ca="1">IFERROR(__xludf.DUMMYFUNCTION("""COMPUTED_VALUE"""),157)</f>
        <v>157</v>
      </c>
      <c r="B157" s="5">
        <f ca="1">IFERROR(__xludf.DUMMYFUNCTION("""COMPUTED_VALUE"""),156)</f>
        <v>156</v>
      </c>
      <c r="C157" s="5" t="str">
        <f ca="1">IFERROR(__xludf.DUMMYFUNCTION("""COMPUTED_VALUE"""),"Fazi")</f>
        <v>Fazi</v>
      </c>
      <c r="D157" s="5" t="str">
        <f ca="1">IFERROR(__xludf.DUMMYFUNCTION("""COMPUTED_VALUE"""),"Crystal Hot 40 Max")</f>
        <v>Crystal Hot 40 Max</v>
      </c>
      <c r="E157" s="5" t="str">
        <f ca="1">IFERROR(__xludf.DUMMYFUNCTION("""COMPUTED_VALUE"""),"V2")</f>
        <v>V2</v>
      </c>
      <c r="F157" s="5" t="str">
        <f ca="1">IFERROR(__xludf.DUMMYFUNCTION("""COMPUTED_VALUE"""),"CrystalHot40Max")</f>
        <v>CrystalHot40Max</v>
      </c>
      <c r="G157" s="5" t="str">
        <f ca="1">IFERROR(__xludf.DUMMYFUNCTION("""COMPUTED_VALUE"""),"Live")</f>
        <v>Live</v>
      </c>
      <c r="H157" s="5"/>
      <c r="I157" s="5" t="str">
        <f ca="1">IFERROR(__xludf.DUMMYFUNCTION("""COMPUTED_VALUE"""),"V2")</f>
        <v>V2</v>
      </c>
      <c r="J157" s="5" t="str">
        <f ca="1">IFERROR(__xludf.DUMMYFUNCTION("""COMPUTED_VALUE"""),"Binary")</f>
        <v>Binary</v>
      </c>
      <c r="K157" s="5" t="str">
        <f ca="1">IFERROR(__xludf.DUMMYFUNCTION("""COMPUTED_VALUE"""),"Slot")</f>
        <v>Slot</v>
      </c>
      <c r="L157" s="5"/>
      <c r="M157" s="5"/>
      <c r="N157" s="5"/>
      <c r="O157" s="5"/>
      <c r="P157" s="14">
        <f ca="1">IFERROR(__xludf.DUMMYFUNCTION("""COMPUTED_VALUE"""),32.7)</f>
        <v>32.700000000000003</v>
      </c>
      <c r="Q157" s="5"/>
      <c r="R157" s="5"/>
      <c r="S157" s="15">
        <f ca="1">IFERROR(__xludf.DUMMYFUNCTION("""COMPUTED_VALUE"""),44679)</f>
        <v>44679</v>
      </c>
      <c r="T157" s="5" t="b">
        <f ca="1">IFERROR(__xludf.DUMMYFUNCTION("""COMPUTED_VALUE"""),TRUE)</f>
        <v>1</v>
      </c>
      <c r="U157" s="5" t="str">
        <f ca="1">IFERROR(__xludf.DUMMYFUNCTION("""COMPUTED_VALUE"""),"5x4")</f>
        <v>5x4</v>
      </c>
      <c r="V157" s="12" t="str">
        <f ca="1">IFERROR(__xludf.DUMMYFUNCTION("""COMPUTED_VALUE"""),"40")</f>
        <v>40</v>
      </c>
      <c r="W157" s="12" t="str">
        <f ca="1">IFERROR(__xludf.DUMMYFUNCTION("""COMPUTED_VALUE"""),"40")</f>
        <v>40</v>
      </c>
      <c r="X157" s="5">
        <f ca="1">IFERROR(__xludf.DUMMYFUNCTION("""COMPUTED_VALUE"""),96.031)</f>
        <v>96.031000000000006</v>
      </c>
      <c r="Y157" s="5" t="str">
        <f ca="1">IFERROR(__xludf.DUMMYFUNCTION("""COMPUTED_VALUE"""),"Low")</f>
        <v>Low</v>
      </c>
      <c r="Z157" s="5">
        <f ca="1">IFERROR(__xludf.DUMMYFUNCTION("""COMPUTED_VALUE"""),14.28)</f>
        <v>14.28</v>
      </c>
      <c r="AA157" s="14">
        <f ca="1">IFERROR(__xludf.DUMMYFUNCTION("""COMPUTED_VALUE"""),1000)</f>
        <v>1000</v>
      </c>
      <c r="AB157" s="5">
        <f ca="1">IFERROR(__xludf.DUMMYFUNCTION("""COMPUTED_VALUE"""),6)</f>
        <v>6</v>
      </c>
      <c r="AC157" s="5" t="str">
        <f ca="1">IFERROR(__xludf.DUMMYFUNCTION("""COMPUTED_VALUE"""),"Wild Symbol, Scatter, Expanding Wild")</f>
        <v>Wild Symbol, Scatter, Expanding Wild</v>
      </c>
      <c r="AD157" s="5" t="str">
        <f ca="1">IFERROR(__xludf.DUMMYFUNCTION("""COMPUTED_VALUE"""),"0.4/60")</f>
        <v>0.4/60</v>
      </c>
      <c r="AE157" s="5"/>
      <c r="AF157" s="5"/>
      <c r="AG157" s="5"/>
      <c r="AH157" s="5"/>
      <c r="AI157" s="5"/>
      <c r="AJ157" s="5"/>
      <c r="AK157" s="5">
        <f ca="1">IFERROR(__xludf.DUMMYFUNCTION("""COMPUTED_VALUE"""),40)</f>
        <v>40</v>
      </c>
      <c r="AL157" s="5" t="str">
        <f ca="1">IFERROR(__xludf.DUMMYFUNCTION("""COMPUTED_VALUE"""),"Yes")</f>
        <v>Yes</v>
      </c>
      <c r="AM157" s="5"/>
      <c r="AN157" s="7" t="str">
        <f ca="1">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AO157" s="5"/>
      <c r="AP157" s="5"/>
      <c r="AQ157" s="5" t="b">
        <f ca="1">IFERROR(__xludf.DUMMYFUNCTION("""COMPUTED_VALUE"""),TRUE)</f>
        <v>1</v>
      </c>
      <c r="AR157" s="5"/>
      <c r="AS157" s="5" t="str">
        <f ca="1">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157" s="5"/>
      <c r="AU157" s="5" t="str">
        <f ca="1">IFERROR(__xludf.DUMMYFUNCTION("""COMPUTED_VALUE"""),"Fazi")</f>
        <v>Fazi</v>
      </c>
      <c r="AV157" s="5"/>
      <c r="AW157" s="5"/>
      <c r="AX157" s="5"/>
      <c r="AY157" s="5"/>
      <c r="AZ157" s="5"/>
      <c r="BA157" s="5" t="str">
        <f ca="1">IFERROR(__xludf.DUMMYFUNCTION("""COMPUTED_VALUE"""),"")</f>
        <v/>
      </c>
      <c r="BB157" s="5"/>
      <c r="BC157" s="5" t="str">
        <f ca="1">IFERROR(__xludf.DUMMYFUNCTION("""COMPUTED_VALUE"""),"Foxi")</f>
        <v>Foxi</v>
      </c>
      <c r="BD157" s="7" t="str">
        <f ca="1">IFERROR(__xludf.DUMMYFUNCTION("""COMPUTED_VALUE"""),"https://gameserver-store-client-area.orbionlimited.com/Home/IntegrationGameLaunch/client-area?moneyType=0&amp;gameName=CrystalHot40Max&amp;platform=desktop&amp;languageCode=eng&amp;currency=EUR")</f>
        <v>https://gameserver-store-client-area.orbionlimited.com/Home/IntegrationGameLaunch/client-area?moneyType=0&amp;gameName=CrystalHot40Max&amp;platform=desktop&amp;languageCode=eng&amp;currency=EUR</v>
      </c>
      <c r="BE157" s="5" t="b">
        <f ca="1">IFERROR(__xludf.DUMMYFUNCTION("""COMPUTED_VALUE"""),TRUE)</f>
        <v>1</v>
      </c>
    </row>
    <row r="158" spans="1:57" x14ac:dyDescent="0.25">
      <c r="A158" s="5">
        <f ca="1">IFERROR(__xludf.DUMMYFUNCTION("""COMPUTED_VALUE"""),158)</f>
        <v>158</v>
      </c>
      <c r="B158" s="5">
        <f ca="1">IFERROR(__xludf.DUMMYFUNCTION("""COMPUTED_VALUE"""),157)</f>
        <v>157</v>
      </c>
      <c r="C158" s="5" t="str">
        <f ca="1">IFERROR(__xludf.DUMMYFUNCTION("""COMPUTED_VALUE"""),"Fazi")</f>
        <v>Fazi</v>
      </c>
      <c r="D158" s="5" t="str">
        <f ca="1">IFERROR(__xludf.DUMMYFUNCTION("""COMPUTED_VALUE"""),"King Of My Castle Dice")</f>
        <v>King Of My Castle Dice</v>
      </c>
      <c r="E158" s="5" t="str">
        <f ca="1">IFERROR(__xludf.DUMMYFUNCTION("""COMPUTED_VALUE"""),"V2")</f>
        <v>V2</v>
      </c>
      <c r="F158" s="5" t="str">
        <f ca="1">IFERROR(__xludf.DUMMYFUNCTION("""COMPUTED_VALUE"""),"KingOfMyCastleDice")</f>
        <v>KingOfMyCastleDice</v>
      </c>
      <c r="G158" s="5" t="str">
        <f ca="1">IFERROR(__xludf.DUMMYFUNCTION("""COMPUTED_VALUE"""),"Live")</f>
        <v>Live</v>
      </c>
      <c r="H158" s="5" t="str">
        <f ca="1">IFERROR(__xludf.DUMMYFUNCTION("""COMPUTED_VALUE"""),"Gaming1 - Ice Elite")</f>
        <v>Gaming1 - Ice Elite</v>
      </c>
      <c r="I158" s="5" t="str">
        <f ca="1">IFERROR(__xludf.DUMMYFUNCTION("""COMPUTED_VALUE"""),"V2")</f>
        <v>V2</v>
      </c>
      <c r="J158" s="5" t="str">
        <f ca="1">IFERROR(__xludf.DUMMYFUNCTION("""COMPUTED_VALUE"""),"Binary")</f>
        <v>Binary</v>
      </c>
      <c r="K158" s="5" t="str">
        <f ca="1">IFERROR(__xludf.DUMMYFUNCTION("""COMPUTED_VALUE"""),"Slot")</f>
        <v>Slot</v>
      </c>
      <c r="L158" s="5" t="str">
        <f ca="1">IFERROR(__xludf.DUMMYFUNCTION("""COMPUTED_VALUE"""),"Clone")</f>
        <v>Clone</v>
      </c>
      <c r="M158" s="5" t="str">
        <f ca="1">IFERROR(__xludf.DUMMYFUNCTION("""COMPUTED_VALUE"""),"Viking Gold")</f>
        <v>Viking Gold</v>
      </c>
      <c r="N158" s="5"/>
      <c r="O158" s="5"/>
      <c r="P158" s="5"/>
      <c r="Q158" s="5"/>
      <c r="R158" s="5"/>
      <c r="S158" s="5"/>
      <c r="T158" s="5"/>
      <c r="U158" s="5" t="str">
        <f ca="1">IFERROR(__xludf.DUMMYFUNCTION("""COMPUTED_VALUE"""),"5x3")</f>
        <v>5x3</v>
      </c>
      <c r="V158" s="12" t="str">
        <f ca="1">IFERROR(__xludf.DUMMYFUNCTION("""COMPUTED_VALUE"""),"20")</f>
        <v>20</v>
      </c>
      <c r="W158" s="12" t="str">
        <f ca="1">IFERROR(__xludf.DUMMYFUNCTION("""COMPUTED_VALUE"""),"20")</f>
        <v>20</v>
      </c>
      <c r="X158" s="5">
        <f ca="1">IFERROR(__xludf.DUMMYFUNCTION("""COMPUTED_VALUE"""),95.952)</f>
        <v>95.951999999999998</v>
      </c>
      <c r="Y158" s="5" t="str">
        <f ca="1">IFERROR(__xludf.DUMMYFUNCTION("""COMPUTED_VALUE"""),"Medium")</f>
        <v>Medium</v>
      </c>
      <c r="Z158" s="5">
        <f ca="1">IFERROR(__xludf.DUMMYFUNCTION("""COMPUTED_VALUE"""),43.7699999999999)</f>
        <v>43.769999999999897</v>
      </c>
      <c r="AA158" s="14">
        <f ca="1">IFERROR(__xludf.DUMMYFUNCTION("""COMPUTED_VALUE"""),3910)</f>
        <v>3910</v>
      </c>
      <c r="AB158" s="5">
        <f ca="1">IFERROR(__xludf.DUMMYFUNCTION("""COMPUTED_VALUE"""),147)</f>
        <v>147</v>
      </c>
      <c r="AC158" s="5" t="str">
        <f ca="1">IFERROR(__xludf.DUMMYFUNCTION("""COMPUTED_VALUE"""),"Cascade Game, Wild Symbol, Increasing Multiplier, Bonus Game with Multiplier")</f>
        <v>Cascade Game, Wild Symbol, Increasing Multiplier, Bonus Game with Multiplier</v>
      </c>
      <c r="AD158" s="5"/>
      <c r="AE158" s="5"/>
      <c r="AF158" s="5"/>
      <c r="AG158" s="10">
        <f ca="1">IFERROR(__xludf.DUMMYFUNCTION("""COMPUTED_VALUE"""),46020.5246643518)</f>
        <v>46020.524664351797</v>
      </c>
      <c r="AH158" s="5" t="str">
        <f ca="1">IFERROR(__xludf.DUMMYFUNCTION("""COMPUTED_VALUE"""),"djordje.jankovic@fazi.rs")</f>
        <v>djordje.jankovic@fazi.rs</v>
      </c>
      <c r="AI158" s="5"/>
      <c r="AJ158" s="5"/>
      <c r="AK158" s="5">
        <f ca="1">IFERROR(__xludf.DUMMYFUNCTION("""COMPUTED_VALUE"""),20)</f>
        <v>20</v>
      </c>
      <c r="AL158" s="5" t="str">
        <f ca="1">IFERROR(__xludf.DUMMYFUNCTION("""COMPUTED_VALUE"""),"Yes")</f>
        <v>Yes</v>
      </c>
      <c r="AM158" s="5"/>
      <c r="AN158" s="5"/>
      <c r="AO158" s="5"/>
      <c r="AP158" s="5"/>
      <c r="AQ158" s="5"/>
      <c r="AR158" s="5" t="b">
        <f ca="1">IFERROR(__xludf.DUMMYFUNCTION("""COMPUTED_VALUE"""),TRUE)</f>
        <v>1</v>
      </c>
      <c r="AS158" s="5"/>
      <c r="AT158" s="5"/>
      <c r="AU158" s="5" t="str">
        <f ca="1">IFERROR(__xludf.DUMMYFUNCTION("""COMPUTED_VALUE"""),"Fazi")</f>
        <v>Fazi</v>
      </c>
      <c r="AV158" s="5"/>
      <c r="AW158" s="5"/>
      <c r="AX158" s="5"/>
      <c r="AY158" s="5"/>
      <c r="AZ158" s="5"/>
      <c r="BA158" s="5" t="str">
        <f ca="1">IFERROR(__xludf.DUMMYFUNCTION("""COMPUTED_VALUE"""),"")</f>
        <v/>
      </c>
      <c r="BB158" s="5"/>
      <c r="BC158" s="5" t="str">
        <f ca="1">IFERROR(__xludf.DUMMYFUNCTION("""COMPUTED_VALUE"""),"Foxi")</f>
        <v>Foxi</v>
      </c>
      <c r="BD158" s="5" t="str">
        <f ca="1">IFERROR(__xludf.DUMMYFUNCTION("""COMPUTED_VALUE"""),"")</f>
        <v/>
      </c>
      <c r="BE158" s="5"/>
    </row>
    <row r="159" spans="1:57" x14ac:dyDescent="0.25">
      <c r="A159" s="5">
        <f ca="1">IFERROR(__xludf.DUMMYFUNCTION("""COMPUTED_VALUE"""),159)</f>
        <v>159</v>
      </c>
      <c r="B159" s="5">
        <f ca="1">IFERROR(__xludf.DUMMYFUNCTION("""COMPUTED_VALUE"""),158)</f>
        <v>158</v>
      </c>
      <c r="C159" s="5" t="str">
        <f ca="1">IFERROR(__xludf.DUMMYFUNCTION("""COMPUTED_VALUE"""),"Fazi")</f>
        <v>Fazi</v>
      </c>
      <c r="D159" s="5" t="str">
        <f ca="1">IFERROR(__xludf.DUMMYFUNCTION("""COMPUTED_VALUE"""),"King Of My Castle")</f>
        <v>King Of My Castle</v>
      </c>
      <c r="E159" s="5" t="str">
        <f ca="1">IFERROR(__xludf.DUMMYFUNCTION("""COMPUTED_VALUE"""),"V2")</f>
        <v>V2</v>
      </c>
      <c r="F159" s="5" t="str">
        <f ca="1">IFERROR(__xludf.DUMMYFUNCTION("""COMPUTED_VALUE"""),"KingOfMyCastle")</f>
        <v>KingOfMyCastle</v>
      </c>
      <c r="G159" s="5" t="str">
        <f ca="1">IFERROR(__xludf.DUMMYFUNCTION("""COMPUTED_VALUE"""),"Live")</f>
        <v>Live</v>
      </c>
      <c r="H159" s="5" t="str">
        <f ca="1">IFERROR(__xludf.DUMMYFUNCTION("""COMPUTED_VALUE"""),"Golden Palace")</f>
        <v>Golden Palace</v>
      </c>
      <c r="I159" s="5" t="str">
        <f ca="1">IFERROR(__xludf.DUMMYFUNCTION("""COMPUTED_VALUE"""),"V2")</f>
        <v>V2</v>
      </c>
      <c r="J159" s="5" t="str">
        <f ca="1">IFERROR(__xludf.DUMMYFUNCTION("""COMPUTED_VALUE"""),"Binary")</f>
        <v>Binary</v>
      </c>
      <c r="K159" s="5" t="str">
        <f ca="1">IFERROR(__xludf.DUMMYFUNCTION("""COMPUTED_VALUE"""),"Slot")</f>
        <v>Slot</v>
      </c>
      <c r="L159" s="5" t="str">
        <f ca="1">IFERROR(__xludf.DUMMYFUNCTION("""COMPUTED_VALUE"""),"Clone")</f>
        <v>Clone</v>
      </c>
      <c r="M159" s="5" t="str">
        <f ca="1">IFERROR(__xludf.DUMMYFUNCTION("""COMPUTED_VALUE"""),"Turbo Hot 40")</f>
        <v>Turbo Hot 40</v>
      </c>
      <c r="N159" s="5"/>
      <c r="O159" s="5"/>
      <c r="P159" s="5"/>
      <c r="Q159" s="5"/>
      <c r="R159" s="5"/>
      <c r="S159" s="5"/>
      <c r="T159" s="5"/>
      <c r="U159" s="5" t="str">
        <f ca="1">IFERROR(__xludf.DUMMYFUNCTION("""COMPUTED_VALUE"""),"5x4")</f>
        <v>5x4</v>
      </c>
      <c r="V159" s="12" t="str">
        <f ca="1">IFERROR(__xludf.DUMMYFUNCTION("""COMPUTED_VALUE"""),"40")</f>
        <v>40</v>
      </c>
      <c r="W159" s="12" t="str">
        <f ca="1">IFERROR(__xludf.DUMMYFUNCTION("""COMPUTED_VALUE"""),"40")</f>
        <v>40</v>
      </c>
      <c r="X159" s="5">
        <f ca="1">IFERROR(__xludf.DUMMYFUNCTION("""COMPUTED_VALUE"""),96.584)</f>
        <v>96.584000000000003</v>
      </c>
      <c r="Y159" s="5" t="str">
        <f ca="1">IFERROR(__xludf.DUMMYFUNCTION("""COMPUTED_VALUE"""),"Low")</f>
        <v>Low</v>
      </c>
      <c r="Z159" s="5">
        <f ca="1">IFERROR(__xludf.DUMMYFUNCTION("""COMPUTED_VALUE"""),16.73)</f>
        <v>16.73</v>
      </c>
      <c r="AA159" s="14">
        <f ca="1">IFERROR(__xludf.DUMMYFUNCTION("""COMPUTED_VALUE"""),1000)</f>
        <v>1000</v>
      </c>
      <c r="AB159" s="5" t="str">
        <f ca="1">IFERROR(__xludf.DUMMYFUNCTION("""COMPUTED_VALUE"""),"/")</f>
        <v>/</v>
      </c>
      <c r="AC159" s="5" t="str">
        <f ca="1">IFERROR(__xludf.DUMMYFUNCTION("""COMPUTED_VALUE"""),"Wild Symbol, Scatter")</f>
        <v>Wild Symbol, Scatter</v>
      </c>
      <c r="AD159" s="5"/>
      <c r="AE159" s="5"/>
      <c r="AF159" s="5"/>
      <c r="AG159" s="10">
        <f ca="1">IFERROR(__xludf.DUMMYFUNCTION("""COMPUTED_VALUE"""),46104.590324074)</f>
        <v>46104.590324074001</v>
      </c>
      <c r="AH159" s="5" t="str">
        <f ca="1">IFERROR(__xludf.DUMMYFUNCTION("""COMPUTED_VALUE"""),"petra.ilic@fazi.rs")</f>
        <v>petra.ilic@fazi.rs</v>
      </c>
      <c r="AI159" s="5"/>
      <c r="AJ159" s="5"/>
      <c r="AK159" s="5">
        <f ca="1">IFERROR(__xludf.DUMMYFUNCTION("""COMPUTED_VALUE"""),40)</f>
        <v>40</v>
      </c>
      <c r="AL159" s="5"/>
      <c r="AM159" s="5"/>
      <c r="AN159" s="5"/>
      <c r="AO159" s="5"/>
      <c r="AP159" s="5"/>
      <c r="AQ159" s="5"/>
      <c r="AR159" s="5" t="b">
        <f ca="1">IFERROR(__xludf.DUMMYFUNCTION("""COMPUTED_VALUE"""),TRUE)</f>
        <v>1</v>
      </c>
      <c r="AS159" s="5"/>
      <c r="AT159" s="5"/>
      <c r="AU159" s="5" t="str">
        <f ca="1">IFERROR(__xludf.DUMMYFUNCTION("""COMPUTED_VALUE"""),"Fazi")</f>
        <v>Fazi</v>
      </c>
      <c r="AV159" s="5"/>
      <c r="AW159" s="5"/>
      <c r="AX159" s="5"/>
      <c r="AY159" s="5"/>
      <c r="AZ159" s="5"/>
      <c r="BA159" s="5" t="str">
        <f ca="1">IFERROR(__xludf.DUMMYFUNCTION("""COMPUTED_VALUE"""),"")</f>
        <v/>
      </c>
      <c r="BB159" s="5"/>
      <c r="BC159" s="5" t="str">
        <f ca="1">IFERROR(__xludf.DUMMYFUNCTION("""COMPUTED_VALUE"""),"Foxi")</f>
        <v>Foxi</v>
      </c>
      <c r="BD159" s="5" t="str">
        <f ca="1">IFERROR(__xludf.DUMMYFUNCTION("""COMPUTED_VALUE"""),"")</f>
        <v/>
      </c>
      <c r="BE159" s="5"/>
    </row>
    <row r="160" spans="1:57" x14ac:dyDescent="0.25">
      <c r="A160" s="5">
        <f ca="1">IFERROR(__xludf.DUMMYFUNCTION("""COMPUTED_VALUE"""),160)</f>
        <v>160</v>
      </c>
      <c r="B160" s="5">
        <f ca="1">IFERROR(__xludf.DUMMYFUNCTION("""COMPUTED_VALUE"""),159)</f>
        <v>159</v>
      </c>
      <c r="C160" s="5" t="str">
        <f ca="1">IFERROR(__xludf.DUMMYFUNCTION("""COMPUTED_VALUE"""),"Fazi")</f>
        <v>Fazi</v>
      </c>
      <c r="D160" s="5" t="str">
        <f ca="1">IFERROR(__xludf.DUMMYFUNCTION("""COMPUTED_VALUE"""),"Fruity Win 20")</f>
        <v>Fruity Win 20</v>
      </c>
      <c r="E160" s="5" t="str">
        <f ca="1">IFERROR(__xludf.DUMMYFUNCTION("""COMPUTED_VALUE"""),"V2")</f>
        <v>V2</v>
      </c>
      <c r="F160" s="5" t="str">
        <f ca="1">IFERROR(__xludf.DUMMYFUNCTION("""COMPUTED_VALUE"""),"FruityWin20")</f>
        <v>FruityWin20</v>
      </c>
      <c r="G160" s="5" t="str">
        <f ca="1">IFERROR(__xludf.DUMMYFUNCTION("""COMPUTED_VALUE"""),"Live")</f>
        <v>Live</v>
      </c>
      <c r="H160" s="5"/>
      <c r="I160" s="5" t="str">
        <f ca="1">IFERROR(__xludf.DUMMYFUNCTION("""COMPUTED_VALUE"""),"V2")</f>
        <v>V2</v>
      </c>
      <c r="J160" s="5" t="str">
        <f ca="1">IFERROR(__xludf.DUMMYFUNCTION("""COMPUTED_VALUE"""),"JSON")</f>
        <v>JSON</v>
      </c>
      <c r="K160" s="5" t="str">
        <f ca="1">IFERROR(__xludf.DUMMYFUNCTION("""COMPUTED_VALUE"""),"Slot")</f>
        <v>Slot</v>
      </c>
      <c r="L160" s="5" t="str">
        <f ca="1">IFERROR(__xludf.DUMMYFUNCTION("""COMPUTED_VALUE"""),"Clone")</f>
        <v>Clone</v>
      </c>
      <c r="M160" s="5" t="str">
        <f ca="1">IFERROR(__xludf.DUMMYFUNCTION("""COMPUTED_VALUE"""),"Fruity Win 40")</f>
        <v>Fruity Win 40</v>
      </c>
      <c r="N160" s="5"/>
      <c r="O160" s="5"/>
      <c r="P160" s="14">
        <f ca="1">IFERROR(__xludf.DUMMYFUNCTION("""COMPUTED_VALUE"""),29.2)</f>
        <v>29.2</v>
      </c>
      <c r="Q160" s="5"/>
      <c r="R160" s="5"/>
      <c r="S160" s="15">
        <f ca="1">IFERROR(__xludf.DUMMYFUNCTION("""COMPUTED_VALUE"""),44693)</f>
        <v>44693</v>
      </c>
      <c r="T160" s="5" t="b">
        <f ca="1">IFERROR(__xludf.DUMMYFUNCTION("""COMPUTED_VALUE"""),TRUE)</f>
        <v>1</v>
      </c>
      <c r="U160" s="5" t="str">
        <f ca="1">IFERROR(__xludf.DUMMYFUNCTION("""COMPUTED_VALUE"""),"5x4")</f>
        <v>5x4</v>
      </c>
      <c r="V160" s="12" t="str">
        <f ca="1">IFERROR(__xludf.DUMMYFUNCTION("""COMPUTED_VALUE"""),"20")</f>
        <v>20</v>
      </c>
      <c r="W160" s="12" t="str">
        <f ca="1">IFERROR(__xludf.DUMMYFUNCTION("""COMPUTED_VALUE"""),"20")</f>
        <v>20</v>
      </c>
      <c r="X160" s="5">
        <f ca="1">IFERROR(__xludf.DUMMYFUNCTION("""COMPUTED_VALUE"""),96.584)</f>
        <v>96.584000000000003</v>
      </c>
      <c r="Y160" s="5" t="str">
        <f ca="1">IFERROR(__xludf.DUMMYFUNCTION("""COMPUTED_VALUE"""),"Low")</f>
        <v>Low</v>
      </c>
      <c r="Z160" s="5">
        <f ca="1">IFERROR(__xludf.DUMMYFUNCTION("""COMPUTED_VALUE"""),16.73)</f>
        <v>16.73</v>
      </c>
      <c r="AA160" s="14">
        <f ca="1">IFERROR(__xludf.DUMMYFUNCTION("""COMPUTED_VALUE"""),1000)</f>
        <v>1000</v>
      </c>
      <c r="AB160" s="5" t="str">
        <f ca="1">IFERROR(__xludf.DUMMYFUNCTION("""COMPUTED_VALUE"""),"/")</f>
        <v>/</v>
      </c>
      <c r="AC160" s="5" t="str">
        <f ca="1">IFERROR(__xludf.DUMMYFUNCTION("""COMPUTED_VALUE"""),"Wild Symbol, Scatter")</f>
        <v>Wild Symbol, Scatter</v>
      </c>
      <c r="AD160" s="5" t="str">
        <f ca="1">IFERROR(__xludf.DUMMYFUNCTION("""COMPUTED_VALUE"""),"0.4/60")</f>
        <v>0.4/60</v>
      </c>
      <c r="AE160" s="5"/>
      <c r="AF160" s="5"/>
      <c r="AG160" s="10">
        <f ca="1">IFERROR(__xludf.DUMMYFUNCTION("""COMPUTED_VALUE"""),46101.6157638888)</f>
        <v>46101.615763888803</v>
      </c>
      <c r="AH160" s="5" t="str">
        <f ca="1">IFERROR(__xludf.DUMMYFUNCTION("""COMPUTED_VALUE"""),"milutin.toskic@fazi.rs")</f>
        <v>milutin.toskic@fazi.rs</v>
      </c>
      <c r="AI160" s="5"/>
      <c r="AJ160" s="5"/>
      <c r="AK160" s="5">
        <f ca="1">IFERROR(__xludf.DUMMYFUNCTION("""COMPUTED_VALUE"""),20)</f>
        <v>20</v>
      </c>
      <c r="AL160" s="5" t="str">
        <f ca="1">IFERROR(__xludf.DUMMYFUNCTION("""COMPUTED_VALUE"""),"Yes")</f>
        <v>Yes</v>
      </c>
      <c r="AM160" s="5"/>
      <c r="AN160" s="7" t="str">
        <f ca="1">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AO160" s="5" t="str">
        <f ca="1">IFERROR(__xludf.DUMMYFUNCTION("""COMPUTED_VALUE"""),"Yes")</f>
        <v>Yes</v>
      </c>
      <c r="AP160" s="5" t="str">
        <f ca="1">IFERROR(__xludf.DUMMYFUNCTION("""COMPUTED_VALUE"""),"Yes")</f>
        <v>Yes</v>
      </c>
      <c r="AQ160" s="5" t="b">
        <f ca="1">IFERROR(__xludf.DUMMYFUNCTION("""COMPUTED_VALUE"""),TRUE)</f>
        <v>1</v>
      </c>
      <c r="AR160" s="5"/>
      <c r="AS160" s="5" t="str">
        <f ca="1">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60" s="5" t="str">
        <f ca="1">IFERROR(__xludf.DUMMYFUNCTION("""COMPUTED_VALUE"""),"No")</f>
        <v>No</v>
      </c>
      <c r="AU160" s="5" t="str">
        <f ca="1">IFERROR(__xludf.DUMMYFUNCTION("""COMPUTED_VALUE"""),"Fazi")</f>
        <v>Fazi</v>
      </c>
      <c r="AV160" s="5"/>
      <c r="AW160" s="5"/>
      <c r="AX160" s="5"/>
      <c r="AY160" s="5" t="str">
        <f ca="1">IFERROR(__xludf.DUMMYFUNCTION("""COMPUTED_VALUE"""),"87.5%, 89.5%, 91.5%, 93.5%, 94.5%, 95.5%, 96.5%")</f>
        <v>87.5%, 89.5%, 91.5%, 93.5%, 94.5%, 95.5%, 96.5%</v>
      </c>
      <c r="AZ160" s="5"/>
      <c r="BA160" s="5" t="str">
        <f ca="1">IFERROR(__xludf.DUMMYFUNCTION("""COMPUTED_VALUE"""),"")</f>
        <v/>
      </c>
      <c r="BB160" s="5"/>
      <c r="BC160" s="5" t="str">
        <f ca="1">IFERROR(__xludf.DUMMYFUNCTION("""COMPUTED_VALUE"""),"Foxi")</f>
        <v>Foxi</v>
      </c>
      <c r="BD160" s="7" t="str">
        <f ca="1">IFERROR(__xludf.DUMMYFUNCTION("""COMPUTED_VALUE"""),"https://gameserver-store-client-area.orbionlimited.com/Home/IntegrationGameLaunch/client-area?moneyType=0&amp;gameName=FruityWin20&amp;platform=desktop&amp;languageCode=eng&amp;currency=EUR")</f>
        <v>https://gameserver-store-client-area.orbionlimited.com/Home/IntegrationGameLaunch/client-area?moneyType=0&amp;gameName=FruityWin20&amp;platform=desktop&amp;languageCode=eng&amp;currency=EUR</v>
      </c>
      <c r="BE160" s="5" t="b">
        <f ca="1">IFERROR(__xludf.DUMMYFUNCTION("""COMPUTED_VALUE"""),TRUE)</f>
        <v>1</v>
      </c>
    </row>
    <row r="161" spans="1:57" x14ac:dyDescent="0.25">
      <c r="A161" s="5">
        <f ca="1">IFERROR(__xludf.DUMMYFUNCTION("""COMPUTED_VALUE"""),161)</f>
        <v>161</v>
      </c>
      <c r="B161" s="5">
        <f ca="1">IFERROR(__xludf.DUMMYFUNCTION("""COMPUTED_VALUE"""),160)</f>
        <v>160</v>
      </c>
      <c r="C161" s="5" t="str">
        <f ca="1">IFERROR(__xludf.DUMMYFUNCTION("""COMPUTED_VALUE"""),"Fazi")</f>
        <v>Fazi</v>
      </c>
      <c r="D161" s="5" t="str">
        <f ca="1">IFERROR(__xludf.DUMMYFUNCTION("""COMPUTED_VALUE"""),"Fruity Hot 5")</f>
        <v>Fruity Hot 5</v>
      </c>
      <c r="E161" s="5" t="str">
        <f ca="1">IFERROR(__xludf.DUMMYFUNCTION("""COMPUTED_VALUE"""),"V2")</f>
        <v>V2</v>
      </c>
      <c r="F161" s="5" t="str">
        <f ca="1">IFERROR(__xludf.DUMMYFUNCTION("""COMPUTED_VALUE"""),"FruityHot5")</f>
        <v>FruityHot5</v>
      </c>
      <c r="G161" s="5" t="str">
        <f ca="1">IFERROR(__xludf.DUMMYFUNCTION("""COMPUTED_VALUE"""),"Live")</f>
        <v>Live</v>
      </c>
      <c r="H161" s="5"/>
      <c r="I161" s="5" t="str">
        <f ca="1">IFERROR(__xludf.DUMMYFUNCTION("""COMPUTED_VALUE"""),"V2")</f>
        <v>V2</v>
      </c>
      <c r="J161" s="5" t="str">
        <f ca="1">IFERROR(__xludf.DUMMYFUNCTION("""COMPUTED_VALUE"""),"JSON")</f>
        <v>JSON</v>
      </c>
      <c r="K161" s="5" t="str">
        <f ca="1">IFERROR(__xludf.DUMMYFUNCTION("""COMPUTED_VALUE"""),"Slot")</f>
        <v>Slot</v>
      </c>
      <c r="L161" s="5" t="str">
        <f ca="1">IFERROR(__xludf.DUMMYFUNCTION("""COMPUTED_VALUE"""),"Clone")</f>
        <v>Clone</v>
      </c>
      <c r="M161" s="5" t="str">
        <f ca="1">IFERROR(__xludf.DUMMYFUNCTION("""COMPUTED_VALUE"""),"Fruity Hot")</f>
        <v>Fruity Hot</v>
      </c>
      <c r="N161" s="5"/>
      <c r="O161" s="5"/>
      <c r="P161" s="14">
        <f ca="1">IFERROR(__xludf.DUMMYFUNCTION("""COMPUTED_VALUE"""),14.4)</f>
        <v>14.4</v>
      </c>
      <c r="Q161" s="5"/>
      <c r="R161" s="5"/>
      <c r="S161" s="15">
        <f ca="1">IFERROR(__xludf.DUMMYFUNCTION("""COMPUTED_VALUE"""),44623)</f>
        <v>44623</v>
      </c>
      <c r="T161" s="5" t="b">
        <f ca="1">IFERROR(__xludf.DUMMYFUNCTION("""COMPUTED_VALUE"""),TRUE)</f>
        <v>1</v>
      </c>
      <c r="U161" s="5" t="str">
        <f ca="1">IFERROR(__xludf.DUMMYFUNCTION("""COMPUTED_VALUE"""),"5x3")</f>
        <v>5x3</v>
      </c>
      <c r="V161" s="12" t="str">
        <f ca="1">IFERROR(__xludf.DUMMYFUNCTION("""COMPUTED_VALUE"""),"5")</f>
        <v>5</v>
      </c>
      <c r="W161" s="12" t="str">
        <f ca="1">IFERROR(__xludf.DUMMYFUNCTION("""COMPUTED_VALUE"""),"5")</f>
        <v>5</v>
      </c>
      <c r="X161" s="5">
        <f ca="1">IFERROR(__xludf.DUMMYFUNCTION("""COMPUTED_VALUE"""),95.79)</f>
        <v>95.79</v>
      </c>
      <c r="Y161" s="5" t="str">
        <f ca="1">IFERROR(__xludf.DUMMYFUNCTION("""COMPUTED_VALUE"""),"Low")</f>
        <v>Low</v>
      </c>
      <c r="Z161" s="5">
        <f ca="1">IFERROR(__xludf.DUMMYFUNCTION("""COMPUTED_VALUE"""),12.847)</f>
        <v>12.847</v>
      </c>
      <c r="AA161" s="14">
        <f ca="1">IFERROR(__xludf.DUMMYFUNCTION("""COMPUTED_VALUE"""),1000)</f>
        <v>1000</v>
      </c>
      <c r="AB161" s="5" t="str">
        <f ca="1">IFERROR(__xludf.DUMMYFUNCTION("""COMPUTED_VALUE"""),"/")</f>
        <v>/</v>
      </c>
      <c r="AC161" s="5" t="str">
        <f ca="1">IFERROR(__xludf.DUMMYFUNCTION("""COMPUTED_VALUE"""),"Wild Symbol, Scatter")</f>
        <v>Wild Symbol, Scatter</v>
      </c>
      <c r="AD161" s="5" t="str">
        <f ca="1">IFERROR(__xludf.DUMMYFUNCTION("""COMPUTED_VALUE"""),"0.05/30")</f>
        <v>0.05/30</v>
      </c>
      <c r="AE161" s="5"/>
      <c r="AF161" s="5"/>
      <c r="AG161" s="10">
        <f ca="1">IFERROR(__xludf.DUMMYFUNCTION("""COMPUTED_VALUE"""),46006.4288425925)</f>
        <v>46006.428842592497</v>
      </c>
      <c r="AH161" s="5" t="str">
        <f ca="1">IFERROR(__xludf.DUMMYFUNCTION("""COMPUTED_VALUE"""),"milutin.toskic@fazi.rs")</f>
        <v>milutin.toskic@fazi.rs</v>
      </c>
      <c r="AI161" s="5"/>
      <c r="AJ161" s="5"/>
      <c r="AK161" s="5">
        <f ca="1">IFERROR(__xludf.DUMMYFUNCTION("""COMPUTED_VALUE"""),5)</f>
        <v>5</v>
      </c>
      <c r="AL161" s="5" t="str">
        <f ca="1">IFERROR(__xludf.DUMMYFUNCTION("""COMPUTED_VALUE"""),"Yes")</f>
        <v>Yes</v>
      </c>
      <c r="AM161" s="5"/>
      <c r="AN161" s="7" t="str">
        <f ca="1">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AO161" s="5" t="str">
        <f ca="1">IFERROR(__xludf.DUMMYFUNCTION("""COMPUTED_VALUE"""),"Yes")</f>
        <v>Yes</v>
      </c>
      <c r="AP161" s="5" t="str">
        <f ca="1">IFERROR(__xludf.DUMMYFUNCTION("""COMPUTED_VALUE"""),"Yes")</f>
        <v>Yes</v>
      </c>
      <c r="AQ161" s="5" t="b">
        <f ca="1">IFERROR(__xludf.DUMMYFUNCTION("""COMPUTED_VALUE"""),TRUE)</f>
        <v>1</v>
      </c>
      <c r="AR161" s="5"/>
      <c r="AS161" s="5" t="str">
        <f ca="1">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61" s="5"/>
      <c r="AU161" s="5" t="str">
        <f ca="1">IFERROR(__xludf.DUMMYFUNCTION("""COMPUTED_VALUE"""),"Fazi")</f>
        <v>Fazi</v>
      </c>
      <c r="AV161" s="5"/>
      <c r="AW161" s="5"/>
      <c r="AX161" s="5"/>
      <c r="AY161" s="5"/>
      <c r="AZ161" s="5"/>
      <c r="BA161" s="5" t="str">
        <f ca="1">IFERROR(__xludf.DUMMYFUNCTION("""COMPUTED_VALUE"""),"")</f>
        <v/>
      </c>
      <c r="BB161" s="5"/>
      <c r="BC161" s="5" t="str">
        <f ca="1">IFERROR(__xludf.DUMMYFUNCTION("""COMPUTED_VALUE"""),"Foxi")</f>
        <v>Foxi</v>
      </c>
      <c r="BD161" s="7" t="str">
        <f ca="1">IFERROR(__xludf.DUMMYFUNCTION("""COMPUTED_VALUE"""),"https://gameserver-store-client-area.orbionlimited.com/Home/IntegrationGameLaunch/client-area?moneyType=0&amp;gameName=FruityHot5&amp;platform=desktop&amp;languageCode=eng&amp;currency=EUR")</f>
        <v>https://gameserver-store-client-area.orbionlimited.com/Home/IntegrationGameLaunch/client-area?moneyType=0&amp;gameName=FruityHot5&amp;platform=desktop&amp;languageCode=eng&amp;currency=EUR</v>
      </c>
      <c r="BE161" s="5" t="b">
        <f ca="1">IFERROR(__xludf.DUMMYFUNCTION("""COMPUTED_VALUE"""),TRUE)</f>
        <v>1</v>
      </c>
    </row>
    <row r="162" spans="1:57" x14ac:dyDescent="0.25">
      <c r="A162" s="5">
        <f ca="1">IFERROR(__xludf.DUMMYFUNCTION("""COMPUTED_VALUE"""),162)</f>
        <v>162</v>
      </c>
      <c r="B162" s="5">
        <f ca="1">IFERROR(__xludf.DUMMYFUNCTION("""COMPUTED_VALUE"""),161)</f>
        <v>161</v>
      </c>
      <c r="C162" s="5" t="str">
        <f ca="1">IFERROR(__xludf.DUMMYFUNCTION("""COMPUTED_VALUE"""),"Fazi")</f>
        <v>Fazi</v>
      </c>
      <c r="D162" s="5" t="str">
        <f ca="1">IFERROR(__xludf.DUMMYFUNCTION("""COMPUTED_VALUE"""),"Giga Hot 40")</f>
        <v>Giga Hot 40</v>
      </c>
      <c r="E162" s="5" t="str">
        <f ca="1">IFERROR(__xludf.DUMMYFUNCTION("""COMPUTED_VALUE"""),"V2")</f>
        <v>V2</v>
      </c>
      <c r="F162" s="5" t="str">
        <f ca="1">IFERROR(__xludf.DUMMYFUNCTION("""COMPUTED_VALUE"""),"GigaHot40")</f>
        <v>GigaHot40</v>
      </c>
      <c r="G162" s="5" t="str">
        <f ca="1">IFERROR(__xludf.DUMMYFUNCTION("""COMPUTED_VALUE"""),"Live")</f>
        <v>Live</v>
      </c>
      <c r="H162" s="5"/>
      <c r="I162" s="5" t="str">
        <f ca="1">IFERROR(__xludf.DUMMYFUNCTION("""COMPUTED_VALUE"""),"V2")</f>
        <v>V2</v>
      </c>
      <c r="J162" s="5" t="str">
        <f ca="1">IFERROR(__xludf.DUMMYFUNCTION("""COMPUTED_VALUE"""),"Binary")</f>
        <v>Binary</v>
      </c>
      <c r="K162" s="5" t="str">
        <f ca="1">IFERROR(__xludf.DUMMYFUNCTION("""COMPUTED_VALUE"""),"Slot")</f>
        <v>Slot</v>
      </c>
      <c r="L162" s="5" t="str">
        <f ca="1">IFERROR(__xludf.DUMMYFUNCTION("""COMPUTED_VALUE"""),"Clone")</f>
        <v>Clone</v>
      </c>
      <c r="M162" s="5" t="str">
        <f ca="1">IFERROR(__xludf.DUMMYFUNCTION("""COMPUTED_VALUE"""),"Wild Hot 40")</f>
        <v>Wild Hot 40</v>
      </c>
      <c r="N162" s="5"/>
      <c r="O162" s="5"/>
      <c r="P162" s="14">
        <f ca="1">IFERROR(__xludf.DUMMYFUNCTION("""COMPUTED_VALUE"""),3.3)</f>
        <v>3.3</v>
      </c>
      <c r="Q162" s="5"/>
      <c r="R162" s="5"/>
      <c r="S162" s="15">
        <f ca="1">IFERROR(__xludf.DUMMYFUNCTION("""COMPUTED_VALUE"""),44714)</f>
        <v>44714</v>
      </c>
      <c r="T162" s="5" t="b">
        <f ca="1">IFERROR(__xludf.DUMMYFUNCTION("""COMPUTED_VALUE"""),TRUE)</f>
        <v>1</v>
      </c>
      <c r="U162" s="5" t="str">
        <f ca="1">IFERROR(__xludf.DUMMYFUNCTION("""COMPUTED_VALUE"""),"5x4")</f>
        <v>5x4</v>
      </c>
      <c r="V162" s="12" t="str">
        <f ca="1">IFERROR(__xludf.DUMMYFUNCTION("""COMPUTED_VALUE"""),"40")</f>
        <v>40</v>
      </c>
      <c r="W162" s="12" t="str">
        <f ca="1">IFERROR(__xludf.DUMMYFUNCTION("""COMPUTED_VALUE"""),"40")</f>
        <v>40</v>
      </c>
      <c r="X162" s="5">
        <f ca="1">IFERROR(__xludf.DUMMYFUNCTION("""COMPUTED_VALUE"""),96.584)</f>
        <v>96.584000000000003</v>
      </c>
      <c r="Y162" s="5" t="str">
        <f ca="1">IFERROR(__xludf.DUMMYFUNCTION("""COMPUTED_VALUE"""),"Low")</f>
        <v>Low</v>
      </c>
      <c r="Z162" s="5">
        <f ca="1">IFERROR(__xludf.DUMMYFUNCTION("""COMPUTED_VALUE"""),16.725)</f>
        <v>16.725000000000001</v>
      </c>
      <c r="AA162" s="14">
        <f ca="1">IFERROR(__xludf.DUMMYFUNCTION("""COMPUTED_VALUE"""),1000)</f>
        <v>1000</v>
      </c>
      <c r="AB162" s="5" t="str">
        <f ca="1">IFERROR(__xludf.DUMMYFUNCTION("""COMPUTED_VALUE"""),"/")</f>
        <v>/</v>
      </c>
      <c r="AC162" s="5" t="str">
        <f ca="1">IFERROR(__xludf.DUMMYFUNCTION("""COMPUTED_VALUE"""),"Wild Symbol, Scatter")</f>
        <v>Wild Symbol, Scatter</v>
      </c>
      <c r="AD162" s="5" t="str">
        <f ca="1">IFERROR(__xludf.DUMMYFUNCTION("""COMPUTED_VALUE"""),"0.4/60")</f>
        <v>0.4/60</v>
      </c>
      <c r="AE162" s="5"/>
      <c r="AF162" s="5"/>
      <c r="AG162" s="10">
        <f ca="1">IFERROR(__xludf.DUMMYFUNCTION("""COMPUTED_VALUE"""),46064.6571412037)</f>
        <v>46064.657141203701</v>
      </c>
      <c r="AH162" s="5" t="str">
        <f ca="1">IFERROR(__xludf.DUMMYFUNCTION("""COMPUTED_VALUE"""),"aleksandar.trajkovic@fazi.rs")</f>
        <v>aleksandar.trajkovic@fazi.rs</v>
      </c>
      <c r="AI162" s="5"/>
      <c r="AJ162" s="5"/>
      <c r="AK162" s="5">
        <f ca="1">IFERROR(__xludf.DUMMYFUNCTION("""COMPUTED_VALUE"""),40)</f>
        <v>40</v>
      </c>
      <c r="AL162" s="5" t="str">
        <f ca="1">IFERROR(__xludf.DUMMYFUNCTION("""COMPUTED_VALUE"""),"Yes")</f>
        <v>Yes</v>
      </c>
      <c r="AM162" s="5"/>
      <c r="AN162" s="7" t="str">
        <f ca="1">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AO162" s="5"/>
      <c r="AP162" s="5"/>
      <c r="AQ162" s="5" t="b">
        <f ca="1">IFERROR(__xludf.DUMMYFUNCTION("""COMPUTED_VALUE"""),TRUE)</f>
        <v>1</v>
      </c>
      <c r="AR162" s="5"/>
      <c r="AS162" s="5" t="str">
        <f ca="1">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AT162" s="5"/>
      <c r="AU162" s="5" t="str">
        <f ca="1">IFERROR(__xludf.DUMMYFUNCTION("""COMPUTED_VALUE"""),"Fazi")</f>
        <v>Fazi</v>
      </c>
      <c r="AV162" s="5"/>
      <c r="AW162" s="5"/>
      <c r="AX162" s="5"/>
      <c r="AY162" s="5"/>
      <c r="AZ162" s="5"/>
      <c r="BA162" s="5" t="str">
        <f ca="1">IFERROR(__xludf.DUMMYFUNCTION("""COMPUTED_VALUE"""),"")</f>
        <v/>
      </c>
      <c r="BB162" s="5"/>
      <c r="BC162" s="5" t="str">
        <f ca="1">IFERROR(__xludf.DUMMYFUNCTION("""COMPUTED_VALUE"""),"Foxi")</f>
        <v>Foxi</v>
      </c>
      <c r="BD162" s="7" t="str">
        <f ca="1">IFERROR(__xludf.DUMMYFUNCTION("""COMPUTED_VALUE"""),"https://gameserver-store-client-area.orbionlimited.com/Home/IntegrationGameLaunch/client-area?moneyType=0&amp;gameName=GigaHot40&amp;platform=desktop&amp;languageCode=eng&amp;currency=EUR")</f>
        <v>https://gameserver-store-client-area.orbionlimited.com/Home/IntegrationGameLaunch/client-area?moneyType=0&amp;gameName=GigaHot40&amp;platform=desktop&amp;languageCode=eng&amp;currency=EUR</v>
      </c>
      <c r="BE162" s="5" t="b">
        <f ca="1">IFERROR(__xludf.DUMMYFUNCTION("""COMPUTED_VALUE"""),TRUE)</f>
        <v>1</v>
      </c>
    </row>
    <row r="163" spans="1:57" x14ac:dyDescent="0.25">
      <c r="A163" s="5">
        <f ca="1">IFERROR(__xludf.DUMMYFUNCTION("""COMPUTED_VALUE"""),163)</f>
        <v>163</v>
      </c>
      <c r="B163" s="5">
        <f ca="1">IFERROR(__xludf.DUMMYFUNCTION("""COMPUTED_VALUE"""),162)</f>
        <v>162</v>
      </c>
      <c r="C163" s="5" t="str">
        <f ca="1">IFERROR(__xludf.DUMMYFUNCTION("""COMPUTED_VALUE"""),"Tiptop")</f>
        <v>Tiptop</v>
      </c>
      <c r="D163" s="5" t="str">
        <f ca="1">IFERROR(__xludf.DUMMYFUNCTION("""COMPUTED_VALUE"""),"Da Vinci's Fruits")</f>
        <v>Da Vinci's Fruits</v>
      </c>
      <c r="E163" s="5"/>
      <c r="F163" s="5" t="str">
        <f ca="1">IFERROR(__xludf.DUMMYFUNCTION("""COMPUTED_VALUE"""),"UnicornDaVincisFruits")</f>
        <v>UnicornDaVincisFruits</v>
      </c>
      <c r="G163" s="5" t="str">
        <f ca="1">IFERROR(__xludf.DUMMYFUNCTION("""COMPUTED_VALUE"""),"Live")</f>
        <v>Live</v>
      </c>
      <c r="H163" s="5"/>
      <c r="I163" s="5" t="str">
        <f ca="1">IFERROR(__xludf.DUMMYFUNCTION("""COMPUTED_VALUE"""),"TipTop")</f>
        <v>TipTop</v>
      </c>
      <c r="J163" s="5" t="str">
        <f ca="1">IFERROR(__xludf.DUMMYFUNCTION("""COMPUTED_VALUE"""),"JSON")</f>
        <v>JSON</v>
      </c>
      <c r="K163" s="5" t="str">
        <f ca="1">IFERROR(__xludf.DUMMYFUNCTION("""COMPUTED_VALUE"""),"Slot")</f>
        <v>Slot</v>
      </c>
      <c r="L163" s="5"/>
      <c r="M163" s="5"/>
      <c r="N163" s="5"/>
      <c r="O163" s="5"/>
      <c r="P163" s="14">
        <f ca="1">IFERROR(__xludf.DUMMYFUNCTION("""COMPUTED_VALUE"""),14.7)</f>
        <v>14.7</v>
      </c>
      <c r="Q163" s="5"/>
      <c r="R163" s="5"/>
      <c r="S163" s="15">
        <f ca="1">IFERROR(__xludf.DUMMYFUNCTION("""COMPUTED_VALUE"""),44707)</f>
        <v>44707</v>
      </c>
      <c r="T163" s="5"/>
      <c r="U163" s="5" t="str">
        <f ca="1">IFERROR(__xludf.DUMMYFUNCTION("""COMPUTED_VALUE"""),"5X3")</f>
        <v>5X3</v>
      </c>
      <c r="V163" s="12" t="str">
        <f ca="1">IFERROR(__xludf.DUMMYFUNCTION("""COMPUTED_VALUE"""),"5")</f>
        <v>5</v>
      </c>
      <c r="W163" s="12" t="str">
        <f ca="1">IFERROR(__xludf.DUMMYFUNCTION("""COMPUTED_VALUE"""),"5")</f>
        <v>5</v>
      </c>
      <c r="X163" s="5">
        <f ca="1">IFERROR(__xludf.DUMMYFUNCTION("""COMPUTED_VALUE"""),96)</f>
        <v>96</v>
      </c>
      <c r="Y163" s="5" t="str">
        <f ca="1">IFERROR(__xludf.DUMMYFUNCTION("""COMPUTED_VALUE"""),"Low")</f>
        <v>Low</v>
      </c>
      <c r="Z163" s="5">
        <f ca="1">IFERROR(__xludf.DUMMYFUNCTION("""COMPUTED_VALUE"""),10.5)</f>
        <v>10.5</v>
      </c>
      <c r="AA163" s="14">
        <f ca="1">IFERROR(__xludf.DUMMYFUNCTION("""COMPUTED_VALUE"""),1000)</f>
        <v>1000</v>
      </c>
      <c r="AB163" s="5"/>
      <c r="AC163" s="5"/>
      <c r="AD163" s="5" t="str">
        <f ca="1">IFERROR(__xludf.DUMMYFUNCTION("""COMPUTED_VALUE"""),"0.05/100")</f>
        <v>0.05/100</v>
      </c>
      <c r="AE163" s="5"/>
      <c r="AF163" s="5"/>
      <c r="AG163" s="10">
        <f ca="1">IFERROR(__xludf.DUMMYFUNCTION("""COMPUTED_VALUE"""),46197.4517824074)</f>
        <v>46197.451782407399</v>
      </c>
      <c r="AH163" s="5" t="str">
        <f ca="1">IFERROR(__xludf.DUMMYFUNCTION("""COMPUTED_VALUE"""),"selena.mihajlovic@fazi.rs")</f>
        <v>selena.mihajlovic@fazi.rs</v>
      </c>
      <c r="AI163" s="5"/>
      <c r="AJ163" s="5"/>
      <c r="AK163" s="5">
        <f ca="1">IFERROR(__xludf.DUMMYFUNCTION("""COMPUTED_VALUE"""),5)</f>
        <v>5</v>
      </c>
      <c r="AL163" s="5" t="str">
        <f ca="1">IFERROR(__xludf.DUMMYFUNCTION("""COMPUTED_VALUE"""),"No")</f>
        <v>No</v>
      </c>
      <c r="AM163" s="5"/>
      <c r="AN163" s="7" t="str">
        <f ca="1">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AO163" s="5"/>
      <c r="AP163" s="5"/>
      <c r="AQ163" s="5" t="b">
        <f ca="1">IFERROR(__xludf.DUMMYFUNCTION("""COMPUTED_VALUE"""),TRUE)</f>
        <v>1</v>
      </c>
      <c r="AR163" s="5"/>
      <c r="AS163" s="5" t="str">
        <f ca="1">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AT163" s="5"/>
      <c r="AU163" s="5" t="str">
        <f ca="1">IFERROR(__xludf.DUMMYFUNCTION("""COMPUTED_VALUE"""),"Fazi")</f>
        <v>Fazi</v>
      </c>
      <c r="AV163" s="5"/>
      <c r="AW163" s="5"/>
      <c r="AX163" s="5"/>
      <c r="AY163" s="5"/>
      <c r="AZ163" s="5"/>
      <c r="BA163" s="5"/>
      <c r="BB163" s="5" t="b">
        <f ca="1">IFERROR(__xludf.DUMMYFUNCTION("""COMPUTED_VALUE"""),TRUE)</f>
        <v>1</v>
      </c>
      <c r="BC163" s="5" t="str">
        <f ca="1">IFERROR(__xludf.DUMMYFUNCTION("""COMPUTED_VALUE"""),"Tiptop")</f>
        <v>Tiptop</v>
      </c>
      <c r="BD163" s="7" t="str">
        <f ca="1">IFERROR(__xludf.DUMMYFUNCTION("""COMPUTED_VALUE"""),"https://gameserver-store-client-area.orbionlimited.com/Home/IntegrationGameLaunch/client-area?moneyType=0&amp;gameName=UnicornDaVincisFruits&amp;platform=desktop&amp;languageCode=eng&amp;currency=EUR")</f>
        <v>https://gameserver-store-client-area.orbionlimited.com/Home/IntegrationGameLaunch/client-area?moneyType=0&amp;gameName=UnicornDaVincisFruits&amp;platform=desktop&amp;languageCode=eng&amp;currency=EUR</v>
      </c>
      <c r="BE163" s="5" t="b">
        <f ca="1">IFERROR(__xludf.DUMMYFUNCTION("""COMPUTED_VALUE"""),TRUE)</f>
        <v>1</v>
      </c>
    </row>
    <row r="164" spans="1:57" x14ac:dyDescent="0.25">
      <c r="A164" s="5">
        <f ca="1">IFERROR(__xludf.DUMMYFUNCTION("""COMPUTED_VALUE"""),164)</f>
        <v>164</v>
      </c>
      <c r="B164" s="5">
        <f ca="1">IFERROR(__xludf.DUMMYFUNCTION("""COMPUTED_VALUE"""),163)</f>
        <v>163</v>
      </c>
      <c r="C164" s="5" t="str">
        <f ca="1">IFERROR(__xludf.DUMMYFUNCTION("""COMPUTED_VALUE"""),"Tiptop")</f>
        <v>Tiptop</v>
      </c>
      <c r="D164" s="5" t="str">
        <f ca="1">IFERROR(__xludf.DUMMYFUNCTION("""COMPUTED_VALUE"""),"Fruit Magic")</f>
        <v>Fruit Magic</v>
      </c>
      <c r="E164" s="5"/>
      <c r="F164" s="5" t="str">
        <f ca="1">IFERROR(__xludf.DUMMYFUNCTION("""COMPUTED_VALUE"""),"UnicornFruitMagic")</f>
        <v>UnicornFruitMagic</v>
      </c>
      <c r="G164" s="5" t="str">
        <f ca="1">IFERROR(__xludf.DUMMYFUNCTION("""COMPUTED_VALUE"""),"Live")</f>
        <v>Live</v>
      </c>
      <c r="H164" s="5"/>
      <c r="I164" s="5" t="str">
        <f ca="1">IFERROR(__xludf.DUMMYFUNCTION("""COMPUTED_VALUE"""),"TipTop")</f>
        <v>TipTop</v>
      </c>
      <c r="J164" s="5" t="str">
        <f ca="1">IFERROR(__xludf.DUMMYFUNCTION("""COMPUTED_VALUE"""),"JSON")</f>
        <v>JSON</v>
      </c>
      <c r="K164" s="5" t="str">
        <f ca="1">IFERROR(__xludf.DUMMYFUNCTION("""COMPUTED_VALUE"""),"Slot")</f>
        <v>Slot</v>
      </c>
      <c r="L164" s="5"/>
      <c r="M164" s="5"/>
      <c r="N164" s="5"/>
      <c r="O164" s="5"/>
      <c r="P164" s="14">
        <f ca="1">IFERROR(__xludf.DUMMYFUNCTION("""COMPUTED_VALUE"""),12.4)</f>
        <v>12.4</v>
      </c>
      <c r="Q164" s="5"/>
      <c r="R164" s="5"/>
      <c r="S164" s="15">
        <f ca="1">IFERROR(__xludf.DUMMYFUNCTION("""COMPUTED_VALUE"""),44726)</f>
        <v>44726</v>
      </c>
      <c r="T164" s="5"/>
      <c r="U164" s="5" t="str">
        <f ca="1">IFERROR(__xludf.DUMMYFUNCTION("""COMPUTED_VALUE"""),"5X3")</f>
        <v>5X3</v>
      </c>
      <c r="V164" s="12" t="str">
        <f ca="1">IFERROR(__xludf.DUMMYFUNCTION("""COMPUTED_VALUE"""),"10")</f>
        <v>10</v>
      </c>
      <c r="W164" s="12" t="str">
        <f ca="1">IFERROR(__xludf.DUMMYFUNCTION("""COMPUTED_VALUE"""),"10")</f>
        <v>10</v>
      </c>
      <c r="X164" s="5">
        <f ca="1">IFERROR(__xludf.DUMMYFUNCTION("""COMPUTED_VALUE"""),96)</f>
        <v>96</v>
      </c>
      <c r="Y164" s="5" t="str">
        <f ca="1">IFERROR(__xludf.DUMMYFUNCTION("""COMPUTED_VALUE"""),"Low")</f>
        <v>Low</v>
      </c>
      <c r="Z164" s="5">
        <f ca="1">IFERROR(__xludf.DUMMYFUNCTION("""COMPUTED_VALUE"""),26.12)</f>
        <v>26.12</v>
      </c>
      <c r="AA164" s="14">
        <f ca="1">IFERROR(__xludf.DUMMYFUNCTION("""COMPUTED_VALUE"""),1060)</f>
        <v>1060</v>
      </c>
      <c r="AB164" s="5"/>
      <c r="AC164" s="5" t="str">
        <f ca="1">IFERROR(__xludf.DUMMYFUNCTION("""COMPUTED_VALUE"""),"Expanding Wild")</f>
        <v>Expanding Wild</v>
      </c>
      <c r="AD164" s="5" t="str">
        <f ca="1">IFERROR(__xludf.DUMMYFUNCTION("""COMPUTED_VALUE"""),"0.1/100")</f>
        <v>0.1/100</v>
      </c>
      <c r="AE164" s="5"/>
      <c r="AF164" s="5"/>
      <c r="AG164" s="10">
        <f ca="1">IFERROR(__xludf.DUMMYFUNCTION("""COMPUTED_VALUE"""),46197.4519675925)</f>
        <v>46197.451967592497</v>
      </c>
      <c r="AH164" s="5" t="str">
        <f ca="1">IFERROR(__xludf.DUMMYFUNCTION("""COMPUTED_VALUE"""),"selena.mihajlovic@fazi.rs")</f>
        <v>selena.mihajlovic@fazi.rs</v>
      </c>
      <c r="AI164" s="5"/>
      <c r="AJ164" s="5"/>
      <c r="AK164" s="5">
        <f ca="1">IFERROR(__xludf.DUMMYFUNCTION("""COMPUTED_VALUE"""),10)</f>
        <v>10</v>
      </c>
      <c r="AL164" s="5" t="str">
        <f ca="1">IFERROR(__xludf.DUMMYFUNCTION("""COMPUTED_VALUE"""),"No")</f>
        <v>No</v>
      </c>
      <c r="AM164" s="5"/>
      <c r="AN164" s="7" t="str">
        <f ca="1">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AO164" s="5"/>
      <c r="AP164" s="5"/>
      <c r="AQ164" s="5" t="b">
        <f ca="1">IFERROR(__xludf.DUMMYFUNCTION("""COMPUTED_VALUE"""),TRUE)</f>
        <v>1</v>
      </c>
      <c r="AR164" s="5"/>
      <c r="AS164" s="5" t="str">
        <f ca="1">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AT164" s="5"/>
      <c r="AU164" s="5" t="str">
        <f ca="1">IFERROR(__xludf.DUMMYFUNCTION("""COMPUTED_VALUE"""),"Fazi")</f>
        <v>Fazi</v>
      </c>
      <c r="AV164" s="5"/>
      <c r="AW164" s="5"/>
      <c r="AX164" s="5"/>
      <c r="AY164" s="5"/>
      <c r="AZ164" s="5"/>
      <c r="BA164" s="5"/>
      <c r="BB164" s="5" t="b">
        <f ca="1">IFERROR(__xludf.DUMMYFUNCTION("""COMPUTED_VALUE"""),TRUE)</f>
        <v>1</v>
      </c>
      <c r="BC164" s="5" t="str">
        <f ca="1">IFERROR(__xludf.DUMMYFUNCTION("""COMPUTED_VALUE"""),"Tiptop")</f>
        <v>Tiptop</v>
      </c>
      <c r="BD164" s="7" t="str">
        <f ca="1">IFERROR(__xludf.DUMMYFUNCTION("""COMPUTED_VALUE"""),"https://gameserver-store-client-area.orbionlimited.com/Home/IntegrationGameLaunch/client-area?moneyType=0&amp;gameName=UnicornFruitMagic&amp;platform=desktop&amp;languageCode=eng&amp;currency=EUR")</f>
        <v>https://gameserver-store-client-area.orbionlimited.com/Home/IntegrationGameLaunch/client-area?moneyType=0&amp;gameName=UnicornFruitMagic&amp;platform=desktop&amp;languageCode=eng&amp;currency=EUR</v>
      </c>
      <c r="BE164" s="5" t="b">
        <f ca="1">IFERROR(__xludf.DUMMYFUNCTION("""COMPUTED_VALUE"""),TRUE)</f>
        <v>1</v>
      </c>
    </row>
    <row r="165" spans="1:57" x14ac:dyDescent="0.25">
      <c r="A165" s="5">
        <f ca="1">IFERROR(__xludf.DUMMYFUNCTION("""COMPUTED_VALUE"""),165)</f>
        <v>165</v>
      </c>
      <c r="B165" s="5">
        <f ca="1">IFERROR(__xludf.DUMMYFUNCTION("""COMPUTED_VALUE"""),164)</f>
        <v>164</v>
      </c>
      <c r="C165" s="5" t="str">
        <f ca="1">IFERROR(__xludf.DUMMYFUNCTION("""COMPUTED_VALUE"""),"Tiptop")</f>
        <v>Tiptop</v>
      </c>
      <c r="D165" s="5" t="str">
        <f ca="1">IFERROR(__xludf.DUMMYFUNCTION("""COMPUTED_VALUE"""),"Money Standard")</f>
        <v>Money Standard</v>
      </c>
      <c r="E165" s="5"/>
      <c r="F165" s="5" t="str">
        <f ca="1">IFERROR(__xludf.DUMMYFUNCTION("""COMPUTED_VALUE"""),"UnicornMoneyStandard")</f>
        <v>UnicornMoneyStandard</v>
      </c>
      <c r="G165" s="5" t="str">
        <f ca="1">IFERROR(__xludf.DUMMYFUNCTION("""COMPUTED_VALUE"""),"Live")</f>
        <v>Live</v>
      </c>
      <c r="H165" s="5"/>
      <c r="I165" s="5" t="str">
        <f ca="1">IFERROR(__xludf.DUMMYFUNCTION("""COMPUTED_VALUE"""),"TipTop")</f>
        <v>TipTop</v>
      </c>
      <c r="J165" s="5" t="str">
        <f ca="1">IFERROR(__xludf.DUMMYFUNCTION("""COMPUTED_VALUE"""),"JSON")</f>
        <v>JSON</v>
      </c>
      <c r="K165" s="5" t="str">
        <f ca="1">IFERROR(__xludf.DUMMYFUNCTION("""COMPUTED_VALUE"""),"Slot")</f>
        <v>Slot</v>
      </c>
      <c r="L165" s="5"/>
      <c r="M165" s="5"/>
      <c r="N165" s="5"/>
      <c r="O165" s="5"/>
      <c r="P165" s="14">
        <f ca="1">IFERROR(__xludf.DUMMYFUNCTION("""COMPUTED_VALUE"""),9.5)</f>
        <v>9.5</v>
      </c>
      <c r="Q165" s="5"/>
      <c r="R165" s="5"/>
      <c r="S165" s="15">
        <f ca="1">IFERROR(__xludf.DUMMYFUNCTION("""COMPUTED_VALUE"""),44747)</f>
        <v>44747</v>
      </c>
      <c r="T165" s="5"/>
      <c r="U165" s="5" t="str">
        <f ca="1">IFERROR(__xludf.DUMMYFUNCTION("""COMPUTED_VALUE"""),"5X4")</f>
        <v>5X4</v>
      </c>
      <c r="V165" s="12" t="str">
        <f ca="1">IFERROR(__xludf.DUMMYFUNCTION("""COMPUTED_VALUE"""),"20")</f>
        <v>20</v>
      </c>
      <c r="W165" s="12" t="str">
        <f ca="1">IFERROR(__xludf.DUMMYFUNCTION("""COMPUTED_VALUE"""),"20")</f>
        <v>20</v>
      </c>
      <c r="X165" s="5">
        <f ca="1">IFERROR(__xludf.DUMMYFUNCTION("""COMPUTED_VALUE"""),96)</f>
        <v>96</v>
      </c>
      <c r="Y165" s="5" t="str">
        <f ca="1">IFERROR(__xludf.DUMMYFUNCTION("""COMPUTED_VALUE"""),"Low")</f>
        <v>Low</v>
      </c>
      <c r="Z165" s="5">
        <f ca="1">IFERROR(__xludf.DUMMYFUNCTION("""COMPUTED_VALUE"""),11.7)</f>
        <v>11.7</v>
      </c>
      <c r="AA165" s="14">
        <f ca="1">IFERROR(__xludf.DUMMYFUNCTION("""COMPUTED_VALUE"""),5000)</f>
        <v>5000</v>
      </c>
      <c r="AB165" s="5"/>
      <c r="AC165" s="5"/>
      <c r="AD165" s="5" t="str">
        <f ca="1">IFERROR(__xludf.DUMMYFUNCTION("""COMPUTED_VALUE"""),"0.2/100")</f>
        <v>0.2/100</v>
      </c>
      <c r="AE165" s="5"/>
      <c r="AF165" s="5"/>
      <c r="AG165" s="10">
        <f ca="1">IFERROR(__xludf.DUMMYFUNCTION("""COMPUTED_VALUE"""),46197.4520949074)</f>
        <v>46197.452094907399</v>
      </c>
      <c r="AH165" s="5" t="str">
        <f ca="1">IFERROR(__xludf.DUMMYFUNCTION("""COMPUTED_VALUE"""),"selena.mihajlovic@fazi.rs")</f>
        <v>selena.mihajlovic@fazi.rs</v>
      </c>
      <c r="AI165" s="5"/>
      <c r="AJ165" s="5"/>
      <c r="AK165" s="5">
        <f ca="1">IFERROR(__xludf.DUMMYFUNCTION("""COMPUTED_VALUE"""),20)</f>
        <v>20</v>
      </c>
      <c r="AL165" s="5" t="str">
        <f ca="1">IFERROR(__xludf.DUMMYFUNCTION("""COMPUTED_VALUE"""),"No")</f>
        <v>No</v>
      </c>
      <c r="AM165" s="5"/>
      <c r="AN165" s="7" t="str">
        <f ca="1">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AO165" s="5"/>
      <c r="AP165" s="5"/>
      <c r="AQ165" s="5" t="b">
        <f ca="1">IFERROR(__xludf.DUMMYFUNCTION("""COMPUTED_VALUE"""),TRUE)</f>
        <v>1</v>
      </c>
      <c r="AR165" s="5"/>
      <c r="AS165" s="5" t="str">
        <f ca="1">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AT165" s="5"/>
      <c r="AU165" s="5" t="str">
        <f ca="1">IFERROR(__xludf.DUMMYFUNCTION("""COMPUTED_VALUE"""),"Fazi")</f>
        <v>Fazi</v>
      </c>
      <c r="AV165" s="5"/>
      <c r="AW165" s="5"/>
      <c r="AX165" s="5"/>
      <c r="AY165" s="5"/>
      <c r="AZ165" s="5"/>
      <c r="BA165" s="5"/>
      <c r="BB165" s="5" t="b">
        <f ca="1">IFERROR(__xludf.DUMMYFUNCTION("""COMPUTED_VALUE"""),TRUE)</f>
        <v>1</v>
      </c>
      <c r="BC165" s="5" t="str">
        <f ca="1">IFERROR(__xludf.DUMMYFUNCTION("""COMPUTED_VALUE"""),"Tiptop")</f>
        <v>Tiptop</v>
      </c>
      <c r="BD165" s="7" t="str">
        <f ca="1">IFERROR(__xludf.DUMMYFUNCTION("""COMPUTED_VALUE"""),"https://gameserver-store-client-area.orbionlimited.com/Home/IntegrationGameLaunch/client-area?moneyType=0&amp;gameName=UnicornMoneyStandard&amp;platform=desktop&amp;languageCode=eng&amp;currency=EUR")</f>
        <v>https://gameserver-store-client-area.orbionlimited.com/Home/IntegrationGameLaunch/client-area?moneyType=0&amp;gameName=UnicornMoneyStandard&amp;platform=desktop&amp;languageCode=eng&amp;currency=EUR</v>
      </c>
      <c r="BE165" s="5" t="b">
        <f ca="1">IFERROR(__xludf.DUMMYFUNCTION("""COMPUTED_VALUE"""),TRUE)</f>
        <v>1</v>
      </c>
    </row>
    <row r="166" spans="1:57" x14ac:dyDescent="0.25">
      <c r="A166" s="5">
        <f ca="1">IFERROR(__xludf.DUMMYFUNCTION("""COMPUTED_VALUE"""),166)</f>
        <v>166</v>
      </c>
      <c r="B166" s="5">
        <f ca="1">IFERROR(__xludf.DUMMYFUNCTION("""COMPUTED_VALUE"""),165)</f>
        <v>165</v>
      </c>
      <c r="C166" s="5" t="str">
        <f ca="1">IFERROR(__xludf.DUMMYFUNCTION("""COMPUTED_VALUE"""),"Redstone")</f>
        <v>Redstone</v>
      </c>
      <c r="D166" s="5" t="str">
        <f ca="1">IFERROR(__xludf.DUMMYFUNCTION("""COMPUTED_VALUE"""),"10 Wild Diamond")</f>
        <v>10 Wild Diamond</v>
      </c>
      <c r="E166" s="5" t="str">
        <f ca="1">IFERROR(__xludf.DUMMYFUNCTION("""COMPUTED_VALUE"""),"Redstone")</f>
        <v>Redstone</v>
      </c>
      <c r="F166" s="5" t="str">
        <f ca="1">IFERROR(__xludf.DUMMYFUNCTION("""COMPUTED_VALUE"""),"WildDiamond10")</f>
        <v>WildDiamond10</v>
      </c>
      <c r="G166" s="5" t="str">
        <f ca="1">IFERROR(__xludf.DUMMYFUNCTION("""COMPUTED_VALUE"""),"Live")</f>
        <v>Live</v>
      </c>
      <c r="H166" s="5"/>
      <c r="I166" s="5" t="str">
        <f ca="1">IFERROR(__xludf.DUMMYFUNCTION("""COMPUTED_VALUE"""),"Redstone")</f>
        <v>Redstone</v>
      </c>
      <c r="J166" s="5" t="str">
        <f ca="1">IFERROR(__xludf.DUMMYFUNCTION("""COMPUTED_VALUE"""),"JSON")</f>
        <v>JSON</v>
      </c>
      <c r="K166" s="5" t="str">
        <f ca="1">IFERROR(__xludf.DUMMYFUNCTION("""COMPUTED_VALUE"""),"Slot")</f>
        <v>Slot</v>
      </c>
      <c r="L166" s="5" t="str">
        <f ca="1">IFERROR(__xludf.DUMMYFUNCTION("""COMPUTED_VALUE""")," Clone")</f>
        <v xml:space="preserve"> Clone</v>
      </c>
      <c r="M166" s="5" t="str">
        <f ca="1">IFERROR(__xludf.DUMMYFUNCTION("""COMPUTED_VALUE"""),"10 Wild Crown")</f>
        <v>10 Wild Crown</v>
      </c>
      <c r="N166" s="7" t="str">
        <f ca="1">IFERROR(__xludf.DUMMYFUNCTION("""COMPUTED_VALUE"""),"https://docs.google.com/document/d/1lhnxNwHSO0QNRkNdhECb9Bi16w892Bip/edit?usp=drive_link&amp;ouid=107596163405648766688&amp;rtpof=true&amp;sd=true")</f>
        <v>https://docs.google.com/document/d/1lhnxNwHSO0QNRkNdhECb9Bi16w892Bip/edit?usp=drive_link&amp;ouid=107596163405648766688&amp;rtpof=true&amp;sd=true</v>
      </c>
      <c r="O166" s="7" t="str">
        <f ca="1">IFERROR(__xludf.DUMMYFUNCTION("""COMPUTED_VALUE"""),"https://docs.google.com/document/d/1SwHALhIgoYMx1a02Y-AvihYWtrIoigje/edit?usp=drive_link&amp;ouid=107596163405648766688&amp;rtpof=true&amp;sd=true")</f>
        <v>https://docs.google.com/document/d/1SwHALhIgoYMx1a02Y-AvihYWtrIoigje/edit?usp=drive_link&amp;ouid=107596163405648766688&amp;rtpof=true&amp;sd=true</v>
      </c>
      <c r="P166" s="14">
        <f ca="1">IFERROR(__xludf.DUMMYFUNCTION("""COMPUTED_VALUE"""),7.39)</f>
        <v>7.39</v>
      </c>
      <c r="Q166" s="5"/>
      <c r="R166" s="5"/>
      <c r="S166" s="15">
        <f ca="1">IFERROR(__xludf.DUMMYFUNCTION("""COMPUTED_VALUE"""),44699)</f>
        <v>44699</v>
      </c>
      <c r="T166" s="5"/>
      <c r="U166" s="5" t="str">
        <f ca="1">IFERROR(__xludf.DUMMYFUNCTION("""COMPUTED_VALUE"""),"5x3")</f>
        <v>5x3</v>
      </c>
      <c r="V166" s="12" t="str">
        <f ca="1">IFERROR(__xludf.DUMMYFUNCTION("""COMPUTED_VALUE"""),"10")</f>
        <v>10</v>
      </c>
      <c r="W166" s="12" t="str">
        <f ca="1">IFERROR(__xludf.DUMMYFUNCTION("""COMPUTED_VALUE"""),"10")</f>
        <v>10</v>
      </c>
      <c r="X166" s="5">
        <f ca="1">IFERROR(__xludf.DUMMYFUNCTION("""COMPUTED_VALUE"""),95.96)</f>
        <v>95.96</v>
      </c>
      <c r="Y166" s="5" t="str">
        <f ca="1">IFERROR(__xludf.DUMMYFUNCTION("""COMPUTED_VALUE"""),"Medium")</f>
        <v>Medium</v>
      </c>
      <c r="Z166" s="5">
        <f ca="1">IFERROR(__xludf.DUMMYFUNCTION("""COMPUTED_VALUE"""),14.63)</f>
        <v>14.63</v>
      </c>
      <c r="AA166" s="14">
        <f ca="1">IFERROR(__xludf.DUMMYFUNCTION("""COMPUTED_VALUE"""),1538)</f>
        <v>1538</v>
      </c>
      <c r="AB166" s="5"/>
      <c r="AC166" s="5" t="str">
        <f ca="1">IFERROR(__xludf.DUMMYFUNCTION("""COMPUTED_VALUE"""),"Expanding Wild, Scatter")</f>
        <v>Expanding Wild, Scatter</v>
      </c>
      <c r="AD166" s="5" t="str">
        <f ca="1">IFERROR(__xludf.DUMMYFUNCTION("""COMPUTED_VALUE"""),"0.10/40")</f>
        <v>0.10/40</v>
      </c>
      <c r="AE166" s="5"/>
      <c r="AF166" s="5"/>
      <c r="AG166" s="10">
        <f ca="1">IFERROR(__xludf.DUMMYFUNCTION("""COMPUTED_VALUE"""),46157.4469097222)</f>
        <v>46157.446909722203</v>
      </c>
      <c r="AH166" s="5"/>
      <c r="AI166" s="5"/>
      <c r="AJ166" s="5"/>
      <c r="AK166" s="5">
        <f ca="1">IFERROR(__xludf.DUMMYFUNCTION("""COMPUTED_VALUE"""),1)</f>
        <v>1</v>
      </c>
      <c r="AL166" s="5" t="str">
        <f ca="1">IFERROR(__xludf.DUMMYFUNCTION("""COMPUTED_VALUE"""),"No")</f>
        <v>No</v>
      </c>
      <c r="AM166" s="5" t="str">
        <f ca="1">IFERROR(__xludf.DUMMYFUNCTION("""COMPUTED_VALUE"""),"No")</f>
        <v>No</v>
      </c>
      <c r="AN166" s="7" t="str">
        <f ca="1">IFERROR(__xludf.DUMMYFUNCTION("""COMPUTED_VALUE"""),"https://static.redstone.rs/games/10-wild-diamond/")</f>
        <v>https://static.redstone.rs/games/10-wild-diamond/</v>
      </c>
      <c r="AO166" s="5" t="str">
        <f ca="1">IFERROR(__xludf.DUMMYFUNCTION("""COMPUTED_VALUE"""),"No")</f>
        <v>No</v>
      </c>
      <c r="AP166" s="5" t="str">
        <f ca="1">IFERROR(__xludf.DUMMYFUNCTION("""COMPUTED_VALUE"""),"No")</f>
        <v>No</v>
      </c>
      <c r="AQ166" s="5" t="b">
        <f ca="1">IFERROR(__xludf.DUMMYFUNCTION("""COMPUTED_VALUE"""),TRUE)</f>
        <v>1</v>
      </c>
      <c r="AR166" s="5"/>
      <c r="AS166" s="5" t="str">
        <f ca="1">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 xml:space="preserve">"10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AT166" s="5"/>
      <c r="AU166" s="5" t="str">
        <f ca="1">IFERROR(__xludf.DUMMYFUNCTION("""COMPUTED_VALUE"""),"Redstone")</f>
        <v>Redstone</v>
      </c>
      <c r="AV166" s="5"/>
      <c r="AW166" s="5"/>
      <c r="AX166" s="5"/>
      <c r="AY166" s="5"/>
      <c r="AZ166" s="5"/>
      <c r="BA166" s="5"/>
      <c r="BB166" s="5" t="b">
        <f ca="1">IFERROR(__xludf.DUMMYFUNCTION("""COMPUTED_VALUE"""),TRUE)</f>
        <v>1</v>
      </c>
      <c r="BC166" s="5" t="str">
        <f ca="1">IFERROR(__xludf.DUMMYFUNCTION("""COMPUTED_VALUE"""),"Redstone")</f>
        <v>Redstone</v>
      </c>
      <c r="BD166" s="7" t="str">
        <f ca="1">IFERROR(__xludf.DUMMYFUNCTION("""COMPUTED_VALUE"""),"https://static.redstone.rs/games/10-wild-diamond/")</f>
        <v>https://static.redstone.rs/games/10-wild-diamond/</v>
      </c>
      <c r="BE166" s="5" t="b">
        <f ca="1">IFERROR(__xludf.DUMMYFUNCTION("""COMPUTED_VALUE"""),TRUE)</f>
        <v>1</v>
      </c>
    </row>
    <row r="167" spans="1:57" x14ac:dyDescent="0.25">
      <c r="A167" s="5">
        <f ca="1">IFERROR(__xludf.DUMMYFUNCTION("""COMPUTED_VALUE"""),167)</f>
        <v>167</v>
      </c>
      <c r="B167" s="5">
        <f ca="1">IFERROR(__xludf.DUMMYFUNCTION("""COMPUTED_VALUE"""),166)</f>
        <v>166</v>
      </c>
      <c r="C167" s="5" t="str">
        <f ca="1">IFERROR(__xludf.DUMMYFUNCTION("""COMPUTED_VALUE"""),"Tiptop")</f>
        <v>Tiptop</v>
      </c>
      <c r="D167" s="5" t="str">
        <f ca="1">IFERROR(__xludf.DUMMYFUNCTION("""COMPUTED_VALUE"""),"Mini Mega Cash")</f>
        <v>Mini Mega Cash</v>
      </c>
      <c r="E167" s="5"/>
      <c r="F167" s="5" t="str">
        <f ca="1">IFERROR(__xludf.DUMMYFUNCTION("""COMPUTED_VALUE"""),"UnicornMiniMegaCash")</f>
        <v>UnicornMiniMegaCash</v>
      </c>
      <c r="G167" s="5" t="str">
        <f ca="1">IFERROR(__xludf.DUMMYFUNCTION("""COMPUTED_VALUE"""),"Live")</f>
        <v>Live</v>
      </c>
      <c r="H167" s="5"/>
      <c r="I167" s="5" t="str">
        <f ca="1">IFERROR(__xludf.DUMMYFUNCTION("""COMPUTED_VALUE"""),"TipTop")</f>
        <v>TipTop</v>
      </c>
      <c r="J167" s="5" t="str">
        <f ca="1">IFERROR(__xludf.DUMMYFUNCTION("""COMPUTED_VALUE"""),"JSON")</f>
        <v>JSON</v>
      </c>
      <c r="K167" s="5" t="str">
        <f ca="1">IFERROR(__xludf.DUMMYFUNCTION("""COMPUTED_VALUE"""),"Slot")</f>
        <v>Slot</v>
      </c>
      <c r="L167" s="5"/>
      <c r="M167" s="5"/>
      <c r="N167" s="5"/>
      <c r="O167" s="5"/>
      <c r="P167" s="14">
        <f ca="1">IFERROR(__xludf.DUMMYFUNCTION("""COMPUTED_VALUE"""),11.9)</f>
        <v>11.9</v>
      </c>
      <c r="Q167" s="5"/>
      <c r="R167" s="5"/>
      <c r="S167" s="15">
        <f ca="1">IFERROR(__xludf.DUMMYFUNCTION("""COMPUTED_VALUE"""),44768)</f>
        <v>44768</v>
      </c>
      <c r="T167" s="5"/>
      <c r="U167" s="5" t="str">
        <f ca="1">IFERROR(__xludf.DUMMYFUNCTION("""COMPUTED_VALUE"""),"5X3")</f>
        <v>5X3</v>
      </c>
      <c r="V167" s="12" t="str">
        <f ca="1">IFERROR(__xludf.DUMMYFUNCTION("""COMPUTED_VALUE"""),"10")</f>
        <v>10</v>
      </c>
      <c r="W167" s="12" t="str">
        <f ca="1">IFERROR(__xludf.DUMMYFUNCTION("""COMPUTED_VALUE"""),"10")</f>
        <v>10</v>
      </c>
      <c r="X167" s="5">
        <f ca="1">IFERROR(__xludf.DUMMYFUNCTION("""COMPUTED_VALUE"""),96)</f>
        <v>96</v>
      </c>
      <c r="Y167" s="5" t="str">
        <f ca="1">IFERROR(__xludf.DUMMYFUNCTION("""COMPUTED_VALUE"""),"Low")</f>
        <v>Low</v>
      </c>
      <c r="Z167" s="5">
        <f ca="1">IFERROR(__xludf.DUMMYFUNCTION("""COMPUTED_VALUE"""),21.22)</f>
        <v>21.22</v>
      </c>
      <c r="AA167" s="14">
        <f ca="1">IFERROR(__xludf.DUMMYFUNCTION("""COMPUTED_VALUE"""),5000)</f>
        <v>5000</v>
      </c>
      <c r="AB167" s="5"/>
      <c r="AC167" s="5" t="str">
        <f ca="1">IFERROR(__xludf.DUMMYFUNCTION("""COMPUTED_VALUE"""),"Scatter")</f>
        <v>Scatter</v>
      </c>
      <c r="AD167" s="5" t="str">
        <f ca="1">IFERROR(__xludf.DUMMYFUNCTION("""COMPUTED_VALUE"""),"0.1/100")</f>
        <v>0.1/100</v>
      </c>
      <c r="AE167" s="5"/>
      <c r="AF167" s="5"/>
      <c r="AG167" s="10">
        <f ca="1">IFERROR(__xludf.DUMMYFUNCTION("""COMPUTED_VALUE"""),46197.4522685185)</f>
        <v>46197.4522685185</v>
      </c>
      <c r="AH167" s="5" t="str">
        <f ca="1">IFERROR(__xludf.DUMMYFUNCTION("""COMPUTED_VALUE"""),"selena.mihajlovic@fazi.rs")</f>
        <v>selena.mihajlovic@fazi.rs</v>
      </c>
      <c r="AI167" s="5"/>
      <c r="AJ167" s="5"/>
      <c r="AK167" s="5">
        <f ca="1">IFERROR(__xludf.DUMMYFUNCTION("""COMPUTED_VALUE"""),10)</f>
        <v>10</v>
      </c>
      <c r="AL167" s="5" t="str">
        <f ca="1">IFERROR(__xludf.DUMMYFUNCTION("""COMPUTED_VALUE"""),"No")</f>
        <v>No</v>
      </c>
      <c r="AM167" s="5"/>
      <c r="AN167" s="7" t="str">
        <f ca="1">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AO167" s="5"/>
      <c r="AP167" s="5"/>
      <c r="AQ167" s="5" t="b">
        <f ca="1">IFERROR(__xludf.DUMMYFUNCTION("""COMPUTED_VALUE"""),TRUE)</f>
        <v>1</v>
      </c>
      <c r="AR167" s="5"/>
      <c r="AS167" s="5" t="str">
        <f ca="1">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AT167" s="5"/>
      <c r="AU167" s="5" t="str">
        <f ca="1">IFERROR(__xludf.DUMMYFUNCTION("""COMPUTED_VALUE"""),"Fazi")</f>
        <v>Fazi</v>
      </c>
      <c r="AV167" s="5"/>
      <c r="AW167" s="5"/>
      <c r="AX167" s="5"/>
      <c r="AY167" s="5"/>
      <c r="AZ167" s="5"/>
      <c r="BA167" s="5"/>
      <c r="BB167" s="5" t="b">
        <f ca="1">IFERROR(__xludf.DUMMYFUNCTION("""COMPUTED_VALUE"""),TRUE)</f>
        <v>1</v>
      </c>
      <c r="BC167" s="5" t="str">
        <f ca="1">IFERROR(__xludf.DUMMYFUNCTION("""COMPUTED_VALUE"""),"Tiptop")</f>
        <v>Tiptop</v>
      </c>
      <c r="BD167" s="7" t="str">
        <f ca="1">IFERROR(__xludf.DUMMYFUNCTION("""COMPUTED_VALUE"""),"https://gameserver-store-client-area.orbionlimited.com/Home/IntegrationGameLaunch/client-area?moneyType=0&amp;gameName=UnicornMiniMegaCash&amp;platform=desktop&amp;languageCode=eng&amp;currency=EUR")</f>
        <v>https://gameserver-store-client-area.orbionlimited.com/Home/IntegrationGameLaunch/client-area?moneyType=0&amp;gameName=UnicornMiniMegaCash&amp;platform=desktop&amp;languageCode=eng&amp;currency=EUR</v>
      </c>
      <c r="BE167" s="5" t="b">
        <f ca="1">IFERROR(__xludf.DUMMYFUNCTION("""COMPUTED_VALUE"""),TRUE)</f>
        <v>1</v>
      </c>
    </row>
    <row r="168" spans="1:57" x14ac:dyDescent="0.25">
      <c r="A168" s="5">
        <f ca="1">IFERROR(__xludf.DUMMYFUNCTION("""COMPUTED_VALUE"""),168)</f>
        <v>168</v>
      </c>
      <c r="B168" s="5">
        <f ca="1">IFERROR(__xludf.DUMMYFUNCTION("""COMPUTED_VALUE"""),167)</f>
        <v>167</v>
      </c>
      <c r="C168" s="5" t="str">
        <f ca="1">IFERROR(__xludf.DUMMYFUNCTION("""COMPUTED_VALUE"""),"Fazi")</f>
        <v>Fazi</v>
      </c>
      <c r="D168" s="5" t="str">
        <f ca="1">IFERROR(__xludf.DUMMYFUNCTION("""COMPUTED_VALUE"""),"Fruity Face")</f>
        <v>Fruity Face</v>
      </c>
      <c r="E168" s="5" t="str">
        <f ca="1">IFERROR(__xludf.DUMMYFUNCTION("""COMPUTED_VALUE"""),"V2")</f>
        <v>V2</v>
      </c>
      <c r="F168" s="5" t="str">
        <f ca="1">IFERROR(__xludf.DUMMYFUNCTION("""COMPUTED_VALUE"""),"FruityFace")</f>
        <v>FruityFace</v>
      </c>
      <c r="G168" s="5" t="str">
        <f ca="1">IFERROR(__xludf.DUMMYFUNCTION("""COMPUTED_VALUE"""),"Live")</f>
        <v>Live</v>
      </c>
      <c r="H168" s="5"/>
      <c r="I168" s="5" t="str">
        <f ca="1">IFERROR(__xludf.DUMMYFUNCTION("""COMPUTED_VALUE"""),"V2")</f>
        <v>V2</v>
      </c>
      <c r="J168" s="5" t="str">
        <f ca="1">IFERROR(__xludf.DUMMYFUNCTION("""COMPUTED_VALUE"""),"Binary")</f>
        <v>Binary</v>
      </c>
      <c r="K168" s="5" t="str">
        <f ca="1">IFERROR(__xludf.DUMMYFUNCTION("""COMPUTED_VALUE"""),"Slot")</f>
        <v>Slot</v>
      </c>
      <c r="L168" s="5"/>
      <c r="M168" s="5"/>
      <c r="N168" s="5"/>
      <c r="O168" s="5"/>
      <c r="P168" s="14">
        <f ca="1">IFERROR(__xludf.DUMMYFUNCTION("""COMPUTED_VALUE"""),18.8)</f>
        <v>18.8</v>
      </c>
      <c r="Q168" s="5"/>
      <c r="R168" s="5"/>
      <c r="S168" s="15">
        <f ca="1">IFERROR(__xludf.DUMMYFUNCTION("""COMPUTED_VALUE"""),44719)</f>
        <v>44719</v>
      </c>
      <c r="T168" s="5" t="b">
        <f ca="1">IFERROR(__xludf.DUMMYFUNCTION("""COMPUTED_VALUE"""),TRUE)</f>
        <v>1</v>
      </c>
      <c r="U168" s="5" t="str">
        <f ca="1">IFERROR(__xludf.DUMMYFUNCTION("""COMPUTED_VALUE"""),"5x3")</f>
        <v>5x3</v>
      </c>
      <c r="V168" s="12" t="str">
        <f ca="1">IFERROR(__xludf.DUMMYFUNCTION("""COMPUTED_VALUE"""),"5")</f>
        <v>5</v>
      </c>
      <c r="W168" s="12" t="str">
        <f ca="1">IFERROR(__xludf.DUMMYFUNCTION("""COMPUTED_VALUE"""),"5")</f>
        <v>5</v>
      </c>
      <c r="X168" s="5">
        <f ca="1">IFERROR(__xludf.DUMMYFUNCTION("""COMPUTED_VALUE"""),96.25)</f>
        <v>96.25</v>
      </c>
      <c r="Y168" s="5" t="str">
        <f ca="1">IFERROR(__xludf.DUMMYFUNCTION("""COMPUTED_VALUE"""),"Medium")</f>
        <v>Medium</v>
      </c>
      <c r="Z168" s="5">
        <f ca="1">IFERROR(__xludf.DUMMYFUNCTION("""COMPUTED_VALUE"""),10.4599999999999)</f>
        <v>10.4599999999999</v>
      </c>
      <c r="AA168" s="14">
        <f ca="1">IFERROR(__xludf.DUMMYFUNCTION("""COMPUTED_VALUE"""),1040)</f>
        <v>1040</v>
      </c>
      <c r="AB168" s="5" t="str">
        <f ca="1">IFERROR(__xludf.DUMMYFUNCTION("""COMPUTED_VALUE"""),"/")</f>
        <v>/</v>
      </c>
      <c r="AC168" s="5"/>
      <c r="AD168" s="5" t="str">
        <f ca="1">IFERROR(__xludf.DUMMYFUNCTION("""COMPUTED_VALUE"""),"0.05/30")</f>
        <v>0.05/30</v>
      </c>
      <c r="AE168" s="5"/>
      <c r="AF168" s="5"/>
      <c r="AG168" s="5"/>
      <c r="AH168" s="5"/>
      <c r="AI168" s="5"/>
      <c r="AJ168" s="5"/>
      <c r="AK168" s="5">
        <f ca="1">IFERROR(__xludf.DUMMYFUNCTION("""COMPUTED_VALUE"""),5)</f>
        <v>5</v>
      </c>
      <c r="AL168" s="5" t="str">
        <f ca="1">IFERROR(__xludf.DUMMYFUNCTION("""COMPUTED_VALUE"""),"Yes")</f>
        <v>Yes</v>
      </c>
      <c r="AM168" s="5"/>
      <c r="AN168" s="7" t="str">
        <f ca="1">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AO168" s="5"/>
      <c r="AP168" s="5"/>
      <c r="AQ168" s="5" t="b">
        <f ca="1">IFERROR(__xludf.DUMMYFUNCTION("""COMPUTED_VALUE"""),TRUE)</f>
        <v>1</v>
      </c>
      <c r="AR168" s="5"/>
      <c r="AS168" s="5" t="str">
        <f ca="1">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AT168" s="5"/>
      <c r="AU168" s="5" t="str">
        <f ca="1">IFERROR(__xludf.DUMMYFUNCTION("""COMPUTED_VALUE"""),"Fazi")</f>
        <v>Fazi</v>
      </c>
      <c r="AV168" s="5"/>
      <c r="AW168" s="5"/>
      <c r="AX168" s="5"/>
      <c r="AY168" s="5"/>
      <c r="AZ168" s="5"/>
      <c r="BA168" s="5" t="str">
        <f ca="1">IFERROR(__xludf.DUMMYFUNCTION("""COMPUTED_VALUE"""),"")</f>
        <v/>
      </c>
      <c r="BB168" s="5"/>
      <c r="BC168" s="5" t="str">
        <f ca="1">IFERROR(__xludf.DUMMYFUNCTION("""COMPUTED_VALUE"""),"Foxi")</f>
        <v>Foxi</v>
      </c>
      <c r="BD168" s="7" t="str">
        <f ca="1">IFERROR(__xludf.DUMMYFUNCTION("""COMPUTED_VALUE"""),"https://gameserver-store-client-area.orbionlimited.com/Home/IntegrationGameLaunch/client-area?moneyType=0&amp;gameName=FruityFace&amp;platform=desktop&amp;languageCode=eng&amp;currency=EUR")</f>
        <v>https://gameserver-store-client-area.orbionlimited.com/Home/IntegrationGameLaunch/client-area?moneyType=0&amp;gameName=FruityFace&amp;platform=desktop&amp;languageCode=eng&amp;currency=EUR</v>
      </c>
      <c r="BE168" s="5" t="b">
        <f ca="1">IFERROR(__xludf.DUMMYFUNCTION("""COMPUTED_VALUE"""),TRUE)</f>
        <v>1</v>
      </c>
    </row>
    <row r="169" spans="1:57" x14ac:dyDescent="0.25">
      <c r="A169" s="5">
        <f ca="1">IFERROR(__xludf.DUMMYFUNCTION("""COMPUTED_VALUE"""),169)</f>
        <v>169</v>
      </c>
      <c r="B169" s="5">
        <f ca="1">IFERROR(__xludf.DUMMYFUNCTION("""COMPUTED_VALUE"""),168)</f>
        <v>168</v>
      </c>
      <c r="C169" s="5" t="str">
        <f ca="1">IFERROR(__xludf.DUMMYFUNCTION("""COMPUTED_VALUE"""),"Redstone")</f>
        <v>Redstone</v>
      </c>
      <c r="D169" s="5" t="str">
        <f ca="1">IFERROR(__xludf.DUMMYFUNCTION("""COMPUTED_VALUE"""),"5 Wild Heart")</f>
        <v>5 Wild Heart</v>
      </c>
      <c r="E169" s="5" t="str">
        <f ca="1">IFERROR(__xludf.DUMMYFUNCTION("""COMPUTED_VALUE"""),"Redstone")</f>
        <v>Redstone</v>
      </c>
      <c r="F169" s="5" t="str">
        <f ca="1">IFERROR(__xludf.DUMMYFUNCTION("""COMPUTED_VALUE"""),"WildHeart5")</f>
        <v>WildHeart5</v>
      </c>
      <c r="G169" s="5" t="str">
        <f ca="1">IFERROR(__xludf.DUMMYFUNCTION("""COMPUTED_VALUE"""),"Live")</f>
        <v>Live</v>
      </c>
      <c r="H169" s="5"/>
      <c r="I169" s="5" t="str">
        <f ca="1">IFERROR(__xludf.DUMMYFUNCTION("""COMPUTED_VALUE"""),"Redstone")</f>
        <v>Redstone</v>
      </c>
      <c r="J169" s="5" t="str">
        <f ca="1">IFERROR(__xludf.DUMMYFUNCTION("""COMPUTED_VALUE"""),"JSON")</f>
        <v>JSON</v>
      </c>
      <c r="K169" s="5" t="str">
        <f ca="1">IFERROR(__xludf.DUMMYFUNCTION("""COMPUTED_VALUE"""),"Slot")</f>
        <v>Slot</v>
      </c>
      <c r="L169" s="5" t="str">
        <f ca="1">IFERROR(__xludf.DUMMYFUNCTION("""COMPUTED_VALUE""")," Clone")</f>
        <v xml:space="preserve"> Clone</v>
      </c>
      <c r="M169" s="5" t="str">
        <f ca="1">IFERROR(__xludf.DUMMYFUNCTION("""COMPUTED_VALUE"""),"5 Clover Fire")</f>
        <v>5 Clover Fire</v>
      </c>
      <c r="N169" s="7" t="str">
        <f ca="1">IFERROR(__xludf.DUMMYFUNCTION("""COMPUTED_VALUE"""),"https://docs.google.com/document/d/1CFAxxeOYIm8nYNAV6SbqnXJxfqQo4KjA/edit?usp=drive_link&amp;ouid=107596163405648766688&amp;rtpof=true&amp;sd=true")</f>
        <v>https://docs.google.com/document/d/1CFAxxeOYIm8nYNAV6SbqnXJxfqQo4KjA/edit?usp=drive_link&amp;ouid=107596163405648766688&amp;rtpof=true&amp;sd=true</v>
      </c>
      <c r="O169" s="7" t="str">
        <f ca="1">IFERROR(__xludf.DUMMYFUNCTION("""COMPUTED_VALUE"""),"https://docs.google.com/document/d/1yrDTw_s-LHjdBDnRcPJ85sWW6-bjGyoX/edit?usp=drive_link&amp;ouid=107596163405648766688&amp;rtpof=true&amp;sd=true")</f>
        <v>https://docs.google.com/document/d/1yrDTw_s-LHjdBDnRcPJ85sWW6-bjGyoX/edit?usp=drive_link&amp;ouid=107596163405648766688&amp;rtpof=true&amp;sd=true</v>
      </c>
      <c r="P169" s="14">
        <f ca="1">IFERROR(__xludf.DUMMYFUNCTION("""COMPUTED_VALUE"""),8.7)</f>
        <v>8.6999999999999993</v>
      </c>
      <c r="Q169" s="5"/>
      <c r="R169" s="5"/>
      <c r="S169" s="15">
        <f ca="1">IFERROR(__xludf.DUMMYFUNCTION("""COMPUTED_VALUE"""),44718)</f>
        <v>44718</v>
      </c>
      <c r="T169" s="5"/>
      <c r="U169" s="5" t="str">
        <f ca="1">IFERROR(__xludf.DUMMYFUNCTION("""COMPUTED_VALUE"""),"5x3")</f>
        <v>5x3</v>
      </c>
      <c r="V169" s="12" t="str">
        <f ca="1">IFERROR(__xludf.DUMMYFUNCTION("""COMPUTED_VALUE"""),"5")</f>
        <v>5</v>
      </c>
      <c r="W169" s="12" t="str">
        <f ca="1">IFERROR(__xludf.DUMMYFUNCTION("""COMPUTED_VALUE"""),"5")</f>
        <v>5</v>
      </c>
      <c r="X169" s="5">
        <f ca="1">IFERROR(__xludf.DUMMYFUNCTION("""COMPUTED_VALUE"""),96.45)</f>
        <v>96.45</v>
      </c>
      <c r="Y169" s="5" t="str">
        <f ca="1">IFERROR(__xludf.DUMMYFUNCTION("""COMPUTED_VALUE"""),"Medium")</f>
        <v>Medium</v>
      </c>
      <c r="Z169" s="5">
        <f ca="1">IFERROR(__xludf.DUMMYFUNCTION("""COMPUTED_VALUE"""),14.5)</f>
        <v>14.5</v>
      </c>
      <c r="AA169" s="14">
        <f ca="1">IFERROR(__xludf.DUMMYFUNCTION("""COMPUTED_VALUE"""),1222)</f>
        <v>1222</v>
      </c>
      <c r="AB169" s="5"/>
      <c r="AC169" s="5" t="str">
        <f ca="1">IFERROR(__xludf.DUMMYFUNCTION("""COMPUTED_VALUE"""),"Expanding Wild, Scatter")</f>
        <v>Expanding Wild, Scatter</v>
      </c>
      <c r="AD169" s="5" t="str">
        <f ca="1">IFERROR(__xludf.DUMMYFUNCTION("""COMPUTED_VALUE"""),"0.05/30")</f>
        <v>0.05/30</v>
      </c>
      <c r="AE169" s="5"/>
      <c r="AF169" s="5"/>
      <c r="AG169" s="10">
        <f ca="1">IFERROR(__xludf.DUMMYFUNCTION("""COMPUTED_VALUE"""),46157.4778009259)</f>
        <v>46157.477800925903</v>
      </c>
      <c r="AH169" s="5"/>
      <c r="AI169" s="5"/>
      <c r="AJ169" s="5"/>
      <c r="AK169" s="5">
        <f ca="1">IFERROR(__xludf.DUMMYFUNCTION("""COMPUTED_VALUE"""),1)</f>
        <v>1</v>
      </c>
      <c r="AL169" s="5" t="str">
        <f ca="1">IFERROR(__xludf.DUMMYFUNCTION("""COMPUTED_VALUE"""),"No")</f>
        <v>No</v>
      </c>
      <c r="AM169" s="5" t="str">
        <f ca="1">IFERROR(__xludf.DUMMYFUNCTION("""COMPUTED_VALUE"""),"No")</f>
        <v>No</v>
      </c>
      <c r="AN169" s="7" t="str">
        <f ca="1">IFERROR(__xludf.DUMMYFUNCTION("""COMPUTED_VALUE"""),"https://static.redstone.rs/games/5-wild-heart/")</f>
        <v>https://static.redstone.rs/games/5-wild-heart/</v>
      </c>
      <c r="AO169" s="5" t="str">
        <f ca="1">IFERROR(__xludf.DUMMYFUNCTION("""COMPUTED_VALUE"""),"No")</f>
        <v>No</v>
      </c>
      <c r="AP169" s="5" t="str">
        <f ca="1">IFERROR(__xludf.DUMMYFUNCTION("""COMPUTED_VALUE"""),"No")</f>
        <v>No</v>
      </c>
      <c r="AQ169" s="5" t="b">
        <f ca="1">IFERROR(__xludf.DUMMYFUNCTION("""COMPUTED_VALUE"""),TRUE)</f>
        <v>1</v>
      </c>
      <c r="AR169" s="5"/>
      <c r="AS169" s="5" t="str">
        <f ca="1">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AT169" s="5"/>
      <c r="AU169" s="5" t="str">
        <f ca="1">IFERROR(__xludf.DUMMYFUNCTION("""COMPUTED_VALUE"""),"Redstone")</f>
        <v>Redstone</v>
      </c>
      <c r="AV169" s="5"/>
      <c r="AW169" s="5"/>
      <c r="AX169" s="5"/>
      <c r="AY169" s="5"/>
      <c r="AZ169" s="5"/>
      <c r="BA169" s="5"/>
      <c r="BB169" s="5" t="b">
        <f ca="1">IFERROR(__xludf.DUMMYFUNCTION("""COMPUTED_VALUE"""),TRUE)</f>
        <v>1</v>
      </c>
      <c r="BC169" s="5" t="str">
        <f ca="1">IFERROR(__xludf.DUMMYFUNCTION("""COMPUTED_VALUE"""),"Redstone")</f>
        <v>Redstone</v>
      </c>
      <c r="BD169" s="7" t="str">
        <f ca="1">IFERROR(__xludf.DUMMYFUNCTION("""COMPUTED_VALUE"""),"https://static.redstone.rs/games/5-wild-heart/")</f>
        <v>https://static.redstone.rs/games/5-wild-heart/</v>
      </c>
      <c r="BE169" s="5" t="b">
        <f ca="1">IFERROR(__xludf.DUMMYFUNCTION("""COMPUTED_VALUE"""),TRUE)</f>
        <v>1</v>
      </c>
    </row>
    <row r="170" spans="1:57" x14ac:dyDescent="0.25">
      <c r="A170" s="5">
        <f ca="1">IFERROR(__xludf.DUMMYFUNCTION("""COMPUTED_VALUE"""),170)</f>
        <v>170</v>
      </c>
      <c r="B170" s="5">
        <f ca="1">IFERROR(__xludf.DUMMYFUNCTION("""COMPUTED_VALUE"""),169)</f>
        <v>169</v>
      </c>
      <c r="C170" s="5" t="str">
        <f ca="1">IFERROR(__xludf.DUMMYFUNCTION("""COMPUTED_VALUE"""),"Fazi")</f>
        <v>Fazi</v>
      </c>
      <c r="D170" s="5" t="str">
        <f ca="1">IFERROR(__xludf.DUMMYFUNCTION("""COMPUTED_VALUE"""),"Classic Lucky Spin")</f>
        <v>Classic Lucky Spin</v>
      </c>
      <c r="E170" s="5" t="str">
        <f ca="1">IFERROR(__xludf.DUMMYFUNCTION("""COMPUTED_VALUE"""),"V2")</f>
        <v>V2</v>
      </c>
      <c r="F170" s="5" t="str">
        <f ca="1">IFERROR(__xludf.DUMMYFUNCTION("""COMPUTED_VALUE"""),"ClassicLuckySpin")</f>
        <v>ClassicLuckySpin</v>
      </c>
      <c r="G170" s="5" t="str">
        <f ca="1">IFERROR(__xludf.DUMMYFUNCTION("""COMPUTED_VALUE"""),"Live")</f>
        <v>Live</v>
      </c>
      <c r="H170" s="5"/>
      <c r="I170" s="5" t="str">
        <f ca="1">IFERROR(__xludf.DUMMYFUNCTION("""COMPUTED_VALUE"""),"V2")</f>
        <v>V2</v>
      </c>
      <c r="J170" s="5" t="str">
        <f ca="1">IFERROR(__xludf.DUMMYFUNCTION("""COMPUTED_VALUE"""),"JSON")</f>
        <v>JSON</v>
      </c>
      <c r="K170" s="5" t="str">
        <f ca="1">IFERROR(__xludf.DUMMYFUNCTION("""COMPUTED_VALUE"""),"Slot")</f>
        <v>Slot</v>
      </c>
      <c r="L170" s="5" t="str">
        <f ca="1">IFERROR(__xludf.DUMMYFUNCTION("""COMPUTED_VALUE"""),"Clone")</f>
        <v>Clone</v>
      </c>
      <c r="M170" s="5" t="str">
        <f ca="1">IFERROR(__xludf.DUMMYFUNCTION("""COMPUTED_VALUE"""),"Triple Hot")</f>
        <v>Triple Hot</v>
      </c>
      <c r="N170" s="5"/>
      <c r="O170" s="5"/>
      <c r="P170" s="14">
        <f ca="1">IFERROR(__xludf.DUMMYFUNCTION("""COMPUTED_VALUE"""),45.3)</f>
        <v>45.3</v>
      </c>
      <c r="Q170" s="5"/>
      <c r="R170" s="5"/>
      <c r="S170" s="15">
        <f ca="1">IFERROR(__xludf.DUMMYFUNCTION("""COMPUTED_VALUE"""),44727)</f>
        <v>44727</v>
      </c>
      <c r="T170" s="5"/>
      <c r="U170" s="5" t="str">
        <f ca="1">IFERROR(__xludf.DUMMYFUNCTION("""COMPUTED_VALUE"""),"3x3")</f>
        <v>3x3</v>
      </c>
      <c r="V170" s="12" t="str">
        <f ca="1">IFERROR(__xludf.DUMMYFUNCTION("""COMPUTED_VALUE"""),"5")</f>
        <v>5</v>
      </c>
      <c r="W170" s="12" t="str">
        <f ca="1">IFERROR(__xludf.DUMMYFUNCTION("""COMPUTED_VALUE"""),"5")</f>
        <v>5</v>
      </c>
      <c r="X170" s="5">
        <f ca="1">IFERROR(__xludf.DUMMYFUNCTION("""COMPUTED_VALUE"""),95.513)</f>
        <v>95.513000000000005</v>
      </c>
      <c r="Y170" s="5" t="str">
        <f ca="1">IFERROR(__xludf.DUMMYFUNCTION("""COMPUTED_VALUE"""),"Low")</f>
        <v>Low</v>
      </c>
      <c r="Z170" s="5">
        <f ca="1">IFERROR(__xludf.DUMMYFUNCTION("""COMPUTED_VALUE"""),6.51)</f>
        <v>6.51</v>
      </c>
      <c r="AA170" s="14">
        <f ca="1">IFERROR(__xludf.DUMMYFUNCTION("""COMPUTED_VALUE"""),60)</f>
        <v>60</v>
      </c>
      <c r="AB170" s="5" t="str">
        <f ca="1">IFERROR(__xludf.DUMMYFUNCTION("""COMPUTED_VALUE"""),"/")</f>
        <v>/</v>
      </c>
      <c r="AC170" s="5"/>
      <c r="AD170" s="5" t="str">
        <f ca="1">IFERROR(__xludf.DUMMYFUNCTION("""COMPUTED_VALUE"""),"0.05/30")</f>
        <v>0.05/30</v>
      </c>
      <c r="AE170" s="5"/>
      <c r="AF170" s="5"/>
      <c r="AG170" s="10">
        <f ca="1">IFERROR(__xludf.DUMMYFUNCTION("""COMPUTED_VALUE"""),46055.5172453703)</f>
        <v>46055.517245370298</v>
      </c>
      <c r="AH170" s="5" t="str">
        <f ca="1">IFERROR(__xludf.DUMMYFUNCTION("""COMPUTED_VALUE"""),"djordje.jankovic@fazi.rs")</f>
        <v>djordje.jankovic@fazi.rs</v>
      </c>
      <c r="AI170" s="5"/>
      <c r="AJ170" s="5"/>
      <c r="AK170" s="5">
        <f ca="1">IFERROR(__xludf.DUMMYFUNCTION("""COMPUTED_VALUE"""),5)</f>
        <v>5</v>
      </c>
      <c r="AL170" s="5" t="str">
        <f ca="1">IFERROR(__xludf.DUMMYFUNCTION("""COMPUTED_VALUE"""),"Yes")</f>
        <v>Yes</v>
      </c>
      <c r="AM170" s="5"/>
      <c r="AN170" s="7" t="str">
        <f ca="1">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AO170" s="5" t="str">
        <f ca="1">IFERROR(__xludf.DUMMYFUNCTION("""COMPUTED_VALUE"""),"Yes")</f>
        <v>Yes</v>
      </c>
      <c r="AP170" s="5" t="str">
        <f ca="1">IFERROR(__xludf.DUMMYFUNCTION("""COMPUTED_VALUE"""),"Yes")</f>
        <v>Yes</v>
      </c>
      <c r="AQ170" s="5" t="b">
        <f ca="1">IFERROR(__xludf.DUMMYFUNCTION("""COMPUTED_VALUE"""),TRUE)</f>
        <v>1</v>
      </c>
      <c r="AR170" s="5"/>
      <c r="AS170" s="5" t="str">
        <f ca="1">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AT170" s="5"/>
      <c r="AU170" s="5" t="str">
        <f ca="1">IFERROR(__xludf.DUMMYFUNCTION("""COMPUTED_VALUE"""),"Fazi")</f>
        <v>Fazi</v>
      </c>
      <c r="AV170" s="5"/>
      <c r="AW170" s="5"/>
      <c r="AX170" s="5"/>
      <c r="AY170" s="5"/>
      <c r="AZ170" s="5"/>
      <c r="BA170" s="5" t="str">
        <f ca="1">IFERROR(__xludf.DUMMYFUNCTION("""COMPUTED_VALUE"""),"")</f>
        <v/>
      </c>
      <c r="BB170" s="5"/>
      <c r="BC170" s="5" t="str">
        <f ca="1">IFERROR(__xludf.DUMMYFUNCTION("""COMPUTED_VALUE"""),"Foxi")</f>
        <v>Foxi</v>
      </c>
      <c r="BD170" s="7" t="str">
        <f ca="1">IFERROR(__xludf.DUMMYFUNCTION("""COMPUTED_VALUE"""),"https://gameserver-store-client-area.orbionlimited.com/Home/IntegrationGameLaunch/client-area?moneyType=0&amp;gameName=ClassicLuckySpin&amp;platform=desktop&amp;languageCode=eng&amp;currency=EUR")</f>
        <v>https://gameserver-store-client-area.orbionlimited.com/Home/IntegrationGameLaunch/client-area?moneyType=0&amp;gameName=ClassicLuckySpin&amp;platform=desktop&amp;languageCode=eng&amp;currency=EUR</v>
      </c>
      <c r="BE170" s="5" t="b">
        <f ca="1">IFERROR(__xludf.DUMMYFUNCTION("""COMPUTED_VALUE"""),TRUE)</f>
        <v>1</v>
      </c>
    </row>
    <row r="171" spans="1:57" x14ac:dyDescent="0.25">
      <c r="A171" s="5">
        <f ca="1">IFERROR(__xludf.DUMMYFUNCTION("""COMPUTED_VALUE"""),171)</f>
        <v>171</v>
      </c>
      <c r="B171" s="5">
        <f ca="1">IFERROR(__xludf.DUMMYFUNCTION("""COMPUTED_VALUE"""),170)</f>
        <v>170</v>
      </c>
      <c r="C171" s="5" t="str">
        <f ca="1">IFERROR(__xludf.DUMMYFUNCTION("""COMPUTED_VALUE"""),"Tiptop")</f>
        <v>Tiptop</v>
      </c>
      <c r="D171" s="5" t="str">
        <f ca="1">IFERROR(__xludf.DUMMYFUNCTION("""COMPUTED_VALUE"""),"20 Dice Flames")</f>
        <v>20 Dice Flames</v>
      </c>
      <c r="E171" s="5"/>
      <c r="F171" s="5" t="str">
        <f ca="1">IFERROR(__xludf.DUMMYFUNCTION("""COMPUTED_VALUE"""),"Unicorn20DiceFlames")</f>
        <v>Unicorn20DiceFlames</v>
      </c>
      <c r="G171" s="5" t="str">
        <f ca="1">IFERROR(__xludf.DUMMYFUNCTION("""COMPUTED_VALUE"""),"Live")</f>
        <v>Live</v>
      </c>
      <c r="H171" s="5"/>
      <c r="I171" s="5" t="str">
        <f ca="1">IFERROR(__xludf.DUMMYFUNCTION("""COMPUTED_VALUE"""),"TipTop")</f>
        <v>TipTop</v>
      </c>
      <c r="J171" s="5" t="str">
        <f ca="1">IFERROR(__xludf.DUMMYFUNCTION("""COMPUTED_VALUE"""),"JSON")</f>
        <v>JSON</v>
      </c>
      <c r="K171" s="5" t="str">
        <f ca="1">IFERROR(__xludf.DUMMYFUNCTION("""COMPUTED_VALUE"""),"Dice Slots")</f>
        <v>Dice Slots</v>
      </c>
      <c r="L171" s="5"/>
      <c r="M171" s="5"/>
      <c r="N171" s="5"/>
      <c r="O171" s="5"/>
      <c r="P171" s="14">
        <f ca="1">IFERROR(__xludf.DUMMYFUNCTION("""COMPUTED_VALUE"""),13.2)</f>
        <v>13.2</v>
      </c>
      <c r="Q171" s="5"/>
      <c r="R171" s="5"/>
      <c r="S171" s="15">
        <f ca="1">IFERROR(__xludf.DUMMYFUNCTION("""COMPUTED_VALUE"""),44735)</f>
        <v>44735</v>
      </c>
      <c r="T171" s="5"/>
      <c r="U171" s="5" t="str">
        <f ca="1">IFERROR(__xludf.DUMMYFUNCTION("""COMPUTED_VALUE"""),"5X3")</f>
        <v>5X3</v>
      </c>
      <c r="V171" s="12" t="str">
        <f ca="1">IFERROR(__xludf.DUMMYFUNCTION("""COMPUTED_VALUE"""),"20")</f>
        <v>20</v>
      </c>
      <c r="W171" s="12" t="str">
        <f ca="1">IFERROR(__xludf.DUMMYFUNCTION("""COMPUTED_VALUE"""),"20")</f>
        <v>20</v>
      </c>
      <c r="X171" s="5">
        <f ca="1">IFERROR(__xludf.DUMMYFUNCTION("""COMPUTED_VALUE"""),96)</f>
        <v>96</v>
      </c>
      <c r="Y171" s="5" t="str">
        <f ca="1">IFERROR(__xludf.DUMMYFUNCTION("""COMPUTED_VALUE"""),"Low")</f>
        <v>Low</v>
      </c>
      <c r="Z171" s="5">
        <f ca="1">IFERROR(__xludf.DUMMYFUNCTION("""COMPUTED_VALUE"""),30.07)</f>
        <v>30.07</v>
      </c>
      <c r="AA171" s="14">
        <f ca="1">IFERROR(__xludf.DUMMYFUNCTION("""COMPUTED_VALUE"""),200)</f>
        <v>200</v>
      </c>
      <c r="AB171" s="5"/>
      <c r="AC171" s="5"/>
      <c r="AD171" s="5" t="str">
        <f ca="1">IFERROR(__xludf.DUMMYFUNCTION("""COMPUTED_VALUE"""),"0.2/100")</f>
        <v>0.2/100</v>
      </c>
      <c r="AE171" s="5"/>
      <c r="AF171" s="5"/>
      <c r="AG171" s="10">
        <f ca="1">IFERROR(__xludf.DUMMYFUNCTION("""COMPUTED_VALUE"""),46197.4529050925)</f>
        <v>46197.452905092498</v>
      </c>
      <c r="AH171" s="5" t="str">
        <f ca="1">IFERROR(__xludf.DUMMYFUNCTION("""COMPUTED_VALUE"""),"selena.mihajlovic@fazi.rs")</f>
        <v>selena.mihajlovic@fazi.rs</v>
      </c>
      <c r="AI171" s="5"/>
      <c r="AJ171" s="5"/>
      <c r="AK171" s="5">
        <f ca="1">IFERROR(__xludf.DUMMYFUNCTION("""COMPUTED_VALUE"""),20)</f>
        <v>20</v>
      </c>
      <c r="AL171" s="5" t="str">
        <f ca="1">IFERROR(__xludf.DUMMYFUNCTION("""COMPUTED_VALUE"""),"No")</f>
        <v>No</v>
      </c>
      <c r="AM171" s="5"/>
      <c r="AN171" s="7" t="str">
        <f ca="1">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AO171" s="5"/>
      <c r="AP171" s="5"/>
      <c r="AQ171" s="5" t="b">
        <f ca="1">IFERROR(__xludf.DUMMYFUNCTION("""COMPUTED_VALUE"""),TRUE)</f>
        <v>1</v>
      </c>
      <c r="AR171" s="5"/>
      <c r="AS171" s="5" t="str">
        <f ca="1">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AT171" s="5"/>
      <c r="AU171" s="5" t="str">
        <f ca="1">IFERROR(__xludf.DUMMYFUNCTION("""COMPUTED_VALUE"""),"Fazi")</f>
        <v>Fazi</v>
      </c>
      <c r="AV171" s="5"/>
      <c r="AW171" s="5"/>
      <c r="AX171" s="5"/>
      <c r="AY171" s="5"/>
      <c r="AZ171" s="5"/>
      <c r="BA171" s="5"/>
      <c r="BB171" s="5" t="b">
        <f ca="1">IFERROR(__xludf.DUMMYFUNCTION("""COMPUTED_VALUE"""),TRUE)</f>
        <v>1</v>
      </c>
      <c r="BC171" s="5" t="str">
        <f ca="1">IFERROR(__xludf.DUMMYFUNCTION("""COMPUTED_VALUE"""),"Tiptop")</f>
        <v>Tiptop</v>
      </c>
      <c r="BD171" s="7" t="str">
        <f ca="1">IFERROR(__xludf.DUMMYFUNCTION("""COMPUTED_VALUE"""),"https://gameserver-store-client-area.orbionlimited.com/Home/IntegrationGameLaunch/client-area?moneyType=0&amp;gameName=Unicorn20DiceFlames&amp;platform=desktop&amp;languageCode=eng&amp;currency=EUR")</f>
        <v>https://gameserver-store-client-area.orbionlimited.com/Home/IntegrationGameLaunch/client-area?moneyType=0&amp;gameName=Unicorn20DiceFlames&amp;platform=desktop&amp;languageCode=eng&amp;currency=EUR</v>
      </c>
      <c r="BE171" s="5" t="b">
        <f ca="1">IFERROR(__xludf.DUMMYFUNCTION("""COMPUTED_VALUE"""),TRUE)</f>
        <v>1</v>
      </c>
    </row>
    <row r="172" spans="1:57" x14ac:dyDescent="0.25">
      <c r="A172" s="5">
        <f ca="1">IFERROR(__xludf.DUMMYFUNCTION("""COMPUTED_VALUE"""),172)</f>
        <v>172</v>
      </c>
      <c r="B172" s="5">
        <f ca="1">IFERROR(__xludf.DUMMYFUNCTION("""COMPUTED_VALUE"""),171)</f>
        <v>171</v>
      </c>
      <c r="C172" s="5" t="str">
        <f ca="1">IFERROR(__xludf.DUMMYFUNCTION("""COMPUTED_VALUE"""),"Fazi")</f>
        <v>Fazi</v>
      </c>
      <c r="D172" s="5" t="str">
        <f ca="1">IFERROR(__xludf.DUMMYFUNCTION("""COMPUTED_VALUE"""),"Volcano Hot 40")</f>
        <v>Volcano Hot 40</v>
      </c>
      <c r="E172" s="5" t="str">
        <f ca="1">IFERROR(__xludf.DUMMYFUNCTION("""COMPUTED_VALUE"""),"V2")</f>
        <v>V2</v>
      </c>
      <c r="F172" s="5" t="str">
        <f ca="1">IFERROR(__xludf.DUMMYFUNCTION("""COMPUTED_VALUE"""),"VolcanoHot40")</f>
        <v>VolcanoHot40</v>
      </c>
      <c r="G172" s="5" t="str">
        <f ca="1">IFERROR(__xludf.DUMMYFUNCTION("""COMPUTED_VALUE"""),"Live")</f>
        <v>Live</v>
      </c>
      <c r="H172" s="5" t="str">
        <f ca="1">IFERROR(__xludf.DUMMYFUNCTION("""COMPUTED_VALUE"""),"VolcanoMe - Vezuv")</f>
        <v>VolcanoMe - Vezuv</v>
      </c>
      <c r="I172" s="5" t="str">
        <f ca="1">IFERROR(__xludf.DUMMYFUNCTION("""COMPUTED_VALUE"""),"V2")</f>
        <v>V2</v>
      </c>
      <c r="J172" s="5" t="str">
        <f ca="1">IFERROR(__xludf.DUMMYFUNCTION("""COMPUTED_VALUE"""),"Binary")</f>
        <v>Binary</v>
      </c>
      <c r="K172" s="5" t="str">
        <f ca="1">IFERROR(__xludf.DUMMYFUNCTION("""COMPUTED_VALUE"""),"Slot")</f>
        <v>Slot</v>
      </c>
      <c r="L172" s="5"/>
      <c r="M172" s="5" t="str">
        <f ca="1">IFERROR(__xludf.DUMMYFUNCTION("""COMPUTED_VALUE"""),"Turbo Hot 40")</f>
        <v>Turbo Hot 40</v>
      </c>
      <c r="N172" s="5"/>
      <c r="O172" s="5"/>
      <c r="P172" s="5"/>
      <c r="Q172" s="5"/>
      <c r="R172" s="5"/>
      <c r="S172" s="5"/>
      <c r="T172" s="5"/>
      <c r="U172" s="5"/>
      <c r="V172" s="12" t="str">
        <f ca="1">IFERROR(__xludf.DUMMYFUNCTION("""COMPUTED_VALUE"""),"40")</f>
        <v>40</v>
      </c>
      <c r="W172" s="5"/>
      <c r="X172" s="13">
        <f ca="1">IFERROR(__xludf.DUMMYFUNCTION("""COMPUTED_VALUE"""),96.584)</f>
        <v>96.584000000000003</v>
      </c>
      <c r="Y172" s="5"/>
      <c r="Z172" s="5">
        <f ca="1">IFERROR(__xludf.DUMMYFUNCTION("""COMPUTED_VALUE"""),0)</f>
        <v>0</v>
      </c>
      <c r="AA172" s="5"/>
      <c r="AB172" s="5"/>
      <c r="AC172" s="5"/>
      <c r="AD172" s="5"/>
      <c r="AE172" s="5"/>
      <c r="AF172" s="5"/>
      <c r="AG172" s="10">
        <f ca="1">IFERROR(__xludf.DUMMYFUNCTION("""COMPUTED_VALUE"""),46057.4152662037)</f>
        <v>46057.415266203701</v>
      </c>
      <c r="AH172" s="5" t="str">
        <f ca="1">IFERROR(__xludf.DUMMYFUNCTION("""COMPUTED_VALUE"""),"petra.ilic@fazi.rs")</f>
        <v>petra.ilic@fazi.rs</v>
      </c>
      <c r="AI172" s="5"/>
      <c r="AJ172" s="5"/>
      <c r="AK172" s="5">
        <f ca="1">IFERROR(__xludf.DUMMYFUNCTION("""COMPUTED_VALUE"""),40)</f>
        <v>40</v>
      </c>
      <c r="AL172" s="5" t="str">
        <f ca="1">IFERROR(__xludf.DUMMYFUNCTION("""COMPUTED_VALUE"""),"Yes")</f>
        <v>Yes</v>
      </c>
      <c r="AM172" s="5"/>
      <c r="AN172" s="5"/>
      <c r="AO172" s="5"/>
      <c r="AP172" s="5"/>
      <c r="AQ172" s="5"/>
      <c r="AR172" s="5" t="b">
        <f ca="1">IFERROR(__xludf.DUMMYFUNCTION("""COMPUTED_VALUE"""),TRUE)</f>
        <v>1</v>
      </c>
      <c r="AS172" s="5"/>
      <c r="AT172" s="5"/>
      <c r="AU172" s="5" t="str">
        <f ca="1">IFERROR(__xludf.DUMMYFUNCTION("""COMPUTED_VALUE"""),"Fazi")</f>
        <v>Fazi</v>
      </c>
      <c r="AV172" s="5"/>
      <c r="AW172" s="5"/>
      <c r="AX172" s="5"/>
      <c r="AY172" s="5"/>
      <c r="AZ172" s="5"/>
      <c r="BA172" s="5" t="str">
        <f ca="1">IFERROR(__xludf.DUMMYFUNCTION("""COMPUTED_VALUE"""),"")</f>
        <v/>
      </c>
      <c r="BB172" s="5"/>
      <c r="BC172" s="5" t="str">
        <f ca="1">IFERROR(__xludf.DUMMYFUNCTION("""COMPUTED_VALUE"""),"Foxi")</f>
        <v>Foxi</v>
      </c>
      <c r="BD172" s="5" t="str">
        <f ca="1">IFERROR(__xludf.DUMMYFUNCTION("""COMPUTED_VALUE"""),"")</f>
        <v/>
      </c>
      <c r="BE172" s="5"/>
    </row>
    <row r="173" spans="1:57" x14ac:dyDescent="0.25">
      <c r="A173" s="5">
        <f ca="1">IFERROR(__xludf.DUMMYFUNCTION("""COMPUTED_VALUE"""),173)</f>
        <v>173</v>
      </c>
      <c r="B173" s="5">
        <f ca="1">IFERROR(__xludf.DUMMYFUNCTION("""COMPUTED_VALUE"""),172)</f>
        <v>172</v>
      </c>
      <c r="C173" s="5" t="str">
        <f ca="1">IFERROR(__xludf.DUMMYFUNCTION("""COMPUTED_VALUE"""),"Fazi")</f>
        <v>Fazi</v>
      </c>
      <c r="D173" s="5" t="str">
        <f ca="1">IFERROR(__xludf.DUMMYFUNCTION("""COMPUTED_VALUE"""),"Zabranjeno Voce")</f>
        <v>Zabranjeno Voce</v>
      </c>
      <c r="E173" s="5" t="str">
        <f ca="1">IFERROR(__xludf.DUMMYFUNCTION("""COMPUTED_VALUE"""),"V2")</f>
        <v>V2</v>
      </c>
      <c r="F173" s="5" t="str">
        <f ca="1">IFERROR(__xludf.DUMMYFUNCTION("""COMPUTED_VALUE"""),"ZabranjenoVoce")</f>
        <v>ZabranjenoVoce</v>
      </c>
      <c r="G173" s="5" t="str">
        <f ca="1">IFERROR(__xludf.DUMMYFUNCTION("""COMPUTED_VALUE"""),"Live")</f>
        <v>Live</v>
      </c>
      <c r="H173" s="5" t="str">
        <f ca="1">IFERROR(__xludf.DUMMYFUNCTION("""COMPUTED_VALUE"""),"VolcanoMe - Vezuv")</f>
        <v>VolcanoMe - Vezuv</v>
      </c>
      <c r="I173" s="5" t="str">
        <f ca="1">IFERROR(__xludf.DUMMYFUNCTION("""COMPUTED_VALUE"""),"V2")</f>
        <v>V2</v>
      </c>
      <c r="J173" s="5" t="str">
        <f ca="1">IFERROR(__xludf.DUMMYFUNCTION("""COMPUTED_VALUE"""),"Binary")</f>
        <v>Binary</v>
      </c>
      <c r="K173" s="5" t="str">
        <f ca="1">IFERROR(__xludf.DUMMYFUNCTION("""COMPUTED_VALUE"""),"Slot")</f>
        <v>Slot</v>
      </c>
      <c r="L173" s="5" t="str">
        <f ca="1">IFERROR(__xludf.DUMMYFUNCTION("""COMPUTED_VALUE"""),"Clone")</f>
        <v>Clone</v>
      </c>
      <c r="M173" s="5" t="str">
        <f ca="1">IFERROR(__xludf.DUMMYFUNCTION("""COMPUTED_VALUE"""),"Lollas World")</f>
        <v>Lollas World</v>
      </c>
      <c r="N173" s="5"/>
      <c r="O173" s="5"/>
      <c r="P173" s="5"/>
      <c r="Q173" s="5"/>
      <c r="R173" s="5"/>
      <c r="S173" s="5"/>
      <c r="T173" s="5"/>
      <c r="U173" s="5" t="str">
        <f ca="1">IFERROR(__xludf.DUMMYFUNCTION("""COMPUTED_VALUE"""),"5x4")</f>
        <v>5x4</v>
      </c>
      <c r="V173" s="12" t="str">
        <f ca="1">IFERROR(__xludf.DUMMYFUNCTION("""COMPUTED_VALUE"""),"40")</f>
        <v>40</v>
      </c>
      <c r="W173" s="12" t="str">
        <f ca="1">IFERROR(__xludf.DUMMYFUNCTION("""COMPUTED_VALUE"""),"40")</f>
        <v>40</v>
      </c>
      <c r="X173" s="5">
        <f ca="1">IFERROR(__xludf.DUMMYFUNCTION("""COMPUTED_VALUE"""),95.479)</f>
        <v>95.478999999999999</v>
      </c>
      <c r="Y173" s="5" t="str">
        <f ca="1">IFERROR(__xludf.DUMMYFUNCTION("""COMPUTED_VALUE"""),"Medium")</f>
        <v>Medium</v>
      </c>
      <c r="Z173" s="5">
        <f ca="1">IFERROR(__xludf.DUMMYFUNCTION("""COMPUTED_VALUE"""),14.7999999999999)</f>
        <v>14.799999999999899</v>
      </c>
      <c r="AA173" s="14">
        <f ca="1">IFERROR(__xludf.DUMMYFUNCTION("""COMPUTED_VALUE"""),1000)</f>
        <v>1000</v>
      </c>
      <c r="AB173" s="5" t="str">
        <f ca="1">IFERROR(__xludf.DUMMYFUNCTION("""COMPUTED_VALUE"""),"/")</f>
        <v>/</v>
      </c>
      <c r="AC173" s="5" t="str">
        <f ca="1">IFERROR(__xludf.DUMMYFUNCTION("""COMPUTED_VALUE"""),"Scatter, Wild Symbol")</f>
        <v>Scatter, Wild Symbol</v>
      </c>
      <c r="AD173" s="5"/>
      <c r="AE173" s="5"/>
      <c r="AF173" s="5"/>
      <c r="AG173" s="10">
        <f ca="1">IFERROR(__xludf.DUMMYFUNCTION("""COMPUTED_VALUE"""),46020.5243287037)</f>
        <v>46020.524328703701</v>
      </c>
      <c r="AH173" s="5" t="str">
        <f ca="1">IFERROR(__xludf.DUMMYFUNCTION("""COMPUTED_VALUE"""),"djordje.jankovic@fazi.rs")</f>
        <v>djordje.jankovic@fazi.rs</v>
      </c>
      <c r="AI173" s="5"/>
      <c r="AJ173" s="5"/>
      <c r="AK173" s="5">
        <f ca="1">IFERROR(__xludf.DUMMYFUNCTION("""COMPUTED_VALUE"""),40)</f>
        <v>40</v>
      </c>
      <c r="AL173" s="5" t="str">
        <f ca="1">IFERROR(__xludf.DUMMYFUNCTION("""COMPUTED_VALUE"""),"Yes")</f>
        <v>Yes</v>
      </c>
      <c r="AM173" s="5"/>
      <c r="AN173" s="5"/>
      <c r="AO173" s="5"/>
      <c r="AP173" s="5"/>
      <c r="AQ173" s="5"/>
      <c r="AR173" s="5" t="b">
        <f ca="1">IFERROR(__xludf.DUMMYFUNCTION("""COMPUTED_VALUE"""),TRUE)</f>
        <v>1</v>
      </c>
      <c r="AS173" s="5"/>
      <c r="AT173" s="5"/>
      <c r="AU173" s="5" t="str">
        <f ca="1">IFERROR(__xludf.DUMMYFUNCTION("""COMPUTED_VALUE"""),"Fazi")</f>
        <v>Fazi</v>
      </c>
      <c r="AV173" s="5"/>
      <c r="AW173" s="5"/>
      <c r="AX173" s="5"/>
      <c r="AY173" s="5"/>
      <c r="AZ173" s="5"/>
      <c r="BA173" s="5" t="str">
        <f ca="1">IFERROR(__xludf.DUMMYFUNCTION("""COMPUTED_VALUE"""),"")</f>
        <v/>
      </c>
      <c r="BB173" s="5"/>
      <c r="BC173" s="5" t="str">
        <f ca="1">IFERROR(__xludf.DUMMYFUNCTION("""COMPUTED_VALUE"""),"Foxi")</f>
        <v>Foxi</v>
      </c>
      <c r="BD173" s="5" t="str">
        <f ca="1">IFERROR(__xludf.DUMMYFUNCTION("""COMPUTED_VALUE"""),"")</f>
        <v/>
      </c>
      <c r="BE173" s="5"/>
    </row>
    <row r="174" spans="1:57" x14ac:dyDescent="0.25">
      <c r="A174" s="5">
        <f ca="1">IFERROR(__xludf.DUMMYFUNCTION("""COMPUTED_VALUE"""),174)</f>
        <v>174</v>
      </c>
      <c r="B174" s="5">
        <f ca="1">IFERROR(__xludf.DUMMYFUNCTION("""COMPUTED_VALUE"""),173)</f>
        <v>173</v>
      </c>
      <c r="C174" s="5" t="str">
        <f ca="1">IFERROR(__xludf.DUMMYFUNCTION("""COMPUTED_VALUE"""),"Tiptop")</f>
        <v>Tiptop</v>
      </c>
      <c r="D174" s="5" t="str">
        <f ca="1">IFERROR(__xludf.DUMMYFUNCTION("""COMPUTED_VALUE"""),"Unicorn Surfin Heat")</f>
        <v>Unicorn Surfin Heat</v>
      </c>
      <c r="E174" s="5"/>
      <c r="F174" s="5" t="str">
        <f ca="1">IFERROR(__xludf.DUMMYFUNCTION("""COMPUTED_VALUE"""),"UnicornSurfinHeat")</f>
        <v>UnicornSurfinHeat</v>
      </c>
      <c r="G174" s="5" t="str">
        <f ca="1">IFERROR(__xludf.DUMMYFUNCTION("""COMPUTED_VALUE"""),"Retired")</f>
        <v>Retired</v>
      </c>
      <c r="H174" s="5"/>
      <c r="I174" s="5" t="str">
        <f ca="1">IFERROR(__xludf.DUMMYFUNCTION("""COMPUTED_VALUE"""),"TipTop")</f>
        <v>TipTop</v>
      </c>
      <c r="J174" s="5" t="str">
        <f ca="1">IFERROR(__xludf.DUMMYFUNCTION("""COMPUTED_VALUE"""),"JSON")</f>
        <v>JSON</v>
      </c>
      <c r="K174" s="5" t="str">
        <f ca="1">IFERROR(__xludf.DUMMYFUNCTION("""COMPUTED_VALUE"""),"Slot")</f>
        <v>Slot</v>
      </c>
      <c r="L174" s="5"/>
      <c r="M174" s="5"/>
      <c r="N174" s="5"/>
      <c r="O174" s="5"/>
      <c r="P174" s="5"/>
      <c r="Q174" s="5"/>
      <c r="R174" s="5"/>
      <c r="S174" s="5"/>
      <c r="T174" s="5"/>
      <c r="U174" s="5"/>
      <c r="V174" s="12" t="str">
        <f ca="1">IFERROR(__xludf.DUMMYFUNCTION("""COMPUTED_VALUE"""),"10")</f>
        <v>10</v>
      </c>
      <c r="W174" s="5"/>
      <c r="X174" s="13">
        <f ca="1">IFERROR(__xludf.DUMMYFUNCTION("""COMPUTED_VALUE"""),0)</f>
        <v>0</v>
      </c>
      <c r="Y174" s="5"/>
      <c r="Z174" s="5">
        <f ca="1">IFERROR(__xludf.DUMMYFUNCTION("""COMPUTED_VALUE"""),0)</f>
        <v>0</v>
      </c>
      <c r="AA174" s="5"/>
      <c r="AB174" s="5"/>
      <c r="AC174" s="5"/>
      <c r="AD174" s="5"/>
      <c r="AE174" s="5"/>
      <c r="AF174" s="5"/>
      <c r="AG174" s="10">
        <f ca="1">IFERROR(__xludf.DUMMYFUNCTION("""COMPUTED_VALUE"""),46213.380787037)</f>
        <v>46213.380787037</v>
      </c>
      <c r="AH174" s="5"/>
      <c r="AI174" s="5"/>
      <c r="AJ174" s="5"/>
      <c r="AK174" s="5" t="str">
        <f ca="1">IFERROR(__xludf.DUMMYFUNCTION("""COMPUTED_VALUE"""),"NULL")</f>
        <v>NULL</v>
      </c>
      <c r="AL174" s="5"/>
      <c r="AM174" s="5"/>
      <c r="AN174" s="5"/>
      <c r="AO174" s="5"/>
      <c r="AP174" s="5"/>
      <c r="AQ174" s="5"/>
      <c r="AR174" s="5"/>
      <c r="AS174" s="5"/>
      <c r="AT174" s="5"/>
      <c r="AU174" s="5" t="str">
        <f ca="1">IFERROR(__xludf.DUMMYFUNCTION("""COMPUTED_VALUE"""),"Fazi")</f>
        <v>Fazi</v>
      </c>
      <c r="AV174" s="5"/>
      <c r="AW174" s="5"/>
      <c r="AX174" s="5"/>
      <c r="AY174" s="5"/>
      <c r="AZ174" s="5"/>
      <c r="BA174" s="5"/>
      <c r="BB174" s="5"/>
      <c r="BC174" s="5" t="str">
        <f ca="1">IFERROR(__xludf.DUMMYFUNCTION("""COMPUTED_VALUE"""),"Tiptop")</f>
        <v>Tiptop</v>
      </c>
      <c r="BD174" s="5"/>
      <c r="BE174" s="5"/>
    </row>
    <row r="175" spans="1:57" x14ac:dyDescent="0.25">
      <c r="A175" s="5">
        <f ca="1">IFERROR(__xludf.DUMMYFUNCTION("""COMPUTED_VALUE"""),175)</f>
        <v>175</v>
      </c>
      <c r="B175" s="5">
        <f ca="1">IFERROR(__xludf.DUMMYFUNCTION("""COMPUTED_VALUE"""),174)</f>
        <v>174</v>
      </c>
      <c r="C175" s="5" t="str">
        <f ca="1">IFERROR(__xludf.DUMMYFUNCTION("""COMPUTED_VALUE"""),"Fazi")</f>
        <v>Fazi</v>
      </c>
      <c r="D175" s="5" t="str">
        <f ca="1">IFERROR(__xludf.DUMMYFUNCTION("""COMPUTED_VALUE"""),"Wild Joker Hot")</f>
        <v>Wild Joker Hot</v>
      </c>
      <c r="E175" s="5" t="str">
        <f ca="1">IFERROR(__xludf.DUMMYFUNCTION("""COMPUTED_VALUE"""),"V2")</f>
        <v>V2</v>
      </c>
      <c r="F175" s="5" t="str">
        <f ca="1">IFERROR(__xludf.DUMMYFUNCTION("""COMPUTED_VALUE"""),"WildJokerHot")</f>
        <v>WildJokerHot</v>
      </c>
      <c r="G175" s="5" t="str">
        <f ca="1">IFERROR(__xludf.DUMMYFUNCTION("""COMPUTED_VALUE"""),"Live")</f>
        <v>Live</v>
      </c>
      <c r="H175" s="5"/>
      <c r="I175" s="5" t="str">
        <f ca="1">IFERROR(__xludf.DUMMYFUNCTION("""COMPUTED_VALUE"""),"V2")</f>
        <v>V2</v>
      </c>
      <c r="J175" s="5" t="str">
        <f ca="1">IFERROR(__xludf.DUMMYFUNCTION("""COMPUTED_VALUE"""),"JSON")</f>
        <v>JSON</v>
      </c>
      <c r="K175" s="5" t="str">
        <f ca="1">IFERROR(__xludf.DUMMYFUNCTION("""COMPUTED_VALUE"""),"Slot")</f>
        <v>Slot</v>
      </c>
      <c r="L175" s="5"/>
      <c r="M175" s="5"/>
      <c r="N175" s="5"/>
      <c r="O175" s="5"/>
      <c r="P175" s="14">
        <f ca="1">IFERROR(__xludf.DUMMYFUNCTION("""COMPUTED_VALUE"""),38.8)</f>
        <v>38.799999999999997</v>
      </c>
      <c r="Q175" s="5"/>
      <c r="R175" s="5"/>
      <c r="S175" s="15">
        <f ca="1">IFERROR(__xludf.DUMMYFUNCTION("""COMPUTED_VALUE"""),44798)</f>
        <v>44798</v>
      </c>
      <c r="T175" s="5"/>
      <c r="U175" s="5" t="str">
        <f ca="1">IFERROR(__xludf.DUMMYFUNCTION("""COMPUTED_VALUE"""),"5x3")</f>
        <v>5x3</v>
      </c>
      <c r="V175" s="12" t="str">
        <f ca="1">IFERROR(__xludf.DUMMYFUNCTION("""COMPUTED_VALUE"""),"10")</f>
        <v>10</v>
      </c>
      <c r="W175" s="12" t="str">
        <f ca="1">IFERROR(__xludf.DUMMYFUNCTION("""COMPUTED_VALUE"""),"10")</f>
        <v>10</v>
      </c>
      <c r="X175" s="5">
        <f ca="1">IFERROR(__xludf.DUMMYFUNCTION("""COMPUTED_VALUE"""),96.124)</f>
        <v>96.123999999999995</v>
      </c>
      <c r="Y175" s="5" t="str">
        <f ca="1">IFERROR(__xludf.DUMMYFUNCTION("""COMPUTED_VALUE"""),"Medium")</f>
        <v>Medium</v>
      </c>
      <c r="Z175" s="5">
        <f ca="1">IFERROR(__xludf.DUMMYFUNCTION("""COMPUTED_VALUE"""),17.81)</f>
        <v>17.809999999999999</v>
      </c>
      <c r="AA175" s="14">
        <f ca="1">IFERROR(__xludf.DUMMYFUNCTION("""COMPUTED_VALUE"""),3092)</f>
        <v>3092</v>
      </c>
      <c r="AB175" s="5">
        <f ca="1">IFERROR(__xludf.DUMMYFUNCTION("""COMPUTED_VALUE"""),5)</f>
        <v>5</v>
      </c>
      <c r="AC175" s="5" t="str">
        <f ca="1">IFERROR(__xludf.DUMMYFUNCTION("""COMPUTED_VALUE"""),"Scatter, Wild Symbol, Wild Multiplier")</f>
        <v>Scatter, Wild Symbol, Wild Multiplier</v>
      </c>
      <c r="AD175" s="5" t="str">
        <f ca="1">IFERROR(__xludf.DUMMYFUNCTION("""COMPUTED_VALUE"""),"0.10/40")</f>
        <v>0.10/40</v>
      </c>
      <c r="AE175" s="5"/>
      <c r="AF175" s="5"/>
      <c r="AG175" s="10">
        <f ca="1">IFERROR(__xludf.DUMMYFUNCTION("""COMPUTED_VALUE"""),46056.4553703703)</f>
        <v>46056.455370370299</v>
      </c>
      <c r="AH175" s="5" t="str">
        <f ca="1">IFERROR(__xludf.DUMMYFUNCTION("""COMPUTED_VALUE"""),"aleksandar.trajkovic@fazi.rs")</f>
        <v>aleksandar.trajkovic@fazi.rs</v>
      </c>
      <c r="AI175" s="5"/>
      <c r="AJ175" s="5"/>
      <c r="AK175" s="5">
        <f ca="1">IFERROR(__xludf.DUMMYFUNCTION("""COMPUTED_VALUE"""),10)</f>
        <v>10</v>
      </c>
      <c r="AL175" s="5" t="str">
        <f ca="1">IFERROR(__xludf.DUMMYFUNCTION("""COMPUTED_VALUE"""),"Yes")</f>
        <v>Yes</v>
      </c>
      <c r="AM175" s="5"/>
      <c r="AN175" s="7" t="str">
        <f ca="1">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AO175" s="5" t="str">
        <f ca="1">IFERROR(__xludf.DUMMYFUNCTION("""COMPUTED_VALUE"""),"Yes")</f>
        <v>Yes</v>
      </c>
      <c r="AP175" s="5" t="str">
        <f ca="1">IFERROR(__xludf.DUMMYFUNCTION("""COMPUTED_VALUE"""),"Yes")</f>
        <v>Yes</v>
      </c>
      <c r="AQ175" s="5" t="b">
        <f ca="1">IFERROR(__xludf.DUMMYFUNCTION("""COMPUTED_VALUE"""),TRUE)</f>
        <v>1</v>
      </c>
      <c r="AR175" s="5"/>
      <c r="AS175" s="5" t="str">
        <f ca="1">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AT175" s="5"/>
      <c r="AU175" s="5" t="str">
        <f ca="1">IFERROR(__xludf.DUMMYFUNCTION("""COMPUTED_VALUE"""),"Fazi")</f>
        <v>Fazi</v>
      </c>
      <c r="AV175" s="5"/>
      <c r="AW175" s="5"/>
      <c r="AX175" s="5"/>
      <c r="AY175" s="5" t="str">
        <f ca="1">IFERROR(__xludf.DUMMYFUNCTION("""COMPUTED_VALUE"""),"87.5%, 89.5%, 91.5%, 93.5%, 94.5%, 95.5%, 96.5%")</f>
        <v>87.5%, 89.5%, 91.5%, 93.5%, 94.5%, 95.5%, 96.5%</v>
      </c>
      <c r="AZ175" s="5"/>
      <c r="BA175" s="5" t="str">
        <f ca="1">IFERROR(__xludf.DUMMYFUNCTION("""COMPUTED_VALUE"""),"")</f>
        <v/>
      </c>
      <c r="BB175" s="5"/>
      <c r="BC175" s="5" t="str">
        <f ca="1">IFERROR(__xludf.DUMMYFUNCTION("""COMPUTED_VALUE"""),"Foxi")</f>
        <v>Foxi</v>
      </c>
      <c r="BD175" s="7" t="str">
        <f ca="1">IFERROR(__xludf.DUMMYFUNCTION("""COMPUTED_VALUE"""),"https://gameserver-store-client-area.orbionlimited.com/Home/IntegrationGameLaunch/client-area?moneyType=0&amp;gameName=WildJokerHot&amp;platform=desktop&amp;languageCode=eng&amp;currency=EUR")</f>
        <v>https://gameserver-store-client-area.orbionlimited.com/Home/IntegrationGameLaunch/client-area?moneyType=0&amp;gameName=WildJokerHot&amp;platform=desktop&amp;languageCode=eng&amp;currency=EUR</v>
      </c>
      <c r="BE175" s="5" t="b">
        <f ca="1">IFERROR(__xludf.DUMMYFUNCTION("""COMPUTED_VALUE"""),TRUE)</f>
        <v>1</v>
      </c>
    </row>
    <row r="176" spans="1:57" x14ac:dyDescent="0.25">
      <c r="A176" s="5">
        <f ca="1">IFERROR(__xludf.DUMMYFUNCTION("""COMPUTED_VALUE"""),176)</f>
        <v>176</v>
      </c>
      <c r="B176" s="5">
        <f ca="1">IFERROR(__xludf.DUMMYFUNCTION("""COMPUTED_VALUE"""),175)</f>
        <v>175</v>
      </c>
      <c r="C176" s="5" t="str">
        <f ca="1">IFERROR(__xludf.DUMMYFUNCTION("""COMPUTED_VALUE"""),"Redstone")</f>
        <v>Redstone</v>
      </c>
      <c r="D176" s="5" t="str">
        <f ca="1">IFERROR(__xludf.DUMMYFUNCTION("""COMPUTED_VALUE"""),"10 Wild Dice")</f>
        <v>10 Wild Dice</v>
      </c>
      <c r="E176" s="5" t="str">
        <f ca="1">IFERROR(__xludf.DUMMYFUNCTION("""COMPUTED_VALUE"""),"Redstone")</f>
        <v>Redstone</v>
      </c>
      <c r="F176" s="5" t="str">
        <f ca="1">IFERROR(__xludf.DUMMYFUNCTION("""COMPUTED_VALUE"""),"WildDice10")</f>
        <v>WildDice10</v>
      </c>
      <c r="G176" s="5" t="str">
        <f ca="1">IFERROR(__xludf.DUMMYFUNCTION("""COMPUTED_VALUE"""),"Live")</f>
        <v>Live</v>
      </c>
      <c r="H176" s="5"/>
      <c r="I176" s="5" t="str">
        <f ca="1">IFERROR(__xludf.DUMMYFUNCTION("""COMPUTED_VALUE"""),"Redstone")</f>
        <v>Redstone</v>
      </c>
      <c r="J176" s="5" t="str">
        <f ca="1">IFERROR(__xludf.DUMMYFUNCTION("""COMPUTED_VALUE"""),"JSON")</f>
        <v>JSON</v>
      </c>
      <c r="K176" s="5" t="str">
        <f ca="1">IFERROR(__xludf.DUMMYFUNCTION("""COMPUTED_VALUE"""),"Slot")</f>
        <v>Slot</v>
      </c>
      <c r="L176" s="5" t="str">
        <f ca="1">IFERROR(__xludf.DUMMYFUNCTION("""COMPUTED_VALUE""")," Clone")</f>
        <v xml:space="preserve"> Clone</v>
      </c>
      <c r="M176" s="5" t="str">
        <f ca="1">IFERROR(__xludf.DUMMYFUNCTION("""COMPUTED_VALUE"""),"10 Wild Crown")</f>
        <v>10 Wild Crown</v>
      </c>
      <c r="N176" s="7" t="str">
        <f ca="1">IFERROR(__xludf.DUMMYFUNCTION("""COMPUTED_VALUE"""),"https://docs.google.com/document/d/1GFgTEmo88EJNNTrmzAJSqmEZoh735-y2/edit?usp=drive_link&amp;ouid=107596163405648766688&amp;rtpof=true&amp;sd=true")</f>
        <v>https://docs.google.com/document/d/1GFgTEmo88EJNNTrmzAJSqmEZoh735-y2/edit?usp=drive_link&amp;ouid=107596163405648766688&amp;rtpof=true&amp;sd=true</v>
      </c>
      <c r="O176" s="7" t="str">
        <f ca="1">IFERROR(__xludf.DUMMYFUNCTION("""COMPUTED_VALUE"""),"https://docs.google.com/document/d/1DFnKS4tOtiSdA6ISE_dYMHPCHPfa41sU/edit?usp=drive_link&amp;ouid=107596163405648766688&amp;rtpof=true&amp;sd=true")</f>
        <v>https://docs.google.com/document/d/1DFnKS4tOtiSdA6ISE_dYMHPCHPfa41sU/edit?usp=drive_link&amp;ouid=107596163405648766688&amp;rtpof=true&amp;sd=true</v>
      </c>
      <c r="P176" s="14">
        <f ca="1">IFERROR(__xludf.DUMMYFUNCTION("""COMPUTED_VALUE"""),7.8)</f>
        <v>7.8</v>
      </c>
      <c r="Q176" s="5"/>
      <c r="R176" s="5"/>
      <c r="S176" s="15">
        <f ca="1">IFERROR(__xludf.DUMMYFUNCTION("""COMPUTED_VALUE"""),44761)</f>
        <v>44761</v>
      </c>
      <c r="T176" s="5"/>
      <c r="U176" s="5" t="str">
        <f ca="1">IFERROR(__xludf.DUMMYFUNCTION("""COMPUTED_VALUE"""),"5x3")</f>
        <v>5x3</v>
      </c>
      <c r="V176" s="12" t="str">
        <f ca="1">IFERROR(__xludf.DUMMYFUNCTION("""COMPUTED_VALUE"""),"10")</f>
        <v>10</v>
      </c>
      <c r="W176" s="12" t="str">
        <f ca="1">IFERROR(__xludf.DUMMYFUNCTION("""COMPUTED_VALUE"""),"10")</f>
        <v>10</v>
      </c>
      <c r="X176" s="5">
        <f ca="1">IFERROR(__xludf.DUMMYFUNCTION("""COMPUTED_VALUE"""),95.96)</f>
        <v>95.96</v>
      </c>
      <c r="Y176" s="5" t="str">
        <f ca="1">IFERROR(__xludf.DUMMYFUNCTION("""COMPUTED_VALUE"""),"Medium")</f>
        <v>Medium</v>
      </c>
      <c r="Z176" s="5">
        <f ca="1">IFERROR(__xludf.DUMMYFUNCTION("""COMPUTED_VALUE"""),14.63)</f>
        <v>14.63</v>
      </c>
      <c r="AA176" s="14">
        <f ca="1">IFERROR(__xludf.DUMMYFUNCTION("""COMPUTED_VALUE"""),1538)</f>
        <v>1538</v>
      </c>
      <c r="AB176" s="5"/>
      <c r="AC176" s="5" t="str">
        <f ca="1">IFERROR(__xludf.DUMMYFUNCTION("""COMPUTED_VALUE"""),"Expanding Wild, Scatter")</f>
        <v>Expanding Wild, Scatter</v>
      </c>
      <c r="AD176" s="5" t="str">
        <f ca="1">IFERROR(__xludf.DUMMYFUNCTION("""COMPUTED_VALUE"""),"0.10/40")</f>
        <v>0.10/40</v>
      </c>
      <c r="AE176" s="5"/>
      <c r="AF176" s="5"/>
      <c r="AG176" s="10">
        <f ca="1">IFERROR(__xludf.DUMMYFUNCTION("""COMPUTED_VALUE"""),46157.4470254629)</f>
        <v>46157.447025462898</v>
      </c>
      <c r="AH176" s="5"/>
      <c r="AI176" s="5"/>
      <c r="AJ176" s="5"/>
      <c r="AK176" s="5">
        <f ca="1">IFERROR(__xludf.DUMMYFUNCTION("""COMPUTED_VALUE"""),1)</f>
        <v>1</v>
      </c>
      <c r="AL176" s="5" t="str">
        <f ca="1">IFERROR(__xludf.DUMMYFUNCTION("""COMPUTED_VALUE"""),"No")</f>
        <v>No</v>
      </c>
      <c r="AM176" s="5" t="str">
        <f ca="1">IFERROR(__xludf.DUMMYFUNCTION("""COMPUTED_VALUE"""),"No")</f>
        <v>No</v>
      </c>
      <c r="AN176" s="7" t="str">
        <f ca="1">IFERROR(__xludf.DUMMYFUNCTION("""COMPUTED_VALUE"""),"https://static.redstone.rs/games/10-wild-dice/")</f>
        <v>https://static.redstone.rs/games/10-wild-dice/</v>
      </c>
      <c r="AO176" s="5" t="str">
        <f ca="1">IFERROR(__xludf.DUMMYFUNCTION("""COMPUTED_VALUE"""),"No")</f>
        <v>No</v>
      </c>
      <c r="AP176" s="5" t="str">
        <f ca="1">IFERROR(__xludf.DUMMYFUNCTION("""COMPUTED_VALUE"""),"No")</f>
        <v>No</v>
      </c>
      <c r="AQ176" s="5" t="b">
        <f ca="1">IFERROR(__xludf.DUMMYFUNCTION("""COMPUTED_VALUE"""),TRUE)</f>
        <v>1</v>
      </c>
      <c r="AR176" s="5"/>
      <c r="AS176" s="5" t="str">
        <f ca="1">IFERROR(__xludf.DUMMYFUNCTION("""COMPUTED_VALUE"""),"It's time to roll the dice. So, spin for victory and get a chance to win big in REDSTONE's latest release 10 Wild Dice.")</f>
        <v>It's time to roll the dice. So, spin for victory and get a chance to win big in REDSTONE's latest release 10 Wild Dice.</v>
      </c>
      <c r="AT176" s="5"/>
      <c r="AU176" s="5" t="str">
        <f ca="1">IFERROR(__xludf.DUMMYFUNCTION("""COMPUTED_VALUE"""),"Redstone")</f>
        <v>Redstone</v>
      </c>
      <c r="AV176" s="5"/>
      <c r="AW176" s="5"/>
      <c r="AX176" s="5"/>
      <c r="AY176" s="5"/>
      <c r="AZ176" s="5"/>
      <c r="BA176" s="5"/>
      <c r="BB176" s="5" t="b">
        <f ca="1">IFERROR(__xludf.DUMMYFUNCTION("""COMPUTED_VALUE"""),TRUE)</f>
        <v>1</v>
      </c>
      <c r="BC176" s="5" t="str">
        <f ca="1">IFERROR(__xludf.DUMMYFUNCTION("""COMPUTED_VALUE"""),"Redstone")</f>
        <v>Redstone</v>
      </c>
      <c r="BD176" s="7" t="str">
        <f ca="1">IFERROR(__xludf.DUMMYFUNCTION("""COMPUTED_VALUE"""),"https://static.redstone.rs/games/10-wild-dice/")</f>
        <v>https://static.redstone.rs/games/10-wild-dice/</v>
      </c>
      <c r="BE176" s="5" t="b">
        <f ca="1">IFERROR(__xludf.DUMMYFUNCTION("""COMPUTED_VALUE"""),TRUE)</f>
        <v>1</v>
      </c>
    </row>
    <row r="177" spans="1:57" x14ac:dyDescent="0.25">
      <c r="A177" s="5">
        <f ca="1">IFERROR(__xludf.DUMMYFUNCTION("""COMPUTED_VALUE"""),177)</f>
        <v>177</v>
      </c>
      <c r="B177" s="5">
        <f ca="1">IFERROR(__xludf.DUMMYFUNCTION("""COMPUTED_VALUE"""),176)</f>
        <v>176</v>
      </c>
      <c r="C177" s="5" t="str">
        <f ca="1">IFERROR(__xludf.DUMMYFUNCTION("""COMPUTED_VALUE"""),"Fazi")</f>
        <v>Fazi</v>
      </c>
      <c r="D177" s="5" t="str">
        <f ca="1">IFERROR(__xludf.DUMMYFUNCTION("""COMPUTED_VALUE"""),"Heating Fruits")</f>
        <v>Heating Fruits</v>
      </c>
      <c r="E177" s="5" t="str">
        <f ca="1">IFERROR(__xludf.DUMMYFUNCTION("""COMPUTED_VALUE"""),"V2")</f>
        <v>V2</v>
      </c>
      <c r="F177" s="5" t="str">
        <f ca="1">IFERROR(__xludf.DUMMYFUNCTION("""COMPUTED_VALUE"""),"HeatingFruits")</f>
        <v>HeatingFruits</v>
      </c>
      <c r="G177" s="5" t="str">
        <f ca="1">IFERROR(__xludf.DUMMYFUNCTION("""COMPUTED_VALUE"""),"Live")</f>
        <v>Live</v>
      </c>
      <c r="H177" s="5"/>
      <c r="I177" s="5" t="str">
        <f ca="1">IFERROR(__xludf.DUMMYFUNCTION("""COMPUTED_VALUE"""),"V2")</f>
        <v>V2</v>
      </c>
      <c r="J177" s="5" t="str">
        <f ca="1">IFERROR(__xludf.DUMMYFUNCTION("""COMPUTED_VALUE"""),"Binary")</f>
        <v>Binary</v>
      </c>
      <c r="K177" s="5" t="str">
        <f ca="1">IFERROR(__xludf.DUMMYFUNCTION("""COMPUTED_VALUE"""),"Slot")</f>
        <v>Slot</v>
      </c>
      <c r="L177" s="5"/>
      <c r="M177" s="5"/>
      <c r="N177" s="5"/>
      <c r="O177" s="5"/>
      <c r="P177" s="14">
        <f ca="1">IFERROR(__xludf.DUMMYFUNCTION("""COMPUTED_VALUE"""),34)</f>
        <v>34</v>
      </c>
      <c r="Q177" s="5"/>
      <c r="R177" s="5"/>
      <c r="S177" s="15">
        <f ca="1">IFERROR(__xludf.DUMMYFUNCTION("""COMPUTED_VALUE"""),44887)</f>
        <v>44887</v>
      </c>
      <c r="T177" s="5"/>
      <c r="U177" s="5" t="str">
        <f ca="1">IFERROR(__xludf.DUMMYFUNCTION("""COMPUTED_VALUE"""),"5x4")</f>
        <v>5x4</v>
      </c>
      <c r="V177" s="12" t="str">
        <f ca="1">IFERROR(__xludf.DUMMYFUNCTION("""COMPUTED_VALUE"""),"40")</f>
        <v>40</v>
      </c>
      <c r="W177" s="12" t="str">
        <f ca="1">IFERROR(__xludf.DUMMYFUNCTION("""COMPUTED_VALUE"""),"40")</f>
        <v>40</v>
      </c>
      <c r="X177" s="5">
        <f ca="1">IFERROR(__xludf.DUMMYFUNCTION("""COMPUTED_VALUE"""),96.261)</f>
        <v>96.260999999999996</v>
      </c>
      <c r="Y177" s="5" t="str">
        <f ca="1">IFERROR(__xludf.DUMMYFUNCTION("""COMPUTED_VALUE"""),"Medium")</f>
        <v>Medium</v>
      </c>
      <c r="Z177" s="5">
        <f ca="1">IFERROR(__xludf.DUMMYFUNCTION("""COMPUTED_VALUE"""),12.1)</f>
        <v>12.1</v>
      </c>
      <c r="AA177" s="14">
        <f ca="1">IFERROR(__xludf.DUMMYFUNCTION("""COMPUTED_VALUE"""),1000)</f>
        <v>1000</v>
      </c>
      <c r="AB177" s="5">
        <f ca="1">IFERROR(__xludf.DUMMYFUNCTION("""COMPUTED_VALUE"""),5)</f>
        <v>5</v>
      </c>
      <c r="AC177" s="5"/>
      <c r="AD177" s="5" t="str">
        <f ca="1">IFERROR(__xludf.DUMMYFUNCTION("""COMPUTED_VALUE"""),"0.4/60")</f>
        <v>0.4/60</v>
      </c>
      <c r="AE177" s="5"/>
      <c r="AF177" s="5"/>
      <c r="AG177" s="10">
        <f ca="1">IFERROR(__xludf.DUMMYFUNCTION("""COMPUTED_VALUE"""),46055.5180671296)</f>
        <v>46055.518067129597</v>
      </c>
      <c r="AH177" s="5" t="str">
        <f ca="1">IFERROR(__xludf.DUMMYFUNCTION("""COMPUTED_VALUE"""),"djordje.jankovic@fazi.rs")</f>
        <v>djordje.jankovic@fazi.rs</v>
      </c>
      <c r="AI177" s="5"/>
      <c r="AJ177" s="5"/>
      <c r="AK177" s="5">
        <f ca="1">IFERROR(__xludf.DUMMYFUNCTION("""COMPUTED_VALUE"""),40)</f>
        <v>40</v>
      </c>
      <c r="AL177" s="5" t="str">
        <f ca="1">IFERROR(__xludf.DUMMYFUNCTION("""COMPUTED_VALUE"""),"Yes")</f>
        <v>Yes</v>
      </c>
      <c r="AM177" s="5"/>
      <c r="AN177" s="7" t="str">
        <f ca="1">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AO177" s="5"/>
      <c r="AP177" s="5"/>
      <c r="AQ177" s="5" t="b">
        <f ca="1">IFERROR(__xludf.DUMMYFUNCTION("""COMPUTED_VALUE"""),TRUE)</f>
        <v>1</v>
      </c>
      <c r="AR177" s="5"/>
      <c r="AS177" s="5" t="str">
        <f ca="1">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AT177" s="5"/>
      <c r="AU177" s="5" t="str">
        <f ca="1">IFERROR(__xludf.DUMMYFUNCTION("""COMPUTED_VALUE"""),"Fazi")</f>
        <v>Fazi</v>
      </c>
      <c r="AV177" s="5"/>
      <c r="AW177" s="5"/>
      <c r="AX177" s="5"/>
      <c r="AY177" s="5"/>
      <c r="AZ177" s="5"/>
      <c r="BA177" s="5" t="str">
        <f ca="1">IFERROR(__xludf.DUMMYFUNCTION("""COMPUTED_VALUE"""),"")</f>
        <v/>
      </c>
      <c r="BB177" s="5"/>
      <c r="BC177" s="5" t="str">
        <f ca="1">IFERROR(__xludf.DUMMYFUNCTION("""COMPUTED_VALUE"""),"Foxi")</f>
        <v>Foxi</v>
      </c>
      <c r="BD177" s="7" t="str">
        <f ca="1">IFERROR(__xludf.DUMMYFUNCTION("""COMPUTED_VALUE"""),"https://gameserver-store-client-area.orbionlimited.com/Home/IntegrationGameLaunch/client-area?moneyType=0&amp;gameName=HeatingFruits&amp;platform=desktop&amp;languageCode=eng&amp;currency=EUR")</f>
        <v>https://gameserver-store-client-area.orbionlimited.com/Home/IntegrationGameLaunch/client-area?moneyType=0&amp;gameName=HeatingFruits&amp;platform=desktop&amp;languageCode=eng&amp;currency=EUR</v>
      </c>
      <c r="BE177" s="5" t="b">
        <f ca="1">IFERROR(__xludf.DUMMYFUNCTION("""COMPUTED_VALUE"""),TRUE)</f>
        <v>1</v>
      </c>
    </row>
    <row r="178" spans="1:57" x14ac:dyDescent="0.25">
      <c r="A178" s="5">
        <f ca="1">IFERROR(__xludf.DUMMYFUNCTION("""COMPUTED_VALUE"""),178)</f>
        <v>178</v>
      </c>
      <c r="B178" s="5">
        <f ca="1">IFERROR(__xludf.DUMMYFUNCTION("""COMPUTED_VALUE"""),177)</f>
        <v>177</v>
      </c>
      <c r="C178" s="5"/>
      <c r="D178" s="5" t="str">
        <f ca="1">IFERROR(__xludf.DUMMYFUNCTION("""COMPUTED_VALUE"""),"Extra Flames 10")</f>
        <v>Extra Flames 10</v>
      </c>
      <c r="E178" s="5"/>
      <c r="F178" s="5" t="str">
        <f ca="1">IFERROR(__xludf.DUMMYFUNCTION("""COMPUTED_VALUE"""),"ExtraFlames10")</f>
        <v>ExtraFlames10</v>
      </c>
      <c r="G178" s="5" t="str">
        <f ca="1">IFERROR(__xludf.DUMMYFUNCTION("""COMPUTED_VALUE"""),"Live")</f>
        <v>Live</v>
      </c>
      <c r="H178" s="5"/>
      <c r="I178" s="5"/>
      <c r="J178" s="5"/>
      <c r="K178" s="5" t="str">
        <f ca="1">IFERROR(__xludf.DUMMYFUNCTION("""COMPUTED_VALUE"""),"Slot")</f>
        <v>Slot</v>
      </c>
      <c r="L178" s="5"/>
      <c r="M178" s="5"/>
      <c r="N178" s="5"/>
      <c r="O178" s="5"/>
      <c r="P178" s="5"/>
      <c r="Q178" s="5"/>
      <c r="R178" s="5"/>
      <c r="S178" s="5"/>
      <c r="T178" s="5"/>
      <c r="U178" s="5"/>
      <c r="V178" s="12" t="str">
        <f ca="1">IFERROR(__xludf.DUMMYFUNCTION("""COMPUTED_VALUE"""),"10")</f>
        <v>10</v>
      </c>
      <c r="W178" s="5"/>
      <c r="X178" s="13">
        <f ca="1">IFERROR(__xludf.DUMMYFUNCTION("""COMPUTED_VALUE"""),0)</f>
        <v>0</v>
      </c>
      <c r="Y178" s="5"/>
      <c r="Z178" s="5">
        <f ca="1">IFERROR(__xludf.DUMMYFUNCTION("""COMPUTED_VALUE"""),0)</f>
        <v>0</v>
      </c>
      <c r="AA178" s="5"/>
      <c r="AB178" s="5"/>
      <c r="AC178" s="5"/>
      <c r="AD178" s="5"/>
      <c r="AE178" s="5"/>
      <c r="AF178" s="5"/>
      <c r="AG178" s="5"/>
      <c r="AH178" s="5"/>
      <c r="AI178" s="5"/>
      <c r="AJ178" s="5"/>
      <c r="AK178" s="5">
        <f ca="1">IFERROR(__xludf.DUMMYFUNCTION("""COMPUTED_VALUE"""),10)</f>
        <v>10</v>
      </c>
      <c r="AL178" s="5" t="str">
        <f ca="1">IFERROR(__xludf.DUMMYFUNCTION("""COMPUTED_VALUE"""),"Yes")</f>
        <v>Yes</v>
      </c>
      <c r="AM178" s="5"/>
      <c r="AN178" s="5"/>
      <c r="AO178" s="5"/>
      <c r="AP178" s="5"/>
      <c r="AQ178" s="5"/>
      <c r="AR178" s="5"/>
      <c r="AS178" s="5"/>
      <c r="AT178" s="5"/>
      <c r="AU178" s="5"/>
      <c r="AV178" s="5"/>
      <c r="AW178" s="5"/>
      <c r="AX178" s="5"/>
      <c r="AY178" s="5"/>
      <c r="AZ178" s="5"/>
      <c r="BA178" s="5" t="str">
        <f ca="1">IFERROR(__xludf.DUMMYFUNCTION("""COMPUTED_VALUE"""),"")</f>
        <v/>
      </c>
      <c r="BB178" s="5"/>
      <c r="BC178" s="5"/>
      <c r="BD178" s="5"/>
      <c r="BE178" s="5"/>
    </row>
    <row r="179" spans="1:57" x14ac:dyDescent="0.25">
      <c r="A179" s="5">
        <f ca="1">IFERROR(__xludf.DUMMYFUNCTION("""COMPUTED_VALUE"""),179)</f>
        <v>179</v>
      </c>
      <c r="B179" s="5">
        <f ca="1">IFERROR(__xludf.DUMMYFUNCTION("""COMPUTED_VALUE"""),178)</f>
        <v>178</v>
      </c>
      <c r="C179" s="5" t="str">
        <f ca="1">IFERROR(__xludf.DUMMYFUNCTION("""COMPUTED_VALUE"""),"Redstone")</f>
        <v>Redstone</v>
      </c>
      <c r="D179" s="5" t="str">
        <f ca="1">IFERROR(__xludf.DUMMYFUNCTION("""COMPUTED_VALUE"""),"Book Of Ibis")</f>
        <v>Book Of Ibis</v>
      </c>
      <c r="E179" s="5" t="str">
        <f ca="1">IFERROR(__xludf.DUMMYFUNCTION("""COMPUTED_VALUE"""),"Redstone")</f>
        <v>Redstone</v>
      </c>
      <c r="F179" s="5" t="str">
        <f ca="1">IFERROR(__xludf.DUMMYFUNCTION("""COMPUTED_VALUE"""),"BookOfIbis")</f>
        <v>BookOfIbis</v>
      </c>
      <c r="G179" s="5" t="str">
        <f ca="1">IFERROR(__xludf.DUMMYFUNCTION("""COMPUTED_VALUE"""),"Live")</f>
        <v>Live</v>
      </c>
      <c r="H179" s="5"/>
      <c r="I179" s="5" t="str">
        <f ca="1">IFERROR(__xludf.DUMMYFUNCTION("""COMPUTED_VALUE"""),"Redstone")</f>
        <v>Redstone</v>
      </c>
      <c r="J179" s="5" t="str">
        <f ca="1">IFERROR(__xludf.DUMMYFUNCTION("""COMPUTED_VALUE"""),"JSON")</f>
        <v>JSON</v>
      </c>
      <c r="K179" s="5" t="str">
        <f ca="1">IFERROR(__xludf.DUMMYFUNCTION("""COMPUTED_VALUE"""),"Slot")</f>
        <v>Slot</v>
      </c>
      <c r="L179" s="5" t="str">
        <f ca="1">IFERROR(__xludf.DUMMYFUNCTION("""COMPUTED_VALUE""")," Clone")</f>
        <v xml:space="preserve"> Clone</v>
      </c>
      <c r="M179" s="5" t="str">
        <f ca="1">IFERROR(__xludf.DUMMYFUNCTION("""COMPUTED_VALUE"""),"Lost Book")</f>
        <v>Lost Book</v>
      </c>
      <c r="N179" s="7" t="str">
        <f ca="1">IFERROR(__xludf.DUMMYFUNCTION("""COMPUTED_VALUE"""),"https://docs.google.com/document/d/1MivnwLSbu2QueQOrF8UNz9NMC6gxsLlN/edit?usp=drive_link&amp;ouid=107596163405648766688&amp;rtpof=true&amp;sd=true")</f>
        <v>https://docs.google.com/document/d/1MivnwLSbu2QueQOrF8UNz9NMC6gxsLlN/edit?usp=drive_link&amp;ouid=107596163405648766688&amp;rtpof=true&amp;sd=true</v>
      </c>
      <c r="O179" s="7" t="str">
        <f ca="1">IFERROR(__xludf.DUMMYFUNCTION("""COMPUTED_VALUE"""),"https://docs.google.com/document/d/1qt2u8fQ-xA0ELDkx6NartD2WsSj2h-it/edit?usp=drive_link&amp;ouid=107596163405648766688&amp;rtpof=true&amp;sd=true")</f>
        <v>https://docs.google.com/document/d/1qt2u8fQ-xA0ELDkx6NartD2WsSj2h-it/edit?usp=drive_link&amp;ouid=107596163405648766688&amp;rtpof=true&amp;sd=true</v>
      </c>
      <c r="P179" s="14">
        <f ca="1">IFERROR(__xludf.DUMMYFUNCTION("""COMPUTED_VALUE"""),13.9)</f>
        <v>13.9</v>
      </c>
      <c r="Q179" s="5"/>
      <c r="R179" s="5"/>
      <c r="S179" s="15">
        <f ca="1">IFERROR(__xludf.DUMMYFUNCTION("""COMPUTED_VALUE"""),44791)</f>
        <v>44791</v>
      </c>
      <c r="T179" s="5"/>
      <c r="U179" s="5" t="str">
        <f ca="1">IFERROR(__xludf.DUMMYFUNCTION("""COMPUTED_VALUE"""),"5x3")</f>
        <v>5x3</v>
      </c>
      <c r="V179" s="12" t="str">
        <f ca="1">IFERROR(__xludf.DUMMYFUNCTION("""COMPUTED_VALUE"""),"10")</f>
        <v>10</v>
      </c>
      <c r="W179" s="12" t="str">
        <f ca="1">IFERROR(__xludf.DUMMYFUNCTION("""COMPUTED_VALUE"""),"10")</f>
        <v>10</v>
      </c>
      <c r="X179" s="5">
        <f ca="1">IFERROR(__xludf.DUMMYFUNCTION("""COMPUTED_VALUE"""),96.2)</f>
        <v>96.2</v>
      </c>
      <c r="Y179" s="5" t="str">
        <f ca="1">IFERROR(__xludf.DUMMYFUNCTION("""COMPUTED_VALUE"""),"High")</f>
        <v>High</v>
      </c>
      <c r="Z179" s="5">
        <f ca="1">IFERROR(__xludf.DUMMYFUNCTION("""COMPUTED_VALUE"""),12.34)</f>
        <v>12.34</v>
      </c>
      <c r="AA179" s="14">
        <f ca="1">IFERROR(__xludf.DUMMYFUNCTION("""COMPUTED_VALUE"""),5512)</f>
        <v>5512</v>
      </c>
      <c r="AB179" s="5"/>
      <c r="AC179" s="5" t="str">
        <f ca="1">IFERROR(__xludf.DUMMYFUNCTION("""COMPUTED_VALUE"""),"Bonus Game with Free Spins, Scatter, Expanding Wild")</f>
        <v>Bonus Game with Free Spins, Scatter, Expanding Wild</v>
      </c>
      <c r="AD179" s="5" t="str">
        <f ca="1">IFERROR(__xludf.DUMMYFUNCTION("""COMPUTED_VALUE"""),"0.10/40")</f>
        <v>0.10/40</v>
      </c>
      <c r="AE179" s="5"/>
      <c r="AF179" s="5"/>
      <c r="AG179" s="10">
        <f ca="1">IFERROR(__xludf.DUMMYFUNCTION("""COMPUTED_VALUE"""),46157.4471759259)</f>
        <v>46157.447175925903</v>
      </c>
      <c r="AH179" s="5"/>
      <c r="AI179" s="5"/>
      <c r="AJ179" s="5"/>
      <c r="AK179" s="5">
        <f ca="1">IFERROR(__xludf.DUMMYFUNCTION("""COMPUTED_VALUE"""),10)</f>
        <v>10</v>
      </c>
      <c r="AL179" s="5" t="str">
        <f ca="1">IFERROR(__xludf.DUMMYFUNCTION("""COMPUTED_VALUE"""),"No")</f>
        <v>No</v>
      </c>
      <c r="AM179" s="5" t="str">
        <f ca="1">IFERROR(__xludf.DUMMYFUNCTION("""COMPUTED_VALUE"""),"No")</f>
        <v>No</v>
      </c>
      <c r="AN179" s="7" t="str">
        <f ca="1">IFERROR(__xludf.DUMMYFUNCTION("""COMPUTED_VALUE"""),"https://static.redstone.rs/games/book-of-ibis/")</f>
        <v>https://static.redstone.rs/games/book-of-ibis/</v>
      </c>
      <c r="AO179" s="5" t="str">
        <f ca="1">IFERROR(__xludf.DUMMYFUNCTION("""COMPUTED_VALUE"""),"No")</f>
        <v>No</v>
      </c>
      <c r="AP179" s="5" t="str">
        <f ca="1">IFERROR(__xludf.DUMMYFUNCTION("""COMPUTED_VALUE"""),"No")</f>
        <v>No</v>
      </c>
      <c r="AQ179" s="5" t="b">
        <f ca="1">IFERROR(__xludf.DUMMYFUNCTION("""COMPUTED_VALUE"""),TRUE)</f>
        <v>1</v>
      </c>
      <c r="AR179" s="5"/>
      <c r="AS179" s="5" t="str">
        <f ca="1">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AT179" s="5"/>
      <c r="AU179" s="5" t="str">
        <f ca="1">IFERROR(__xludf.DUMMYFUNCTION("""COMPUTED_VALUE"""),"Redstone")</f>
        <v>Redstone</v>
      </c>
      <c r="AV179" s="5"/>
      <c r="AW179" s="5"/>
      <c r="AX179" s="5"/>
      <c r="AY179" s="5"/>
      <c r="AZ179" s="5"/>
      <c r="BA179" s="5"/>
      <c r="BB179" s="5" t="b">
        <f ca="1">IFERROR(__xludf.DUMMYFUNCTION("""COMPUTED_VALUE"""),TRUE)</f>
        <v>1</v>
      </c>
      <c r="BC179" s="5" t="str">
        <f ca="1">IFERROR(__xludf.DUMMYFUNCTION("""COMPUTED_VALUE"""),"Redstone")</f>
        <v>Redstone</v>
      </c>
      <c r="BD179" s="7" t="str">
        <f ca="1">IFERROR(__xludf.DUMMYFUNCTION("""COMPUTED_VALUE"""),"https://static.redstone.rs/games/book-of-ibis/")</f>
        <v>https://static.redstone.rs/games/book-of-ibis/</v>
      </c>
      <c r="BE179" s="5" t="b">
        <f ca="1">IFERROR(__xludf.DUMMYFUNCTION("""COMPUTED_VALUE"""),TRUE)</f>
        <v>1</v>
      </c>
    </row>
    <row r="180" spans="1:57" x14ac:dyDescent="0.25">
      <c r="A180" s="5">
        <f ca="1">IFERROR(__xludf.DUMMYFUNCTION("""COMPUTED_VALUE"""),180)</f>
        <v>180</v>
      </c>
      <c r="B180" s="5">
        <f ca="1">IFERROR(__xludf.DUMMYFUNCTION("""COMPUTED_VALUE"""),179)</f>
        <v>179</v>
      </c>
      <c r="C180" s="5" t="str">
        <f ca="1">IFERROR(__xludf.DUMMYFUNCTION("""COMPUTED_VALUE"""),"Redstone")</f>
        <v>Redstone</v>
      </c>
      <c r="D180" s="5" t="str">
        <f ca="1">IFERROR(__xludf.DUMMYFUNCTION("""COMPUTED_VALUE"""),"Clover Coin")</f>
        <v>Clover Coin</v>
      </c>
      <c r="E180" s="5" t="str">
        <f ca="1">IFERROR(__xludf.DUMMYFUNCTION("""COMPUTED_VALUE"""),"Redstone")</f>
        <v>Redstone</v>
      </c>
      <c r="F180" s="5" t="str">
        <f ca="1">IFERROR(__xludf.DUMMYFUNCTION("""COMPUTED_VALUE"""),"CloverCoin")</f>
        <v>CloverCoin</v>
      </c>
      <c r="G180" s="5" t="str">
        <f ca="1">IFERROR(__xludf.DUMMYFUNCTION("""COMPUTED_VALUE"""),"Live")</f>
        <v>Live</v>
      </c>
      <c r="H180" s="5"/>
      <c r="I180" s="5" t="str">
        <f ca="1">IFERROR(__xludf.DUMMYFUNCTION("""COMPUTED_VALUE"""),"Redstone")</f>
        <v>Redstone</v>
      </c>
      <c r="J180" s="5" t="str">
        <f ca="1">IFERROR(__xludf.DUMMYFUNCTION("""COMPUTED_VALUE"""),"JSON")</f>
        <v>JSON</v>
      </c>
      <c r="K180" s="5" t="str">
        <f ca="1">IFERROR(__xludf.DUMMYFUNCTION("""COMPUTED_VALUE"""),"Slot")</f>
        <v>Slot</v>
      </c>
      <c r="L180" s="5" t="str">
        <f ca="1">IFERROR(__xludf.DUMMYFUNCTION("""COMPUTED_VALUE""")," Clone")</f>
        <v xml:space="preserve"> Clone</v>
      </c>
      <c r="M180" s="5" t="str">
        <f ca="1">IFERROR(__xludf.DUMMYFUNCTION("""COMPUTED_VALUE"""),"Mayan Coins")</f>
        <v>Mayan Coins</v>
      </c>
      <c r="N180" s="7" t="str">
        <f ca="1">IFERROR(__xludf.DUMMYFUNCTION("""COMPUTED_VALUE"""),"https://docs.google.com/document/d/14aPa2HfOnXmUmLJGS13FiqvIHOpYGrPI/edit?usp=drive_link&amp;ouid=107596163405648766688&amp;rtpof=true&amp;sd=true")</f>
        <v>https://docs.google.com/document/d/14aPa2HfOnXmUmLJGS13FiqvIHOpYGrPI/edit?usp=drive_link&amp;ouid=107596163405648766688&amp;rtpof=true&amp;sd=true</v>
      </c>
      <c r="O180" s="7" t="str">
        <f ca="1">IFERROR(__xludf.DUMMYFUNCTION("""COMPUTED_VALUE"""),"https://docs.google.com/document/d/1P9j-AAe4GCAxkE2GQcnFdtiXIolt7YNE/edit?usp=drive_link&amp;ouid=107596163405648766688&amp;rtpof=true&amp;sd=true")</f>
        <v>https://docs.google.com/document/d/1P9j-AAe4GCAxkE2GQcnFdtiXIolt7YNE/edit?usp=drive_link&amp;ouid=107596163405648766688&amp;rtpof=true&amp;sd=true</v>
      </c>
      <c r="P180" s="14">
        <f ca="1">IFERROR(__xludf.DUMMYFUNCTION("""COMPUTED_VALUE"""),11.9)</f>
        <v>11.9</v>
      </c>
      <c r="Q180" s="5"/>
      <c r="R180" s="5"/>
      <c r="S180" s="15">
        <f ca="1">IFERROR(__xludf.DUMMYFUNCTION("""COMPUTED_VALUE"""),44810)</f>
        <v>44810</v>
      </c>
      <c r="T180" s="5"/>
      <c r="U180" s="5" t="str">
        <f ca="1">IFERROR(__xludf.DUMMYFUNCTION("""COMPUTED_VALUE"""),"5x3")</f>
        <v>5x3</v>
      </c>
      <c r="V180" s="12" t="str">
        <f ca="1">IFERROR(__xludf.DUMMYFUNCTION("""COMPUTED_VALUE"""),"10")</f>
        <v>10</v>
      </c>
      <c r="W180" s="12" t="str">
        <f ca="1">IFERROR(__xludf.DUMMYFUNCTION("""COMPUTED_VALUE"""),"10")</f>
        <v>10</v>
      </c>
      <c r="X180" s="5">
        <f ca="1">IFERROR(__xludf.DUMMYFUNCTION("""COMPUTED_VALUE"""),94.45)</f>
        <v>94.45</v>
      </c>
      <c r="Y180" s="5" t="str">
        <f ca="1">IFERROR(__xludf.DUMMYFUNCTION("""COMPUTED_VALUE"""),"Medium")</f>
        <v>Medium</v>
      </c>
      <c r="Z180" s="5">
        <f ca="1">IFERROR(__xludf.DUMMYFUNCTION("""COMPUTED_VALUE"""),12.54)</f>
        <v>12.54</v>
      </c>
      <c r="AA180" s="14">
        <f ca="1">IFERROR(__xludf.DUMMYFUNCTION("""COMPUTED_VALUE"""),1250)</f>
        <v>1250</v>
      </c>
      <c r="AB180" s="5"/>
      <c r="AC180" s="5" t="str">
        <f ca="1">IFERROR(__xludf.DUMMYFUNCTION("""COMPUTED_VALUE"""),"Bonus Game with Free Spins, Wild Symbol")</f>
        <v>Bonus Game with Free Spins, Wild Symbol</v>
      </c>
      <c r="AD180" s="5" t="str">
        <f ca="1">IFERROR(__xludf.DUMMYFUNCTION("""COMPUTED_VALUE"""),"0.10/40")</f>
        <v>0.10/40</v>
      </c>
      <c r="AE180" s="5"/>
      <c r="AF180" s="5"/>
      <c r="AG180" s="10">
        <f ca="1">IFERROR(__xludf.DUMMYFUNCTION("""COMPUTED_VALUE"""),46157.4473611111)</f>
        <v>46157.447361111103</v>
      </c>
      <c r="AH180" s="5"/>
      <c r="AI180" s="5"/>
      <c r="AJ180" s="5"/>
      <c r="AK180" s="5">
        <f ca="1">IFERROR(__xludf.DUMMYFUNCTION("""COMPUTED_VALUE"""),1)</f>
        <v>1</v>
      </c>
      <c r="AL180" s="5" t="str">
        <f ca="1">IFERROR(__xludf.DUMMYFUNCTION("""COMPUTED_VALUE"""),"No")</f>
        <v>No</v>
      </c>
      <c r="AM180" s="5" t="str">
        <f ca="1">IFERROR(__xludf.DUMMYFUNCTION("""COMPUTED_VALUE"""),"No")</f>
        <v>No</v>
      </c>
      <c r="AN180" s="7" t="str">
        <f ca="1">IFERROR(__xludf.DUMMYFUNCTION("""COMPUTED_VALUE"""),"https://static.redstone.rs/games/clover-coin/")</f>
        <v>https://static.redstone.rs/games/clover-coin/</v>
      </c>
      <c r="AO180" s="5" t="str">
        <f ca="1">IFERROR(__xludf.DUMMYFUNCTION("""COMPUTED_VALUE"""),"No")</f>
        <v>No</v>
      </c>
      <c r="AP180" s="5" t="str">
        <f ca="1">IFERROR(__xludf.DUMMYFUNCTION("""COMPUTED_VALUE"""),"No")</f>
        <v>No</v>
      </c>
      <c r="AQ180" s="5" t="b">
        <f ca="1">IFERROR(__xludf.DUMMYFUNCTION("""COMPUTED_VALUE"""),TRUE)</f>
        <v>1</v>
      </c>
      <c r="AR180" s="5"/>
      <c r="AS180" s="5" t="str">
        <f ca="1">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AT180" s="5"/>
      <c r="AU180" s="5" t="str">
        <f ca="1">IFERROR(__xludf.DUMMYFUNCTION("""COMPUTED_VALUE"""),"Redstone")</f>
        <v>Redstone</v>
      </c>
      <c r="AV180" s="5"/>
      <c r="AW180" s="5"/>
      <c r="AX180" s="5"/>
      <c r="AY180" s="5"/>
      <c r="AZ180" s="5"/>
      <c r="BA180" s="5"/>
      <c r="BB180" s="5" t="b">
        <f ca="1">IFERROR(__xludf.DUMMYFUNCTION("""COMPUTED_VALUE"""),TRUE)</f>
        <v>1</v>
      </c>
      <c r="BC180" s="5" t="str">
        <f ca="1">IFERROR(__xludf.DUMMYFUNCTION("""COMPUTED_VALUE"""),"Redstone")</f>
        <v>Redstone</v>
      </c>
      <c r="BD180" s="7" t="str">
        <f ca="1">IFERROR(__xludf.DUMMYFUNCTION("""COMPUTED_VALUE"""),"https://static.redstone.rs/games/clover-coin/")</f>
        <v>https://static.redstone.rs/games/clover-coin/</v>
      </c>
      <c r="BE180" s="5" t="b">
        <f ca="1">IFERROR(__xludf.DUMMYFUNCTION("""COMPUTED_VALUE"""),TRUE)</f>
        <v>1</v>
      </c>
    </row>
    <row r="181" spans="1:57" x14ac:dyDescent="0.25">
      <c r="A181" s="5">
        <f ca="1">IFERROR(__xludf.DUMMYFUNCTION("""COMPUTED_VALUE"""),181)</f>
        <v>181</v>
      </c>
      <c r="B181" s="5">
        <f ca="1">IFERROR(__xludf.DUMMYFUNCTION("""COMPUTED_VALUE"""),180)</f>
        <v>180</v>
      </c>
      <c r="C181" s="5" t="str">
        <f ca="1">IFERROR(__xludf.DUMMYFUNCTION("""COMPUTED_VALUE"""),"Fazi")</f>
        <v>Fazi</v>
      </c>
      <c r="D181" s="5" t="str">
        <f ca="1">IFERROR(__xludf.DUMMYFUNCTION("""COMPUTED_VALUE"""),"Admiral Hot 5")</f>
        <v>Admiral Hot 5</v>
      </c>
      <c r="E181" s="5" t="str">
        <f ca="1">IFERROR(__xludf.DUMMYFUNCTION("""COMPUTED_VALUE"""),"V2")</f>
        <v>V2</v>
      </c>
      <c r="F181" s="5" t="str">
        <f ca="1">IFERROR(__xludf.DUMMYFUNCTION("""COMPUTED_VALUE"""),"AdmiralHot5")</f>
        <v>AdmiralHot5</v>
      </c>
      <c r="G181" s="5" t="str">
        <f ca="1">IFERROR(__xludf.DUMMYFUNCTION("""COMPUTED_VALUE"""),"Live")</f>
        <v>Live</v>
      </c>
      <c r="H181" s="5" t="str">
        <f ca="1">IFERROR(__xludf.DUMMYFUNCTION("""COMPUTED_VALUE"""),"AdmiralHR - Interigre")</f>
        <v>AdmiralHR - Interigre</v>
      </c>
      <c r="I181" s="5" t="str">
        <f ca="1">IFERROR(__xludf.DUMMYFUNCTION("""COMPUTED_VALUE"""),"V2")</f>
        <v>V2</v>
      </c>
      <c r="J181" s="5" t="str">
        <f ca="1">IFERROR(__xludf.DUMMYFUNCTION("""COMPUTED_VALUE"""),"Binary")</f>
        <v>Binary</v>
      </c>
      <c r="K181" s="5" t="str">
        <f ca="1">IFERROR(__xludf.DUMMYFUNCTION("""COMPUTED_VALUE"""),"Slot")</f>
        <v>Slot</v>
      </c>
      <c r="L181" s="5" t="str">
        <f ca="1">IFERROR(__xludf.DUMMYFUNCTION("""COMPUTED_VALUE"""),"Clone")</f>
        <v>Clone</v>
      </c>
      <c r="M181" s="5" t="str">
        <f ca="1">IFERROR(__xludf.DUMMYFUNCTION("""COMPUTED_VALUE"""),"Bursting Hot 5")</f>
        <v>Bursting Hot 5</v>
      </c>
      <c r="N181" s="5"/>
      <c r="O181" s="5"/>
      <c r="P181" s="5"/>
      <c r="Q181" s="5"/>
      <c r="R181" s="5"/>
      <c r="S181" s="5"/>
      <c r="T181" s="5"/>
      <c r="U181" s="5" t="str">
        <f ca="1">IFERROR(__xludf.DUMMYFUNCTION("""COMPUTED_VALUE"""),"5x3")</f>
        <v>5x3</v>
      </c>
      <c r="V181" s="12" t="str">
        <f ca="1">IFERROR(__xludf.DUMMYFUNCTION("""COMPUTED_VALUE"""),"5")</f>
        <v>5</v>
      </c>
      <c r="W181" s="12" t="str">
        <f ca="1">IFERROR(__xludf.DUMMYFUNCTION("""COMPUTED_VALUE"""),"5")</f>
        <v>5</v>
      </c>
      <c r="X181" s="5">
        <f ca="1">IFERROR(__xludf.DUMMYFUNCTION("""COMPUTED_VALUE"""),96.447)</f>
        <v>96.447000000000003</v>
      </c>
      <c r="Y181" s="5" t="str">
        <f ca="1">IFERROR(__xludf.DUMMYFUNCTION("""COMPUTED_VALUE"""),"Medium")</f>
        <v>Medium</v>
      </c>
      <c r="Z181" s="5">
        <f ca="1">IFERROR(__xludf.DUMMYFUNCTION("""COMPUTED_VALUE"""),14.51)</f>
        <v>14.51</v>
      </c>
      <c r="AA181" s="14">
        <f ca="1">IFERROR(__xludf.DUMMYFUNCTION("""COMPUTED_VALUE"""),1222)</f>
        <v>1222</v>
      </c>
      <c r="AB181" s="5">
        <f ca="1">IFERROR(__xludf.DUMMYFUNCTION("""COMPUTED_VALUE"""),4)</f>
        <v>4</v>
      </c>
      <c r="AC181" s="5" t="str">
        <f ca="1">IFERROR(__xludf.DUMMYFUNCTION("""COMPUTED_VALUE"""),"Expanding Wild, Scatter")</f>
        <v>Expanding Wild, Scatter</v>
      </c>
      <c r="AD181" s="5"/>
      <c r="AE181" s="5"/>
      <c r="AF181" s="5"/>
      <c r="AG181" s="10">
        <f ca="1">IFERROR(__xludf.DUMMYFUNCTION("""COMPUTED_VALUE"""),46020.5233796296)</f>
        <v>46020.523379629602</v>
      </c>
      <c r="AH181" s="5" t="str">
        <f ca="1">IFERROR(__xludf.DUMMYFUNCTION("""COMPUTED_VALUE"""),"djordje.jankovic@fazi.rs")</f>
        <v>djordje.jankovic@fazi.rs</v>
      </c>
      <c r="AI181" s="5"/>
      <c r="AJ181" s="5"/>
      <c r="AK181" s="5">
        <f ca="1">IFERROR(__xludf.DUMMYFUNCTION("""COMPUTED_VALUE"""),5)</f>
        <v>5</v>
      </c>
      <c r="AL181" s="5" t="str">
        <f ca="1">IFERROR(__xludf.DUMMYFUNCTION("""COMPUTED_VALUE"""),"Yes")</f>
        <v>Yes</v>
      </c>
      <c r="AM181" s="5"/>
      <c r="AN181" s="5"/>
      <c r="AO181" s="5"/>
      <c r="AP181" s="5"/>
      <c r="AQ181" s="5"/>
      <c r="AR181" s="5" t="b">
        <f ca="1">IFERROR(__xludf.DUMMYFUNCTION("""COMPUTED_VALUE"""),TRUE)</f>
        <v>1</v>
      </c>
      <c r="AS181" s="5"/>
      <c r="AT181" s="5"/>
      <c r="AU181" s="5" t="str">
        <f ca="1">IFERROR(__xludf.DUMMYFUNCTION("""COMPUTED_VALUE"""),"Fazi")</f>
        <v>Fazi</v>
      </c>
      <c r="AV181" s="5"/>
      <c r="AW181" s="5"/>
      <c r="AX181" s="5"/>
      <c r="AY181" s="5"/>
      <c r="AZ181" s="5"/>
      <c r="BA181" s="5" t="str">
        <f ca="1">IFERROR(__xludf.DUMMYFUNCTION("""COMPUTED_VALUE"""),"")</f>
        <v/>
      </c>
      <c r="BB181" s="5"/>
      <c r="BC181" s="5" t="str">
        <f ca="1">IFERROR(__xludf.DUMMYFUNCTION("""COMPUTED_VALUE"""),"Foxi")</f>
        <v>Foxi</v>
      </c>
      <c r="BD181" s="5" t="str">
        <f ca="1">IFERROR(__xludf.DUMMYFUNCTION("""COMPUTED_VALUE"""),"")</f>
        <v/>
      </c>
      <c r="BE181" s="5"/>
    </row>
    <row r="182" spans="1:57" x14ac:dyDescent="0.25">
      <c r="A182" s="5">
        <f ca="1">IFERROR(__xludf.DUMMYFUNCTION("""COMPUTED_VALUE"""),182)</f>
        <v>182</v>
      </c>
      <c r="B182" s="5">
        <f ca="1">IFERROR(__xludf.DUMMYFUNCTION("""COMPUTED_VALUE"""),181)</f>
        <v>181</v>
      </c>
      <c r="C182" s="5" t="str">
        <f ca="1">IFERROR(__xludf.DUMMYFUNCTION("""COMPUTED_VALUE"""),"Fazi")</f>
        <v>Fazi</v>
      </c>
      <c r="D182" s="5" t="str">
        <f ca="1">IFERROR(__xludf.DUMMYFUNCTION("""COMPUTED_VALUE"""),"Arena Hot 40")</f>
        <v>Arena Hot 40</v>
      </c>
      <c r="E182" s="5" t="str">
        <f ca="1">IFERROR(__xludf.DUMMYFUNCTION("""COMPUTED_VALUE"""),"V2")</f>
        <v>V2</v>
      </c>
      <c r="F182" s="5" t="str">
        <f ca="1">IFERROR(__xludf.DUMMYFUNCTION("""COMPUTED_VALUE"""),"ArenaHot40")</f>
        <v>ArenaHot40</v>
      </c>
      <c r="G182" s="5" t="str">
        <f ca="1">IFERROR(__xludf.DUMMYFUNCTION("""COMPUTED_VALUE"""),"Live")</f>
        <v>Live</v>
      </c>
      <c r="H182" s="5" t="str">
        <f ca="1">IFERROR(__xludf.DUMMYFUNCTION("""COMPUTED_VALUE"""),"ArenaHR - Super Igra")</f>
        <v>ArenaHR - Super Igra</v>
      </c>
      <c r="I182" s="5" t="str">
        <f ca="1">IFERROR(__xludf.DUMMYFUNCTION("""COMPUTED_VALUE"""),"V2")</f>
        <v>V2</v>
      </c>
      <c r="J182" s="5" t="str">
        <f ca="1">IFERROR(__xludf.DUMMYFUNCTION("""COMPUTED_VALUE"""),"Binary")</f>
        <v>Binary</v>
      </c>
      <c r="K182" s="5" t="str">
        <f ca="1">IFERROR(__xludf.DUMMYFUNCTION("""COMPUTED_VALUE"""),"Slot")</f>
        <v>Slot</v>
      </c>
      <c r="L182" s="5"/>
      <c r="M182" s="5" t="str">
        <f ca="1">IFERROR(__xludf.DUMMYFUNCTION("""COMPUTED_VALUE"""),"Turbo Hot 40")</f>
        <v>Turbo Hot 40</v>
      </c>
      <c r="N182" s="5"/>
      <c r="O182" s="5"/>
      <c r="P182" s="5"/>
      <c r="Q182" s="5"/>
      <c r="R182" s="5"/>
      <c r="S182" s="5"/>
      <c r="T182" s="5"/>
      <c r="U182" s="5" t="str">
        <f ca="1">IFERROR(__xludf.DUMMYFUNCTION("""COMPUTED_VALUE"""),"5x4")</f>
        <v>5x4</v>
      </c>
      <c r="V182" s="12" t="str">
        <f ca="1">IFERROR(__xludf.DUMMYFUNCTION("""COMPUTED_VALUE"""),"40")</f>
        <v>40</v>
      </c>
      <c r="W182" s="12" t="str">
        <f ca="1">IFERROR(__xludf.DUMMYFUNCTION("""COMPUTED_VALUE"""),"40")</f>
        <v>40</v>
      </c>
      <c r="X182" s="5">
        <f ca="1">IFERROR(__xludf.DUMMYFUNCTION("""COMPUTED_VALUE"""),96.584)</f>
        <v>96.584000000000003</v>
      </c>
      <c r="Y182" s="5" t="str">
        <f ca="1">IFERROR(__xludf.DUMMYFUNCTION("""COMPUTED_VALUE"""),"Low")</f>
        <v>Low</v>
      </c>
      <c r="Z182" s="5">
        <f ca="1">IFERROR(__xludf.DUMMYFUNCTION("""COMPUTED_VALUE"""),16.73)</f>
        <v>16.73</v>
      </c>
      <c r="AA182" s="14">
        <f ca="1">IFERROR(__xludf.DUMMYFUNCTION("""COMPUTED_VALUE"""),1000)</f>
        <v>1000</v>
      </c>
      <c r="AB182" s="5" t="str">
        <f ca="1">IFERROR(__xludf.DUMMYFUNCTION("""COMPUTED_VALUE"""),"/")</f>
        <v>/</v>
      </c>
      <c r="AC182" s="5" t="str">
        <f ca="1">IFERROR(__xludf.DUMMYFUNCTION("""COMPUTED_VALUE"""),"Wild Symbol, Scatter")</f>
        <v>Wild Symbol, Scatter</v>
      </c>
      <c r="AD182" s="5"/>
      <c r="AE182" s="5"/>
      <c r="AF182" s="5"/>
      <c r="AG182" s="10">
        <f ca="1">IFERROR(__xludf.DUMMYFUNCTION("""COMPUTED_VALUE"""),46057.415474537)</f>
        <v>46057.415474537003</v>
      </c>
      <c r="AH182" s="5" t="str">
        <f ca="1">IFERROR(__xludf.DUMMYFUNCTION("""COMPUTED_VALUE"""),"petra.ilic@fazi.rs")</f>
        <v>petra.ilic@fazi.rs</v>
      </c>
      <c r="AI182" s="5"/>
      <c r="AJ182" s="5"/>
      <c r="AK182" s="5">
        <f ca="1">IFERROR(__xludf.DUMMYFUNCTION("""COMPUTED_VALUE"""),40)</f>
        <v>40</v>
      </c>
      <c r="AL182" s="5" t="str">
        <f ca="1">IFERROR(__xludf.DUMMYFUNCTION("""COMPUTED_VALUE"""),"Yes")</f>
        <v>Yes</v>
      </c>
      <c r="AM182" s="5"/>
      <c r="AN182" s="5"/>
      <c r="AO182" s="5"/>
      <c r="AP182" s="5"/>
      <c r="AQ182" s="5"/>
      <c r="AR182" s="5" t="b">
        <f ca="1">IFERROR(__xludf.DUMMYFUNCTION("""COMPUTED_VALUE"""),TRUE)</f>
        <v>1</v>
      </c>
      <c r="AS182" s="5"/>
      <c r="AT182" s="5"/>
      <c r="AU182" s="5" t="str">
        <f ca="1">IFERROR(__xludf.DUMMYFUNCTION("""COMPUTED_VALUE"""),"Fazi")</f>
        <v>Fazi</v>
      </c>
      <c r="AV182" s="5"/>
      <c r="AW182" s="5"/>
      <c r="AX182" s="5"/>
      <c r="AY182" s="5"/>
      <c r="AZ182" s="5"/>
      <c r="BA182" s="5" t="str">
        <f ca="1">IFERROR(__xludf.DUMMYFUNCTION("""COMPUTED_VALUE"""),"")</f>
        <v/>
      </c>
      <c r="BB182" s="5"/>
      <c r="BC182" s="5" t="str">
        <f ca="1">IFERROR(__xludf.DUMMYFUNCTION("""COMPUTED_VALUE"""),"Foxi")</f>
        <v>Foxi</v>
      </c>
      <c r="BD182" s="5" t="str">
        <f ca="1">IFERROR(__xludf.DUMMYFUNCTION("""COMPUTED_VALUE"""),"")</f>
        <v/>
      </c>
      <c r="BE182" s="5"/>
    </row>
    <row r="183" spans="1:57" x14ac:dyDescent="0.25">
      <c r="A183" s="5">
        <f ca="1">IFERROR(__xludf.DUMMYFUNCTION("""COMPUTED_VALUE"""),183)</f>
        <v>183</v>
      </c>
      <c r="B183" s="5">
        <f ca="1">IFERROR(__xludf.DUMMYFUNCTION("""COMPUTED_VALUE"""),182)</f>
        <v>182</v>
      </c>
      <c r="C183" s="5" t="str">
        <f ca="1">IFERROR(__xludf.DUMMYFUNCTION("""COMPUTED_VALUE"""),"Fazi")</f>
        <v>Fazi</v>
      </c>
      <c r="D183" s="5" t="str">
        <f ca="1">IFERROR(__xludf.DUMMYFUNCTION("""COMPUTED_VALUE"""),"Germania Hot 40")</f>
        <v>Germania Hot 40</v>
      </c>
      <c r="E183" s="5" t="str">
        <f ca="1">IFERROR(__xludf.DUMMYFUNCTION("""COMPUTED_VALUE"""),"V2")</f>
        <v>V2</v>
      </c>
      <c r="F183" s="5" t="str">
        <f ca="1">IFERROR(__xludf.DUMMYFUNCTION("""COMPUTED_VALUE"""),"GermaniaHot40")</f>
        <v>GermaniaHot40</v>
      </c>
      <c r="G183" s="5" t="str">
        <f ca="1">IFERROR(__xludf.DUMMYFUNCTION("""COMPUTED_VALUE"""),"Live")</f>
        <v>Live</v>
      </c>
      <c r="H183" s="5" t="str">
        <f ca="1">IFERROR(__xludf.DUMMYFUNCTION("""COMPUTED_VALUE"""),"GermaniaSport")</f>
        <v>GermaniaSport</v>
      </c>
      <c r="I183" s="5" t="str">
        <f ca="1">IFERROR(__xludf.DUMMYFUNCTION("""COMPUTED_VALUE"""),"V2")</f>
        <v>V2</v>
      </c>
      <c r="J183" s="5" t="str">
        <f ca="1">IFERROR(__xludf.DUMMYFUNCTION("""COMPUTED_VALUE"""),"Binary")</f>
        <v>Binary</v>
      </c>
      <c r="K183" s="5" t="str">
        <f ca="1">IFERROR(__xludf.DUMMYFUNCTION("""COMPUTED_VALUE"""),"Slot")</f>
        <v>Slot</v>
      </c>
      <c r="L183" s="5" t="str">
        <f ca="1">IFERROR(__xludf.DUMMYFUNCTION("""COMPUTED_VALUE"""),"Clone")</f>
        <v>Clone</v>
      </c>
      <c r="M183" s="5" t="str">
        <f ca="1">IFERROR(__xludf.DUMMYFUNCTION("""COMPUTED_VALUE"""),"Bursting Hot 5")</f>
        <v>Bursting Hot 5</v>
      </c>
      <c r="N183" s="5"/>
      <c r="O183" s="5"/>
      <c r="P183" s="5"/>
      <c r="Q183" s="5"/>
      <c r="R183" s="5"/>
      <c r="S183" s="5"/>
      <c r="T183" s="5"/>
      <c r="U183" s="5" t="str">
        <f ca="1">IFERROR(__xludf.DUMMYFUNCTION("""COMPUTED_VALUE"""),"5x3")</f>
        <v>5x3</v>
      </c>
      <c r="V183" s="12" t="str">
        <f ca="1">IFERROR(__xludf.DUMMYFUNCTION("""COMPUTED_VALUE"""),"40")</f>
        <v>40</v>
      </c>
      <c r="W183" s="12" t="str">
        <f ca="1">IFERROR(__xludf.DUMMYFUNCTION("""COMPUTED_VALUE"""),"40")</f>
        <v>40</v>
      </c>
      <c r="X183" s="5">
        <f ca="1">IFERROR(__xludf.DUMMYFUNCTION("""COMPUTED_VALUE"""),96.53)</f>
        <v>96.53</v>
      </c>
      <c r="Y183" s="5" t="str">
        <f ca="1">IFERROR(__xludf.DUMMYFUNCTION("""COMPUTED_VALUE"""),"Low")</f>
        <v>Low</v>
      </c>
      <c r="Z183" s="5">
        <f ca="1">IFERROR(__xludf.DUMMYFUNCTION("""COMPUTED_VALUE"""),23.38)</f>
        <v>23.38</v>
      </c>
      <c r="AA183" s="14">
        <f ca="1">IFERROR(__xludf.DUMMYFUNCTION("""COMPUTED_VALUE"""),876.75)</f>
        <v>876.75</v>
      </c>
      <c r="AB183" s="5">
        <f ca="1">IFERROR(__xludf.DUMMYFUNCTION("""COMPUTED_VALUE"""),4)</f>
        <v>4</v>
      </c>
      <c r="AC183" s="5" t="str">
        <f ca="1">IFERROR(__xludf.DUMMYFUNCTION("""COMPUTED_VALUE"""),"Expanding Wild, Scatter")</f>
        <v>Expanding Wild, Scatter</v>
      </c>
      <c r="AD183" s="5"/>
      <c r="AE183" s="5"/>
      <c r="AF183" s="5"/>
      <c r="AG183" s="10">
        <f ca="1">IFERROR(__xludf.DUMMYFUNCTION("""COMPUTED_VALUE"""),45995.5923726851)</f>
        <v>45995.592372685103</v>
      </c>
      <c r="AH183" s="5" t="str">
        <f ca="1">IFERROR(__xludf.DUMMYFUNCTION("""COMPUTED_VALUE"""),"djordje.jankovic@fazi.rs")</f>
        <v>djordje.jankovic@fazi.rs</v>
      </c>
      <c r="AI183" s="5"/>
      <c r="AJ183" s="5"/>
      <c r="AK183" s="5">
        <f ca="1">IFERROR(__xludf.DUMMYFUNCTION("""COMPUTED_VALUE"""),40)</f>
        <v>40</v>
      </c>
      <c r="AL183" s="5" t="str">
        <f ca="1">IFERROR(__xludf.DUMMYFUNCTION("""COMPUTED_VALUE"""),"Yes")</f>
        <v>Yes</v>
      </c>
      <c r="AM183" s="5"/>
      <c r="AN183" s="5"/>
      <c r="AO183" s="5"/>
      <c r="AP183" s="5"/>
      <c r="AQ183" s="5"/>
      <c r="AR183" s="5" t="b">
        <f ca="1">IFERROR(__xludf.DUMMYFUNCTION("""COMPUTED_VALUE"""),TRUE)</f>
        <v>1</v>
      </c>
      <c r="AS183" s="5"/>
      <c r="AT183" s="5"/>
      <c r="AU183" s="5" t="str">
        <f ca="1">IFERROR(__xludf.DUMMYFUNCTION("""COMPUTED_VALUE"""),"Fazi")</f>
        <v>Fazi</v>
      </c>
      <c r="AV183" s="5"/>
      <c r="AW183" s="5"/>
      <c r="AX183" s="5"/>
      <c r="AY183" s="5"/>
      <c r="AZ183" s="5"/>
      <c r="BA183" s="5" t="str">
        <f ca="1">IFERROR(__xludf.DUMMYFUNCTION("""COMPUTED_VALUE"""),"")</f>
        <v/>
      </c>
      <c r="BB183" s="5"/>
      <c r="BC183" s="5" t="str">
        <f ca="1">IFERROR(__xludf.DUMMYFUNCTION("""COMPUTED_VALUE"""),"Foxi")</f>
        <v>Foxi</v>
      </c>
      <c r="BD183" s="5" t="str">
        <f ca="1">IFERROR(__xludf.DUMMYFUNCTION("""COMPUTED_VALUE"""),"")</f>
        <v/>
      </c>
      <c r="BE183" s="5"/>
    </row>
    <row r="184" spans="1:57" x14ac:dyDescent="0.25">
      <c r="A184" s="5">
        <f ca="1">IFERROR(__xludf.DUMMYFUNCTION("""COMPUTED_VALUE"""),184)</f>
        <v>184</v>
      </c>
      <c r="B184" s="5">
        <f ca="1">IFERROR(__xludf.DUMMYFUNCTION("""COMPUTED_VALUE"""),183)</f>
        <v>183</v>
      </c>
      <c r="C184" s="5" t="str">
        <f ca="1">IFERROR(__xludf.DUMMYFUNCTION("""COMPUTED_VALUE"""),"Fazi")</f>
        <v>Fazi</v>
      </c>
      <c r="D184" s="5" t="str">
        <f ca="1">IFERROR(__xludf.DUMMYFUNCTION("""COMPUTED_VALUE"""),"WinXtip")</f>
        <v>WinXtip</v>
      </c>
      <c r="E184" s="5" t="str">
        <f ca="1">IFERROR(__xludf.DUMMYFUNCTION("""COMPUTED_VALUE"""),"V2")</f>
        <v>V2</v>
      </c>
      <c r="F184" s="5" t="str">
        <f ca="1">IFERROR(__xludf.DUMMYFUNCTION("""COMPUTED_VALUE"""),"WinXtip")</f>
        <v>WinXtip</v>
      </c>
      <c r="G184" s="5" t="str">
        <f ca="1">IFERROR(__xludf.DUMMYFUNCTION("""COMPUTED_VALUE"""),"Live")</f>
        <v>Live</v>
      </c>
      <c r="H184" s="5" t="str">
        <f ca="1">IFERROR(__xludf.DUMMYFUNCTION("""COMPUTED_VALUE"""),"Oryx gaming")</f>
        <v>Oryx gaming</v>
      </c>
      <c r="I184" s="5" t="str">
        <f ca="1">IFERROR(__xludf.DUMMYFUNCTION("""COMPUTED_VALUE"""),"V2")</f>
        <v>V2</v>
      </c>
      <c r="J184" s="5" t="str">
        <f ca="1">IFERROR(__xludf.DUMMYFUNCTION("""COMPUTED_VALUE"""),"Binary")</f>
        <v>Binary</v>
      </c>
      <c r="K184" s="5" t="str">
        <f ca="1">IFERROR(__xludf.DUMMYFUNCTION("""COMPUTED_VALUE"""),"Slot")</f>
        <v>Slot</v>
      </c>
      <c r="L184" s="5" t="str">
        <f ca="1">IFERROR(__xludf.DUMMYFUNCTION("""COMPUTED_VALUE"""),"Clone")</f>
        <v>Clone</v>
      </c>
      <c r="M184" s="5" t="str">
        <f ca="1">IFERROR(__xludf.DUMMYFUNCTION("""COMPUTED_VALUE"""),"Golden Crown")</f>
        <v>Golden Crown</v>
      </c>
      <c r="N184" s="5"/>
      <c r="O184" s="5"/>
      <c r="P184" s="5"/>
      <c r="Q184" s="5"/>
      <c r="R184" s="5"/>
      <c r="S184" s="5"/>
      <c r="T184" s="5"/>
      <c r="U184" s="5"/>
      <c r="V184" s="12" t="str">
        <f ca="1">IFERROR(__xludf.DUMMYFUNCTION("""COMPUTED_VALUE"""),"10")</f>
        <v>10</v>
      </c>
      <c r="W184" s="5"/>
      <c r="X184" s="13">
        <f ca="1">IFERROR(__xludf.DUMMYFUNCTION("""COMPUTED_VALUE"""),95.962)</f>
        <v>95.962000000000003</v>
      </c>
      <c r="Y184" s="5"/>
      <c r="Z184" s="5">
        <f ca="1">IFERROR(__xludf.DUMMYFUNCTION("""COMPUTED_VALUE"""),0)</f>
        <v>0</v>
      </c>
      <c r="AA184" s="5"/>
      <c r="AB184" s="5"/>
      <c r="AC184" s="5"/>
      <c r="AD184" s="5"/>
      <c r="AE184" s="5"/>
      <c r="AF184" s="5"/>
      <c r="AG184" s="10">
        <f ca="1">IFERROR(__xludf.DUMMYFUNCTION("""COMPUTED_VALUE"""),46020.5231018518)</f>
        <v>46020.523101851802</v>
      </c>
      <c r="AH184" s="5" t="str">
        <f ca="1">IFERROR(__xludf.DUMMYFUNCTION("""COMPUTED_VALUE"""),"djordje.jankovic@fazi.rs")</f>
        <v>djordje.jankovic@fazi.rs</v>
      </c>
      <c r="AI184" s="5"/>
      <c r="AJ184" s="5"/>
      <c r="AK184" s="5" t="str">
        <f ca="1">IFERROR(__xludf.DUMMYFUNCTION("""COMPUTED_VALUE"""),"NULL")</f>
        <v>NULL</v>
      </c>
      <c r="AL184" s="5" t="str">
        <f ca="1">IFERROR(__xludf.DUMMYFUNCTION("""COMPUTED_VALUE"""),"Yes")</f>
        <v>Yes</v>
      </c>
      <c r="AM184" s="5"/>
      <c r="AN184" s="5"/>
      <c r="AO184" s="5"/>
      <c r="AP184" s="5"/>
      <c r="AQ184" s="5"/>
      <c r="AR184" s="5" t="b">
        <f ca="1">IFERROR(__xludf.DUMMYFUNCTION("""COMPUTED_VALUE"""),TRUE)</f>
        <v>1</v>
      </c>
      <c r="AS184" s="5"/>
      <c r="AT184" s="5"/>
      <c r="AU184" s="5" t="str">
        <f ca="1">IFERROR(__xludf.DUMMYFUNCTION("""COMPUTED_VALUE"""),"Fazi")</f>
        <v>Fazi</v>
      </c>
      <c r="AV184" s="5"/>
      <c r="AW184" s="5"/>
      <c r="AX184" s="5"/>
      <c r="AY184" s="5"/>
      <c r="AZ184" s="5"/>
      <c r="BA184" s="5" t="str">
        <f ca="1">IFERROR(__xludf.DUMMYFUNCTION("""COMPUTED_VALUE"""),"")</f>
        <v/>
      </c>
      <c r="BB184" s="5"/>
      <c r="BC184" s="5" t="str">
        <f ca="1">IFERROR(__xludf.DUMMYFUNCTION("""COMPUTED_VALUE"""),"Foxi")</f>
        <v>Foxi</v>
      </c>
      <c r="BD184" s="5" t="str">
        <f ca="1">IFERROR(__xludf.DUMMYFUNCTION("""COMPUTED_VALUE"""),"")</f>
        <v/>
      </c>
      <c r="BE184" s="5"/>
    </row>
    <row r="185" spans="1:57" x14ac:dyDescent="0.25">
      <c r="A185" s="5">
        <f ca="1">IFERROR(__xludf.DUMMYFUNCTION("""COMPUTED_VALUE"""),185)</f>
        <v>185</v>
      </c>
      <c r="B185" s="5">
        <f ca="1">IFERROR(__xludf.DUMMYFUNCTION("""COMPUTED_VALUE"""),184)</f>
        <v>184</v>
      </c>
      <c r="C185" s="5" t="str">
        <f ca="1">IFERROR(__xludf.DUMMYFUNCTION("""COMPUTED_VALUE"""),"Fazi")</f>
        <v>Fazi</v>
      </c>
      <c r="D185" s="5" t="str">
        <f ca="1">IFERROR(__xludf.DUMMYFUNCTION("""COMPUTED_VALUE"""),"Psk Hot 40")</f>
        <v>Psk Hot 40</v>
      </c>
      <c r="E185" s="5" t="str">
        <f ca="1">IFERROR(__xludf.DUMMYFUNCTION("""COMPUTED_VALUE"""),"V2")</f>
        <v>V2</v>
      </c>
      <c r="F185" s="5" t="str">
        <f ca="1">IFERROR(__xludf.DUMMYFUNCTION("""COMPUTED_VALUE"""),"PskHot40")</f>
        <v>PskHot40</v>
      </c>
      <c r="G185" s="5" t="str">
        <f ca="1">IFERROR(__xludf.DUMMYFUNCTION("""COMPUTED_VALUE"""),"Live")</f>
        <v>Live</v>
      </c>
      <c r="H185" s="5" t="str">
        <f ca="1">IFERROR(__xludf.DUMMYFUNCTION("""COMPUTED_VALUE"""),"PSK - Hattrick PSK")</f>
        <v>PSK - Hattrick PSK</v>
      </c>
      <c r="I185" s="5" t="str">
        <f ca="1">IFERROR(__xludf.DUMMYFUNCTION("""COMPUTED_VALUE"""),"V2")</f>
        <v>V2</v>
      </c>
      <c r="J185" s="5" t="str">
        <f ca="1">IFERROR(__xludf.DUMMYFUNCTION("""COMPUTED_VALUE"""),"Binary")</f>
        <v>Binary</v>
      </c>
      <c r="K185" s="5" t="str">
        <f ca="1">IFERROR(__xludf.DUMMYFUNCTION("""COMPUTED_VALUE"""),"Slot")</f>
        <v>Slot</v>
      </c>
      <c r="L185" s="5" t="str">
        <f ca="1">IFERROR(__xludf.DUMMYFUNCTION("""COMPUTED_VALUE"""),"Clone")</f>
        <v>Clone</v>
      </c>
      <c r="M185" s="5" t="str">
        <f ca="1">IFERROR(__xludf.DUMMYFUNCTION("""COMPUTED_VALUE"""),"Turbo Hot 40")</f>
        <v>Turbo Hot 40</v>
      </c>
      <c r="N185" s="5"/>
      <c r="O185" s="5"/>
      <c r="P185" s="5"/>
      <c r="Q185" s="5"/>
      <c r="R185" s="5"/>
      <c r="S185" s="5"/>
      <c r="T185" s="5"/>
      <c r="U185" s="5" t="str">
        <f ca="1">IFERROR(__xludf.DUMMYFUNCTION("""COMPUTED_VALUE"""),"5x4")</f>
        <v>5x4</v>
      </c>
      <c r="V185" s="12" t="str">
        <f ca="1">IFERROR(__xludf.DUMMYFUNCTION("""COMPUTED_VALUE"""),"40")</f>
        <v>40</v>
      </c>
      <c r="W185" s="12" t="str">
        <f ca="1">IFERROR(__xludf.DUMMYFUNCTION("""COMPUTED_VALUE"""),"40")</f>
        <v>40</v>
      </c>
      <c r="X185" s="5">
        <f ca="1">IFERROR(__xludf.DUMMYFUNCTION("""COMPUTED_VALUE"""),96.584)</f>
        <v>96.584000000000003</v>
      </c>
      <c r="Y185" s="5" t="str">
        <f ca="1">IFERROR(__xludf.DUMMYFUNCTION("""COMPUTED_VALUE"""),"Low")</f>
        <v>Low</v>
      </c>
      <c r="Z185" s="5">
        <f ca="1">IFERROR(__xludf.DUMMYFUNCTION("""COMPUTED_VALUE"""),16.73)</f>
        <v>16.73</v>
      </c>
      <c r="AA185" s="14">
        <f ca="1">IFERROR(__xludf.DUMMYFUNCTION("""COMPUTED_VALUE"""),1000)</f>
        <v>1000</v>
      </c>
      <c r="AB185" s="5" t="str">
        <f ca="1">IFERROR(__xludf.DUMMYFUNCTION("""COMPUTED_VALUE"""),"/")</f>
        <v>/</v>
      </c>
      <c r="AC185" s="5" t="str">
        <f ca="1">IFERROR(__xludf.DUMMYFUNCTION("""COMPUTED_VALUE"""),"Wild Symbol, Scatter")</f>
        <v>Wild Symbol, Scatter</v>
      </c>
      <c r="AD185" s="5"/>
      <c r="AE185" s="5"/>
      <c r="AF185" s="5"/>
      <c r="AG185" s="10">
        <f ca="1">IFERROR(__xludf.DUMMYFUNCTION("""COMPUTED_VALUE"""),45995.5922453703)</f>
        <v>45995.592245370302</v>
      </c>
      <c r="AH185" s="5" t="str">
        <f ca="1">IFERROR(__xludf.DUMMYFUNCTION("""COMPUTED_VALUE"""),"djordje.jankovic@fazi.rs")</f>
        <v>djordje.jankovic@fazi.rs</v>
      </c>
      <c r="AI185" s="5"/>
      <c r="AJ185" s="5"/>
      <c r="AK185" s="5">
        <f ca="1">IFERROR(__xludf.DUMMYFUNCTION("""COMPUTED_VALUE"""),40)</f>
        <v>40</v>
      </c>
      <c r="AL185" s="5" t="str">
        <f ca="1">IFERROR(__xludf.DUMMYFUNCTION("""COMPUTED_VALUE"""),"Yes")</f>
        <v>Yes</v>
      </c>
      <c r="AM185" s="5"/>
      <c r="AN185" s="5"/>
      <c r="AO185" s="5"/>
      <c r="AP185" s="5"/>
      <c r="AQ185" s="5"/>
      <c r="AR185" s="5" t="b">
        <f ca="1">IFERROR(__xludf.DUMMYFUNCTION("""COMPUTED_VALUE"""),TRUE)</f>
        <v>1</v>
      </c>
      <c r="AS185" s="5"/>
      <c r="AT185" s="5"/>
      <c r="AU185" s="5" t="str">
        <f ca="1">IFERROR(__xludf.DUMMYFUNCTION("""COMPUTED_VALUE"""),"Fazi")</f>
        <v>Fazi</v>
      </c>
      <c r="AV185" s="5"/>
      <c r="AW185" s="5"/>
      <c r="AX185" s="5"/>
      <c r="AY185" s="5"/>
      <c r="AZ185" s="5"/>
      <c r="BA185" s="5" t="str">
        <f ca="1">IFERROR(__xludf.DUMMYFUNCTION("""COMPUTED_VALUE"""),"")</f>
        <v/>
      </c>
      <c r="BB185" s="5"/>
      <c r="BC185" s="5" t="str">
        <f ca="1">IFERROR(__xludf.DUMMYFUNCTION("""COMPUTED_VALUE"""),"Foxi")</f>
        <v>Foxi</v>
      </c>
      <c r="BD185" s="5" t="str">
        <f ca="1">IFERROR(__xludf.DUMMYFUNCTION("""COMPUTED_VALUE"""),"")</f>
        <v/>
      </c>
      <c r="BE185" s="5"/>
    </row>
    <row r="186" spans="1:57" x14ac:dyDescent="0.25">
      <c r="A186" s="5">
        <f ca="1">IFERROR(__xludf.DUMMYFUNCTION("""COMPUTED_VALUE"""),186)</f>
        <v>186</v>
      </c>
      <c r="B186" s="5">
        <f ca="1">IFERROR(__xludf.DUMMYFUNCTION("""COMPUTED_VALUE"""),185)</f>
        <v>185</v>
      </c>
      <c r="C186" s="5" t="str">
        <f ca="1">IFERROR(__xludf.DUMMYFUNCTION("""COMPUTED_VALUE"""),"Fazi")</f>
        <v>Fazi</v>
      </c>
      <c r="D186" s="5" t="str">
        <f ca="1">IFERROR(__xludf.DUMMYFUNCTION("""COMPUTED_VALUE"""),"Super Casino Crown")</f>
        <v>Super Casino Crown</v>
      </c>
      <c r="E186" s="5" t="str">
        <f ca="1">IFERROR(__xludf.DUMMYFUNCTION("""COMPUTED_VALUE"""),"V2")</f>
        <v>V2</v>
      </c>
      <c r="F186" s="5" t="str">
        <f ca="1">IFERROR(__xludf.DUMMYFUNCTION("""COMPUTED_VALUE"""),"SuperCasinoCrown")</f>
        <v>SuperCasinoCrown</v>
      </c>
      <c r="G186" s="5" t="str">
        <f ca="1">IFERROR(__xludf.DUMMYFUNCTION("""COMPUTED_VALUE"""),"Live")</f>
        <v>Live</v>
      </c>
      <c r="H186" s="5" t="str">
        <f ca="1">IFERROR(__xludf.DUMMYFUNCTION("""COMPUTED_VALUE"""),"SuperSport")</f>
        <v>SuperSport</v>
      </c>
      <c r="I186" s="5" t="str">
        <f ca="1">IFERROR(__xludf.DUMMYFUNCTION("""COMPUTED_VALUE"""),"V2")</f>
        <v>V2</v>
      </c>
      <c r="J186" s="5" t="str">
        <f ca="1">IFERROR(__xludf.DUMMYFUNCTION("""COMPUTED_VALUE"""),"Binary")</f>
        <v>Binary</v>
      </c>
      <c r="K186" s="5" t="str">
        <f ca="1">IFERROR(__xludf.DUMMYFUNCTION("""COMPUTED_VALUE"""),"Slot")</f>
        <v>Slot</v>
      </c>
      <c r="L186" s="5" t="str">
        <f ca="1">IFERROR(__xludf.DUMMYFUNCTION("""COMPUTED_VALUE"""),"Clone")</f>
        <v>Clone</v>
      </c>
      <c r="M186" s="5" t="str">
        <f ca="1">IFERROR(__xludf.DUMMYFUNCTION("""COMPUTED_VALUE"""),"Golden Crown")</f>
        <v>Golden Crown</v>
      </c>
      <c r="N186" s="5"/>
      <c r="O186" s="5"/>
      <c r="P186" s="5"/>
      <c r="Q186" s="5"/>
      <c r="R186" s="5"/>
      <c r="S186" s="15">
        <f ca="1">IFERROR(__xludf.DUMMYFUNCTION("""COMPUTED_VALUE"""),45582)</f>
        <v>45582</v>
      </c>
      <c r="T186" s="5"/>
      <c r="U186" s="5" t="str">
        <f ca="1">IFERROR(__xludf.DUMMYFUNCTION("""COMPUTED_VALUE"""),"5x3")</f>
        <v>5x3</v>
      </c>
      <c r="V186" s="12" t="str">
        <f ca="1">IFERROR(__xludf.DUMMYFUNCTION("""COMPUTED_VALUE"""),"10")</f>
        <v>10</v>
      </c>
      <c r="W186" s="12" t="str">
        <f ca="1">IFERROR(__xludf.DUMMYFUNCTION("""COMPUTED_VALUE"""),"10")</f>
        <v>10</v>
      </c>
      <c r="X186" s="5">
        <f ca="1">IFERROR(__xludf.DUMMYFUNCTION("""COMPUTED_VALUE"""),95.962)</f>
        <v>95.962000000000003</v>
      </c>
      <c r="Y186" s="5" t="str">
        <f ca="1">IFERROR(__xludf.DUMMYFUNCTION("""COMPUTED_VALUE"""),"Medium")</f>
        <v>Medium</v>
      </c>
      <c r="Z186" s="5">
        <f ca="1">IFERROR(__xludf.DUMMYFUNCTION("""COMPUTED_VALUE"""),14.63)</f>
        <v>14.63</v>
      </c>
      <c r="AA186" s="14">
        <f ca="1">IFERROR(__xludf.DUMMYFUNCTION("""COMPUTED_VALUE"""),1538)</f>
        <v>1538</v>
      </c>
      <c r="AB186" s="5">
        <f ca="1">IFERROR(__xludf.DUMMYFUNCTION("""COMPUTED_VALUE"""),4)</f>
        <v>4</v>
      </c>
      <c r="AC186" s="5" t="str">
        <f ca="1">IFERROR(__xludf.DUMMYFUNCTION("""COMPUTED_VALUE"""),"Expanding Wild, Scatter")</f>
        <v>Expanding Wild, Scatter</v>
      </c>
      <c r="AD186" s="5"/>
      <c r="AE186" s="5"/>
      <c r="AF186" s="5"/>
      <c r="AG186" s="10">
        <f ca="1">IFERROR(__xludf.DUMMYFUNCTION("""COMPUTED_VALUE"""),45995.5919907407)</f>
        <v>45995.591990740701</v>
      </c>
      <c r="AH186" s="5" t="str">
        <f ca="1">IFERROR(__xludf.DUMMYFUNCTION("""COMPUTED_VALUE"""),"djordje.jankovic@fazi.rs")</f>
        <v>djordje.jankovic@fazi.rs</v>
      </c>
      <c r="AI186" s="5"/>
      <c r="AJ186" s="5"/>
      <c r="AK186" s="5">
        <f ca="1">IFERROR(__xludf.DUMMYFUNCTION("""COMPUTED_VALUE"""),10)</f>
        <v>10</v>
      </c>
      <c r="AL186" s="5" t="str">
        <f ca="1">IFERROR(__xludf.DUMMYFUNCTION("""COMPUTED_VALUE"""),"Yes")</f>
        <v>Yes</v>
      </c>
      <c r="AM186" s="5"/>
      <c r="AN186" s="5"/>
      <c r="AO186" s="5"/>
      <c r="AP186" s="5"/>
      <c r="AQ186" s="5"/>
      <c r="AR186" s="5" t="b">
        <f ca="1">IFERROR(__xludf.DUMMYFUNCTION("""COMPUTED_VALUE"""),TRUE)</f>
        <v>1</v>
      </c>
      <c r="AS186" s="5"/>
      <c r="AT186" s="5"/>
      <c r="AU186" s="5" t="str">
        <f ca="1">IFERROR(__xludf.DUMMYFUNCTION("""COMPUTED_VALUE"""),"Fazi")</f>
        <v>Fazi</v>
      </c>
      <c r="AV186" s="5"/>
      <c r="AW186" s="5"/>
      <c r="AX186" s="5"/>
      <c r="AY186" s="5"/>
      <c r="AZ186" s="5"/>
      <c r="BA186" s="5" t="str">
        <f ca="1">IFERROR(__xludf.DUMMYFUNCTION("""COMPUTED_VALUE"""),"")</f>
        <v/>
      </c>
      <c r="BB186" s="5"/>
      <c r="BC186" s="5" t="str">
        <f ca="1">IFERROR(__xludf.DUMMYFUNCTION("""COMPUTED_VALUE"""),"Foxi")</f>
        <v>Foxi</v>
      </c>
      <c r="BD186" s="5" t="str">
        <f ca="1">IFERROR(__xludf.DUMMYFUNCTION("""COMPUTED_VALUE"""),"")</f>
        <v/>
      </c>
      <c r="BE186" s="5"/>
    </row>
    <row r="187" spans="1:57" x14ac:dyDescent="0.25">
      <c r="A187" s="5">
        <f ca="1">IFERROR(__xludf.DUMMYFUNCTION("""COMPUTED_VALUE"""),187)</f>
        <v>187</v>
      </c>
      <c r="B187" s="5">
        <f ca="1">IFERROR(__xludf.DUMMYFUNCTION("""COMPUTED_VALUE"""),186)</f>
        <v>186</v>
      </c>
      <c r="C187" s="5" t="str">
        <f ca="1">IFERROR(__xludf.DUMMYFUNCTION("""COMPUTED_VALUE"""),"Fazi")</f>
        <v>Fazi</v>
      </c>
      <c r="D187" s="5" t="str">
        <f ca="1">IFERROR(__xludf.DUMMYFUNCTION("""COMPUTED_VALUE"""),"Top Hot 20")</f>
        <v>Top Hot 20</v>
      </c>
      <c r="E187" s="5" t="str">
        <f ca="1">IFERROR(__xludf.DUMMYFUNCTION("""COMPUTED_VALUE"""),"V2")</f>
        <v>V2</v>
      </c>
      <c r="F187" s="5" t="str">
        <f ca="1">IFERROR(__xludf.DUMMYFUNCTION("""COMPUTED_VALUE"""),"TopHot20")</f>
        <v>TopHot20</v>
      </c>
      <c r="G187" s="5" t="str">
        <f ca="1">IFERROR(__xludf.DUMMYFUNCTION("""COMPUTED_VALUE"""),"Live")</f>
        <v>Live</v>
      </c>
      <c r="H187" s="5" t="str">
        <f ca="1">IFERROR(__xludf.DUMMYFUNCTION("""COMPUTED_VALUE"""),"Oryx gaming")</f>
        <v>Oryx gaming</v>
      </c>
      <c r="I187" s="5" t="str">
        <f ca="1">IFERROR(__xludf.DUMMYFUNCTION("""COMPUTED_VALUE"""),"V2")</f>
        <v>V2</v>
      </c>
      <c r="J187" s="5" t="str">
        <f ca="1">IFERROR(__xludf.DUMMYFUNCTION("""COMPUTED_VALUE"""),"Binary")</f>
        <v>Binary</v>
      </c>
      <c r="K187" s="5" t="str">
        <f ca="1">IFERROR(__xludf.DUMMYFUNCTION("""COMPUTED_VALUE"""),"Slot")</f>
        <v>Slot</v>
      </c>
      <c r="L187" s="5" t="str">
        <f ca="1">IFERROR(__xludf.DUMMYFUNCTION("""COMPUTED_VALUE"""),"Clone")</f>
        <v>Clone</v>
      </c>
      <c r="M187" s="5" t="str">
        <f ca="1">IFERROR(__xludf.DUMMYFUNCTION("""COMPUTED_VALUE"""),"Very Hot 20")</f>
        <v>Very Hot 20</v>
      </c>
      <c r="N187" s="5"/>
      <c r="O187" s="5"/>
      <c r="P187" s="5"/>
      <c r="Q187" s="5"/>
      <c r="R187" s="5"/>
      <c r="S187" s="5"/>
      <c r="T187" s="5"/>
      <c r="U187" s="5" t="str">
        <f ca="1">IFERROR(__xludf.DUMMYFUNCTION("""COMPUTED_VALUE"""),"5x3")</f>
        <v>5x3</v>
      </c>
      <c r="V187" s="12" t="str">
        <f ca="1">IFERROR(__xludf.DUMMYFUNCTION("""COMPUTED_VALUE"""),"20")</f>
        <v>20</v>
      </c>
      <c r="W187" s="12" t="str">
        <f ca="1">IFERROR(__xludf.DUMMYFUNCTION("""COMPUTED_VALUE"""),"20")</f>
        <v>20</v>
      </c>
      <c r="X187" s="5">
        <f ca="1">IFERROR(__xludf.DUMMYFUNCTION("""COMPUTED_VALUE"""),96.504)</f>
        <v>96.504000000000005</v>
      </c>
      <c r="Y187" s="5" t="str">
        <f ca="1">IFERROR(__xludf.DUMMYFUNCTION("""COMPUTED_VALUE"""),"Medium")</f>
        <v>Medium</v>
      </c>
      <c r="Z187" s="5">
        <f ca="1">IFERROR(__xludf.DUMMYFUNCTION("""COMPUTED_VALUE"""),21.75)</f>
        <v>21.75</v>
      </c>
      <c r="AA187" s="14">
        <f ca="1">IFERROR(__xludf.DUMMYFUNCTION("""COMPUTED_VALUE"""),1231.5)</f>
        <v>1231.5</v>
      </c>
      <c r="AB187" s="5">
        <f ca="1">IFERROR(__xludf.DUMMYFUNCTION("""COMPUTED_VALUE"""),4)</f>
        <v>4</v>
      </c>
      <c r="AC187" s="5" t="str">
        <f ca="1">IFERROR(__xludf.DUMMYFUNCTION("""COMPUTED_VALUE"""),"Expanding Wild, Scatter")</f>
        <v>Expanding Wild, Scatter</v>
      </c>
      <c r="AD187" s="5"/>
      <c r="AE187" s="5"/>
      <c r="AF187" s="5"/>
      <c r="AG187" s="10">
        <f ca="1">IFERROR(__xludf.DUMMYFUNCTION("""COMPUTED_VALUE"""),46020.5218287037)</f>
        <v>46020.521828703699</v>
      </c>
      <c r="AH187" s="5" t="str">
        <f ca="1">IFERROR(__xludf.DUMMYFUNCTION("""COMPUTED_VALUE"""),"djordje.jankovic@fazi.rs")</f>
        <v>djordje.jankovic@fazi.rs</v>
      </c>
      <c r="AI187" s="5"/>
      <c r="AJ187" s="5"/>
      <c r="AK187" s="5">
        <f ca="1">IFERROR(__xludf.DUMMYFUNCTION("""COMPUTED_VALUE"""),20)</f>
        <v>20</v>
      </c>
      <c r="AL187" s="5" t="str">
        <f ca="1">IFERROR(__xludf.DUMMYFUNCTION("""COMPUTED_VALUE"""),"Yes")</f>
        <v>Yes</v>
      </c>
      <c r="AM187" s="5"/>
      <c r="AN187" s="5"/>
      <c r="AO187" s="5"/>
      <c r="AP187" s="5"/>
      <c r="AQ187" s="5"/>
      <c r="AR187" s="5" t="b">
        <f ca="1">IFERROR(__xludf.DUMMYFUNCTION("""COMPUTED_VALUE"""),TRUE)</f>
        <v>1</v>
      </c>
      <c r="AS187" s="5"/>
      <c r="AT187" s="5"/>
      <c r="AU187" s="5" t="str">
        <f ca="1">IFERROR(__xludf.DUMMYFUNCTION("""COMPUTED_VALUE"""),"Fazi")</f>
        <v>Fazi</v>
      </c>
      <c r="AV187" s="5"/>
      <c r="AW187" s="5"/>
      <c r="AX187" s="5"/>
      <c r="AY187" s="5"/>
      <c r="AZ187" s="5"/>
      <c r="BA187" s="5" t="str">
        <f ca="1">IFERROR(__xludf.DUMMYFUNCTION("""COMPUTED_VALUE"""),"")</f>
        <v/>
      </c>
      <c r="BB187" s="5"/>
      <c r="BC187" s="5" t="str">
        <f ca="1">IFERROR(__xludf.DUMMYFUNCTION("""COMPUTED_VALUE"""),"Foxi")</f>
        <v>Foxi</v>
      </c>
      <c r="BD187" s="5" t="str">
        <f ca="1">IFERROR(__xludf.DUMMYFUNCTION("""COMPUTED_VALUE"""),"")</f>
        <v/>
      </c>
      <c r="BE187" s="5"/>
    </row>
    <row r="188" spans="1:57" x14ac:dyDescent="0.25">
      <c r="A188" s="5">
        <f ca="1">IFERROR(__xludf.DUMMYFUNCTION("""COMPUTED_VALUE"""),188)</f>
        <v>188</v>
      </c>
      <c r="B188" s="5">
        <f ca="1">IFERROR(__xludf.DUMMYFUNCTION("""COMPUTED_VALUE"""),187)</f>
        <v>187</v>
      </c>
      <c r="C188" s="5" t="str">
        <f ca="1">IFERROR(__xludf.DUMMYFUNCTION("""COMPUTED_VALUE"""),"Fazi")</f>
        <v>Fazi</v>
      </c>
      <c r="D188" s="5" t="str">
        <f ca="1">IFERROR(__xludf.DUMMYFUNCTION("""COMPUTED_VALUE"""),"Pari Hot 40")</f>
        <v>Pari Hot 40</v>
      </c>
      <c r="E188" s="5" t="str">
        <f ca="1">IFERROR(__xludf.DUMMYFUNCTION("""COMPUTED_VALUE"""),"V2")</f>
        <v>V2</v>
      </c>
      <c r="F188" s="5" t="str">
        <f ca="1">IFERROR(__xludf.DUMMYFUNCTION("""COMPUTED_VALUE"""),"PariHot40")</f>
        <v>PariHot40</v>
      </c>
      <c r="G188" s="5" t="str">
        <f ca="1">IFERROR(__xludf.DUMMYFUNCTION("""COMPUTED_VALUE"""),"Live")</f>
        <v>Live</v>
      </c>
      <c r="H188" s="5" t="str">
        <f ca="1">IFERROR(__xludf.DUMMYFUNCTION("""COMPUTED_VALUE"""),"Parimatch - Sport Global Pari")</f>
        <v>Parimatch - Sport Global Pari</v>
      </c>
      <c r="I188" s="5" t="str">
        <f ca="1">IFERROR(__xludf.DUMMYFUNCTION("""COMPUTED_VALUE"""),"V2")</f>
        <v>V2</v>
      </c>
      <c r="J188" s="5" t="str">
        <f ca="1">IFERROR(__xludf.DUMMYFUNCTION("""COMPUTED_VALUE"""),"Binary")</f>
        <v>Binary</v>
      </c>
      <c r="K188" s="5" t="str">
        <f ca="1">IFERROR(__xludf.DUMMYFUNCTION("""COMPUTED_VALUE"""),"Slot")</f>
        <v>Slot</v>
      </c>
      <c r="L188" s="5" t="str">
        <f ca="1">IFERROR(__xludf.DUMMYFUNCTION("""COMPUTED_VALUE"""),"Clone")</f>
        <v>Clone</v>
      </c>
      <c r="M188" s="5" t="str">
        <f ca="1">IFERROR(__xludf.DUMMYFUNCTION("""COMPUTED_VALUE"""),"Turbo Hot 40")</f>
        <v>Turbo Hot 40</v>
      </c>
      <c r="N188" s="5"/>
      <c r="O188" s="5"/>
      <c r="P188" s="5"/>
      <c r="Q188" s="5"/>
      <c r="R188" s="5"/>
      <c r="S188" s="5"/>
      <c r="T188" s="5"/>
      <c r="U188" s="5" t="str">
        <f ca="1">IFERROR(__xludf.DUMMYFUNCTION("""COMPUTED_VALUE"""),"5x4")</f>
        <v>5x4</v>
      </c>
      <c r="V188" s="12" t="str">
        <f ca="1">IFERROR(__xludf.DUMMYFUNCTION("""COMPUTED_VALUE"""),"40")</f>
        <v>40</v>
      </c>
      <c r="W188" s="12" t="str">
        <f ca="1">IFERROR(__xludf.DUMMYFUNCTION("""COMPUTED_VALUE"""),"40")</f>
        <v>40</v>
      </c>
      <c r="X188" s="5">
        <f ca="1">IFERROR(__xludf.DUMMYFUNCTION("""COMPUTED_VALUE"""),96.584)</f>
        <v>96.584000000000003</v>
      </c>
      <c r="Y188" s="5" t="str">
        <f ca="1">IFERROR(__xludf.DUMMYFUNCTION("""COMPUTED_VALUE"""),"Low")</f>
        <v>Low</v>
      </c>
      <c r="Z188" s="5">
        <f ca="1">IFERROR(__xludf.DUMMYFUNCTION("""COMPUTED_VALUE"""),16.725)</f>
        <v>16.725000000000001</v>
      </c>
      <c r="AA188" s="14">
        <f ca="1">IFERROR(__xludf.DUMMYFUNCTION("""COMPUTED_VALUE"""),1000)</f>
        <v>1000</v>
      </c>
      <c r="AB188" s="5" t="str">
        <f ca="1">IFERROR(__xludf.DUMMYFUNCTION("""COMPUTED_VALUE"""),"/")</f>
        <v>/</v>
      </c>
      <c r="AC188" s="5" t="str">
        <f ca="1">IFERROR(__xludf.DUMMYFUNCTION("""COMPUTED_VALUE"""),"Wild Symbol, Scatter")</f>
        <v>Wild Symbol, Scatter</v>
      </c>
      <c r="AD188" s="5"/>
      <c r="AE188" s="5"/>
      <c r="AF188" s="5"/>
      <c r="AG188" s="10">
        <f ca="1">IFERROR(__xludf.DUMMYFUNCTION("""COMPUTED_VALUE"""),45995.5917476851)</f>
        <v>45995.591747685103</v>
      </c>
      <c r="AH188" s="5" t="str">
        <f ca="1">IFERROR(__xludf.DUMMYFUNCTION("""COMPUTED_VALUE"""),"djordje.jankovic@fazi.rs")</f>
        <v>djordje.jankovic@fazi.rs</v>
      </c>
      <c r="AI188" s="5"/>
      <c r="AJ188" s="5"/>
      <c r="AK188" s="5">
        <f ca="1">IFERROR(__xludf.DUMMYFUNCTION("""COMPUTED_VALUE"""),40)</f>
        <v>40</v>
      </c>
      <c r="AL188" s="5" t="str">
        <f ca="1">IFERROR(__xludf.DUMMYFUNCTION("""COMPUTED_VALUE"""),"Yes")</f>
        <v>Yes</v>
      </c>
      <c r="AM188" s="5"/>
      <c r="AN188" s="5"/>
      <c r="AO188" s="5"/>
      <c r="AP188" s="5"/>
      <c r="AQ188" s="5"/>
      <c r="AR188" s="5" t="b">
        <f ca="1">IFERROR(__xludf.DUMMYFUNCTION("""COMPUTED_VALUE"""),TRUE)</f>
        <v>1</v>
      </c>
      <c r="AS188" s="5"/>
      <c r="AT188" s="5"/>
      <c r="AU188" s="5" t="str">
        <f ca="1">IFERROR(__xludf.DUMMYFUNCTION("""COMPUTED_VALUE"""),"Fazi")</f>
        <v>Fazi</v>
      </c>
      <c r="AV188" s="5"/>
      <c r="AW188" s="5"/>
      <c r="AX188" s="5"/>
      <c r="AY188" s="5"/>
      <c r="AZ188" s="5"/>
      <c r="BA188" s="5" t="str">
        <f ca="1">IFERROR(__xludf.DUMMYFUNCTION("""COMPUTED_VALUE"""),"")</f>
        <v/>
      </c>
      <c r="BB188" s="5"/>
      <c r="BC188" s="5" t="str">
        <f ca="1">IFERROR(__xludf.DUMMYFUNCTION("""COMPUTED_VALUE"""),"Foxi")</f>
        <v>Foxi</v>
      </c>
      <c r="BD188" s="5" t="str">
        <f ca="1">IFERROR(__xludf.DUMMYFUNCTION("""COMPUTED_VALUE"""),"")</f>
        <v/>
      </c>
      <c r="BE188" s="5"/>
    </row>
    <row r="189" spans="1:57" x14ac:dyDescent="0.25">
      <c r="A189" s="5">
        <f ca="1">IFERROR(__xludf.DUMMYFUNCTION("""COMPUTED_VALUE"""),189)</f>
        <v>189</v>
      </c>
      <c r="B189" s="5">
        <f ca="1">IFERROR(__xludf.DUMMYFUNCTION("""COMPUTED_VALUE"""),188)</f>
        <v>188</v>
      </c>
      <c r="C189" s="5" t="str">
        <f ca="1">IFERROR(__xludf.DUMMYFUNCTION("""COMPUTED_VALUE"""),"Fazi")</f>
        <v>Fazi</v>
      </c>
      <c r="D189" s="5" t="str">
        <f ca="1">IFERROR(__xludf.DUMMYFUNCTION("""COMPUTED_VALUE"""),"Power Of The Great")</f>
        <v>Power Of The Great</v>
      </c>
      <c r="E189" s="5" t="str">
        <f ca="1">IFERROR(__xludf.DUMMYFUNCTION("""COMPUTED_VALUE"""),"V2")</f>
        <v>V2</v>
      </c>
      <c r="F189" s="5" t="str">
        <f ca="1">IFERROR(__xludf.DUMMYFUNCTION("""COMPUTED_VALUE"""),"PowerOfTheGreat")</f>
        <v>PowerOfTheGreat</v>
      </c>
      <c r="G189" s="5" t="str">
        <f ca="1">IFERROR(__xludf.DUMMYFUNCTION("""COMPUTED_VALUE"""),"Live")</f>
        <v>Live</v>
      </c>
      <c r="H189" s="5"/>
      <c r="I189" s="5" t="str">
        <f ca="1">IFERROR(__xludf.DUMMYFUNCTION("""COMPUTED_VALUE"""),"V2")</f>
        <v>V2</v>
      </c>
      <c r="J189" s="5" t="str">
        <f ca="1">IFERROR(__xludf.DUMMYFUNCTION("""COMPUTED_VALUE"""),"Binary")</f>
        <v>Binary</v>
      </c>
      <c r="K189" s="5" t="str">
        <f ca="1">IFERROR(__xludf.DUMMYFUNCTION("""COMPUTED_VALUE"""),"Slot")</f>
        <v>Slot</v>
      </c>
      <c r="L189" s="5" t="str">
        <f ca="1">IFERROR(__xludf.DUMMYFUNCTION("""COMPUTED_VALUE"""),"Clone")</f>
        <v>Clone</v>
      </c>
      <c r="M189" s="5" t="str">
        <f ca="1">IFERROR(__xludf.DUMMYFUNCTION("""COMPUTED_VALUE"""),"Viking Gold")</f>
        <v>Viking Gold</v>
      </c>
      <c r="N189" s="5"/>
      <c r="O189" s="5"/>
      <c r="P189" s="14">
        <f ca="1">IFERROR(__xludf.DUMMYFUNCTION("""COMPUTED_VALUE"""),34.7)</f>
        <v>34.700000000000003</v>
      </c>
      <c r="Q189" s="5"/>
      <c r="R189" s="5"/>
      <c r="S189" s="15">
        <f ca="1">IFERROR(__xludf.DUMMYFUNCTION("""COMPUTED_VALUE"""),44875)</f>
        <v>44875</v>
      </c>
      <c r="T189" s="5"/>
      <c r="U189" s="5" t="str">
        <f ca="1">IFERROR(__xludf.DUMMYFUNCTION("""COMPUTED_VALUE"""),"5x3")</f>
        <v>5x3</v>
      </c>
      <c r="V189" s="12" t="str">
        <f ca="1">IFERROR(__xludf.DUMMYFUNCTION("""COMPUTED_VALUE"""),"20")</f>
        <v>20</v>
      </c>
      <c r="W189" s="12" t="str">
        <f ca="1">IFERROR(__xludf.DUMMYFUNCTION("""COMPUTED_VALUE"""),"20")</f>
        <v>20</v>
      </c>
      <c r="X189" s="5">
        <f ca="1">IFERROR(__xludf.DUMMYFUNCTION("""COMPUTED_VALUE"""),95.952)</f>
        <v>95.951999999999998</v>
      </c>
      <c r="Y189" s="5" t="str">
        <f ca="1">IFERROR(__xludf.DUMMYFUNCTION("""COMPUTED_VALUE"""),"Medium")</f>
        <v>Medium</v>
      </c>
      <c r="Z189" s="5">
        <f ca="1">IFERROR(__xludf.DUMMYFUNCTION("""COMPUTED_VALUE"""),43.7699999999999)</f>
        <v>43.769999999999897</v>
      </c>
      <c r="AA189" s="14">
        <f ca="1">IFERROR(__xludf.DUMMYFUNCTION("""COMPUTED_VALUE"""),3910)</f>
        <v>3910</v>
      </c>
      <c r="AB189" s="5">
        <f ca="1">IFERROR(__xludf.DUMMYFUNCTION("""COMPUTED_VALUE"""),147)</f>
        <v>147</v>
      </c>
      <c r="AC189" s="5" t="str">
        <f ca="1">IFERROR(__xludf.DUMMYFUNCTION("""COMPUTED_VALUE"""),"Wild Symbol, Bonus Game with Free Spins, Cascade Game, Increasing Multiplier")</f>
        <v>Wild Symbol, Bonus Game with Free Spins, Cascade Game, Increasing Multiplier</v>
      </c>
      <c r="AD189" s="5" t="str">
        <f ca="1">IFERROR(__xludf.DUMMYFUNCTION("""COMPUTED_VALUE"""),"0.2/50")</f>
        <v>0.2/50</v>
      </c>
      <c r="AE189" s="5"/>
      <c r="AF189" s="5"/>
      <c r="AG189" s="10">
        <f ca="1">IFERROR(__xludf.DUMMYFUNCTION("""COMPUTED_VALUE"""),46055.5183449074)</f>
        <v>46055.518344907403</v>
      </c>
      <c r="AH189" s="5" t="str">
        <f ca="1">IFERROR(__xludf.DUMMYFUNCTION("""COMPUTED_VALUE"""),"djordje.jankovic@fazi.rs")</f>
        <v>djordje.jankovic@fazi.rs</v>
      </c>
      <c r="AI189" s="5"/>
      <c r="AJ189" s="5"/>
      <c r="AK189" s="5">
        <f ca="1">IFERROR(__xludf.DUMMYFUNCTION("""COMPUTED_VALUE"""),20)</f>
        <v>20</v>
      </c>
      <c r="AL189" s="5" t="str">
        <f ca="1">IFERROR(__xludf.DUMMYFUNCTION("""COMPUTED_VALUE"""),"Yes")</f>
        <v>Yes</v>
      </c>
      <c r="AM189" s="5"/>
      <c r="AN189" s="7" t="str">
        <f ca="1">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AO189" s="5"/>
      <c r="AP189" s="5"/>
      <c r="AQ189" s="5" t="b">
        <f ca="1">IFERROR(__xludf.DUMMYFUNCTION("""COMPUTED_VALUE"""),TRUE)</f>
        <v>1</v>
      </c>
      <c r="AR189" s="5"/>
      <c r="AS189" s="5" t="str">
        <f ca="1">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AT189" s="5"/>
      <c r="AU189" s="5" t="str">
        <f ca="1">IFERROR(__xludf.DUMMYFUNCTION("""COMPUTED_VALUE"""),"Fazi")</f>
        <v>Fazi</v>
      </c>
      <c r="AV189" s="5"/>
      <c r="AW189" s="5"/>
      <c r="AX189" s="5"/>
      <c r="AY189" s="5"/>
      <c r="AZ189" s="5"/>
      <c r="BA189" s="5" t="str">
        <f ca="1">IFERROR(__xludf.DUMMYFUNCTION("""COMPUTED_VALUE"""),"")</f>
        <v/>
      </c>
      <c r="BB189" s="5"/>
      <c r="BC189" s="5" t="str">
        <f ca="1">IFERROR(__xludf.DUMMYFUNCTION("""COMPUTED_VALUE"""),"Foxi")</f>
        <v>Foxi</v>
      </c>
      <c r="BD189" s="7" t="str">
        <f ca="1">IFERROR(__xludf.DUMMYFUNCTION("""COMPUTED_VALUE"""),"https://gameserver-store-client-area.orbionlimited.com/Home/IntegrationGameLaunch/client-area?moneyType=0&amp;gameName=PowerOfTheGreat&amp;platform=desktop&amp;languageCode=eng&amp;currency=EUR")</f>
        <v>https://gameserver-store-client-area.orbionlimited.com/Home/IntegrationGameLaunch/client-area?moneyType=0&amp;gameName=PowerOfTheGreat&amp;platform=desktop&amp;languageCode=eng&amp;currency=EUR</v>
      </c>
      <c r="BE189" s="5" t="b">
        <f ca="1">IFERROR(__xludf.DUMMYFUNCTION("""COMPUTED_VALUE"""),TRUE)</f>
        <v>1</v>
      </c>
    </row>
    <row r="190" spans="1:57" x14ac:dyDescent="0.25">
      <c r="A190" s="5">
        <f ca="1">IFERROR(__xludf.DUMMYFUNCTION("""COMPUTED_VALUE"""),190)</f>
        <v>190</v>
      </c>
      <c r="B190" s="5">
        <f ca="1">IFERROR(__xludf.DUMMYFUNCTION("""COMPUTED_VALUE"""),189)</f>
        <v>189</v>
      </c>
      <c r="C190" s="5" t="str">
        <f ca="1">IFERROR(__xludf.DUMMYFUNCTION("""COMPUTED_VALUE"""),"Tiptop")</f>
        <v>Tiptop</v>
      </c>
      <c r="D190" s="5" t="str">
        <f ca="1">IFERROR(__xludf.DUMMYFUNCTION("""COMPUTED_VALUE"""),"40 Mega Flames")</f>
        <v>40 Mega Flames</v>
      </c>
      <c r="E190" s="5"/>
      <c r="F190" s="5" t="str">
        <f ca="1">IFERROR(__xludf.DUMMYFUNCTION("""COMPUTED_VALUE"""),"Unicorn40MegaFlames")</f>
        <v>Unicorn40MegaFlames</v>
      </c>
      <c r="G190" s="5" t="str">
        <f ca="1">IFERROR(__xludf.DUMMYFUNCTION("""COMPUTED_VALUE"""),"Live")</f>
        <v>Live</v>
      </c>
      <c r="H190" s="5"/>
      <c r="I190" s="5" t="str">
        <f ca="1">IFERROR(__xludf.DUMMYFUNCTION("""COMPUTED_VALUE"""),"TipTop")</f>
        <v>TipTop</v>
      </c>
      <c r="J190" s="5" t="str">
        <f ca="1">IFERROR(__xludf.DUMMYFUNCTION("""COMPUTED_VALUE"""),"JSON")</f>
        <v>JSON</v>
      </c>
      <c r="K190" s="5" t="str">
        <f ca="1">IFERROR(__xludf.DUMMYFUNCTION("""COMPUTED_VALUE"""),"Slot")</f>
        <v>Slot</v>
      </c>
      <c r="L190" s="5"/>
      <c r="M190" s="5"/>
      <c r="N190" s="5"/>
      <c r="O190" s="5"/>
      <c r="P190" s="14">
        <f ca="1">IFERROR(__xludf.DUMMYFUNCTION("""COMPUTED_VALUE"""),12.9)</f>
        <v>12.9</v>
      </c>
      <c r="Q190" s="5"/>
      <c r="R190" s="5"/>
      <c r="S190" s="15">
        <f ca="1">IFERROR(__xludf.DUMMYFUNCTION("""COMPUTED_VALUE"""),44824)</f>
        <v>44824</v>
      </c>
      <c r="T190" s="5"/>
      <c r="U190" s="5" t="str">
        <f ca="1">IFERROR(__xludf.DUMMYFUNCTION("""COMPUTED_VALUE"""),"5X4")</f>
        <v>5X4</v>
      </c>
      <c r="V190" s="12" t="str">
        <f ca="1">IFERROR(__xludf.DUMMYFUNCTION("""COMPUTED_VALUE"""),"40")</f>
        <v>40</v>
      </c>
      <c r="W190" s="12" t="str">
        <f ca="1">IFERROR(__xludf.DUMMYFUNCTION("""COMPUTED_VALUE"""),"40")</f>
        <v>40</v>
      </c>
      <c r="X190" s="5">
        <f ca="1">IFERROR(__xludf.DUMMYFUNCTION("""COMPUTED_VALUE"""),96)</f>
        <v>96</v>
      </c>
      <c r="Y190" s="5" t="str">
        <f ca="1">IFERROR(__xludf.DUMMYFUNCTION("""COMPUTED_VALUE"""),"Low")</f>
        <v>Low</v>
      </c>
      <c r="Z190" s="5">
        <f ca="1">IFERROR(__xludf.DUMMYFUNCTION("""COMPUTED_VALUE"""),21.4)</f>
        <v>21.4</v>
      </c>
      <c r="AA190" s="14">
        <f ca="1">IFERROR(__xludf.DUMMYFUNCTION("""COMPUTED_VALUE"""),2000)</f>
        <v>2000</v>
      </c>
      <c r="AB190" s="5"/>
      <c r="AC190" s="5" t="str">
        <f ca="1">IFERROR(__xludf.DUMMYFUNCTION("""COMPUTED_VALUE"""),"Scatter")</f>
        <v>Scatter</v>
      </c>
      <c r="AD190" s="5" t="str">
        <f ca="1">IFERROR(__xludf.DUMMYFUNCTION("""COMPUTED_VALUE"""),"0.4/100")</f>
        <v>0.4/100</v>
      </c>
      <c r="AE190" s="5"/>
      <c r="AF190" s="5"/>
      <c r="AG190" s="10">
        <f ca="1">IFERROR(__xludf.DUMMYFUNCTION("""COMPUTED_VALUE"""),46197.4533101851)</f>
        <v>46197.453310185098</v>
      </c>
      <c r="AH190" s="5" t="str">
        <f ca="1">IFERROR(__xludf.DUMMYFUNCTION("""COMPUTED_VALUE"""),"selena.mihajlovic@fazi.rs")</f>
        <v>selena.mihajlovic@fazi.rs</v>
      </c>
      <c r="AI190" s="5"/>
      <c r="AJ190" s="5"/>
      <c r="AK190" s="5">
        <f ca="1">IFERROR(__xludf.DUMMYFUNCTION("""COMPUTED_VALUE"""),40)</f>
        <v>40</v>
      </c>
      <c r="AL190" s="5" t="str">
        <f ca="1">IFERROR(__xludf.DUMMYFUNCTION("""COMPUTED_VALUE"""),"No")</f>
        <v>No</v>
      </c>
      <c r="AM190" s="5"/>
      <c r="AN190" s="7" t="str">
        <f ca="1">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AO190" s="5"/>
      <c r="AP190" s="5"/>
      <c r="AQ190" s="5" t="b">
        <f ca="1">IFERROR(__xludf.DUMMYFUNCTION("""COMPUTED_VALUE"""),TRUE)</f>
        <v>1</v>
      </c>
      <c r="AR190" s="5"/>
      <c r="AS190" s="5" t="str">
        <f ca="1">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AT190" s="5"/>
      <c r="AU190" s="5" t="str">
        <f ca="1">IFERROR(__xludf.DUMMYFUNCTION("""COMPUTED_VALUE"""),"Fazi")</f>
        <v>Fazi</v>
      </c>
      <c r="AV190" s="5"/>
      <c r="AW190" s="5"/>
      <c r="AX190" s="5"/>
      <c r="AY190" s="5"/>
      <c r="AZ190" s="5"/>
      <c r="BA190" s="5"/>
      <c r="BB190" s="5" t="b">
        <f ca="1">IFERROR(__xludf.DUMMYFUNCTION("""COMPUTED_VALUE"""),TRUE)</f>
        <v>1</v>
      </c>
      <c r="BC190" s="5" t="str">
        <f ca="1">IFERROR(__xludf.DUMMYFUNCTION("""COMPUTED_VALUE"""),"Tiptop")</f>
        <v>Tiptop</v>
      </c>
      <c r="BD190" s="7" t="str">
        <f ca="1">IFERROR(__xludf.DUMMYFUNCTION("""COMPUTED_VALUE"""),"https://gameserver-store-client-area.orbionlimited.com/Home/IntegrationGameLaunch/client-area?moneyType=0&amp;gameName=Unicorn40MegaFlames&amp;platform=desktop&amp;languageCode=eng&amp;currency=EUR")</f>
        <v>https://gameserver-store-client-area.orbionlimited.com/Home/IntegrationGameLaunch/client-area?moneyType=0&amp;gameName=Unicorn40MegaFlames&amp;platform=desktop&amp;languageCode=eng&amp;currency=EUR</v>
      </c>
      <c r="BE190" s="5" t="b">
        <f ca="1">IFERROR(__xludf.DUMMYFUNCTION("""COMPUTED_VALUE"""),TRUE)</f>
        <v>1</v>
      </c>
    </row>
    <row r="191" spans="1:57" x14ac:dyDescent="0.25">
      <c r="A191" s="5">
        <f ca="1">IFERROR(__xludf.DUMMYFUNCTION("""COMPUTED_VALUE"""),191)</f>
        <v>191</v>
      </c>
      <c r="B191" s="5">
        <f ca="1">IFERROR(__xludf.DUMMYFUNCTION("""COMPUTED_VALUE"""),190)</f>
        <v>190</v>
      </c>
      <c r="C191" s="5" t="str">
        <f ca="1">IFERROR(__xludf.DUMMYFUNCTION("""COMPUTED_VALUE"""),"Tiptop")</f>
        <v>Tiptop</v>
      </c>
      <c r="D191" s="5" t="str">
        <f ca="1">IFERROR(__xludf.DUMMYFUNCTION("""COMPUTED_VALUE"""),"40 Dice Flames")</f>
        <v>40 Dice Flames</v>
      </c>
      <c r="E191" s="5"/>
      <c r="F191" s="5" t="str">
        <f ca="1">IFERROR(__xludf.DUMMYFUNCTION("""COMPUTED_VALUE"""),"Unicorn40DiceFlames")</f>
        <v>Unicorn40DiceFlames</v>
      </c>
      <c r="G191" s="5" t="str">
        <f ca="1">IFERROR(__xludf.DUMMYFUNCTION("""COMPUTED_VALUE"""),"Live")</f>
        <v>Live</v>
      </c>
      <c r="H191" s="5"/>
      <c r="I191" s="5" t="str">
        <f ca="1">IFERROR(__xludf.DUMMYFUNCTION("""COMPUTED_VALUE"""),"TipTop")</f>
        <v>TipTop</v>
      </c>
      <c r="J191" s="5" t="str">
        <f ca="1">IFERROR(__xludf.DUMMYFUNCTION("""COMPUTED_VALUE"""),"JSON")</f>
        <v>JSON</v>
      </c>
      <c r="K191" s="5" t="str">
        <f ca="1">IFERROR(__xludf.DUMMYFUNCTION("""COMPUTED_VALUE"""),"Dice Slots")</f>
        <v>Dice Slots</v>
      </c>
      <c r="L191" s="5"/>
      <c r="M191" s="5"/>
      <c r="N191" s="5"/>
      <c r="O191" s="5"/>
      <c r="P191" s="14">
        <f ca="1">IFERROR(__xludf.DUMMYFUNCTION("""COMPUTED_VALUE"""),13.6)</f>
        <v>13.6</v>
      </c>
      <c r="Q191" s="5"/>
      <c r="R191" s="5"/>
      <c r="S191" s="15">
        <f ca="1">IFERROR(__xludf.DUMMYFUNCTION("""COMPUTED_VALUE"""),44859)</f>
        <v>44859</v>
      </c>
      <c r="T191" s="5"/>
      <c r="U191" s="5" t="str">
        <f ca="1">IFERROR(__xludf.DUMMYFUNCTION("""COMPUTED_VALUE"""),"5X4")</f>
        <v>5X4</v>
      </c>
      <c r="V191" s="12" t="str">
        <f ca="1">IFERROR(__xludf.DUMMYFUNCTION("""COMPUTED_VALUE"""),"40")</f>
        <v>40</v>
      </c>
      <c r="W191" s="12" t="str">
        <f ca="1">IFERROR(__xludf.DUMMYFUNCTION("""COMPUTED_VALUE"""),"40")</f>
        <v>40</v>
      </c>
      <c r="X191" s="5">
        <f ca="1">IFERROR(__xludf.DUMMYFUNCTION("""COMPUTED_VALUE"""),96)</f>
        <v>96</v>
      </c>
      <c r="Y191" s="5" t="str">
        <f ca="1">IFERROR(__xludf.DUMMYFUNCTION("""COMPUTED_VALUE"""),"Low")</f>
        <v>Low</v>
      </c>
      <c r="Z191" s="5">
        <f ca="1">IFERROR(__xludf.DUMMYFUNCTION("""COMPUTED_VALUE"""),21.4)</f>
        <v>21.4</v>
      </c>
      <c r="AA191" s="14">
        <f ca="1">IFERROR(__xludf.DUMMYFUNCTION("""COMPUTED_VALUE"""),2000)</f>
        <v>2000</v>
      </c>
      <c r="AB191" s="5"/>
      <c r="AC191" s="5" t="str">
        <f ca="1">IFERROR(__xludf.DUMMYFUNCTION("""COMPUTED_VALUE"""),"Scatter")</f>
        <v>Scatter</v>
      </c>
      <c r="AD191" s="5" t="str">
        <f ca="1">IFERROR(__xludf.DUMMYFUNCTION("""COMPUTED_VALUE"""),"0.4/100")</f>
        <v>0.4/100</v>
      </c>
      <c r="AE191" s="5"/>
      <c r="AF191" s="5"/>
      <c r="AG191" s="10">
        <f ca="1">IFERROR(__xludf.DUMMYFUNCTION("""COMPUTED_VALUE"""),46197.4534375)</f>
        <v>46197.4534375</v>
      </c>
      <c r="AH191" s="5" t="str">
        <f ca="1">IFERROR(__xludf.DUMMYFUNCTION("""COMPUTED_VALUE"""),"selena.mihajlovic@fazi.rs")</f>
        <v>selena.mihajlovic@fazi.rs</v>
      </c>
      <c r="AI191" s="5"/>
      <c r="AJ191" s="5"/>
      <c r="AK191" s="5">
        <f ca="1">IFERROR(__xludf.DUMMYFUNCTION("""COMPUTED_VALUE"""),40)</f>
        <v>40</v>
      </c>
      <c r="AL191" s="5" t="str">
        <f ca="1">IFERROR(__xludf.DUMMYFUNCTION("""COMPUTED_VALUE"""),"No")</f>
        <v>No</v>
      </c>
      <c r="AM191" s="5"/>
      <c r="AN191" s="7" t="str">
        <f ca="1">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AO191" s="5"/>
      <c r="AP191" s="5"/>
      <c r="AQ191" s="5" t="b">
        <f ca="1">IFERROR(__xludf.DUMMYFUNCTION("""COMPUTED_VALUE"""),TRUE)</f>
        <v>1</v>
      </c>
      <c r="AR191" s="5"/>
      <c r="AS191" s="5" t="str">
        <f ca="1">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AT191" s="5"/>
      <c r="AU191" s="5" t="str">
        <f ca="1">IFERROR(__xludf.DUMMYFUNCTION("""COMPUTED_VALUE"""),"Fazi")</f>
        <v>Fazi</v>
      </c>
      <c r="AV191" s="5"/>
      <c r="AW191" s="5"/>
      <c r="AX191" s="5"/>
      <c r="AY191" s="5"/>
      <c r="AZ191" s="5"/>
      <c r="BA191" s="5"/>
      <c r="BB191" s="5" t="b">
        <f ca="1">IFERROR(__xludf.DUMMYFUNCTION("""COMPUTED_VALUE"""),TRUE)</f>
        <v>1</v>
      </c>
      <c r="BC191" s="5" t="str">
        <f ca="1">IFERROR(__xludf.DUMMYFUNCTION("""COMPUTED_VALUE"""),"Tiptop")</f>
        <v>Tiptop</v>
      </c>
      <c r="BD191" s="7" t="str">
        <f ca="1">IFERROR(__xludf.DUMMYFUNCTION("""COMPUTED_VALUE"""),"https://gameserver-store-client-area.orbionlimited.com/Home/IntegrationGameLaunch/client-area?moneyType=0&amp;gameName=Unicorn40DiceFlames&amp;platform=desktop&amp;languageCode=eng&amp;currency=EUR")</f>
        <v>https://gameserver-store-client-area.orbionlimited.com/Home/IntegrationGameLaunch/client-area?moneyType=0&amp;gameName=Unicorn40DiceFlames&amp;platform=desktop&amp;languageCode=eng&amp;currency=EUR</v>
      </c>
      <c r="BE191" s="5" t="b">
        <f ca="1">IFERROR(__xludf.DUMMYFUNCTION("""COMPUTED_VALUE"""),TRUE)</f>
        <v>1</v>
      </c>
    </row>
    <row r="192" spans="1:57" x14ac:dyDescent="0.25">
      <c r="A192" s="5">
        <f ca="1">IFERROR(__xludf.DUMMYFUNCTION("""COMPUTED_VALUE"""),192)</f>
        <v>192</v>
      </c>
      <c r="B192" s="5">
        <f ca="1">IFERROR(__xludf.DUMMYFUNCTION("""COMPUTED_VALUE"""),191)</f>
        <v>191</v>
      </c>
      <c r="C192" s="5" t="str">
        <f ca="1">IFERROR(__xludf.DUMMYFUNCTION("""COMPUTED_VALUE"""),"Redstone")</f>
        <v>Redstone</v>
      </c>
      <c r="D192" s="5" t="str">
        <f ca="1">IFERROR(__xludf.DUMMYFUNCTION("""COMPUTED_VALUE"""),"Heat Classic 5")</f>
        <v>Heat Classic 5</v>
      </c>
      <c r="E192" s="5" t="str">
        <f ca="1">IFERROR(__xludf.DUMMYFUNCTION("""COMPUTED_VALUE"""),"Redstone")</f>
        <v>Redstone</v>
      </c>
      <c r="F192" s="5" t="str">
        <f ca="1">IFERROR(__xludf.DUMMYFUNCTION("""COMPUTED_VALUE"""),"HeatClassic5")</f>
        <v>HeatClassic5</v>
      </c>
      <c r="G192" s="5" t="str">
        <f ca="1">IFERROR(__xludf.DUMMYFUNCTION("""COMPUTED_VALUE"""),"Live")</f>
        <v>Live</v>
      </c>
      <c r="H192" s="5"/>
      <c r="I192" s="5" t="str">
        <f ca="1">IFERROR(__xludf.DUMMYFUNCTION("""COMPUTED_VALUE"""),"Redstone")</f>
        <v>Redstone</v>
      </c>
      <c r="J192" s="5" t="str">
        <f ca="1">IFERROR(__xludf.DUMMYFUNCTION("""COMPUTED_VALUE"""),"JSON")</f>
        <v>JSON</v>
      </c>
      <c r="K192" s="5" t="str">
        <f ca="1">IFERROR(__xludf.DUMMYFUNCTION("""COMPUTED_VALUE"""),"Slot")</f>
        <v>Slot</v>
      </c>
      <c r="L192" s="5" t="str">
        <f ca="1">IFERROR(__xludf.DUMMYFUNCTION("""COMPUTED_VALUE"""),"Master")</f>
        <v>Master</v>
      </c>
      <c r="M192" s="5"/>
      <c r="N192" s="7" t="str">
        <f ca="1">IFERROR(__xludf.DUMMYFUNCTION("""COMPUTED_VALUE"""),"https://docs.google.com/document/d/1cDh7kaMF1Gk9vxVOneSDdYzfVvqIeA4l/edit?usp=drive_link&amp;ouid=107596163405648766688&amp;rtpof=true&amp;sd=true")</f>
        <v>https://docs.google.com/document/d/1cDh7kaMF1Gk9vxVOneSDdYzfVvqIeA4l/edit?usp=drive_link&amp;ouid=107596163405648766688&amp;rtpof=true&amp;sd=true</v>
      </c>
      <c r="O192" s="7" t="str">
        <f ca="1">IFERROR(__xludf.DUMMYFUNCTION("""COMPUTED_VALUE"""),"https://docs.google.com/document/d/1NMkfRF8FQvCOJiqleoPSFcu-P1GHuxJx/edit?usp=drive_link&amp;ouid=107596163405648766688&amp;rtpof=true&amp;sd=true")</f>
        <v>https://docs.google.com/document/d/1NMkfRF8FQvCOJiqleoPSFcu-P1GHuxJx/edit?usp=drive_link&amp;ouid=107596163405648766688&amp;rtpof=true&amp;sd=true</v>
      </c>
      <c r="P192" s="14">
        <f ca="1">IFERROR(__xludf.DUMMYFUNCTION("""COMPUTED_VALUE"""),6.5)</f>
        <v>6.5</v>
      </c>
      <c r="Q192" s="5"/>
      <c r="R192" s="5"/>
      <c r="S192" s="15">
        <f ca="1">IFERROR(__xludf.DUMMYFUNCTION("""COMPUTED_VALUE"""),44866)</f>
        <v>44866</v>
      </c>
      <c r="T192" s="5"/>
      <c r="U192" s="5" t="str">
        <f ca="1">IFERROR(__xludf.DUMMYFUNCTION("""COMPUTED_VALUE"""),"3x3")</f>
        <v>3x3</v>
      </c>
      <c r="V192" s="12" t="str">
        <f ca="1">IFERROR(__xludf.DUMMYFUNCTION("""COMPUTED_VALUE"""),"5")</f>
        <v>5</v>
      </c>
      <c r="W192" s="12" t="str">
        <f ca="1">IFERROR(__xludf.DUMMYFUNCTION("""COMPUTED_VALUE"""),"5")</f>
        <v>5</v>
      </c>
      <c r="X192" s="5">
        <f ca="1">IFERROR(__xludf.DUMMYFUNCTION("""COMPUTED_VALUE"""),95.95)</f>
        <v>95.95</v>
      </c>
      <c r="Y192" s="5" t="str">
        <f ca="1">IFERROR(__xludf.DUMMYFUNCTION("""COMPUTED_VALUE"""),"Medium")</f>
        <v>Medium</v>
      </c>
      <c r="Z192" s="5">
        <f ca="1">IFERROR(__xludf.DUMMYFUNCTION("""COMPUTED_VALUE"""),8.63)</f>
        <v>8.6300000000000008</v>
      </c>
      <c r="AA192" s="14">
        <f ca="1">IFERROR(__xludf.DUMMYFUNCTION("""COMPUTED_VALUE"""),60)</f>
        <v>60</v>
      </c>
      <c r="AB192" s="5"/>
      <c r="AC192" s="5"/>
      <c r="AD192" s="5" t="str">
        <f ca="1">IFERROR(__xludf.DUMMYFUNCTION("""COMPUTED_VALUE"""),"0.05/30")</f>
        <v>0.05/30</v>
      </c>
      <c r="AE192" s="5"/>
      <c r="AF192" s="5"/>
      <c r="AG192" s="10">
        <f ca="1">IFERROR(__xludf.DUMMYFUNCTION("""COMPUTED_VALUE"""),46157.4475231481)</f>
        <v>46157.447523148097</v>
      </c>
      <c r="AH192" s="5"/>
      <c r="AI192" s="5"/>
      <c r="AJ192" s="5"/>
      <c r="AK192" s="5">
        <f ca="1">IFERROR(__xludf.DUMMYFUNCTION("""COMPUTED_VALUE"""),1)</f>
        <v>1</v>
      </c>
      <c r="AL192" s="5" t="str">
        <f ca="1">IFERROR(__xludf.DUMMYFUNCTION("""COMPUTED_VALUE"""),"No")</f>
        <v>No</v>
      </c>
      <c r="AM192" s="5" t="str">
        <f ca="1">IFERROR(__xludf.DUMMYFUNCTION("""COMPUTED_VALUE"""),"No")</f>
        <v>No</v>
      </c>
      <c r="AN192" s="7" t="str">
        <f ca="1">IFERROR(__xludf.DUMMYFUNCTION("""COMPUTED_VALUE"""),"https://static.redstone.rs/games/heat-classic-5/")</f>
        <v>https://static.redstone.rs/games/heat-classic-5/</v>
      </c>
      <c r="AO192" s="5" t="str">
        <f ca="1">IFERROR(__xludf.DUMMYFUNCTION("""COMPUTED_VALUE"""),"No")</f>
        <v>No</v>
      </c>
      <c r="AP192" s="5" t="str">
        <f ca="1">IFERROR(__xludf.DUMMYFUNCTION("""COMPUTED_VALUE"""),"No")</f>
        <v>No</v>
      </c>
      <c r="AQ192" s="5" t="b">
        <f ca="1">IFERROR(__xludf.DUMMYFUNCTION("""COMPUTED_VALUE"""),TRUE)</f>
        <v>1</v>
      </c>
      <c r="AR192" s="5"/>
      <c r="AS192" s="5" t="str">
        <f ca="1">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AT192" s="5"/>
      <c r="AU192" s="5" t="str">
        <f ca="1">IFERROR(__xludf.DUMMYFUNCTION("""COMPUTED_VALUE"""),"Redstone")</f>
        <v>Redstone</v>
      </c>
      <c r="AV192" s="5"/>
      <c r="AW192" s="5"/>
      <c r="AX192" s="5"/>
      <c r="AY192" s="5"/>
      <c r="AZ192" s="5"/>
      <c r="BA192" s="5"/>
      <c r="BB192" s="5" t="b">
        <f ca="1">IFERROR(__xludf.DUMMYFUNCTION("""COMPUTED_VALUE"""),TRUE)</f>
        <v>1</v>
      </c>
      <c r="BC192" s="5" t="str">
        <f ca="1">IFERROR(__xludf.DUMMYFUNCTION("""COMPUTED_VALUE"""),"Redstone")</f>
        <v>Redstone</v>
      </c>
      <c r="BD192" s="7" t="str">
        <f ca="1">IFERROR(__xludf.DUMMYFUNCTION("""COMPUTED_VALUE"""),"https://static.redstone.rs/games/heat-classic-5/")</f>
        <v>https://static.redstone.rs/games/heat-classic-5/</v>
      </c>
      <c r="BE192" s="5" t="b">
        <f ca="1">IFERROR(__xludf.DUMMYFUNCTION("""COMPUTED_VALUE"""),TRUE)</f>
        <v>1</v>
      </c>
    </row>
    <row r="193" spans="1:57" x14ac:dyDescent="0.25">
      <c r="A193" s="5">
        <f ca="1">IFERROR(__xludf.DUMMYFUNCTION("""COMPUTED_VALUE"""),193)</f>
        <v>193</v>
      </c>
      <c r="B193" s="5">
        <f ca="1">IFERROR(__xludf.DUMMYFUNCTION("""COMPUTED_VALUE"""),192)</f>
        <v>192</v>
      </c>
      <c r="C193" s="5" t="str">
        <f ca="1">IFERROR(__xludf.DUMMYFUNCTION("""COMPUTED_VALUE"""),"Fazi")</f>
        <v>Fazi</v>
      </c>
      <c r="D193" s="5" t="str">
        <f ca="1">IFERROR(__xludf.DUMMYFUNCTION("""COMPUTED_VALUE"""),"Wild Hot 40 Halloween")</f>
        <v>Wild Hot 40 Halloween</v>
      </c>
      <c r="E193" s="5" t="str">
        <f ca="1">IFERROR(__xludf.DUMMYFUNCTION("""COMPUTED_VALUE"""),"V2")</f>
        <v>V2</v>
      </c>
      <c r="F193" s="5" t="str">
        <f ca="1">IFERROR(__xludf.DUMMYFUNCTION("""COMPUTED_VALUE"""),"WildHot40Halloween")</f>
        <v>WildHot40Halloween</v>
      </c>
      <c r="G193" s="5" t="str">
        <f ca="1">IFERROR(__xludf.DUMMYFUNCTION("""COMPUTED_VALUE"""),"Live")</f>
        <v>Live</v>
      </c>
      <c r="H193" s="5"/>
      <c r="I193" s="5" t="str">
        <f ca="1">IFERROR(__xludf.DUMMYFUNCTION("""COMPUTED_VALUE"""),"V2")</f>
        <v>V2</v>
      </c>
      <c r="J193" s="5" t="str">
        <f ca="1">IFERROR(__xludf.DUMMYFUNCTION("""COMPUTED_VALUE"""),"JSON")</f>
        <v>JSON</v>
      </c>
      <c r="K193" s="5" t="str">
        <f ca="1">IFERROR(__xludf.DUMMYFUNCTION("""COMPUTED_VALUE"""),"Slot")</f>
        <v>Slot</v>
      </c>
      <c r="L193" s="5" t="str">
        <f ca="1">IFERROR(__xludf.DUMMYFUNCTION("""COMPUTED_VALUE"""),"Clone")</f>
        <v>Clone</v>
      </c>
      <c r="M193" s="5" t="str">
        <f ca="1">IFERROR(__xludf.DUMMYFUNCTION("""COMPUTED_VALUE"""),"Turbo Hot 40")</f>
        <v>Turbo Hot 40</v>
      </c>
      <c r="N193" s="5"/>
      <c r="O193" s="5"/>
      <c r="P193" s="5"/>
      <c r="Q193" s="5"/>
      <c r="R193" s="5"/>
      <c r="S193" s="5"/>
      <c r="T193" s="5"/>
      <c r="U193" s="5" t="str">
        <f ca="1">IFERROR(__xludf.DUMMYFUNCTION("""COMPUTED_VALUE"""),"5x4")</f>
        <v>5x4</v>
      </c>
      <c r="V193" s="12" t="str">
        <f ca="1">IFERROR(__xludf.DUMMYFUNCTION("""COMPUTED_VALUE"""),"40")</f>
        <v>40</v>
      </c>
      <c r="W193" s="12" t="str">
        <f ca="1">IFERROR(__xludf.DUMMYFUNCTION("""COMPUTED_VALUE"""),"40")</f>
        <v>40</v>
      </c>
      <c r="X193" s="5">
        <f ca="1">IFERROR(__xludf.DUMMYFUNCTION("""COMPUTED_VALUE"""),96.584)</f>
        <v>96.584000000000003</v>
      </c>
      <c r="Y193" s="5" t="str">
        <f ca="1">IFERROR(__xludf.DUMMYFUNCTION("""COMPUTED_VALUE"""),"Low")</f>
        <v>Low</v>
      </c>
      <c r="Z193" s="5">
        <f ca="1">IFERROR(__xludf.DUMMYFUNCTION("""COMPUTED_VALUE"""),16.73)</f>
        <v>16.73</v>
      </c>
      <c r="AA193" s="14">
        <f ca="1">IFERROR(__xludf.DUMMYFUNCTION("""COMPUTED_VALUE"""),1000)</f>
        <v>1000</v>
      </c>
      <c r="AB193" s="5" t="str">
        <f ca="1">IFERROR(__xludf.DUMMYFUNCTION("""COMPUTED_VALUE"""),"/")</f>
        <v>/</v>
      </c>
      <c r="AC193" s="5" t="str">
        <f ca="1">IFERROR(__xludf.DUMMYFUNCTION("""COMPUTED_VALUE"""),"Wild Symbol, Scatter")</f>
        <v>Wild Symbol, Scatter</v>
      </c>
      <c r="AD193" s="5"/>
      <c r="AE193" s="5"/>
      <c r="AF193" s="5"/>
      <c r="AG193" s="10">
        <f ca="1">IFERROR(__xludf.DUMMYFUNCTION("""COMPUTED_VALUE"""),46063.5295949074)</f>
        <v>46063.529594907399</v>
      </c>
      <c r="AH193" s="5" t="str">
        <f ca="1">IFERROR(__xludf.DUMMYFUNCTION("""COMPUTED_VALUE"""),"petra.ilic@fazi.rs")</f>
        <v>petra.ilic@fazi.rs</v>
      </c>
      <c r="AI193" s="5"/>
      <c r="AJ193" s="5"/>
      <c r="AK193" s="5">
        <f ca="1">IFERROR(__xludf.DUMMYFUNCTION("""COMPUTED_VALUE"""),40)</f>
        <v>40</v>
      </c>
      <c r="AL193" s="5"/>
      <c r="AM193" s="5"/>
      <c r="AN193" s="5"/>
      <c r="AO193" s="5" t="str">
        <f ca="1">IFERROR(__xludf.DUMMYFUNCTION("""COMPUTED_VALUE"""),"Yes")</f>
        <v>Yes</v>
      </c>
      <c r="AP193" s="5" t="str">
        <f ca="1">IFERROR(__xludf.DUMMYFUNCTION("""COMPUTED_VALUE"""),"Yes")</f>
        <v>Yes</v>
      </c>
      <c r="AQ193" s="5"/>
      <c r="AR193" s="5"/>
      <c r="AS193" s="5"/>
      <c r="AT193" s="5"/>
      <c r="AU193" s="5" t="str">
        <f ca="1">IFERROR(__xludf.DUMMYFUNCTION("""COMPUTED_VALUE"""),"Fazi")</f>
        <v>Fazi</v>
      </c>
      <c r="AV193" s="5"/>
      <c r="AW193" s="5"/>
      <c r="AX193" s="5"/>
      <c r="AY193" s="5" t="str">
        <f ca="1">IFERROR(__xludf.DUMMYFUNCTION("""COMPUTED_VALUE"""),"87.5%, 89.5%, 91.5%, 93.5%, 94.5%, 95.5%, 96.5%")</f>
        <v>87.5%, 89.5%, 91.5%, 93.5%, 94.5%, 95.5%, 96.5%</v>
      </c>
      <c r="AZ193" s="5"/>
      <c r="BA193" s="5" t="str">
        <f ca="1">IFERROR(__xludf.DUMMYFUNCTION("""COMPUTED_VALUE"""),"")</f>
        <v/>
      </c>
      <c r="BB193" s="5"/>
      <c r="BC193" s="5" t="str">
        <f ca="1">IFERROR(__xludf.DUMMYFUNCTION("""COMPUTED_VALUE"""),"Foxi")</f>
        <v>Foxi</v>
      </c>
      <c r="BD193" s="5" t="str">
        <f ca="1">IFERROR(__xludf.DUMMYFUNCTION("""COMPUTED_VALUE"""),"")</f>
        <v/>
      </c>
      <c r="BE193" s="5"/>
    </row>
    <row r="194" spans="1:57" x14ac:dyDescent="0.25">
      <c r="A194" s="5">
        <f ca="1">IFERROR(__xludf.DUMMYFUNCTION("""COMPUTED_VALUE"""),194)</f>
        <v>194</v>
      </c>
      <c r="B194" s="5">
        <f ca="1">IFERROR(__xludf.DUMMYFUNCTION("""COMPUTED_VALUE"""),193)</f>
        <v>193</v>
      </c>
      <c r="C194" s="5" t="str">
        <f ca="1">IFERROR(__xludf.DUMMYFUNCTION("""COMPUTED_VALUE"""),"Fazi")</f>
        <v>Fazi</v>
      </c>
      <c r="D194" s="5" t="str">
        <f ca="1">IFERROR(__xludf.DUMMYFUNCTION("""COMPUTED_VALUE"""),"Crystal Hot 40 Halloween")</f>
        <v>Crystal Hot 40 Halloween</v>
      </c>
      <c r="E194" s="5" t="str">
        <f ca="1">IFERROR(__xludf.DUMMYFUNCTION("""COMPUTED_VALUE"""),"V2")</f>
        <v>V2</v>
      </c>
      <c r="F194" s="5" t="str">
        <f ca="1">IFERROR(__xludf.DUMMYFUNCTION("""COMPUTED_VALUE"""),"CrystalHot40Halloween")</f>
        <v>CrystalHot40Halloween</v>
      </c>
      <c r="G194" s="5" t="str">
        <f ca="1">IFERROR(__xludf.DUMMYFUNCTION("""COMPUTED_VALUE"""),"Live")</f>
        <v>Live</v>
      </c>
      <c r="H194" s="5"/>
      <c r="I194" s="5" t="str">
        <f ca="1">IFERROR(__xludf.DUMMYFUNCTION("""COMPUTED_VALUE"""),"V2")</f>
        <v>V2</v>
      </c>
      <c r="J194" s="5" t="str">
        <f ca="1">IFERROR(__xludf.DUMMYFUNCTION("""COMPUTED_VALUE"""),"Binary")</f>
        <v>Binary</v>
      </c>
      <c r="K194" s="5" t="str">
        <f ca="1">IFERROR(__xludf.DUMMYFUNCTION("""COMPUTED_VALUE"""),"Slot")</f>
        <v>Slot</v>
      </c>
      <c r="L194" s="5" t="str">
        <f ca="1">IFERROR(__xludf.DUMMYFUNCTION("""COMPUTED_VALUE"""),"Clone")</f>
        <v>Clone</v>
      </c>
      <c r="M194" s="5" t="str">
        <f ca="1">IFERROR(__xludf.DUMMYFUNCTION("""COMPUTED_VALUE"""),"Turbo Hot 40")</f>
        <v>Turbo Hot 40</v>
      </c>
      <c r="N194" s="5"/>
      <c r="O194" s="5"/>
      <c r="P194" s="5"/>
      <c r="Q194" s="5"/>
      <c r="R194" s="5"/>
      <c r="S194" s="5"/>
      <c r="T194" s="5"/>
      <c r="U194" s="5" t="str">
        <f ca="1">IFERROR(__xludf.DUMMYFUNCTION("""COMPUTED_VALUE"""),"5x4")</f>
        <v>5x4</v>
      </c>
      <c r="V194" s="12" t="str">
        <f ca="1">IFERROR(__xludf.DUMMYFUNCTION("""COMPUTED_VALUE"""),"40")</f>
        <v>40</v>
      </c>
      <c r="W194" s="12" t="str">
        <f ca="1">IFERROR(__xludf.DUMMYFUNCTION("""COMPUTED_VALUE"""),"40")</f>
        <v>40</v>
      </c>
      <c r="X194" s="5">
        <f ca="1">IFERROR(__xludf.DUMMYFUNCTION("""COMPUTED_VALUE"""),96.584)</f>
        <v>96.584000000000003</v>
      </c>
      <c r="Y194" s="5" t="str">
        <f ca="1">IFERROR(__xludf.DUMMYFUNCTION("""COMPUTED_VALUE"""),"Low")</f>
        <v>Low</v>
      </c>
      <c r="Z194" s="5">
        <f ca="1">IFERROR(__xludf.DUMMYFUNCTION("""COMPUTED_VALUE"""),16.73)</f>
        <v>16.73</v>
      </c>
      <c r="AA194" s="14">
        <f ca="1">IFERROR(__xludf.DUMMYFUNCTION("""COMPUTED_VALUE"""),1000)</f>
        <v>1000</v>
      </c>
      <c r="AB194" s="5" t="str">
        <f ca="1">IFERROR(__xludf.DUMMYFUNCTION("""COMPUTED_VALUE"""),"/")</f>
        <v>/</v>
      </c>
      <c r="AC194" s="5" t="str">
        <f ca="1">IFERROR(__xludf.DUMMYFUNCTION("""COMPUTED_VALUE"""),"Scatter, Wild Symbol")</f>
        <v>Scatter, Wild Symbol</v>
      </c>
      <c r="AD194" s="5"/>
      <c r="AE194" s="5"/>
      <c r="AF194" s="5"/>
      <c r="AG194" s="5"/>
      <c r="AH194" s="5"/>
      <c r="AI194" s="5"/>
      <c r="AJ194" s="5"/>
      <c r="AK194" s="5">
        <f ca="1">IFERROR(__xludf.DUMMYFUNCTION("""COMPUTED_VALUE"""),40)</f>
        <v>40</v>
      </c>
      <c r="AL194" s="5"/>
      <c r="AM194" s="5"/>
      <c r="AN194" s="5"/>
      <c r="AO194" s="5"/>
      <c r="AP194" s="5"/>
      <c r="AQ194" s="5"/>
      <c r="AR194" s="5"/>
      <c r="AS194" s="5"/>
      <c r="AT194" s="5"/>
      <c r="AU194" s="5" t="str">
        <f ca="1">IFERROR(__xludf.DUMMYFUNCTION("""COMPUTED_VALUE"""),"Fazi")</f>
        <v>Fazi</v>
      </c>
      <c r="AV194" s="5"/>
      <c r="AW194" s="5"/>
      <c r="AX194" s="5"/>
      <c r="AY194" s="5"/>
      <c r="AZ194" s="5"/>
      <c r="BA194" s="5" t="str">
        <f ca="1">IFERROR(__xludf.DUMMYFUNCTION("""COMPUTED_VALUE"""),"")</f>
        <v/>
      </c>
      <c r="BB194" s="5"/>
      <c r="BC194" s="5" t="str">
        <f ca="1">IFERROR(__xludf.DUMMYFUNCTION("""COMPUTED_VALUE"""),"Foxi")</f>
        <v>Foxi</v>
      </c>
      <c r="BD194" s="5" t="str">
        <f ca="1">IFERROR(__xludf.DUMMYFUNCTION("""COMPUTED_VALUE"""),"")</f>
        <v/>
      </c>
      <c r="BE194" s="5"/>
    </row>
    <row r="195" spans="1:57" x14ac:dyDescent="0.25">
      <c r="A195" s="5">
        <f ca="1">IFERROR(__xludf.DUMMYFUNCTION("""COMPUTED_VALUE"""),195)</f>
        <v>195</v>
      </c>
      <c r="B195" s="5">
        <f ca="1">IFERROR(__xludf.DUMMYFUNCTION("""COMPUTED_VALUE"""),194)</f>
        <v>194</v>
      </c>
      <c r="C195" s="5" t="str">
        <f ca="1">IFERROR(__xludf.DUMMYFUNCTION("""COMPUTED_VALUE"""),"Fazi")</f>
        <v>Fazi</v>
      </c>
      <c r="D195" s="5" t="str">
        <f ca="1">IFERROR(__xludf.DUMMYFUNCTION("""COMPUTED_VALUE"""),"Very Hot 40 Dice")</f>
        <v>Very Hot 40 Dice</v>
      </c>
      <c r="E195" s="5" t="str">
        <f ca="1">IFERROR(__xludf.DUMMYFUNCTION("""COMPUTED_VALUE"""),"V2")</f>
        <v>V2</v>
      </c>
      <c r="F195" s="5" t="str">
        <f ca="1">IFERROR(__xludf.DUMMYFUNCTION("""COMPUTED_VALUE"""),"VeryHot40Dice")</f>
        <v>VeryHot40Dice</v>
      </c>
      <c r="G195" s="5" t="str">
        <f ca="1">IFERROR(__xludf.DUMMYFUNCTION("""COMPUTED_VALUE"""),"Live")</f>
        <v>Live</v>
      </c>
      <c r="H195" s="5"/>
      <c r="I195" s="5" t="str">
        <f ca="1">IFERROR(__xludf.DUMMYFUNCTION("""COMPUTED_VALUE"""),"V2")</f>
        <v>V2</v>
      </c>
      <c r="J195" s="5" t="str">
        <f ca="1">IFERROR(__xludf.DUMMYFUNCTION("""COMPUTED_VALUE"""),"Binary")</f>
        <v>Binary</v>
      </c>
      <c r="K195" s="5" t="str">
        <f ca="1">IFERROR(__xludf.DUMMYFUNCTION("""COMPUTED_VALUE"""),"Slot")</f>
        <v>Slot</v>
      </c>
      <c r="L195" s="5" t="str">
        <f ca="1">IFERROR(__xludf.DUMMYFUNCTION("""COMPUTED_VALUE"""),"Clone")</f>
        <v>Clone</v>
      </c>
      <c r="M195" s="5" t="str">
        <f ca="1">IFERROR(__xludf.DUMMYFUNCTION("""COMPUTED_VALUE"""),"Bursting Hot 40")</f>
        <v>Bursting Hot 40</v>
      </c>
      <c r="N195" s="5"/>
      <c r="O195" s="5"/>
      <c r="P195" s="14">
        <f ca="1">IFERROR(__xludf.DUMMYFUNCTION("""COMPUTED_VALUE"""),17.4)</f>
        <v>17.399999999999999</v>
      </c>
      <c r="Q195" s="5"/>
      <c r="R195" s="5"/>
      <c r="S195" s="15">
        <f ca="1">IFERROR(__xludf.DUMMYFUNCTION("""COMPUTED_VALUE"""),44839)</f>
        <v>44839</v>
      </c>
      <c r="T195" s="5"/>
      <c r="U195" s="5" t="str">
        <f ca="1">IFERROR(__xludf.DUMMYFUNCTION("""COMPUTED_VALUE"""),"5x3")</f>
        <v>5x3</v>
      </c>
      <c r="V195" s="12" t="str">
        <f ca="1">IFERROR(__xludf.DUMMYFUNCTION("""COMPUTED_VALUE"""),"40")</f>
        <v>40</v>
      </c>
      <c r="W195" s="12" t="str">
        <f ca="1">IFERROR(__xludf.DUMMYFUNCTION("""COMPUTED_VALUE"""),"40")</f>
        <v>40</v>
      </c>
      <c r="X195" s="5">
        <f ca="1">IFERROR(__xludf.DUMMYFUNCTION("""COMPUTED_VALUE"""),96.53)</f>
        <v>96.53</v>
      </c>
      <c r="Y195" s="5" t="str">
        <f ca="1">IFERROR(__xludf.DUMMYFUNCTION("""COMPUTED_VALUE"""),"Low")</f>
        <v>Low</v>
      </c>
      <c r="Z195" s="5">
        <f ca="1">IFERROR(__xludf.DUMMYFUNCTION("""COMPUTED_VALUE"""),23.38)</f>
        <v>23.38</v>
      </c>
      <c r="AA195" s="14">
        <f ca="1">IFERROR(__xludf.DUMMYFUNCTION("""COMPUTED_VALUE"""),876.75)</f>
        <v>876.75</v>
      </c>
      <c r="AB195" s="5">
        <f ca="1">IFERROR(__xludf.DUMMYFUNCTION("""COMPUTED_VALUE"""),4)</f>
        <v>4</v>
      </c>
      <c r="AC195" s="5" t="str">
        <f ca="1">IFERROR(__xludf.DUMMYFUNCTION("""COMPUTED_VALUE"""),"Expanding Wild, Scatter")</f>
        <v>Expanding Wild, Scatter</v>
      </c>
      <c r="AD195" s="5" t="str">
        <f ca="1">IFERROR(__xludf.DUMMYFUNCTION("""COMPUTED_VALUE"""),"0.4/60")</f>
        <v>0.4/60</v>
      </c>
      <c r="AE195" s="5"/>
      <c r="AF195" s="5"/>
      <c r="AG195" s="10">
        <f ca="1">IFERROR(__xludf.DUMMYFUNCTION("""COMPUTED_VALUE"""),46055.5189930555)</f>
        <v>46055.518993055499</v>
      </c>
      <c r="AH195" s="5" t="str">
        <f ca="1">IFERROR(__xludf.DUMMYFUNCTION("""COMPUTED_VALUE"""),"djordje.jankovic@fazi.rs")</f>
        <v>djordje.jankovic@fazi.rs</v>
      </c>
      <c r="AI195" s="5"/>
      <c r="AJ195" s="5"/>
      <c r="AK195" s="5">
        <f ca="1">IFERROR(__xludf.DUMMYFUNCTION("""COMPUTED_VALUE"""),40)</f>
        <v>40</v>
      </c>
      <c r="AL195" s="5" t="str">
        <f ca="1">IFERROR(__xludf.DUMMYFUNCTION("""COMPUTED_VALUE"""),"Yes")</f>
        <v>Yes</v>
      </c>
      <c r="AM195" s="5"/>
      <c r="AN195" s="7" t="str">
        <f ca="1">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AO195" s="5"/>
      <c r="AP195" s="5"/>
      <c r="AQ195" s="5" t="b">
        <f ca="1">IFERROR(__xludf.DUMMYFUNCTION("""COMPUTED_VALUE"""),TRUE)</f>
        <v>1</v>
      </c>
      <c r="AR195" s="5"/>
      <c r="AS195" s="5" t="str">
        <f ca="1">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AT195" s="5"/>
      <c r="AU195" s="5" t="str">
        <f ca="1">IFERROR(__xludf.DUMMYFUNCTION("""COMPUTED_VALUE"""),"Fazi")</f>
        <v>Fazi</v>
      </c>
      <c r="AV195" s="5"/>
      <c r="AW195" s="5"/>
      <c r="AX195" s="5"/>
      <c r="AY195" s="5"/>
      <c r="AZ195" s="5"/>
      <c r="BA195" s="5" t="str">
        <f ca="1">IFERROR(__xludf.DUMMYFUNCTION("""COMPUTED_VALUE"""),"")</f>
        <v/>
      </c>
      <c r="BB195" s="5"/>
      <c r="BC195" s="5" t="str">
        <f ca="1">IFERROR(__xludf.DUMMYFUNCTION("""COMPUTED_VALUE"""),"Foxi")</f>
        <v>Foxi</v>
      </c>
      <c r="BD195" s="7" t="str">
        <f ca="1">IFERROR(__xludf.DUMMYFUNCTION("""COMPUTED_VALUE"""),"https://gameserver-store-client-area.orbionlimited.com/Home/IntegrationGameLaunch/client-area?moneyType=0&amp;gameName=VeryHot40Dice&amp;platform=desktop&amp;languageCode=eng&amp;currency=EUR")</f>
        <v>https://gameserver-store-client-area.orbionlimited.com/Home/IntegrationGameLaunch/client-area?moneyType=0&amp;gameName=VeryHot40Dice&amp;platform=desktop&amp;languageCode=eng&amp;currency=EUR</v>
      </c>
      <c r="BE195" s="5" t="b">
        <f ca="1">IFERROR(__xludf.DUMMYFUNCTION("""COMPUTED_VALUE"""),TRUE)</f>
        <v>1</v>
      </c>
    </row>
    <row r="196" spans="1:57" x14ac:dyDescent="0.25">
      <c r="A196" s="5">
        <f ca="1">IFERROR(__xludf.DUMMYFUNCTION("""COMPUTED_VALUE"""),196)</f>
        <v>196</v>
      </c>
      <c r="B196" s="5">
        <f ca="1">IFERROR(__xludf.DUMMYFUNCTION("""COMPUTED_VALUE"""),195)</f>
        <v>195</v>
      </c>
      <c r="C196" s="5" t="str">
        <f ca="1">IFERROR(__xludf.DUMMYFUNCTION("""COMPUTED_VALUE"""),"Fazi")</f>
        <v>Fazi</v>
      </c>
      <c r="D196" s="5" t="str">
        <f ca="1">IFERROR(__xludf.DUMMYFUNCTION("""COMPUTED_VALUE"""),"Wild Lucky Clover")</f>
        <v>Wild Lucky Clover</v>
      </c>
      <c r="E196" s="5" t="str">
        <f ca="1">IFERROR(__xludf.DUMMYFUNCTION("""COMPUTED_VALUE"""),"V2")</f>
        <v>V2</v>
      </c>
      <c r="F196" s="5" t="str">
        <f ca="1">IFERROR(__xludf.DUMMYFUNCTION("""COMPUTED_VALUE"""),"WildLuckyClover")</f>
        <v>WildLuckyClover</v>
      </c>
      <c r="G196" s="5" t="str">
        <f ca="1">IFERROR(__xludf.DUMMYFUNCTION("""COMPUTED_VALUE"""),"Live")</f>
        <v>Live</v>
      </c>
      <c r="H196" s="5"/>
      <c r="I196" s="5" t="str">
        <f ca="1">IFERROR(__xludf.DUMMYFUNCTION("""COMPUTED_VALUE"""),"V2")</f>
        <v>V2</v>
      </c>
      <c r="J196" s="5" t="str">
        <f ca="1">IFERROR(__xludf.DUMMYFUNCTION("""COMPUTED_VALUE"""),"JSON")</f>
        <v>JSON</v>
      </c>
      <c r="K196" s="5" t="str">
        <f ca="1">IFERROR(__xludf.DUMMYFUNCTION("""COMPUTED_VALUE"""),"Slot")</f>
        <v>Slot</v>
      </c>
      <c r="L196" s="5"/>
      <c r="M196" s="5"/>
      <c r="N196" s="5"/>
      <c r="O196" s="5"/>
      <c r="P196" s="14">
        <f ca="1">IFERROR(__xludf.DUMMYFUNCTION("""COMPUTED_VALUE"""),31.2)</f>
        <v>31.2</v>
      </c>
      <c r="Q196" s="5"/>
      <c r="R196" s="5"/>
      <c r="S196" s="15">
        <f ca="1">IFERROR(__xludf.DUMMYFUNCTION("""COMPUTED_VALUE"""),44833)</f>
        <v>44833</v>
      </c>
      <c r="T196" s="5" t="b">
        <f ca="1">IFERROR(__xludf.DUMMYFUNCTION("""COMPUTED_VALUE"""),TRUE)</f>
        <v>1</v>
      </c>
      <c r="U196" s="5" t="str">
        <f ca="1">IFERROR(__xludf.DUMMYFUNCTION("""COMPUTED_VALUE"""),"5x4")</f>
        <v>5x4</v>
      </c>
      <c r="V196" s="12" t="str">
        <f ca="1">IFERROR(__xludf.DUMMYFUNCTION("""COMPUTED_VALUE"""),"40")</f>
        <v>40</v>
      </c>
      <c r="W196" s="12" t="str">
        <f ca="1">IFERROR(__xludf.DUMMYFUNCTION("""COMPUTED_VALUE"""),"40")</f>
        <v>40</v>
      </c>
      <c r="X196" s="5">
        <f ca="1">IFERROR(__xludf.DUMMYFUNCTION("""COMPUTED_VALUE"""),96.291)</f>
        <v>96.290999999999997</v>
      </c>
      <c r="Y196" s="5" t="str">
        <f ca="1">IFERROR(__xludf.DUMMYFUNCTION("""COMPUTED_VALUE"""),"Medium")</f>
        <v>Medium</v>
      </c>
      <c r="Z196" s="5">
        <f ca="1">IFERROR(__xludf.DUMMYFUNCTION("""COMPUTED_VALUE"""),12.67)</f>
        <v>12.67</v>
      </c>
      <c r="AA196" s="14">
        <f ca="1">IFERROR(__xludf.DUMMYFUNCTION("""COMPUTED_VALUE"""),1043)</f>
        <v>1043</v>
      </c>
      <c r="AB196" s="5">
        <f ca="1">IFERROR(__xludf.DUMMYFUNCTION("""COMPUTED_VALUE"""),199)</f>
        <v>199</v>
      </c>
      <c r="AC196" s="5" t="str">
        <f ca="1">IFERROR(__xludf.DUMMYFUNCTION("""COMPUTED_VALUE"""),"Buy Bonus, Bonus Game with Free Spins, Converting Wild, Wild Symbol")</f>
        <v>Buy Bonus, Bonus Game with Free Spins, Converting Wild, Wild Symbol</v>
      </c>
      <c r="AD196" s="5" t="str">
        <f ca="1">IFERROR(__xludf.DUMMYFUNCTION("""COMPUTED_VALUE"""),"0.40/60")</f>
        <v>0.40/60</v>
      </c>
      <c r="AE196" s="5"/>
      <c r="AF196" s="5"/>
      <c r="AG196" s="10">
        <f ca="1">IFERROR(__xludf.DUMMYFUNCTION("""COMPUTED_VALUE"""),46101.6161111111)</f>
        <v>46101.6161111111</v>
      </c>
      <c r="AH196" s="5" t="str">
        <f ca="1">IFERROR(__xludf.DUMMYFUNCTION("""COMPUTED_VALUE"""),"milutin.toskic@fazi.rs")</f>
        <v>milutin.toskic@fazi.rs</v>
      </c>
      <c r="AI196" s="5"/>
      <c r="AJ196" s="5"/>
      <c r="AK196" s="5">
        <f ca="1">IFERROR(__xludf.DUMMYFUNCTION("""COMPUTED_VALUE"""),40)</f>
        <v>40</v>
      </c>
      <c r="AL196" s="5" t="str">
        <f ca="1">IFERROR(__xludf.DUMMYFUNCTION("""COMPUTED_VALUE"""),"Yes")</f>
        <v>Yes</v>
      </c>
      <c r="AM196" s="5"/>
      <c r="AN196" s="7" t="str">
        <f ca="1">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AO196" s="5" t="str">
        <f ca="1">IFERROR(__xludf.DUMMYFUNCTION("""COMPUTED_VALUE"""),"Yes")</f>
        <v>Yes</v>
      </c>
      <c r="AP196" s="5" t="str">
        <f ca="1">IFERROR(__xludf.DUMMYFUNCTION("""COMPUTED_VALUE"""),"Yes")</f>
        <v>Yes</v>
      </c>
      <c r="AQ196" s="5" t="b">
        <f ca="1">IFERROR(__xludf.DUMMYFUNCTION("""COMPUTED_VALUE"""),TRUE)</f>
        <v>1</v>
      </c>
      <c r="AR196" s="5"/>
      <c r="AS196" s="5" t="str">
        <f ca="1">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AT196" s="5" t="str">
        <f ca="1">IFERROR(__xludf.DUMMYFUNCTION("""COMPUTED_VALUE"""),"No")</f>
        <v>No</v>
      </c>
      <c r="AU196" s="5" t="str">
        <f ca="1">IFERROR(__xludf.DUMMYFUNCTION("""COMPUTED_VALUE"""),"Fazi")</f>
        <v>Fazi</v>
      </c>
      <c r="AV196" s="5"/>
      <c r="AW196" s="5"/>
      <c r="AX196" s="5"/>
      <c r="AY196" s="5" t="str">
        <f ca="1">IFERROR(__xludf.DUMMYFUNCTION("""COMPUTED_VALUE"""),"87.5%, 89.5%, 91.5%, 93.5%, 94.5%, 95.5%, 96.5%")</f>
        <v>87.5%, 89.5%, 91.5%, 93.5%, 94.5%, 95.5%, 96.5%</v>
      </c>
      <c r="AZ196" s="5"/>
      <c r="BA196" s="5" t="str">
        <f ca="1">IFERROR(__xludf.DUMMYFUNCTION("""COMPUTED_VALUE"""),"58, 83, 124")</f>
        <v>58, 83, 124</v>
      </c>
      <c r="BB196" s="5"/>
      <c r="BC196" s="5" t="str">
        <f ca="1">IFERROR(__xludf.DUMMYFUNCTION("""COMPUTED_VALUE"""),"Foxi")</f>
        <v>Foxi</v>
      </c>
      <c r="BD196" s="7" t="str">
        <f ca="1">IFERROR(__xludf.DUMMYFUNCTION("""COMPUTED_VALUE"""),"https://gameserver-store-client-area.orbionlimited.com/Home/IntegrationGameLaunch/client-area?moneyType=0&amp;gameName=WildLuckyClover&amp;platform=desktop&amp;languageCode=eng&amp;currency=EUR")</f>
        <v>https://gameserver-store-client-area.orbionlimited.com/Home/IntegrationGameLaunch/client-area?moneyType=0&amp;gameName=WildLuckyClover&amp;platform=desktop&amp;languageCode=eng&amp;currency=EUR</v>
      </c>
      <c r="BE196" s="5" t="b">
        <f ca="1">IFERROR(__xludf.DUMMYFUNCTION("""COMPUTED_VALUE"""),TRUE)</f>
        <v>1</v>
      </c>
    </row>
    <row r="197" spans="1:57" x14ac:dyDescent="0.25">
      <c r="A197" s="5">
        <f ca="1">IFERROR(__xludf.DUMMYFUNCTION("""COMPUTED_VALUE"""),197)</f>
        <v>197</v>
      </c>
      <c r="B197" s="5">
        <f ca="1">IFERROR(__xludf.DUMMYFUNCTION("""COMPUTED_VALUE"""),196)</f>
        <v>196</v>
      </c>
      <c r="C197" s="5" t="str">
        <f ca="1">IFERROR(__xludf.DUMMYFUNCTION("""COMPUTED_VALUE"""),"Fazi")</f>
        <v>Fazi</v>
      </c>
      <c r="D197" s="5" t="str">
        <f ca="1">IFERROR(__xludf.DUMMYFUNCTION("""COMPUTED_VALUE"""),"Fruits And Stars 20 Deluxe")</f>
        <v>Fruits And Stars 20 Deluxe</v>
      </c>
      <c r="E197" s="5" t="str">
        <f ca="1">IFERROR(__xludf.DUMMYFUNCTION("""COMPUTED_VALUE"""),"V4-1")</f>
        <v>V4-1</v>
      </c>
      <c r="F197" s="5" t="str">
        <f ca="1">IFERROR(__xludf.DUMMYFUNCTION("""COMPUTED_VALUE"""),"FruitsAndStars20Deluxe")</f>
        <v>FruitsAndStars20Deluxe</v>
      </c>
      <c r="G197" s="5" t="str">
        <f ca="1">IFERROR(__xludf.DUMMYFUNCTION("""COMPUTED_VALUE"""),"Live")</f>
        <v>Live</v>
      </c>
      <c r="H197" s="5"/>
      <c r="I197" s="5" t="str">
        <f ca="1">IFERROR(__xludf.DUMMYFUNCTION("""COMPUTED_VALUE"""),"V4")</f>
        <v>V4</v>
      </c>
      <c r="J197" s="5" t="str">
        <f ca="1">IFERROR(__xludf.DUMMYFUNCTION("""COMPUTED_VALUE"""),"JSON")</f>
        <v>JSON</v>
      </c>
      <c r="K197" s="5" t="str">
        <f ca="1">IFERROR(__xludf.DUMMYFUNCTION("""COMPUTED_VALUE"""),"Slot")</f>
        <v>Slot</v>
      </c>
      <c r="L197" s="5" t="str">
        <f ca="1">IFERROR(__xludf.DUMMYFUNCTION("""COMPUTED_VALUE"""),"Clone")</f>
        <v>Clone</v>
      </c>
      <c r="M197" s="5" t="str">
        <f ca="1">IFERROR(__xludf.DUMMYFUNCTION("""COMPUTED_VALUE"""),"Fruits and Stars")</f>
        <v>Fruits and Stars</v>
      </c>
      <c r="N197" s="5"/>
      <c r="O197" s="5"/>
      <c r="P197" s="14">
        <f ca="1">IFERROR(__xludf.DUMMYFUNCTION("""COMPUTED_VALUE"""),11.5)</f>
        <v>11.5</v>
      </c>
      <c r="Q197" s="5"/>
      <c r="R197" s="5"/>
      <c r="S197" s="15">
        <f ca="1">IFERROR(__xludf.DUMMYFUNCTION("""COMPUTED_VALUE"""),44978)</f>
        <v>44978</v>
      </c>
      <c r="T197" s="5" t="b">
        <f ca="1">IFERROR(__xludf.DUMMYFUNCTION("""COMPUTED_VALUE"""),TRUE)</f>
        <v>1</v>
      </c>
      <c r="U197" s="5" t="str">
        <f ca="1">IFERROR(__xludf.DUMMYFUNCTION("""COMPUTED_VALUE"""),"5x3")</f>
        <v>5x3</v>
      </c>
      <c r="V197" s="12" t="str">
        <f ca="1">IFERROR(__xludf.DUMMYFUNCTION("""COMPUTED_VALUE"""),"20")</f>
        <v>20</v>
      </c>
      <c r="W197" s="12" t="str">
        <f ca="1">IFERROR(__xludf.DUMMYFUNCTION("""COMPUTED_VALUE"""),"20")</f>
        <v>20</v>
      </c>
      <c r="X197" s="5">
        <f ca="1">IFERROR(__xludf.DUMMYFUNCTION("""COMPUTED_VALUE"""),96.5)</f>
        <v>96.5</v>
      </c>
      <c r="Y197" s="5" t="str">
        <f ca="1">IFERROR(__xludf.DUMMYFUNCTION("""COMPUTED_VALUE"""),"Low")</f>
        <v>Low</v>
      </c>
      <c r="Z197" s="5">
        <f ca="1">IFERROR(__xludf.DUMMYFUNCTION("""COMPUTED_VALUE"""),17.481)</f>
        <v>17.481000000000002</v>
      </c>
      <c r="AA197" s="14">
        <f ca="1">IFERROR(__xludf.DUMMYFUNCTION("""COMPUTED_VALUE"""),1000)</f>
        <v>1000</v>
      </c>
      <c r="AB197" s="5" t="str">
        <f ca="1">IFERROR(__xludf.DUMMYFUNCTION("""COMPUTED_VALUE"""),"/")</f>
        <v>/</v>
      </c>
      <c r="AC197" s="5" t="str">
        <f ca="1">IFERROR(__xludf.DUMMYFUNCTION("""COMPUTED_VALUE"""),"Scatter, Wild Symbol")</f>
        <v>Scatter, Wild Symbol</v>
      </c>
      <c r="AD197" s="5" t="str">
        <f ca="1">IFERROR(__xludf.DUMMYFUNCTION("""COMPUTED_VALUE"""),"0.2/50")</f>
        <v>0.2/50</v>
      </c>
      <c r="AE197" s="5"/>
      <c r="AF197" s="5"/>
      <c r="AG197" s="10">
        <f ca="1">IFERROR(__xludf.DUMMYFUNCTION("""COMPUTED_VALUE"""),46162.4210532407)</f>
        <v>46162.421053240701</v>
      </c>
      <c r="AH197" s="5" t="str">
        <f ca="1">IFERROR(__xludf.DUMMYFUNCTION("""COMPUTED_VALUE"""),"djordje.petrovic@fazi.rs")</f>
        <v>djordje.petrovic@fazi.rs</v>
      </c>
      <c r="AI197" s="5"/>
      <c r="AJ197" s="5"/>
      <c r="AK197" s="5">
        <f ca="1">IFERROR(__xludf.DUMMYFUNCTION("""COMPUTED_VALUE"""),20)</f>
        <v>20</v>
      </c>
      <c r="AL197" s="5" t="str">
        <f ca="1">IFERROR(__xludf.DUMMYFUNCTION("""COMPUTED_VALUE"""),"Yes")</f>
        <v>Yes</v>
      </c>
      <c r="AM197" s="5"/>
      <c r="AN197" s="7" t="str">
        <f ca="1">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AO197" s="5" t="str">
        <f ca="1">IFERROR(__xludf.DUMMYFUNCTION("""COMPUTED_VALUE"""),"Yes")</f>
        <v>Yes</v>
      </c>
      <c r="AP197" s="5" t="str">
        <f ca="1">IFERROR(__xludf.DUMMYFUNCTION("""COMPUTED_VALUE"""),"Yes")</f>
        <v>Yes</v>
      </c>
      <c r="AQ197" s="5" t="b">
        <f ca="1">IFERROR(__xludf.DUMMYFUNCTION("""COMPUTED_VALUE"""),TRUE)</f>
        <v>1</v>
      </c>
      <c r="AR197" s="5"/>
      <c r="AS197" s="5" t="str">
        <f ca="1">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AT197" s="5" t="str">
        <f ca="1">IFERROR(__xludf.DUMMYFUNCTION("""COMPUTED_VALUE"""),"Yes")</f>
        <v>Yes</v>
      </c>
      <c r="AU197" s="5" t="str">
        <f ca="1">IFERROR(__xludf.DUMMYFUNCTION("""COMPUTED_VALUE"""),"Fazi")</f>
        <v>Fazi</v>
      </c>
      <c r="AV197" s="5"/>
      <c r="AW197"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97" s="5"/>
      <c r="AY197" s="5"/>
      <c r="AZ197" s="5"/>
      <c r="BA197" s="5"/>
      <c r="BB197" s="5"/>
      <c r="BC197" s="5" t="str">
        <f ca="1">IFERROR(__xludf.DUMMYFUNCTION("""COMPUTED_VALUE"""),"Foxi")</f>
        <v>Foxi</v>
      </c>
      <c r="BD197" s="7" t="str">
        <f ca="1">IFERROR(__xludf.DUMMYFUNCTION("""COMPUTED_VALUE"""),"https://gameserver-store-client-area.orbionlimited.com/Home/IntegrationGameLaunch/client-area?moneyType=0&amp;gameName=FruitsAndStars20Deluxe&amp;platform=desktop&amp;languageCode=eng&amp;currency=EUR")</f>
        <v>https://gameserver-store-client-area.orbionlimited.com/Home/IntegrationGameLaunch/client-area?moneyType=0&amp;gameName=FruitsAndStars20Deluxe&amp;platform=desktop&amp;languageCode=eng&amp;currency=EUR</v>
      </c>
      <c r="BE197" s="5" t="b">
        <f ca="1">IFERROR(__xludf.DUMMYFUNCTION("""COMPUTED_VALUE"""),TRUE)</f>
        <v>1</v>
      </c>
    </row>
    <row r="198" spans="1:57" x14ac:dyDescent="0.25">
      <c r="A198" s="5">
        <f ca="1">IFERROR(__xludf.DUMMYFUNCTION("""COMPUTED_VALUE"""),198)</f>
        <v>198</v>
      </c>
      <c r="B198" s="5">
        <f ca="1">IFERROR(__xludf.DUMMYFUNCTION("""COMPUTED_VALUE"""),197)</f>
        <v>197</v>
      </c>
      <c r="C198" s="5" t="str">
        <f ca="1">IFERROR(__xludf.DUMMYFUNCTION("""COMPUTED_VALUE"""),"Fazi")</f>
        <v>Fazi</v>
      </c>
      <c r="D198" s="5" t="str">
        <f ca="1">IFERROR(__xludf.DUMMYFUNCTION("""COMPUTED_VALUE"""),"Very Hot 40 Respin")</f>
        <v>Very Hot 40 Respin</v>
      </c>
      <c r="E198" s="5" t="str">
        <f ca="1">IFERROR(__xludf.DUMMYFUNCTION("""COMPUTED_VALUE"""),"V2")</f>
        <v>V2</v>
      </c>
      <c r="F198" s="5" t="str">
        <f ca="1">IFERROR(__xludf.DUMMYFUNCTION("""COMPUTED_VALUE"""),"VeryHot40Respin")</f>
        <v>VeryHot40Respin</v>
      </c>
      <c r="G198" s="5" t="str">
        <f ca="1">IFERROR(__xludf.DUMMYFUNCTION("""COMPUTED_VALUE"""),"Live")</f>
        <v>Live</v>
      </c>
      <c r="H198" s="5"/>
      <c r="I198" s="5" t="str">
        <f ca="1">IFERROR(__xludf.DUMMYFUNCTION("""COMPUTED_VALUE"""),"V2")</f>
        <v>V2</v>
      </c>
      <c r="J198" s="5" t="str">
        <f ca="1">IFERROR(__xludf.DUMMYFUNCTION("""COMPUTED_VALUE"""),"Binary")</f>
        <v>Binary</v>
      </c>
      <c r="K198" s="5" t="str">
        <f ca="1">IFERROR(__xludf.DUMMYFUNCTION("""COMPUTED_VALUE"""),"Slot")</f>
        <v>Slot</v>
      </c>
      <c r="L198" s="5"/>
      <c r="M198" s="5"/>
      <c r="N198" s="5"/>
      <c r="O198" s="5"/>
      <c r="P198" s="14">
        <f ca="1">IFERROR(__xludf.DUMMYFUNCTION("""COMPUTED_VALUE"""),25.2)</f>
        <v>25.2</v>
      </c>
      <c r="Q198" s="5"/>
      <c r="R198" s="5"/>
      <c r="S198" s="15">
        <f ca="1">IFERROR(__xludf.DUMMYFUNCTION("""COMPUTED_VALUE"""),44847)</f>
        <v>44847</v>
      </c>
      <c r="T198" s="5"/>
      <c r="U198" s="5" t="str">
        <f ca="1">IFERROR(__xludf.DUMMYFUNCTION("""COMPUTED_VALUE"""),"5x3")</f>
        <v>5x3</v>
      </c>
      <c r="V198" s="12" t="str">
        <f ca="1">IFERROR(__xludf.DUMMYFUNCTION("""COMPUTED_VALUE"""),"40")</f>
        <v>40</v>
      </c>
      <c r="W198" s="12" t="str">
        <f ca="1">IFERROR(__xludf.DUMMYFUNCTION("""COMPUTED_VALUE"""),"40")</f>
        <v>40</v>
      </c>
      <c r="X198" s="5">
        <f ca="1">IFERROR(__xludf.DUMMYFUNCTION("""COMPUTED_VALUE"""),96.342)</f>
        <v>96.341999999999999</v>
      </c>
      <c r="Y198" s="5" t="str">
        <f ca="1">IFERROR(__xludf.DUMMYFUNCTION("""COMPUTED_VALUE"""),"Medium")</f>
        <v>Medium</v>
      </c>
      <c r="Z198" s="5">
        <f ca="1">IFERROR(__xludf.DUMMYFUNCTION("""COMPUTED_VALUE"""),21.45)</f>
        <v>21.45</v>
      </c>
      <c r="AA198" s="14">
        <f ca="1">IFERROR(__xludf.DUMMYFUNCTION("""COMPUTED_VALUE"""),1744)</f>
        <v>1744</v>
      </c>
      <c r="AB198" s="5">
        <f ca="1">IFERROR(__xludf.DUMMYFUNCTION("""COMPUTED_VALUE"""),10)</f>
        <v>10</v>
      </c>
      <c r="AC198" s="5" t="str">
        <f ca="1">IFERROR(__xludf.DUMMYFUNCTION("""COMPUTED_VALUE"""),"Scatter, Expanding Wild, Respin")</f>
        <v>Scatter, Expanding Wild, Respin</v>
      </c>
      <c r="AD198" s="5" t="str">
        <f ca="1">IFERROR(__xludf.DUMMYFUNCTION("""COMPUTED_VALUE"""),"0.4/60")</f>
        <v>0.4/60</v>
      </c>
      <c r="AE198" s="5"/>
      <c r="AF198" s="5"/>
      <c r="AG198" s="10">
        <f ca="1">IFERROR(__xludf.DUMMYFUNCTION("""COMPUTED_VALUE"""),46055.5192129629)</f>
        <v>46055.519212962899</v>
      </c>
      <c r="AH198" s="5" t="str">
        <f ca="1">IFERROR(__xludf.DUMMYFUNCTION("""COMPUTED_VALUE"""),"djordje.jankovic@fazi.rs")</f>
        <v>djordje.jankovic@fazi.rs</v>
      </c>
      <c r="AI198" s="5"/>
      <c r="AJ198" s="5"/>
      <c r="AK198" s="5">
        <f ca="1">IFERROR(__xludf.DUMMYFUNCTION("""COMPUTED_VALUE"""),40)</f>
        <v>40</v>
      </c>
      <c r="AL198" s="5" t="str">
        <f ca="1">IFERROR(__xludf.DUMMYFUNCTION("""COMPUTED_VALUE"""),"Yes")</f>
        <v>Yes</v>
      </c>
      <c r="AM198" s="5"/>
      <c r="AN198" s="7" t="str">
        <f ca="1">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AO198" s="5"/>
      <c r="AP198" s="5"/>
      <c r="AQ198" s="5" t="b">
        <f ca="1">IFERROR(__xludf.DUMMYFUNCTION("""COMPUTED_VALUE"""),TRUE)</f>
        <v>1</v>
      </c>
      <c r="AR198" s="5"/>
      <c r="AS198" s="5" t="str">
        <f ca="1">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AT198" s="5"/>
      <c r="AU198" s="5" t="str">
        <f ca="1">IFERROR(__xludf.DUMMYFUNCTION("""COMPUTED_VALUE"""),"Fazi")</f>
        <v>Fazi</v>
      </c>
      <c r="AV198" s="5"/>
      <c r="AW198" s="5"/>
      <c r="AX198" s="5"/>
      <c r="AY198" s="5"/>
      <c r="AZ198" s="5"/>
      <c r="BA198" s="5" t="str">
        <f ca="1">IFERROR(__xludf.DUMMYFUNCTION("""COMPUTED_VALUE"""),"")</f>
        <v/>
      </c>
      <c r="BB198" s="5"/>
      <c r="BC198" s="5" t="str">
        <f ca="1">IFERROR(__xludf.DUMMYFUNCTION("""COMPUTED_VALUE"""),"Foxi")</f>
        <v>Foxi</v>
      </c>
      <c r="BD198" s="7" t="str">
        <f ca="1">IFERROR(__xludf.DUMMYFUNCTION("""COMPUTED_VALUE"""),"https://gameserver-store-client-area.orbionlimited.com/Home/IntegrationGameLaunch/client-area?moneyType=0&amp;gameName=VeryHot40Respin&amp;platform=desktop&amp;languageCode=eng&amp;currency=EUR")</f>
        <v>https://gameserver-store-client-area.orbionlimited.com/Home/IntegrationGameLaunch/client-area?moneyType=0&amp;gameName=VeryHot40Respin&amp;platform=desktop&amp;languageCode=eng&amp;currency=EUR</v>
      </c>
      <c r="BE198" s="5" t="b">
        <f ca="1">IFERROR(__xludf.DUMMYFUNCTION("""COMPUTED_VALUE"""),TRUE)</f>
        <v>1</v>
      </c>
    </row>
    <row r="199" spans="1:57" x14ac:dyDescent="0.25">
      <c r="A199" s="5">
        <f ca="1">IFERROR(__xludf.DUMMYFUNCTION("""COMPUTED_VALUE"""),199)</f>
        <v>199</v>
      </c>
      <c r="B199" s="5">
        <f ca="1">IFERROR(__xludf.DUMMYFUNCTION("""COMPUTED_VALUE"""),198)</f>
        <v>198</v>
      </c>
      <c r="C199" s="5" t="str">
        <f ca="1">IFERROR(__xludf.DUMMYFUNCTION("""COMPUTED_VALUE"""),"Redstone")</f>
        <v>Redstone</v>
      </c>
      <c r="D199" s="5" t="str">
        <f ca="1">IFERROR(__xludf.DUMMYFUNCTION("""COMPUTED_VALUE"""),"Book Of Dread")</f>
        <v>Book Of Dread</v>
      </c>
      <c r="E199" s="5" t="str">
        <f ca="1">IFERROR(__xludf.DUMMYFUNCTION("""COMPUTED_VALUE"""),"Redstone")</f>
        <v>Redstone</v>
      </c>
      <c r="F199" s="5" t="str">
        <f ca="1">IFERROR(__xludf.DUMMYFUNCTION("""COMPUTED_VALUE"""),"BookOfDread")</f>
        <v>BookOfDread</v>
      </c>
      <c r="G199" s="5" t="str">
        <f ca="1">IFERROR(__xludf.DUMMYFUNCTION("""COMPUTED_VALUE"""),"Live")</f>
        <v>Live</v>
      </c>
      <c r="H199" s="5"/>
      <c r="I199" s="5" t="str">
        <f ca="1">IFERROR(__xludf.DUMMYFUNCTION("""COMPUTED_VALUE"""),"Redstone")</f>
        <v>Redstone</v>
      </c>
      <c r="J199" s="5" t="str">
        <f ca="1">IFERROR(__xludf.DUMMYFUNCTION("""COMPUTED_VALUE"""),"JSON")</f>
        <v>JSON</v>
      </c>
      <c r="K199" s="5" t="str">
        <f ca="1">IFERROR(__xludf.DUMMYFUNCTION("""COMPUTED_VALUE"""),"Slot")</f>
        <v>Slot</v>
      </c>
      <c r="L199" s="5" t="str">
        <f ca="1">IFERROR(__xludf.DUMMYFUNCTION("""COMPUTED_VALUE"""),"Master")</f>
        <v>Master</v>
      </c>
      <c r="M199" s="5"/>
      <c r="N199" s="7" t="str">
        <f ca="1">IFERROR(__xludf.DUMMYFUNCTION("""COMPUTED_VALUE"""),"https://docs.google.com/document/d/1VNqF32o_m9--56Cn7BCeuFYPW_6L_fHn/edit?usp=drive_link&amp;ouid=107596163405648766688&amp;rtpof=true&amp;sd=true")</f>
        <v>https://docs.google.com/document/d/1VNqF32o_m9--56Cn7BCeuFYPW_6L_fHn/edit?usp=drive_link&amp;ouid=107596163405648766688&amp;rtpof=true&amp;sd=true</v>
      </c>
      <c r="O199" s="7" t="str">
        <f ca="1">IFERROR(__xludf.DUMMYFUNCTION("""COMPUTED_VALUE"""),"https://docs.google.com/document/d/1xxoKQXYlaMHZTqDBiQqslbsvJiiOhLpz/edit?usp=drive_link&amp;ouid=107596163405648766688&amp;rtpof=true&amp;sd=true")</f>
        <v>https://docs.google.com/document/d/1xxoKQXYlaMHZTqDBiQqslbsvJiiOhLpz/edit?usp=drive_link&amp;ouid=107596163405648766688&amp;rtpof=true&amp;sd=true</v>
      </c>
      <c r="P199" s="14">
        <f ca="1">IFERROR(__xludf.DUMMYFUNCTION("""COMPUTED_VALUE"""),15)</f>
        <v>15</v>
      </c>
      <c r="Q199" s="5"/>
      <c r="R199" s="5"/>
      <c r="S199" s="15">
        <f ca="1">IFERROR(__xludf.DUMMYFUNCTION("""COMPUTED_VALUE"""),44846)</f>
        <v>44846</v>
      </c>
      <c r="T199" s="5"/>
      <c r="U199" s="5" t="str">
        <f ca="1">IFERROR(__xludf.DUMMYFUNCTION("""COMPUTED_VALUE"""),"5x3")</f>
        <v>5x3</v>
      </c>
      <c r="V199" s="12" t="str">
        <f ca="1">IFERROR(__xludf.DUMMYFUNCTION("""COMPUTED_VALUE"""),"10")</f>
        <v>10</v>
      </c>
      <c r="W199" s="12" t="str">
        <f ca="1">IFERROR(__xludf.DUMMYFUNCTION("""COMPUTED_VALUE"""),"10")</f>
        <v>10</v>
      </c>
      <c r="X199" s="5">
        <f ca="1">IFERROR(__xludf.DUMMYFUNCTION("""COMPUTED_VALUE"""),96.2)</f>
        <v>96.2</v>
      </c>
      <c r="Y199" s="5" t="str">
        <f ca="1">IFERROR(__xludf.DUMMYFUNCTION("""COMPUTED_VALUE"""),"High")</f>
        <v>High</v>
      </c>
      <c r="Z199" s="5">
        <f ca="1">IFERROR(__xludf.DUMMYFUNCTION("""COMPUTED_VALUE"""),30.81)</f>
        <v>30.81</v>
      </c>
      <c r="AA199" s="14">
        <f ca="1">IFERROR(__xludf.DUMMYFUNCTION("""COMPUTED_VALUE"""),5456)</f>
        <v>5456</v>
      </c>
      <c r="AB199" s="5"/>
      <c r="AC199" s="5" t="str">
        <f ca="1">IFERROR(__xludf.DUMMYFUNCTION("""COMPUTED_VALUE"""),"Wild Symbol, Bonus Game with Free Spins, Expanding Wild")</f>
        <v>Wild Symbol, Bonus Game with Free Spins, Expanding Wild</v>
      </c>
      <c r="AD199" s="5" t="str">
        <f ca="1">IFERROR(__xludf.DUMMYFUNCTION("""COMPUTED_VALUE"""),"0.10/40")</f>
        <v>0.10/40</v>
      </c>
      <c r="AE199" s="5"/>
      <c r="AF199" s="5"/>
      <c r="AG199" s="10">
        <f ca="1">IFERROR(__xludf.DUMMYFUNCTION("""COMPUTED_VALUE"""),46157.4476157407)</f>
        <v>46157.447615740697</v>
      </c>
      <c r="AH199" s="5"/>
      <c r="AI199" s="5"/>
      <c r="AJ199" s="5"/>
      <c r="AK199" s="5">
        <f ca="1">IFERROR(__xludf.DUMMYFUNCTION("""COMPUTED_VALUE"""),1)</f>
        <v>1</v>
      </c>
      <c r="AL199" s="5" t="str">
        <f ca="1">IFERROR(__xludf.DUMMYFUNCTION("""COMPUTED_VALUE"""),"No")</f>
        <v>No</v>
      </c>
      <c r="AM199" s="5" t="str">
        <f ca="1">IFERROR(__xludf.DUMMYFUNCTION("""COMPUTED_VALUE"""),"No")</f>
        <v>No</v>
      </c>
      <c r="AN199" s="7" t="str">
        <f ca="1">IFERROR(__xludf.DUMMYFUNCTION("""COMPUTED_VALUE"""),"https://static.redstone.rs/games/book-of-dread/")</f>
        <v>https://static.redstone.rs/games/book-of-dread/</v>
      </c>
      <c r="AO199" s="5" t="str">
        <f ca="1">IFERROR(__xludf.DUMMYFUNCTION("""COMPUTED_VALUE"""),"No")</f>
        <v>No</v>
      </c>
      <c r="AP199" s="5" t="str">
        <f ca="1">IFERROR(__xludf.DUMMYFUNCTION("""COMPUTED_VALUE"""),"No")</f>
        <v>No</v>
      </c>
      <c r="AQ199" s="5" t="b">
        <f ca="1">IFERROR(__xludf.DUMMYFUNCTION("""COMPUTED_VALUE"""),TRUE)</f>
        <v>1</v>
      </c>
      <c r="AR199" s="5"/>
      <c r="AS199" s="5" t="str">
        <f ca="1">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AT199" s="5"/>
      <c r="AU199" s="5" t="str">
        <f ca="1">IFERROR(__xludf.DUMMYFUNCTION("""COMPUTED_VALUE"""),"Redstone")</f>
        <v>Redstone</v>
      </c>
      <c r="AV199" s="5"/>
      <c r="AW199" s="5"/>
      <c r="AX199" s="5"/>
      <c r="AY199" s="5"/>
      <c r="AZ199" s="5"/>
      <c r="BA199" s="5"/>
      <c r="BB199" s="5" t="b">
        <f ca="1">IFERROR(__xludf.DUMMYFUNCTION("""COMPUTED_VALUE"""),TRUE)</f>
        <v>1</v>
      </c>
      <c r="BC199" s="5" t="str">
        <f ca="1">IFERROR(__xludf.DUMMYFUNCTION("""COMPUTED_VALUE"""),"Redstone")</f>
        <v>Redstone</v>
      </c>
      <c r="BD199" s="7" t="str">
        <f ca="1">IFERROR(__xludf.DUMMYFUNCTION("""COMPUTED_VALUE"""),"https://static.redstone.rs/games/book-of-dread/")</f>
        <v>https://static.redstone.rs/games/book-of-dread/</v>
      </c>
      <c r="BE199" s="5" t="b">
        <f ca="1">IFERROR(__xludf.DUMMYFUNCTION("""COMPUTED_VALUE"""),TRUE)</f>
        <v>1</v>
      </c>
    </row>
    <row r="200" spans="1:57" x14ac:dyDescent="0.25">
      <c r="A200" s="5">
        <f ca="1">IFERROR(__xludf.DUMMYFUNCTION("""COMPUTED_VALUE"""),200)</f>
        <v>200</v>
      </c>
      <c r="B200" s="5">
        <f ca="1">IFERROR(__xludf.DUMMYFUNCTION("""COMPUTED_VALUE"""),199)</f>
        <v>199</v>
      </c>
      <c r="C200" s="5" t="str">
        <f ca="1">IFERROR(__xludf.DUMMYFUNCTION("""COMPUTED_VALUE"""),"Redstone")</f>
        <v>Redstone</v>
      </c>
      <c r="D200" s="5" t="str">
        <f ca="1">IFERROR(__xludf.DUMMYFUNCTION("""COMPUTED_VALUE"""),"10 Wild Pumpkin")</f>
        <v>10 Wild Pumpkin</v>
      </c>
      <c r="E200" s="5" t="str">
        <f ca="1">IFERROR(__xludf.DUMMYFUNCTION("""COMPUTED_VALUE"""),"Redstone")</f>
        <v>Redstone</v>
      </c>
      <c r="F200" s="5" t="str">
        <f ca="1">IFERROR(__xludf.DUMMYFUNCTION("""COMPUTED_VALUE"""),"WildPumpkin10")</f>
        <v>WildPumpkin10</v>
      </c>
      <c r="G200" s="5" t="str">
        <f ca="1">IFERROR(__xludf.DUMMYFUNCTION("""COMPUTED_VALUE"""),"Live")</f>
        <v>Live</v>
      </c>
      <c r="H200" s="5"/>
      <c r="I200" s="5" t="str">
        <f ca="1">IFERROR(__xludf.DUMMYFUNCTION("""COMPUTED_VALUE"""),"Redstone")</f>
        <v>Redstone</v>
      </c>
      <c r="J200" s="5" t="str">
        <f ca="1">IFERROR(__xludf.DUMMYFUNCTION("""COMPUTED_VALUE"""),"JSON")</f>
        <v>JSON</v>
      </c>
      <c r="K200" s="5" t="str">
        <f ca="1">IFERROR(__xludf.DUMMYFUNCTION("""COMPUTED_VALUE"""),"Slot")</f>
        <v>Slot</v>
      </c>
      <c r="L200" s="5" t="str">
        <f ca="1">IFERROR(__xludf.DUMMYFUNCTION("""COMPUTED_VALUE""")," Clone")</f>
        <v xml:space="preserve"> Clone</v>
      </c>
      <c r="M200" s="5" t="str">
        <f ca="1">IFERROR(__xludf.DUMMYFUNCTION("""COMPUTED_VALUE"""),"10 Wild Crown")</f>
        <v>10 Wild Crown</v>
      </c>
      <c r="N200" s="7" t="str">
        <f ca="1">IFERROR(__xludf.DUMMYFUNCTION("""COMPUTED_VALUE"""),"https://docs.google.com/document/d/1m3xk6ar59rXJEwU_BOJnc6s3k2cwRZ_o/edit?usp=drive_link&amp;ouid=107596163405648766688&amp;rtpof=true&amp;sd=true")</f>
        <v>https://docs.google.com/document/d/1m3xk6ar59rXJEwU_BOJnc6s3k2cwRZ_o/edit?usp=drive_link&amp;ouid=107596163405648766688&amp;rtpof=true&amp;sd=true</v>
      </c>
      <c r="O200" s="7" t="str">
        <f ca="1">IFERROR(__xludf.DUMMYFUNCTION("""COMPUTED_VALUE"""),"https://docs.google.com/document/d/1bLFVaEPJXVXgIFdQ624LMlKjIAvfMl3r/edit?usp=drive_link&amp;ouid=107596163405648766688&amp;rtpof=true&amp;sd=true")</f>
        <v>https://docs.google.com/document/d/1bLFVaEPJXVXgIFdQ624LMlKjIAvfMl3r/edit?usp=drive_link&amp;ouid=107596163405648766688&amp;rtpof=true&amp;sd=true</v>
      </c>
      <c r="P200" s="14">
        <f ca="1">IFERROR(__xludf.DUMMYFUNCTION("""COMPUTED_VALUE"""),6.7)</f>
        <v>6.7</v>
      </c>
      <c r="Q200" s="5"/>
      <c r="R200" s="5"/>
      <c r="S200" s="15">
        <f ca="1">IFERROR(__xludf.DUMMYFUNCTION("""COMPUTED_VALUE"""),44831)</f>
        <v>44831</v>
      </c>
      <c r="T200" s="5"/>
      <c r="U200" s="5" t="str">
        <f ca="1">IFERROR(__xludf.DUMMYFUNCTION("""COMPUTED_VALUE"""),"5x3")</f>
        <v>5x3</v>
      </c>
      <c r="V200" s="12" t="str">
        <f ca="1">IFERROR(__xludf.DUMMYFUNCTION("""COMPUTED_VALUE"""),"10")</f>
        <v>10</v>
      </c>
      <c r="W200" s="12" t="str">
        <f ca="1">IFERROR(__xludf.DUMMYFUNCTION("""COMPUTED_VALUE"""),"10")</f>
        <v>10</v>
      </c>
      <c r="X200" s="5">
        <f ca="1">IFERROR(__xludf.DUMMYFUNCTION("""COMPUTED_VALUE"""),95.96)</f>
        <v>95.96</v>
      </c>
      <c r="Y200" s="5" t="str">
        <f ca="1">IFERROR(__xludf.DUMMYFUNCTION("""COMPUTED_VALUE"""),"Medium")</f>
        <v>Medium</v>
      </c>
      <c r="Z200" s="5">
        <f ca="1">IFERROR(__xludf.DUMMYFUNCTION("""COMPUTED_VALUE"""),14.63)</f>
        <v>14.63</v>
      </c>
      <c r="AA200" s="14">
        <f ca="1">IFERROR(__xludf.DUMMYFUNCTION("""COMPUTED_VALUE"""),1538)</f>
        <v>1538</v>
      </c>
      <c r="AB200" s="5"/>
      <c r="AC200" s="5" t="str">
        <f ca="1">IFERROR(__xludf.DUMMYFUNCTION("""COMPUTED_VALUE"""),"Expanding Wild, Scatter")</f>
        <v>Expanding Wild, Scatter</v>
      </c>
      <c r="AD200" s="5" t="str">
        <f ca="1">IFERROR(__xludf.DUMMYFUNCTION("""COMPUTED_VALUE"""),"0.10/40")</f>
        <v>0.10/40</v>
      </c>
      <c r="AE200" s="5"/>
      <c r="AF200" s="5"/>
      <c r="AG200" s="10">
        <f ca="1">IFERROR(__xludf.DUMMYFUNCTION("""COMPUTED_VALUE"""),46212.4894097222)</f>
        <v>46212.489409722199</v>
      </c>
      <c r="AH200" s="5" t="str">
        <f ca="1">IFERROR(__xludf.DUMMYFUNCTION("""COMPUTED_VALUE"""),"selena.mihajlovic@fazi.rs")</f>
        <v>selena.mihajlovic@fazi.rs</v>
      </c>
      <c r="AI200" s="5"/>
      <c r="AJ200" s="5"/>
      <c r="AK200" s="5">
        <f ca="1">IFERROR(__xludf.DUMMYFUNCTION("""COMPUTED_VALUE"""),1)</f>
        <v>1</v>
      </c>
      <c r="AL200" s="5" t="str">
        <f ca="1">IFERROR(__xludf.DUMMYFUNCTION("""COMPUTED_VALUE"""),"No")</f>
        <v>No</v>
      </c>
      <c r="AM200" s="5" t="str">
        <f ca="1">IFERROR(__xludf.DUMMYFUNCTION("""COMPUTED_VALUE"""),"No")</f>
        <v>No</v>
      </c>
      <c r="AN200" s="7" t="str">
        <f ca="1">IFERROR(__xludf.DUMMYFUNCTION("""COMPUTED_VALUE"""),"https://static.redstone.rs/games/10-wild-pumpkin/")</f>
        <v>https://static.redstone.rs/games/10-wild-pumpkin/</v>
      </c>
      <c r="AO200" s="5" t="str">
        <f ca="1">IFERROR(__xludf.DUMMYFUNCTION("""COMPUTED_VALUE"""),"No")</f>
        <v>No</v>
      </c>
      <c r="AP200" s="5" t="str">
        <f ca="1">IFERROR(__xludf.DUMMYFUNCTION("""COMPUTED_VALUE"""),"No")</f>
        <v>No</v>
      </c>
      <c r="AQ200" s="5" t="b">
        <f ca="1">IFERROR(__xludf.DUMMYFUNCTION("""COMPUTED_VALUE"""),TRUE)</f>
        <v>1</v>
      </c>
      <c r="AR200" s="5"/>
      <c r="AS200" s="5" t="str">
        <f ca="1">IFERROR(__xludf.DUMMYFUNCTION("""COMPUTED_VALUE"""),"’Tis the spooky season. Land up to 3 expanding Wild Pumpkins for massive wins on up to 10 lines. ")</f>
        <v xml:space="preserve">’Tis the spooky season. Land up to 3 expanding Wild Pumpkins for massive wins on up to 10 lines. </v>
      </c>
      <c r="AT200" s="5"/>
      <c r="AU200" s="5" t="str">
        <f ca="1">IFERROR(__xludf.DUMMYFUNCTION("""COMPUTED_VALUE"""),"Redstone")</f>
        <v>Redstone</v>
      </c>
      <c r="AV200" s="5"/>
      <c r="AW200" s="5"/>
      <c r="AX200" s="5"/>
      <c r="AY200" s="5"/>
      <c r="AZ200" s="5"/>
      <c r="BA200" s="5"/>
      <c r="BB200" s="5" t="b">
        <f ca="1">IFERROR(__xludf.DUMMYFUNCTION("""COMPUTED_VALUE"""),TRUE)</f>
        <v>1</v>
      </c>
      <c r="BC200" s="5" t="str">
        <f ca="1">IFERROR(__xludf.DUMMYFUNCTION("""COMPUTED_VALUE"""),"Redstone")</f>
        <v>Redstone</v>
      </c>
      <c r="BD200" s="7" t="str">
        <f ca="1">IFERROR(__xludf.DUMMYFUNCTION("""COMPUTED_VALUE"""),"https://static.redstone.rs/games/10-wild-pumpkin/")</f>
        <v>https://static.redstone.rs/games/10-wild-pumpkin/</v>
      </c>
      <c r="BE200" s="5" t="b">
        <f ca="1">IFERROR(__xludf.DUMMYFUNCTION("""COMPUTED_VALUE"""),TRUE)</f>
        <v>1</v>
      </c>
    </row>
    <row r="201" spans="1:57" x14ac:dyDescent="0.25">
      <c r="A201" s="5">
        <f ca="1">IFERROR(__xludf.DUMMYFUNCTION("""COMPUTED_VALUE"""),201)</f>
        <v>201</v>
      </c>
      <c r="B201" s="5">
        <f ca="1">IFERROR(__xludf.DUMMYFUNCTION("""COMPUTED_VALUE"""),200)</f>
        <v>200</v>
      </c>
      <c r="C201" s="5" t="str">
        <f ca="1">IFERROR(__xludf.DUMMYFUNCTION("""COMPUTED_VALUE"""),"Fazi")</f>
        <v>Fazi</v>
      </c>
      <c r="D201" s="5" t="str">
        <f ca="1">IFERROR(__xludf.DUMMYFUNCTION("""COMPUTED_VALUE"""),"African Treasure")</f>
        <v>African Treasure</v>
      </c>
      <c r="E201" s="5" t="str">
        <f ca="1">IFERROR(__xludf.DUMMYFUNCTION("""COMPUTED_VALUE"""),"V2")</f>
        <v>V2</v>
      </c>
      <c r="F201" s="5" t="str">
        <f ca="1">IFERROR(__xludf.DUMMYFUNCTION("""COMPUTED_VALUE"""),"AfricanTreasure")</f>
        <v>AfricanTreasure</v>
      </c>
      <c r="G201" s="5" t="str">
        <f ca="1">IFERROR(__xludf.DUMMYFUNCTION("""COMPUTED_VALUE"""),"Live")</f>
        <v>Live</v>
      </c>
      <c r="H201" s="5"/>
      <c r="I201" s="5" t="str">
        <f ca="1">IFERROR(__xludf.DUMMYFUNCTION("""COMPUTED_VALUE"""),"V2")</f>
        <v>V2</v>
      </c>
      <c r="J201" s="5" t="str">
        <f ca="1">IFERROR(__xludf.DUMMYFUNCTION("""COMPUTED_VALUE"""),"Binary")</f>
        <v>Binary</v>
      </c>
      <c r="K201" s="5" t="str">
        <f ca="1">IFERROR(__xludf.DUMMYFUNCTION("""COMPUTED_VALUE"""),"Slot")</f>
        <v>Slot</v>
      </c>
      <c r="L201" s="5" t="str">
        <f ca="1">IFERROR(__xludf.DUMMYFUNCTION("""COMPUTED_VALUE"""),"Clone")</f>
        <v>Clone</v>
      </c>
      <c r="M201" s="5" t="str">
        <f ca="1">IFERROR(__xludf.DUMMYFUNCTION("""COMPUTED_VALUE"""),"Juicy Hot")</f>
        <v>Juicy Hot</v>
      </c>
      <c r="N201" s="5"/>
      <c r="O201" s="5"/>
      <c r="P201" s="14">
        <f ca="1">IFERROR(__xludf.DUMMYFUNCTION("""COMPUTED_VALUE"""),6)</f>
        <v>6</v>
      </c>
      <c r="Q201" s="5"/>
      <c r="R201" s="5"/>
      <c r="S201" s="15">
        <f ca="1">IFERROR(__xludf.DUMMYFUNCTION("""COMPUTED_VALUE"""),44922)</f>
        <v>44922</v>
      </c>
      <c r="T201" s="5" t="b">
        <f ca="1">IFERROR(__xludf.DUMMYFUNCTION("""COMPUTED_VALUE"""),TRUE)</f>
        <v>1</v>
      </c>
      <c r="U201" s="5" t="str">
        <f ca="1">IFERROR(__xludf.DUMMYFUNCTION("""COMPUTED_VALUE"""),"5x3")</f>
        <v>5x3</v>
      </c>
      <c r="V201" s="12" t="str">
        <f ca="1">IFERROR(__xludf.DUMMYFUNCTION("""COMPUTED_VALUE"""),"5")</f>
        <v>5</v>
      </c>
      <c r="W201" s="12" t="str">
        <f ca="1">IFERROR(__xludf.DUMMYFUNCTION("""COMPUTED_VALUE"""),"5")</f>
        <v>5</v>
      </c>
      <c r="X201" s="5">
        <f ca="1">IFERROR(__xludf.DUMMYFUNCTION("""COMPUTED_VALUE"""),96.521)</f>
        <v>96.521000000000001</v>
      </c>
      <c r="Y201" s="5" t="str">
        <f ca="1">IFERROR(__xludf.DUMMYFUNCTION("""COMPUTED_VALUE"""),"Medium")</f>
        <v>Medium</v>
      </c>
      <c r="Z201" s="5">
        <f ca="1">IFERROR(__xludf.DUMMYFUNCTION("""COMPUTED_VALUE"""),13.01)</f>
        <v>13.01</v>
      </c>
      <c r="AA201" s="14">
        <f ca="1">IFERROR(__xludf.DUMMYFUNCTION("""COMPUTED_VALUE"""),1000)</f>
        <v>1000</v>
      </c>
      <c r="AB201" s="5" t="str">
        <f ca="1">IFERROR(__xludf.DUMMYFUNCTION("""COMPUTED_VALUE"""),"/")</f>
        <v>/</v>
      </c>
      <c r="AC201" s="5" t="str">
        <f ca="1">IFERROR(__xludf.DUMMYFUNCTION("""COMPUTED_VALUE"""),"Scatter")</f>
        <v>Scatter</v>
      </c>
      <c r="AD201" s="5" t="str">
        <f ca="1">IFERROR(__xludf.DUMMYFUNCTION("""COMPUTED_VALUE"""),"0.05/50")</f>
        <v>0.05/50</v>
      </c>
      <c r="AE201" s="5"/>
      <c r="AF201" s="5"/>
      <c r="AG201" s="5"/>
      <c r="AH201" s="5"/>
      <c r="AI201" s="5"/>
      <c r="AJ201" s="5"/>
      <c r="AK201" s="5">
        <f ca="1">IFERROR(__xludf.DUMMYFUNCTION("""COMPUTED_VALUE"""),5)</f>
        <v>5</v>
      </c>
      <c r="AL201" s="5" t="str">
        <f ca="1">IFERROR(__xludf.DUMMYFUNCTION("""COMPUTED_VALUE"""),"Yes")</f>
        <v>Yes</v>
      </c>
      <c r="AM201" s="5"/>
      <c r="AN201" s="7" t="str">
        <f ca="1">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AO201" s="5"/>
      <c r="AP201" s="5"/>
      <c r="AQ201" s="5" t="b">
        <f ca="1">IFERROR(__xludf.DUMMYFUNCTION("""COMPUTED_VALUE"""),TRUE)</f>
        <v>1</v>
      </c>
      <c r="AR201" s="5"/>
      <c r="AS201" s="5" t="str">
        <f ca="1">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AT201" s="5"/>
      <c r="AU201" s="5" t="str">
        <f ca="1">IFERROR(__xludf.DUMMYFUNCTION("""COMPUTED_VALUE"""),"Fazi")</f>
        <v>Fazi</v>
      </c>
      <c r="AV201" s="5"/>
      <c r="AW201" s="5"/>
      <c r="AX201" s="5"/>
      <c r="AY201" s="5"/>
      <c r="AZ201" s="5"/>
      <c r="BA201" s="5" t="str">
        <f ca="1">IFERROR(__xludf.DUMMYFUNCTION("""COMPUTED_VALUE"""),"")</f>
        <v/>
      </c>
      <c r="BB201" s="5"/>
      <c r="BC201" s="5" t="str">
        <f ca="1">IFERROR(__xludf.DUMMYFUNCTION("""COMPUTED_VALUE"""),"Foxi")</f>
        <v>Foxi</v>
      </c>
      <c r="BD201" s="7" t="str">
        <f ca="1">IFERROR(__xludf.DUMMYFUNCTION("""COMPUTED_VALUE"""),"https://gameserver-store-client-area.orbionlimited.com/Home/IntegrationGameLaunch/client-area?moneyType=0&amp;gameName=AfricanTreasure&amp;platform=desktop&amp;languageCode=eng&amp;currency=EUR")</f>
        <v>https://gameserver-store-client-area.orbionlimited.com/Home/IntegrationGameLaunch/client-area?moneyType=0&amp;gameName=AfricanTreasure&amp;platform=desktop&amp;languageCode=eng&amp;currency=EUR</v>
      </c>
      <c r="BE201" s="5" t="b">
        <f ca="1">IFERROR(__xludf.DUMMYFUNCTION("""COMPUTED_VALUE"""),TRUE)</f>
        <v>1</v>
      </c>
    </row>
    <row r="202" spans="1:57" x14ac:dyDescent="0.25">
      <c r="A202" s="5">
        <f ca="1">IFERROR(__xludf.DUMMYFUNCTION("""COMPUTED_VALUE"""),202)</f>
        <v>202</v>
      </c>
      <c r="B202" s="5">
        <f ca="1">IFERROR(__xludf.DUMMYFUNCTION("""COMPUTED_VALUE"""),201)</f>
        <v>201</v>
      </c>
      <c r="C202" s="5" t="str">
        <f ca="1">IFERROR(__xludf.DUMMYFUNCTION("""COMPUTED_VALUE"""),"Tiptop")</f>
        <v>Tiptop</v>
      </c>
      <c r="D202" s="5" t="str">
        <f ca="1">IFERROR(__xludf.DUMMYFUNCTION("""COMPUTED_VALUE"""),"Da Vinci's Dice")</f>
        <v>Da Vinci's Dice</v>
      </c>
      <c r="E202" s="5"/>
      <c r="F202" s="5" t="str">
        <f ca="1">IFERROR(__xludf.DUMMYFUNCTION("""COMPUTED_VALUE"""),"UnicornDaVincisDice")</f>
        <v>UnicornDaVincisDice</v>
      </c>
      <c r="G202" s="5" t="str">
        <f ca="1">IFERROR(__xludf.DUMMYFUNCTION("""COMPUTED_VALUE"""),"Live")</f>
        <v>Live</v>
      </c>
      <c r="H202" s="5"/>
      <c r="I202" s="5" t="str">
        <f ca="1">IFERROR(__xludf.DUMMYFUNCTION("""COMPUTED_VALUE"""),"TipTop")</f>
        <v>TipTop</v>
      </c>
      <c r="J202" s="5" t="str">
        <f ca="1">IFERROR(__xludf.DUMMYFUNCTION("""COMPUTED_VALUE"""),"JSON")</f>
        <v>JSON</v>
      </c>
      <c r="K202" s="5" t="str">
        <f ca="1">IFERROR(__xludf.DUMMYFUNCTION("""COMPUTED_VALUE"""),"Dice Slots")</f>
        <v>Dice Slots</v>
      </c>
      <c r="L202" s="5"/>
      <c r="M202" s="5"/>
      <c r="N202" s="5"/>
      <c r="O202" s="5"/>
      <c r="P202" s="14">
        <f ca="1">IFERROR(__xludf.DUMMYFUNCTION("""COMPUTED_VALUE"""),10.7)</f>
        <v>10.7</v>
      </c>
      <c r="Q202" s="5"/>
      <c r="R202" s="5"/>
      <c r="S202" s="15">
        <f ca="1">IFERROR(__xludf.DUMMYFUNCTION("""COMPUTED_VALUE"""),44845)</f>
        <v>44845</v>
      </c>
      <c r="T202" s="5"/>
      <c r="U202" s="5" t="str">
        <f ca="1">IFERROR(__xludf.DUMMYFUNCTION("""COMPUTED_VALUE"""),"5X3")</f>
        <v>5X3</v>
      </c>
      <c r="V202" s="12" t="str">
        <f ca="1">IFERROR(__xludf.DUMMYFUNCTION("""COMPUTED_VALUE"""),"5")</f>
        <v>5</v>
      </c>
      <c r="W202" s="12" t="str">
        <f ca="1">IFERROR(__xludf.DUMMYFUNCTION("""COMPUTED_VALUE"""),"5")</f>
        <v>5</v>
      </c>
      <c r="X202" s="5">
        <f ca="1">IFERROR(__xludf.DUMMYFUNCTION("""COMPUTED_VALUE"""),96)</f>
        <v>96</v>
      </c>
      <c r="Y202" s="5" t="str">
        <f ca="1">IFERROR(__xludf.DUMMYFUNCTION("""COMPUTED_VALUE"""),"Low")</f>
        <v>Low</v>
      </c>
      <c r="Z202" s="5">
        <f ca="1">IFERROR(__xludf.DUMMYFUNCTION("""COMPUTED_VALUE"""),10.5)</f>
        <v>10.5</v>
      </c>
      <c r="AA202" s="14">
        <f ca="1">IFERROR(__xludf.DUMMYFUNCTION("""COMPUTED_VALUE"""),1000)</f>
        <v>1000</v>
      </c>
      <c r="AB202" s="5"/>
      <c r="AC202" s="5"/>
      <c r="AD202" s="5" t="str">
        <f ca="1">IFERROR(__xludf.DUMMYFUNCTION("""COMPUTED_VALUE"""),"0.1/100")</f>
        <v>0.1/100</v>
      </c>
      <c r="AE202" s="5"/>
      <c r="AF202" s="5"/>
      <c r="AG202" s="10">
        <f ca="1">IFERROR(__xludf.DUMMYFUNCTION("""COMPUTED_VALUE"""),46197.4536226851)</f>
        <v>46197.453622685098</v>
      </c>
      <c r="AH202" s="5" t="str">
        <f ca="1">IFERROR(__xludf.DUMMYFUNCTION("""COMPUTED_VALUE"""),"selena.mihajlovic@fazi.rs")</f>
        <v>selena.mihajlovic@fazi.rs</v>
      </c>
      <c r="AI202" s="5"/>
      <c r="AJ202" s="5"/>
      <c r="AK202" s="5">
        <f ca="1">IFERROR(__xludf.DUMMYFUNCTION("""COMPUTED_VALUE"""),5)</f>
        <v>5</v>
      </c>
      <c r="AL202" s="5" t="str">
        <f ca="1">IFERROR(__xludf.DUMMYFUNCTION("""COMPUTED_VALUE"""),"No")</f>
        <v>No</v>
      </c>
      <c r="AM202" s="5"/>
      <c r="AN202" s="7" t="str">
        <f ca="1">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AO202" s="5"/>
      <c r="AP202" s="5"/>
      <c r="AQ202" s="5" t="b">
        <f ca="1">IFERROR(__xludf.DUMMYFUNCTION("""COMPUTED_VALUE"""),TRUE)</f>
        <v>1</v>
      </c>
      <c r="AR202" s="5"/>
      <c r="AS202" s="5" t="str">
        <f ca="1">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AT202" s="5"/>
      <c r="AU202" s="5" t="str">
        <f ca="1">IFERROR(__xludf.DUMMYFUNCTION("""COMPUTED_VALUE"""),"Fazi")</f>
        <v>Fazi</v>
      </c>
      <c r="AV202" s="5"/>
      <c r="AW202" s="5"/>
      <c r="AX202" s="5"/>
      <c r="AY202" s="5"/>
      <c r="AZ202" s="5"/>
      <c r="BA202" s="5"/>
      <c r="BB202" s="5" t="b">
        <f ca="1">IFERROR(__xludf.DUMMYFUNCTION("""COMPUTED_VALUE"""),TRUE)</f>
        <v>1</v>
      </c>
      <c r="BC202" s="5" t="str">
        <f ca="1">IFERROR(__xludf.DUMMYFUNCTION("""COMPUTED_VALUE"""),"Tiptop")</f>
        <v>Tiptop</v>
      </c>
      <c r="BD202" s="7" t="str">
        <f ca="1">IFERROR(__xludf.DUMMYFUNCTION("""COMPUTED_VALUE"""),"https://gameserver-store-client-area.orbionlimited.com/Home/IntegrationGameLaunch/client-area?moneyType=0&amp;gameName=UnicornDaVincisDice&amp;platform=desktop&amp;languageCode=eng&amp;currency=EUR")</f>
        <v>https://gameserver-store-client-area.orbionlimited.com/Home/IntegrationGameLaunch/client-area?moneyType=0&amp;gameName=UnicornDaVincisDice&amp;platform=desktop&amp;languageCode=eng&amp;currency=EUR</v>
      </c>
      <c r="BE202" s="5" t="b">
        <f ca="1">IFERROR(__xludf.DUMMYFUNCTION("""COMPUTED_VALUE"""),TRUE)</f>
        <v>1</v>
      </c>
    </row>
    <row r="203" spans="1:57" x14ac:dyDescent="0.25">
      <c r="A203" s="5">
        <f ca="1">IFERROR(__xludf.DUMMYFUNCTION("""COMPUTED_VALUE"""),203)</f>
        <v>203</v>
      </c>
      <c r="B203" s="5">
        <f ca="1">IFERROR(__xludf.DUMMYFUNCTION("""COMPUTED_VALUE"""),202)</f>
        <v>202</v>
      </c>
      <c r="C203" s="5" t="str">
        <f ca="1">IFERROR(__xludf.DUMMYFUNCTION("""COMPUTED_VALUE"""),"Tiptop")</f>
        <v>Tiptop</v>
      </c>
      <c r="D203" s="5" t="str">
        <f ca="1">IFERROR(__xludf.DUMMYFUNCTION("""COMPUTED_VALUE"""),"Winter Fruits")</f>
        <v>Winter Fruits</v>
      </c>
      <c r="E203" s="5"/>
      <c r="F203" s="5" t="str">
        <f ca="1">IFERROR(__xludf.DUMMYFUNCTION("""COMPUTED_VALUE"""),"UnicornWinterFruits")</f>
        <v>UnicornWinterFruits</v>
      </c>
      <c r="G203" s="5" t="str">
        <f ca="1">IFERROR(__xludf.DUMMYFUNCTION("""COMPUTED_VALUE"""),"Live")</f>
        <v>Live</v>
      </c>
      <c r="H203" s="5"/>
      <c r="I203" s="5" t="str">
        <f ca="1">IFERROR(__xludf.DUMMYFUNCTION("""COMPUTED_VALUE"""),"TipTop")</f>
        <v>TipTop</v>
      </c>
      <c r="J203" s="5" t="str">
        <f ca="1">IFERROR(__xludf.DUMMYFUNCTION("""COMPUTED_VALUE"""),"JSON")</f>
        <v>JSON</v>
      </c>
      <c r="K203" s="5" t="str">
        <f ca="1">IFERROR(__xludf.DUMMYFUNCTION("""COMPUTED_VALUE"""),"Slot")</f>
        <v>Slot</v>
      </c>
      <c r="L203" s="5"/>
      <c r="M203" s="5"/>
      <c r="N203" s="5"/>
      <c r="O203" s="5"/>
      <c r="P203" s="14">
        <f ca="1">IFERROR(__xludf.DUMMYFUNCTION("""COMPUTED_VALUE"""),12.3)</f>
        <v>12.3</v>
      </c>
      <c r="Q203" s="5"/>
      <c r="R203" s="5"/>
      <c r="S203" s="15">
        <f ca="1">IFERROR(__xludf.DUMMYFUNCTION("""COMPUTED_VALUE"""),44873)</f>
        <v>44873</v>
      </c>
      <c r="T203" s="5"/>
      <c r="U203" s="5" t="str">
        <f ca="1">IFERROR(__xludf.DUMMYFUNCTION("""COMPUTED_VALUE"""),"5X4")</f>
        <v>5X4</v>
      </c>
      <c r="V203" s="12" t="str">
        <f ca="1">IFERROR(__xludf.DUMMYFUNCTION("""COMPUTED_VALUE"""),"40")</f>
        <v>40</v>
      </c>
      <c r="W203" s="12" t="str">
        <f ca="1">IFERROR(__xludf.DUMMYFUNCTION("""COMPUTED_VALUE"""),"40")</f>
        <v>40</v>
      </c>
      <c r="X203" s="5">
        <f ca="1">IFERROR(__xludf.DUMMYFUNCTION("""COMPUTED_VALUE"""),96)</f>
        <v>96</v>
      </c>
      <c r="Y203" s="5" t="str">
        <f ca="1">IFERROR(__xludf.DUMMYFUNCTION("""COMPUTED_VALUE"""),"Low")</f>
        <v>Low</v>
      </c>
      <c r="Z203" s="5">
        <f ca="1">IFERROR(__xludf.DUMMYFUNCTION("""COMPUTED_VALUE"""),11.91)</f>
        <v>11.91</v>
      </c>
      <c r="AA203" s="14">
        <f ca="1">IFERROR(__xludf.DUMMYFUNCTION("""COMPUTED_VALUE"""),1000)</f>
        <v>1000</v>
      </c>
      <c r="AB203" s="5"/>
      <c r="AC203" s="5" t="str">
        <f ca="1">IFERROR(__xludf.DUMMYFUNCTION("""COMPUTED_VALUE"""),"Wild Symbol, Scatter")</f>
        <v>Wild Symbol, Scatter</v>
      </c>
      <c r="AD203" s="5" t="str">
        <f ca="1">IFERROR(__xludf.DUMMYFUNCTION("""COMPUTED_VALUE"""),"0.4/100")</f>
        <v>0.4/100</v>
      </c>
      <c r="AE203" s="5"/>
      <c r="AF203" s="5"/>
      <c r="AG203" s="10">
        <f ca="1">IFERROR(__xludf.DUMMYFUNCTION("""COMPUTED_VALUE"""),46197.453912037)</f>
        <v>46197.453912037003</v>
      </c>
      <c r="AH203" s="5" t="str">
        <f ca="1">IFERROR(__xludf.DUMMYFUNCTION("""COMPUTED_VALUE"""),"selena.mihajlovic@fazi.rs")</f>
        <v>selena.mihajlovic@fazi.rs</v>
      </c>
      <c r="AI203" s="5"/>
      <c r="AJ203" s="5"/>
      <c r="AK203" s="5">
        <f ca="1">IFERROR(__xludf.DUMMYFUNCTION("""COMPUTED_VALUE"""),40)</f>
        <v>40</v>
      </c>
      <c r="AL203" s="5" t="str">
        <f ca="1">IFERROR(__xludf.DUMMYFUNCTION("""COMPUTED_VALUE"""),"No")</f>
        <v>No</v>
      </c>
      <c r="AM203" s="5"/>
      <c r="AN203" s="7" t="str">
        <f ca="1">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AO203" s="5"/>
      <c r="AP203" s="5"/>
      <c r="AQ203" s="5" t="b">
        <f ca="1">IFERROR(__xludf.DUMMYFUNCTION("""COMPUTED_VALUE"""),TRUE)</f>
        <v>1</v>
      </c>
      <c r="AR203" s="5"/>
      <c r="AS203" s="5" t="str">
        <f ca="1">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AT203" s="5"/>
      <c r="AU203" s="5" t="str">
        <f ca="1">IFERROR(__xludf.DUMMYFUNCTION("""COMPUTED_VALUE"""),"Fazi")</f>
        <v>Fazi</v>
      </c>
      <c r="AV203" s="5"/>
      <c r="AW203" s="5"/>
      <c r="AX203" s="5"/>
      <c r="AY203" s="5"/>
      <c r="AZ203" s="5"/>
      <c r="BA203" s="5"/>
      <c r="BB203" s="5" t="b">
        <f ca="1">IFERROR(__xludf.DUMMYFUNCTION("""COMPUTED_VALUE"""),TRUE)</f>
        <v>1</v>
      </c>
      <c r="BC203" s="5" t="str">
        <f ca="1">IFERROR(__xludf.DUMMYFUNCTION("""COMPUTED_VALUE"""),"Tiptop")</f>
        <v>Tiptop</v>
      </c>
      <c r="BD203" s="7" t="str">
        <f ca="1">IFERROR(__xludf.DUMMYFUNCTION("""COMPUTED_VALUE"""),"https://gameserver-store-client-area.orbionlimited.com/Home/IntegrationGameLaunch/client-area?moneyType=0&amp;gameName=UnicornWinterFruits&amp;platform=desktop&amp;languageCode=eng&amp;currency=EUR")</f>
        <v>https://gameserver-store-client-area.orbionlimited.com/Home/IntegrationGameLaunch/client-area?moneyType=0&amp;gameName=UnicornWinterFruits&amp;platform=desktop&amp;languageCode=eng&amp;currency=EUR</v>
      </c>
      <c r="BE203" s="5" t="b">
        <f ca="1">IFERROR(__xludf.DUMMYFUNCTION("""COMPUTED_VALUE"""),TRUE)</f>
        <v>1</v>
      </c>
    </row>
    <row r="204" spans="1:57" x14ac:dyDescent="0.25">
      <c r="A204" s="5">
        <f ca="1">IFERROR(__xludf.DUMMYFUNCTION("""COMPUTED_VALUE"""),204)</f>
        <v>204</v>
      </c>
      <c r="B204" s="5">
        <f ca="1">IFERROR(__xludf.DUMMYFUNCTION("""COMPUTED_VALUE"""),203)</f>
        <v>203</v>
      </c>
      <c r="C204" s="5" t="str">
        <f ca="1">IFERROR(__xludf.DUMMYFUNCTION("""COMPUTED_VALUE"""),"Fazi")</f>
        <v>Fazi</v>
      </c>
      <c r="D204" s="5" t="str">
        <f ca="1">IFERROR(__xludf.DUMMYFUNCTION("""COMPUTED_VALUE"""),"Crystal Hot 40 Christmas")</f>
        <v>Crystal Hot 40 Christmas</v>
      </c>
      <c r="E204" s="5" t="str">
        <f ca="1">IFERROR(__xludf.DUMMYFUNCTION("""COMPUTED_VALUE"""),"V2")</f>
        <v>V2</v>
      </c>
      <c r="F204" s="5" t="str">
        <f ca="1">IFERROR(__xludf.DUMMYFUNCTION("""COMPUTED_VALUE"""),"CrystalHot40Christmas")</f>
        <v>CrystalHot40Christmas</v>
      </c>
      <c r="G204" s="5" t="str">
        <f ca="1">IFERROR(__xludf.DUMMYFUNCTION("""COMPUTED_VALUE"""),"Live")</f>
        <v>Live</v>
      </c>
      <c r="H204" s="5"/>
      <c r="I204" s="5" t="str">
        <f ca="1">IFERROR(__xludf.DUMMYFUNCTION("""COMPUTED_VALUE"""),"V2")</f>
        <v>V2</v>
      </c>
      <c r="J204" s="5" t="str">
        <f ca="1">IFERROR(__xludf.DUMMYFUNCTION("""COMPUTED_VALUE"""),"Binary")</f>
        <v>Binary</v>
      </c>
      <c r="K204" s="5" t="str">
        <f ca="1">IFERROR(__xludf.DUMMYFUNCTION("""COMPUTED_VALUE"""),"Slot")</f>
        <v>Slot</v>
      </c>
      <c r="L204" s="5" t="str">
        <f ca="1">IFERROR(__xludf.DUMMYFUNCTION("""COMPUTED_VALUE"""),"Clone")</f>
        <v>Clone</v>
      </c>
      <c r="M204" s="5" t="str">
        <f ca="1">IFERROR(__xludf.DUMMYFUNCTION("""COMPUTED_VALUE"""),"Turbo Hot 40")</f>
        <v>Turbo Hot 40</v>
      </c>
      <c r="N204" s="5"/>
      <c r="O204" s="5"/>
      <c r="P204" s="5"/>
      <c r="Q204" s="5"/>
      <c r="R204" s="5"/>
      <c r="S204" s="5"/>
      <c r="T204" s="5"/>
      <c r="U204" s="5" t="str">
        <f ca="1">IFERROR(__xludf.DUMMYFUNCTION("""COMPUTED_VALUE"""),"5x4")</f>
        <v>5x4</v>
      </c>
      <c r="V204" s="12" t="str">
        <f ca="1">IFERROR(__xludf.DUMMYFUNCTION("""COMPUTED_VALUE"""),"40")</f>
        <v>40</v>
      </c>
      <c r="W204" s="12" t="str">
        <f ca="1">IFERROR(__xludf.DUMMYFUNCTION("""COMPUTED_VALUE"""),"40")</f>
        <v>40</v>
      </c>
      <c r="X204" s="5">
        <f ca="1">IFERROR(__xludf.DUMMYFUNCTION("""COMPUTED_VALUE"""),96.584)</f>
        <v>96.584000000000003</v>
      </c>
      <c r="Y204" s="5" t="str">
        <f ca="1">IFERROR(__xludf.DUMMYFUNCTION("""COMPUTED_VALUE"""),"Low")</f>
        <v>Low</v>
      </c>
      <c r="Z204" s="5">
        <f ca="1">IFERROR(__xludf.DUMMYFUNCTION("""COMPUTED_VALUE"""),16.73)</f>
        <v>16.73</v>
      </c>
      <c r="AA204" s="14">
        <f ca="1">IFERROR(__xludf.DUMMYFUNCTION("""COMPUTED_VALUE"""),1000)</f>
        <v>1000</v>
      </c>
      <c r="AB204" s="5" t="str">
        <f ca="1">IFERROR(__xludf.DUMMYFUNCTION("""COMPUTED_VALUE"""),"/")</f>
        <v>/</v>
      </c>
      <c r="AC204" s="5" t="str">
        <f ca="1">IFERROR(__xludf.DUMMYFUNCTION("""COMPUTED_VALUE"""),"Scatter, Wild Symbol")</f>
        <v>Scatter, Wild Symbol</v>
      </c>
      <c r="AD204" s="5"/>
      <c r="AE204" s="5"/>
      <c r="AF204" s="5"/>
      <c r="AG204" s="5"/>
      <c r="AH204" s="5"/>
      <c r="AI204" s="5"/>
      <c r="AJ204" s="5"/>
      <c r="AK204" s="5">
        <f ca="1">IFERROR(__xludf.DUMMYFUNCTION("""COMPUTED_VALUE"""),40)</f>
        <v>40</v>
      </c>
      <c r="AL204" s="5"/>
      <c r="AM204" s="5"/>
      <c r="AN204" s="5"/>
      <c r="AO204" s="5"/>
      <c r="AP204" s="5"/>
      <c r="AQ204" s="5"/>
      <c r="AR204" s="5"/>
      <c r="AS204" s="5"/>
      <c r="AT204" s="5"/>
      <c r="AU204" s="5" t="str">
        <f ca="1">IFERROR(__xludf.DUMMYFUNCTION("""COMPUTED_VALUE"""),"Fazi")</f>
        <v>Fazi</v>
      </c>
      <c r="AV204" s="5"/>
      <c r="AW204" s="5"/>
      <c r="AX204" s="5"/>
      <c r="AY204" s="5"/>
      <c r="AZ204" s="5"/>
      <c r="BA204" s="5" t="str">
        <f ca="1">IFERROR(__xludf.DUMMYFUNCTION("""COMPUTED_VALUE"""),"")</f>
        <v/>
      </c>
      <c r="BB204" s="5"/>
      <c r="BC204" s="5" t="str">
        <f ca="1">IFERROR(__xludf.DUMMYFUNCTION("""COMPUTED_VALUE"""),"Foxi")</f>
        <v>Foxi</v>
      </c>
      <c r="BD204" s="5" t="str">
        <f ca="1">IFERROR(__xludf.DUMMYFUNCTION("""COMPUTED_VALUE"""),"")</f>
        <v/>
      </c>
      <c r="BE204" s="5"/>
    </row>
    <row r="205" spans="1:57" x14ac:dyDescent="0.25">
      <c r="A205" s="5">
        <f ca="1">IFERROR(__xludf.DUMMYFUNCTION("""COMPUTED_VALUE"""),205)</f>
        <v>205</v>
      </c>
      <c r="B205" s="5">
        <f ca="1">IFERROR(__xludf.DUMMYFUNCTION("""COMPUTED_VALUE"""),204)</f>
        <v>204</v>
      </c>
      <c r="C205" s="5" t="str">
        <f ca="1">IFERROR(__xludf.DUMMYFUNCTION("""COMPUTED_VALUE"""),"Fazi")</f>
        <v>Fazi</v>
      </c>
      <c r="D205" s="5" t="str">
        <f ca="1">IFERROR(__xludf.DUMMYFUNCTION("""COMPUTED_VALUE"""),"Fruits And Stars Christmas")</f>
        <v>Fruits And Stars Christmas</v>
      </c>
      <c r="E205" s="5" t="str">
        <f ca="1">IFERROR(__xludf.DUMMYFUNCTION("""COMPUTED_VALUE"""),"V2")</f>
        <v>V2</v>
      </c>
      <c r="F205" s="5" t="str">
        <f ca="1">IFERROR(__xludf.DUMMYFUNCTION("""COMPUTED_VALUE"""),"FruitsAndStarsChristmas")</f>
        <v>FruitsAndStarsChristmas</v>
      </c>
      <c r="G205" s="5" t="str">
        <f ca="1">IFERROR(__xludf.DUMMYFUNCTION("""COMPUTED_VALUE"""),"Live")</f>
        <v>Live</v>
      </c>
      <c r="H205" s="5"/>
      <c r="I205" s="5" t="str">
        <f ca="1">IFERROR(__xludf.DUMMYFUNCTION("""COMPUTED_VALUE"""),"V2")</f>
        <v>V2</v>
      </c>
      <c r="J205" s="5" t="str">
        <f ca="1">IFERROR(__xludf.DUMMYFUNCTION("""COMPUTED_VALUE"""),"JSON")</f>
        <v>JSON</v>
      </c>
      <c r="K205" s="5" t="str">
        <f ca="1">IFERROR(__xludf.DUMMYFUNCTION("""COMPUTED_VALUE"""),"Slot")</f>
        <v>Slot</v>
      </c>
      <c r="L205" s="5" t="str">
        <f ca="1">IFERROR(__xludf.DUMMYFUNCTION("""COMPUTED_VALUE"""),"Clone")</f>
        <v>Clone</v>
      </c>
      <c r="M205" s="5" t="str">
        <f ca="1">IFERROR(__xludf.DUMMYFUNCTION("""COMPUTED_VALUE"""),"Fruits and Stars")</f>
        <v>Fruits and Stars</v>
      </c>
      <c r="N205" s="5"/>
      <c r="O205" s="5"/>
      <c r="P205" s="5"/>
      <c r="Q205" s="5"/>
      <c r="R205" s="5"/>
      <c r="S205" s="5"/>
      <c r="T205" s="5"/>
      <c r="U205" s="5" t="str">
        <f ca="1">IFERROR(__xludf.DUMMYFUNCTION("""COMPUTED_VALUE"""),"5x3")</f>
        <v>5x3</v>
      </c>
      <c r="V205" s="12" t="str">
        <f ca="1">IFERROR(__xludf.DUMMYFUNCTION("""COMPUTED_VALUE"""),"20")</f>
        <v>20</v>
      </c>
      <c r="W205" s="12" t="str">
        <f ca="1">IFERROR(__xludf.DUMMYFUNCTION("""COMPUTED_VALUE"""),"1,3,5,7,10,20")</f>
        <v>1,3,5,7,10,20</v>
      </c>
      <c r="X205" s="5">
        <f ca="1">IFERROR(__xludf.DUMMYFUNCTION("""COMPUTED_VALUE"""),95.79)</f>
        <v>95.79</v>
      </c>
      <c r="Y205" s="5" t="str">
        <f ca="1">IFERROR(__xludf.DUMMYFUNCTION("""COMPUTED_VALUE"""),"Low")</f>
        <v>Low</v>
      </c>
      <c r="Z205" s="5">
        <f ca="1">IFERROR(__xludf.DUMMYFUNCTION("""COMPUTED_VALUE"""),17.45)</f>
        <v>17.45</v>
      </c>
      <c r="AA205" s="14">
        <f ca="1">IFERROR(__xludf.DUMMYFUNCTION("""COMPUTED_VALUE"""),1000)</f>
        <v>1000</v>
      </c>
      <c r="AB205" s="5" t="str">
        <f ca="1">IFERROR(__xludf.DUMMYFUNCTION("""COMPUTED_VALUE"""),"/")</f>
        <v>/</v>
      </c>
      <c r="AC205" s="5" t="str">
        <f ca="1">IFERROR(__xludf.DUMMYFUNCTION("""COMPUTED_VALUE"""),"Wild Symbol, Scatter")</f>
        <v>Wild Symbol, Scatter</v>
      </c>
      <c r="AD205" s="5"/>
      <c r="AE205" s="5"/>
      <c r="AF205" s="5"/>
      <c r="AG205" s="10">
        <f ca="1">IFERROR(__xludf.DUMMYFUNCTION("""COMPUTED_VALUE"""),46101.616574074)</f>
        <v>46101.616574074003</v>
      </c>
      <c r="AH205" s="5" t="str">
        <f ca="1">IFERROR(__xludf.DUMMYFUNCTION("""COMPUTED_VALUE"""),"milutin.toskic@fazi.rs")</f>
        <v>milutin.toskic@fazi.rs</v>
      </c>
      <c r="AI205" s="5"/>
      <c r="AJ205" s="5"/>
      <c r="AK205" s="5">
        <f ca="1">IFERROR(__xludf.DUMMYFUNCTION("""COMPUTED_VALUE"""),20)</f>
        <v>20</v>
      </c>
      <c r="AL205" s="5" t="str">
        <f ca="1">IFERROR(__xludf.DUMMYFUNCTION("""COMPUTED_VALUE"""),"Yes")</f>
        <v>Yes</v>
      </c>
      <c r="AM205" s="5"/>
      <c r="AN205" s="5"/>
      <c r="AO205" s="5" t="str">
        <f ca="1">IFERROR(__xludf.DUMMYFUNCTION("""COMPUTED_VALUE"""),"Yes")</f>
        <v>Yes</v>
      </c>
      <c r="AP205" s="5" t="str">
        <f ca="1">IFERROR(__xludf.DUMMYFUNCTION("""COMPUTED_VALUE"""),"Yes")</f>
        <v>Yes</v>
      </c>
      <c r="AQ205" s="5"/>
      <c r="AR205" s="5"/>
      <c r="AS205" s="5"/>
      <c r="AT205" s="5" t="str">
        <f ca="1">IFERROR(__xludf.DUMMYFUNCTION("""COMPUTED_VALUE"""),"No")</f>
        <v>No</v>
      </c>
      <c r="AU205" s="5" t="str">
        <f ca="1">IFERROR(__xludf.DUMMYFUNCTION("""COMPUTED_VALUE"""),"Fazi")</f>
        <v>Fazi</v>
      </c>
      <c r="AV205" s="5"/>
      <c r="AW205" s="5"/>
      <c r="AX205" s="5"/>
      <c r="AY205" s="5" t="str">
        <f ca="1">IFERROR(__xludf.DUMMYFUNCTION("""COMPUTED_VALUE"""),"87.5%, 89.5%, 91.5%, 93.5%, 94.5%, 95.5%, 96.5%")</f>
        <v>87.5%, 89.5%, 91.5%, 93.5%, 94.5%, 95.5%, 96.5%</v>
      </c>
      <c r="AZ205" s="5"/>
      <c r="BA205" s="5" t="str">
        <f ca="1">IFERROR(__xludf.DUMMYFUNCTION("""COMPUTED_VALUE"""),"")</f>
        <v/>
      </c>
      <c r="BB205" s="5"/>
      <c r="BC205" s="5" t="str">
        <f ca="1">IFERROR(__xludf.DUMMYFUNCTION("""COMPUTED_VALUE"""),"Foxi")</f>
        <v>Foxi</v>
      </c>
      <c r="BD205" s="5" t="str">
        <f ca="1">IFERROR(__xludf.DUMMYFUNCTION("""COMPUTED_VALUE"""),"")</f>
        <v/>
      </c>
      <c r="BE205" s="5"/>
    </row>
    <row r="206" spans="1:57" x14ac:dyDescent="0.25">
      <c r="A206" s="5">
        <f ca="1">IFERROR(__xludf.DUMMYFUNCTION("""COMPUTED_VALUE"""),206)</f>
        <v>206</v>
      </c>
      <c r="B206" s="5">
        <f ca="1">IFERROR(__xludf.DUMMYFUNCTION("""COMPUTED_VALUE"""),205)</f>
        <v>205</v>
      </c>
      <c r="C206" s="5" t="str">
        <f ca="1">IFERROR(__xludf.DUMMYFUNCTION("""COMPUTED_VALUE"""),"Fazi")</f>
        <v>Fazi</v>
      </c>
      <c r="D206" s="5" t="str">
        <f ca="1">IFERROR(__xludf.DUMMYFUNCTION("""COMPUTED_VALUE"""),"Hot Stars Christmas")</f>
        <v>Hot Stars Christmas</v>
      </c>
      <c r="E206" s="5" t="str">
        <f ca="1">IFERROR(__xludf.DUMMYFUNCTION("""COMPUTED_VALUE"""),"V2")</f>
        <v>V2</v>
      </c>
      <c r="F206" s="5" t="str">
        <f ca="1">IFERROR(__xludf.DUMMYFUNCTION("""COMPUTED_VALUE"""),"HotStarsChristmas")</f>
        <v>HotStarsChristmas</v>
      </c>
      <c r="G206" s="5" t="str">
        <f ca="1">IFERROR(__xludf.DUMMYFUNCTION("""COMPUTED_VALUE"""),"Live")</f>
        <v>Live</v>
      </c>
      <c r="H206" s="5"/>
      <c r="I206" s="5" t="str">
        <f ca="1">IFERROR(__xludf.DUMMYFUNCTION("""COMPUTED_VALUE"""),"V2")</f>
        <v>V2</v>
      </c>
      <c r="J206" s="5" t="str">
        <f ca="1">IFERROR(__xludf.DUMMYFUNCTION("""COMPUTED_VALUE"""),"Binary")</f>
        <v>Binary</v>
      </c>
      <c r="K206" s="5" t="str">
        <f ca="1">IFERROR(__xludf.DUMMYFUNCTION("""COMPUTED_VALUE"""),"Slot")</f>
        <v>Slot</v>
      </c>
      <c r="L206" s="5" t="str">
        <f ca="1">IFERROR(__xludf.DUMMYFUNCTION("""COMPUTED_VALUE"""),"Clone")</f>
        <v>Clone</v>
      </c>
      <c r="M206" s="5" t="str">
        <f ca="1">IFERROR(__xludf.DUMMYFUNCTION("""COMPUTED_VALUE"""),"Hot Stars")</f>
        <v>Hot Stars</v>
      </c>
      <c r="N206" s="5"/>
      <c r="O206" s="5"/>
      <c r="P206" s="5"/>
      <c r="Q206" s="5"/>
      <c r="R206" s="5"/>
      <c r="S206" s="5"/>
      <c r="T206" s="5"/>
      <c r="U206" s="5" t="str">
        <f ca="1">IFERROR(__xludf.DUMMYFUNCTION("""COMPUTED_VALUE"""),"5x3")</f>
        <v>5x3</v>
      </c>
      <c r="V206" s="12" t="str">
        <f ca="1">IFERROR(__xludf.DUMMYFUNCTION("""COMPUTED_VALUE"""),"10")</f>
        <v>10</v>
      </c>
      <c r="W206" s="12" t="str">
        <f ca="1">IFERROR(__xludf.DUMMYFUNCTION("""COMPUTED_VALUE"""),"1,3,5,7,10")</f>
        <v>1,3,5,7,10</v>
      </c>
      <c r="X206" s="5">
        <f ca="1">IFERROR(__xludf.DUMMYFUNCTION("""COMPUTED_VALUE"""),95.544)</f>
        <v>95.543999999999997</v>
      </c>
      <c r="Y206" s="5" t="str">
        <f ca="1">IFERROR(__xludf.DUMMYFUNCTION("""COMPUTED_VALUE"""),"Medium")</f>
        <v>Medium</v>
      </c>
      <c r="Z206" s="5">
        <f ca="1">IFERROR(__xludf.DUMMYFUNCTION("""COMPUTED_VALUE"""),13.02)</f>
        <v>13.02</v>
      </c>
      <c r="AA206" s="14">
        <f ca="1">IFERROR(__xludf.DUMMYFUNCTION("""COMPUTED_VALUE"""),1611)</f>
        <v>1611</v>
      </c>
      <c r="AB206" s="5">
        <f ca="1">IFERROR(__xludf.DUMMYFUNCTION("""COMPUTED_VALUE"""),18)</f>
        <v>18</v>
      </c>
      <c r="AC206" s="5" t="str">
        <f ca="1">IFERROR(__xludf.DUMMYFUNCTION("""COMPUTED_VALUE"""),"Expanding Wild, Respin, Bothways")</f>
        <v>Expanding Wild, Respin, Bothways</v>
      </c>
      <c r="AD206" s="5"/>
      <c r="AE206" s="5"/>
      <c r="AF206" s="5"/>
      <c r="AG206" s="5"/>
      <c r="AH206" s="5"/>
      <c r="AI206" s="5"/>
      <c r="AJ206" s="5"/>
      <c r="AK206" s="5">
        <f ca="1">IFERROR(__xludf.DUMMYFUNCTION("""COMPUTED_VALUE"""),10)</f>
        <v>10</v>
      </c>
      <c r="AL206" s="5"/>
      <c r="AM206" s="5"/>
      <c r="AN206" s="5"/>
      <c r="AO206" s="5"/>
      <c r="AP206" s="5"/>
      <c r="AQ206" s="5"/>
      <c r="AR206" s="5"/>
      <c r="AS206" s="5"/>
      <c r="AT206" s="5"/>
      <c r="AU206" s="5" t="str">
        <f ca="1">IFERROR(__xludf.DUMMYFUNCTION("""COMPUTED_VALUE"""),"Fazi")</f>
        <v>Fazi</v>
      </c>
      <c r="AV206" s="5"/>
      <c r="AW206" s="5"/>
      <c r="AX206" s="5"/>
      <c r="AY206" s="5"/>
      <c r="AZ206" s="5"/>
      <c r="BA206" s="5" t="str">
        <f ca="1">IFERROR(__xludf.DUMMYFUNCTION("""COMPUTED_VALUE"""),"")</f>
        <v/>
      </c>
      <c r="BB206" s="5"/>
      <c r="BC206" s="5" t="str">
        <f ca="1">IFERROR(__xludf.DUMMYFUNCTION("""COMPUTED_VALUE"""),"Foxi")</f>
        <v>Foxi</v>
      </c>
      <c r="BD206" s="5" t="str">
        <f ca="1">IFERROR(__xludf.DUMMYFUNCTION("""COMPUTED_VALUE"""),"")</f>
        <v/>
      </c>
      <c r="BE206" s="5"/>
    </row>
    <row r="207" spans="1:57" x14ac:dyDescent="0.25">
      <c r="A207" s="5">
        <f ca="1">IFERROR(__xludf.DUMMYFUNCTION("""COMPUTED_VALUE"""),207)</f>
        <v>207</v>
      </c>
      <c r="B207" s="5">
        <f ca="1">IFERROR(__xludf.DUMMYFUNCTION("""COMPUTED_VALUE"""),206)</f>
        <v>206</v>
      </c>
      <c r="C207" s="5" t="str">
        <f ca="1">IFERROR(__xludf.DUMMYFUNCTION("""COMPUTED_VALUE"""),"Fazi")</f>
        <v>Fazi</v>
      </c>
      <c r="D207" s="5" t="str">
        <f ca="1">IFERROR(__xludf.DUMMYFUNCTION("""COMPUTED_VALUE"""),"Turbo Hot 40 Christmas")</f>
        <v>Turbo Hot 40 Christmas</v>
      </c>
      <c r="E207" s="5" t="str">
        <f ca="1">IFERROR(__xludf.DUMMYFUNCTION("""COMPUTED_VALUE"""),"V2")</f>
        <v>V2</v>
      </c>
      <c r="F207" s="5" t="str">
        <f ca="1">IFERROR(__xludf.DUMMYFUNCTION("""COMPUTED_VALUE"""),"TurboHot40Christmas")</f>
        <v>TurboHot40Christmas</v>
      </c>
      <c r="G207" s="5" t="str">
        <f ca="1">IFERROR(__xludf.DUMMYFUNCTION("""COMPUTED_VALUE"""),"Live")</f>
        <v>Live</v>
      </c>
      <c r="H207" s="5"/>
      <c r="I207" s="5" t="str">
        <f ca="1">IFERROR(__xludf.DUMMYFUNCTION("""COMPUTED_VALUE"""),"V2")</f>
        <v>V2</v>
      </c>
      <c r="J207" s="5" t="str">
        <f ca="1">IFERROR(__xludf.DUMMYFUNCTION("""COMPUTED_VALUE"""),"Binary")</f>
        <v>Binary</v>
      </c>
      <c r="K207" s="5" t="str">
        <f ca="1">IFERROR(__xludf.DUMMYFUNCTION("""COMPUTED_VALUE"""),"Slot")</f>
        <v>Slot</v>
      </c>
      <c r="L207" s="5" t="str">
        <f ca="1">IFERROR(__xludf.DUMMYFUNCTION("""COMPUTED_VALUE"""),"Clone")</f>
        <v>Clone</v>
      </c>
      <c r="M207" s="5" t="str">
        <f ca="1">IFERROR(__xludf.DUMMYFUNCTION("""COMPUTED_VALUE"""),"Turbo Hot 40")</f>
        <v>Turbo Hot 40</v>
      </c>
      <c r="N207" s="5"/>
      <c r="O207" s="5"/>
      <c r="P207" s="5"/>
      <c r="Q207" s="5"/>
      <c r="R207" s="5"/>
      <c r="S207" s="5"/>
      <c r="T207" s="5"/>
      <c r="U207" s="5" t="str">
        <f ca="1">IFERROR(__xludf.DUMMYFUNCTION("""COMPUTED_VALUE"""),"5x4")</f>
        <v>5x4</v>
      </c>
      <c r="V207" s="12" t="str">
        <f ca="1">IFERROR(__xludf.DUMMYFUNCTION("""COMPUTED_VALUE"""),"40")</f>
        <v>40</v>
      </c>
      <c r="W207" s="12" t="str">
        <f ca="1">IFERROR(__xludf.DUMMYFUNCTION("""COMPUTED_VALUE"""),"40")</f>
        <v>40</v>
      </c>
      <c r="X207" s="5">
        <f ca="1">IFERROR(__xludf.DUMMYFUNCTION("""COMPUTED_VALUE"""),96.584)</f>
        <v>96.584000000000003</v>
      </c>
      <c r="Y207" s="5" t="str">
        <f ca="1">IFERROR(__xludf.DUMMYFUNCTION("""COMPUTED_VALUE"""),"Low")</f>
        <v>Low</v>
      </c>
      <c r="Z207" s="5">
        <f ca="1">IFERROR(__xludf.DUMMYFUNCTION("""COMPUTED_VALUE"""),16.73)</f>
        <v>16.73</v>
      </c>
      <c r="AA207" s="14">
        <f ca="1">IFERROR(__xludf.DUMMYFUNCTION("""COMPUTED_VALUE"""),1000)</f>
        <v>1000</v>
      </c>
      <c r="AB207" s="5" t="str">
        <f ca="1">IFERROR(__xludf.DUMMYFUNCTION("""COMPUTED_VALUE"""),"/")</f>
        <v>/</v>
      </c>
      <c r="AC207" s="5" t="str">
        <f ca="1">IFERROR(__xludf.DUMMYFUNCTION("""COMPUTED_VALUE"""),"Wild Symbol, Scatter")</f>
        <v>Wild Symbol, Scatter</v>
      </c>
      <c r="AD207" s="5"/>
      <c r="AE207" s="5"/>
      <c r="AF207" s="5"/>
      <c r="AG207" s="5"/>
      <c r="AH207" s="5"/>
      <c r="AI207" s="5"/>
      <c r="AJ207" s="5"/>
      <c r="AK207" s="5">
        <f ca="1">IFERROR(__xludf.DUMMYFUNCTION("""COMPUTED_VALUE"""),40)</f>
        <v>40</v>
      </c>
      <c r="AL207" s="5"/>
      <c r="AM207" s="5"/>
      <c r="AN207" s="5"/>
      <c r="AO207" s="5"/>
      <c r="AP207" s="5"/>
      <c r="AQ207" s="5"/>
      <c r="AR207" s="5"/>
      <c r="AS207" s="5"/>
      <c r="AT207" s="5"/>
      <c r="AU207" s="5" t="str">
        <f ca="1">IFERROR(__xludf.DUMMYFUNCTION("""COMPUTED_VALUE"""),"Fazi")</f>
        <v>Fazi</v>
      </c>
      <c r="AV207" s="5"/>
      <c r="AW207" s="5"/>
      <c r="AX207" s="5"/>
      <c r="AY207" s="5"/>
      <c r="AZ207" s="5"/>
      <c r="BA207" s="5" t="str">
        <f ca="1">IFERROR(__xludf.DUMMYFUNCTION("""COMPUTED_VALUE"""),"")</f>
        <v/>
      </c>
      <c r="BB207" s="5"/>
      <c r="BC207" s="5" t="str">
        <f ca="1">IFERROR(__xludf.DUMMYFUNCTION("""COMPUTED_VALUE"""),"Foxi")</f>
        <v>Foxi</v>
      </c>
      <c r="BD207" s="5" t="str">
        <f ca="1">IFERROR(__xludf.DUMMYFUNCTION("""COMPUTED_VALUE"""),"")</f>
        <v/>
      </c>
      <c r="BE207" s="5"/>
    </row>
    <row r="208" spans="1:57" x14ac:dyDescent="0.25">
      <c r="A208" s="5">
        <f ca="1">IFERROR(__xludf.DUMMYFUNCTION("""COMPUTED_VALUE"""),208)</f>
        <v>208</v>
      </c>
      <c r="B208" s="5">
        <f ca="1">IFERROR(__xludf.DUMMYFUNCTION("""COMPUTED_VALUE"""),207)</f>
        <v>207</v>
      </c>
      <c r="C208" s="5" t="str">
        <f ca="1">IFERROR(__xludf.DUMMYFUNCTION("""COMPUTED_VALUE"""),"Fazi")</f>
        <v>Fazi</v>
      </c>
      <c r="D208" s="5" t="str">
        <f ca="1">IFERROR(__xludf.DUMMYFUNCTION("""COMPUTED_VALUE"""),"Retro 7 Hot Christmas")</f>
        <v>Retro 7 Hot Christmas</v>
      </c>
      <c r="E208" s="5" t="str">
        <f ca="1">IFERROR(__xludf.DUMMYFUNCTION("""COMPUTED_VALUE"""),"V2")</f>
        <v>V2</v>
      </c>
      <c r="F208" s="5" t="str">
        <f ca="1">IFERROR(__xludf.DUMMYFUNCTION("""COMPUTED_VALUE"""),"Retro7HotChristmas")</f>
        <v>Retro7HotChristmas</v>
      </c>
      <c r="G208" s="5" t="str">
        <f ca="1">IFERROR(__xludf.DUMMYFUNCTION("""COMPUTED_VALUE"""),"Live")</f>
        <v>Live</v>
      </c>
      <c r="H208" s="5"/>
      <c r="I208" s="5" t="str">
        <f ca="1">IFERROR(__xludf.DUMMYFUNCTION("""COMPUTED_VALUE"""),"V2")</f>
        <v>V2</v>
      </c>
      <c r="J208" s="5" t="str">
        <f ca="1">IFERROR(__xludf.DUMMYFUNCTION("""COMPUTED_VALUE"""),"Binary")</f>
        <v>Binary</v>
      </c>
      <c r="K208" s="5" t="str">
        <f ca="1">IFERROR(__xludf.DUMMYFUNCTION("""COMPUTED_VALUE"""),"Slot")</f>
        <v>Slot</v>
      </c>
      <c r="L208" s="5" t="str">
        <f ca="1">IFERROR(__xludf.DUMMYFUNCTION("""COMPUTED_VALUE"""),"Clone")</f>
        <v>Clone</v>
      </c>
      <c r="M208" s="5" t="str">
        <f ca="1">IFERROR(__xludf.DUMMYFUNCTION("""COMPUTED_VALUE"""),"Retro 7 Hot Christmas")</f>
        <v>Retro 7 Hot Christmas</v>
      </c>
      <c r="N208" s="5"/>
      <c r="O208" s="5"/>
      <c r="P208" s="5"/>
      <c r="Q208" s="5"/>
      <c r="R208" s="5"/>
      <c r="S208" s="5"/>
      <c r="T208" s="5"/>
      <c r="U208" s="5" t="str">
        <f ca="1">IFERROR(__xludf.DUMMYFUNCTION("""COMPUTED_VALUE"""),"3x3")</f>
        <v>3x3</v>
      </c>
      <c r="V208" s="12" t="str">
        <f ca="1">IFERROR(__xludf.DUMMYFUNCTION("""COMPUTED_VALUE"""),"5")</f>
        <v>5</v>
      </c>
      <c r="W208" s="12" t="str">
        <f ca="1">IFERROR(__xludf.DUMMYFUNCTION("""COMPUTED_VALUE"""),"5")</f>
        <v>5</v>
      </c>
      <c r="X208" s="5">
        <f ca="1">IFERROR(__xludf.DUMMYFUNCTION("""COMPUTED_VALUE"""),95.513)</f>
        <v>95.513000000000005</v>
      </c>
      <c r="Y208" s="5" t="str">
        <f ca="1">IFERROR(__xludf.DUMMYFUNCTION("""COMPUTED_VALUE"""),"Low")</f>
        <v>Low</v>
      </c>
      <c r="Z208" s="5">
        <f ca="1">IFERROR(__xludf.DUMMYFUNCTION("""COMPUTED_VALUE"""),6.51)</f>
        <v>6.51</v>
      </c>
      <c r="AA208" s="14">
        <f ca="1">IFERROR(__xludf.DUMMYFUNCTION("""COMPUTED_VALUE"""),60)</f>
        <v>60</v>
      </c>
      <c r="AB208" s="5" t="str">
        <f ca="1">IFERROR(__xludf.DUMMYFUNCTION("""COMPUTED_VALUE"""),"/")</f>
        <v>/</v>
      </c>
      <c r="AC208" s="5"/>
      <c r="AD208" s="5"/>
      <c r="AE208" s="5"/>
      <c r="AF208" s="5"/>
      <c r="AG208" s="5"/>
      <c r="AH208" s="5"/>
      <c r="AI208" s="5"/>
      <c r="AJ208" s="5"/>
      <c r="AK208" s="5">
        <f ca="1">IFERROR(__xludf.DUMMYFUNCTION("""COMPUTED_VALUE"""),5)</f>
        <v>5</v>
      </c>
      <c r="AL208" s="5"/>
      <c r="AM208" s="5"/>
      <c r="AN208" s="5"/>
      <c r="AO208" s="5"/>
      <c r="AP208" s="5"/>
      <c r="AQ208" s="5"/>
      <c r="AR208" s="5"/>
      <c r="AS208" s="5"/>
      <c r="AT208" s="5"/>
      <c r="AU208" s="5" t="str">
        <f ca="1">IFERROR(__xludf.DUMMYFUNCTION("""COMPUTED_VALUE"""),"Fazi")</f>
        <v>Fazi</v>
      </c>
      <c r="AV208" s="5"/>
      <c r="AW208" s="5"/>
      <c r="AX208" s="5"/>
      <c r="AY208" s="5"/>
      <c r="AZ208" s="5"/>
      <c r="BA208" s="5" t="str">
        <f ca="1">IFERROR(__xludf.DUMMYFUNCTION("""COMPUTED_VALUE"""),"")</f>
        <v/>
      </c>
      <c r="BB208" s="5"/>
      <c r="BC208" s="5" t="str">
        <f ca="1">IFERROR(__xludf.DUMMYFUNCTION("""COMPUTED_VALUE"""),"Foxi")</f>
        <v>Foxi</v>
      </c>
      <c r="BD208" s="5" t="str">
        <f ca="1">IFERROR(__xludf.DUMMYFUNCTION("""COMPUTED_VALUE"""),"")</f>
        <v/>
      </c>
      <c r="BE208" s="5"/>
    </row>
    <row r="209" spans="1:57" x14ac:dyDescent="0.25">
      <c r="A209" s="5">
        <f ca="1">IFERROR(__xludf.DUMMYFUNCTION("""COMPUTED_VALUE"""),209)</f>
        <v>209</v>
      </c>
      <c r="B209" s="5">
        <f ca="1">IFERROR(__xludf.DUMMYFUNCTION("""COMPUTED_VALUE"""),208)</f>
        <v>208</v>
      </c>
      <c r="C209" s="5" t="str">
        <f ca="1">IFERROR(__xludf.DUMMYFUNCTION("""COMPUTED_VALUE"""),"Fazi")</f>
        <v>Fazi</v>
      </c>
      <c r="D209" s="5" t="str">
        <f ca="1">IFERROR(__xludf.DUMMYFUNCTION("""COMPUTED_VALUE"""),"Fruits And Stars 40 Christmas")</f>
        <v>Fruits And Stars 40 Christmas</v>
      </c>
      <c r="E209" s="5" t="str">
        <f ca="1">IFERROR(__xludf.DUMMYFUNCTION("""COMPUTED_VALUE"""),"V2")</f>
        <v>V2</v>
      </c>
      <c r="F209" s="5" t="str">
        <f ca="1">IFERROR(__xludf.DUMMYFUNCTION("""COMPUTED_VALUE"""),"FruitsAndStars40Christmas")</f>
        <v>FruitsAndStars40Christmas</v>
      </c>
      <c r="G209" s="5" t="str">
        <f ca="1">IFERROR(__xludf.DUMMYFUNCTION("""COMPUTED_VALUE"""),"Live")</f>
        <v>Live</v>
      </c>
      <c r="H209" s="5"/>
      <c r="I209" s="5" t="str">
        <f ca="1">IFERROR(__xludf.DUMMYFUNCTION("""COMPUTED_VALUE"""),"V2")</f>
        <v>V2</v>
      </c>
      <c r="J209" s="5" t="str">
        <f ca="1">IFERROR(__xludf.DUMMYFUNCTION("""COMPUTED_VALUE"""),"Binary")</f>
        <v>Binary</v>
      </c>
      <c r="K209" s="5" t="str">
        <f ca="1">IFERROR(__xludf.DUMMYFUNCTION("""COMPUTED_VALUE"""),"Slot")</f>
        <v>Slot</v>
      </c>
      <c r="L209" s="5" t="str">
        <f ca="1">IFERROR(__xludf.DUMMYFUNCTION("""COMPUTED_VALUE"""),"Clone")</f>
        <v>Clone</v>
      </c>
      <c r="M209" s="5" t="str">
        <f ca="1">IFERROR(__xludf.DUMMYFUNCTION("""COMPUTED_VALUE"""),"Fruits and Stars")</f>
        <v>Fruits and Stars</v>
      </c>
      <c r="N209" s="5"/>
      <c r="O209" s="5"/>
      <c r="P209" s="5"/>
      <c r="Q209" s="5"/>
      <c r="R209" s="5"/>
      <c r="S209" s="5"/>
      <c r="T209" s="5"/>
      <c r="U209" s="5" t="str">
        <f ca="1">IFERROR(__xludf.DUMMYFUNCTION("""COMPUTED_VALUE"""),"5x3")</f>
        <v>5x3</v>
      </c>
      <c r="V209" s="12" t="str">
        <f ca="1">IFERROR(__xludf.DUMMYFUNCTION("""COMPUTED_VALUE"""),"40")</f>
        <v>40</v>
      </c>
      <c r="W209" s="12" t="str">
        <f ca="1">IFERROR(__xludf.DUMMYFUNCTION("""COMPUTED_VALUE"""),"40")</f>
        <v>40</v>
      </c>
      <c r="X209" s="5">
        <f ca="1">IFERROR(__xludf.DUMMYFUNCTION("""COMPUTED_VALUE"""),95.79)</f>
        <v>95.79</v>
      </c>
      <c r="Y209" s="5" t="str">
        <f ca="1">IFERROR(__xludf.DUMMYFUNCTION("""COMPUTED_VALUE"""),"Low")</f>
        <v>Low</v>
      </c>
      <c r="Z209" s="5">
        <f ca="1">IFERROR(__xludf.DUMMYFUNCTION("""COMPUTED_VALUE"""),18.24)</f>
        <v>18.239999999999998</v>
      </c>
      <c r="AA209" s="14">
        <f ca="1">IFERROR(__xludf.DUMMYFUNCTION("""COMPUTED_VALUE"""),1000)</f>
        <v>1000</v>
      </c>
      <c r="AB209" s="5" t="str">
        <f ca="1">IFERROR(__xludf.DUMMYFUNCTION("""COMPUTED_VALUE"""),"/")</f>
        <v>/</v>
      </c>
      <c r="AC209" s="5" t="str">
        <f ca="1">IFERROR(__xludf.DUMMYFUNCTION("""COMPUTED_VALUE"""),"Wild Symbol, Scatter")</f>
        <v>Wild Symbol, Scatter</v>
      </c>
      <c r="AD209" s="5"/>
      <c r="AE209" s="5"/>
      <c r="AF209" s="5"/>
      <c r="AG209" s="5"/>
      <c r="AH209" s="5"/>
      <c r="AI209" s="5"/>
      <c r="AJ209" s="5"/>
      <c r="AK209" s="5">
        <f ca="1">IFERROR(__xludf.DUMMYFUNCTION("""COMPUTED_VALUE"""),40)</f>
        <v>40</v>
      </c>
      <c r="AL209" s="5"/>
      <c r="AM209" s="5"/>
      <c r="AN209" s="5"/>
      <c r="AO209" s="5"/>
      <c r="AP209" s="5"/>
      <c r="AQ209" s="5"/>
      <c r="AR209" s="5"/>
      <c r="AS209" s="5"/>
      <c r="AT209" s="5"/>
      <c r="AU209" s="5" t="str">
        <f ca="1">IFERROR(__xludf.DUMMYFUNCTION("""COMPUTED_VALUE"""),"Fazi")</f>
        <v>Fazi</v>
      </c>
      <c r="AV209" s="5"/>
      <c r="AW209" s="5"/>
      <c r="AX209" s="5"/>
      <c r="AY209" s="5"/>
      <c r="AZ209" s="5"/>
      <c r="BA209" s="5" t="str">
        <f ca="1">IFERROR(__xludf.DUMMYFUNCTION("""COMPUTED_VALUE"""),"")</f>
        <v/>
      </c>
      <c r="BB209" s="5"/>
      <c r="BC209" s="5" t="str">
        <f ca="1">IFERROR(__xludf.DUMMYFUNCTION("""COMPUTED_VALUE"""),"Foxi")</f>
        <v>Foxi</v>
      </c>
      <c r="BD209" s="5" t="str">
        <f ca="1">IFERROR(__xludf.DUMMYFUNCTION("""COMPUTED_VALUE"""),"")</f>
        <v/>
      </c>
      <c r="BE209" s="5"/>
    </row>
    <row r="210" spans="1:57" x14ac:dyDescent="0.25">
      <c r="A210" s="5">
        <f ca="1">IFERROR(__xludf.DUMMYFUNCTION("""COMPUTED_VALUE"""),210)</f>
        <v>210</v>
      </c>
      <c r="B210" s="5">
        <f ca="1">IFERROR(__xludf.DUMMYFUNCTION("""COMPUTED_VALUE"""),209)</f>
        <v>209</v>
      </c>
      <c r="C210" s="5" t="str">
        <f ca="1">IFERROR(__xludf.DUMMYFUNCTION("""COMPUTED_VALUE"""),"Fazi")</f>
        <v>Fazi</v>
      </c>
      <c r="D210" s="5" t="str">
        <f ca="1">IFERROR(__xludf.DUMMYFUNCTION("""COMPUTED_VALUE"""),"Twinkling Hot 40 Christmas")</f>
        <v>Twinkling Hot 40 Christmas</v>
      </c>
      <c r="E210" s="5" t="str">
        <f ca="1">IFERROR(__xludf.DUMMYFUNCTION("""COMPUTED_VALUE"""),"V2")</f>
        <v>V2</v>
      </c>
      <c r="F210" s="5" t="str">
        <f ca="1">IFERROR(__xludf.DUMMYFUNCTION("""COMPUTED_VALUE"""),"TwinklingHot40Christmas")</f>
        <v>TwinklingHot40Christmas</v>
      </c>
      <c r="G210" s="5" t="str">
        <f ca="1">IFERROR(__xludf.DUMMYFUNCTION("""COMPUTED_VALUE"""),"Live")</f>
        <v>Live</v>
      </c>
      <c r="H210" s="5"/>
      <c r="I210" s="5" t="str">
        <f ca="1">IFERROR(__xludf.DUMMYFUNCTION("""COMPUTED_VALUE"""),"V2")</f>
        <v>V2</v>
      </c>
      <c r="J210" s="5" t="str">
        <f ca="1">IFERROR(__xludf.DUMMYFUNCTION("""COMPUTED_VALUE"""),"Binary")</f>
        <v>Binary</v>
      </c>
      <c r="K210" s="5" t="str">
        <f ca="1">IFERROR(__xludf.DUMMYFUNCTION("""COMPUTED_VALUE"""),"Slot")</f>
        <v>Slot</v>
      </c>
      <c r="L210" s="5" t="str">
        <f ca="1">IFERROR(__xludf.DUMMYFUNCTION("""COMPUTED_VALUE"""),"Clone")</f>
        <v>Clone</v>
      </c>
      <c r="M210" s="5" t="str">
        <f ca="1">IFERROR(__xludf.DUMMYFUNCTION("""COMPUTED_VALUE"""),"Twinkling Hot 40")</f>
        <v>Twinkling Hot 40</v>
      </c>
      <c r="N210" s="5"/>
      <c r="O210" s="5"/>
      <c r="P210" s="5"/>
      <c r="Q210" s="5"/>
      <c r="R210" s="5"/>
      <c r="S210" s="5"/>
      <c r="T210" s="5"/>
      <c r="U210" s="5" t="str">
        <f ca="1">IFERROR(__xludf.DUMMYFUNCTION("""COMPUTED_VALUE"""),"5x3")</f>
        <v>5x3</v>
      </c>
      <c r="V210" s="12" t="str">
        <f ca="1">IFERROR(__xludf.DUMMYFUNCTION("""COMPUTED_VALUE"""),"40")</f>
        <v>40</v>
      </c>
      <c r="W210" s="12" t="str">
        <f ca="1">IFERROR(__xludf.DUMMYFUNCTION("""COMPUTED_VALUE"""),"40")</f>
        <v>40</v>
      </c>
      <c r="X210" s="5">
        <f ca="1">IFERROR(__xludf.DUMMYFUNCTION("""COMPUTED_VALUE"""),95.656)</f>
        <v>95.656000000000006</v>
      </c>
      <c r="Y210" s="5" t="str">
        <f ca="1">IFERROR(__xludf.DUMMYFUNCTION("""COMPUTED_VALUE"""),"Low")</f>
        <v>Low</v>
      </c>
      <c r="Z210" s="5">
        <f ca="1">IFERROR(__xludf.DUMMYFUNCTION("""COMPUTED_VALUE"""),17.87)</f>
        <v>17.87</v>
      </c>
      <c r="AA210" s="14">
        <f ca="1">IFERROR(__xludf.DUMMYFUNCTION("""COMPUTED_VALUE"""),200)</f>
        <v>200</v>
      </c>
      <c r="AB210" s="5" t="str">
        <f ca="1">IFERROR(__xludf.DUMMYFUNCTION("""COMPUTED_VALUE"""),"/")</f>
        <v>/</v>
      </c>
      <c r="AC210" s="5" t="str">
        <f ca="1">IFERROR(__xludf.DUMMYFUNCTION("""COMPUTED_VALUE"""),"Scatter")</f>
        <v>Scatter</v>
      </c>
      <c r="AD210" s="5"/>
      <c r="AE210" s="5"/>
      <c r="AF210" s="5"/>
      <c r="AG210" s="5"/>
      <c r="AH210" s="5"/>
      <c r="AI210" s="5"/>
      <c r="AJ210" s="5"/>
      <c r="AK210" s="5">
        <f ca="1">IFERROR(__xludf.DUMMYFUNCTION("""COMPUTED_VALUE"""),40)</f>
        <v>40</v>
      </c>
      <c r="AL210" s="5"/>
      <c r="AM210" s="5"/>
      <c r="AN210" s="5"/>
      <c r="AO210" s="5"/>
      <c r="AP210" s="5"/>
      <c r="AQ210" s="5"/>
      <c r="AR210" s="5"/>
      <c r="AS210" s="5"/>
      <c r="AT210" s="5"/>
      <c r="AU210" s="5" t="str">
        <f ca="1">IFERROR(__xludf.DUMMYFUNCTION("""COMPUTED_VALUE"""),"Fazi")</f>
        <v>Fazi</v>
      </c>
      <c r="AV210" s="5"/>
      <c r="AW210" s="5"/>
      <c r="AX210" s="5"/>
      <c r="AY210" s="5"/>
      <c r="AZ210" s="5"/>
      <c r="BA210" s="5" t="str">
        <f ca="1">IFERROR(__xludf.DUMMYFUNCTION("""COMPUTED_VALUE"""),"")</f>
        <v/>
      </c>
      <c r="BB210" s="5"/>
      <c r="BC210" s="5" t="str">
        <f ca="1">IFERROR(__xludf.DUMMYFUNCTION("""COMPUTED_VALUE"""),"Foxi")</f>
        <v>Foxi</v>
      </c>
      <c r="BD210" s="5" t="str">
        <f ca="1">IFERROR(__xludf.DUMMYFUNCTION("""COMPUTED_VALUE"""),"")</f>
        <v/>
      </c>
      <c r="BE210" s="5"/>
    </row>
    <row r="211" spans="1:57" x14ac:dyDescent="0.25">
      <c r="A211" s="5">
        <f ca="1">IFERROR(__xludf.DUMMYFUNCTION("""COMPUTED_VALUE"""),211)</f>
        <v>211</v>
      </c>
      <c r="B211" s="5">
        <f ca="1">IFERROR(__xludf.DUMMYFUNCTION("""COMPUTED_VALUE"""),210)</f>
        <v>210</v>
      </c>
      <c r="C211" s="5" t="str">
        <f ca="1">IFERROR(__xludf.DUMMYFUNCTION("""COMPUTED_VALUE"""),"Fazi")</f>
        <v>Fazi</v>
      </c>
      <c r="D211" s="5" t="str">
        <f ca="1">IFERROR(__xludf.DUMMYFUNCTION("""COMPUTED_VALUE"""),"Golden Crown Christmas")</f>
        <v>Golden Crown Christmas</v>
      </c>
      <c r="E211" s="5" t="str">
        <f ca="1">IFERROR(__xludf.DUMMYFUNCTION("""COMPUTED_VALUE"""),"V2")</f>
        <v>V2</v>
      </c>
      <c r="F211" s="5" t="str">
        <f ca="1">IFERROR(__xludf.DUMMYFUNCTION("""COMPUTED_VALUE"""),"GoldenCrownChristmas")</f>
        <v>GoldenCrownChristmas</v>
      </c>
      <c r="G211" s="5" t="str">
        <f ca="1">IFERROR(__xludf.DUMMYFUNCTION("""COMPUTED_VALUE"""),"Live")</f>
        <v>Live</v>
      </c>
      <c r="H211" s="5"/>
      <c r="I211" s="5" t="str">
        <f ca="1">IFERROR(__xludf.DUMMYFUNCTION("""COMPUTED_VALUE"""),"V2")</f>
        <v>V2</v>
      </c>
      <c r="J211" s="5" t="str">
        <f ca="1">IFERROR(__xludf.DUMMYFUNCTION("""COMPUTED_VALUE"""),"Binary")</f>
        <v>Binary</v>
      </c>
      <c r="K211" s="5" t="str">
        <f ca="1">IFERROR(__xludf.DUMMYFUNCTION("""COMPUTED_VALUE"""),"Slot")</f>
        <v>Slot</v>
      </c>
      <c r="L211" s="5" t="str">
        <f ca="1">IFERROR(__xludf.DUMMYFUNCTION("""COMPUTED_VALUE"""),"Clone")</f>
        <v>Clone</v>
      </c>
      <c r="M211" s="5" t="str">
        <f ca="1">IFERROR(__xludf.DUMMYFUNCTION("""COMPUTED_VALUE"""),"Golden Crown")</f>
        <v>Golden Crown</v>
      </c>
      <c r="N211" s="5"/>
      <c r="O211" s="5"/>
      <c r="P211" s="5"/>
      <c r="Q211" s="5"/>
      <c r="R211" s="5"/>
      <c r="S211" s="5"/>
      <c r="T211" s="5"/>
      <c r="U211" s="5" t="str">
        <f ca="1">IFERROR(__xludf.DUMMYFUNCTION("""COMPUTED_VALUE"""),"5x3")</f>
        <v>5x3</v>
      </c>
      <c r="V211" s="12" t="str">
        <f ca="1">IFERROR(__xludf.DUMMYFUNCTION("""COMPUTED_VALUE"""),"10")</f>
        <v>10</v>
      </c>
      <c r="W211" s="12" t="str">
        <f ca="1">IFERROR(__xludf.DUMMYFUNCTION("""COMPUTED_VALUE"""),"10")</f>
        <v>10</v>
      </c>
      <c r="X211" s="5">
        <f ca="1">IFERROR(__xludf.DUMMYFUNCTION("""COMPUTED_VALUE"""),95.962)</f>
        <v>95.962000000000003</v>
      </c>
      <c r="Y211" s="5" t="str">
        <f ca="1">IFERROR(__xludf.DUMMYFUNCTION("""COMPUTED_VALUE"""),"Medium")</f>
        <v>Medium</v>
      </c>
      <c r="Z211" s="5">
        <f ca="1">IFERROR(__xludf.DUMMYFUNCTION("""COMPUTED_VALUE"""),14.63)</f>
        <v>14.63</v>
      </c>
      <c r="AA211" s="14">
        <f ca="1">IFERROR(__xludf.DUMMYFUNCTION("""COMPUTED_VALUE"""),1538)</f>
        <v>1538</v>
      </c>
      <c r="AB211" s="5">
        <f ca="1">IFERROR(__xludf.DUMMYFUNCTION("""COMPUTED_VALUE"""),4)</f>
        <v>4</v>
      </c>
      <c r="AC211" s="5" t="str">
        <f ca="1">IFERROR(__xludf.DUMMYFUNCTION("""COMPUTED_VALUE"""),"Scatter, Expanding Wild")</f>
        <v>Scatter, Expanding Wild</v>
      </c>
      <c r="AD211" s="5"/>
      <c r="AE211" s="5"/>
      <c r="AF211" s="5"/>
      <c r="AG211" s="10">
        <f ca="1">IFERROR(__xludf.DUMMYFUNCTION("""COMPUTED_VALUE"""),46198.5212731481)</f>
        <v>46198.521273148101</v>
      </c>
      <c r="AH211" s="5" t="str">
        <f ca="1">IFERROR(__xludf.DUMMYFUNCTION("""COMPUTED_VALUE"""),"selena.mihajlovic@fazi.rs")</f>
        <v>selena.mihajlovic@fazi.rs</v>
      </c>
      <c r="AI211" s="5"/>
      <c r="AJ211" s="5"/>
      <c r="AK211" s="5">
        <f ca="1">IFERROR(__xludf.DUMMYFUNCTION("""COMPUTED_VALUE"""),10)</f>
        <v>10</v>
      </c>
      <c r="AL211" s="5"/>
      <c r="AM211" s="5"/>
      <c r="AN211" s="5"/>
      <c r="AO211" s="5"/>
      <c r="AP211" s="5"/>
      <c r="AQ211" s="5"/>
      <c r="AR211" s="5"/>
      <c r="AS211" s="5"/>
      <c r="AT211" s="5"/>
      <c r="AU211" s="5" t="str">
        <f ca="1">IFERROR(__xludf.DUMMYFUNCTION("""COMPUTED_VALUE"""),"Fazi")</f>
        <v>Fazi</v>
      </c>
      <c r="AV211" s="5"/>
      <c r="AW211" s="5"/>
      <c r="AX211" s="5"/>
      <c r="AY211" s="5"/>
      <c r="AZ211" s="5"/>
      <c r="BA211" s="5"/>
      <c r="BB211" s="5"/>
      <c r="BC211" s="5" t="str">
        <f ca="1">IFERROR(__xludf.DUMMYFUNCTION("""COMPUTED_VALUE"""),"Foxi")</f>
        <v>Foxi</v>
      </c>
      <c r="BD211" s="7" t="str">
        <f ca="1">IFERROR(__xludf.DUMMYFUNCTION("""COMPUTED_VALUE"""),"https://gameserver-store-client-area.orbionlimited.com/Home/IntegrationGameLaunch/client-area?moneyType=0&amp;gameName=GoldenCrownChristmas&amp;platform=desktop&amp;languageCode=eng&amp;currency=EUR")</f>
        <v>https://gameserver-store-client-area.orbionlimited.com/Home/IntegrationGameLaunch/client-area?moneyType=0&amp;gameName=GoldenCrownChristmas&amp;platform=desktop&amp;languageCode=eng&amp;currency=EUR</v>
      </c>
      <c r="BE211" s="5"/>
    </row>
    <row r="212" spans="1:57" x14ac:dyDescent="0.25">
      <c r="A212" s="5">
        <f ca="1">IFERROR(__xludf.DUMMYFUNCTION("""COMPUTED_VALUE"""),212)</f>
        <v>212</v>
      </c>
      <c r="B212" s="5">
        <f ca="1">IFERROR(__xludf.DUMMYFUNCTION("""COMPUTED_VALUE"""),211)</f>
        <v>211</v>
      </c>
      <c r="C212" s="5" t="str">
        <f ca="1">IFERROR(__xludf.DUMMYFUNCTION("""COMPUTED_VALUE"""),"Fazi")</f>
        <v>Fazi</v>
      </c>
      <c r="D212" s="5" t="str">
        <f ca="1">IFERROR(__xludf.DUMMYFUNCTION("""COMPUTED_VALUE"""),"Lollas World Christmas")</f>
        <v>Lollas World Christmas</v>
      </c>
      <c r="E212" s="5" t="str">
        <f ca="1">IFERROR(__xludf.DUMMYFUNCTION("""COMPUTED_VALUE"""),"V2")</f>
        <v>V2</v>
      </c>
      <c r="F212" s="5" t="str">
        <f ca="1">IFERROR(__xludf.DUMMYFUNCTION("""COMPUTED_VALUE"""),"LollasWorldChristmas")</f>
        <v>LollasWorldChristmas</v>
      </c>
      <c r="G212" s="5" t="str">
        <f ca="1">IFERROR(__xludf.DUMMYFUNCTION("""COMPUTED_VALUE"""),"Live")</f>
        <v>Live</v>
      </c>
      <c r="H212" s="5"/>
      <c r="I212" s="5" t="str">
        <f ca="1">IFERROR(__xludf.DUMMYFUNCTION("""COMPUTED_VALUE"""),"V2")</f>
        <v>V2</v>
      </c>
      <c r="J212" s="5" t="str">
        <f ca="1">IFERROR(__xludf.DUMMYFUNCTION("""COMPUTED_VALUE"""),"Binary")</f>
        <v>Binary</v>
      </c>
      <c r="K212" s="5" t="str">
        <f ca="1">IFERROR(__xludf.DUMMYFUNCTION("""COMPUTED_VALUE"""),"Slot")</f>
        <v>Slot</v>
      </c>
      <c r="L212" s="5" t="str">
        <f ca="1">IFERROR(__xludf.DUMMYFUNCTION("""COMPUTED_VALUE"""),"Clone")</f>
        <v>Clone</v>
      </c>
      <c r="M212" s="5" t="str">
        <f ca="1">IFERROR(__xludf.DUMMYFUNCTION("""COMPUTED_VALUE"""),"Lollas World")</f>
        <v>Lollas World</v>
      </c>
      <c r="N212" s="5"/>
      <c r="O212" s="5"/>
      <c r="P212" s="5"/>
      <c r="Q212" s="5"/>
      <c r="R212" s="5"/>
      <c r="S212" s="5"/>
      <c r="T212" s="5"/>
      <c r="U212" s="5" t="str">
        <f ca="1">IFERROR(__xludf.DUMMYFUNCTION("""COMPUTED_VALUE"""),"5x4")</f>
        <v>5x4</v>
      </c>
      <c r="V212" s="12" t="str">
        <f ca="1">IFERROR(__xludf.DUMMYFUNCTION("""COMPUTED_VALUE"""),"40")</f>
        <v>40</v>
      </c>
      <c r="W212" s="12" t="str">
        <f ca="1">IFERROR(__xludf.DUMMYFUNCTION("""COMPUTED_VALUE"""),"40")</f>
        <v>40</v>
      </c>
      <c r="X212" s="5">
        <f ca="1">IFERROR(__xludf.DUMMYFUNCTION("""COMPUTED_VALUE"""),95.479)</f>
        <v>95.478999999999999</v>
      </c>
      <c r="Y212" s="5" t="str">
        <f ca="1">IFERROR(__xludf.DUMMYFUNCTION("""COMPUTED_VALUE"""),"Medium")</f>
        <v>Medium</v>
      </c>
      <c r="Z212" s="5">
        <f ca="1">IFERROR(__xludf.DUMMYFUNCTION("""COMPUTED_VALUE"""),14.7999999999999)</f>
        <v>14.799999999999899</v>
      </c>
      <c r="AA212" s="14">
        <f ca="1">IFERROR(__xludf.DUMMYFUNCTION("""COMPUTED_VALUE"""),1000)</f>
        <v>1000</v>
      </c>
      <c r="AB212" s="5" t="str">
        <f ca="1">IFERROR(__xludf.DUMMYFUNCTION("""COMPUTED_VALUE"""),"/")</f>
        <v>/</v>
      </c>
      <c r="AC212" s="5" t="str">
        <f ca="1">IFERROR(__xludf.DUMMYFUNCTION("""COMPUTED_VALUE"""),"Scatter, Wild Symbol")</f>
        <v>Scatter, Wild Symbol</v>
      </c>
      <c r="AD212" s="5"/>
      <c r="AE212" s="5"/>
      <c r="AF212" s="5"/>
      <c r="AG212" s="5"/>
      <c r="AH212" s="5"/>
      <c r="AI212" s="5"/>
      <c r="AJ212" s="5"/>
      <c r="AK212" s="5">
        <f ca="1">IFERROR(__xludf.DUMMYFUNCTION("""COMPUTED_VALUE"""),40)</f>
        <v>40</v>
      </c>
      <c r="AL212" s="5"/>
      <c r="AM212" s="5"/>
      <c r="AN212" s="5"/>
      <c r="AO212" s="5"/>
      <c r="AP212" s="5"/>
      <c r="AQ212" s="5"/>
      <c r="AR212" s="5"/>
      <c r="AS212" s="5"/>
      <c r="AT212" s="5"/>
      <c r="AU212" s="5" t="str">
        <f ca="1">IFERROR(__xludf.DUMMYFUNCTION("""COMPUTED_VALUE"""),"Fazi")</f>
        <v>Fazi</v>
      </c>
      <c r="AV212" s="5"/>
      <c r="AW212" s="5"/>
      <c r="AX212" s="5"/>
      <c r="AY212" s="5"/>
      <c r="AZ212" s="5"/>
      <c r="BA212" s="5" t="str">
        <f ca="1">IFERROR(__xludf.DUMMYFUNCTION("""COMPUTED_VALUE"""),"")</f>
        <v/>
      </c>
      <c r="BB212" s="5"/>
      <c r="BC212" s="5" t="str">
        <f ca="1">IFERROR(__xludf.DUMMYFUNCTION("""COMPUTED_VALUE"""),"Foxi")</f>
        <v>Foxi</v>
      </c>
      <c r="BD212" s="5" t="str">
        <f ca="1">IFERROR(__xludf.DUMMYFUNCTION("""COMPUTED_VALUE"""),"")</f>
        <v/>
      </c>
      <c r="BE212" s="5"/>
    </row>
    <row r="213" spans="1:57" x14ac:dyDescent="0.25">
      <c r="A213" s="5">
        <f ca="1">IFERROR(__xludf.DUMMYFUNCTION("""COMPUTED_VALUE"""),213)</f>
        <v>213</v>
      </c>
      <c r="B213" s="5">
        <f ca="1">IFERROR(__xludf.DUMMYFUNCTION("""COMPUTED_VALUE"""),212)</f>
        <v>212</v>
      </c>
      <c r="C213" s="5" t="str">
        <f ca="1">IFERROR(__xludf.DUMMYFUNCTION("""COMPUTED_VALUE"""),"Fazi")</f>
        <v>Fazi</v>
      </c>
      <c r="D213" s="5" t="str">
        <f ca="1">IFERROR(__xludf.DUMMYFUNCTION("""COMPUTED_VALUE"""),"Wild Hot 40 Christmas")</f>
        <v>Wild Hot 40 Christmas</v>
      </c>
      <c r="E213" s="5" t="str">
        <f ca="1">IFERROR(__xludf.DUMMYFUNCTION("""COMPUTED_VALUE"""),"V2")</f>
        <v>V2</v>
      </c>
      <c r="F213" s="5" t="str">
        <f ca="1">IFERROR(__xludf.DUMMYFUNCTION("""COMPUTED_VALUE"""),"WildHot40Christmas")</f>
        <v>WildHot40Christmas</v>
      </c>
      <c r="G213" s="5" t="str">
        <f ca="1">IFERROR(__xludf.DUMMYFUNCTION("""COMPUTED_VALUE"""),"Live")</f>
        <v>Live</v>
      </c>
      <c r="H213" s="5"/>
      <c r="I213" s="5" t="str">
        <f ca="1">IFERROR(__xludf.DUMMYFUNCTION("""COMPUTED_VALUE"""),"V2")</f>
        <v>V2</v>
      </c>
      <c r="J213" s="5" t="str">
        <f ca="1">IFERROR(__xludf.DUMMYFUNCTION("""COMPUTED_VALUE"""),"Binary")</f>
        <v>Binary</v>
      </c>
      <c r="K213" s="5" t="str">
        <f ca="1">IFERROR(__xludf.DUMMYFUNCTION("""COMPUTED_VALUE"""),"Slot")</f>
        <v>Slot</v>
      </c>
      <c r="L213" s="5" t="str">
        <f ca="1">IFERROR(__xludf.DUMMYFUNCTION("""COMPUTED_VALUE"""),"Clone")</f>
        <v>Clone</v>
      </c>
      <c r="M213" s="5" t="str">
        <f ca="1">IFERROR(__xludf.DUMMYFUNCTION("""COMPUTED_VALUE"""),"Turbo Hot 40")</f>
        <v>Turbo Hot 40</v>
      </c>
      <c r="N213" s="5"/>
      <c r="O213" s="5"/>
      <c r="P213" s="5"/>
      <c r="Q213" s="5"/>
      <c r="R213" s="5"/>
      <c r="S213" s="5"/>
      <c r="T213" s="5"/>
      <c r="U213" s="5" t="str">
        <f ca="1">IFERROR(__xludf.DUMMYFUNCTION("""COMPUTED_VALUE"""),"5x4")</f>
        <v>5x4</v>
      </c>
      <c r="V213" s="12" t="str">
        <f ca="1">IFERROR(__xludf.DUMMYFUNCTION("""COMPUTED_VALUE"""),"40")</f>
        <v>40</v>
      </c>
      <c r="W213" s="12" t="str">
        <f ca="1">IFERROR(__xludf.DUMMYFUNCTION("""COMPUTED_VALUE"""),"40")</f>
        <v>40</v>
      </c>
      <c r="X213" s="5">
        <f ca="1">IFERROR(__xludf.DUMMYFUNCTION("""COMPUTED_VALUE"""),96.584)</f>
        <v>96.584000000000003</v>
      </c>
      <c r="Y213" s="5" t="str">
        <f ca="1">IFERROR(__xludf.DUMMYFUNCTION("""COMPUTED_VALUE"""),"Low")</f>
        <v>Low</v>
      </c>
      <c r="Z213" s="5">
        <f ca="1">IFERROR(__xludf.DUMMYFUNCTION("""COMPUTED_VALUE"""),16.73)</f>
        <v>16.73</v>
      </c>
      <c r="AA213" s="14">
        <f ca="1">IFERROR(__xludf.DUMMYFUNCTION("""COMPUTED_VALUE"""),1000)</f>
        <v>1000</v>
      </c>
      <c r="AB213" s="5" t="str">
        <f ca="1">IFERROR(__xludf.DUMMYFUNCTION("""COMPUTED_VALUE"""),"/")</f>
        <v>/</v>
      </c>
      <c r="AC213" s="5" t="str">
        <f ca="1">IFERROR(__xludf.DUMMYFUNCTION("""COMPUTED_VALUE"""),"Wild Symbol, Scatter")</f>
        <v>Wild Symbol, Scatter</v>
      </c>
      <c r="AD213" s="5"/>
      <c r="AE213" s="5"/>
      <c r="AF213" s="5"/>
      <c r="AG213" s="5"/>
      <c r="AH213" s="5"/>
      <c r="AI213" s="5"/>
      <c r="AJ213" s="5"/>
      <c r="AK213" s="5">
        <f ca="1">IFERROR(__xludf.DUMMYFUNCTION("""COMPUTED_VALUE"""),40)</f>
        <v>40</v>
      </c>
      <c r="AL213" s="5"/>
      <c r="AM213" s="5"/>
      <c r="AN213" s="5"/>
      <c r="AO213" s="5"/>
      <c r="AP213" s="5"/>
      <c r="AQ213" s="5"/>
      <c r="AR213" s="5"/>
      <c r="AS213" s="5"/>
      <c r="AT213" s="5"/>
      <c r="AU213" s="5" t="str">
        <f ca="1">IFERROR(__xludf.DUMMYFUNCTION("""COMPUTED_VALUE"""),"Fazi")</f>
        <v>Fazi</v>
      </c>
      <c r="AV213" s="5"/>
      <c r="AW213" s="5"/>
      <c r="AX213" s="5"/>
      <c r="AY213" s="5"/>
      <c r="AZ213" s="5"/>
      <c r="BA213" s="5" t="str">
        <f ca="1">IFERROR(__xludf.DUMMYFUNCTION("""COMPUTED_VALUE"""),"")</f>
        <v/>
      </c>
      <c r="BB213" s="5"/>
      <c r="BC213" s="5" t="str">
        <f ca="1">IFERROR(__xludf.DUMMYFUNCTION("""COMPUTED_VALUE"""),"Foxi")</f>
        <v>Foxi</v>
      </c>
      <c r="BD213" s="5" t="str">
        <f ca="1">IFERROR(__xludf.DUMMYFUNCTION("""COMPUTED_VALUE"""),"")</f>
        <v/>
      </c>
      <c r="BE213" s="5"/>
    </row>
    <row r="214" spans="1:57" x14ac:dyDescent="0.25">
      <c r="A214" s="5">
        <f ca="1">IFERROR(__xludf.DUMMYFUNCTION("""COMPUTED_VALUE"""),214)</f>
        <v>214</v>
      </c>
      <c r="B214" s="5">
        <f ca="1">IFERROR(__xludf.DUMMYFUNCTION("""COMPUTED_VALUE"""),213)</f>
        <v>213</v>
      </c>
      <c r="C214" s="5" t="str">
        <f ca="1">IFERROR(__xludf.DUMMYFUNCTION("""COMPUTED_VALUE"""),"Fazi")</f>
        <v>Fazi</v>
      </c>
      <c r="D214" s="5" t="str">
        <f ca="1">IFERROR(__xludf.DUMMYFUNCTION("""COMPUTED_VALUE"""),"Very Hot 5 Christmas")</f>
        <v>Very Hot 5 Christmas</v>
      </c>
      <c r="E214" s="5" t="str">
        <f ca="1">IFERROR(__xludf.DUMMYFUNCTION("""COMPUTED_VALUE"""),"V2")</f>
        <v>V2</v>
      </c>
      <c r="F214" s="5" t="str">
        <f ca="1">IFERROR(__xludf.DUMMYFUNCTION("""COMPUTED_VALUE"""),"VeryHot5Christmas")</f>
        <v>VeryHot5Christmas</v>
      </c>
      <c r="G214" s="5" t="str">
        <f ca="1">IFERROR(__xludf.DUMMYFUNCTION("""COMPUTED_VALUE"""),"Live")</f>
        <v>Live</v>
      </c>
      <c r="H214" s="5"/>
      <c r="I214" s="5" t="str">
        <f ca="1">IFERROR(__xludf.DUMMYFUNCTION("""COMPUTED_VALUE"""),"V2")</f>
        <v>V2</v>
      </c>
      <c r="J214" s="5" t="str">
        <f ca="1">IFERROR(__xludf.DUMMYFUNCTION("""COMPUTED_VALUE"""),"Binary")</f>
        <v>Binary</v>
      </c>
      <c r="K214" s="5" t="str">
        <f ca="1">IFERROR(__xludf.DUMMYFUNCTION("""COMPUTED_VALUE"""),"Slot")</f>
        <v>Slot</v>
      </c>
      <c r="L214" s="5" t="str">
        <f ca="1">IFERROR(__xludf.DUMMYFUNCTION("""COMPUTED_VALUE"""),"Clone")</f>
        <v>Clone</v>
      </c>
      <c r="M214" s="5" t="str">
        <f ca="1">IFERROR(__xludf.DUMMYFUNCTION("""COMPUTED_VALUE"""),"Bursting Hot 5")</f>
        <v>Bursting Hot 5</v>
      </c>
      <c r="N214" s="5"/>
      <c r="O214" s="5"/>
      <c r="P214" s="5"/>
      <c r="Q214" s="5"/>
      <c r="R214" s="5"/>
      <c r="S214" s="5"/>
      <c r="T214" s="5"/>
      <c r="U214" s="5" t="str">
        <f ca="1">IFERROR(__xludf.DUMMYFUNCTION("""COMPUTED_VALUE"""),"5x3")</f>
        <v>5x3</v>
      </c>
      <c r="V214" s="12" t="str">
        <f ca="1">IFERROR(__xludf.DUMMYFUNCTION("""COMPUTED_VALUE"""),"5")</f>
        <v>5</v>
      </c>
      <c r="W214" s="12" t="str">
        <f ca="1">IFERROR(__xludf.DUMMYFUNCTION("""COMPUTED_VALUE"""),"5")</f>
        <v>5</v>
      </c>
      <c r="X214" s="5">
        <f ca="1">IFERROR(__xludf.DUMMYFUNCTION("""COMPUTED_VALUE"""),96.447)</f>
        <v>96.447000000000003</v>
      </c>
      <c r="Y214" s="5" t="str">
        <f ca="1">IFERROR(__xludf.DUMMYFUNCTION("""COMPUTED_VALUE"""),"Medium")</f>
        <v>Medium</v>
      </c>
      <c r="Z214" s="5">
        <f ca="1">IFERROR(__xludf.DUMMYFUNCTION("""COMPUTED_VALUE"""),14.51)</f>
        <v>14.51</v>
      </c>
      <c r="AA214" s="14">
        <f ca="1">IFERROR(__xludf.DUMMYFUNCTION("""COMPUTED_VALUE"""),1222)</f>
        <v>1222</v>
      </c>
      <c r="AB214" s="5">
        <f ca="1">IFERROR(__xludf.DUMMYFUNCTION("""COMPUTED_VALUE"""),4)</f>
        <v>4</v>
      </c>
      <c r="AC214" s="5" t="str">
        <f ca="1">IFERROR(__xludf.DUMMYFUNCTION("""COMPUTED_VALUE"""),"Expanding Wild, Scatter")</f>
        <v>Expanding Wild, Scatter</v>
      </c>
      <c r="AD214" s="5"/>
      <c r="AE214" s="5"/>
      <c r="AF214" s="5"/>
      <c r="AG214" s="10">
        <f ca="1">IFERROR(__xludf.DUMMYFUNCTION("""COMPUTED_VALUE"""),46198.5215856481)</f>
        <v>46198.521585648101</v>
      </c>
      <c r="AH214" s="5" t="str">
        <f ca="1">IFERROR(__xludf.DUMMYFUNCTION("""COMPUTED_VALUE"""),"selena.mihajlovic@fazi.rs")</f>
        <v>selena.mihajlovic@fazi.rs</v>
      </c>
      <c r="AI214" s="5"/>
      <c r="AJ214" s="5"/>
      <c r="AK214" s="5">
        <f ca="1">IFERROR(__xludf.DUMMYFUNCTION("""COMPUTED_VALUE"""),5)</f>
        <v>5</v>
      </c>
      <c r="AL214" s="5"/>
      <c r="AM214" s="5"/>
      <c r="AN214" s="5"/>
      <c r="AO214" s="5"/>
      <c r="AP214" s="5"/>
      <c r="AQ214" s="5"/>
      <c r="AR214" s="5"/>
      <c r="AS214" s="5"/>
      <c r="AT214" s="5"/>
      <c r="AU214" s="5" t="str">
        <f ca="1">IFERROR(__xludf.DUMMYFUNCTION("""COMPUTED_VALUE"""),"Fazi")</f>
        <v>Fazi</v>
      </c>
      <c r="AV214" s="5"/>
      <c r="AW214" s="5"/>
      <c r="AX214" s="5"/>
      <c r="AY214" s="5"/>
      <c r="AZ214" s="5"/>
      <c r="BA214" s="5"/>
      <c r="BB214" s="5"/>
      <c r="BC214" s="5" t="str">
        <f ca="1">IFERROR(__xludf.DUMMYFUNCTION("""COMPUTED_VALUE"""),"Foxi")</f>
        <v>Foxi</v>
      </c>
      <c r="BD214" s="7" t="str">
        <f ca="1">IFERROR(__xludf.DUMMYFUNCTION("""COMPUTED_VALUE"""),"https://gameserver-store-client-area.orbionlimited.com/Home/IntegrationGameLaunch/client-area?moneyType=0&amp;gameName=VeryHot5Christmas&amp;platform=desktop&amp;languageCode=eng&amp;currency=EUR")</f>
        <v>https://gameserver-store-client-area.orbionlimited.com/Home/IntegrationGameLaunch/client-area?moneyType=0&amp;gameName=VeryHot5Christmas&amp;platform=desktop&amp;languageCode=eng&amp;currency=EUR</v>
      </c>
      <c r="BE214" s="5"/>
    </row>
    <row r="215" spans="1:57" x14ac:dyDescent="0.25">
      <c r="A215" s="5">
        <f ca="1">IFERROR(__xludf.DUMMYFUNCTION("""COMPUTED_VALUE"""),215)</f>
        <v>215</v>
      </c>
      <c r="B215" s="5">
        <f ca="1">IFERROR(__xludf.DUMMYFUNCTION("""COMPUTED_VALUE"""),214)</f>
        <v>214</v>
      </c>
      <c r="C215" s="5" t="str">
        <f ca="1">IFERROR(__xludf.DUMMYFUNCTION("""COMPUTED_VALUE"""),"Fazi")</f>
        <v>Fazi</v>
      </c>
      <c r="D215" s="5" t="str">
        <f ca="1">IFERROR(__xludf.DUMMYFUNCTION("""COMPUTED_VALUE"""),"Very Hot 40 Christmas")</f>
        <v>Very Hot 40 Christmas</v>
      </c>
      <c r="E215" s="5" t="str">
        <f ca="1">IFERROR(__xludf.DUMMYFUNCTION("""COMPUTED_VALUE"""),"V2")</f>
        <v>V2</v>
      </c>
      <c r="F215" s="5" t="str">
        <f ca="1">IFERROR(__xludf.DUMMYFUNCTION("""COMPUTED_VALUE"""),"VeryHot40Christmas")</f>
        <v>VeryHot40Christmas</v>
      </c>
      <c r="G215" s="5" t="str">
        <f ca="1">IFERROR(__xludf.DUMMYFUNCTION("""COMPUTED_VALUE"""),"Live")</f>
        <v>Live</v>
      </c>
      <c r="H215" s="5"/>
      <c r="I215" s="5" t="str">
        <f ca="1">IFERROR(__xludf.DUMMYFUNCTION("""COMPUTED_VALUE"""),"V2")</f>
        <v>V2</v>
      </c>
      <c r="J215" s="5" t="str">
        <f ca="1">IFERROR(__xludf.DUMMYFUNCTION("""COMPUTED_VALUE"""),"Binary")</f>
        <v>Binary</v>
      </c>
      <c r="K215" s="5" t="str">
        <f ca="1">IFERROR(__xludf.DUMMYFUNCTION("""COMPUTED_VALUE"""),"Slot")</f>
        <v>Slot</v>
      </c>
      <c r="L215" s="5" t="str">
        <f ca="1">IFERROR(__xludf.DUMMYFUNCTION("""COMPUTED_VALUE"""),"Clone")</f>
        <v>Clone</v>
      </c>
      <c r="M215" s="5" t="str">
        <f ca="1">IFERROR(__xludf.DUMMYFUNCTION("""COMPUTED_VALUE"""),"Bursting Hot 40")</f>
        <v>Bursting Hot 40</v>
      </c>
      <c r="N215" s="5"/>
      <c r="O215" s="5"/>
      <c r="P215" s="5"/>
      <c r="Q215" s="5"/>
      <c r="R215" s="5"/>
      <c r="S215" s="5"/>
      <c r="T215" s="5"/>
      <c r="U215" s="5" t="str">
        <f ca="1">IFERROR(__xludf.DUMMYFUNCTION("""COMPUTED_VALUE"""),"5x3")</f>
        <v>5x3</v>
      </c>
      <c r="V215" s="12" t="str">
        <f ca="1">IFERROR(__xludf.DUMMYFUNCTION("""COMPUTED_VALUE"""),"40")</f>
        <v>40</v>
      </c>
      <c r="W215" s="12" t="str">
        <f ca="1">IFERROR(__xludf.DUMMYFUNCTION("""COMPUTED_VALUE"""),"40")</f>
        <v>40</v>
      </c>
      <c r="X215" s="5">
        <f ca="1">IFERROR(__xludf.DUMMYFUNCTION("""COMPUTED_VALUE"""),96.53)</f>
        <v>96.53</v>
      </c>
      <c r="Y215" s="5" t="str">
        <f ca="1">IFERROR(__xludf.DUMMYFUNCTION("""COMPUTED_VALUE"""),"Low")</f>
        <v>Low</v>
      </c>
      <c r="Z215" s="5">
        <f ca="1">IFERROR(__xludf.DUMMYFUNCTION("""COMPUTED_VALUE"""),23.38)</f>
        <v>23.38</v>
      </c>
      <c r="AA215" s="14">
        <f ca="1">IFERROR(__xludf.DUMMYFUNCTION("""COMPUTED_VALUE"""),876.75)</f>
        <v>876.75</v>
      </c>
      <c r="AB215" s="5">
        <f ca="1">IFERROR(__xludf.DUMMYFUNCTION("""COMPUTED_VALUE"""),4)</f>
        <v>4</v>
      </c>
      <c r="AC215" s="5" t="str">
        <f ca="1">IFERROR(__xludf.DUMMYFUNCTION("""COMPUTED_VALUE"""),"Scatter, Expanding Wild")</f>
        <v>Scatter, Expanding Wild</v>
      </c>
      <c r="AD215" s="5"/>
      <c r="AE215" s="5"/>
      <c r="AF215" s="5"/>
      <c r="AG215" s="5"/>
      <c r="AH215" s="5"/>
      <c r="AI215" s="5"/>
      <c r="AJ215" s="5"/>
      <c r="AK215" s="5">
        <f ca="1">IFERROR(__xludf.DUMMYFUNCTION("""COMPUTED_VALUE"""),40)</f>
        <v>40</v>
      </c>
      <c r="AL215" s="5"/>
      <c r="AM215" s="5"/>
      <c r="AN215" s="5"/>
      <c r="AO215" s="5"/>
      <c r="AP215" s="5"/>
      <c r="AQ215" s="5"/>
      <c r="AR215" s="5"/>
      <c r="AS215" s="5"/>
      <c r="AT215" s="5"/>
      <c r="AU215" s="5" t="str">
        <f ca="1">IFERROR(__xludf.DUMMYFUNCTION("""COMPUTED_VALUE"""),"Fazi")</f>
        <v>Fazi</v>
      </c>
      <c r="AV215" s="5"/>
      <c r="AW215" s="5"/>
      <c r="AX215" s="5"/>
      <c r="AY215" s="5"/>
      <c r="AZ215" s="5"/>
      <c r="BA215" s="5" t="str">
        <f ca="1">IFERROR(__xludf.DUMMYFUNCTION("""COMPUTED_VALUE"""),"")</f>
        <v/>
      </c>
      <c r="BB215" s="5"/>
      <c r="BC215" s="5" t="str">
        <f ca="1">IFERROR(__xludf.DUMMYFUNCTION("""COMPUTED_VALUE"""),"Foxi")</f>
        <v>Foxi</v>
      </c>
      <c r="BD215" s="5" t="str">
        <f ca="1">IFERROR(__xludf.DUMMYFUNCTION("""COMPUTED_VALUE"""),"")</f>
        <v/>
      </c>
      <c r="BE215" s="5"/>
    </row>
    <row r="216" spans="1:57" x14ac:dyDescent="0.25">
      <c r="A216" s="5">
        <f ca="1">IFERROR(__xludf.DUMMYFUNCTION("""COMPUTED_VALUE"""),216)</f>
        <v>216</v>
      </c>
      <c r="B216" s="5">
        <f ca="1">IFERROR(__xludf.DUMMYFUNCTION("""COMPUTED_VALUE"""),215)</f>
        <v>215</v>
      </c>
      <c r="C216" s="5" t="str">
        <f ca="1">IFERROR(__xludf.DUMMYFUNCTION("""COMPUTED_VALUE"""),"Redstone")</f>
        <v>Redstone</v>
      </c>
      <c r="D216" s="5" t="str">
        <f ca="1">IFERROR(__xludf.DUMMYFUNCTION("""COMPUTED_VALUE"""),"5 Crown Fire")</f>
        <v>5 Crown Fire</v>
      </c>
      <c r="E216" s="5" t="str">
        <f ca="1">IFERROR(__xludf.DUMMYFUNCTION("""COMPUTED_VALUE"""),"Redstone")</f>
        <v>Redstone</v>
      </c>
      <c r="F216" s="5" t="str">
        <f ca="1">IFERROR(__xludf.DUMMYFUNCTION("""COMPUTED_VALUE"""),"CrownFire5")</f>
        <v>CrownFire5</v>
      </c>
      <c r="G216" s="5" t="str">
        <f ca="1">IFERROR(__xludf.DUMMYFUNCTION("""COMPUTED_VALUE"""),"Live")</f>
        <v>Live</v>
      </c>
      <c r="H216" s="5"/>
      <c r="I216" s="5" t="str">
        <f ca="1">IFERROR(__xludf.DUMMYFUNCTION("""COMPUTED_VALUE"""),"Redstone")</f>
        <v>Redstone</v>
      </c>
      <c r="J216" s="5" t="str">
        <f ca="1">IFERROR(__xludf.DUMMYFUNCTION("""COMPUTED_VALUE"""),"JSON")</f>
        <v>JSON</v>
      </c>
      <c r="K216" s="5" t="str">
        <f ca="1">IFERROR(__xludf.DUMMYFUNCTION("""COMPUTED_VALUE"""),"Slot")</f>
        <v>Slot</v>
      </c>
      <c r="L216" s="5" t="str">
        <f ca="1">IFERROR(__xludf.DUMMYFUNCTION("""COMPUTED_VALUE""")," Clone")</f>
        <v xml:space="preserve"> Clone</v>
      </c>
      <c r="M216" s="5" t="str">
        <f ca="1">IFERROR(__xludf.DUMMYFUNCTION("""COMPUTED_VALUE"""),"5 Clover Fire")</f>
        <v>5 Clover Fire</v>
      </c>
      <c r="N216" s="7" t="str">
        <f ca="1">IFERROR(__xludf.DUMMYFUNCTION("""COMPUTED_VALUE"""),"https://docs.google.com/document/d/1fDWyZ7abUTboXh9dpo8Ipp9KfenSXeH9/edit?usp=drive_link&amp;ouid=107596163405648766688&amp;rtpof=true&amp;sd=true")</f>
        <v>https://docs.google.com/document/d/1fDWyZ7abUTboXh9dpo8Ipp9KfenSXeH9/edit?usp=drive_link&amp;ouid=107596163405648766688&amp;rtpof=true&amp;sd=true</v>
      </c>
      <c r="O216" s="7" t="str">
        <f ca="1">IFERROR(__xludf.DUMMYFUNCTION("""COMPUTED_VALUE"""),"https://docs.google.com/document/d/1SpmLw2SDEhPZa5TzK3I3v6VPCx7Ett_4/edit?usp=drive_link&amp;ouid=107596163405648766688&amp;rtpof=true&amp;sd=true")</f>
        <v>https://docs.google.com/document/d/1SpmLw2SDEhPZa5TzK3I3v6VPCx7Ett_4/edit?usp=drive_link&amp;ouid=107596163405648766688&amp;rtpof=true&amp;sd=true</v>
      </c>
      <c r="P216" s="14">
        <f ca="1">IFERROR(__xludf.DUMMYFUNCTION("""COMPUTED_VALUE"""),6.5)</f>
        <v>6.5</v>
      </c>
      <c r="Q216" s="5"/>
      <c r="R216" s="5"/>
      <c r="S216" s="15">
        <f ca="1">IFERROR(__xludf.DUMMYFUNCTION("""COMPUTED_VALUE"""),44889)</f>
        <v>44889</v>
      </c>
      <c r="T216" s="5"/>
      <c r="U216" s="5" t="str">
        <f ca="1">IFERROR(__xludf.DUMMYFUNCTION("""COMPUTED_VALUE"""),"5x3")</f>
        <v>5x3</v>
      </c>
      <c r="V216" s="12" t="str">
        <f ca="1">IFERROR(__xludf.DUMMYFUNCTION("""COMPUTED_VALUE"""),"5")</f>
        <v>5</v>
      </c>
      <c r="W216" s="12" t="str">
        <f ca="1">IFERROR(__xludf.DUMMYFUNCTION("""COMPUTED_VALUE"""),"5")</f>
        <v>5</v>
      </c>
      <c r="X216" s="5">
        <f ca="1">IFERROR(__xludf.DUMMYFUNCTION("""COMPUTED_VALUE"""),96.45)</f>
        <v>96.45</v>
      </c>
      <c r="Y216" s="5" t="str">
        <f ca="1">IFERROR(__xludf.DUMMYFUNCTION("""COMPUTED_VALUE"""),"Medium")</f>
        <v>Medium</v>
      </c>
      <c r="Z216" s="5">
        <f ca="1">IFERROR(__xludf.DUMMYFUNCTION("""COMPUTED_VALUE"""),14.5)</f>
        <v>14.5</v>
      </c>
      <c r="AA216" s="14">
        <f ca="1">IFERROR(__xludf.DUMMYFUNCTION("""COMPUTED_VALUE"""),1222)</f>
        <v>1222</v>
      </c>
      <c r="AB216" s="5"/>
      <c r="AC216" s="5" t="str">
        <f ca="1">IFERROR(__xludf.DUMMYFUNCTION("""COMPUTED_VALUE"""),"Expanding Wild, Scatter")</f>
        <v>Expanding Wild, Scatter</v>
      </c>
      <c r="AD216" s="5" t="str">
        <f ca="1">IFERROR(__xludf.DUMMYFUNCTION("""COMPUTED_VALUE"""),"0.05/30")</f>
        <v>0.05/30</v>
      </c>
      <c r="AE216" s="5"/>
      <c r="AF216" s="5"/>
      <c r="AG216" s="10">
        <f ca="1">IFERROR(__xludf.DUMMYFUNCTION("""COMPUTED_VALUE"""),46157.4478935185)</f>
        <v>46157.447893518503</v>
      </c>
      <c r="AH216" s="5"/>
      <c r="AI216" s="5"/>
      <c r="AJ216" s="5"/>
      <c r="AK216" s="5">
        <f ca="1">IFERROR(__xludf.DUMMYFUNCTION("""COMPUTED_VALUE"""),1)</f>
        <v>1</v>
      </c>
      <c r="AL216" s="5" t="str">
        <f ca="1">IFERROR(__xludf.DUMMYFUNCTION("""COMPUTED_VALUE"""),"No")</f>
        <v>No</v>
      </c>
      <c r="AM216" s="5" t="str">
        <f ca="1">IFERROR(__xludf.DUMMYFUNCTION("""COMPUTED_VALUE"""),"No")</f>
        <v>No</v>
      </c>
      <c r="AN216" s="7" t="str">
        <f ca="1">IFERROR(__xludf.DUMMYFUNCTION("""COMPUTED_VALUE"""),"https://static.redstone.rs/games/5-crown-fire/")</f>
        <v>https://static.redstone.rs/games/5-crown-fire/</v>
      </c>
      <c r="AO216" s="5" t="str">
        <f ca="1">IFERROR(__xludf.DUMMYFUNCTION("""COMPUTED_VALUE"""),"No")</f>
        <v>No</v>
      </c>
      <c r="AP216" s="5" t="str">
        <f ca="1">IFERROR(__xludf.DUMMYFUNCTION("""COMPUTED_VALUE"""),"No")</f>
        <v>No</v>
      </c>
      <c r="AQ216" s="5" t="b">
        <f ca="1">IFERROR(__xludf.DUMMYFUNCTION("""COMPUTED_VALUE"""),TRUE)</f>
        <v>1</v>
      </c>
      <c r="AR216" s="5"/>
      <c r="AS216" s="5" t="str">
        <f ca="1">IFERROR(__xludf.DUMMYFUNCTION("""COMPUTED_VALUE"""),"Royal games give royal wins! Find your lucky crown and feel the power of fruits with new 5 lined game.")</f>
        <v>Royal games give royal wins! Find your lucky crown and feel the power of fruits with new 5 lined game.</v>
      </c>
      <c r="AT216" s="5"/>
      <c r="AU216" s="5" t="str">
        <f ca="1">IFERROR(__xludf.DUMMYFUNCTION("""COMPUTED_VALUE"""),"Redstone")</f>
        <v>Redstone</v>
      </c>
      <c r="AV216" s="5"/>
      <c r="AW216" s="5"/>
      <c r="AX216" s="5"/>
      <c r="AY216" s="5"/>
      <c r="AZ216" s="5"/>
      <c r="BA216" s="5"/>
      <c r="BB216" s="5" t="b">
        <f ca="1">IFERROR(__xludf.DUMMYFUNCTION("""COMPUTED_VALUE"""),TRUE)</f>
        <v>1</v>
      </c>
      <c r="BC216" s="5" t="str">
        <f ca="1">IFERROR(__xludf.DUMMYFUNCTION("""COMPUTED_VALUE"""),"Redstone")</f>
        <v>Redstone</v>
      </c>
      <c r="BD216" s="7" t="str">
        <f ca="1">IFERROR(__xludf.DUMMYFUNCTION("""COMPUTED_VALUE"""),"https://static.redstone.rs/games/5-crown-fire/")</f>
        <v>https://static.redstone.rs/games/5-crown-fire/</v>
      </c>
      <c r="BE216" s="5" t="b">
        <f ca="1">IFERROR(__xludf.DUMMYFUNCTION("""COMPUTED_VALUE"""),TRUE)</f>
        <v>1</v>
      </c>
    </row>
    <row r="217" spans="1:57" x14ac:dyDescent="0.25">
      <c r="A217" s="5">
        <f ca="1">IFERROR(__xludf.DUMMYFUNCTION("""COMPUTED_VALUE"""),217)</f>
        <v>217</v>
      </c>
      <c r="B217" s="5">
        <f ca="1">IFERROR(__xludf.DUMMYFUNCTION("""COMPUTED_VALUE"""),216)</f>
        <v>216</v>
      </c>
      <c r="C217" s="5"/>
      <c r="D217" s="5" t="str">
        <f ca="1">IFERROR(__xludf.DUMMYFUNCTION("""COMPUTED_VALUE"""),"Shining Presents")</f>
        <v>Shining Presents</v>
      </c>
      <c r="E217" s="5"/>
      <c r="F217" s="5" t="str">
        <f ca="1">IFERROR(__xludf.DUMMYFUNCTION("""COMPUTED_VALUE"""),"ShiningPresents")</f>
        <v>ShiningPresents</v>
      </c>
      <c r="G217" s="5" t="str">
        <f ca="1">IFERROR(__xludf.DUMMYFUNCTION("""COMPUTED_VALUE"""),"Live")</f>
        <v>Live</v>
      </c>
      <c r="H217" s="5"/>
      <c r="I217" s="5"/>
      <c r="J217" s="5"/>
      <c r="K217" s="5" t="str">
        <f ca="1">IFERROR(__xludf.DUMMYFUNCTION("""COMPUTED_VALUE"""),"Slot")</f>
        <v>Slot</v>
      </c>
      <c r="L217" s="5"/>
      <c r="M217" s="5"/>
      <c r="N217" s="5"/>
      <c r="O217" s="5"/>
      <c r="P217" s="5"/>
      <c r="Q217" s="5"/>
      <c r="R217" s="5"/>
      <c r="S217" s="5"/>
      <c r="T217" s="5"/>
      <c r="U217" s="5"/>
      <c r="V217" s="12" t="str">
        <f ca="1">IFERROR(__xludf.DUMMYFUNCTION("""COMPUTED_VALUE"""),"10")</f>
        <v>10</v>
      </c>
      <c r="W217" s="5"/>
      <c r="X217" s="13">
        <f ca="1">IFERROR(__xludf.DUMMYFUNCTION("""COMPUTED_VALUE"""),0)</f>
        <v>0</v>
      </c>
      <c r="Y217" s="5"/>
      <c r="Z217" s="5">
        <f ca="1">IFERROR(__xludf.DUMMYFUNCTION("""COMPUTED_VALUE"""),0)</f>
        <v>0</v>
      </c>
      <c r="AA217" s="5"/>
      <c r="AB217" s="5"/>
      <c r="AC217" s="5"/>
      <c r="AD217" s="5"/>
      <c r="AE217" s="5"/>
      <c r="AF217" s="5"/>
      <c r="AG217" s="5"/>
      <c r="AH217" s="5"/>
      <c r="AI217" s="5"/>
      <c r="AJ217" s="5"/>
      <c r="AK217" s="5" t="str">
        <f ca="1">IFERROR(__xludf.DUMMYFUNCTION("""COMPUTED_VALUE"""),"NULL")</f>
        <v>NULL</v>
      </c>
      <c r="AL217" s="5" t="str">
        <f ca="1">IFERROR(__xludf.DUMMYFUNCTION("""COMPUTED_VALUE"""),"Yes")</f>
        <v>Yes</v>
      </c>
      <c r="AM217" s="5"/>
      <c r="AN217" s="5"/>
      <c r="AO217" s="5"/>
      <c r="AP217" s="5"/>
      <c r="AQ217" s="5"/>
      <c r="AR217" s="5"/>
      <c r="AS217" s="5"/>
      <c r="AT217" s="5"/>
      <c r="AU217" s="5"/>
      <c r="AV217" s="5"/>
      <c r="AW217" s="5"/>
      <c r="AX217" s="5"/>
      <c r="AY217" s="5"/>
      <c r="AZ217" s="5"/>
      <c r="BA217" s="5" t="str">
        <f ca="1">IFERROR(__xludf.DUMMYFUNCTION("""COMPUTED_VALUE"""),"")</f>
        <v/>
      </c>
      <c r="BB217" s="5"/>
      <c r="BC217" s="5"/>
      <c r="BD217" s="5"/>
      <c r="BE217" s="5"/>
    </row>
    <row r="218" spans="1:57" x14ac:dyDescent="0.25">
      <c r="A218" s="5">
        <f ca="1">IFERROR(__xludf.DUMMYFUNCTION("""COMPUTED_VALUE"""),218)</f>
        <v>218</v>
      </c>
      <c r="B218" s="5">
        <f ca="1">IFERROR(__xludf.DUMMYFUNCTION("""COMPUTED_VALUE"""),217)</f>
        <v>217</v>
      </c>
      <c r="C218" s="5" t="str">
        <f ca="1">IFERROR(__xludf.DUMMYFUNCTION("""COMPUTED_VALUE"""),"Redstone")</f>
        <v>Redstone</v>
      </c>
      <c r="D218" s="5" t="str">
        <f ca="1">IFERROR(__xludf.DUMMYFUNCTION("""COMPUTED_VALUE"""),"10 Wild Santa")</f>
        <v>10 Wild Santa</v>
      </c>
      <c r="E218" s="5" t="str">
        <f ca="1">IFERROR(__xludf.DUMMYFUNCTION("""COMPUTED_VALUE"""),"Redstone")</f>
        <v>Redstone</v>
      </c>
      <c r="F218" s="5" t="str">
        <f ca="1">IFERROR(__xludf.DUMMYFUNCTION("""COMPUTED_VALUE"""),"WildSanta10")</f>
        <v>WildSanta10</v>
      </c>
      <c r="G218" s="5" t="str">
        <f ca="1">IFERROR(__xludf.DUMMYFUNCTION("""COMPUTED_VALUE"""),"Live")</f>
        <v>Live</v>
      </c>
      <c r="H218" s="5"/>
      <c r="I218" s="5" t="str">
        <f ca="1">IFERROR(__xludf.DUMMYFUNCTION("""COMPUTED_VALUE"""),"Redstone")</f>
        <v>Redstone</v>
      </c>
      <c r="J218" s="5" t="str">
        <f ca="1">IFERROR(__xludf.DUMMYFUNCTION("""COMPUTED_VALUE"""),"JSON")</f>
        <v>JSON</v>
      </c>
      <c r="K218" s="5" t="str">
        <f ca="1">IFERROR(__xludf.DUMMYFUNCTION("""COMPUTED_VALUE"""),"Slot")</f>
        <v>Slot</v>
      </c>
      <c r="L218" s="5" t="str">
        <f ca="1">IFERROR(__xludf.DUMMYFUNCTION("""COMPUTED_VALUE""")," Clone")</f>
        <v xml:space="preserve"> Clone</v>
      </c>
      <c r="M218" s="5" t="str">
        <f ca="1">IFERROR(__xludf.DUMMYFUNCTION("""COMPUTED_VALUE"""),"10 Wild Crown")</f>
        <v>10 Wild Crown</v>
      </c>
      <c r="N218" s="7" t="str">
        <f ca="1">IFERROR(__xludf.DUMMYFUNCTION("""COMPUTED_VALUE"""),"https://docs.google.com/document/d/1ii0_QkxaCFxXavCrS8KNhdx3kzW9zbwY/edit?usp=drive_link&amp;ouid=107596163405648766688&amp;rtpof=true&amp;sd=true")</f>
        <v>https://docs.google.com/document/d/1ii0_QkxaCFxXavCrS8KNhdx3kzW9zbwY/edit?usp=drive_link&amp;ouid=107596163405648766688&amp;rtpof=true&amp;sd=true</v>
      </c>
      <c r="O218" s="7" t="str">
        <f ca="1">IFERROR(__xludf.DUMMYFUNCTION("""COMPUTED_VALUE"""),"https://docs.google.com/document/d/1txtwr-pAHX9QQRScOW9XMiBsl6PAZZkH/edit?usp=drive_link&amp;ouid=107596163405648766688&amp;rtpof=true&amp;sd=true")</f>
        <v>https://docs.google.com/document/d/1txtwr-pAHX9QQRScOW9XMiBsl6PAZZkH/edit?usp=drive_link&amp;ouid=107596163405648766688&amp;rtpof=true&amp;sd=true</v>
      </c>
      <c r="P218" s="14">
        <f ca="1">IFERROR(__xludf.DUMMYFUNCTION("""COMPUTED_VALUE"""),8.5)</f>
        <v>8.5</v>
      </c>
      <c r="Q218" s="5"/>
      <c r="R218" s="5"/>
      <c r="S218" s="15">
        <f ca="1">IFERROR(__xludf.DUMMYFUNCTION("""COMPUTED_VALUE"""),44901)</f>
        <v>44901</v>
      </c>
      <c r="T218" s="5"/>
      <c r="U218" s="5" t="str">
        <f ca="1">IFERROR(__xludf.DUMMYFUNCTION("""COMPUTED_VALUE"""),"5x3")</f>
        <v>5x3</v>
      </c>
      <c r="V218" s="12" t="str">
        <f ca="1">IFERROR(__xludf.DUMMYFUNCTION("""COMPUTED_VALUE"""),"10")</f>
        <v>10</v>
      </c>
      <c r="W218" s="12" t="str">
        <f ca="1">IFERROR(__xludf.DUMMYFUNCTION("""COMPUTED_VALUE"""),"10")</f>
        <v>10</v>
      </c>
      <c r="X218" s="5">
        <f ca="1">IFERROR(__xludf.DUMMYFUNCTION("""COMPUTED_VALUE"""),95.96)</f>
        <v>95.96</v>
      </c>
      <c r="Y218" s="5" t="str">
        <f ca="1">IFERROR(__xludf.DUMMYFUNCTION("""COMPUTED_VALUE"""),"Medium")</f>
        <v>Medium</v>
      </c>
      <c r="Z218" s="5">
        <f ca="1">IFERROR(__xludf.DUMMYFUNCTION("""COMPUTED_VALUE"""),14.63)</f>
        <v>14.63</v>
      </c>
      <c r="AA218" s="14">
        <f ca="1">IFERROR(__xludf.DUMMYFUNCTION("""COMPUTED_VALUE"""),1538)</f>
        <v>1538</v>
      </c>
      <c r="AB218" s="5"/>
      <c r="AC218" s="5" t="str">
        <f ca="1">IFERROR(__xludf.DUMMYFUNCTION("""COMPUTED_VALUE"""),"Expanding Wild, Scatter")</f>
        <v>Expanding Wild, Scatter</v>
      </c>
      <c r="AD218" s="5" t="str">
        <f ca="1">IFERROR(__xludf.DUMMYFUNCTION("""COMPUTED_VALUE"""),"0.10/40")</f>
        <v>0.10/40</v>
      </c>
      <c r="AE218" s="5"/>
      <c r="AF218" s="5"/>
      <c r="AG218" s="10">
        <f ca="1">IFERROR(__xludf.DUMMYFUNCTION("""COMPUTED_VALUE"""),46157.4480092592)</f>
        <v>46157.448009259198</v>
      </c>
      <c r="AH218" s="5"/>
      <c r="AI218" s="5"/>
      <c r="AJ218" s="5"/>
      <c r="AK218" s="5">
        <f ca="1">IFERROR(__xludf.DUMMYFUNCTION("""COMPUTED_VALUE"""),1)</f>
        <v>1</v>
      </c>
      <c r="AL218" s="5" t="str">
        <f ca="1">IFERROR(__xludf.DUMMYFUNCTION("""COMPUTED_VALUE"""),"No")</f>
        <v>No</v>
      </c>
      <c r="AM218" s="5" t="str">
        <f ca="1">IFERROR(__xludf.DUMMYFUNCTION("""COMPUTED_VALUE"""),"No")</f>
        <v>No</v>
      </c>
      <c r="AN218" s="7" t="str">
        <f ca="1">IFERROR(__xludf.DUMMYFUNCTION("""COMPUTED_VALUE"""),"https://static.redstone.rs/games/10-wild-santa/")</f>
        <v>https://static.redstone.rs/games/10-wild-santa/</v>
      </c>
      <c r="AO218" s="5" t="str">
        <f ca="1">IFERROR(__xludf.DUMMYFUNCTION("""COMPUTED_VALUE"""),"No")</f>
        <v>No</v>
      </c>
      <c r="AP218" s="5" t="str">
        <f ca="1">IFERROR(__xludf.DUMMYFUNCTION("""COMPUTED_VALUE"""),"No")</f>
        <v>No</v>
      </c>
      <c r="AQ218" s="5" t="b">
        <f ca="1">IFERROR(__xludf.DUMMYFUNCTION("""COMPUTED_VALUE"""),TRUE)</f>
        <v>1</v>
      </c>
      <c r="AR218" s="5"/>
      <c r="AS218" s="5" t="str">
        <f ca="1">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AT218" s="5"/>
      <c r="AU218" s="5" t="str">
        <f ca="1">IFERROR(__xludf.DUMMYFUNCTION("""COMPUTED_VALUE"""),"Redstone")</f>
        <v>Redstone</v>
      </c>
      <c r="AV218" s="5"/>
      <c r="AW218" s="5"/>
      <c r="AX218" s="5"/>
      <c r="AY218" s="5"/>
      <c r="AZ218" s="5"/>
      <c r="BA218" s="5"/>
      <c r="BB218" s="5" t="b">
        <f ca="1">IFERROR(__xludf.DUMMYFUNCTION("""COMPUTED_VALUE"""),TRUE)</f>
        <v>1</v>
      </c>
      <c r="BC218" s="5" t="str">
        <f ca="1">IFERROR(__xludf.DUMMYFUNCTION("""COMPUTED_VALUE"""),"Redstone")</f>
        <v>Redstone</v>
      </c>
      <c r="BD218" s="7" t="str">
        <f ca="1">IFERROR(__xludf.DUMMYFUNCTION("""COMPUTED_VALUE"""),"https://static.redstone.rs/games/10-wild-santa/")</f>
        <v>https://static.redstone.rs/games/10-wild-santa/</v>
      </c>
      <c r="BE218" s="5" t="b">
        <f ca="1">IFERROR(__xludf.DUMMYFUNCTION("""COMPUTED_VALUE"""),TRUE)</f>
        <v>1</v>
      </c>
    </row>
    <row r="219" spans="1:57" x14ac:dyDescent="0.25">
      <c r="A219" s="5">
        <f ca="1">IFERROR(__xludf.DUMMYFUNCTION("""COMPUTED_VALUE"""),219)</f>
        <v>219</v>
      </c>
      <c r="B219" s="5">
        <f ca="1">IFERROR(__xludf.DUMMYFUNCTION("""COMPUTED_VALUE"""),218)</f>
        <v>218</v>
      </c>
      <c r="C219" s="5" t="str">
        <f ca="1">IFERROR(__xludf.DUMMYFUNCTION("""COMPUTED_VALUE"""),"Tiptop")</f>
        <v>Tiptop</v>
      </c>
      <c r="D219" s="5" t="str">
        <f ca="1">IFERROR(__xludf.DUMMYFUNCTION("""COMPUTED_VALUE"""),"Fast Fruits")</f>
        <v>Fast Fruits</v>
      </c>
      <c r="E219" s="5"/>
      <c r="F219" s="5" t="str">
        <f ca="1">IFERROR(__xludf.DUMMYFUNCTION("""COMPUTED_VALUE"""),"UnicornFastFruits")</f>
        <v>UnicornFastFruits</v>
      </c>
      <c r="G219" s="5" t="str">
        <f ca="1">IFERROR(__xludf.DUMMYFUNCTION("""COMPUTED_VALUE"""),"Live")</f>
        <v>Live</v>
      </c>
      <c r="H219" s="5"/>
      <c r="I219" s="5" t="str">
        <f ca="1">IFERROR(__xludf.DUMMYFUNCTION("""COMPUTED_VALUE"""),"TipTop")</f>
        <v>TipTop</v>
      </c>
      <c r="J219" s="5" t="str">
        <f ca="1">IFERROR(__xludf.DUMMYFUNCTION("""COMPUTED_VALUE"""),"JSON")</f>
        <v>JSON</v>
      </c>
      <c r="K219" s="5" t="str">
        <f ca="1">IFERROR(__xludf.DUMMYFUNCTION("""COMPUTED_VALUE"""),"Slot")</f>
        <v>Slot</v>
      </c>
      <c r="L219" s="5"/>
      <c r="M219" s="5"/>
      <c r="N219" s="5"/>
      <c r="O219" s="5"/>
      <c r="P219" s="14">
        <f ca="1">IFERROR(__xludf.DUMMYFUNCTION("""COMPUTED_VALUE"""),13.4)</f>
        <v>13.4</v>
      </c>
      <c r="Q219" s="5"/>
      <c r="R219" s="5"/>
      <c r="S219" s="15">
        <f ca="1">IFERROR(__xludf.DUMMYFUNCTION("""COMPUTED_VALUE"""),44887)</f>
        <v>44887</v>
      </c>
      <c r="T219" s="5"/>
      <c r="U219" s="5" t="str">
        <f ca="1">IFERROR(__xludf.DUMMYFUNCTION("""COMPUTED_VALUE"""),"5X3")</f>
        <v>5X3</v>
      </c>
      <c r="V219" s="12" t="str">
        <f ca="1">IFERROR(__xludf.DUMMYFUNCTION("""COMPUTED_VALUE"""),"10")</f>
        <v>10</v>
      </c>
      <c r="W219" s="12" t="str">
        <f ca="1">IFERROR(__xludf.DUMMYFUNCTION("""COMPUTED_VALUE"""),"10")</f>
        <v>10</v>
      </c>
      <c r="X219" s="5">
        <f ca="1">IFERROR(__xludf.DUMMYFUNCTION("""COMPUTED_VALUE"""),96)</f>
        <v>96</v>
      </c>
      <c r="Y219" s="5" t="str">
        <f ca="1">IFERROR(__xludf.DUMMYFUNCTION("""COMPUTED_VALUE"""),"Low")</f>
        <v>Low</v>
      </c>
      <c r="Z219" s="5">
        <f ca="1">IFERROR(__xludf.DUMMYFUNCTION("""COMPUTED_VALUE"""),10.24)</f>
        <v>10.24</v>
      </c>
      <c r="AA219" s="14">
        <f ca="1">IFERROR(__xludf.DUMMYFUNCTION("""COMPUTED_VALUE"""),1000)</f>
        <v>1000</v>
      </c>
      <c r="AB219" s="5"/>
      <c r="AC219" s="5"/>
      <c r="AD219" s="5" t="str">
        <f ca="1">IFERROR(__xludf.DUMMYFUNCTION("""COMPUTED_VALUE"""),"0.1/100")</f>
        <v>0.1/100</v>
      </c>
      <c r="AE219" s="5"/>
      <c r="AF219" s="5"/>
      <c r="AG219" s="10">
        <f ca="1">IFERROR(__xludf.DUMMYFUNCTION("""COMPUTED_VALUE"""),46197.4542708333)</f>
        <v>46197.454270833303</v>
      </c>
      <c r="AH219" s="5" t="str">
        <f ca="1">IFERROR(__xludf.DUMMYFUNCTION("""COMPUTED_VALUE"""),"selena.mihajlovic@fazi.rs")</f>
        <v>selena.mihajlovic@fazi.rs</v>
      </c>
      <c r="AI219" s="5"/>
      <c r="AJ219" s="5"/>
      <c r="AK219" s="5">
        <f ca="1">IFERROR(__xludf.DUMMYFUNCTION("""COMPUTED_VALUE"""),10)</f>
        <v>10</v>
      </c>
      <c r="AL219" s="5" t="str">
        <f ca="1">IFERROR(__xludf.DUMMYFUNCTION("""COMPUTED_VALUE"""),"No")</f>
        <v>No</v>
      </c>
      <c r="AM219" s="5"/>
      <c r="AN219" s="7" t="str">
        <f ca="1">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AO219" s="5"/>
      <c r="AP219" s="5"/>
      <c r="AQ219" s="5" t="b">
        <f ca="1">IFERROR(__xludf.DUMMYFUNCTION("""COMPUTED_VALUE"""),TRUE)</f>
        <v>1</v>
      </c>
      <c r="AR219" s="5"/>
      <c r="AS219" s="5" t="str">
        <f ca="1">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AT219" s="5"/>
      <c r="AU219" s="5" t="str">
        <f ca="1">IFERROR(__xludf.DUMMYFUNCTION("""COMPUTED_VALUE"""),"Fazi")</f>
        <v>Fazi</v>
      </c>
      <c r="AV219" s="5"/>
      <c r="AW219" s="5"/>
      <c r="AX219" s="5"/>
      <c r="AY219" s="5"/>
      <c r="AZ219" s="5"/>
      <c r="BA219" s="5"/>
      <c r="BB219" s="5" t="b">
        <f ca="1">IFERROR(__xludf.DUMMYFUNCTION("""COMPUTED_VALUE"""),TRUE)</f>
        <v>1</v>
      </c>
      <c r="BC219" s="5" t="str">
        <f ca="1">IFERROR(__xludf.DUMMYFUNCTION("""COMPUTED_VALUE"""),"Tiptop")</f>
        <v>Tiptop</v>
      </c>
      <c r="BD219" s="7" t="str">
        <f ca="1">IFERROR(__xludf.DUMMYFUNCTION("""COMPUTED_VALUE"""),"https://gameserver-store-client-area.orbionlimited.com/Home/IntegrationGameLaunch/client-area?moneyType=0&amp;gameName=UnicornFastFruits&amp;platform=desktop&amp;languageCode=eng&amp;currency=EUR")</f>
        <v>https://gameserver-store-client-area.orbionlimited.com/Home/IntegrationGameLaunch/client-area?moneyType=0&amp;gameName=UnicornFastFruits&amp;platform=desktop&amp;languageCode=eng&amp;currency=EUR</v>
      </c>
      <c r="BE219" s="5" t="b">
        <f ca="1">IFERROR(__xludf.DUMMYFUNCTION("""COMPUTED_VALUE"""),TRUE)</f>
        <v>1</v>
      </c>
    </row>
    <row r="220" spans="1:57" x14ac:dyDescent="0.25">
      <c r="A220" s="5">
        <f ca="1">IFERROR(__xludf.DUMMYFUNCTION("""COMPUTED_VALUE"""),220)</f>
        <v>220</v>
      </c>
      <c r="B220" s="5">
        <f ca="1">IFERROR(__xludf.DUMMYFUNCTION("""COMPUTED_VALUE"""),219)</f>
        <v>219</v>
      </c>
      <c r="C220" s="5" t="str">
        <f ca="1">IFERROR(__xludf.DUMMYFUNCTION("""COMPUTED_VALUE"""),"Tiptop")</f>
        <v>Tiptop</v>
      </c>
      <c r="D220" s="5" t="str">
        <f ca="1">IFERROR(__xludf.DUMMYFUNCTION("""COMPUTED_VALUE"""),"Money Standard Wild")</f>
        <v>Money Standard Wild</v>
      </c>
      <c r="E220" s="5"/>
      <c r="F220" s="5" t="str">
        <f ca="1">IFERROR(__xludf.DUMMYFUNCTION("""COMPUTED_VALUE"""),"UnicornMoneyStandardWild")</f>
        <v>UnicornMoneyStandardWild</v>
      </c>
      <c r="G220" s="5" t="str">
        <f ca="1">IFERROR(__xludf.DUMMYFUNCTION("""COMPUTED_VALUE"""),"Live")</f>
        <v>Live</v>
      </c>
      <c r="H220" s="5"/>
      <c r="I220" s="5" t="str">
        <f ca="1">IFERROR(__xludf.DUMMYFUNCTION("""COMPUTED_VALUE"""),"TipTop")</f>
        <v>TipTop</v>
      </c>
      <c r="J220" s="5" t="str">
        <f ca="1">IFERROR(__xludf.DUMMYFUNCTION("""COMPUTED_VALUE"""),"JSON")</f>
        <v>JSON</v>
      </c>
      <c r="K220" s="5" t="str">
        <f ca="1">IFERROR(__xludf.DUMMYFUNCTION("""COMPUTED_VALUE"""),"Slot")</f>
        <v>Slot</v>
      </c>
      <c r="L220" s="5"/>
      <c r="M220" s="5"/>
      <c r="N220" s="5"/>
      <c r="O220" s="5"/>
      <c r="P220" s="14">
        <f ca="1">IFERROR(__xludf.DUMMYFUNCTION("""COMPUTED_VALUE"""),14.6)</f>
        <v>14.6</v>
      </c>
      <c r="Q220" s="5"/>
      <c r="R220" s="5"/>
      <c r="S220" s="15">
        <f ca="1">IFERROR(__xludf.DUMMYFUNCTION("""COMPUTED_VALUE"""),44901)</f>
        <v>44901</v>
      </c>
      <c r="T220" s="5"/>
      <c r="U220" s="5" t="str">
        <f ca="1">IFERROR(__xludf.DUMMYFUNCTION("""COMPUTED_VALUE"""),"5X4")</f>
        <v>5X4</v>
      </c>
      <c r="V220" s="12" t="str">
        <f ca="1">IFERROR(__xludf.DUMMYFUNCTION("""COMPUTED_VALUE"""),"20")</f>
        <v>20</v>
      </c>
      <c r="W220" s="12" t="str">
        <f ca="1">IFERROR(__xludf.DUMMYFUNCTION("""COMPUTED_VALUE"""),"20")</f>
        <v>20</v>
      </c>
      <c r="X220" s="5">
        <f ca="1">IFERROR(__xludf.DUMMYFUNCTION("""COMPUTED_VALUE"""),96)</f>
        <v>96</v>
      </c>
      <c r="Y220" s="5" t="str">
        <f ca="1">IFERROR(__xludf.DUMMYFUNCTION("""COMPUTED_VALUE"""),"Medium")</f>
        <v>Medium</v>
      </c>
      <c r="Z220" s="5">
        <f ca="1">IFERROR(__xludf.DUMMYFUNCTION("""COMPUTED_VALUE"""),10.94)</f>
        <v>10.94</v>
      </c>
      <c r="AA220" s="14">
        <f ca="1">IFERROR(__xludf.DUMMYFUNCTION("""COMPUTED_VALUE"""),5000)</f>
        <v>5000</v>
      </c>
      <c r="AB220" s="5"/>
      <c r="AC220" s="5" t="str">
        <f ca="1">IFERROR(__xludf.DUMMYFUNCTION("""COMPUTED_VALUE"""),"Wild Symbol")</f>
        <v>Wild Symbol</v>
      </c>
      <c r="AD220" s="5" t="str">
        <f ca="1">IFERROR(__xludf.DUMMYFUNCTION("""COMPUTED_VALUE"""),"0.2/100")</f>
        <v>0.2/100</v>
      </c>
      <c r="AE220" s="5"/>
      <c r="AF220" s="5"/>
      <c r="AG220" s="10">
        <f ca="1">IFERROR(__xludf.DUMMYFUNCTION("""COMPUTED_VALUE"""),46197.4546527777)</f>
        <v>46197.454652777698</v>
      </c>
      <c r="AH220" s="5" t="str">
        <f ca="1">IFERROR(__xludf.DUMMYFUNCTION("""COMPUTED_VALUE"""),"selena.mihajlovic@fazi.rs")</f>
        <v>selena.mihajlovic@fazi.rs</v>
      </c>
      <c r="AI220" s="5"/>
      <c r="AJ220" s="5"/>
      <c r="AK220" s="5">
        <f ca="1">IFERROR(__xludf.DUMMYFUNCTION("""COMPUTED_VALUE"""),20)</f>
        <v>20</v>
      </c>
      <c r="AL220" s="5" t="str">
        <f ca="1">IFERROR(__xludf.DUMMYFUNCTION("""COMPUTED_VALUE"""),"No")</f>
        <v>No</v>
      </c>
      <c r="AM220" s="5"/>
      <c r="AN220" s="7" t="str">
        <f ca="1">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AO220" s="5"/>
      <c r="AP220" s="5"/>
      <c r="AQ220" s="5" t="b">
        <f ca="1">IFERROR(__xludf.DUMMYFUNCTION("""COMPUTED_VALUE"""),TRUE)</f>
        <v>1</v>
      </c>
      <c r="AR220" s="5"/>
      <c r="AS220" s="5" t="str">
        <f ca="1">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AT220" s="5"/>
      <c r="AU220" s="5" t="str">
        <f ca="1">IFERROR(__xludf.DUMMYFUNCTION("""COMPUTED_VALUE"""),"Fazi")</f>
        <v>Fazi</v>
      </c>
      <c r="AV220" s="5"/>
      <c r="AW220" s="5"/>
      <c r="AX220" s="5"/>
      <c r="AY220" s="5"/>
      <c r="AZ220" s="5"/>
      <c r="BA220" s="5"/>
      <c r="BB220" s="5" t="b">
        <f ca="1">IFERROR(__xludf.DUMMYFUNCTION("""COMPUTED_VALUE"""),TRUE)</f>
        <v>1</v>
      </c>
      <c r="BC220" s="5" t="str">
        <f ca="1">IFERROR(__xludf.DUMMYFUNCTION("""COMPUTED_VALUE"""),"Tiptop")</f>
        <v>Tiptop</v>
      </c>
      <c r="BD220" s="7" t="str">
        <f ca="1">IFERROR(__xludf.DUMMYFUNCTION("""COMPUTED_VALUE"""),"https://gameserver-store-client-area.orbionlimited.com/Home/IntegrationGameLaunch/client-area?moneyType=0&amp;gameName=UnicornMoneyStandardWild&amp;platform=desktop&amp;languageCode=eng&amp;currency=EUR")</f>
        <v>https://gameserver-store-client-area.orbionlimited.com/Home/IntegrationGameLaunch/client-area?moneyType=0&amp;gameName=UnicornMoneyStandardWild&amp;platform=desktop&amp;languageCode=eng&amp;currency=EUR</v>
      </c>
      <c r="BE220" s="5" t="b">
        <f ca="1">IFERROR(__xludf.DUMMYFUNCTION("""COMPUTED_VALUE"""),TRUE)</f>
        <v>1</v>
      </c>
    </row>
    <row r="221" spans="1:57" x14ac:dyDescent="0.25">
      <c r="A221" s="5">
        <f ca="1">IFERROR(__xludf.DUMMYFUNCTION("""COMPUTED_VALUE"""),221)</f>
        <v>221</v>
      </c>
      <c r="B221" s="5">
        <f ca="1">IFERROR(__xludf.DUMMYFUNCTION("""COMPUTED_VALUE"""),220)</f>
        <v>220</v>
      </c>
      <c r="C221" s="5" t="str">
        <f ca="1">IFERROR(__xludf.DUMMYFUNCTION("""COMPUTED_VALUE"""),"Fazi")</f>
        <v>Fazi</v>
      </c>
      <c r="D221" s="5" t="str">
        <f ca="1">IFERROR(__xludf.DUMMYFUNCTION("""COMPUTED_VALUE"""),"Wild Hot 40 Blow")</f>
        <v>Wild Hot 40 Blow</v>
      </c>
      <c r="E221" s="5" t="str">
        <f ca="1">IFERROR(__xludf.DUMMYFUNCTION("""COMPUTED_VALUE"""),"V2")</f>
        <v>V2</v>
      </c>
      <c r="F221" s="5" t="str">
        <f ca="1">IFERROR(__xludf.DUMMYFUNCTION("""COMPUTED_VALUE"""),"WildHot40Blow")</f>
        <v>WildHot40Blow</v>
      </c>
      <c r="G221" s="5" t="str">
        <f ca="1">IFERROR(__xludf.DUMMYFUNCTION("""COMPUTED_VALUE"""),"Live")</f>
        <v>Live</v>
      </c>
      <c r="H221" s="5"/>
      <c r="I221" s="5" t="str">
        <f ca="1">IFERROR(__xludf.DUMMYFUNCTION("""COMPUTED_VALUE"""),"V2")</f>
        <v>V2</v>
      </c>
      <c r="J221" s="5" t="str">
        <f ca="1">IFERROR(__xludf.DUMMYFUNCTION("""COMPUTED_VALUE"""),"JSON")</f>
        <v>JSON</v>
      </c>
      <c r="K221" s="5" t="str">
        <f ca="1">IFERROR(__xludf.DUMMYFUNCTION("""COMPUTED_VALUE"""),"Slot")</f>
        <v>Slot</v>
      </c>
      <c r="L221" s="5"/>
      <c r="M221" s="5"/>
      <c r="N221" s="5"/>
      <c r="O221" s="5"/>
      <c r="P221" s="14">
        <f ca="1">IFERROR(__xludf.DUMMYFUNCTION("""COMPUTED_VALUE"""),35)</f>
        <v>35</v>
      </c>
      <c r="Q221" s="5"/>
      <c r="R221" s="5"/>
      <c r="S221" s="15">
        <f ca="1">IFERROR(__xludf.DUMMYFUNCTION("""COMPUTED_VALUE"""),44910)</f>
        <v>44910</v>
      </c>
      <c r="T221" s="5" t="b">
        <f ca="1">IFERROR(__xludf.DUMMYFUNCTION("""COMPUTED_VALUE"""),TRUE)</f>
        <v>1</v>
      </c>
      <c r="U221" s="5" t="str">
        <f ca="1">IFERROR(__xludf.DUMMYFUNCTION("""COMPUTED_VALUE"""),"5x4")</f>
        <v>5x4</v>
      </c>
      <c r="V221" s="12" t="str">
        <f ca="1">IFERROR(__xludf.DUMMYFUNCTION("""COMPUTED_VALUE"""),"40")</f>
        <v>40</v>
      </c>
      <c r="W221" s="12" t="str">
        <f ca="1">IFERROR(__xludf.DUMMYFUNCTION("""COMPUTED_VALUE"""),"40")</f>
        <v>40</v>
      </c>
      <c r="X221" s="5">
        <f ca="1">IFERROR(__xludf.DUMMYFUNCTION("""COMPUTED_VALUE"""),96.269)</f>
        <v>96.269000000000005</v>
      </c>
      <c r="Y221" s="5" t="str">
        <f ca="1">IFERROR(__xludf.DUMMYFUNCTION("""COMPUTED_VALUE"""),"Medium")</f>
        <v>Medium</v>
      </c>
      <c r="Z221" s="5">
        <f ca="1">IFERROR(__xludf.DUMMYFUNCTION("""COMPUTED_VALUE"""),13.88)</f>
        <v>13.88</v>
      </c>
      <c r="AA221" s="14">
        <f ca="1">IFERROR(__xludf.DUMMYFUNCTION("""COMPUTED_VALUE"""),1000)</f>
        <v>1000</v>
      </c>
      <c r="AB221" s="5">
        <f ca="1">IFERROR(__xludf.DUMMYFUNCTION("""COMPUTED_VALUE"""),35)</f>
        <v>35</v>
      </c>
      <c r="AC221" s="5" t="str">
        <f ca="1">IFERROR(__xludf.DUMMYFUNCTION("""COMPUTED_VALUE"""),"Wild Symbol, Scatter, Exploding Wild")</f>
        <v>Wild Symbol, Scatter, Exploding Wild</v>
      </c>
      <c r="AD221" s="5" t="str">
        <f ca="1">IFERROR(__xludf.DUMMYFUNCTION("""COMPUTED_VALUE"""),"0.40/60")</f>
        <v>0.40/60</v>
      </c>
      <c r="AE221" s="5"/>
      <c r="AF221" s="5"/>
      <c r="AG221" s="10">
        <f ca="1">IFERROR(__xludf.DUMMYFUNCTION("""COMPUTED_VALUE"""),46056.4549189814)</f>
        <v>46056.454918981399</v>
      </c>
      <c r="AH221" s="5" t="str">
        <f ca="1">IFERROR(__xludf.DUMMYFUNCTION("""COMPUTED_VALUE"""),"aleksandar.trajkovic@fazi.rs")</f>
        <v>aleksandar.trajkovic@fazi.rs</v>
      </c>
      <c r="AI221" s="5"/>
      <c r="AJ221" s="5"/>
      <c r="AK221" s="5">
        <f ca="1">IFERROR(__xludf.DUMMYFUNCTION("""COMPUTED_VALUE"""),40)</f>
        <v>40</v>
      </c>
      <c r="AL221" s="5" t="str">
        <f ca="1">IFERROR(__xludf.DUMMYFUNCTION("""COMPUTED_VALUE"""),"Yes")</f>
        <v>Yes</v>
      </c>
      <c r="AM221" s="5"/>
      <c r="AN221" s="7" t="str">
        <f ca="1">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AO221" s="5" t="str">
        <f ca="1">IFERROR(__xludf.DUMMYFUNCTION("""COMPUTED_VALUE"""),"Yes")</f>
        <v>Yes</v>
      </c>
      <c r="AP221" s="5" t="str">
        <f ca="1">IFERROR(__xludf.DUMMYFUNCTION("""COMPUTED_VALUE"""),"Yes")</f>
        <v>Yes</v>
      </c>
      <c r="AQ221" s="5" t="b">
        <f ca="1">IFERROR(__xludf.DUMMYFUNCTION("""COMPUTED_VALUE"""),TRUE)</f>
        <v>1</v>
      </c>
      <c r="AR221" s="5"/>
      <c r="AS221" s="5" t="str">
        <f ca="1">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AT221" s="5"/>
      <c r="AU221" s="5" t="str">
        <f ca="1">IFERROR(__xludf.DUMMYFUNCTION("""COMPUTED_VALUE"""),"Fazi")</f>
        <v>Fazi</v>
      </c>
      <c r="AV221" s="5"/>
      <c r="AW221" s="5"/>
      <c r="AX221" s="5"/>
      <c r="AY221" s="5" t="str">
        <f ca="1">IFERROR(__xludf.DUMMYFUNCTION("""COMPUTED_VALUE"""),"87.5%, 89.5%, 91.5%, 93.5%, 94.5%, 95.5%, 96.5%")</f>
        <v>87.5%, 89.5%, 91.5%, 93.5%, 94.5%, 95.5%, 96.5%</v>
      </c>
      <c r="AZ221" s="5"/>
      <c r="BA221" s="5" t="str">
        <f ca="1">IFERROR(__xludf.DUMMYFUNCTION("""COMPUTED_VALUE"""),"")</f>
        <v/>
      </c>
      <c r="BB221" s="5"/>
      <c r="BC221" s="5" t="str">
        <f ca="1">IFERROR(__xludf.DUMMYFUNCTION("""COMPUTED_VALUE"""),"Foxi")</f>
        <v>Foxi</v>
      </c>
      <c r="BD221" s="7" t="str">
        <f ca="1">IFERROR(__xludf.DUMMYFUNCTION("""COMPUTED_VALUE"""),"https://gameserver-store-client-area.orbionlimited.com/Home/IntegrationGameLaunch/client-area?moneyType=0&amp;gameName=WildHot40Blow&amp;platform=desktop&amp;languageCode=eng&amp;currency=EUR")</f>
        <v>https://gameserver-store-client-area.orbionlimited.com/Home/IntegrationGameLaunch/client-area?moneyType=0&amp;gameName=WildHot40Blow&amp;platform=desktop&amp;languageCode=eng&amp;currency=EUR</v>
      </c>
      <c r="BE221" s="5" t="b">
        <f ca="1">IFERROR(__xludf.DUMMYFUNCTION("""COMPUTED_VALUE"""),TRUE)</f>
        <v>1</v>
      </c>
    </row>
    <row r="222" spans="1:57" x14ac:dyDescent="0.25">
      <c r="A222" s="5">
        <f ca="1">IFERROR(__xludf.DUMMYFUNCTION("""COMPUTED_VALUE"""),222)</f>
        <v>222</v>
      </c>
      <c r="B222" s="5">
        <f ca="1">IFERROR(__xludf.DUMMYFUNCTION("""COMPUTED_VALUE"""),221)</f>
        <v>221</v>
      </c>
      <c r="C222" s="5" t="str">
        <f ca="1">IFERROR(__xludf.DUMMYFUNCTION("""COMPUTED_VALUE"""),"Tiptop")</f>
        <v>Tiptop</v>
      </c>
      <c r="D222" s="5" t="str">
        <f ca="1">IFERROR(__xludf.DUMMYFUNCTION("""COMPUTED_VALUE"""),"Dice Mega Cash")</f>
        <v>Dice Mega Cash</v>
      </c>
      <c r="E222" s="5"/>
      <c r="F222" s="5" t="str">
        <f ca="1">IFERROR(__xludf.DUMMYFUNCTION("""COMPUTED_VALUE"""),"UnicornDiceMegaCash")</f>
        <v>UnicornDiceMegaCash</v>
      </c>
      <c r="G222" s="5" t="str">
        <f ca="1">IFERROR(__xludf.DUMMYFUNCTION("""COMPUTED_VALUE"""),"Live")</f>
        <v>Live</v>
      </c>
      <c r="H222" s="5"/>
      <c r="I222" s="5" t="str">
        <f ca="1">IFERROR(__xludf.DUMMYFUNCTION("""COMPUTED_VALUE"""),"TipTop")</f>
        <v>TipTop</v>
      </c>
      <c r="J222" s="5" t="str">
        <f ca="1">IFERROR(__xludf.DUMMYFUNCTION("""COMPUTED_VALUE"""),"JSON")</f>
        <v>JSON</v>
      </c>
      <c r="K222" s="5" t="str">
        <f ca="1">IFERROR(__xludf.DUMMYFUNCTION("""COMPUTED_VALUE"""),"Dice Slots")</f>
        <v>Dice Slots</v>
      </c>
      <c r="L222" s="5"/>
      <c r="M222" s="5"/>
      <c r="N222" s="5"/>
      <c r="O222" s="5"/>
      <c r="P222" s="14">
        <f ca="1">IFERROR(__xludf.DUMMYFUNCTION("""COMPUTED_VALUE"""),12.7)</f>
        <v>12.7</v>
      </c>
      <c r="Q222" s="5"/>
      <c r="R222" s="5"/>
      <c r="S222" s="15">
        <f ca="1">IFERROR(__xludf.DUMMYFUNCTION("""COMPUTED_VALUE"""),44950)</f>
        <v>44950</v>
      </c>
      <c r="T222" s="5" t="b">
        <f ca="1">IFERROR(__xludf.DUMMYFUNCTION("""COMPUTED_VALUE"""),TRUE)</f>
        <v>1</v>
      </c>
      <c r="U222" s="5" t="str">
        <f ca="1">IFERROR(__xludf.DUMMYFUNCTION("""COMPUTED_VALUE"""),"5X3")</f>
        <v>5X3</v>
      </c>
      <c r="V222" s="12" t="str">
        <f ca="1">IFERROR(__xludf.DUMMYFUNCTION("""COMPUTED_VALUE"""),"10")</f>
        <v>10</v>
      </c>
      <c r="W222" s="12" t="str">
        <f ca="1">IFERROR(__xludf.DUMMYFUNCTION("""COMPUTED_VALUE"""),"10")</f>
        <v>10</v>
      </c>
      <c r="X222" s="5">
        <f ca="1">IFERROR(__xludf.DUMMYFUNCTION("""COMPUTED_VALUE"""),96)</f>
        <v>96</v>
      </c>
      <c r="Y222" s="5" t="str">
        <f ca="1">IFERROR(__xludf.DUMMYFUNCTION("""COMPUTED_VALUE"""),"Low")</f>
        <v>Low</v>
      </c>
      <c r="Z222" s="5">
        <f ca="1">IFERROR(__xludf.DUMMYFUNCTION("""COMPUTED_VALUE"""),21.22)</f>
        <v>21.22</v>
      </c>
      <c r="AA222" s="14">
        <f ca="1">IFERROR(__xludf.DUMMYFUNCTION("""COMPUTED_VALUE"""),5000)</f>
        <v>5000</v>
      </c>
      <c r="AB222" s="5"/>
      <c r="AC222" s="5" t="str">
        <f ca="1">IFERROR(__xludf.DUMMYFUNCTION("""COMPUTED_VALUE"""),"Scatter")</f>
        <v>Scatter</v>
      </c>
      <c r="AD222" s="5" t="str">
        <f ca="1">IFERROR(__xludf.DUMMYFUNCTION("""COMPUTED_VALUE"""),"0.1/100")</f>
        <v>0.1/100</v>
      </c>
      <c r="AE222" s="5"/>
      <c r="AF222" s="5"/>
      <c r="AG222" s="10">
        <f ca="1">IFERROR(__xludf.DUMMYFUNCTION("""COMPUTED_VALUE"""),46197.4563773148)</f>
        <v>46197.456377314797</v>
      </c>
      <c r="AH222" s="5" t="str">
        <f ca="1">IFERROR(__xludf.DUMMYFUNCTION("""COMPUTED_VALUE"""),"selena.mihajlovic@fazi.rs")</f>
        <v>selena.mihajlovic@fazi.rs</v>
      </c>
      <c r="AI222" s="5"/>
      <c r="AJ222" s="5"/>
      <c r="AK222" s="5">
        <f ca="1">IFERROR(__xludf.DUMMYFUNCTION("""COMPUTED_VALUE"""),10)</f>
        <v>10</v>
      </c>
      <c r="AL222" s="5" t="str">
        <f ca="1">IFERROR(__xludf.DUMMYFUNCTION("""COMPUTED_VALUE"""),"No")</f>
        <v>No</v>
      </c>
      <c r="AM222" s="5"/>
      <c r="AN222" s="7" t="str">
        <f ca="1">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AO222" s="5"/>
      <c r="AP222" s="5"/>
      <c r="AQ222" s="5" t="b">
        <f ca="1">IFERROR(__xludf.DUMMYFUNCTION("""COMPUTED_VALUE"""),TRUE)</f>
        <v>1</v>
      </c>
      <c r="AR222" s="5"/>
      <c r="AS222" s="5" t="str">
        <f ca="1">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AT222" s="5"/>
      <c r="AU222" s="5" t="str">
        <f ca="1">IFERROR(__xludf.DUMMYFUNCTION("""COMPUTED_VALUE"""),"Fazi")</f>
        <v>Fazi</v>
      </c>
      <c r="AV222" s="5"/>
      <c r="AW222" s="5"/>
      <c r="AX222" s="5"/>
      <c r="AY222" s="5"/>
      <c r="AZ222" s="5"/>
      <c r="BA222" s="5"/>
      <c r="BB222" s="5" t="b">
        <f ca="1">IFERROR(__xludf.DUMMYFUNCTION("""COMPUTED_VALUE"""),TRUE)</f>
        <v>1</v>
      </c>
      <c r="BC222" s="5" t="str">
        <f ca="1">IFERROR(__xludf.DUMMYFUNCTION("""COMPUTED_VALUE"""),"Tiptop")</f>
        <v>Tiptop</v>
      </c>
      <c r="BD222" s="7" t="str">
        <f ca="1">IFERROR(__xludf.DUMMYFUNCTION("""COMPUTED_VALUE"""),"https://gameserver-store-client-area.orbionlimited.com/Home/IntegrationGameLaunch/client-area?moneyType=0&amp;gameName=UnicornDiceMegaCash&amp;platform=desktop&amp;languageCode=eng&amp;currency=EUR")</f>
        <v>https://gameserver-store-client-area.orbionlimited.com/Home/IntegrationGameLaunch/client-area?moneyType=0&amp;gameName=UnicornDiceMegaCash&amp;platform=desktop&amp;languageCode=eng&amp;currency=EUR</v>
      </c>
      <c r="BE222" s="5" t="b">
        <f ca="1">IFERROR(__xludf.DUMMYFUNCTION("""COMPUTED_VALUE"""),TRUE)</f>
        <v>1</v>
      </c>
    </row>
    <row r="223" spans="1:57" x14ac:dyDescent="0.25">
      <c r="A223" s="5">
        <f ca="1">IFERROR(__xludf.DUMMYFUNCTION("""COMPUTED_VALUE"""),223)</f>
        <v>223</v>
      </c>
      <c r="B223" s="5">
        <f ca="1">IFERROR(__xludf.DUMMYFUNCTION("""COMPUTED_VALUE"""),222)</f>
        <v>222</v>
      </c>
      <c r="C223" s="5" t="str">
        <f ca="1">IFERROR(__xludf.DUMMYFUNCTION("""COMPUTED_VALUE"""),"Tiptop")</f>
        <v>Tiptop</v>
      </c>
      <c r="D223" s="5" t="str">
        <f ca="1">IFERROR(__xludf.DUMMYFUNCTION("""COMPUTED_VALUE"""),"40 Hot Strike")</f>
        <v>40 Hot Strike</v>
      </c>
      <c r="E223" s="5"/>
      <c r="F223" s="5" t="str">
        <f ca="1">IFERROR(__xludf.DUMMYFUNCTION("""COMPUTED_VALUE"""),"Unicorn40HotStrike")</f>
        <v>Unicorn40HotStrike</v>
      </c>
      <c r="G223" s="5" t="str">
        <f ca="1">IFERROR(__xludf.DUMMYFUNCTION("""COMPUTED_VALUE"""),"Live")</f>
        <v>Live</v>
      </c>
      <c r="H223" s="5"/>
      <c r="I223" s="5" t="str">
        <f ca="1">IFERROR(__xludf.DUMMYFUNCTION("""COMPUTED_VALUE"""),"TipTop")</f>
        <v>TipTop</v>
      </c>
      <c r="J223" s="5" t="str">
        <f ca="1">IFERROR(__xludf.DUMMYFUNCTION("""COMPUTED_VALUE"""),"JSON")</f>
        <v>JSON</v>
      </c>
      <c r="K223" s="5" t="str">
        <f ca="1">IFERROR(__xludf.DUMMYFUNCTION("""COMPUTED_VALUE"""),"Slot")</f>
        <v>Slot</v>
      </c>
      <c r="L223" s="5"/>
      <c r="M223" s="5"/>
      <c r="N223" s="5"/>
      <c r="O223" s="5"/>
      <c r="P223" s="14">
        <f ca="1">IFERROR(__xludf.DUMMYFUNCTION("""COMPUTED_VALUE"""),12.8)</f>
        <v>12.8</v>
      </c>
      <c r="Q223" s="5"/>
      <c r="R223" s="5"/>
      <c r="S223" s="15">
        <f ca="1">IFERROR(__xludf.DUMMYFUNCTION("""COMPUTED_VALUE"""),44957)</f>
        <v>44957</v>
      </c>
      <c r="T223" s="5" t="b">
        <f ca="1">IFERROR(__xludf.DUMMYFUNCTION("""COMPUTED_VALUE"""),TRUE)</f>
        <v>1</v>
      </c>
      <c r="U223" s="5" t="str">
        <f ca="1">IFERROR(__xludf.DUMMYFUNCTION("""COMPUTED_VALUE"""),"5X4")</f>
        <v>5X4</v>
      </c>
      <c r="V223" s="12" t="str">
        <f ca="1">IFERROR(__xludf.DUMMYFUNCTION("""COMPUTED_VALUE"""),"40")</f>
        <v>40</v>
      </c>
      <c r="W223" s="12" t="str">
        <f ca="1">IFERROR(__xludf.DUMMYFUNCTION("""COMPUTED_VALUE"""),"40")</f>
        <v>40</v>
      </c>
      <c r="X223" s="5">
        <f ca="1">IFERROR(__xludf.DUMMYFUNCTION("""COMPUTED_VALUE"""),96)</f>
        <v>96</v>
      </c>
      <c r="Y223" s="5" t="str">
        <f ca="1">IFERROR(__xludf.DUMMYFUNCTION("""COMPUTED_VALUE"""),"Low")</f>
        <v>Low</v>
      </c>
      <c r="Z223" s="5">
        <f ca="1">IFERROR(__xludf.DUMMYFUNCTION("""COMPUTED_VALUE"""),11.91)</f>
        <v>11.91</v>
      </c>
      <c r="AA223" s="14">
        <f ca="1">IFERROR(__xludf.DUMMYFUNCTION("""COMPUTED_VALUE"""),1000)</f>
        <v>1000</v>
      </c>
      <c r="AB223" s="5"/>
      <c r="AC223" s="5" t="str">
        <f ca="1">IFERROR(__xludf.DUMMYFUNCTION("""COMPUTED_VALUE"""),"Wild Symbol, Scatter")</f>
        <v>Wild Symbol, Scatter</v>
      </c>
      <c r="AD223" s="5" t="str">
        <f ca="1">IFERROR(__xludf.DUMMYFUNCTION("""COMPUTED_VALUE"""),"0.4/100")</f>
        <v>0.4/100</v>
      </c>
      <c r="AE223" s="5"/>
      <c r="AF223" s="5"/>
      <c r="AG223" s="10">
        <f ca="1">IFERROR(__xludf.DUMMYFUNCTION("""COMPUTED_VALUE"""),46197.4565393518)</f>
        <v>46197.456539351799</v>
      </c>
      <c r="AH223" s="5" t="str">
        <f ca="1">IFERROR(__xludf.DUMMYFUNCTION("""COMPUTED_VALUE"""),"selena.mihajlovic@fazi.rs")</f>
        <v>selena.mihajlovic@fazi.rs</v>
      </c>
      <c r="AI223" s="5"/>
      <c r="AJ223" s="5"/>
      <c r="AK223" s="5">
        <f ca="1">IFERROR(__xludf.DUMMYFUNCTION("""COMPUTED_VALUE"""),40)</f>
        <v>40</v>
      </c>
      <c r="AL223" s="5" t="str">
        <f ca="1">IFERROR(__xludf.DUMMYFUNCTION("""COMPUTED_VALUE"""),"No")</f>
        <v>No</v>
      </c>
      <c r="AM223" s="5"/>
      <c r="AN223" s="7" t="str">
        <f ca="1">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AO223" s="5"/>
      <c r="AP223" s="5"/>
      <c r="AQ223" s="5" t="b">
        <f ca="1">IFERROR(__xludf.DUMMYFUNCTION("""COMPUTED_VALUE"""),TRUE)</f>
        <v>1</v>
      </c>
      <c r="AR223" s="5"/>
      <c r="AS223" s="5" t="str">
        <f ca="1">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AT223" s="5"/>
      <c r="AU223" s="5" t="str">
        <f ca="1">IFERROR(__xludf.DUMMYFUNCTION("""COMPUTED_VALUE"""),"Fazi")</f>
        <v>Fazi</v>
      </c>
      <c r="AV223" s="5"/>
      <c r="AW223" s="5"/>
      <c r="AX223" s="5"/>
      <c r="AY223" s="5"/>
      <c r="AZ223" s="5"/>
      <c r="BA223" s="5"/>
      <c r="BB223" s="5" t="b">
        <f ca="1">IFERROR(__xludf.DUMMYFUNCTION("""COMPUTED_VALUE"""),TRUE)</f>
        <v>1</v>
      </c>
      <c r="BC223" s="5" t="str">
        <f ca="1">IFERROR(__xludf.DUMMYFUNCTION("""COMPUTED_VALUE"""),"Tiptop")</f>
        <v>Tiptop</v>
      </c>
      <c r="BD223" s="7" t="str">
        <f ca="1">IFERROR(__xludf.DUMMYFUNCTION("""COMPUTED_VALUE"""),"https://gameserver-store-client-area.orbionlimited.com/Home/IntegrationGameLaunch/client-area?moneyType=0&amp;gameName=Unicorn40HotStrike&amp;platform=desktop&amp;languageCode=eng&amp;currency=EUR")</f>
        <v>https://gameserver-store-client-area.orbionlimited.com/Home/IntegrationGameLaunch/client-area?moneyType=0&amp;gameName=Unicorn40HotStrike&amp;platform=desktop&amp;languageCode=eng&amp;currency=EUR</v>
      </c>
      <c r="BE223" s="5" t="b">
        <f ca="1">IFERROR(__xludf.DUMMYFUNCTION("""COMPUTED_VALUE"""),TRUE)</f>
        <v>1</v>
      </c>
    </row>
    <row r="224" spans="1:57" x14ac:dyDescent="0.25">
      <c r="A224" s="5">
        <f ca="1">IFERROR(__xludf.DUMMYFUNCTION("""COMPUTED_VALUE"""),224)</f>
        <v>224</v>
      </c>
      <c r="B224" s="5">
        <f ca="1">IFERROR(__xludf.DUMMYFUNCTION("""COMPUTED_VALUE"""),223)</f>
        <v>223</v>
      </c>
      <c r="C224" s="5" t="str">
        <f ca="1">IFERROR(__xludf.DUMMYFUNCTION("""COMPUTED_VALUE"""),"Redstone")</f>
        <v>Redstone</v>
      </c>
      <c r="D224" s="5" t="str">
        <f ca="1">IFERROR(__xludf.DUMMYFUNCTION("""COMPUTED_VALUE"""),"Shining Rush")</f>
        <v>Shining Rush</v>
      </c>
      <c r="E224" s="5"/>
      <c r="F224" s="5" t="str">
        <f ca="1">IFERROR(__xludf.DUMMYFUNCTION("""COMPUTED_VALUE"""),"ShiningRush")</f>
        <v>ShiningRush</v>
      </c>
      <c r="G224" s="5" t="str">
        <f ca="1">IFERROR(__xludf.DUMMYFUNCTION("""COMPUTED_VALUE"""),"Retired")</f>
        <v>Retired</v>
      </c>
      <c r="H224" s="5"/>
      <c r="I224" s="5" t="str">
        <f ca="1">IFERROR(__xludf.DUMMYFUNCTION("""COMPUTED_VALUE"""),"Redstone")</f>
        <v>Redstone</v>
      </c>
      <c r="J224" s="5" t="str">
        <f ca="1">IFERROR(__xludf.DUMMYFUNCTION("""COMPUTED_VALUE"""),"JSON")</f>
        <v>JSON</v>
      </c>
      <c r="K224" s="5" t="str">
        <f ca="1">IFERROR(__xludf.DUMMYFUNCTION("""COMPUTED_VALUE"""),"Slot")</f>
        <v>Slot</v>
      </c>
      <c r="L224" s="5"/>
      <c r="M224" s="5"/>
      <c r="N224" s="5"/>
      <c r="O224" s="5"/>
      <c r="P224" s="5"/>
      <c r="Q224" s="5"/>
      <c r="R224" s="5"/>
      <c r="S224" s="15">
        <f ca="1">IFERROR(__xludf.DUMMYFUNCTION("""COMPUTED_VALUE"""),44986)</f>
        <v>44986</v>
      </c>
      <c r="T224" s="5" t="b">
        <f ca="1">IFERROR(__xludf.DUMMYFUNCTION("""COMPUTED_VALUE"""),TRUE)</f>
        <v>1</v>
      </c>
      <c r="U224" s="5" t="str">
        <f ca="1">IFERROR(__xludf.DUMMYFUNCTION("""COMPUTED_VALUE"""),"5x4")</f>
        <v>5x4</v>
      </c>
      <c r="V224" s="12" t="str">
        <f ca="1">IFERROR(__xludf.DUMMYFUNCTION("""COMPUTED_VALUE"""),"10")</f>
        <v>10</v>
      </c>
      <c r="W224" s="12" t="str">
        <f ca="1">IFERROR(__xludf.DUMMYFUNCTION("""COMPUTED_VALUE"""),"10")</f>
        <v>10</v>
      </c>
      <c r="X224" s="5">
        <f ca="1">IFERROR(__xludf.DUMMYFUNCTION("""COMPUTED_VALUE"""),94.89)</f>
        <v>94.89</v>
      </c>
      <c r="Y224" s="5" t="str">
        <f ca="1">IFERROR(__xludf.DUMMYFUNCTION("""COMPUTED_VALUE"""),"High")</f>
        <v>High</v>
      </c>
      <c r="Z224" s="5">
        <f ca="1">IFERROR(__xludf.DUMMYFUNCTION("""COMPUTED_VALUE"""),12.54)</f>
        <v>12.54</v>
      </c>
      <c r="AA224" s="14">
        <f ca="1">IFERROR(__xludf.DUMMYFUNCTION("""COMPUTED_VALUE"""),1250)</f>
        <v>1250</v>
      </c>
      <c r="AB224" s="5"/>
      <c r="AC224" s="5"/>
      <c r="AD224" s="5"/>
      <c r="AE224" s="5"/>
      <c r="AF224" s="5"/>
      <c r="AG224" s="10">
        <f ca="1">IFERROR(__xludf.DUMMYFUNCTION("""COMPUTED_VALUE"""),46142.4568171296)</f>
        <v>46142.456817129598</v>
      </c>
      <c r="AH224" s="5"/>
      <c r="AI224" s="5"/>
      <c r="AJ224" s="5"/>
      <c r="AK224" s="5">
        <f ca="1">IFERROR(__xludf.DUMMYFUNCTION("""COMPUTED_VALUE"""),10)</f>
        <v>10</v>
      </c>
      <c r="AL224" s="5"/>
      <c r="AM224" s="5"/>
      <c r="AN224" s="5"/>
      <c r="AO224" s="5"/>
      <c r="AP224" s="5"/>
      <c r="AQ224" s="5"/>
      <c r="AR224" s="5"/>
      <c r="AS224" s="5"/>
      <c r="AT224" s="5"/>
      <c r="AU224" s="5" t="str">
        <f ca="1">IFERROR(__xludf.DUMMYFUNCTION("""COMPUTED_VALUE"""),"Redstone")</f>
        <v>Redstone</v>
      </c>
      <c r="AV224" s="5"/>
      <c r="AW224" s="5"/>
      <c r="AX224" s="5"/>
      <c r="AY224" s="5"/>
      <c r="AZ224" s="5"/>
      <c r="BA224" s="5"/>
      <c r="BB224" s="5"/>
      <c r="BC224" s="5" t="str">
        <f ca="1">IFERROR(__xludf.DUMMYFUNCTION("""COMPUTED_VALUE"""),"Redstone")</f>
        <v>Redstone</v>
      </c>
      <c r="BD224" s="5"/>
      <c r="BE224" s="5"/>
    </row>
    <row r="225" spans="1:57" x14ac:dyDescent="0.25">
      <c r="A225" s="5">
        <f ca="1">IFERROR(__xludf.DUMMYFUNCTION("""COMPUTED_VALUE"""),225)</f>
        <v>225</v>
      </c>
      <c r="B225" s="5">
        <f ca="1">IFERROR(__xludf.DUMMYFUNCTION("""COMPUTED_VALUE"""),224)</f>
        <v>224</v>
      </c>
      <c r="C225" s="5" t="str">
        <f ca="1">IFERROR(__xludf.DUMMYFUNCTION("""COMPUTED_VALUE"""),"Fazi")</f>
        <v>Fazi</v>
      </c>
      <c r="D225" s="5" t="str">
        <f ca="1">IFERROR(__xludf.DUMMYFUNCTION("""COMPUTED_VALUE"""),"Golden Explosion")</f>
        <v>Golden Explosion</v>
      </c>
      <c r="E225" s="5" t="str">
        <f ca="1">IFERROR(__xludf.DUMMYFUNCTION("""COMPUTED_VALUE"""),"V2")</f>
        <v>V2</v>
      </c>
      <c r="F225" s="5" t="str">
        <f ca="1">IFERROR(__xludf.DUMMYFUNCTION("""COMPUTED_VALUE"""),"GoldenExplosion")</f>
        <v>GoldenExplosion</v>
      </c>
      <c r="G225" s="5" t="str">
        <f ca="1">IFERROR(__xludf.DUMMYFUNCTION("""COMPUTED_VALUE"""),"Live")</f>
        <v>Live</v>
      </c>
      <c r="H225" s="5"/>
      <c r="I225" s="5" t="str">
        <f ca="1">IFERROR(__xludf.DUMMYFUNCTION("""COMPUTED_VALUE"""),"V2")</f>
        <v>V2</v>
      </c>
      <c r="J225" s="5" t="str">
        <f ca="1">IFERROR(__xludf.DUMMYFUNCTION("""COMPUTED_VALUE"""),"JSON")</f>
        <v>JSON</v>
      </c>
      <c r="K225" s="5" t="str">
        <f ca="1">IFERROR(__xludf.DUMMYFUNCTION("""COMPUTED_VALUE"""),"Slot")</f>
        <v>Slot</v>
      </c>
      <c r="L225" s="5"/>
      <c r="M225" s="5"/>
      <c r="N225" s="5"/>
      <c r="O225" s="5"/>
      <c r="P225" s="14">
        <f ca="1">IFERROR(__xludf.DUMMYFUNCTION("""COMPUTED_VALUE"""),26)</f>
        <v>26</v>
      </c>
      <c r="Q225" s="5"/>
      <c r="R225" s="5"/>
      <c r="S225" s="15">
        <f ca="1">IFERROR(__xludf.DUMMYFUNCTION("""COMPUTED_VALUE"""),44992)</f>
        <v>44992</v>
      </c>
      <c r="T225" s="5" t="b">
        <f ca="1">IFERROR(__xludf.DUMMYFUNCTION("""COMPUTED_VALUE"""),TRUE)</f>
        <v>1</v>
      </c>
      <c r="U225" s="5" t="str">
        <f ca="1">IFERROR(__xludf.DUMMYFUNCTION("""COMPUTED_VALUE"""),"5x3")</f>
        <v>5x3</v>
      </c>
      <c r="V225" s="12" t="str">
        <f ca="1">IFERROR(__xludf.DUMMYFUNCTION("""COMPUTED_VALUE"""),"10")</f>
        <v>10</v>
      </c>
      <c r="W225" s="12" t="str">
        <f ca="1">IFERROR(__xludf.DUMMYFUNCTION("""COMPUTED_VALUE"""),"10")</f>
        <v>10</v>
      </c>
      <c r="X225" s="5">
        <f ca="1">IFERROR(__xludf.DUMMYFUNCTION("""COMPUTED_VALUE"""),96.597)</f>
        <v>96.596999999999994</v>
      </c>
      <c r="Y225" s="5" t="str">
        <f ca="1">IFERROR(__xludf.DUMMYFUNCTION("""COMPUTED_VALUE"""),"High")</f>
        <v>High</v>
      </c>
      <c r="Z225" s="5">
        <f ca="1">IFERROR(__xludf.DUMMYFUNCTION("""COMPUTED_VALUE"""),14.16)</f>
        <v>14.16</v>
      </c>
      <c r="AA225" s="14">
        <f ca="1">IFERROR(__xludf.DUMMYFUNCTION("""COMPUTED_VALUE"""),8250)</f>
        <v>8250</v>
      </c>
      <c r="AB225" s="5">
        <f ca="1">IFERROR(__xludf.DUMMYFUNCTION("""COMPUTED_VALUE"""),5)</f>
        <v>5</v>
      </c>
      <c r="AC225" s="5" t="str">
        <f ca="1">IFERROR(__xludf.DUMMYFUNCTION("""COMPUTED_VALUE"""),"Expanding Wild, Wild Multiplier, Scatter")</f>
        <v>Expanding Wild, Wild Multiplier, Scatter</v>
      </c>
      <c r="AD225" s="5" t="str">
        <f ca="1">IFERROR(__xludf.DUMMYFUNCTION("""COMPUTED_VALUE"""),"0.1/40")</f>
        <v>0.1/40</v>
      </c>
      <c r="AE225" s="5"/>
      <c r="AF225" s="5"/>
      <c r="AG225" s="10">
        <f ca="1">IFERROR(__xludf.DUMMYFUNCTION("""COMPUTED_VALUE"""),46101.6169907407)</f>
        <v>46101.616990740702</v>
      </c>
      <c r="AH225" s="5" t="str">
        <f ca="1">IFERROR(__xludf.DUMMYFUNCTION("""COMPUTED_VALUE"""),"milutin.toskic@fazi.rs")</f>
        <v>milutin.toskic@fazi.rs</v>
      </c>
      <c r="AI225" s="5"/>
      <c r="AJ225" s="5"/>
      <c r="AK225" s="5">
        <f ca="1">IFERROR(__xludf.DUMMYFUNCTION("""COMPUTED_VALUE"""),10)</f>
        <v>10</v>
      </c>
      <c r="AL225" s="5" t="str">
        <f ca="1">IFERROR(__xludf.DUMMYFUNCTION("""COMPUTED_VALUE"""),"Yes")</f>
        <v>Yes</v>
      </c>
      <c r="AM225" s="5"/>
      <c r="AN225" s="7" t="str">
        <f ca="1">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AO225" s="5" t="str">
        <f ca="1">IFERROR(__xludf.DUMMYFUNCTION("""COMPUTED_VALUE"""),"Yes")</f>
        <v>Yes</v>
      </c>
      <c r="AP225" s="5" t="str">
        <f ca="1">IFERROR(__xludf.DUMMYFUNCTION("""COMPUTED_VALUE"""),"Yes")</f>
        <v>Yes</v>
      </c>
      <c r="AQ225" s="5" t="b">
        <f ca="1">IFERROR(__xludf.DUMMYFUNCTION("""COMPUTED_VALUE"""),TRUE)</f>
        <v>1</v>
      </c>
      <c r="AR225" s="5"/>
      <c r="AS225" s="5" t="str">
        <f ca="1">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AT225" s="5" t="str">
        <f ca="1">IFERROR(__xludf.DUMMYFUNCTION("""COMPUTED_VALUE"""),"No")</f>
        <v>No</v>
      </c>
      <c r="AU225" s="5" t="str">
        <f ca="1">IFERROR(__xludf.DUMMYFUNCTION("""COMPUTED_VALUE"""),"Fazi")</f>
        <v>Fazi</v>
      </c>
      <c r="AV225" s="5"/>
      <c r="AW225" s="5"/>
      <c r="AX225" s="5"/>
      <c r="AY225" s="5"/>
      <c r="AZ225" s="5"/>
      <c r="BA225" s="5" t="str">
        <f ca="1">IFERROR(__xludf.DUMMYFUNCTION("""COMPUTED_VALUE"""),"")</f>
        <v/>
      </c>
      <c r="BB225" s="5"/>
      <c r="BC225" s="5" t="str">
        <f ca="1">IFERROR(__xludf.DUMMYFUNCTION("""COMPUTED_VALUE"""),"Foxi")</f>
        <v>Foxi</v>
      </c>
      <c r="BD225" s="7" t="str">
        <f ca="1">IFERROR(__xludf.DUMMYFUNCTION("""COMPUTED_VALUE"""),"https://gameserver-store-client-area.orbionlimited.com/Home/IntegrationGameLaunch/client-area?moneyType=0&amp;gameName=GoldenExplosion&amp;platform=desktop&amp;languageCode=eng&amp;currency=EUR")</f>
        <v>https://gameserver-store-client-area.orbionlimited.com/Home/IntegrationGameLaunch/client-area?moneyType=0&amp;gameName=GoldenExplosion&amp;platform=desktop&amp;languageCode=eng&amp;currency=EUR</v>
      </c>
      <c r="BE225" s="5" t="b">
        <f ca="1">IFERROR(__xludf.DUMMYFUNCTION("""COMPUTED_VALUE"""),TRUE)</f>
        <v>1</v>
      </c>
    </row>
    <row r="226" spans="1:57" x14ac:dyDescent="0.25">
      <c r="A226" s="5">
        <f ca="1">IFERROR(__xludf.DUMMYFUNCTION("""COMPUTED_VALUE"""),226)</f>
        <v>226</v>
      </c>
      <c r="B226" s="5">
        <f ca="1">IFERROR(__xludf.DUMMYFUNCTION("""COMPUTED_VALUE"""),225)</f>
        <v>225</v>
      </c>
      <c r="C226" s="5" t="str">
        <f ca="1">IFERROR(__xludf.DUMMYFUNCTION("""COMPUTED_VALUE"""),"Fazi")</f>
        <v>Fazi</v>
      </c>
      <c r="D226" s="5" t="str">
        <f ca="1">IFERROR(__xludf.DUMMYFUNCTION("""COMPUTED_VALUE"""),"Very Hot 5 Extreme")</f>
        <v>Very Hot 5 Extreme</v>
      </c>
      <c r="E226" s="5" t="str">
        <f ca="1">IFERROR(__xludf.DUMMYFUNCTION("""COMPUTED_VALUE"""),"V4-1")</f>
        <v>V4-1</v>
      </c>
      <c r="F226" s="5" t="str">
        <f ca="1">IFERROR(__xludf.DUMMYFUNCTION("""COMPUTED_VALUE"""),"VeryHot5Extreme")</f>
        <v>VeryHot5Extreme</v>
      </c>
      <c r="G226" s="5" t="str">
        <f ca="1">IFERROR(__xludf.DUMMYFUNCTION("""COMPUTED_VALUE"""),"Live")</f>
        <v>Live</v>
      </c>
      <c r="H226" s="5"/>
      <c r="I226" s="5" t="str">
        <f ca="1">IFERROR(__xludf.DUMMYFUNCTION("""COMPUTED_VALUE"""),"V4")</f>
        <v>V4</v>
      </c>
      <c r="J226" s="5" t="str">
        <f ca="1">IFERROR(__xludf.DUMMYFUNCTION("""COMPUTED_VALUE"""),"JSON")</f>
        <v>JSON</v>
      </c>
      <c r="K226" s="5" t="str">
        <f ca="1">IFERROR(__xludf.DUMMYFUNCTION("""COMPUTED_VALUE"""),"Slot")</f>
        <v>Slot</v>
      </c>
      <c r="L226" s="5"/>
      <c r="M226" s="5"/>
      <c r="N226" s="5"/>
      <c r="O226" s="5"/>
      <c r="P226" s="14">
        <f ca="1">IFERROR(__xludf.DUMMYFUNCTION("""COMPUTED_VALUE"""),14.5)</f>
        <v>14.5</v>
      </c>
      <c r="Q226" s="5"/>
      <c r="R226" s="5"/>
      <c r="S226" s="15">
        <f ca="1">IFERROR(__xludf.DUMMYFUNCTION("""COMPUTED_VALUE"""),45002)</f>
        <v>45002</v>
      </c>
      <c r="T226" s="5" t="b">
        <f ca="1">IFERROR(__xludf.DUMMYFUNCTION("""COMPUTED_VALUE"""),TRUE)</f>
        <v>1</v>
      </c>
      <c r="U226" s="5" t="str">
        <f ca="1">IFERROR(__xludf.DUMMYFUNCTION("""COMPUTED_VALUE"""),"5x3")</f>
        <v>5x3</v>
      </c>
      <c r="V226" s="12" t="str">
        <f ca="1">IFERROR(__xludf.DUMMYFUNCTION("""COMPUTED_VALUE"""),"5")</f>
        <v>5</v>
      </c>
      <c r="W226" s="12" t="str">
        <f ca="1">IFERROR(__xludf.DUMMYFUNCTION("""COMPUTED_VALUE"""),"5")</f>
        <v>5</v>
      </c>
      <c r="X226" s="5">
        <f ca="1">IFERROR(__xludf.DUMMYFUNCTION("""COMPUTED_VALUE"""),96.453)</f>
        <v>96.453000000000003</v>
      </c>
      <c r="Y226" s="5" t="str">
        <f ca="1">IFERROR(__xludf.DUMMYFUNCTION("""COMPUTED_VALUE"""),"Medium")</f>
        <v>Medium</v>
      </c>
      <c r="Z226" s="5">
        <f ca="1">IFERROR(__xludf.DUMMYFUNCTION("""COMPUTED_VALUE"""),14.23)</f>
        <v>14.23</v>
      </c>
      <c r="AA226" s="14">
        <f ca="1">IFERROR(__xludf.DUMMYFUNCTION("""COMPUTED_VALUE"""),2624)</f>
        <v>2624</v>
      </c>
      <c r="AB226" s="5">
        <f ca="1">IFERROR(__xludf.DUMMYFUNCTION("""COMPUTED_VALUE"""),6)</f>
        <v>6</v>
      </c>
      <c r="AC226" s="5" t="str">
        <f ca="1">IFERROR(__xludf.DUMMYFUNCTION("""COMPUTED_VALUE"""),"Expanding Wild, Wild Multiplier, Scatter")</f>
        <v>Expanding Wild, Wild Multiplier, Scatter</v>
      </c>
      <c r="AD226" s="5" t="str">
        <f ca="1">IFERROR(__xludf.DUMMYFUNCTION("""COMPUTED_VALUE"""),"0.05/30")</f>
        <v>0.05/30</v>
      </c>
      <c r="AE226" s="5"/>
      <c r="AF226" s="5"/>
      <c r="AG226" s="10">
        <f ca="1">IFERROR(__xludf.DUMMYFUNCTION("""COMPUTED_VALUE"""),46162.4220023148)</f>
        <v>46162.422002314801</v>
      </c>
      <c r="AH226" s="5" t="str">
        <f ca="1">IFERROR(__xludf.DUMMYFUNCTION("""COMPUTED_VALUE"""),"djordje.petrovic@fazi.rs")</f>
        <v>djordje.petrovic@fazi.rs</v>
      </c>
      <c r="AI226" s="5"/>
      <c r="AJ226" s="5"/>
      <c r="AK226" s="5">
        <f ca="1">IFERROR(__xludf.DUMMYFUNCTION("""COMPUTED_VALUE"""),5)</f>
        <v>5</v>
      </c>
      <c r="AL226" s="5" t="str">
        <f ca="1">IFERROR(__xludf.DUMMYFUNCTION("""COMPUTED_VALUE"""),"Yes")</f>
        <v>Yes</v>
      </c>
      <c r="AM226" s="5"/>
      <c r="AN226" s="7" t="str">
        <f ca="1">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AO226" s="5" t="str">
        <f ca="1">IFERROR(__xludf.DUMMYFUNCTION("""COMPUTED_VALUE"""),"Yes")</f>
        <v>Yes</v>
      </c>
      <c r="AP226" s="5" t="str">
        <f ca="1">IFERROR(__xludf.DUMMYFUNCTION("""COMPUTED_VALUE"""),"Yes")</f>
        <v>Yes</v>
      </c>
      <c r="AQ226" s="5" t="b">
        <f ca="1">IFERROR(__xludf.DUMMYFUNCTION("""COMPUTED_VALUE"""),TRUE)</f>
        <v>1</v>
      </c>
      <c r="AR226" s="5"/>
      <c r="AS226" s="5" t="str">
        <f ca="1">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AT226" s="5" t="str">
        <f ca="1">IFERROR(__xludf.DUMMYFUNCTION("""COMPUTED_VALUE"""),"Yes")</f>
        <v>Yes</v>
      </c>
      <c r="AU226" s="5" t="str">
        <f ca="1">IFERROR(__xludf.DUMMYFUNCTION("""COMPUTED_VALUE"""),"Fazi")</f>
        <v>Fazi</v>
      </c>
      <c r="AV226" s="5"/>
      <c r="AW226"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26" s="5"/>
      <c r="AY226" s="5" t="str">
        <f ca="1">IFERROR(__xludf.DUMMYFUNCTION("""COMPUTED_VALUE"""),"87.5%, 89.5%, 91.5%, 93.5%, 94.5%, 95.5%, 96.5%")</f>
        <v>87.5%, 89.5%, 91.5%, 93.5%, 94.5%, 95.5%, 96.5%</v>
      </c>
      <c r="AZ226" s="5"/>
      <c r="BA226" s="5"/>
      <c r="BB226" s="5"/>
      <c r="BC226" s="5" t="str">
        <f ca="1">IFERROR(__xludf.DUMMYFUNCTION("""COMPUTED_VALUE"""),"Foxi")</f>
        <v>Foxi</v>
      </c>
      <c r="BD226" s="7" t="str">
        <f ca="1">IFERROR(__xludf.DUMMYFUNCTION("""COMPUTED_VALUE"""),"https://gameserver-store-client-area.orbionlimited.com/Home/IntegrationGameLaunch/client-area?moneyType=0&amp;gameName=VeryHot5Extreme&amp;platform=desktop&amp;languageCode=eng&amp;currency=EUR")</f>
        <v>https://gameserver-store-client-area.orbionlimited.com/Home/IntegrationGameLaunch/client-area?moneyType=0&amp;gameName=VeryHot5Extreme&amp;platform=desktop&amp;languageCode=eng&amp;currency=EUR</v>
      </c>
      <c r="BE226" s="5" t="b">
        <f ca="1">IFERROR(__xludf.DUMMYFUNCTION("""COMPUTED_VALUE"""),TRUE)</f>
        <v>1</v>
      </c>
    </row>
    <row r="227" spans="1:57" x14ac:dyDescent="0.25">
      <c r="A227" s="5">
        <f ca="1">IFERROR(__xludf.DUMMYFUNCTION("""COMPUTED_VALUE"""),227)</f>
        <v>227</v>
      </c>
      <c r="B227" s="5">
        <f ca="1">IFERROR(__xludf.DUMMYFUNCTION("""COMPUTED_VALUE"""),226)</f>
        <v>226</v>
      </c>
      <c r="C227" s="5" t="str">
        <f ca="1">IFERROR(__xludf.DUMMYFUNCTION("""COMPUTED_VALUE"""),"Fazi")</f>
        <v>Fazi</v>
      </c>
      <c r="D227" s="5" t="str">
        <f ca="1">IFERROR(__xludf.DUMMYFUNCTION("""COMPUTED_VALUE"""),"Pixel Hot 40")</f>
        <v>Pixel Hot 40</v>
      </c>
      <c r="E227" s="5" t="str">
        <f ca="1">IFERROR(__xludf.DUMMYFUNCTION("""COMPUTED_VALUE"""),"V2")</f>
        <v>V2</v>
      </c>
      <c r="F227" s="5" t="str">
        <f ca="1">IFERROR(__xludf.DUMMYFUNCTION("""COMPUTED_VALUE"""),"PixelHot40")</f>
        <v>PixelHot40</v>
      </c>
      <c r="G227" s="5" t="str">
        <f ca="1">IFERROR(__xludf.DUMMYFUNCTION("""COMPUTED_VALUE"""),"Live")</f>
        <v>Live</v>
      </c>
      <c r="H227" s="5"/>
      <c r="I227" s="5" t="str">
        <f ca="1">IFERROR(__xludf.DUMMYFUNCTION("""COMPUTED_VALUE"""),"V2")</f>
        <v>V2</v>
      </c>
      <c r="J227" s="5" t="str">
        <f ca="1">IFERROR(__xludf.DUMMYFUNCTION("""COMPUTED_VALUE"""),"Binary")</f>
        <v>Binary</v>
      </c>
      <c r="K227" s="5" t="str">
        <f ca="1">IFERROR(__xludf.DUMMYFUNCTION("""COMPUTED_VALUE"""),"Slot")</f>
        <v>Slot</v>
      </c>
      <c r="L227" s="5"/>
      <c r="M227" s="5"/>
      <c r="N227" s="5"/>
      <c r="O227" s="5"/>
      <c r="P227" s="14">
        <f ca="1">IFERROR(__xludf.DUMMYFUNCTION("""COMPUTED_VALUE"""),5.5)</f>
        <v>5.5</v>
      </c>
      <c r="Q227" s="5"/>
      <c r="R227" s="5"/>
      <c r="S227" s="15">
        <f ca="1">IFERROR(__xludf.DUMMYFUNCTION("""COMPUTED_VALUE"""),45001)</f>
        <v>45001</v>
      </c>
      <c r="T227" s="5" t="b">
        <f ca="1">IFERROR(__xludf.DUMMYFUNCTION("""COMPUTED_VALUE"""),TRUE)</f>
        <v>1</v>
      </c>
      <c r="U227" s="5" t="str">
        <f ca="1">IFERROR(__xludf.DUMMYFUNCTION("""COMPUTED_VALUE"""),"5x4")</f>
        <v>5x4</v>
      </c>
      <c r="V227" s="12" t="str">
        <f ca="1">IFERROR(__xludf.DUMMYFUNCTION("""COMPUTED_VALUE"""),"40")</f>
        <v>40</v>
      </c>
      <c r="W227" s="12" t="str">
        <f ca="1">IFERROR(__xludf.DUMMYFUNCTION("""COMPUTED_VALUE"""),"40")</f>
        <v>40</v>
      </c>
      <c r="X227" s="5">
        <f ca="1">IFERROR(__xludf.DUMMYFUNCTION("""COMPUTED_VALUE"""),96.584)</f>
        <v>96.584000000000003</v>
      </c>
      <c r="Y227" s="5" t="str">
        <f ca="1">IFERROR(__xludf.DUMMYFUNCTION("""COMPUTED_VALUE"""),"Low")</f>
        <v>Low</v>
      </c>
      <c r="Z227" s="5">
        <f ca="1">IFERROR(__xludf.DUMMYFUNCTION("""COMPUTED_VALUE"""),16.73)</f>
        <v>16.73</v>
      </c>
      <c r="AA227" s="14">
        <f ca="1">IFERROR(__xludf.DUMMYFUNCTION("""COMPUTED_VALUE"""),1000)</f>
        <v>1000</v>
      </c>
      <c r="AB227" s="5" t="str">
        <f ca="1">IFERROR(__xludf.DUMMYFUNCTION("""COMPUTED_VALUE"""),"/")</f>
        <v>/</v>
      </c>
      <c r="AC227" s="5" t="str">
        <f ca="1">IFERROR(__xludf.DUMMYFUNCTION("""COMPUTED_VALUE"""),"Wild Symbol, Scatter")</f>
        <v>Wild Symbol, Scatter</v>
      </c>
      <c r="AD227" s="5" t="str">
        <f ca="1">IFERROR(__xludf.DUMMYFUNCTION("""COMPUTED_VALUE"""),"0.4/60")</f>
        <v>0.4/60</v>
      </c>
      <c r="AE227" s="5"/>
      <c r="AF227" s="5"/>
      <c r="AG227" s="5"/>
      <c r="AH227" s="5"/>
      <c r="AI227" s="5"/>
      <c r="AJ227" s="5"/>
      <c r="AK227" s="5">
        <f ca="1">IFERROR(__xludf.DUMMYFUNCTION("""COMPUTED_VALUE"""),40)</f>
        <v>40</v>
      </c>
      <c r="AL227" s="5" t="str">
        <f ca="1">IFERROR(__xludf.DUMMYFUNCTION("""COMPUTED_VALUE"""),"Yes")</f>
        <v>Yes</v>
      </c>
      <c r="AM227" s="5"/>
      <c r="AN227" s="7" t="str">
        <f ca="1">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AO227" s="5"/>
      <c r="AP227" s="5"/>
      <c r="AQ227" s="5" t="b">
        <f ca="1">IFERROR(__xludf.DUMMYFUNCTION("""COMPUTED_VALUE"""),TRUE)</f>
        <v>1</v>
      </c>
      <c r="AR227" s="5"/>
      <c r="AS227" s="5" t="str">
        <f ca="1">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AT227" s="5"/>
      <c r="AU227" s="5" t="str">
        <f ca="1">IFERROR(__xludf.DUMMYFUNCTION("""COMPUTED_VALUE"""),"Fazi")</f>
        <v>Fazi</v>
      </c>
      <c r="AV227" s="5"/>
      <c r="AW227" s="5"/>
      <c r="AX227" s="5"/>
      <c r="AY227" s="5"/>
      <c r="AZ227" s="5"/>
      <c r="BA227" s="5" t="str">
        <f ca="1">IFERROR(__xludf.DUMMYFUNCTION("""COMPUTED_VALUE"""),"")</f>
        <v/>
      </c>
      <c r="BB227" s="5"/>
      <c r="BC227" s="5" t="str">
        <f ca="1">IFERROR(__xludf.DUMMYFUNCTION("""COMPUTED_VALUE"""),"Foxi")</f>
        <v>Foxi</v>
      </c>
      <c r="BD227" s="7" t="str">
        <f ca="1">IFERROR(__xludf.DUMMYFUNCTION("""COMPUTED_VALUE"""),"https://gameserver-store-client-area.orbionlimited.com/Home/IntegrationGameLaunch/client-area?moneyType=0&amp;gameName=PixelHot40&amp;platform=desktop&amp;languageCode=eng&amp;currency=EUR")</f>
        <v>https://gameserver-store-client-area.orbionlimited.com/Home/IntegrationGameLaunch/client-area?moneyType=0&amp;gameName=PixelHot40&amp;platform=desktop&amp;languageCode=eng&amp;currency=EUR</v>
      </c>
      <c r="BE227" s="5" t="b">
        <f ca="1">IFERROR(__xludf.DUMMYFUNCTION("""COMPUTED_VALUE"""),TRUE)</f>
        <v>1</v>
      </c>
    </row>
    <row r="228" spans="1:57" x14ac:dyDescent="0.25">
      <c r="A228" s="5">
        <f ca="1">IFERROR(__xludf.DUMMYFUNCTION("""COMPUTED_VALUE"""),228)</f>
        <v>228</v>
      </c>
      <c r="B228" s="5">
        <f ca="1">IFERROR(__xludf.DUMMYFUNCTION("""COMPUTED_VALUE"""),227)</f>
        <v>227</v>
      </c>
      <c r="C228" s="5" t="str">
        <f ca="1">IFERROR(__xludf.DUMMYFUNCTION("""COMPUTED_VALUE"""),"Tiptop")</f>
        <v>Tiptop</v>
      </c>
      <c r="D228" s="5" t="str">
        <f ca="1">IFERROR(__xludf.DUMMYFUNCTION("""COMPUTED_VALUE"""),"40 Hot Strike Dice")</f>
        <v>40 Hot Strike Dice</v>
      </c>
      <c r="E228" s="5"/>
      <c r="F228" s="5" t="str">
        <f ca="1">IFERROR(__xludf.DUMMYFUNCTION("""COMPUTED_VALUE"""),"Unicorn40HotStrikeDice")</f>
        <v>Unicorn40HotStrikeDice</v>
      </c>
      <c r="G228" s="5" t="str">
        <f ca="1">IFERROR(__xludf.DUMMYFUNCTION("""COMPUTED_VALUE"""),"Live")</f>
        <v>Live</v>
      </c>
      <c r="H228" s="5"/>
      <c r="I228" s="5" t="str">
        <f ca="1">IFERROR(__xludf.DUMMYFUNCTION("""COMPUTED_VALUE"""),"TipTop")</f>
        <v>TipTop</v>
      </c>
      <c r="J228" s="5" t="str">
        <f ca="1">IFERROR(__xludf.DUMMYFUNCTION("""COMPUTED_VALUE"""),"JSON")</f>
        <v>JSON</v>
      </c>
      <c r="K228" s="5" t="str">
        <f ca="1">IFERROR(__xludf.DUMMYFUNCTION("""COMPUTED_VALUE"""),"Dice Slots")</f>
        <v>Dice Slots</v>
      </c>
      <c r="L228" s="5"/>
      <c r="M228" s="5"/>
      <c r="N228" s="5"/>
      <c r="O228" s="5"/>
      <c r="P228" s="14">
        <f ca="1">IFERROR(__xludf.DUMMYFUNCTION("""COMPUTED_VALUE"""),11.8)</f>
        <v>11.8</v>
      </c>
      <c r="Q228" s="5"/>
      <c r="R228" s="5"/>
      <c r="S228" s="15">
        <f ca="1">IFERROR(__xludf.DUMMYFUNCTION("""COMPUTED_VALUE"""),44980)</f>
        <v>44980</v>
      </c>
      <c r="T228" s="5" t="b">
        <f ca="1">IFERROR(__xludf.DUMMYFUNCTION("""COMPUTED_VALUE"""),TRUE)</f>
        <v>1</v>
      </c>
      <c r="U228" s="5" t="str">
        <f ca="1">IFERROR(__xludf.DUMMYFUNCTION("""COMPUTED_VALUE"""),"5X4")</f>
        <v>5X4</v>
      </c>
      <c r="V228" s="12" t="str">
        <f ca="1">IFERROR(__xludf.DUMMYFUNCTION("""COMPUTED_VALUE"""),"40")</f>
        <v>40</v>
      </c>
      <c r="W228" s="12" t="str">
        <f ca="1">IFERROR(__xludf.DUMMYFUNCTION("""COMPUTED_VALUE"""),"40")</f>
        <v>40</v>
      </c>
      <c r="X228" s="5">
        <f ca="1">IFERROR(__xludf.DUMMYFUNCTION("""COMPUTED_VALUE"""),96)</f>
        <v>96</v>
      </c>
      <c r="Y228" s="5" t="str">
        <f ca="1">IFERROR(__xludf.DUMMYFUNCTION("""COMPUTED_VALUE"""),"Low")</f>
        <v>Low</v>
      </c>
      <c r="Z228" s="5">
        <f ca="1">IFERROR(__xludf.DUMMYFUNCTION("""COMPUTED_VALUE"""),11.91)</f>
        <v>11.91</v>
      </c>
      <c r="AA228" s="14">
        <f ca="1">IFERROR(__xludf.DUMMYFUNCTION("""COMPUTED_VALUE"""),1000)</f>
        <v>1000</v>
      </c>
      <c r="AB228" s="5"/>
      <c r="AC228" s="5" t="str">
        <f ca="1">IFERROR(__xludf.DUMMYFUNCTION("""COMPUTED_VALUE"""),"Wild Symbol, Scatter")</f>
        <v>Wild Symbol, Scatter</v>
      </c>
      <c r="AD228" s="5" t="str">
        <f ca="1">IFERROR(__xludf.DUMMYFUNCTION("""COMPUTED_VALUE"""),"0.4/100")</f>
        <v>0.4/100</v>
      </c>
      <c r="AE228" s="5"/>
      <c r="AF228" s="5"/>
      <c r="AG228" s="10">
        <f ca="1">IFERROR(__xludf.DUMMYFUNCTION("""COMPUTED_VALUE"""),46197.4567476851)</f>
        <v>46197.456747685101</v>
      </c>
      <c r="AH228" s="5" t="str">
        <f ca="1">IFERROR(__xludf.DUMMYFUNCTION("""COMPUTED_VALUE"""),"selena.mihajlovic@fazi.rs")</f>
        <v>selena.mihajlovic@fazi.rs</v>
      </c>
      <c r="AI228" s="5"/>
      <c r="AJ228" s="5"/>
      <c r="AK228" s="5">
        <f ca="1">IFERROR(__xludf.DUMMYFUNCTION("""COMPUTED_VALUE"""),40)</f>
        <v>40</v>
      </c>
      <c r="AL228" s="5" t="str">
        <f ca="1">IFERROR(__xludf.DUMMYFUNCTION("""COMPUTED_VALUE"""),"No")</f>
        <v>No</v>
      </c>
      <c r="AM228" s="5"/>
      <c r="AN228" s="7" t="str">
        <f ca="1">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AO228" s="5"/>
      <c r="AP228" s="5"/>
      <c r="AQ228" s="5" t="b">
        <f ca="1">IFERROR(__xludf.DUMMYFUNCTION("""COMPUTED_VALUE"""),TRUE)</f>
        <v>1</v>
      </c>
      <c r="AR228" s="5"/>
      <c r="AS228" s="5" t="str">
        <f ca="1">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AT228" s="5"/>
      <c r="AU228" s="5" t="str">
        <f ca="1">IFERROR(__xludf.DUMMYFUNCTION("""COMPUTED_VALUE"""),"Fazi")</f>
        <v>Fazi</v>
      </c>
      <c r="AV228" s="5"/>
      <c r="AW228" s="5"/>
      <c r="AX228" s="5"/>
      <c r="AY228" s="5"/>
      <c r="AZ228" s="5"/>
      <c r="BA228" s="5"/>
      <c r="BB228" s="5" t="b">
        <f ca="1">IFERROR(__xludf.DUMMYFUNCTION("""COMPUTED_VALUE"""),TRUE)</f>
        <v>1</v>
      </c>
      <c r="BC228" s="5" t="str">
        <f ca="1">IFERROR(__xludf.DUMMYFUNCTION("""COMPUTED_VALUE"""),"Tiptop")</f>
        <v>Tiptop</v>
      </c>
      <c r="BD228" s="7" t="str">
        <f ca="1">IFERROR(__xludf.DUMMYFUNCTION("""COMPUTED_VALUE"""),"https://gameserver-store-client-area.orbionlimited.com/Home/IntegrationGameLaunch/client-area?moneyType=0&amp;gameName=Unicorn40HotStrikeDice&amp;platform=desktop&amp;languageCode=eng&amp;currency=EUR")</f>
        <v>https://gameserver-store-client-area.orbionlimited.com/Home/IntegrationGameLaunch/client-area?moneyType=0&amp;gameName=Unicorn40HotStrikeDice&amp;platform=desktop&amp;languageCode=eng&amp;currency=EUR</v>
      </c>
      <c r="BE228" s="5" t="b">
        <f ca="1">IFERROR(__xludf.DUMMYFUNCTION("""COMPUTED_VALUE"""),TRUE)</f>
        <v>1</v>
      </c>
    </row>
    <row r="229" spans="1:57" x14ac:dyDescent="0.25">
      <c r="A229" s="5">
        <f ca="1">IFERROR(__xludf.DUMMYFUNCTION("""COMPUTED_VALUE"""),229)</f>
        <v>229</v>
      </c>
      <c r="B229" s="5">
        <f ca="1">IFERROR(__xludf.DUMMYFUNCTION("""COMPUTED_VALUE"""),228)</f>
        <v>228</v>
      </c>
      <c r="C229" s="5" t="str">
        <f ca="1">IFERROR(__xludf.DUMMYFUNCTION("""COMPUTED_VALUE"""),"Tiptop")</f>
        <v>Tiptop</v>
      </c>
      <c r="D229" s="5" t="str">
        <f ca="1">IFERROR(__xludf.DUMMYFUNCTION("""COMPUTED_VALUE"""),"20 Hot Strike")</f>
        <v>20 Hot Strike</v>
      </c>
      <c r="E229" s="5"/>
      <c r="F229" s="5" t="str">
        <f ca="1">IFERROR(__xludf.DUMMYFUNCTION("""COMPUTED_VALUE"""),"Unicorn20HotStrike")</f>
        <v>Unicorn20HotStrike</v>
      </c>
      <c r="G229" s="5" t="str">
        <f ca="1">IFERROR(__xludf.DUMMYFUNCTION("""COMPUTED_VALUE"""),"Live")</f>
        <v>Live</v>
      </c>
      <c r="H229" s="5"/>
      <c r="I229" s="5" t="str">
        <f ca="1">IFERROR(__xludf.DUMMYFUNCTION("""COMPUTED_VALUE"""),"TipTop")</f>
        <v>TipTop</v>
      </c>
      <c r="J229" s="5" t="str">
        <f ca="1">IFERROR(__xludf.DUMMYFUNCTION("""COMPUTED_VALUE"""),"JSON")</f>
        <v>JSON</v>
      </c>
      <c r="K229" s="5" t="str">
        <f ca="1">IFERROR(__xludf.DUMMYFUNCTION("""COMPUTED_VALUE"""),"Slot")</f>
        <v>Slot</v>
      </c>
      <c r="L229" s="5"/>
      <c r="M229" s="5"/>
      <c r="N229" s="5"/>
      <c r="O229" s="5"/>
      <c r="P229" s="14">
        <f ca="1">IFERROR(__xludf.DUMMYFUNCTION("""COMPUTED_VALUE"""),13.2)</f>
        <v>13.2</v>
      </c>
      <c r="Q229" s="5"/>
      <c r="R229" s="5"/>
      <c r="S229" s="15">
        <f ca="1">IFERROR(__xludf.DUMMYFUNCTION("""COMPUTED_VALUE"""),44985)</f>
        <v>44985</v>
      </c>
      <c r="T229" s="5" t="b">
        <f ca="1">IFERROR(__xludf.DUMMYFUNCTION("""COMPUTED_VALUE"""),TRUE)</f>
        <v>1</v>
      </c>
      <c r="U229" s="5" t="str">
        <f ca="1">IFERROR(__xludf.DUMMYFUNCTION("""COMPUTED_VALUE"""),"5X3")</f>
        <v>5X3</v>
      </c>
      <c r="V229" s="12" t="str">
        <f ca="1">IFERROR(__xludf.DUMMYFUNCTION("""COMPUTED_VALUE"""),"20")</f>
        <v>20</v>
      </c>
      <c r="W229" s="12" t="str">
        <f ca="1">IFERROR(__xludf.DUMMYFUNCTION("""COMPUTED_VALUE"""),"20")</f>
        <v>20</v>
      </c>
      <c r="X229" s="5">
        <f ca="1">IFERROR(__xludf.DUMMYFUNCTION("""COMPUTED_VALUE"""),96)</f>
        <v>96</v>
      </c>
      <c r="Y229" s="5" t="str">
        <f ca="1">IFERROR(__xludf.DUMMYFUNCTION("""COMPUTED_VALUE"""),"Low")</f>
        <v>Low</v>
      </c>
      <c r="Z229" s="5">
        <f ca="1">IFERROR(__xludf.DUMMYFUNCTION("""COMPUTED_VALUE"""),14.62)</f>
        <v>14.62</v>
      </c>
      <c r="AA229" s="14">
        <f ca="1">IFERROR(__xludf.DUMMYFUNCTION("""COMPUTED_VALUE"""),800)</f>
        <v>800</v>
      </c>
      <c r="AB229" s="5"/>
      <c r="AC229" s="5" t="str">
        <f ca="1">IFERROR(__xludf.DUMMYFUNCTION("""COMPUTED_VALUE"""),"Wild Symbol, Scatter")</f>
        <v>Wild Symbol, Scatter</v>
      </c>
      <c r="AD229" s="5" t="str">
        <f ca="1">IFERROR(__xludf.DUMMYFUNCTION("""COMPUTED_VALUE"""),"0.2/100")</f>
        <v>0.2/100</v>
      </c>
      <c r="AE229" s="5"/>
      <c r="AF229" s="5"/>
      <c r="AG229" s="10">
        <f ca="1">IFERROR(__xludf.DUMMYFUNCTION("""COMPUTED_VALUE"""),46197.4569097222)</f>
        <v>46197.456909722197</v>
      </c>
      <c r="AH229" s="5" t="str">
        <f ca="1">IFERROR(__xludf.DUMMYFUNCTION("""COMPUTED_VALUE"""),"selena.mihajlovic@fazi.rs")</f>
        <v>selena.mihajlovic@fazi.rs</v>
      </c>
      <c r="AI229" s="5"/>
      <c r="AJ229" s="5"/>
      <c r="AK229" s="5">
        <f ca="1">IFERROR(__xludf.DUMMYFUNCTION("""COMPUTED_VALUE"""),20)</f>
        <v>20</v>
      </c>
      <c r="AL229" s="5" t="str">
        <f ca="1">IFERROR(__xludf.DUMMYFUNCTION("""COMPUTED_VALUE"""),"No")</f>
        <v>No</v>
      </c>
      <c r="AM229" s="5"/>
      <c r="AN229" s="7" t="str">
        <f ca="1">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AO229" s="5"/>
      <c r="AP229" s="5"/>
      <c r="AQ229" s="5" t="b">
        <f ca="1">IFERROR(__xludf.DUMMYFUNCTION("""COMPUTED_VALUE"""),TRUE)</f>
        <v>1</v>
      </c>
      <c r="AR229" s="5"/>
      <c r="AS229" s="5" t="str">
        <f ca="1">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AT229" s="5"/>
      <c r="AU229" s="5" t="str">
        <f ca="1">IFERROR(__xludf.DUMMYFUNCTION("""COMPUTED_VALUE"""),"Fazi")</f>
        <v>Fazi</v>
      </c>
      <c r="AV229" s="5"/>
      <c r="AW229" s="5"/>
      <c r="AX229" s="5"/>
      <c r="AY229" s="5"/>
      <c r="AZ229" s="5"/>
      <c r="BA229" s="5"/>
      <c r="BB229" s="5" t="b">
        <f ca="1">IFERROR(__xludf.DUMMYFUNCTION("""COMPUTED_VALUE"""),TRUE)</f>
        <v>1</v>
      </c>
      <c r="BC229" s="5" t="str">
        <f ca="1">IFERROR(__xludf.DUMMYFUNCTION("""COMPUTED_VALUE"""),"Tiptop")</f>
        <v>Tiptop</v>
      </c>
      <c r="BD229" s="7" t="str">
        <f ca="1">IFERROR(__xludf.DUMMYFUNCTION("""COMPUTED_VALUE"""),"https://gameserver-store-client-area.orbionlimited.com/Home/IntegrationGameLaunch/client-area?moneyType=0&amp;gameName=Unicorn20HotStrike&amp;platform=desktop&amp;languageCode=eng&amp;currency=EUR")</f>
        <v>https://gameserver-store-client-area.orbionlimited.com/Home/IntegrationGameLaunch/client-area?moneyType=0&amp;gameName=Unicorn20HotStrike&amp;platform=desktop&amp;languageCode=eng&amp;currency=EUR</v>
      </c>
      <c r="BE229" s="5" t="b">
        <f ca="1">IFERROR(__xludf.DUMMYFUNCTION("""COMPUTED_VALUE"""),TRUE)</f>
        <v>1</v>
      </c>
    </row>
    <row r="230" spans="1:57" x14ac:dyDescent="0.25">
      <c r="A230" s="5">
        <f ca="1">IFERROR(__xludf.DUMMYFUNCTION("""COMPUTED_VALUE"""),230)</f>
        <v>230</v>
      </c>
      <c r="B230" s="5">
        <f ca="1">IFERROR(__xludf.DUMMYFUNCTION("""COMPUTED_VALUE"""),229)</f>
        <v>229</v>
      </c>
      <c r="C230" s="5" t="str">
        <f ca="1">IFERROR(__xludf.DUMMYFUNCTION("""COMPUTED_VALUE"""),"Redstone")</f>
        <v>Redstone</v>
      </c>
      <c r="D230" s="5" t="str">
        <f ca="1">IFERROR(__xludf.DUMMYFUNCTION("""COMPUTED_VALUE"""),"20 Fire Cash")</f>
        <v>20 Fire Cash</v>
      </c>
      <c r="E230" s="5" t="str">
        <f ca="1">IFERROR(__xludf.DUMMYFUNCTION("""COMPUTED_VALUE"""),"Redstone")</f>
        <v>Redstone</v>
      </c>
      <c r="F230" s="5" t="str">
        <f ca="1">IFERROR(__xludf.DUMMYFUNCTION("""COMPUTED_VALUE"""),"FireCash20")</f>
        <v>FireCash20</v>
      </c>
      <c r="G230" s="5" t="str">
        <f ca="1">IFERROR(__xludf.DUMMYFUNCTION("""COMPUTED_VALUE"""),"Live")</f>
        <v>Live</v>
      </c>
      <c r="H230" s="5"/>
      <c r="I230" s="5" t="str">
        <f ca="1">IFERROR(__xludf.DUMMYFUNCTION("""COMPUTED_VALUE"""),"Redstone")</f>
        <v>Redstone</v>
      </c>
      <c r="J230" s="5" t="str">
        <f ca="1">IFERROR(__xludf.DUMMYFUNCTION("""COMPUTED_VALUE"""),"JSON")</f>
        <v>JSON</v>
      </c>
      <c r="K230" s="5" t="str">
        <f ca="1">IFERROR(__xludf.DUMMYFUNCTION("""COMPUTED_VALUE"""),"Slot")</f>
        <v>Slot</v>
      </c>
      <c r="L230" s="5" t="str">
        <f ca="1">IFERROR(__xludf.DUMMYFUNCTION("""COMPUTED_VALUE"""),"Master")</f>
        <v>Master</v>
      </c>
      <c r="M230" s="5"/>
      <c r="N230" s="7" t="str">
        <f ca="1">IFERROR(__xludf.DUMMYFUNCTION("""COMPUTED_VALUE"""),"https://docs.google.com/document/d/1dRme9Y9ZCWbSWakSwsLt31xwA12AH3_l/edit?usp=drive_link&amp;ouid=107596163405648766688&amp;rtpof=true&amp;sd=true")</f>
        <v>https://docs.google.com/document/d/1dRme9Y9ZCWbSWakSwsLt31xwA12AH3_l/edit?usp=drive_link&amp;ouid=107596163405648766688&amp;rtpof=true&amp;sd=true</v>
      </c>
      <c r="O230" s="7" t="str">
        <f ca="1">IFERROR(__xludf.DUMMYFUNCTION("""COMPUTED_VALUE"""),"https://docs.google.com/document/d/1UeKapwW5j_iL8jkPhskA_IB-etulcFA5/edit?usp=drive_link&amp;ouid=107596163405648766688&amp;rtpof=true&amp;sd=true")</f>
        <v>https://docs.google.com/document/d/1UeKapwW5j_iL8jkPhskA_IB-etulcFA5/edit?usp=drive_link&amp;ouid=107596163405648766688&amp;rtpof=true&amp;sd=true</v>
      </c>
      <c r="P230" s="14">
        <f ca="1">IFERROR(__xludf.DUMMYFUNCTION("""COMPUTED_VALUE"""),6.5)</f>
        <v>6.5</v>
      </c>
      <c r="Q230" s="5"/>
      <c r="R230" s="5"/>
      <c r="S230" s="15">
        <f ca="1">IFERROR(__xludf.DUMMYFUNCTION("""COMPUTED_VALUE"""),44958)</f>
        <v>44958</v>
      </c>
      <c r="T230" s="5" t="b">
        <f ca="1">IFERROR(__xludf.DUMMYFUNCTION("""COMPUTED_VALUE"""),TRUE)</f>
        <v>1</v>
      </c>
      <c r="U230" s="5" t="str">
        <f ca="1">IFERROR(__xludf.DUMMYFUNCTION("""COMPUTED_VALUE"""),"5x3")</f>
        <v>5x3</v>
      </c>
      <c r="V230" s="12" t="str">
        <f ca="1">IFERROR(__xludf.DUMMYFUNCTION("""COMPUTED_VALUE"""),"20")</f>
        <v>20</v>
      </c>
      <c r="W230" s="12" t="str">
        <f ca="1">IFERROR(__xludf.DUMMYFUNCTION("""COMPUTED_VALUE"""),"20")</f>
        <v>20</v>
      </c>
      <c r="X230" s="5">
        <f ca="1">IFERROR(__xludf.DUMMYFUNCTION("""COMPUTED_VALUE"""),96.47)</f>
        <v>96.47</v>
      </c>
      <c r="Y230" s="5" t="str">
        <f ca="1">IFERROR(__xludf.DUMMYFUNCTION("""COMPUTED_VALUE"""),"Medium")</f>
        <v>Medium</v>
      </c>
      <c r="Z230" s="5">
        <f ca="1">IFERROR(__xludf.DUMMYFUNCTION("""COMPUTED_VALUE"""),17.73)</f>
        <v>17.73</v>
      </c>
      <c r="AA230" s="14">
        <f ca="1">IFERROR(__xludf.DUMMYFUNCTION("""COMPUTED_VALUE"""),1000)</f>
        <v>1000</v>
      </c>
      <c r="AB230" s="5"/>
      <c r="AC230" s="5" t="str">
        <f ca="1">IFERROR(__xludf.DUMMYFUNCTION("""COMPUTED_VALUE"""),"Special Wild, Scatter")</f>
        <v>Special Wild, Scatter</v>
      </c>
      <c r="AD230" s="5" t="str">
        <f ca="1">IFERROR(__xludf.DUMMYFUNCTION("""COMPUTED_VALUE"""),"0.02/50")</f>
        <v>0.02/50</v>
      </c>
      <c r="AE230" s="5"/>
      <c r="AF230" s="5"/>
      <c r="AG230" s="10">
        <f ca="1">IFERROR(__xludf.DUMMYFUNCTION("""COMPUTED_VALUE"""),46157.4766898148)</f>
        <v>46157.476689814801</v>
      </c>
      <c r="AH230" s="5"/>
      <c r="AI230" s="5"/>
      <c r="AJ230" s="5"/>
      <c r="AK230" s="5">
        <f ca="1">IFERROR(__xludf.DUMMYFUNCTION("""COMPUTED_VALUE"""),1)</f>
        <v>1</v>
      </c>
      <c r="AL230" s="5" t="str">
        <f ca="1">IFERROR(__xludf.DUMMYFUNCTION("""COMPUTED_VALUE"""),"No")</f>
        <v>No</v>
      </c>
      <c r="AM230" s="5" t="str">
        <f ca="1">IFERROR(__xludf.DUMMYFUNCTION("""COMPUTED_VALUE"""),"No")</f>
        <v>No</v>
      </c>
      <c r="AN230" s="7" t="str">
        <f ca="1">IFERROR(__xludf.DUMMYFUNCTION("""COMPUTED_VALUE"""),"https://static.redstone.rs/games/20-fire-cash/")</f>
        <v>https://static.redstone.rs/games/20-fire-cash/</v>
      </c>
      <c r="AO230" s="5" t="str">
        <f ca="1">IFERROR(__xludf.DUMMYFUNCTION("""COMPUTED_VALUE"""),"No")</f>
        <v>No</v>
      </c>
      <c r="AP230" s="5" t="str">
        <f ca="1">IFERROR(__xludf.DUMMYFUNCTION("""COMPUTED_VALUE"""),"No")</f>
        <v>No</v>
      </c>
      <c r="AQ230" s="5" t="b">
        <f ca="1">IFERROR(__xludf.DUMMYFUNCTION("""COMPUTED_VALUE"""),TRUE)</f>
        <v>1</v>
      </c>
      <c r="AR230" s="5"/>
      <c r="AS230" s="5" t="str">
        <f ca="1">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AT230" s="5"/>
      <c r="AU230" s="5" t="str">
        <f ca="1">IFERROR(__xludf.DUMMYFUNCTION("""COMPUTED_VALUE"""),"Redstone")</f>
        <v>Redstone</v>
      </c>
      <c r="AV230" s="5"/>
      <c r="AW230" s="5"/>
      <c r="AX230" s="5"/>
      <c r="AY230" s="5"/>
      <c r="AZ230" s="5"/>
      <c r="BA230" s="5"/>
      <c r="BB230" s="5" t="b">
        <f ca="1">IFERROR(__xludf.DUMMYFUNCTION("""COMPUTED_VALUE"""),TRUE)</f>
        <v>1</v>
      </c>
      <c r="BC230" s="5" t="str">
        <f ca="1">IFERROR(__xludf.DUMMYFUNCTION("""COMPUTED_VALUE"""),"Redstone")</f>
        <v>Redstone</v>
      </c>
      <c r="BD230" s="7" t="str">
        <f ca="1">IFERROR(__xludf.DUMMYFUNCTION("""COMPUTED_VALUE"""),"https://static.redstone.rs/games/20-fire-cash/")</f>
        <v>https://static.redstone.rs/games/20-fire-cash/</v>
      </c>
      <c r="BE230" s="5" t="b">
        <f ca="1">IFERROR(__xludf.DUMMYFUNCTION("""COMPUTED_VALUE"""),TRUE)</f>
        <v>1</v>
      </c>
    </row>
    <row r="231" spans="1:57" x14ac:dyDescent="0.25">
      <c r="A231" s="5">
        <f ca="1">IFERROR(__xludf.DUMMYFUNCTION("""COMPUTED_VALUE"""),231)</f>
        <v>231</v>
      </c>
      <c r="B231" s="5">
        <f ca="1">IFERROR(__xludf.DUMMYFUNCTION("""COMPUTED_VALUE"""),230)</f>
        <v>230</v>
      </c>
      <c r="C231" s="5" t="str">
        <f ca="1">IFERROR(__xludf.DUMMYFUNCTION("""COMPUTED_VALUE"""),"Tiptop")</f>
        <v>Tiptop</v>
      </c>
      <c r="D231" s="5" t="str">
        <f ca="1">IFERROR(__xludf.DUMMYFUNCTION("""COMPUTED_VALUE"""),"Coyote Sevens")</f>
        <v>Coyote Sevens</v>
      </c>
      <c r="E231" s="5"/>
      <c r="F231" s="5" t="str">
        <f ca="1">IFERROR(__xludf.DUMMYFUNCTION("""COMPUTED_VALUE"""),"UnicornCoyoteSevens")</f>
        <v>UnicornCoyoteSevens</v>
      </c>
      <c r="G231" s="5" t="str">
        <f ca="1">IFERROR(__xludf.DUMMYFUNCTION("""COMPUTED_VALUE"""),"Live")</f>
        <v>Live</v>
      </c>
      <c r="H231" s="5"/>
      <c r="I231" s="5" t="str">
        <f ca="1">IFERROR(__xludf.DUMMYFUNCTION("""COMPUTED_VALUE"""),"TipTop")</f>
        <v>TipTop</v>
      </c>
      <c r="J231" s="5" t="str">
        <f ca="1">IFERROR(__xludf.DUMMYFUNCTION("""COMPUTED_VALUE"""),"JSON")</f>
        <v>JSON</v>
      </c>
      <c r="K231" s="5" t="str">
        <f ca="1">IFERROR(__xludf.DUMMYFUNCTION("""COMPUTED_VALUE"""),"Slot")</f>
        <v>Slot</v>
      </c>
      <c r="L231" s="5"/>
      <c r="M231" s="5"/>
      <c r="N231" s="5"/>
      <c r="O231" s="5"/>
      <c r="P231" s="14">
        <f ca="1">IFERROR(__xludf.DUMMYFUNCTION("""COMPUTED_VALUE"""),11.1)</f>
        <v>11.1</v>
      </c>
      <c r="Q231" s="5"/>
      <c r="R231" s="5"/>
      <c r="S231" s="15">
        <f ca="1">IFERROR(__xludf.DUMMYFUNCTION("""COMPUTED_VALUE"""),44971)</f>
        <v>44971</v>
      </c>
      <c r="T231" s="5" t="b">
        <f ca="1">IFERROR(__xludf.DUMMYFUNCTION("""COMPUTED_VALUE"""),TRUE)</f>
        <v>1</v>
      </c>
      <c r="U231" s="5" t="str">
        <f ca="1">IFERROR(__xludf.DUMMYFUNCTION("""COMPUTED_VALUE"""),"5X3")</f>
        <v>5X3</v>
      </c>
      <c r="V231" s="12" t="str">
        <f ca="1">IFERROR(__xludf.DUMMYFUNCTION("""COMPUTED_VALUE"""),"5")</f>
        <v>5</v>
      </c>
      <c r="W231" s="12" t="str">
        <f ca="1">IFERROR(__xludf.DUMMYFUNCTION("""COMPUTED_VALUE"""),"5")</f>
        <v>5</v>
      </c>
      <c r="X231" s="5">
        <f ca="1">IFERROR(__xludf.DUMMYFUNCTION("""COMPUTED_VALUE"""),96)</f>
        <v>96</v>
      </c>
      <c r="Y231" s="5" t="str">
        <f ca="1">IFERROR(__xludf.DUMMYFUNCTION("""COMPUTED_VALUE"""),"Medium")</f>
        <v>Medium</v>
      </c>
      <c r="Z231" s="5">
        <f ca="1">IFERROR(__xludf.DUMMYFUNCTION("""COMPUTED_VALUE"""),10.1)</f>
        <v>10.1</v>
      </c>
      <c r="AA231" s="14">
        <f ca="1">IFERROR(__xludf.DUMMYFUNCTION("""COMPUTED_VALUE"""),1000)</f>
        <v>1000</v>
      </c>
      <c r="AB231" s="5"/>
      <c r="AC231" s="5"/>
      <c r="AD231" s="5" t="str">
        <f ca="1">IFERROR(__xludf.DUMMYFUNCTION("""COMPUTED_VALUE"""),"0.05/100")</f>
        <v>0.05/100</v>
      </c>
      <c r="AE231" s="5"/>
      <c r="AF231" s="5"/>
      <c r="AG231" s="10">
        <f ca="1">IFERROR(__xludf.DUMMYFUNCTION("""COMPUTED_VALUE"""),46197.4570486111)</f>
        <v>46197.457048611097</v>
      </c>
      <c r="AH231" s="5" t="str">
        <f ca="1">IFERROR(__xludf.DUMMYFUNCTION("""COMPUTED_VALUE"""),"selena.mihajlovic@fazi.rs")</f>
        <v>selena.mihajlovic@fazi.rs</v>
      </c>
      <c r="AI231" s="5"/>
      <c r="AJ231" s="5"/>
      <c r="AK231" s="5">
        <f ca="1">IFERROR(__xludf.DUMMYFUNCTION("""COMPUTED_VALUE"""),5)</f>
        <v>5</v>
      </c>
      <c r="AL231" s="5" t="str">
        <f ca="1">IFERROR(__xludf.DUMMYFUNCTION("""COMPUTED_VALUE"""),"No")</f>
        <v>No</v>
      </c>
      <c r="AM231" s="5"/>
      <c r="AN231" s="7" t="str">
        <f ca="1">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AO231" s="5"/>
      <c r="AP231" s="5"/>
      <c r="AQ231" s="5" t="b">
        <f ca="1">IFERROR(__xludf.DUMMYFUNCTION("""COMPUTED_VALUE"""),TRUE)</f>
        <v>1</v>
      </c>
      <c r="AR231" s="5"/>
      <c r="AS231" s="5" t="str">
        <f ca="1">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AT231" s="5"/>
      <c r="AU231" s="5" t="str">
        <f ca="1">IFERROR(__xludf.DUMMYFUNCTION("""COMPUTED_VALUE"""),"Fazi")</f>
        <v>Fazi</v>
      </c>
      <c r="AV231" s="5"/>
      <c r="AW231" s="5"/>
      <c r="AX231" s="5"/>
      <c r="AY231" s="5"/>
      <c r="AZ231" s="5"/>
      <c r="BA231" s="5"/>
      <c r="BB231" s="5" t="b">
        <f ca="1">IFERROR(__xludf.DUMMYFUNCTION("""COMPUTED_VALUE"""),TRUE)</f>
        <v>1</v>
      </c>
      <c r="BC231" s="5" t="str">
        <f ca="1">IFERROR(__xludf.DUMMYFUNCTION("""COMPUTED_VALUE"""),"Tiptop")</f>
        <v>Tiptop</v>
      </c>
      <c r="BD231" s="7" t="str">
        <f ca="1">IFERROR(__xludf.DUMMYFUNCTION("""COMPUTED_VALUE"""),"https://gameserver-store-client-area.orbionlimited.com/Home/IntegrationGameLaunch/client-area?moneyType=0&amp;gameName=UnicornCoyoteSevens&amp;platform=desktop&amp;languageCode=eng&amp;currency=EUR")</f>
        <v>https://gameserver-store-client-area.orbionlimited.com/Home/IntegrationGameLaunch/client-area?moneyType=0&amp;gameName=UnicornCoyoteSevens&amp;platform=desktop&amp;languageCode=eng&amp;currency=EUR</v>
      </c>
      <c r="BE231" s="5" t="b">
        <f ca="1">IFERROR(__xludf.DUMMYFUNCTION("""COMPUTED_VALUE"""),TRUE)</f>
        <v>1</v>
      </c>
    </row>
    <row r="232" spans="1:57" x14ac:dyDescent="0.25">
      <c r="A232" s="5">
        <f ca="1">IFERROR(__xludf.DUMMYFUNCTION("""COMPUTED_VALUE"""),232)</f>
        <v>232</v>
      </c>
      <c r="B232" s="5">
        <f ca="1">IFERROR(__xludf.DUMMYFUNCTION("""COMPUTED_VALUE"""),231)</f>
        <v>231</v>
      </c>
      <c r="C232" s="5" t="str">
        <f ca="1">IFERROR(__xludf.DUMMYFUNCTION("""COMPUTED_VALUE"""),"Fazi")</f>
        <v>Fazi</v>
      </c>
      <c r="D232" s="5" t="str">
        <f ca="1">IFERROR(__xludf.DUMMYFUNCTION("""COMPUTED_VALUE"""),"Epic Fire 40")</f>
        <v>Epic Fire 40</v>
      </c>
      <c r="E232" s="5" t="str">
        <f ca="1">IFERROR(__xludf.DUMMYFUNCTION("""COMPUTED_VALUE"""),"V2")</f>
        <v>V2</v>
      </c>
      <c r="F232" s="5" t="str">
        <f ca="1">IFERROR(__xludf.DUMMYFUNCTION("""COMPUTED_VALUE"""),"EpicFire40")</f>
        <v>EpicFire40</v>
      </c>
      <c r="G232" s="5" t="str">
        <f ca="1">IFERROR(__xludf.DUMMYFUNCTION("""COMPUTED_VALUE"""),"Live")</f>
        <v>Live</v>
      </c>
      <c r="H232" s="5"/>
      <c r="I232" s="5" t="str">
        <f ca="1">IFERROR(__xludf.DUMMYFUNCTION("""COMPUTED_VALUE"""),"V2")</f>
        <v>V2</v>
      </c>
      <c r="J232" s="5" t="str">
        <f ca="1">IFERROR(__xludf.DUMMYFUNCTION("""COMPUTED_VALUE"""),"JSON")</f>
        <v>JSON</v>
      </c>
      <c r="K232" s="5" t="str">
        <f ca="1">IFERROR(__xludf.DUMMYFUNCTION("""COMPUTED_VALUE"""),"Slot")</f>
        <v>Slot</v>
      </c>
      <c r="L232" s="5"/>
      <c r="M232" s="5"/>
      <c r="N232" s="5"/>
      <c r="O232" s="5"/>
      <c r="P232" s="14">
        <f ca="1">IFERROR(__xludf.DUMMYFUNCTION("""COMPUTED_VALUE"""),28.3)</f>
        <v>28.3</v>
      </c>
      <c r="Q232" s="5"/>
      <c r="R232" s="5"/>
      <c r="S232" s="15">
        <f ca="1">IFERROR(__xludf.DUMMYFUNCTION("""COMPUTED_VALUE"""),45132)</f>
        <v>45132</v>
      </c>
      <c r="T232" s="5" t="b">
        <f ca="1">IFERROR(__xludf.DUMMYFUNCTION("""COMPUTED_VALUE"""),TRUE)</f>
        <v>1</v>
      </c>
      <c r="U232" s="5" t="str">
        <f ca="1">IFERROR(__xludf.DUMMYFUNCTION("""COMPUTED_VALUE"""),"5x4")</f>
        <v>5x4</v>
      </c>
      <c r="V232" s="12" t="str">
        <f ca="1">IFERROR(__xludf.DUMMYFUNCTION("""COMPUTED_VALUE"""),"40")</f>
        <v>40</v>
      </c>
      <c r="W232" s="12" t="str">
        <f ca="1">IFERROR(__xludf.DUMMYFUNCTION("""COMPUTED_VALUE"""),"40")</f>
        <v>40</v>
      </c>
      <c r="X232" s="5">
        <f ca="1">IFERROR(__xludf.DUMMYFUNCTION("""COMPUTED_VALUE"""),96.507)</f>
        <v>96.507000000000005</v>
      </c>
      <c r="Y232" s="5" t="str">
        <f ca="1">IFERROR(__xludf.DUMMYFUNCTION("""COMPUTED_VALUE"""),"Medium")</f>
        <v>Medium</v>
      </c>
      <c r="Z232" s="5">
        <f ca="1">IFERROR(__xludf.DUMMYFUNCTION("""COMPUTED_VALUE"""),14.93)</f>
        <v>14.93</v>
      </c>
      <c r="AA232" s="14">
        <f ca="1">IFERROR(__xludf.DUMMYFUNCTION("""COMPUTED_VALUE"""),1000)</f>
        <v>1000</v>
      </c>
      <c r="AB232" s="5"/>
      <c r="AC232" s="5" t="str">
        <f ca="1">IFERROR(__xludf.DUMMYFUNCTION("""COMPUTED_VALUE"""),"Wild Symbol, Scatter")</f>
        <v>Wild Symbol, Scatter</v>
      </c>
      <c r="AD232" s="5" t="str">
        <f ca="1">IFERROR(__xludf.DUMMYFUNCTION("""COMPUTED_VALUE"""),"0.4/60")</f>
        <v>0.4/60</v>
      </c>
      <c r="AE232" s="5"/>
      <c r="AF232" s="5"/>
      <c r="AG232" s="10">
        <f ca="1">IFERROR(__xludf.DUMMYFUNCTION("""COMPUTED_VALUE"""),46104.4269791666)</f>
        <v>46104.426979166601</v>
      </c>
      <c r="AH232" s="5" t="str">
        <f ca="1">IFERROR(__xludf.DUMMYFUNCTION("""COMPUTED_VALUE"""),"marko.tepavac@fazi.rs")</f>
        <v>marko.tepavac@fazi.rs</v>
      </c>
      <c r="AI232" s="5"/>
      <c r="AJ232" s="5"/>
      <c r="AK232" s="5">
        <f ca="1">IFERROR(__xludf.DUMMYFUNCTION("""COMPUTED_VALUE"""),40)</f>
        <v>40</v>
      </c>
      <c r="AL232" s="5" t="str">
        <f ca="1">IFERROR(__xludf.DUMMYFUNCTION("""COMPUTED_VALUE"""),"Yes")</f>
        <v>Yes</v>
      </c>
      <c r="AM232" s="5"/>
      <c r="AN232" s="7" t="str">
        <f ca="1">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AO232" s="5" t="str">
        <f ca="1">IFERROR(__xludf.DUMMYFUNCTION("""COMPUTED_VALUE"""),"Yes")</f>
        <v>Yes</v>
      </c>
      <c r="AP232" s="5" t="str">
        <f ca="1">IFERROR(__xludf.DUMMYFUNCTION("""COMPUTED_VALUE"""),"Yes")</f>
        <v>Yes</v>
      </c>
      <c r="AQ232" s="5" t="b">
        <f ca="1">IFERROR(__xludf.DUMMYFUNCTION("""COMPUTED_VALUE"""),TRUE)</f>
        <v>1</v>
      </c>
      <c r="AR232" s="5"/>
      <c r="AS232" s="5" t="str">
        <f ca="1">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AT232" s="5" t="str">
        <f ca="1">IFERROR(__xludf.DUMMYFUNCTION("""COMPUTED_VALUE"""),"No")</f>
        <v>No</v>
      </c>
      <c r="AU232" s="5" t="str">
        <f ca="1">IFERROR(__xludf.DUMMYFUNCTION("""COMPUTED_VALUE"""),"Fazi")</f>
        <v>Fazi</v>
      </c>
      <c r="AV232" s="5"/>
      <c r="AW232" s="5"/>
      <c r="AX232" s="5"/>
      <c r="AY232" s="5"/>
      <c r="AZ232" s="5"/>
      <c r="BA232" s="5" t="str">
        <f ca="1">IFERROR(__xludf.DUMMYFUNCTION("""COMPUTED_VALUE"""),"")</f>
        <v/>
      </c>
      <c r="BB232" s="5"/>
      <c r="BC232" s="5" t="str">
        <f ca="1">IFERROR(__xludf.DUMMYFUNCTION("""COMPUTED_VALUE"""),"Foxi")</f>
        <v>Foxi</v>
      </c>
      <c r="BD232" s="7" t="str">
        <f ca="1">IFERROR(__xludf.DUMMYFUNCTION("""COMPUTED_VALUE"""),"https://gameserver-store-client-area.orbionlimited.com/Home/IntegrationGameLaunch/client-area?moneyType=0&amp;gameName=EpicFire40&amp;platform=desktop&amp;languageCode=eng&amp;currency=EUR")</f>
        <v>https://gameserver-store-client-area.orbionlimited.com/Home/IntegrationGameLaunch/client-area?moneyType=0&amp;gameName=EpicFire40&amp;platform=desktop&amp;languageCode=eng&amp;currency=EUR</v>
      </c>
      <c r="BE232" s="5" t="b">
        <f ca="1">IFERROR(__xludf.DUMMYFUNCTION("""COMPUTED_VALUE"""),TRUE)</f>
        <v>1</v>
      </c>
    </row>
    <row r="233" spans="1:57" x14ac:dyDescent="0.25">
      <c r="A233" s="5">
        <f ca="1">IFERROR(__xludf.DUMMYFUNCTION("""COMPUTED_VALUE"""),233)</f>
        <v>233</v>
      </c>
      <c r="B233" s="5">
        <f ca="1">IFERROR(__xludf.DUMMYFUNCTION("""COMPUTED_VALUE"""),232)</f>
        <v>232</v>
      </c>
      <c r="C233" s="5" t="str">
        <f ca="1">IFERROR(__xludf.DUMMYFUNCTION("""COMPUTED_VALUE"""),"Fazi")</f>
        <v>Fazi</v>
      </c>
      <c r="D233" s="5" t="str">
        <f ca="1">IFERROR(__xludf.DUMMYFUNCTION("""COMPUTED_VALUE"""),"Golden Crown 40")</f>
        <v>Golden Crown 40</v>
      </c>
      <c r="E233" s="5" t="str">
        <f ca="1">IFERROR(__xludf.DUMMYFUNCTION("""COMPUTED_VALUE"""),"V2")</f>
        <v>V2</v>
      </c>
      <c r="F233" s="5" t="str">
        <f ca="1">IFERROR(__xludf.DUMMYFUNCTION("""COMPUTED_VALUE"""),"GoldenCrown40")</f>
        <v>GoldenCrown40</v>
      </c>
      <c r="G233" s="5" t="str">
        <f ca="1">IFERROR(__xludf.DUMMYFUNCTION("""COMPUTED_VALUE"""),"Live")</f>
        <v>Live</v>
      </c>
      <c r="H233" s="5"/>
      <c r="I233" s="5" t="str">
        <f ca="1">IFERROR(__xludf.DUMMYFUNCTION("""COMPUTED_VALUE"""),"V2")</f>
        <v>V2</v>
      </c>
      <c r="J233" s="5" t="str">
        <f ca="1">IFERROR(__xludf.DUMMYFUNCTION("""COMPUTED_VALUE"""),"JSON")</f>
        <v>JSON</v>
      </c>
      <c r="K233" s="5" t="str">
        <f ca="1">IFERROR(__xludf.DUMMYFUNCTION("""COMPUTED_VALUE"""),"Slot")</f>
        <v>Slot</v>
      </c>
      <c r="L233" s="5" t="str">
        <f ca="1">IFERROR(__xludf.DUMMYFUNCTION("""COMPUTED_VALUE"""),"Clone")</f>
        <v>Clone</v>
      </c>
      <c r="M233" s="5" t="str">
        <f ca="1">IFERROR(__xludf.DUMMYFUNCTION("""COMPUTED_VALUE"""),"Golden Crown")</f>
        <v>Golden Crown</v>
      </c>
      <c r="N233" s="5"/>
      <c r="O233" s="5"/>
      <c r="P233" s="14">
        <f ca="1">IFERROR(__xludf.DUMMYFUNCTION("""COMPUTED_VALUE"""),19)</f>
        <v>19</v>
      </c>
      <c r="Q233" s="5"/>
      <c r="R233" s="5"/>
      <c r="S233" s="15">
        <f ca="1">IFERROR(__xludf.DUMMYFUNCTION("""COMPUTED_VALUE"""),45027)</f>
        <v>45027</v>
      </c>
      <c r="T233" s="5" t="b">
        <f ca="1">IFERROR(__xludf.DUMMYFUNCTION("""COMPUTED_VALUE"""),TRUE)</f>
        <v>1</v>
      </c>
      <c r="U233" s="5" t="str">
        <f ca="1">IFERROR(__xludf.DUMMYFUNCTION("""COMPUTED_VALUE"""),"5x3")</f>
        <v>5x3</v>
      </c>
      <c r="V233" s="12" t="str">
        <f ca="1">IFERROR(__xludf.DUMMYFUNCTION("""COMPUTED_VALUE"""),"40")</f>
        <v>40</v>
      </c>
      <c r="W233" s="12" t="str">
        <f ca="1">IFERROR(__xludf.DUMMYFUNCTION("""COMPUTED_VALUE"""),"40")</f>
        <v>40</v>
      </c>
      <c r="X233" s="5">
        <f ca="1">IFERROR(__xludf.DUMMYFUNCTION("""COMPUTED_VALUE"""),95.962)</f>
        <v>95.962000000000003</v>
      </c>
      <c r="Y233" s="5" t="str">
        <f ca="1">IFERROR(__xludf.DUMMYFUNCTION("""COMPUTED_VALUE"""),"Medium")</f>
        <v>Medium</v>
      </c>
      <c r="Z233" s="5">
        <f ca="1">IFERROR(__xludf.DUMMYFUNCTION("""COMPUTED_VALUE"""),18.35)</f>
        <v>18.350000000000001</v>
      </c>
      <c r="AA233" s="14">
        <f ca="1">IFERROR(__xludf.DUMMYFUNCTION("""COMPUTED_VALUE"""),1420.25)</f>
        <v>1420.25</v>
      </c>
      <c r="AB233" s="5">
        <f ca="1">IFERROR(__xludf.DUMMYFUNCTION("""COMPUTED_VALUE"""),4)</f>
        <v>4</v>
      </c>
      <c r="AC233" s="5" t="str">
        <f ca="1">IFERROR(__xludf.DUMMYFUNCTION("""COMPUTED_VALUE"""),"Scatter, Expanding Wild")</f>
        <v>Scatter, Expanding Wild</v>
      </c>
      <c r="AD233" s="5" t="str">
        <f ca="1">IFERROR(__xludf.DUMMYFUNCTION("""COMPUTED_VALUE"""),"0.4/50")</f>
        <v>0.4/50</v>
      </c>
      <c r="AE233" s="5"/>
      <c r="AF233" s="5"/>
      <c r="AG233" s="10">
        <f ca="1">IFERROR(__xludf.DUMMYFUNCTION("""COMPUTED_VALUE"""),46104.4272800925)</f>
        <v>46104.427280092503</v>
      </c>
      <c r="AH233" s="5" t="str">
        <f ca="1">IFERROR(__xludf.DUMMYFUNCTION("""COMPUTED_VALUE"""),"marko.tepavac@fazi.rs")</f>
        <v>marko.tepavac@fazi.rs</v>
      </c>
      <c r="AI233" s="5"/>
      <c r="AJ233" s="5"/>
      <c r="AK233" s="5">
        <f ca="1">IFERROR(__xludf.DUMMYFUNCTION("""COMPUTED_VALUE"""),40)</f>
        <v>40</v>
      </c>
      <c r="AL233" s="5" t="str">
        <f ca="1">IFERROR(__xludf.DUMMYFUNCTION("""COMPUTED_VALUE"""),"Yes")</f>
        <v>Yes</v>
      </c>
      <c r="AM233" s="5"/>
      <c r="AN233" s="7" t="str">
        <f ca="1">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233" s="5" t="str">
        <f ca="1">IFERROR(__xludf.DUMMYFUNCTION("""COMPUTED_VALUE"""),"Yes")</f>
        <v>Yes</v>
      </c>
      <c r="AP233" s="5" t="str">
        <f ca="1">IFERROR(__xludf.DUMMYFUNCTION("""COMPUTED_VALUE"""),"Yes")</f>
        <v>Yes</v>
      </c>
      <c r="AQ233" s="5" t="b">
        <f ca="1">IFERROR(__xludf.DUMMYFUNCTION("""COMPUTED_VALUE"""),TRUE)</f>
        <v>1</v>
      </c>
      <c r="AR233" s="5"/>
      <c r="AS233" s="5" t="str">
        <f ca="1">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AT233" s="5" t="str">
        <f ca="1">IFERROR(__xludf.DUMMYFUNCTION("""COMPUTED_VALUE"""),"No")</f>
        <v>No</v>
      </c>
      <c r="AU233" s="5" t="str">
        <f ca="1">IFERROR(__xludf.DUMMYFUNCTION("""COMPUTED_VALUE"""),"Fazi")</f>
        <v>Fazi</v>
      </c>
      <c r="AV233" s="5"/>
      <c r="AW233" s="5"/>
      <c r="AX233" s="5"/>
      <c r="AY233" s="5" t="str">
        <f ca="1">IFERROR(__xludf.DUMMYFUNCTION("""COMPUTED_VALUE"""),"87.5%, 89.5%, 91.5%, 93.5%, 94.5%, 95.5%, 96.5%")</f>
        <v>87.5%, 89.5%, 91.5%, 93.5%, 94.5%, 95.5%, 96.5%</v>
      </c>
      <c r="AZ233" s="5"/>
      <c r="BA233" s="5" t="str">
        <f ca="1">IFERROR(__xludf.DUMMYFUNCTION("""COMPUTED_VALUE"""),"")</f>
        <v/>
      </c>
      <c r="BB233" s="5"/>
      <c r="BC233" s="5" t="str">
        <f ca="1">IFERROR(__xludf.DUMMYFUNCTION("""COMPUTED_VALUE"""),"Foxi")</f>
        <v>Foxi</v>
      </c>
      <c r="BD233" s="7" t="str">
        <f ca="1">IFERROR(__xludf.DUMMYFUNCTION("""COMPUTED_VALUE"""),"https://gameserver-store-client-area.orbionlimited.com/Home/IntegrationGameLaunch/client-area?moneyType=0&amp;gameName=GoldenCrown40&amp;platform=desktop&amp;languageCode=eng&amp;currency=EUR")</f>
        <v>https://gameserver-store-client-area.orbionlimited.com/Home/IntegrationGameLaunch/client-area?moneyType=0&amp;gameName=GoldenCrown40&amp;platform=desktop&amp;languageCode=eng&amp;currency=EUR</v>
      </c>
      <c r="BE233" s="5" t="b">
        <f ca="1">IFERROR(__xludf.DUMMYFUNCTION("""COMPUTED_VALUE"""),TRUE)</f>
        <v>1</v>
      </c>
    </row>
    <row r="234" spans="1:57" x14ac:dyDescent="0.25">
      <c r="A234" s="5">
        <f ca="1">IFERROR(__xludf.DUMMYFUNCTION("""COMPUTED_VALUE"""),234)</f>
        <v>234</v>
      </c>
      <c r="B234" s="5">
        <f ca="1">IFERROR(__xludf.DUMMYFUNCTION("""COMPUTED_VALUE"""),233)</f>
        <v>233</v>
      </c>
      <c r="C234" s="5" t="str">
        <f ca="1">IFERROR(__xludf.DUMMYFUNCTION("""COMPUTED_VALUE"""),"Tiptop")</f>
        <v>Tiptop</v>
      </c>
      <c r="D234" s="5" t="str">
        <f ca="1">IFERROR(__xludf.DUMMYFUNCTION("""COMPUTED_VALUE"""),"Coyote Dice")</f>
        <v>Coyote Dice</v>
      </c>
      <c r="E234" s="5"/>
      <c r="F234" s="5" t="str">
        <f ca="1">IFERROR(__xludf.DUMMYFUNCTION("""COMPUTED_VALUE"""),"UnicornCoyoteDice")</f>
        <v>UnicornCoyoteDice</v>
      </c>
      <c r="G234" s="5" t="str">
        <f ca="1">IFERROR(__xludf.DUMMYFUNCTION("""COMPUTED_VALUE"""),"Live")</f>
        <v>Live</v>
      </c>
      <c r="H234" s="5"/>
      <c r="I234" s="5" t="str">
        <f ca="1">IFERROR(__xludf.DUMMYFUNCTION("""COMPUTED_VALUE"""),"TipTop")</f>
        <v>TipTop</v>
      </c>
      <c r="J234" s="5" t="str">
        <f ca="1">IFERROR(__xludf.DUMMYFUNCTION("""COMPUTED_VALUE"""),"JSON")</f>
        <v>JSON</v>
      </c>
      <c r="K234" s="5" t="str">
        <f ca="1">IFERROR(__xludf.DUMMYFUNCTION("""COMPUTED_VALUE"""),"Dice Slots")</f>
        <v>Dice Slots</v>
      </c>
      <c r="L234" s="5"/>
      <c r="M234" s="5"/>
      <c r="N234" s="5"/>
      <c r="O234" s="5"/>
      <c r="P234" s="14">
        <f ca="1">IFERROR(__xludf.DUMMYFUNCTION("""COMPUTED_VALUE"""),11.1)</f>
        <v>11.1</v>
      </c>
      <c r="Q234" s="5"/>
      <c r="R234" s="5"/>
      <c r="S234" s="15">
        <f ca="1">IFERROR(__xludf.DUMMYFUNCTION("""COMPUTED_VALUE"""),44999)</f>
        <v>44999</v>
      </c>
      <c r="T234" s="5" t="b">
        <f ca="1">IFERROR(__xludf.DUMMYFUNCTION("""COMPUTED_VALUE"""),TRUE)</f>
        <v>1</v>
      </c>
      <c r="U234" s="5" t="str">
        <f ca="1">IFERROR(__xludf.DUMMYFUNCTION("""COMPUTED_VALUE"""),"5X3")</f>
        <v>5X3</v>
      </c>
      <c r="V234" s="12" t="str">
        <f ca="1">IFERROR(__xludf.DUMMYFUNCTION("""COMPUTED_VALUE"""),"5")</f>
        <v>5</v>
      </c>
      <c r="W234" s="12" t="str">
        <f ca="1">IFERROR(__xludf.DUMMYFUNCTION("""COMPUTED_VALUE"""),"5")</f>
        <v>5</v>
      </c>
      <c r="X234" s="5">
        <f ca="1">IFERROR(__xludf.DUMMYFUNCTION("""COMPUTED_VALUE"""),96)</f>
        <v>96</v>
      </c>
      <c r="Y234" s="5" t="str">
        <f ca="1">IFERROR(__xludf.DUMMYFUNCTION("""COMPUTED_VALUE"""),"Medium")</f>
        <v>Medium</v>
      </c>
      <c r="Z234" s="5">
        <f ca="1">IFERROR(__xludf.DUMMYFUNCTION("""COMPUTED_VALUE"""),10.1)</f>
        <v>10.1</v>
      </c>
      <c r="AA234" s="14">
        <f ca="1">IFERROR(__xludf.DUMMYFUNCTION("""COMPUTED_VALUE"""),1000)</f>
        <v>1000</v>
      </c>
      <c r="AB234" s="5"/>
      <c r="AC234" s="5"/>
      <c r="AD234" s="5" t="str">
        <f ca="1">IFERROR(__xludf.DUMMYFUNCTION("""COMPUTED_VALUE"""),"0.05/100")</f>
        <v>0.05/100</v>
      </c>
      <c r="AE234" s="5"/>
      <c r="AF234" s="5"/>
      <c r="AG234" s="10">
        <f ca="1">IFERROR(__xludf.DUMMYFUNCTION("""COMPUTED_VALUE"""),46197.4572337962)</f>
        <v>46197.457233796202</v>
      </c>
      <c r="AH234" s="5" t="str">
        <f ca="1">IFERROR(__xludf.DUMMYFUNCTION("""COMPUTED_VALUE"""),"selena.mihajlovic@fazi.rs")</f>
        <v>selena.mihajlovic@fazi.rs</v>
      </c>
      <c r="AI234" s="5"/>
      <c r="AJ234" s="5"/>
      <c r="AK234" s="5">
        <f ca="1">IFERROR(__xludf.DUMMYFUNCTION("""COMPUTED_VALUE"""),5)</f>
        <v>5</v>
      </c>
      <c r="AL234" s="5" t="str">
        <f ca="1">IFERROR(__xludf.DUMMYFUNCTION("""COMPUTED_VALUE"""),"No")</f>
        <v>No</v>
      </c>
      <c r="AM234" s="5"/>
      <c r="AN234" s="7" t="str">
        <f ca="1">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AO234" s="5"/>
      <c r="AP234" s="5"/>
      <c r="AQ234" s="5" t="b">
        <f ca="1">IFERROR(__xludf.DUMMYFUNCTION("""COMPUTED_VALUE"""),TRUE)</f>
        <v>1</v>
      </c>
      <c r="AR234" s="5"/>
      <c r="AS234" s="5" t="str">
        <f ca="1">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AT234" s="5"/>
      <c r="AU234" s="5" t="str">
        <f ca="1">IFERROR(__xludf.DUMMYFUNCTION("""COMPUTED_VALUE"""),"Fazi")</f>
        <v>Fazi</v>
      </c>
      <c r="AV234" s="5"/>
      <c r="AW234" s="5"/>
      <c r="AX234" s="5"/>
      <c r="AY234" s="5"/>
      <c r="AZ234" s="5"/>
      <c r="BA234" s="5"/>
      <c r="BB234" s="5" t="b">
        <f ca="1">IFERROR(__xludf.DUMMYFUNCTION("""COMPUTED_VALUE"""),TRUE)</f>
        <v>1</v>
      </c>
      <c r="BC234" s="5" t="str">
        <f ca="1">IFERROR(__xludf.DUMMYFUNCTION("""COMPUTED_VALUE"""),"Tiptop")</f>
        <v>Tiptop</v>
      </c>
      <c r="BD234" s="7" t="str">
        <f ca="1">IFERROR(__xludf.DUMMYFUNCTION("""COMPUTED_VALUE"""),"https://gameserver-store-client-area.orbionlimited.com/Home/IntegrationGameLaunch/client-area?moneyType=0&amp;gameName=UnicornCoyoteDice&amp;platform=desktop&amp;languageCode=eng&amp;currency=EUR")</f>
        <v>https://gameserver-store-client-area.orbionlimited.com/Home/IntegrationGameLaunch/client-area?moneyType=0&amp;gameName=UnicornCoyoteDice&amp;platform=desktop&amp;languageCode=eng&amp;currency=EUR</v>
      </c>
      <c r="BE234" s="5" t="b">
        <f ca="1">IFERROR(__xludf.DUMMYFUNCTION("""COMPUTED_VALUE"""),TRUE)</f>
        <v>1</v>
      </c>
    </row>
    <row r="235" spans="1:57" x14ac:dyDescent="0.25">
      <c r="A235" s="5">
        <f ca="1">IFERROR(__xludf.DUMMYFUNCTION("""COMPUTED_VALUE"""),235)</f>
        <v>235</v>
      </c>
      <c r="B235" s="5">
        <f ca="1">IFERROR(__xludf.DUMMYFUNCTION("""COMPUTED_VALUE"""),234)</f>
        <v>234</v>
      </c>
      <c r="C235" s="5" t="str">
        <f ca="1">IFERROR(__xludf.DUMMYFUNCTION("""COMPUTED_VALUE"""),"Fazi")</f>
        <v>Fazi</v>
      </c>
      <c r="D235" s="5" t="str">
        <f ca="1">IFERROR(__xludf.DUMMYFUNCTION("""COMPUTED_VALUE"""),"Wild 27")</f>
        <v>Wild 27</v>
      </c>
      <c r="E235" s="5" t="str">
        <f ca="1">IFERROR(__xludf.DUMMYFUNCTION("""COMPUTED_VALUE"""),"V4-1")</f>
        <v>V4-1</v>
      </c>
      <c r="F235" s="5" t="str">
        <f ca="1">IFERROR(__xludf.DUMMYFUNCTION("""COMPUTED_VALUE"""),"Wild27")</f>
        <v>Wild27</v>
      </c>
      <c r="G235" s="5" t="str">
        <f ca="1">IFERROR(__xludf.DUMMYFUNCTION("""COMPUTED_VALUE"""),"Live")</f>
        <v>Live</v>
      </c>
      <c r="H235" s="5"/>
      <c r="I235" s="5" t="str">
        <f ca="1">IFERROR(__xludf.DUMMYFUNCTION("""COMPUTED_VALUE"""),"V4")</f>
        <v>V4</v>
      </c>
      <c r="J235" s="5" t="str">
        <f ca="1">IFERROR(__xludf.DUMMYFUNCTION("""COMPUTED_VALUE"""),"JSON")</f>
        <v>JSON</v>
      </c>
      <c r="K235" s="5" t="str">
        <f ca="1">IFERROR(__xludf.DUMMYFUNCTION("""COMPUTED_VALUE"""),"Slot")</f>
        <v>Slot</v>
      </c>
      <c r="L235" s="5"/>
      <c r="M235" s="5"/>
      <c r="N235" s="5"/>
      <c r="O235" s="5"/>
      <c r="P235" s="14">
        <f ca="1">IFERROR(__xludf.DUMMYFUNCTION("""COMPUTED_VALUE"""),11.2)</f>
        <v>11.2</v>
      </c>
      <c r="Q235" s="5"/>
      <c r="R235" s="5"/>
      <c r="S235" s="15">
        <f ca="1">IFERROR(__xludf.DUMMYFUNCTION("""COMPUTED_VALUE"""),45050)</f>
        <v>45050</v>
      </c>
      <c r="T235" s="5" t="b">
        <f ca="1">IFERROR(__xludf.DUMMYFUNCTION("""COMPUTED_VALUE"""),TRUE)</f>
        <v>1</v>
      </c>
      <c r="U235" s="5" t="str">
        <f ca="1">IFERROR(__xludf.DUMMYFUNCTION("""COMPUTED_VALUE"""),"3x3")</f>
        <v>3x3</v>
      </c>
      <c r="V235" s="12" t="str">
        <f ca="1">IFERROR(__xludf.DUMMYFUNCTION("""COMPUTED_VALUE"""),"27")</f>
        <v>27</v>
      </c>
      <c r="W235" s="12" t="str">
        <f ca="1">IFERROR(__xludf.DUMMYFUNCTION("""COMPUTED_VALUE"""),"27")</f>
        <v>27</v>
      </c>
      <c r="X235" s="5">
        <f ca="1">IFERROR(__xludf.DUMMYFUNCTION("""COMPUTED_VALUE"""),96.24)</f>
        <v>96.24</v>
      </c>
      <c r="Y235" s="5" t="str">
        <f ca="1">IFERROR(__xludf.DUMMYFUNCTION("""COMPUTED_VALUE"""),"Low")</f>
        <v>Low</v>
      </c>
      <c r="Z235" s="5">
        <f ca="1">IFERROR(__xludf.DUMMYFUNCTION("""COMPUTED_VALUE"""),6.58)</f>
        <v>6.58</v>
      </c>
      <c r="AA235" s="14">
        <f ca="1">IFERROR(__xludf.DUMMYFUNCTION("""COMPUTED_VALUE"""),108)</f>
        <v>108</v>
      </c>
      <c r="AB235" s="5" t="str">
        <f ca="1">IFERROR(__xludf.DUMMYFUNCTION("""COMPUTED_VALUE"""),"/")</f>
        <v>/</v>
      </c>
      <c r="AC235" s="5" t="str">
        <f ca="1">IFERROR(__xludf.DUMMYFUNCTION("""COMPUTED_VALUE"""),"Win Multiplier")</f>
        <v>Win Multiplier</v>
      </c>
      <c r="AD235" s="5" t="str">
        <f ca="1">IFERROR(__xludf.DUMMYFUNCTION("""COMPUTED_VALUE"""),"0.1/40")</f>
        <v>0.1/40</v>
      </c>
      <c r="AE235" s="5"/>
      <c r="AF235" s="5"/>
      <c r="AG235" s="10">
        <f ca="1">IFERROR(__xludf.DUMMYFUNCTION("""COMPUTED_VALUE"""),46162.4240277777)</f>
        <v>46162.424027777699</v>
      </c>
      <c r="AH235" s="5" t="str">
        <f ca="1">IFERROR(__xludf.DUMMYFUNCTION("""COMPUTED_VALUE"""),"djordje.petrovic@fazi.rs")</f>
        <v>djordje.petrovic@fazi.rs</v>
      </c>
      <c r="AI235" s="5"/>
      <c r="AJ235" s="5"/>
      <c r="AK235" s="5">
        <f ca="1">IFERROR(__xludf.DUMMYFUNCTION("""COMPUTED_VALUE"""),1)</f>
        <v>1</v>
      </c>
      <c r="AL235" s="5" t="str">
        <f ca="1">IFERROR(__xludf.DUMMYFUNCTION("""COMPUTED_VALUE"""),"Yes")</f>
        <v>Yes</v>
      </c>
      <c r="AM235" s="5"/>
      <c r="AN235" s="7" t="str">
        <f ca="1">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AO235" s="5" t="str">
        <f ca="1">IFERROR(__xludf.DUMMYFUNCTION("""COMPUTED_VALUE"""),"Yes")</f>
        <v>Yes</v>
      </c>
      <c r="AP235" s="5" t="str">
        <f ca="1">IFERROR(__xludf.DUMMYFUNCTION("""COMPUTED_VALUE"""),"Yes")</f>
        <v>Yes</v>
      </c>
      <c r="AQ235" s="5" t="b">
        <f ca="1">IFERROR(__xludf.DUMMYFUNCTION("""COMPUTED_VALUE"""),TRUE)</f>
        <v>1</v>
      </c>
      <c r="AR235" s="5"/>
      <c r="AS235" s="5" t="str">
        <f ca="1">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AT235" s="5" t="str">
        <f ca="1">IFERROR(__xludf.DUMMYFUNCTION("""COMPUTED_VALUE"""),"Yes")</f>
        <v>Yes</v>
      </c>
      <c r="AU235" s="5" t="str">
        <f ca="1">IFERROR(__xludf.DUMMYFUNCTION("""COMPUTED_VALUE"""),"Fazi")</f>
        <v>Fazi</v>
      </c>
      <c r="AV235" s="5"/>
      <c r="AW235"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35" s="5"/>
      <c r="AY235" s="5" t="str">
        <f ca="1">IFERROR(__xludf.DUMMYFUNCTION("""COMPUTED_VALUE"""),"87.5%, 89.5%, 91.5%, 93.5%, 94.5%, 95.5%, 96.5%")</f>
        <v>87.5%, 89.5%, 91.5%, 93.5%, 94.5%, 95.5%, 96.5%</v>
      </c>
      <c r="AZ235" s="5"/>
      <c r="BA235" s="5"/>
      <c r="BB235" s="5"/>
      <c r="BC235" s="5" t="str">
        <f ca="1">IFERROR(__xludf.DUMMYFUNCTION("""COMPUTED_VALUE"""),"Foxi")</f>
        <v>Foxi</v>
      </c>
      <c r="BD235" s="7" t="str">
        <f ca="1">IFERROR(__xludf.DUMMYFUNCTION("""COMPUTED_VALUE"""),"https://gameserver-store-client-area.orbionlimited.com/Home/IntegrationGameLaunch/client-area?moneyType=0&amp;gameName=Wild27&amp;platform=desktop&amp;languageCode=eng&amp;currency=EUR")</f>
        <v>https://gameserver-store-client-area.orbionlimited.com/Home/IntegrationGameLaunch/client-area?moneyType=0&amp;gameName=Wild27&amp;platform=desktop&amp;languageCode=eng&amp;currency=EUR</v>
      </c>
      <c r="BE235" s="5" t="b">
        <f ca="1">IFERROR(__xludf.DUMMYFUNCTION("""COMPUTED_VALUE"""),TRUE)</f>
        <v>1</v>
      </c>
    </row>
    <row r="236" spans="1:57" x14ac:dyDescent="0.25">
      <c r="A236" s="5">
        <f ca="1">IFERROR(__xludf.DUMMYFUNCTION("""COMPUTED_VALUE"""),236)</f>
        <v>236</v>
      </c>
      <c r="B236" s="5">
        <f ca="1">IFERROR(__xludf.DUMMYFUNCTION("""COMPUTED_VALUE"""),235)</f>
        <v>235</v>
      </c>
      <c r="C236" s="5" t="str">
        <f ca="1">IFERROR(__xludf.DUMMYFUNCTION("""COMPUTED_VALUE"""),"Tiptop")</f>
        <v>Tiptop</v>
      </c>
      <c r="D236" s="5" t="str">
        <f ca="1">IFERROR(__xludf.DUMMYFUNCTION("""COMPUTED_VALUE"""),"Fruit Wild Lines")</f>
        <v>Fruit Wild Lines</v>
      </c>
      <c r="E236" s="5"/>
      <c r="F236" s="5" t="str">
        <f ca="1">IFERROR(__xludf.DUMMYFUNCTION("""COMPUTED_VALUE"""),"UnicornFruitWildLines")</f>
        <v>UnicornFruitWildLines</v>
      </c>
      <c r="G236" s="5" t="str">
        <f ca="1">IFERROR(__xludf.DUMMYFUNCTION("""COMPUTED_VALUE"""),"Live")</f>
        <v>Live</v>
      </c>
      <c r="H236" s="5"/>
      <c r="I236" s="5" t="str">
        <f ca="1">IFERROR(__xludf.DUMMYFUNCTION("""COMPUTED_VALUE"""),"TipTop")</f>
        <v>TipTop</v>
      </c>
      <c r="J236" s="5" t="str">
        <f ca="1">IFERROR(__xludf.DUMMYFUNCTION("""COMPUTED_VALUE"""),"JSON")</f>
        <v>JSON</v>
      </c>
      <c r="K236" s="5" t="str">
        <f ca="1">IFERROR(__xludf.DUMMYFUNCTION("""COMPUTED_VALUE"""),"Slot")</f>
        <v>Slot</v>
      </c>
      <c r="L236" s="5"/>
      <c r="M236" s="5"/>
      <c r="N236" s="5"/>
      <c r="O236" s="5"/>
      <c r="P236" s="14">
        <f ca="1">IFERROR(__xludf.DUMMYFUNCTION("""COMPUTED_VALUE"""),13.9)</f>
        <v>13.9</v>
      </c>
      <c r="Q236" s="5"/>
      <c r="R236" s="5"/>
      <c r="S236" s="15">
        <f ca="1">IFERROR(__xludf.DUMMYFUNCTION("""COMPUTED_VALUE"""),45076)</f>
        <v>45076</v>
      </c>
      <c r="T236" s="5"/>
      <c r="U236" s="5" t="str">
        <f ca="1">IFERROR(__xludf.DUMMYFUNCTION("""COMPUTED_VALUE"""),"5X3")</f>
        <v>5X3</v>
      </c>
      <c r="V236" s="12" t="str">
        <f ca="1">IFERROR(__xludf.DUMMYFUNCTION("""COMPUTED_VALUE"""),"10")</f>
        <v>10</v>
      </c>
      <c r="W236" s="12" t="str">
        <f ca="1">IFERROR(__xludf.DUMMYFUNCTION("""COMPUTED_VALUE"""),"10")</f>
        <v>10</v>
      </c>
      <c r="X236" s="5">
        <f ca="1">IFERROR(__xludf.DUMMYFUNCTION("""COMPUTED_VALUE"""),96)</f>
        <v>96</v>
      </c>
      <c r="Y236" s="5" t="str">
        <f ca="1">IFERROR(__xludf.DUMMYFUNCTION("""COMPUTED_VALUE"""),"High")</f>
        <v>High</v>
      </c>
      <c r="Z236" s="5">
        <f ca="1">IFERROR(__xludf.DUMMYFUNCTION("""COMPUTED_VALUE"""),9.46)</f>
        <v>9.4600000000000009</v>
      </c>
      <c r="AA236" s="14">
        <f ca="1">IFERROR(__xludf.DUMMYFUNCTION("""COMPUTED_VALUE"""),1000)</f>
        <v>1000</v>
      </c>
      <c r="AB236" s="5"/>
      <c r="AC236" s="5" t="str">
        <f ca="1">IFERROR(__xludf.DUMMYFUNCTION("""COMPUTED_VALUE"""),"Converting Wild")</f>
        <v>Converting Wild</v>
      </c>
      <c r="AD236" s="5" t="str">
        <f ca="1">IFERROR(__xludf.DUMMYFUNCTION("""COMPUTED_VALUE"""),"0.1/100")</f>
        <v>0.1/100</v>
      </c>
      <c r="AE236" s="5"/>
      <c r="AF236" s="5"/>
      <c r="AG236" s="10">
        <f ca="1">IFERROR(__xludf.DUMMYFUNCTION("""COMPUTED_VALUE"""),46197.4586458333)</f>
        <v>46197.4586458333</v>
      </c>
      <c r="AH236" s="5" t="str">
        <f ca="1">IFERROR(__xludf.DUMMYFUNCTION("""COMPUTED_VALUE"""),"selena.mihajlovic@fazi.rs")</f>
        <v>selena.mihajlovic@fazi.rs</v>
      </c>
      <c r="AI236" s="5"/>
      <c r="AJ236" s="5"/>
      <c r="AK236" s="5">
        <f ca="1">IFERROR(__xludf.DUMMYFUNCTION("""COMPUTED_VALUE"""),10)</f>
        <v>10</v>
      </c>
      <c r="AL236" s="5" t="str">
        <f ca="1">IFERROR(__xludf.DUMMYFUNCTION("""COMPUTED_VALUE"""),"No")</f>
        <v>No</v>
      </c>
      <c r="AM236" s="5"/>
      <c r="AN236" s="7" t="str">
        <f ca="1">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AO236" s="5"/>
      <c r="AP236" s="5"/>
      <c r="AQ236" s="5" t="b">
        <f ca="1">IFERROR(__xludf.DUMMYFUNCTION("""COMPUTED_VALUE"""),TRUE)</f>
        <v>1</v>
      </c>
      <c r="AR236" s="5"/>
      <c r="AS236" s="5" t="str">
        <f ca="1">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AT236" s="5"/>
      <c r="AU236" s="5" t="str">
        <f ca="1">IFERROR(__xludf.DUMMYFUNCTION("""COMPUTED_VALUE"""),"Fazi")</f>
        <v>Fazi</v>
      </c>
      <c r="AV236" s="5"/>
      <c r="AW236" s="5"/>
      <c r="AX236" s="5"/>
      <c r="AY236" s="5"/>
      <c r="AZ236" s="5"/>
      <c r="BA236" s="5"/>
      <c r="BB236" s="5" t="b">
        <f ca="1">IFERROR(__xludf.DUMMYFUNCTION("""COMPUTED_VALUE"""),TRUE)</f>
        <v>1</v>
      </c>
      <c r="BC236" s="5" t="str">
        <f ca="1">IFERROR(__xludf.DUMMYFUNCTION("""COMPUTED_VALUE"""),"Tiptop")</f>
        <v>Tiptop</v>
      </c>
      <c r="BD236" s="7" t="str">
        <f ca="1">IFERROR(__xludf.DUMMYFUNCTION("""COMPUTED_VALUE"""),"https://gameserver-store-client-area.orbionlimited.com/Home/IntegrationGameLaunch/client-area?moneyType=0&amp;gameName=UnicornFruitWildLines&amp;platform=desktop&amp;languageCode=eng&amp;currency=EUR")</f>
        <v>https://gameserver-store-client-area.orbionlimited.com/Home/IntegrationGameLaunch/client-area?moneyType=0&amp;gameName=UnicornFruitWildLines&amp;platform=desktop&amp;languageCode=eng&amp;currency=EUR</v>
      </c>
      <c r="BE236" s="5" t="b">
        <f ca="1">IFERROR(__xludf.DUMMYFUNCTION("""COMPUTED_VALUE"""),TRUE)</f>
        <v>1</v>
      </c>
    </row>
    <row r="237" spans="1:57" x14ac:dyDescent="0.25">
      <c r="A237" s="5">
        <f ca="1">IFERROR(__xludf.DUMMYFUNCTION("""COMPUTED_VALUE"""),237)</f>
        <v>237</v>
      </c>
      <c r="B237" s="5">
        <f ca="1">IFERROR(__xludf.DUMMYFUNCTION("""COMPUTED_VALUE"""),236)</f>
        <v>236</v>
      </c>
      <c r="C237" s="5" t="str">
        <f ca="1">IFERROR(__xludf.DUMMYFUNCTION("""COMPUTED_VALUE"""),"Redstone")</f>
        <v>Redstone</v>
      </c>
      <c r="D237" s="5" t="str">
        <f ca="1">IFERROR(__xludf.DUMMYFUNCTION("""COMPUTED_VALUE"""),"40 Fire Cash")</f>
        <v>40 Fire Cash</v>
      </c>
      <c r="E237" s="5" t="str">
        <f ca="1">IFERROR(__xludf.DUMMYFUNCTION("""COMPUTED_VALUE"""),"Redstone")</f>
        <v>Redstone</v>
      </c>
      <c r="F237" s="5" t="str">
        <f ca="1">IFERROR(__xludf.DUMMYFUNCTION("""COMPUTED_VALUE"""),"FireCash40")</f>
        <v>FireCash40</v>
      </c>
      <c r="G237" s="5" t="str">
        <f ca="1">IFERROR(__xludf.DUMMYFUNCTION("""COMPUTED_VALUE"""),"Live")</f>
        <v>Live</v>
      </c>
      <c r="H237" s="5"/>
      <c r="I237" s="5" t="str">
        <f ca="1">IFERROR(__xludf.DUMMYFUNCTION("""COMPUTED_VALUE"""),"Redstone")</f>
        <v>Redstone</v>
      </c>
      <c r="J237" s="5" t="str">
        <f ca="1">IFERROR(__xludf.DUMMYFUNCTION("""COMPUTED_VALUE"""),"JSON")</f>
        <v>JSON</v>
      </c>
      <c r="K237" s="5" t="str">
        <f ca="1">IFERROR(__xludf.DUMMYFUNCTION("""COMPUTED_VALUE"""),"Slot")</f>
        <v>Slot</v>
      </c>
      <c r="L237" s="5" t="str">
        <f ca="1">IFERROR(__xludf.DUMMYFUNCTION("""COMPUTED_VALUE"""),"Master")</f>
        <v>Master</v>
      </c>
      <c r="M237" s="5"/>
      <c r="N237" s="7" t="str">
        <f ca="1">IFERROR(__xludf.DUMMYFUNCTION("""COMPUTED_VALUE"""),"https://docs.google.com/document/d/111SmKqSJn2i3j0x3Z04f2x68NQoWe0BE/edit?usp=drive_link&amp;ouid=107596163405648766688&amp;rtpof=true&amp;sd=true")</f>
        <v>https://docs.google.com/document/d/111SmKqSJn2i3j0x3Z04f2x68NQoWe0BE/edit?usp=drive_link&amp;ouid=107596163405648766688&amp;rtpof=true&amp;sd=true</v>
      </c>
      <c r="O237" s="7" t="str">
        <f ca="1">IFERROR(__xludf.DUMMYFUNCTION("""COMPUTED_VALUE"""),"https://docs.google.com/document/d/1EX4ZT-c4JC-13yZUX_DJVYP7rGc7gfJq/edit?usp=drive_link&amp;ouid=107596163405648766688&amp;rtpof=true&amp;sd=true")</f>
        <v>https://docs.google.com/document/d/1EX4ZT-c4JC-13yZUX_DJVYP7rGc7gfJq/edit?usp=drive_link&amp;ouid=107596163405648766688&amp;rtpof=true&amp;sd=true</v>
      </c>
      <c r="P237" s="14">
        <f ca="1">IFERROR(__xludf.DUMMYFUNCTION("""COMPUTED_VALUE"""),7.3)</f>
        <v>7.3</v>
      </c>
      <c r="Q237" s="5"/>
      <c r="R237" s="5"/>
      <c r="S237" s="15">
        <f ca="1">IFERROR(__xludf.DUMMYFUNCTION("""COMPUTED_VALUE"""),45021)</f>
        <v>45021</v>
      </c>
      <c r="T237" s="5" t="b">
        <f ca="1">IFERROR(__xludf.DUMMYFUNCTION("""COMPUTED_VALUE"""),TRUE)</f>
        <v>1</v>
      </c>
      <c r="U237" s="5" t="str">
        <f ca="1">IFERROR(__xludf.DUMMYFUNCTION("""COMPUTED_VALUE"""),"5x4")</f>
        <v>5x4</v>
      </c>
      <c r="V237" s="12" t="str">
        <f ca="1">IFERROR(__xludf.DUMMYFUNCTION("""COMPUTED_VALUE"""),"40")</f>
        <v>40</v>
      </c>
      <c r="W237" s="12" t="str">
        <f ca="1">IFERROR(__xludf.DUMMYFUNCTION("""COMPUTED_VALUE"""),"40")</f>
        <v>40</v>
      </c>
      <c r="X237" s="5">
        <f ca="1">IFERROR(__xludf.DUMMYFUNCTION("""COMPUTED_VALUE"""),96.23)</f>
        <v>96.23</v>
      </c>
      <c r="Y237" s="5" t="str">
        <f ca="1">IFERROR(__xludf.DUMMYFUNCTION("""COMPUTED_VALUE"""),"Medium")</f>
        <v>Medium</v>
      </c>
      <c r="Z237" s="5">
        <f ca="1">IFERROR(__xludf.DUMMYFUNCTION("""COMPUTED_VALUE"""),16.93)</f>
        <v>16.93</v>
      </c>
      <c r="AA237" s="14">
        <f ca="1">IFERROR(__xludf.DUMMYFUNCTION("""COMPUTED_VALUE"""),1000)</f>
        <v>1000</v>
      </c>
      <c r="AB237" s="5"/>
      <c r="AC237" s="5" t="str">
        <f ca="1">IFERROR(__xludf.DUMMYFUNCTION("""COMPUTED_VALUE"""),"Special Wild, Scatter, Wild Symbol")</f>
        <v>Special Wild, Scatter, Wild Symbol</v>
      </c>
      <c r="AD237" s="5" t="str">
        <f ca="1">IFERROR(__xludf.DUMMYFUNCTION("""COMPUTED_VALUE"""),"0.40/60")</f>
        <v>0.40/60</v>
      </c>
      <c r="AE237" s="5"/>
      <c r="AF237" s="5"/>
      <c r="AG237" s="10">
        <f ca="1">IFERROR(__xludf.DUMMYFUNCTION("""COMPUTED_VALUE"""),46157.4763773148)</f>
        <v>46157.476377314801</v>
      </c>
      <c r="AH237" s="5"/>
      <c r="AI237" s="5"/>
      <c r="AJ237" s="5"/>
      <c r="AK237" s="5">
        <f ca="1">IFERROR(__xludf.DUMMYFUNCTION("""COMPUTED_VALUE"""),1)</f>
        <v>1</v>
      </c>
      <c r="AL237" s="5" t="str">
        <f ca="1">IFERROR(__xludf.DUMMYFUNCTION("""COMPUTED_VALUE"""),"No")</f>
        <v>No</v>
      </c>
      <c r="AM237" s="5" t="str">
        <f ca="1">IFERROR(__xludf.DUMMYFUNCTION("""COMPUTED_VALUE"""),"No")</f>
        <v>No</v>
      </c>
      <c r="AN237" s="7" t="str">
        <f ca="1">IFERROR(__xludf.DUMMYFUNCTION("""COMPUTED_VALUE"""),"https://static.redstone.rs/games/40-fire-cash/")</f>
        <v>https://static.redstone.rs/games/40-fire-cash/</v>
      </c>
      <c r="AO237" s="5" t="str">
        <f ca="1">IFERROR(__xludf.DUMMYFUNCTION("""COMPUTED_VALUE"""),"No")</f>
        <v>No</v>
      </c>
      <c r="AP237" s="5" t="str">
        <f ca="1">IFERROR(__xludf.DUMMYFUNCTION("""COMPUTED_VALUE"""),"No")</f>
        <v>No</v>
      </c>
      <c r="AQ237" s="5" t="b">
        <f ca="1">IFERROR(__xludf.DUMMYFUNCTION("""COMPUTED_VALUE"""),TRUE)</f>
        <v>1</v>
      </c>
      <c r="AR237" s="5"/>
      <c r="AS237" s="5" t="str">
        <f ca="1">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AT237" s="5"/>
      <c r="AU237" s="5" t="str">
        <f ca="1">IFERROR(__xludf.DUMMYFUNCTION("""COMPUTED_VALUE"""),"Redstone")</f>
        <v>Redstone</v>
      </c>
      <c r="AV237" s="5"/>
      <c r="AW237" s="5"/>
      <c r="AX237" s="5"/>
      <c r="AY237" s="5"/>
      <c r="AZ237" s="5"/>
      <c r="BA237" s="5"/>
      <c r="BB237" s="5" t="b">
        <f ca="1">IFERROR(__xludf.DUMMYFUNCTION("""COMPUTED_VALUE"""),TRUE)</f>
        <v>1</v>
      </c>
      <c r="BC237" s="5" t="str">
        <f ca="1">IFERROR(__xludf.DUMMYFUNCTION("""COMPUTED_VALUE"""),"Redstone")</f>
        <v>Redstone</v>
      </c>
      <c r="BD237" s="7" t="str">
        <f ca="1">IFERROR(__xludf.DUMMYFUNCTION("""COMPUTED_VALUE"""),"https://static.redstone.rs/games/40-fire-cash/")</f>
        <v>https://static.redstone.rs/games/40-fire-cash/</v>
      </c>
      <c r="BE237" s="5" t="b">
        <f ca="1">IFERROR(__xludf.DUMMYFUNCTION("""COMPUTED_VALUE"""),TRUE)</f>
        <v>1</v>
      </c>
    </row>
    <row r="238" spans="1:57" x14ac:dyDescent="0.25">
      <c r="A238" s="5">
        <f ca="1">IFERROR(__xludf.DUMMYFUNCTION("""COMPUTED_VALUE"""),238)</f>
        <v>238</v>
      </c>
      <c r="B238" s="5">
        <f ca="1">IFERROR(__xludf.DUMMYFUNCTION("""COMPUTED_VALUE"""),237)</f>
        <v>237</v>
      </c>
      <c r="C238" s="5" t="str">
        <f ca="1">IFERROR(__xludf.DUMMYFUNCTION("""COMPUTED_VALUE"""),"Fazi")</f>
        <v>Fazi</v>
      </c>
      <c r="D238" s="5" t="str">
        <f ca="1">IFERROR(__xludf.DUMMYFUNCTION("""COMPUTED_VALUE"""),"Wild Hot 40 Free Spins")</f>
        <v>Wild Hot 40 Free Spins</v>
      </c>
      <c r="E238" s="5" t="str">
        <f ca="1">IFERROR(__xludf.DUMMYFUNCTION("""COMPUTED_VALUE"""),"V2")</f>
        <v>V2</v>
      </c>
      <c r="F238" s="5" t="str">
        <f ca="1">IFERROR(__xludf.DUMMYFUNCTION("""COMPUTED_VALUE"""),"WildHot40FreeSpins")</f>
        <v>WildHot40FreeSpins</v>
      </c>
      <c r="G238" s="5" t="str">
        <f ca="1">IFERROR(__xludf.DUMMYFUNCTION("""COMPUTED_VALUE"""),"Live")</f>
        <v>Live</v>
      </c>
      <c r="H238" s="5"/>
      <c r="I238" s="5" t="str">
        <f ca="1">IFERROR(__xludf.DUMMYFUNCTION("""COMPUTED_VALUE"""),"V2")</f>
        <v>V2</v>
      </c>
      <c r="J238" s="5" t="str">
        <f ca="1">IFERROR(__xludf.DUMMYFUNCTION("""COMPUTED_VALUE"""),"JSON")</f>
        <v>JSON</v>
      </c>
      <c r="K238" s="5" t="str">
        <f ca="1">IFERROR(__xludf.DUMMYFUNCTION("""COMPUTED_VALUE"""),"Slot")</f>
        <v>Slot</v>
      </c>
      <c r="L238" s="5" t="str">
        <f ca="1">IFERROR(__xludf.DUMMYFUNCTION("""COMPUTED_VALUE"""),"Clone")</f>
        <v>Clone</v>
      </c>
      <c r="M238" s="5" t="str">
        <f ca="1">IFERROR(__xludf.DUMMYFUNCTION("""COMPUTED_VALUE"""),"Crystal Hot 40 Free")</f>
        <v>Crystal Hot 40 Free</v>
      </c>
      <c r="N238" s="5"/>
      <c r="O238" s="5"/>
      <c r="P238" s="14">
        <f ca="1">IFERROR(__xludf.DUMMYFUNCTION("""COMPUTED_VALUE"""),32.9)</f>
        <v>32.9</v>
      </c>
      <c r="Q238" s="5"/>
      <c r="R238" s="5"/>
      <c r="S238" s="15">
        <f ca="1">IFERROR(__xludf.DUMMYFUNCTION("""COMPUTED_VALUE"""),45043)</f>
        <v>45043</v>
      </c>
      <c r="T238" s="5" t="b">
        <f ca="1">IFERROR(__xludf.DUMMYFUNCTION("""COMPUTED_VALUE"""),TRUE)</f>
        <v>1</v>
      </c>
      <c r="U238" s="5" t="str">
        <f ca="1">IFERROR(__xludf.DUMMYFUNCTION("""COMPUTED_VALUE"""),"5x4")</f>
        <v>5x4</v>
      </c>
      <c r="V238" s="12" t="str">
        <f ca="1">IFERROR(__xludf.DUMMYFUNCTION("""COMPUTED_VALUE"""),"40")</f>
        <v>40</v>
      </c>
      <c r="W238" s="12" t="str">
        <f ca="1">IFERROR(__xludf.DUMMYFUNCTION("""COMPUTED_VALUE"""),"40")</f>
        <v>40</v>
      </c>
      <c r="X238" s="5">
        <f ca="1">IFERROR(__xludf.DUMMYFUNCTION("""COMPUTED_VALUE"""),96.024)</f>
        <v>96.024000000000001</v>
      </c>
      <c r="Y238" s="5" t="str">
        <f ca="1">IFERROR(__xludf.DUMMYFUNCTION("""COMPUTED_VALUE"""),"Low")</f>
        <v>Low</v>
      </c>
      <c r="Z238" s="5">
        <f ca="1">IFERROR(__xludf.DUMMYFUNCTION("""COMPUTED_VALUE"""),17.23)</f>
        <v>17.23</v>
      </c>
      <c r="AA238" s="14">
        <f ca="1">IFERROR(__xludf.DUMMYFUNCTION("""COMPUTED_VALUE"""),1046)</f>
        <v>1046</v>
      </c>
      <c r="AB238" s="5">
        <f ca="1">IFERROR(__xludf.DUMMYFUNCTION("""COMPUTED_VALUE"""),152)</f>
        <v>152</v>
      </c>
      <c r="AC238" s="5" t="str">
        <f ca="1">IFERROR(__xludf.DUMMYFUNCTION("""COMPUTED_VALUE"""),"Buy Bonus, Wild Symbol, Bonus Game with Free Spins")</f>
        <v>Buy Bonus, Wild Symbol, Bonus Game with Free Spins</v>
      </c>
      <c r="AD238" s="5" t="str">
        <f ca="1">IFERROR(__xludf.DUMMYFUNCTION("""COMPUTED_VALUE"""),"0.4/60")</f>
        <v>0.4/60</v>
      </c>
      <c r="AE238" s="5"/>
      <c r="AF238" s="5"/>
      <c r="AG238" s="10">
        <f ca="1">IFERROR(__xludf.DUMMYFUNCTION("""COMPUTED_VALUE"""),46140.6484259259)</f>
        <v>46140.648425925901</v>
      </c>
      <c r="AH238" s="5" t="str">
        <f ca="1">IFERROR(__xludf.DUMMYFUNCTION("""COMPUTED_VALUE"""),"djordje.petrovic@fazi.rs")</f>
        <v>djordje.petrovic@fazi.rs</v>
      </c>
      <c r="AI238" s="5"/>
      <c r="AJ238" s="5"/>
      <c r="AK238" s="5">
        <f ca="1">IFERROR(__xludf.DUMMYFUNCTION("""COMPUTED_VALUE"""),40)</f>
        <v>40</v>
      </c>
      <c r="AL238" s="5" t="str">
        <f ca="1">IFERROR(__xludf.DUMMYFUNCTION("""COMPUTED_VALUE"""),"Yes")</f>
        <v>Yes</v>
      </c>
      <c r="AM238" s="5"/>
      <c r="AN238" s="7" t="str">
        <f ca="1">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AO238" s="5" t="str">
        <f ca="1">IFERROR(__xludf.DUMMYFUNCTION("""COMPUTED_VALUE"""),"Yes")</f>
        <v>Yes</v>
      </c>
      <c r="AP238" s="5" t="str">
        <f ca="1">IFERROR(__xludf.DUMMYFUNCTION("""COMPUTED_VALUE"""),"Yes")</f>
        <v>Yes</v>
      </c>
      <c r="AQ238" s="5" t="b">
        <f ca="1">IFERROR(__xludf.DUMMYFUNCTION("""COMPUTED_VALUE"""),TRUE)</f>
        <v>1</v>
      </c>
      <c r="AR238" s="5"/>
      <c r="AS238" s="5" t="str">
        <f ca="1">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AT238" s="5" t="str">
        <f ca="1">IFERROR(__xludf.DUMMYFUNCTION("""COMPUTED_VALUE"""),"Yes")</f>
        <v>Yes</v>
      </c>
      <c r="AU238" s="5" t="str">
        <f ca="1">IFERROR(__xludf.DUMMYFUNCTION("""COMPUTED_VALUE"""),"Fazi")</f>
        <v>Fazi</v>
      </c>
      <c r="AV238" s="5"/>
      <c r="AW238" s="5"/>
      <c r="AX238" s="5"/>
      <c r="AY238" s="5" t="str">
        <f ca="1">IFERROR(__xludf.DUMMYFUNCTION("""COMPUTED_VALUE"""),"87.5%, 89.5%, 91.5%, 93.5%, 94.5%, 95.5%, 96.5%")</f>
        <v>87.5%, 89.5%, 91.5%, 93.5%, 94.5%, 95.5%, 96.5%</v>
      </c>
      <c r="AZ238" s="5"/>
      <c r="BA238" s="5" t="str">
        <f ca="1">IFERROR(__xludf.DUMMYFUNCTION("""COMPUTED_VALUE"""),"30, 42, 63")</f>
        <v>30, 42, 63</v>
      </c>
      <c r="BB238" s="5" t="b">
        <f ca="1">IFERROR(__xludf.DUMMYFUNCTION("""COMPUTED_VALUE"""),TRUE)</f>
        <v>1</v>
      </c>
      <c r="BC238" s="5" t="str">
        <f ca="1">IFERROR(__xludf.DUMMYFUNCTION("""COMPUTED_VALUE"""),"Foxi")</f>
        <v>Foxi</v>
      </c>
      <c r="BD238" s="7" t="str">
        <f ca="1">IFERROR(__xludf.DUMMYFUNCTION("""COMPUTED_VALUE"""),"https://gameserver-store-client-area.orbionlimited.com/Home/IntegrationGameLaunch/client-area?moneyType=0&amp;gameName=WildHot40FreeSpins&amp;platform=desktop&amp;languageCode=eng&amp;currency=EUR")</f>
        <v>https://gameserver-store-client-area.orbionlimited.com/Home/IntegrationGameLaunch/client-area?moneyType=0&amp;gameName=WildHot40FreeSpins&amp;platform=desktop&amp;languageCode=eng&amp;currency=EUR</v>
      </c>
      <c r="BE238" s="5" t="b">
        <f ca="1">IFERROR(__xludf.DUMMYFUNCTION("""COMPUTED_VALUE"""),TRUE)</f>
        <v>1</v>
      </c>
    </row>
    <row r="239" spans="1:57" x14ac:dyDescent="0.25">
      <c r="A239" s="5">
        <f ca="1">IFERROR(__xludf.DUMMYFUNCTION("""COMPUTED_VALUE"""),239)</f>
        <v>239</v>
      </c>
      <c r="B239" s="5">
        <f ca="1">IFERROR(__xludf.DUMMYFUNCTION("""COMPUTED_VALUE"""),238)</f>
        <v>238</v>
      </c>
      <c r="C239" s="5" t="str">
        <f ca="1">IFERROR(__xludf.DUMMYFUNCTION("""COMPUTED_VALUE"""),"Tiptop")</f>
        <v>Tiptop</v>
      </c>
      <c r="D239" s="5" t="str">
        <f ca="1">IFERROR(__xludf.DUMMYFUNCTION("""COMPUTED_VALUE"""),"Money Standard Dice")</f>
        <v>Money Standard Dice</v>
      </c>
      <c r="E239" s="5"/>
      <c r="F239" s="5" t="str">
        <f ca="1">IFERROR(__xludf.DUMMYFUNCTION("""COMPUTED_VALUE"""),"UnicornMoneyStandardDice")</f>
        <v>UnicornMoneyStandardDice</v>
      </c>
      <c r="G239" s="5" t="str">
        <f ca="1">IFERROR(__xludf.DUMMYFUNCTION("""COMPUTED_VALUE"""),"Live")</f>
        <v>Live</v>
      </c>
      <c r="H239" s="5"/>
      <c r="I239" s="5" t="str">
        <f ca="1">IFERROR(__xludf.DUMMYFUNCTION("""COMPUTED_VALUE"""),"TipTop")</f>
        <v>TipTop</v>
      </c>
      <c r="J239" s="5" t="str">
        <f ca="1">IFERROR(__xludf.DUMMYFUNCTION("""COMPUTED_VALUE"""),"JSON")</f>
        <v>JSON</v>
      </c>
      <c r="K239" s="5" t="str">
        <f ca="1">IFERROR(__xludf.DUMMYFUNCTION("""COMPUTED_VALUE"""),"Dice Slots")</f>
        <v>Dice Slots</v>
      </c>
      <c r="L239" s="5"/>
      <c r="M239" s="5"/>
      <c r="N239" s="5"/>
      <c r="O239" s="5"/>
      <c r="P239" s="14">
        <f ca="1">IFERROR(__xludf.DUMMYFUNCTION("""COMPUTED_VALUE"""),14.8)</f>
        <v>14.8</v>
      </c>
      <c r="Q239" s="5"/>
      <c r="R239" s="5"/>
      <c r="S239" s="15">
        <f ca="1">IFERROR(__xludf.DUMMYFUNCTION("""COMPUTED_VALUE"""),45041)</f>
        <v>45041</v>
      </c>
      <c r="T239" s="5" t="b">
        <f ca="1">IFERROR(__xludf.DUMMYFUNCTION("""COMPUTED_VALUE"""),TRUE)</f>
        <v>1</v>
      </c>
      <c r="U239" s="5" t="str">
        <f ca="1">IFERROR(__xludf.DUMMYFUNCTION("""COMPUTED_VALUE"""),"5X4")</f>
        <v>5X4</v>
      </c>
      <c r="V239" s="12" t="str">
        <f ca="1">IFERROR(__xludf.DUMMYFUNCTION("""COMPUTED_VALUE"""),"20")</f>
        <v>20</v>
      </c>
      <c r="W239" s="12" t="str">
        <f ca="1">IFERROR(__xludf.DUMMYFUNCTION("""COMPUTED_VALUE"""),"20")</f>
        <v>20</v>
      </c>
      <c r="X239" s="5">
        <f ca="1">IFERROR(__xludf.DUMMYFUNCTION("""COMPUTED_VALUE"""),96)</f>
        <v>96</v>
      </c>
      <c r="Y239" s="5" t="str">
        <f ca="1">IFERROR(__xludf.DUMMYFUNCTION("""COMPUTED_VALUE"""),"Low")</f>
        <v>Low</v>
      </c>
      <c r="Z239" s="5">
        <f ca="1">IFERROR(__xludf.DUMMYFUNCTION("""COMPUTED_VALUE"""),11.7)</f>
        <v>11.7</v>
      </c>
      <c r="AA239" s="14">
        <f ca="1">IFERROR(__xludf.DUMMYFUNCTION("""COMPUTED_VALUE"""),5000)</f>
        <v>5000</v>
      </c>
      <c r="AB239" s="5"/>
      <c r="AC239" s="5"/>
      <c r="AD239" s="5" t="str">
        <f ca="1">IFERROR(__xludf.DUMMYFUNCTION("""COMPUTED_VALUE"""),"0.2/100")</f>
        <v>0.2/100</v>
      </c>
      <c r="AE239" s="5"/>
      <c r="AF239" s="5"/>
      <c r="AG239" s="10">
        <f ca="1">IFERROR(__xludf.DUMMYFUNCTION("""COMPUTED_VALUE"""),46197.4589814814)</f>
        <v>46197.458981481403</v>
      </c>
      <c r="AH239" s="5" t="str">
        <f ca="1">IFERROR(__xludf.DUMMYFUNCTION("""COMPUTED_VALUE"""),"selena.mihajlovic@fazi.rs")</f>
        <v>selena.mihajlovic@fazi.rs</v>
      </c>
      <c r="AI239" s="5"/>
      <c r="AJ239" s="5"/>
      <c r="AK239" s="5">
        <f ca="1">IFERROR(__xludf.DUMMYFUNCTION("""COMPUTED_VALUE"""),20)</f>
        <v>20</v>
      </c>
      <c r="AL239" s="5" t="str">
        <f ca="1">IFERROR(__xludf.DUMMYFUNCTION("""COMPUTED_VALUE"""),"No")</f>
        <v>No</v>
      </c>
      <c r="AM239" s="5"/>
      <c r="AN239" s="7" t="str">
        <f ca="1">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AO239" s="5"/>
      <c r="AP239" s="5"/>
      <c r="AQ239" s="5" t="b">
        <f ca="1">IFERROR(__xludf.DUMMYFUNCTION("""COMPUTED_VALUE"""),TRUE)</f>
        <v>1</v>
      </c>
      <c r="AR239" s="5"/>
      <c r="AS239" s="5" t="str">
        <f ca="1">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AT239" s="5"/>
      <c r="AU239" s="5" t="str">
        <f ca="1">IFERROR(__xludf.DUMMYFUNCTION("""COMPUTED_VALUE"""),"Fazi")</f>
        <v>Fazi</v>
      </c>
      <c r="AV239" s="5"/>
      <c r="AW239" s="5"/>
      <c r="AX239" s="5"/>
      <c r="AY239" s="5"/>
      <c r="AZ239" s="5"/>
      <c r="BA239" s="5"/>
      <c r="BB239" s="5" t="b">
        <f ca="1">IFERROR(__xludf.DUMMYFUNCTION("""COMPUTED_VALUE"""),TRUE)</f>
        <v>1</v>
      </c>
      <c r="BC239" s="5" t="str">
        <f ca="1">IFERROR(__xludf.DUMMYFUNCTION("""COMPUTED_VALUE"""),"Tiptop")</f>
        <v>Tiptop</v>
      </c>
      <c r="BD239" s="7" t="str">
        <f ca="1">IFERROR(__xludf.DUMMYFUNCTION("""COMPUTED_VALUE"""),"https://gameserver-store-client-area.orbionlimited.com/Home/IntegrationGameLaunch/client-area?moneyType=0&amp;gameName=UnicornMoneyStandardDice&amp;platform=desktop&amp;languageCode=eng&amp;currency=EUR")</f>
        <v>https://gameserver-store-client-area.orbionlimited.com/Home/IntegrationGameLaunch/client-area?moneyType=0&amp;gameName=UnicornMoneyStandardDice&amp;platform=desktop&amp;languageCode=eng&amp;currency=EUR</v>
      </c>
      <c r="BE239" s="5" t="b">
        <f ca="1">IFERROR(__xludf.DUMMYFUNCTION("""COMPUTED_VALUE"""),TRUE)</f>
        <v>1</v>
      </c>
    </row>
    <row r="240" spans="1:57" x14ac:dyDescent="0.25">
      <c r="A240" s="5">
        <f ca="1">IFERROR(__xludf.DUMMYFUNCTION("""COMPUTED_VALUE"""),240)</f>
        <v>240</v>
      </c>
      <c r="B240" s="5">
        <f ca="1">IFERROR(__xludf.DUMMYFUNCTION("""COMPUTED_VALUE"""),239)</f>
        <v>239</v>
      </c>
      <c r="C240" s="5" t="str">
        <f ca="1">IFERROR(__xludf.DUMMYFUNCTION("""COMPUTED_VALUE"""),"Tiptop")</f>
        <v>Tiptop</v>
      </c>
      <c r="D240" s="5" t="str">
        <f ca="1">IFERROR(__xludf.DUMMYFUNCTION("""COMPUTED_VALUE"""),"Double Wild Dice")</f>
        <v>Double Wild Dice</v>
      </c>
      <c r="E240" s="5"/>
      <c r="F240" s="5" t="str">
        <f ca="1">IFERROR(__xludf.DUMMYFUNCTION("""COMPUTED_VALUE"""),"UnicornDoubleWildDice")</f>
        <v>UnicornDoubleWildDice</v>
      </c>
      <c r="G240" s="5" t="str">
        <f ca="1">IFERROR(__xludf.DUMMYFUNCTION("""COMPUTED_VALUE"""),"Live")</f>
        <v>Live</v>
      </c>
      <c r="H240" s="5"/>
      <c r="I240" s="5" t="str">
        <f ca="1">IFERROR(__xludf.DUMMYFUNCTION("""COMPUTED_VALUE"""),"TipTop")</f>
        <v>TipTop</v>
      </c>
      <c r="J240" s="5" t="str">
        <f ca="1">IFERROR(__xludf.DUMMYFUNCTION("""COMPUTED_VALUE"""),"JSON")</f>
        <v>JSON</v>
      </c>
      <c r="K240" s="5" t="str">
        <f ca="1">IFERROR(__xludf.DUMMYFUNCTION("""COMPUTED_VALUE"""),"Dice Slots")</f>
        <v>Dice Slots</v>
      </c>
      <c r="L240" s="5"/>
      <c r="M240" s="5"/>
      <c r="N240" s="5"/>
      <c r="O240" s="5"/>
      <c r="P240" s="14">
        <f ca="1">IFERROR(__xludf.DUMMYFUNCTION("""COMPUTED_VALUE"""),10.3)</f>
        <v>10.3</v>
      </c>
      <c r="Q240" s="5"/>
      <c r="R240" s="5"/>
      <c r="S240" s="15">
        <f ca="1">IFERROR(__xludf.DUMMYFUNCTION("""COMPUTED_VALUE"""),45085)</f>
        <v>45085</v>
      </c>
      <c r="T240" s="5" t="b">
        <f ca="1">IFERROR(__xludf.DUMMYFUNCTION("""COMPUTED_VALUE"""),TRUE)</f>
        <v>1</v>
      </c>
      <c r="U240" s="5" t="str">
        <f ca="1">IFERROR(__xludf.DUMMYFUNCTION("""COMPUTED_VALUE"""),"5X3")</f>
        <v>5X3</v>
      </c>
      <c r="V240" s="12" t="str">
        <f ca="1">IFERROR(__xludf.DUMMYFUNCTION("""COMPUTED_VALUE"""),"20")</f>
        <v>20</v>
      </c>
      <c r="W240" s="12" t="str">
        <f ca="1">IFERROR(__xludf.DUMMYFUNCTION("""COMPUTED_VALUE"""),"20")</f>
        <v>20</v>
      </c>
      <c r="X240" s="5">
        <f ca="1">IFERROR(__xludf.DUMMYFUNCTION("""COMPUTED_VALUE"""),96)</f>
        <v>96</v>
      </c>
      <c r="Y240" s="5" t="str">
        <f ca="1">IFERROR(__xludf.DUMMYFUNCTION("""COMPUTED_VALUE"""),"Low")</f>
        <v>Low</v>
      </c>
      <c r="Z240" s="5">
        <f ca="1">IFERROR(__xludf.DUMMYFUNCTION("""COMPUTED_VALUE"""),14.62)</f>
        <v>14.62</v>
      </c>
      <c r="AA240" s="14">
        <f ca="1">IFERROR(__xludf.DUMMYFUNCTION("""COMPUTED_VALUE"""),800)</f>
        <v>800</v>
      </c>
      <c r="AB240" s="5"/>
      <c r="AC240" s="5" t="str">
        <f ca="1">IFERROR(__xludf.DUMMYFUNCTION("""COMPUTED_VALUE"""),"Wild Symbol, Scatter")</f>
        <v>Wild Symbol, Scatter</v>
      </c>
      <c r="AD240" s="5" t="str">
        <f ca="1">IFERROR(__xludf.DUMMYFUNCTION("""COMPUTED_VALUE"""),"0.2/100")</f>
        <v>0.2/100</v>
      </c>
      <c r="AE240" s="5"/>
      <c r="AF240" s="5"/>
      <c r="AG240" s="10">
        <f ca="1">IFERROR(__xludf.DUMMYFUNCTION("""COMPUTED_VALUE"""),46197.4595254629)</f>
        <v>46197.459525462902</v>
      </c>
      <c r="AH240" s="5" t="str">
        <f ca="1">IFERROR(__xludf.DUMMYFUNCTION("""COMPUTED_VALUE"""),"selena.mihajlovic@fazi.rs")</f>
        <v>selena.mihajlovic@fazi.rs</v>
      </c>
      <c r="AI240" s="5"/>
      <c r="AJ240" s="5"/>
      <c r="AK240" s="5">
        <f ca="1">IFERROR(__xludf.DUMMYFUNCTION("""COMPUTED_VALUE"""),20)</f>
        <v>20</v>
      </c>
      <c r="AL240" s="5" t="str">
        <f ca="1">IFERROR(__xludf.DUMMYFUNCTION("""COMPUTED_VALUE"""),"No")</f>
        <v>No</v>
      </c>
      <c r="AM240" s="5"/>
      <c r="AN240" s="7" t="str">
        <f ca="1">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AO240" s="5"/>
      <c r="AP240" s="5"/>
      <c r="AQ240" s="5" t="b">
        <f ca="1">IFERROR(__xludf.DUMMYFUNCTION("""COMPUTED_VALUE"""),TRUE)</f>
        <v>1</v>
      </c>
      <c r="AR240" s="5"/>
      <c r="AS240" s="5" t="str">
        <f ca="1">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AT240" s="5"/>
      <c r="AU240" s="5" t="str">
        <f ca="1">IFERROR(__xludf.DUMMYFUNCTION("""COMPUTED_VALUE"""),"Fazi")</f>
        <v>Fazi</v>
      </c>
      <c r="AV240" s="5"/>
      <c r="AW240" s="5"/>
      <c r="AX240" s="5"/>
      <c r="AY240" s="5"/>
      <c r="AZ240" s="5"/>
      <c r="BA240" s="5"/>
      <c r="BB240" s="5" t="b">
        <f ca="1">IFERROR(__xludf.DUMMYFUNCTION("""COMPUTED_VALUE"""),TRUE)</f>
        <v>1</v>
      </c>
      <c r="BC240" s="5" t="str">
        <f ca="1">IFERROR(__xludf.DUMMYFUNCTION("""COMPUTED_VALUE"""),"Tiptop")</f>
        <v>Tiptop</v>
      </c>
      <c r="BD240" s="7" t="str">
        <f ca="1">IFERROR(__xludf.DUMMYFUNCTION("""COMPUTED_VALUE"""),"https://gameserver-store-client-area.orbionlimited.com/Home/IntegrationGameLaunch/client-area?moneyType=0&amp;gameName=UnicornDoubleWildDice&amp;platform=desktop&amp;languageCode=eng&amp;currency=EUR")</f>
        <v>https://gameserver-store-client-area.orbionlimited.com/Home/IntegrationGameLaunch/client-area?moneyType=0&amp;gameName=UnicornDoubleWildDice&amp;platform=desktop&amp;languageCode=eng&amp;currency=EUR</v>
      </c>
      <c r="BE240" s="5" t="b">
        <f ca="1">IFERROR(__xludf.DUMMYFUNCTION("""COMPUTED_VALUE"""),TRUE)</f>
        <v>1</v>
      </c>
    </row>
    <row r="241" spans="1:57" x14ac:dyDescent="0.25">
      <c r="A241" s="5">
        <f ca="1">IFERROR(__xludf.DUMMYFUNCTION("""COMPUTED_VALUE"""),241)</f>
        <v>241</v>
      </c>
      <c r="B241" s="5">
        <f ca="1">IFERROR(__xludf.DUMMYFUNCTION("""COMPUTED_VALUE"""),240)</f>
        <v>240</v>
      </c>
      <c r="C241" s="5" t="str">
        <f ca="1">IFERROR(__xludf.DUMMYFUNCTION("""COMPUTED_VALUE"""),"Fazi")</f>
        <v>Fazi</v>
      </c>
      <c r="D241" s="5" t="str">
        <f ca="1">IFERROR(__xludf.DUMMYFUNCTION("""COMPUTED_VALUE"""),"Pirates Fazi")</f>
        <v>Pirates Fazi</v>
      </c>
      <c r="E241" s="5" t="str">
        <f ca="1">IFERROR(__xludf.DUMMYFUNCTION("""COMPUTED_VALUE"""),"V4-1")</f>
        <v>V4-1</v>
      </c>
      <c r="F241" s="5" t="str">
        <f ca="1">IFERROR(__xludf.DUMMYFUNCTION("""COMPUTED_VALUE"""),"PiratesFazi")</f>
        <v>PiratesFazi</v>
      </c>
      <c r="G241" s="5" t="str">
        <f ca="1">IFERROR(__xludf.DUMMYFUNCTION("""COMPUTED_VALUE"""),"Live")</f>
        <v>Live</v>
      </c>
      <c r="H241" s="5"/>
      <c r="I241" s="5" t="str">
        <f ca="1">IFERROR(__xludf.DUMMYFUNCTION("""COMPUTED_VALUE"""),"V4")</f>
        <v>V4</v>
      </c>
      <c r="J241" s="5" t="str">
        <f ca="1">IFERROR(__xludf.DUMMYFUNCTION("""COMPUTED_VALUE"""),"JSON")</f>
        <v>JSON</v>
      </c>
      <c r="K241" s="5" t="str">
        <f ca="1">IFERROR(__xludf.DUMMYFUNCTION("""COMPUTED_VALUE"""),"Slot")</f>
        <v>Slot</v>
      </c>
      <c r="L241" s="5" t="str">
        <f ca="1">IFERROR(__xludf.DUMMYFUNCTION("""COMPUTED_VALUE"""),"Clone")</f>
        <v>Clone</v>
      </c>
      <c r="M241" s="5" t="str">
        <f ca="1">IFERROR(__xludf.DUMMYFUNCTION("""COMPUTED_VALUE"""),"Pyramid")</f>
        <v>Pyramid</v>
      </c>
      <c r="N241" s="5"/>
      <c r="O241" s="5"/>
      <c r="P241" s="14">
        <f ca="1">IFERROR(__xludf.DUMMYFUNCTION("""COMPUTED_VALUE"""),9)</f>
        <v>9</v>
      </c>
      <c r="Q241" s="5"/>
      <c r="R241" s="5"/>
      <c r="S241" s="15">
        <f ca="1">IFERROR(__xludf.DUMMYFUNCTION("""COMPUTED_VALUE"""),45092)</f>
        <v>45092</v>
      </c>
      <c r="T241" s="5" t="b">
        <f ca="1">IFERROR(__xludf.DUMMYFUNCTION("""COMPUTED_VALUE"""),TRUE)</f>
        <v>1</v>
      </c>
      <c r="U241" s="5" t="str">
        <f ca="1">IFERROR(__xludf.DUMMYFUNCTION("""COMPUTED_VALUE"""),"5x4")</f>
        <v>5x4</v>
      </c>
      <c r="V241" s="12" t="str">
        <f ca="1">IFERROR(__xludf.DUMMYFUNCTION("""COMPUTED_VALUE"""),"40")</f>
        <v>40</v>
      </c>
      <c r="W241" s="12" t="str">
        <f ca="1">IFERROR(__xludf.DUMMYFUNCTION("""COMPUTED_VALUE"""),"40")</f>
        <v>40</v>
      </c>
      <c r="X241" s="5">
        <f ca="1">IFERROR(__xludf.DUMMYFUNCTION("""COMPUTED_VALUE"""),96.477)</f>
        <v>96.477000000000004</v>
      </c>
      <c r="Y241" s="5" t="str">
        <f ca="1">IFERROR(__xludf.DUMMYFUNCTION("""COMPUTED_VALUE"""),"Medium")</f>
        <v>Medium</v>
      </c>
      <c r="Z241" s="5">
        <f ca="1">IFERROR(__xludf.DUMMYFUNCTION("""COMPUTED_VALUE"""),21.11)</f>
        <v>21.11</v>
      </c>
      <c r="AA241" s="14">
        <f ca="1">IFERROR(__xludf.DUMMYFUNCTION("""COMPUTED_VALUE"""),750)</f>
        <v>750</v>
      </c>
      <c r="AB241" s="5">
        <f ca="1">IFERROR(__xludf.DUMMYFUNCTION("""COMPUTED_VALUE"""),28)</f>
        <v>28</v>
      </c>
      <c r="AC241" s="5" t="str">
        <f ca="1">IFERROR(__xludf.DUMMYFUNCTION("""COMPUTED_VALUE"""),"Exploding Wild")</f>
        <v>Exploding Wild</v>
      </c>
      <c r="AD241" s="5" t="str">
        <f ca="1">IFERROR(__xludf.DUMMYFUNCTION("""COMPUTED_VALUE"""),"0.4/40")</f>
        <v>0.4/40</v>
      </c>
      <c r="AE241" s="5"/>
      <c r="AF241" s="5"/>
      <c r="AG241" s="10">
        <f ca="1">IFERROR(__xludf.DUMMYFUNCTION("""COMPUTED_VALUE"""),46197.5361111111)</f>
        <v>46197.536111111098</v>
      </c>
      <c r="AH241" s="5" t="str">
        <f ca="1">IFERROR(__xludf.DUMMYFUNCTION("""COMPUTED_VALUE"""),"selena.mihajlovic@fazi.rs")</f>
        <v>selena.mihajlovic@fazi.rs</v>
      </c>
      <c r="AI241" s="5"/>
      <c r="AJ241" s="5"/>
      <c r="AK241" s="5">
        <f ca="1">IFERROR(__xludf.DUMMYFUNCTION("""COMPUTED_VALUE"""),40)</f>
        <v>40</v>
      </c>
      <c r="AL241" s="5" t="str">
        <f ca="1">IFERROR(__xludf.DUMMYFUNCTION("""COMPUTED_VALUE"""),"Yes")</f>
        <v>Yes</v>
      </c>
      <c r="AM241" s="5"/>
      <c r="AN241" s="7" t="str">
        <f ca="1">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241" s="5" t="str">
        <f ca="1">IFERROR(__xludf.DUMMYFUNCTION("""COMPUTED_VALUE"""),"Yes")</f>
        <v>Yes</v>
      </c>
      <c r="AP241" s="5" t="str">
        <f ca="1">IFERROR(__xludf.DUMMYFUNCTION("""COMPUTED_VALUE"""),"Yes")</f>
        <v>Yes</v>
      </c>
      <c r="AQ241" s="5" t="b">
        <f ca="1">IFERROR(__xludf.DUMMYFUNCTION("""COMPUTED_VALUE"""),TRUE)</f>
        <v>1</v>
      </c>
      <c r="AR241" s="5"/>
      <c r="AS241" s="5" t="str">
        <f ca="1">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AT241" s="5" t="str">
        <f ca="1">IFERROR(__xludf.DUMMYFUNCTION("""COMPUTED_VALUE"""),"No")</f>
        <v>No</v>
      </c>
      <c r="AU241" s="5" t="str">
        <f ca="1">IFERROR(__xludf.DUMMYFUNCTION("""COMPUTED_VALUE"""),"Fazi")</f>
        <v>Fazi</v>
      </c>
      <c r="AV241" s="5"/>
      <c r="AW241" s="5"/>
      <c r="AX241" s="5"/>
      <c r="AY241" s="5"/>
      <c r="AZ241" s="5"/>
      <c r="BA241" s="5"/>
      <c r="BB241" s="5" t="b">
        <f ca="1">IFERROR(__xludf.DUMMYFUNCTION("""COMPUTED_VALUE"""),TRUE)</f>
        <v>1</v>
      </c>
      <c r="BC241" s="5" t="str">
        <f ca="1">IFERROR(__xludf.DUMMYFUNCTION("""COMPUTED_VALUE"""),"Foxi")</f>
        <v>Foxi</v>
      </c>
      <c r="BD241" s="7" t="str">
        <f ca="1">IFERROR(__xludf.DUMMYFUNCTION("""COMPUTED_VALUE"""),"https://gameserver-store-client-area.orbionlimited.com/Home/IntegrationGameLaunch/client-area?moneyType=0&amp;gameName=PiratesFazi&amp;platform=desktop&amp;languageCode=eng&amp;currency=EUR")</f>
        <v>https://gameserver-store-client-area.orbionlimited.com/Home/IntegrationGameLaunch/client-area?moneyType=0&amp;gameName=PiratesFazi&amp;platform=desktop&amp;languageCode=eng&amp;currency=EUR</v>
      </c>
      <c r="BE241" s="5" t="b">
        <f ca="1">IFERROR(__xludf.DUMMYFUNCTION("""COMPUTED_VALUE"""),FALSE)</f>
        <v>0</v>
      </c>
    </row>
    <row r="242" spans="1:57" x14ac:dyDescent="0.25">
      <c r="A242" s="5">
        <f ca="1">IFERROR(__xludf.DUMMYFUNCTION("""COMPUTED_VALUE"""),242)</f>
        <v>242</v>
      </c>
      <c r="B242" s="5">
        <f ca="1">IFERROR(__xludf.DUMMYFUNCTION("""COMPUTED_VALUE"""),241)</f>
        <v>241</v>
      </c>
      <c r="C242" s="5" t="str">
        <f ca="1">IFERROR(__xludf.DUMMYFUNCTION("""COMPUTED_VALUE"""),"Redstone")</f>
        <v>Redstone</v>
      </c>
      <c r="D242" s="5" t="str">
        <f ca="1">IFERROR(__xludf.DUMMYFUNCTION("""COMPUTED_VALUE"""),"Super Lucky")</f>
        <v>Super Lucky</v>
      </c>
      <c r="E242" s="5" t="str">
        <f ca="1">IFERROR(__xludf.DUMMYFUNCTION("""COMPUTED_VALUE"""),"Redstone")</f>
        <v>Redstone</v>
      </c>
      <c r="F242" s="5" t="str">
        <f ca="1">IFERROR(__xludf.DUMMYFUNCTION("""COMPUTED_VALUE"""),"SuperLucky")</f>
        <v>SuperLucky</v>
      </c>
      <c r="G242" s="5" t="str">
        <f ca="1">IFERROR(__xludf.DUMMYFUNCTION("""COMPUTED_VALUE"""),"Live")</f>
        <v>Live</v>
      </c>
      <c r="H242" s="5"/>
      <c r="I242" s="5" t="str">
        <f ca="1">IFERROR(__xludf.DUMMYFUNCTION("""COMPUTED_VALUE"""),"Redstone")</f>
        <v>Redstone</v>
      </c>
      <c r="J242" s="5" t="str">
        <f ca="1">IFERROR(__xludf.DUMMYFUNCTION("""COMPUTED_VALUE"""),"JSON")</f>
        <v>JSON</v>
      </c>
      <c r="K242" s="5" t="str">
        <f ca="1">IFERROR(__xludf.DUMMYFUNCTION("""COMPUTED_VALUE"""),"Slot")</f>
        <v>Slot</v>
      </c>
      <c r="L242" s="5" t="str">
        <f ca="1">IFERROR(__xludf.DUMMYFUNCTION("""COMPUTED_VALUE"""),"Master")</f>
        <v>Master</v>
      </c>
      <c r="M242" s="5"/>
      <c r="N242" s="7" t="str">
        <f ca="1">IFERROR(__xludf.DUMMYFUNCTION("""COMPUTED_VALUE"""),"https://docs.google.com/document/d/1unGyD9fIdvSZ12VhaMcxyRt9peTuo-fU/edit?usp=drive_link&amp;ouid=107596163405648766688&amp;rtpof=true&amp;sd=true")</f>
        <v>https://docs.google.com/document/d/1unGyD9fIdvSZ12VhaMcxyRt9peTuo-fU/edit?usp=drive_link&amp;ouid=107596163405648766688&amp;rtpof=true&amp;sd=true</v>
      </c>
      <c r="O242" s="7" t="str">
        <f ca="1">IFERROR(__xludf.DUMMYFUNCTION("""COMPUTED_VALUE"""),"https://docs.google.com/document/d/1Y_P7lHz3H_xjUFJ7tySSjnjMgUHbSWMi/edit?usp=drive_link&amp;ouid=107596163405648766688&amp;rtpof=true&amp;sd=true")</f>
        <v>https://docs.google.com/document/d/1Y_P7lHz3H_xjUFJ7tySSjnjMgUHbSWMi/edit?usp=drive_link&amp;ouid=107596163405648766688&amp;rtpof=true&amp;sd=true</v>
      </c>
      <c r="P242" s="14">
        <f ca="1">IFERROR(__xludf.DUMMYFUNCTION("""COMPUTED_VALUE"""),10.9)</f>
        <v>10.9</v>
      </c>
      <c r="Q242" s="5"/>
      <c r="R242" s="5"/>
      <c r="S242" s="15">
        <f ca="1">IFERROR(__xludf.DUMMYFUNCTION("""COMPUTED_VALUE"""),45049)</f>
        <v>45049</v>
      </c>
      <c r="T242" s="5"/>
      <c r="U242" s="5" t="str">
        <f ca="1">IFERROR(__xludf.DUMMYFUNCTION("""COMPUTED_VALUE"""),"5x3")</f>
        <v>5x3</v>
      </c>
      <c r="V242" s="12" t="str">
        <f ca="1">IFERROR(__xludf.DUMMYFUNCTION("""COMPUTED_VALUE"""),"5")</f>
        <v>5</v>
      </c>
      <c r="W242" s="12" t="str">
        <f ca="1">IFERROR(__xludf.DUMMYFUNCTION("""COMPUTED_VALUE"""),"5")</f>
        <v>5</v>
      </c>
      <c r="X242" s="5">
        <f ca="1">IFERROR(__xludf.DUMMYFUNCTION("""COMPUTED_VALUE"""),95.45)</f>
        <v>95.45</v>
      </c>
      <c r="Y242" s="5" t="str">
        <f ca="1">IFERROR(__xludf.DUMMYFUNCTION("""COMPUTED_VALUE"""),"High")</f>
        <v>High</v>
      </c>
      <c r="Z242" s="5">
        <f ca="1">IFERROR(__xludf.DUMMYFUNCTION("""COMPUTED_VALUE"""),12.54)</f>
        <v>12.54</v>
      </c>
      <c r="AA242" s="14">
        <f ca="1">IFERROR(__xludf.DUMMYFUNCTION("""COMPUTED_VALUE"""),1250)</f>
        <v>1250</v>
      </c>
      <c r="AB242" s="5"/>
      <c r="AC242" s="5" t="str">
        <f ca="1">IFERROR(__xludf.DUMMYFUNCTION("""COMPUTED_VALUE"""),"Hold and Win, Wild Symbol")</f>
        <v>Hold and Win, Wild Symbol</v>
      </c>
      <c r="AD242" s="5" t="str">
        <f ca="1">IFERROR(__xludf.DUMMYFUNCTION("""COMPUTED_VALUE"""),"0.10/40")</f>
        <v>0.10/40</v>
      </c>
      <c r="AE242" s="5"/>
      <c r="AF242" s="5"/>
      <c r="AG242" s="10">
        <f ca="1">IFERROR(__xludf.DUMMYFUNCTION("""COMPUTED_VALUE"""),46157.4760300925)</f>
        <v>46157.476030092497</v>
      </c>
      <c r="AH242" s="5"/>
      <c r="AI242" s="5"/>
      <c r="AJ242" s="5"/>
      <c r="AK242" s="5">
        <f ca="1">IFERROR(__xludf.DUMMYFUNCTION("""COMPUTED_VALUE"""),1)</f>
        <v>1</v>
      </c>
      <c r="AL242" s="5" t="str">
        <f ca="1">IFERROR(__xludf.DUMMYFUNCTION("""COMPUTED_VALUE"""),"No")</f>
        <v>No</v>
      </c>
      <c r="AM242" s="5" t="str">
        <f ca="1">IFERROR(__xludf.DUMMYFUNCTION("""COMPUTED_VALUE"""),"No")</f>
        <v>No</v>
      </c>
      <c r="AN242" s="7" t="str">
        <f ca="1">IFERROR(__xludf.DUMMYFUNCTION("""COMPUTED_VALUE"""),"https://static.redstone.rs/games/super-lucky/")</f>
        <v>https://static.redstone.rs/games/super-lucky/</v>
      </c>
      <c r="AO242" s="5" t="str">
        <f ca="1">IFERROR(__xludf.DUMMYFUNCTION("""COMPUTED_VALUE"""),"No")</f>
        <v>No</v>
      </c>
      <c r="AP242" s="5" t="str">
        <f ca="1">IFERROR(__xludf.DUMMYFUNCTION("""COMPUTED_VALUE"""),"No")</f>
        <v>No</v>
      </c>
      <c r="AQ242" s="5" t="b">
        <f ca="1">IFERROR(__xludf.DUMMYFUNCTION("""COMPUTED_VALUE"""),TRUE)</f>
        <v>1</v>
      </c>
      <c r="AR242" s="5"/>
      <c r="AS242" s="5" t="str">
        <f ca="1">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AT242" s="5"/>
      <c r="AU242" s="5" t="str">
        <f ca="1">IFERROR(__xludf.DUMMYFUNCTION("""COMPUTED_VALUE"""),"Redstone")</f>
        <v>Redstone</v>
      </c>
      <c r="AV242" s="5"/>
      <c r="AW242" s="5"/>
      <c r="AX242" s="5"/>
      <c r="AY242" s="5"/>
      <c r="AZ242" s="5"/>
      <c r="BA242" s="5"/>
      <c r="BB242" s="5" t="b">
        <f ca="1">IFERROR(__xludf.DUMMYFUNCTION("""COMPUTED_VALUE"""),TRUE)</f>
        <v>1</v>
      </c>
      <c r="BC242" s="5" t="str">
        <f ca="1">IFERROR(__xludf.DUMMYFUNCTION("""COMPUTED_VALUE"""),"Redstone")</f>
        <v>Redstone</v>
      </c>
      <c r="BD242" s="7" t="str">
        <f ca="1">IFERROR(__xludf.DUMMYFUNCTION("""COMPUTED_VALUE"""),"https://static.redstone.rs/games/super-lucky/")</f>
        <v>https://static.redstone.rs/games/super-lucky/</v>
      </c>
      <c r="BE242" s="5" t="b">
        <f ca="1">IFERROR(__xludf.DUMMYFUNCTION("""COMPUTED_VALUE"""),TRUE)</f>
        <v>1</v>
      </c>
    </row>
    <row r="243" spans="1:57" x14ac:dyDescent="0.25">
      <c r="A243" s="5">
        <f ca="1">IFERROR(__xludf.DUMMYFUNCTION("""COMPUTED_VALUE"""),243)</f>
        <v>243</v>
      </c>
      <c r="B243" s="5">
        <f ca="1">IFERROR(__xludf.DUMMYFUNCTION("""COMPUTED_VALUE"""),242)</f>
        <v>242</v>
      </c>
      <c r="C243" s="5" t="str">
        <f ca="1">IFERROR(__xludf.DUMMYFUNCTION("""COMPUTED_VALUE"""),"Fazi")</f>
        <v>Fazi</v>
      </c>
      <c r="D243" s="5" t="str">
        <f ca="1">IFERROR(__xludf.DUMMYFUNCTION("""COMPUTED_VALUE"""),"Epic Clover 40")</f>
        <v>Epic Clover 40</v>
      </c>
      <c r="E243" s="5" t="str">
        <f ca="1">IFERROR(__xludf.DUMMYFUNCTION("""COMPUTED_VALUE"""),"V2")</f>
        <v>V2</v>
      </c>
      <c r="F243" s="5" t="str">
        <f ca="1">IFERROR(__xludf.DUMMYFUNCTION("""COMPUTED_VALUE"""),"EpicClover40")</f>
        <v>EpicClover40</v>
      </c>
      <c r="G243" s="5" t="str">
        <f ca="1">IFERROR(__xludf.DUMMYFUNCTION("""COMPUTED_VALUE"""),"Live")</f>
        <v>Live</v>
      </c>
      <c r="H243" s="5"/>
      <c r="I243" s="5" t="str">
        <f ca="1">IFERROR(__xludf.DUMMYFUNCTION("""COMPUTED_VALUE"""),"V2")</f>
        <v>V2</v>
      </c>
      <c r="J243" s="5" t="str">
        <f ca="1">IFERROR(__xludf.DUMMYFUNCTION("""COMPUTED_VALUE"""),"JSON")</f>
        <v>JSON</v>
      </c>
      <c r="K243" s="5" t="str">
        <f ca="1">IFERROR(__xludf.DUMMYFUNCTION("""COMPUTED_VALUE"""),"Slot")</f>
        <v>Slot</v>
      </c>
      <c r="L243" s="5"/>
      <c r="M243" s="5"/>
      <c r="N243" s="5"/>
      <c r="O243" s="5"/>
      <c r="P243" s="14">
        <f ca="1">IFERROR(__xludf.DUMMYFUNCTION("""COMPUTED_VALUE"""),27)</f>
        <v>27</v>
      </c>
      <c r="Q243" s="5"/>
      <c r="R243" s="5"/>
      <c r="S243" s="15">
        <f ca="1">IFERROR(__xludf.DUMMYFUNCTION("""COMPUTED_VALUE"""),45113)</f>
        <v>45113</v>
      </c>
      <c r="T243" s="5" t="b">
        <f ca="1">IFERROR(__xludf.DUMMYFUNCTION("""COMPUTED_VALUE"""),TRUE)</f>
        <v>1</v>
      </c>
      <c r="U243" s="5" t="str">
        <f ca="1">IFERROR(__xludf.DUMMYFUNCTION("""COMPUTED_VALUE"""),"5x4")</f>
        <v>5x4</v>
      </c>
      <c r="V243" s="12" t="str">
        <f ca="1">IFERROR(__xludf.DUMMYFUNCTION("""COMPUTED_VALUE"""),"40")</f>
        <v>40</v>
      </c>
      <c r="W243" s="12" t="str">
        <f ca="1">IFERROR(__xludf.DUMMYFUNCTION("""COMPUTED_VALUE"""),"40")</f>
        <v>40</v>
      </c>
      <c r="X243" s="5">
        <f ca="1">IFERROR(__xludf.DUMMYFUNCTION("""COMPUTED_VALUE"""),96.502)</f>
        <v>96.501999999999995</v>
      </c>
      <c r="Y243" s="5" t="str">
        <f ca="1">IFERROR(__xludf.DUMMYFUNCTION("""COMPUTED_VALUE"""),"Medium")</f>
        <v>Medium</v>
      </c>
      <c r="Z243" s="5">
        <f ca="1">IFERROR(__xludf.DUMMYFUNCTION("""COMPUTED_VALUE"""),11.6)</f>
        <v>11.6</v>
      </c>
      <c r="AA243" s="14">
        <f ca="1">IFERROR(__xludf.DUMMYFUNCTION("""COMPUTED_VALUE"""),3000)</f>
        <v>3000</v>
      </c>
      <c r="AB243" s="5">
        <f ca="1">IFERROR(__xludf.DUMMYFUNCTION("""COMPUTED_VALUE"""),4)</f>
        <v>4</v>
      </c>
      <c r="AC243" s="5" t="str">
        <f ca="1">IFERROR(__xludf.DUMMYFUNCTION("""COMPUTED_VALUE"""),"Scatter, Expanding Wild")</f>
        <v>Scatter, Expanding Wild</v>
      </c>
      <c r="AD243" s="5" t="str">
        <f ca="1">IFERROR(__xludf.DUMMYFUNCTION("""COMPUTED_VALUE"""),"0.4/60")</f>
        <v>0.4/60</v>
      </c>
      <c r="AE243" s="5"/>
      <c r="AF243" s="5"/>
      <c r="AG243" s="10">
        <f ca="1">IFERROR(__xludf.DUMMYFUNCTION("""COMPUTED_VALUE"""),46112.3852662037)</f>
        <v>46112.385266203702</v>
      </c>
      <c r="AH243" s="5" t="str">
        <f ca="1">IFERROR(__xludf.DUMMYFUNCTION("""COMPUTED_VALUE"""),"milutin.toskic@fazi.rs")</f>
        <v>milutin.toskic@fazi.rs</v>
      </c>
      <c r="AI243" s="5"/>
      <c r="AJ243" s="5"/>
      <c r="AK243" s="5">
        <f ca="1">IFERROR(__xludf.DUMMYFUNCTION("""COMPUTED_VALUE"""),40)</f>
        <v>40</v>
      </c>
      <c r="AL243" s="5" t="str">
        <f ca="1">IFERROR(__xludf.DUMMYFUNCTION("""COMPUTED_VALUE"""),"Yes")</f>
        <v>Yes</v>
      </c>
      <c r="AM243" s="5"/>
      <c r="AN243" s="7" t="str">
        <f ca="1">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AO243" s="5" t="str">
        <f ca="1">IFERROR(__xludf.DUMMYFUNCTION("""COMPUTED_VALUE"""),"Yes")</f>
        <v>Yes</v>
      </c>
      <c r="AP243" s="5" t="str">
        <f ca="1">IFERROR(__xludf.DUMMYFUNCTION("""COMPUTED_VALUE"""),"Yes")</f>
        <v>Yes</v>
      </c>
      <c r="AQ243" s="5" t="b">
        <f ca="1">IFERROR(__xludf.DUMMYFUNCTION("""COMPUTED_VALUE"""),TRUE)</f>
        <v>1</v>
      </c>
      <c r="AR243" s="5"/>
      <c r="AS243" s="5" t="str">
        <f ca="1">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AT243" s="5" t="str">
        <f ca="1">IFERROR(__xludf.DUMMYFUNCTION("""COMPUTED_VALUE"""),"Yes")</f>
        <v>Yes</v>
      </c>
      <c r="AU243" s="5" t="str">
        <f ca="1">IFERROR(__xludf.DUMMYFUNCTION("""COMPUTED_VALUE"""),"Fazi")</f>
        <v>Fazi</v>
      </c>
      <c r="AV243" s="5"/>
      <c r="AW243" s="5"/>
      <c r="AX243" s="5"/>
      <c r="AY243" s="5" t="str">
        <f ca="1">IFERROR(__xludf.DUMMYFUNCTION("""COMPUTED_VALUE"""),"87.5%, 89.5%, 91.5%, 93.5%, 94.5%, 95.5%, 96.5%")</f>
        <v>87.5%, 89.5%, 91.5%, 93.5%, 94.5%, 95.5%, 96.5%</v>
      </c>
      <c r="AZ243" s="5"/>
      <c r="BA243" s="5"/>
      <c r="BB243" s="5"/>
      <c r="BC243" s="5" t="str">
        <f ca="1">IFERROR(__xludf.DUMMYFUNCTION("""COMPUTED_VALUE"""),"Foxi")</f>
        <v>Foxi</v>
      </c>
      <c r="BD243" s="7" t="str">
        <f ca="1">IFERROR(__xludf.DUMMYFUNCTION("""COMPUTED_VALUE"""),"https://gameserver-store-client-area.orbionlimited.com/Home/IntegrationGameLaunch/client-area?moneyType=0&amp;gameName=EpicClover40&amp;platform=desktop&amp;languageCode=eng&amp;currency=EUR")</f>
        <v>https://gameserver-store-client-area.orbionlimited.com/Home/IntegrationGameLaunch/client-area?moneyType=0&amp;gameName=EpicClover40&amp;platform=desktop&amp;languageCode=eng&amp;currency=EUR</v>
      </c>
      <c r="BE243" s="5" t="b">
        <f ca="1">IFERROR(__xludf.DUMMYFUNCTION("""COMPUTED_VALUE"""),TRUE)</f>
        <v>1</v>
      </c>
    </row>
    <row r="244" spans="1:57" x14ac:dyDescent="0.25">
      <c r="A244" s="5">
        <f ca="1">IFERROR(__xludf.DUMMYFUNCTION("""COMPUTED_VALUE"""),244)</f>
        <v>244</v>
      </c>
      <c r="B244" s="5">
        <f ca="1">IFERROR(__xludf.DUMMYFUNCTION("""COMPUTED_VALUE"""),243)</f>
        <v>243</v>
      </c>
      <c r="C244" s="5" t="str">
        <f ca="1">IFERROR(__xludf.DUMMYFUNCTION("""COMPUTED_VALUE"""),"Fazi")</f>
        <v>Fazi</v>
      </c>
      <c r="D244" s="5" t="str">
        <f ca="1">IFERROR(__xludf.DUMMYFUNCTION("""COMPUTED_VALUE"""),"Wild Lucky Clover 2")</f>
        <v>Wild Lucky Clover 2</v>
      </c>
      <c r="E244" s="5" t="str">
        <f ca="1">IFERROR(__xludf.DUMMYFUNCTION("""COMPUTED_VALUE"""),"V2")</f>
        <v>V2</v>
      </c>
      <c r="F244" s="5" t="str">
        <f ca="1">IFERROR(__xludf.DUMMYFUNCTION("""COMPUTED_VALUE"""),"WildLuckyClover2")</f>
        <v>WildLuckyClover2</v>
      </c>
      <c r="G244" s="5" t="str">
        <f ca="1">IFERROR(__xludf.DUMMYFUNCTION("""COMPUTED_VALUE"""),"Live")</f>
        <v>Live</v>
      </c>
      <c r="H244" s="5"/>
      <c r="I244" s="5" t="str">
        <f ca="1">IFERROR(__xludf.DUMMYFUNCTION("""COMPUTED_VALUE"""),"V2")</f>
        <v>V2</v>
      </c>
      <c r="J244" s="5" t="str">
        <f ca="1">IFERROR(__xludf.DUMMYFUNCTION("""COMPUTED_VALUE"""),"JSON")</f>
        <v>JSON</v>
      </c>
      <c r="K244" s="5" t="str">
        <f ca="1">IFERROR(__xludf.DUMMYFUNCTION("""COMPUTED_VALUE"""),"Slot")</f>
        <v>Slot</v>
      </c>
      <c r="L244" s="5"/>
      <c r="M244" s="5"/>
      <c r="N244" s="5"/>
      <c r="O244" s="5"/>
      <c r="P244" s="14">
        <f ca="1">IFERROR(__xludf.DUMMYFUNCTION("""COMPUTED_VALUE"""),31.5)</f>
        <v>31.5</v>
      </c>
      <c r="Q244" s="5"/>
      <c r="R244" s="5"/>
      <c r="S244" s="15">
        <f ca="1">IFERROR(__xludf.DUMMYFUNCTION("""COMPUTED_VALUE"""),45076)</f>
        <v>45076</v>
      </c>
      <c r="T244" s="5" t="b">
        <f ca="1">IFERROR(__xludf.DUMMYFUNCTION("""COMPUTED_VALUE"""),TRUE)</f>
        <v>1</v>
      </c>
      <c r="U244" s="5" t="str">
        <f ca="1">IFERROR(__xludf.DUMMYFUNCTION("""COMPUTED_VALUE"""),"5x4")</f>
        <v>5x4</v>
      </c>
      <c r="V244" s="12" t="str">
        <f ca="1">IFERROR(__xludf.DUMMYFUNCTION("""COMPUTED_VALUE"""),"40")</f>
        <v>40</v>
      </c>
      <c r="W244" s="12" t="str">
        <f ca="1">IFERROR(__xludf.DUMMYFUNCTION("""COMPUTED_VALUE"""),"40")</f>
        <v>40</v>
      </c>
      <c r="X244" s="5">
        <f ca="1">IFERROR(__xludf.DUMMYFUNCTION("""COMPUTED_VALUE"""),96.395)</f>
        <v>96.394999999999996</v>
      </c>
      <c r="Y244" s="5" t="str">
        <f ca="1">IFERROR(__xludf.DUMMYFUNCTION("""COMPUTED_VALUE"""),"Medium")</f>
        <v>Medium</v>
      </c>
      <c r="Z244" s="5">
        <f ca="1">IFERROR(__xludf.DUMMYFUNCTION("""COMPUTED_VALUE"""),12.6299999999999)</f>
        <v>12.6299999999999</v>
      </c>
      <c r="AA244" s="14">
        <f ca="1">IFERROR(__xludf.DUMMYFUNCTION("""COMPUTED_VALUE"""),2501)</f>
        <v>2501</v>
      </c>
      <c r="AB244" s="5">
        <f ca="1">IFERROR(__xludf.DUMMYFUNCTION("""COMPUTED_VALUE"""),210)</f>
        <v>210</v>
      </c>
      <c r="AC244" s="5" t="str">
        <f ca="1">IFERROR(__xludf.DUMMYFUNCTION("""COMPUTED_VALUE"""),"Buy Bonus, Bonus Game with Free Spins, Converting Wild, Wild Symbol, Wild Multiplier")</f>
        <v>Buy Bonus, Bonus Game with Free Spins, Converting Wild, Wild Symbol, Wild Multiplier</v>
      </c>
      <c r="AD244" s="5" t="str">
        <f ca="1">IFERROR(__xludf.DUMMYFUNCTION("""COMPUTED_VALUE"""),"0.4/60")</f>
        <v>0.4/60</v>
      </c>
      <c r="AE244" s="5"/>
      <c r="AF244" s="5"/>
      <c r="AG244" s="10">
        <f ca="1">IFERROR(__xludf.DUMMYFUNCTION("""COMPUTED_VALUE"""),46055.5207060185)</f>
        <v>46055.520706018498</v>
      </c>
      <c r="AH244" s="5" t="str">
        <f ca="1">IFERROR(__xludf.DUMMYFUNCTION("""COMPUTED_VALUE"""),"djordje.jankovic@fazi.rs")</f>
        <v>djordje.jankovic@fazi.rs</v>
      </c>
      <c r="AI244" s="5"/>
      <c r="AJ244" s="5"/>
      <c r="AK244" s="5">
        <f ca="1">IFERROR(__xludf.DUMMYFUNCTION("""COMPUTED_VALUE"""),40)</f>
        <v>40</v>
      </c>
      <c r="AL244" s="5" t="str">
        <f ca="1">IFERROR(__xludf.DUMMYFUNCTION("""COMPUTED_VALUE"""),"Yes")</f>
        <v>Yes</v>
      </c>
      <c r="AM244" s="5"/>
      <c r="AN244" s="7" t="str">
        <f ca="1">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AO244" s="5" t="str">
        <f ca="1">IFERROR(__xludf.DUMMYFUNCTION("""COMPUTED_VALUE"""),"Yes")</f>
        <v>Yes</v>
      </c>
      <c r="AP244" s="5" t="str">
        <f ca="1">IFERROR(__xludf.DUMMYFUNCTION("""COMPUTED_VALUE"""),"Yes")</f>
        <v>Yes</v>
      </c>
      <c r="AQ244" s="5" t="b">
        <f ca="1">IFERROR(__xludf.DUMMYFUNCTION("""COMPUTED_VALUE"""),TRUE)</f>
        <v>1</v>
      </c>
      <c r="AR244" s="5"/>
      <c r="AS244" s="5" t="str">
        <f ca="1">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AT244" s="5"/>
      <c r="AU244" s="5" t="str">
        <f ca="1">IFERROR(__xludf.DUMMYFUNCTION("""COMPUTED_VALUE"""),"Fazi")</f>
        <v>Fazi</v>
      </c>
      <c r="AV244" s="5"/>
      <c r="AW244" s="5"/>
      <c r="AX244" s="5"/>
      <c r="AY244" s="5"/>
      <c r="AZ244" s="5"/>
      <c r="BA244" s="5" t="str">
        <f ca="1">IFERROR(__xludf.DUMMYFUNCTION("""COMPUTED_VALUE"""),"68, 97, 145")</f>
        <v>68, 97, 145</v>
      </c>
      <c r="BB244" s="5"/>
      <c r="BC244" s="5" t="str">
        <f ca="1">IFERROR(__xludf.DUMMYFUNCTION("""COMPUTED_VALUE"""),"Foxi")</f>
        <v>Foxi</v>
      </c>
      <c r="BD244" s="7" t="str">
        <f ca="1">IFERROR(__xludf.DUMMYFUNCTION("""COMPUTED_VALUE"""),"https://gameserver-store-client-area.orbionlimited.com/Home/IntegrationGameLaunch/client-area?moneyType=0&amp;gameName=WildLuckyClover2&amp;platform=desktop&amp;languageCode=eng&amp;currency=EUR")</f>
        <v>https://gameserver-store-client-area.orbionlimited.com/Home/IntegrationGameLaunch/client-area?moneyType=0&amp;gameName=WildLuckyClover2&amp;platform=desktop&amp;languageCode=eng&amp;currency=EUR</v>
      </c>
      <c r="BE244" s="5" t="b">
        <f ca="1">IFERROR(__xludf.DUMMYFUNCTION("""COMPUTED_VALUE"""),TRUE)</f>
        <v>1</v>
      </c>
    </row>
    <row r="245" spans="1:57" x14ac:dyDescent="0.25">
      <c r="A245" s="5">
        <f ca="1">IFERROR(__xludf.DUMMYFUNCTION("""COMPUTED_VALUE"""),245)</f>
        <v>245</v>
      </c>
      <c r="B245" s="5">
        <f ca="1">IFERROR(__xludf.DUMMYFUNCTION("""COMPUTED_VALUE"""),244)</f>
        <v>244</v>
      </c>
      <c r="C245" s="5" t="str">
        <f ca="1">IFERROR(__xludf.DUMMYFUNCTION("""COMPUTED_VALUE"""),"Tiptop")</f>
        <v>Tiptop</v>
      </c>
      <c r="D245" s="5" t="str">
        <f ca="1">IFERROR(__xludf.DUMMYFUNCTION("""COMPUTED_VALUE"""),"40 Fruit Reels")</f>
        <v>40 Fruit Reels</v>
      </c>
      <c r="E245" s="5"/>
      <c r="F245" s="5" t="str">
        <f ca="1">IFERROR(__xludf.DUMMYFUNCTION("""COMPUTED_VALUE"""),"Unicorn40FruitReels")</f>
        <v>Unicorn40FruitReels</v>
      </c>
      <c r="G245" s="5" t="str">
        <f ca="1">IFERROR(__xludf.DUMMYFUNCTION("""COMPUTED_VALUE"""),"Live")</f>
        <v>Live</v>
      </c>
      <c r="H245" s="5"/>
      <c r="I245" s="5" t="str">
        <f ca="1">IFERROR(__xludf.DUMMYFUNCTION("""COMPUTED_VALUE"""),"TipTop")</f>
        <v>TipTop</v>
      </c>
      <c r="J245" s="5" t="str">
        <f ca="1">IFERROR(__xludf.DUMMYFUNCTION("""COMPUTED_VALUE"""),"JSON")</f>
        <v>JSON</v>
      </c>
      <c r="K245" s="5" t="str">
        <f ca="1">IFERROR(__xludf.DUMMYFUNCTION("""COMPUTED_VALUE"""),"Slot")</f>
        <v>Slot</v>
      </c>
      <c r="L245" s="5"/>
      <c r="M245" s="5"/>
      <c r="N245" s="5"/>
      <c r="O245" s="5"/>
      <c r="P245" s="14">
        <f ca="1">IFERROR(__xludf.DUMMYFUNCTION("""COMPUTED_VALUE"""),9.5)</f>
        <v>9.5</v>
      </c>
      <c r="Q245" s="5"/>
      <c r="R245" s="5"/>
      <c r="S245" s="15">
        <f ca="1">IFERROR(__xludf.DUMMYFUNCTION("""COMPUTED_VALUE"""),45062)</f>
        <v>45062</v>
      </c>
      <c r="T245" s="5"/>
      <c r="U245" s="5" t="str">
        <f ca="1">IFERROR(__xludf.DUMMYFUNCTION("""COMPUTED_VALUE"""),"5X4")</f>
        <v>5X4</v>
      </c>
      <c r="V245" s="12" t="str">
        <f ca="1">IFERROR(__xludf.DUMMYFUNCTION("""COMPUTED_VALUE"""),"40")</f>
        <v>40</v>
      </c>
      <c r="W245" s="12" t="str">
        <f ca="1">IFERROR(__xludf.DUMMYFUNCTION("""COMPUTED_VALUE"""),"40")</f>
        <v>40</v>
      </c>
      <c r="X245" s="5">
        <f ca="1">IFERROR(__xludf.DUMMYFUNCTION("""COMPUTED_VALUE"""),96)</f>
        <v>96</v>
      </c>
      <c r="Y245" s="5" t="str">
        <f ca="1">IFERROR(__xludf.DUMMYFUNCTION("""COMPUTED_VALUE"""),"Low")</f>
        <v>Low</v>
      </c>
      <c r="Z245" s="5">
        <f ca="1">IFERROR(__xludf.DUMMYFUNCTION("""COMPUTED_VALUE"""),11.65)</f>
        <v>11.65</v>
      </c>
      <c r="AA245" s="14">
        <f ca="1">IFERROR(__xludf.DUMMYFUNCTION("""COMPUTED_VALUE"""),5000)</f>
        <v>5000</v>
      </c>
      <c r="AB245" s="5"/>
      <c r="AC245" s="5"/>
      <c r="AD245" s="5" t="str">
        <f ca="1">IFERROR(__xludf.DUMMYFUNCTION("""COMPUTED_VALUE"""),"0.4/100")</f>
        <v>0.4/100</v>
      </c>
      <c r="AE245" s="5"/>
      <c r="AF245" s="5"/>
      <c r="AG245" s="10">
        <f ca="1">IFERROR(__xludf.DUMMYFUNCTION("""COMPUTED_VALUE"""),46197.4597569444)</f>
        <v>46197.459756944401</v>
      </c>
      <c r="AH245" s="5" t="str">
        <f ca="1">IFERROR(__xludf.DUMMYFUNCTION("""COMPUTED_VALUE"""),"selena.mihajlovic@fazi.rs")</f>
        <v>selena.mihajlovic@fazi.rs</v>
      </c>
      <c r="AI245" s="5"/>
      <c r="AJ245" s="5"/>
      <c r="AK245" s="5">
        <f ca="1">IFERROR(__xludf.DUMMYFUNCTION("""COMPUTED_VALUE"""),40)</f>
        <v>40</v>
      </c>
      <c r="AL245" s="5" t="str">
        <f ca="1">IFERROR(__xludf.DUMMYFUNCTION("""COMPUTED_VALUE"""),"No")</f>
        <v>No</v>
      </c>
      <c r="AM245" s="5"/>
      <c r="AN245" s="7" t="str">
        <f ca="1">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AO245" s="5"/>
      <c r="AP245" s="5"/>
      <c r="AQ245" s="5" t="b">
        <f ca="1">IFERROR(__xludf.DUMMYFUNCTION("""COMPUTED_VALUE"""),TRUE)</f>
        <v>1</v>
      </c>
      <c r="AR245" s="5"/>
      <c r="AS245" s="5" t="str">
        <f ca="1">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AT245" s="5"/>
      <c r="AU245" s="5" t="str">
        <f ca="1">IFERROR(__xludf.DUMMYFUNCTION("""COMPUTED_VALUE"""),"Fazi")</f>
        <v>Fazi</v>
      </c>
      <c r="AV245" s="5"/>
      <c r="AW245" s="5"/>
      <c r="AX245" s="5"/>
      <c r="AY245" s="5"/>
      <c r="AZ245" s="5"/>
      <c r="BA245" s="5"/>
      <c r="BB245" s="5" t="b">
        <f ca="1">IFERROR(__xludf.DUMMYFUNCTION("""COMPUTED_VALUE"""),TRUE)</f>
        <v>1</v>
      </c>
      <c r="BC245" s="5" t="str">
        <f ca="1">IFERROR(__xludf.DUMMYFUNCTION("""COMPUTED_VALUE"""),"Tiptop")</f>
        <v>Tiptop</v>
      </c>
      <c r="BD245" s="7" t="str">
        <f ca="1">IFERROR(__xludf.DUMMYFUNCTION("""COMPUTED_VALUE"""),"https://gameserver-store-client-area.orbionlimited.com/Home/IntegrationGameLaunch/client-area?moneyType=0&amp;gameName=Unicorn40FruitReels&amp;platform=desktop&amp;languageCode=eng&amp;currency=EUR")</f>
        <v>https://gameserver-store-client-area.orbionlimited.com/Home/IntegrationGameLaunch/client-area?moneyType=0&amp;gameName=Unicorn40FruitReels&amp;platform=desktop&amp;languageCode=eng&amp;currency=EUR</v>
      </c>
      <c r="BE245" s="5" t="b">
        <f ca="1">IFERROR(__xludf.DUMMYFUNCTION("""COMPUTED_VALUE"""),TRUE)</f>
        <v>1</v>
      </c>
    </row>
    <row r="246" spans="1:57" x14ac:dyDescent="0.25">
      <c r="A246" s="5">
        <f ca="1">IFERROR(__xludf.DUMMYFUNCTION("""COMPUTED_VALUE"""),246)</f>
        <v>246</v>
      </c>
      <c r="B246" s="5">
        <f ca="1">IFERROR(__xludf.DUMMYFUNCTION("""COMPUTED_VALUE"""),245)</f>
        <v>245</v>
      </c>
      <c r="C246" s="5" t="str">
        <f ca="1">IFERROR(__xludf.DUMMYFUNCTION("""COMPUTED_VALUE"""),"Fazi")</f>
        <v>Fazi</v>
      </c>
      <c r="D246" s="5" t="str">
        <f ca="1">IFERROR(__xludf.DUMMYFUNCTION("""COMPUTED_VALUE"""),"Epic Crown 10")</f>
        <v>Epic Crown 10</v>
      </c>
      <c r="E246" s="5" t="str">
        <f ca="1">IFERROR(__xludf.DUMMYFUNCTION("""COMPUTED_VALUE"""),"V2")</f>
        <v>V2</v>
      </c>
      <c r="F246" s="5" t="str">
        <f ca="1">IFERROR(__xludf.DUMMYFUNCTION("""COMPUTED_VALUE"""),"EpicCrown10")</f>
        <v>EpicCrown10</v>
      </c>
      <c r="G246" s="5" t="str">
        <f ca="1">IFERROR(__xludf.DUMMYFUNCTION("""COMPUTED_VALUE"""),"Live")</f>
        <v>Live</v>
      </c>
      <c r="H246" s="5"/>
      <c r="I246" s="5" t="str">
        <f ca="1">IFERROR(__xludf.DUMMYFUNCTION("""COMPUTED_VALUE"""),"V2")</f>
        <v>V2</v>
      </c>
      <c r="J246" s="5" t="str">
        <f ca="1">IFERROR(__xludf.DUMMYFUNCTION("""COMPUTED_VALUE"""),"JSON")</f>
        <v>JSON</v>
      </c>
      <c r="K246" s="5" t="str">
        <f ca="1">IFERROR(__xludf.DUMMYFUNCTION("""COMPUTED_VALUE"""),"Slot")</f>
        <v>Slot</v>
      </c>
      <c r="L246" s="5" t="str">
        <f ca="1">IFERROR(__xludf.DUMMYFUNCTION("""COMPUTED_VALUE"""),"Clone")</f>
        <v>Clone</v>
      </c>
      <c r="M246" s="5" t="str">
        <f ca="1">IFERROR(__xludf.DUMMYFUNCTION("""COMPUTED_VALUE"""),"Golden Crown")</f>
        <v>Golden Crown</v>
      </c>
      <c r="N246" s="5"/>
      <c r="O246" s="5"/>
      <c r="P246" s="14">
        <f ca="1">IFERROR(__xludf.DUMMYFUNCTION("""COMPUTED_VALUE"""),23.7)</f>
        <v>23.7</v>
      </c>
      <c r="Q246" s="5"/>
      <c r="R246" s="5"/>
      <c r="S246" s="15">
        <f ca="1">IFERROR(__xludf.DUMMYFUNCTION("""COMPUTED_VALUE"""),45314)</f>
        <v>45314</v>
      </c>
      <c r="T246" s="5" t="b">
        <f ca="1">IFERROR(__xludf.DUMMYFUNCTION("""COMPUTED_VALUE"""),TRUE)</f>
        <v>1</v>
      </c>
      <c r="U246" s="5" t="str">
        <f ca="1">IFERROR(__xludf.DUMMYFUNCTION("""COMPUTED_VALUE"""),"5x3")</f>
        <v>5x3</v>
      </c>
      <c r="V246" s="12" t="str">
        <f ca="1">IFERROR(__xludf.DUMMYFUNCTION("""COMPUTED_VALUE"""),"10")</f>
        <v>10</v>
      </c>
      <c r="W246" s="12" t="str">
        <f ca="1">IFERROR(__xludf.DUMMYFUNCTION("""COMPUTED_VALUE"""),"10")</f>
        <v>10</v>
      </c>
      <c r="X246" s="5">
        <f ca="1">IFERROR(__xludf.DUMMYFUNCTION("""COMPUTED_VALUE"""),95.962)</f>
        <v>95.962000000000003</v>
      </c>
      <c r="Y246" s="5" t="str">
        <f ca="1">IFERROR(__xludf.DUMMYFUNCTION("""COMPUTED_VALUE"""),"Medium")</f>
        <v>Medium</v>
      </c>
      <c r="Z246" s="5">
        <f ca="1">IFERROR(__xludf.DUMMYFUNCTION("""COMPUTED_VALUE"""),14.63)</f>
        <v>14.63</v>
      </c>
      <c r="AA246" s="14">
        <f ca="1">IFERROR(__xludf.DUMMYFUNCTION("""COMPUTED_VALUE"""),1538)</f>
        <v>1538</v>
      </c>
      <c r="AB246" s="5">
        <f ca="1">IFERROR(__xludf.DUMMYFUNCTION("""COMPUTED_VALUE"""),4)</f>
        <v>4</v>
      </c>
      <c r="AC246" s="5" t="str">
        <f ca="1">IFERROR(__xludf.DUMMYFUNCTION("""COMPUTED_VALUE"""),"Scatter, Expanding Wild")</f>
        <v>Scatter, Expanding Wild</v>
      </c>
      <c r="AD246" s="5" t="str">
        <f ca="1">IFERROR(__xludf.DUMMYFUNCTION("""COMPUTED_VALUE"""),"0.1/50")</f>
        <v>0.1/50</v>
      </c>
      <c r="AE246" s="5"/>
      <c r="AF246" s="5"/>
      <c r="AG246" s="10">
        <f ca="1">IFERROR(__xludf.DUMMYFUNCTION("""COMPUTED_VALUE"""),46112.386724537)</f>
        <v>46112.386724536998</v>
      </c>
      <c r="AH246" s="5" t="str">
        <f ca="1">IFERROR(__xludf.DUMMYFUNCTION("""COMPUTED_VALUE"""),"milutin.toskic@fazi.rs")</f>
        <v>milutin.toskic@fazi.rs</v>
      </c>
      <c r="AI246" s="5"/>
      <c r="AJ246" s="5"/>
      <c r="AK246" s="5">
        <f ca="1">IFERROR(__xludf.DUMMYFUNCTION("""COMPUTED_VALUE"""),10)</f>
        <v>10</v>
      </c>
      <c r="AL246" s="5" t="str">
        <f ca="1">IFERROR(__xludf.DUMMYFUNCTION("""COMPUTED_VALUE"""),"Yes")</f>
        <v>Yes</v>
      </c>
      <c r="AM246" s="5"/>
      <c r="AN246" s="7" t="str">
        <f ca="1">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AO246" s="5" t="str">
        <f ca="1">IFERROR(__xludf.DUMMYFUNCTION("""COMPUTED_VALUE"""),"Yes")</f>
        <v>Yes</v>
      </c>
      <c r="AP246" s="5" t="str">
        <f ca="1">IFERROR(__xludf.DUMMYFUNCTION("""COMPUTED_VALUE"""),"Yes")</f>
        <v>Yes</v>
      </c>
      <c r="AQ246" s="5" t="b">
        <f ca="1">IFERROR(__xludf.DUMMYFUNCTION("""COMPUTED_VALUE"""),TRUE)</f>
        <v>1</v>
      </c>
      <c r="AR246" s="5"/>
      <c r="AS246" s="5" t="str">
        <f ca="1">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AT246" s="5"/>
      <c r="AU246" s="5" t="str">
        <f ca="1">IFERROR(__xludf.DUMMYFUNCTION("""COMPUTED_VALUE"""),"Fazi")</f>
        <v>Fazi</v>
      </c>
      <c r="AV246" s="5"/>
      <c r="AW246" s="5"/>
      <c r="AX246" s="5"/>
      <c r="AY246" s="5" t="str">
        <f ca="1">IFERROR(__xludf.DUMMYFUNCTION("""COMPUTED_VALUE"""),"87.5%, 89.5%, 91.5%, 93.5%, 94.5%, 95.5%, 96.5%")</f>
        <v>87.5%, 89.5%, 91.5%, 93.5%, 94.5%, 95.5%, 96.5%</v>
      </c>
      <c r="AZ246" s="5"/>
      <c r="BA246" s="5"/>
      <c r="BB246" s="5"/>
      <c r="BC246" s="5" t="str">
        <f ca="1">IFERROR(__xludf.DUMMYFUNCTION("""COMPUTED_VALUE"""),"Foxi")</f>
        <v>Foxi</v>
      </c>
      <c r="BD246" s="7" t="str">
        <f ca="1">IFERROR(__xludf.DUMMYFUNCTION("""COMPUTED_VALUE"""),"https://gameserver-store-client-area.orbionlimited.com/Home/IntegrationGameLaunch/client-area?moneyType=0&amp;gameName=EpicCrown10&amp;platform=desktop&amp;languageCode=eng&amp;currency=EUR")</f>
        <v>https://gameserver-store-client-area.orbionlimited.com/Home/IntegrationGameLaunch/client-area?moneyType=0&amp;gameName=EpicCrown10&amp;platform=desktop&amp;languageCode=eng&amp;currency=EUR</v>
      </c>
      <c r="BE246" s="5" t="b">
        <f ca="1">IFERROR(__xludf.DUMMYFUNCTION("""COMPUTED_VALUE"""),TRUE)</f>
        <v>1</v>
      </c>
    </row>
    <row r="247" spans="1:57" x14ac:dyDescent="0.25">
      <c r="A247" s="5">
        <f ca="1">IFERROR(__xludf.DUMMYFUNCTION("""COMPUTED_VALUE"""),247)</f>
        <v>247</v>
      </c>
      <c r="B247" s="5">
        <f ca="1">IFERROR(__xludf.DUMMYFUNCTION("""COMPUTED_VALUE"""),246)</f>
        <v>246</v>
      </c>
      <c r="C247" s="5" t="str">
        <f ca="1">IFERROR(__xludf.DUMMYFUNCTION("""COMPUTED_VALUE"""),"Fazi")</f>
        <v>Fazi</v>
      </c>
      <c r="D247" s="5" t="str">
        <f ca="1">IFERROR(__xludf.DUMMYFUNCTION("""COMPUTED_VALUE"""),"Joker Triple Double")</f>
        <v>Joker Triple Double</v>
      </c>
      <c r="E247" s="5" t="str">
        <f ca="1">IFERROR(__xludf.DUMMYFUNCTION("""COMPUTED_VALUE"""),"V4-1")</f>
        <v>V4-1</v>
      </c>
      <c r="F247" s="5" t="str">
        <f ca="1">IFERROR(__xludf.DUMMYFUNCTION("""COMPUTED_VALUE"""),"JokerTripleDouble")</f>
        <v>JokerTripleDouble</v>
      </c>
      <c r="G247" s="5" t="str">
        <f ca="1">IFERROR(__xludf.DUMMYFUNCTION("""COMPUTED_VALUE"""),"Live")</f>
        <v>Live</v>
      </c>
      <c r="H247" s="5"/>
      <c r="I247" s="5" t="str">
        <f ca="1">IFERROR(__xludf.DUMMYFUNCTION("""COMPUTED_VALUE"""),"V4")</f>
        <v>V4</v>
      </c>
      <c r="J247" s="5" t="str">
        <f ca="1">IFERROR(__xludf.DUMMYFUNCTION("""COMPUTED_VALUE"""),"JSON")</f>
        <v>JSON</v>
      </c>
      <c r="K247" s="5" t="str">
        <f ca="1">IFERROR(__xludf.DUMMYFUNCTION("""COMPUTED_VALUE"""),"Slot")</f>
        <v>Slot</v>
      </c>
      <c r="L247" s="5"/>
      <c r="M247" s="5"/>
      <c r="N247" s="5"/>
      <c r="O247" s="5"/>
      <c r="P247" s="14">
        <f ca="1">IFERROR(__xludf.DUMMYFUNCTION("""COMPUTED_VALUE"""),9.5)</f>
        <v>9.5</v>
      </c>
      <c r="Q247" s="5"/>
      <c r="R247" s="5"/>
      <c r="S247" s="15">
        <f ca="1">IFERROR(__xludf.DUMMYFUNCTION("""COMPUTED_VALUE"""),45148)</f>
        <v>45148</v>
      </c>
      <c r="T247" s="5" t="b">
        <f ca="1">IFERROR(__xludf.DUMMYFUNCTION("""COMPUTED_VALUE"""),TRUE)</f>
        <v>1</v>
      </c>
      <c r="U247" s="5" t="str">
        <f ca="1">IFERROR(__xludf.DUMMYFUNCTION("""COMPUTED_VALUE"""),"3x3")</f>
        <v>3x3</v>
      </c>
      <c r="V247" s="12" t="str">
        <f ca="1">IFERROR(__xludf.DUMMYFUNCTION("""COMPUTED_VALUE"""),"5")</f>
        <v>5</v>
      </c>
      <c r="W247" s="12" t="str">
        <f ca="1">IFERROR(__xludf.DUMMYFUNCTION("""COMPUTED_VALUE"""),"5")</f>
        <v>5</v>
      </c>
      <c r="X247" s="5">
        <f ca="1">IFERROR(__xludf.DUMMYFUNCTION("""COMPUTED_VALUE"""),96.5)</f>
        <v>96.5</v>
      </c>
      <c r="Y247" s="5" t="str">
        <f ca="1">IFERROR(__xludf.DUMMYFUNCTION("""COMPUTED_VALUE"""),"Medium")</f>
        <v>Medium</v>
      </c>
      <c r="Z247" s="5">
        <f ca="1">IFERROR(__xludf.DUMMYFUNCTION("""COMPUTED_VALUE"""),7.03)</f>
        <v>7.03</v>
      </c>
      <c r="AA247" s="14">
        <f ca="1">IFERROR(__xludf.DUMMYFUNCTION("""COMPUTED_VALUE"""),1590)</f>
        <v>1590</v>
      </c>
      <c r="AB247" s="5">
        <f ca="1">IFERROR(__xludf.DUMMYFUNCTION("""COMPUTED_VALUE"""),34)</f>
        <v>34</v>
      </c>
      <c r="AC247" s="5" t="str">
        <f ca="1">IFERROR(__xludf.DUMMYFUNCTION("""COMPUTED_VALUE"""),"Respin, Sticky Wild, Win Multiplier")</f>
        <v>Respin, Sticky Wild, Win Multiplier</v>
      </c>
      <c r="AD247" s="5" t="str">
        <f ca="1">IFERROR(__xludf.DUMMYFUNCTION("""COMPUTED_VALUE"""),"0.5/50")</f>
        <v>0.5/50</v>
      </c>
      <c r="AE247" s="5"/>
      <c r="AF247" s="5"/>
      <c r="AG247" s="10">
        <f ca="1">IFERROR(__xludf.DUMMYFUNCTION("""COMPUTED_VALUE"""),46162.4259143518)</f>
        <v>46162.425914351799</v>
      </c>
      <c r="AH247" s="5" t="str">
        <f ca="1">IFERROR(__xludf.DUMMYFUNCTION("""COMPUTED_VALUE"""),"djordje.petrovic@fazi.rs")</f>
        <v>djordje.petrovic@fazi.rs</v>
      </c>
      <c r="AI247" s="5"/>
      <c r="AJ247" s="5"/>
      <c r="AK247" s="5">
        <f ca="1">IFERROR(__xludf.DUMMYFUNCTION("""COMPUTED_VALUE"""),5)</f>
        <v>5</v>
      </c>
      <c r="AL247" s="5" t="str">
        <f ca="1">IFERROR(__xludf.DUMMYFUNCTION("""COMPUTED_VALUE"""),"Yes")</f>
        <v>Yes</v>
      </c>
      <c r="AM247" s="5"/>
      <c r="AN247" s="7" t="str">
        <f ca="1">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AO247" s="5" t="str">
        <f ca="1">IFERROR(__xludf.DUMMYFUNCTION("""COMPUTED_VALUE"""),"Yes")</f>
        <v>Yes</v>
      </c>
      <c r="AP247" s="5" t="str">
        <f ca="1">IFERROR(__xludf.DUMMYFUNCTION("""COMPUTED_VALUE"""),"Yes")</f>
        <v>Yes</v>
      </c>
      <c r="AQ247" s="5" t="b">
        <f ca="1">IFERROR(__xludf.DUMMYFUNCTION("""COMPUTED_VALUE"""),TRUE)</f>
        <v>1</v>
      </c>
      <c r="AR247" s="5"/>
      <c r="AS247" s="5" t="str">
        <f ca="1">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AT247" s="5" t="str">
        <f ca="1">IFERROR(__xludf.DUMMYFUNCTION("""COMPUTED_VALUE"""),"Yes")</f>
        <v>Yes</v>
      </c>
      <c r="AU247" s="5" t="str">
        <f ca="1">IFERROR(__xludf.DUMMYFUNCTION("""COMPUTED_VALUE"""),"Fazi")</f>
        <v>Fazi</v>
      </c>
      <c r="AV247" s="5"/>
      <c r="AW247"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47" s="5"/>
      <c r="AY247" s="5" t="str">
        <f ca="1">IFERROR(__xludf.DUMMYFUNCTION("""COMPUTED_VALUE"""),"87.5%, 89.5%, 91.5%, 93.5%, 94.5%, 95.5%, 96.5%")</f>
        <v>87.5%, 89.5%, 91.5%, 93.5%, 94.5%, 95.5%, 96.5%</v>
      </c>
      <c r="AZ247" s="5"/>
      <c r="BA247" s="5"/>
      <c r="BB247" s="5"/>
      <c r="BC247" s="5" t="str">
        <f ca="1">IFERROR(__xludf.DUMMYFUNCTION("""COMPUTED_VALUE"""),"Foxi")</f>
        <v>Foxi</v>
      </c>
      <c r="BD247" s="7" t="str">
        <f ca="1">IFERROR(__xludf.DUMMYFUNCTION("""COMPUTED_VALUE"""),"https://gameserver-store-client-area.orbionlimited.com/Home/IntegrationGameLaunch/client-area?moneyType=0&amp;gameName=JokerTripleDouble&amp;platform=desktop&amp;languageCode=eng&amp;currency=EUR")</f>
        <v>https://gameserver-store-client-area.orbionlimited.com/Home/IntegrationGameLaunch/client-area?moneyType=0&amp;gameName=JokerTripleDouble&amp;platform=desktop&amp;languageCode=eng&amp;currency=EUR</v>
      </c>
      <c r="BE247" s="5" t="b">
        <f ca="1">IFERROR(__xludf.DUMMYFUNCTION("""COMPUTED_VALUE"""),TRUE)</f>
        <v>1</v>
      </c>
    </row>
    <row r="248" spans="1:57" x14ac:dyDescent="0.25">
      <c r="A248" s="5">
        <f ca="1">IFERROR(__xludf.DUMMYFUNCTION("""COMPUTED_VALUE"""),248)</f>
        <v>248</v>
      </c>
      <c r="B248" s="5">
        <f ca="1">IFERROR(__xludf.DUMMYFUNCTION("""COMPUTED_VALUE"""),247)</f>
        <v>247</v>
      </c>
      <c r="C248" s="5" t="str">
        <f ca="1">IFERROR(__xludf.DUMMYFUNCTION("""COMPUTED_VALUE"""),"Redstone")</f>
        <v>Redstone</v>
      </c>
      <c r="D248" s="5" t="str">
        <f ca="1">IFERROR(__xludf.DUMMYFUNCTION("""COMPUTED_VALUE"""),"Heat Double")</f>
        <v>Heat Double</v>
      </c>
      <c r="E248" s="5" t="str">
        <f ca="1">IFERROR(__xludf.DUMMYFUNCTION("""COMPUTED_VALUE"""),"Redstone")</f>
        <v>Redstone</v>
      </c>
      <c r="F248" s="5" t="str">
        <f ca="1">IFERROR(__xludf.DUMMYFUNCTION("""COMPUTED_VALUE"""),"HeatDouble")</f>
        <v>HeatDouble</v>
      </c>
      <c r="G248" s="5" t="str">
        <f ca="1">IFERROR(__xludf.DUMMYFUNCTION("""COMPUTED_VALUE"""),"Live")</f>
        <v>Live</v>
      </c>
      <c r="H248" s="5"/>
      <c r="I248" s="5" t="str">
        <f ca="1">IFERROR(__xludf.DUMMYFUNCTION("""COMPUTED_VALUE"""),"Redstone")</f>
        <v>Redstone</v>
      </c>
      <c r="J248" s="5" t="str">
        <f ca="1">IFERROR(__xludf.DUMMYFUNCTION("""COMPUTED_VALUE"""),"JSON")</f>
        <v>JSON</v>
      </c>
      <c r="K248" s="5" t="str">
        <f ca="1">IFERROR(__xludf.DUMMYFUNCTION("""COMPUTED_VALUE"""),"Slot")</f>
        <v>Slot</v>
      </c>
      <c r="L248" s="5" t="str">
        <f ca="1">IFERROR(__xludf.DUMMYFUNCTION("""COMPUTED_VALUE"""),"Master")</f>
        <v>Master</v>
      </c>
      <c r="M248" s="5"/>
      <c r="N248" s="7" t="str">
        <f ca="1">IFERROR(__xludf.DUMMYFUNCTION("""COMPUTED_VALUE"""),"https://docs.google.com/document/d/12wJkghBsZEm-qAvIyc60s4oCbhRi_Kwe/edit?usp=drive_link&amp;ouid=107596163405648766688&amp;rtpof=true&amp;sd=true")</f>
        <v>https://docs.google.com/document/d/12wJkghBsZEm-qAvIyc60s4oCbhRi_Kwe/edit?usp=drive_link&amp;ouid=107596163405648766688&amp;rtpof=true&amp;sd=true</v>
      </c>
      <c r="O248" s="7" t="str">
        <f ca="1">IFERROR(__xludf.DUMMYFUNCTION("""COMPUTED_VALUE"""),"https://docs.google.com/document/d/1W7xAXul48Vs8maiVUeKLt8R0JKrL7yRh/edit?usp=drive_link&amp;ouid=107596163405648766688&amp;rtpof=true&amp;sd=true")</f>
        <v>https://docs.google.com/document/d/1W7xAXul48Vs8maiVUeKLt8R0JKrL7yRh/edit?usp=drive_link&amp;ouid=107596163405648766688&amp;rtpof=true&amp;sd=true</v>
      </c>
      <c r="P248" s="14">
        <f ca="1">IFERROR(__xludf.DUMMYFUNCTION("""COMPUTED_VALUE"""),10.9)</f>
        <v>10.9</v>
      </c>
      <c r="Q248" s="5"/>
      <c r="R248" s="5"/>
      <c r="S248" s="15">
        <f ca="1">IFERROR(__xludf.DUMMYFUNCTION("""COMPUTED_VALUE"""),45089)</f>
        <v>45089</v>
      </c>
      <c r="T248" s="5" t="b">
        <f ca="1">IFERROR(__xludf.DUMMYFUNCTION("""COMPUTED_VALUE"""),TRUE)</f>
        <v>1</v>
      </c>
      <c r="U248" s="5" t="str">
        <f ca="1">IFERROR(__xludf.DUMMYFUNCTION("""COMPUTED_VALUE"""),"3x3")</f>
        <v>3x3</v>
      </c>
      <c r="V248" s="12" t="str">
        <f ca="1">IFERROR(__xludf.DUMMYFUNCTION("""COMPUTED_VALUE"""),"5")</f>
        <v>5</v>
      </c>
      <c r="W248" s="12" t="str">
        <f ca="1">IFERROR(__xludf.DUMMYFUNCTION("""COMPUTED_VALUE"""),"5")</f>
        <v>5</v>
      </c>
      <c r="X248" s="5">
        <f ca="1">IFERROR(__xludf.DUMMYFUNCTION("""COMPUTED_VALUE"""),96.33)</f>
        <v>96.33</v>
      </c>
      <c r="Y248" s="5" t="str">
        <f ca="1">IFERROR(__xludf.DUMMYFUNCTION("""COMPUTED_VALUE"""),"Low")</f>
        <v>Low</v>
      </c>
      <c r="Z248" s="5">
        <f ca="1">IFERROR(__xludf.DUMMYFUNCTION("""COMPUTED_VALUE"""),8.08)</f>
        <v>8.08</v>
      </c>
      <c r="AA248" s="14">
        <f ca="1">IFERROR(__xludf.DUMMYFUNCTION("""COMPUTED_VALUE"""),150)</f>
        <v>150</v>
      </c>
      <c r="AB248" s="5"/>
      <c r="AC248" s="5" t="str">
        <f ca="1">IFERROR(__xludf.DUMMYFUNCTION("""COMPUTED_VALUE"""),"Win Multiplier")</f>
        <v>Win Multiplier</v>
      </c>
      <c r="AD248" s="5" t="str">
        <f ca="1">IFERROR(__xludf.DUMMYFUNCTION("""COMPUTED_VALUE"""),"0.05/30")</f>
        <v>0.05/30</v>
      </c>
      <c r="AE248" s="5"/>
      <c r="AF248" s="5"/>
      <c r="AG248" s="10">
        <f ca="1">IFERROR(__xludf.DUMMYFUNCTION("""COMPUTED_VALUE"""),46157.4768287037)</f>
        <v>46157.4768287037</v>
      </c>
      <c r="AH248" s="5"/>
      <c r="AI248" s="5"/>
      <c r="AJ248" s="5"/>
      <c r="AK248" s="5">
        <f ca="1">IFERROR(__xludf.DUMMYFUNCTION("""COMPUTED_VALUE"""),1)</f>
        <v>1</v>
      </c>
      <c r="AL248" s="5" t="str">
        <f ca="1">IFERROR(__xludf.DUMMYFUNCTION("""COMPUTED_VALUE"""),"No")</f>
        <v>No</v>
      </c>
      <c r="AM248" s="5" t="str">
        <f ca="1">IFERROR(__xludf.DUMMYFUNCTION("""COMPUTED_VALUE"""),"No")</f>
        <v>No</v>
      </c>
      <c r="AN248" s="7" t="str">
        <f ca="1">IFERROR(__xludf.DUMMYFUNCTION("""COMPUTED_VALUE"""),"https://static.redstone.rs/games/heat-double/")</f>
        <v>https://static.redstone.rs/games/heat-double/</v>
      </c>
      <c r="AO248" s="5" t="str">
        <f ca="1">IFERROR(__xludf.DUMMYFUNCTION("""COMPUTED_VALUE"""),"No")</f>
        <v>No</v>
      </c>
      <c r="AP248" s="5" t="str">
        <f ca="1">IFERROR(__xludf.DUMMYFUNCTION("""COMPUTED_VALUE"""),"No")</f>
        <v>No</v>
      </c>
      <c r="AQ248" s="5" t="b">
        <f ca="1">IFERROR(__xludf.DUMMYFUNCTION("""COMPUTED_VALUE"""),TRUE)</f>
        <v>1</v>
      </c>
      <c r="AR248" s="5"/>
      <c r="AS248" s="5" t="str">
        <f ca="1">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AT248" s="5"/>
      <c r="AU248" s="5" t="str">
        <f ca="1">IFERROR(__xludf.DUMMYFUNCTION("""COMPUTED_VALUE"""),"Redstone")</f>
        <v>Redstone</v>
      </c>
      <c r="AV248" s="5"/>
      <c r="AW248" s="5"/>
      <c r="AX248" s="5"/>
      <c r="AY248" s="5"/>
      <c r="AZ248" s="5"/>
      <c r="BA248" s="5"/>
      <c r="BB248" s="5" t="b">
        <f ca="1">IFERROR(__xludf.DUMMYFUNCTION("""COMPUTED_VALUE"""),TRUE)</f>
        <v>1</v>
      </c>
      <c r="BC248" s="5" t="str">
        <f ca="1">IFERROR(__xludf.DUMMYFUNCTION("""COMPUTED_VALUE"""),"Redstone")</f>
        <v>Redstone</v>
      </c>
      <c r="BD248" s="7" t="str">
        <f ca="1">IFERROR(__xludf.DUMMYFUNCTION("""COMPUTED_VALUE"""),"https://static.redstone.rs/games/heat-double/")</f>
        <v>https://static.redstone.rs/games/heat-double/</v>
      </c>
      <c r="BE248" s="5" t="b">
        <f ca="1">IFERROR(__xludf.DUMMYFUNCTION("""COMPUTED_VALUE"""),TRUE)</f>
        <v>1</v>
      </c>
    </row>
    <row r="249" spans="1:57" x14ac:dyDescent="0.25">
      <c r="A249" s="5">
        <f ca="1">IFERROR(__xludf.DUMMYFUNCTION("""COMPUTED_VALUE"""),249)</f>
        <v>249</v>
      </c>
      <c r="B249" s="5">
        <f ca="1">IFERROR(__xludf.DUMMYFUNCTION("""COMPUTED_VALUE"""),248)</f>
        <v>248</v>
      </c>
      <c r="C249" s="5" t="str">
        <f ca="1">IFERROR(__xludf.DUMMYFUNCTION("""COMPUTED_VALUE"""),"Tiptop")</f>
        <v>Tiptop</v>
      </c>
      <c r="D249" s="5" t="str">
        <f ca="1">IFERROR(__xludf.DUMMYFUNCTION("""COMPUTED_VALUE"""),"5 Hot Strike")</f>
        <v>5 Hot Strike</v>
      </c>
      <c r="E249" s="5"/>
      <c r="F249" s="5" t="str">
        <f ca="1">IFERROR(__xludf.DUMMYFUNCTION("""COMPUTED_VALUE"""),"Unicorn5HotStrike")</f>
        <v>Unicorn5HotStrike</v>
      </c>
      <c r="G249" s="5" t="str">
        <f ca="1">IFERROR(__xludf.DUMMYFUNCTION("""COMPUTED_VALUE"""),"Live")</f>
        <v>Live</v>
      </c>
      <c r="H249" s="5"/>
      <c r="I249" s="5" t="str">
        <f ca="1">IFERROR(__xludf.DUMMYFUNCTION("""COMPUTED_VALUE"""),"TipTop")</f>
        <v>TipTop</v>
      </c>
      <c r="J249" s="5" t="str">
        <f ca="1">IFERROR(__xludf.DUMMYFUNCTION("""COMPUTED_VALUE"""),"JSON")</f>
        <v>JSON</v>
      </c>
      <c r="K249" s="5" t="str">
        <f ca="1">IFERROR(__xludf.DUMMYFUNCTION("""COMPUTED_VALUE"""),"Slot")</f>
        <v>Slot</v>
      </c>
      <c r="L249" s="5"/>
      <c r="M249" s="5"/>
      <c r="N249" s="5"/>
      <c r="O249" s="5"/>
      <c r="P249" s="14">
        <f ca="1">IFERROR(__xludf.DUMMYFUNCTION("""COMPUTED_VALUE"""),12.3)</f>
        <v>12.3</v>
      </c>
      <c r="Q249" s="5"/>
      <c r="R249" s="5"/>
      <c r="S249" s="15">
        <f ca="1">IFERROR(__xludf.DUMMYFUNCTION("""COMPUTED_VALUE"""),45090)</f>
        <v>45090</v>
      </c>
      <c r="T249" s="5" t="b">
        <f ca="1">IFERROR(__xludf.DUMMYFUNCTION("""COMPUTED_VALUE"""),TRUE)</f>
        <v>1</v>
      </c>
      <c r="U249" s="5" t="str">
        <f ca="1">IFERROR(__xludf.DUMMYFUNCTION("""COMPUTED_VALUE"""),"5X3")</f>
        <v>5X3</v>
      </c>
      <c r="V249" s="12" t="str">
        <f ca="1">IFERROR(__xludf.DUMMYFUNCTION("""COMPUTED_VALUE"""),"5")</f>
        <v>5</v>
      </c>
      <c r="W249" s="12" t="str">
        <f ca="1">IFERROR(__xludf.DUMMYFUNCTION("""COMPUTED_VALUE"""),"5")</f>
        <v>5</v>
      </c>
      <c r="X249" s="5">
        <f ca="1">IFERROR(__xludf.DUMMYFUNCTION("""COMPUTED_VALUE"""),96)</f>
        <v>96</v>
      </c>
      <c r="Y249" s="5" t="str">
        <f ca="1">IFERROR(__xludf.DUMMYFUNCTION("""COMPUTED_VALUE"""),"Low")</f>
        <v>Low</v>
      </c>
      <c r="Z249" s="5">
        <f ca="1">IFERROR(__xludf.DUMMYFUNCTION("""COMPUTED_VALUE"""),11.41)</f>
        <v>11.41</v>
      </c>
      <c r="AA249" s="14">
        <f ca="1">IFERROR(__xludf.DUMMYFUNCTION("""COMPUTED_VALUE"""),2000)</f>
        <v>2000</v>
      </c>
      <c r="AB249" s="5"/>
      <c r="AC249" s="5" t="str">
        <f ca="1">IFERROR(__xludf.DUMMYFUNCTION("""COMPUTED_VALUE"""),"Wild Symbol, Scatter, Wild Multiplier")</f>
        <v>Wild Symbol, Scatter, Wild Multiplier</v>
      </c>
      <c r="AD249" s="5" t="str">
        <f ca="1">IFERROR(__xludf.DUMMYFUNCTION("""COMPUTED_VALUE"""),"0.05/100")</f>
        <v>0.05/100</v>
      </c>
      <c r="AE249" s="5"/>
      <c r="AF249" s="5"/>
      <c r="AG249" s="10">
        <f ca="1">IFERROR(__xludf.DUMMYFUNCTION("""COMPUTED_VALUE"""),46197.4601157407)</f>
        <v>46197.460115740701</v>
      </c>
      <c r="AH249" s="5" t="str">
        <f ca="1">IFERROR(__xludf.DUMMYFUNCTION("""COMPUTED_VALUE"""),"selena.mihajlovic@fazi.rs")</f>
        <v>selena.mihajlovic@fazi.rs</v>
      </c>
      <c r="AI249" s="5"/>
      <c r="AJ249" s="5"/>
      <c r="AK249" s="5">
        <f ca="1">IFERROR(__xludf.DUMMYFUNCTION("""COMPUTED_VALUE"""),5)</f>
        <v>5</v>
      </c>
      <c r="AL249" s="5" t="str">
        <f ca="1">IFERROR(__xludf.DUMMYFUNCTION("""COMPUTED_VALUE"""),"No")</f>
        <v>No</v>
      </c>
      <c r="AM249" s="5"/>
      <c r="AN249" s="7" t="str">
        <f ca="1">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AO249" s="5"/>
      <c r="AP249" s="5"/>
      <c r="AQ249" s="5" t="b">
        <f ca="1">IFERROR(__xludf.DUMMYFUNCTION("""COMPUTED_VALUE"""),TRUE)</f>
        <v>1</v>
      </c>
      <c r="AR249" s="5"/>
      <c r="AS249" s="5" t="str">
        <f ca="1">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AT249" s="5"/>
      <c r="AU249" s="5" t="str">
        <f ca="1">IFERROR(__xludf.DUMMYFUNCTION("""COMPUTED_VALUE"""),"Fazi")</f>
        <v>Fazi</v>
      </c>
      <c r="AV249" s="5"/>
      <c r="AW249" s="5"/>
      <c r="AX249" s="5"/>
      <c r="AY249" s="5"/>
      <c r="AZ249" s="5"/>
      <c r="BA249" s="5"/>
      <c r="BB249" s="5" t="b">
        <f ca="1">IFERROR(__xludf.DUMMYFUNCTION("""COMPUTED_VALUE"""),TRUE)</f>
        <v>1</v>
      </c>
      <c r="BC249" s="5" t="str">
        <f ca="1">IFERROR(__xludf.DUMMYFUNCTION("""COMPUTED_VALUE"""),"Tiptop")</f>
        <v>Tiptop</v>
      </c>
      <c r="BD249" s="7" t="str">
        <f ca="1">IFERROR(__xludf.DUMMYFUNCTION("""COMPUTED_VALUE"""),"https://gameserver-store-client-area.orbionlimited.com/Home/IntegrationGameLaunch/client-area?moneyType=0&amp;gameName=Unicorn5HotStrike&amp;platform=desktop&amp;languageCode=eng&amp;currency=EUR")</f>
        <v>https://gameserver-store-client-area.orbionlimited.com/Home/IntegrationGameLaunch/client-area?moneyType=0&amp;gameName=Unicorn5HotStrike&amp;platform=desktop&amp;languageCode=eng&amp;currency=EUR</v>
      </c>
      <c r="BE249" s="5" t="b">
        <f ca="1">IFERROR(__xludf.DUMMYFUNCTION("""COMPUTED_VALUE"""),TRUE)</f>
        <v>1</v>
      </c>
    </row>
    <row r="250" spans="1:57" x14ac:dyDescent="0.25">
      <c r="A250" s="5">
        <f ca="1">IFERROR(__xludf.DUMMYFUNCTION("""COMPUTED_VALUE"""),250)</f>
        <v>250</v>
      </c>
      <c r="B250" s="5">
        <f ca="1">IFERROR(__xludf.DUMMYFUNCTION("""COMPUTED_VALUE"""),249)</f>
        <v>249</v>
      </c>
      <c r="C250" s="5" t="str">
        <f ca="1">IFERROR(__xludf.DUMMYFUNCTION("""COMPUTED_VALUE"""),"Tiptop")</f>
        <v>Tiptop</v>
      </c>
      <c r="D250" s="5" t="str">
        <f ca="1">IFERROR(__xludf.DUMMYFUNCTION("""COMPUTED_VALUE"""),"Bikini Fruits")</f>
        <v>Bikini Fruits</v>
      </c>
      <c r="E250" s="5"/>
      <c r="F250" s="5" t="str">
        <f ca="1">IFERROR(__xludf.DUMMYFUNCTION("""COMPUTED_VALUE"""),"UnicornBikiniFruits")</f>
        <v>UnicornBikiniFruits</v>
      </c>
      <c r="G250" s="5" t="str">
        <f ca="1">IFERROR(__xludf.DUMMYFUNCTION("""COMPUTED_VALUE"""),"Live")</f>
        <v>Live</v>
      </c>
      <c r="H250" s="5"/>
      <c r="I250" s="5" t="str">
        <f ca="1">IFERROR(__xludf.DUMMYFUNCTION("""COMPUTED_VALUE"""),"TipTop")</f>
        <v>TipTop</v>
      </c>
      <c r="J250" s="5" t="str">
        <f ca="1">IFERROR(__xludf.DUMMYFUNCTION("""COMPUTED_VALUE"""),"JSON")</f>
        <v>JSON</v>
      </c>
      <c r="K250" s="5" t="str">
        <f ca="1">IFERROR(__xludf.DUMMYFUNCTION("""COMPUTED_VALUE"""),"Slot")</f>
        <v>Slot</v>
      </c>
      <c r="L250" s="5"/>
      <c r="M250" s="5"/>
      <c r="N250" s="5"/>
      <c r="O250" s="5"/>
      <c r="P250" s="14">
        <f ca="1">IFERROR(__xludf.DUMMYFUNCTION("""COMPUTED_VALUE"""),13.8)</f>
        <v>13.8</v>
      </c>
      <c r="Q250" s="5"/>
      <c r="R250" s="5"/>
      <c r="S250" s="15">
        <f ca="1">IFERROR(__xludf.DUMMYFUNCTION("""COMPUTED_VALUE"""),45106)</f>
        <v>45106</v>
      </c>
      <c r="T250" s="5" t="b">
        <f ca="1">IFERROR(__xludf.DUMMYFUNCTION("""COMPUTED_VALUE"""),TRUE)</f>
        <v>1</v>
      </c>
      <c r="U250" s="5" t="str">
        <f ca="1">IFERROR(__xludf.DUMMYFUNCTION("""COMPUTED_VALUE"""),"5X3")</f>
        <v>5X3</v>
      </c>
      <c r="V250" s="12" t="str">
        <f ca="1">IFERROR(__xludf.DUMMYFUNCTION("""COMPUTED_VALUE"""),"10")</f>
        <v>10</v>
      </c>
      <c r="W250" s="12" t="str">
        <f ca="1">IFERROR(__xludf.DUMMYFUNCTION("""COMPUTED_VALUE"""),"10")</f>
        <v>10</v>
      </c>
      <c r="X250" s="5">
        <f ca="1">IFERROR(__xludf.DUMMYFUNCTION("""COMPUTED_VALUE"""),96)</f>
        <v>96</v>
      </c>
      <c r="Y250" s="5" t="str">
        <f ca="1">IFERROR(__xludf.DUMMYFUNCTION("""COMPUTED_VALUE"""),"High")</f>
        <v>High</v>
      </c>
      <c r="Z250" s="5">
        <f ca="1">IFERROR(__xludf.DUMMYFUNCTION("""COMPUTED_VALUE"""),36.03)</f>
        <v>36.03</v>
      </c>
      <c r="AA250" s="14">
        <f ca="1">IFERROR(__xludf.DUMMYFUNCTION("""COMPUTED_VALUE"""),5000)</f>
        <v>5000</v>
      </c>
      <c r="AB250" s="5"/>
      <c r="AC250" s="5" t="str">
        <f ca="1">IFERROR(__xludf.DUMMYFUNCTION("""COMPUTED_VALUE"""),"Bonus Game with Multiplier, Wild Symbol")</f>
        <v>Bonus Game with Multiplier, Wild Symbol</v>
      </c>
      <c r="AD250" s="5" t="str">
        <f ca="1">IFERROR(__xludf.DUMMYFUNCTION("""COMPUTED_VALUE"""),"0.1/100")</f>
        <v>0.1/100</v>
      </c>
      <c r="AE250" s="5"/>
      <c r="AF250" s="5"/>
      <c r="AG250" s="10">
        <f ca="1">IFERROR(__xludf.DUMMYFUNCTION("""COMPUTED_VALUE"""),46197.4603356481)</f>
        <v>46197.460335648102</v>
      </c>
      <c r="AH250" s="5" t="str">
        <f ca="1">IFERROR(__xludf.DUMMYFUNCTION("""COMPUTED_VALUE"""),"selena.mihajlovic@fazi.rs")</f>
        <v>selena.mihajlovic@fazi.rs</v>
      </c>
      <c r="AI250" s="5"/>
      <c r="AJ250" s="5"/>
      <c r="AK250" s="5">
        <f ca="1">IFERROR(__xludf.DUMMYFUNCTION("""COMPUTED_VALUE"""),10)</f>
        <v>10</v>
      </c>
      <c r="AL250" s="5" t="str">
        <f ca="1">IFERROR(__xludf.DUMMYFUNCTION("""COMPUTED_VALUE"""),"No")</f>
        <v>No</v>
      </c>
      <c r="AM250" s="5"/>
      <c r="AN250" s="7" t="str">
        <f ca="1">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AO250" s="5"/>
      <c r="AP250" s="5"/>
      <c r="AQ250" s="5" t="b">
        <f ca="1">IFERROR(__xludf.DUMMYFUNCTION("""COMPUTED_VALUE"""),TRUE)</f>
        <v>1</v>
      </c>
      <c r="AR250" s="5"/>
      <c r="AS250" s="5" t="str">
        <f ca="1">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AT250" s="5"/>
      <c r="AU250" s="5" t="str">
        <f ca="1">IFERROR(__xludf.DUMMYFUNCTION("""COMPUTED_VALUE"""),"Fazi")</f>
        <v>Fazi</v>
      </c>
      <c r="AV250" s="5"/>
      <c r="AW250" s="5"/>
      <c r="AX250" s="5"/>
      <c r="AY250" s="5"/>
      <c r="AZ250" s="5"/>
      <c r="BA250" s="5"/>
      <c r="BB250" s="5" t="b">
        <f ca="1">IFERROR(__xludf.DUMMYFUNCTION("""COMPUTED_VALUE"""),TRUE)</f>
        <v>1</v>
      </c>
      <c r="BC250" s="5" t="str">
        <f ca="1">IFERROR(__xludf.DUMMYFUNCTION("""COMPUTED_VALUE"""),"Tiptop")</f>
        <v>Tiptop</v>
      </c>
      <c r="BD250" s="7" t="str">
        <f ca="1">IFERROR(__xludf.DUMMYFUNCTION("""COMPUTED_VALUE"""),"https://gameserver-store-client-area.orbionlimited.com/Home/IntegrationGameLaunch/client-area?moneyType=0&amp;gameName=UnicornBikiniFruits&amp;platform=desktop&amp;languageCode=eng&amp;currency=EUR")</f>
        <v>https://gameserver-store-client-area.orbionlimited.com/Home/IntegrationGameLaunch/client-area?moneyType=0&amp;gameName=UnicornBikiniFruits&amp;platform=desktop&amp;languageCode=eng&amp;currency=EUR</v>
      </c>
      <c r="BE250" s="5" t="b">
        <f ca="1">IFERROR(__xludf.DUMMYFUNCTION("""COMPUTED_VALUE"""),TRUE)</f>
        <v>1</v>
      </c>
    </row>
    <row r="251" spans="1:57" x14ac:dyDescent="0.25">
      <c r="A251" s="5">
        <f ca="1">IFERROR(__xludf.DUMMYFUNCTION("""COMPUTED_VALUE"""),251)</f>
        <v>251</v>
      </c>
      <c r="B251" s="5">
        <f ca="1">IFERROR(__xludf.DUMMYFUNCTION("""COMPUTED_VALUE"""),250)</f>
        <v>250</v>
      </c>
      <c r="C251" s="5" t="str">
        <f ca="1">IFERROR(__xludf.DUMMYFUNCTION("""COMPUTED_VALUE"""),"Tiptop")</f>
        <v>Tiptop</v>
      </c>
      <c r="D251" s="5" t="str">
        <f ca="1">IFERROR(__xludf.DUMMYFUNCTION("""COMPUTED_VALUE"""),"Unicorn Queen Of Pyramids")</f>
        <v>Unicorn Queen Of Pyramids</v>
      </c>
      <c r="E251" s="5"/>
      <c r="F251" s="5" t="str">
        <f ca="1">IFERROR(__xludf.DUMMYFUNCTION("""COMPUTED_VALUE"""),"UnicornQueenOfPyramids")</f>
        <v>UnicornQueenOfPyramids</v>
      </c>
      <c r="G251" s="5" t="str">
        <f ca="1">IFERROR(__xludf.DUMMYFUNCTION("""COMPUTED_VALUE"""),"Retired")</f>
        <v>Retired</v>
      </c>
      <c r="H251" s="5"/>
      <c r="I251" s="5" t="str">
        <f ca="1">IFERROR(__xludf.DUMMYFUNCTION("""COMPUTED_VALUE"""),"TipTop")</f>
        <v>TipTop</v>
      </c>
      <c r="J251" s="5" t="str">
        <f ca="1">IFERROR(__xludf.DUMMYFUNCTION("""COMPUTED_VALUE"""),"JSON")</f>
        <v>JSON</v>
      </c>
      <c r="K251" s="5" t="str">
        <f ca="1">IFERROR(__xludf.DUMMYFUNCTION("""COMPUTED_VALUE"""),"Slot")</f>
        <v>Slot</v>
      </c>
      <c r="L251" s="5"/>
      <c r="M251" s="5"/>
      <c r="N251" s="5"/>
      <c r="O251" s="5"/>
      <c r="P251" s="5"/>
      <c r="Q251" s="5"/>
      <c r="R251" s="5"/>
      <c r="S251" s="5"/>
      <c r="T251" s="5"/>
      <c r="U251" s="5"/>
      <c r="V251" s="12" t="str">
        <f ca="1">IFERROR(__xludf.DUMMYFUNCTION("""COMPUTED_VALUE"""),"10")</f>
        <v>10</v>
      </c>
      <c r="W251" s="5"/>
      <c r="X251" s="13">
        <f ca="1">IFERROR(__xludf.DUMMYFUNCTION("""COMPUTED_VALUE"""),0)</f>
        <v>0</v>
      </c>
      <c r="Y251" s="5"/>
      <c r="Z251" s="5">
        <f ca="1">IFERROR(__xludf.DUMMYFUNCTION("""COMPUTED_VALUE"""),0)</f>
        <v>0</v>
      </c>
      <c r="AA251" s="5"/>
      <c r="AB251" s="5"/>
      <c r="AC251" s="5"/>
      <c r="AD251" s="5"/>
      <c r="AE251" s="5"/>
      <c r="AF251" s="5"/>
      <c r="AG251" s="10">
        <f ca="1">IFERROR(__xludf.DUMMYFUNCTION("""COMPUTED_VALUE"""),46195.5530787037)</f>
        <v>46195.553078703699</v>
      </c>
      <c r="AH251" s="5" t="str">
        <f ca="1">IFERROR(__xludf.DUMMYFUNCTION("""COMPUTED_VALUE"""),"danica.petrovic@fazi.rs")</f>
        <v>danica.petrovic@fazi.rs</v>
      </c>
      <c r="AI251" s="5"/>
      <c r="AJ251" s="5"/>
      <c r="AK251" s="5" t="str">
        <f ca="1">IFERROR(__xludf.DUMMYFUNCTION("""COMPUTED_VALUE"""),"NULL")</f>
        <v>NULL</v>
      </c>
      <c r="AL251" s="5"/>
      <c r="AM251" s="5"/>
      <c r="AN251" s="5"/>
      <c r="AO251" s="5"/>
      <c r="AP251" s="5"/>
      <c r="AQ251" s="5"/>
      <c r="AR251" s="5"/>
      <c r="AS251" s="5"/>
      <c r="AT251" s="5"/>
      <c r="AU251" s="5" t="str">
        <f ca="1">IFERROR(__xludf.DUMMYFUNCTION("""COMPUTED_VALUE"""),"Fazi")</f>
        <v>Fazi</v>
      </c>
      <c r="AV251" s="5"/>
      <c r="AW251" s="5"/>
      <c r="AX251" s="5"/>
      <c r="AY251" s="5"/>
      <c r="AZ251" s="5"/>
      <c r="BA251" s="5"/>
      <c r="BB251" s="5"/>
      <c r="BC251" s="5" t="str">
        <f ca="1">IFERROR(__xludf.DUMMYFUNCTION("""COMPUTED_VALUE"""),"Tiptop")</f>
        <v>Tiptop</v>
      </c>
      <c r="BD251" s="5"/>
      <c r="BE251" s="5"/>
    </row>
    <row r="252" spans="1:57" x14ac:dyDescent="0.25">
      <c r="A252" s="5">
        <f ca="1">IFERROR(__xludf.DUMMYFUNCTION("""COMPUTED_VALUE"""),252)</f>
        <v>252</v>
      </c>
      <c r="B252" s="5">
        <f ca="1">IFERROR(__xludf.DUMMYFUNCTION("""COMPUTED_VALUE"""),251)</f>
        <v>251</v>
      </c>
      <c r="C252" s="5" t="str">
        <f ca="1">IFERROR(__xludf.DUMMYFUNCTION("""COMPUTED_VALUE"""),"Fazi")</f>
        <v>Fazi</v>
      </c>
      <c r="D252" s="5" t="str">
        <f ca="1">IFERROR(__xludf.DUMMYFUNCTION("""COMPUTED_VALUE"""),"Kettys Fashion World")</f>
        <v>Kettys Fashion World</v>
      </c>
      <c r="E252" s="5" t="str">
        <f ca="1">IFERROR(__xludf.DUMMYFUNCTION("""COMPUTED_VALUE"""),"V2")</f>
        <v>V2</v>
      </c>
      <c r="F252" s="5" t="str">
        <f ca="1">IFERROR(__xludf.DUMMYFUNCTION("""COMPUTED_VALUE"""),"KettysFashionWorld")</f>
        <v>KettysFashionWorld</v>
      </c>
      <c r="G252" s="5" t="str">
        <f ca="1">IFERROR(__xludf.DUMMYFUNCTION("""COMPUTED_VALUE"""),"Live")</f>
        <v>Live</v>
      </c>
      <c r="H252" s="5" t="str">
        <f ca="1">IFERROR(__xludf.DUMMYFUNCTION("""COMPUTED_VALUE"""),"Fashion TV")</f>
        <v>Fashion TV</v>
      </c>
      <c r="I252" s="5" t="str">
        <f ca="1">IFERROR(__xludf.DUMMYFUNCTION("""COMPUTED_VALUE"""),"V2")</f>
        <v>V2</v>
      </c>
      <c r="J252" s="5" t="str">
        <f ca="1">IFERROR(__xludf.DUMMYFUNCTION("""COMPUTED_VALUE"""),"Binary")</f>
        <v>Binary</v>
      </c>
      <c r="K252" s="5" t="str">
        <f ca="1">IFERROR(__xludf.DUMMYFUNCTION("""COMPUTED_VALUE"""),"Slot")</f>
        <v>Slot</v>
      </c>
      <c r="L252" s="5" t="str">
        <f ca="1">IFERROR(__xludf.DUMMYFUNCTION("""COMPUTED_VALUE"""),"Clone")</f>
        <v>Clone</v>
      </c>
      <c r="M252" s="5" t="str">
        <f ca="1">IFERROR(__xludf.DUMMYFUNCTION("""COMPUTED_VALUE"""),"Lollas World")</f>
        <v>Lollas World</v>
      </c>
      <c r="N252" s="5"/>
      <c r="O252" s="5"/>
      <c r="P252" s="14">
        <f ca="1">IFERROR(__xludf.DUMMYFUNCTION("""COMPUTED_VALUE"""),24.5)</f>
        <v>24.5</v>
      </c>
      <c r="Q252" s="5"/>
      <c r="R252" s="5"/>
      <c r="S252" s="15">
        <f ca="1">IFERROR(__xludf.DUMMYFUNCTION("""COMPUTED_VALUE"""),45160)</f>
        <v>45160</v>
      </c>
      <c r="T252" s="5" t="b">
        <f ca="1">IFERROR(__xludf.DUMMYFUNCTION("""COMPUTED_VALUE"""),TRUE)</f>
        <v>1</v>
      </c>
      <c r="U252" s="5" t="str">
        <f ca="1">IFERROR(__xludf.DUMMYFUNCTION("""COMPUTED_VALUE"""),"5x4")</f>
        <v>5x4</v>
      </c>
      <c r="V252" s="12" t="str">
        <f ca="1">IFERROR(__xludf.DUMMYFUNCTION("""COMPUTED_VALUE"""),"40")</f>
        <v>40</v>
      </c>
      <c r="W252" s="12" t="str">
        <f ca="1">IFERROR(__xludf.DUMMYFUNCTION("""COMPUTED_VALUE"""),"40")</f>
        <v>40</v>
      </c>
      <c r="X252" s="5">
        <f ca="1">IFERROR(__xludf.DUMMYFUNCTION("""COMPUTED_VALUE"""),95.479)</f>
        <v>95.478999999999999</v>
      </c>
      <c r="Y252" s="5" t="str">
        <f ca="1">IFERROR(__xludf.DUMMYFUNCTION("""COMPUTED_VALUE"""),"Medium")</f>
        <v>Medium</v>
      </c>
      <c r="Z252" s="5">
        <f ca="1">IFERROR(__xludf.DUMMYFUNCTION("""COMPUTED_VALUE"""),14.7999999999999)</f>
        <v>14.799999999999899</v>
      </c>
      <c r="AA252" s="14">
        <f ca="1">IFERROR(__xludf.DUMMYFUNCTION("""COMPUTED_VALUE"""),1000)</f>
        <v>1000</v>
      </c>
      <c r="AB252" s="5" t="str">
        <f ca="1">IFERROR(__xludf.DUMMYFUNCTION("""COMPUTED_VALUE"""),"/")</f>
        <v>/</v>
      </c>
      <c r="AC252" s="5" t="str">
        <f ca="1">IFERROR(__xludf.DUMMYFUNCTION("""COMPUTED_VALUE"""),"Scatter, Wild Symbol")</f>
        <v>Scatter, Wild Symbol</v>
      </c>
      <c r="AD252" s="5" t="str">
        <f ca="1">IFERROR(__xludf.DUMMYFUNCTION("""COMPUTED_VALUE"""),"0.4/60")</f>
        <v>0.4/60</v>
      </c>
      <c r="AE252" s="5"/>
      <c r="AF252" s="5"/>
      <c r="AG252" s="10">
        <f ca="1">IFERROR(__xludf.DUMMYFUNCTION("""COMPUTED_VALUE"""),46104.5913657407)</f>
        <v>46104.5913657407</v>
      </c>
      <c r="AH252" s="5" t="str">
        <f ca="1">IFERROR(__xludf.DUMMYFUNCTION("""COMPUTED_VALUE"""),"petra.ilic@fazi.rs")</f>
        <v>petra.ilic@fazi.rs</v>
      </c>
      <c r="AI252" s="5"/>
      <c r="AJ252" s="5"/>
      <c r="AK252" s="5">
        <f ca="1">IFERROR(__xludf.DUMMYFUNCTION("""COMPUTED_VALUE"""),40)</f>
        <v>40</v>
      </c>
      <c r="AL252" s="5" t="str">
        <f ca="1">IFERROR(__xludf.DUMMYFUNCTION("""COMPUTED_VALUE"""),"Yes")</f>
        <v>Yes</v>
      </c>
      <c r="AM252" s="5"/>
      <c r="AN252" s="7" t="str">
        <f ca="1">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AO252" s="5"/>
      <c r="AP252" s="5"/>
      <c r="AQ252" s="5" t="b">
        <f ca="1">IFERROR(__xludf.DUMMYFUNCTION("""COMPUTED_VALUE"""),TRUE)</f>
        <v>1</v>
      </c>
      <c r="AR252" s="5" t="b">
        <f ca="1">IFERROR(__xludf.DUMMYFUNCTION("""COMPUTED_VALUE"""),TRUE)</f>
        <v>1</v>
      </c>
      <c r="AS252" s="5" t="str">
        <f ca="1">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AT252" s="5"/>
      <c r="AU252" s="5" t="str">
        <f ca="1">IFERROR(__xludf.DUMMYFUNCTION("""COMPUTED_VALUE"""),"Fazi")</f>
        <v>Fazi</v>
      </c>
      <c r="AV252" s="5"/>
      <c r="AW252" s="5"/>
      <c r="AX252" s="5"/>
      <c r="AY252" s="5"/>
      <c r="AZ252" s="5"/>
      <c r="BA252" s="5" t="str">
        <f ca="1">IFERROR(__xludf.DUMMYFUNCTION("""COMPUTED_VALUE"""),"")</f>
        <v/>
      </c>
      <c r="BB252" s="5"/>
      <c r="BC252" s="5" t="str">
        <f ca="1">IFERROR(__xludf.DUMMYFUNCTION("""COMPUTED_VALUE"""),"Foxi")</f>
        <v>Foxi</v>
      </c>
      <c r="BD252" s="7" t="str">
        <f ca="1">IFERROR(__xludf.DUMMYFUNCTION("""COMPUTED_VALUE"""),"https://gameserver-store-client-area.orbionlimited.com/Home/IntegrationGameLaunch/client-area?moneyType=0&amp;gameName=KettysFashionWorld&amp;platform=desktop&amp;languageCode=eng&amp;currency=EUR")</f>
        <v>https://gameserver-store-client-area.orbionlimited.com/Home/IntegrationGameLaunch/client-area?moneyType=0&amp;gameName=KettysFashionWorld&amp;platform=desktop&amp;languageCode=eng&amp;currency=EUR</v>
      </c>
      <c r="BE252" s="5" t="b">
        <f ca="1">IFERROR(__xludf.DUMMYFUNCTION("""COMPUTED_VALUE"""),TRUE)</f>
        <v>1</v>
      </c>
    </row>
    <row r="253" spans="1:57" x14ac:dyDescent="0.25">
      <c r="A253" s="5">
        <f ca="1">IFERROR(__xludf.DUMMYFUNCTION("""COMPUTED_VALUE"""),253)</f>
        <v>253</v>
      </c>
      <c r="B253" s="5">
        <f ca="1">IFERROR(__xludf.DUMMYFUNCTION("""COMPUTED_VALUE"""),252)</f>
        <v>252</v>
      </c>
      <c r="C253" s="5" t="str">
        <f ca="1">IFERROR(__xludf.DUMMYFUNCTION("""COMPUTED_VALUE"""),"Fazi")</f>
        <v>Fazi</v>
      </c>
      <c r="D253" s="5" t="str">
        <f ca="1">IFERROR(__xludf.DUMMYFUNCTION("""COMPUTED_VALUE"""),"Retro Fire")</f>
        <v>Retro Fire</v>
      </c>
      <c r="E253" s="5" t="str">
        <f ca="1">IFERROR(__xludf.DUMMYFUNCTION("""COMPUTED_VALUE"""),"V2")</f>
        <v>V2</v>
      </c>
      <c r="F253" s="5" t="str">
        <f ca="1">IFERROR(__xludf.DUMMYFUNCTION("""COMPUTED_VALUE"""),"RetroFire")</f>
        <v>RetroFire</v>
      </c>
      <c r="G253" s="5" t="str">
        <f ca="1">IFERROR(__xludf.DUMMYFUNCTION("""COMPUTED_VALUE"""),"Live")</f>
        <v>Live</v>
      </c>
      <c r="H253" s="5"/>
      <c r="I253" s="5" t="str">
        <f ca="1">IFERROR(__xludf.DUMMYFUNCTION("""COMPUTED_VALUE"""),"V2")</f>
        <v>V2</v>
      </c>
      <c r="J253" s="5" t="str">
        <f ca="1">IFERROR(__xludf.DUMMYFUNCTION("""COMPUTED_VALUE"""),"Binary")</f>
        <v>Binary</v>
      </c>
      <c r="K253" s="5" t="str">
        <f ca="1">IFERROR(__xludf.DUMMYFUNCTION("""COMPUTED_VALUE"""),"Slot")</f>
        <v>Slot</v>
      </c>
      <c r="L253" s="5"/>
      <c r="M253" s="5"/>
      <c r="N253" s="5"/>
      <c r="O253" s="5"/>
      <c r="P253" s="14">
        <f ca="1">IFERROR(__xludf.DUMMYFUNCTION("""COMPUTED_VALUE"""),17)</f>
        <v>17</v>
      </c>
      <c r="Q253" s="5"/>
      <c r="R253" s="5"/>
      <c r="S253" s="15">
        <f ca="1">IFERROR(__xludf.DUMMYFUNCTION("""COMPUTED_VALUE"""),45182)</f>
        <v>45182</v>
      </c>
      <c r="T253" s="5" t="b">
        <f ca="1">IFERROR(__xludf.DUMMYFUNCTION("""COMPUTED_VALUE"""),TRUE)</f>
        <v>1</v>
      </c>
      <c r="U253" s="5" t="str">
        <f ca="1">IFERROR(__xludf.DUMMYFUNCTION("""COMPUTED_VALUE"""),"5x4")</f>
        <v>5x4</v>
      </c>
      <c r="V253" s="12" t="str">
        <f ca="1">IFERROR(__xludf.DUMMYFUNCTION("""COMPUTED_VALUE"""),"40")</f>
        <v>40</v>
      </c>
      <c r="W253" s="12" t="str">
        <f ca="1">IFERROR(__xludf.DUMMYFUNCTION("""COMPUTED_VALUE"""),"40")</f>
        <v>40</v>
      </c>
      <c r="X253" s="5">
        <f ca="1">IFERROR(__xludf.DUMMYFUNCTION("""COMPUTED_VALUE"""),96.584)</f>
        <v>96.584000000000003</v>
      </c>
      <c r="Y253" s="5" t="str">
        <f ca="1">IFERROR(__xludf.DUMMYFUNCTION("""COMPUTED_VALUE"""),"Low")</f>
        <v>Low</v>
      </c>
      <c r="Z253" s="5">
        <f ca="1">IFERROR(__xludf.DUMMYFUNCTION("""COMPUTED_VALUE"""),16.73)</f>
        <v>16.73</v>
      </c>
      <c r="AA253" s="14">
        <f ca="1">IFERROR(__xludf.DUMMYFUNCTION("""COMPUTED_VALUE"""),1000)</f>
        <v>1000</v>
      </c>
      <c r="AB253" s="5" t="str">
        <f ca="1">IFERROR(__xludf.DUMMYFUNCTION("""COMPUTED_VALUE"""),"/")</f>
        <v>/</v>
      </c>
      <c r="AC253" s="5" t="str">
        <f ca="1">IFERROR(__xludf.DUMMYFUNCTION("""COMPUTED_VALUE"""),"Wild Symbol, Scatter")</f>
        <v>Wild Symbol, Scatter</v>
      </c>
      <c r="AD253" s="5" t="str">
        <f ca="1">IFERROR(__xludf.DUMMYFUNCTION("""COMPUTED_VALUE"""),"0.40/60")</f>
        <v>0.40/60</v>
      </c>
      <c r="AE253" s="5"/>
      <c r="AF253" s="5"/>
      <c r="AG253" s="5"/>
      <c r="AH253" s="5"/>
      <c r="AI253" s="5"/>
      <c r="AJ253" s="5"/>
      <c r="AK253" s="5">
        <f ca="1">IFERROR(__xludf.DUMMYFUNCTION("""COMPUTED_VALUE"""),40)</f>
        <v>40</v>
      </c>
      <c r="AL253" s="5" t="str">
        <f ca="1">IFERROR(__xludf.DUMMYFUNCTION("""COMPUTED_VALUE"""),"Yes")</f>
        <v>Yes</v>
      </c>
      <c r="AM253" s="5"/>
      <c r="AN253" s="7" t="str">
        <f ca="1">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AO253" s="5"/>
      <c r="AP253" s="5"/>
      <c r="AQ253" s="5" t="b">
        <f ca="1">IFERROR(__xludf.DUMMYFUNCTION("""COMPUTED_VALUE"""),TRUE)</f>
        <v>1</v>
      </c>
      <c r="AR253" s="5"/>
      <c r="AS253" s="5" t="str">
        <f ca="1">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AT253" s="5"/>
      <c r="AU253" s="5" t="str">
        <f ca="1">IFERROR(__xludf.DUMMYFUNCTION("""COMPUTED_VALUE"""),"Fazi")</f>
        <v>Fazi</v>
      </c>
      <c r="AV253" s="5"/>
      <c r="AW253" s="5"/>
      <c r="AX253" s="5"/>
      <c r="AY253" s="5"/>
      <c r="AZ253" s="5"/>
      <c r="BA253" s="5" t="str">
        <f ca="1">IFERROR(__xludf.DUMMYFUNCTION("""COMPUTED_VALUE"""),"")</f>
        <v/>
      </c>
      <c r="BB253" s="5"/>
      <c r="BC253" s="5" t="str">
        <f ca="1">IFERROR(__xludf.DUMMYFUNCTION("""COMPUTED_VALUE"""),"Foxi")</f>
        <v>Foxi</v>
      </c>
      <c r="BD253" s="7" t="str">
        <f ca="1">IFERROR(__xludf.DUMMYFUNCTION("""COMPUTED_VALUE"""),"https://gameserver-store-client-area.orbionlimited.com/Home/IntegrationGameLaunch/client-area?moneyType=0&amp;gameName=RetroFire&amp;platform=desktop&amp;languageCode=eng&amp;currency=EUR")</f>
        <v>https://gameserver-store-client-area.orbionlimited.com/Home/IntegrationGameLaunch/client-area?moneyType=0&amp;gameName=RetroFire&amp;platform=desktop&amp;languageCode=eng&amp;currency=EUR</v>
      </c>
      <c r="BE253" s="5" t="b">
        <f ca="1">IFERROR(__xludf.DUMMYFUNCTION("""COMPUTED_VALUE"""),TRUE)</f>
        <v>1</v>
      </c>
    </row>
    <row r="254" spans="1:57" x14ac:dyDescent="0.25">
      <c r="A254" s="5">
        <f ca="1">IFERROR(__xludf.DUMMYFUNCTION("""COMPUTED_VALUE"""),254)</f>
        <v>254</v>
      </c>
      <c r="B254" s="5">
        <f ca="1">IFERROR(__xludf.DUMMYFUNCTION("""COMPUTED_VALUE"""),253)</f>
        <v>253</v>
      </c>
      <c r="C254" s="5" t="str">
        <f ca="1">IFERROR(__xludf.DUMMYFUNCTION("""COMPUTED_VALUE"""),"Fazi")</f>
        <v>Fazi</v>
      </c>
      <c r="D254" s="5" t="str">
        <f ca="1">IFERROR(__xludf.DUMMYFUNCTION("""COMPUTED_VALUE"""),"Money 5")</f>
        <v>Money 5</v>
      </c>
      <c r="E254" s="5" t="str">
        <f ca="1">IFERROR(__xludf.DUMMYFUNCTION("""COMPUTED_VALUE"""),"V2")</f>
        <v>V2</v>
      </c>
      <c r="F254" s="5" t="str">
        <f ca="1">IFERROR(__xludf.DUMMYFUNCTION("""COMPUTED_VALUE"""),"Money5")</f>
        <v>Money5</v>
      </c>
      <c r="G254" s="5" t="str">
        <f ca="1">IFERROR(__xludf.DUMMYFUNCTION("""COMPUTED_VALUE"""),"Live")</f>
        <v>Live</v>
      </c>
      <c r="H254" s="5"/>
      <c r="I254" s="5" t="str">
        <f ca="1">IFERROR(__xludf.DUMMYFUNCTION("""COMPUTED_VALUE"""),"V2")</f>
        <v>V2</v>
      </c>
      <c r="J254" s="5" t="str">
        <f ca="1">IFERROR(__xludf.DUMMYFUNCTION("""COMPUTED_VALUE"""),"JSON")</f>
        <v>JSON</v>
      </c>
      <c r="K254" s="5" t="str">
        <f ca="1">IFERROR(__xludf.DUMMYFUNCTION("""COMPUTED_VALUE"""),"Slot")</f>
        <v>Slot</v>
      </c>
      <c r="L254" s="5" t="str">
        <f ca="1">IFERROR(__xludf.DUMMYFUNCTION("""COMPUTED_VALUE"""),"Clone")</f>
        <v>Clone</v>
      </c>
      <c r="M254" s="5" t="str">
        <f ca="1">IFERROR(__xludf.DUMMYFUNCTION("""COMPUTED_VALUE"""),"Very Hot 5")</f>
        <v>Very Hot 5</v>
      </c>
      <c r="N254" s="5"/>
      <c r="O254" s="5"/>
      <c r="P254" s="14">
        <f ca="1">IFERROR(__xludf.DUMMYFUNCTION("""COMPUTED_VALUE"""),24)</f>
        <v>24</v>
      </c>
      <c r="Q254" s="5"/>
      <c r="R254" s="5"/>
      <c r="S254" s="15">
        <f ca="1">IFERROR(__xludf.DUMMYFUNCTION("""COMPUTED_VALUE"""),45327)</f>
        <v>45327</v>
      </c>
      <c r="T254" s="5" t="b">
        <f ca="1">IFERROR(__xludf.DUMMYFUNCTION("""COMPUTED_VALUE"""),TRUE)</f>
        <v>1</v>
      </c>
      <c r="U254" s="5" t="str">
        <f ca="1">IFERROR(__xludf.DUMMYFUNCTION("""COMPUTED_VALUE"""),"5x3")</f>
        <v>5x3</v>
      </c>
      <c r="V254" s="12" t="str">
        <f ca="1">IFERROR(__xludf.DUMMYFUNCTION("""COMPUTED_VALUE"""),"5")</f>
        <v>5</v>
      </c>
      <c r="W254" s="12" t="str">
        <f ca="1">IFERROR(__xludf.DUMMYFUNCTION("""COMPUTED_VALUE"""),"5")</f>
        <v>5</v>
      </c>
      <c r="X254" s="5">
        <f ca="1">IFERROR(__xludf.DUMMYFUNCTION("""COMPUTED_VALUE"""),96.786)</f>
        <v>96.786000000000001</v>
      </c>
      <c r="Y254" s="5" t="str">
        <f ca="1">IFERROR(__xludf.DUMMYFUNCTION("""COMPUTED_VALUE"""),"Medium")</f>
        <v>Medium</v>
      </c>
      <c r="Z254" s="5">
        <f ca="1">IFERROR(__xludf.DUMMYFUNCTION("""COMPUTED_VALUE"""),14.4999999999999)</f>
        <v>14.499999999999901</v>
      </c>
      <c r="AA254" s="14">
        <f ca="1">IFERROR(__xludf.DUMMYFUNCTION("""COMPUTED_VALUE"""),1222)</f>
        <v>1222</v>
      </c>
      <c r="AB254" s="5">
        <f ca="1">IFERROR(__xludf.DUMMYFUNCTION("""COMPUTED_VALUE"""),4)</f>
        <v>4</v>
      </c>
      <c r="AC254" s="5" t="str">
        <f ca="1">IFERROR(__xludf.DUMMYFUNCTION("""COMPUTED_VALUE"""),"Scatter, Expanding Wild")</f>
        <v>Scatter, Expanding Wild</v>
      </c>
      <c r="AD254" s="5" t="str">
        <f ca="1">IFERROR(__xludf.DUMMYFUNCTION("""COMPUTED_VALUE"""),"0.05/30")</f>
        <v>0.05/30</v>
      </c>
      <c r="AE254" s="5"/>
      <c r="AF254" s="5"/>
      <c r="AG254" s="10">
        <f ca="1">IFERROR(__xludf.DUMMYFUNCTION("""COMPUTED_VALUE"""),46112.3856018518)</f>
        <v>46112.385601851798</v>
      </c>
      <c r="AH254" s="5" t="str">
        <f ca="1">IFERROR(__xludf.DUMMYFUNCTION("""COMPUTED_VALUE"""),"milutin.toskic@fazi.rs")</f>
        <v>milutin.toskic@fazi.rs</v>
      </c>
      <c r="AI254" s="5"/>
      <c r="AJ254" s="5"/>
      <c r="AK254" s="5">
        <f ca="1">IFERROR(__xludf.DUMMYFUNCTION("""COMPUTED_VALUE"""),5)</f>
        <v>5</v>
      </c>
      <c r="AL254" s="5" t="str">
        <f ca="1">IFERROR(__xludf.DUMMYFUNCTION("""COMPUTED_VALUE"""),"Yes")</f>
        <v>Yes</v>
      </c>
      <c r="AM254" s="5"/>
      <c r="AN254" s="7" t="str">
        <f ca="1">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AO254" s="5" t="str">
        <f ca="1">IFERROR(__xludf.DUMMYFUNCTION("""COMPUTED_VALUE"""),"Yes")</f>
        <v>Yes</v>
      </c>
      <c r="AP254" s="5" t="str">
        <f ca="1">IFERROR(__xludf.DUMMYFUNCTION("""COMPUTED_VALUE"""),"Yes")</f>
        <v>Yes</v>
      </c>
      <c r="AQ254" s="5" t="b">
        <f ca="1">IFERROR(__xludf.DUMMYFUNCTION("""COMPUTED_VALUE"""),TRUE)</f>
        <v>1</v>
      </c>
      <c r="AR254" s="5"/>
      <c r="AS254" s="5" t="str">
        <f ca="1">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AT254" s="5" t="str">
        <f ca="1">IFERROR(__xludf.DUMMYFUNCTION("""COMPUTED_VALUE"""),"Yes")</f>
        <v>Yes</v>
      </c>
      <c r="AU254" s="5" t="str">
        <f ca="1">IFERROR(__xludf.DUMMYFUNCTION("""COMPUTED_VALUE"""),"Fazi")</f>
        <v>Fazi</v>
      </c>
      <c r="AV254" s="5"/>
      <c r="AW254" s="5"/>
      <c r="AX254" s="5"/>
      <c r="AY254" s="5"/>
      <c r="AZ254" s="5"/>
      <c r="BA254" s="5"/>
      <c r="BB254" s="5"/>
      <c r="BC254" s="5" t="str">
        <f ca="1">IFERROR(__xludf.DUMMYFUNCTION("""COMPUTED_VALUE"""),"Foxi")</f>
        <v>Foxi</v>
      </c>
      <c r="BD254" s="7" t="str">
        <f ca="1">IFERROR(__xludf.DUMMYFUNCTION("""COMPUTED_VALUE"""),"https://gameserver-store-client-area.orbionlimited.com/Home/IntegrationGameLaunch/client-area?moneyType=0&amp;gameName=Money5&amp;platform=desktop&amp;languageCode=eng&amp;currency=EUR")</f>
        <v>https://gameserver-store-client-area.orbionlimited.com/Home/IntegrationGameLaunch/client-area?moneyType=0&amp;gameName=Money5&amp;platform=desktop&amp;languageCode=eng&amp;currency=EUR</v>
      </c>
      <c r="BE254" s="5" t="b">
        <f ca="1">IFERROR(__xludf.DUMMYFUNCTION("""COMPUTED_VALUE"""),TRUE)</f>
        <v>1</v>
      </c>
    </row>
    <row r="255" spans="1:57" x14ac:dyDescent="0.25">
      <c r="A255" s="5">
        <f ca="1">IFERROR(__xludf.DUMMYFUNCTION("""COMPUTED_VALUE"""),255)</f>
        <v>255</v>
      </c>
      <c r="B255" s="5">
        <f ca="1">IFERROR(__xludf.DUMMYFUNCTION("""COMPUTED_VALUE"""),254)</f>
        <v>254</v>
      </c>
      <c r="C255" s="5" t="str">
        <f ca="1">IFERROR(__xludf.DUMMYFUNCTION("""COMPUTED_VALUE"""),"Redstone")</f>
        <v>Redstone</v>
      </c>
      <c r="D255" s="5" t="str">
        <f ca="1">IFERROR(__xludf.DUMMYFUNCTION("""COMPUTED_VALUE"""),"Blazing Heat")</f>
        <v>Blazing Heat</v>
      </c>
      <c r="E255" s="5" t="str">
        <f ca="1">IFERROR(__xludf.DUMMYFUNCTION("""COMPUTED_VALUE"""),"Redstone")</f>
        <v>Redstone</v>
      </c>
      <c r="F255" s="5" t="str">
        <f ca="1">IFERROR(__xludf.DUMMYFUNCTION("""COMPUTED_VALUE"""),"BlazingHeat")</f>
        <v>BlazingHeat</v>
      </c>
      <c r="G255" s="5" t="str">
        <f ca="1">IFERROR(__xludf.DUMMYFUNCTION("""COMPUTED_VALUE"""),"Live")</f>
        <v>Live</v>
      </c>
      <c r="H255" s="5"/>
      <c r="I255" s="5" t="str">
        <f ca="1">IFERROR(__xludf.DUMMYFUNCTION("""COMPUTED_VALUE"""),"Redstone")</f>
        <v>Redstone</v>
      </c>
      <c r="J255" s="5" t="str">
        <f ca="1">IFERROR(__xludf.DUMMYFUNCTION("""COMPUTED_VALUE"""),"JSON")</f>
        <v>JSON</v>
      </c>
      <c r="K255" s="5" t="str">
        <f ca="1">IFERROR(__xludf.DUMMYFUNCTION("""COMPUTED_VALUE"""),"Slot")</f>
        <v>Slot</v>
      </c>
      <c r="L255" s="5" t="str">
        <f ca="1">IFERROR(__xludf.DUMMYFUNCTION("""COMPUTED_VALUE"""),"Master")</f>
        <v>Master</v>
      </c>
      <c r="M255" s="5"/>
      <c r="N255" s="7" t="str">
        <f ca="1">IFERROR(__xludf.DUMMYFUNCTION("""COMPUTED_VALUE"""),"https://docs.google.com/document/d/1Lo21HE-04Rwp0EgxYQqy6Pl0lYtK_VWc/edit?usp=drive_link&amp;ouid=107596163405648766688&amp;rtpof=true&amp;sd=true")</f>
        <v>https://docs.google.com/document/d/1Lo21HE-04Rwp0EgxYQqy6Pl0lYtK_VWc/edit?usp=drive_link&amp;ouid=107596163405648766688&amp;rtpof=true&amp;sd=true</v>
      </c>
      <c r="O255" s="7" t="str">
        <f ca="1">IFERROR(__xludf.DUMMYFUNCTION("""COMPUTED_VALUE"""),"https://docs.google.com/document/d/14McTj69knWbyzMrjp4z8p18Njc6HjKFL/edit?usp=drive_link&amp;ouid=107596163405648766688&amp;rtpof=true&amp;sd=true")</f>
        <v>https://docs.google.com/document/d/14McTj69knWbyzMrjp4z8p18Njc6HjKFL/edit?usp=drive_link&amp;ouid=107596163405648766688&amp;rtpof=true&amp;sd=true</v>
      </c>
      <c r="P255" s="14">
        <f ca="1">IFERROR(__xludf.DUMMYFUNCTION("""COMPUTED_VALUE"""),7.7)</f>
        <v>7.7</v>
      </c>
      <c r="Q255" s="5"/>
      <c r="R255" s="5"/>
      <c r="S255" s="15">
        <f ca="1">IFERROR(__xludf.DUMMYFUNCTION("""COMPUTED_VALUE"""),45112)</f>
        <v>45112</v>
      </c>
      <c r="T255" s="5" t="b">
        <f ca="1">IFERROR(__xludf.DUMMYFUNCTION("""COMPUTED_VALUE"""),TRUE)</f>
        <v>1</v>
      </c>
      <c r="U255" s="5" t="str">
        <f ca="1">IFERROR(__xludf.DUMMYFUNCTION("""COMPUTED_VALUE"""),"5x3")</f>
        <v>5x3</v>
      </c>
      <c r="V255" s="12" t="str">
        <f ca="1">IFERROR(__xludf.DUMMYFUNCTION("""COMPUTED_VALUE"""),"5")</f>
        <v>5</v>
      </c>
      <c r="W255" s="12" t="str">
        <f ca="1">IFERROR(__xludf.DUMMYFUNCTION("""COMPUTED_VALUE"""),"5")</f>
        <v>5</v>
      </c>
      <c r="X255" s="5">
        <f ca="1">IFERROR(__xludf.DUMMYFUNCTION("""COMPUTED_VALUE"""),96.15)</f>
        <v>96.15</v>
      </c>
      <c r="Y255" s="5" t="str">
        <f ca="1">IFERROR(__xludf.DUMMYFUNCTION("""COMPUTED_VALUE"""),"Medium")</f>
        <v>Medium</v>
      </c>
      <c r="Z255" s="5">
        <f ca="1">IFERROR(__xludf.DUMMYFUNCTION("""COMPUTED_VALUE"""),12.88)</f>
        <v>12.88</v>
      </c>
      <c r="AA255" s="14">
        <f ca="1">IFERROR(__xludf.DUMMYFUNCTION("""COMPUTED_VALUE"""),1000)</f>
        <v>1000</v>
      </c>
      <c r="AB255" s="5"/>
      <c r="AC255" s="5" t="str">
        <f ca="1">IFERROR(__xludf.DUMMYFUNCTION("""COMPUTED_VALUE"""),"Scatter")</f>
        <v>Scatter</v>
      </c>
      <c r="AD255" s="5" t="str">
        <f ca="1">IFERROR(__xludf.DUMMYFUNCTION("""COMPUTED_VALUE"""),"0.01/50")</f>
        <v>0.01/50</v>
      </c>
      <c r="AE255" s="5"/>
      <c r="AF255" s="5"/>
      <c r="AG255" s="10">
        <f ca="1">IFERROR(__xludf.DUMMYFUNCTION("""COMPUTED_VALUE"""),46157.4759375)</f>
        <v>46157.475937499999</v>
      </c>
      <c r="AH255" s="5"/>
      <c r="AI255" s="5"/>
      <c r="AJ255" s="5"/>
      <c r="AK255" s="5">
        <f ca="1">IFERROR(__xludf.DUMMYFUNCTION("""COMPUTED_VALUE"""),1)</f>
        <v>1</v>
      </c>
      <c r="AL255" s="5" t="str">
        <f ca="1">IFERROR(__xludf.DUMMYFUNCTION("""COMPUTED_VALUE"""),"No")</f>
        <v>No</v>
      </c>
      <c r="AM255" s="5" t="str">
        <f ca="1">IFERROR(__xludf.DUMMYFUNCTION("""COMPUTED_VALUE"""),"No")</f>
        <v>No</v>
      </c>
      <c r="AN255" s="7" t="str">
        <f ca="1">IFERROR(__xludf.DUMMYFUNCTION("""COMPUTED_VALUE"""),"https://static.redstone.rs/games/blazing-heat/")</f>
        <v>https://static.redstone.rs/games/blazing-heat/</v>
      </c>
      <c r="AO255" s="5" t="str">
        <f ca="1">IFERROR(__xludf.DUMMYFUNCTION("""COMPUTED_VALUE"""),"No")</f>
        <v>No</v>
      </c>
      <c r="AP255" s="5" t="str">
        <f ca="1">IFERROR(__xludf.DUMMYFUNCTION("""COMPUTED_VALUE"""),"No")</f>
        <v>No</v>
      </c>
      <c r="AQ255" s="5" t="b">
        <f ca="1">IFERROR(__xludf.DUMMYFUNCTION("""COMPUTED_VALUE"""),TRUE)</f>
        <v>1</v>
      </c>
      <c r="AR255" s="5"/>
      <c r="AS255" s="5" t="str">
        <f ca="1">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AT255" s="5"/>
      <c r="AU255" s="5" t="str">
        <f ca="1">IFERROR(__xludf.DUMMYFUNCTION("""COMPUTED_VALUE"""),"Redstone")</f>
        <v>Redstone</v>
      </c>
      <c r="AV255" s="5"/>
      <c r="AW255" s="5"/>
      <c r="AX255" s="5"/>
      <c r="AY255" s="5"/>
      <c r="AZ255" s="5"/>
      <c r="BA255" s="5"/>
      <c r="BB255" s="5" t="b">
        <f ca="1">IFERROR(__xludf.DUMMYFUNCTION("""COMPUTED_VALUE"""),TRUE)</f>
        <v>1</v>
      </c>
      <c r="BC255" s="5" t="str">
        <f ca="1">IFERROR(__xludf.DUMMYFUNCTION("""COMPUTED_VALUE"""),"Redstone")</f>
        <v>Redstone</v>
      </c>
      <c r="BD255" s="7" t="str">
        <f ca="1">IFERROR(__xludf.DUMMYFUNCTION("""COMPUTED_VALUE"""),"https://static.redstone.rs/games/blazing-heat/")</f>
        <v>https://static.redstone.rs/games/blazing-heat/</v>
      </c>
      <c r="BE255" s="5" t="b">
        <f ca="1">IFERROR(__xludf.DUMMYFUNCTION("""COMPUTED_VALUE"""),TRUE)</f>
        <v>1</v>
      </c>
    </row>
    <row r="256" spans="1:57" x14ac:dyDescent="0.25">
      <c r="A256" s="5">
        <f ca="1">IFERROR(__xludf.DUMMYFUNCTION("""COMPUTED_VALUE"""),256)</f>
        <v>256</v>
      </c>
      <c r="B256" s="5">
        <f ca="1">IFERROR(__xludf.DUMMYFUNCTION("""COMPUTED_VALUE"""),255)</f>
        <v>255</v>
      </c>
      <c r="C256" s="5"/>
      <c r="D256" s="5" t="str">
        <f ca="1">IFERROR(__xludf.DUMMYFUNCTION("""COMPUTED_VALUE"""),"MAIN")</f>
        <v>MAIN</v>
      </c>
      <c r="E256" s="5"/>
      <c r="F256" s="5"/>
      <c r="G256" s="5" t="str">
        <f ca="1">IFERROR(__xludf.DUMMYFUNCTION("""COMPUTED_VALUE"""),"Live")</f>
        <v>Live</v>
      </c>
      <c r="H256" s="5"/>
      <c r="I256" s="5"/>
      <c r="J256" s="5"/>
      <c r="K256" s="5"/>
      <c r="L256" s="5"/>
      <c r="M256" s="5"/>
      <c r="N256" s="5"/>
      <c r="O256" s="5"/>
      <c r="P256" s="5"/>
      <c r="Q256" s="5"/>
      <c r="R256" s="5"/>
      <c r="S256" s="5"/>
      <c r="T256" s="5"/>
      <c r="U256" s="5"/>
      <c r="V256" s="5"/>
      <c r="W256" s="5"/>
      <c r="X256" s="13">
        <f ca="1">IFERROR(__xludf.DUMMYFUNCTION("""COMPUTED_VALUE"""),0)</f>
        <v>0</v>
      </c>
      <c r="Y256" s="5"/>
      <c r="Z256" s="5">
        <f ca="1">IFERROR(__xludf.DUMMYFUNCTION("""COMPUTED_VALUE"""),0)</f>
        <v>0</v>
      </c>
      <c r="AA256" s="5"/>
      <c r="AB256" s="5"/>
      <c r="AC256" s="5"/>
      <c r="AD256" s="5"/>
      <c r="AE256" s="5"/>
      <c r="AF256" s="5"/>
      <c r="AG256" s="5"/>
      <c r="AH256" s="5"/>
      <c r="AI256" s="5"/>
      <c r="AJ256" s="5"/>
      <c r="AK256" s="5" t="str">
        <f ca="1">IFERROR(__xludf.DUMMYFUNCTION("""COMPUTED_VALUE"""),"NULL")</f>
        <v>NULL</v>
      </c>
      <c r="AL256" s="5"/>
      <c r="AM256" s="5"/>
      <c r="AN256" s="5"/>
      <c r="AO256" s="5"/>
      <c r="AP256" s="5"/>
      <c r="AQ256" s="5"/>
      <c r="AR256" s="5"/>
      <c r="AS256" s="5"/>
      <c r="AT256" s="5"/>
      <c r="AU256" s="5"/>
      <c r="AV256" s="5"/>
      <c r="AW256" s="5"/>
      <c r="AX256" s="5"/>
      <c r="AY256" s="5"/>
      <c r="AZ256" s="5"/>
      <c r="BA256" s="5" t="str">
        <f ca="1">IFERROR(__xludf.DUMMYFUNCTION("""COMPUTED_VALUE"""),"")</f>
        <v/>
      </c>
      <c r="BB256" s="5"/>
      <c r="BC256" s="5"/>
      <c r="BD256" s="5"/>
      <c r="BE256" s="5"/>
    </row>
    <row r="257" spans="1:57" x14ac:dyDescent="0.25">
      <c r="A257" s="5">
        <f ca="1">IFERROR(__xludf.DUMMYFUNCTION("""COMPUTED_VALUE"""),257)</f>
        <v>257</v>
      </c>
      <c r="B257" s="5">
        <f ca="1">IFERROR(__xludf.DUMMYFUNCTION("""COMPUTED_VALUE"""),256)</f>
        <v>256</v>
      </c>
      <c r="C257" s="5" t="str">
        <f ca="1">IFERROR(__xludf.DUMMYFUNCTION("""COMPUTED_VALUE"""),"Tiptop")</f>
        <v>Tiptop</v>
      </c>
      <c r="D257" s="5" t="str">
        <f ca="1">IFERROR(__xludf.DUMMYFUNCTION("""COMPUTED_VALUE"""),"Fire Stars")</f>
        <v>Fire Stars</v>
      </c>
      <c r="E257" s="5"/>
      <c r="F257" s="5" t="str">
        <f ca="1">IFERROR(__xludf.DUMMYFUNCTION("""COMPUTED_VALUE"""),"UnicornFireStars")</f>
        <v>UnicornFireStars</v>
      </c>
      <c r="G257" s="5" t="str">
        <f ca="1">IFERROR(__xludf.DUMMYFUNCTION("""COMPUTED_VALUE"""),"Live")</f>
        <v>Live</v>
      </c>
      <c r="H257" s="5"/>
      <c r="I257" s="5" t="str">
        <f ca="1">IFERROR(__xludf.DUMMYFUNCTION("""COMPUTED_VALUE"""),"TipTop")</f>
        <v>TipTop</v>
      </c>
      <c r="J257" s="5" t="str">
        <f ca="1">IFERROR(__xludf.DUMMYFUNCTION("""COMPUTED_VALUE"""),"JSON")</f>
        <v>JSON</v>
      </c>
      <c r="K257" s="5" t="str">
        <f ca="1">IFERROR(__xludf.DUMMYFUNCTION("""COMPUTED_VALUE"""),"Slot")</f>
        <v>Slot</v>
      </c>
      <c r="L257" s="5"/>
      <c r="M257" s="5"/>
      <c r="N257" s="5"/>
      <c r="O257" s="5"/>
      <c r="P257" s="14">
        <f ca="1">IFERROR(__xludf.DUMMYFUNCTION("""COMPUTED_VALUE"""),12.3)</f>
        <v>12.3</v>
      </c>
      <c r="Q257" s="5"/>
      <c r="R257" s="5"/>
      <c r="S257" s="15">
        <f ca="1">IFERROR(__xludf.DUMMYFUNCTION("""COMPUTED_VALUE"""),45120)</f>
        <v>45120</v>
      </c>
      <c r="T257" s="5" t="b">
        <f ca="1">IFERROR(__xludf.DUMMYFUNCTION("""COMPUTED_VALUE"""),TRUE)</f>
        <v>1</v>
      </c>
      <c r="U257" s="5" t="str">
        <f ca="1">IFERROR(__xludf.DUMMYFUNCTION("""COMPUTED_VALUE"""),"5X4")</f>
        <v>5X4</v>
      </c>
      <c r="V257" s="12" t="str">
        <f ca="1">IFERROR(__xludf.DUMMYFUNCTION("""COMPUTED_VALUE"""),"40")</f>
        <v>40</v>
      </c>
      <c r="W257" s="12" t="str">
        <f ca="1">IFERROR(__xludf.DUMMYFUNCTION("""COMPUTED_VALUE"""),"40")</f>
        <v>40</v>
      </c>
      <c r="X257" s="5">
        <f ca="1">IFERROR(__xludf.DUMMYFUNCTION("""COMPUTED_VALUE"""),96)</f>
        <v>96</v>
      </c>
      <c r="Y257" s="5" t="str">
        <f ca="1">IFERROR(__xludf.DUMMYFUNCTION("""COMPUTED_VALUE"""),"Medium")</f>
        <v>Medium</v>
      </c>
      <c r="Z257" s="5">
        <f ca="1">IFERROR(__xludf.DUMMYFUNCTION("""COMPUTED_VALUE"""),17.3)</f>
        <v>17.3</v>
      </c>
      <c r="AA257" s="14">
        <f ca="1">IFERROR(__xludf.DUMMYFUNCTION("""COMPUTED_VALUE"""),5000)</f>
        <v>5000</v>
      </c>
      <c r="AB257" s="5"/>
      <c r="AC257" s="5" t="str">
        <f ca="1">IFERROR(__xludf.DUMMYFUNCTION("""COMPUTED_VALUE"""),"Scatter")</f>
        <v>Scatter</v>
      </c>
      <c r="AD257" s="5" t="str">
        <f ca="1">IFERROR(__xludf.DUMMYFUNCTION("""COMPUTED_VALUE"""),"0.4/100")</f>
        <v>0.4/100</v>
      </c>
      <c r="AE257" s="5"/>
      <c r="AF257" s="5"/>
      <c r="AG257" s="10">
        <f ca="1">IFERROR(__xludf.DUMMYFUNCTION("""COMPUTED_VALUE"""),46197.4608101851)</f>
        <v>46197.460810185097</v>
      </c>
      <c r="AH257" s="5" t="str">
        <f ca="1">IFERROR(__xludf.DUMMYFUNCTION("""COMPUTED_VALUE"""),"selena.mihajlovic@fazi.rs")</f>
        <v>selena.mihajlovic@fazi.rs</v>
      </c>
      <c r="AI257" s="5"/>
      <c r="AJ257" s="5"/>
      <c r="AK257" s="5">
        <f ca="1">IFERROR(__xludf.DUMMYFUNCTION("""COMPUTED_VALUE"""),40)</f>
        <v>40</v>
      </c>
      <c r="AL257" s="5" t="str">
        <f ca="1">IFERROR(__xludf.DUMMYFUNCTION("""COMPUTED_VALUE"""),"No")</f>
        <v>No</v>
      </c>
      <c r="AM257" s="5"/>
      <c r="AN257" s="7" t="str">
        <f ca="1">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AO257" s="5"/>
      <c r="AP257" s="5"/>
      <c r="AQ257" s="5" t="b">
        <f ca="1">IFERROR(__xludf.DUMMYFUNCTION("""COMPUTED_VALUE"""),TRUE)</f>
        <v>1</v>
      </c>
      <c r="AR257" s="5"/>
      <c r="AS257" s="5" t="str">
        <f ca="1">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AT257" s="5"/>
      <c r="AU257" s="5" t="str">
        <f ca="1">IFERROR(__xludf.DUMMYFUNCTION("""COMPUTED_VALUE"""),"Fazi")</f>
        <v>Fazi</v>
      </c>
      <c r="AV257" s="5"/>
      <c r="AW257" s="5"/>
      <c r="AX257" s="5"/>
      <c r="AY257" s="5"/>
      <c r="AZ257" s="5"/>
      <c r="BA257" s="5"/>
      <c r="BB257" s="5" t="b">
        <f ca="1">IFERROR(__xludf.DUMMYFUNCTION("""COMPUTED_VALUE"""),TRUE)</f>
        <v>1</v>
      </c>
      <c r="BC257" s="5" t="str">
        <f ca="1">IFERROR(__xludf.DUMMYFUNCTION("""COMPUTED_VALUE"""),"Tiptop")</f>
        <v>Tiptop</v>
      </c>
      <c r="BD257" s="7" t="str">
        <f ca="1">IFERROR(__xludf.DUMMYFUNCTION("""COMPUTED_VALUE"""),"https://gameserver-store-client-area.orbionlimited.com/Home/IntegrationGameLaunch/client-area?moneyType=0&amp;gameName=UnicornFireStars&amp;platform=desktop&amp;languageCode=eng&amp;currency=EUR")</f>
        <v>https://gameserver-store-client-area.orbionlimited.com/Home/IntegrationGameLaunch/client-area?moneyType=0&amp;gameName=UnicornFireStars&amp;platform=desktop&amp;languageCode=eng&amp;currency=EUR</v>
      </c>
      <c r="BE257" s="5" t="b">
        <f ca="1">IFERROR(__xludf.DUMMYFUNCTION("""COMPUTED_VALUE"""),TRUE)</f>
        <v>1</v>
      </c>
    </row>
    <row r="258" spans="1:57" x14ac:dyDescent="0.25">
      <c r="A258" s="5">
        <f ca="1">IFERROR(__xludf.DUMMYFUNCTION("""COMPUTED_VALUE"""),258)</f>
        <v>258</v>
      </c>
      <c r="B258" s="5">
        <f ca="1">IFERROR(__xludf.DUMMYFUNCTION("""COMPUTED_VALUE"""),257)</f>
        <v>257</v>
      </c>
      <c r="C258" s="5" t="str">
        <f ca="1">IFERROR(__xludf.DUMMYFUNCTION("""COMPUTED_VALUE"""),"Tiptop")</f>
        <v>Tiptop</v>
      </c>
      <c r="D258" s="5" t="str">
        <f ca="1">IFERROR(__xludf.DUMMYFUNCTION("""COMPUTED_VALUE"""),"20 Hot Strike Dice")</f>
        <v>20 Hot Strike Dice</v>
      </c>
      <c r="E258" s="5"/>
      <c r="F258" s="5" t="str">
        <f ca="1">IFERROR(__xludf.DUMMYFUNCTION("""COMPUTED_VALUE"""),"Unicorn20HotStrikeDice")</f>
        <v>Unicorn20HotStrikeDice</v>
      </c>
      <c r="G258" s="5" t="str">
        <f ca="1">IFERROR(__xludf.DUMMYFUNCTION("""COMPUTED_VALUE"""),"Live")</f>
        <v>Live</v>
      </c>
      <c r="H258" s="5"/>
      <c r="I258" s="5" t="str">
        <f ca="1">IFERROR(__xludf.DUMMYFUNCTION("""COMPUTED_VALUE"""),"TipTop")</f>
        <v>TipTop</v>
      </c>
      <c r="J258" s="5" t="str">
        <f ca="1">IFERROR(__xludf.DUMMYFUNCTION("""COMPUTED_VALUE"""),"JSON")</f>
        <v>JSON</v>
      </c>
      <c r="K258" s="5" t="str">
        <f ca="1">IFERROR(__xludf.DUMMYFUNCTION("""COMPUTED_VALUE"""),"Dice Slots")</f>
        <v>Dice Slots</v>
      </c>
      <c r="L258" s="5"/>
      <c r="M258" s="5"/>
      <c r="N258" s="5"/>
      <c r="O258" s="5"/>
      <c r="P258" s="14">
        <f ca="1">IFERROR(__xludf.DUMMYFUNCTION("""COMPUTED_VALUE"""),11.4)</f>
        <v>11.4</v>
      </c>
      <c r="Q258" s="5"/>
      <c r="R258" s="5"/>
      <c r="S258" s="15">
        <f ca="1">IFERROR(__xludf.DUMMYFUNCTION("""COMPUTED_VALUE"""),45134)</f>
        <v>45134</v>
      </c>
      <c r="T258" s="5" t="b">
        <f ca="1">IFERROR(__xludf.DUMMYFUNCTION("""COMPUTED_VALUE"""),TRUE)</f>
        <v>1</v>
      </c>
      <c r="U258" s="5" t="str">
        <f ca="1">IFERROR(__xludf.DUMMYFUNCTION("""COMPUTED_VALUE"""),"5X3")</f>
        <v>5X3</v>
      </c>
      <c r="V258" s="12" t="str">
        <f ca="1">IFERROR(__xludf.DUMMYFUNCTION("""COMPUTED_VALUE"""),"20")</f>
        <v>20</v>
      </c>
      <c r="W258" s="12" t="str">
        <f ca="1">IFERROR(__xludf.DUMMYFUNCTION("""COMPUTED_VALUE"""),"20")</f>
        <v>20</v>
      </c>
      <c r="X258" s="5">
        <f ca="1">IFERROR(__xludf.DUMMYFUNCTION("""COMPUTED_VALUE"""),96)</f>
        <v>96</v>
      </c>
      <c r="Y258" s="5" t="str">
        <f ca="1">IFERROR(__xludf.DUMMYFUNCTION("""COMPUTED_VALUE"""),"Low")</f>
        <v>Low</v>
      </c>
      <c r="Z258" s="5">
        <f ca="1">IFERROR(__xludf.DUMMYFUNCTION("""COMPUTED_VALUE"""),14.62)</f>
        <v>14.62</v>
      </c>
      <c r="AA258" s="14">
        <f ca="1">IFERROR(__xludf.DUMMYFUNCTION("""COMPUTED_VALUE"""),800)</f>
        <v>800</v>
      </c>
      <c r="AB258" s="5"/>
      <c r="AC258" s="5" t="str">
        <f ca="1">IFERROR(__xludf.DUMMYFUNCTION("""COMPUTED_VALUE"""),"Wild Symbol, Scatter")</f>
        <v>Wild Symbol, Scatter</v>
      </c>
      <c r="AD258" s="5" t="str">
        <f ca="1">IFERROR(__xludf.DUMMYFUNCTION("""COMPUTED_VALUE"""),"0.2/100")</f>
        <v>0.2/100</v>
      </c>
      <c r="AE258" s="5"/>
      <c r="AF258" s="5"/>
      <c r="AG258" s="10">
        <f ca="1">IFERROR(__xludf.DUMMYFUNCTION("""COMPUTED_VALUE"""),46197.4612384259)</f>
        <v>46197.461238425902</v>
      </c>
      <c r="AH258" s="5" t="str">
        <f ca="1">IFERROR(__xludf.DUMMYFUNCTION("""COMPUTED_VALUE"""),"selena.mihajlovic@fazi.rs")</f>
        <v>selena.mihajlovic@fazi.rs</v>
      </c>
      <c r="AI258" s="5"/>
      <c r="AJ258" s="5"/>
      <c r="AK258" s="5">
        <f ca="1">IFERROR(__xludf.DUMMYFUNCTION("""COMPUTED_VALUE"""),20)</f>
        <v>20</v>
      </c>
      <c r="AL258" s="5" t="str">
        <f ca="1">IFERROR(__xludf.DUMMYFUNCTION("""COMPUTED_VALUE"""),"No")</f>
        <v>No</v>
      </c>
      <c r="AM258" s="5"/>
      <c r="AN258" s="7" t="str">
        <f ca="1">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AO258" s="5"/>
      <c r="AP258" s="5"/>
      <c r="AQ258" s="5" t="b">
        <f ca="1">IFERROR(__xludf.DUMMYFUNCTION("""COMPUTED_VALUE"""),TRUE)</f>
        <v>1</v>
      </c>
      <c r="AR258" s="5"/>
      <c r="AS258" s="5" t="str">
        <f ca="1">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AT258" s="5"/>
      <c r="AU258" s="5" t="str">
        <f ca="1">IFERROR(__xludf.DUMMYFUNCTION("""COMPUTED_VALUE"""),"Fazi")</f>
        <v>Fazi</v>
      </c>
      <c r="AV258" s="5"/>
      <c r="AW258" s="5"/>
      <c r="AX258" s="5"/>
      <c r="AY258" s="5"/>
      <c r="AZ258" s="5"/>
      <c r="BA258" s="5"/>
      <c r="BB258" s="5" t="b">
        <f ca="1">IFERROR(__xludf.DUMMYFUNCTION("""COMPUTED_VALUE"""),TRUE)</f>
        <v>1</v>
      </c>
      <c r="BC258" s="5" t="str">
        <f ca="1">IFERROR(__xludf.DUMMYFUNCTION("""COMPUTED_VALUE"""),"Tiptop")</f>
        <v>Tiptop</v>
      </c>
      <c r="BD258" s="7" t="str">
        <f ca="1">IFERROR(__xludf.DUMMYFUNCTION("""COMPUTED_VALUE"""),"https://gameserver-store-client-area.orbionlimited.com/Home/IntegrationGameLaunch/client-area?moneyType=0&amp;gameName=Unicorn20HotStrikeDice&amp;platform=desktop&amp;languageCode=eng&amp;currency=EUR")</f>
        <v>https://gameserver-store-client-area.orbionlimited.com/Home/IntegrationGameLaunch/client-area?moneyType=0&amp;gameName=Unicorn20HotStrikeDice&amp;platform=desktop&amp;languageCode=eng&amp;currency=EUR</v>
      </c>
      <c r="BE258" s="5" t="b">
        <f ca="1">IFERROR(__xludf.DUMMYFUNCTION("""COMPUTED_VALUE"""),TRUE)</f>
        <v>1</v>
      </c>
    </row>
    <row r="259" spans="1:57" x14ac:dyDescent="0.25">
      <c r="A259" s="5">
        <f ca="1">IFERROR(__xludf.DUMMYFUNCTION("""COMPUTED_VALUE"""),259)</f>
        <v>259</v>
      </c>
      <c r="B259" s="5">
        <f ca="1">IFERROR(__xludf.DUMMYFUNCTION("""COMPUTED_VALUE"""),258)</f>
        <v>258</v>
      </c>
      <c r="C259" s="5" t="str">
        <f ca="1">IFERROR(__xludf.DUMMYFUNCTION("""COMPUTED_VALUE"""),"Tiptop")</f>
        <v>Tiptop</v>
      </c>
      <c r="D259" s="5" t="str">
        <f ca="1">IFERROR(__xludf.DUMMYFUNCTION("""COMPUTED_VALUE"""),"Bikini Dice")</f>
        <v>Bikini Dice</v>
      </c>
      <c r="E259" s="5"/>
      <c r="F259" s="5" t="str">
        <f ca="1">IFERROR(__xludf.DUMMYFUNCTION("""COMPUTED_VALUE"""),"UnicornBikiniDice")</f>
        <v>UnicornBikiniDice</v>
      </c>
      <c r="G259" s="5" t="str">
        <f ca="1">IFERROR(__xludf.DUMMYFUNCTION("""COMPUTED_VALUE"""),"Live")</f>
        <v>Live</v>
      </c>
      <c r="H259" s="5"/>
      <c r="I259" s="5" t="str">
        <f ca="1">IFERROR(__xludf.DUMMYFUNCTION("""COMPUTED_VALUE"""),"TipTop")</f>
        <v>TipTop</v>
      </c>
      <c r="J259" s="5" t="str">
        <f ca="1">IFERROR(__xludf.DUMMYFUNCTION("""COMPUTED_VALUE"""),"JSON")</f>
        <v>JSON</v>
      </c>
      <c r="K259" s="5" t="str">
        <f ca="1">IFERROR(__xludf.DUMMYFUNCTION("""COMPUTED_VALUE"""),"Dice Slots")</f>
        <v>Dice Slots</v>
      </c>
      <c r="L259" s="5"/>
      <c r="M259" s="5"/>
      <c r="N259" s="5"/>
      <c r="O259" s="5"/>
      <c r="P259" s="14">
        <f ca="1">IFERROR(__xludf.DUMMYFUNCTION("""COMPUTED_VALUE"""),13.7)</f>
        <v>13.7</v>
      </c>
      <c r="Q259" s="5"/>
      <c r="R259" s="5"/>
      <c r="S259" s="15">
        <f ca="1">IFERROR(__xludf.DUMMYFUNCTION("""COMPUTED_VALUE"""),45162)</f>
        <v>45162</v>
      </c>
      <c r="T259" s="5" t="b">
        <f ca="1">IFERROR(__xludf.DUMMYFUNCTION("""COMPUTED_VALUE"""),TRUE)</f>
        <v>1</v>
      </c>
      <c r="U259" s="5" t="str">
        <f ca="1">IFERROR(__xludf.DUMMYFUNCTION("""COMPUTED_VALUE"""),"5X3")</f>
        <v>5X3</v>
      </c>
      <c r="V259" s="12" t="str">
        <f ca="1">IFERROR(__xludf.DUMMYFUNCTION("""COMPUTED_VALUE"""),"10")</f>
        <v>10</v>
      </c>
      <c r="W259" s="12" t="str">
        <f ca="1">IFERROR(__xludf.DUMMYFUNCTION("""COMPUTED_VALUE"""),"10")</f>
        <v>10</v>
      </c>
      <c r="X259" s="5">
        <f ca="1">IFERROR(__xludf.DUMMYFUNCTION("""COMPUTED_VALUE"""),96)</f>
        <v>96</v>
      </c>
      <c r="Y259" s="5" t="str">
        <f ca="1">IFERROR(__xludf.DUMMYFUNCTION("""COMPUTED_VALUE"""),"High")</f>
        <v>High</v>
      </c>
      <c r="Z259" s="5">
        <f ca="1">IFERROR(__xludf.DUMMYFUNCTION("""COMPUTED_VALUE"""),36.03)</f>
        <v>36.03</v>
      </c>
      <c r="AA259" s="14">
        <f ca="1">IFERROR(__xludf.DUMMYFUNCTION("""COMPUTED_VALUE"""),5000)</f>
        <v>5000</v>
      </c>
      <c r="AB259" s="5"/>
      <c r="AC259" s="5" t="str">
        <f ca="1">IFERROR(__xludf.DUMMYFUNCTION("""COMPUTED_VALUE"""),"Bonus Game with Multiplier, TipTop Feature - Bikini Dice")</f>
        <v>Bonus Game with Multiplier, TipTop Feature - Bikini Dice</v>
      </c>
      <c r="AD259" s="5" t="str">
        <f ca="1">IFERROR(__xludf.DUMMYFUNCTION("""COMPUTED_VALUE"""),"0.1/100")</f>
        <v>0.1/100</v>
      </c>
      <c r="AE259" s="5"/>
      <c r="AF259" s="5"/>
      <c r="AG259" s="10">
        <f ca="1">IFERROR(__xludf.DUMMYFUNCTION("""COMPUTED_VALUE"""),46197.4615046296)</f>
        <v>46197.461504629602</v>
      </c>
      <c r="AH259" s="5" t="str">
        <f ca="1">IFERROR(__xludf.DUMMYFUNCTION("""COMPUTED_VALUE"""),"selena.mihajlovic@fazi.rs")</f>
        <v>selena.mihajlovic@fazi.rs</v>
      </c>
      <c r="AI259" s="5"/>
      <c r="AJ259" s="5"/>
      <c r="AK259" s="5">
        <f ca="1">IFERROR(__xludf.DUMMYFUNCTION("""COMPUTED_VALUE"""),10)</f>
        <v>10</v>
      </c>
      <c r="AL259" s="5" t="str">
        <f ca="1">IFERROR(__xludf.DUMMYFUNCTION("""COMPUTED_VALUE"""),"No")</f>
        <v>No</v>
      </c>
      <c r="AM259" s="5"/>
      <c r="AN259" s="7" t="str">
        <f ca="1">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AO259" s="5"/>
      <c r="AP259" s="5"/>
      <c r="AQ259" s="5" t="b">
        <f ca="1">IFERROR(__xludf.DUMMYFUNCTION("""COMPUTED_VALUE"""),TRUE)</f>
        <v>1</v>
      </c>
      <c r="AR259" s="5"/>
      <c r="AS259" s="5" t="str">
        <f ca="1">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AT259" s="5"/>
      <c r="AU259" s="5" t="str">
        <f ca="1">IFERROR(__xludf.DUMMYFUNCTION("""COMPUTED_VALUE"""),"Fazi")</f>
        <v>Fazi</v>
      </c>
      <c r="AV259" s="5"/>
      <c r="AW259" s="5"/>
      <c r="AX259" s="5"/>
      <c r="AY259" s="5"/>
      <c r="AZ259" s="5"/>
      <c r="BA259" s="5"/>
      <c r="BB259" s="5" t="b">
        <f ca="1">IFERROR(__xludf.DUMMYFUNCTION("""COMPUTED_VALUE"""),TRUE)</f>
        <v>1</v>
      </c>
      <c r="BC259" s="5" t="str">
        <f ca="1">IFERROR(__xludf.DUMMYFUNCTION("""COMPUTED_VALUE"""),"Tiptop")</f>
        <v>Tiptop</v>
      </c>
      <c r="BD259" s="7" t="str">
        <f ca="1">IFERROR(__xludf.DUMMYFUNCTION("""COMPUTED_VALUE"""),"https://gameserver-store-client-area.orbionlimited.com/Home/IntegrationGameLaunch/client-area?moneyType=0&amp;gameName=UnicornBikiniDice&amp;platform=desktop&amp;languageCode=eng&amp;currency=EUR")</f>
        <v>https://gameserver-store-client-area.orbionlimited.com/Home/IntegrationGameLaunch/client-area?moneyType=0&amp;gameName=UnicornBikiniDice&amp;platform=desktop&amp;languageCode=eng&amp;currency=EUR</v>
      </c>
      <c r="BE259" s="5" t="b">
        <f ca="1">IFERROR(__xludf.DUMMYFUNCTION("""COMPUTED_VALUE"""),TRUE)</f>
        <v>1</v>
      </c>
    </row>
    <row r="260" spans="1:57" x14ac:dyDescent="0.25">
      <c r="A260" s="5">
        <f ca="1">IFERROR(__xludf.DUMMYFUNCTION("""COMPUTED_VALUE"""),260)</f>
        <v>260</v>
      </c>
      <c r="B260" s="5">
        <f ca="1">IFERROR(__xludf.DUMMYFUNCTION("""COMPUTED_VALUE"""),259)</f>
        <v>259</v>
      </c>
      <c r="C260" s="5" t="str">
        <f ca="1">IFERROR(__xludf.DUMMYFUNCTION("""COMPUTED_VALUE"""),"Redstone")</f>
        <v>Redstone</v>
      </c>
      <c r="D260" s="5" t="str">
        <f ca="1">IFERROR(__xludf.DUMMYFUNCTION("""COMPUTED_VALUE"""),"Hot Hot Stereo Win")</f>
        <v>Hot Hot Stereo Win</v>
      </c>
      <c r="E260" s="5" t="str">
        <f ca="1">IFERROR(__xludf.DUMMYFUNCTION("""COMPUTED_VALUE"""),"Redstone")</f>
        <v>Redstone</v>
      </c>
      <c r="F260" s="5" t="str">
        <f ca="1">IFERROR(__xludf.DUMMYFUNCTION("""COMPUTED_VALUE"""),"HotHotStereoWin")</f>
        <v>HotHotStereoWin</v>
      </c>
      <c r="G260" s="5" t="str">
        <f ca="1">IFERROR(__xludf.DUMMYFUNCTION("""COMPUTED_VALUE"""),"Live")</f>
        <v>Live</v>
      </c>
      <c r="H260" s="5"/>
      <c r="I260" s="5" t="str">
        <f ca="1">IFERROR(__xludf.DUMMYFUNCTION("""COMPUTED_VALUE"""),"Redstone")</f>
        <v>Redstone</v>
      </c>
      <c r="J260" s="5" t="str">
        <f ca="1">IFERROR(__xludf.DUMMYFUNCTION("""COMPUTED_VALUE"""),"JSON")</f>
        <v>JSON</v>
      </c>
      <c r="K260" s="5" t="str">
        <f ca="1">IFERROR(__xludf.DUMMYFUNCTION("""COMPUTED_VALUE"""),"Slot")</f>
        <v>Slot</v>
      </c>
      <c r="L260" s="5" t="str">
        <f ca="1">IFERROR(__xludf.DUMMYFUNCTION("""COMPUTED_VALUE"""),"Master")</f>
        <v>Master</v>
      </c>
      <c r="M260" s="5"/>
      <c r="N260" s="7" t="str">
        <f ca="1">IFERROR(__xludf.DUMMYFUNCTION("""COMPUTED_VALUE"""),"https://docs.google.com/document/d/1BZ7cF2yWPuXXcXJuGQ0_VsCbLBKuTKnU/edit?usp=drive_link&amp;ouid=107596163405648766688&amp;rtpof=true&amp;sd=true")</f>
        <v>https://docs.google.com/document/d/1BZ7cF2yWPuXXcXJuGQ0_VsCbLBKuTKnU/edit?usp=drive_link&amp;ouid=107596163405648766688&amp;rtpof=true&amp;sd=true</v>
      </c>
      <c r="O260" s="7" t="str">
        <f ca="1">IFERROR(__xludf.DUMMYFUNCTION("""COMPUTED_VALUE"""),"https://docs.google.com/document/d/1ATbuBx6ppewruKxRt72H2RFPKHP6uH4g/edit?usp=drive_link&amp;ouid=107596163405648766688&amp;rtpof=true&amp;sd=true")</f>
        <v>https://docs.google.com/document/d/1ATbuBx6ppewruKxRt72H2RFPKHP6uH4g/edit?usp=drive_link&amp;ouid=107596163405648766688&amp;rtpof=true&amp;sd=true</v>
      </c>
      <c r="P260" s="14">
        <f ca="1">IFERROR(__xludf.DUMMYFUNCTION("""COMPUTED_VALUE"""),16.2)</f>
        <v>16.2</v>
      </c>
      <c r="Q260" s="5"/>
      <c r="R260" s="5"/>
      <c r="S260" s="15">
        <f ca="1">IFERROR(__xludf.DUMMYFUNCTION("""COMPUTED_VALUE"""),45141)</f>
        <v>45141</v>
      </c>
      <c r="T260" s="5"/>
      <c r="U260" s="5" t="str">
        <f ca="1">IFERROR(__xludf.DUMMYFUNCTION("""COMPUTED_VALUE"""),"5x3")</f>
        <v>5x3</v>
      </c>
      <c r="V260" s="12" t="str">
        <f ca="1">IFERROR(__xludf.DUMMYFUNCTION("""COMPUTED_VALUE"""),"5")</f>
        <v>5</v>
      </c>
      <c r="W260" s="12" t="str">
        <f ca="1">IFERROR(__xludf.DUMMYFUNCTION("""COMPUTED_VALUE"""),"5")</f>
        <v>5</v>
      </c>
      <c r="X260" s="5">
        <f ca="1">IFERROR(__xludf.DUMMYFUNCTION("""COMPUTED_VALUE"""),95.01)</f>
        <v>95.01</v>
      </c>
      <c r="Y260" s="5" t="str">
        <f ca="1">IFERROR(__xludf.DUMMYFUNCTION("""COMPUTED_VALUE"""),"Low")</f>
        <v>Low</v>
      </c>
      <c r="Z260" s="5">
        <f ca="1">IFERROR(__xludf.DUMMYFUNCTION("""COMPUTED_VALUE"""),18.95)</f>
        <v>18.95</v>
      </c>
      <c r="AA260" s="14">
        <f ca="1">IFERROR(__xludf.DUMMYFUNCTION("""COMPUTED_VALUE"""),1000)</f>
        <v>1000</v>
      </c>
      <c r="AB260" s="5"/>
      <c r="AC260" s="5" t="str">
        <f ca="1">IFERROR(__xludf.DUMMYFUNCTION("""COMPUTED_VALUE"""),"Bothways")</f>
        <v>Bothways</v>
      </c>
      <c r="AD260" s="5" t="str">
        <f ca="1">IFERROR(__xludf.DUMMYFUNCTION("""COMPUTED_VALUE"""),"0.01/50")</f>
        <v>0.01/50</v>
      </c>
      <c r="AE260" s="5"/>
      <c r="AF260" s="5"/>
      <c r="AG260" s="10">
        <f ca="1">IFERROR(__xludf.DUMMYFUNCTION("""COMPUTED_VALUE"""),46157.4757291666)</f>
        <v>46157.475729166603</v>
      </c>
      <c r="AH260" s="5"/>
      <c r="AI260" s="5"/>
      <c r="AJ260" s="5"/>
      <c r="AK260" s="5">
        <f ca="1">IFERROR(__xludf.DUMMYFUNCTION("""COMPUTED_VALUE"""),1)</f>
        <v>1</v>
      </c>
      <c r="AL260" s="5" t="str">
        <f ca="1">IFERROR(__xludf.DUMMYFUNCTION("""COMPUTED_VALUE"""),"No")</f>
        <v>No</v>
      </c>
      <c r="AM260" s="5" t="str">
        <f ca="1">IFERROR(__xludf.DUMMYFUNCTION("""COMPUTED_VALUE"""),"No")</f>
        <v>No</v>
      </c>
      <c r="AN260" s="7" t="str">
        <f ca="1">IFERROR(__xludf.DUMMYFUNCTION("""COMPUTED_VALUE"""),"https://static.redstone.rs/games/hot-hot/")</f>
        <v>https://static.redstone.rs/games/hot-hot/</v>
      </c>
      <c r="AO260" s="5" t="str">
        <f ca="1">IFERROR(__xludf.DUMMYFUNCTION("""COMPUTED_VALUE"""),"No")</f>
        <v>No</v>
      </c>
      <c r="AP260" s="5" t="str">
        <f ca="1">IFERROR(__xludf.DUMMYFUNCTION("""COMPUTED_VALUE"""),"No")</f>
        <v>No</v>
      </c>
      <c r="AQ260" s="5" t="b">
        <f ca="1">IFERROR(__xludf.DUMMYFUNCTION("""COMPUTED_VALUE"""),TRUE)</f>
        <v>1</v>
      </c>
      <c r="AR260" s="5"/>
      <c r="AS260" s="5"/>
      <c r="AT260" s="5"/>
      <c r="AU260" s="5" t="str">
        <f ca="1">IFERROR(__xludf.DUMMYFUNCTION("""COMPUTED_VALUE"""),"Redstone")</f>
        <v>Redstone</v>
      </c>
      <c r="AV260" s="5"/>
      <c r="AW260" s="5"/>
      <c r="AX260" s="5"/>
      <c r="AY260" s="5"/>
      <c r="AZ260" s="5"/>
      <c r="BA260" s="5"/>
      <c r="BB260" s="5" t="b">
        <f ca="1">IFERROR(__xludf.DUMMYFUNCTION("""COMPUTED_VALUE"""),TRUE)</f>
        <v>1</v>
      </c>
      <c r="BC260" s="5" t="str">
        <f ca="1">IFERROR(__xludf.DUMMYFUNCTION("""COMPUTED_VALUE"""),"Redstone")</f>
        <v>Redstone</v>
      </c>
      <c r="BD260" s="7" t="str">
        <f ca="1">IFERROR(__xludf.DUMMYFUNCTION("""COMPUTED_VALUE"""),"https://static.redstone.rs/games/hot-hot/")</f>
        <v>https://static.redstone.rs/games/hot-hot/</v>
      </c>
      <c r="BE260" s="5" t="b">
        <f ca="1">IFERROR(__xludf.DUMMYFUNCTION("""COMPUTED_VALUE"""),TRUE)</f>
        <v>1</v>
      </c>
    </row>
    <row r="261" spans="1:57" x14ac:dyDescent="0.25">
      <c r="A261" s="5">
        <f ca="1">IFERROR(__xludf.DUMMYFUNCTION("""COMPUTED_VALUE"""),261)</f>
        <v>261</v>
      </c>
      <c r="B261" s="5">
        <f ca="1">IFERROR(__xludf.DUMMYFUNCTION("""COMPUTED_VALUE"""),260)</f>
        <v>260</v>
      </c>
      <c r="C261" s="5" t="str">
        <f ca="1">IFERROR(__xludf.DUMMYFUNCTION("""COMPUTED_VALUE"""),"Fazi")</f>
        <v>Fazi</v>
      </c>
      <c r="D261" s="5" t="str">
        <f ca="1">IFERROR(__xludf.DUMMYFUNCTION("""COMPUTED_VALUE"""),"Epic Crown 5")</f>
        <v>Epic Crown 5</v>
      </c>
      <c r="E261" s="5" t="str">
        <f ca="1">IFERROR(__xludf.DUMMYFUNCTION("""COMPUTED_VALUE"""),"V2")</f>
        <v>V2</v>
      </c>
      <c r="F261" s="5" t="str">
        <f ca="1">IFERROR(__xludf.DUMMYFUNCTION("""COMPUTED_VALUE"""),"EpicCrown5")</f>
        <v>EpicCrown5</v>
      </c>
      <c r="G261" s="5" t="str">
        <f ca="1">IFERROR(__xludf.DUMMYFUNCTION("""COMPUTED_VALUE"""),"Live")</f>
        <v>Live</v>
      </c>
      <c r="H261" s="5"/>
      <c r="I261" s="5" t="str">
        <f ca="1">IFERROR(__xludf.DUMMYFUNCTION("""COMPUTED_VALUE"""),"V2")</f>
        <v>V2</v>
      </c>
      <c r="J261" s="5" t="str">
        <f ca="1">IFERROR(__xludf.DUMMYFUNCTION("""COMPUTED_VALUE"""),"JSON")</f>
        <v>JSON</v>
      </c>
      <c r="K261" s="5" t="str">
        <f ca="1">IFERROR(__xludf.DUMMYFUNCTION("""COMPUTED_VALUE"""),"Slot")</f>
        <v>Slot</v>
      </c>
      <c r="L261" s="5" t="str">
        <f ca="1">IFERROR(__xludf.DUMMYFUNCTION("""COMPUTED_VALUE"""),"Clone")</f>
        <v>Clone</v>
      </c>
      <c r="M261" s="5" t="str">
        <f ca="1">IFERROR(__xludf.DUMMYFUNCTION("""COMPUTED_VALUE"""),"Golden Crown")</f>
        <v>Golden Crown</v>
      </c>
      <c r="N261" s="5"/>
      <c r="O261" s="5"/>
      <c r="P261" s="14">
        <f ca="1">IFERROR(__xludf.DUMMYFUNCTION("""COMPUTED_VALUE"""),24.6)</f>
        <v>24.6</v>
      </c>
      <c r="Q261" s="5"/>
      <c r="R261" s="5"/>
      <c r="S261" s="15">
        <f ca="1">IFERROR(__xludf.DUMMYFUNCTION("""COMPUTED_VALUE"""),45231)</f>
        <v>45231</v>
      </c>
      <c r="T261" s="5" t="b">
        <f ca="1">IFERROR(__xludf.DUMMYFUNCTION("""COMPUTED_VALUE"""),TRUE)</f>
        <v>1</v>
      </c>
      <c r="U261" s="5" t="str">
        <f ca="1">IFERROR(__xludf.DUMMYFUNCTION("""COMPUTED_VALUE"""),"5x3")</f>
        <v>5x3</v>
      </c>
      <c r="V261" s="12" t="str">
        <f ca="1">IFERROR(__xludf.DUMMYFUNCTION("""COMPUTED_VALUE"""),"5")</f>
        <v>5</v>
      </c>
      <c r="W261" s="12" t="str">
        <f ca="1">IFERROR(__xludf.DUMMYFUNCTION("""COMPUTED_VALUE"""),"5")</f>
        <v>5</v>
      </c>
      <c r="X261" s="5">
        <f ca="1">IFERROR(__xludf.DUMMYFUNCTION("""COMPUTED_VALUE"""),95.962)</f>
        <v>95.962000000000003</v>
      </c>
      <c r="Y261" s="5" t="str">
        <f ca="1">IFERROR(__xludf.DUMMYFUNCTION("""COMPUTED_VALUE"""),"Medium")</f>
        <v>Medium</v>
      </c>
      <c r="Z261" s="5">
        <f ca="1">IFERROR(__xludf.DUMMYFUNCTION("""COMPUTED_VALUE"""),12.26)</f>
        <v>12.26</v>
      </c>
      <c r="AA261" s="14">
        <f ca="1">IFERROR(__xludf.DUMMYFUNCTION("""COMPUTED_VALUE"""),2018)</f>
        <v>2018</v>
      </c>
      <c r="AB261" s="5">
        <f ca="1">IFERROR(__xludf.DUMMYFUNCTION("""COMPUTED_VALUE"""),4)</f>
        <v>4</v>
      </c>
      <c r="AC261" s="5" t="str">
        <f ca="1">IFERROR(__xludf.DUMMYFUNCTION("""COMPUTED_VALUE"""),"Scatter, Expanding Wild")</f>
        <v>Scatter, Expanding Wild</v>
      </c>
      <c r="AD261" s="5" t="str">
        <f ca="1">IFERROR(__xludf.DUMMYFUNCTION("""COMPUTED_VALUE"""),"0.05/30")</f>
        <v>0.05/30</v>
      </c>
      <c r="AE261" s="5"/>
      <c r="AF261" s="5"/>
      <c r="AG261" s="10">
        <f ca="1">IFERROR(__xludf.DUMMYFUNCTION("""COMPUTED_VALUE"""),46056.4517824074)</f>
        <v>46056.451782407399</v>
      </c>
      <c r="AH261" s="5" t="str">
        <f ca="1">IFERROR(__xludf.DUMMYFUNCTION("""COMPUTED_VALUE"""),"aleksandar.trajkovic@fazi.rs")</f>
        <v>aleksandar.trajkovic@fazi.rs</v>
      </c>
      <c r="AI261" s="5"/>
      <c r="AJ261" s="5"/>
      <c r="AK261" s="5">
        <f ca="1">IFERROR(__xludf.DUMMYFUNCTION("""COMPUTED_VALUE"""),5)</f>
        <v>5</v>
      </c>
      <c r="AL261" s="5" t="str">
        <f ca="1">IFERROR(__xludf.DUMMYFUNCTION("""COMPUTED_VALUE"""),"Yes")</f>
        <v>Yes</v>
      </c>
      <c r="AM261" s="5"/>
      <c r="AN261" s="7" t="str">
        <f ca="1">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AO261" s="5" t="str">
        <f ca="1">IFERROR(__xludf.DUMMYFUNCTION("""COMPUTED_VALUE"""),"Yes")</f>
        <v>Yes</v>
      </c>
      <c r="AP261" s="5"/>
      <c r="AQ261" s="5" t="b">
        <f ca="1">IFERROR(__xludf.DUMMYFUNCTION("""COMPUTED_VALUE"""),TRUE)</f>
        <v>1</v>
      </c>
      <c r="AR261" s="5"/>
      <c r="AS261" s="5" t="str">
        <f ca="1">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AT261" s="5"/>
      <c r="AU261" s="5" t="str">
        <f ca="1">IFERROR(__xludf.DUMMYFUNCTION("""COMPUTED_VALUE"""),"Fazi")</f>
        <v>Fazi</v>
      </c>
      <c r="AV261" s="5"/>
      <c r="AW261" s="5"/>
      <c r="AX261" s="5"/>
      <c r="AY261" s="5" t="str">
        <f ca="1">IFERROR(__xludf.DUMMYFUNCTION("""COMPUTED_VALUE"""),"87.5%, 89.5%, 91.5%, 93.5%, 94.5%, 95.5%, 96.5%")</f>
        <v>87.5%, 89.5%, 91.5%, 93.5%, 94.5%, 95.5%, 96.5%</v>
      </c>
      <c r="AZ261" s="5"/>
      <c r="BA261" s="5" t="str">
        <f ca="1">IFERROR(__xludf.DUMMYFUNCTION("""COMPUTED_VALUE"""),"")</f>
        <v/>
      </c>
      <c r="BB261" s="5"/>
      <c r="BC261" s="5" t="str">
        <f ca="1">IFERROR(__xludf.DUMMYFUNCTION("""COMPUTED_VALUE"""),"Foxi")</f>
        <v>Foxi</v>
      </c>
      <c r="BD261" s="7" t="str">
        <f ca="1">IFERROR(__xludf.DUMMYFUNCTION("""COMPUTED_VALUE"""),"https://gameserver-store-client-area.orbionlimited.com/Home/IntegrationGameLaunch/client-area?moneyType=0&amp;gameName=EpicCrown5&amp;platform=desktop&amp;languageCode=eng&amp;currency=EUR")</f>
        <v>https://gameserver-store-client-area.orbionlimited.com/Home/IntegrationGameLaunch/client-area?moneyType=0&amp;gameName=EpicCrown5&amp;platform=desktop&amp;languageCode=eng&amp;currency=EUR</v>
      </c>
      <c r="BE261" s="5" t="b">
        <f ca="1">IFERROR(__xludf.DUMMYFUNCTION("""COMPUTED_VALUE"""),TRUE)</f>
        <v>1</v>
      </c>
    </row>
    <row r="262" spans="1:57" x14ac:dyDescent="0.25">
      <c r="A262" s="5">
        <f ca="1">IFERROR(__xludf.DUMMYFUNCTION("""COMPUTED_VALUE"""),262)</f>
        <v>262</v>
      </c>
      <c r="B262" s="5">
        <f ca="1">IFERROR(__xludf.DUMMYFUNCTION("""COMPUTED_VALUE"""),261)</f>
        <v>261</v>
      </c>
      <c r="C262" s="5" t="str">
        <f ca="1">IFERROR(__xludf.DUMMYFUNCTION("""COMPUTED_VALUE"""),"Tiptop")</f>
        <v>Tiptop</v>
      </c>
      <c r="D262" s="5" t="str">
        <f ca="1">IFERROR(__xludf.DUMMYFUNCTION("""COMPUTED_VALUE"""),"Simply Sevens")</f>
        <v>Simply Sevens</v>
      </c>
      <c r="E262" s="5"/>
      <c r="F262" s="5" t="str">
        <f ca="1">IFERROR(__xludf.DUMMYFUNCTION("""COMPUTED_VALUE"""),"UnicornSimplySevens")</f>
        <v>UnicornSimplySevens</v>
      </c>
      <c r="G262" s="5" t="str">
        <f ca="1">IFERROR(__xludf.DUMMYFUNCTION("""COMPUTED_VALUE"""),"Live")</f>
        <v>Live</v>
      </c>
      <c r="H262" s="5"/>
      <c r="I262" s="5" t="str">
        <f ca="1">IFERROR(__xludf.DUMMYFUNCTION("""COMPUTED_VALUE"""),"TipTop")</f>
        <v>TipTop</v>
      </c>
      <c r="J262" s="5" t="str">
        <f ca="1">IFERROR(__xludf.DUMMYFUNCTION("""COMPUTED_VALUE"""),"JSON")</f>
        <v>JSON</v>
      </c>
      <c r="K262" s="5" t="str">
        <f ca="1">IFERROR(__xludf.DUMMYFUNCTION("""COMPUTED_VALUE"""),"Slot")</f>
        <v>Slot</v>
      </c>
      <c r="L262" s="5"/>
      <c r="M262" s="5"/>
      <c r="N262" s="5"/>
      <c r="O262" s="5"/>
      <c r="P262" s="14">
        <f ca="1">IFERROR(__xludf.DUMMYFUNCTION("""COMPUTED_VALUE"""),10.7)</f>
        <v>10.7</v>
      </c>
      <c r="Q262" s="5"/>
      <c r="R262" s="5"/>
      <c r="S262" s="15">
        <f ca="1">IFERROR(__xludf.DUMMYFUNCTION("""COMPUTED_VALUE"""),45155)</f>
        <v>45155</v>
      </c>
      <c r="T262" s="5" t="b">
        <f ca="1">IFERROR(__xludf.DUMMYFUNCTION("""COMPUTED_VALUE"""),TRUE)</f>
        <v>1</v>
      </c>
      <c r="U262" s="5" t="str">
        <f ca="1">IFERROR(__xludf.DUMMYFUNCTION("""COMPUTED_VALUE"""),"5X3")</f>
        <v>5X3</v>
      </c>
      <c r="V262" s="12" t="str">
        <f ca="1">IFERROR(__xludf.DUMMYFUNCTION("""COMPUTED_VALUE"""),"10")</f>
        <v>10</v>
      </c>
      <c r="W262" s="12" t="str">
        <f ca="1">IFERROR(__xludf.DUMMYFUNCTION("""COMPUTED_VALUE"""),"10")</f>
        <v>10</v>
      </c>
      <c r="X262" s="5">
        <f ca="1">IFERROR(__xludf.DUMMYFUNCTION("""COMPUTED_VALUE"""),96)</f>
        <v>96</v>
      </c>
      <c r="Y262" s="5" t="str">
        <f ca="1">IFERROR(__xludf.DUMMYFUNCTION("""COMPUTED_VALUE"""),"Low")</f>
        <v>Low</v>
      </c>
      <c r="Z262" s="5">
        <f ca="1">IFERROR(__xludf.DUMMYFUNCTION("""COMPUTED_VALUE"""),24.14)</f>
        <v>24.14</v>
      </c>
      <c r="AA262" s="14">
        <f ca="1">IFERROR(__xludf.DUMMYFUNCTION("""COMPUTED_VALUE"""),10000)</f>
        <v>10000</v>
      </c>
      <c r="AB262" s="5"/>
      <c r="AC262" s="5" t="str">
        <f ca="1">IFERROR(__xludf.DUMMYFUNCTION("""COMPUTED_VALUE"""),"Scatter")</f>
        <v>Scatter</v>
      </c>
      <c r="AD262" s="5" t="str">
        <f ca="1">IFERROR(__xludf.DUMMYFUNCTION("""COMPUTED_VALUE"""),"0.1/100")</f>
        <v>0.1/100</v>
      </c>
      <c r="AE262" s="5"/>
      <c r="AF262" s="5"/>
      <c r="AG262" s="10">
        <f ca="1">IFERROR(__xludf.DUMMYFUNCTION("""COMPUTED_VALUE"""),46197.461875)</f>
        <v>46197.461875000001</v>
      </c>
      <c r="AH262" s="5" t="str">
        <f ca="1">IFERROR(__xludf.DUMMYFUNCTION("""COMPUTED_VALUE"""),"selena.mihajlovic@fazi.rs")</f>
        <v>selena.mihajlovic@fazi.rs</v>
      </c>
      <c r="AI262" s="5"/>
      <c r="AJ262" s="5"/>
      <c r="AK262" s="5">
        <f ca="1">IFERROR(__xludf.DUMMYFUNCTION("""COMPUTED_VALUE"""),10)</f>
        <v>10</v>
      </c>
      <c r="AL262" s="5" t="str">
        <f ca="1">IFERROR(__xludf.DUMMYFUNCTION("""COMPUTED_VALUE"""),"No")</f>
        <v>No</v>
      </c>
      <c r="AM262" s="5"/>
      <c r="AN262" s="7" t="str">
        <f ca="1">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AO262" s="5"/>
      <c r="AP262" s="5"/>
      <c r="AQ262" s="5" t="b">
        <f ca="1">IFERROR(__xludf.DUMMYFUNCTION("""COMPUTED_VALUE"""),TRUE)</f>
        <v>1</v>
      </c>
      <c r="AR262" s="5"/>
      <c r="AS262" s="5" t="str">
        <f ca="1">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AT262" s="5"/>
      <c r="AU262" s="5" t="str">
        <f ca="1">IFERROR(__xludf.DUMMYFUNCTION("""COMPUTED_VALUE"""),"Fazi")</f>
        <v>Fazi</v>
      </c>
      <c r="AV262" s="5"/>
      <c r="AW262" s="5"/>
      <c r="AX262" s="5"/>
      <c r="AY262" s="5"/>
      <c r="AZ262" s="5"/>
      <c r="BA262" s="5"/>
      <c r="BB262" s="5" t="b">
        <f ca="1">IFERROR(__xludf.DUMMYFUNCTION("""COMPUTED_VALUE"""),TRUE)</f>
        <v>1</v>
      </c>
      <c r="BC262" s="5" t="str">
        <f ca="1">IFERROR(__xludf.DUMMYFUNCTION("""COMPUTED_VALUE"""),"Tiptop")</f>
        <v>Tiptop</v>
      </c>
      <c r="BD262" s="7" t="str">
        <f ca="1">IFERROR(__xludf.DUMMYFUNCTION("""COMPUTED_VALUE"""),"https://gameserver-store-client-area.orbionlimited.com/Home/IntegrationGameLaunch/client-area?moneyType=0&amp;gameName=UnicornSimplySevens&amp;platform=desktop&amp;languageCode=eng&amp;currency=EUR")</f>
        <v>https://gameserver-store-client-area.orbionlimited.com/Home/IntegrationGameLaunch/client-area?moneyType=0&amp;gameName=UnicornSimplySevens&amp;platform=desktop&amp;languageCode=eng&amp;currency=EUR</v>
      </c>
      <c r="BE262" s="5" t="b">
        <f ca="1">IFERROR(__xludf.DUMMYFUNCTION("""COMPUTED_VALUE"""),TRUE)</f>
        <v>1</v>
      </c>
    </row>
    <row r="263" spans="1:57" x14ac:dyDescent="0.25">
      <c r="A263" s="5">
        <f ca="1">IFERROR(__xludf.DUMMYFUNCTION("""COMPUTED_VALUE"""),263)</f>
        <v>263</v>
      </c>
      <c r="B263" s="5">
        <f ca="1">IFERROR(__xludf.DUMMYFUNCTION("""COMPUTED_VALUE"""),262)</f>
        <v>262</v>
      </c>
      <c r="C263" s="5" t="str">
        <f ca="1">IFERROR(__xludf.DUMMYFUNCTION("""COMPUTED_VALUE"""),"Fazi")</f>
        <v>Fazi</v>
      </c>
      <c r="D263" s="5" t="str">
        <f ca="1">IFERROR(__xludf.DUMMYFUNCTION("""COMPUTED_VALUE"""),"Dead Night")</f>
        <v>Dead Night</v>
      </c>
      <c r="E263" s="5" t="str">
        <f ca="1">IFERROR(__xludf.DUMMYFUNCTION("""COMPUTED_VALUE"""),"V2")</f>
        <v>V2</v>
      </c>
      <c r="F263" s="5" t="str">
        <f ca="1">IFERROR(__xludf.DUMMYFUNCTION("""COMPUTED_VALUE"""),"DeadNight")</f>
        <v>DeadNight</v>
      </c>
      <c r="G263" s="5" t="str">
        <f ca="1">IFERROR(__xludf.DUMMYFUNCTION("""COMPUTED_VALUE"""),"Live")</f>
        <v>Live</v>
      </c>
      <c r="H263" s="5"/>
      <c r="I263" s="5" t="str">
        <f ca="1">IFERROR(__xludf.DUMMYFUNCTION("""COMPUTED_VALUE"""),"V2")</f>
        <v>V2</v>
      </c>
      <c r="J263" s="5" t="str">
        <f ca="1">IFERROR(__xludf.DUMMYFUNCTION("""COMPUTED_VALUE"""),"Binary")</f>
        <v>Binary</v>
      </c>
      <c r="K263" s="5" t="str">
        <f ca="1">IFERROR(__xludf.DUMMYFUNCTION("""COMPUTED_VALUE"""),"Slot")</f>
        <v>Slot</v>
      </c>
      <c r="L263" s="5" t="str">
        <f ca="1">IFERROR(__xludf.DUMMYFUNCTION("""COMPUTED_VALUE"""),"Clone")</f>
        <v>Clone</v>
      </c>
      <c r="M263" s="5" t="str">
        <f ca="1">IFERROR(__xludf.DUMMYFUNCTION("""COMPUTED_VALUE"""),"Wild Lucky Clover")</f>
        <v>Wild Lucky Clover</v>
      </c>
      <c r="N263" s="5"/>
      <c r="O263" s="5"/>
      <c r="P263" s="14">
        <f ca="1">IFERROR(__xludf.DUMMYFUNCTION("""COMPUTED_VALUE"""),36)</f>
        <v>36</v>
      </c>
      <c r="Q263" s="5"/>
      <c r="R263" s="5"/>
      <c r="S263" s="15">
        <f ca="1">IFERROR(__xludf.DUMMYFUNCTION("""COMPUTED_VALUE"""),45204)</f>
        <v>45204</v>
      </c>
      <c r="T263" s="5" t="b">
        <f ca="1">IFERROR(__xludf.DUMMYFUNCTION("""COMPUTED_VALUE"""),TRUE)</f>
        <v>1</v>
      </c>
      <c r="U263" s="5" t="str">
        <f ca="1">IFERROR(__xludf.DUMMYFUNCTION("""COMPUTED_VALUE"""),"5x4")</f>
        <v>5x4</v>
      </c>
      <c r="V263" s="12" t="str">
        <f ca="1">IFERROR(__xludf.DUMMYFUNCTION("""COMPUTED_VALUE"""),"40")</f>
        <v>40</v>
      </c>
      <c r="W263" s="12" t="str">
        <f ca="1">IFERROR(__xludf.DUMMYFUNCTION("""COMPUTED_VALUE"""),"40")</f>
        <v>40</v>
      </c>
      <c r="X263" s="5">
        <f ca="1">IFERROR(__xludf.DUMMYFUNCTION("""COMPUTED_VALUE"""),96.291)</f>
        <v>96.290999999999997</v>
      </c>
      <c r="Y263" s="5" t="str">
        <f ca="1">IFERROR(__xludf.DUMMYFUNCTION("""COMPUTED_VALUE"""),"Medium")</f>
        <v>Medium</v>
      </c>
      <c r="Z263" s="5">
        <f ca="1">IFERROR(__xludf.DUMMYFUNCTION("""COMPUTED_VALUE"""),12.67)</f>
        <v>12.67</v>
      </c>
      <c r="AA263" s="14">
        <f ca="1">IFERROR(__xludf.DUMMYFUNCTION("""COMPUTED_VALUE"""),1043)</f>
        <v>1043</v>
      </c>
      <c r="AB263" s="5">
        <f ca="1">IFERROR(__xludf.DUMMYFUNCTION("""COMPUTED_VALUE"""),199)</f>
        <v>199</v>
      </c>
      <c r="AC263" s="5" t="str">
        <f ca="1">IFERROR(__xludf.DUMMYFUNCTION("""COMPUTED_VALUE"""),"Bonus Game with Free Spins, Converting Wild")</f>
        <v>Bonus Game with Free Spins, Converting Wild</v>
      </c>
      <c r="AD263" s="5" t="str">
        <f ca="1">IFERROR(__xludf.DUMMYFUNCTION("""COMPUTED_VALUE"""),"0.4/60")</f>
        <v>0.4/60</v>
      </c>
      <c r="AE263" s="5"/>
      <c r="AF263" s="5"/>
      <c r="AG263" s="10">
        <f ca="1">IFERROR(__xludf.DUMMYFUNCTION("""COMPUTED_VALUE"""),46055.5217129629)</f>
        <v>46055.521712962902</v>
      </c>
      <c r="AH263" s="5" t="str">
        <f ca="1">IFERROR(__xludf.DUMMYFUNCTION("""COMPUTED_VALUE"""),"djordje.jankovic@fazi.rs")</f>
        <v>djordje.jankovic@fazi.rs</v>
      </c>
      <c r="AI263" s="5"/>
      <c r="AJ263" s="5"/>
      <c r="AK263" s="5">
        <f ca="1">IFERROR(__xludf.DUMMYFUNCTION("""COMPUTED_VALUE"""),40)</f>
        <v>40</v>
      </c>
      <c r="AL263" s="5" t="str">
        <f ca="1">IFERROR(__xludf.DUMMYFUNCTION("""COMPUTED_VALUE"""),"Yes")</f>
        <v>Yes</v>
      </c>
      <c r="AM263" s="5"/>
      <c r="AN263" s="7" t="str">
        <f ca="1">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AO263" s="5"/>
      <c r="AP263" s="5"/>
      <c r="AQ263" s="5" t="b">
        <f ca="1">IFERROR(__xludf.DUMMYFUNCTION("""COMPUTED_VALUE"""),TRUE)</f>
        <v>1</v>
      </c>
      <c r="AR263" s="5"/>
      <c r="AS263" s="5" t="str">
        <f ca="1">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AT263" s="5"/>
      <c r="AU263" s="5" t="str">
        <f ca="1">IFERROR(__xludf.DUMMYFUNCTION("""COMPUTED_VALUE"""),"Fazi")</f>
        <v>Fazi</v>
      </c>
      <c r="AV263" s="5"/>
      <c r="AW263" s="5"/>
      <c r="AX263" s="5"/>
      <c r="AY263" s="5"/>
      <c r="AZ263" s="5"/>
      <c r="BA263" s="5" t="str">
        <f ca="1">IFERROR(__xludf.DUMMYFUNCTION("""COMPUTED_VALUE"""),"")</f>
        <v/>
      </c>
      <c r="BB263" s="5"/>
      <c r="BC263" s="5" t="str">
        <f ca="1">IFERROR(__xludf.DUMMYFUNCTION("""COMPUTED_VALUE"""),"Foxi")</f>
        <v>Foxi</v>
      </c>
      <c r="BD263" s="7" t="str">
        <f ca="1">IFERROR(__xludf.DUMMYFUNCTION("""COMPUTED_VALUE"""),"https://gameserver-store-client-area.orbionlimited.com/Home/IntegrationGameLaunch/client-area?moneyType=0&amp;gameName=DeadNight&amp;platform=desktop&amp;languageCode=eng&amp;currency=EUR")</f>
        <v>https://gameserver-store-client-area.orbionlimited.com/Home/IntegrationGameLaunch/client-area?moneyType=0&amp;gameName=DeadNight&amp;platform=desktop&amp;languageCode=eng&amp;currency=EUR</v>
      </c>
      <c r="BE263" s="5" t="b">
        <f ca="1">IFERROR(__xludf.DUMMYFUNCTION("""COMPUTED_VALUE"""),TRUE)</f>
        <v>1</v>
      </c>
    </row>
    <row r="264" spans="1:57" x14ac:dyDescent="0.25">
      <c r="A264" s="5">
        <f ca="1">IFERROR(__xludf.DUMMYFUNCTION("""COMPUTED_VALUE"""),264)</f>
        <v>264</v>
      </c>
      <c r="B264" s="5">
        <f ca="1">IFERROR(__xludf.DUMMYFUNCTION("""COMPUTED_VALUE"""),263)</f>
        <v>263</v>
      </c>
      <c r="C264" s="5" t="str">
        <f ca="1">IFERROR(__xludf.DUMMYFUNCTION("""COMPUTED_VALUE"""),"Fazi")</f>
        <v>Fazi</v>
      </c>
      <c r="D264" s="5" t="str">
        <f ca="1">IFERROR(__xludf.DUMMYFUNCTION("""COMPUTED_VALUE"""),"Winning Clover 5")</f>
        <v>Winning Clover 5</v>
      </c>
      <c r="E264" s="5" t="str">
        <f ca="1">IFERROR(__xludf.DUMMYFUNCTION("""COMPUTED_VALUE"""),"V4-1")</f>
        <v>V4-1</v>
      </c>
      <c r="F264" s="5" t="str">
        <f ca="1">IFERROR(__xludf.DUMMYFUNCTION("""COMPUTED_VALUE"""),"WinningClover5")</f>
        <v>WinningClover5</v>
      </c>
      <c r="G264" s="5" t="str">
        <f ca="1">IFERROR(__xludf.DUMMYFUNCTION("""COMPUTED_VALUE"""),"Live")</f>
        <v>Live</v>
      </c>
      <c r="H264" s="5"/>
      <c r="I264" s="5" t="str">
        <f ca="1">IFERROR(__xludf.DUMMYFUNCTION("""COMPUTED_VALUE"""),"V4")</f>
        <v>V4</v>
      </c>
      <c r="J264" s="5" t="str">
        <f ca="1">IFERROR(__xludf.DUMMYFUNCTION("""COMPUTED_VALUE"""),"JSON")</f>
        <v>JSON</v>
      </c>
      <c r="K264" s="5" t="str">
        <f ca="1">IFERROR(__xludf.DUMMYFUNCTION("""COMPUTED_VALUE"""),"Slot")</f>
        <v>Slot</v>
      </c>
      <c r="L264" s="5" t="str">
        <f ca="1">IFERROR(__xludf.DUMMYFUNCTION("""COMPUTED_VALUE"""),"Clone")</f>
        <v>Clone</v>
      </c>
      <c r="M264" s="5" t="str">
        <f ca="1">IFERROR(__xludf.DUMMYFUNCTION("""COMPUTED_VALUE"""),"Very Hot 5")</f>
        <v>Very Hot 5</v>
      </c>
      <c r="N264" s="5"/>
      <c r="O264" s="5"/>
      <c r="P264" s="14">
        <f ca="1">IFERROR(__xludf.DUMMYFUNCTION("""COMPUTED_VALUE"""),16)</f>
        <v>16</v>
      </c>
      <c r="Q264" s="5"/>
      <c r="R264" s="5"/>
      <c r="S264" s="15">
        <f ca="1">IFERROR(__xludf.DUMMYFUNCTION("""COMPUTED_VALUE"""),45216)</f>
        <v>45216</v>
      </c>
      <c r="T264" s="5" t="b">
        <f ca="1">IFERROR(__xludf.DUMMYFUNCTION("""COMPUTED_VALUE"""),TRUE)</f>
        <v>1</v>
      </c>
      <c r="U264" s="5" t="str">
        <f ca="1">IFERROR(__xludf.DUMMYFUNCTION("""COMPUTED_VALUE"""),"5x3")</f>
        <v>5x3</v>
      </c>
      <c r="V264" s="12" t="str">
        <f ca="1">IFERROR(__xludf.DUMMYFUNCTION("""COMPUTED_VALUE"""),"5")</f>
        <v>5</v>
      </c>
      <c r="W264" s="12" t="str">
        <f ca="1">IFERROR(__xludf.DUMMYFUNCTION("""COMPUTED_VALUE"""),"5")</f>
        <v>5</v>
      </c>
      <c r="X264" s="5">
        <f ca="1">IFERROR(__xludf.DUMMYFUNCTION("""COMPUTED_VALUE"""),96.447)</f>
        <v>96.447000000000003</v>
      </c>
      <c r="Y264" s="5" t="str">
        <f ca="1">IFERROR(__xludf.DUMMYFUNCTION("""COMPUTED_VALUE"""),"Medium")</f>
        <v>Medium</v>
      </c>
      <c r="Z264" s="5">
        <f ca="1">IFERROR(__xludf.DUMMYFUNCTION("""COMPUTED_VALUE"""),14.51)</f>
        <v>14.51</v>
      </c>
      <c r="AA264" s="14">
        <f ca="1">IFERROR(__xludf.DUMMYFUNCTION("""COMPUTED_VALUE"""),1222)</f>
        <v>1222</v>
      </c>
      <c r="AB264" s="5">
        <f ca="1">IFERROR(__xludf.DUMMYFUNCTION("""COMPUTED_VALUE"""),4)</f>
        <v>4</v>
      </c>
      <c r="AC264" s="5" t="str">
        <f ca="1">IFERROR(__xludf.DUMMYFUNCTION("""COMPUTED_VALUE"""),"Scatter, Expanding Wild")</f>
        <v>Scatter, Expanding Wild</v>
      </c>
      <c r="AD264" s="5" t="str">
        <f ca="1">IFERROR(__xludf.DUMMYFUNCTION("""COMPUTED_VALUE"""),"0.05/30")</f>
        <v>0.05/30</v>
      </c>
      <c r="AE264" s="5"/>
      <c r="AF264" s="5"/>
      <c r="AG264" s="10">
        <f ca="1">IFERROR(__xludf.DUMMYFUNCTION("""COMPUTED_VALUE"""),46162.4279861111)</f>
        <v>46162.427986111099</v>
      </c>
      <c r="AH264" s="5" t="str">
        <f ca="1">IFERROR(__xludf.DUMMYFUNCTION("""COMPUTED_VALUE"""),"djordje.petrovic@fazi.rs")</f>
        <v>djordje.petrovic@fazi.rs</v>
      </c>
      <c r="AI264" s="5"/>
      <c r="AJ264" s="5"/>
      <c r="AK264" s="5">
        <f ca="1">IFERROR(__xludf.DUMMYFUNCTION("""COMPUTED_VALUE"""),5)</f>
        <v>5</v>
      </c>
      <c r="AL264" s="5" t="str">
        <f ca="1">IFERROR(__xludf.DUMMYFUNCTION("""COMPUTED_VALUE"""),"Yes")</f>
        <v>Yes</v>
      </c>
      <c r="AM264" s="5"/>
      <c r="AN264" s="7" t="str">
        <f ca="1">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AO264" s="5" t="str">
        <f ca="1">IFERROR(__xludf.DUMMYFUNCTION("""COMPUTED_VALUE"""),"Yes")</f>
        <v>Yes</v>
      </c>
      <c r="AP264" s="5" t="str">
        <f ca="1">IFERROR(__xludf.DUMMYFUNCTION("""COMPUTED_VALUE"""),"Yes")</f>
        <v>Yes</v>
      </c>
      <c r="AQ264" s="5" t="b">
        <f ca="1">IFERROR(__xludf.DUMMYFUNCTION("""COMPUTED_VALUE"""),TRUE)</f>
        <v>1</v>
      </c>
      <c r="AR264" s="5"/>
      <c r="AS264" s="5" t="str">
        <f ca="1">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AT264" s="5" t="str">
        <f ca="1">IFERROR(__xludf.DUMMYFUNCTION("""COMPUTED_VALUE"""),"Yes")</f>
        <v>Yes</v>
      </c>
      <c r="AU264" s="5" t="str">
        <f ca="1">IFERROR(__xludf.DUMMYFUNCTION("""COMPUTED_VALUE"""),"Fazi")</f>
        <v>Fazi</v>
      </c>
      <c r="AV264" s="5"/>
      <c r="AW264"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64" s="5"/>
      <c r="AY264" s="5" t="str">
        <f ca="1">IFERROR(__xludf.DUMMYFUNCTION("""COMPUTED_VALUE"""),"87.5%, 89.5%, 91.5%, 93.5%, 94.5%, 95.5%, 96.5%")</f>
        <v>87.5%, 89.5%, 91.5%, 93.5%, 94.5%, 95.5%, 96.5%</v>
      </c>
      <c r="AZ264" s="5"/>
      <c r="BA264" s="5"/>
      <c r="BB264" s="5"/>
      <c r="BC264" s="5" t="str">
        <f ca="1">IFERROR(__xludf.DUMMYFUNCTION("""COMPUTED_VALUE"""),"Foxi")</f>
        <v>Foxi</v>
      </c>
      <c r="BD264" s="7" t="str">
        <f ca="1">IFERROR(__xludf.DUMMYFUNCTION("""COMPUTED_VALUE"""),"https://gameserver-store-client-area.orbionlimited.com/Home/IntegrationGameLaunch/client-area?moneyType=0&amp;gameName=WinningClover5&amp;platform=desktop&amp;languageCode=eng&amp;currency=EUR")</f>
        <v>https://gameserver-store-client-area.orbionlimited.com/Home/IntegrationGameLaunch/client-area?moneyType=0&amp;gameName=WinningClover5&amp;platform=desktop&amp;languageCode=eng&amp;currency=EUR</v>
      </c>
      <c r="BE264" s="5" t="b">
        <f ca="1">IFERROR(__xludf.DUMMYFUNCTION("""COMPUTED_VALUE"""),TRUE)</f>
        <v>1</v>
      </c>
    </row>
    <row r="265" spans="1:57" x14ac:dyDescent="0.25">
      <c r="A265" s="5">
        <f ca="1">IFERROR(__xludf.DUMMYFUNCTION("""COMPUTED_VALUE"""),265)</f>
        <v>265</v>
      </c>
      <c r="B265" s="5">
        <f ca="1">IFERROR(__xludf.DUMMYFUNCTION("""COMPUTED_VALUE"""),264)</f>
        <v>264</v>
      </c>
      <c r="C265" s="5" t="str">
        <f ca="1">IFERROR(__xludf.DUMMYFUNCTION("""COMPUTED_VALUE"""),"Fazi")</f>
        <v>Fazi</v>
      </c>
      <c r="D265" s="5" t="str">
        <f ca="1">IFERROR(__xludf.DUMMYFUNCTION("""COMPUTED_VALUE"""),"Turbo Fire")</f>
        <v>Turbo Fire</v>
      </c>
      <c r="E265" s="5" t="str">
        <f ca="1">IFERROR(__xludf.DUMMYFUNCTION("""COMPUTED_VALUE"""),"V4-1")</f>
        <v>V4-1</v>
      </c>
      <c r="F265" s="5" t="str">
        <f ca="1">IFERROR(__xludf.DUMMYFUNCTION("""COMPUTED_VALUE"""),"TurboFire")</f>
        <v>TurboFire</v>
      </c>
      <c r="G265" s="5" t="str">
        <f ca="1">IFERROR(__xludf.DUMMYFUNCTION("""COMPUTED_VALUE"""),"Live")</f>
        <v>Live</v>
      </c>
      <c r="H265" s="5"/>
      <c r="I265" s="5" t="str">
        <f ca="1">IFERROR(__xludf.DUMMYFUNCTION("""COMPUTED_VALUE"""),"V4")</f>
        <v>V4</v>
      </c>
      <c r="J265" s="5" t="str">
        <f ca="1">IFERROR(__xludf.DUMMYFUNCTION("""COMPUTED_VALUE"""),"JSON")</f>
        <v>JSON</v>
      </c>
      <c r="K265" s="5" t="str">
        <f ca="1">IFERROR(__xludf.DUMMYFUNCTION("""COMPUTED_VALUE"""),"Slot")</f>
        <v>Slot</v>
      </c>
      <c r="L265" s="5" t="str">
        <f ca="1">IFERROR(__xludf.DUMMYFUNCTION("""COMPUTED_VALUE"""),"Clone")</f>
        <v>Clone</v>
      </c>
      <c r="M265" s="5" t="str">
        <f ca="1">IFERROR(__xludf.DUMMYFUNCTION("""COMPUTED_VALUE"""),"Turbo Hot 40")</f>
        <v>Turbo Hot 40</v>
      </c>
      <c r="N265" s="5"/>
      <c r="O265" s="5"/>
      <c r="P265" s="14">
        <f ca="1">IFERROR(__xludf.DUMMYFUNCTION("""COMPUTED_VALUE"""),13)</f>
        <v>13</v>
      </c>
      <c r="Q265" s="5"/>
      <c r="R265" s="5"/>
      <c r="S265" s="15">
        <f ca="1">IFERROR(__xludf.DUMMYFUNCTION("""COMPUTED_VALUE"""),45272)</f>
        <v>45272</v>
      </c>
      <c r="T265" s="5" t="b">
        <f ca="1">IFERROR(__xludf.DUMMYFUNCTION("""COMPUTED_VALUE"""),TRUE)</f>
        <v>1</v>
      </c>
      <c r="U265" s="5" t="str">
        <f ca="1">IFERROR(__xludf.DUMMYFUNCTION("""COMPUTED_VALUE"""),"5x4")</f>
        <v>5x4</v>
      </c>
      <c r="V265" s="12" t="str">
        <f ca="1">IFERROR(__xludf.DUMMYFUNCTION("""COMPUTED_VALUE"""),"40")</f>
        <v>40</v>
      </c>
      <c r="W265" s="12" t="str">
        <f ca="1">IFERROR(__xludf.DUMMYFUNCTION("""COMPUTED_VALUE"""),"40")</f>
        <v>40</v>
      </c>
      <c r="X265" s="5">
        <f ca="1">IFERROR(__xludf.DUMMYFUNCTION("""COMPUTED_VALUE"""),96.584)</f>
        <v>96.584000000000003</v>
      </c>
      <c r="Y265" s="5" t="str">
        <f ca="1">IFERROR(__xludf.DUMMYFUNCTION("""COMPUTED_VALUE"""),"Low")</f>
        <v>Low</v>
      </c>
      <c r="Z265" s="5">
        <f ca="1">IFERROR(__xludf.DUMMYFUNCTION("""COMPUTED_VALUE"""),16.73)</f>
        <v>16.73</v>
      </c>
      <c r="AA265" s="14">
        <f ca="1">IFERROR(__xludf.DUMMYFUNCTION("""COMPUTED_VALUE"""),1000)</f>
        <v>1000</v>
      </c>
      <c r="AB265" s="5" t="str">
        <f ca="1">IFERROR(__xludf.DUMMYFUNCTION("""COMPUTED_VALUE"""),"/")</f>
        <v>/</v>
      </c>
      <c r="AC265" s="5" t="str">
        <f ca="1">IFERROR(__xludf.DUMMYFUNCTION("""COMPUTED_VALUE"""),"Wild Symbol, Scatter")</f>
        <v>Wild Symbol, Scatter</v>
      </c>
      <c r="AD265" s="5" t="str">
        <f ca="1">IFERROR(__xludf.DUMMYFUNCTION("""COMPUTED_VALUE"""),"0.4/40")</f>
        <v>0.4/40</v>
      </c>
      <c r="AE265" s="5"/>
      <c r="AF265" s="5"/>
      <c r="AG265" s="10">
        <f ca="1">IFERROR(__xludf.DUMMYFUNCTION("""COMPUTED_VALUE"""),46162.4268171296)</f>
        <v>46162.426817129599</v>
      </c>
      <c r="AH265" s="5" t="str">
        <f ca="1">IFERROR(__xludf.DUMMYFUNCTION("""COMPUTED_VALUE"""),"djordje.petrovic@fazi.rs")</f>
        <v>djordje.petrovic@fazi.rs</v>
      </c>
      <c r="AI265" s="5"/>
      <c r="AJ265" s="5"/>
      <c r="AK265" s="5">
        <f ca="1">IFERROR(__xludf.DUMMYFUNCTION("""COMPUTED_VALUE"""),40)</f>
        <v>40</v>
      </c>
      <c r="AL265" s="5" t="str">
        <f ca="1">IFERROR(__xludf.DUMMYFUNCTION("""COMPUTED_VALUE"""),"Yes")</f>
        <v>Yes</v>
      </c>
      <c r="AM265" s="5"/>
      <c r="AN265" s="7" t="str">
        <f ca="1">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AO265" s="5" t="str">
        <f ca="1">IFERROR(__xludf.DUMMYFUNCTION("""COMPUTED_VALUE"""),"Yes")</f>
        <v>Yes</v>
      </c>
      <c r="AP265" s="5" t="str">
        <f ca="1">IFERROR(__xludf.DUMMYFUNCTION("""COMPUTED_VALUE"""),"Yes")</f>
        <v>Yes</v>
      </c>
      <c r="AQ265" s="5" t="b">
        <f ca="1">IFERROR(__xludf.DUMMYFUNCTION("""COMPUTED_VALUE"""),TRUE)</f>
        <v>1</v>
      </c>
      <c r="AR265" s="5"/>
      <c r="AS265" s="5" t="str">
        <f ca="1">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AT265" s="5" t="str">
        <f ca="1">IFERROR(__xludf.DUMMYFUNCTION("""COMPUTED_VALUE"""),"No")</f>
        <v>No</v>
      </c>
      <c r="AU265" s="5" t="str">
        <f ca="1">IFERROR(__xludf.DUMMYFUNCTION("""COMPUTED_VALUE"""),"Fazi")</f>
        <v>Fazi</v>
      </c>
      <c r="AV265" s="5"/>
      <c r="AW265" s="5" t="str">
        <f ca="1">IFERROR(__xludf.DUMMYFUNCTION("""COMPUTED_VALUE"""),"Testirano na platformi")</f>
        <v>Testirano na platformi</v>
      </c>
      <c r="AX265" s="5"/>
      <c r="AY265" s="5"/>
      <c r="AZ265" s="5"/>
      <c r="BA265" s="5"/>
      <c r="BB265" s="5"/>
      <c r="BC265" s="5" t="str">
        <f ca="1">IFERROR(__xludf.DUMMYFUNCTION("""COMPUTED_VALUE"""),"Foxi")</f>
        <v>Foxi</v>
      </c>
      <c r="BD265" s="7" t="str">
        <f ca="1">IFERROR(__xludf.DUMMYFUNCTION("""COMPUTED_VALUE"""),"https://gameserver-store-client-area.orbionlimited.com/Home/IntegrationGameLaunch/client-area?moneyType=0&amp;gameName=TurboFire&amp;platform=desktop&amp;languageCode=eng&amp;currency=EUR")</f>
        <v>https://gameserver-store-client-area.orbionlimited.com/Home/IntegrationGameLaunch/client-area?moneyType=0&amp;gameName=TurboFire&amp;platform=desktop&amp;languageCode=eng&amp;currency=EUR</v>
      </c>
      <c r="BE265" s="5" t="b">
        <f ca="1">IFERROR(__xludf.DUMMYFUNCTION("""COMPUTED_VALUE"""),TRUE)</f>
        <v>1</v>
      </c>
    </row>
    <row r="266" spans="1:57" x14ac:dyDescent="0.25">
      <c r="A266" s="5">
        <f ca="1">IFERROR(__xludf.DUMMYFUNCTION("""COMPUTED_VALUE"""),266)</f>
        <v>266</v>
      </c>
      <c r="B266" s="5">
        <f ca="1">IFERROR(__xludf.DUMMYFUNCTION("""COMPUTED_VALUE"""),265)</f>
        <v>265</v>
      </c>
      <c r="C266" s="5" t="str">
        <f ca="1">IFERROR(__xludf.DUMMYFUNCTION("""COMPUTED_VALUE"""),"Tiptop")</f>
        <v>Tiptop</v>
      </c>
      <c r="D266" s="5" t="str">
        <f ca="1">IFERROR(__xludf.DUMMYFUNCTION("""COMPUTED_VALUE"""),"10 Jingle Fruits")</f>
        <v>10 Jingle Fruits</v>
      </c>
      <c r="E266" s="5"/>
      <c r="F266" s="5" t="str">
        <f ca="1">IFERROR(__xludf.DUMMYFUNCTION("""COMPUTED_VALUE"""),"Unicorn10JingleFruits")</f>
        <v>Unicorn10JingleFruits</v>
      </c>
      <c r="G266" s="5" t="str">
        <f ca="1">IFERROR(__xludf.DUMMYFUNCTION("""COMPUTED_VALUE"""),"Live")</f>
        <v>Live</v>
      </c>
      <c r="H266" s="5"/>
      <c r="I266" s="5" t="str">
        <f ca="1">IFERROR(__xludf.DUMMYFUNCTION("""COMPUTED_VALUE"""),"TipTop")</f>
        <v>TipTop</v>
      </c>
      <c r="J266" s="5" t="str">
        <f ca="1">IFERROR(__xludf.DUMMYFUNCTION("""COMPUTED_VALUE"""),"JSON")</f>
        <v>JSON</v>
      </c>
      <c r="K266" s="5" t="str">
        <f ca="1">IFERROR(__xludf.DUMMYFUNCTION("""COMPUTED_VALUE"""),"Slot")</f>
        <v>Slot</v>
      </c>
      <c r="L266" s="5"/>
      <c r="M266" s="5"/>
      <c r="N266" s="5"/>
      <c r="O266" s="5"/>
      <c r="P266" s="14">
        <f ca="1">IFERROR(__xludf.DUMMYFUNCTION("""COMPUTED_VALUE"""),12.2)</f>
        <v>12.2</v>
      </c>
      <c r="Q266" s="5"/>
      <c r="R266" s="5"/>
      <c r="S266" s="15">
        <f ca="1">IFERROR(__xludf.DUMMYFUNCTION("""COMPUTED_VALUE"""),45174)</f>
        <v>45174</v>
      </c>
      <c r="T266" s="5" t="b">
        <f ca="1">IFERROR(__xludf.DUMMYFUNCTION("""COMPUTED_VALUE"""),TRUE)</f>
        <v>1</v>
      </c>
      <c r="U266" s="5" t="str">
        <f ca="1">IFERROR(__xludf.DUMMYFUNCTION("""COMPUTED_VALUE"""),"5X3")</f>
        <v>5X3</v>
      </c>
      <c r="V266" s="12" t="str">
        <f ca="1">IFERROR(__xludf.DUMMYFUNCTION("""COMPUTED_VALUE"""),"10")</f>
        <v>10</v>
      </c>
      <c r="W266" s="12" t="str">
        <f ca="1">IFERROR(__xludf.DUMMYFUNCTION("""COMPUTED_VALUE"""),"10")</f>
        <v>10</v>
      </c>
      <c r="X266" s="5">
        <f ca="1">IFERROR(__xludf.DUMMYFUNCTION("""COMPUTED_VALUE"""),96)</f>
        <v>96</v>
      </c>
      <c r="Y266" s="5" t="str">
        <f ca="1">IFERROR(__xludf.DUMMYFUNCTION("""COMPUTED_VALUE"""),"Low")</f>
        <v>Low</v>
      </c>
      <c r="Z266" s="5">
        <f ca="1">IFERROR(__xludf.DUMMYFUNCTION("""COMPUTED_VALUE"""),18.41)</f>
        <v>18.41</v>
      </c>
      <c r="AA266" s="14">
        <f ca="1">IFERROR(__xludf.DUMMYFUNCTION("""COMPUTED_VALUE"""),1000)</f>
        <v>1000</v>
      </c>
      <c r="AB266" s="5"/>
      <c r="AC266" s="5" t="str">
        <f ca="1">IFERROR(__xludf.DUMMYFUNCTION("""COMPUTED_VALUE"""),"Scatter")</f>
        <v>Scatter</v>
      </c>
      <c r="AD266" s="5" t="str">
        <f ca="1">IFERROR(__xludf.DUMMYFUNCTION("""COMPUTED_VALUE"""),"0.1/100")</f>
        <v>0.1/100</v>
      </c>
      <c r="AE266" s="5"/>
      <c r="AF266" s="5"/>
      <c r="AG266" s="10">
        <f ca="1">IFERROR(__xludf.DUMMYFUNCTION("""COMPUTED_VALUE"""),46197.4621643518)</f>
        <v>46197.462164351797</v>
      </c>
      <c r="AH266" s="5" t="str">
        <f ca="1">IFERROR(__xludf.DUMMYFUNCTION("""COMPUTED_VALUE"""),"selena.mihajlovic@fazi.rs")</f>
        <v>selena.mihajlovic@fazi.rs</v>
      </c>
      <c r="AI266" s="5"/>
      <c r="AJ266" s="5"/>
      <c r="AK266" s="5">
        <f ca="1">IFERROR(__xludf.DUMMYFUNCTION("""COMPUTED_VALUE"""),10)</f>
        <v>10</v>
      </c>
      <c r="AL266" s="5" t="str">
        <f ca="1">IFERROR(__xludf.DUMMYFUNCTION("""COMPUTED_VALUE"""),"No")</f>
        <v>No</v>
      </c>
      <c r="AM266" s="5"/>
      <c r="AN266" s="7" t="str">
        <f ca="1">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AO266" s="5"/>
      <c r="AP266" s="5"/>
      <c r="AQ266" s="5" t="b">
        <f ca="1">IFERROR(__xludf.DUMMYFUNCTION("""COMPUTED_VALUE"""),TRUE)</f>
        <v>1</v>
      </c>
      <c r="AR266" s="5"/>
      <c r="AS266" s="5" t="str">
        <f ca="1">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AT266" s="5"/>
      <c r="AU266" s="5" t="str">
        <f ca="1">IFERROR(__xludf.DUMMYFUNCTION("""COMPUTED_VALUE"""),"Fazi")</f>
        <v>Fazi</v>
      </c>
      <c r="AV266" s="5"/>
      <c r="AW266" s="5"/>
      <c r="AX266" s="5"/>
      <c r="AY266" s="5"/>
      <c r="AZ266" s="5"/>
      <c r="BA266" s="5"/>
      <c r="BB266" s="5" t="b">
        <f ca="1">IFERROR(__xludf.DUMMYFUNCTION("""COMPUTED_VALUE"""),TRUE)</f>
        <v>1</v>
      </c>
      <c r="BC266" s="5" t="str">
        <f ca="1">IFERROR(__xludf.DUMMYFUNCTION("""COMPUTED_VALUE"""),"Tiptop")</f>
        <v>Tiptop</v>
      </c>
      <c r="BD266" s="7" t="str">
        <f ca="1">IFERROR(__xludf.DUMMYFUNCTION("""COMPUTED_VALUE"""),"https://gameserver-store-client-area.orbionlimited.com/Home/IntegrationGameLaunch/client-area?moneyType=0&amp;gameName=Unicorn10JingleFruits&amp;platform=desktop&amp;languageCode=eng&amp;currency=EUR")</f>
        <v>https://gameserver-store-client-area.orbionlimited.com/Home/IntegrationGameLaunch/client-area?moneyType=0&amp;gameName=Unicorn10JingleFruits&amp;platform=desktop&amp;languageCode=eng&amp;currency=EUR</v>
      </c>
      <c r="BE266" s="5" t="b">
        <f ca="1">IFERROR(__xludf.DUMMYFUNCTION("""COMPUTED_VALUE"""),TRUE)</f>
        <v>1</v>
      </c>
    </row>
    <row r="267" spans="1:57" x14ac:dyDescent="0.25">
      <c r="A267" s="5">
        <f ca="1">IFERROR(__xludf.DUMMYFUNCTION("""COMPUTED_VALUE"""),267)</f>
        <v>267</v>
      </c>
      <c r="B267" s="5">
        <f ca="1">IFERROR(__xludf.DUMMYFUNCTION("""COMPUTED_VALUE"""),266)</f>
        <v>266</v>
      </c>
      <c r="C267" s="5" t="str">
        <f ca="1">IFERROR(__xludf.DUMMYFUNCTION("""COMPUTED_VALUE"""),"Fazi")</f>
        <v>Fazi</v>
      </c>
      <c r="D267" s="5" t="str">
        <f ca="1">IFERROR(__xludf.DUMMYFUNCTION("""COMPUTED_VALUE"""),"Winning Clover 5 Extreme")</f>
        <v>Winning Clover 5 Extreme</v>
      </c>
      <c r="E267" s="5" t="str">
        <f ca="1">IFERROR(__xludf.DUMMYFUNCTION("""COMPUTED_VALUE"""),"V4-1")</f>
        <v>V4-1</v>
      </c>
      <c r="F267" s="5" t="str">
        <f ca="1">IFERROR(__xludf.DUMMYFUNCTION("""COMPUTED_VALUE"""),"WinningClover5Extreme")</f>
        <v>WinningClover5Extreme</v>
      </c>
      <c r="G267" s="5" t="str">
        <f ca="1">IFERROR(__xludf.DUMMYFUNCTION("""COMPUTED_VALUE"""),"Live")</f>
        <v>Live</v>
      </c>
      <c r="H267" s="5"/>
      <c r="I267" s="5" t="str">
        <f ca="1">IFERROR(__xludf.DUMMYFUNCTION("""COMPUTED_VALUE"""),"V4")</f>
        <v>V4</v>
      </c>
      <c r="J267" s="5" t="str">
        <f ca="1">IFERROR(__xludf.DUMMYFUNCTION("""COMPUTED_VALUE"""),"JSON")</f>
        <v>JSON</v>
      </c>
      <c r="K267" s="5" t="str">
        <f ca="1">IFERROR(__xludf.DUMMYFUNCTION("""COMPUTED_VALUE"""),"Slot")</f>
        <v>Slot</v>
      </c>
      <c r="L267" s="5" t="str">
        <f ca="1">IFERROR(__xludf.DUMMYFUNCTION("""COMPUTED_VALUE"""),"Clone")</f>
        <v>Clone</v>
      </c>
      <c r="M267" s="5" t="str">
        <f ca="1">IFERROR(__xludf.DUMMYFUNCTION("""COMPUTED_VALUE"""),"Winning Clover 5")</f>
        <v>Winning Clover 5</v>
      </c>
      <c r="N267" s="5"/>
      <c r="O267" s="5"/>
      <c r="P267" s="14">
        <f ca="1">IFERROR(__xludf.DUMMYFUNCTION("""COMPUTED_VALUE"""),16)</f>
        <v>16</v>
      </c>
      <c r="Q267" s="5"/>
      <c r="R267" s="5"/>
      <c r="S267" s="15">
        <f ca="1">IFERROR(__xludf.DUMMYFUNCTION("""COMPUTED_VALUE"""),45251)</f>
        <v>45251</v>
      </c>
      <c r="T267" s="5" t="b">
        <f ca="1">IFERROR(__xludf.DUMMYFUNCTION("""COMPUTED_VALUE"""),TRUE)</f>
        <v>1</v>
      </c>
      <c r="U267" s="5" t="str">
        <f ca="1">IFERROR(__xludf.DUMMYFUNCTION("""COMPUTED_VALUE"""),"5x3")</f>
        <v>5x3</v>
      </c>
      <c r="V267" s="12" t="str">
        <f ca="1">IFERROR(__xludf.DUMMYFUNCTION("""COMPUTED_VALUE"""),"5")</f>
        <v>5</v>
      </c>
      <c r="W267" s="12" t="str">
        <f ca="1">IFERROR(__xludf.DUMMYFUNCTION("""COMPUTED_VALUE"""),"5")</f>
        <v>5</v>
      </c>
      <c r="X267" s="5">
        <f ca="1">IFERROR(__xludf.DUMMYFUNCTION("""COMPUTED_VALUE"""),96.5)</f>
        <v>96.5</v>
      </c>
      <c r="Y267" s="5" t="str">
        <f ca="1">IFERROR(__xludf.DUMMYFUNCTION("""COMPUTED_VALUE"""),"High")</f>
        <v>High</v>
      </c>
      <c r="Z267" s="5">
        <f ca="1">IFERROR(__xludf.DUMMYFUNCTION("""COMPUTED_VALUE"""),12.8)</f>
        <v>12.8</v>
      </c>
      <c r="AA267" s="14">
        <f ca="1">IFERROR(__xludf.DUMMYFUNCTION("""COMPUTED_VALUE"""),5000)</f>
        <v>5000</v>
      </c>
      <c r="AB267" s="5">
        <f ca="1">IFERROR(__xludf.DUMMYFUNCTION("""COMPUTED_VALUE"""),4)</f>
        <v>4</v>
      </c>
      <c r="AC267" s="5" t="str">
        <f ca="1">IFERROR(__xludf.DUMMYFUNCTION("""COMPUTED_VALUE"""),"Expanding Wild, Wild Multiplier, Scatter")</f>
        <v>Expanding Wild, Wild Multiplier, Scatter</v>
      </c>
      <c r="AD267" s="5" t="str">
        <f ca="1">IFERROR(__xludf.DUMMYFUNCTION("""COMPUTED_VALUE"""),"0.05/30")</f>
        <v>0.05/30</v>
      </c>
      <c r="AE267" s="5"/>
      <c r="AF267" s="5"/>
      <c r="AG267" s="10">
        <f ca="1">IFERROR(__xludf.DUMMYFUNCTION("""COMPUTED_VALUE"""),46162.4289004629)</f>
        <v>46162.428900462903</v>
      </c>
      <c r="AH267" s="5" t="str">
        <f ca="1">IFERROR(__xludf.DUMMYFUNCTION("""COMPUTED_VALUE"""),"djordje.petrovic@fazi.rs")</f>
        <v>djordje.petrovic@fazi.rs</v>
      </c>
      <c r="AI267" s="5"/>
      <c r="AJ267" s="5"/>
      <c r="AK267" s="5">
        <f ca="1">IFERROR(__xludf.DUMMYFUNCTION("""COMPUTED_VALUE"""),5)</f>
        <v>5</v>
      </c>
      <c r="AL267" s="5" t="str">
        <f ca="1">IFERROR(__xludf.DUMMYFUNCTION("""COMPUTED_VALUE"""),"Yes")</f>
        <v>Yes</v>
      </c>
      <c r="AM267" s="5"/>
      <c r="AN267" s="7" t="str">
        <f ca="1">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AO267" s="5" t="str">
        <f ca="1">IFERROR(__xludf.DUMMYFUNCTION("""COMPUTED_VALUE"""),"Yes")</f>
        <v>Yes</v>
      </c>
      <c r="AP267" s="5" t="str">
        <f ca="1">IFERROR(__xludf.DUMMYFUNCTION("""COMPUTED_VALUE"""),"Yes")</f>
        <v>Yes</v>
      </c>
      <c r="AQ267" s="5" t="b">
        <f ca="1">IFERROR(__xludf.DUMMYFUNCTION("""COMPUTED_VALUE"""),TRUE)</f>
        <v>1</v>
      </c>
      <c r="AR267" s="5"/>
      <c r="AS267" s="5" t="str">
        <f ca="1">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AT267" s="5" t="str">
        <f ca="1">IFERROR(__xludf.DUMMYFUNCTION("""COMPUTED_VALUE"""),"No")</f>
        <v>No</v>
      </c>
      <c r="AU267" s="5" t="str">
        <f ca="1">IFERROR(__xludf.DUMMYFUNCTION("""COMPUTED_VALUE"""),"Fazi")</f>
        <v>Fazi</v>
      </c>
      <c r="AV267" s="5"/>
      <c r="AW267" s="5" t="str">
        <f ca="1">IFERROR(__xludf.DUMMYFUNCTION("""COMPUTED_VALUE"""),"Testirano na platofrmi")</f>
        <v>Testirano na platofrmi</v>
      </c>
      <c r="AX267" s="5"/>
      <c r="AY267" s="5"/>
      <c r="AZ267" s="5"/>
      <c r="BA267" s="5"/>
      <c r="BB267" s="5"/>
      <c r="BC267" s="5" t="str">
        <f ca="1">IFERROR(__xludf.DUMMYFUNCTION("""COMPUTED_VALUE"""),"Foxi")</f>
        <v>Foxi</v>
      </c>
      <c r="BD267" s="7" t="str">
        <f ca="1">IFERROR(__xludf.DUMMYFUNCTION("""COMPUTED_VALUE"""),"https://gameserver-store-client-area.orbionlimited.com/Home/IntegrationGameLaunch/client-area?moneyType=0&amp;gameName=WinningClover5Extreme&amp;platform=desktop&amp;languageCode=eng&amp;currency=EUR")</f>
        <v>https://gameserver-store-client-area.orbionlimited.com/Home/IntegrationGameLaunch/client-area?moneyType=0&amp;gameName=WinningClover5Extreme&amp;platform=desktop&amp;languageCode=eng&amp;currency=EUR</v>
      </c>
      <c r="BE267" s="5" t="b">
        <f ca="1">IFERROR(__xludf.DUMMYFUNCTION("""COMPUTED_VALUE"""),TRUE)</f>
        <v>1</v>
      </c>
    </row>
    <row r="268" spans="1:57" x14ac:dyDescent="0.25">
      <c r="A268" s="5">
        <f ca="1">IFERROR(__xludf.DUMMYFUNCTION("""COMPUTED_VALUE"""),268)</f>
        <v>268</v>
      </c>
      <c r="B268" s="5">
        <f ca="1">IFERROR(__xludf.DUMMYFUNCTION("""COMPUTED_VALUE"""),267)</f>
        <v>267</v>
      </c>
      <c r="C268" s="5" t="str">
        <f ca="1">IFERROR(__xludf.DUMMYFUNCTION("""COMPUTED_VALUE"""),"Redstone")</f>
        <v>Redstone</v>
      </c>
      <c r="D268" s="5" t="str">
        <f ca="1">IFERROR(__xludf.DUMMYFUNCTION("""COMPUTED_VALUE"""),"Clover Blast 5")</f>
        <v>Clover Blast 5</v>
      </c>
      <c r="E268" s="5" t="str">
        <f ca="1">IFERROR(__xludf.DUMMYFUNCTION("""COMPUTED_VALUE"""),"Redstone")</f>
        <v>Redstone</v>
      </c>
      <c r="F268" s="5" t="str">
        <f ca="1">IFERROR(__xludf.DUMMYFUNCTION("""COMPUTED_VALUE"""),"CloverBlast5")</f>
        <v>CloverBlast5</v>
      </c>
      <c r="G268" s="5" t="str">
        <f ca="1">IFERROR(__xludf.DUMMYFUNCTION("""COMPUTED_VALUE"""),"Live")</f>
        <v>Live</v>
      </c>
      <c r="H268" s="5"/>
      <c r="I268" s="5" t="str">
        <f ca="1">IFERROR(__xludf.DUMMYFUNCTION("""COMPUTED_VALUE"""),"Redstone")</f>
        <v>Redstone</v>
      </c>
      <c r="J268" s="5" t="str">
        <f ca="1">IFERROR(__xludf.DUMMYFUNCTION("""COMPUTED_VALUE"""),"JSON")</f>
        <v>JSON</v>
      </c>
      <c r="K268" s="5" t="str">
        <f ca="1">IFERROR(__xludf.DUMMYFUNCTION("""COMPUTED_VALUE"""),"Slot")</f>
        <v>Slot</v>
      </c>
      <c r="L268" s="5" t="str">
        <f ca="1">IFERROR(__xludf.DUMMYFUNCTION("""COMPUTED_VALUE"""),"Master")</f>
        <v>Master</v>
      </c>
      <c r="M268" s="5"/>
      <c r="N268" s="7" t="str">
        <f ca="1">IFERROR(__xludf.DUMMYFUNCTION("""COMPUTED_VALUE"""),"https://docs.google.com/document/d/1-DcLI-tOHLxDhFJu89mRnLghXEFFzgNY/edit?usp=drive_link&amp;ouid=107596163405648766688&amp;rtpof=true&amp;sd=true")</f>
        <v>https://docs.google.com/document/d/1-DcLI-tOHLxDhFJu89mRnLghXEFFzgNY/edit?usp=drive_link&amp;ouid=107596163405648766688&amp;rtpof=true&amp;sd=true</v>
      </c>
      <c r="O268" s="7" t="str">
        <f ca="1">IFERROR(__xludf.DUMMYFUNCTION("""COMPUTED_VALUE"""),"https://docs.google.com/document/d/1JRWwKCTfAAr13XFrmwOPqrlKDi2Z5V4W/edit?usp=drive_link&amp;ouid=107596163405648766688&amp;rtpof=true&amp;sd=true")</f>
        <v>https://docs.google.com/document/d/1JRWwKCTfAAr13XFrmwOPqrlKDi2Z5V4W/edit?usp=drive_link&amp;ouid=107596163405648766688&amp;rtpof=true&amp;sd=true</v>
      </c>
      <c r="P268" s="14">
        <f ca="1">IFERROR(__xludf.DUMMYFUNCTION("""COMPUTED_VALUE"""),8.8)</f>
        <v>8.8000000000000007</v>
      </c>
      <c r="Q268" s="5"/>
      <c r="R268" s="5"/>
      <c r="S268" s="15">
        <f ca="1">IFERROR(__xludf.DUMMYFUNCTION("""COMPUTED_VALUE"""),45172)</f>
        <v>45172</v>
      </c>
      <c r="T268" s="5" t="b">
        <f ca="1">IFERROR(__xludf.DUMMYFUNCTION("""COMPUTED_VALUE"""),TRUE)</f>
        <v>1</v>
      </c>
      <c r="U268" s="5" t="str">
        <f ca="1">IFERROR(__xludf.DUMMYFUNCTION("""COMPUTED_VALUE"""),"5x3")</f>
        <v>5x3</v>
      </c>
      <c r="V268" s="12" t="str">
        <f ca="1">IFERROR(__xludf.DUMMYFUNCTION("""COMPUTED_VALUE"""),"5")</f>
        <v>5</v>
      </c>
      <c r="W268" s="12" t="str">
        <f ca="1">IFERROR(__xludf.DUMMYFUNCTION("""COMPUTED_VALUE"""),"5")</f>
        <v>5</v>
      </c>
      <c r="X268" s="5">
        <f ca="1">IFERROR(__xludf.DUMMYFUNCTION("""COMPUTED_VALUE"""),96.2)</f>
        <v>96.2</v>
      </c>
      <c r="Y268" s="5" t="str">
        <f ca="1">IFERROR(__xludf.DUMMYFUNCTION("""COMPUTED_VALUE"""),"Medium")</f>
        <v>Medium</v>
      </c>
      <c r="Z268" s="5">
        <f ca="1">IFERROR(__xludf.DUMMYFUNCTION("""COMPUTED_VALUE"""),11.91)</f>
        <v>11.91</v>
      </c>
      <c r="AA268" s="14">
        <f ca="1">IFERROR(__xludf.DUMMYFUNCTION("""COMPUTED_VALUE"""),2000)</f>
        <v>2000</v>
      </c>
      <c r="AB268" s="5"/>
      <c r="AC268" s="5" t="str">
        <f ca="1">IFERROR(__xludf.DUMMYFUNCTION("""COMPUTED_VALUE"""),"Expanding Wild")</f>
        <v>Expanding Wild</v>
      </c>
      <c r="AD268" s="5" t="str">
        <f ca="1">IFERROR(__xludf.DUMMYFUNCTION("""COMPUTED_VALUE"""),"0.01/50")</f>
        <v>0.01/50</v>
      </c>
      <c r="AE268" s="5"/>
      <c r="AF268" s="5"/>
      <c r="AG268" s="10">
        <f ca="1">IFERROR(__xludf.DUMMYFUNCTION("""COMPUTED_VALUE"""),46157.4752199074)</f>
        <v>46157.475219907399</v>
      </c>
      <c r="AH268" s="5"/>
      <c r="AI268" s="5"/>
      <c r="AJ268" s="5"/>
      <c r="AK268" s="5">
        <f ca="1">IFERROR(__xludf.DUMMYFUNCTION("""COMPUTED_VALUE"""),1)</f>
        <v>1</v>
      </c>
      <c r="AL268" s="5" t="str">
        <f ca="1">IFERROR(__xludf.DUMMYFUNCTION("""COMPUTED_VALUE"""),"No")</f>
        <v>No</v>
      </c>
      <c r="AM268" s="5" t="str">
        <f ca="1">IFERROR(__xludf.DUMMYFUNCTION("""COMPUTED_VALUE"""),"No")</f>
        <v>No</v>
      </c>
      <c r="AN268" s="7" t="str">
        <f ca="1">IFERROR(__xludf.DUMMYFUNCTION("""COMPUTED_VALUE"""),"https://play.redstone.rs/games/clover-blast-5/index.html")</f>
        <v>https://play.redstone.rs/games/clover-blast-5/index.html</v>
      </c>
      <c r="AO268" s="5" t="str">
        <f ca="1">IFERROR(__xludf.DUMMYFUNCTION("""COMPUTED_VALUE"""),"No")</f>
        <v>No</v>
      </c>
      <c r="AP268" s="5" t="str">
        <f ca="1">IFERROR(__xludf.DUMMYFUNCTION("""COMPUTED_VALUE"""),"No")</f>
        <v>No</v>
      </c>
      <c r="AQ268" s="5" t="b">
        <f ca="1">IFERROR(__xludf.DUMMYFUNCTION("""COMPUTED_VALUE"""),TRUE)</f>
        <v>1</v>
      </c>
      <c r="AR268" s="5"/>
      <c r="AS268" s="5" t="str">
        <f ca="1">IFERROR(__xludf.DUMMYFUNCTION("""COMPUTED_VALUE"""),"Immerse yourself in the glamorous atmosphere, where the clover expands on all five reels for incredible winnings!")</f>
        <v>Immerse yourself in the glamorous atmosphere, where the clover expands on all five reels for incredible winnings!</v>
      </c>
      <c r="AT268" s="5"/>
      <c r="AU268" s="5" t="str">
        <f ca="1">IFERROR(__xludf.DUMMYFUNCTION("""COMPUTED_VALUE"""),"Redstone")</f>
        <v>Redstone</v>
      </c>
      <c r="AV268" s="5"/>
      <c r="AW268" s="5"/>
      <c r="AX268" s="5"/>
      <c r="AY268" s="5"/>
      <c r="AZ268" s="5"/>
      <c r="BA268" s="5"/>
      <c r="BB268" s="5" t="b">
        <f ca="1">IFERROR(__xludf.DUMMYFUNCTION("""COMPUTED_VALUE"""),TRUE)</f>
        <v>1</v>
      </c>
      <c r="BC268" s="5" t="str">
        <f ca="1">IFERROR(__xludf.DUMMYFUNCTION("""COMPUTED_VALUE"""),"Redstone")</f>
        <v>Redstone</v>
      </c>
      <c r="BD268" s="7" t="str">
        <f ca="1">IFERROR(__xludf.DUMMYFUNCTION("""COMPUTED_VALUE"""),"https://play.redstone.rs/games/clover-blast-5/index.html")</f>
        <v>https://play.redstone.rs/games/clover-blast-5/index.html</v>
      </c>
      <c r="BE268" s="5" t="b">
        <f ca="1">IFERROR(__xludf.DUMMYFUNCTION("""COMPUTED_VALUE"""),TRUE)</f>
        <v>1</v>
      </c>
    </row>
    <row r="269" spans="1:57" x14ac:dyDescent="0.25">
      <c r="A269" s="5">
        <f ca="1">IFERROR(__xludf.DUMMYFUNCTION("""COMPUTED_VALUE"""),269)</f>
        <v>269</v>
      </c>
      <c r="B269" s="5">
        <f ca="1">IFERROR(__xludf.DUMMYFUNCTION("""COMPUTED_VALUE"""),268)</f>
        <v>268</v>
      </c>
      <c r="C269" s="5" t="str">
        <f ca="1">IFERROR(__xludf.DUMMYFUNCTION("""COMPUTED_VALUE"""),"Fazi")</f>
        <v>Fazi</v>
      </c>
      <c r="D269" s="5" t="str">
        <f ca="1">IFERROR(__xludf.DUMMYFUNCTION("""COMPUTED_VALUE"""),"Wild Hot 40 Dice")</f>
        <v>Wild Hot 40 Dice</v>
      </c>
      <c r="E269" s="5" t="str">
        <f ca="1">IFERROR(__xludf.DUMMYFUNCTION("""COMPUTED_VALUE"""),"V2")</f>
        <v>V2</v>
      </c>
      <c r="F269" s="5" t="str">
        <f ca="1">IFERROR(__xludf.DUMMYFUNCTION("""COMPUTED_VALUE"""),"WildHot40Dice")</f>
        <v>WildHot40Dice</v>
      </c>
      <c r="G269" s="5" t="str">
        <f ca="1">IFERROR(__xludf.DUMMYFUNCTION("""COMPUTED_VALUE"""),"Live")</f>
        <v>Live</v>
      </c>
      <c r="H269" s="5"/>
      <c r="I269" s="5" t="str">
        <f ca="1">IFERROR(__xludf.DUMMYFUNCTION("""COMPUTED_VALUE"""),"V2")</f>
        <v>V2</v>
      </c>
      <c r="J269" s="5" t="str">
        <f ca="1">IFERROR(__xludf.DUMMYFUNCTION("""COMPUTED_VALUE"""),"Binary")</f>
        <v>Binary</v>
      </c>
      <c r="K269" s="5" t="str">
        <f ca="1">IFERROR(__xludf.DUMMYFUNCTION("""COMPUTED_VALUE"""),"Slot")</f>
        <v>Slot</v>
      </c>
      <c r="L269" s="5"/>
      <c r="M269" s="5"/>
      <c r="N269" s="5"/>
      <c r="O269" s="5"/>
      <c r="P269" s="14">
        <f ca="1">IFERROR(__xludf.DUMMYFUNCTION("""COMPUTED_VALUE"""),23.2)</f>
        <v>23.2</v>
      </c>
      <c r="Q269" s="5"/>
      <c r="R269" s="5"/>
      <c r="S269" s="15">
        <f ca="1">IFERROR(__xludf.DUMMYFUNCTION("""COMPUTED_VALUE"""),45239)</f>
        <v>45239</v>
      </c>
      <c r="T269" s="5"/>
      <c r="U269" s="5" t="str">
        <f ca="1">IFERROR(__xludf.DUMMYFUNCTION("""COMPUTED_VALUE"""),"5x4")</f>
        <v>5x4</v>
      </c>
      <c r="V269" s="12" t="str">
        <f ca="1">IFERROR(__xludf.DUMMYFUNCTION("""COMPUTED_VALUE"""),"40")</f>
        <v>40</v>
      </c>
      <c r="W269" s="12" t="str">
        <f ca="1">IFERROR(__xludf.DUMMYFUNCTION("""COMPUTED_VALUE"""),"40")</f>
        <v>40</v>
      </c>
      <c r="X269" s="5">
        <f ca="1">IFERROR(__xludf.DUMMYFUNCTION("""COMPUTED_VALUE"""),96.584)</f>
        <v>96.584000000000003</v>
      </c>
      <c r="Y269" s="5" t="str">
        <f ca="1">IFERROR(__xludf.DUMMYFUNCTION("""COMPUTED_VALUE"""),"Low")</f>
        <v>Low</v>
      </c>
      <c r="Z269" s="5">
        <f ca="1">IFERROR(__xludf.DUMMYFUNCTION("""COMPUTED_VALUE"""),16.73)</f>
        <v>16.73</v>
      </c>
      <c r="AA269" s="14">
        <f ca="1">IFERROR(__xludf.DUMMYFUNCTION("""COMPUTED_VALUE"""),1000)</f>
        <v>1000</v>
      </c>
      <c r="AB269" s="5" t="str">
        <f ca="1">IFERROR(__xludf.DUMMYFUNCTION("""COMPUTED_VALUE"""),"/")</f>
        <v>/</v>
      </c>
      <c r="AC269" s="5" t="str">
        <f ca="1">IFERROR(__xludf.DUMMYFUNCTION("""COMPUTED_VALUE"""),"Wild Symbol, Scatter, Exploding Wild")</f>
        <v>Wild Symbol, Scatter, Exploding Wild</v>
      </c>
      <c r="AD269" s="5" t="str">
        <f ca="1">IFERROR(__xludf.DUMMYFUNCTION("""COMPUTED_VALUE"""),"0.4/60")</f>
        <v>0.4/60</v>
      </c>
      <c r="AE269" s="5"/>
      <c r="AF269" s="5"/>
      <c r="AG269" s="10">
        <f ca="1">IFERROR(__xludf.DUMMYFUNCTION("""COMPUTED_VALUE"""),46055.5221064814)</f>
        <v>46055.522106481403</v>
      </c>
      <c r="AH269" s="5" t="str">
        <f ca="1">IFERROR(__xludf.DUMMYFUNCTION("""COMPUTED_VALUE"""),"djordje.jankovic@fazi.rs")</f>
        <v>djordje.jankovic@fazi.rs</v>
      </c>
      <c r="AI269" s="5"/>
      <c r="AJ269" s="5"/>
      <c r="AK269" s="5">
        <f ca="1">IFERROR(__xludf.DUMMYFUNCTION("""COMPUTED_VALUE"""),40)</f>
        <v>40</v>
      </c>
      <c r="AL269" s="5" t="str">
        <f ca="1">IFERROR(__xludf.DUMMYFUNCTION("""COMPUTED_VALUE"""),"Yes")</f>
        <v>Yes</v>
      </c>
      <c r="AM269" s="5"/>
      <c r="AN269" s="7" t="str">
        <f ca="1">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AO269" s="5"/>
      <c r="AP269" s="5"/>
      <c r="AQ269" s="5" t="b">
        <f ca="1">IFERROR(__xludf.DUMMYFUNCTION("""COMPUTED_VALUE"""),TRUE)</f>
        <v>1</v>
      </c>
      <c r="AR269" s="5"/>
      <c r="AS269" s="5" t="str">
        <f ca="1">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AT269" s="5"/>
      <c r="AU269" s="5" t="str">
        <f ca="1">IFERROR(__xludf.DUMMYFUNCTION("""COMPUTED_VALUE"""),"Fazi")</f>
        <v>Fazi</v>
      </c>
      <c r="AV269" s="5"/>
      <c r="AW269" s="5"/>
      <c r="AX269" s="5"/>
      <c r="AY269" s="5"/>
      <c r="AZ269" s="5"/>
      <c r="BA269" s="5" t="str">
        <f ca="1">IFERROR(__xludf.DUMMYFUNCTION("""COMPUTED_VALUE"""),"")</f>
        <v/>
      </c>
      <c r="BB269" s="5"/>
      <c r="BC269" s="5" t="str">
        <f ca="1">IFERROR(__xludf.DUMMYFUNCTION("""COMPUTED_VALUE"""),"Foxi")</f>
        <v>Foxi</v>
      </c>
      <c r="BD269" s="7" t="str">
        <f ca="1">IFERROR(__xludf.DUMMYFUNCTION("""COMPUTED_VALUE"""),"https://gameserver-store-client-area.orbionlimited.com/Home/IntegrationGameLaunch/client-area?moneyType=0&amp;gameName=WildHot40Dice&amp;platform=desktop&amp;languageCode=eng&amp;currency=EUR")</f>
        <v>https://gameserver-store-client-area.orbionlimited.com/Home/IntegrationGameLaunch/client-area?moneyType=0&amp;gameName=WildHot40Dice&amp;platform=desktop&amp;languageCode=eng&amp;currency=EUR</v>
      </c>
      <c r="BE269" s="5" t="b">
        <f ca="1">IFERROR(__xludf.DUMMYFUNCTION("""COMPUTED_VALUE"""),TRUE)</f>
        <v>1</v>
      </c>
    </row>
    <row r="270" spans="1:57" x14ac:dyDescent="0.25">
      <c r="A270" s="5">
        <f ca="1">IFERROR(__xludf.DUMMYFUNCTION("""COMPUTED_VALUE"""),270)</f>
        <v>270</v>
      </c>
      <c r="B270" s="5">
        <f ca="1">IFERROR(__xludf.DUMMYFUNCTION("""COMPUTED_VALUE"""),269)</f>
        <v>269</v>
      </c>
      <c r="C270" s="5" t="str">
        <f ca="1">IFERROR(__xludf.DUMMYFUNCTION("""COMPUTED_VALUE"""),"Tiptop")</f>
        <v>Tiptop</v>
      </c>
      <c r="D270" s="5" t="str">
        <f ca="1">IFERROR(__xludf.DUMMYFUNCTION("""COMPUTED_VALUE"""),"Gold Line")</f>
        <v>Gold Line</v>
      </c>
      <c r="E270" s="5"/>
      <c r="F270" s="5" t="str">
        <f ca="1">IFERROR(__xludf.DUMMYFUNCTION("""COMPUTED_VALUE"""),"UnicornGoldLine")</f>
        <v>UnicornGoldLine</v>
      </c>
      <c r="G270" s="5" t="str">
        <f ca="1">IFERROR(__xludf.DUMMYFUNCTION("""COMPUTED_VALUE"""),"Live")</f>
        <v>Live</v>
      </c>
      <c r="H270" s="5"/>
      <c r="I270" s="5" t="str">
        <f ca="1">IFERROR(__xludf.DUMMYFUNCTION("""COMPUTED_VALUE"""),"TipTop")</f>
        <v>TipTop</v>
      </c>
      <c r="J270" s="5" t="str">
        <f ca="1">IFERROR(__xludf.DUMMYFUNCTION("""COMPUTED_VALUE"""),"JSON")</f>
        <v>JSON</v>
      </c>
      <c r="K270" s="5" t="str">
        <f ca="1">IFERROR(__xludf.DUMMYFUNCTION("""COMPUTED_VALUE"""),"Slot")</f>
        <v>Slot</v>
      </c>
      <c r="L270" s="5"/>
      <c r="M270" s="5"/>
      <c r="N270" s="5"/>
      <c r="O270" s="5"/>
      <c r="P270" s="14">
        <f ca="1">IFERROR(__xludf.DUMMYFUNCTION("""COMPUTED_VALUE"""),12.3)</f>
        <v>12.3</v>
      </c>
      <c r="Q270" s="5"/>
      <c r="R270" s="5"/>
      <c r="S270" s="15">
        <f ca="1">IFERROR(__xludf.DUMMYFUNCTION("""COMPUTED_VALUE"""),45372)</f>
        <v>45372</v>
      </c>
      <c r="T270" s="5" t="b">
        <f ca="1">IFERROR(__xludf.DUMMYFUNCTION("""COMPUTED_VALUE"""),TRUE)</f>
        <v>1</v>
      </c>
      <c r="U270" s="5" t="str">
        <f ca="1">IFERROR(__xludf.DUMMYFUNCTION("""COMPUTED_VALUE"""),"5X3")</f>
        <v>5X3</v>
      </c>
      <c r="V270" s="12" t="str">
        <f ca="1">IFERROR(__xludf.DUMMYFUNCTION("""COMPUTED_VALUE"""),"20")</f>
        <v>20</v>
      </c>
      <c r="W270" s="12" t="str">
        <f ca="1">IFERROR(__xludf.DUMMYFUNCTION("""COMPUTED_VALUE"""),"10(+1) Fixed Lines")</f>
        <v>10(+1) Fixed Lines</v>
      </c>
      <c r="X270" s="5">
        <f ca="1">IFERROR(__xludf.DUMMYFUNCTION("""COMPUTED_VALUE"""),96)</f>
        <v>96</v>
      </c>
      <c r="Y270" s="5" t="str">
        <f ca="1">IFERROR(__xludf.DUMMYFUNCTION("""COMPUTED_VALUE"""),"Low")</f>
        <v>Low</v>
      </c>
      <c r="Z270" s="5">
        <f ca="1">IFERROR(__xludf.DUMMYFUNCTION("""COMPUTED_VALUE"""),17.39)</f>
        <v>17.39</v>
      </c>
      <c r="AA270" s="14">
        <f ca="1">IFERROR(__xludf.DUMMYFUNCTION("""COMPUTED_VALUE"""),10000)</f>
        <v>10000</v>
      </c>
      <c r="AB270" s="5"/>
      <c r="AC270" s="5" t="str">
        <f ca="1">IFERROR(__xludf.DUMMYFUNCTION("""COMPUTED_VALUE"""),"Win Multiplier")</f>
        <v>Win Multiplier</v>
      </c>
      <c r="AD270" s="5" t="str">
        <f ca="1">IFERROR(__xludf.DUMMYFUNCTION("""COMPUTED_VALUE"""),"0.2/100")</f>
        <v>0.2/100</v>
      </c>
      <c r="AE270" s="5"/>
      <c r="AF270" s="5"/>
      <c r="AG270" s="10">
        <f ca="1">IFERROR(__xludf.DUMMYFUNCTION("""COMPUTED_VALUE"""),46197.4624537037)</f>
        <v>46197.462453703702</v>
      </c>
      <c r="AH270" s="5" t="str">
        <f ca="1">IFERROR(__xludf.DUMMYFUNCTION("""COMPUTED_VALUE"""),"selena.mihajlovic@fazi.rs")</f>
        <v>selena.mihajlovic@fazi.rs</v>
      </c>
      <c r="AI270" s="5"/>
      <c r="AJ270" s="5"/>
      <c r="AK270" s="5">
        <f ca="1">IFERROR(__xludf.DUMMYFUNCTION("""COMPUTED_VALUE"""),20)</f>
        <v>20</v>
      </c>
      <c r="AL270" s="5" t="str">
        <f ca="1">IFERROR(__xludf.DUMMYFUNCTION("""COMPUTED_VALUE"""),"No")</f>
        <v>No</v>
      </c>
      <c r="AM270" s="5"/>
      <c r="AN270" s="7" t="str">
        <f ca="1">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AO270" s="5"/>
      <c r="AP270" s="5"/>
      <c r="AQ270" s="5" t="b">
        <f ca="1">IFERROR(__xludf.DUMMYFUNCTION("""COMPUTED_VALUE"""),TRUE)</f>
        <v>1</v>
      </c>
      <c r="AR270" s="5"/>
      <c r="AS270" s="5" t="str">
        <f ca="1">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270" s="5"/>
      <c r="AU270" s="5" t="str">
        <f ca="1">IFERROR(__xludf.DUMMYFUNCTION("""COMPUTED_VALUE"""),"Fazi")</f>
        <v>Fazi</v>
      </c>
      <c r="AV270" s="5"/>
      <c r="AW270" s="5"/>
      <c r="AX270" s="5"/>
      <c r="AY270" s="5"/>
      <c r="AZ270" s="5"/>
      <c r="BA270" s="5"/>
      <c r="BB270" s="5" t="b">
        <f ca="1">IFERROR(__xludf.DUMMYFUNCTION("""COMPUTED_VALUE"""),TRUE)</f>
        <v>1</v>
      </c>
      <c r="BC270" s="5" t="str">
        <f ca="1">IFERROR(__xludf.DUMMYFUNCTION("""COMPUTED_VALUE"""),"Tiptop")</f>
        <v>Tiptop</v>
      </c>
      <c r="BD270" s="7" t="str">
        <f ca="1">IFERROR(__xludf.DUMMYFUNCTION("""COMPUTED_VALUE"""),"https://gameserver-store-client-area.orbionlimited.com/Home/IntegrationGameLaunch/client-area?moneyType=0&amp;gameName=UnicornGoldLine&amp;platform=desktop&amp;languageCode=eng&amp;currency=EUR")</f>
        <v>https://gameserver-store-client-area.orbionlimited.com/Home/IntegrationGameLaunch/client-area?moneyType=0&amp;gameName=UnicornGoldLine&amp;platform=desktop&amp;languageCode=eng&amp;currency=EUR</v>
      </c>
      <c r="BE270" s="5" t="b">
        <f ca="1">IFERROR(__xludf.DUMMYFUNCTION("""COMPUTED_VALUE"""),TRUE)</f>
        <v>1</v>
      </c>
    </row>
    <row r="271" spans="1:57" x14ac:dyDescent="0.25">
      <c r="A271" s="5">
        <f ca="1">IFERROR(__xludf.DUMMYFUNCTION("""COMPUTED_VALUE"""),271)</f>
        <v>271</v>
      </c>
      <c r="B271" s="5">
        <f ca="1">IFERROR(__xludf.DUMMYFUNCTION("""COMPUTED_VALUE"""),270)</f>
        <v>270</v>
      </c>
      <c r="C271" s="5" t="str">
        <f ca="1">IFERROR(__xludf.DUMMYFUNCTION("""COMPUTED_VALUE"""),"Fazi")</f>
        <v>Fazi</v>
      </c>
      <c r="D271" s="5" t="str">
        <f ca="1">IFERROR(__xludf.DUMMYFUNCTION("""COMPUTED_VALUE"""),"Hot Line 1X")</f>
        <v>Hot Line 1X</v>
      </c>
      <c r="E271" s="5" t="str">
        <f ca="1">IFERROR(__xludf.DUMMYFUNCTION("""COMPUTED_VALUE"""),"V2")</f>
        <v>V2</v>
      </c>
      <c r="F271" s="5" t="str">
        <f ca="1">IFERROR(__xludf.DUMMYFUNCTION("""COMPUTED_VALUE"""),"HotLine1X")</f>
        <v>HotLine1X</v>
      </c>
      <c r="G271" s="5" t="str">
        <f ca="1">IFERROR(__xludf.DUMMYFUNCTION("""COMPUTED_VALUE"""),"Live")</f>
        <v>Live</v>
      </c>
      <c r="H271" s="5" t="str">
        <f ca="1">IFERROR(__xludf.DUMMYFUNCTION("""COMPUTED_VALUE"""),"1xbet1 - Chigwell")</f>
        <v>1xbet1 - Chigwell</v>
      </c>
      <c r="I271" s="5" t="str">
        <f ca="1">IFERROR(__xludf.DUMMYFUNCTION("""COMPUTED_VALUE"""),"V2")</f>
        <v>V2</v>
      </c>
      <c r="J271" s="5" t="str">
        <f ca="1">IFERROR(__xludf.DUMMYFUNCTION("""COMPUTED_VALUE"""),"Binary")</f>
        <v>Binary</v>
      </c>
      <c r="K271" s="5" t="str">
        <f ca="1">IFERROR(__xludf.DUMMYFUNCTION("""COMPUTED_VALUE"""),"Slot")</f>
        <v>Slot</v>
      </c>
      <c r="L271" s="5" t="str">
        <f ca="1">IFERROR(__xludf.DUMMYFUNCTION("""COMPUTED_VALUE"""),"Clone")</f>
        <v>Clone</v>
      </c>
      <c r="M271" s="5" t="str">
        <f ca="1">IFERROR(__xludf.DUMMYFUNCTION("""COMPUTED_VALUE"""),"Bursting Hot 5")</f>
        <v>Bursting Hot 5</v>
      </c>
      <c r="N271" s="5"/>
      <c r="O271" s="5"/>
      <c r="P271" s="5"/>
      <c r="Q271" s="5"/>
      <c r="R271" s="5"/>
      <c r="S271" s="5"/>
      <c r="T271" s="5"/>
      <c r="U271" s="5" t="str">
        <f ca="1">IFERROR(__xludf.DUMMYFUNCTION("""COMPUTED_VALUE"""),"5x3")</f>
        <v>5x3</v>
      </c>
      <c r="V271" s="12" t="str">
        <f ca="1">IFERROR(__xludf.DUMMYFUNCTION("""COMPUTED_VALUE"""),"5")</f>
        <v>5</v>
      </c>
      <c r="W271" s="12" t="str">
        <f ca="1">IFERROR(__xludf.DUMMYFUNCTION("""COMPUTED_VALUE"""),"5")</f>
        <v>5</v>
      </c>
      <c r="X271" s="5">
        <f ca="1">IFERROR(__xludf.DUMMYFUNCTION("""COMPUTED_VALUE"""),96.447)</f>
        <v>96.447000000000003</v>
      </c>
      <c r="Y271" s="5" t="str">
        <f ca="1">IFERROR(__xludf.DUMMYFUNCTION("""COMPUTED_VALUE"""),"Medium")</f>
        <v>Medium</v>
      </c>
      <c r="Z271" s="5">
        <f ca="1">IFERROR(__xludf.DUMMYFUNCTION("""COMPUTED_VALUE"""),14.51)</f>
        <v>14.51</v>
      </c>
      <c r="AA271" s="14">
        <f ca="1">IFERROR(__xludf.DUMMYFUNCTION("""COMPUTED_VALUE"""),1222)</f>
        <v>1222</v>
      </c>
      <c r="AB271" s="5">
        <f ca="1">IFERROR(__xludf.DUMMYFUNCTION("""COMPUTED_VALUE"""),4)</f>
        <v>4</v>
      </c>
      <c r="AC271" s="5" t="str">
        <f ca="1">IFERROR(__xludf.DUMMYFUNCTION("""COMPUTED_VALUE"""),"Scatter, Expanding Wild")</f>
        <v>Scatter, Expanding Wild</v>
      </c>
      <c r="AD271" s="5"/>
      <c r="AE271" s="5"/>
      <c r="AF271" s="5"/>
      <c r="AG271" s="10">
        <f ca="1">IFERROR(__xludf.DUMMYFUNCTION("""COMPUTED_VALUE"""),46020.5216087963)</f>
        <v>46020.521608796298</v>
      </c>
      <c r="AH271" s="5" t="str">
        <f ca="1">IFERROR(__xludf.DUMMYFUNCTION("""COMPUTED_VALUE"""),"djordje.jankovic@fazi.rs")</f>
        <v>djordje.jankovic@fazi.rs</v>
      </c>
      <c r="AI271" s="5"/>
      <c r="AJ271" s="5"/>
      <c r="AK271" s="5">
        <f ca="1">IFERROR(__xludf.DUMMYFUNCTION("""COMPUTED_VALUE"""),5)</f>
        <v>5</v>
      </c>
      <c r="AL271" s="5" t="str">
        <f ca="1">IFERROR(__xludf.DUMMYFUNCTION("""COMPUTED_VALUE"""),"Yes")</f>
        <v>Yes</v>
      </c>
      <c r="AM271" s="5"/>
      <c r="AN271" s="5"/>
      <c r="AO271" s="5"/>
      <c r="AP271" s="5"/>
      <c r="AQ271" s="5"/>
      <c r="AR271" s="5" t="b">
        <f ca="1">IFERROR(__xludf.DUMMYFUNCTION("""COMPUTED_VALUE"""),TRUE)</f>
        <v>1</v>
      </c>
      <c r="AS271" s="5"/>
      <c r="AT271" s="5"/>
      <c r="AU271" s="5" t="str">
        <f ca="1">IFERROR(__xludf.DUMMYFUNCTION("""COMPUTED_VALUE"""),"Fazi")</f>
        <v>Fazi</v>
      </c>
      <c r="AV271" s="5"/>
      <c r="AW271" s="5"/>
      <c r="AX271" s="5"/>
      <c r="AY271" s="5"/>
      <c r="AZ271" s="5"/>
      <c r="BA271" s="5" t="str">
        <f ca="1">IFERROR(__xludf.DUMMYFUNCTION("""COMPUTED_VALUE"""),"")</f>
        <v/>
      </c>
      <c r="BB271" s="5"/>
      <c r="BC271" s="5" t="str">
        <f ca="1">IFERROR(__xludf.DUMMYFUNCTION("""COMPUTED_VALUE"""),"Foxi")</f>
        <v>Foxi</v>
      </c>
      <c r="BD271" s="5" t="str">
        <f ca="1">IFERROR(__xludf.DUMMYFUNCTION("""COMPUTED_VALUE"""),"")</f>
        <v/>
      </c>
      <c r="BE271" s="5"/>
    </row>
    <row r="272" spans="1:57" x14ac:dyDescent="0.25">
      <c r="A272" s="5">
        <f ca="1">IFERROR(__xludf.DUMMYFUNCTION("""COMPUTED_VALUE"""),272)</f>
        <v>272</v>
      </c>
      <c r="B272" s="5">
        <f ca="1">IFERROR(__xludf.DUMMYFUNCTION("""COMPUTED_VALUE"""),271)</f>
        <v>271</v>
      </c>
      <c r="C272" s="5" t="str">
        <f ca="1">IFERROR(__xludf.DUMMYFUNCTION("""COMPUTED_VALUE"""),"Fazi")</f>
        <v>Fazi</v>
      </c>
      <c r="D272" s="5" t="str">
        <f ca="1">IFERROR(__xludf.DUMMYFUNCTION("""COMPUTED_VALUE"""),"Wild Hot 40 Blow Dice")</f>
        <v>Wild Hot 40 Blow Dice</v>
      </c>
      <c r="E272" s="5" t="str">
        <f ca="1">IFERROR(__xludf.DUMMYFUNCTION("""COMPUTED_VALUE"""),"V2")</f>
        <v>V2</v>
      </c>
      <c r="F272" s="5" t="str">
        <f ca="1">IFERROR(__xludf.DUMMYFUNCTION("""COMPUTED_VALUE"""),"WildHot40BlowDice")</f>
        <v>WildHot40BlowDice</v>
      </c>
      <c r="G272" s="5" t="str">
        <f ca="1">IFERROR(__xludf.DUMMYFUNCTION("""COMPUTED_VALUE"""),"Live")</f>
        <v>Live</v>
      </c>
      <c r="H272" s="5"/>
      <c r="I272" s="5" t="str">
        <f ca="1">IFERROR(__xludf.DUMMYFUNCTION("""COMPUTED_VALUE"""),"V2")</f>
        <v>V2</v>
      </c>
      <c r="J272" s="5" t="str">
        <f ca="1">IFERROR(__xludf.DUMMYFUNCTION("""COMPUTED_VALUE"""),"Binary")</f>
        <v>Binary</v>
      </c>
      <c r="K272" s="5" t="str">
        <f ca="1">IFERROR(__xludf.DUMMYFUNCTION("""COMPUTED_VALUE"""),"Slot")</f>
        <v>Slot</v>
      </c>
      <c r="L272" s="5" t="str">
        <f ca="1">IFERROR(__xludf.DUMMYFUNCTION("""COMPUTED_VALUE"""),"Clone")</f>
        <v>Clone</v>
      </c>
      <c r="M272" s="5" t="str">
        <f ca="1">IFERROR(__xludf.DUMMYFUNCTION("""COMPUTED_VALUE"""),"Wild Hot 40 Blow")</f>
        <v>Wild Hot 40 Blow</v>
      </c>
      <c r="N272" s="5"/>
      <c r="O272" s="5"/>
      <c r="P272" s="14">
        <f ca="1">IFERROR(__xludf.DUMMYFUNCTION("""COMPUTED_VALUE"""),26.3)</f>
        <v>26.3</v>
      </c>
      <c r="Q272" s="5"/>
      <c r="R272" s="5"/>
      <c r="S272" s="15">
        <f ca="1">IFERROR(__xludf.DUMMYFUNCTION("""COMPUTED_VALUE"""),45239)</f>
        <v>45239</v>
      </c>
      <c r="T272" s="5" t="b">
        <f ca="1">IFERROR(__xludf.DUMMYFUNCTION("""COMPUTED_VALUE"""),TRUE)</f>
        <v>1</v>
      </c>
      <c r="U272" s="5" t="str">
        <f ca="1">IFERROR(__xludf.DUMMYFUNCTION("""COMPUTED_VALUE"""),"5x4")</f>
        <v>5x4</v>
      </c>
      <c r="V272" s="12" t="str">
        <f ca="1">IFERROR(__xludf.DUMMYFUNCTION("""COMPUTED_VALUE"""),"40")</f>
        <v>40</v>
      </c>
      <c r="W272" s="12" t="str">
        <f ca="1">IFERROR(__xludf.DUMMYFUNCTION("""COMPUTED_VALUE"""),"40")</f>
        <v>40</v>
      </c>
      <c r="X272" s="5">
        <f ca="1">IFERROR(__xludf.DUMMYFUNCTION("""COMPUTED_VALUE"""),96.269)</f>
        <v>96.269000000000005</v>
      </c>
      <c r="Y272" s="5" t="str">
        <f ca="1">IFERROR(__xludf.DUMMYFUNCTION("""COMPUTED_VALUE"""),"Medium")</f>
        <v>Medium</v>
      </c>
      <c r="Z272" s="5">
        <f ca="1">IFERROR(__xludf.DUMMYFUNCTION("""COMPUTED_VALUE"""),13.88)</f>
        <v>13.88</v>
      </c>
      <c r="AA272" s="14">
        <f ca="1">IFERROR(__xludf.DUMMYFUNCTION("""COMPUTED_VALUE"""),1000)</f>
        <v>1000</v>
      </c>
      <c r="AB272" s="5">
        <f ca="1">IFERROR(__xludf.DUMMYFUNCTION("""COMPUTED_VALUE"""),35)</f>
        <v>35</v>
      </c>
      <c r="AC272" s="5" t="str">
        <f ca="1">IFERROR(__xludf.DUMMYFUNCTION("""COMPUTED_VALUE"""),"Scatter, Exploding Wild, Wild Symbol")</f>
        <v>Scatter, Exploding Wild, Wild Symbol</v>
      </c>
      <c r="AD272" s="5" t="str">
        <f ca="1">IFERROR(__xludf.DUMMYFUNCTION("""COMPUTED_VALUE"""),"0.4/60")</f>
        <v>0.4/60</v>
      </c>
      <c r="AE272" s="5"/>
      <c r="AF272" s="5"/>
      <c r="AG272" s="10">
        <f ca="1">IFERROR(__xludf.DUMMYFUNCTION("""COMPUTED_VALUE"""),46055.5223842592)</f>
        <v>46055.522384259202</v>
      </c>
      <c r="AH272" s="5" t="str">
        <f ca="1">IFERROR(__xludf.DUMMYFUNCTION("""COMPUTED_VALUE"""),"djordje.jankovic@fazi.rs")</f>
        <v>djordje.jankovic@fazi.rs</v>
      </c>
      <c r="AI272" s="5"/>
      <c r="AJ272" s="5"/>
      <c r="AK272" s="5">
        <f ca="1">IFERROR(__xludf.DUMMYFUNCTION("""COMPUTED_VALUE"""),40)</f>
        <v>40</v>
      </c>
      <c r="AL272" s="5" t="str">
        <f ca="1">IFERROR(__xludf.DUMMYFUNCTION("""COMPUTED_VALUE"""),"Yes")</f>
        <v>Yes</v>
      </c>
      <c r="AM272" s="5"/>
      <c r="AN272" s="7" t="str">
        <f ca="1">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AO272" s="5"/>
      <c r="AP272" s="5"/>
      <c r="AQ272" s="5" t="b">
        <f ca="1">IFERROR(__xludf.DUMMYFUNCTION("""COMPUTED_VALUE"""),TRUE)</f>
        <v>1</v>
      </c>
      <c r="AR272" s="5"/>
      <c r="AS272" s="5" t="str">
        <f ca="1">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AT272" s="5"/>
      <c r="AU272" s="5" t="str">
        <f ca="1">IFERROR(__xludf.DUMMYFUNCTION("""COMPUTED_VALUE"""),"Fazi")</f>
        <v>Fazi</v>
      </c>
      <c r="AV272" s="5"/>
      <c r="AW272" s="5"/>
      <c r="AX272" s="5"/>
      <c r="AY272" s="5"/>
      <c r="AZ272" s="5"/>
      <c r="BA272" s="5" t="str">
        <f ca="1">IFERROR(__xludf.DUMMYFUNCTION("""COMPUTED_VALUE"""),"")</f>
        <v/>
      </c>
      <c r="BB272" s="5"/>
      <c r="BC272" s="5" t="str">
        <f ca="1">IFERROR(__xludf.DUMMYFUNCTION("""COMPUTED_VALUE"""),"Foxi")</f>
        <v>Foxi</v>
      </c>
      <c r="BD272" s="7" t="str">
        <f ca="1">IFERROR(__xludf.DUMMYFUNCTION("""COMPUTED_VALUE"""),"https://gameserver-store-client-area.orbionlimited.com/Home/IntegrationGameLaunch/client-area?moneyType=0&amp;gameName=WildHot40BlowDice&amp;platform=desktop&amp;languageCode=eng&amp;currency=EUR")</f>
        <v>https://gameserver-store-client-area.orbionlimited.com/Home/IntegrationGameLaunch/client-area?moneyType=0&amp;gameName=WildHot40BlowDice&amp;platform=desktop&amp;languageCode=eng&amp;currency=EUR</v>
      </c>
      <c r="BE272" s="5" t="b">
        <f ca="1">IFERROR(__xludf.DUMMYFUNCTION("""COMPUTED_VALUE"""),TRUE)</f>
        <v>1</v>
      </c>
    </row>
    <row r="273" spans="1:57" x14ac:dyDescent="0.25">
      <c r="A273" s="5">
        <f ca="1">IFERROR(__xludf.DUMMYFUNCTION("""COMPUTED_VALUE"""),273)</f>
        <v>273</v>
      </c>
      <c r="B273" s="5">
        <f ca="1">IFERROR(__xludf.DUMMYFUNCTION("""COMPUTED_VALUE"""),272)</f>
        <v>272</v>
      </c>
      <c r="C273" s="5" t="str">
        <f ca="1">IFERROR(__xludf.DUMMYFUNCTION("""COMPUTED_VALUE"""),"Fazi")</f>
        <v>Fazi</v>
      </c>
      <c r="D273" s="5" t="str">
        <f ca="1">IFERROR(__xludf.DUMMYFUNCTION("""COMPUTED_VALUE"""),"Fashion Night")</f>
        <v>Fashion Night</v>
      </c>
      <c r="E273" s="5" t="str">
        <f ca="1">IFERROR(__xludf.DUMMYFUNCTION("""COMPUTED_VALUE"""),"V2")</f>
        <v>V2</v>
      </c>
      <c r="F273" s="5" t="str">
        <f ca="1">IFERROR(__xludf.DUMMYFUNCTION("""COMPUTED_VALUE"""),"FashionNight")</f>
        <v>FashionNight</v>
      </c>
      <c r="G273" s="5" t="str">
        <f ca="1">IFERROR(__xludf.DUMMYFUNCTION("""COMPUTED_VALUE"""),"Live")</f>
        <v>Live</v>
      </c>
      <c r="H273" s="5" t="str">
        <f ca="1">IFERROR(__xludf.DUMMYFUNCTION("""COMPUTED_VALUE"""),"Fashion TV")</f>
        <v>Fashion TV</v>
      </c>
      <c r="I273" s="5" t="str">
        <f ca="1">IFERROR(__xludf.DUMMYFUNCTION("""COMPUTED_VALUE"""),"V2")</f>
        <v>V2</v>
      </c>
      <c r="J273" s="5" t="str">
        <f ca="1">IFERROR(__xludf.DUMMYFUNCTION("""COMPUTED_VALUE"""),"Binary")</f>
        <v>Binary</v>
      </c>
      <c r="K273" s="5" t="str">
        <f ca="1">IFERROR(__xludf.DUMMYFUNCTION("""COMPUTED_VALUE"""),"Slot")</f>
        <v>Slot</v>
      </c>
      <c r="L273" s="5" t="str">
        <f ca="1">IFERROR(__xludf.DUMMYFUNCTION("""COMPUTED_VALUE"""),"Clone")</f>
        <v>Clone</v>
      </c>
      <c r="M273" s="5" t="str">
        <f ca="1">IFERROR(__xludf.DUMMYFUNCTION("""COMPUTED_VALUE"""),"Wild Joker Hot")</f>
        <v>Wild Joker Hot</v>
      </c>
      <c r="N273" s="5"/>
      <c r="O273" s="5"/>
      <c r="P273" s="14">
        <f ca="1">IFERROR(__xludf.DUMMYFUNCTION("""COMPUTED_VALUE"""),21)</f>
        <v>21</v>
      </c>
      <c r="Q273" s="5"/>
      <c r="R273" s="5"/>
      <c r="S273" s="15">
        <f ca="1">IFERROR(__xludf.DUMMYFUNCTION("""COMPUTED_VALUE"""),45274)</f>
        <v>45274</v>
      </c>
      <c r="T273" s="5" t="b">
        <f ca="1">IFERROR(__xludf.DUMMYFUNCTION("""COMPUTED_VALUE"""),TRUE)</f>
        <v>1</v>
      </c>
      <c r="U273" s="5" t="str">
        <f ca="1">IFERROR(__xludf.DUMMYFUNCTION("""COMPUTED_VALUE"""),"5x3")</f>
        <v>5x3</v>
      </c>
      <c r="V273" s="12" t="str">
        <f ca="1">IFERROR(__xludf.DUMMYFUNCTION("""COMPUTED_VALUE"""),"10")</f>
        <v>10</v>
      </c>
      <c r="W273" s="12" t="str">
        <f ca="1">IFERROR(__xludf.DUMMYFUNCTION("""COMPUTED_VALUE"""),"10")</f>
        <v>10</v>
      </c>
      <c r="X273" s="5">
        <f ca="1">IFERROR(__xludf.DUMMYFUNCTION("""COMPUTED_VALUE"""),96.51)</f>
        <v>96.51</v>
      </c>
      <c r="Y273" s="5" t="str">
        <f ca="1">IFERROR(__xludf.DUMMYFUNCTION("""COMPUTED_VALUE"""),"Medium")</f>
        <v>Medium</v>
      </c>
      <c r="Z273" s="5">
        <f ca="1">IFERROR(__xludf.DUMMYFUNCTION("""COMPUTED_VALUE"""),17.918)</f>
        <v>17.917999999999999</v>
      </c>
      <c r="AA273" s="14">
        <f ca="1">IFERROR(__xludf.DUMMYFUNCTION("""COMPUTED_VALUE"""),3092)</f>
        <v>3092</v>
      </c>
      <c r="AB273" s="5">
        <f ca="1">IFERROR(__xludf.DUMMYFUNCTION("""COMPUTED_VALUE"""),5)</f>
        <v>5</v>
      </c>
      <c r="AC273" s="5" t="str">
        <f ca="1">IFERROR(__xludf.DUMMYFUNCTION("""COMPUTED_VALUE"""),"Expanding Wild, Scatter")</f>
        <v>Expanding Wild, Scatter</v>
      </c>
      <c r="AD273" s="5" t="str">
        <f ca="1">IFERROR(__xludf.DUMMYFUNCTION("""COMPUTED_VALUE"""),"0.1/40")</f>
        <v>0.1/40</v>
      </c>
      <c r="AE273" s="5"/>
      <c r="AF273" s="5"/>
      <c r="AG273" s="10">
        <f ca="1">IFERROR(__xludf.DUMMYFUNCTION("""COMPUTED_VALUE"""),46104.5911805555)</f>
        <v>46104.591180555501</v>
      </c>
      <c r="AH273" s="5" t="str">
        <f ca="1">IFERROR(__xludf.DUMMYFUNCTION("""COMPUTED_VALUE"""),"petra.ilic@fazi.rs")</f>
        <v>petra.ilic@fazi.rs</v>
      </c>
      <c r="AI273" s="5"/>
      <c r="AJ273" s="5"/>
      <c r="AK273" s="5">
        <f ca="1">IFERROR(__xludf.DUMMYFUNCTION("""COMPUTED_VALUE"""),10)</f>
        <v>10</v>
      </c>
      <c r="AL273" s="5" t="str">
        <f ca="1">IFERROR(__xludf.DUMMYFUNCTION("""COMPUTED_VALUE"""),"Yes")</f>
        <v>Yes</v>
      </c>
      <c r="AM273" s="5"/>
      <c r="AN273" s="7" t="str">
        <f ca="1">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AO273" s="5"/>
      <c r="AP273" s="5"/>
      <c r="AQ273" s="5" t="b">
        <f ca="1">IFERROR(__xludf.DUMMYFUNCTION("""COMPUTED_VALUE"""),TRUE)</f>
        <v>1</v>
      </c>
      <c r="AR273" s="5" t="b">
        <f ca="1">IFERROR(__xludf.DUMMYFUNCTION("""COMPUTED_VALUE"""),TRUE)</f>
        <v>1</v>
      </c>
      <c r="AS273" s="5" t="str">
        <f ca="1">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AT273" s="5"/>
      <c r="AU273" s="5" t="str">
        <f ca="1">IFERROR(__xludf.DUMMYFUNCTION("""COMPUTED_VALUE"""),"Fazi")</f>
        <v>Fazi</v>
      </c>
      <c r="AV273" s="5"/>
      <c r="AW273" s="5"/>
      <c r="AX273" s="5"/>
      <c r="AY273" s="5"/>
      <c r="AZ273" s="5"/>
      <c r="BA273" s="5" t="str">
        <f ca="1">IFERROR(__xludf.DUMMYFUNCTION("""COMPUTED_VALUE"""),"")</f>
        <v/>
      </c>
      <c r="BB273" s="5"/>
      <c r="BC273" s="5" t="str">
        <f ca="1">IFERROR(__xludf.DUMMYFUNCTION("""COMPUTED_VALUE"""),"Foxi")</f>
        <v>Foxi</v>
      </c>
      <c r="BD273" s="7" t="str">
        <f ca="1">IFERROR(__xludf.DUMMYFUNCTION("""COMPUTED_VALUE"""),"https://gameserver-store-client-area.orbionlimited.com/Home/IntegrationGameLaunch/client-area?moneyType=0&amp;gameName=FashionNight&amp;platform=desktop&amp;languageCode=eng&amp;currency=EUR")</f>
        <v>https://gameserver-store-client-area.orbionlimited.com/Home/IntegrationGameLaunch/client-area?moneyType=0&amp;gameName=FashionNight&amp;platform=desktop&amp;languageCode=eng&amp;currency=EUR</v>
      </c>
      <c r="BE273" s="5" t="b">
        <f ca="1">IFERROR(__xludf.DUMMYFUNCTION("""COMPUTED_VALUE"""),TRUE)</f>
        <v>1</v>
      </c>
    </row>
    <row r="274" spans="1:57" x14ac:dyDescent="0.25">
      <c r="A274" s="5">
        <f ca="1">IFERROR(__xludf.DUMMYFUNCTION("""COMPUTED_VALUE"""),274)</f>
        <v>274</v>
      </c>
      <c r="B274" s="5">
        <f ca="1">IFERROR(__xludf.DUMMYFUNCTION("""COMPUTED_VALUE"""),273)</f>
        <v>273</v>
      </c>
      <c r="C274" s="5" t="str">
        <f ca="1">IFERROR(__xludf.DUMMYFUNCTION("""COMPUTED_VALUE"""),"Fazi")</f>
        <v>Fazi</v>
      </c>
      <c r="D274" s="5" t="str">
        <f ca="1">IFERROR(__xludf.DUMMYFUNCTION("""COMPUTED_VALUE"""),"Mayan's Battle")</f>
        <v>Mayan's Battle</v>
      </c>
      <c r="E274" s="5" t="str">
        <f ca="1">IFERROR(__xludf.DUMMYFUNCTION("""COMPUTED_VALUE"""),"V2")</f>
        <v>V2</v>
      </c>
      <c r="F274" s="5" t="str">
        <f ca="1">IFERROR(__xludf.DUMMYFUNCTION("""COMPUTED_VALUE"""),"MayansBattle")</f>
        <v>MayansBattle</v>
      </c>
      <c r="G274" s="5" t="str">
        <f ca="1">IFERROR(__xludf.DUMMYFUNCTION("""COMPUTED_VALUE"""),"Live")</f>
        <v>Live</v>
      </c>
      <c r="H274" s="5"/>
      <c r="I274" s="5" t="str">
        <f ca="1">IFERROR(__xludf.DUMMYFUNCTION("""COMPUTED_VALUE"""),"V2")</f>
        <v>V2</v>
      </c>
      <c r="J274" s="5" t="str">
        <f ca="1">IFERROR(__xludf.DUMMYFUNCTION("""COMPUTED_VALUE"""),"Binary")</f>
        <v>Binary</v>
      </c>
      <c r="K274" s="5" t="str">
        <f ca="1">IFERROR(__xludf.DUMMYFUNCTION("""COMPUTED_VALUE"""),"Slot")</f>
        <v>Slot</v>
      </c>
      <c r="L274" s="5"/>
      <c r="M274" s="5"/>
      <c r="N274" s="5"/>
      <c r="O274" s="5"/>
      <c r="P274" s="14">
        <f ca="1">IFERROR(__xludf.DUMMYFUNCTION("""COMPUTED_VALUE"""),24)</f>
        <v>24</v>
      </c>
      <c r="Q274" s="5"/>
      <c r="R274" s="5"/>
      <c r="S274" s="15">
        <f ca="1">IFERROR(__xludf.DUMMYFUNCTION("""COMPUTED_VALUE"""),45357)</f>
        <v>45357</v>
      </c>
      <c r="T274" s="5" t="b">
        <f ca="1">IFERROR(__xludf.DUMMYFUNCTION("""COMPUTED_VALUE"""),TRUE)</f>
        <v>1</v>
      </c>
      <c r="U274" s="5" t="str">
        <f ca="1">IFERROR(__xludf.DUMMYFUNCTION("""COMPUTED_VALUE"""),"5x3")</f>
        <v>5x3</v>
      </c>
      <c r="V274" s="12" t="str">
        <f ca="1">IFERROR(__xludf.DUMMYFUNCTION("""COMPUTED_VALUE"""),"30")</f>
        <v>30</v>
      </c>
      <c r="W274" s="12" t="str">
        <f ca="1">IFERROR(__xludf.DUMMYFUNCTION("""COMPUTED_VALUE"""),"30")</f>
        <v>30</v>
      </c>
      <c r="X274" s="5">
        <f ca="1">IFERROR(__xludf.DUMMYFUNCTION("""COMPUTED_VALUE"""),96.477)</f>
        <v>96.477000000000004</v>
      </c>
      <c r="Y274" s="5" t="str">
        <f ca="1">IFERROR(__xludf.DUMMYFUNCTION("""COMPUTED_VALUE"""),"High")</f>
        <v>High</v>
      </c>
      <c r="Z274" s="5">
        <f ca="1">IFERROR(__xludf.DUMMYFUNCTION("""COMPUTED_VALUE"""),21.29)</f>
        <v>21.29</v>
      </c>
      <c r="AA274" s="14">
        <f ca="1">IFERROR(__xludf.DUMMYFUNCTION("""COMPUTED_VALUE"""),2752)</f>
        <v>2752</v>
      </c>
      <c r="AB274" s="5">
        <f ca="1">IFERROR(__xludf.DUMMYFUNCTION("""COMPUTED_VALUE"""),168)</f>
        <v>168</v>
      </c>
      <c r="AC274" s="5" t="str">
        <f ca="1">IFERROR(__xludf.DUMMYFUNCTION("""COMPUTED_VALUE"""),"Bonus Game with Free Spins, Scatter")</f>
        <v>Bonus Game with Free Spins, Scatter</v>
      </c>
      <c r="AD274" s="5" t="str">
        <f ca="1">IFERROR(__xludf.DUMMYFUNCTION("""COMPUTED_VALUE"""),"0.3/30")</f>
        <v>0.3/30</v>
      </c>
      <c r="AE274" s="5"/>
      <c r="AF274" s="5"/>
      <c r="AG274" s="10">
        <f ca="1">IFERROR(__xludf.DUMMYFUNCTION("""COMPUTED_VALUE"""),46162.4787384259)</f>
        <v>46162.478738425903</v>
      </c>
      <c r="AH274" s="5" t="str">
        <f ca="1">IFERROR(__xludf.DUMMYFUNCTION("""COMPUTED_VALUE"""),"petra.ilic@fazi.rs")</f>
        <v>petra.ilic@fazi.rs</v>
      </c>
      <c r="AI274" s="5"/>
      <c r="AJ274" s="5"/>
      <c r="AK274" s="5">
        <f ca="1">IFERROR(__xludf.DUMMYFUNCTION("""COMPUTED_VALUE"""),30)</f>
        <v>30</v>
      </c>
      <c r="AL274" s="5" t="str">
        <f ca="1">IFERROR(__xludf.DUMMYFUNCTION("""COMPUTED_VALUE"""),"Yes")</f>
        <v>Yes</v>
      </c>
      <c r="AM274" s="5"/>
      <c r="AN274" s="7" t="str">
        <f ca="1">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AO274" s="5"/>
      <c r="AP274" s="5"/>
      <c r="AQ274" s="5" t="b">
        <f ca="1">IFERROR(__xludf.DUMMYFUNCTION("""COMPUTED_VALUE"""),TRUE)</f>
        <v>1</v>
      </c>
      <c r="AR274" s="5"/>
      <c r="AS274" s="5" t="str">
        <f ca="1">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AT274" s="5"/>
      <c r="AU274" s="5" t="str">
        <f ca="1">IFERROR(__xludf.DUMMYFUNCTION("""COMPUTED_VALUE"""),"Fazi")</f>
        <v>Fazi</v>
      </c>
      <c r="AV274" s="5"/>
      <c r="AW274" s="5"/>
      <c r="AX274" s="5"/>
      <c r="AY274" s="5"/>
      <c r="AZ274" s="5"/>
      <c r="BA274" s="5"/>
      <c r="BB274" s="5"/>
      <c r="BC274" s="5" t="str">
        <f ca="1">IFERROR(__xludf.DUMMYFUNCTION("""COMPUTED_VALUE"""),"Foxi")</f>
        <v>Foxi</v>
      </c>
      <c r="BD274" s="7" t="str">
        <f ca="1">IFERROR(__xludf.DUMMYFUNCTION("""COMPUTED_VALUE"""),"https://gameserver-store-client-area.orbionlimited.com/Home/IntegrationGameLaunch/client-area?moneyType=0&amp;gameName=MayansBattle&amp;platform=desktop&amp;languageCode=eng&amp;currency=EUR")</f>
        <v>https://gameserver-store-client-area.orbionlimited.com/Home/IntegrationGameLaunch/client-area?moneyType=0&amp;gameName=MayansBattle&amp;platform=desktop&amp;languageCode=eng&amp;currency=EUR</v>
      </c>
      <c r="BE274" s="5" t="b">
        <f ca="1">IFERROR(__xludf.DUMMYFUNCTION("""COMPUTED_VALUE"""),TRUE)</f>
        <v>1</v>
      </c>
    </row>
    <row r="275" spans="1:57" x14ac:dyDescent="0.25">
      <c r="A275" s="5">
        <f ca="1">IFERROR(__xludf.DUMMYFUNCTION("""COMPUTED_VALUE"""),275)</f>
        <v>275</v>
      </c>
      <c r="B275" s="5">
        <f ca="1">IFERROR(__xludf.DUMMYFUNCTION("""COMPUTED_VALUE"""),274)</f>
        <v>274</v>
      </c>
      <c r="C275" s="5" t="str">
        <f ca="1">IFERROR(__xludf.DUMMYFUNCTION("""COMPUTED_VALUE"""),"Tiptop")</f>
        <v>Tiptop</v>
      </c>
      <c r="D275" s="5" t="str">
        <f ca="1">IFERROR(__xludf.DUMMYFUNCTION("""COMPUTED_VALUE"""),"Froot Machine")</f>
        <v>Froot Machine</v>
      </c>
      <c r="E275" s="5"/>
      <c r="F275" s="5" t="str">
        <f ca="1">IFERROR(__xludf.DUMMYFUNCTION("""COMPUTED_VALUE"""),"UnicornFrootMachine")</f>
        <v>UnicornFrootMachine</v>
      </c>
      <c r="G275" s="5" t="str">
        <f ca="1">IFERROR(__xludf.DUMMYFUNCTION("""COMPUTED_VALUE"""),"Live")</f>
        <v>Live</v>
      </c>
      <c r="H275" s="5"/>
      <c r="I275" s="5" t="str">
        <f ca="1">IFERROR(__xludf.DUMMYFUNCTION("""COMPUTED_VALUE"""),"TipTop")</f>
        <v>TipTop</v>
      </c>
      <c r="J275" s="5" t="str">
        <f ca="1">IFERROR(__xludf.DUMMYFUNCTION("""COMPUTED_VALUE"""),"JSON")</f>
        <v>JSON</v>
      </c>
      <c r="K275" s="5" t="str">
        <f ca="1">IFERROR(__xludf.DUMMYFUNCTION("""COMPUTED_VALUE"""),"Slot")</f>
        <v>Slot</v>
      </c>
      <c r="L275" s="5"/>
      <c r="M275" s="5"/>
      <c r="N275" s="5"/>
      <c r="O275" s="5"/>
      <c r="P275" s="14">
        <f ca="1">IFERROR(__xludf.DUMMYFUNCTION("""COMPUTED_VALUE"""),10.8)</f>
        <v>10.8</v>
      </c>
      <c r="Q275" s="5"/>
      <c r="R275" s="5"/>
      <c r="S275" s="15">
        <f ca="1">IFERROR(__xludf.DUMMYFUNCTION("""COMPUTED_VALUE"""),45322)</f>
        <v>45322</v>
      </c>
      <c r="T275" s="5" t="b">
        <f ca="1">IFERROR(__xludf.DUMMYFUNCTION("""COMPUTED_VALUE"""),TRUE)</f>
        <v>1</v>
      </c>
      <c r="U275" s="5" t="str">
        <f ca="1">IFERROR(__xludf.DUMMYFUNCTION("""COMPUTED_VALUE"""),"5X3")</f>
        <v>5X3</v>
      </c>
      <c r="V275" s="12" t="str">
        <f ca="1">IFERROR(__xludf.DUMMYFUNCTION("""COMPUTED_VALUE"""),"5")</f>
        <v>5</v>
      </c>
      <c r="W275" s="12" t="str">
        <f ca="1">IFERROR(__xludf.DUMMYFUNCTION("""COMPUTED_VALUE"""),"5")</f>
        <v>5</v>
      </c>
      <c r="X275" s="5">
        <f ca="1">IFERROR(__xludf.DUMMYFUNCTION("""COMPUTED_VALUE"""),96)</f>
        <v>96</v>
      </c>
      <c r="Y275" s="5" t="str">
        <f ca="1">IFERROR(__xludf.DUMMYFUNCTION("""COMPUTED_VALUE"""),"Low")</f>
        <v>Low</v>
      </c>
      <c r="Z275" s="5">
        <f ca="1">IFERROR(__xludf.DUMMYFUNCTION("""COMPUTED_VALUE"""),10.5)</f>
        <v>10.5</v>
      </c>
      <c r="AA275" s="14">
        <f ca="1">IFERROR(__xludf.DUMMYFUNCTION("""COMPUTED_VALUE"""),1000)</f>
        <v>1000</v>
      </c>
      <c r="AB275" s="5"/>
      <c r="AC275" s="5"/>
      <c r="AD275" s="5" t="str">
        <f ca="1">IFERROR(__xludf.DUMMYFUNCTION("""COMPUTED_VALUE"""),"0.05/100")</f>
        <v>0.05/100</v>
      </c>
      <c r="AE275" s="5"/>
      <c r="AF275" s="5"/>
      <c r="AG275" s="10">
        <f ca="1">IFERROR(__xludf.DUMMYFUNCTION("""COMPUTED_VALUE"""),46197.4633217592)</f>
        <v>46197.463321759198</v>
      </c>
      <c r="AH275" s="5" t="str">
        <f ca="1">IFERROR(__xludf.DUMMYFUNCTION("""COMPUTED_VALUE"""),"selena.mihajlovic@fazi.rs")</f>
        <v>selena.mihajlovic@fazi.rs</v>
      </c>
      <c r="AI275" s="5"/>
      <c r="AJ275" s="5"/>
      <c r="AK275" s="5">
        <f ca="1">IFERROR(__xludf.DUMMYFUNCTION("""COMPUTED_VALUE"""),5)</f>
        <v>5</v>
      </c>
      <c r="AL275" s="5" t="str">
        <f ca="1">IFERROR(__xludf.DUMMYFUNCTION("""COMPUTED_VALUE"""),"No")</f>
        <v>No</v>
      </c>
      <c r="AM275" s="5"/>
      <c r="AN275" s="7" t="str">
        <f ca="1">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AO275" s="5"/>
      <c r="AP275" s="5"/>
      <c r="AQ275" s="5" t="b">
        <f ca="1">IFERROR(__xludf.DUMMYFUNCTION("""COMPUTED_VALUE"""),TRUE)</f>
        <v>1</v>
      </c>
      <c r="AR275" s="5"/>
      <c r="AS275" s="5" t="str">
        <f ca="1">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AT275" s="5"/>
      <c r="AU275" s="5" t="str">
        <f ca="1">IFERROR(__xludf.DUMMYFUNCTION("""COMPUTED_VALUE"""),"Fazi")</f>
        <v>Fazi</v>
      </c>
      <c r="AV275" s="5"/>
      <c r="AW275" s="5"/>
      <c r="AX275" s="5"/>
      <c r="AY275" s="5"/>
      <c r="AZ275" s="5"/>
      <c r="BA275" s="5"/>
      <c r="BB275" s="5" t="b">
        <f ca="1">IFERROR(__xludf.DUMMYFUNCTION("""COMPUTED_VALUE"""),TRUE)</f>
        <v>1</v>
      </c>
      <c r="BC275" s="5" t="str">
        <f ca="1">IFERROR(__xludf.DUMMYFUNCTION("""COMPUTED_VALUE"""),"Tiptop")</f>
        <v>Tiptop</v>
      </c>
      <c r="BD275" s="7" t="str">
        <f ca="1">IFERROR(__xludf.DUMMYFUNCTION("""COMPUTED_VALUE"""),"https://gameserver-store-client-area.orbionlimited.com/Home/IntegrationGameLaunch/client-area?moneyType=0&amp;gameName=UnicornFrootMachine&amp;platform=desktop&amp;languageCode=eng&amp;currency=EUR")</f>
        <v>https://gameserver-store-client-area.orbionlimited.com/Home/IntegrationGameLaunch/client-area?moneyType=0&amp;gameName=UnicornFrootMachine&amp;platform=desktop&amp;languageCode=eng&amp;currency=EUR</v>
      </c>
      <c r="BE275" s="5" t="b">
        <f ca="1">IFERROR(__xludf.DUMMYFUNCTION("""COMPUTED_VALUE"""),TRUE)</f>
        <v>1</v>
      </c>
    </row>
    <row r="276" spans="1:57" x14ac:dyDescent="0.25">
      <c r="A276" s="5">
        <f ca="1">IFERROR(__xludf.DUMMYFUNCTION("""COMPUTED_VALUE"""),276)</f>
        <v>276</v>
      </c>
      <c r="B276" s="5">
        <f ca="1">IFERROR(__xludf.DUMMYFUNCTION("""COMPUTED_VALUE"""),275)</f>
        <v>275</v>
      </c>
      <c r="C276" s="5" t="str">
        <f ca="1">IFERROR(__xludf.DUMMYFUNCTION("""COMPUTED_VALUE"""),"Tiptop")</f>
        <v>Tiptop</v>
      </c>
      <c r="D276" s="5" t="str">
        <f ca="1">IFERROR(__xludf.DUMMYFUNCTION("""COMPUTED_VALUE"""),"Simply Sevens Dice")</f>
        <v>Simply Sevens Dice</v>
      </c>
      <c r="E276" s="5"/>
      <c r="F276" s="5" t="str">
        <f ca="1">IFERROR(__xludf.DUMMYFUNCTION("""COMPUTED_VALUE"""),"UnicornSimplySevensDice")</f>
        <v>UnicornSimplySevensDice</v>
      </c>
      <c r="G276" s="5" t="str">
        <f ca="1">IFERROR(__xludf.DUMMYFUNCTION("""COMPUTED_VALUE"""),"Live")</f>
        <v>Live</v>
      </c>
      <c r="H276" s="5"/>
      <c r="I276" s="5" t="str">
        <f ca="1">IFERROR(__xludf.DUMMYFUNCTION("""COMPUTED_VALUE"""),"TipTop")</f>
        <v>TipTop</v>
      </c>
      <c r="J276" s="5" t="str">
        <f ca="1">IFERROR(__xludf.DUMMYFUNCTION("""COMPUTED_VALUE"""),"JSON")</f>
        <v>JSON</v>
      </c>
      <c r="K276" s="5" t="str">
        <f ca="1">IFERROR(__xludf.DUMMYFUNCTION("""COMPUTED_VALUE"""),"Dice Slots")</f>
        <v>Dice Slots</v>
      </c>
      <c r="L276" s="5"/>
      <c r="M276" s="5"/>
      <c r="N276" s="5"/>
      <c r="O276" s="5"/>
      <c r="P276" s="14">
        <f ca="1">IFERROR(__xludf.DUMMYFUNCTION("""COMPUTED_VALUE"""),10.8)</f>
        <v>10.8</v>
      </c>
      <c r="Q276" s="5"/>
      <c r="R276" s="5"/>
      <c r="S276" s="15">
        <f ca="1">IFERROR(__xludf.DUMMYFUNCTION("""COMPUTED_VALUE"""),45330)</f>
        <v>45330</v>
      </c>
      <c r="T276" s="5" t="b">
        <f ca="1">IFERROR(__xludf.DUMMYFUNCTION("""COMPUTED_VALUE"""),TRUE)</f>
        <v>1</v>
      </c>
      <c r="U276" s="5" t="str">
        <f ca="1">IFERROR(__xludf.DUMMYFUNCTION("""COMPUTED_VALUE"""),"5X3")</f>
        <v>5X3</v>
      </c>
      <c r="V276" s="12" t="str">
        <f ca="1">IFERROR(__xludf.DUMMYFUNCTION("""COMPUTED_VALUE"""),"10")</f>
        <v>10</v>
      </c>
      <c r="W276" s="12" t="str">
        <f ca="1">IFERROR(__xludf.DUMMYFUNCTION("""COMPUTED_VALUE"""),"10")</f>
        <v>10</v>
      </c>
      <c r="X276" s="5">
        <f ca="1">IFERROR(__xludf.DUMMYFUNCTION("""COMPUTED_VALUE"""),96)</f>
        <v>96</v>
      </c>
      <c r="Y276" s="5" t="str">
        <f ca="1">IFERROR(__xludf.DUMMYFUNCTION("""COMPUTED_VALUE"""),"Low")</f>
        <v>Low</v>
      </c>
      <c r="Z276" s="5">
        <f ca="1">IFERROR(__xludf.DUMMYFUNCTION("""COMPUTED_VALUE"""),24.14)</f>
        <v>24.14</v>
      </c>
      <c r="AA276" s="14">
        <f ca="1">IFERROR(__xludf.DUMMYFUNCTION("""COMPUTED_VALUE"""),10000)</f>
        <v>10000</v>
      </c>
      <c r="AB276" s="5"/>
      <c r="AC276" s="5" t="str">
        <f ca="1">IFERROR(__xludf.DUMMYFUNCTION("""COMPUTED_VALUE"""),"Scatter")</f>
        <v>Scatter</v>
      </c>
      <c r="AD276" s="5" t="str">
        <f ca="1">IFERROR(__xludf.DUMMYFUNCTION("""COMPUTED_VALUE"""),"0.1/100")</f>
        <v>0.1/100</v>
      </c>
      <c r="AE276" s="5"/>
      <c r="AF276" s="5"/>
      <c r="AG276" s="10">
        <f ca="1">IFERROR(__xludf.DUMMYFUNCTION("""COMPUTED_VALUE"""),46197.4647337962)</f>
        <v>46197.464733796201</v>
      </c>
      <c r="AH276" s="5" t="str">
        <f ca="1">IFERROR(__xludf.DUMMYFUNCTION("""COMPUTED_VALUE"""),"selena.mihajlovic@fazi.rs")</f>
        <v>selena.mihajlovic@fazi.rs</v>
      </c>
      <c r="AI276" s="5"/>
      <c r="AJ276" s="5"/>
      <c r="AK276" s="5">
        <f ca="1">IFERROR(__xludf.DUMMYFUNCTION("""COMPUTED_VALUE"""),10)</f>
        <v>10</v>
      </c>
      <c r="AL276" s="5" t="str">
        <f ca="1">IFERROR(__xludf.DUMMYFUNCTION("""COMPUTED_VALUE"""),"No")</f>
        <v>No</v>
      </c>
      <c r="AM276" s="5"/>
      <c r="AN276" s="7" t="str">
        <f ca="1">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AO276" s="5"/>
      <c r="AP276" s="5"/>
      <c r="AQ276" s="5" t="b">
        <f ca="1">IFERROR(__xludf.DUMMYFUNCTION("""COMPUTED_VALUE"""),TRUE)</f>
        <v>1</v>
      </c>
      <c r="AR276" s="5"/>
      <c r="AS276" s="5" t="str">
        <f ca="1">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AT276" s="5"/>
      <c r="AU276" s="5" t="str">
        <f ca="1">IFERROR(__xludf.DUMMYFUNCTION("""COMPUTED_VALUE"""),"Fazi")</f>
        <v>Fazi</v>
      </c>
      <c r="AV276" s="5"/>
      <c r="AW276" s="5"/>
      <c r="AX276" s="5"/>
      <c r="AY276" s="5"/>
      <c r="AZ276" s="5"/>
      <c r="BA276" s="5"/>
      <c r="BB276" s="5" t="b">
        <f ca="1">IFERROR(__xludf.DUMMYFUNCTION("""COMPUTED_VALUE"""),TRUE)</f>
        <v>1</v>
      </c>
      <c r="BC276" s="5" t="str">
        <f ca="1">IFERROR(__xludf.DUMMYFUNCTION("""COMPUTED_VALUE"""),"Tiptop")</f>
        <v>Tiptop</v>
      </c>
      <c r="BD276" s="7" t="str">
        <f ca="1">IFERROR(__xludf.DUMMYFUNCTION("""COMPUTED_VALUE"""),"https://gameserver-store-client-area.orbionlimited.com/Home/IntegrationGameLaunch/client-area?moneyType=0&amp;gameName=UnicornSimplySevensDice&amp;platform=desktop&amp;languageCode=eng&amp;currency=EUR")</f>
        <v>https://gameserver-store-client-area.orbionlimited.com/Home/IntegrationGameLaunch/client-area?moneyType=0&amp;gameName=UnicornSimplySevensDice&amp;platform=desktop&amp;languageCode=eng&amp;currency=EUR</v>
      </c>
      <c r="BE276" s="5" t="b">
        <f ca="1">IFERROR(__xludf.DUMMYFUNCTION("""COMPUTED_VALUE"""),TRUE)</f>
        <v>1</v>
      </c>
    </row>
    <row r="277" spans="1:57" x14ac:dyDescent="0.25">
      <c r="A277" s="5">
        <f ca="1">IFERROR(__xludf.DUMMYFUNCTION("""COMPUTED_VALUE"""),277)</f>
        <v>277</v>
      </c>
      <c r="B277" s="5">
        <f ca="1">IFERROR(__xludf.DUMMYFUNCTION("""COMPUTED_VALUE"""),276)</f>
        <v>276</v>
      </c>
      <c r="C277" s="5" t="str">
        <f ca="1">IFERROR(__xludf.DUMMYFUNCTION("""COMPUTED_VALUE"""),"Fazi")</f>
        <v>Fazi</v>
      </c>
      <c r="D277" s="5" t="str">
        <f ca="1">IFERROR(__xludf.DUMMYFUNCTION("""COMPUTED_VALUE"""),"Wild Craps")</f>
        <v>Wild Craps</v>
      </c>
      <c r="E277" s="5" t="str">
        <f ca="1">IFERROR(__xludf.DUMMYFUNCTION("""COMPUTED_VALUE"""),"V2")</f>
        <v>V2</v>
      </c>
      <c r="F277" s="5" t="str">
        <f ca="1">IFERROR(__xludf.DUMMYFUNCTION("""COMPUTED_VALUE"""),"WildCraps")</f>
        <v>WildCraps</v>
      </c>
      <c r="G277" s="5" t="str">
        <f ca="1">IFERROR(__xludf.DUMMYFUNCTION("""COMPUTED_VALUE"""),"Live")</f>
        <v>Live</v>
      </c>
      <c r="H277" s="5"/>
      <c r="I277" s="5" t="str">
        <f ca="1">IFERROR(__xludf.DUMMYFUNCTION("""COMPUTED_VALUE"""),"V2")</f>
        <v>V2</v>
      </c>
      <c r="J277" s="5" t="str">
        <f ca="1">IFERROR(__xludf.DUMMYFUNCTION("""COMPUTED_VALUE"""),"Binary")</f>
        <v>Binary</v>
      </c>
      <c r="K277" s="5" t="str">
        <f ca="1">IFERROR(__xludf.DUMMYFUNCTION("""COMPUTED_VALUE"""),"Slot")</f>
        <v>Slot</v>
      </c>
      <c r="L277" s="5"/>
      <c r="M277" s="5"/>
      <c r="N277" s="5"/>
      <c r="O277" s="5"/>
      <c r="P277" s="14">
        <f ca="1">IFERROR(__xludf.DUMMYFUNCTION("""COMPUTED_VALUE"""),29)</f>
        <v>29</v>
      </c>
      <c r="Q277" s="5"/>
      <c r="R277" s="5"/>
      <c r="S277" s="15">
        <f ca="1">IFERROR(__xludf.DUMMYFUNCTION("""COMPUTED_VALUE"""),45342)</f>
        <v>45342</v>
      </c>
      <c r="T277" s="5" t="b">
        <f ca="1">IFERROR(__xludf.DUMMYFUNCTION("""COMPUTED_VALUE"""),TRUE)</f>
        <v>1</v>
      </c>
      <c r="U277" s="5" t="str">
        <f ca="1">IFERROR(__xludf.DUMMYFUNCTION("""COMPUTED_VALUE"""),"5x3")</f>
        <v>5x3</v>
      </c>
      <c r="V277" s="12" t="str">
        <f ca="1">IFERROR(__xludf.DUMMYFUNCTION("""COMPUTED_VALUE"""),"10")</f>
        <v>10</v>
      </c>
      <c r="W277" s="12" t="str">
        <f ca="1">IFERROR(__xludf.DUMMYFUNCTION("""COMPUTED_VALUE"""),"10")</f>
        <v>10</v>
      </c>
      <c r="X277" s="5">
        <f ca="1">IFERROR(__xludf.DUMMYFUNCTION("""COMPUTED_VALUE"""),96.528)</f>
        <v>96.528000000000006</v>
      </c>
      <c r="Y277" s="5" t="str">
        <f ca="1">IFERROR(__xludf.DUMMYFUNCTION("""COMPUTED_VALUE"""),"High")</f>
        <v>High</v>
      </c>
      <c r="Z277" s="5">
        <f ca="1">IFERROR(__xludf.DUMMYFUNCTION("""COMPUTED_VALUE"""),14.8799999999999)</f>
        <v>14.8799999999999</v>
      </c>
      <c r="AA277" s="14">
        <f ca="1">IFERROR(__xludf.DUMMYFUNCTION("""COMPUTED_VALUE"""),4038)</f>
        <v>4038</v>
      </c>
      <c r="AB277" s="5">
        <f ca="1">IFERROR(__xludf.DUMMYFUNCTION("""COMPUTED_VALUE"""),145)</f>
        <v>145</v>
      </c>
      <c r="AC277" s="5" t="str">
        <f ca="1">IFERROR(__xludf.DUMMYFUNCTION("""COMPUTED_VALUE"""),"Bonus Game with Free Spins, Sticky Wild")</f>
        <v>Bonus Game with Free Spins, Sticky Wild</v>
      </c>
      <c r="AD277" s="5" t="str">
        <f ca="1">IFERROR(__xludf.DUMMYFUNCTION("""COMPUTED_VALUE"""),"0.1/40")</f>
        <v>0.1/40</v>
      </c>
      <c r="AE277" s="5"/>
      <c r="AF277" s="5"/>
      <c r="AG277" s="10">
        <f ca="1">IFERROR(__xludf.DUMMYFUNCTION("""COMPUTED_VALUE"""),46064.6575)</f>
        <v>46064.657500000001</v>
      </c>
      <c r="AH277" s="5" t="str">
        <f ca="1">IFERROR(__xludf.DUMMYFUNCTION("""COMPUTED_VALUE"""),"aleksandar.trajkovic@fazi.rs")</f>
        <v>aleksandar.trajkovic@fazi.rs</v>
      </c>
      <c r="AI277" s="5"/>
      <c r="AJ277" s="5"/>
      <c r="AK277" s="5">
        <f ca="1">IFERROR(__xludf.DUMMYFUNCTION("""COMPUTED_VALUE"""),10)</f>
        <v>10</v>
      </c>
      <c r="AL277" s="5" t="str">
        <f ca="1">IFERROR(__xludf.DUMMYFUNCTION("""COMPUTED_VALUE"""),"Yes")</f>
        <v>Yes</v>
      </c>
      <c r="AM277" s="5"/>
      <c r="AN277" s="7" t="str">
        <f ca="1">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AO277" s="5"/>
      <c r="AP277" s="5"/>
      <c r="AQ277" s="5" t="b">
        <f ca="1">IFERROR(__xludf.DUMMYFUNCTION("""COMPUTED_VALUE"""),TRUE)</f>
        <v>1</v>
      </c>
      <c r="AR277" s="5"/>
      <c r="AS277" s="5" t="str">
        <f ca="1">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AT277" s="5"/>
      <c r="AU277" s="5" t="str">
        <f ca="1">IFERROR(__xludf.DUMMYFUNCTION("""COMPUTED_VALUE"""),"Fazi")</f>
        <v>Fazi</v>
      </c>
      <c r="AV277" s="5"/>
      <c r="AW277" s="5"/>
      <c r="AX277" s="5"/>
      <c r="AY277" s="5"/>
      <c r="AZ277" s="5"/>
      <c r="BA277" s="5" t="str">
        <f ca="1">IFERROR(__xludf.DUMMYFUNCTION("""COMPUTED_VALUE"""),"")</f>
        <v/>
      </c>
      <c r="BB277" s="5"/>
      <c r="BC277" s="5" t="str">
        <f ca="1">IFERROR(__xludf.DUMMYFUNCTION("""COMPUTED_VALUE"""),"Foxi")</f>
        <v>Foxi</v>
      </c>
      <c r="BD277" s="7" t="str">
        <f ca="1">IFERROR(__xludf.DUMMYFUNCTION("""COMPUTED_VALUE"""),"https://gameserver-store-client-area.orbionlimited.com/Home/IntegrationGameLaunch/client-area?moneyType=0&amp;gameName=WildCraps&amp;platform=desktop&amp;languageCode=eng&amp;currency=EUR")</f>
        <v>https://gameserver-store-client-area.orbionlimited.com/Home/IntegrationGameLaunch/client-area?moneyType=0&amp;gameName=WildCraps&amp;platform=desktop&amp;languageCode=eng&amp;currency=EUR</v>
      </c>
      <c r="BE277" s="5" t="b">
        <f ca="1">IFERROR(__xludf.DUMMYFUNCTION("""COMPUTED_VALUE"""),TRUE)</f>
        <v>1</v>
      </c>
    </row>
    <row r="278" spans="1:57" x14ac:dyDescent="0.25">
      <c r="A278" s="5">
        <f ca="1">IFERROR(__xludf.DUMMYFUNCTION("""COMPUTED_VALUE"""),278)</f>
        <v>278</v>
      </c>
      <c r="B278" s="5">
        <f ca="1">IFERROR(__xludf.DUMMYFUNCTION("""COMPUTED_VALUE"""),277)</f>
        <v>277</v>
      </c>
      <c r="C278" s="5" t="str">
        <f ca="1">IFERROR(__xludf.DUMMYFUNCTION("""COMPUTED_VALUE"""),"Redstone")</f>
        <v>Redstone</v>
      </c>
      <c r="D278" s="5" t="str">
        <f ca="1">IFERROR(__xludf.DUMMYFUNCTION("""COMPUTED_VALUE"""),"Fear Of Dark")</f>
        <v>Fear Of Dark</v>
      </c>
      <c r="E278" s="5" t="str">
        <f ca="1">IFERROR(__xludf.DUMMYFUNCTION("""COMPUTED_VALUE"""),"Redstone")</f>
        <v>Redstone</v>
      </c>
      <c r="F278" s="5" t="str">
        <f ca="1">IFERROR(__xludf.DUMMYFUNCTION("""COMPUTED_VALUE"""),"RedstoneFearOfDark")</f>
        <v>RedstoneFearOfDark</v>
      </c>
      <c r="G278" s="5" t="str">
        <f ca="1">IFERROR(__xludf.DUMMYFUNCTION("""COMPUTED_VALUE"""),"Live")</f>
        <v>Live</v>
      </c>
      <c r="H278" s="5"/>
      <c r="I278" s="5" t="str">
        <f ca="1">IFERROR(__xludf.DUMMYFUNCTION("""COMPUTED_VALUE"""),"Redstone")</f>
        <v>Redstone</v>
      </c>
      <c r="J278" s="5" t="str">
        <f ca="1">IFERROR(__xludf.DUMMYFUNCTION("""COMPUTED_VALUE"""),"JSON")</f>
        <v>JSON</v>
      </c>
      <c r="K278" s="5" t="str">
        <f ca="1">IFERROR(__xludf.DUMMYFUNCTION("""COMPUTED_VALUE"""),"Slot")</f>
        <v>Slot</v>
      </c>
      <c r="L278" s="5" t="str">
        <f ca="1">IFERROR(__xludf.DUMMYFUNCTION("""COMPUTED_VALUE""")," Clone")</f>
        <v xml:space="preserve"> Clone</v>
      </c>
      <c r="M278" s="5" t="str">
        <f ca="1">IFERROR(__xludf.DUMMYFUNCTION("""COMPUTED_VALUE"""),"40 Hot Joker")</f>
        <v>40 Hot Joker</v>
      </c>
      <c r="N278" s="7" t="str">
        <f ca="1">IFERROR(__xludf.DUMMYFUNCTION("""COMPUTED_VALUE"""),"https://docs.google.com/document/d/1QP-EtzlhgKGHFJ_tSJU92n3GAb-kqF2e/edit?usp=drive_link&amp;ouid=107596163405648766688&amp;rtpof=true&amp;sd=true")</f>
        <v>https://docs.google.com/document/d/1QP-EtzlhgKGHFJ_tSJU92n3GAb-kqF2e/edit?usp=drive_link&amp;ouid=107596163405648766688&amp;rtpof=true&amp;sd=true</v>
      </c>
      <c r="O278" s="7" t="str">
        <f ca="1">IFERROR(__xludf.DUMMYFUNCTION("""COMPUTED_VALUE"""),"https://docs.google.com/document/d/1G3Uy96MnESsRXYh1UJ3F4jpCVPLG-sSl/edit?usp=drive_link&amp;ouid=107596163405648766688&amp;rtpof=true&amp;sd=true")</f>
        <v>https://docs.google.com/document/d/1G3Uy96MnESsRXYh1UJ3F4jpCVPLG-sSl/edit?usp=drive_link&amp;ouid=107596163405648766688&amp;rtpof=true&amp;sd=true</v>
      </c>
      <c r="P278" s="14">
        <f ca="1">IFERROR(__xludf.DUMMYFUNCTION("""COMPUTED_VALUE"""),9.3)</f>
        <v>9.3000000000000007</v>
      </c>
      <c r="Q278" s="5"/>
      <c r="R278" s="5"/>
      <c r="S278" s="15">
        <f ca="1">IFERROR(__xludf.DUMMYFUNCTION("""COMPUTED_VALUE"""),45217)</f>
        <v>45217</v>
      </c>
      <c r="T278" s="5" t="b">
        <f ca="1">IFERROR(__xludf.DUMMYFUNCTION("""COMPUTED_VALUE"""),TRUE)</f>
        <v>1</v>
      </c>
      <c r="U278" s="5" t="str">
        <f ca="1">IFERROR(__xludf.DUMMYFUNCTION("""COMPUTED_VALUE"""),"5x4")</f>
        <v>5x4</v>
      </c>
      <c r="V278" s="12" t="str">
        <f ca="1">IFERROR(__xludf.DUMMYFUNCTION("""COMPUTED_VALUE"""),"40")</f>
        <v>40</v>
      </c>
      <c r="W278" s="12" t="str">
        <f ca="1">IFERROR(__xludf.DUMMYFUNCTION("""COMPUTED_VALUE"""),"40")</f>
        <v>40</v>
      </c>
      <c r="X278" s="5">
        <f ca="1">IFERROR(__xludf.DUMMYFUNCTION("""COMPUTED_VALUE"""),96.24)</f>
        <v>96.24</v>
      </c>
      <c r="Y278" s="5" t="str">
        <f ca="1">IFERROR(__xludf.DUMMYFUNCTION("""COMPUTED_VALUE"""),"Medium")</f>
        <v>Medium</v>
      </c>
      <c r="Z278" s="5">
        <f ca="1">IFERROR(__xludf.DUMMYFUNCTION("""COMPUTED_VALUE"""),11.27)</f>
        <v>11.27</v>
      </c>
      <c r="AA278" s="14">
        <f ca="1">IFERROR(__xludf.DUMMYFUNCTION("""COMPUTED_VALUE"""),3000)</f>
        <v>3000</v>
      </c>
      <c r="AB278" s="5"/>
      <c r="AC278" s="5" t="str">
        <f ca="1">IFERROR(__xludf.DUMMYFUNCTION("""COMPUTED_VALUE"""),"Expanding Wild, Scatter")</f>
        <v>Expanding Wild, Scatter</v>
      </c>
      <c r="AD278" s="5" t="str">
        <f ca="1">IFERROR(__xludf.DUMMYFUNCTION("""COMPUTED_VALUE"""),"0.04/50")</f>
        <v>0.04/50</v>
      </c>
      <c r="AE278" s="5"/>
      <c r="AF278" s="5"/>
      <c r="AG278" s="10">
        <f ca="1">IFERROR(__xludf.DUMMYFUNCTION("""COMPUTED_VALUE"""),46157.4751851851)</f>
        <v>46157.475185185103</v>
      </c>
      <c r="AH278" s="5"/>
      <c r="AI278" s="5"/>
      <c r="AJ278" s="5"/>
      <c r="AK278" s="5">
        <f ca="1">IFERROR(__xludf.DUMMYFUNCTION("""COMPUTED_VALUE"""),1)</f>
        <v>1</v>
      </c>
      <c r="AL278" s="5" t="str">
        <f ca="1">IFERROR(__xludf.DUMMYFUNCTION("""COMPUTED_VALUE"""),"No")</f>
        <v>No</v>
      </c>
      <c r="AM278" s="5" t="str">
        <f ca="1">IFERROR(__xludf.DUMMYFUNCTION("""COMPUTED_VALUE"""),"No")</f>
        <v>No</v>
      </c>
      <c r="AN278" s="7" t="str">
        <f ca="1">IFERROR(__xludf.DUMMYFUNCTION("""COMPUTED_VALUE"""),"https://play.redstone.rs/games/fear-of-dark/index.html")</f>
        <v>https://play.redstone.rs/games/fear-of-dark/index.html</v>
      </c>
      <c r="AO278" s="5" t="str">
        <f ca="1">IFERROR(__xludf.DUMMYFUNCTION("""COMPUTED_VALUE"""),"No")</f>
        <v>No</v>
      </c>
      <c r="AP278" s="5" t="str">
        <f ca="1">IFERROR(__xludf.DUMMYFUNCTION("""COMPUTED_VALUE"""),"No")</f>
        <v>No</v>
      </c>
      <c r="AQ278" s="5" t="b">
        <f ca="1">IFERROR(__xludf.DUMMYFUNCTION("""COMPUTED_VALUE"""),TRUE)</f>
        <v>1</v>
      </c>
      <c r="AR278" s="5"/>
      <c r="AS278" s="5" t="str">
        <f ca="1">IFERROR(__xludf.DUMMYFUNCTION("""COMPUTED_VALUE"""),"Are you ready to face the Fear of Dark? The brave will walk away with x3000 in clutches!")</f>
        <v>Are you ready to face the Fear of Dark? The brave will walk away with x3000 in clutches!</v>
      </c>
      <c r="AT278" s="5"/>
      <c r="AU278" s="5" t="str">
        <f ca="1">IFERROR(__xludf.DUMMYFUNCTION("""COMPUTED_VALUE"""),"Redstone")</f>
        <v>Redstone</v>
      </c>
      <c r="AV278" s="5"/>
      <c r="AW278" s="5"/>
      <c r="AX278" s="5"/>
      <c r="AY278" s="5"/>
      <c r="AZ278" s="5"/>
      <c r="BA278" s="5"/>
      <c r="BB278" s="5" t="b">
        <f ca="1">IFERROR(__xludf.DUMMYFUNCTION("""COMPUTED_VALUE"""),TRUE)</f>
        <v>1</v>
      </c>
      <c r="BC278" s="5" t="str">
        <f ca="1">IFERROR(__xludf.DUMMYFUNCTION("""COMPUTED_VALUE"""),"Redstone")</f>
        <v>Redstone</v>
      </c>
      <c r="BD278" s="7" t="str">
        <f ca="1">IFERROR(__xludf.DUMMYFUNCTION("""COMPUTED_VALUE"""),"https://play.redstone.rs/games/fear-of-dark/index.html")</f>
        <v>https://play.redstone.rs/games/fear-of-dark/index.html</v>
      </c>
      <c r="BE278" s="5" t="b">
        <f ca="1">IFERROR(__xludf.DUMMYFUNCTION("""COMPUTED_VALUE"""),TRUE)</f>
        <v>1</v>
      </c>
    </row>
    <row r="279" spans="1:57" x14ac:dyDescent="0.25">
      <c r="A279" s="5">
        <f ca="1">IFERROR(__xludf.DUMMYFUNCTION("""COMPUTED_VALUE"""),279)</f>
        <v>279</v>
      </c>
      <c r="B279" s="5">
        <f ca="1">IFERROR(__xludf.DUMMYFUNCTION("""COMPUTED_VALUE"""),278)</f>
        <v>278</v>
      </c>
      <c r="C279" s="5" t="str">
        <f ca="1">IFERROR(__xludf.DUMMYFUNCTION("""COMPUTED_VALUE"""),"Fazi")</f>
        <v>Fazi</v>
      </c>
      <c r="D279" s="5" t="str">
        <f ca="1">IFERROR(__xludf.DUMMYFUNCTION("""COMPUTED_VALUE"""),"Mr First Cryptonium")</f>
        <v>Mr First Cryptonium</v>
      </c>
      <c r="E279" s="5" t="str">
        <f ca="1">IFERROR(__xludf.DUMMYFUNCTION("""COMPUTED_VALUE"""),"V2")</f>
        <v>V2</v>
      </c>
      <c r="F279" s="5" t="str">
        <f ca="1">IFERROR(__xludf.DUMMYFUNCTION("""COMPUTED_VALUE"""),"MrFirstCryptonium")</f>
        <v>MrFirstCryptonium</v>
      </c>
      <c r="G279" s="5" t="str">
        <f ca="1">IFERROR(__xludf.DUMMYFUNCTION("""COMPUTED_VALUE"""),"Live")</f>
        <v>Live</v>
      </c>
      <c r="H279" s="5" t="str">
        <f ca="1">IFERROR(__xludf.DUMMYFUNCTION("""COMPUTED_VALUE"""),"BetConstruct takmičenje")</f>
        <v>BetConstruct takmičenje</v>
      </c>
      <c r="I279" s="5" t="str">
        <f ca="1">IFERROR(__xludf.DUMMYFUNCTION("""COMPUTED_VALUE"""),"V2")</f>
        <v>V2</v>
      </c>
      <c r="J279" s="5" t="str">
        <f ca="1">IFERROR(__xludf.DUMMYFUNCTION("""COMPUTED_VALUE"""),"Binary")</f>
        <v>Binary</v>
      </c>
      <c r="K279" s="5" t="str">
        <f ca="1">IFERROR(__xludf.DUMMYFUNCTION("""COMPUTED_VALUE"""),"Slot")</f>
        <v>Slot</v>
      </c>
      <c r="L279" s="5" t="str">
        <f ca="1">IFERROR(__xludf.DUMMYFUNCTION("""COMPUTED_VALUE"""),"Clone")</f>
        <v>Clone</v>
      </c>
      <c r="M279" s="5" t="str">
        <f ca="1">IFERROR(__xludf.DUMMYFUNCTION("""COMPUTED_VALUE"""),"Wild Lucky Clover")</f>
        <v>Wild Lucky Clover</v>
      </c>
      <c r="N279" s="5"/>
      <c r="O279" s="5"/>
      <c r="P279" s="14">
        <f ca="1">IFERROR(__xludf.DUMMYFUNCTION("""COMPUTED_VALUE"""),24)</f>
        <v>24</v>
      </c>
      <c r="Q279" s="5"/>
      <c r="R279" s="5"/>
      <c r="S279" s="15">
        <f ca="1">IFERROR(__xludf.DUMMYFUNCTION("""COMPUTED_VALUE"""),45258)</f>
        <v>45258</v>
      </c>
      <c r="T279" s="5" t="b">
        <f ca="1">IFERROR(__xludf.DUMMYFUNCTION("""COMPUTED_VALUE"""),TRUE)</f>
        <v>1</v>
      </c>
      <c r="U279" s="5" t="str">
        <f ca="1">IFERROR(__xludf.DUMMYFUNCTION("""COMPUTED_VALUE"""),"5x4")</f>
        <v>5x4</v>
      </c>
      <c r="V279" s="12" t="str">
        <f ca="1">IFERROR(__xludf.DUMMYFUNCTION("""COMPUTED_VALUE"""),"40")</f>
        <v>40</v>
      </c>
      <c r="W279" s="12" t="str">
        <f ca="1">IFERROR(__xludf.DUMMYFUNCTION("""COMPUTED_VALUE"""),"40")</f>
        <v>40</v>
      </c>
      <c r="X279" s="5">
        <f ca="1">IFERROR(__xludf.DUMMYFUNCTION("""COMPUTED_VALUE"""),96.291)</f>
        <v>96.290999999999997</v>
      </c>
      <c r="Y279" s="5" t="str">
        <f ca="1">IFERROR(__xludf.DUMMYFUNCTION("""COMPUTED_VALUE"""),"Medium")</f>
        <v>Medium</v>
      </c>
      <c r="Z279" s="5">
        <f ca="1">IFERROR(__xludf.DUMMYFUNCTION("""COMPUTED_VALUE"""),12.67)</f>
        <v>12.67</v>
      </c>
      <c r="AA279" s="14">
        <f ca="1">IFERROR(__xludf.DUMMYFUNCTION("""COMPUTED_VALUE"""),1043)</f>
        <v>1043</v>
      </c>
      <c r="AB279" s="5">
        <f ca="1">IFERROR(__xludf.DUMMYFUNCTION("""COMPUTED_VALUE"""),199)</f>
        <v>199</v>
      </c>
      <c r="AC279" s="5" t="str">
        <f ca="1">IFERROR(__xludf.DUMMYFUNCTION("""COMPUTED_VALUE"""),"Bonus Game with Free Spins, Converting Wild")</f>
        <v>Bonus Game with Free Spins, Converting Wild</v>
      </c>
      <c r="AD279" s="5" t="str">
        <f ca="1">IFERROR(__xludf.DUMMYFUNCTION("""COMPUTED_VALUE"""),"0.4/60")</f>
        <v>0.4/60</v>
      </c>
      <c r="AE279" s="5"/>
      <c r="AF279" s="5"/>
      <c r="AG279" s="10">
        <f ca="1">IFERROR(__xludf.DUMMYFUNCTION("""COMPUTED_VALUE"""),46104.5890162037)</f>
        <v>46104.589016203703</v>
      </c>
      <c r="AH279" s="5" t="str">
        <f ca="1">IFERROR(__xludf.DUMMYFUNCTION("""COMPUTED_VALUE"""),"petra.ilic@fazi.rs")</f>
        <v>petra.ilic@fazi.rs</v>
      </c>
      <c r="AI279" s="5"/>
      <c r="AJ279" s="5"/>
      <c r="AK279" s="5">
        <f ca="1">IFERROR(__xludf.DUMMYFUNCTION("""COMPUTED_VALUE"""),40)</f>
        <v>40</v>
      </c>
      <c r="AL279" s="5" t="str">
        <f ca="1">IFERROR(__xludf.DUMMYFUNCTION("""COMPUTED_VALUE"""),"Yes")</f>
        <v>Yes</v>
      </c>
      <c r="AM279" s="5"/>
      <c r="AN279" s="7" t="str">
        <f ca="1">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AO279" s="5"/>
      <c r="AP279" s="5"/>
      <c r="AQ279" s="5" t="b">
        <f ca="1">IFERROR(__xludf.DUMMYFUNCTION("""COMPUTED_VALUE"""),TRUE)</f>
        <v>1</v>
      </c>
      <c r="AR279" s="5" t="b">
        <f ca="1">IFERROR(__xludf.DUMMYFUNCTION("""COMPUTED_VALUE"""),TRUE)</f>
        <v>1</v>
      </c>
      <c r="AS279" s="5" t="str">
        <f ca="1">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AT279" s="5"/>
      <c r="AU279" s="5" t="str">
        <f ca="1">IFERROR(__xludf.DUMMYFUNCTION("""COMPUTED_VALUE"""),"Fazi")</f>
        <v>Fazi</v>
      </c>
      <c r="AV279" s="5"/>
      <c r="AW279" s="5"/>
      <c r="AX279" s="5"/>
      <c r="AY279" s="5"/>
      <c r="AZ279" s="5"/>
      <c r="BA279" s="5" t="str">
        <f ca="1">IFERROR(__xludf.DUMMYFUNCTION("""COMPUTED_VALUE"""),"")</f>
        <v/>
      </c>
      <c r="BB279" s="5"/>
      <c r="BC279" s="5" t="str">
        <f ca="1">IFERROR(__xludf.DUMMYFUNCTION("""COMPUTED_VALUE"""),"Foxi")</f>
        <v>Foxi</v>
      </c>
      <c r="BD279" s="7" t="str">
        <f ca="1">IFERROR(__xludf.DUMMYFUNCTION("""COMPUTED_VALUE"""),"https://gameserver-store-client-area.orbionlimited.com/Home/IntegrationGameLaunch/client-area?moneyType=0&amp;gameName=MrFirstCryptonium&amp;platform=desktop&amp;languageCode=eng&amp;currency=EUR")</f>
        <v>https://gameserver-store-client-area.orbionlimited.com/Home/IntegrationGameLaunch/client-area?moneyType=0&amp;gameName=MrFirstCryptonium&amp;platform=desktop&amp;languageCode=eng&amp;currency=EUR</v>
      </c>
      <c r="BE279" s="5" t="b">
        <f ca="1">IFERROR(__xludf.DUMMYFUNCTION("""COMPUTED_VALUE"""),TRUE)</f>
        <v>1</v>
      </c>
    </row>
    <row r="280" spans="1:57" x14ac:dyDescent="0.25">
      <c r="A280" s="5">
        <f ca="1">IFERROR(__xludf.DUMMYFUNCTION("""COMPUTED_VALUE"""),280)</f>
        <v>280</v>
      </c>
      <c r="B280" s="5">
        <f ca="1">IFERROR(__xludf.DUMMYFUNCTION("""COMPUTED_VALUE"""),279)</f>
        <v>279</v>
      </c>
      <c r="C280" s="5" t="str">
        <f ca="1">IFERROR(__xludf.DUMMYFUNCTION("""COMPUTED_VALUE"""),"Tiptop")</f>
        <v>Tiptop</v>
      </c>
      <c r="D280" s="5" t="str">
        <f ca="1">IFERROR(__xludf.DUMMYFUNCTION("""COMPUTED_VALUE"""),"Fruit Island Christmas")</f>
        <v>Fruit Island Christmas</v>
      </c>
      <c r="E280" s="5"/>
      <c r="F280" s="5" t="str">
        <f ca="1">IFERROR(__xludf.DUMMYFUNCTION("""COMPUTED_VALUE"""),"UnicornFruitIslandChristmas")</f>
        <v>UnicornFruitIslandChristmas</v>
      </c>
      <c r="G280" s="5" t="str">
        <f ca="1">IFERROR(__xludf.DUMMYFUNCTION("""COMPUTED_VALUE"""),"Live")</f>
        <v>Live</v>
      </c>
      <c r="H280" s="5"/>
      <c r="I280" s="5" t="str">
        <f ca="1">IFERROR(__xludf.DUMMYFUNCTION("""COMPUTED_VALUE"""),"TipTop")</f>
        <v>TipTop</v>
      </c>
      <c r="J280" s="5" t="str">
        <f ca="1">IFERROR(__xludf.DUMMYFUNCTION("""COMPUTED_VALUE"""),"JSON")</f>
        <v>JSON</v>
      </c>
      <c r="K280" s="5" t="str">
        <f ca="1">IFERROR(__xludf.DUMMYFUNCTION("""COMPUTED_VALUE"""),"Slot")</f>
        <v>Slot</v>
      </c>
      <c r="L280" s="5"/>
      <c r="M280" s="5"/>
      <c r="N280" s="5"/>
      <c r="O280" s="5"/>
      <c r="P280" s="14">
        <f ca="1">IFERROR(__xludf.DUMMYFUNCTION("""COMPUTED_VALUE"""),12.9)</f>
        <v>12.9</v>
      </c>
      <c r="Q280" s="5"/>
      <c r="R280" s="5"/>
      <c r="S280" s="15">
        <f ca="1">IFERROR(__xludf.DUMMYFUNCTION("""COMPUTED_VALUE"""),45560)</f>
        <v>45560</v>
      </c>
      <c r="T280" s="5" t="b">
        <f ca="1">IFERROR(__xludf.DUMMYFUNCTION("""COMPUTED_VALUE"""),TRUE)</f>
        <v>1</v>
      </c>
      <c r="U280" s="5" t="str">
        <f ca="1">IFERROR(__xludf.DUMMYFUNCTION("""COMPUTED_VALUE"""),"5X3")</f>
        <v>5X3</v>
      </c>
      <c r="V280" s="12" t="str">
        <f ca="1">IFERROR(__xludf.DUMMYFUNCTION("""COMPUTED_VALUE"""),"5")</f>
        <v>5</v>
      </c>
      <c r="W280" s="12" t="str">
        <f ca="1">IFERROR(__xludf.DUMMYFUNCTION("""COMPUTED_VALUE"""),"5")</f>
        <v>5</v>
      </c>
      <c r="X280" s="13">
        <f ca="1">IFERROR(__xludf.DUMMYFUNCTION("""COMPUTED_VALUE"""),96)</f>
        <v>96</v>
      </c>
      <c r="Y280" s="5" t="str">
        <f ca="1">IFERROR(__xludf.DUMMYFUNCTION("""COMPUTED_VALUE"""),"Low")</f>
        <v>Low</v>
      </c>
      <c r="Z280" s="5">
        <f ca="1">IFERROR(__xludf.DUMMYFUNCTION("""COMPUTED_VALUE"""),10.5)</f>
        <v>10.5</v>
      </c>
      <c r="AA280" s="14">
        <f ca="1">IFERROR(__xludf.DUMMYFUNCTION("""COMPUTED_VALUE"""),1000)</f>
        <v>1000</v>
      </c>
      <c r="AB280" s="5"/>
      <c r="AC280" s="5"/>
      <c r="AD280" s="5" t="str">
        <f ca="1">IFERROR(__xludf.DUMMYFUNCTION("""COMPUTED_VALUE"""),"0.05/40")</f>
        <v>0.05/40</v>
      </c>
      <c r="AE280" s="5"/>
      <c r="AF280" s="5"/>
      <c r="AG280" s="10">
        <f ca="1">IFERROR(__xludf.DUMMYFUNCTION("""COMPUTED_VALUE"""),46197.4650347222)</f>
        <v>46197.465034722198</v>
      </c>
      <c r="AH280" s="5" t="str">
        <f ca="1">IFERROR(__xludf.DUMMYFUNCTION("""COMPUTED_VALUE"""),"selena.mihajlovic@fazi.rs")</f>
        <v>selena.mihajlovic@fazi.rs</v>
      </c>
      <c r="AI280" s="5"/>
      <c r="AJ280" s="5"/>
      <c r="AK280" s="5">
        <f ca="1">IFERROR(__xludf.DUMMYFUNCTION("""COMPUTED_VALUE"""),5)</f>
        <v>5</v>
      </c>
      <c r="AL280" s="5" t="str">
        <f ca="1">IFERROR(__xludf.DUMMYFUNCTION("""COMPUTED_VALUE"""),"No")</f>
        <v>No</v>
      </c>
      <c r="AM280" s="5"/>
      <c r="AN280" s="7" t="str">
        <f ca="1">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AO280" s="5"/>
      <c r="AP280" s="5"/>
      <c r="AQ280" s="5" t="b">
        <f ca="1">IFERROR(__xludf.DUMMYFUNCTION("""COMPUTED_VALUE"""),TRUE)</f>
        <v>1</v>
      </c>
      <c r="AR280" s="5"/>
      <c r="AS280" s="5" t="str">
        <f ca="1">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AT280" s="5"/>
      <c r="AU280" s="5" t="str">
        <f ca="1">IFERROR(__xludf.DUMMYFUNCTION("""COMPUTED_VALUE"""),"Fazi")</f>
        <v>Fazi</v>
      </c>
      <c r="AV280" s="5"/>
      <c r="AW280" s="5"/>
      <c r="AX280" s="5"/>
      <c r="AY280" s="5"/>
      <c r="AZ280" s="5"/>
      <c r="BA280" s="5"/>
      <c r="BB280" s="5" t="b">
        <f ca="1">IFERROR(__xludf.DUMMYFUNCTION("""COMPUTED_VALUE"""),TRUE)</f>
        <v>1</v>
      </c>
      <c r="BC280" s="5" t="str">
        <f ca="1">IFERROR(__xludf.DUMMYFUNCTION("""COMPUTED_VALUE"""),"Tiptop")</f>
        <v>Tiptop</v>
      </c>
      <c r="BD280" s="7" t="str">
        <f ca="1">IFERROR(__xludf.DUMMYFUNCTION("""COMPUTED_VALUE"""),"https://gameserver-store-client-area.orbionlimited.com/Home/IntegrationGameLaunch/client-area?moneyType=0&amp;gameName=UnicornFruitIslandChristmas&amp;platform=desktop&amp;languageCode=eng&amp;currency=EUR")</f>
        <v>https://gameserver-store-client-area.orbionlimited.com/Home/IntegrationGameLaunch/client-area?moneyType=0&amp;gameName=UnicornFruitIslandChristmas&amp;platform=desktop&amp;languageCode=eng&amp;currency=EUR</v>
      </c>
      <c r="BE280" s="5" t="b">
        <f ca="1">IFERROR(__xludf.DUMMYFUNCTION("""COMPUTED_VALUE"""),TRUE)</f>
        <v>1</v>
      </c>
    </row>
    <row r="281" spans="1:57" x14ac:dyDescent="0.25">
      <c r="A281" s="5">
        <f ca="1">IFERROR(__xludf.DUMMYFUNCTION("""COMPUTED_VALUE"""),281)</f>
        <v>281</v>
      </c>
      <c r="B281" s="5">
        <f ca="1">IFERROR(__xludf.DUMMYFUNCTION("""COMPUTED_VALUE"""),280)</f>
        <v>280</v>
      </c>
      <c r="C281" s="5" t="str">
        <f ca="1">IFERROR(__xludf.DUMMYFUNCTION("""COMPUTED_VALUE"""),"Tiptop")</f>
        <v>Tiptop</v>
      </c>
      <c r="D281" s="5" t="str">
        <f ca="1">IFERROR(__xludf.DUMMYFUNCTION("""COMPUTED_VALUE"""),"Unicorn Star Dice Christmas")</f>
        <v>Unicorn Star Dice Christmas</v>
      </c>
      <c r="E281" s="5"/>
      <c r="F281" s="5" t="str">
        <f ca="1">IFERROR(__xludf.DUMMYFUNCTION("""COMPUTED_VALUE"""),"UnicornStarDiceChristmas")</f>
        <v>UnicornStarDiceChristmas</v>
      </c>
      <c r="G281" s="5" t="str">
        <f ca="1">IFERROR(__xludf.DUMMYFUNCTION("""COMPUTED_VALUE"""),"Retired")</f>
        <v>Retired</v>
      </c>
      <c r="H281" s="5"/>
      <c r="I281" s="5" t="str">
        <f ca="1">IFERROR(__xludf.DUMMYFUNCTION("""COMPUTED_VALUE"""),"TipTop")</f>
        <v>TipTop</v>
      </c>
      <c r="J281" s="5" t="str">
        <f ca="1">IFERROR(__xludf.DUMMYFUNCTION("""COMPUTED_VALUE"""),"JSON")</f>
        <v>JSON</v>
      </c>
      <c r="K281" s="5" t="str">
        <f ca="1">IFERROR(__xludf.DUMMYFUNCTION("""COMPUTED_VALUE"""),"Dice Slots")</f>
        <v>Dice Slots</v>
      </c>
      <c r="L281" s="5"/>
      <c r="M281" s="5"/>
      <c r="N281" s="5"/>
      <c r="O281" s="5"/>
      <c r="P281" s="5"/>
      <c r="Q281" s="5"/>
      <c r="R281" s="5"/>
      <c r="S281" s="15">
        <f ca="1">IFERROR(__xludf.DUMMYFUNCTION("""COMPUTED_VALUE"""),45253)</f>
        <v>45253</v>
      </c>
      <c r="T281" s="5" t="b">
        <f ca="1">IFERROR(__xludf.DUMMYFUNCTION("""COMPUTED_VALUE"""),TRUE)</f>
        <v>1</v>
      </c>
      <c r="U281" s="5"/>
      <c r="V281" s="12" t="str">
        <f ca="1">IFERROR(__xludf.DUMMYFUNCTION("""COMPUTED_VALUE"""),"40")</f>
        <v>40</v>
      </c>
      <c r="W281" s="5"/>
      <c r="X281" s="13">
        <f ca="1">IFERROR(__xludf.DUMMYFUNCTION("""COMPUTED_VALUE"""),0)</f>
        <v>0</v>
      </c>
      <c r="Y281" s="5"/>
      <c r="Z281" s="5">
        <f ca="1">IFERROR(__xludf.DUMMYFUNCTION("""COMPUTED_VALUE"""),0)</f>
        <v>0</v>
      </c>
      <c r="AA281" s="5"/>
      <c r="AB281" s="5"/>
      <c r="AC281" s="5"/>
      <c r="AD281" s="5"/>
      <c r="AE281" s="5"/>
      <c r="AF281" s="5"/>
      <c r="AG281" s="10">
        <f ca="1">IFERROR(__xludf.DUMMYFUNCTION("""COMPUTED_VALUE"""),46195.5532754629)</f>
        <v>46195.553275462902</v>
      </c>
      <c r="AH281" s="5" t="str">
        <f ca="1">IFERROR(__xludf.DUMMYFUNCTION("""COMPUTED_VALUE"""),"danica.petrovic@fazi.rs")</f>
        <v>danica.petrovic@fazi.rs</v>
      </c>
      <c r="AI281" s="5"/>
      <c r="AJ281" s="5"/>
      <c r="AK281" s="5" t="str">
        <f ca="1">IFERROR(__xludf.DUMMYFUNCTION("""COMPUTED_VALUE"""),"NULL")</f>
        <v>NULL</v>
      </c>
      <c r="AL281" s="5"/>
      <c r="AM281" s="5"/>
      <c r="AN281" s="5"/>
      <c r="AO281" s="5"/>
      <c r="AP281" s="5"/>
      <c r="AQ281" s="5"/>
      <c r="AR281" s="5"/>
      <c r="AS281" s="5"/>
      <c r="AT281" s="5"/>
      <c r="AU281" s="5" t="str">
        <f ca="1">IFERROR(__xludf.DUMMYFUNCTION("""COMPUTED_VALUE"""),"Fazi")</f>
        <v>Fazi</v>
      </c>
      <c r="AV281" s="5"/>
      <c r="AW281" s="5"/>
      <c r="AX281" s="5"/>
      <c r="AY281" s="5"/>
      <c r="AZ281" s="5"/>
      <c r="BA281" s="5"/>
      <c r="BB281" s="5"/>
      <c r="BC281" s="5" t="str">
        <f ca="1">IFERROR(__xludf.DUMMYFUNCTION("""COMPUTED_VALUE"""),"Tiptop")</f>
        <v>Tiptop</v>
      </c>
      <c r="BD281" s="5"/>
      <c r="BE281" s="5"/>
    </row>
    <row r="282" spans="1:57" x14ac:dyDescent="0.25">
      <c r="A282" s="5">
        <f ca="1">IFERROR(__xludf.DUMMYFUNCTION("""COMPUTED_VALUE"""),282)</f>
        <v>282</v>
      </c>
      <c r="B282" s="5">
        <f ca="1">IFERROR(__xludf.DUMMYFUNCTION("""COMPUTED_VALUE"""),281)</f>
        <v>281</v>
      </c>
      <c r="C282" s="5" t="str">
        <f ca="1">IFERROR(__xludf.DUMMYFUNCTION("""COMPUTED_VALUE"""),"Tiptop")</f>
        <v>Tiptop</v>
      </c>
      <c r="D282" s="5" t="str">
        <f ca="1">IFERROR(__xludf.DUMMYFUNCTION("""COMPUTED_VALUE"""),"Christmas Presents")</f>
        <v>Christmas Presents</v>
      </c>
      <c r="E282" s="5"/>
      <c r="F282" s="5" t="str">
        <f ca="1">IFERROR(__xludf.DUMMYFUNCTION("""COMPUTED_VALUE"""),"UnicornChristmasPresents")</f>
        <v>UnicornChristmasPresents</v>
      </c>
      <c r="G282" s="5" t="str">
        <f ca="1">IFERROR(__xludf.DUMMYFUNCTION("""COMPUTED_VALUE"""),"Live")</f>
        <v>Live</v>
      </c>
      <c r="H282" s="5"/>
      <c r="I282" s="5" t="str">
        <f ca="1">IFERROR(__xludf.DUMMYFUNCTION("""COMPUTED_VALUE"""),"TipTop")</f>
        <v>TipTop</v>
      </c>
      <c r="J282" s="5" t="str">
        <f ca="1">IFERROR(__xludf.DUMMYFUNCTION("""COMPUTED_VALUE"""),"JSON")</f>
        <v>JSON</v>
      </c>
      <c r="K282" s="5" t="str">
        <f ca="1">IFERROR(__xludf.DUMMYFUNCTION("""COMPUTED_VALUE"""),"Slot")</f>
        <v>Slot</v>
      </c>
      <c r="L282" s="5"/>
      <c r="M282" s="5"/>
      <c r="N282" s="5"/>
      <c r="O282" s="5"/>
      <c r="P282" s="14">
        <f ca="1">IFERROR(__xludf.DUMMYFUNCTION("""COMPUTED_VALUE"""),17)</f>
        <v>17</v>
      </c>
      <c r="Q282" s="5"/>
      <c r="R282" s="5"/>
      <c r="S282" s="15">
        <f ca="1">IFERROR(__xludf.DUMMYFUNCTION("""COMPUTED_VALUE"""),45608)</f>
        <v>45608</v>
      </c>
      <c r="T282" s="5" t="b">
        <f ca="1">IFERROR(__xludf.DUMMYFUNCTION("""COMPUTED_VALUE"""),TRUE)</f>
        <v>1</v>
      </c>
      <c r="U282" s="5" t="str">
        <f ca="1">IFERROR(__xludf.DUMMYFUNCTION("""COMPUTED_VALUE"""),"5X3")</f>
        <v>5X3</v>
      </c>
      <c r="V282" s="12" t="str">
        <f ca="1">IFERROR(__xludf.DUMMYFUNCTION("""COMPUTED_VALUE"""),"5")</f>
        <v>5</v>
      </c>
      <c r="W282" s="12" t="str">
        <f ca="1">IFERROR(__xludf.DUMMYFUNCTION("""COMPUTED_VALUE"""),"5")</f>
        <v>5</v>
      </c>
      <c r="X282" s="13">
        <f ca="1">IFERROR(__xludf.DUMMYFUNCTION("""COMPUTED_VALUE"""),96)</f>
        <v>96</v>
      </c>
      <c r="Y282" s="5" t="str">
        <f ca="1">IFERROR(__xludf.DUMMYFUNCTION("""COMPUTED_VALUE"""),"Low")</f>
        <v>Low</v>
      </c>
      <c r="Z282" s="5">
        <f ca="1">IFERROR(__xludf.DUMMYFUNCTION("""COMPUTED_VALUE"""),13.64)</f>
        <v>13.64</v>
      </c>
      <c r="AA282" s="14">
        <f ca="1">IFERROR(__xludf.DUMMYFUNCTION("""COMPUTED_VALUE"""),10000)</f>
        <v>10000</v>
      </c>
      <c r="AB282" s="5"/>
      <c r="AC282" s="5"/>
      <c r="AD282" s="5" t="str">
        <f ca="1">IFERROR(__xludf.DUMMYFUNCTION("""COMPUTED_VALUE"""),"0.05/100")</f>
        <v>0.05/100</v>
      </c>
      <c r="AE282" s="5"/>
      <c r="AF282" s="5"/>
      <c r="AG282" s="10">
        <f ca="1">IFERROR(__xludf.DUMMYFUNCTION("""COMPUTED_VALUE"""),46197.4657291666)</f>
        <v>46197.465729166601</v>
      </c>
      <c r="AH282" s="5" t="str">
        <f ca="1">IFERROR(__xludf.DUMMYFUNCTION("""COMPUTED_VALUE"""),"selena.mihajlovic@fazi.rs")</f>
        <v>selena.mihajlovic@fazi.rs</v>
      </c>
      <c r="AI282" s="5"/>
      <c r="AJ282" s="5"/>
      <c r="AK282" s="5">
        <f ca="1">IFERROR(__xludf.DUMMYFUNCTION("""COMPUTED_VALUE"""),5)</f>
        <v>5</v>
      </c>
      <c r="AL282" s="5" t="str">
        <f ca="1">IFERROR(__xludf.DUMMYFUNCTION("""COMPUTED_VALUE"""),"No")</f>
        <v>No</v>
      </c>
      <c r="AM282" s="5"/>
      <c r="AN282" s="7" t="str">
        <f ca="1">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AO282" s="5"/>
      <c r="AP282" s="5"/>
      <c r="AQ282" s="5" t="b">
        <f ca="1">IFERROR(__xludf.DUMMYFUNCTION("""COMPUTED_VALUE"""),TRUE)</f>
        <v>1</v>
      </c>
      <c r="AR282" s="5"/>
      <c r="AS282" s="5" t="str">
        <f ca="1">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AT282" s="5"/>
      <c r="AU282" s="5" t="str">
        <f ca="1">IFERROR(__xludf.DUMMYFUNCTION("""COMPUTED_VALUE"""),"Fazi")</f>
        <v>Fazi</v>
      </c>
      <c r="AV282" s="5"/>
      <c r="AW282" s="5"/>
      <c r="AX282" s="5"/>
      <c r="AY282" s="5"/>
      <c r="AZ282" s="5"/>
      <c r="BA282" s="5"/>
      <c r="BB282" s="5" t="b">
        <f ca="1">IFERROR(__xludf.DUMMYFUNCTION("""COMPUTED_VALUE"""),TRUE)</f>
        <v>1</v>
      </c>
      <c r="BC282" s="5" t="str">
        <f ca="1">IFERROR(__xludf.DUMMYFUNCTION("""COMPUTED_VALUE"""),"Tiptop")</f>
        <v>Tiptop</v>
      </c>
      <c r="BD282" s="7" t="str">
        <f ca="1">IFERROR(__xludf.DUMMYFUNCTION("""COMPUTED_VALUE"""),"https://gameserver-store-client-area.orbionlimited.com/Home/IntegrationGameLaunch/client-area?moneyType=0&amp;gameName=UnicornChristmasPresents&amp;platform=desktop&amp;languageCode=eng&amp;currency=EUR")</f>
        <v>https://gameserver-store-client-area.orbionlimited.com/Home/IntegrationGameLaunch/client-area?moneyType=0&amp;gameName=UnicornChristmasPresents&amp;platform=desktop&amp;languageCode=eng&amp;currency=EUR</v>
      </c>
      <c r="BE282" s="5" t="b">
        <f ca="1">IFERROR(__xludf.DUMMYFUNCTION("""COMPUTED_VALUE"""),TRUE)</f>
        <v>1</v>
      </c>
    </row>
    <row r="283" spans="1:57" x14ac:dyDescent="0.25">
      <c r="A283" s="5">
        <f ca="1">IFERROR(__xludf.DUMMYFUNCTION("""COMPUTED_VALUE"""),283)</f>
        <v>283</v>
      </c>
      <c r="B283" s="5">
        <f ca="1">IFERROR(__xludf.DUMMYFUNCTION("""COMPUTED_VALUE"""),282)</f>
        <v>282</v>
      </c>
      <c r="C283" s="5" t="str">
        <f ca="1">IFERROR(__xludf.DUMMYFUNCTION("""COMPUTED_VALUE"""),"Fazi")</f>
        <v>Fazi</v>
      </c>
      <c r="D283" s="5" t="str">
        <f ca="1">IFERROR(__xludf.DUMMYFUNCTION("""COMPUTED_VALUE"""),"Santa's Presents")</f>
        <v>Santa's Presents</v>
      </c>
      <c r="E283" s="5" t="str">
        <f ca="1">IFERROR(__xludf.DUMMYFUNCTION("""COMPUTED_VALUE"""),"V4-1")</f>
        <v>V4-1</v>
      </c>
      <c r="F283" s="5" t="str">
        <f ca="1">IFERROR(__xludf.DUMMYFUNCTION("""COMPUTED_VALUE"""),"SantasPresents")</f>
        <v>SantasPresents</v>
      </c>
      <c r="G283" s="5" t="str">
        <f ca="1">IFERROR(__xludf.DUMMYFUNCTION("""COMPUTED_VALUE"""),"Live")</f>
        <v>Live</v>
      </c>
      <c r="H283" s="5"/>
      <c r="I283" s="5" t="str">
        <f ca="1">IFERROR(__xludf.DUMMYFUNCTION("""COMPUTED_VALUE"""),"V4")</f>
        <v>V4</v>
      </c>
      <c r="J283" s="5" t="str">
        <f ca="1">IFERROR(__xludf.DUMMYFUNCTION("""COMPUTED_VALUE"""),"JSON")</f>
        <v>JSON</v>
      </c>
      <c r="K283" s="5" t="str">
        <f ca="1">IFERROR(__xludf.DUMMYFUNCTION("""COMPUTED_VALUE"""),"Slot")</f>
        <v>Slot</v>
      </c>
      <c r="L283" s="5"/>
      <c r="M283" s="5"/>
      <c r="N283" s="5"/>
      <c r="O283" s="5"/>
      <c r="P283" s="14">
        <f ca="1">IFERROR(__xludf.DUMMYFUNCTION("""COMPUTED_VALUE"""),17)</f>
        <v>17</v>
      </c>
      <c r="Q283" s="5"/>
      <c r="R283" s="5"/>
      <c r="S283" s="15">
        <f ca="1">IFERROR(__xludf.DUMMYFUNCTION("""COMPUTED_VALUE"""),45252)</f>
        <v>45252</v>
      </c>
      <c r="T283" s="5" t="b">
        <f ca="1">IFERROR(__xludf.DUMMYFUNCTION("""COMPUTED_VALUE"""),TRUE)</f>
        <v>1</v>
      </c>
      <c r="U283" s="5" t="str">
        <f ca="1">IFERROR(__xludf.DUMMYFUNCTION("""COMPUTED_VALUE"""),"5x3")</f>
        <v>5x3</v>
      </c>
      <c r="V283" s="12" t="str">
        <f ca="1">IFERROR(__xludf.DUMMYFUNCTION("""COMPUTED_VALUE"""),"10")</f>
        <v>10</v>
      </c>
      <c r="W283" s="12" t="str">
        <f ca="1">IFERROR(__xludf.DUMMYFUNCTION("""COMPUTED_VALUE"""),"10")</f>
        <v>10</v>
      </c>
      <c r="X283" s="5">
        <f ca="1">IFERROR(__xludf.DUMMYFUNCTION("""COMPUTED_VALUE"""),96.5)</f>
        <v>96.5</v>
      </c>
      <c r="Y283" s="5" t="str">
        <f ca="1">IFERROR(__xludf.DUMMYFUNCTION("""COMPUTED_VALUE"""),"High")</f>
        <v>High</v>
      </c>
      <c r="Z283" s="5">
        <f ca="1">IFERROR(__xludf.DUMMYFUNCTION("""COMPUTED_VALUE"""),17.014)</f>
        <v>17.013999999999999</v>
      </c>
      <c r="AA283" s="14">
        <f ca="1">IFERROR(__xludf.DUMMYFUNCTION("""COMPUTED_VALUE"""),4614)</f>
        <v>4614</v>
      </c>
      <c r="AB283" s="5">
        <f ca="1">IFERROR(__xludf.DUMMYFUNCTION("""COMPUTED_VALUE"""),182)</f>
        <v>182</v>
      </c>
      <c r="AC283" s="5" t="str">
        <f ca="1">IFERROR(__xludf.DUMMYFUNCTION("""COMPUTED_VALUE"""),"Bonus Game with Free Spins, Expanding Wild, Win Multiplier")</f>
        <v>Bonus Game with Free Spins, Expanding Wild, Win Multiplier</v>
      </c>
      <c r="AD283" s="5" t="str">
        <f ca="1">IFERROR(__xludf.DUMMYFUNCTION("""COMPUTED_VALUE"""),"0.1/40")</f>
        <v>0.1/40</v>
      </c>
      <c r="AE283" s="5"/>
      <c r="AF283" s="5"/>
      <c r="AG283" s="10">
        <f ca="1">IFERROR(__xludf.DUMMYFUNCTION("""COMPUTED_VALUE"""),46162.4789930555)</f>
        <v>46162.478993055498</v>
      </c>
      <c r="AH283" s="5" t="str">
        <f ca="1">IFERROR(__xludf.DUMMYFUNCTION("""COMPUTED_VALUE"""),"petra.ilic@fazi.rs")</f>
        <v>petra.ilic@fazi.rs</v>
      </c>
      <c r="AI283" s="5"/>
      <c r="AJ283" s="5"/>
      <c r="AK283" s="5">
        <f ca="1">IFERROR(__xludf.DUMMYFUNCTION("""COMPUTED_VALUE"""),10)</f>
        <v>10</v>
      </c>
      <c r="AL283" s="5" t="str">
        <f ca="1">IFERROR(__xludf.DUMMYFUNCTION("""COMPUTED_VALUE"""),"Yes")</f>
        <v>Yes</v>
      </c>
      <c r="AM283" s="5"/>
      <c r="AN283" s="7" t="str">
        <f ca="1">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AO283" s="5" t="str">
        <f ca="1">IFERROR(__xludf.DUMMYFUNCTION("""COMPUTED_VALUE"""),"Yes")</f>
        <v>Yes</v>
      </c>
      <c r="AP283" s="5" t="str">
        <f ca="1">IFERROR(__xludf.DUMMYFUNCTION("""COMPUTED_VALUE"""),"Yes")</f>
        <v>Yes</v>
      </c>
      <c r="AQ283" s="5" t="b">
        <f ca="1">IFERROR(__xludf.DUMMYFUNCTION("""COMPUTED_VALUE"""),TRUE)</f>
        <v>1</v>
      </c>
      <c r="AR283" s="5"/>
      <c r="AS283" s="5" t="str">
        <f ca="1">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AT283" s="5" t="str">
        <f ca="1">IFERROR(__xludf.DUMMYFUNCTION("""COMPUTED_VALUE"""),"No")</f>
        <v>No</v>
      </c>
      <c r="AU283" s="5" t="str">
        <f ca="1">IFERROR(__xludf.DUMMYFUNCTION("""COMPUTED_VALUE"""),"Fazi")</f>
        <v>Fazi</v>
      </c>
      <c r="AV283" s="5"/>
      <c r="AW283" s="5"/>
      <c r="AX283" s="5"/>
      <c r="AY283" s="5"/>
      <c r="AZ283" s="5"/>
      <c r="BA283" s="5"/>
      <c r="BB283" s="5"/>
      <c r="BC283" s="5" t="str">
        <f ca="1">IFERROR(__xludf.DUMMYFUNCTION("""COMPUTED_VALUE"""),"Foxi")</f>
        <v>Foxi</v>
      </c>
      <c r="BD283" s="7" t="str">
        <f ca="1">IFERROR(__xludf.DUMMYFUNCTION("""COMPUTED_VALUE"""),"https://gameserver-store-client-area.orbionlimited.com/Home/IntegrationGameLaunch/client-area?moneyType=0&amp;gameName=SantasPresents&amp;platform=desktop&amp;languageCode=eng&amp;currency=EUR")</f>
        <v>https://gameserver-store-client-area.orbionlimited.com/Home/IntegrationGameLaunch/client-area?moneyType=0&amp;gameName=SantasPresents&amp;platform=desktop&amp;languageCode=eng&amp;currency=EUR</v>
      </c>
      <c r="BE283" s="5" t="b">
        <f ca="1">IFERROR(__xludf.DUMMYFUNCTION("""COMPUTED_VALUE"""),TRUE)</f>
        <v>1</v>
      </c>
    </row>
    <row r="284" spans="1:57" x14ac:dyDescent="0.25">
      <c r="A284" s="5">
        <f ca="1">IFERROR(__xludf.DUMMYFUNCTION("""COMPUTED_VALUE"""),284)</f>
        <v>284</v>
      </c>
      <c r="B284" s="5">
        <f ca="1">IFERROR(__xludf.DUMMYFUNCTION("""COMPUTED_VALUE"""),283)</f>
        <v>283</v>
      </c>
      <c r="C284" s="5" t="str">
        <f ca="1">IFERROR(__xludf.DUMMYFUNCTION("""COMPUTED_VALUE"""),"Fazi")</f>
        <v>Fazi</v>
      </c>
      <c r="D284" s="5" t="str">
        <f ca="1">IFERROR(__xludf.DUMMYFUNCTION("""COMPUTED_VALUE"""),"Golden Vegas")</f>
        <v>Golden Vegas</v>
      </c>
      <c r="E284" s="5" t="str">
        <f ca="1">IFERROR(__xludf.DUMMYFUNCTION("""COMPUTED_VALUE"""),"V2")</f>
        <v>V2</v>
      </c>
      <c r="F284" s="5" t="str">
        <f ca="1">IFERROR(__xludf.DUMMYFUNCTION("""COMPUTED_VALUE"""),"GoldenVegas")</f>
        <v>GoldenVegas</v>
      </c>
      <c r="G284" s="5" t="str">
        <f ca="1">IFERROR(__xludf.DUMMYFUNCTION("""COMPUTED_VALUE"""),"Live")</f>
        <v>Live</v>
      </c>
      <c r="H284" s="5" t="str">
        <f ca="1">IFERROR(__xludf.DUMMYFUNCTION("""COMPUTED_VALUE"""),"BtoBet")</f>
        <v>BtoBet</v>
      </c>
      <c r="I284" s="5" t="str">
        <f ca="1">IFERROR(__xludf.DUMMYFUNCTION("""COMPUTED_VALUE"""),"V2")</f>
        <v>V2</v>
      </c>
      <c r="J284" s="5" t="str">
        <f ca="1">IFERROR(__xludf.DUMMYFUNCTION("""COMPUTED_VALUE"""),"Binary")</f>
        <v>Binary</v>
      </c>
      <c r="K284" s="5" t="str">
        <f ca="1">IFERROR(__xludf.DUMMYFUNCTION("""COMPUTED_VALUE"""),"Slot")</f>
        <v>Slot</v>
      </c>
      <c r="L284" s="5" t="str">
        <f ca="1">IFERROR(__xludf.DUMMYFUNCTION("""COMPUTED_VALUE"""),"Clone")</f>
        <v>Clone</v>
      </c>
      <c r="M284" s="5" t="str">
        <f ca="1">IFERROR(__xludf.DUMMYFUNCTION("""COMPUTED_VALUE"""),"Golden Crown")</f>
        <v>Golden Crown</v>
      </c>
      <c r="N284" s="5"/>
      <c r="O284" s="5"/>
      <c r="P284" s="5"/>
      <c r="Q284" s="5"/>
      <c r="R284" s="5"/>
      <c r="S284" s="5"/>
      <c r="T284" s="5"/>
      <c r="U284" s="5" t="str">
        <f ca="1">IFERROR(__xludf.DUMMYFUNCTION("""COMPUTED_VALUE"""),"5x3")</f>
        <v>5x3</v>
      </c>
      <c r="V284" s="12" t="str">
        <f ca="1">IFERROR(__xludf.DUMMYFUNCTION("""COMPUTED_VALUE"""),"10")</f>
        <v>10</v>
      </c>
      <c r="W284" s="12" t="str">
        <f ca="1">IFERROR(__xludf.DUMMYFUNCTION("""COMPUTED_VALUE"""),"10")</f>
        <v>10</v>
      </c>
      <c r="X284" s="5">
        <f ca="1">IFERROR(__xludf.DUMMYFUNCTION("""COMPUTED_VALUE"""),95.962)</f>
        <v>95.962000000000003</v>
      </c>
      <c r="Y284" s="5" t="str">
        <f ca="1">IFERROR(__xludf.DUMMYFUNCTION("""COMPUTED_VALUE"""),"Medium")</f>
        <v>Medium</v>
      </c>
      <c r="Z284" s="5">
        <f ca="1">IFERROR(__xludf.DUMMYFUNCTION("""COMPUTED_VALUE"""),14.634)</f>
        <v>14.634</v>
      </c>
      <c r="AA284" s="14">
        <f ca="1">IFERROR(__xludf.DUMMYFUNCTION("""COMPUTED_VALUE"""),1538)</f>
        <v>1538</v>
      </c>
      <c r="AB284" s="5">
        <f ca="1">IFERROR(__xludf.DUMMYFUNCTION("""COMPUTED_VALUE"""),4)</f>
        <v>4</v>
      </c>
      <c r="AC284" s="5" t="str">
        <f ca="1">IFERROR(__xludf.DUMMYFUNCTION("""COMPUTED_VALUE"""),"Scatter, Expanding Wild")</f>
        <v>Scatter, Expanding Wild</v>
      </c>
      <c r="AD284" s="5"/>
      <c r="AE284" s="5"/>
      <c r="AF284" s="5"/>
      <c r="AG284" s="10">
        <f ca="1">IFERROR(__xludf.DUMMYFUNCTION("""COMPUTED_VALUE"""),46020.5214814814)</f>
        <v>46020.521481481403</v>
      </c>
      <c r="AH284" s="5" t="str">
        <f ca="1">IFERROR(__xludf.DUMMYFUNCTION("""COMPUTED_VALUE"""),"djordje.jankovic@fazi.rs")</f>
        <v>djordje.jankovic@fazi.rs</v>
      </c>
      <c r="AI284" s="5"/>
      <c r="AJ284" s="5"/>
      <c r="AK284" s="5">
        <f ca="1">IFERROR(__xludf.DUMMYFUNCTION("""COMPUTED_VALUE"""),10)</f>
        <v>10</v>
      </c>
      <c r="AL284" s="5" t="str">
        <f ca="1">IFERROR(__xludf.DUMMYFUNCTION("""COMPUTED_VALUE"""),"Yes")</f>
        <v>Yes</v>
      </c>
      <c r="AM284" s="5"/>
      <c r="AN284" s="5"/>
      <c r="AO284" s="5"/>
      <c r="AP284" s="5"/>
      <c r="AQ284" s="5"/>
      <c r="AR284" s="5" t="b">
        <f ca="1">IFERROR(__xludf.DUMMYFUNCTION("""COMPUTED_VALUE"""),TRUE)</f>
        <v>1</v>
      </c>
      <c r="AS284" s="5"/>
      <c r="AT284" s="5"/>
      <c r="AU284" s="5" t="str">
        <f ca="1">IFERROR(__xludf.DUMMYFUNCTION("""COMPUTED_VALUE"""),"Fazi")</f>
        <v>Fazi</v>
      </c>
      <c r="AV284" s="5"/>
      <c r="AW284" s="5"/>
      <c r="AX284" s="5"/>
      <c r="AY284" s="5"/>
      <c r="AZ284" s="5"/>
      <c r="BA284" s="5" t="str">
        <f ca="1">IFERROR(__xludf.DUMMYFUNCTION("""COMPUTED_VALUE"""),"")</f>
        <v/>
      </c>
      <c r="BB284" s="5"/>
      <c r="BC284" s="5" t="str">
        <f ca="1">IFERROR(__xludf.DUMMYFUNCTION("""COMPUTED_VALUE"""),"Foxi")</f>
        <v>Foxi</v>
      </c>
      <c r="BD284" s="5" t="str">
        <f ca="1">IFERROR(__xludf.DUMMYFUNCTION("""COMPUTED_VALUE"""),"")</f>
        <v/>
      </c>
      <c r="BE284" s="5"/>
    </row>
    <row r="285" spans="1:57" x14ac:dyDescent="0.25">
      <c r="A285" s="5">
        <f ca="1">IFERROR(__xludf.DUMMYFUNCTION("""COMPUTED_VALUE"""),285)</f>
        <v>285</v>
      </c>
      <c r="B285" s="5">
        <f ca="1">IFERROR(__xludf.DUMMYFUNCTION("""COMPUTED_VALUE"""),284)</f>
        <v>284</v>
      </c>
      <c r="C285" s="5" t="str">
        <f ca="1">IFERROR(__xludf.DUMMYFUNCTION("""COMPUTED_VALUE"""),"Fazi")</f>
        <v>Fazi</v>
      </c>
      <c r="D285" s="5" t="str">
        <f ca="1">IFERROR(__xludf.DUMMYFUNCTION("""COMPUTED_VALUE"""),"Chilli Respin")</f>
        <v>Chilli Respin</v>
      </c>
      <c r="E285" s="5" t="str">
        <f ca="1">IFERROR(__xludf.DUMMYFUNCTION("""COMPUTED_VALUE"""),"V4-1")</f>
        <v>V4-1</v>
      </c>
      <c r="F285" s="5" t="str">
        <f ca="1">IFERROR(__xludf.DUMMYFUNCTION("""COMPUTED_VALUE"""),"ChilliRespin")</f>
        <v>ChilliRespin</v>
      </c>
      <c r="G285" s="5" t="str">
        <f ca="1">IFERROR(__xludf.DUMMYFUNCTION("""COMPUTED_VALUE"""),"Live")</f>
        <v>Live</v>
      </c>
      <c r="H285" s="5"/>
      <c r="I285" s="5" t="str">
        <f ca="1">IFERROR(__xludf.DUMMYFUNCTION("""COMPUTED_VALUE"""),"V4")</f>
        <v>V4</v>
      </c>
      <c r="J285" s="5" t="str">
        <f ca="1">IFERROR(__xludf.DUMMYFUNCTION("""COMPUTED_VALUE"""),"JSON")</f>
        <v>JSON</v>
      </c>
      <c r="K285" s="5" t="str">
        <f ca="1">IFERROR(__xludf.DUMMYFUNCTION("""COMPUTED_VALUE"""),"Slot")</f>
        <v>Slot</v>
      </c>
      <c r="L285" s="5" t="str">
        <f ca="1">IFERROR(__xludf.DUMMYFUNCTION("""COMPUTED_VALUE"""),"Clone")</f>
        <v>Clone</v>
      </c>
      <c r="M285" s="5" t="str">
        <f ca="1">IFERROR(__xludf.DUMMYFUNCTION("""COMPUTED_VALUE"""),"Joker Triple Double")</f>
        <v>Joker Triple Double</v>
      </c>
      <c r="N285" s="5"/>
      <c r="O285" s="5"/>
      <c r="P285" s="14">
        <f ca="1">IFERROR(__xludf.DUMMYFUNCTION("""COMPUTED_VALUE"""),13.8)</f>
        <v>13.8</v>
      </c>
      <c r="Q285" s="5"/>
      <c r="R285" s="5"/>
      <c r="S285" s="15">
        <f ca="1">IFERROR(__xludf.DUMMYFUNCTION("""COMPUTED_VALUE"""),45337)</f>
        <v>45337</v>
      </c>
      <c r="T285" s="5" t="b">
        <f ca="1">IFERROR(__xludf.DUMMYFUNCTION("""COMPUTED_VALUE"""),TRUE)</f>
        <v>1</v>
      </c>
      <c r="U285" s="5" t="str">
        <f ca="1">IFERROR(__xludf.DUMMYFUNCTION("""COMPUTED_VALUE"""),"3x3")</f>
        <v>3x3</v>
      </c>
      <c r="V285" s="12" t="str">
        <f ca="1">IFERROR(__xludf.DUMMYFUNCTION("""COMPUTED_VALUE"""),"5")</f>
        <v>5</v>
      </c>
      <c r="W285" s="12" t="str">
        <f ca="1">IFERROR(__xludf.DUMMYFUNCTION("""COMPUTED_VALUE"""),"5")</f>
        <v>5</v>
      </c>
      <c r="X285" s="5">
        <f ca="1">IFERROR(__xludf.DUMMYFUNCTION("""COMPUTED_VALUE"""),96.5)</f>
        <v>96.5</v>
      </c>
      <c r="Y285" s="5" t="str">
        <f ca="1">IFERROR(__xludf.DUMMYFUNCTION("""COMPUTED_VALUE"""),"Medium")</f>
        <v>Medium</v>
      </c>
      <c r="Z285" s="5">
        <f ca="1">IFERROR(__xludf.DUMMYFUNCTION("""COMPUTED_VALUE"""),7.032)</f>
        <v>7.032</v>
      </c>
      <c r="AA285" s="14">
        <f ca="1">IFERROR(__xludf.DUMMYFUNCTION("""COMPUTED_VALUE"""),1590)</f>
        <v>1590</v>
      </c>
      <c r="AB285" s="5">
        <f ca="1">IFERROR(__xludf.DUMMYFUNCTION("""COMPUTED_VALUE"""),34)</f>
        <v>34</v>
      </c>
      <c r="AC285" s="5" t="str">
        <f ca="1">IFERROR(__xludf.DUMMYFUNCTION("""COMPUTED_VALUE"""),"Win Multiplier, Sticky Wild, Respin")</f>
        <v>Win Multiplier, Sticky Wild, Respin</v>
      </c>
      <c r="AD285" s="5" t="str">
        <f ca="1">IFERROR(__xludf.DUMMYFUNCTION("""COMPUTED_VALUE"""),"0.5/50")</f>
        <v>0.5/50</v>
      </c>
      <c r="AE285" s="5"/>
      <c r="AF285" s="5"/>
      <c r="AG285" s="10">
        <f ca="1">IFERROR(__xludf.DUMMYFUNCTION("""COMPUTED_VALUE"""),46153.6274305555)</f>
        <v>46153.627430555498</v>
      </c>
      <c r="AH285" s="5" t="str">
        <f ca="1">IFERROR(__xludf.DUMMYFUNCTION("""COMPUTED_VALUE"""),"djordje.petrovic@fazi.rs")</f>
        <v>djordje.petrovic@fazi.rs</v>
      </c>
      <c r="AI285" s="5"/>
      <c r="AJ285" s="5"/>
      <c r="AK285" s="5">
        <f ca="1">IFERROR(__xludf.DUMMYFUNCTION("""COMPUTED_VALUE"""),5)</f>
        <v>5</v>
      </c>
      <c r="AL285" s="5" t="str">
        <f ca="1">IFERROR(__xludf.DUMMYFUNCTION("""COMPUTED_VALUE"""),"Yes")</f>
        <v>Yes</v>
      </c>
      <c r="AM285" s="5"/>
      <c r="AN285" s="7" t="str">
        <f ca="1">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AO285" s="5" t="str">
        <f ca="1">IFERROR(__xludf.DUMMYFUNCTION("""COMPUTED_VALUE"""),"Yes")</f>
        <v>Yes</v>
      </c>
      <c r="AP285" s="5" t="str">
        <f ca="1">IFERROR(__xludf.DUMMYFUNCTION("""COMPUTED_VALUE"""),"Yes")</f>
        <v>Yes</v>
      </c>
      <c r="AQ285" s="5" t="b">
        <f ca="1">IFERROR(__xludf.DUMMYFUNCTION("""COMPUTED_VALUE"""),TRUE)</f>
        <v>1</v>
      </c>
      <c r="AR285" s="5"/>
      <c r="AS285" s="5" t="str">
        <f ca="1">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AT285" s="5" t="str">
        <f ca="1">IFERROR(__xludf.DUMMYFUNCTION("""COMPUTED_VALUE"""),"Yes")</f>
        <v>Yes</v>
      </c>
      <c r="AU285" s="5" t="str">
        <f ca="1">IFERROR(__xludf.DUMMYFUNCTION("""COMPUTED_VALUE"""),"Fazi")</f>
        <v>Fazi</v>
      </c>
      <c r="AV285" s="5"/>
      <c r="AW285"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85" s="5"/>
      <c r="AY285" s="5"/>
      <c r="AZ285" s="5"/>
      <c r="BA285" s="5"/>
      <c r="BB285" s="5"/>
      <c r="BC285" s="5" t="str">
        <f ca="1">IFERROR(__xludf.DUMMYFUNCTION("""COMPUTED_VALUE"""),"Foxi")</f>
        <v>Foxi</v>
      </c>
      <c r="BD285" s="7" t="str">
        <f ca="1">IFERROR(__xludf.DUMMYFUNCTION("""COMPUTED_VALUE"""),"https://gameserver-store-client-area.orbionlimited.com/Home/IntegrationGameLaunch/client-area?moneyType=0&amp;gameName=ChilliRespin&amp;platform=desktop&amp;languageCode=eng&amp;currency=EUR")</f>
        <v>https://gameserver-store-client-area.orbionlimited.com/Home/IntegrationGameLaunch/client-area?moneyType=0&amp;gameName=ChilliRespin&amp;platform=desktop&amp;languageCode=eng&amp;currency=EUR</v>
      </c>
      <c r="BE285" s="5" t="b">
        <f ca="1">IFERROR(__xludf.DUMMYFUNCTION("""COMPUTED_VALUE"""),TRUE)</f>
        <v>1</v>
      </c>
    </row>
    <row r="286" spans="1:57" x14ac:dyDescent="0.25">
      <c r="A286" s="5">
        <f ca="1">IFERROR(__xludf.DUMMYFUNCTION("""COMPUTED_VALUE"""),286)</f>
        <v>286</v>
      </c>
      <c r="B286" s="5">
        <f ca="1">IFERROR(__xludf.DUMMYFUNCTION("""COMPUTED_VALUE"""),285)</f>
        <v>285</v>
      </c>
      <c r="C286" s="5" t="str">
        <f ca="1">IFERROR(__xludf.DUMMYFUNCTION("""COMPUTED_VALUE"""),"Redstone")</f>
        <v>Redstone</v>
      </c>
      <c r="D286" s="5" t="str">
        <f ca="1">IFERROR(__xludf.DUMMYFUNCTION("""COMPUTED_VALUE"""),"Chilli Hot 5")</f>
        <v>Chilli Hot 5</v>
      </c>
      <c r="E286" s="5" t="str">
        <f ca="1">IFERROR(__xludf.DUMMYFUNCTION("""COMPUTED_VALUE"""),"Redstone")</f>
        <v>Redstone</v>
      </c>
      <c r="F286" s="5" t="str">
        <f ca="1">IFERROR(__xludf.DUMMYFUNCTION("""COMPUTED_VALUE"""),"RedstoneChilliHot5")</f>
        <v>RedstoneChilliHot5</v>
      </c>
      <c r="G286" s="5" t="str">
        <f ca="1">IFERROR(__xludf.DUMMYFUNCTION("""COMPUTED_VALUE"""),"Live")</f>
        <v>Live</v>
      </c>
      <c r="H286" s="5"/>
      <c r="I286" s="5" t="str">
        <f ca="1">IFERROR(__xludf.DUMMYFUNCTION("""COMPUTED_VALUE"""),"Redstone")</f>
        <v>Redstone</v>
      </c>
      <c r="J286" s="5" t="str">
        <f ca="1">IFERROR(__xludf.DUMMYFUNCTION("""COMPUTED_VALUE"""),"JSON")</f>
        <v>JSON</v>
      </c>
      <c r="K286" s="5" t="str">
        <f ca="1">IFERROR(__xludf.DUMMYFUNCTION("""COMPUTED_VALUE"""),"Slot")</f>
        <v>Slot</v>
      </c>
      <c r="L286" s="5" t="str">
        <f ca="1">IFERROR(__xludf.DUMMYFUNCTION("""COMPUTED_VALUE""")," Clone")</f>
        <v xml:space="preserve"> Clone</v>
      </c>
      <c r="M286" s="5" t="str">
        <f ca="1">IFERROR(__xludf.DUMMYFUNCTION("""COMPUTED_VALUE"""),"5 Clover Fire")</f>
        <v>5 Clover Fire</v>
      </c>
      <c r="N286" s="7" t="str">
        <f ca="1">IFERROR(__xludf.DUMMYFUNCTION("""COMPUTED_VALUE"""),"https://docs.google.com/document/d/1QhQ9OIh7uTbWVJjt6gFntvyUFTO_g0du/edit?usp=drive_link&amp;ouid=107596163405648766688&amp;rtpof=true&amp;sd=true")</f>
        <v>https://docs.google.com/document/d/1QhQ9OIh7uTbWVJjt6gFntvyUFTO_g0du/edit?usp=drive_link&amp;ouid=107596163405648766688&amp;rtpof=true&amp;sd=true</v>
      </c>
      <c r="O286" s="7" t="str">
        <f ca="1">IFERROR(__xludf.DUMMYFUNCTION("""COMPUTED_VALUE"""),"https://docs.google.com/document/d/1EomMxtAJIKfvOoAN8Z_-9xNBF48P1jBO/edit?usp=drive_link&amp;ouid=107596163405648766688&amp;rtpof=true&amp;sd=true")</f>
        <v>https://docs.google.com/document/d/1EomMxtAJIKfvOoAN8Z_-9xNBF48P1jBO/edit?usp=drive_link&amp;ouid=107596163405648766688&amp;rtpof=true&amp;sd=true</v>
      </c>
      <c r="P286" s="14">
        <f ca="1">IFERROR(__xludf.DUMMYFUNCTION("""COMPUTED_VALUE"""),6.9)</f>
        <v>6.9</v>
      </c>
      <c r="Q286" s="5"/>
      <c r="R286" s="5"/>
      <c r="S286" s="15">
        <f ca="1">IFERROR(__xludf.DUMMYFUNCTION("""COMPUTED_VALUE"""),45232)</f>
        <v>45232</v>
      </c>
      <c r="T286" s="5" t="b">
        <f ca="1">IFERROR(__xludf.DUMMYFUNCTION("""COMPUTED_VALUE"""),TRUE)</f>
        <v>1</v>
      </c>
      <c r="U286" s="5" t="str">
        <f ca="1">IFERROR(__xludf.DUMMYFUNCTION("""COMPUTED_VALUE"""),"5x3")</f>
        <v>5x3</v>
      </c>
      <c r="V286" s="12" t="str">
        <f ca="1">IFERROR(__xludf.DUMMYFUNCTION("""COMPUTED_VALUE"""),"5")</f>
        <v>5</v>
      </c>
      <c r="W286" s="12" t="str">
        <f ca="1">IFERROR(__xludf.DUMMYFUNCTION("""COMPUTED_VALUE"""),"5")</f>
        <v>5</v>
      </c>
      <c r="X286" s="5">
        <f ca="1">IFERROR(__xludf.DUMMYFUNCTION("""COMPUTED_VALUE"""),96.45)</f>
        <v>96.45</v>
      </c>
      <c r="Y286" s="5" t="str">
        <f ca="1">IFERROR(__xludf.DUMMYFUNCTION("""COMPUTED_VALUE"""),"Medium")</f>
        <v>Medium</v>
      </c>
      <c r="Z286" s="5">
        <f ca="1">IFERROR(__xludf.DUMMYFUNCTION("""COMPUTED_VALUE"""),14.5)</f>
        <v>14.5</v>
      </c>
      <c r="AA286" s="14">
        <f ca="1">IFERROR(__xludf.DUMMYFUNCTION("""COMPUTED_VALUE"""),1222)</f>
        <v>1222</v>
      </c>
      <c r="AB286" s="5"/>
      <c r="AC286" s="5" t="str">
        <f ca="1">IFERROR(__xludf.DUMMYFUNCTION("""COMPUTED_VALUE"""),"Expanding Wild, Scatter")</f>
        <v>Expanding Wild, Scatter</v>
      </c>
      <c r="AD286" s="5" t="str">
        <f ca="1">IFERROR(__xludf.DUMMYFUNCTION("""COMPUTED_VALUE"""),"0.01/50")</f>
        <v>0.01/50</v>
      </c>
      <c r="AE286" s="5"/>
      <c r="AF286" s="5"/>
      <c r="AG286" s="10">
        <f ca="1">IFERROR(__xludf.DUMMYFUNCTION("""COMPUTED_VALUE"""),46157.4750462963)</f>
        <v>46157.475046296298</v>
      </c>
      <c r="AH286" s="5"/>
      <c r="AI286" s="5"/>
      <c r="AJ286" s="5"/>
      <c r="AK286" s="5">
        <f ca="1">IFERROR(__xludf.DUMMYFUNCTION("""COMPUTED_VALUE"""),1)</f>
        <v>1</v>
      </c>
      <c r="AL286" s="5" t="str">
        <f ca="1">IFERROR(__xludf.DUMMYFUNCTION("""COMPUTED_VALUE"""),"No")</f>
        <v>No</v>
      </c>
      <c r="AM286" s="5" t="str">
        <f ca="1">IFERROR(__xludf.DUMMYFUNCTION("""COMPUTED_VALUE"""),"No")</f>
        <v>No</v>
      </c>
      <c r="AN286" s="7" t="str">
        <f ca="1">IFERROR(__xludf.DUMMYFUNCTION("""COMPUTED_VALUE"""),"https://play.redstone.rs/games/chilli-hot-5/index.html")</f>
        <v>https://play.redstone.rs/games/chilli-hot-5/index.html</v>
      </c>
      <c r="AO286" s="5" t="str">
        <f ca="1">IFERROR(__xludf.DUMMYFUNCTION("""COMPUTED_VALUE"""),"No")</f>
        <v>No</v>
      </c>
      <c r="AP286" s="5" t="str">
        <f ca="1">IFERROR(__xludf.DUMMYFUNCTION("""COMPUTED_VALUE"""),"No")</f>
        <v>No</v>
      </c>
      <c r="AQ286" s="5" t="b">
        <f ca="1">IFERROR(__xludf.DUMMYFUNCTION("""COMPUTED_VALUE"""),TRUE)</f>
        <v>1</v>
      </c>
      <c r="AR286" s="5"/>
      <c r="AS286" s="5" t="str">
        <f ca="1">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AT286" s="5"/>
      <c r="AU286" s="5" t="str">
        <f ca="1">IFERROR(__xludf.DUMMYFUNCTION("""COMPUTED_VALUE"""),"Redstone")</f>
        <v>Redstone</v>
      </c>
      <c r="AV286" s="5"/>
      <c r="AW286" s="5"/>
      <c r="AX286" s="5"/>
      <c r="AY286" s="5"/>
      <c r="AZ286" s="5"/>
      <c r="BA286" s="5"/>
      <c r="BB286" s="5" t="b">
        <f ca="1">IFERROR(__xludf.DUMMYFUNCTION("""COMPUTED_VALUE"""),TRUE)</f>
        <v>1</v>
      </c>
      <c r="BC286" s="5" t="str">
        <f ca="1">IFERROR(__xludf.DUMMYFUNCTION("""COMPUTED_VALUE"""),"Redstone")</f>
        <v>Redstone</v>
      </c>
      <c r="BD286" s="7" t="str">
        <f ca="1">IFERROR(__xludf.DUMMYFUNCTION("""COMPUTED_VALUE"""),"https://play.redstone.rs/games/chilli-hot-5/index.html")</f>
        <v>https://play.redstone.rs/games/chilli-hot-5/index.html</v>
      </c>
      <c r="BE286" s="5" t="b">
        <f ca="1">IFERROR(__xludf.DUMMYFUNCTION("""COMPUTED_VALUE"""),TRUE)</f>
        <v>1</v>
      </c>
    </row>
    <row r="287" spans="1:57" x14ac:dyDescent="0.25">
      <c r="A287" s="5">
        <f ca="1">IFERROR(__xludf.DUMMYFUNCTION("""COMPUTED_VALUE"""),287)</f>
        <v>287</v>
      </c>
      <c r="B287" s="5">
        <f ca="1">IFERROR(__xludf.DUMMYFUNCTION("""COMPUTED_VALUE"""),286)</f>
        <v>286</v>
      </c>
      <c r="C287" s="5" t="str">
        <f ca="1">IFERROR(__xludf.DUMMYFUNCTION("""COMPUTED_VALUE"""),"Redstone")</f>
        <v>Redstone</v>
      </c>
      <c r="D287" s="5" t="str">
        <f ca="1">IFERROR(__xludf.DUMMYFUNCTION("""COMPUTED_VALUE"""),"40 Hot Joker")</f>
        <v>40 Hot Joker</v>
      </c>
      <c r="E287" s="5" t="str">
        <f ca="1">IFERROR(__xludf.DUMMYFUNCTION("""COMPUTED_VALUE"""),"Redstone")</f>
        <v>Redstone</v>
      </c>
      <c r="F287" s="5" t="str">
        <f ca="1">IFERROR(__xludf.DUMMYFUNCTION("""COMPUTED_VALUE"""),"Redstone40HotJoker")</f>
        <v>Redstone40HotJoker</v>
      </c>
      <c r="G287" s="5" t="str">
        <f ca="1">IFERROR(__xludf.DUMMYFUNCTION("""COMPUTED_VALUE"""),"Live")</f>
        <v>Live</v>
      </c>
      <c r="H287" s="5"/>
      <c r="I287" s="5" t="str">
        <f ca="1">IFERROR(__xludf.DUMMYFUNCTION("""COMPUTED_VALUE"""),"Redstone")</f>
        <v>Redstone</v>
      </c>
      <c r="J287" s="5" t="str">
        <f ca="1">IFERROR(__xludf.DUMMYFUNCTION("""COMPUTED_VALUE"""),"JSON")</f>
        <v>JSON</v>
      </c>
      <c r="K287" s="5" t="str">
        <f ca="1">IFERROR(__xludf.DUMMYFUNCTION("""COMPUTED_VALUE"""),"Slot")</f>
        <v>Slot</v>
      </c>
      <c r="L287" s="5" t="str">
        <f ca="1">IFERROR(__xludf.DUMMYFUNCTION("""COMPUTED_VALUE"""),"Master")</f>
        <v>Master</v>
      </c>
      <c r="M287" s="5"/>
      <c r="N287" s="7" t="str">
        <f ca="1">IFERROR(__xludf.DUMMYFUNCTION("""COMPUTED_VALUE"""),"https://docs.google.com/document/d/1V6_yXejXQjXpCvxO5wF7JvaRzpKuPNDZ/edit?usp=drive_link&amp;ouid=107596163405648766688&amp;rtpof=true&amp;sd=true")</f>
        <v>https://docs.google.com/document/d/1V6_yXejXQjXpCvxO5wF7JvaRzpKuPNDZ/edit?usp=drive_link&amp;ouid=107596163405648766688&amp;rtpof=true&amp;sd=true</v>
      </c>
      <c r="O287" s="7" t="str">
        <f ca="1">IFERROR(__xludf.DUMMYFUNCTION("""COMPUTED_VALUE"""),"https://docs.google.com/document/d/1tVV48E1kzpopmbpJDlGt5Lp7cqHzzqTq/edit?usp=drive_link&amp;ouid=107596163405648766688&amp;rtpof=true&amp;sd=true")</f>
        <v>https://docs.google.com/document/d/1tVV48E1kzpopmbpJDlGt5Lp7cqHzzqTq/edit?usp=drive_link&amp;ouid=107596163405648766688&amp;rtpof=true&amp;sd=true</v>
      </c>
      <c r="P287" s="14">
        <f ca="1">IFERROR(__xludf.DUMMYFUNCTION("""COMPUTED_VALUE"""),7.1)</f>
        <v>7.1</v>
      </c>
      <c r="Q287" s="5"/>
      <c r="R287" s="5"/>
      <c r="S287" s="15">
        <f ca="1">IFERROR(__xludf.DUMMYFUNCTION("""COMPUTED_VALUE"""),45230)</f>
        <v>45230</v>
      </c>
      <c r="T287" s="5" t="b">
        <f ca="1">IFERROR(__xludf.DUMMYFUNCTION("""COMPUTED_VALUE"""),TRUE)</f>
        <v>1</v>
      </c>
      <c r="U287" s="5" t="str">
        <f ca="1">IFERROR(__xludf.DUMMYFUNCTION("""COMPUTED_VALUE"""),"5x4")</f>
        <v>5x4</v>
      </c>
      <c r="V287" s="12" t="str">
        <f ca="1">IFERROR(__xludf.DUMMYFUNCTION("""COMPUTED_VALUE"""),"40")</f>
        <v>40</v>
      </c>
      <c r="W287" s="12" t="str">
        <f ca="1">IFERROR(__xludf.DUMMYFUNCTION("""COMPUTED_VALUE"""),"40")</f>
        <v>40</v>
      </c>
      <c r="X287" s="5">
        <f ca="1">IFERROR(__xludf.DUMMYFUNCTION("""COMPUTED_VALUE"""),96.24)</f>
        <v>96.24</v>
      </c>
      <c r="Y287" s="5" t="str">
        <f ca="1">IFERROR(__xludf.DUMMYFUNCTION("""COMPUTED_VALUE"""),"Medium")</f>
        <v>Medium</v>
      </c>
      <c r="Z287" s="5">
        <f ca="1">IFERROR(__xludf.DUMMYFUNCTION("""COMPUTED_VALUE"""),11.27)</f>
        <v>11.27</v>
      </c>
      <c r="AA287" s="14">
        <f ca="1">IFERROR(__xludf.DUMMYFUNCTION("""COMPUTED_VALUE"""),3000)</f>
        <v>3000</v>
      </c>
      <c r="AB287" s="5"/>
      <c r="AC287" s="5" t="str">
        <f ca="1">IFERROR(__xludf.DUMMYFUNCTION("""COMPUTED_VALUE"""),"Expanding Wild, Scatter")</f>
        <v>Expanding Wild, Scatter</v>
      </c>
      <c r="AD287" s="5" t="str">
        <f ca="1">IFERROR(__xludf.DUMMYFUNCTION("""COMPUTED_VALUE"""),"0.04/50")</f>
        <v>0.04/50</v>
      </c>
      <c r="AE287" s="5"/>
      <c r="AF287" s="5"/>
      <c r="AG287" s="10">
        <f ca="1">IFERROR(__xludf.DUMMYFUNCTION("""COMPUTED_VALUE"""),46157.4743402777)</f>
        <v>46157.474340277702</v>
      </c>
      <c r="AH287" s="5"/>
      <c r="AI287" s="5"/>
      <c r="AJ287" s="5"/>
      <c r="AK287" s="5">
        <f ca="1">IFERROR(__xludf.DUMMYFUNCTION("""COMPUTED_VALUE"""),1)</f>
        <v>1</v>
      </c>
      <c r="AL287" s="5" t="str">
        <f ca="1">IFERROR(__xludf.DUMMYFUNCTION("""COMPUTED_VALUE"""),"No")</f>
        <v>No</v>
      </c>
      <c r="AM287" s="5" t="str">
        <f ca="1">IFERROR(__xludf.DUMMYFUNCTION("""COMPUTED_VALUE"""),"No")</f>
        <v>No</v>
      </c>
      <c r="AN287" s="7" t="str">
        <f ca="1">IFERROR(__xludf.DUMMYFUNCTION("""COMPUTED_VALUE"""),"https://play.redstone.rs/games/40-hot-joker/index.html")</f>
        <v>https://play.redstone.rs/games/40-hot-joker/index.html</v>
      </c>
      <c r="AO287" s="5" t="str">
        <f ca="1">IFERROR(__xludf.DUMMYFUNCTION("""COMPUTED_VALUE"""),"No")</f>
        <v>No</v>
      </c>
      <c r="AP287" s="5" t="str">
        <f ca="1">IFERROR(__xludf.DUMMYFUNCTION("""COMPUTED_VALUE"""),"No")</f>
        <v>No</v>
      </c>
      <c r="AQ287" s="5" t="b">
        <f ca="1">IFERROR(__xludf.DUMMYFUNCTION("""COMPUTED_VALUE"""),TRUE)</f>
        <v>1</v>
      </c>
      <c r="AR287" s="5"/>
      <c r="AS287" s="5" t="str">
        <f ca="1">IFERROR(__xludf.DUMMYFUNCTION("""COMPUTED_VALUE"""),"Get lucky with triple expanding Hot Joker for a win up to 3000x on 40 lines!")</f>
        <v>Get lucky with triple expanding Hot Joker for a win up to 3000x on 40 lines!</v>
      </c>
      <c r="AT287" s="5"/>
      <c r="AU287" s="5" t="str">
        <f ca="1">IFERROR(__xludf.DUMMYFUNCTION("""COMPUTED_VALUE"""),"Redstone")</f>
        <v>Redstone</v>
      </c>
      <c r="AV287" s="5"/>
      <c r="AW287" s="5"/>
      <c r="AX287" s="5"/>
      <c r="AY287" s="5"/>
      <c r="AZ287" s="5"/>
      <c r="BA287" s="5"/>
      <c r="BB287" s="5" t="b">
        <f ca="1">IFERROR(__xludf.DUMMYFUNCTION("""COMPUTED_VALUE"""),TRUE)</f>
        <v>1</v>
      </c>
      <c r="BC287" s="5" t="str">
        <f ca="1">IFERROR(__xludf.DUMMYFUNCTION("""COMPUTED_VALUE"""),"Redstone")</f>
        <v>Redstone</v>
      </c>
      <c r="BD287" s="7" t="str">
        <f ca="1">IFERROR(__xludf.DUMMYFUNCTION("""COMPUTED_VALUE"""),"https://play.redstone.rs/games/40-hot-joker/index.html")</f>
        <v>https://play.redstone.rs/games/40-hot-joker/index.html</v>
      </c>
      <c r="BE287" s="5" t="b">
        <f ca="1">IFERROR(__xludf.DUMMYFUNCTION("""COMPUTED_VALUE"""),TRUE)</f>
        <v>1</v>
      </c>
    </row>
    <row r="288" spans="1:57" x14ac:dyDescent="0.25">
      <c r="A288" s="5">
        <f ca="1">IFERROR(__xludf.DUMMYFUNCTION("""COMPUTED_VALUE"""),288)</f>
        <v>288</v>
      </c>
      <c r="B288" s="5">
        <f ca="1">IFERROR(__xludf.DUMMYFUNCTION("""COMPUTED_VALUE"""),287)</f>
        <v>287</v>
      </c>
      <c r="C288" s="5" t="str">
        <f ca="1">IFERROR(__xludf.DUMMYFUNCTION("""COMPUTED_VALUE"""),"Redstone")</f>
        <v>Redstone</v>
      </c>
      <c r="D288" s="5" t="str">
        <f ca="1">IFERROR(__xludf.DUMMYFUNCTION("""COMPUTED_VALUE"""),"Jolly Presents")</f>
        <v>Jolly Presents</v>
      </c>
      <c r="E288" s="5" t="str">
        <f ca="1">IFERROR(__xludf.DUMMYFUNCTION("""COMPUTED_VALUE"""),"Redstone")</f>
        <v>Redstone</v>
      </c>
      <c r="F288" s="5" t="str">
        <f ca="1">IFERROR(__xludf.DUMMYFUNCTION("""COMPUTED_VALUE"""),"RedstoneJollyPresents")</f>
        <v>RedstoneJollyPresents</v>
      </c>
      <c r="G288" s="5" t="str">
        <f ca="1">IFERROR(__xludf.DUMMYFUNCTION("""COMPUTED_VALUE"""),"Live")</f>
        <v>Live</v>
      </c>
      <c r="H288" s="5"/>
      <c r="I288" s="5" t="str">
        <f ca="1">IFERROR(__xludf.DUMMYFUNCTION("""COMPUTED_VALUE"""),"Redstone")</f>
        <v>Redstone</v>
      </c>
      <c r="J288" s="5" t="str">
        <f ca="1">IFERROR(__xludf.DUMMYFUNCTION("""COMPUTED_VALUE"""),"JSON")</f>
        <v>JSON</v>
      </c>
      <c r="K288" s="5" t="str">
        <f ca="1">IFERROR(__xludf.DUMMYFUNCTION("""COMPUTED_VALUE"""),"Slot")</f>
        <v>Slot</v>
      </c>
      <c r="L288" s="5" t="str">
        <f ca="1">IFERROR(__xludf.DUMMYFUNCTION("""COMPUTED_VALUE""")," Clone")</f>
        <v xml:space="preserve"> Clone</v>
      </c>
      <c r="M288" s="5" t="str">
        <f ca="1">IFERROR(__xludf.DUMMYFUNCTION("""COMPUTED_VALUE"""),"5 Clover Fire")</f>
        <v>5 Clover Fire</v>
      </c>
      <c r="N288" s="7" t="str">
        <f ca="1">IFERROR(__xludf.DUMMYFUNCTION("""COMPUTED_VALUE"""),"https://docs.google.com/document/d/1ZjS1T6mut0Ix_FZS9rgixFhkYfzymPvd/edit?usp=drive_link&amp;ouid=107596163405648766688&amp;rtpof=true&amp;sd=true")</f>
        <v>https://docs.google.com/document/d/1ZjS1T6mut0Ix_FZS9rgixFhkYfzymPvd/edit?usp=drive_link&amp;ouid=107596163405648766688&amp;rtpof=true&amp;sd=true</v>
      </c>
      <c r="O288" s="7" t="str">
        <f ca="1">IFERROR(__xludf.DUMMYFUNCTION("""COMPUTED_VALUE"""),"https://docs.google.com/document/d/1X5yxoV9aeO4hmnBorYm0rR4SJnZAjO1U/edit?usp=drive_link&amp;ouid=107596163405648766688&amp;rtpof=true&amp;sd=true")</f>
        <v>https://docs.google.com/document/d/1X5yxoV9aeO4hmnBorYm0rR4SJnZAjO1U/edit?usp=drive_link&amp;ouid=107596163405648766688&amp;rtpof=true&amp;sd=true</v>
      </c>
      <c r="P288" s="14">
        <f ca="1">IFERROR(__xludf.DUMMYFUNCTION("""COMPUTED_VALUE"""),6.9)</f>
        <v>6.9</v>
      </c>
      <c r="Q288" s="5"/>
      <c r="R288" s="5"/>
      <c r="S288" s="15">
        <f ca="1">IFERROR(__xludf.DUMMYFUNCTION("""COMPUTED_VALUE"""),45259)</f>
        <v>45259</v>
      </c>
      <c r="T288" s="5" t="b">
        <f ca="1">IFERROR(__xludf.DUMMYFUNCTION("""COMPUTED_VALUE"""),TRUE)</f>
        <v>1</v>
      </c>
      <c r="U288" s="5" t="str">
        <f ca="1">IFERROR(__xludf.DUMMYFUNCTION("""COMPUTED_VALUE"""),"5x3")</f>
        <v>5x3</v>
      </c>
      <c r="V288" s="12" t="str">
        <f ca="1">IFERROR(__xludf.DUMMYFUNCTION("""COMPUTED_VALUE"""),"5")</f>
        <v>5</v>
      </c>
      <c r="W288" s="12" t="str">
        <f ca="1">IFERROR(__xludf.DUMMYFUNCTION("""COMPUTED_VALUE"""),"5")</f>
        <v>5</v>
      </c>
      <c r="X288" s="5">
        <f ca="1">IFERROR(__xludf.DUMMYFUNCTION("""COMPUTED_VALUE"""),96)</f>
        <v>96</v>
      </c>
      <c r="Y288" s="5" t="str">
        <f ca="1">IFERROR(__xludf.DUMMYFUNCTION("""COMPUTED_VALUE"""),"Medium")</f>
        <v>Medium</v>
      </c>
      <c r="Z288" s="5">
        <f ca="1">IFERROR(__xludf.DUMMYFUNCTION("""COMPUTED_VALUE"""),14.5)</f>
        <v>14.5</v>
      </c>
      <c r="AA288" s="14">
        <f ca="1">IFERROR(__xludf.DUMMYFUNCTION("""COMPUTED_VALUE"""),1222)</f>
        <v>1222</v>
      </c>
      <c r="AB288" s="5"/>
      <c r="AC288" s="5" t="str">
        <f ca="1">IFERROR(__xludf.DUMMYFUNCTION("""COMPUTED_VALUE"""),"Expanding Wild, Scatter")</f>
        <v>Expanding Wild, Scatter</v>
      </c>
      <c r="AD288" s="5" t="str">
        <f ca="1">IFERROR(__xludf.DUMMYFUNCTION("""COMPUTED_VALUE"""),"0.01/50")</f>
        <v>0.01/50</v>
      </c>
      <c r="AE288" s="5"/>
      <c r="AF288" s="5"/>
      <c r="AG288" s="10">
        <f ca="1">IFERROR(__xludf.DUMMYFUNCTION("""COMPUTED_VALUE"""),46157.4745601851)</f>
        <v>46157.474560185103</v>
      </c>
      <c r="AH288" s="5"/>
      <c r="AI288" s="5"/>
      <c r="AJ288" s="5"/>
      <c r="AK288" s="5">
        <f ca="1">IFERROR(__xludf.DUMMYFUNCTION("""COMPUTED_VALUE"""),1)</f>
        <v>1</v>
      </c>
      <c r="AL288" s="5" t="str">
        <f ca="1">IFERROR(__xludf.DUMMYFUNCTION("""COMPUTED_VALUE"""),"No")</f>
        <v>No</v>
      </c>
      <c r="AM288" s="5" t="str">
        <f ca="1">IFERROR(__xludf.DUMMYFUNCTION("""COMPUTED_VALUE"""),"No")</f>
        <v>No</v>
      </c>
      <c r="AN288" s="7" t="str">
        <f ca="1">IFERROR(__xludf.DUMMYFUNCTION("""COMPUTED_VALUE"""),"https://play.redstone.rs/games/jolly-presents/index.html")</f>
        <v>https://play.redstone.rs/games/jolly-presents/index.html</v>
      </c>
      <c r="AO288" s="5" t="str">
        <f ca="1">IFERROR(__xludf.DUMMYFUNCTION("""COMPUTED_VALUE"""),"No")</f>
        <v>No</v>
      </c>
      <c r="AP288" s="5" t="str">
        <f ca="1">IFERROR(__xludf.DUMMYFUNCTION("""COMPUTED_VALUE"""),"No")</f>
        <v>No</v>
      </c>
      <c r="AQ288" s="5" t="b">
        <f ca="1">IFERROR(__xludf.DUMMYFUNCTION("""COMPUTED_VALUE"""),TRUE)</f>
        <v>1</v>
      </c>
      <c r="AR288" s="5"/>
      <c r="AS288" s="5" t="str">
        <f ca="1">IFERROR(__xludf.DUMMYFUNCTION("""COMPUTED_VALUE"""),"Get wrapped up in the fun of Jolly Presents, where expanding wilds mean big wins up to 1200x are just a spin away!")</f>
        <v>Get wrapped up in the fun of Jolly Presents, where expanding wilds mean big wins up to 1200x are just a spin away!</v>
      </c>
      <c r="AT288" s="5"/>
      <c r="AU288" s="5" t="str">
        <f ca="1">IFERROR(__xludf.DUMMYFUNCTION("""COMPUTED_VALUE"""),"Redstone")</f>
        <v>Redstone</v>
      </c>
      <c r="AV288" s="5"/>
      <c r="AW288" s="5"/>
      <c r="AX288" s="5"/>
      <c r="AY288" s="5"/>
      <c r="AZ288" s="5"/>
      <c r="BA288" s="5"/>
      <c r="BB288" s="5" t="b">
        <f ca="1">IFERROR(__xludf.DUMMYFUNCTION("""COMPUTED_VALUE"""),TRUE)</f>
        <v>1</v>
      </c>
      <c r="BC288" s="5" t="str">
        <f ca="1">IFERROR(__xludf.DUMMYFUNCTION("""COMPUTED_VALUE"""),"Redstone")</f>
        <v>Redstone</v>
      </c>
      <c r="BD288" s="7" t="str">
        <f ca="1">IFERROR(__xludf.DUMMYFUNCTION("""COMPUTED_VALUE"""),"https://play.redstone.rs/games/jolly-presents/index.html")</f>
        <v>https://play.redstone.rs/games/jolly-presents/index.html</v>
      </c>
      <c r="BE288" s="5" t="b">
        <f ca="1">IFERROR(__xludf.DUMMYFUNCTION("""COMPUTED_VALUE"""),TRUE)</f>
        <v>1</v>
      </c>
    </row>
    <row r="289" spans="1:57" x14ac:dyDescent="0.25">
      <c r="A289" s="5">
        <f ca="1">IFERROR(__xludf.DUMMYFUNCTION("""COMPUTED_VALUE"""),289)</f>
        <v>289</v>
      </c>
      <c r="B289" s="5">
        <f ca="1">IFERROR(__xludf.DUMMYFUNCTION("""COMPUTED_VALUE"""),288)</f>
        <v>288</v>
      </c>
      <c r="C289" s="5" t="str">
        <f ca="1">IFERROR(__xludf.DUMMYFUNCTION("""COMPUTED_VALUE"""),"Redstone")</f>
        <v>Redstone</v>
      </c>
      <c r="D289" s="5" t="str">
        <f ca="1">IFERROR(__xludf.DUMMYFUNCTION("""COMPUTED_VALUE"""),"20 Fruit Frenzy")</f>
        <v>20 Fruit Frenzy</v>
      </c>
      <c r="E289" s="5" t="str">
        <f ca="1">IFERROR(__xludf.DUMMYFUNCTION("""COMPUTED_VALUE"""),"Redstone")</f>
        <v>Redstone</v>
      </c>
      <c r="F289" s="5" t="str">
        <f ca="1">IFERROR(__xludf.DUMMYFUNCTION("""COMPUTED_VALUE"""),"Redstone20FruitFrenzy")</f>
        <v>Redstone20FruitFrenzy</v>
      </c>
      <c r="G289" s="5" t="str">
        <f ca="1">IFERROR(__xludf.DUMMYFUNCTION("""COMPUTED_VALUE"""),"Live")</f>
        <v>Live</v>
      </c>
      <c r="H289" s="5"/>
      <c r="I289" s="5" t="str">
        <f ca="1">IFERROR(__xludf.DUMMYFUNCTION("""COMPUTED_VALUE"""),"Redstone")</f>
        <v>Redstone</v>
      </c>
      <c r="J289" s="5" t="str">
        <f ca="1">IFERROR(__xludf.DUMMYFUNCTION("""COMPUTED_VALUE"""),"JSON")</f>
        <v>JSON</v>
      </c>
      <c r="K289" s="5" t="str">
        <f ca="1">IFERROR(__xludf.DUMMYFUNCTION("""COMPUTED_VALUE"""),"Slot")</f>
        <v>Slot</v>
      </c>
      <c r="L289" s="5" t="str">
        <f ca="1">IFERROR(__xludf.DUMMYFUNCTION("""COMPUTED_VALUE""")," Clone")</f>
        <v xml:space="preserve"> Clone</v>
      </c>
      <c r="M289" s="5" t="str">
        <f ca="1">IFERROR(__xludf.DUMMYFUNCTION("""COMPUTED_VALUE"""),"20 Fire Cash")</f>
        <v>20 Fire Cash</v>
      </c>
      <c r="N289" s="7" t="str">
        <f ca="1">IFERROR(__xludf.DUMMYFUNCTION("""COMPUTED_VALUE"""),"https://docs.google.com/document/d/1lKG2J44Z3XobSwTrd9QvOmLKxuDAT9gT/edit?usp=drive_link&amp;ouid=107596163405648766688&amp;rtpof=true&amp;sd=true")</f>
        <v>https://docs.google.com/document/d/1lKG2J44Z3XobSwTrd9QvOmLKxuDAT9gT/edit?usp=drive_link&amp;ouid=107596163405648766688&amp;rtpof=true&amp;sd=true</v>
      </c>
      <c r="O289" s="7" t="str">
        <f ca="1">IFERROR(__xludf.DUMMYFUNCTION("""COMPUTED_VALUE"""),"https://docs.google.com/document/d/1brLhaUzYeRZigMCFlrbWhCZ4Gmwkbd-L/edit?usp=drive_link&amp;ouid=107596163405648766688&amp;rtpof=true&amp;sd=true")</f>
        <v>https://docs.google.com/document/d/1brLhaUzYeRZigMCFlrbWhCZ4Gmwkbd-L/edit?usp=drive_link&amp;ouid=107596163405648766688&amp;rtpof=true&amp;sd=true</v>
      </c>
      <c r="P289" s="14">
        <f ca="1">IFERROR(__xludf.DUMMYFUNCTION("""COMPUTED_VALUE"""),7.6)</f>
        <v>7.6</v>
      </c>
      <c r="Q289" s="5"/>
      <c r="R289" s="5"/>
      <c r="S289" s="15">
        <f ca="1">IFERROR(__xludf.DUMMYFUNCTION("""COMPUTED_VALUE"""),45243)</f>
        <v>45243</v>
      </c>
      <c r="T289" s="5" t="b">
        <f ca="1">IFERROR(__xludf.DUMMYFUNCTION("""COMPUTED_VALUE"""),TRUE)</f>
        <v>1</v>
      </c>
      <c r="U289" s="5" t="str">
        <f ca="1">IFERROR(__xludf.DUMMYFUNCTION("""COMPUTED_VALUE"""),"5x3")</f>
        <v>5x3</v>
      </c>
      <c r="V289" s="12" t="str">
        <f ca="1">IFERROR(__xludf.DUMMYFUNCTION("""COMPUTED_VALUE"""),"20")</f>
        <v>20</v>
      </c>
      <c r="W289" s="12" t="str">
        <f ca="1">IFERROR(__xludf.DUMMYFUNCTION("""COMPUTED_VALUE"""),"20")</f>
        <v>20</v>
      </c>
      <c r="X289" s="5">
        <f ca="1">IFERROR(__xludf.DUMMYFUNCTION("""COMPUTED_VALUE"""),96.47)</f>
        <v>96.47</v>
      </c>
      <c r="Y289" s="5" t="str">
        <f ca="1">IFERROR(__xludf.DUMMYFUNCTION("""COMPUTED_VALUE"""),"Medium")</f>
        <v>Medium</v>
      </c>
      <c r="Z289" s="5">
        <f ca="1">IFERROR(__xludf.DUMMYFUNCTION("""COMPUTED_VALUE"""),17.73)</f>
        <v>17.73</v>
      </c>
      <c r="AA289" s="14">
        <f ca="1">IFERROR(__xludf.DUMMYFUNCTION("""COMPUTED_VALUE"""),1000)</f>
        <v>1000</v>
      </c>
      <c r="AB289" s="5"/>
      <c r="AC289" s="5" t="str">
        <f ca="1">IFERROR(__xludf.DUMMYFUNCTION("""COMPUTED_VALUE"""),"Special Wild, Scatter")</f>
        <v>Special Wild, Scatter</v>
      </c>
      <c r="AD289" s="5" t="str">
        <f ca="1">IFERROR(__xludf.DUMMYFUNCTION("""COMPUTED_VALUE"""),"0.02/50")</f>
        <v>0.02/50</v>
      </c>
      <c r="AE289" s="5"/>
      <c r="AF289" s="5"/>
      <c r="AG289" s="10">
        <f ca="1">IFERROR(__xludf.DUMMYFUNCTION("""COMPUTED_VALUE"""),46157.4740162037)</f>
        <v>46157.474016203698</v>
      </c>
      <c r="AH289" s="5"/>
      <c r="AI289" s="5"/>
      <c r="AJ289" s="5"/>
      <c r="AK289" s="5">
        <f ca="1">IFERROR(__xludf.DUMMYFUNCTION("""COMPUTED_VALUE"""),1)</f>
        <v>1</v>
      </c>
      <c r="AL289" s="5" t="str">
        <f ca="1">IFERROR(__xludf.DUMMYFUNCTION("""COMPUTED_VALUE"""),"No")</f>
        <v>No</v>
      </c>
      <c r="AM289" s="5" t="str">
        <f ca="1">IFERROR(__xludf.DUMMYFUNCTION("""COMPUTED_VALUE"""),"No")</f>
        <v>No</v>
      </c>
      <c r="AN289" s="7" t="str">
        <f ca="1">IFERROR(__xludf.DUMMYFUNCTION("""COMPUTED_VALUE"""),"https://play.redstone.rs/games/20-fruit-frenzy/index.html")</f>
        <v>https://play.redstone.rs/games/20-fruit-frenzy/index.html</v>
      </c>
      <c r="AO289" s="5" t="str">
        <f ca="1">IFERROR(__xludf.DUMMYFUNCTION("""COMPUTED_VALUE"""),"No")</f>
        <v>No</v>
      </c>
      <c r="AP289" s="5" t="str">
        <f ca="1">IFERROR(__xludf.DUMMYFUNCTION("""COMPUTED_VALUE"""),"No")</f>
        <v>No</v>
      </c>
      <c r="AQ289" s="5" t="b">
        <f ca="1">IFERROR(__xludf.DUMMYFUNCTION("""COMPUTED_VALUE"""),TRUE)</f>
        <v>1</v>
      </c>
      <c r="AR289" s="5"/>
      <c r="AS289" s="5" t="str">
        <f ca="1">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AT289" s="5"/>
      <c r="AU289" s="5" t="str">
        <f ca="1">IFERROR(__xludf.DUMMYFUNCTION("""COMPUTED_VALUE"""),"Redstone")</f>
        <v>Redstone</v>
      </c>
      <c r="AV289" s="5"/>
      <c r="AW289" s="5"/>
      <c r="AX289" s="5"/>
      <c r="AY289" s="5"/>
      <c r="AZ289" s="5"/>
      <c r="BA289" s="5"/>
      <c r="BB289" s="5" t="b">
        <f ca="1">IFERROR(__xludf.DUMMYFUNCTION("""COMPUTED_VALUE"""),TRUE)</f>
        <v>1</v>
      </c>
      <c r="BC289" s="5" t="str">
        <f ca="1">IFERROR(__xludf.DUMMYFUNCTION("""COMPUTED_VALUE"""),"Redstone")</f>
        <v>Redstone</v>
      </c>
      <c r="BD289" s="7" t="str">
        <f ca="1">IFERROR(__xludf.DUMMYFUNCTION("""COMPUTED_VALUE"""),"https://play.redstone.rs/games/20-fruit-frenzy/index.html")</f>
        <v>https://play.redstone.rs/games/20-fruit-frenzy/index.html</v>
      </c>
      <c r="BE289" s="5" t="b">
        <f ca="1">IFERROR(__xludf.DUMMYFUNCTION("""COMPUTED_VALUE"""),TRUE)</f>
        <v>1</v>
      </c>
    </row>
    <row r="290" spans="1:57" x14ac:dyDescent="0.25">
      <c r="A290" s="5">
        <f ca="1">IFERROR(__xludf.DUMMYFUNCTION("""COMPUTED_VALUE"""),290)</f>
        <v>290</v>
      </c>
      <c r="B290" s="5">
        <f ca="1">IFERROR(__xludf.DUMMYFUNCTION("""COMPUTED_VALUE"""),289)</f>
        <v>289</v>
      </c>
      <c r="C290" s="5" t="str">
        <f ca="1">IFERROR(__xludf.DUMMYFUNCTION("""COMPUTED_VALUE"""),"Redstone")</f>
        <v>Redstone</v>
      </c>
      <c r="D290" s="5" t="str">
        <f ca="1">IFERROR(__xludf.DUMMYFUNCTION("""COMPUTED_VALUE"""),"40 Fruit Frenzy")</f>
        <v>40 Fruit Frenzy</v>
      </c>
      <c r="E290" s="5" t="str">
        <f ca="1">IFERROR(__xludf.DUMMYFUNCTION("""COMPUTED_VALUE"""),"Redstone")</f>
        <v>Redstone</v>
      </c>
      <c r="F290" s="5" t="str">
        <f ca="1">IFERROR(__xludf.DUMMYFUNCTION("""COMPUTED_VALUE"""),"Redstone40FruitFrenzy")</f>
        <v>Redstone40FruitFrenzy</v>
      </c>
      <c r="G290" s="5" t="str">
        <f ca="1">IFERROR(__xludf.DUMMYFUNCTION("""COMPUTED_VALUE"""),"Live")</f>
        <v>Live</v>
      </c>
      <c r="H290" s="5"/>
      <c r="I290" s="5" t="str">
        <f ca="1">IFERROR(__xludf.DUMMYFUNCTION("""COMPUTED_VALUE"""),"Redstone")</f>
        <v>Redstone</v>
      </c>
      <c r="J290" s="5" t="str">
        <f ca="1">IFERROR(__xludf.DUMMYFUNCTION("""COMPUTED_VALUE"""),"JSON")</f>
        <v>JSON</v>
      </c>
      <c r="K290" s="5" t="str">
        <f ca="1">IFERROR(__xludf.DUMMYFUNCTION("""COMPUTED_VALUE"""),"Slot")</f>
        <v>Slot</v>
      </c>
      <c r="L290" s="5" t="str">
        <f ca="1">IFERROR(__xludf.DUMMYFUNCTION("""COMPUTED_VALUE"""),"Master")</f>
        <v>Master</v>
      </c>
      <c r="M290" s="5" t="str">
        <f ca="1">IFERROR(__xludf.DUMMYFUNCTION("""COMPUTED_VALUE"""),"40 Fire Cash")</f>
        <v>40 Fire Cash</v>
      </c>
      <c r="N290" s="7" t="str">
        <f ca="1">IFERROR(__xludf.DUMMYFUNCTION("""COMPUTED_VALUE"""),"https://docs.google.com/document/d/1mMkb52UZ9BZKxmFAxoGbc-e-tcJbsAq4/edit?usp=drive_link&amp;ouid=107596163405648766688&amp;rtpof=true&amp;sd=true")</f>
        <v>https://docs.google.com/document/d/1mMkb52UZ9BZKxmFAxoGbc-e-tcJbsAq4/edit?usp=drive_link&amp;ouid=107596163405648766688&amp;rtpof=true&amp;sd=true</v>
      </c>
      <c r="O290" s="7" t="str">
        <f ca="1">IFERROR(__xludf.DUMMYFUNCTION("""COMPUTED_VALUE"""),"https://docs.google.com/document/d/1DY8X7hAgBj5u5gZiTi5xhZwo2C6oO69V/edit?usp=drive_link&amp;ouid=107596163405648766688&amp;rtpof=true&amp;sd=true")</f>
        <v>https://docs.google.com/document/d/1DY8X7hAgBj5u5gZiTi5xhZwo2C6oO69V/edit?usp=drive_link&amp;ouid=107596163405648766688&amp;rtpof=true&amp;sd=true</v>
      </c>
      <c r="P290" s="14">
        <f ca="1">IFERROR(__xludf.DUMMYFUNCTION("""COMPUTED_VALUE"""),7.4)</f>
        <v>7.4</v>
      </c>
      <c r="Q290" s="5"/>
      <c r="R290" s="5"/>
      <c r="S290" s="15">
        <f ca="1">IFERROR(__xludf.DUMMYFUNCTION("""COMPUTED_VALUE"""),45254)</f>
        <v>45254</v>
      </c>
      <c r="T290" s="5" t="b">
        <f ca="1">IFERROR(__xludf.DUMMYFUNCTION("""COMPUTED_VALUE"""),TRUE)</f>
        <v>1</v>
      </c>
      <c r="U290" s="5" t="str">
        <f ca="1">IFERROR(__xludf.DUMMYFUNCTION("""COMPUTED_VALUE"""),"5x4")</f>
        <v>5x4</v>
      </c>
      <c r="V290" s="12" t="str">
        <f ca="1">IFERROR(__xludf.DUMMYFUNCTION("""COMPUTED_VALUE"""),"40")</f>
        <v>40</v>
      </c>
      <c r="W290" s="12" t="str">
        <f ca="1">IFERROR(__xludf.DUMMYFUNCTION("""COMPUTED_VALUE"""),"40")</f>
        <v>40</v>
      </c>
      <c r="X290" s="5">
        <f ca="1">IFERROR(__xludf.DUMMYFUNCTION("""COMPUTED_VALUE"""),96.23)</f>
        <v>96.23</v>
      </c>
      <c r="Y290" s="5" t="str">
        <f ca="1">IFERROR(__xludf.DUMMYFUNCTION("""COMPUTED_VALUE"""),"Medium")</f>
        <v>Medium</v>
      </c>
      <c r="Z290" s="5">
        <f ca="1">IFERROR(__xludf.DUMMYFUNCTION("""COMPUTED_VALUE"""),16.93)</f>
        <v>16.93</v>
      </c>
      <c r="AA290" s="14">
        <f ca="1">IFERROR(__xludf.DUMMYFUNCTION("""COMPUTED_VALUE"""),1000)</f>
        <v>1000</v>
      </c>
      <c r="AB290" s="5"/>
      <c r="AC290" s="5" t="str">
        <f ca="1">IFERROR(__xludf.DUMMYFUNCTION("""COMPUTED_VALUE"""),"Special Wild, Scatter")</f>
        <v>Special Wild, Scatter</v>
      </c>
      <c r="AD290" s="5" t="str">
        <f ca="1">IFERROR(__xludf.DUMMYFUNCTION("""COMPUTED_VALUE"""),"0.04/50")</f>
        <v>0.04/50</v>
      </c>
      <c r="AE290" s="5"/>
      <c r="AF290" s="5"/>
      <c r="AG290" s="10">
        <f ca="1">IFERROR(__xludf.DUMMYFUNCTION("""COMPUTED_VALUE"""),46157.4747337963)</f>
        <v>46157.474733796298</v>
      </c>
      <c r="AH290" s="5"/>
      <c r="AI290" s="5"/>
      <c r="AJ290" s="5"/>
      <c r="AK290" s="5">
        <f ca="1">IFERROR(__xludf.DUMMYFUNCTION("""COMPUTED_VALUE"""),1)</f>
        <v>1</v>
      </c>
      <c r="AL290" s="5" t="str">
        <f ca="1">IFERROR(__xludf.DUMMYFUNCTION("""COMPUTED_VALUE"""),"No")</f>
        <v>No</v>
      </c>
      <c r="AM290" s="5" t="str">
        <f ca="1">IFERROR(__xludf.DUMMYFUNCTION("""COMPUTED_VALUE"""),"No")</f>
        <v>No</v>
      </c>
      <c r="AN290" s="7" t="str">
        <f ca="1">IFERROR(__xludf.DUMMYFUNCTION("""COMPUTED_VALUE"""),"https://play.redstone.rs/games/40-fruit-frenzy/index.html")</f>
        <v>https://play.redstone.rs/games/40-fruit-frenzy/index.html</v>
      </c>
      <c r="AO290" s="5" t="str">
        <f ca="1">IFERROR(__xludf.DUMMYFUNCTION("""COMPUTED_VALUE"""),"No")</f>
        <v>No</v>
      </c>
      <c r="AP290" s="5" t="str">
        <f ca="1">IFERROR(__xludf.DUMMYFUNCTION("""COMPUTED_VALUE"""),"No")</f>
        <v>No</v>
      </c>
      <c r="AQ290" s="5" t="b">
        <f ca="1">IFERROR(__xludf.DUMMYFUNCTION("""COMPUTED_VALUE"""),TRUE)</f>
        <v>1</v>
      </c>
      <c r="AR290" s="5"/>
      <c r="AS290" s="5" t="str">
        <f ca="1">IFERROR(__xludf.DUMMYFUNCTION("""COMPUTED_VALUE"""),"New adventure awaits! Fruit Frenzy is stacked with 40 lines and offers frenzied wins that can rack up huge rewards.")</f>
        <v>New adventure awaits! Fruit Frenzy is stacked with 40 lines and offers frenzied wins that can rack up huge rewards.</v>
      </c>
      <c r="AT290" s="5"/>
      <c r="AU290" s="5" t="str">
        <f ca="1">IFERROR(__xludf.DUMMYFUNCTION("""COMPUTED_VALUE"""),"Redstone")</f>
        <v>Redstone</v>
      </c>
      <c r="AV290" s="5"/>
      <c r="AW290" s="5"/>
      <c r="AX290" s="5"/>
      <c r="AY290" s="5"/>
      <c r="AZ290" s="5"/>
      <c r="BA290" s="5"/>
      <c r="BB290" s="5" t="b">
        <f ca="1">IFERROR(__xludf.DUMMYFUNCTION("""COMPUTED_VALUE"""),TRUE)</f>
        <v>1</v>
      </c>
      <c r="BC290" s="5" t="str">
        <f ca="1">IFERROR(__xludf.DUMMYFUNCTION("""COMPUTED_VALUE"""),"Redstone")</f>
        <v>Redstone</v>
      </c>
      <c r="BD290" s="7" t="str">
        <f ca="1">IFERROR(__xludf.DUMMYFUNCTION("""COMPUTED_VALUE"""),"https://play.redstone.rs/games/40-fruit-frenzy/index.html")</f>
        <v>https://play.redstone.rs/games/40-fruit-frenzy/index.html</v>
      </c>
      <c r="BE290" s="5" t="b">
        <f ca="1">IFERROR(__xludf.DUMMYFUNCTION("""COMPUTED_VALUE"""),TRUE)</f>
        <v>1</v>
      </c>
    </row>
    <row r="291" spans="1:57" x14ac:dyDescent="0.25">
      <c r="A291" s="5">
        <f ca="1">IFERROR(__xludf.DUMMYFUNCTION("""COMPUTED_VALUE"""),291)</f>
        <v>291</v>
      </c>
      <c r="B291" s="5">
        <f ca="1">IFERROR(__xludf.DUMMYFUNCTION("""COMPUTED_VALUE"""),290)</f>
        <v>290</v>
      </c>
      <c r="C291" s="5" t="str">
        <f ca="1">IFERROR(__xludf.DUMMYFUNCTION("""COMPUTED_VALUE"""),"Redstone")</f>
        <v>Redstone</v>
      </c>
      <c r="D291" s="5" t="str">
        <f ca="1">IFERROR(__xludf.DUMMYFUNCTION("""COMPUTED_VALUE"""),"Wild Heart Beat")</f>
        <v>Wild Heart Beat</v>
      </c>
      <c r="E291" s="5" t="str">
        <f ca="1">IFERROR(__xludf.DUMMYFUNCTION("""COMPUTED_VALUE"""),"Redstone")</f>
        <v>Redstone</v>
      </c>
      <c r="F291" s="5" t="str">
        <f ca="1">IFERROR(__xludf.DUMMYFUNCTION("""COMPUTED_VALUE"""),"RedstoneWildHeartBeat")</f>
        <v>RedstoneWildHeartBeat</v>
      </c>
      <c r="G291" s="5" t="str">
        <f ca="1">IFERROR(__xludf.DUMMYFUNCTION("""COMPUTED_VALUE"""),"Live")</f>
        <v>Live</v>
      </c>
      <c r="H291" s="5"/>
      <c r="I291" s="5" t="str">
        <f ca="1">IFERROR(__xludf.DUMMYFUNCTION("""COMPUTED_VALUE"""),"Redstone")</f>
        <v>Redstone</v>
      </c>
      <c r="J291" s="5" t="str">
        <f ca="1">IFERROR(__xludf.DUMMYFUNCTION("""COMPUTED_VALUE"""),"JSON")</f>
        <v>JSON</v>
      </c>
      <c r="K291" s="5" t="str">
        <f ca="1">IFERROR(__xludf.DUMMYFUNCTION("""COMPUTED_VALUE"""),"Slot")</f>
        <v>Slot</v>
      </c>
      <c r="L291" s="5" t="str">
        <f ca="1">IFERROR(__xludf.DUMMYFUNCTION("""COMPUTED_VALUE"""),"Master")</f>
        <v>Master</v>
      </c>
      <c r="M291" s="5"/>
      <c r="N291" s="7" t="str">
        <f ca="1">IFERROR(__xludf.DUMMYFUNCTION("""COMPUTED_VALUE"""),"https://docs.google.com/document/d/1iXG_raCxlresDsCqMTqpIlfeAFtjbTIP/edit?usp=drive_link&amp;ouid=107596163405648766688&amp;rtpof=true&amp;sd=true")</f>
        <v>https://docs.google.com/document/d/1iXG_raCxlresDsCqMTqpIlfeAFtjbTIP/edit?usp=drive_link&amp;ouid=107596163405648766688&amp;rtpof=true&amp;sd=true</v>
      </c>
      <c r="O291" s="7" t="str">
        <f ca="1">IFERROR(__xludf.DUMMYFUNCTION("""COMPUTED_VALUE"""),"https://docs.google.com/document/d/1YbEQ9PohM2jYE-QEuHfCCQRDf1ijSLJY/edit?usp=drive_link&amp;ouid=107596163405648766688&amp;rtpof=true&amp;sd=true")</f>
        <v>https://docs.google.com/document/d/1YbEQ9PohM2jYE-QEuHfCCQRDf1ijSLJY/edit?usp=drive_link&amp;ouid=107596163405648766688&amp;rtpof=true&amp;sd=true</v>
      </c>
      <c r="P291" s="14">
        <f ca="1">IFERROR(__xludf.DUMMYFUNCTION("""COMPUTED_VALUE"""),8.2)</f>
        <v>8.1999999999999993</v>
      </c>
      <c r="Q291" s="5"/>
      <c r="R291" s="5"/>
      <c r="S291" s="15">
        <f ca="1">IFERROR(__xludf.DUMMYFUNCTION("""COMPUTED_VALUE"""),45257)</f>
        <v>45257</v>
      </c>
      <c r="T291" s="5" t="b">
        <f ca="1">IFERROR(__xludf.DUMMYFUNCTION("""COMPUTED_VALUE"""),TRUE)</f>
        <v>1</v>
      </c>
      <c r="U291" s="5" t="str">
        <f ca="1">IFERROR(__xludf.DUMMYFUNCTION("""COMPUTED_VALUE"""),"5x3")</f>
        <v>5x3</v>
      </c>
      <c r="V291" s="12" t="str">
        <f ca="1">IFERROR(__xludf.DUMMYFUNCTION("""COMPUTED_VALUE"""),"5")</f>
        <v>5</v>
      </c>
      <c r="W291" s="12" t="str">
        <f ca="1">IFERROR(__xludf.DUMMYFUNCTION("""COMPUTED_VALUE"""),"5")</f>
        <v>5</v>
      </c>
      <c r="X291" s="5">
        <f ca="1">IFERROR(__xludf.DUMMYFUNCTION("""COMPUTED_VALUE"""),96.36)</f>
        <v>96.36</v>
      </c>
      <c r="Y291" s="5" t="str">
        <f ca="1">IFERROR(__xludf.DUMMYFUNCTION("""COMPUTED_VALUE"""),"Medium")</f>
        <v>Medium</v>
      </c>
      <c r="Z291" s="5">
        <f ca="1">IFERROR(__xludf.DUMMYFUNCTION("""COMPUTED_VALUE"""),11.87)</f>
        <v>11.87</v>
      </c>
      <c r="AA291" s="14">
        <f ca="1">IFERROR(__xludf.DUMMYFUNCTION("""COMPUTED_VALUE"""),2000)</f>
        <v>2000</v>
      </c>
      <c r="AB291" s="5"/>
      <c r="AC291" s="5" t="str">
        <f ca="1">IFERROR(__xludf.DUMMYFUNCTION("""COMPUTED_VALUE"""),"Expanding Wild, Scatter")</f>
        <v>Expanding Wild, Scatter</v>
      </c>
      <c r="AD291" s="5" t="str">
        <f ca="1">IFERROR(__xludf.DUMMYFUNCTION("""COMPUTED_VALUE"""),"0.01/50")</f>
        <v>0.01/50</v>
      </c>
      <c r="AE291" s="5"/>
      <c r="AF291" s="5"/>
      <c r="AG291" s="10">
        <f ca="1">IFERROR(__xludf.DUMMYFUNCTION("""COMPUTED_VALUE"""),46157.4739930555)</f>
        <v>46157.473993055501</v>
      </c>
      <c r="AH291" s="5"/>
      <c r="AI291" s="5"/>
      <c r="AJ291" s="5"/>
      <c r="AK291" s="5">
        <f ca="1">IFERROR(__xludf.DUMMYFUNCTION("""COMPUTED_VALUE"""),1)</f>
        <v>1</v>
      </c>
      <c r="AL291" s="5" t="str">
        <f ca="1">IFERROR(__xludf.DUMMYFUNCTION("""COMPUTED_VALUE"""),"No")</f>
        <v>No</v>
      </c>
      <c r="AM291" s="5" t="str">
        <f ca="1">IFERROR(__xludf.DUMMYFUNCTION("""COMPUTED_VALUE"""),"No")</f>
        <v>No</v>
      </c>
      <c r="AN291" s="7" t="str">
        <f ca="1">IFERROR(__xludf.DUMMYFUNCTION("""COMPUTED_VALUE"""),"https://play.redstone.rs/games/wild-heart-beat/index.html")</f>
        <v>https://play.redstone.rs/games/wild-heart-beat/index.html</v>
      </c>
      <c r="AO291" s="5" t="str">
        <f ca="1">IFERROR(__xludf.DUMMYFUNCTION("""COMPUTED_VALUE"""),"No")</f>
        <v>No</v>
      </c>
      <c r="AP291" s="5" t="str">
        <f ca="1">IFERROR(__xludf.DUMMYFUNCTION("""COMPUTED_VALUE"""),"No")</f>
        <v>No</v>
      </c>
      <c r="AQ291" s="5" t="b">
        <f ca="1">IFERROR(__xludf.DUMMYFUNCTION("""COMPUTED_VALUE"""),TRUE)</f>
        <v>1</v>
      </c>
      <c r="AR291" s="5"/>
      <c r="AS291" s="5" t="str">
        <f ca="1">IFERROR(__xludf.DUMMYFUNCTION("""COMPUTED_VALUE"""),"Wild HEART Beat sets the rhythm for big wins, with expanding wilds that could lead to a heart-stopping 2000x payout!")</f>
        <v>Wild HEART Beat sets the rhythm for big wins, with expanding wilds that could lead to a heart-stopping 2000x payout!</v>
      </c>
      <c r="AT291" s="5"/>
      <c r="AU291" s="5" t="str">
        <f ca="1">IFERROR(__xludf.DUMMYFUNCTION("""COMPUTED_VALUE"""),"Redstone")</f>
        <v>Redstone</v>
      </c>
      <c r="AV291" s="5"/>
      <c r="AW291" s="5"/>
      <c r="AX291" s="5"/>
      <c r="AY291" s="5"/>
      <c r="AZ291" s="5"/>
      <c r="BA291" s="5"/>
      <c r="BB291" s="5" t="b">
        <f ca="1">IFERROR(__xludf.DUMMYFUNCTION("""COMPUTED_VALUE"""),TRUE)</f>
        <v>1</v>
      </c>
      <c r="BC291" s="5" t="str">
        <f ca="1">IFERROR(__xludf.DUMMYFUNCTION("""COMPUTED_VALUE"""),"Redstone")</f>
        <v>Redstone</v>
      </c>
      <c r="BD291" s="7" t="str">
        <f ca="1">IFERROR(__xludf.DUMMYFUNCTION("""COMPUTED_VALUE"""),"https://play.redstone.rs/games/wild-heart-beat/index.html")</f>
        <v>https://play.redstone.rs/games/wild-heart-beat/index.html</v>
      </c>
      <c r="BE291" s="5" t="b">
        <f ca="1">IFERROR(__xludf.DUMMYFUNCTION("""COMPUTED_VALUE"""),TRUE)</f>
        <v>1</v>
      </c>
    </row>
    <row r="292" spans="1:57" x14ac:dyDescent="0.25">
      <c r="A292" s="5">
        <f ca="1">IFERROR(__xludf.DUMMYFUNCTION("""COMPUTED_VALUE"""),292)</f>
        <v>292</v>
      </c>
      <c r="B292" s="5">
        <f ca="1">IFERROR(__xludf.DUMMYFUNCTION("""COMPUTED_VALUE"""),291)</f>
        <v>291</v>
      </c>
      <c r="C292" s="5" t="str">
        <f ca="1">IFERROR(__xludf.DUMMYFUNCTION("""COMPUTED_VALUE"""),"Redstone")</f>
        <v>Redstone</v>
      </c>
      <c r="D292" s="5" t="str">
        <f ca="1">IFERROR(__xludf.DUMMYFUNCTION("""COMPUTED_VALUE"""),"Wild Trail")</f>
        <v>Wild Trail</v>
      </c>
      <c r="E292" s="5" t="str">
        <f ca="1">IFERROR(__xludf.DUMMYFUNCTION("""COMPUTED_VALUE"""),"Redstone")</f>
        <v>Redstone</v>
      </c>
      <c r="F292" s="5" t="str">
        <f ca="1">IFERROR(__xludf.DUMMYFUNCTION("""COMPUTED_VALUE"""),"RedstoneWildTrail")</f>
        <v>RedstoneWildTrail</v>
      </c>
      <c r="G292" s="5" t="str">
        <f ca="1">IFERROR(__xludf.DUMMYFUNCTION("""COMPUTED_VALUE"""),"Live")</f>
        <v>Live</v>
      </c>
      <c r="H292" s="5"/>
      <c r="I292" s="5" t="str">
        <f ca="1">IFERROR(__xludf.DUMMYFUNCTION("""COMPUTED_VALUE"""),"Redstone")</f>
        <v>Redstone</v>
      </c>
      <c r="J292" s="5" t="str">
        <f ca="1">IFERROR(__xludf.DUMMYFUNCTION("""COMPUTED_VALUE"""),"JSON")</f>
        <v>JSON</v>
      </c>
      <c r="K292" s="5" t="str">
        <f ca="1">IFERROR(__xludf.DUMMYFUNCTION("""COMPUTED_VALUE"""),"Slot")</f>
        <v>Slot</v>
      </c>
      <c r="L292" s="5" t="str">
        <f ca="1">IFERROR(__xludf.DUMMYFUNCTION("""COMPUTED_VALUE""")," Clone")</f>
        <v xml:space="preserve"> Clone</v>
      </c>
      <c r="M292" s="5" t="str">
        <f ca="1">IFERROR(__xludf.DUMMYFUNCTION("""COMPUTED_VALUE"""),"40 Wild Clover")</f>
        <v>40 Wild Clover</v>
      </c>
      <c r="N292" s="7" t="str">
        <f ca="1">IFERROR(__xludf.DUMMYFUNCTION("""COMPUTED_VALUE"""),"https://docs.google.com/document/d/1R9VdFan2BxscNoqqq7JAP2usk36VI-Fn/edit?usp=drive_link&amp;ouid=107596163405648766688&amp;rtpof=true&amp;sd=true")</f>
        <v>https://docs.google.com/document/d/1R9VdFan2BxscNoqqq7JAP2usk36VI-Fn/edit?usp=drive_link&amp;ouid=107596163405648766688&amp;rtpof=true&amp;sd=true</v>
      </c>
      <c r="O292" s="7" t="str">
        <f ca="1">IFERROR(__xludf.DUMMYFUNCTION("""COMPUTED_VALUE"""),"https://docs.google.com/document/d/1_YdJijpySmgTmfVs44Ae7uAJHDSTwF64/edit?usp=drive_link&amp;ouid=107596163405648766688&amp;rtpof=true&amp;sd=true")</f>
        <v>https://docs.google.com/document/d/1_YdJijpySmgTmfVs44Ae7uAJHDSTwF64/edit?usp=drive_link&amp;ouid=107596163405648766688&amp;rtpof=true&amp;sd=true</v>
      </c>
      <c r="P292" s="14">
        <f ca="1">IFERROR(__xludf.DUMMYFUNCTION("""COMPUTED_VALUE"""),7.6)</f>
        <v>7.6</v>
      </c>
      <c r="Q292" s="5"/>
      <c r="R292" s="5"/>
      <c r="S292" s="15">
        <f ca="1">IFERROR(__xludf.DUMMYFUNCTION("""COMPUTED_VALUE"""),45261)</f>
        <v>45261</v>
      </c>
      <c r="T292" s="5" t="b">
        <f ca="1">IFERROR(__xludf.DUMMYFUNCTION("""COMPUTED_VALUE"""),TRUE)</f>
        <v>1</v>
      </c>
      <c r="U292" s="5" t="str">
        <f ca="1">IFERROR(__xludf.DUMMYFUNCTION("""COMPUTED_VALUE"""),"5x4")</f>
        <v>5x4</v>
      </c>
      <c r="V292" s="12" t="str">
        <f ca="1">IFERROR(__xludf.DUMMYFUNCTION("""COMPUTED_VALUE"""),"40")</f>
        <v>40</v>
      </c>
      <c r="W292" s="12" t="str">
        <f ca="1">IFERROR(__xludf.DUMMYFUNCTION("""COMPUTED_VALUE"""),"40")</f>
        <v>40</v>
      </c>
      <c r="X292" s="5">
        <f ca="1">IFERROR(__xludf.DUMMYFUNCTION("""COMPUTED_VALUE"""),95.32)</f>
        <v>95.32</v>
      </c>
      <c r="Y292" s="5" t="str">
        <f ca="1">IFERROR(__xludf.DUMMYFUNCTION("""COMPUTED_VALUE"""),"Medium")</f>
        <v>Medium</v>
      </c>
      <c r="Z292" s="5">
        <f ca="1">IFERROR(__xludf.DUMMYFUNCTION("""COMPUTED_VALUE"""),12.34)</f>
        <v>12.34</v>
      </c>
      <c r="AA292" s="14">
        <f ca="1">IFERROR(__xludf.DUMMYFUNCTION("""COMPUTED_VALUE"""),2000)</f>
        <v>2000</v>
      </c>
      <c r="AB292" s="5"/>
      <c r="AC292" s="5" t="str">
        <f ca="1">IFERROR(__xludf.DUMMYFUNCTION("""COMPUTED_VALUE"""),"Special Wild, Scatter, Bonus Game with Free Spins")</f>
        <v>Special Wild, Scatter, Bonus Game with Free Spins</v>
      </c>
      <c r="AD292" s="5" t="str">
        <f ca="1">IFERROR(__xludf.DUMMYFUNCTION("""COMPUTED_VALUE"""),"0.40/60")</f>
        <v>0.40/60</v>
      </c>
      <c r="AE292" s="5"/>
      <c r="AF292" s="5"/>
      <c r="AG292" s="10">
        <f ca="1">IFERROR(__xludf.DUMMYFUNCTION("""COMPUTED_VALUE"""),46212.4914351851)</f>
        <v>46212.491435185097</v>
      </c>
      <c r="AH292" s="5" t="str">
        <f ca="1">IFERROR(__xludf.DUMMYFUNCTION("""COMPUTED_VALUE"""),"selena.mihajlovic@fazi.rs")</f>
        <v>selena.mihajlovic@fazi.rs</v>
      </c>
      <c r="AI292" s="5"/>
      <c r="AJ292" s="5"/>
      <c r="AK292" s="5">
        <f ca="1">IFERROR(__xludf.DUMMYFUNCTION("""COMPUTED_VALUE"""),1)</f>
        <v>1</v>
      </c>
      <c r="AL292" s="5" t="str">
        <f ca="1">IFERROR(__xludf.DUMMYFUNCTION("""COMPUTED_VALUE"""),"No")</f>
        <v>No</v>
      </c>
      <c r="AM292" s="5" t="str">
        <f ca="1">IFERROR(__xludf.DUMMYFUNCTION("""COMPUTED_VALUE"""),"No")</f>
        <v>No</v>
      </c>
      <c r="AN292" s="7" t="str">
        <f ca="1">IFERROR(__xludf.DUMMYFUNCTION("""COMPUTED_VALUE"""),"https://play.redstone.rs/games/wild-trail/index.html")</f>
        <v>https://play.redstone.rs/games/wild-trail/index.html</v>
      </c>
      <c r="AO292" s="5" t="str">
        <f ca="1">IFERROR(__xludf.DUMMYFUNCTION("""COMPUTED_VALUE"""),"No")</f>
        <v>No</v>
      </c>
      <c r="AP292" s="5" t="str">
        <f ca="1">IFERROR(__xludf.DUMMYFUNCTION("""COMPUTED_VALUE"""),"No")</f>
        <v>No</v>
      </c>
      <c r="AQ292" s="5" t="b">
        <f ca="1">IFERROR(__xludf.DUMMYFUNCTION("""COMPUTED_VALUE"""),TRUE)</f>
        <v>1</v>
      </c>
      <c r="AR292" s="5"/>
      <c r="AS292" s="5" t="str">
        <f ca="1">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AT292" s="5"/>
      <c r="AU292" s="5" t="str">
        <f ca="1">IFERROR(__xludf.DUMMYFUNCTION("""COMPUTED_VALUE"""),"Redstone")</f>
        <v>Redstone</v>
      </c>
      <c r="AV292" s="5"/>
      <c r="AW292" s="5"/>
      <c r="AX292" s="5"/>
      <c r="AY292" s="5"/>
      <c r="AZ292" s="5"/>
      <c r="BA292" s="5"/>
      <c r="BB292" s="5" t="b">
        <f ca="1">IFERROR(__xludf.DUMMYFUNCTION("""COMPUTED_VALUE"""),TRUE)</f>
        <v>1</v>
      </c>
      <c r="BC292" s="5" t="str">
        <f ca="1">IFERROR(__xludf.DUMMYFUNCTION("""COMPUTED_VALUE"""),"Redstone")</f>
        <v>Redstone</v>
      </c>
      <c r="BD292" s="7" t="str">
        <f ca="1">IFERROR(__xludf.DUMMYFUNCTION("""COMPUTED_VALUE"""),"https://play.redstone.rs/games/wild-trail/index.html")</f>
        <v>https://play.redstone.rs/games/wild-trail/index.html</v>
      </c>
      <c r="BE292" s="5" t="b">
        <f ca="1">IFERROR(__xludf.DUMMYFUNCTION("""COMPUTED_VALUE"""),TRUE)</f>
        <v>1</v>
      </c>
    </row>
    <row r="293" spans="1:57" x14ac:dyDescent="0.25">
      <c r="A293" s="5">
        <f ca="1">IFERROR(__xludf.DUMMYFUNCTION("""COMPUTED_VALUE"""),293)</f>
        <v>293</v>
      </c>
      <c r="B293" s="5">
        <f ca="1">IFERROR(__xludf.DUMMYFUNCTION("""COMPUTED_VALUE"""),292)</f>
        <v>292</v>
      </c>
      <c r="C293" s="5" t="str">
        <f ca="1">IFERROR(__xludf.DUMMYFUNCTION("""COMPUTED_VALUE"""),"Redstone")</f>
        <v>Redstone</v>
      </c>
      <c r="D293" s="5" t="str">
        <f ca="1">IFERROR(__xludf.DUMMYFUNCTION("""COMPUTED_VALUE"""),"40 Jokers Free Games")</f>
        <v>40 Jokers Free Games</v>
      </c>
      <c r="E293" s="5" t="str">
        <f ca="1">IFERROR(__xludf.DUMMYFUNCTION("""COMPUTED_VALUE"""),"Redstone")</f>
        <v>Redstone</v>
      </c>
      <c r="F293" s="5" t="str">
        <f ca="1">IFERROR(__xludf.DUMMYFUNCTION("""COMPUTED_VALUE"""),"Redstone40JokersFreeGames")</f>
        <v>Redstone40JokersFreeGames</v>
      </c>
      <c r="G293" s="5" t="str">
        <f ca="1">IFERROR(__xludf.DUMMYFUNCTION("""COMPUTED_VALUE"""),"Live")</f>
        <v>Live</v>
      </c>
      <c r="H293" s="5"/>
      <c r="I293" s="5" t="str">
        <f ca="1">IFERROR(__xludf.DUMMYFUNCTION("""COMPUTED_VALUE"""),"Redstone")</f>
        <v>Redstone</v>
      </c>
      <c r="J293" s="5" t="str">
        <f ca="1">IFERROR(__xludf.DUMMYFUNCTION("""COMPUTED_VALUE"""),"JSON")</f>
        <v>JSON</v>
      </c>
      <c r="K293" s="5" t="str">
        <f ca="1">IFERROR(__xludf.DUMMYFUNCTION("""COMPUTED_VALUE"""),"Slot")</f>
        <v>Slot</v>
      </c>
      <c r="L293" s="5" t="str">
        <f ca="1">IFERROR(__xludf.DUMMYFUNCTION("""COMPUTED_VALUE""")," Clone")</f>
        <v xml:space="preserve"> Clone</v>
      </c>
      <c r="M293" s="5" t="str">
        <f ca="1">IFERROR(__xludf.DUMMYFUNCTION("""COMPUTED_VALUE"""),"40 Wild Clover")</f>
        <v>40 Wild Clover</v>
      </c>
      <c r="N293" s="7" t="str">
        <f ca="1">IFERROR(__xludf.DUMMYFUNCTION("""COMPUTED_VALUE"""),"https://docs.google.com/document/d/15b1HM0l4KpfaiAAKNvC0nHSXb8d6Mk1v/edit?usp=drive_link&amp;ouid=107596163405648766688&amp;rtpof=true&amp;sd=true")</f>
        <v>https://docs.google.com/document/d/15b1HM0l4KpfaiAAKNvC0nHSXb8d6Mk1v/edit?usp=drive_link&amp;ouid=107596163405648766688&amp;rtpof=true&amp;sd=true</v>
      </c>
      <c r="O293" s="7" t="str">
        <f ca="1">IFERROR(__xludf.DUMMYFUNCTION("""COMPUTED_VALUE"""),"https://docs.google.com/document/d/1IQGnVcn_YqWL36Yv2DxCR6fILZrQehOS/edit?usp=drive_link&amp;ouid=107596163405648766688&amp;rtpof=true&amp;sd=true")</f>
        <v>https://docs.google.com/document/d/1IQGnVcn_YqWL36Yv2DxCR6fILZrQehOS/edit?usp=drive_link&amp;ouid=107596163405648766688&amp;rtpof=true&amp;sd=true</v>
      </c>
      <c r="P293" s="14">
        <f ca="1">IFERROR(__xludf.DUMMYFUNCTION("""COMPUTED_VALUE"""),7.6)</f>
        <v>7.6</v>
      </c>
      <c r="Q293" s="5"/>
      <c r="R293" s="5"/>
      <c r="S293" s="15">
        <f ca="1">IFERROR(__xludf.DUMMYFUNCTION("""COMPUTED_VALUE"""),45271)</f>
        <v>45271</v>
      </c>
      <c r="T293" s="5" t="b">
        <f ca="1">IFERROR(__xludf.DUMMYFUNCTION("""COMPUTED_VALUE"""),TRUE)</f>
        <v>1</v>
      </c>
      <c r="U293" s="5" t="str">
        <f ca="1">IFERROR(__xludf.DUMMYFUNCTION("""COMPUTED_VALUE"""),"5x4")</f>
        <v>5x4</v>
      </c>
      <c r="V293" s="12" t="str">
        <f ca="1">IFERROR(__xludf.DUMMYFUNCTION("""COMPUTED_VALUE"""),"40")</f>
        <v>40</v>
      </c>
      <c r="W293" s="12" t="str">
        <f ca="1">IFERROR(__xludf.DUMMYFUNCTION("""COMPUTED_VALUE"""),"40")</f>
        <v>40</v>
      </c>
      <c r="X293" s="5">
        <f ca="1">IFERROR(__xludf.DUMMYFUNCTION("""COMPUTED_VALUE"""),95.32)</f>
        <v>95.32</v>
      </c>
      <c r="Y293" s="5" t="str">
        <f ca="1">IFERROR(__xludf.DUMMYFUNCTION("""COMPUTED_VALUE"""),"Medium")</f>
        <v>Medium</v>
      </c>
      <c r="Z293" s="5">
        <f ca="1">IFERROR(__xludf.DUMMYFUNCTION("""COMPUTED_VALUE"""),12.34)</f>
        <v>12.34</v>
      </c>
      <c r="AA293" s="14">
        <f ca="1">IFERROR(__xludf.DUMMYFUNCTION("""COMPUTED_VALUE"""),2000)</f>
        <v>2000</v>
      </c>
      <c r="AB293" s="5"/>
      <c r="AC293" s="5" t="str">
        <f ca="1">IFERROR(__xludf.DUMMYFUNCTION("""COMPUTED_VALUE"""),"Special Wild, Scatter, Bonus Game with Free Spins")</f>
        <v>Special Wild, Scatter, Bonus Game with Free Spins</v>
      </c>
      <c r="AD293" s="5" t="str">
        <f ca="1">IFERROR(__xludf.DUMMYFUNCTION("""COMPUTED_VALUE"""),"0.40/60")</f>
        <v>0.40/60</v>
      </c>
      <c r="AE293" s="5"/>
      <c r="AF293" s="5"/>
      <c r="AG293" s="10">
        <f ca="1">IFERROR(__xludf.DUMMYFUNCTION("""COMPUTED_VALUE"""),46157.4734953703)</f>
        <v>46157.473495370301</v>
      </c>
      <c r="AH293" s="5"/>
      <c r="AI293" s="5"/>
      <c r="AJ293" s="5"/>
      <c r="AK293" s="5">
        <f ca="1">IFERROR(__xludf.DUMMYFUNCTION("""COMPUTED_VALUE"""),1)</f>
        <v>1</v>
      </c>
      <c r="AL293" s="5" t="str">
        <f ca="1">IFERROR(__xludf.DUMMYFUNCTION("""COMPUTED_VALUE"""),"No")</f>
        <v>No</v>
      </c>
      <c r="AM293" s="5" t="str">
        <f ca="1">IFERROR(__xludf.DUMMYFUNCTION("""COMPUTED_VALUE"""),"No")</f>
        <v>No</v>
      </c>
      <c r="AN293" s="7" t="str">
        <f ca="1">IFERROR(__xludf.DUMMYFUNCTION("""COMPUTED_VALUE"""),"https://play.redstone.rs/games/40-jokers-free-games/index.html")</f>
        <v>https://play.redstone.rs/games/40-jokers-free-games/index.html</v>
      </c>
      <c r="AO293" s="5" t="str">
        <f ca="1">IFERROR(__xludf.DUMMYFUNCTION("""COMPUTED_VALUE"""),"No")</f>
        <v>No</v>
      </c>
      <c r="AP293" s="5" t="str">
        <f ca="1">IFERROR(__xludf.DUMMYFUNCTION("""COMPUTED_VALUE"""),"No")</f>
        <v>No</v>
      </c>
      <c r="AQ293" s="5" t="b">
        <f ca="1">IFERROR(__xludf.DUMMYFUNCTION("""COMPUTED_VALUE"""),TRUE)</f>
        <v>1</v>
      </c>
      <c r="AR293" s="5"/>
      <c r="AS293" s="5" t="str">
        <f ca="1">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AT293" s="5"/>
      <c r="AU293" s="5" t="str">
        <f ca="1">IFERROR(__xludf.DUMMYFUNCTION("""COMPUTED_VALUE"""),"Redstone")</f>
        <v>Redstone</v>
      </c>
      <c r="AV293" s="5"/>
      <c r="AW293" s="5"/>
      <c r="AX293" s="5"/>
      <c r="AY293" s="5"/>
      <c r="AZ293" s="5"/>
      <c r="BA293" s="5"/>
      <c r="BB293" s="5" t="b">
        <f ca="1">IFERROR(__xludf.DUMMYFUNCTION("""COMPUTED_VALUE"""),TRUE)</f>
        <v>1</v>
      </c>
      <c r="BC293" s="5" t="str">
        <f ca="1">IFERROR(__xludf.DUMMYFUNCTION("""COMPUTED_VALUE"""),"Redstone")</f>
        <v>Redstone</v>
      </c>
      <c r="BD293" s="7" t="str">
        <f ca="1">IFERROR(__xludf.DUMMYFUNCTION("""COMPUTED_VALUE"""),"https://play.redstone.rs/games/40-jokers-free-games/index.html")</f>
        <v>https://play.redstone.rs/games/40-jokers-free-games/index.html</v>
      </c>
      <c r="BE293" s="5" t="b">
        <f ca="1">IFERROR(__xludf.DUMMYFUNCTION("""COMPUTED_VALUE"""),TRUE)</f>
        <v>1</v>
      </c>
    </row>
    <row r="294" spans="1:57" x14ac:dyDescent="0.25">
      <c r="A294" s="5">
        <f ca="1">IFERROR(__xludf.DUMMYFUNCTION("""COMPUTED_VALUE"""),294)</f>
        <v>294</v>
      </c>
      <c r="B294" s="5">
        <f ca="1">IFERROR(__xludf.DUMMYFUNCTION("""COMPUTED_VALUE"""),293)</f>
        <v>293</v>
      </c>
      <c r="C294" s="5" t="str">
        <f ca="1">IFERROR(__xludf.DUMMYFUNCTION("""COMPUTED_VALUE"""),"Redstone")</f>
        <v>Redstone</v>
      </c>
      <c r="D294" s="5" t="str">
        <f ca="1">IFERROR(__xludf.DUMMYFUNCTION("""COMPUTED_VALUE"""),"Moon Dog")</f>
        <v>Moon Dog</v>
      </c>
      <c r="E294" s="5" t="str">
        <f ca="1">IFERROR(__xludf.DUMMYFUNCTION("""COMPUTED_VALUE"""),"Redstone")</f>
        <v>Redstone</v>
      </c>
      <c r="F294" s="5" t="str">
        <f ca="1">IFERROR(__xludf.DUMMYFUNCTION("""COMPUTED_VALUE"""),"RedstoneMoonDog")</f>
        <v>RedstoneMoonDog</v>
      </c>
      <c r="G294" s="5" t="str">
        <f ca="1">IFERROR(__xludf.DUMMYFUNCTION("""COMPUTED_VALUE"""),"Live")</f>
        <v>Live</v>
      </c>
      <c r="H294" s="5"/>
      <c r="I294" s="5" t="str">
        <f ca="1">IFERROR(__xludf.DUMMYFUNCTION("""COMPUTED_VALUE"""),"Redstone")</f>
        <v>Redstone</v>
      </c>
      <c r="J294" s="5" t="str">
        <f ca="1">IFERROR(__xludf.DUMMYFUNCTION("""COMPUTED_VALUE"""),"JSON")</f>
        <v>JSON</v>
      </c>
      <c r="K294" s="5" t="str">
        <f ca="1">IFERROR(__xludf.DUMMYFUNCTION("""COMPUTED_VALUE"""),"Slot")</f>
        <v>Slot</v>
      </c>
      <c r="L294" s="5" t="str">
        <f ca="1">IFERROR(__xludf.DUMMYFUNCTION("""COMPUTED_VALUE""")," Clone")</f>
        <v xml:space="preserve"> Clone</v>
      </c>
      <c r="M294" s="5" t="str">
        <f ca="1">IFERROR(__xludf.DUMMYFUNCTION("""COMPUTED_VALUE"""),"40 Wild Clover")</f>
        <v>40 Wild Clover</v>
      </c>
      <c r="N294" s="7" t="str">
        <f ca="1">IFERROR(__xludf.DUMMYFUNCTION("""COMPUTED_VALUE"""),"https://docs.google.com/document/d/1NvnqrHz45jHN7kIAdXe5gJQaiubaEy9B/edit?usp=drive_link&amp;ouid=107596163405648766688&amp;rtpof=true&amp;sd=true")</f>
        <v>https://docs.google.com/document/d/1NvnqrHz45jHN7kIAdXe5gJQaiubaEy9B/edit?usp=drive_link&amp;ouid=107596163405648766688&amp;rtpof=true&amp;sd=true</v>
      </c>
      <c r="O294" s="7" t="str">
        <f ca="1">IFERROR(__xludf.DUMMYFUNCTION("""COMPUTED_VALUE"""),"https://docs.google.com/document/d/1AAJQVtDH1FNoV_SlZ4_kQ1GUK5TFTf9J/edit?usp=drive_link&amp;ouid=107596163405648766688&amp;rtpof=true&amp;sd=true")</f>
        <v>https://docs.google.com/document/d/1AAJQVtDH1FNoV_SlZ4_kQ1GUK5TFTf9J/edit?usp=drive_link&amp;ouid=107596163405648766688&amp;rtpof=true&amp;sd=true</v>
      </c>
      <c r="P294" s="14">
        <f ca="1">IFERROR(__xludf.DUMMYFUNCTION("""COMPUTED_VALUE"""),7.6)</f>
        <v>7.6</v>
      </c>
      <c r="Q294" s="5"/>
      <c r="R294" s="5"/>
      <c r="S294" s="15">
        <f ca="1">IFERROR(__xludf.DUMMYFUNCTION("""COMPUTED_VALUE"""),45264)</f>
        <v>45264</v>
      </c>
      <c r="T294" s="5" t="b">
        <f ca="1">IFERROR(__xludf.DUMMYFUNCTION("""COMPUTED_VALUE"""),TRUE)</f>
        <v>1</v>
      </c>
      <c r="U294" s="5" t="str">
        <f ca="1">IFERROR(__xludf.DUMMYFUNCTION("""COMPUTED_VALUE"""),"5x4")</f>
        <v>5x4</v>
      </c>
      <c r="V294" s="12" t="str">
        <f ca="1">IFERROR(__xludf.DUMMYFUNCTION("""COMPUTED_VALUE"""),"40")</f>
        <v>40</v>
      </c>
      <c r="W294" s="12" t="str">
        <f ca="1">IFERROR(__xludf.DUMMYFUNCTION("""COMPUTED_VALUE"""),"40")</f>
        <v>40</v>
      </c>
      <c r="X294" s="5">
        <f ca="1">IFERROR(__xludf.DUMMYFUNCTION("""COMPUTED_VALUE"""),95.32)</f>
        <v>95.32</v>
      </c>
      <c r="Y294" s="5" t="str">
        <f ca="1">IFERROR(__xludf.DUMMYFUNCTION("""COMPUTED_VALUE"""),"Medium")</f>
        <v>Medium</v>
      </c>
      <c r="Z294" s="5">
        <f ca="1">IFERROR(__xludf.DUMMYFUNCTION("""COMPUTED_VALUE"""),12.34)</f>
        <v>12.34</v>
      </c>
      <c r="AA294" s="14">
        <f ca="1">IFERROR(__xludf.DUMMYFUNCTION("""COMPUTED_VALUE"""),2000)</f>
        <v>2000</v>
      </c>
      <c r="AB294" s="5"/>
      <c r="AC294" s="5" t="str">
        <f ca="1">IFERROR(__xludf.DUMMYFUNCTION("""COMPUTED_VALUE"""),"Special Wild, Scatter, Bonus Game with Free Spins")</f>
        <v>Special Wild, Scatter, Bonus Game with Free Spins</v>
      </c>
      <c r="AD294" s="5" t="str">
        <f ca="1">IFERROR(__xludf.DUMMYFUNCTION("""COMPUTED_VALUE"""),"0.40/60")</f>
        <v>0.40/60</v>
      </c>
      <c r="AE294" s="5"/>
      <c r="AF294" s="5"/>
      <c r="AG294" s="10">
        <f ca="1">IFERROR(__xludf.DUMMYFUNCTION("""COMPUTED_VALUE"""),46212.4917708333)</f>
        <v>46212.491770833301</v>
      </c>
      <c r="AH294" s="5" t="str">
        <f ca="1">IFERROR(__xludf.DUMMYFUNCTION("""COMPUTED_VALUE"""),"selena.mihajlovic@fazi.rs")</f>
        <v>selena.mihajlovic@fazi.rs</v>
      </c>
      <c r="AI294" s="5"/>
      <c r="AJ294" s="5"/>
      <c r="AK294" s="5">
        <f ca="1">IFERROR(__xludf.DUMMYFUNCTION("""COMPUTED_VALUE"""),1)</f>
        <v>1</v>
      </c>
      <c r="AL294" s="5" t="str">
        <f ca="1">IFERROR(__xludf.DUMMYFUNCTION("""COMPUTED_VALUE"""),"No")</f>
        <v>No</v>
      </c>
      <c r="AM294" s="5" t="str">
        <f ca="1">IFERROR(__xludf.DUMMYFUNCTION("""COMPUTED_VALUE"""),"No")</f>
        <v>No</v>
      </c>
      <c r="AN294" s="7" t="str">
        <f ca="1">IFERROR(__xludf.DUMMYFUNCTION("""COMPUTED_VALUE"""),"https://static.redstone.rs/games/moon-dog/")</f>
        <v>https://static.redstone.rs/games/moon-dog/</v>
      </c>
      <c r="AO294" s="5" t="str">
        <f ca="1">IFERROR(__xludf.DUMMYFUNCTION("""COMPUTED_VALUE"""),"No")</f>
        <v>No</v>
      </c>
      <c r="AP294" s="5" t="str">
        <f ca="1">IFERROR(__xludf.DUMMYFUNCTION("""COMPUTED_VALUE"""),"No")</f>
        <v>No</v>
      </c>
      <c r="AQ294" s="5" t="b">
        <f ca="1">IFERROR(__xludf.DUMMYFUNCTION("""COMPUTED_VALUE"""),TRUE)</f>
        <v>1</v>
      </c>
      <c r="AR294" s="5"/>
      <c r="AS294" s="5" t="str">
        <f ca="1">IFERROR(__xludf.DUMMYFUNCTION("""COMPUTED_VALUE"""),"Take a spin in the Moon Dog universe with 40 lines and bonus games, and win up to 2000x!")</f>
        <v>Take a spin in the Moon Dog universe with 40 lines and bonus games, and win up to 2000x!</v>
      </c>
      <c r="AT294" s="5"/>
      <c r="AU294" s="5" t="str">
        <f ca="1">IFERROR(__xludf.DUMMYFUNCTION("""COMPUTED_VALUE"""),"Redstone")</f>
        <v>Redstone</v>
      </c>
      <c r="AV294" s="5"/>
      <c r="AW294" s="5"/>
      <c r="AX294" s="5"/>
      <c r="AY294" s="5"/>
      <c r="AZ294" s="5"/>
      <c r="BA294" s="5"/>
      <c r="BB294" s="5" t="b">
        <f ca="1">IFERROR(__xludf.DUMMYFUNCTION("""COMPUTED_VALUE"""),TRUE)</f>
        <v>1</v>
      </c>
      <c r="BC294" s="5" t="str">
        <f ca="1">IFERROR(__xludf.DUMMYFUNCTION("""COMPUTED_VALUE"""),"Redstone")</f>
        <v>Redstone</v>
      </c>
      <c r="BD294" s="7" t="str">
        <f ca="1">IFERROR(__xludf.DUMMYFUNCTION("""COMPUTED_VALUE"""),"https://static.redstone.rs/games/moon-dog/")</f>
        <v>https://static.redstone.rs/games/moon-dog/</v>
      </c>
      <c r="BE294" s="5" t="b">
        <f ca="1">IFERROR(__xludf.DUMMYFUNCTION("""COMPUTED_VALUE"""),TRUE)</f>
        <v>1</v>
      </c>
    </row>
    <row r="295" spans="1:57" x14ac:dyDescent="0.25">
      <c r="A295" s="5">
        <f ca="1">IFERROR(__xludf.DUMMYFUNCTION("""COMPUTED_VALUE"""),295)</f>
        <v>295</v>
      </c>
      <c r="B295" s="5">
        <f ca="1">IFERROR(__xludf.DUMMYFUNCTION("""COMPUTED_VALUE"""),294)</f>
        <v>294</v>
      </c>
      <c r="C295" s="5" t="str">
        <f ca="1">IFERROR(__xludf.DUMMYFUNCTION("""COMPUTED_VALUE"""),"Fazi")</f>
        <v>Fazi</v>
      </c>
      <c r="D295" s="5" t="str">
        <f ca="1">IFERROR(__xludf.DUMMYFUNCTION("""COMPUTED_VALUE"""),"Bonus Epic Crown")</f>
        <v>Bonus Epic Crown</v>
      </c>
      <c r="E295" s="5" t="str">
        <f ca="1">IFERROR(__xludf.DUMMYFUNCTION("""COMPUTED_VALUE"""),"V4-1")</f>
        <v>V4-1</v>
      </c>
      <c r="F295" s="5" t="str">
        <f ca="1">IFERROR(__xludf.DUMMYFUNCTION("""COMPUTED_VALUE"""),"BonusEpicCrown")</f>
        <v>BonusEpicCrown</v>
      </c>
      <c r="G295" s="5" t="str">
        <f ca="1">IFERROR(__xludf.DUMMYFUNCTION("""COMPUTED_VALUE"""),"Live")</f>
        <v>Live</v>
      </c>
      <c r="H295" s="5"/>
      <c r="I295" s="5" t="str">
        <f ca="1">IFERROR(__xludf.DUMMYFUNCTION("""COMPUTED_VALUE"""),"V4")</f>
        <v>V4</v>
      </c>
      <c r="J295" s="5" t="str">
        <f ca="1">IFERROR(__xludf.DUMMYFUNCTION("""COMPUTED_VALUE"""),"JSON")</f>
        <v>JSON</v>
      </c>
      <c r="K295" s="5" t="str">
        <f ca="1">IFERROR(__xludf.DUMMYFUNCTION("""COMPUTED_VALUE"""),"Slot")</f>
        <v>Slot</v>
      </c>
      <c r="L295" s="5"/>
      <c r="M295" s="5"/>
      <c r="N295" s="5"/>
      <c r="O295" s="5"/>
      <c r="P295" s="14">
        <f ca="1">IFERROR(__xludf.DUMMYFUNCTION("""COMPUTED_VALUE"""),18)</f>
        <v>18</v>
      </c>
      <c r="Q295" s="5"/>
      <c r="R295" s="5"/>
      <c r="S295" s="15">
        <f ca="1">IFERROR(__xludf.DUMMYFUNCTION("""COMPUTED_VALUE"""),45379)</f>
        <v>45379</v>
      </c>
      <c r="T295" s="5" t="b">
        <f ca="1">IFERROR(__xludf.DUMMYFUNCTION("""COMPUTED_VALUE"""),TRUE)</f>
        <v>1</v>
      </c>
      <c r="U295" s="5" t="str">
        <f ca="1">IFERROR(__xludf.DUMMYFUNCTION("""COMPUTED_VALUE"""),"5x3")</f>
        <v>5x3</v>
      </c>
      <c r="V295" s="12" t="str">
        <f ca="1">IFERROR(__xludf.DUMMYFUNCTION("""COMPUTED_VALUE"""),"10")</f>
        <v>10</v>
      </c>
      <c r="W295" s="12" t="str">
        <f ca="1">IFERROR(__xludf.DUMMYFUNCTION("""COMPUTED_VALUE"""),"10")</f>
        <v>10</v>
      </c>
      <c r="X295" s="5">
        <f ca="1">IFERROR(__xludf.DUMMYFUNCTION("""COMPUTED_VALUE"""),96.533)</f>
        <v>96.533000000000001</v>
      </c>
      <c r="Y295" s="5" t="str">
        <f ca="1">IFERROR(__xludf.DUMMYFUNCTION("""COMPUTED_VALUE"""),"High")</f>
        <v>High</v>
      </c>
      <c r="Z295" s="5">
        <f ca="1">IFERROR(__xludf.DUMMYFUNCTION("""COMPUTED_VALUE"""),10.61)</f>
        <v>10.61</v>
      </c>
      <c r="AA295" s="14">
        <f ca="1">IFERROR(__xludf.DUMMYFUNCTION("""COMPUTED_VALUE"""),20108)</f>
        <v>20108</v>
      </c>
      <c r="AB295" s="5">
        <f ca="1">IFERROR(__xludf.DUMMYFUNCTION("""COMPUTED_VALUE"""),190)</f>
        <v>190</v>
      </c>
      <c r="AC295" s="5" t="str">
        <f ca="1">IFERROR(__xludf.DUMMYFUNCTION("""COMPUTED_VALUE"""),"Extralines, Expanding Wild, Bonus Game with Free Spins, Buy Bonus")</f>
        <v>Extralines, Expanding Wild, Bonus Game with Free Spins, Buy Bonus</v>
      </c>
      <c r="AD295" s="5" t="str">
        <f ca="1">IFERROR(__xludf.DUMMYFUNCTION("""COMPUTED_VALUE"""),"0.1/40")</f>
        <v>0.1/40</v>
      </c>
      <c r="AE295" s="5"/>
      <c r="AF295" s="5"/>
      <c r="AG295" s="10">
        <f ca="1">IFERROR(__xludf.DUMMYFUNCTION("""COMPUTED_VALUE"""),46085.6859837963)</f>
        <v>46085.685983796298</v>
      </c>
      <c r="AH295" s="5" t="str">
        <f ca="1">IFERROR(__xludf.DUMMYFUNCTION("""COMPUTED_VALUE"""),"djordje.petrovic@fazi.rs")</f>
        <v>djordje.petrovic@fazi.rs</v>
      </c>
      <c r="AI295" s="5"/>
      <c r="AJ295" s="5"/>
      <c r="AK295" s="5">
        <f ca="1">IFERROR(__xludf.DUMMYFUNCTION("""COMPUTED_VALUE"""),10)</f>
        <v>10</v>
      </c>
      <c r="AL295" s="5" t="str">
        <f ca="1">IFERROR(__xludf.DUMMYFUNCTION("""COMPUTED_VALUE"""),"Yes")</f>
        <v>Yes</v>
      </c>
      <c r="AM295" s="5"/>
      <c r="AN295" s="7" t="str">
        <f ca="1">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AO295" s="5" t="str">
        <f ca="1">IFERROR(__xludf.DUMMYFUNCTION("""COMPUTED_VALUE"""),"Yes")</f>
        <v>Yes</v>
      </c>
      <c r="AP295" s="5" t="str">
        <f ca="1">IFERROR(__xludf.DUMMYFUNCTION("""COMPUTED_VALUE"""),"Yes")</f>
        <v>Yes</v>
      </c>
      <c r="AQ295" s="5" t="b">
        <f ca="1">IFERROR(__xludf.DUMMYFUNCTION("""COMPUTED_VALUE"""),TRUE)</f>
        <v>1</v>
      </c>
      <c r="AR295" s="5"/>
      <c r="AS295" s="5" t="str">
        <f ca="1">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AT295" s="5"/>
      <c r="AU295" s="5" t="str">
        <f ca="1">IFERROR(__xludf.DUMMYFUNCTION("""COMPUTED_VALUE"""),"Fazi")</f>
        <v>Fazi</v>
      </c>
      <c r="AV295" s="5"/>
      <c r="AW295" s="5" t="str">
        <f ca="1">IFERROR(__xludf.DUMMYFUNCTION("""COMPUTED_VALUE"""),"Testiratno na platformi")</f>
        <v>Testiratno na platformi</v>
      </c>
      <c r="AX295" s="5"/>
      <c r="AY295" s="5" t="str">
        <f ca="1">IFERROR(__xludf.DUMMYFUNCTION("""COMPUTED_VALUE"""),"87.5%, 89.5%, 91.5%, 93.5%, 94.5%, 95.5%, 96.5%")</f>
        <v>87.5%, 89.5%, 91.5%, 93.5%, 94.5%, 95.5%, 96.5%</v>
      </c>
      <c r="AZ295" s="5"/>
      <c r="BA295" s="5" t="str">
        <f ca="1">IFERROR(__xludf.DUMMYFUNCTION("""COMPUTED_VALUE"""),"54, 81, 108")</f>
        <v>54, 81, 108</v>
      </c>
      <c r="BB295" s="5"/>
      <c r="BC295" s="5" t="str">
        <f ca="1">IFERROR(__xludf.DUMMYFUNCTION("""COMPUTED_VALUE"""),"Foxi")</f>
        <v>Foxi</v>
      </c>
      <c r="BD295" s="7" t="str">
        <f ca="1">IFERROR(__xludf.DUMMYFUNCTION("""COMPUTED_VALUE"""),"https://gameserver-store-client-area.orbionlimited.com/Home/IntegrationGameLaunch/client-area?moneyType=0&amp;gameName=BonusEpicCrown&amp;platform=desktop&amp;languageCode=eng&amp;currency=EUR")</f>
        <v>https://gameserver-store-client-area.orbionlimited.com/Home/IntegrationGameLaunch/client-area?moneyType=0&amp;gameName=BonusEpicCrown&amp;platform=desktop&amp;languageCode=eng&amp;currency=EUR</v>
      </c>
      <c r="BE295" s="5" t="b">
        <f ca="1">IFERROR(__xludf.DUMMYFUNCTION("""COMPUTED_VALUE"""),TRUE)</f>
        <v>1</v>
      </c>
    </row>
    <row r="296" spans="1:57" x14ac:dyDescent="0.25">
      <c r="A296" s="5">
        <f ca="1">IFERROR(__xludf.DUMMYFUNCTION("""COMPUTED_VALUE"""),296)</f>
        <v>296</v>
      </c>
      <c r="B296" s="5">
        <f ca="1">IFERROR(__xludf.DUMMYFUNCTION("""COMPUTED_VALUE"""),295)</f>
        <v>295</v>
      </c>
      <c r="C296" s="5" t="str">
        <f ca="1">IFERROR(__xludf.DUMMYFUNCTION("""COMPUTED_VALUE"""),"Redstone")</f>
        <v>Redstone</v>
      </c>
      <c r="D296" s="5" t="str">
        <f ca="1">IFERROR(__xludf.DUMMYFUNCTION("""COMPUTED_VALUE"""),"20 Wild Crown")</f>
        <v>20 Wild Crown</v>
      </c>
      <c r="E296" s="5" t="str">
        <f ca="1">IFERROR(__xludf.DUMMYFUNCTION("""COMPUTED_VALUE"""),"Redstone")</f>
        <v>Redstone</v>
      </c>
      <c r="F296" s="5" t="str">
        <f ca="1">IFERROR(__xludf.DUMMYFUNCTION("""COMPUTED_VALUE"""),"Redstone20WildCrown")</f>
        <v>Redstone20WildCrown</v>
      </c>
      <c r="G296" s="5" t="str">
        <f ca="1">IFERROR(__xludf.DUMMYFUNCTION("""COMPUTED_VALUE"""),"Live")</f>
        <v>Live</v>
      </c>
      <c r="H296" s="5"/>
      <c r="I296" s="5" t="str">
        <f ca="1">IFERROR(__xludf.DUMMYFUNCTION("""COMPUTED_VALUE"""),"Redstone")</f>
        <v>Redstone</v>
      </c>
      <c r="J296" s="5" t="str">
        <f ca="1">IFERROR(__xludf.DUMMYFUNCTION("""COMPUTED_VALUE"""),"JSON")</f>
        <v>JSON</v>
      </c>
      <c r="K296" s="5" t="str">
        <f ca="1">IFERROR(__xludf.DUMMYFUNCTION("""COMPUTED_VALUE"""),"Slot")</f>
        <v>Slot</v>
      </c>
      <c r="L296" s="5" t="str">
        <f ca="1">IFERROR(__xludf.DUMMYFUNCTION("""COMPUTED_VALUE"""),"Master")</f>
        <v>Master</v>
      </c>
      <c r="M296" s="5"/>
      <c r="N296" s="7" t="str">
        <f ca="1">IFERROR(__xludf.DUMMYFUNCTION("""COMPUTED_VALUE"""),"https://docs.google.com/document/d/1xZfjh3I85tXFS4VTeVhFyQUmcXUmdotx/edit?usp=drive_link&amp;ouid=107596163405648766688&amp;rtpof=true&amp;sd=true")</f>
        <v>https://docs.google.com/document/d/1xZfjh3I85tXFS4VTeVhFyQUmcXUmdotx/edit?usp=drive_link&amp;ouid=107596163405648766688&amp;rtpof=true&amp;sd=true</v>
      </c>
      <c r="O296" s="7" t="str">
        <f ca="1">IFERROR(__xludf.DUMMYFUNCTION("""COMPUTED_VALUE"""),"https://docs.google.com/document/d/17U5ep68w6t9myafb3f5gTSGNEdDaOxSk/edit?usp=drive_link&amp;ouid=107596163405648766688&amp;rtpof=true&amp;sd=true")</f>
        <v>https://docs.google.com/document/d/17U5ep68w6t9myafb3f5gTSGNEdDaOxSk/edit?usp=drive_link&amp;ouid=107596163405648766688&amp;rtpof=true&amp;sd=true</v>
      </c>
      <c r="P296" s="14">
        <f ca="1">IFERROR(__xludf.DUMMYFUNCTION("""COMPUTED_VALUE"""),8.9)</f>
        <v>8.9</v>
      </c>
      <c r="Q296" s="5"/>
      <c r="R296" s="5"/>
      <c r="S296" s="15">
        <f ca="1">IFERROR(__xludf.DUMMYFUNCTION("""COMPUTED_VALUE"""),45278)</f>
        <v>45278</v>
      </c>
      <c r="T296" s="5" t="b">
        <f ca="1">IFERROR(__xludf.DUMMYFUNCTION("""COMPUTED_VALUE"""),TRUE)</f>
        <v>1</v>
      </c>
      <c r="U296" s="5" t="str">
        <f ca="1">IFERROR(__xludf.DUMMYFUNCTION("""COMPUTED_VALUE"""),"5x3")</f>
        <v>5x3</v>
      </c>
      <c r="V296" s="12" t="str">
        <f ca="1">IFERROR(__xludf.DUMMYFUNCTION("""COMPUTED_VALUE"""),"20")</f>
        <v>20</v>
      </c>
      <c r="W296" s="12" t="str">
        <f ca="1">IFERROR(__xludf.DUMMYFUNCTION("""COMPUTED_VALUE"""),"20")</f>
        <v>20</v>
      </c>
      <c r="X296" s="5">
        <f ca="1">IFERROR(__xludf.DUMMYFUNCTION("""COMPUTED_VALUE"""),96.55)</f>
        <v>96.55</v>
      </c>
      <c r="Y296" s="5" t="str">
        <f ca="1">IFERROR(__xludf.DUMMYFUNCTION("""COMPUTED_VALUE"""),"Medium")</f>
        <v>Medium</v>
      </c>
      <c r="Z296" s="5">
        <f ca="1">IFERROR(__xludf.DUMMYFUNCTION("""COMPUTED_VALUE"""),21.75)</f>
        <v>21.75</v>
      </c>
      <c r="AA296" s="14">
        <f ca="1">IFERROR(__xludf.DUMMYFUNCTION("""COMPUTED_VALUE"""),1231.5)</f>
        <v>1231.5</v>
      </c>
      <c r="AB296" s="5"/>
      <c r="AC296" s="5" t="str">
        <f ca="1">IFERROR(__xludf.DUMMYFUNCTION("""COMPUTED_VALUE"""),"Expanding Wild, Scatter")</f>
        <v>Expanding Wild, Scatter</v>
      </c>
      <c r="AD296" s="5" t="str">
        <f ca="1">IFERROR(__xludf.DUMMYFUNCTION("""COMPUTED_VALUE"""),"0.20/100")</f>
        <v>0.20/100</v>
      </c>
      <c r="AE296" s="5"/>
      <c r="AF296" s="5"/>
      <c r="AG296" s="10">
        <f ca="1">IFERROR(__xludf.DUMMYFUNCTION("""COMPUTED_VALUE"""),46157.4733217592)</f>
        <v>46157.4733217592</v>
      </c>
      <c r="AH296" s="5"/>
      <c r="AI296" s="5"/>
      <c r="AJ296" s="5"/>
      <c r="AK296" s="5">
        <f ca="1">IFERROR(__xludf.DUMMYFUNCTION("""COMPUTED_VALUE"""),1)</f>
        <v>1</v>
      </c>
      <c r="AL296" s="5" t="str">
        <f ca="1">IFERROR(__xludf.DUMMYFUNCTION("""COMPUTED_VALUE"""),"No")</f>
        <v>No</v>
      </c>
      <c r="AM296" s="5" t="str">
        <f ca="1">IFERROR(__xludf.DUMMYFUNCTION("""COMPUTED_VALUE"""),"No")</f>
        <v>No</v>
      </c>
      <c r="AN296" s="7" t="str">
        <f ca="1">IFERROR(__xludf.DUMMYFUNCTION("""COMPUTED_VALUE"""),"https://play.redstone.rs/games/20-wild-crown/index.html")</f>
        <v>https://play.redstone.rs/games/20-wild-crown/index.html</v>
      </c>
      <c r="AO296" s="5" t="str">
        <f ca="1">IFERROR(__xludf.DUMMYFUNCTION("""COMPUTED_VALUE"""),"No")</f>
        <v>No</v>
      </c>
      <c r="AP296" s="5" t="str">
        <f ca="1">IFERROR(__xludf.DUMMYFUNCTION("""COMPUTED_VALUE"""),"No")</f>
        <v>No</v>
      </c>
      <c r="AQ296" s="5" t="b">
        <f ca="1">IFERROR(__xludf.DUMMYFUNCTION("""COMPUTED_VALUE"""),TRUE)</f>
        <v>1</v>
      </c>
      <c r="AR296" s="5"/>
      <c r="AS296" s="5" t="str">
        <f ca="1">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AT296" s="5"/>
      <c r="AU296" s="5" t="str">
        <f ca="1">IFERROR(__xludf.DUMMYFUNCTION("""COMPUTED_VALUE"""),"Redstone")</f>
        <v>Redstone</v>
      </c>
      <c r="AV296" s="5"/>
      <c r="AW296" s="5"/>
      <c r="AX296" s="5"/>
      <c r="AY296" s="5"/>
      <c r="AZ296" s="5"/>
      <c r="BA296" s="5"/>
      <c r="BB296" s="5" t="b">
        <f ca="1">IFERROR(__xludf.DUMMYFUNCTION("""COMPUTED_VALUE"""),TRUE)</f>
        <v>1</v>
      </c>
      <c r="BC296" s="5" t="str">
        <f ca="1">IFERROR(__xludf.DUMMYFUNCTION("""COMPUTED_VALUE"""),"Redstone")</f>
        <v>Redstone</v>
      </c>
      <c r="BD296" s="7" t="str">
        <f ca="1">IFERROR(__xludf.DUMMYFUNCTION("""COMPUTED_VALUE"""),"https://play.redstone.rs/games/20-wild-crown/index.html")</f>
        <v>https://play.redstone.rs/games/20-wild-crown/index.html</v>
      </c>
      <c r="BE296" s="5" t="b">
        <f ca="1">IFERROR(__xludf.DUMMYFUNCTION("""COMPUTED_VALUE"""),TRUE)</f>
        <v>1</v>
      </c>
    </row>
    <row r="297" spans="1:57" x14ac:dyDescent="0.25">
      <c r="A297" s="5">
        <f ca="1">IFERROR(__xludf.DUMMYFUNCTION("""COMPUTED_VALUE"""),297)</f>
        <v>297</v>
      </c>
      <c r="B297" s="5">
        <f ca="1">IFERROR(__xludf.DUMMYFUNCTION("""COMPUTED_VALUE"""),296)</f>
        <v>296</v>
      </c>
      <c r="C297" s="5" t="str">
        <f ca="1">IFERROR(__xludf.DUMMYFUNCTION("""COMPUTED_VALUE"""),"Fazi")</f>
        <v>Fazi</v>
      </c>
      <c r="D297" s="5" t="str">
        <f ca="1">IFERROR(__xludf.DUMMYFUNCTION("""COMPUTED_VALUE"""),"Epic Clover 100")</f>
        <v>Epic Clover 100</v>
      </c>
      <c r="E297" s="5" t="str">
        <f ca="1">IFERROR(__xludf.DUMMYFUNCTION("""COMPUTED_VALUE"""),"V2")</f>
        <v>V2</v>
      </c>
      <c r="F297" s="5" t="str">
        <f ca="1">IFERROR(__xludf.DUMMYFUNCTION("""COMPUTED_VALUE"""),"EpicClover100")</f>
        <v>EpicClover100</v>
      </c>
      <c r="G297" s="5" t="str">
        <f ca="1">IFERROR(__xludf.DUMMYFUNCTION("""COMPUTED_VALUE"""),"Live")</f>
        <v>Live</v>
      </c>
      <c r="H297" s="5"/>
      <c r="I297" s="5" t="str">
        <f ca="1">IFERROR(__xludf.DUMMYFUNCTION("""COMPUTED_VALUE"""),"V2")</f>
        <v>V2</v>
      </c>
      <c r="J297" s="5" t="str">
        <f ca="1">IFERROR(__xludf.DUMMYFUNCTION("""COMPUTED_VALUE"""),"JSON")</f>
        <v>JSON</v>
      </c>
      <c r="K297" s="5" t="str">
        <f ca="1">IFERROR(__xludf.DUMMYFUNCTION("""COMPUTED_VALUE"""),"Slot")</f>
        <v>Slot</v>
      </c>
      <c r="L297" s="5" t="str">
        <f ca="1">IFERROR(__xludf.DUMMYFUNCTION("""COMPUTED_VALUE"""),"Clone")</f>
        <v>Clone</v>
      </c>
      <c r="M297" s="5" t="str">
        <f ca="1">IFERROR(__xludf.DUMMYFUNCTION("""COMPUTED_VALUE"""),"Epic Clover 40")</f>
        <v>Epic Clover 40</v>
      </c>
      <c r="N297" s="5"/>
      <c r="O297" s="5"/>
      <c r="P297" s="14">
        <f ca="1">IFERROR(__xludf.DUMMYFUNCTION("""COMPUTED_VALUE"""),26)</f>
        <v>26</v>
      </c>
      <c r="Q297" s="5"/>
      <c r="R297" s="5"/>
      <c r="S297" s="15">
        <f ca="1">IFERROR(__xludf.DUMMYFUNCTION("""COMPUTED_VALUE"""),45316)</f>
        <v>45316</v>
      </c>
      <c r="T297" s="5" t="b">
        <f ca="1">IFERROR(__xludf.DUMMYFUNCTION("""COMPUTED_VALUE"""),TRUE)</f>
        <v>1</v>
      </c>
      <c r="U297" s="5" t="str">
        <f ca="1">IFERROR(__xludf.DUMMYFUNCTION("""COMPUTED_VALUE"""),"5x4")</f>
        <v>5x4</v>
      </c>
      <c r="V297" s="12" t="str">
        <f ca="1">IFERROR(__xludf.DUMMYFUNCTION("""COMPUTED_VALUE"""),"100")</f>
        <v>100</v>
      </c>
      <c r="W297" s="12" t="str">
        <f ca="1">IFERROR(__xludf.DUMMYFUNCTION("""COMPUTED_VALUE"""),"100")</f>
        <v>100</v>
      </c>
      <c r="X297" s="5">
        <f ca="1">IFERROR(__xludf.DUMMYFUNCTION("""COMPUTED_VALUE"""),96.502)</f>
        <v>96.501999999999995</v>
      </c>
      <c r="Y297" s="5" t="str">
        <f ca="1">IFERROR(__xludf.DUMMYFUNCTION("""COMPUTED_VALUE"""),"Medium")</f>
        <v>Medium</v>
      </c>
      <c r="Z297" s="5">
        <f ca="1">IFERROR(__xludf.DUMMYFUNCTION("""COMPUTED_VALUE"""),13.309)</f>
        <v>13.308999999999999</v>
      </c>
      <c r="AA297" s="14">
        <f ca="1">IFERROR(__xludf.DUMMYFUNCTION("""COMPUTED_VALUE"""),3000)</f>
        <v>3000</v>
      </c>
      <c r="AB297" s="5">
        <f ca="1">IFERROR(__xludf.DUMMYFUNCTION("""COMPUTED_VALUE"""),4)</f>
        <v>4</v>
      </c>
      <c r="AC297" s="5" t="str">
        <f ca="1">IFERROR(__xludf.DUMMYFUNCTION("""COMPUTED_VALUE"""),"Scatter, Expanding Wild")</f>
        <v>Scatter, Expanding Wild</v>
      </c>
      <c r="AD297" s="5" t="str">
        <f ca="1">IFERROR(__xludf.DUMMYFUNCTION("""COMPUTED_VALUE"""),"1/100")</f>
        <v>1/100</v>
      </c>
      <c r="AE297" s="5"/>
      <c r="AF297" s="5"/>
      <c r="AG297" s="10">
        <f ca="1">IFERROR(__xludf.DUMMYFUNCTION("""COMPUTED_VALUE"""),46112.6189004629)</f>
        <v>46112.618900462898</v>
      </c>
      <c r="AH297" s="5" t="str">
        <f ca="1">IFERROR(__xludf.DUMMYFUNCTION("""COMPUTED_VALUE"""),"marko.tepavac@fazi.rs")</f>
        <v>marko.tepavac@fazi.rs</v>
      </c>
      <c r="AI297" s="5"/>
      <c r="AJ297" s="5"/>
      <c r="AK297" s="5">
        <f ca="1">IFERROR(__xludf.DUMMYFUNCTION("""COMPUTED_VALUE"""),100)</f>
        <v>100</v>
      </c>
      <c r="AL297" s="5" t="str">
        <f ca="1">IFERROR(__xludf.DUMMYFUNCTION("""COMPUTED_VALUE"""),"Yes")</f>
        <v>Yes</v>
      </c>
      <c r="AM297" s="5"/>
      <c r="AN297" s="7" t="str">
        <f ca="1">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AO297" s="5" t="str">
        <f ca="1">IFERROR(__xludf.DUMMYFUNCTION("""COMPUTED_VALUE"""),"Yes")</f>
        <v>Yes</v>
      </c>
      <c r="AP297" s="5" t="str">
        <f ca="1">IFERROR(__xludf.DUMMYFUNCTION("""COMPUTED_VALUE"""),"Yes")</f>
        <v>Yes</v>
      </c>
      <c r="AQ297" s="5" t="b">
        <f ca="1">IFERROR(__xludf.DUMMYFUNCTION("""COMPUTED_VALUE"""),TRUE)</f>
        <v>1</v>
      </c>
      <c r="AR297" s="5"/>
      <c r="AS297" s="5" t="str">
        <f ca="1">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AT297" s="5"/>
      <c r="AU297" s="5" t="str">
        <f ca="1">IFERROR(__xludf.DUMMYFUNCTION("""COMPUTED_VALUE"""),"Fazi")</f>
        <v>Fazi</v>
      </c>
      <c r="AV297" s="5"/>
      <c r="AW297" s="5"/>
      <c r="AX297" s="5"/>
      <c r="AY297" s="5" t="str">
        <f ca="1">IFERROR(__xludf.DUMMYFUNCTION("""COMPUTED_VALUE"""),"87.5%, 89.5%, 91.5%, 93.5%, 94.5%, 95.5%, 96.5%")</f>
        <v>87.5%, 89.5%, 91.5%, 93.5%, 94.5%, 95.5%, 96.5%</v>
      </c>
      <c r="AZ297" s="5"/>
      <c r="BA297" s="5"/>
      <c r="BB297" s="5"/>
      <c r="BC297" s="5" t="str">
        <f ca="1">IFERROR(__xludf.DUMMYFUNCTION("""COMPUTED_VALUE"""),"Foxi")</f>
        <v>Foxi</v>
      </c>
      <c r="BD297" s="7" t="str">
        <f ca="1">IFERROR(__xludf.DUMMYFUNCTION("""COMPUTED_VALUE"""),"https://gameserver-store-client-area.orbionlimited.com/Home/IntegrationGameLaunch/client-area?moneyType=0&amp;gameName=EpicClover100&amp;platform=desktop&amp;languageCode=eng&amp;currency=EUR")</f>
        <v>https://gameserver-store-client-area.orbionlimited.com/Home/IntegrationGameLaunch/client-area?moneyType=0&amp;gameName=EpicClover100&amp;platform=desktop&amp;languageCode=eng&amp;currency=EUR</v>
      </c>
      <c r="BE297" s="5" t="b">
        <f ca="1">IFERROR(__xludf.DUMMYFUNCTION("""COMPUTED_VALUE"""),TRUE)</f>
        <v>1</v>
      </c>
    </row>
    <row r="298" spans="1:57" x14ac:dyDescent="0.25">
      <c r="A298" s="5">
        <f ca="1">IFERROR(__xludf.DUMMYFUNCTION("""COMPUTED_VALUE"""),298)</f>
        <v>298</v>
      </c>
      <c r="B298" s="5">
        <f ca="1">IFERROR(__xludf.DUMMYFUNCTION("""COMPUTED_VALUE"""),297)</f>
        <v>297</v>
      </c>
      <c r="C298" s="5" t="str">
        <f ca="1">IFERROR(__xludf.DUMMYFUNCTION("""COMPUTED_VALUE"""),"Fazi")</f>
        <v>Fazi</v>
      </c>
      <c r="D298" s="5" t="str">
        <f ca="1">IFERROR(__xludf.DUMMYFUNCTION("""COMPUTED_VALUE"""),"Amazing Joker")</f>
        <v>Amazing Joker</v>
      </c>
      <c r="E298" s="5" t="str">
        <f ca="1">IFERROR(__xludf.DUMMYFUNCTION("""COMPUTED_VALUE"""),"V2")</f>
        <v>V2</v>
      </c>
      <c r="F298" s="5" t="str">
        <f ca="1">IFERROR(__xludf.DUMMYFUNCTION("""COMPUTED_VALUE"""),"AmazingJoker")</f>
        <v>AmazingJoker</v>
      </c>
      <c r="G298" s="5" t="str">
        <f ca="1">IFERROR(__xludf.DUMMYFUNCTION("""COMPUTED_VALUE"""),"Live")</f>
        <v>Live</v>
      </c>
      <c r="H298" s="5"/>
      <c r="I298" s="5" t="str">
        <f ca="1">IFERROR(__xludf.DUMMYFUNCTION("""COMPUTED_VALUE"""),"V2")</f>
        <v>V2</v>
      </c>
      <c r="J298" s="5" t="str">
        <f ca="1">IFERROR(__xludf.DUMMYFUNCTION("""COMPUTED_VALUE"""),"Binary")</f>
        <v>Binary</v>
      </c>
      <c r="K298" s="5" t="str">
        <f ca="1">IFERROR(__xludf.DUMMYFUNCTION("""COMPUTED_VALUE"""),"Slot")</f>
        <v>Slot</v>
      </c>
      <c r="L298" s="5"/>
      <c r="M298" s="5"/>
      <c r="N298" s="5"/>
      <c r="O298" s="5"/>
      <c r="P298" s="14">
        <f ca="1">IFERROR(__xludf.DUMMYFUNCTION("""COMPUTED_VALUE"""),23.5)</f>
        <v>23.5</v>
      </c>
      <c r="Q298" s="5"/>
      <c r="R298" s="5"/>
      <c r="S298" s="15">
        <f ca="1">IFERROR(__xludf.DUMMYFUNCTION("""COMPUTED_VALUE"""),45391)</f>
        <v>45391</v>
      </c>
      <c r="T298" s="5" t="b">
        <f ca="1">IFERROR(__xludf.DUMMYFUNCTION("""COMPUTED_VALUE"""),TRUE)</f>
        <v>1</v>
      </c>
      <c r="U298" s="5" t="str">
        <f ca="1">IFERROR(__xludf.DUMMYFUNCTION("""COMPUTED_VALUE"""),"5x4")</f>
        <v>5x4</v>
      </c>
      <c r="V298" s="12" t="str">
        <f ca="1">IFERROR(__xludf.DUMMYFUNCTION("""COMPUTED_VALUE"""),"40")</f>
        <v>40</v>
      </c>
      <c r="W298" s="12" t="str">
        <f ca="1">IFERROR(__xludf.DUMMYFUNCTION("""COMPUTED_VALUE"""),"40")</f>
        <v>40</v>
      </c>
      <c r="X298" s="5">
        <f ca="1">IFERROR(__xludf.DUMMYFUNCTION("""COMPUTED_VALUE"""),96.634)</f>
        <v>96.634</v>
      </c>
      <c r="Y298" s="5" t="str">
        <f ca="1">IFERROR(__xludf.DUMMYFUNCTION("""COMPUTED_VALUE"""),"Medium")</f>
        <v>Medium</v>
      </c>
      <c r="Z298" s="5">
        <f ca="1">IFERROR(__xludf.DUMMYFUNCTION("""COMPUTED_VALUE"""),12.693)</f>
        <v>12.693</v>
      </c>
      <c r="AA298" s="14">
        <f ca="1">IFERROR(__xludf.DUMMYFUNCTION("""COMPUTED_VALUE"""),2038)</f>
        <v>2038</v>
      </c>
      <c r="AB298" s="5">
        <f ca="1">IFERROR(__xludf.DUMMYFUNCTION("""COMPUTED_VALUE"""),190)</f>
        <v>190</v>
      </c>
      <c r="AC298" s="5" t="str">
        <f ca="1">IFERROR(__xludf.DUMMYFUNCTION("""COMPUTED_VALUE"""),"Wild Symbol, Bonus Game with Free Spins")</f>
        <v>Wild Symbol, Bonus Game with Free Spins</v>
      </c>
      <c r="AD298" s="5" t="str">
        <f ca="1">IFERROR(__xludf.DUMMYFUNCTION("""COMPUTED_VALUE"""),"0.4/60")</f>
        <v>0.4/60</v>
      </c>
      <c r="AE298" s="5"/>
      <c r="AF298" s="5"/>
      <c r="AG298" s="10">
        <f ca="1">IFERROR(__xludf.DUMMYFUNCTION("""COMPUTED_VALUE"""),46055.5244097222)</f>
        <v>46055.524409722202</v>
      </c>
      <c r="AH298" s="5" t="str">
        <f ca="1">IFERROR(__xludf.DUMMYFUNCTION("""COMPUTED_VALUE"""),"djordje.jankovic@fazi.rs")</f>
        <v>djordje.jankovic@fazi.rs</v>
      </c>
      <c r="AI298" s="5"/>
      <c r="AJ298" s="5"/>
      <c r="AK298" s="5">
        <f ca="1">IFERROR(__xludf.DUMMYFUNCTION("""COMPUTED_VALUE"""),40)</f>
        <v>40</v>
      </c>
      <c r="AL298" s="5" t="str">
        <f ca="1">IFERROR(__xludf.DUMMYFUNCTION("""COMPUTED_VALUE"""),"Yes")</f>
        <v>Yes</v>
      </c>
      <c r="AM298" s="5"/>
      <c r="AN298" s="7" t="str">
        <f ca="1">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AO298" s="5"/>
      <c r="AP298" s="5"/>
      <c r="AQ298" s="5" t="b">
        <f ca="1">IFERROR(__xludf.DUMMYFUNCTION("""COMPUTED_VALUE"""),TRUE)</f>
        <v>1</v>
      </c>
      <c r="AR298" s="5"/>
      <c r="AS298" s="5" t="str">
        <f ca="1">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AT298" s="5"/>
      <c r="AU298" s="5" t="str">
        <f ca="1">IFERROR(__xludf.DUMMYFUNCTION("""COMPUTED_VALUE"""),"Fazi")</f>
        <v>Fazi</v>
      </c>
      <c r="AV298" s="5"/>
      <c r="AW298" s="5"/>
      <c r="AX298" s="5"/>
      <c r="AY298" s="5"/>
      <c r="AZ298" s="5"/>
      <c r="BA298" s="5" t="str">
        <f ca="1">IFERROR(__xludf.DUMMYFUNCTION("""COMPUTED_VALUE"""),"")</f>
        <v/>
      </c>
      <c r="BB298" s="5"/>
      <c r="BC298" s="5" t="str">
        <f ca="1">IFERROR(__xludf.DUMMYFUNCTION("""COMPUTED_VALUE"""),"Foxi")</f>
        <v>Foxi</v>
      </c>
      <c r="BD298" s="7" t="str">
        <f ca="1">IFERROR(__xludf.DUMMYFUNCTION("""COMPUTED_VALUE"""),"https://gameserver-store-client-area.orbionlimited.com/Home/IntegrationGameLaunch/client-area?moneyType=0&amp;gameName=AmazingJoker&amp;platform=desktop&amp;languageCode=eng&amp;currency=EUR")</f>
        <v>https://gameserver-store-client-area.orbionlimited.com/Home/IntegrationGameLaunch/client-area?moneyType=0&amp;gameName=AmazingJoker&amp;platform=desktop&amp;languageCode=eng&amp;currency=EUR</v>
      </c>
      <c r="BE298" s="5" t="b">
        <f ca="1">IFERROR(__xludf.DUMMYFUNCTION("""COMPUTED_VALUE"""),TRUE)</f>
        <v>1</v>
      </c>
    </row>
    <row r="299" spans="1:57" x14ac:dyDescent="0.25">
      <c r="A299" s="5">
        <f ca="1">IFERROR(__xludf.DUMMYFUNCTION("""COMPUTED_VALUE"""),299)</f>
        <v>299</v>
      </c>
      <c r="B299" s="5">
        <f ca="1">IFERROR(__xludf.DUMMYFUNCTION("""COMPUTED_VALUE"""),298)</f>
        <v>298</v>
      </c>
      <c r="C299" s="5" t="str">
        <f ca="1">IFERROR(__xludf.DUMMYFUNCTION("""COMPUTED_VALUE"""),"Fazi")</f>
        <v>Fazi</v>
      </c>
      <c r="D299" s="5" t="str">
        <f ca="1">IFERROR(__xludf.DUMMYFUNCTION("""COMPUTED_VALUE"""),"Grandpashabet Crown")</f>
        <v>Grandpashabet Crown</v>
      </c>
      <c r="E299" s="5" t="str">
        <f ca="1">IFERROR(__xludf.DUMMYFUNCTION("""COMPUTED_VALUE"""),"V2")</f>
        <v>V2</v>
      </c>
      <c r="F299" s="5" t="str">
        <f ca="1">IFERROR(__xludf.DUMMYFUNCTION("""COMPUTED_VALUE"""),"GrandpashabetCrown")</f>
        <v>GrandpashabetCrown</v>
      </c>
      <c r="G299" s="5" t="str">
        <f ca="1">IFERROR(__xludf.DUMMYFUNCTION("""COMPUTED_VALUE"""),"Live")</f>
        <v>Live</v>
      </c>
      <c r="H299" s="5"/>
      <c r="I299" s="5" t="str">
        <f ca="1">IFERROR(__xludf.DUMMYFUNCTION("""COMPUTED_VALUE"""),"V2")</f>
        <v>V2</v>
      </c>
      <c r="J299" s="5" t="str">
        <f ca="1">IFERROR(__xludf.DUMMYFUNCTION("""COMPUTED_VALUE"""),"Binary")</f>
        <v>Binary</v>
      </c>
      <c r="K299" s="5" t="str">
        <f ca="1">IFERROR(__xludf.DUMMYFUNCTION("""COMPUTED_VALUE"""),"Slot")</f>
        <v>Slot</v>
      </c>
      <c r="L299" s="5" t="str">
        <f ca="1">IFERROR(__xludf.DUMMYFUNCTION("""COMPUTED_VALUE"""),"Clone")</f>
        <v>Clone</v>
      </c>
      <c r="M299" s="5" t="str">
        <f ca="1">IFERROR(__xludf.DUMMYFUNCTION("""COMPUTED_VALUE"""),"Golden Crown")</f>
        <v>Golden Crown</v>
      </c>
      <c r="N299" s="5"/>
      <c r="O299" s="5"/>
      <c r="P299" s="5"/>
      <c r="Q299" s="5"/>
      <c r="R299" s="5"/>
      <c r="S299" s="15">
        <f ca="1">IFERROR(__xludf.DUMMYFUNCTION("""COMPUTED_VALUE"""),45379)</f>
        <v>45379</v>
      </c>
      <c r="T299" s="5"/>
      <c r="U299" s="5" t="str">
        <f ca="1">IFERROR(__xludf.DUMMYFUNCTION("""COMPUTED_VALUE"""),"5x3")</f>
        <v>5x3</v>
      </c>
      <c r="V299" s="12" t="str">
        <f ca="1">IFERROR(__xludf.DUMMYFUNCTION("""COMPUTED_VALUE"""),"10")</f>
        <v>10</v>
      </c>
      <c r="W299" s="12" t="str">
        <f ca="1">IFERROR(__xludf.DUMMYFUNCTION("""COMPUTED_VALUE"""),"10")</f>
        <v>10</v>
      </c>
      <c r="X299" s="5">
        <f ca="1">IFERROR(__xludf.DUMMYFUNCTION("""COMPUTED_VALUE"""),95.962)</f>
        <v>95.962000000000003</v>
      </c>
      <c r="Y299" s="5" t="str">
        <f ca="1">IFERROR(__xludf.DUMMYFUNCTION("""COMPUTED_VALUE"""),"Medium")</f>
        <v>Medium</v>
      </c>
      <c r="Z299" s="5">
        <f ca="1">IFERROR(__xludf.DUMMYFUNCTION("""COMPUTED_VALUE"""),14.634)</f>
        <v>14.634</v>
      </c>
      <c r="AA299" s="14">
        <f ca="1">IFERROR(__xludf.DUMMYFUNCTION("""COMPUTED_VALUE"""),1538)</f>
        <v>1538</v>
      </c>
      <c r="AB299" s="5">
        <f ca="1">IFERROR(__xludf.DUMMYFUNCTION("""COMPUTED_VALUE"""),4)</f>
        <v>4</v>
      </c>
      <c r="AC299" s="5" t="str">
        <f ca="1">IFERROR(__xludf.DUMMYFUNCTION("""COMPUTED_VALUE"""),"Scatter, Expanding Wild")</f>
        <v>Scatter, Expanding Wild</v>
      </c>
      <c r="AD299" s="5"/>
      <c r="AE299" s="5"/>
      <c r="AF299" s="5"/>
      <c r="AG299" s="10">
        <f ca="1">IFERROR(__xludf.DUMMYFUNCTION("""COMPUTED_VALUE"""),46020.5213078703)</f>
        <v>46020.521307870302</v>
      </c>
      <c r="AH299" s="5" t="str">
        <f ca="1">IFERROR(__xludf.DUMMYFUNCTION("""COMPUTED_VALUE"""),"djordje.jankovic@fazi.rs")</f>
        <v>djordje.jankovic@fazi.rs</v>
      </c>
      <c r="AI299" s="5"/>
      <c r="AJ299" s="5"/>
      <c r="AK299" s="5">
        <f ca="1">IFERROR(__xludf.DUMMYFUNCTION("""COMPUTED_VALUE"""),10)</f>
        <v>10</v>
      </c>
      <c r="AL299" s="5" t="str">
        <f ca="1">IFERROR(__xludf.DUMMYFUNCTION("""COMPUTED_VALUE"""),"Yes")</f>
        <v>Yes</v>
      </c>
      <c r="AM299" s="5"/>
      <c r="AN299" s="5"/>
      <c r="AO299" s="5"/>
      <c r="AP299" s="5"/>
      <c r="AQ299" s="5"/>
      <c r="AR299" s="5" t="b">
        <f ca="1">IFERROR(__xludf.DUMMYFUNCTION("""COMPUTED_VALUE"""),TRUE)</f>
        <v>1</v>
      </c>
      <c r="AS299" s="5"/>
      <c r="AT299" s="5"/>
      <c r="AU299" s="5" t="str">
        <f ca="1">IFERROR(__xludf.DUMMYFUNCTION("""COMPUTED_VALUE"""),"Fazi")</f>
        <v>Fazi</v>
      </c>
      <c r="AV299" s="5"/>
      <c r="AW299" s="5"/>
      <c r="AX299" s="5"/>
      <c r="AY299" s="5"/>
      <c r="AZ299" s="5"/>
      <c r="BA299" s="5" t="str">
        <f ca="1">IFERROR(__xludf.DUMMYFUNCTION("""COMPUTED_VALUE"""),"")</f>
        <v/>
      </c>
      <c r="BB299" s="5"/>
      <c r="BC299" s="5" t="str">
        <f ca="1">IFERROR(__xludf.DUMMYFUNCTION("""COMPUTED_VALUE"""),"Foxi")</f>
        <v>Foxi</v>
      </c>
      <c r="BD299" s="5" t="str">
        <f ca="1">IFERROR(__xludf.DUMMYFUNCTION("""COMPUTED_VALUE"""),"")</f>
        <v/>
      </c>
      <c r="BE299" s="5"/>
    </row>
    <row r="300" spans="1:57" x14ac:dyDescent="0.25">
      <c r="A300" s="5">
        <f ca="1">IFERROR(__xludf.DUMMYFUNCTION("""COMPUTED_VALUE"""),300)</f>
        <v>300</v>
      </c>
      <c r="B300" s="5">
        <f ca="1">IFERROR(__xludf.DUMMYFUNCTION("""COMPUTED_VALUE"""),299)</f>
        <v>299</v>
      </c>
      <c r="C300" s="5" t="str">
        <f ca="1">IFERROR(__xludf.DUMMYFUNCTION("""COMPUTED_VALUE"""),"Fazi")</f>
        <v>Fazi</v>
      </c>
      <c r="D300" s="5" t="str">
        <f ca="1">IFERROR(__xludf.DUMMYFUNCTION("""COMPUTED_VALUE"""),"Triple Fields of Luck")</f>
        <v>Triple Fields of Luck</v>
      </c>
      <c r="E300" s="5" t="str">
        <f ca="1">IFERROR(__xludf.DUMMYFUNCTION("""COMPUTED_VALUE"""),"V2")</f>
        <v>V2</v>
      </c>
      <c r="F300" s="5" t="str">
        <f ca="1">IFERROR(__xludf.DUMMYFUNCTION("""COMPUTED_VALUE"""),"TripleFieldsOfLuck")</f>
        <v>TripleFieldsOfLuck</v>
      </c>
      <c r="G300" s="5" t="str">
        <f ca="1">IFERROR(__xludf.DUMMYFUNCTION("""COMPUTED_VALUE"""),"Live")</f>
        <v>Live</v>
      </c>
      <c r="H300" s="5"/>
      <c r="I300" s="5" t="str">
        <f ca="1">IFERROR(__xludf.DUMMYFUNCTION("""COMPUTED_VALUE"""),"V2")</f>
        <v>V2</v>
      </c>
      <c r="J300" s="5" t="str">
        <f ca="1">IFERROR(__xludf.DUMMYFUNCTION("""COMPUTED_VALUE"""),"Binary")</f>
        <v>Binary</v>
      </c>
      <c r="K300" s="5" t="str">
        <f ca="1">IFERROR(__xludf.DUMMYFUNCTION("""COMPUTED_VALUE"""),"Slot")</f>
        <v>Slot</v>
      </c>
      <c r="L300" s="5"/>
      <c r="M300" s="5"/>
      <c r="N300" s="5"/>
      <c r="O300" s="5"/>
      <c r="P300" s="14">
        <f ca="1">IFERROR(__xludf.DUMMYFUNCTION("""COMPUTED_VALUE"""),23)</f>
        <v>23</v>
      </c>
      <c r="Q300" s="5"/>
      <c r="R300" s="5"/>
      <c r="S300" s="15">
        <f ca="1">IFERROR(__xludf.DUMMYFUNCTION("""COMPUTED_VALUE"""),45366)</f>
        <v>45366</v>
      </c>
      <c r="T300" s="5" t="b">
        <f ca="1">IFERROR(__xludf.DUMMYFUNCTION("""COMPUTED_VALUE"""),TRUE)</f>
        <v>1</v>
      </c>
      <c r="U300" s="5" t="str">
        <f ca="1">IFERROR(__xludf.DUMMYFUNCTION("""COMPUTED_VALUE"""),"3x3")</f>
        <v>3x3</v>
      </c>
      <c r="V300" s="12" t="str">
        <f ca="1">IFERROR(__xludf.DUMMYFUNCTION("""COMPUTED_VALUE"""),"5")</f>
        <v>5</v>
      </c>
      <c r="W300" s="12" t="str">
        <f ca="1">IFERROR(__xludf.DUMMYFUNCTION("""COMPUTED_VALUE"""),"5")</f>
        <v>5</v>
      </c>
      <c r="X300" s="5">
        <f ca="1">IFERROR(__xludf.DUMMYFUNCTION("""COMPUTED_VALUE"""),96.479)</f>
        <v>96.478999999999999</v>
      </c>
      <c r="Y300" s="5" t="str">
        <f ca="1">IFERROR(__xludf.DUMMYFUNCTION("""COMPUTED_VALUE"""),"Medium")</f>
        <v>Medium</v>
      </c>
      <c r="Z300" s="5">
        <f ca="1">IFERROR(__xludf.DUMMYFUNCTION("""COMPUTED_VALUE"""),9.94)</f>
        <v>9.94</v>
      </c>
      <c r="AA300" s="14">
        <f ca="1">IFERROR(__xludf.DUMMYFUNCTION("""COMPUTED_VALUE"""),200)</f>
        <v>200</v>
      </c>
      <c r="AB300" s="5">
        <f ca="1">IFERROR(__xludf.DUMMYFUNCTION("""COMPUTED_VALUE"""),6)</f>
        <v>6</v>
      </c>
      <c r="AC300" s="5" t="str">
        <f ca="1">IFERROR(__xludf.DUMMYFUNCTION("""COMPUTED_VALUE"""),"Expanding Wild")</f>
        <v>Expanding Wild</v>
      </c>
      <c r="AD300" s="5" t="str">
        <f ca="1">IFERROR(__xludf.DUMMYFUNCTION("""COMPUTED_VALUE"""),"0.05/30")</f>
        <v>0.05/30</v>
      </c>
      <c r="AE300" s="5"/>
      <c r="AF300" s="5"/>
      <c r="AG300" s="10">
        <f ca="1">IFERROR(__xludf.DUMMYFUNCTION("""COMPUTED_VALUE"""),46055.5241203703)</f>
        <v>46055.524120370297</v>
      </c>
      <c r="AH300" s="5" t="str">
        <f ca="1">IFERROR(__xludf.DUMMYFUNCTION("""COMPUTED_VALUE"""),"djordje.jankovic@fazi.rs")</f>
        <v>djordje.jankovic@fazi.rs</v>
      </c>
      <c r="AI300" s="5"/>
      <c r="AJ300" s="5"/>
      <c r="AK300" s="5">
        <f ca="1">IFERROR(__xludf.DUMMYFUNCTION("""COMPUTED_VALUE"""),5)</f>
        <v>5</v>
      </c>
      <c r="AL300" s="5" t="str">
        <f ca="1">IFERROR(__xludf.DUMMYFUNCTION("""COMPUTED_VALUE"""),"Yes")</f>
        <v>Yes</v>
      </c>
      <c r="AM300" s="5"/>
      <c r="AN300" s="7" t="str">
        <f ca="1">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AO300" s="5"/>
      <c r="AP300" s="5"/>
      <c r="AQ300" s="5" t="b">
        <f ca="1">IFERROR(__xludf.DUMMYFUNCTION("""COMPUTED_VALUE"""),TRUE)</f>
        <v>1</v>
      </c>
      <c r="AR300" s="5"/>
      <c r="AS300" s="5" t="str">
        <f ca="1">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AT300" s="5"/>
      <c r="AU300" s="5" t="str">
        <f ca="1">IFERROR(__xludf.DUMMYFUNCTION("""COMPUTED_VALUE"""),"Fazi")</f>
        <v>Fazi</v>
      </c>
      <c r="AV300" s="5"/>
      <c r="AW300" s="5"/>
      <c r="AX300" s="5"/>
      <c r="AY300" s="5"/>
      <c r="AZ300" s="5"/>
      <c r="BA300" s="5" t="str">
        <f ca="1">IFERROR(__xludf.DUMMYFUNCTION("""COMPUTED_VALUE"""),"")</f>
        <v/>
      </c>
      <c r="BB300" s="5"/>
      <c r="BC300" s="5" t="str">
        <f ca="1">IFERROR(__xludf.DUMMYFUNCTION("""COMPUTED_VALUE"""),"Foxi")</f>
        <v>Foxi</v>
      </c>
      <c r="BD300" s="7" t="str">
        <f ca="1">IFERROR(__xludf.DUMMYFUNCTION("""COMPUTED_VALUE"""),"https://gameserver-store-client-area.orbionlimited.com/Home/IntegrationGameLaunch/client-area?moneyType=0&amp;gameName=TripleFieldsOfLuck&amp;platform=desktop&amp;languageCode=eng&amp;currency=EUR")</f>
        <v>https://gameserver-store-client-area.orbionlimited.com/Home/IntegrationGameLaunch/client-area?moneyType=0&amp;gameName=TripleFieldsOfLuck&amp;platform=desktop&amp;languageCode=eng&amp;currency=EUR</v>
      </c>
      <c r="BE300" s="5" t="b">
        <f ca="1">IFERROR(__xludf.DUMMYFUNCTION("""COMPUTED_VALUE"""),TRUE)</f>
        <v>1</v>
      </c>
    </row>
    <row r="301" spans="1:57" x14ac:dyDescent="0.25">
      <c r="A301" s="5">
        <f ca="1">IFERROR(__xludf.DUMMYFUNCTION("""COMPUTED_VALUE"""),301)</f>
        <v>301</v>
      </c>
      <c r="B301" s="5">
        <f ca="1">IFERROR(__xludf.DUMMYFUNCTION("""COMPUTED_VALUE"""),300)</f>
        <v>300</v>
      </c>
      <c r="C301" s="5" t="str">
        <f ca="1">IFERROR(__xludf.DUMMYFUNCTION("""COMPUTED_VALUE"""),"Redstone")</f>
        <v>Redstone</v>
      </c>
      <c r="D301" s="5" t="str">
        <f ca="1">IFERROR(__xludf.DUMMYFUNCTION("""COMPUTED_VALUE"""),"Chilli Double")</f>
        <v>Chilli Double</v>
      </c>
      <c r="E301" s="5" t="str">
        <f ca="1">IFERROR(__xludf.DUMMYFUNCTION("""COMPUTED_VALUE"""),"Redstone")</f>
        <v>Redstone</v>
      </c>
      <c r="F301" s="5" t="str">
        <f ca="1">IFERROR(__xludf.DUMMYFUNCTION("""COMPUTED_VALUE"""),"RedstoneChilliDouble")</f>
        <v>RedstoneChilliDouble</v>
      </c>
      <c r="G301" s="5" t="str">
        <f ca="1">IFERROR(__xludf.DUMMYFUNCTION("""COMPUTED_VALUE"""),"Live")</f>
        <v>Live</v>
      </c>
      <c r="H301" s="5"/>
      <c r="I301" s="5" t="str">
        <f ca="1">IFERROR(__xludf.DUMMYFUNCTION("""COMPUTED_VALUE"""),"Redstone")</f>
        <v>Redstone</v>
      </c>
      <c r="J301" s="5" t="str">
        <f ca="1">IFERROR(__xludf.DUMMYFUNCTION("""COMPUTED_VALUE"""),"JSON")</f>
        <v>JSON</v>
      </c>
      <c r="K301" s="5" t="str">
        <f ca="1">IFERROR(__xludf.DUMMYFUNCTION("""COMPUTED_VALUE"""),"Slot")</f>
        <v>Slot</v>
      </c>
      <c r="L301" s="5" t="str">
        <f ca="1">IFERROR(__xludf.DUMMYFUNCTION("""COMPUTED_VALUE"""),"Master")</f>
        <v>Master</v>
      </c>
      <c r="M301" s="5"/>
      <c r="N301" s="7" t="str">
        <f ca="1">IFERROR(__xludf.DUMMYFUNCTION("""COMPUTED_VALUE"""),"https://docs.google.com/document/d/1PYxXsTRixVUGoPQjGyncmfz5LXWWNYRg/edit?usp=drive_link&amp;ouid=107596163405648766688&amp;rtpof=true&amp;sd=true")</f>
        <v>https://docs.google.com/document/d/1PYxXsTRixVUGoPQjGyncmfz5LXWWNYRg/edit?usp=drive_link&amp;ouid=107596163405648766688&amp;rtpof=true&amp;sd=true</v>
      </c>
      <c r="O301" s="7" t="str">
        <f ca="1">IFERROR(__xludf.DUMMYFUNCTION("""COMPUTED_VALUE"""),"https://docs.google.com/document/d/1wEnLmJFmrg49N5YjNDqPdbpoWHjyekQY/edit?usp=drive_link&amp;ouid=107596163405648766688&amp;rtpof=true&amp;sd=true")</f>
        <v>https://docs.google.com/document/d/1wEnLmJFmrg49N5YjNDqPdbpoWHjyekQY/edit?usp=drive_link&amp;ouid=107596163405648766688&amp;rtpof=true&amp;sd=true</v>
      </c>
      <c r="P301" s="14">
        <f ca="1">IFERROR(__xludf.DUMMYFUNCTION("""COMPUTED_VALUE"""),7.5)</f>
        <v>7.5</v>
      </c>
      <c r="Q301" s="5"/>
      <c r="R301" s="5"/>
      <c r="S301" s="15">
        <f ca="1">IFERROR(__xludf.DUMMYFUNCTION("""COMPUTED_VALUE"""),45313)</f>
        <v>45313</v>
      </c>
      <c r="T301" s="5" t="b">
        <f ca="1">IFERROR(__xludf.DUMMYFUNCTION("""COMPUTED_VALUE"""),TRUE)</f>
        <v>1</v>
      </c>
      <c r="U301" s="5" t="str">
        <f ca="1">IFERROR(__xludf.DUMMYFUNCTION("""COMPUTED_VALUE"""),"5x3")</f>
        <v>5x3</v>
      </c>
      <c r="V301" s="12" t="str">
        <f ca="1">IFERROR(__xludf.DUMMYFUNCTION("""COMPUTED_VALUE"""),"5")</f>
        <v>5</v>
      </c>
      <c r="W301" s="12" t="str">
        <f ca="1">IFERROR(__xludf.DUMMYFUNCTION("""COMPUTED_VALUE"""),"5")</f>
        <v>5</v>
      </c>
      <c r="X301" s="5">
        <f ca="1">IFERROR(__xludf.DUMMYFUNCTION("""COMPUTED_VALUE"""),96.45)</f>
        <v>96.45</v>
      </c>
      <c r="Y301" s="5" t="str">
        <f ca="1">IFERROR(__xludf.DUMMYFUNCTION("""COMPUTED_VALUE"""),"Medium")</f>
        <v>Medium</v>
      </c>
      <c r="Z301" s="5">
        <f ca="1">IFERROR(__xludf.DUMMYFUNCTION("""COMPUTED_VALUE"""),14.23)</f>
        <v>14.23</v>
      </c>
      <c r="AA301" s="14">
        <f ca="1">IFERROR(__xludf.DUMMYFUNCTION("""COMPUTED_VALUE"""),2624)</f>
        <v>2624</v>
      </c>
      <c r="AB301" s="5"/>
      <c r="AC301" s="5" t="str">
        <f ca="1">IFERROR(__xludf.DUMMYFUNCTION("""COMPUTED_VALUE"""),"Expanding Wild, Scatter")</f>
        <v>Expanding Wild, Scatter</v>
      </c>
      <c r="AD301" s="5" t="str">
        <f ca="1">IFERROR(__xludf.DUMMYFUNCTION("""COMPUTED_VALUE"""),"0.05/100")</f>
        <v>0.05/100</v>
      </c>
      <c r="AE301" s="5"/>
      <c r="AF301" s="5"/>
      <c r="AG301" s="10">
        <f ca="1">IFERROR(__xludf.DUMMYFUNCTION("""COMPUTED_VALUE"""),46157.4731828703)</f>
        <v>46157.473182870301</v>
      </c>
      <c r="AH301" s="5"/>
      <c r="AI301" s="5"/>
      <c r="AJ301" s="5"/>
      <c r="AK301" s="5">
        <f ca="1">IFERROR(__xludf.DUMMYFUNCTION("""COMPUTED_VALUE"""),1)</f>
        <v>1</v>
      </c>
      <c r="AL301" s="5" t="str">
        <f ca="1">IFERROR(__xludf.DUMMYFUNCTION("""COMPUTED_VALUE"""),"No")</f>
        <v>No</v>
      </c>
      <c r="AM301" s="5" t="str">
        <f ca="1">IFERROR(__xludf.DUMMYFUNCTION("""COMPUTED_VALUE"""),"No")</f>
        <v>No</v>
      </c>
      <c r="AN301" s="7" t="str">
        <f ca="1">IFERROR(__xludf.DUMMYFUNCTION("""COMPUTED_VALUE"""),"https://static.redstone.rs/games/chilli-double/")</f>
        <v>https://static.redstone.rs/games/chilli-double/</v>
      </c>
      <c r="AO301" s="5" t="str">
        <f ca="1">IFERROR(__xludf.DUMMYFUNCTION("""COMPUTED_VALUE"""),"No")</f>
        <v>No</v>
      </c>
      <c r="AP301" s="5" t="str">
        <f ca="1">IFERROR(__xludf.DUMMYFUNCTION("""COMPUTED_VALUE"""),"No")</f>
        <v>No</v>
      </c>
      <c r="AQ301" s="5" t="b">
        <f ca="1">IFERROR(__xludf.DUMMYFUNCTION("""COMPUTED_VALUE"""),TRUE)</f>
        <v>1</v>
      </c>
      <c r="AR301" s="5"/>
      <c r="AS301" s="5" t="str">
        <f ca="1">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AT301" s="5"/>
      <c r="AU301" s="5" t="str">
        <f ca="1">IFERROR(__xludf.DUMMYFUNCTION("""COMPUTED_VALUE"""),"Redstone")</f>
        <v>Redstone</v>
      </c>
      <c r="AV301" s="5"/>
      <c r="AW301" s="5"/>
      <c r="AX301" s="5"/>
      <c r="AY301" s="5"/>
      <c r="AZ301" s="5"/>
      <c r="BA301" s="5"/>
      <c r="BB301" s="5" t="b">
        <f ca="1">IFERROR(__xludf.DUMMYFUNCTION("""COMPUTED_VALUE"""),TRUE)</f>
        <v>1</v>
      </c>
      <c r="BC301" s="5" t="str">
        <f ca="1">IFERROR(__xludf.DUMMYFUNCTION("""COMPUTED_VALUE"""),"Redstone")</f>
        <v>Redstone</v>
      </c>
      <c r="BD301" s="7" t="str">
        <f ca="1">IFERROR(__xludf.DUMMYFUNCTION("""COMPUTED_VALUE"""),"https://static.redstone.rs/games/chilli-double/")</f>
        <v>https://static.redstone.rs/games/chilli-double/</v>
      </c>
      <c r="BE301" s="5" t="b">
        <f ca="1">IFERROR(__xludf.DUMMYFUNCTION("""COMPUTED_VALUE"""),TRUE)</f>
        <v>1</v>
      </c>
    </row>
    <row r="302" spans="1:57" x14ac:dyDescent="0.25">
      <c r="A302" s="5">
        <f ca="1">IFERROR(__xludf.DUMMYFUNCTION("""COMPUTED_VALUE"""),302)</f>
        <v>302</v>
      </c>
      <c r="B302" s="5">
        <f ca="1">IFERROR(__xludf.DUMMYFUNCTION("""COMPUTED_VALUE"""),301)</f>
        <v>301</v>
      </c>
      <c r="C302" s="5" t="str">
        <f ca="1">IFERROR(__xludf.DUMMYFUNCTION("""COMPUTED_VALUE"""),"Redstone")</f>
        <v>Redstone</v>
      </c>
      <c r="D302" s="5" t="str">
        <f ca="1">IFERROR(__xludf.DUMMYFUNCTION("""COMPUTED_VALUE"""),"Hot Rush Crown Burst")</f>
        <v>Hot Rush Crown Burst</v>
      </c>
      <c r="E302" s="5" t="str">
        <f ca="1">IFERROR(__xludf.DUMMYFUNCTION("""COMPUTED_VALUE"""),"Redstone")</f>
        <v>Redstone</v>
      </c>
      <c r="F302" s="5" t="str">
        <f ca="1">IFERROR(__xludf.DUMMYFUNCTION("""COMPUTED_VALUE"""),"RedstoneHotRushCrownBurst")</f>
        <v>RedstoneHotRushCrownBurst</v>
      </c>
      <c r="G302" s="5" t="str">
        <f ca="1">IFERROR(__xludf.DUMMYFUNCTION("""COMPUTED_VALUE"""),"Live")</f>
        <v>Live</v>
      </c>
      <c r="H302" s="5"/>
      <c r="I302" s="5" t="str">
        <f ca="1">IFERROR(__xludf.DUMMYFUNCTION("""COMPUTED_VALUE"""),"Redstone")</f>
        <v>Redstone</v>
      </c>
      <c r="J302" s="5" t="str">
        <f ca="1">IFERROR(__xludf.DUMMYFUNCTION("""COMPUTED_VALUE"""),"JSON")</f>
        <v>JSON</v>
      </c>
      <c r="K302" s="5" t="str">
        <f ca="1">IFERROR(__xludf.DUMMYFUNCTION("""COMPUTED_VALUE"""),"Slot")</f>
        <v>Slot</v>
      </c>
      <c r="L302" s="5"/>
      <c r="M302" s="5"/>
      <c r="N302" s="7" t="str">
        <f ca="1">IFERROR(__xludf.DUMMYFUNCTION("""COMPUTED_VALUE"""),"https://docs.google.com/document/d/1VsxFGG6KMJSMeHNfFC2m7P-sd-0f4mbD/edit?usp=drive_link&amp;ouid=107596163405648766688&amp;rtpof=true&amp;sd=true")</f>
        <v>https://docs.google.com/document/d/1VsxFGG6KMJSMeHNfFC2m7P-sd-0f4mbD/edit?usp=drive_link&amp;ouid=107596163405648766688&amp;rtpof=true&amp;sd=true</v>
      </c>
      <c r="O302" s="7" t="str">
        <f ca="1">IFERROR(__xludf.DUMMYFUNCTION("""COMPUTED_VALUE"""),"https://docs.google.com/document/d/1ps3hC3q69Tm1vXTvhMOtz6pha6fh6E9E/edit?usp=drive_link&amp;ouid=107596163405648766688&amp;rtpof=true&amp;sd=true")</f>
        <v>https://docs.google.com/document/d/1ps3hC3q69Tm1vXTvhMOtz6pha6fh6E9E/edit?usp=drive_link&amp;ouid=107596163405648766688&amp;rtpof=true&amp;sd=true</v>
      </c>
      <c r="P302" s="14">
        <f ca="1">IFERROR(__xludf.DUMMYFUNCTION("""COMPUTED_VALUE"""),8.9)</f>
        <v>8.9</v>
      </c>
      <c r="Q302" s="5"/>
      <c r="R302" s="5"/>
      <c r="S302" s="15">
        <f ca="1">IFERROR(__xludf.DUMMYFUNCTION("""COMPUTED_VALUE"""),45328)</f>
        <v>45328</v>
      </c>
      <c r="T302" s="5" t="b">
        <f ca="1">IFERROR(__xludf.DUMMYFUNCTION("""COMPUTED_VALUE"""),TRUE)</f>
        <v>1</v>
      </c>
      <c r="U302" s="5" t="str">
        <f ca="1">IFERROR(__xludf.DUMMYFUNCTION("""COMPUTED_VALUE"""),"5x3")</f>
        <v>5x3</v>
      </c>
      <c r="V302" s="12" t="str">
        <f ca="1">IFERROR(__xludf.DUMMYFUNCTION("""COMPUTED_VALUE"""),"5")</f>
        <v>5</v>
      </c>
      <c r="W302" s="12" t="str">
        <f ca="1">IFERROR(__xludf.DUMMYFUNCTION("""COMPUTED_VALUE"""),"5")</f>
        <v>5</v>
      </c>
      <c r="X302" s="13">
        <f ca="1">IFERROR(__xludf.DUMMYFUNCTION("""COMPUTED_VALUE"""),96.45)</f>
        <v>96.45</v>
      </c>
      <c r="Y302" s="5" t="str">
        <f ca="1">IFERROR(__xludf.DUMMYFUNCTION("""COMPUTED_VALUE"""),"Medium")</f>
        <v>Medium</v>
      </c>
      <c r="Z302" s="5">
        <f ca="1">IFERROR(__xludf.DUMMYFUNCTION("""COMPUTED_VALUE"""),14.5)</f>
        <v>14.5</v>
      </c>
      <c r="AA302" s="14">
        <f ca="1">IFERROR(__xludf.DUMMYFUNCTION("""COMPUTED_VALUE"""),1222)</f>
        <v>1222</v>
      </c>
      <c r="AB302" s="5"/>
      <c r="AC302" s="5" t="str">
        <f ca="1">IFERROR(__xludf.DUMMYFUNCTION("""COMPUTED_VALUE"""),"Expanding Wild, Scatter")</f>
        <v>Expanding Wild, Scatter</v>
      </c>
      <c r="AD302" s="5" t="str">
        <f ca="1">IFERROR(__xludf.DUMMYFUNCTION("""COMPUTED_VALUE"""),"0.05/100")</f>
        <v>0.05/100</v>
      </c>
      <c r="AE302" s="5"/>
      <c r="AF302" s="5"/>
      <c r="AG302" s="10">
        <f ca="1">IFERROR(__xludf.DUMMYFUNCTION("""COMPUTED_VALUE"""),46157.4729861111)</f>
        <v>46157.472986111097</v>
      </c>
      <c r="AH302" s="5"/>
      <c r="AI302" s="5"/>
      <c r="AJ302" s="5"/>
      <c r="AK302" s="5">
        <f ca="1">IFERROR(__xludf.DUMMYFUNCTION("""COMPUTED_VALUE"""),1)</f>
        <v>1</v>
      </c>
      <c r="AL302" s="5" t="str">
        <f ca="1">IFERROR(__xludf.DUMMYFUNCTION("""COMPUTED_VALUE"""),"No")</f>
        <v>No</v>
      </c>
      <c r="AM302" s="5" t="str">
        <f ca="1">IFERROR(__xludf.DUMMYFUNCTION("""COMPUTED_VALUE"""),"No")</f>
        <v>No</v>
      </c>
      <c r="AN302" s="7" t="str">
        <f ca="1">IFERROR(__xludf.DUMMYFUNCTION("""COMPUTED_VALUE"""),"https://static.redstone.rs/games/hot-rush-crown-burst/")</f>
        <v>https://static.redstone.rs/games/hot-rush-crown-burst/</v>
      </c>
      <c r="AO302" s="5" t="str">
        <f ca="1">IFERROR(__xludf.DUMMYFUNCTION("""COMPUTED_VALUE"""),"No")</f>
        <v>No</v>
      </c>
      <c r="AP302" s="5" t="str">
        <f ca="1">IFERROR(__xludf.DUMMYFUNCTION("""COMPUTED_VALUE"""),"No")</f>
        <v>No</v>
      </c>
      <c r="AQ302" s="5" t="b">
        <f ca="1">IFERROR(__xludf.DUMMYFUNCTION("""COMPUTED_VALUE"""),TRUE)</f>
        <v>1</v>
      </c>
      <c r="AR302" s="5"/>
      <c r="AS302" s="5" t="str">
        <f ca="1">IFERROR(__xludf.DUMMYFUNCTION("""COMPUTED_VALUE"""),"In Hot Rush Crown Burst, every expanding wild brings a rush of adrenaline and the chance for a 1200x cosmic payout!")</f>
        <v>In Hot Rush Crown Burst, every expanding wild brings a rush of adrenaline and the chance for a 1200x cosmic payout!</v>
      </c>
      <c r="AT302" s="5"/>
      <c r="AU302" s="5" t="str">
        <f ca="1">IFERROR(__xludf.DUMMYFUNCTION("""COMPUTED_VALUE"""),"Redstone")</f>
        <v>Redstone</v>
      </c>
      <c r="AV302" s="5"/>
      <c r="AW302" s="5"/>
      <c r="AX302" s="5"/>
      <c r="AY302" s="5"/>
      <c r="AZ302" s="5"/>
      <c r="BA302" s="5"/>
      <c r="BB302" s="5" t="b">
        <f ca="1">IFERROR(__xludf.DUMMYFUNCTION("""COMPUTED_VALUE"""),TRUE)</f>
        <v>1</v>
      </c>
      <c r="BC302" s="5" t="str">
        <f ca="1">IFERROR(__xludf.DUMMYFUNCTION("""COMPUTED_VALUE"""),"Redstone")</f>
        <v>Redstone</v>
      </c>
      <c r="BD302" s="7" t="str">
        <f ca="1">IFERROR(__xludf.DUMMYFUNCTION("""COMPUTED_VALUE"""),"https://static.redstone.rs/games/hot-rush-crown-burst/")</f>
        <v>https://static.redstone.rs/games/hot-rush-crown-burst/</v>
      </c>
      <c r="BE302" s="5" t="b">
        <f ca="1">IFERROR(__xludf.DUMMYFUNCTION("""COMPUTED_VALUE"""),TRUE)</f>
        <v>1</v>
      </c>
    </row>
    <row r="303" spans="1:57" x14ac:dyDescent="0.25">
      <c r="A303" s="5">
        <f ca="1">IFERROR(__xludf.DUMMYFUNCTION("""COMPUTED_VALUE"""),303)</f>
        <v>303</v>
      </c>
      <c r="B303" s="5">
        <f ca="1">IFERROR(__xludf.DUMMYFUNCTION("""COMPUTED_VALUE"""),302)</f>
        <v>302</v>
      </c>
      <c r="C303" s="5" t="str">
        <f ca="1">IFERROR(__xludf.DUMMYFUNCTION("""COMPUTED_VALUE"""),"Fazi")</f>
        <v>Fazi</v>
      </c>
      <c r="D303" s="5" t="str">
        <f ca="1">IFERROR(__xludf.DUMMYFUNCTION("""COMPUTED_VALUE"""),"Mozzart Hot 5")</f>
        <v>Mozzart Hot 5</v>
      </c>
      <c r="E303" s="5" t="str">
        <f ca="1">IFERROR(__xludf.DUMMYFUNCTION("""COMPUTED_VALUE"""),"V2")</f>
        <v>V2</v>
      </c>
      <c r="F303" s="5" t="str">
        <f ca="1">IFERROR(__xludf.DUMMYFUNCTION("""COMPUTED_VALUE"""),"MozzartHot5")</f>
        <v>MozzartHot5</v>
      </c>
      <c r="G303" s="5" t="str">
        <f ca="1">IFERROR(__xludf.DUMMYFUNCTION("""COMPUTED_VALUE"""),"Live")</f>
        <v>Live</v>
      </c>
      <c r="H303" s="5" t="str">
        <f ca="1">IFERROR(__xludf.DUMMYFUNCTION("""COMPUTED_VALUE"""),"Mozzart")</f>
        <v>Mozzart</v>
      </c>
      <c r="I303" s="5" t="str">
        <f ca="1">IFERROR(__xludf.DUMMYFUNCTION("""COMPUTED_VALUE"""),"V2")</f>
        <v>V2</v>
      </c>
      <c r="J303" s="5" t="str">
        <f ca="1">IFERROR(__xludf.DUMMYFUNCTION("""COMPUTED_VALUE"""),"Binary")</f>
        <v>Binary</v>
      </c>
      <c r="K303" s="5" t="str">
        <f ca="1">IFERROR(__xludf.DUMMYFUNCTION("""COMPUTED_VALUE"""),"Slot")</f>
        <v>Slot</v>
      </c>
      <c r="L303" s="5" t="str">
        <f ca="1">IFERROR(__xludf.DUMMYFUNCTION("""COMPUTED_VALUE"""),"Clone")</f>
        <v>Clone</v>
      </c>
      <c r="M303" s="5" t="str">
        <f ca="1">IFERROR(__xludf.DUMMYFUNCTION("""COMPUTED_VALUE"""),"Very Hot 5")</f>
        <v>Very Hot 5</v>
      </c>
      <c r="N303" s="5"/>
      <c r="O303" s="5"/>
      <c r="P303" s="5"/>
      <c r="Q303" s="5"/>
      <c r="R303" s="5"/>
      <c r="S303" s="15">
        <f ca="1">IFERROR(__xludf.DUMMYFUNCTION("""COMPUTED_VALUE"""),45406)</f>
        <v>45406</v>
      </c>
      <c r="T303" s="5"/>
      <c r="U303" s="5" t="str">
        <f ca="1">IFERROR(__xludf.DUMMYFUNCTION("""COMPUTED_VALUE"""),"5x3")</f>
        <v>5x3</v>
      </c>
      <c r="V303" s="12" t="str">
        <f ca="1">IFERROR(__xludf.DUMMYFUNCTION("""COMPUTED_VALUE"""),"5")</f>
        <v>5</v>
      </c>
      <c r="W303" s="12" t="str">
        <f ca="1">IFERROR(__xludf.DUMMYFUNCTION("""COMPUTED_VALUE"""),"5")</f>
        <v>5</v>
      </c>
      <c r="X303" s="5">
        <f ca="1">IFERROR(__xludf.DUMMYFUNCTION("""COMPUTED_VALUE"""),96.447)</f>
        <v>96.447000000000003</v>
      </c>
      <c r="Y303" s="5" t="str">
        <f ca="1">IFERROR(__xludf.DUMMYFUNCTION("""COMPUTED_VALUE"""),"Medium")</f>
        <v>Medium</v>
      </c>
      <c r="Z303" s="5">
        <f ca="1">IFERROR(__xludf.DUMMYFUNCTION("""COMPUTED_VALUE"""),14.505)</f>
        <v>14.505000000000001</v>
      </c>
      <c r="AA303" s="14">
        <f ca="1">IFERROR(__xludf.DUMMYFUNCTION("""COMPUTED_VALUE"""),1222)</f>
        <v>1222</v>
      </c>
      <c r="AB303" s="5">
        <f ca="1">IFERROR(__xludf.DUMMYFUNCTION("""COMPUTED_VALUE"""),4)</f>
        <v>4</v>
      </c>
      <c r="AC303" s="5" t="str">
        <f ca="1">IFERROR(__xludf.DUMMYFUNCTION("""COMPUTED_VALUE"""),"Scatter, Expanding Wild")</f>
        <v>Scatter, Expanding Wild</v>
      </c>
      <c r="AD303" s="5"/>
      <c r="AE303" s="5"/>
      <c r="AF303" s="5"/>
      <c r="AG303" s="10">
        <f ca="1">IFERROR(__xludf.DUMMYFUNCTION("""COMPUTED_VALUE"""),46020.5179861111)</f>
        <v>46020.517986111103</v>
      </c>
      <c r="AH303" s="5" t="str">
        <f ca="1">IFERROR(__xludf.DUMMYFUNCTION("""COMPUTED_VALUE"""),"djordje.jankovic@fazi.rs")</f>
        <v>djordje.jankovic@fazi.rs</v>
      </c>
      <c r="AI303" s="5"/>
      <c r="AJ303" s="5"/>
      <c r="AK303" s="5">
        <f ca="1">IFERROR(__xludf.DUMMYFUNCTION("""COMPUTED_VALUE"""),5)</f>
        <v>5</v>
      </c>
      <c r="AL303" s="5" t="str">
        <f ca="1">IFERROR(__xludf.DUMMYFUNCTION("""COMPUTED_VALUE"""),"Yes")</f>
        <v>Yes</v>
      </c>
      <c r="AM303" s="5"/>
      <c r="AN303" s="5"/>
      <c r="AO303" s="5"/>
      <c r="AP303" s="5"/>
      <c r="AQ303" s="5"/>
      <c r="AR303" s="5" t="b">
        <f ca="1">IFERROR(__xludf.DUMMYFUNCTION("""COMPUTED_VALUE"""),TRUE)</f>
        <v>1</v>
      </c>
      <c r="AS303" s="5"/>
      <c r="AT303" s="5"/>
      <c r="AU303" s="5" t="str">
        <f ca="1">IFERROR(__xludf.DUMMYFUNCTION("""COMPUTED_VALUE"""),"Fazi")</f>
        <v>Fazi</v>
      </c>
      <c r="AV303" s="5"/>
      <c r="AW303" s="5"/>
      <c r="AX303" s="5"/>
      <c r="AY303" s="5"/>
      <c r="AZ303" s="5"/>
      <c r="BA303" s="5" t="str">
        <f ca="1">IFERROR(__xludf.DUMMYFUNCTION("""COMPUTED_VALUE"""),"")</f>
        <v/>
      </c>
      <c r="BB303" s="5"/>
      <c r="BC303" s="5" t="str">
        <f ca="1">IFERROR(__xludf.DUMMYFUNCTION("""COMPUTED_VALUE"""),"Foxi")</f>
        <v>Foxi</v>
      </c>
      <c r="BD303" s="5" t="str">
        <f ca="1">IFERROR(__xludf.DUMMYFUNCTION("""COMPUTED_VALUE"""),"")</f>
        <v/>
      </c>
      <c r="BE303" s="5"/>
    </row>
    <row r="304" spans="1:57" x14ac:dyDescent="0.25">
      <c r="A304" s="5">
        <f ca="1">IFERROR(__xludf.DUMMYFUNCTION("""COMPUTED_VALUE"""),304)</f>
        <v>304</v>
      </c>
      <c r="B304" s="5">
        <f ca="1">IFERROR(__xludf.DUMMYFUNCTION("""COMPUTED_VALUE"""),303)</f>
        <v>303</v>
      </c>
      <c r="C304" s="5" t="str">
        <f ca="1">IFERROR(__xludf.DUMMYFUNCTION("""COMPUTED_VALUE"""),"Fazi")</f>
        <v>Fazi</v>
      </c>
      <c r="D304" s="5" t="str">
        <f ca="1">IFERROR(__xludf.DUMMYFUNCTION("""COMPUTED_VALUE"""),"Mozzart Hot 40")</f>
        <v>Mozzart Hot 40</v>
      </c>
      <c r="E304" s="5" t="str">
        <f ca="1">IFERROR(__xludf.DUMMYFUNCTION("""COMPUTED_VALUE"""),"V2")</f>
        <v>V2</v>
      </c>
      <c r="F304" s="5" t="str">
        <f ca="1">IFERROR(__xludf.DUMMYFUNCTION("""COMPUTED_VALUE"""),"MozzartHot40")</f>
        <v>MozzartHot40</v>
      </c>
      <c r="G304" s="5" t="str">
        <f ca="1">IFERROR(__xludf.DUMMYFUNCTION("""COMPUTED_VALUE"""),"Live")</f>
        <v>Live</v>
      </c>
      <c r="H304" s="5" t="str">
        <f ca="1">IFERROR(__xludf.DUMMYFUNCTION("""COMPUTED_VALUE"""),"Mozzart")</f>
        <v>Mozzart</v>
      </c>
      <c r="I304" s="5" t="str">
        <f ca="1">IFERROR(__xludf.DUMMYFUNCTION("""COMPUTED_VALUE"""),"V2")</f>
        <v>V2</v>
      </c>
      <c r="J304" s="5" t="str">
        <f ca="1">IFERROR(__xludf.DUMMYFUNCTION("""COMPUTED_VALUE"""),"Binary")</f>
        <v>Binary</v>
      </c>
      <c r="K304" s="5" t="str">
        <f ca="1">IFERROR(__xludf.DUMMYFUNCTION("""COMPUTED_VALUE"""),"Slot")</f>
        <v>Slot</v>
      </c>
      <c r="L304" s="5" t="str">
        <f ca="1">IFERROR(__xludf.DUMMYFUNCTION("""COMPUTED_VALUE"""),"Clone")</f>
        <v>Clone</v>
      </c>
      <c r="M304" s="5" t="str">
        <f ca="1">IFERROR(__xludf.DUMMYFUNCTION("""COMPUTED_VALUE"""),"Very Hot 40")</f>
        <v>Very Hot 40</v>
      </c>
      <c r="N304" s="5"/>
      <c r="O304" s="5"/>
      <c r="P304" s="5"/>
      <c r="Q304" s="5"/>
      <c r="R304" s="5"/>
      <c r="S304" s="15">
        <f ca="1">IFERROR(__xludf.DUMMYFUNCTION("""COMPUTED_VALUE"""),45406)</f>
        <v>45406</v>
      </c>
      <c r="T304" s="5"/>
      <c r="U304" s="5" t="str">
        <f ca="1">IFERROR(__xludf.DUMMYFUNCTION("""COMPUTED_VALUE"""),"5x3")</f>
        <v>5x3</v>
      </c>
      <c r="V304" s="12" t="str">
        <f ca="1">IFERROR(__xludf.DUMMYFUNCTION("""COMPUTED_VALUE"""),"40")</f>
        <v>40</v>
      </c>
      <c r="W304" s="12" t="str">
        <f ca="1">IFERROR(__xludf.DUMMYFUNCTION("""COMPUTED_VALUE"""),"40")</f>
        <v>40</v>
      </c>
      <c r="X304" s="5">
        <f ca="1">IFERROR(__xludf.DUMMYFUNCTION("""COMPUTED_VALUE"""),96.53)</f>
        <v>96.53</v>
      </c>
      <c r="Y304" s="5" t="str">
        <f ca="1">IFERROR(__xludf.DUMMYFUNCTION("""COMPUTED_VALUE"""),"Low")</f>
        <v>Low</v>
      </c>
      <c r="Z304" s="5">
        <f ca="1">IFERROR(__xludf.DUMMYFUNCTION("""COMPUTED_VALUE"""),23.377)</f>
        <v>23.376999999999999</v>
      </c>
      <c r="AA304" s="14">
        <f ca="1">IFERROR(__xludf.DUMMYFUNCTION("""COMPUTED_VALUE"""),876.75)</f>
        <v>876.75</v>
      </c>
      <c r="AB304" s="5">
        <f ca="1">IFERROR(__xludf.DUMMYFUNCTION("""COMPUTED_VALUE"""),4)</f>
        <v>4</v>
      </c>
      <c r="AC304" s="5" t="str">
        <f ca="1">IFERROR(__xludf.DUMMYFUNCTION("""COMPUTED_VALUE"""),"Scatter, Expanding Wild")</f>
        <v>Scatter, Expanding Wild</v>
      </c>
      <c r="AD304" s="5"/>
      <c r="AE304" s="5"/>
      <c r="AF304" s="5"/>
      <c r="AG304" s="10">
        <f ca="1">IFERROR(__xludf.DUMMYFUNCTION("""COMPUTED_VALUE"""),46020.518449074)</f>
        <v>46020.518449073999</v>
      </c>
      <c r="AH304" s="5" t="str">
        <f ca="1">IFERROR(__xludf.DUMMYFUNCTION("""COMPUTED_VALUE"""),"djordje.jankovic@fazi.rs")</f>
        <v>djordje.jankovic@fazi.rs</v>
      </c>
      <c r="AI304" s="5"/>
      <c r="AJ304" s="5"/>
      <c r="AK304" s="5">
        <f ca="1">IFERROR(__xludf.DUMMYFUNCTION("""COMPUTED_VALUE"""),40)</f>
        <v>40</v>
      </c>
      <c r="AL304" s="5" t="str">
        <f ca="1">IFERROR(__xludf.DUMMYFUNCTION("""COMPUTED_VALUE"""),"Yes")</f>
        <v>Yes</v>
      </c>
      <c r="AM304" s="5"/>
      <c r="AN304" s="5"/>
      <c r="AO304" s="5"/>
      <c r="AP304" s="5"/>
      <c r="AQ304" s="5"/>
      <c r="AR304" s="5" t="b">
        <f ca="1">IFERROR(__xludf.DUMMYFUNCTION("""COMPUTED_VALUE"""),TRUE)</f>
        <v>1</v>
      </c>
      <c r="AS304" s="5"/>
      <c r="AT304" s="5"/>
      <c r="AU304" s="5" t="str">
        <f ca="1">IFERROR(__xludf.DUMMYFUNCTION("""COMPUTED_VALUE"""),"Fazi")</f>
        <v>Fazi</v>
      </c>
      <c r="AV304" s="5"/>
      <c r="AW304" s="5"/>
      <c r="AX304" s="5"/>
      <c r="AY304" s="5"/>
      <c r="AZ304" s="5"/>
      <c r="BA304" s="5" t="str">
        <f ca="1">IFERROR(__xludf.DUMMYFUNCTION("""COMPUTED_VALUE"""),"")</f>
        <v/>
      </c>
      <c r="BB304" s="5"/>
      <c r="BC304" s="5" t="str">
        <f ca="1">IFERROR(__xludf.DUMMYFUNCTION("""COMPUTED_VALUE"""),"Foxi")</f>
        <v>Foxi</v>
      </c>
      <c r="BD304" s="5" t="str">
        <f ca="1">IFERROR(__xludf.DUMMYFUNCTION("""COMPUTED_VALUE"""),"")</f>
        <v/>
      </c>
      <c r="BE304" s="5"/>
    </row>
    <row r="305" spans="1:57" x14ac:dyDescent="0.25">
      <c r="A305" s="5">
        <f ca="1">IFERROR(__xludf.DUMMYFUNCTION("""COMPUTED_VALUE"""),305)</f>
        <v>305</v>
      </c>
      <c r="B305" s="5">
        <f ca="1">IFERROR(__xludf.DUMMYFUNCTION("""COMPUTED_VALUE"""),304)</f>
        <v>304</v>
      </c>
      <c r="C305" s="5" t="str">
        <f ca="1">IFERROR(__xludf.DUMMYFUNCTION("""COMPUTED_VALUE"""),"Fazi")</f>
        <v>Fazi</v>
      </c>
      <c r="D305" s="5" t="str">
        <f ca="1">IFERROR(__xludf.DUMMYFUNCTION("""COMPUTED_VALUE"""),"Crown Of Mozzart")</f>
        <v>Crown Of Mozzart</v>
      </c>
      <c r="E305" s="5" t="str">
        <f ca="1">IFERROR(__xludf.DUMMYFUNCTION("""COMPUTED_VALUE"""),"V2")</f>
        <v>V2</v>
      </c>
      <c r="F305" s="5" t="str">
        <f ca="1">IFERROR(__xludf.DUMMYFUNCTION("""COMPUTED_VALUE"""),"CrownOfMozzart")</f>
        <v>CrownOfMozzart</v>
      </c>
      <c r="G305" s="5" t="str">
        <f ca="1">IFERROR(__xludf.DUMMYFUNCTION("""COMPUTED_VALUE"""),"Live")</f>
        <v>Live</v>
      </c>
      <c r="H305" s="5"/>
      <c r="I305" s="5" t="str">
        <f ca="1">IFERROR(__xludf.DUMMYFUNCTION("""COMPUTED_VALUE"""),"V2")</f>
        <v>V2</v>
      </c>
      <c r="J305" s="5" t="str">
        <f ca="1">IFERROR(__xludf.DUMMYFUNCTION("""COMPUTED_VALUE"""),"Binary")</f>
        <v>Binary</v>
      </c>
      <c r="K305" s="5" t="str">
        <f ca="1">IFERROR(__xludf.DUMMYFUNCTION("""COMPUTED_VALUE"""),"Slot")</f>
        <v>Slot</v>
      </c>
      <c r="L305" s="5" t="str">
        <f ca="1">IFERROR(__xludf.DUMMYFUNCTION("""COMPUTED_VALUE"""),"Clone")</f>
        <v>Clone</v>
      </c>
      <c r="M305" s="5" t="str">
        <f ca="1">IFERROR(__xludf.DUMMYFUNCTION("""COMPUTED_VALUE"""),"Golden Crown")</f>
        <v>Golden Crown</v>
      </c>
      <c r="N305" s="5"/>
      <c r="O305" s="5"/>
      <c r="P305" s="5"/>
      <c r="Q305" s="5"/>
      <c r="R305" s="5"/>
      <c r="S305" s="15">
        <f ca="1">IFERROR(__xludf.DUMMYFUNCTION("""COMPUTED_VALUE"""),45406)</f>
        <v>45406</v>
      </c>
      <c r="T305" s="5"/>
      <c r="U305" s="5" t="str">
        <f ca="1">IFERROR(__xludf.DUMMYFUNCTION("""COMPUTED_VALUE"""),"5x3")</f>
        <v>5x3</v>
      </c>
      <c r="V305" s="12" t="str">
        <f ca="1">IFERROR(__xludf.DUMMYFUNCTION("""COMPUTED_VALUE"""),"10")</f>
        <v>10</v>
      </c>
      <c r="W305" s="12" t="str">
        <f ca="1">IFERROR(__xludf.DUMMYFUNCTION("""COMPUTED_VALUE"""),"10")</f>
        <v>10</v>
      </c>
      <c r="X305" s="5">
        <f ca="1">IFERROR(__xludf.DUMMYFUNCTION("""COMPUTED_VALUE"""),95.962)</f>
        <v>95.962000000000003</v>
      </c>
      <c r="Y305" s="5" t="str">
        <f ca="1">IFERROR(__xludf.DUMMYFUNCTION("""COMPUTED_VALUE"""),"Medium")</f>
        <v>Medium</v>
      </c>
      <c r="Z305" s="5">
        <f ca="1">IFERROR(__xludf.DUMMYFUNCTION("""COMPUTED_VALUE"""),14.634)</f>
        <v>14.634</v>
      </c>
      <c r="AA305" s="14">
        <f ca="1">IFERROR(__xludf.DUMMYFUNCTION("""COMPUTED_VALUE"""),1538)</f>
        <v>1538</v>
      </c>
      <c r="AB305" s="5">
        <f ca="1">IFERROR(__xludf.DUMMYFUNCTION("""COMPUTED_VALUE"""),4)</f>
        <v>4</v>
      </c>
      <c r="AC305" s="5" t="str">
        <f ca="1">IFERROR(__xludf.DUMMYFUNCTION("""COMPUTED_VALUE"""),"Scatter, Expanding Wild")</f>
        <v>Scatter, Expanding Wild</v>
      </c>
      <c r="AD305" s="5"/>
      <c r="AE305" s="5"/>
      <c r="AF305" s="5"/>
      <c r="AG305" s="10">
        <f ca="1">IFERROR(__xludf.DUMMYFUNCTION("""COMPUTED_VALUE"""),46020.5185185185)</f>
        <v>46020.518518518496</v>
      </c>
      <c r="AH305" s="5" t="str">
        <f ca="1">IFERROR(__xludf.DUMMYFUNCTION("""COMPUTED_VALUE"""),"djordje.jankovic@fazi.rs")</f>
        <v>djordje.jankovic@fazi.rs</v>
      </c>
      <c r="AI305" s="5"/>
      <c r="AJ305" s="5"/>
      <c r="AK305" s="5">
        <f ca="1">IFERROR(__xludf.DUMMYFUNCTION("""COMPUTED_VALUE"""),10)</f>
        <v>10</v>
      </c>
      <c r="AL305" s="5" t="str">
        <f ca="1">IFERROR(__xludf.DUMMYFUNCTION("""COMPUTED_VALUE"""),"Yes")</f>
        <v>Yes</v>
      </c>
      <c r="AM305" s="5"/>
      <c r="AN305" s="5"/>
      <c r="AO305" s="5"/>
      <c r="AP305" s="5"/>
      <c r="AQ305" s="5"/>
      <c r="AR305" s="5" t="b">
        <f ca="1">IFERROR(__xludf.DUMMYFUNCTION("""COMPUTED_VALUE"""),TRUE)</f>
        <v>1</v>
      </c>
      <c r="AS305" s="5"/>
      <c r="AT305" s="5"/>
      <c r="AU305" s="5" t="str">
        <f ca="1">IFERROR(__xludf.DUMMYFUNCTION("""COMPUTED_VALUE"""),"Fazi")</f>
        <v>Fazi</v>
      </c>
      <c r="AV305" s="5"/>
      <c r="AW305" s="5"/>
      <c r="AX305" s="5"/>
      <c r="AY305" s="5"/>
      <c r="AZ305" s="5"/>
      <c r="BA305" s="5" t="str">
        <f ca="1">IFERROR(__xludf.DUMMYFUNCTION("""COMPUTED_VALUE"""),"")</f>
        <v/>
      </c>
      <c r="BB305" s="5"/>
      <c r="BC305" s="5" t="str">
        <f ca="1">IFERROR(__xludf.DUMMYFUNCTION("""COMPUTED_VALUE"""),"Foxi")</f>
        <v>Foxi</v>
      </c>
      <c r="BD305" s="5" t="str">
        <f ca="1">IFERROR(__xludf.DUMMYFUNCTION("""COMPUTED_VALUE"""),"")</f>
        <v/>
      </c>
      <c r="BE305" s="5"/>
    </row>
    <row r="306" spans="1:57" x14ac:dyDescent="0.25">
      <c r="A306" s="5">
        <f ca="1">IFERROR(__xludf.DUMMYFUNCTION("""COMPUTED_VALUE"""),306)</f>
        <v>306</v>
      </c>
      <c r="B306" s="5">
        <f ca="1">IFERROR(__xludf.DUMMYFUNCTION("""COMPUTED_VALUE"""),305)</f>
        <v>305</v>
      </c>
      <c r="C306" s="5" t="str">
        <f ca="1">IFERROR(__xludf.DUMMYFUNCTION("""COMPUTED_VALUE"""),"Fazi")</f>
        <v>Fazi</v>
      </c>
      <c r="D306" s="5" t="str">
        <f ca="1">IFERROR(__xludf.DUMMYFUNCTION("""COMPUTED_VALUE"""),"Mozzarts World")</f>
        <v>Mozzarts World</v>
      </c>
      <c r="E306" s="5" t="str">
        <f ca="1">IFERROR(__xludf.DUMMYFUNCTION("""COMPUTED_VALUE"""),"V2")</f>
        <v>V2</v>
      </c>
      <c r="F306" s="5" t="str">
        <f ca="1">IFERROR(__xludf.DUMMYFUNCTION("""COMPUTED_VALUE"""),"MozzartsWorld")</f>
        <v>MozzartsWorld</v>
      </c>
      <c r="G306" s="5" t="str">
        <f ca="1">IFERROR(__xludf.DUMMYFUNCTION("""COMPUTED_VALUE"""),"Live")</f>
        <v>Live</v>
      </c>
      <c r="H306" s="5"/>
      <c r="I306" s="5" t="str">
        <f ca="1">IFERROR(__xludf.DUMMYFUNCTION("""COMPUTED_VALUE"""),"V2")</f>
        <v>V2</v>
      </c>
      <c r="J306" s="5" t="str">
        <f ca="1">IFERROR(__xludf.DUMMYFUNCTION("""COMPUTED_VALUE"""),"Binary")</f>
        <v>Binary</v>
      </c>
      <c r="K306" s="5" t="str">
        <f ca="1">IFERROR(__xludf.DUMMYFUNCTION("""COMPUTED_VALUE"""),"Slot")</f>
        <v>Slot</v>
      </c>
      <c r="L306" s="5" t="str">
        <f ca="1">IFERROR(__xludf.DUMMYFUNCTION("""COMPUTED_VALUE"""),"Clone")</f>
        <v>Clone</v>
      </c>
      <c r="M306" s="5" t="str">
        <f ca="1">IFERROR(__xludf.DUMMYFUNCTION("""COMPUTED_VALUE"""),"Lollas World")</f>
        <v>Lollas World</v>
      </c>
      <c r="N306" s="5"/>
      <c r="O306" s="5"/>
      <c r="P306" s="5"/>
      <c r="Q306" s="5"/>
      <c r="R306" s="5"/>
      <c r="S306" s="15">
        <f ca="1">IFERROR(__xludf.DUMMYFUNCTION("""COMPUTED_VALUE"""),45407)</f>
        <v>45407</v>
      </c>
      <c r="T306" s="5"/>
      <c r="U306" s="5" t="str">
        <f ca="1">IFERROR(__xludf.DUMMYFUNCTION("""COMPUTED_VALUE"""),"5x4")</f>
        <v>5x4</v>
      </c>
      <c r="V306" s="12" t="str">
        <f ca="1">IFERROR(__xludf.DUMMYFUNCTION("""COMPUTED_VALUE"""),"40")</f>
        <v>40</v>
      </c>
      <c r="W306" s="12" t="str">
        <f ca="1">IFERROR(__xludf.DUMMYFUNCTION("""COMPUTED_VALUE"""),"40")</f>
        <v>40</v>
      </c>
      <c r="X306" s="5">
        <f ca="1">IFERROR(__xludf.DUMMYFUNCTION("""COMPUTED_VALUE"""),95.479)</f>
        <v>95.478999999999999</v>
      </c>
      <c r="Y306" s="5" t="str">
        <f ca="1">IFERROR(__xludf.DUMMYFUNCTION("""COMPUTED_VALUE"""),"Medium")</f>
        <v>Medium</v>
      </c>
      <c r="Z306" s="5">
        <f ca="1">IFERROR(__xludf.DUMMYFUNCTION("""COMPUTED_VALUE"""),14.804)</f>
        <v>14.804</v>
      </c>
      <c r="AA306" s="14">
        <f ca="1">IFERROR(__xludf.DUMMYFUNCTION("""COMPUTED_VALUE"""),1000)</f>
        <v>1000</v>
      </c>
      <c r="AB306" s="5" t="str">
        <f ca="1">IFERROR(__xludf.DUMMYFUNCTION("""COMPUTED_VALUE"""),"/")</f>
        <v>/</v>
      </c>
      <c r="AC306" s="5" t="str">
        <f ca="1">IFERROR(__xludf.DUMMYFUNCTION("""COMPUTED_VALUE"""),"Scatter, Wild Symbol")</f>
        <v>Scatter, Wild Symbol</v>
      </c>
      <c r="AD306" s="5"/>
      <c r="AE306" s="5"/>
      <c r="AF306" s="5"/>
      <c r="AG306" s="10">
        <f ca="1">IFERROR(__xludf.DUMMYFUNCTION("""COMPUTED_VALUE"""),46020.5185879629)</f>
        <v>46020.518587962899</v>
      </c>
      <c r="AH306" s="5" t="str">
        <f ca="1">IFERROR(__xludf.DUMMYFUNCTION("""COMPUTED_VALUE"""),"djordje.jankovic@fazi.rs")</f>
        <v>djordje.jankovic@fazi.rs</v>
      </c>
      <c r="AI306" s="5"/>
      <c r="AJ306" s="5"/>
      <c r="AK306" s="5">
        <f ca="1">IFERROR(__xludf.DUMMYFUNCTION("""COMPUTED_VALUE"""),40)</f>
        <v>40</v>
      </c>
      <c r="AL306" s="5" t="str">
        <f ca="1">IFERROR(__xludf.DUMMYFUNCTION("""COMPUTED_VALUE"""),"Yes")</f>
        <v>Yes</v>
      </c>
      <c r="AM306" s="5"/>
      <c r="AN306" s="5"/>
      <c r="AO306" s="5"/>
      <c r="AP306" s="5"/>
      <c r="AQ306" s="5"/>
      <c r="AR306" s="5" t="b">
        <f ca="1">IFERROR(__xludf.DUMMYFUNCTION("""COMPUTED_VALUE"""),TRUE)</f>
        <v>1</v>
      </c>
      <c r="AS306" s="5"/>
      <c r="AT306" s="5"/>
      <c r="AU306" s="5" t="str">
        <f ca="1">IFERROR(__xludf.DUMMYFUNCTION("""COMPUTED_VALUE"""),"Fazi")</f>
        <v>Fazi</v>
      </c>
      <c r="AV306" s="5"/>
      <c r="AW306" s="5"/>
      <c r="AX306" s="5"/>
      <c r="AY306" s="5"/>
      <c r="AZ306" s="5"/>
      <c r="BA306" s="5" t="str">
        <f ca="1">IFERROR(__xludf.DUMMYFUNCTION("""COMPUTED_VALUE"""),"")</f>
        <v/>
      </c>
      <c r="BB306" s="5"/>
      <c r="BC306" s="5" t="str">
        <f ca="1">IFERROR(__xludf.DUMMYFUNCTION("""COMPUTED_VALUE"""),"Foxi")</f>
        <v>Foxi</v>
      </c>
      <c r="BD306" s="5" t="str">
        <f ca="1">IFERROR(__xludf.DUMMYFUNCTION("""COMPUTED_VALUE"""),"")</f>
        <v/>
      </c>
      <c r="BE306" s="5"/>
    </row>
    <row r="307" spans="1:57" x14ac:dyDescent="0.25">
      <c r="A307" s="5">
        <f ca="1">IFERROR(__xludf.DUMMYFUNCTION("""COMPUTED_VALUE"""),307)</f>
        <v>307</v>
      </c>
      <c r="B307" s="5">
        <f ca="1">IFERROR(__xludf.DUMMYFUNCTION("""COMPUTED_VALUE"""),306)</f>
        <v>306</v>
      </c>
      <c r="C307" s="5" t="str">
        <f ca="1">IFERROR(__xludf.DUMMYFUNCTION("""COMPUTED_VALUE"""),"Fazi")</f>
        <v>Fazi</v>
      </c>
      <c r="D307" s="5" t="str">
        <f ca="1">IFERROR(__xludf.DUMMYFUNCTION("""COMPUTED_VALUE"""),"Book Of Mozzart")</f>
        <v>Book Of Mozzart</v>
      </c>
      <c r="E307" s="5" t="str">
        <f ca="1">IFERROR(__xludf.DUMMYFUNCTION("""COMPUTED_VALUE"""),"V2")</f>
        <v>V2</v>
      </c>
      <c r="F307" s="5" t="str">
        <f ca="1">IFERROR(__xludf.DUMMYFUNCTION("""COMPUTED_VALUE"""),"BookOfMozzart")</f>
        <v>BookOfMozzart</v>
      </c>
      <c r="G307" s="5" t="str">
        <f ca="1">IFERROR(__xludf.DUMMYFUNCTION("""COMPUTED_VALUE"""),"Live")</f>
        <v>Live</v>
      </c>
      <c r="H307" s="5"/>
      <c r="I307" s="5" t="str">
        <f ca="1">IFERROR(__xludf.DUMMYFUNCTION("""COMPUTED_VALUE"""),"V2")</f>
        <v>V2</v>
      </c>
      <c r="J307" s="5" t="str">
        <f ca="1">IFERROR(__xludf.DUMMYFUNCTION("""COMPUTED_VALUE"""),"Binary")</f>
        <v>Binary</v>
      </c>
      <c r="K307" s="5" t="str">
        <f ca="1">IFERROR(__xludf.DUMMYFUNCTION("""COMPUTED_VALUE"""),"Slot")</f>
        <v>Slot</v>
      </c>
      <c r="L307" s="5" t="str">
        <f ca="1">IFERROR(__xludf.DUMMYFUNCTION("""COMPUTED_VALUE"""),"Clone")</f>
        <v>Clone</v>
      </c>
      <c r="M307" s="5" t="str">
        <f ca="1">IFERROR(__xludf.DUMMYFUNCTION("""COMPUTED_VALUE"""),"Book of Spells")</f>
        <v>Book of Spells</v>
      </c>
      <c r="N307" s="5"/>
      <c r="O307" s="5"/>
      <c r="P307" s="5"/>
      <c r="Q307" s="5"/>
      <c r="R307" s="5"/>
      <c r="S307" s="15">
        <f ca="1">IFERROR(__xludf.DUMMYFUNCTION("""COMPUTED_VALUE"""),45406)</f>
        <v>45406</v>
      </c>
      <c r="T307" s="5"/>
      <c r="U307" s="5" t="str">
        <f ca="1">IFERROR(__xludf.DUMMYFUNCTION("""COMPUTED_VALUE"""),"5x3")</f>
        <v>5x3</v>
      </c>
      <c r="V307" s="12" t="str">
        <f ca="1">IFERROR(__xludf.DUMMYFUNCTION("""COMPUTED_VALUE"""),"10")</f>
        <v>10</v>
      </c>
      <c r="W307" s="12" t="str">
        <f ca="1">IFERROR(__xludf.DUMMYFUNCTION("""COMPUTED_VALUE"""),"1,3,5,7,10")</f>
        <v>1,3,5,7,10</v>
      </c>
      <c r="X307" s="5">
        <f ca="1">IFERROR(__xludf.DUMMYFUNCTION("""COMPUTED_VALUE"""),96.064)</f>
        <v>96.063999999999993</v>
      </c>
      <c r="Y307" s="5" t="str">
        <f ca="1">IFERROR(__xludf.DUMMYFUNCTION("""COMPUTED_VALUE"""),"High")</f>
        <v>High</v>
      </c>
      <c r="Z307" s="5">
        <f ca="1">IFERROR(__xludf.DUMMYFUNCTION("""COMPUTED_VALUE"""),31.467)</f>
        <v>31.466999999999999</v>
      </c>
      <c r="AA307" s="14">
        <f ca="1">IFERROR(__xludf.DUMMYFUNCTION("""COMPUTED_VALUE"""),5512)</f>
        <v>5512</v>
      </c>
      <c r="AB307" s="5">
        <f ca="1">IFERROR(__xludf.DUMMYFUNCTION("""COMPUTED_VALUE"""),212)</f>
        <v>212</v>
      </c>
      <c r="AC307" s="5" t="str">
        <f ca="1">IFERROR(__xludf.DUMMYFUNCTION("""COMPUTED_VALUE"""),"Book Of Game, Wild Symbol, Scatter")</f>
        <v>Book Of Game, Wild Symbol, Scatter</v>
      </c>
      <c r="AD307" s="5"/>
      <c r="AE307" s="5"/>
      <c r="AF307" s="5"/>
      <c r="AG307" s="10">
        <f ca="1">IFERROR(__xludf.DUMMYFUNCTION("""COMPUTED_VALUE"""),46020.5198032407)</f>
        <v>46020.519803240699</v>
      </c>
      <c r="AH307" s="5" t="str">
        <f ca="1">IFERROR(__xludf.DUMMYFUNCTION("""COMPUTED_VALUE"""),"djordje.jankovic@fazi.rs")</f>
        <v>djordje.jankovic@fazi.rs</v>
      </c>
      <c r="AI307" s="5"/>
      <c r="AJ307" s="5"/>
      <c r="AK307" s="5">
        <f ca="1">IFERROR(__xludf.DUMMYFUNCTION("""COMPUTED_VALUE"""),10)</f>
        <v>10</v>
      </c>
      <c r="AL307" s="5" t="str">
        <f ca="1">IFERROR(__xludf.DUMMYFUNCTION("""COMPUTED_VALUE"""),"Yes")</f>
        <v>Yes</v>
      </c>
      <c r="AM307" s="5"/>
      <c r="AN307" s="5"/>
      <c r="AO307" s="5"/>
      <c r="AP307" s="5"/>
      <c r="AQ307" s="5"/>
      <c r="AR307" s="5" t="b">
        <f ca="1">IFERROR(__xludf.DUMMYFUNCTION("""COMPUTED_VALUE"""),TRUE)</f>
        <v>1</v>
      </c>
      <c r="AS307" s="5"/>
      <c r="AT307" s="5"/>
      <c r="AU307" s="5" t="str">
        <f ca="1">IFERROR(__xludf.DUMMYFUNCTION("""COMPUTED_VALUE"""),"Fazi")</f>
        <v>Fazi</v>
      </c>
      <c r="AV307" s="5"/>
      <c r="AW307" s="5"/>
      <c r="AX307" s="5"/>
      <c r="AY307" s="5"/>
      <c r="AZ307" s="5"/>
      <c r="BA307" s="5" t="str">
        <f ca="1">IFERROR(__xludf.DUMMYFUNCTION("""COMPUTED_VALUE"""),"")</f>
        <v/>
      </c>
      <c r="BB307" s="5"/>
      <c r="BC307" s="5" t="str">
        <f ca="1">IFERROR(__xludf.DUMMYFUNCTION("""COMPUTED_VALUE"""),"Foxi")</f>
        <v>Foxi</v>
      </c>
      <c r="BD307" s="5" t="str">
        <f ca="1">IFERROR(__xludf.DUMMYFUNCTION("""COMPUTED_VALUE"""),"")</f>
        <v/>
      </c>
      <c r="BE307" s="5"/>
    </row>
    <row r="308" spans="1:57" x14ac:dyDescent="0.25">
      <c r="A308" s="5">
        <f ca="1">IFERROR(__xludf.DUMMYFUNCTION("""COMPUTED_VALUE"""),308)</f>
        <v>308</v>
      </c>
      <c r="B308" s="5">
        <f ca="1">IFERROR(__xludf.DUMMYFUNCTION("""COMPUTED_VALUE"""),307)</f>
        <v>307</v>
      </c>
      <c r="C308" s="5" t="str">
        <f ca="1">IFERROR(__xludf.DUMMYFUNCTION("""COMPUTED_VALUE"""),"Fazi")</f>
        <v>Fazi</v>
      </c>
      <c r="D308" s="5" t="str">
        <f ca="1">IFERROR(__xludf.DUMMYFUNCTION("""COMPUTED_VALUE"""),"Lucky Mozzart")</f>
        <v>Lucky Mozzart</v>
      </c>
      <c r="E308" s="5" t="str">
        <f ca="1">IFERROR(__xludf.DUMMYFUNCTION("""COMPUTED_VALUE"""),"V2")</f>
        <v>V2</v>
      </c>
      <c r="F308" s="5" t="str">
        <f ca="1">IFERROR(__xludf.DUMMYFUNCTION("""COMPUTED_VALUE"""),"LuckyMozzart")</f>
        <v>LuckyMozzart</v>
      </c>
      <c r="G308" s="5" t="str">
        <f ca="1">IFERROR(__xludf.DUMMYFUNCTION("""COMPUTED_VALUE"""),"Live")</f>
        <v>Live</v>
      </c>
      <c r="H308" s="5"/>
      <c r="I308" s="5" t="str">
        <f ca="1">IFERROR(__xludf.DUMMYFUNCTION("""COMPUTED_VALUE"""),"V2")</f>
        <v>V2</v>
      </c>
      <c r="J308" s="5" t="str">
        <f ca="1">IFERROR(__xludf.DUMMYFUNCTION("""COMPUTED_VALUE"""),"Binary")</f>
        <v>Binary</v>
      </c>
      <c r="K308" s="5" t="str">
        <f ca="1">IFERROR(__xludf.DUMMYFUNCTION("""COMPUTED_VALUE"""),"Slot")</f>
        <v>Slot</v>
      </c>
      <c r="L308" s="5" t="str">
        <f ca="1">IFERROR(__xludf.DUMMYFUNCTION("""COMPUTED_VALUE"""),"Clone")</f>
        <v>Clone</v>
      </c>
      <c r="M308" s="5" t="str">
        <f ca="1">IFERROR(__xludf.DUMMYFUNCTION("""COMPUTED_VALUE"""),"Wild Lucky Clover")</f>
        <v>Wild Lucky Clover</v>
      </c>
      <c r="N308" s="5"/>
      <c r="O308" s="5"/>
      <c r="P308" s="5"/>
      <c r="Q308" s="5"/>
      <c r="R308" s="5"/>
      <c r="S308" s="15">
        <f ca="1">IFERROR(__xludf.DUMMYFUNCTION("""COMPUTED_VALUE"""),45406)</f>
        <v>45406</v>
      </c>
      <c r="T308" s="5"/>
      <c r="U308" s="5" t="str">
        <f ca="1">IFERROR(__xludf.DUMMYFUNCTION("""COMPUTED_VALUE"""),"5x4")</f>
        <v>5x4</v>
      </c>
      <c r="V308" s="12" t="str">
        <f ca="1">IFERROR(__xludf.DUMMYFUNCTION("""COMPUTED_VALUE"""),"40")</f>
        <v>40</v>
      </c>
      <c r="W308" s="12" t="str">
        <f ca="1">IFERROR(__xludf.DUMMYFUNCTION("""COMPUTED_VALUE"""),"40")</f>
        <v>40</v>
      </c>
      <c r="X308" s="5">
        <f ca="1">IFERROR(__xludf.DUMMYFUNCTION("""COMPUTED_VALUE"""),96.291)</f>
        <v>96.290999999999997</v>
      </c>
      <c r="Y308" s="5" t="str">
        <f ca="1">IFERROR(__xludf.DUMMYFUNCTION("""COMPUTED_VALUE"""),"Medium")</f>
        <v>Medium</v>
      </c>
      <c r="Z308" s="5">
        <f ca="1">IFERROR(__xludf.DUMMYFUNCTION("""COMPUTED_VALUE"""),12.67)</f>
        <v>12.67</v>
      </c>
      <c r="AA308" s="14">
        <f ca="1">IFERROR(__xludf.DUMMYFUNCTION("""COMPUTED_VALUE"""),1043)</f>
        <v>1043</v>
      </c>
      <c r="AB308" s="5">
        <f ca="1">IFERROR(__xludf.DUMMYFUNCTION("""COMPUTED_VALUE"""),199)</f>
        <v>199</v>
      </c>
      <c r="AC308" s="5" t="str">
        <f ca="1">IFERROR(__xludf.DUMMYFUNCTION("""COMPUTED_VALUE"""),"Wild Symbol, Bonus Game with Special Symbol")</f>
        <v>Wild Symbol, Bonus Game with Special Symbol</v>
      </c>
      <c r="AD308" s="5"/>
      <c r="AE308" s="5"/>
      <c r="AF308" s="5"/>
      <c r="AG308" s="10">
        <f ca="1">IFERROR(__xludf.DUMMYFUNCTION("""COMPUTED_VALUE"""),46020.5199074074)</f>
        <v>46020.519907407397</v>
      </c>
      <c r="AH308" s="5" t="str">
        <f ca="1">IFERROR(__xludf.DUMMYFUNCTION("""COMPUTED_VALUE"""),"djordje.jankovic@fazi.rs")</f>
        <v>djordje.jankovic@fazi.rs</v>
      </c>
      <c r="AI308" s="5"/>
      <c r="AJ308" s="5"/>
      <c r="AK308" s="5">
        <f ca="1">IFERROR(__xludf.DUMMYFUNCTION("""COMPUTED_VALUE"""),40)</f>
        <v>40</v>
      </c>
      <c r="AL308" s="5" t="str">
        <f ca="1">IFERROR(__xludf.DUMMYFUNCTION("""COMPUTED_VALUE"""),"Yes")</f>
        <v>Yes</v>
      </c>
      <c r="AM308" s="5"/>
      <c r="AN308" s="5"/>
      <c r="AO308" s="5"/>
      <c r="AP308" s="5"/>
      <c r="AQ308" s="5"/>
      <c r="AR308" s="5" t="b">
        <f ca="1">IFERROR(__xludf.DUMMYFUNCTION("""COMPUTED_VALUE"""),TRUE)</f>
        <v>1</v>
      </c>
      <c r="AS308" s="5"/>
      <c r="AT308" s="5"/>
      <c r="AU308" s="5" t="str">
        <f ca="1">IFERROR(__xludf.DUMMYFUNCTION("""COMPUTED_VALUE"""),"Fazi")</f>
        <v>Fazi</v>
      </c>
      <c r="AV308" s="5"/>
      <c r="AW308" s="5"/>
      <c r="AX308" s="5"/>
      <c r="AY308" s="5"/>
      <c r="AZ308" s="5"/>
      <c r="BA308" s="5" t="str">
        <f ca="1">IFERROR(__xludf.DUMMYFUNCTION("""COMPUTED_VALUE"""),"")</f>
        <v/>
      </c>
      <c r="BB308" s="5"/>
      <c r="BC308" s="5" t="str">
        <f ca="1">IFERROR(__xludf.DUMMYFUNCTION("""COMPUTED_VALUE"""),"Foxi")</f>
        <v>Foxi</v>
      </c>
      <c r="BD308" s="5" t="str">
        <f ca="1">IFERROR(__xludf.DUMMYFUNCTION("""COMPUTED_VALUE"""),"")</f>
        <v/>
      </c>
      <c r="BE308" s="5"/>
    </row>
    <row r="309" spans="1:57" x14ac:dyDescent="0.25">
      <c r="A309" s="5">
        <f ca="1">IFERROR(__xludf.DUMMYFUNCTION("""COMPUTED_VALUE"""),309)</f>
        <v>309</v>
      </c>
      <c r="B309" s="5">
        <f ca="1">IFERROR(__xludf.DUMMYFUNCTION("""COMPUTED_VALUE"""),308)</f>
        <v>308</v>
      </c>
      <c r="C309" s="5" t="str">
        <f ca="1">IFERROR(__xludf.DUMMYFUNCTION("""COMPUTED_VALUE"""),"Redstone")</f>
        <v>Redstone</v>
      </c>
      <c r="D309" s="5" t="str">
        <f ca="1">IFERROR(__xludf.DUMMYFUNCTION("""COMPUTED_VALUE"""),"Lady Triple Fortune")</f>
        <v>Lady Triple Fortune</v>
      </c>
      <c r="E309" s="5" t="str">
        <f ca="1">IFERROR(__xludf.DUMMYFUNCTION("""COMPUTED_VALUE"""),"Redstone")</f>
        <v>Redstone</v>
      </c>
      <c r="F309" s="5" t="str">
        <f ca="1">IFERROR(__xludf.DUMMYFUNCTION("""COMPUTED_VALUE"""),"RedstoneLadyTripleFortune")</f>
        <v>RedstoneLadyTripleFortune</v>
      </c>
      <c r="G309" s="5" t="str">
        <f ca="1">IFERROR(__xludf.DUMMYFUNCTION("""COMPUTED_VALUE"""),"Live")</f>
        <v>Live</v>
      </c>
      <c r="H309" s="5"/>
      <c r="I309" s="5" t="str">
        <f ca="1">IFERROR(__xludf.DUMMYFUNCTION("""COMPUTED_VALUE"""),"Redstone")</f>
        <v>Redstone</v>
      </c>
      <c r="J309" s="5" t="str">
        <f ca="1">IFERROR(__xludf.DUMMYFUNCTION("""COMPUTED_VALUE"""),"JSON")</f>
        <v>JSON</v>
      </c>
      <c r="K309" s="5" t="str">
        <f ca="1">IFERROR(__xludf.DUMMYFUNCTION("""COMPUTED_VALUE"""),"Slot")</f>
        <v>Slot</v>
      </c>
      <c r="L309" s="5" t="str">
        <f ca="1">IFERROR(__xludf.DUMMYFUNCTION("""COMPUTED_VALUE""")," Clone")</f>
        <v xml:space="preserve"> Clone</v>
      </c>
      <c r="M309" s="5" t="str">
        <f ca="1">IFERROR(__xludf.DUMMYFUNCTION("""COMPUTED_VALUE"""),"5 Clover Fire")</f>
        <v>5 Clover Fire</v>
      </c>
      <c r="N309" s="7" t="str">
        <f ca="1">IFERROR(__xludf.DUMMYFUNCTION("""COMPUTED_VALUE"""),"https://docs.google.com/document/d/1ndIePfFS0_TcjpuBGGaHFj_FhC-sPHsD/edit?usp=drive_link&amp;ouid=107596163405648766688&amp;rtpof=true&amp;sd=true")</f>
        <v>https://docs.google.com/document/d/1ndIePfFS0_TcjpuBGGaHFj_FhC-sPHsD/edit?usp=drive_link&amp;ouid=107596163405648766688&amp;rtpof=true&amp;sd=true</v>
      </c>
      <c r="O309" s="7" t="str">
        <f ca="1">IFERROR(__xludf.DUMMYFUNCTION("""COMPUTED_VALUE"""),"https://docs.google.com/document/d/1vsKjcSFcAQ0muEWNhXX0HDyQi4ZCD2FP/edit?usp=drive_link&amp;ouid=107596163405648766688&amp;rtpof=true&amp;sd=true")</f>
        <v>https://docs.google.com/document/d/1vsKjcSFcAQ0muEWNhXX0HDyQi4ZCD2FP/edit?usp=drive_link&amp;ouid=107596163405648766688&amp;rtpof=true&amp;sd=true</v>
      </c>
      <c r="P309" s="14">
        <f ca="1">IFERROR(__xludf.DUMMYFUNCTION("""COMPUTED_VALUE"""),9.5)</f>
        <v>9.5</v>
      </c>
      <c r="Q309" s="5"/>
      <c r="R309" s="5"/>
      <c r="S309" s="15">
        <f ca="1">IFERROR(__xludf.DUMMYFUNCTION("""COMPUTED_VALUE"""),45329)</f>
        <v>45329</v>
      </c>
      <c r="T309" s="5" t="b">
        <f ca="1">IFERROR(__xludf.DUMMYFUNCTION("""COMPUTED_VALUE"""),TRUE)</f>
        <v>1</v>
      </c>
      <c r="U309" s="5" t="str">
        <f ca="1">IFERROR(__xludf.DUMMYFUNCTION("""COMPUTED_VALUE"""),"5x3")</f>
        <v>5x3</v>
      </c>
      <c r="V309" s="12" t="str">
        <f ca="1">IFERROR(__xludf.DUMMYFUNCTION("""COMPUTED_VALUE"""),"5")</f>
        <v>5</v>
      </c>
      <c r="W309" s="12" t="str">
        <f ca="1">IFERROR(__xludf.DUMMYFUNCTION("""COMPUTED_VALUE"""),"5")</f>
        <v>5</v>
      </c>
      <c r="X309" s="5">
        <f ca="1">IFERROR(__xludf.DUMMYFUNCTION("""COMPUTED_VALUE"""),96.45)</f>
        <v>96.45</v>
      </c>
      <c r="Y309" s="5" t="str">
        <f ca="1">IFERROR(__xludf.DUMMYFUNCTION("""COMPUTED_VALUE"""),"Medium")</f>
        <v>Medium</v>
      </c>
      <c r="Z309" s="5">
        <f ca="1">IFERROR(__xludf.DUMMYFUNCTION("""COMPUTED_VALUE"""),14.5)</f>
        <v>14.5</v>
      </c>
      <c r="AA309" s="14">
        <f ca="1">IFERROR(__xludf.DUMMYFUNCTION("""COMPUTED_VALUE"""),1222)</f>
        <v>1222</v>
      </c>
      <c r="AB309" s="5"/>
      <c r="AC309" s="5" t="str">
        <f ca="1">IFERROR(__xludf.DUMMYFUNCTION("""COMPUTED_VALUE"""),"Scatter, Expanding Wild")</f>
        <v>Scatter, Expanding Wild</v>
      </c>
      <c r="AD309" s="5" t="str">
        <f ca="1">IFERROR(__xludf.DUMMYFUNCTION("""COMPUTED_VALUE"""),"0.10/100")</f>
        <v>0.10/100</v>
      </c>
      <c r="AE309" s="5"/>
      <c r="AF309" s="5"/>
      <c r="AG309" s="10">
        <f ca="1">IFERROR(__xludf.DUMMYFUNCTION("""COMPUTED_VALUE"""),46157.4729398148)</f>
        <v>46157.472939814797</v>
      </c>
      <c r="AH309" s="5"/>
      <c r="AI309" s="5"/>
      <c r="AJ309" s="5"/>
      <c r="AK309" s="5">
        <f ca="1">IFERROR(__xludf.DUMMYFUNCTION("""COMPUTED_VALUE"""),1)</f>
        <v>1</v>
      </c>
      <c r="AL309" s="5" t="str">
        <f ca="1">IFERROR(__xludf.DUMMYFUNCTION("""COMPUTED_VALUE"""),"No")</f>
        <v>No</v>
      </c>
      <c r="AM309" s="5" t="str">
        <f ca="1">IFERROR(__xludf.DUMMYFUNCTION("""COMPUTED_VALUE"""),"No")</f>
        <v>No</v>
      </c>
      <c r="AN309" s="7" t="str">
        <f ca="1">IFERROR(__xludf.DUMMYFUNCTION("""COMPUTED_VALUE"""),"https://static.redstone.rs/games/lady-triple-fortune/")</f>
        <v>https://static.redstone.rs/games/lady-triple-fortune/</v>
      </c>
      <c r="AO309" s="5" t="str">
        <f ca="1">IFERROR(__xludf.DUMMYFUNCTION("""COMPUTED_VALUE"""),"No")</f>
        <v>No</v>
      </c>
      <c r="AP309" s="5" t="str">
        <f ca="1">IFERROR(__xludf.DUMMYFUNCTION("""COMPUTED_VALUE"""),"No")</f>
        <v>No</v>
      </c>
      <c r="AQ309" s="5" t="b">
        <f ca="1">IFERROR(__xludf.DUMMYFUNCTION("""COMPUTED_VALUE"""),TRUE)</f>
        <v>1</v>
      </c>
      <c r="AR309" s="5"/>
      <c r="AS309" s="5" t="str">
        <f ca="1">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AT309" s="5"/>
      <c r="AU309" s="5" t="str">
        <f ca="1">IFERROR(__xludf.DUMMYFUNCTION("""COMPUTED_VALUE"""),"Redstone")</f>
        <v>Redstone</v>
      </c>
      <c r="AV309" s="5"/>
      <c r="AW309" s="5"/>
      <c r="AX309" s="5"/>
      <c r="AY309" s="5"/>
      <c r="AZ309" s="5"/>
      <c r="BA309" s="5"/>
      <c r="BB309" s="5" t="b">
        <f ca="1">IFERROR(__xludf.DUMMYFUNCTION("""COMPUTED_VALUE"""),TRUE)</f>
        <v>1</v>
      </c>
      <c r="BC309" s="5" t="str">
        <f ca="1">IFERROR(__xludf.DUMMYFUNCTION("""COMPUTED_VALUE"""),"Redstone")</f>
        <v>Redstone</v>
      </c>
      <c r="BD309" s="7" t="str">
        <f ca="1">IFERROR(__xludf.DUMMYFUNCTION("""COMPUTED_VALUE"""),"https://static.redstone.rs/games/lady-triple-fortune/")</f>
        <v>https://static.redstone.rs/games/lady-triple-fortune/</v>
      </c>
      <c r="BE309" s="5" t="b">
        <f ca="1">IFERROR(__xludf.DUMMYFUNCTION("""COMPUTED_VALUE"""),TRUE)</f>
        <v>1</v>
      </c>
    </row>
    <row r="310" spans="1:57" x14ac:dyDescent="0.25">
      <c r="A310" s="5">
        <f ca="1">IFERROR(__xludf.DUMMYFUNCTION("""COMPUTED_VALUE"""),310)</f>
        <v>310</v>
      </c>
      <c r="B310" s="5">
        <f ca="1">IFERROR(__xludf.DUMMYFUNCTION("""COMPUTED_VALUE"""),309)</f>
        <v>309</v>
      </c>
      <c r="C310" s="5" t="str">
        <f ca="1">IFERROR(__xludf.DUMMYFUNCTION("""COMPUTED_VALUE"""),"Redstone")</f>
        <v>Redstone</v>
      </c>
      <c r="D310" s="5" t="str">
        <f ca="1">IFERROR(__xludf.DUMMYFUNCTION("""COMPUTED_VALUE"""),"Hot Rush Stars Deluxe")</f>
        <v>Hot Rush Stars Deluxe</v>
      </c>
      <c r="E310" s="5" t="str">
        <f ca="1">IFERROR(__xludf.DUMMYFUNCTION("""COMPUTED_VALUE"""),"Redstone")</f>
        <v>Redstone</v>
      </c>
      <c r="F310" s="5" t="str">
        <f ca="1">IFERROR(__xludf.DUMMYFUNCTION("""COMPUTED_VALUE"""),"RedstoneHotRushStarsDeluxe")</f>
        <v>RedstoneHotRushStarsDeluxe</v>
      </c>
      <c r="G310" s="5" t="str">
        <f ca="1">IFERROR(__xludf.DUMMYFUNCTION("""COMPUTED_VALUE"""),"Live")</f>
        <v>Live</v>
      </c>
      <c r="H310" s="5"/>
      <c r="I310" s="5" t="str">
        <f ca="1">IFERROR(__xludf.DUMMYFUNCTION("""COMPUTED_VALUE"""),"Redstone")</f>
        <v>Redstone</v>
      </c>
      <c r="J310" s="5" t="str">
        <f ca="1">IFERROR(__xludf.DUMMYFUNCTION("""COMPUTED_VALUE"""),"JSON")</f>
        <v>JSON</v>
      </c>
      <c r="K310" s="5" t="str">
        <f ca="1">IFERROR(__xludf.DUMMYFUNCTION("""COMPUTED_VALUE"""),"Slot")</f>
        <v>Slot</v>
      </c>
      <c r="L310" s="5" t="str">
        <f ca="1">IFERROR(__xludf.DUMMYFUNCTION("""COMPUTED_VALUE""")," Clone")</f>
        <v xml:space="preserve"> Clone</v>
      </c>
      <c r="M310" s="5" t="str">
        <f ca="1">IFERROR(__xludf.DUMMYFUNCTION("""COMPUTED_VALUE"""),"Blazing Heat")</f>
        <v>Blazing Heat</v>
      </c>
      <c r="N310" s="7" t="str">
        <f ca="1">IFERROR(__xludf.DUMMYFUNCTION("""COMPUTED_VALUE"""),"https://docs.google.com/document/d/1qojyhg6StEvl3u5X0MaSIIahYXE51idz/edit?usp=drive_link&amp;ouid=107596163405648766688&amp;rtpof=true&amp;sd=true")</f>
        <v>https://docs.google.com/document/d/1qojyhg6StEvl3u5X0MaSIIahYXE51idz/edit?usp=drive_link&amp;ouid=107596163405648766688&amp;rtpof=true&amp;sd=true</v>
      </c>
      <c r="O310" s="7" t="str">
        <f ca="1">IFERROR(__xludf.DUMMYFUNCTION("""COMPUTED_VALUE"""),"https://docs.google.com/document/d/18GNqOxG-IfrZF7FgIDbx__reQdjcDGUy/edit?usp=drive_link&amp;ouid=107596163405648766688&amp;rtpof=true&amp;sd=true")</f>
        <v>https://docs.google.com/document/d/18GNqOxG-IfrZF7FgIDbx__reQdjcDGUy/edit?usp=drive_link&amp;ouid=107596163405648766688&amp;rtpof=true&amp;sd=true</v>
      </c>
      <c r="P310" s="14">
        <f ca="1">IFERROR(__xludf.DUMMYFUNCTION("""COMPUTED_VALUE"""),8)</f>
        <v>8</v>
      </c>
      <c r="Q310" s="5"/>
      <c r="R310" s="5"/>
      <c r="S310" s="15">
        <f ca="1">IFERROR(__xludf.DUMMYFUNCTION("""COMPUTED_VALUE"""),45364)</f>
        <v>45364</v>
      </c>
      <c r="T310" s="5" t="b">
        <f ca="1">IFERROR(__xludf.DUMMYFUNCTION("""COMPUTED_VALUE"""),TRUE)</f>
        <v>1</v>
      </c>
      <c r="U310" s="5" t="str">
        <f ca="1">IFERROR(__xludf.DUMMYFUNCTION("""COMPUTED_VALUE"""),"5x3")</f>
        <v>5x3</v>
      </c>
      <c r="V310" s="12" t="str">
        <f ca="1">IFERROR(__xludf.DUMMYFUNCTION("""COMPUTED_VALUE"""),"5")</f>
        <v>5</v>
      </c>
      <c r="W310" s="12" t="str">
        <f ca="1">IFERROR(__xludf.DUMMYFUNCTION("""COMPUTED_VALUE"""),"5")</f>
        <v>5</v>
      </c>
      <c r="X310" s="13">
        <f ca="1">IFERROR(__xludf.DUMMYFUNCTION("""COMPUTED_VALUE"""),96.15)</f>
        <v>96.15</v>
      </c>
      <c r="Y310" s="5" t="str">
        <f ca="1">IFERROR(__xludf.DUMMYFUNCTION("""COMPUTED_VALUE"""),"Medium")</f>
        <v>Medium</v>
      </c>
      <c r="Z310" s="5">
        <f ca="1">IFERROR(__xludf.DUMMYFUNCTION("""COMPUTED_VALUE"""),12.88)</f>
        <v>12.88</v>
      </c>
      <c r="AA310" s="14">
        <f ca="1">IFERROR(__xludf.DUMMYFUNCTION("""COMPUTED_VALUE"""),1000)</f>
        <v>1000</v>
      </c>
      <c r="AB310" s="5">
        <f ca="1">IFERROR(__xludf.DUMMYFUNCTION("""COMPUTED_VALUE"""),-23)</f>
        <v>-23</v>
      </c>
      <c r="AC310" s="5" t="str">
        <f ca="1">IFERROR(__xludf.DUMMYFUNCTION("""COMPUTED_VALUE"""),"Scatter")</f>
        <v>Scatter</v>
      </c>
      <c r="AD310" s="5" t="str">
        <f ca="1">IFERROR(__xludf.DUMMYFUNCTION("""COMPUTED_VALUE"""),"0.05/100")</f>
        <v>0.05/100</v>
      </c>
      <c r="AE310" s="5"/>
      <c r="AF310" s="5"/>
      <c r="AG310" s="10">
        <f ca="1">IFERROR(__xludf.DUMMYFUNCTION("""COMPUTED_VALUE"""),46157.472824074)</f>
        <v>46157.472824074001</v>
      </c>
      <c r="AH310" s="5"/>
      <c r="AI310" s="5"/>
      <c r="AJ310" s="5"/>
      <c r="AK310" s="5">
        <f ca="1">IFERROR(__xludf.DUMMYFUNCTION("""COMPUTED_VALUE"""),1)</f>
        <v>1</v>
      </c>
      <c r="AL310" s="5" t="str">
        <f ca="1">IFERROR(__xludf.DUMMYFUNCTION("""COMPUTED_VALUE"""),"No")</f>
        <v>No</v>
      </c>
      <c r="AM310" s="5" t="str">
        <f ca="1">IFERROR(__xludf.DUMMYFUNCTION("""COMPUTED_VALUE"""),"No")</f>
        <v>No</v>
      </c>
      <c r="AN310" s="7" t="str">
        <f ca="1">IFERROR(__xludf.DUMMYFUNCTION("""COMPUTED_VALUE"""),"https://static.redstone.rs/games/hot-rush-stars-deluxe/")</f>
        <v>https://static.redstone.rs/games/hot-rush-stars-deluxe/</v>
      </c>
      <c r="AO310" s="5" t="str">
        <f ca="1">IFERROR(__xludf.DUMMYFUNCTION("""COMPUTED_VALUE"""),"No")</f>
        <v>No</v>
      </c>
      <c r="AP310" s="5" t="str">
        <f ca="1">IFERROR(__xludf.DUMMYFUNCTION("""COMPUTED_VALUE"""),"No")</f>
        <v>No</v>
      </c>
      <c r="AQ310" s="5" t="b">
        <f ca="1">IFERROR(__xludf.DUMMYFUNCTION("""COMPUTED_VALUE"""),TRUE)</f>
        <v>1</v>
      </c>
      <c r="AR310" s="5"/>
      <c r="AS310" s="5" t="str">
        <f ca="1">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AT310" s="5"/>
      <c r="AU310" s="5" t="str">
        <f ca="1">IFERROR(__xludf.DUMMYFUNCTION("""COMPUTED_VALUE"""),"Redstone")</f>
        <v>Redstone</v>
      </c>
      <c r="AV310" s="5"/>
      <c r="AW310" s="5"/>
      <c r="AX310" s="5"/>
      <c r="AY310" s="5"/>
      <c r="AZ310" s="5"/>
      <c r="BA310" s="5"/>
      <c r="BB310" s="5" t="b">
        <f ca="1">IFERROR(__xludf.DUMMYFUNCTION("""COMPUTED_VALUE"""),TRUE)</f>
        <v>1</v>
      </c>
      <c r="BC310" s="5" t="str">
        <f ca="1">IFERROR(__xludf.DUMMYFUNCTION("""COMPUTED_VALUE"""),"Redstone")</f>
        <v>Redstone</v>
      </c>
      <c r="BD310" s="7" t="str">
        <f ca="1">IFERROR(__xludf.DUMMYFUNCTION("""COMPUTED_VALUE"""),"https://static.redstone.rs/games/hot-rush-stars-deluxe/")</f>
        <v>https://static.redstone.rs/games/hot-rush-stars-deluxe/</v>
      </c>
      <c r="BE310" s="5" t="b">
        <f ca="1">IFERROR(__xludf.DUMMYFUNCTION("""COMPUTED_VALUE"""),TRUE)</f>
        <v>1</v>
      </c>
    </row>
    <row r="311" spans="1:57" x14ac:dyDescent="0.25">
      <c r="A311" s="5">
        <f ca="1">IFERROR(__xludf.DUMMYFUNCTION("""COMPUTED_VALUE"""),311)</f>
        <v>311</v>
      </c>
      <c r="B311" s="5">
        <f ca="1">IFERROR(__xludf.DUMMYFUNCTION("""COMPUTED_VALUE"""),310)</f>
        <v>310</v>
      </c>
      <c r="C311" s="5" t="str">
        <f ca="1">IFERROR(__xludf.DUMMYFUNCTION("""COMPUTED_VALUE"""),"Fazi")</f>
        <v>Fazi</v>
      </c>
      <c r="D311" s="5" t="str">
        <f ca="1">IFERROR(__xludf.DUMMYFUNCTION("""COMPUTED_VALUE"""),"Wild 81")</f>
        <v>Wild 81</v>
      </c>
      <c r="E311" s="5" t="str">
        <f ca="1">IFERROR(__xludf.DUMMYFUNCTION("""COMPUTED_VALUE"""),"V4-1")</f>
        <v>V4-1</v>
      </c>
      <c r="F311" s="5" t="str">
        <f ca="1">IFERROR(__xludf.DUMMYFUNCTION("""COMPUTED_VALUE"""),"Wild81")</f>
        <v>Wild81</v>
      </c>
      <c r="G311" s="5" t="str">
        <f ca="1">IFERROR(__xludf.DUMMYFUNCTION("""COMPUTED_VALUE"""),"Live")</f>
        <v>Live</v>
      </c>
      <c r="H311" s="5"/>
      <c r="I311" s="5" t="str">
        <f ca="1">IFERROR(__xludf.DUMMYFUNCTION("""COMPUTED_VALUE"""),"V4")</f>
        <v>V4</v>
      </c>
      <c r="J311" s="5" t="str">
        <f ca="1">IFERROR(__xludf.DUMMYFUNCTION("""COMPUTED_VALUE"""),"JSON")</f>
        <v>JSON</v>
      </c>
      <c r="K311" s="5" t="str">
        <f ca="1">IFERROR(__xludf.DUMMYFUNCTION("""COMPUTED_VALUE"""),"Slot")</f>
        <v>Slot</v>
      </c>
      <c r="L311" s="5"/>
      <c r="M311" s="5"/>
      <c r="N311" s="5"/>
      <c r="O311" s="5"/>
      <c r="P311" s="14">
        <f ca="1">IFERROR(__xludf.DUMMYFUNCTION("""COMPUTED_VALUE"""),13.3)</f>
        <v>13.3</v>
      </c>
      <c r="Q311" s="5"/>
      <c r="R311" s="5"/>
      <c r="S311" s="15">
        <f ca="1">IFERROR(__xludf.DUMMYFUNCTION("""COMPUTED_VALUE"""),45407)</f>
        <v>45407</v>
      </c>
      <c r="T311" s="5" t="b">
        <f ca="1">IFERROR(__xludf.DUMMYFUNCTION("""COMPUTED_VALUE"""),TRUE)</f>
        <v>1</v>
      </c>
      <c r="U311" s="5" t="str">
        <f ca="1">IFERROR(__xludf.DUMMYFUNCTION("""COMPUTED_VALUE"""),"4x3")</f>
        <v>4x3</v>
      </c>
      <c r="V311" s="12" t="str">
        <f ca="1">IFERROR(__xludf.DUMMYFUNCTION("""COMPUTED_VALUE"""),"81")</f>
        <v>81</v>
      </c>
      <c r="W311" s="12" t="str">
        <f ca="1">IFERROR(__xludf.DUMMYFUNCTION("""COMPUTED_VALUE"""),"81")</f>
        <v>81</v>
      </c>
      <c r="X311" s="5">
        <f ca="1">IFERROR(__xludf.DUMMYFUNCTION("""COMPUTED_VALUE"""),96.55)</f>
        <v>96.55</v>
      </c>
      <c r="Y311" s="5" t="str">
        <f ca="1">IFERROR(__xludf.DUMMYFUNCTION("""COMPUTED_VALUE"""),"High")</f>
        <v>High</v>
      </c>
      <c r="Z311" s="5">
        <f ca="1">IFERROR(__xludf.DUMMYFUNCTION("""COMPUTED_VALUE"""),5.1)</f>
        <v>5.0999999999999996</v>
      </c>
      <c r="AA311" s="14">
        <f ca="1">IFERROR(__xludf.DUMMYFUNCTION("""COMPUTED_VALUE"""),3200)</f>
        <v>3200</v>
      </c>
      <c r="AB311" s="5">
        <f ca="1">IFERROR(__xludf.DUMMYFUNCTION("""COMPUTED_VALUE"""),542)</f>
        <v>542</v>
      </c>
      <c r="AC311" s="5" t="str">
        <f ca="1">IFERROR(__xludf.DUMMYFUNCTION("""COMPUTED_VALUE"""),"Wild Multiplier, Scatter")</f>
        <v>Wild Multiplier, Scatter</v>
      </c>
      <c r="AD311" s="5" t="str">
        <f ca="1">IFERROR(__xludf.DUMMYFUNCTION("""COMPUTED_VALUE"""),"0.05/20")</f>
        <v>0.05/20</v>
      </c>
      <c r="AE311" s="5"/>
      <c r="AF311" s="5"/>
      <c r="AG311" s="10">
        <f ca="1">IFERROR(__xludf.DUMMYFUNCTION("""COMPUTED_VALUE"""),46176.4833217592)</f>
        <v>46176.483321759202</v>
      </c>
      <c r="AH311" s="5" t="str">
        <f ca="1">IFERROR(__xludf.DUMMYFUNCTION("""COMPUTED_VALUE"""),"djordje.petrovic@fazi.rs")</f>
        <v>djordje.petrovic@fazi.rs</v>
      </c>
      <c r="AI311" s="5"/>
      <c r="AJ311" s="5"/>
      <c r="AK311" s="5">
        <f ca="1">IFERROR(__xludf.DUMMYFUNCTION("""COMPUTED_VALUE"""),5)</f>
        <v>5</v>
      </c>
      <c r="AL311" s="5" t="str">
        <f ca="1">IFERROR(__xludf.DUMMYFUNCTION("""COMPUTED_VALUE"""),"Yes")</f>
        <v>Yes</v>
      </c>
      <c r="AM311" s="5" t="str">
        <f ca="1">IFERROR(__xludf.DUMMYFUNCTION("""COMPUTED_VALUE"""),"No")</f>
        <v>No</v>
      </c>
      <c r="AN311" s="7" t="str">
        <f ca="1">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AO311" s="5" t="str">
        <f ca="1">IFERROR(__xludf.DUMMYFUNCTION("""COMPUTED_VALUE"""),"Yes")</f>
        <v>Yes</v>
      </c>
      <c r="AP311" s="5" t="str">
        <f ca="1">IFERROR(__xludf.DUMMYFUNCTION("""COMPUTED_VALUE"""),"Yes")</f>
        <v>Yes</v>
      </c>
      <c r="AQ311" s="5" t="b">
        <f ca="1">IFERROR(__xludf.DUMMYFUNCTION("""COMPUTED_VALUE"""),TRUE)</f>
        <v>1</v>
      </c>
      <c r="AR311" s="5"/>
      <c r="AS311" s="5" t="str">
        <f ca="1">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AT311" s="5" t="str">
        <f ca="1">IFERROR(__xludf.DUMMYFUNCTION("""COMPUTED_VALUE"""),"Yes")</f>
        <v>Yes</v>
      </c>
      <c r="AU311" s="5" t="str">
        <f ca="1">IFERROR(__xludf.DUMMYFUNCTION("""COMPUTED_VALUE"""),"Fazi")</f>
        <v>Fazi</v>
      </c>
      <c r="AV311" s="5"/>
      <c r="AW311"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1" s="5"/>
      <c r="AY311" s="5"/>
      <c r="AZ311" s="5"/>
      <c r="BA311" s="5"/>
      <c r="BB311" s="5"/>
      <c r="BC311" s="5" t="str">
        <f ca="1">IFERROR(__xludf.DUMMYFUNCTION("""COMPUTED_VALUE"""),"Foxi")</f>
        <v>Foxi</v>
      </c>
      <c r="BD311" s="7" t="str">
        <f ca="1">IFERROR(__xludf.DUMMYFUNCTION("""COMPUTED_VALUE"""),"https://gameserver-store-client-area.orbionlimited.com/Home/IntegrationGameLaunch/client-area?moneyType=0&amp;gameName=Wild81&amp;platform=desktop&amp;languageCode=eng&amp;currency=EUR")</f>
        <v>https://gameserver-store-client-area.orbionlimited.com/Home/IntegrationGameLaunch/client-area?moneyType=0&amp;gameName=Wild81&amp;platform=desktop&amp;languageCode=eng&amp;currency=EUR</v>
      </c>
      <c r="BE311" s="5" t="b">
        <f ca="1">IFERROR(__xludf.DUMMYFUNCTION("""COMPUTED_VALUE"""),TRUE)</f>
        <v>1</v>
      </c>
    </row>
    <row r="312" spans="1:57" x14ac:dyDescent="0.25">
      <c r="A312" s="5">
        <f ca="1">IFERROR(__xludf.DUMMYFUNCTION("""COMPUTED_VALUE"""),312)</f>
        <v>312</v>
      </c>
      <c r="B312" s="5">
        <f ca="1">IFERROR(__xludf.DUMMYFUNCTION("""COMPUTED_VALUE"""),311)</f>
        <v>311</v>
      </c>
      <c r="C312" s="5" t="str">
        <f ca="1">IFERROR(__xludf.DUMMYFUNCTION("""COMPUTED_VALUE"""),"Fazi")</f>
        <v>Fazi</v>
      </c>
      <c r="D312" s="5" t="str">
        <f ca="1">IFERROR(__xludf.DUMMYFUNCTION("""COMPUTED_VALUE"""),"Mystic Jungle")</f>
        <v>Mystic Jungle</v>
      </c>
      <c r="E312" s="5" t="str">
        <f ca="1">IFERROR(__xludf.DUMMYFUNCTION("""COMPUTED_VALUE"""),"V4-1")</f>
        <v>V4-1</v>
      </c>
      <c r="F312" s="5" t="str">
        <f ca="1">IFERROR(__xludf.DUMMYFUNCTION("""COMPUTED_VALUE"""),"MysticJungle")</f>
        <v>MysticJungle</v>
      </c>
      <c r="G312" s="5" t="str">
        <f ca="1">IFERROR(__xludf.DUMMYFUNCTION("""COMPUTED_VALUE"""),"Live")</f>
        <v>Live</v>
      </c>
      <c r="H312" s="5"/>
      <c r="I312" s="5" t="str">
        <f ca="1">IFERROR(__xludf.DUMMYFUNCTION("""COMPUTED_VALUE"""),"V4")</f>
        <v>V4</v>
      </c>
      <c r="J312" s="5" t="str">
        <f ca="1">IFERROR(__xludf.DUMMYFUNCTION("""COMPUTED_VALUE"""),"JSON")</f>
        <v>JSON</v>
      </c>
      <c r="K312" s="5" t="str">
        <f ca="1">IFERROR(__xludf.DUMMYFUNCTION("""COMPUTED_VALUE"""),"Slot")</f>
        <v>Slot</v>
      </c>
      <c r="L312" s="5"/>
      <c r="M312" s="5"/>
      <c r="N312" s="5"/>
      <c r="O312" s="5"/>
      <c r="P312" s="14">
        <f ca="1">IFERROR(__xludf.DUMMYFUNCTION("""COMPUTED_VALUE"""),19.1)</f>
        <v>19.100000000000001</v>
      </c>
      <c r="Q312" s="5"/>
      <c r="R312" s="5"/>
      <c r="S312" s="15">
        <f ca="1">IFERROR(__xludf.DUMMYFUNCTION("""COMPUTED_VALUE"""),45439)</f>
        <v>45439</v>
      </c>
      <c r="T312" s="5" t="b">
        <f ca="1">IFERROR(__xludf.DUMMYFUNCTION("""COMPUTED_VALUE"""),TRUE)</f>
        <v>1</v>
      </c>
      <c r="U312" s="5" t="str">
        <f ca="1">IFERROR(__xludf.DUMMYFUNCTION("""COMPUTED_VALUE"""),"5x3")</f>
        <v>5x3</v>
      </c>
      <c r="V312" s="12" t="str">
        <f ca="1">IFERROR(__xludf.DUMMYFUNCTION("""COMPUTED_VALUE"""),"10")</f>
        <v>10</v>
      </c>
      <c r="W312" s="12" t="str">
        <f ca="1">IFERROR(__xludf.DUMMYFUNCTION("""COMPUTED_VALUE"""),"10")</f>
        <v>10</v>
      </c>
      <c r="X312" s="5">
        <f ca="1">IFERROR(__xludf.DUMMYFUNCTION("""COMPUTED_VALUE"""),96.494)</f>
        <v>96.494</v>
      </c>
      <c r="Y312" s="5" t="str">
        <f ca="1">IFERROR(__xludf.DUMMYFUNCTION("""COMPUTED_VALUE"""),"Medium")</f>
        <v>Medium</v>
      </c>
      <c r="Z312" s="5">
        <f ca="1">IFERROR(__xludf.DUMMYFUNCTION("""COMPUTED_VALUE"""),9.824)</f>
        <v>9.8239999999999998</v>
      </c>
      <c r="AA312" s="14">
        <f ca="1">IFERROR(__xludf.DUMMYFUNCTION("""COMPUTED_VALUE"""),500)</f>
        <v>500</v>
      </c>
      <c r="AB312" s="5">
        <f ca="1">IFERROR(__xludf.DUMMYFUNCTION("""COMPUTED_VALUE"""),8)</f>
        <v>8</v>
      </c>
      <c r="AC312" s="5" t="str">
        <f ca="1">IFERROR(__xludf.DUMMYFUNCTION("""COMPUTED_VALUE"""),"Mystery symbol")</f>
        <v>Mystery symbol</v>
      </c>
      <c r="AD312" s="5" t="str">
        <f ca="1">IFERROR(__xludf.DUMMYFUNCTION("""COMPUTED_VALUE"""),"0.1/40")</f>
        <v>0.1/40</v>
      </c>
      <c r="AE312" s="5"/>
      <c r="AF312" s="5"/>
      <c r="AG312" s="10">
        <f ca="1">IFERROR(__xludf.DUMMYFUNCTION("""COMPUTED_VALUE"""),46127.4370023148)</f>
        <v>46127.4370023148</v>
      </c>
      <c r="AH312" s="5" t="str">
        <f ca="1">IFERROR(__xludf.DUMMYFUNCTION("""COMPUTED_VALUE"""),"djordje.petrovic@fazi.rs")</f>
        <v>djordje.petrovic@fazi.rs</v>
      </c>
      <c r="AI312" s="5"/>
      <c r="AJ312" s="5"/>
      <c r="AK312" s="5">
        <f ca="1">IFERROR(__xludf.DUMMYFUNCTION("""COMPUTED_VALUE"""),10)</f>
        <v>10</v>
      </c>
      <c r="AL312" s="5" t="str">
        <f ca="1">IFERROR(__xludf.DUMMYFUNCTION("""COMPUTED_VALUE"""),"Yes")</f>
        <v>Yes</v>
      </c>
      <c r="AM312" s="5"/>
      <c r="AN312" s="7" t="str">
        <f ca="1">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AO312" s="5" t="str">
        <f ca="1">IFERROR(__xludf.DUMMYFUNCTION("""COMPUTED_VALUE"""),"Yes")</f>
        <v>Yes</v>
      </c>
      <c r="AP312" s="5" t="str">
        <f ca="1">IFERROR(__xludf.DUMMYFUNCTION("""COMPUTED_VALUE"""),"Yes")</f>
        <v>Yes</v>
      </c>
      <c r="AQ312" s="5" t="b">
        <f ca="1">IFERROR(__xludf.DUMMYFUNCTION("""COMPUTED_VALUE"""),TRUE)</f>
        <v>1</v>
      </c>
      <c r="AR312" s="5"/>
      <c r="AS312" s="5" t="str">
        <f ca="1">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AT312" s="5" t="str">
        <f ca="1">IFERROR(__xludf.DUMMYFUNCTION("""COMPUTED_VALUE"""),"Yes")</f>
        <v>Yes</v>
      </c>
      <c r="AU312" s="5" t="str">
        <f ca="1">IFERROR(__xludf.DUMMYFUNCTION("""COMPUTED_VALUE"""),"Fazi")</f>
        <v>Fazi</v>
      </c>
      <c r="AV312" s="5"/>
      <c r="AW312"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2" s="5"/>
      <c r="AY312" s="5"/>
      <c r="AZ312" s="5"/>
      <c r="BA312" s="5"/>
      <c r="BB312" s="5"/>
      <c r="BC312" s="5" t="str">
        <f ca="1">IFERROR(__xludf.DUMMYFUNCTION("""COMPUTED_VALUE"""),"Foxi")</f>
        <v>Foxi</v>
      </c>
      <c r="BD312" s="7" t="str">
        <f ca="1">IFERROR(__xludf.DUMMYFUNCTION("""COMPUTED_VALUE"""),"https://gameserver-store-client-area.orbionlimited.com/Home/IntegrationGameLaunch/client-area?moneyType=0&amp;gameName=MysticJungle&amp;platform=desktop&amp;languageCode=eng&amp;currency=EUR")</f>
        <v>https://gameserver-store-client-area.orbionlimited.com/Home/IntegrationGameLaunch/client-area?moneyType=0&amp;gameName=MysticJungle&amp;platform=desktop&amp;languageCode=eng&amp;currency=EUR</v>
      </c>
      <c r="BE312" s="5" t="b">
        <f ca="1">IFERROR(__xludf.DUMMYFUNCTION("""COMPUTED_VALUE"""),TRUE)</f>
        <v>1</v>
      </c>
    </row>
    <row r="313" spans="1:57" x14ac:dyDescent="0.25">
      <c r="A313" s="5">
        <f ca="1">IFERROR(__xludf.DUMMYFUNCTION("""COMPUTED_VALUE"""),313)</f>
        <v>313</v>
      </c>
      <c r="B313" s="5">
        <f ca="1">IFERROR(__xludf.DUMMYFUNCTION("""COMPUTED_VALUE"""),312)</f>
        <v>312</v>
      </c>
      <c r="C313" s="5" t="str">
        <f ca="1">IFERROR(__xludf.DUMMYFUNCTION("""COMPUTED_VALUE"""),"Redstone")</f>
        <v>Redstone</v>
      </c>
      <c r="D313" s="5" t="str">
        <f ca="1">IFERROR(__xludf.DUMMYFUNCTION("""COMPUTED_VALUE"""),"Slot Royale")</f>
        <v>Slot Royale</v>
      </c>
      <c r="E313" s="5" t="str">
        <f ca="1">IFERROR(__xludf.DUMMYFUNCTION("""COMPUTED_VALUE"""),"Redstone")</f>
        <v>Redstone</v>
      </c>
      <c r="F313" s="5" t="str">
        <f ca="1">IFERROR(__xludf.DUMMYFUNCTION("""COMPUTED_VALUE"""),"RedstoneSlotRoyale")</f>
        <v>RedstoneSlotRoyale</v>
      </c>
      <c r="G313" s="5" t="str">
        <f ca="1">IFERROR(__xludf.DUMMYFUNCTION("""COMPUTED_VALUE"""),"Live")</f>
        <v>Live</v>
      </c>
      <c r="H313" s="5"/>
      <c r="I313" s="5" t="str">
        <f ca="1">IFERROR(__xludf.DUMMYFUNCTION("""COMPUTED_VALUE"""),"Redstone")</f>
        <v>Redstone</v>
      </c>
      <c r="J313" s="5" t="str">
        <f ca="1">IFERROR(__xludf.DUMMYFUNCTION("""COMPUTED_VALUE"""),"JSON")</f>
        <v>JSON</v>
      </c>
      <c r="K313" s="5" t="str">
        <f ca="1">IFERROR(__xludf.DUMMYFUNCTION("""COMPUTED_VALUE"""),"Slot")</f>
        <v>Slot</v>
      </c>
      <c r="L313" s="5" t="str">
        <f ca="1">IFERROR(__xludf.DUMMYFUNCTION("""COMPUTED_VALUE""")," Clone")</f>
        <v xml:space="preserve"> Clone</v>
      </c>
      <c r="M313" s="5" t="str">
        <f ca="1">IFERROR(__xludf.DUMMYFUNCTION("""COMPUTED_VALUE"""),"10 Wild Crown")</f>
        <v>10 Wild Crown</v>
      </c>
      <c r="N313" s="7" t="str">
        <f ca="1">IFERROR(__xludf.DUMMYFUNCTION("""COMPUTED_VALUE"""),"https://docs.google.com/document/d/1U4DNn9-d1b6GRqHeFhj0MRXSPX_A91CH/edit?usp=drive_link&amp;ouid=107596163405648766688&amp;rtpof=true&amp;sd=true")</f>
        <v>https://docs.google.com/document/d/1U4DNn9-d1b6GRqHeFhj0MRXSPX_A91CH/edit?usp=drive_link&amp;ouid=107596163405648766688&amp;rtpof=true&amp;sd=true</v>
      </c>
      <c r="O313" s="7" t="str">
        <f ca="1">IFERROR(__xludf.DUMMYFUNCTION("""COMPUTED_VALUE"""),"https://docs.google.com/document/d/1MIVYMaF7eJW5PpLAKh85bop6buH12dCh/edit?usp=drive_link&amp;ouid=107596163405648766688&amp;rtpof=true&amp;sd=true")</f>
        <v>https://docs.google.com/document/d/1MIVYMaF7eJW5PpLAKh85bop6buH12dCh/edit?usp=drive_link&amp;ouid=107596163405648766688&amp;rtpof=true&amp;sd=true</v>
      </c>
      <c r="P313" s="14">
        <f ca="1">IFERROR(__xludf.DUMMYFUNCTION("""COMPUTED_VALUE"""),9.1)</f>
        <v>9.1</v>
      </c>
      <c r="Q313" s="5"/>
      <c r="R313" s="5"/>
      <c r="S313" s="15">
        <f ca="1">IFERROR(__xludf.DUMMYFUNCTION("""COMPUTED_VALUE"""),45355)</f>
        <v>45355</v>
      </c>
      <c r="T313" s="5" t="b">
        <f ca="1">IFERROR(__xludf.DUMMYFUNCTION("""COMPUTED_VALUE"""),TRUE)</f>
        <v>1</v>
      </c>
      <c r="U313" s="5" t="str">
        <f ca="1">IFERROR(__xludf.DUMMYFUNCTION("""COMPUTED_VALUE"""),"5x3")</f>
        <v>5x3</v>
      </c>
      <c r="V313" s="12" t="str">
        <f ca="1">IFERROR(__xludf.DUMMYFUNCTION("""COMPUTED_VALUE"""),"10")</f>
        <v>10</v>
      </c>
      <c r="W313" s="12" t="str">
        <f ca="1">IFERROR(__xludf.DUMMYFUNCTION("""COMPUTED_VALUE"""),"10")</f>
        <v>10</v>
      </c>
      <c r="X313" s="5">
        <f ca="1">IFERROR(__xludf.DUMMYFUNCTION("""COMPUTED_VALUE"""),95.96)</f>
        <v>95.96</v>
      </c>
      <c r="Y313" s="5" t="str">
        <f ca="1">IFERROR(__xludf.DUMMYFUNCTION("""COMPUTED_VALUE"""),"Medium")</f>
        <v>Medium</v>
      </c>
      <c r="Z313" s="5">
        <f ca="1">IFERROR(__xludf.DUMMYFUNCTION("""COMPUTED_VALUE"""),14.63)</f>
        <v>14.63</v>
      </c>
      <c r="AA313" s="14">
        <f ca="1">IFERROR(__xludf.DUMMYFUNCTION("""COMPUTED_VALUE"""),1538)</f>
        <v>1538</v>
      </c>
      <c r="AB313" s="5"/>
      <c r="AC313" s="5" t="str">
        <f ca="1">IFERROR(__xludf.DUMMYFUNCTION("""COMPUTED_VALUE"""),"Expanding Wild, Scatter")</f>
        <v>Expanding Wild, Scatter</v>
      </c>
      <c r="AD313" s="5" t="str">
        <f ca="1">IFERROR(__xludf.DUMMYFUNCTION("""COMPUTED_VALUE"""),"0.05/100")</f>
        <v>0.05/100</v>
      </c>
      <c r="AE313" s="5"/>
      <c r="AF313" s="5"/>
      <c r="AG313" s="10">
        <f ca="1">IFERROR(__xludf.DUMMYFUNCTION("""COMPUTED_VALUE"""),46157.4713773148)</f>
        <v>46157.471377314803</v>
      </c>
      <c r="AH313" s="5"/>
      <c r="AI313" s="5"/>
      <c r="AJ313" s="5"/>
      <c r="AK313" s="5">
        <f ca="1">IFERROR(__xludf.DUMMYFUNCTION("""COMPUTED_VALUE"""),1)</f>
        <v>1</v>
      </c>
      <c r="AL313" s="5" t="str">
        <f ca="1">IFERROR(__xludf.DUMMYFUNCTION("""COMPUTED_VALUE"""),"No")</f>
        <v>No</v>
      </c>
      <c r="AM313" s="5" t="str">
        <f ca="1">IFERROR(__xludf.DUMMYFUNCTION("""COMPUTED_VALUE"""),"No")</f>
        <v>No</v>
      </c>
      <c r="AN313" s="7" t="str">
        <f ca="1">IFERROR(__xludf.DUMMYFUNCTION("""COMPUTED_VALUE"""),"https://static.redstone.rs/games/slot-royale/")</f>
        <v>https://static.redstone.rs/games/slot-royale/</v>
      </c>
      <c r="AO313" s="5" t="str">
        <f ca="1">IFERROR(__xludf.DUMMYFUNCTION("""COMPUTED_VALUE"""),"No")</f>
        <v>No</v>
      </c>
      <c r="AP313" s="5" t="str">
        <f ca="1">IFERROR(__xludf.DUMMYFUNCTION("""COMPUTED_VALUE"""),"No")</f>
        <v>No</v>
      </c>
      <c r="AQ313" s="5" t="b">
        <f ca="1">IFERROR(__xludf.DUMMYFUNCTION("""COMPUTED_VALUE"""),TRUE)</f>
        <v>1</v>
      </c>
      <c r="AR313" s="5"/>
      <c r="AS313" s="5" t="str">
        <f ca="1">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AT313" s="5"/>
      <c r="AU313" s="5" t="str">
        <f ca="1">IFERROR(__xludf.DUMMYFUNCTION("""COMPUTED_VALUE"""),"Redstone")</f>
        <v>Redstone</v>
      </c>
      <c r="AV313" s="5"/>
      <c r="AW313" s="5"/>
      <c r="AX313" s="5"/>
      <c r="AY313" s="5"/>
      <c r="AZ313" s="5"/>
      <c r="BA313" s="5"/>
      <c r="BB313" s="5" t="b">
        <f ca="1">IFERROR(__xludf.DUMMYFUNCTION("""COMPUTED_VALUE"""),TRUE)</f>
        <v>1</v>
      </c>
      <c r="BC313" s="5" t="str">
        <f ca="1">IFERROR(__xludf.DUMMYFUNCTION("""COMPUTED_VALUE"""),"Redstone")</f>
        <v>Redstone</v>
      </c>
      <c r="BD313" s="7" t="str">
        <f ca="1">IFERROR(__xludf.DUMMYFUNCTION("""COMPUTED_VALUE"""),"https://static.redstone.rs/games/slot-royale/")</f>
        <v>https://static.redstone.rs/games/slot-royale/</v>
      </c>
      <c r="BE313" s="5" t="b">
        <f ca="1">IFERROR(__xludf.DUMMYFUNCTION("""COMPUTED_VALUE"""),TRUE)</f>
        <v>1</v>
      </c>
    </row>
    <row r="314" spans="1:57" x14ac:dyDescent="0.25">
      <c r="A314" s="5">
        <f ca="1">IFERROR(__xludf.DUMMYFUNCTION("""COMPUTED_VALUE"""),314)</f>
        <v>314</v>
      </c>
      <c r="B314" s="5">
        <f ca="1">IFERROR(__xludf.DUMMYFUNCTION("""COMPUTED_VALUE"""),313)</f>
        <v>313</v>
      </c>
      <c r="C314" s="5" t="str">
        <f ca="1">IFERROR(__xludf.DUMMYFUNCTION("""COMPUTED_VALUE"""),"Redstone")</f>
        <v>Redstone</v>
      </c>
      <c r="D314" s="5" t="str">
        <f ca="1">IFERROR(__xludf.DUMMYFUNCTION("""COMPUTED_VALUE"""),"5 Clover Fire - Lock &amp; Cash")</f>
        <v>5 Clover Fire - Lock &amp; Cash</v>
      </c>
      <c r="E314" s="5" t="str">
        <f ca="1">IFERROR(__xludf.DUMMYFUNCTION("""COMPUTED_VALUE"""),"Redstone")</f>
        <v>Redstone</v>
      </c>
      <c r="F314" s="5" t="str">
        <f ca="1">IFERROR(__xludf.DUMMYFUNCTION("""COMPUTED_VALUE"""),"RedstoneClover5LockAndCash")</f>
        <v>RedstoneClover5LockAndCash</v>
      </c>
      <c r="G314" s="5" t="str">
        <f ca="1">IFERROR(__xludf.DUMMYFUNCTION("""COMPUTED_VALUE"""),"Live")</f>
        <v>Live</v>
      </c>
      <c r="H314" s="5"/>
      <c r="I314" s="5" t="str">
        <f ca="1">IFERROR(__xludf.DUMMYFUNCTION("""COMPUTED_VALUE"""),"Redstone")</f>
        <v>Redstone</v>
      </c>
      <c r="J314" s="5" t="str">
        <f ca="1">IFERROR(__xludf.DUMMYFUNCTION("""COMPUTED_VALUE"""),"JSON")</f>
        <v>JSON</v>
      </c>
      <c r="K314" s="5" t="str">
        <f ca="1">IFERROR(__xludf.DUMMYFUNCTION("""COMPUTED_VALUE"""),"Slot")</f>
        <v>Slot</v>
      </c>
      <c r="L314" s="5" t="str">
        <f ca="1">IFERROR(__xludf.DUMMYFUNCTION("""COMPUTED_VALUE"""),"Clone")</f>
        <v>Clone</v>
      </c>
      <c r="M314" s="5" t="str">
        <f ca="1">IFERROR(__xludf.DUMMYFUNCTION("""COMPUTED_VALUE"""),"Super Lucky")</f>
        <v>Super Lucky</v>
      </c>
      <c r="N314" s="7" t="str">
        <f ca="1">IFERROR(__xludf.DUMMYFUNCTION("""COMPUTED_VALUE"""),"https://docs.google.com/document/d/1BOjvv_UWQz5V_QEQa2pNmq14p68Cjoxe/edit?usp=drive_link&amp;ouid=107596163405648766688&amp;rtpof=true&amp;sd=true")</f>
        <v>https://docs.google.com/document/d/1BOjvv_UWQz5V_QEQa2pNmq14p68Cjoxe/edit?usp=drive_link&amp;ouid=107596163405648766688&amp;rtpof=true&amp;sd=true</v>
      </c>
      <c r="O314" s="7" t="str">
        <f ca="1">IFERROR(__xludf.DUMMYFUNCTION("""COMPUTED_VALUE"""),"https://docs.google.com/document/d/1q3SbJQgO6U4tBqX5B5iQU_icjsA4S6GH/edit?usp=drive_link&amp;ouid=107596163405648766688&amp;rtpof=true&amp;sd=true")</f>
        <v>https://docs.google.com/document/d/1q3SbJQgO6U4tBqX5B5iQU_icjsA4S6GH/edit?usp=drive_link&amp;ouid=107596163405648766688&amp;rtpof=true&amp;sd=true</v>
      </c>
      <c r="P314" s="14">
        <f ca="1">IFERROR(__xludf.DUMMYFUNCTION("""COMPUTED_VALUE"""),14.4)</f>
        <v>14.4</v>
      </c>
      <c r="Q314" s="5"/>
      <c r="R314" s="5"/>
      <c r="S314" s="15">
        <f ca="1">IFERROR(__xludf.DUMMYFUNCTION("""COMPUTED_VALUE"""),45377)</f>
        <v>45377</v>
      </c>
      <c r="T314" s="5" t="b">
        <f ca="1">IFERROR(__xludf.DUMMYFUNCTION("""COMPUTED_VALUE"""),TRUE)</f>
        <v>1</v>
      </c>
      <c r="U314" s="5" t="str">
        <f ca="1">IFERROR(__xludf.DUMMYFUNCTION("""COMPUTED_VALUE"""),"5x3")</f>
        <v>5x3</v>
      </c>
      <c r="V314" s="12" t="str">
        <f ca="1">IFERROR(__xludf.DUMMYFUNCTION("""COMPUTED_VALUE"""),"5")</f>
        <v>5</v>
      </c>
      <c r="W314" s="12" t="str">
        <f ca="1">IFERROR(__xludf.DUMMYFUNCTION("""COMPUTED_VALUE"""),"5")</f>
        <v>5</v>
      </c>
      <c r="X314" s="5">
        <f ca="1">IFERROR(__xludf.DUMMYFUNCTION("""COMPUTED_VALUE"""),95.45)</f>
        <v>95.45</v>
      </c>
      <c r="Y314" s="5" t="str">
        <f ca="1">IFERROR(__xludf.DUMMYFUNCTION("""COMPUTED_VALUE"""),"Medium")</f>
        <v>Medium</v>
      </c>
      <c r="Z314" s="5">
        <f ca="1">IFERROR(__xludf.DUMMYFUNCTION("""COMPUTED_VALUE"""),12.54)</f>
        <v>12.54</v>
      </c>
      <c r="AA314" s="14">
        <f ca="1">IFERROR(__xludf.DUMMYFUNCTION("""COMPUTED_VALUE"""),1250)</f>
        <v>1250</v>
      </c>
      <c r="AB314" s="5">
        <f ca="1">IFERROR(__xludf.DUMMYFUNCTION("""COMPUTED_VALUE"""),3)</f>
        <v>3</v>
      </c>
      <c r="AC314" s="5" t="str">
        <f ca="1">IFERROR(__xludf.DUMMYFUNCTION("""COMPUTED_VALUE"""),"Hold and Win, Wild Symbol")</f>
        <v>Hold and Win, Wild Symbol</v>
      </c>
      <c r="AD314" s="5" t="str">
        <f ca="1">IFERROR(__xludf.DUMMYFUNCTION("""COMPUTED_VALUE"""),"0.05/100")</f>
        <v>0.05/100</v>
      </c>
      <c r="AE314" s="5"/>
      <c r="AF314" s="5"/>
      <c r="AG314" s="10">
        <f ca="1">IFERROR(__xludf.DUMMYFUNCTION("""COMPUTED_VALUE"""),46157.4774652777)</f>
        <v>46157.477465277698</v>
      </c>
      <c r="AH314" s="5"/>
      <c r="AI314" s="5"/>
      <c r="AJ314" s="5"/>
      <c r="AK314" s="5">
        <f ca="1">IFERROR(__xludf.DUMMYFUNCTION("""COMPUTED_VALUE"""),1)</f>
        <v>1</v>
      </c>
      <c r="AL314" s="5" t="str">
        <f ca="1">IFERROR(__xludf.DUMMYFUNCTION("""COMPUTED_VALUE"""),"No")</f>
        <v>No</v>
      </c>
      <c r="AM314" s="5" t="str">
        <f ca="1">IFERROR(__xludf.DUMMYFUNCTION("""COMPUTED_VALUE"""),"No")</f>
        <v>No</v>
      </c>
      <c r="AN314" s="7" t="str">
        <f ca="1">IFERROR(__xludf.DUMMYFUNCTION("""COMPUTED_VALUE"""),"https://static.redstone.rs/games/5-clover-fire-lnc/")</f>
        <v>https://static.redstone.rs/games/5-clover-fire-lnc/</v>
      </c>
      <c r="AO314" s="5" t="str">
        <f ca="1">IFERROR(__xludf.DUMMYFUNCTION("""COMPUTED_VALUE"""),"No")</f>
        <v>No</v>
      </c>
      <c r="AP314" s="5" t="str">
        <f ca="1">IFERROR(__xludf.DUMMYFUNCTION("""COMPUTED_VALUE"""),"No")</f>
        <v>No</v>
      </c>
      <c r="AQ314" s="5" t="b">
        <f ca="1">IFERROR(__xludf.DUMMYFUNCTION("""COMPUTED_VALUE"""),TRUE)</f>
        <v>1</v>
      </c>
      <c r="AR314" s="5"/>
      <c r="AS314" s="5" t="str">
        <f ca="1">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AT314" s="5"/>
      <c r="AU314" s="5" t="str">
        <f ca="1">IFERROR(__xludf.DUMMYFUNCTION("""COMPUTED_VALUE"""),"Redstone")</f>
        <v>Redstone</v>
      </c>
      <c r="AV314" s="5"/>
      <c r="AW314" s="5"/>
      <c r="AX314" s="5"/>
      <c r="AY314" s="5"/>
      <c r="AZ314" s="5"/>
      <c r="BA314" s="5"/>
      <c r="BB314" s="5" t="b">
        <f ca="1">IFERROR(__xludf.DUMMYFUNCTION("""COMPUTED_VALUE"""),TRUE)</f>
        <v>1</v>
      </c>
      <c r="BC314" s="5" t="str">
        <f ca="1">IFERROR(__xludf.DUMMYFUNCTION("""COMPUTED_VALUE"""),"Redstone")</f>
        <v>Redstone</v>
      </c>
      <c r="BD314" s="7" t="str">
        <f ca="1">IFERROR(__xludf.DUMMYFUNCTION("""COMPUTED_VALUE"""),"https://static.redstone.rs/games/5-clover-fire-lnc/")</f>
        <v>https://static.redstone.rs/games/5-clover-fire-lnc/</v>
      </c>
      <c r="BE314" s="5" t="b">
        <f ca="1">IFERROR(__xludf.DUMMYFUNCTION("""COMPUTED_VALUE"""),TRUE)</f>
        <v>1</v>
      </c>
    </row>
    <row r="315" spans="1:57" x14ac:dyDescent="0.25">
      <c r="A315" s="5">
        <f ca="1">IFERROR(__xludf.DUMMYFUNCTION("""COMPUTED_VALUE"""),315)</f>
        <v>315</v>
      </c>
      <c r="B315" s="5">
        <f ca="1">IFERROR(__xludf.DUMMYFUNCTION("""COMPUTED_VALUE"""),314)</f>
        <v>314</v>
      </c>
      <c r="C315" s="5" t="str">
        <f ca="1">IFERROR(__xludf.DUMMYFUNCTION("""COMPUTED_VALUE"""),"Fazi")</f>
        <v>Fazi</v>
      </c>
      <c r="D315" s="5" t="str">
        <f ca="1">IFERROR(__xludf.DUMMYFUNCTION("""COMPUTED_VALUE"""),"Wild Lucky Dice")</f>
        <v>Wild Lucky Dice</v>
      </c>
      <c r="E315" s="5" t="str">
        <f ca="1">IFERROR(__xludf.DUMMYFUNCTION("""COMPUTED_VALUE"""),"V2")</f>
        <v>V2</v>
      </c>
      <c r="F315" s="5" t="str">
        <f ca="1">IFERROR(__xludf.DUMMYFUNCTION("""COMPUTED_VALUE"""),"WildLuckyDice")</f>
        <v>WildLuckyDice</v>
      </c>
      <c r="G315" s="5" t="str">
        <f ca="1">IFERROR(__xludf.DUMMYFUNCTION("""COMPUTED_VALUE"""),"Live")</f>
        <v>Live</v>
      </c>
      <c r="H315" s="5"/>
      <c r="I315" s="5" t="str">
        <f ca="1">IFERROR(__xludf.DUMMYFUNCTION("""COMPUTED_VALUE"""),"V2")</f>
        <v>V2</v>
      </c>
      <c r="J315" s="5" t="str">
        <f ca="1">IFERROR(__xludf.DUMMYFUNCTION("""COMPUTED_VALUE"""),"Binary")</f>
        <v>Binary</v>
      </c>
      <c r="K315" s="5" t="str">
        <f ca="1">IFERROR(__xludf.DUMMYFUNCTION("""COMPUTED_VALUE"""),"Slot")</f>
        <v>Slot</v>
      </c>
      <c r="L315" s="5" t="str">
        <f ca="1">IFERROR(__xludf.DUMMYFUNCTION("""COMPUTED_VALUE"""),"Clone")</f>
        <v>Clone</v>
      </c>
      <c r="M315" s="5" t="str">
        <f ca="1">IFERROR(__xludf.DUMMYFUNCTION("""COMPUTED_VALUE"""),"Wild Lucky Clover")</f>
        <v>Wild Lucky Clover</v>
      </c>
      <c r="N315" s="5"/>
      <c r="O315" s="5"/>
      <c r="P315" s="14">
        <f ca="1">IFERROR(__xludf.DUMMYFUNCTION("""COMPUTED_VALUE"""),25)</f>
        <v>25</v>
      </c>
      <c r="Q315" s="5"/>
      <c r="R315" s="5"/>
      <c r="S315" s="15">
        <f ca="1">IFERROR(__xludf.DUMMYFUNCTION("""COMPUTED_VALUE"""),45429)</f>
        <v>45429</v>
      </c>
      <c r="T315" s="5" t="b">
        <f ca="1">IFERROR(__xludf.DUMMYFUNCTION("""COMPUTED_VALUE"""),TRUE)</f>
        <v>1</v>
      </c>
      <c r="U315" s="5" t="str">
        <f ca="1">IFERROR(__xludf.DUMMYFUNCTION("""COMPUTED_VALUE"""),"5x4")</f>
        <v>5x4</v>
      </c>
      <c r="V315" s="12" t="str">
        <f ca="1">IFERROR(__xludf.DUMMYFUNCTION("""COMPUTED_VALUE"""),"40")</f>
        <v>40</v>
      </c>
      <c r="W315" s="12" t="str">
        <f ca="1">IFERROR(__xludf.DUMMYFUNCTION("""COMPUTED_VALUE"""),"40")</f>
        <v>40</v>
      </c>
      <c r="X315" s="5">
        <f ca="1">IFERROR(__xludf.DUMMYFUNCTION("""COMPUTED_VALUE"""),96.291)</f>
        <v>96.290999999999997</v>
      </c>
      <c r="Y315" s="5" t="str">
        <f ca="1">IFERROR(__xludf.DUMMYFUNCTION("""COMPUTED_VALUE"""),"Medium")</f>
        <v>Medium</v>
      </c>
      <c r="Z315" s="5">
        <f ca="1">IFERROR(__xludf.DUMMYFUNCTION("""COMPUTED_VALUE"""),12.67)</f>
        <v>12.67</v>
      </c>
      <c r="AA315" s="14">
        <f ca="1">IFERROR(__xludf.DUMMYFUNCTION("""COMPUTED_VALUE"""),1043)</f>
        <v>1043</v>
      </c>
      <c r="AB315" s="5">
        <f ca="1">IFERROR(__xludf.DUMMYFUNCTION("""COMPUTED_VALUE"""),199)</f>
        <v>199</v>
      </c>
      <c r="AC315" s="5" t="str">
        <f ca="1">IFERROR(__xludf.DUMMYFUNCTION("""COMPUTED_VALUE"""),"Bonus Game with Free Spins, Converting Wild, Wild Symbol")</f>
        <v>Bonus Game with Free Spins, Converting Wild, Wild Symbol</v>
      </c>
      <c r="AD315" s="5" t="str">
        <f ca="1">IFERROR(__xludf.DUMMYFUNCTION("""COMPUTED_VALUE"""),"0.40/60")</f>
        <v>0.40/60</v>
      </c>
      <c r="AE315" s="5"/>
      <c r="AF315" s="5"/>
      <c r="AG315" s="10">
        <f ca="1">IFERROR(__xludf.DUMMYFUNCTION("""COMPUTED_VALUE"""),45856.5877430555)</f>
        <v>45856.587743055497</v>
      </c>
      <c r="AH315" s="5" t="str">
        <f ca="1">IFERROR(__xludf.DUMMYFUNCTION("""COMPUTED_VALUE"""),"iva.cirkovic@fazi.rs")</f>
        <v>iva.cirkovic@fazi.rs</v>
      </c>
      <c r="AI315" s="5"/>
      <c r="AJ315" s="5"/>
      <c r="AK315" s="5">
        <f ca="1">IFERROR(__xludf.DUMMYFUNCTION("""COMPUTED_VALUE"""),40)</f>
        <v>40</v>
      </c>
      <c r="AL315" s="5" t="str">
        <f ca="1">IFERROR(__xludf.DUMMYFUNCTION("""COMPUTED_VALUE"""),"Yes")</f>
        <v>Yes</v>
      </c>
      <c r="AM315" s="5"/>
      <c r="AN315" s="7" t="str">
        <f ca="1">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AO315" s="5"/>
      <c r="AP315" s="5"/>
      <c r="AQ315" s="5" t="b">
        <f ca="1">IFERROR(__xludf.DUMMYFUNCTION("""COMPUTED_VALUE"""),TRUE)</f>
        <v>1</v>
      </c>
      <c r="AR315" s="5"/>
      <c r="AS315" s="5" t="str">
        <f ca="1">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AT315" s="5"/>
      <c r="AU315" s="5" t="str">
        <f ca="1">IFERROR(__xludf.DUMMYFUNCTION("""COMPUTED_VALUE"""),"Fazi")</f>
        <v>Fazi</v>
      </c>
      <c r="AV315" s="5"/>
      <c r="AW315" s="5"/>
      <c r="AX315" s="5"/>
      <c r="AY315" s="5"/>
      <c r="AZ315" s="5"/>
      <c r="BA315" s="5" t="str">
        <f ca="1">IFERROR(__xludf.DUMMYFUNCTION("""COMPUTED_VALUE"""),"")</f>
        <v/>
      </c>
      <c r="BB315" s="5"/>
      <c r="BC315" s="5" t="str">
        <f ca="1">IFERROR(__xludf.DUMMYFUNCTION("""COMPUTED_VALUE"""),"Foxi")</f>
        <v>Foxi</v>
      </c>
      <c r="BD315" s="7" t="str">
        <f ca="1">IFERROR(__xludf.DUMMYFUNCTION("""COMPUTED_VALUE"""),"https://gameserver-store-client-area.orbionlimited.com/Home/IntegrationGameLaunch/client-area?moneyType=0&amp;gameName=WildLuckyDice&amp;platform=desktop&amp;languageCode=eng&amp;currency=EUR")</f>
        <v>https://gameserver-store-client-area.orbionlimited.com/Home/IntegrationGameLaunch/client-area?moneyType=0&amp;gameName=WildLuckyDice&amp;platform=desktop&amp;languageCode=eng&amp;currency=EUR</v>
      </c>
      <c r="BE315" s="5" t="b">
        <f ca="1">IFERROR(__xludf.DUMMYFUNCTION("""COMPUTED_VALUE"""),TRUE)</f>
        <v>1</v>
      </c>
    </row>
    <row r="316" spans="1:57" x14ac:dyDescent="0.25">
      <c r="A316" s="5">
        <f ca="1">IFERROR(__xludf.DUMMYFUNCTION("""COMPUTED_VALUE"""),316)</f>
        <v>316</v>
      </c>
      <c r="B316" s="5">
        <f ca="1">IFERROR(__xludf.DUMMYFUNCTION("""COMPUTED_VALUE"""),315)</f>
        <v>315</v>
      </c>
      <c r="C316" s="5" t="str">
        <f ca="1">IFERROR(__xludf.DUMMYFUNCTION("""COMPUTED_VALUE"""),"Fazi")</f>
        <v>Fazi</v>
      </c>
      <c r="D316" s="5" t="str">
        <f ca="1">IFERROR(__xludf.DUMMYFUNCTION("""COMPUTED_VALUE"""),"Eggspanding Rush")</f>
        <v>Eggspanding Rush</v>
      </c>
      <c r="E316" s="5" t="str">
        <f ca="1">IFERROR(__xludf.DUMMYFUNCTION("""COMPUTED_VALUE"""),"V2")</f>
        <v>V2</v>
      </c>
      <c r="F316" s="5" t="str">
        <f ca="1">IFERROR(__xludf.DUMMYFUNCTION("""COMPUTED_VALUE"""),"EggspandingRush")</f>
        <v>EggspandingRush</v>
      </c>
      <c r="G316" s="5" t="str">
        <f ca="1">IFERROR(__xludf.DUMMYFUNCTION("""COMPUTED_VALUE"""),"Live")</f>
        <v>Live</v>
      </c>
      <c r="H316" s="5"/>
      <c r="I316" s="5" t="str">
        <f ca="1">IFERROR(__xludf.DUMMYFUNCTION("""COMPUTED_VALUE"""),"V2")</f>
        <v>V2</v>
      </c>
      <c r="J316" s="5" t="str">
        <f ca="1">IFERROR(__xludf.DUMMYFUNCTION("""COMPUTED_VALUE"""),"Binary")</f>
        <v>Binary</v>
      </c>
      <c r="K316" s="5" t="str">
        <f ca="1">IFERROR(__xludf.DUMMYFUNCTION("""COMPUTED_VALUE"""),"Slot")</f>
        <v>Slot</v>
      </c>
      <c r="L316" s="5" t="str">
        <f ca="1">IFERROR(__xludf.DUMMYFUNCTION("""COMPUTED_VALUE"""),"Clone")</f>
        <v>Clone</v>
      </c>
      <c r="M316" s="5" t="str">
        <f ca="1">IFERROR(__xludf.DUMMYFUNCTION("""COMPUTED_VALUE"""),"Santas Presents")</f>
        <v>Santas Presents</v>
      </c>
      <c r="N316" s="5"/>
      <c r="O316" s="5"/>
      <c r="P316" s="14">
        <f ca="1">IFERROR(__xludf.DUMMYFUNCTION("""COMPUTED_VALUE"""),28)</f>
        <v>28</v>
      </c>
      <c r="Q316" s="5"/>
      <c r="R316" s="5"/>
      <c r="S316" s="15">
        <f ca="1">IFERROR(__xludf.DUMMYFUNCTION("""COMPUTED_VALUE"""),45400)</f>
        <v>45400</v>
      </c>
      <c r="T316" s="5" t="b">
        <f ca="1">IFERROR(__xludf.DUMMYFUNCTION("""COMPUTED_VALUE"""),TRUE)</f>
        <v>1</v>
      </c>
      <c r="U316" s="5" t="str">
        <f ca="1">IFERROR(__xludf.DUMMYFUNCTION("""COMPUTED_VALUE"""),"5x3")</f>
        <v>5x3</v>
      </c>
      <c r="V316" s="12" t="str">
        <f ca="1">IFERROR(__xludf.DUMMYFUNCTION("""COMPUTED_VALUE"""),"10")</f>
        <v>10</v>
      </c>
      <c r="W316" s="12" t="str">
        <f ca="1">IFERROR(__xludf.DUMMYFUNCTION("""COMPUTED_VALUE"""),"10")</f>
        <v>10</v>
      </c>
      <c r="X316" s="5">
        <f ca="1">IFERROR(__xludf.DUMMYFUNCTION("""COMPUTED_VALUE"""),96.5)</f>
        <v>96.5</v>
      </c>
      <c r="Y316" s="5" t="str">
        <f ca="1">IFERROR(__xludf.DUMMYFUNCTION("""COMPUTED_VALUE"""),"High")</f>
        <v>High</v>
      </c>
      <c r="Z316" s="5">
        <f ca="1">IFERROR(__xludf.DUMMYFUNCTION("""COMPUTED_VALUE"""),17.014)</f>
        <v>17.013999999999999</v>
      </c>
      <c r="AA316" s="14">
        <f ca="1">IFERROR(__xludf.DUMMYFUNCTION("""COMPUTED_VALUE"""),4614)</f>
        <v>4614</v>
      </c>
      <c r="AB316" s="5">
        <f ca="1">IFERROR(__xludf.DUMMYFUNCTION("""COMPUTED_VALUE"""),182)</f>
        <v>182</v>
      </c>
      <c r="AC316" s="5" t="str">
        <f ca="1">IFERROR(__xludf.DUMMYFUNCTION("""COMPUTED_VALUE"""),"Bonus Game with Free Spins, Wild Multiplier, Expanding Wild")</f>
        <v>Bonus Game with Free Spins, Wild Multiplier, Expanding Wild</v>
      </c>
      <c r="AD316" s="5" t="str">
        <f ca="1">IFERROR(__xludf.DUMMYFUNCTION("""COMPUTED_VALUE"""),"0.1/50")</f>
        <v>0.1/50</v>
      </c>
      <c r="AE316" s="5"/>
      <c r="AF316" s="5"/>
      <c r="AG316" s="10">
        <f ca="1">IFERROR(__xludf.DUMMYFUNCTION("""COMPUTED_VALUE"""),45862.8025462963)</f>
        <v>45862.802546296298</v>
      </c>
      <c r="AH316" s="5" t="str">
        <f ca="1">IFERROR(__xludf.DUMMYFUNCTION("""COMPUTED_VALUE"""),"iva.cirkovic@fazi.rs")</f>
        <v>iva.cirkovic@fazi.rs</v>
      </c>
      <c r="AI316" s="5"/>
      <c r="AJ316" s="5"/>
      <c r="AK316" s="5">
        <f ca="1">IFERROR(__xludf.DUMMYFUNCTION("""COMPUTED_VALUE"""),10)</f>
        <v>10</v>
      </c>
      <c r="AL316" s="5" t="str">
        <f ca="1">IFERROR(__xludf.DUMMYFUNCTION("""COMPUTED_VALUE"""),"Yes")</f>
        <v>Yes</v>
      </c>
      <c r="AM316" s="5"/>
      <c r="AN316" s="7" t="str">
        <f ca="1">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AO316" s="5"/>
      <c r="AP316" s="5"/>
      <c r="AQ316" s="5" t="b">
        <f ca="1">IFERROR(__xludf.DUMMYFUNCTION("""COMPUTED_VALUE"""),TRUE)</f>
        <v>1</v>
      </c>
      <c r="AR316" s="5"/>
      <c r="AS316" s="5" t="str">
        <f ca="1">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AT316" s="5"/>
      <c r="AU316" s="5" t="str">
        <f ca="1">IFERROR(__xludf.DUMMYFUNCTION("""COMPUTED_VALUE"""),"Fazi")</f>
        <v>Fazi</v>
      </c>
      <c r="AV316" s="5"/>
      <c r="AW316" s="5"/>
      <c r="AX316" s="5"/>
      <c r="AY316" s="5"/>
      <c r="AZ316" s="5"/>
      <c r="BA316" s="5" t="str">
        <f ca="1">IFERROR(__xludf.DUMMYFUNCTION("""COMPUTED_VALUE"""),"")</f>
        <v/>
      </c>
      <c r="BB316" s="5"/>
      <c r="BC316" s="5" t="str">
        <f ca="1">IFERROR(__xludf.DUMMYFUNCTION("""COMPUTED_VALUE"""),"Foxi")</f>
        <v>Foxi</v>
      </c>
      <c r="BD316" s="7" t="str">
        <f ca="1">IFERROR(__xludf.DUMMYFUNCTION("""COMPUTED_VALUE"""),"https://gameserver-store-client-area.orbionlimited.com/Home/IntegrationGameLaunch/client-area?moneyType=0&amp;gameName=EggspandingRush&amp;platform=desktop&amp;languageCode=eng&amp;currency=EUR")</f>
        <v>https://gameserver-store-client-area.orbionlimited.com/Home/IntegrationGameLaunch/client-area?moneyType=0&amp;gameName=EggspandingRush&amp;platform=desktop&amp;languageCode=eng&amp;currency=EUR</v>
      </c>
      <c r="BE316" s="5" t="b">
        <f ca="1">IFERROR(__xludf.DUMMYFUNCTION("""COMPUTED_VALUE"""),TRUE)</f>
        <v>1</v>
      </c>
    </row>
    <row r="317" spans="1:57" x14ac:dyDescent="0.25">
      <c r="A317" s="5">
        <f ca="1">IFERROR(__xludf.DUMMYFUNCTION("""COMPUTED_VALUE"""),317)</f>
        <v>317</v>
      </c>
      <c r="B317" s="5">
        <f ca="1">IFERROR(__xludf.DUMMYFUNCTION("""COMPUTED_VALUE"""),316)</f>
        <v>316</v>
      </c>
      <c r="C317" s="5" t="str">
        <f ca="1">IFERROR(__xludf.DUMMYFUNCTION("""COMPUTED_VALUE"""),"Fazi")</f>
        <v>Fazi</v>
      </c>
      <c r="D317" s="5" t="str">
        <f ca="1">IFERROR(__xludf.DUMMYFUNCTION("""COMPUTED_VALUE"""),"Mozzart Wild 40")</f>
        <v>Mozzart Wild 40</v>
      </c>
      <c r="E317" s="5" t="str">
        <f ca="1">IFERROR(__xludf.DUMMYFUNCTION("""COMPUTED_VALUE"""),"V2")</f>
        <v>V2</v>
      </c>
      <c r="F317" s="5" t="str">
        <f ca="1">IFERROR(__xludf.DUMMYFUNCTION("""COMPUTED_VALUE"""),"MozzartWild40")</f>
        <v>MozzartWild40</v>
      </c>
      <c r="G317" s="5" t="str">
        <f ca="1">IFERROR(__xludf.DUMMYFUNCTION("""COMPUTED_VALUE"""),"Live")</f>
        <v>Live</v>
      </c>
      <c r="H317" s="5" t="str">
        <f ca="1">IFERROR(__xludf.DUMMYFUNCTION("""COMPUTED_VALUE"""),"Mozzart")</f>
        <v>Mozzart</v>
      </c>
      <c r="I317" s="5" t="str">
        <f ca="1">IFERROR(__xludf.DUMMYFUNCTION("""COMPUTED_VALUE"""),"V2")</f>
        <v>V2</v>
      </c>
      <c r="J317" s="5" t="str">
        <f ca="1">IFERROR(__xludf.DUMMYFUNCTION("""COMPUTED_VALUE"""),"Binary")</f>
        <v>Binary</v>
      </c>
      <c r="K317" s="5" t="str">
        <f ca="1">IFERROR(__xludf.DUMMYFUNCTION("""COMPUTED_VALUE"""),"Slot")</f>
        <v>Slot</v>
      </c>
      <c r="L317" s="5" t="str">
        <f ca="1">IFERROR(__xludf.DUMMYFUNCTION("""COMPUTED_VALUE"""),"Clone")</f>
        <v>Clone</v>
      </c>
      <c r="M317" s="5" t="str">
        <f ca="1">IFERROR(__xludf.DUMMYFUNCTION("""COMPUTED_VALUE"""),"Turbo Hot 40")</f>
        <v>Turbo Hot 40</v>
      </c>
      <c r="N317" s="5"/>
      <c r="O317" s="5"/>
      <c r="P317" s="5"/>
      <c r="Q317" s="5"/>
      <c r="R317" s="5"/>
      <c r="S317" s="15">
        <f ca="1">IFERROR(__xludf.DUMMYFUNCTION("""COMPUTED_VALUE"""),45406)</f>
        <v>45406</v>
      </c>
      <c r="T317" s="5"/>
      <c r="U317" s="5" t="str">
        <f ca="1">IFERROR(__xludf.DUMMYFUNCTION("""COMPUTED_VALUE"""),"5x4")</f>
        <v>5x4</v>
      </c>
      <c r="V317" s="12" t="str">
        <f ca="1">IFERROR(__xludf.DUMMYFUNCTION("""COMPUTED_VALUE"""),"40")</f>
        <v>40</v>
      </c>
      <c r="W317" s="12" t="str">
        <f ca="1">IFERROR(__xludf.DUMMYFUNCTION("""COMPUTED_VALUE"""),"40")</f>
        <v>40</v>
      </c>
      <c r="X317" s="5">
        <f ca="1">IFERROR(__xludf.DUMMYFUNCTION("""COMPUTED_VALUE"""),96.584)</f>
        <v>96.584000000000003</v>
      </c>
      <c r="Y317" s="5" t="str">
        <f ca="1">IFERROR(__xludf.DUMMYFUNCTION("""COMPUTED_VALUE"""),"Low")</f>
        <v>Low</v>
      </c>
      <c r="Z317" s="5">
        <f ca="1">IFERROR(__xludf.DUMMYFUNCTION("""COMPUTED_VALUE"""),16.725)</f>
        <v>16.725000000000001</v>
      </c>
      <c r="AA317" s="14">
        <f ca="1">IFERROR(__xludf.DUMMYFUNCTION("""COMPUTED_VALUE"""),1000)</f>
        <v>1000</v>
      </c>
      <c r="AB317" s="5" t="str">
        <f ca="1">IFERROR(__xludf.DUMMYFUNCTION("""COMPUTED_VALUE"""),"/")</f>
        <v>/</v>
      </c>
      <c r="AC317" s="5" t="str">
        <f ca="1">IFERROR(__xludf.DUMMYFUNCTION("""COMPUTED_VALUE"""),"Wild Symbol, Scatter")</f>
        <v>Wild Symbol, Scatter</v>
      </c>
      <c r="AD317" s="5"/>
      <c r="AE317" s="5"/>
      <c r="AF317" s="5"/>
      <c r="AG317" s="10">
        <f ca="1">IFERROR(__xludf.DUMMYFUNCTION("""COMPUTED_VALUE"""),46020.520324074)</f>
        <v>46020.520324074001</v>
      </c>
      <c r="AH317" s="5" t="str">
        <f ca="1">IFERROR(__xludf.DUMMYFUNCTION("""COMPUTED_VALUE"""),"djordje.jankovic@fazi.rs")</f>
        <v>djordje.jankovic@fazi.rs</v>
      </c>
      <c r="AI317" s="5"/>
      <c r="AJ317" s="5"/>
      <c r="AK317" s="5">
        <f ca="1">IFERROR(__xludf.DUMMYFUNCTION("""COMPUTED_VALUE"""),40)</f>
        <v>40</v>
      </c>
      <c r="AL317" s="5" t="str">
        <f ca="1">IFERROR(__xludf.DUMMYFUNCTION("""COMPUTED_VALUE"""),"Yes")</f>
        <v>Yes</v>
      </c>
      <c r="AM317" s="5"/>
      <c r="AN317" s="5"/>
      <c r="AO317" s="5"/>
      <c r="AP317" s="5"/>
      <c r="AQ317" s="5"/>
      <c r="AR317" s="5" t="b">
        <f ca="1">IFERROR(__xludf.DUMMYFUNCTION("""COMPUTED_VALUE"""),TRUE)</f>
        <v>1</v>
      </c>
      <c r="AS317" s="5"/>
      <c r="AT317" s="5"/>
      <c r="AU317" s="5" t="str">
        <f ca="1">IFERROR(__xludf.DUMMYFUNCTION("""COMPUTED_VALUE"""),"Fazi")</f>
        <v>Fazi</v>
      </c>
      <c r="AV317" s="5"/>
      <c r="AW317" s="5"/>
      <c r="AX317" s="5"/>
      <c r="AY317" s="5"/>
      <c r="AZ317" s="5"/>
      <c r="BA317" s="5" t="str">
        <f ca="1">IFERROR(__xludf.DUMMYFUNCTION("""COMPUTED_VALUE"""),"")</f>
        <v/>
      </c>
      <c r="BB317" s="5"/>
      <c r="BC317" s="5" t="str">
        <f ca="1">IFERROR(__xludf.DUMMYFUNCTION("""COMPUTED_VALUE"""),"Foxi")</f>
        <v>Foxi</v>
      </c>
      <c r="BD317" s="5" t="str">
        <f ca="1">IFERROR(__xludf.DUMMYFUNCTION("""COMPUTED_VALUE"""),"")</f>
        <v/>
      </c>
      <c r="BE317" s="5"/>
    </row>
    <row r="318" spans="1:57" x14ac:dyDescent="0.25">
      <c r="A318" s="5">
        <f ca="1">IFERROR(__xludf.DUMMYFUNCTION("""COMPUTED_VALUE"""),318)</f>
        <v>318</v>
      </c>
      <c r="B318" s="5">
        <f ca="1">IFERROR(__xludf.DUMMYFUNCTION("""COMPUTED_VALUE"""),317)</f>
        <v>317</v>
      </c>
      <c r="C318" s="5" t="str">
        <f ca="1">IFERROR(__xludf.DUMMYFUNCTION("""COMPUTED_VALUE"""),"Fazi")</f>
        <v>Fazi</v>
      </c>
      <c r="D318" s="5" t="str">
        <f ca="1">IFERROR(__xludf.DUMMYFUNCTION("""COMPUTED_VALUE"""),"Mozzart Fruits")</f>
        <v>Mozzart Fruits</v>
      </c>
      <c r="E318" s="5" t="str">
        <f ca="1">IFERROR(__xludf.DUMMYFUNCTION("""COMPUTED_VALUE"""),"V2")</f>
        <v>V2</v>
      </c>
      <c r="F318" s="5" t="str">
        <f ca="1">IFERROR(__xludf.DUMMYFUNCTION("""COMPUTED_VALUE"""),"MozzartFruits")</f>
        <v>MozzartFruits</v>
      </c>
      <c r="G318" s="5" t="str">
        <f ca="1">IFERROR(__xludf.DUMMYFUNCTION("""COMPUTED_VALUE"""),"Live")</f>
        <v>Live</v>
      </c>
      <c r="H318" s="5" t="str">
        <f ca="1">IFERROR(__xludf.DUMMYFUNCTION("""COMPUTED_VALUE"""),"Mozzart")</f>
        <v>Mozzart</v>
      </c>
      <c r="I318" s="5" t="str">
        <f ca="1">IFERROR(__xludf.DUMMYFUNCTION("""COMPUTED_VALUE"""),"V2")</f>
        <v>V2</v>
      </c>
      <c r="J318" s="5" t="str">
        <f ca="1">IFERROR(__xludf.DUMMYFUNCTION("""COMPUTED_VALUE"""),"Binary")</f>
        <v>Binary</v>
      </c>
      <c r="K318" s="5" t="str">
        <f ca="1">IFERROR(__xludf.DUMMYFUNCTION("""COMPUTED_VALUE"""),"Slot")</f>
        <v>Slot</v>
      </c>
      <c r="L318" s="5" t="str">
        <f ca="1">IFERROR(__xludf.DUMMYFUNCTION("""COMPUTED_VALUE"""),"Clone")</f>
        <v>Clone</v>
      </c>
      <c r="M318" s="5" t="str">
        <f ca="1">IFERROR(__xludf.DUMMYFUNCTION("""COMPUTED_VALUE"""),"Fruity Hot")</f>
        <v>Fruity Hot</v>
      </c>
      <c r="N318" s="5"/>
      <c r="O318" s="5"/>
      <c r="P318" s="5"/>
      <c r="Q318" s="5"/>
      <c r="R318" s="5"/>
      <c r="S318" s="15">
        <f ca="1">IFERROR(__xludf.DUMMYFUNCTION("""COMPUTED_VALUE"""),45406)</f>
        <v>45406</v>
      </c>
      <c r="T318" s="5"/>
      <c r="U318" s="5" t="str">
        <f ca="1">IFERROR(__xludf.DUMMYFUNCTION("""COMPUTED_VALUE"""),"5x3")</f>
        <v>5x3</v>
      </c>
      <c r="V318" s="12" t="str">
        <f ca="1">IFERROR(__xludf.DUMMYFUNCTION("""COMPUTED_VALUE"""),"20")</f>
        <v>20</v>
      </c>
      <c r="W318" s="12" t="str">
        <f ca="1">IFERROR(__xludf.DUMMYFUNCTION("""COMPUTED_VALUE"""),"1,3,5,9,10,15,20")</f>
        <v>1,3,5,9,10,15,20</v>
      </c>
      <c r="X318" s="5">
        <f ca="1">IFERROR(__xludf.DUMMYFUNCTION("""COMPUTED_VALUE"""),95.79)</f>
        <v>95.79</v>
      </c>
      <c r="Y318" s="5" t="str">
        <f ca="1">IFERROR(__xludf.DUMMYFUNCTION("""COMPUTED_VALUE"""),"Low")</f>
        <v>Low</v>
      </c>
      <c r="Z318" s="5">
        <f ca="1">IFERROR(__xludf.DUMMYFUNCTION("""COMPUTED_VALUE"""),16.192)</f>
        <v>16.192</v>
      </c>
      <c r="AA318" s="14">
        <f ca="1">IFERROR(__xludf.DUMMYFUNCTION("""COMPUTED_VALUE"""),1000)</f>
        <v>1000</v>
      </c>
      <c r="AB318" s="5" t="str">
        <f ca="1">IFERROR(__xludf.DUMMYFUNCTION("""COMPUTED_VALUE"""),"/")</f>
        <v>/</v>
      </c>
      <c r="AC318" s="5" t="str">
        <f ca="1">IFERROR(__xludf.DUMMYFUNCTION("""COMPUTED_VALUE"""),"Wild Symbol, Scatter")</f>
        <v>Wild Symbol, Scatter</v>
      </c>
      <c r="AD318" s="5"/>
      <c r="AE318" s="5"/>
      <c r="AF318" s="5"/>
      <c r="AG318" s="10">
        <f ca="1">IFERROR(__xludf.DUMMYFUNCTION("""COMPUTED_VALUE"""),46020.5210648148)</f>
        <v>46020.521064814799</v>
      </c>
      <c r="AH318" s="5" t="str">
        <f ca="1">IFERROR(__xludf.DUMMYFUNCTION("""COMPUTED_VALUE"""),"djordje.jankovic@fazi.rs")</f>
        <v>djordje.jankovic@fazi.rs</v>
      </c>
      <c r="AI318" s="5"/>
      <c r="AJ318" s="5"/>
      <c r="AK318" s="5">
        <f ca="1">IFERROR(__xludf.DUMMYFUNCTION("""COMPUTED_VALUE"""),20)</f>
        <v>20</v>
      </c>
      <c r="AL318" s="5" t="str">
        <f ca="1">IFERROR(__xludf.DUMMYFUNCTION("""COMPUTED_VALUE"""),"Yes")</f>
        <v>Yes</v>
      </c>
      <c r="AM318" s="5"/>
      <c r="AN318" s="5"/>
      <c r="AO318" s="5"/>
      <c r="AP318" s="5"/>
      <c r="AQ318" s="5"/>
      <c r="AR318" s="5" t="b">
        <f ca="1">IFERROR(__xludf.DUMMYFUNCTION("""COMPUTED_VALUE"""),TRUE)</f>
        <v>1</v>
      </c>
      <c r="AS318" s="5"/>
      <c r="AT318" s="5"/>
      <c r="AU318" s="5" t="str">
        <f ca="1">IFERROR(__xludf.DUMMYFUNCTION("""COMPUTED_VALUE"""),"Fazi")</f>
        <v>Fazi</v>
      </c>
      <c r="AV318" s="5"/>
      <c r="AW318" s="5"/>
      <c r="AX318" s="5"/>
      <c r="AY318" s="5"/>
      <c r="AZ318" s="5"/>
      <c r="BA318" s="5" t="str">
        <f ca="1">IFERROR(__xludf.DUMMYFUNCTION("""COMPUTED_VALUE"""),"")</f>
        <v/>
      </c>
      <c r="BB318" s="5"/>
      <c r="BC318" s="5" t="str">
        <f ca="1">IFERROR(__xludf.DUMMYFUNCTION("""COMPUTED_VALUE"""),"Foxi")</f>
        <v>Foxi</v>
      </c>
      <c r="BD318" s="5" t="str">
        <f ca="1">IFERROR(__xludf.DUMMYFUNCTION("""COMPUTED_VALUE"""),"")</f>
        <v/>
      </c>
      <c r="BE318" s="5"/>
    </row>
    <row r="319" spans="1:57" x14ac:dyDescent="0.25">
      <c r="A319" s="5">
        <f ca="1">IFERROR(__xludf.DUMMYFUNCTION("""COMPUTED_VALUE"""),319)</f>
        <v>319</v>
      </c>
      <c r="B319" s="5">
        <f ca="1">IFERROR(__xludf.DUMMYFUNCTION("""COMPUTED_VALUE"""),318)</f>
        <v>318</v>
      </c>
      <c r="C319" s="5" t="str">
        <f ca="1">IFERROR(__xludf.DUMMYFUNCTION("""COMPUTED_VALUE"""),"Fazi")</f>
        <v>Fazi</v>
      </c>
      <c r="D319" s="5" t="str">
        <f ca="1">IFERROR(__xludf.DUMMYFUNCTION("""COMPUTED_VALUE"""),"Mozzart Heat")</f>
        <v>Mozzart Heat</v>
      </c>
      <c r="E319" s="5" t="str">
        <f ca="1">IFERROR(__xludf.DUMMYFUNCTION("""COMPUTED_VALUE"""),"V2")</f>
        <v>V2</v>
      </c>
      <c r="F319" s="5" t="str">
        <f ca="1">IFERROR(__xludf.DUMMYFUNCTION("""COMPUTED_VALUE"""),"MozzartHeat")</f>
        <v>MozzartHeat</v>
      </c>
      <c r="G319" s="5" t="str">
        <f ca="1">IFERROR(__xludf.DUMMYFUNCTION("""COMPUTED_VALUE"""),"Live")</f>
        <v>Live</v>
      </c>
      <c r="H319" s="5" t="str">
        <f ca="1">IFERROR(__xludf.DUMMYFUNCTION("""COMPUTED_VALUE"""),"Mozzart")</f>
        <v>Mozzart</v>
      </c>
      <c r="I319" s="5" t="str">
        <f ca="1">IFERROR(__xludf.DUMMYFUNCTION("""COMPUTED_VALUE"""),"V2")</f>
        <v>V2</v>
      </c>
      <c r="J319" s="5" t="str">
        <f ca="1">IFERROR(__xludf.DUMMYFUNCTION("""COMPUTED_VALUE"""),"Binary")</f>
        <v>Binary</v>
      </c>
      <c r="K319" s="5" t="str">
        <f ca="1">IFERROR(__xludf.DUMMYFUNCTION("""COMPUTED_VALUE"""),"Slot")</f>
        <v>Slot</v>
      </c>
      <c r="L319" s="5" t="str">
        <f ca="1">IFERROR(__xludf.DUMMYFUNCTION("""COMPUTED_VALUE"""),"Clone")</f>
        <v>Clone</v>
      </c>
      <c r="M319" s="5" t="str">
        <f ca="1">IFERROR(__xludf.DUMMYFUNCTION("""COMPUTED_VALUE"""),"Heating Ice")</f>
        <v>Heating Ice</v>
      </c>
      <c r="N319" s="5"/>
      <c r="O319" s="5"/>
      <c r="P319" s="5"/>
      <c r="Q319" s="5"/>
      <c r="R319" s="5"/>
      <c r="S319" s="15">
        <f ca="1">IFERROR(__xludf.DUMMYFUNCTION("""COMPUTED_VALUE"""),45406)</f>
        <v>45406</v>
      </c>
      <c r="T319" s="5"/>
      <c r="U319" s="5" t="str">
        <f ca="1">IFERROR(__xludf.DUMMYFUNCTION("""COMPUTED_VALUE"""),"3x3")</f>
        <v>3x3</v>
      </c>
      <c r="V319" s="12" t="str">
        <f ca="1">IFERROR(__xludf.DUMMYFUNCTION("""COMPUTED_VALUE"""),"27")</f>
        <v>27</v>
      </c>
      <c r="W319" s="12" t="str">
        <f ca="1">IFERROR(__xludf.DUMMYFUNCTION("""COMPUTED_VALUE"""),"27")</f>
        <v>27</v>
      </c>
      <c r="X319" s="5">
        <f ca="1">IFERROR(__xludf.DUMMYFUNCTION("""COMPUTED_VALUE"""),96.352)</f>
        <v>96.352000000000004</v>
      </c>
      <c r="Y319" s="5" t="str">
        <f ca="1">IFERROR(__xludf.DUMMYFUNCTION("""COMPUTED_VALUE"""),"Medium")</f>
        <v>Medium</v>
      </c>
      <c r="Z319" s="5">
        <f ca="1">IFERROR(__xludf.DUMMYFUNCTION("""COMPUTED_VALUE"""),8.023)</f>
        <v>8.0229999999999997</v>
      </c>
      <c r="AA319" s="14">
        <f ca="1">IFERROR(__xludf.DUMMYFUNCTION("""COMPUTED_VALUE"""),360)</f>
        <v>360</v>
      </c>
      <c r="AB319" s="5"/>
      <c r="AC319" s="5" t="str">
        <f ca="1">IFERROR(__xludf.DUMMYFUNCTION("""COMPUTED_VALUE"""),"Respin, Mystery symbol")</f>
        <v>Respin, Mystery symbol</v>
      </c>
      <c r="AD319" s="5"/>
      <c r="AE319" s="5"/>
      <c r="AF319" s="5"/>
      <c r="AG319" s="10">
        <f ca="1">IFERROR(__xludf.DUMMYFUNCTION("""COMPUTED_VALUE"""),46020.5206712963)</f>
        <v>46020.520671296297</v>
      </c>
      <c r="AH319" s="5" t="str">
        <f ca="1">IFERROR(__xludf.DUMMYFUNCTION("""COMPUTED_VALUE"""),"djordje.jankovic@fazi.rs")</f>
        <v>djordje.jankovic@fazi.rs</v>
      </c>
      <c r="AI319" s="5"/>
      <c r="AJ319" s="5"/>
      <c r="AK319" s="5">
        <f ca="1">IFERROR(__xludf.DUMMYFUNCTION("""COMPUTED_VALUE"""),1)</f>
        <v>1</v>
      </c>
      <c r="AL319" s="5" t="str">
        <f ca="1">IFERROR(__xludf.DUMMYFUNCTION("""COMPUTED_VALUE"""),"Yes")</f>
        <v>Yes</v>
      </c>
      <c r="AM319" s="5"/>
      <c r="AN319" s="5"/>
      <c r="AO319" s="5"/>
      <c r="AP319" s="5"/>
      <c r="AQ319" s="5"/>
      <c r="AR319" s="5" t="b">
        <f ca="1">IFERROR(__xludf.DUMMYFUNCTION("""COMPUTED_VALUE"""),TRUE)</f>
        <v>1</v>
      </c>
      <c r="AS319" s="5"/>
      <c r="AT319" s="5"/>
      <c r="AU319" s="5" t="str">
        <f ca="1">IFERROR(__xludf.DUMMYFUNCTION("""COMPUTED_VALUE"""),"Fazi")</f>
        <v>Fazi</v>
      </c>
      <c r="AV319" s="5"/>
      <c r="AW319" s="5"/>
      <c r="AX319" s="5"/>
      <c r="AY319" s="5"/>
      <c r="AZ319" s="5"/>
      <c r="BA319" s="5" t="str">
        <f ca="1">IFERROR(__xludf.DUMMYFUNCTION("""COMPUTED_VALUE"""),"")</f>
        <v/>
      </c>
      <c r="BB319" s="5"/>
      <c r="BC319" s="5" t="str">
        <f ca="1">IFERROR(__xludf.DUMMYFUNCTION("""COMPUTED_VALUE"""),"Foxi")</f>
        <v>Foxi</v>
      </c>
      <c r="BD319" s="5" t="str">
        <f ca="1">IFERROR(__xludf.DUMMYFUNCTION("""COMPUTED_VALUE"""),"")</f>
        <v/>
      </c>
      <c r="BE319" s="5"/>
    </row>
    <row r="320" spans="1:57" x14ac:dyDescent="0.25">
      <c r="A320" s="5">
        <f ca="1">IFERROR(__xludf.DUMMYFUNCTION("""COMPUTED_VALUE"""),320)</f>
        <v>320</v>
      </c>
      <c r="B320" s="5">
        <f ca="1">IFERROR(__xludf.DUMMYFUNCTION("""COMPUTED_VALUE"""),319)</f>
        <v>319</v>
      </c>
      <c r="C320" s="5" t="str">
        <f ca="1">IFERROR(__xludf.DUMMYFUNCTION("""COMPUTED_VALUE"""),"Fazi")</f>
        <v>Fazi</v>
      </c>
      <c r="D320" s="5" t="str">
        <f ca="1">IFERROR(__xludf.DUMMYFUNCTION("""COMPUTED_VALUE"""),"Crystals Of Mozzart")</f>
        <v>Crystals Of Mozzart</v>
      </c>
      <c r="E320" s="5" t="str">
        <f ca="1">IFERROR(__xludf.DUMMYFUNCTION("""COMPUTED_VALUE"""),"V2")</f>
        <v>V2</v>
      </c>
      <c r="F320" s="5" t="str">
        <f ca="1">IFERROR(__xludf.DUMMYFUNCTION("""COMPUTED_VALUE"""),"CrystalsOfMozzart")</f>
        <v>CrystalsOfMozzart</v>
      </c>
      <c r="G320" s="5" t="str">
        <f ca="1">IFERROR(__xludf.DUMMYFUNCTION("""COMPUTED_VALUE"""),"Live")</f>
        <v>Live</v>
      </c>
      <c r="H320" s="5" t="str">
        <f ca="1">IFERROR(__xludf.DUMMYFUNCTION("""COMPUTED_VALUE"""),"Mozzart")</f>
        <v>Mozzart</v>
      </c>
      <c r="I320" s="5" t="str">
        <f ca="1">IFERROR(__xludf.DUMMYFUNCTION("""COMPUTED_VALUE"""),"V2")</f>
        <v>V2</v>
      </c>
      <c r="J320" s="5" t="str">
        <f ca="1">IFERROR(__xludf.DUMMYFUNCTION("""COMPUTED_VALUE"""),"Binary")</f>
        <v>Binary</v>
      </c>
      <c r="K320" s="5" t="str">
        <f ca="1">IFERROR(__xludf.DUMMYFUNCTION("""COMPUTED_VALUE"""),"Slot")</f>
        <v>Slot</v>
      </c>
      <c r="L320" s="5" t="str">
        <f ca="1">IFERROR(__xludf.DUMMYFUNCTION("""COMPUTED_VALUE"""),"Clone")</f>
        <v>Clone</v>
      </c>
      <c r="M320" s="5" t="str">
        <f ca="1">IFERROR(__xludf.DUMMYFUNCTION("""COMPUTED_VALUE"""),"Crystal Hot 40 Free")</f>
        <v>Crystal Hot 40 Free</v>
      </c>
      <c r="N320" s="5"/>
      <c r="O320" s="5"/>
      <c r="P320" s="5"/>
      <c r="Q320" s="5"/>
      <c r="R320" s="5"/>
      <c r="S320" s="15">
        <f ca="1">IFERROR(__xludf.DUMMYFUNCTION("""COMPUTED_VALUE"""),45406)</f>
        <v>45406</v>
      </c>
      <c r="T320" s="5"/>
      <c r="U320" s="5" t="str">
        <f ca="1">IFERROR(__xludf.DUMMYFUNCTION("""COMPUTED_VALUE"""),"5x4")</f>
        <v>5x4</v>
      </c>
      <c r="V320" s="12" t="str">
        <f ca="1">IFERROR(__xludf.DUMMYFUNCTION("""COMPUTED_VALUE"""),"40")</f>
        <v>40</v>
      </c>
      <c r="W320" s="12" t="str">
        <f ca="1">IFERROR(__xludf.DUMMYFUNCTION("""COMPUTED_VALUE"""),"40")</f>
        <v>40</v>
      </c>
      <c r="X320" s="5">
        <f ca="1">IFERROR(__xludf.DUMMYFUNCTION("""COMPUTED_VALUE"""),96.024)</f>
        <v>96.024000000000001</v>
      </c>
      <c r="Y320" s="5" t="str">
        <f ca="1">IFERROR(__xludf.DUMMYFUNCTION("""COMPUTED_VALUE"""),"Low")</f>
        <v>Low</v>
      </c>
      <c r="Z320" s="5">
        <f ca="1">IFERROR(__xludf.DUMMYFUNCTION("""COMPUTED_VALUE"""),17.226)</f>
        <v>17.225999999999999</v>
      </c>
      <c r="AA320" s="14">
        <f ca="1">IFERROR(__xludf.DUMMYFUNCTION("""COMPUTED_VALUE"""),1046)</f>
        <v>1046</v>
      </c>
      <c r="AB320" s="5">
        <f ca="1">IFERROR(__xludf.DUMMYFUNCTION("""COMPUTED_VALUE"""),152)</f>
        <v>152</v>
      </c>
      <c r="AC320" s="5" t="str">
        <f ca="1">IFERROR(__xludf.DUMMYFUNCTION("""COMPUTED_VALUE"""),"Wild Symbol, Bonus Game with Free Spins")</f>
        <v>Wild Symbol, Bonus Game with Free Spins</v>
      </c>
      <c r="AD320" s="5"/>
      <c r="AE320" s="5"/>
      <c r="AF320" s="5"/>
      <c r="AG320" s="10">
        <f ca="1">IFERROR(__xludf.DUMMYFUNCTION("""COMPUTED_VALUE"""),46020.5205439814)</f>
        <v>46020.520543981402</v>
      </c>
      <c r="AH320" s="5" t="str">
        <f ca="1">IFERROR(__xludf.DUMMYFUNCTION("""COMPUTED_VALUE"""),"djordje.jankovic@fazi.rs")</f>
        <v>djordje.jankovic@fazi.rs</v>
      </c>
      <c r="AI320" s="5"/>
      <c r="AJ320" s="5"/>
      <c r="AK320" s="5">
        <f ca="1">IFERROR(__xludf.DUMMYFUNCTION("""COMPUTED_VALUE"""),40)</f>
        <v>40</v>
      </c>
      <c r="AL320" s="5" t="str">
        <f ca="1">IFERROR(__xludf.DUMMYFUNCTION("""COMPUTED_VALUE"""),"Yes")</f>
        <v>Yes</v>
      </c>
      <c r="AM320" s="5"/>
      <c r="AN320" s="5"/>
      <c r="AO320" s="5"/>
      <c r="AP320" s="5"/>
      <c r="AQ320" s="5"/>
      <c r="AR320" s="5" t="b">
        <f ca="1">IFERROR(__xludf.DUMMYFUNCTION("""COMPUTED_VALUE"""),TRUE)</f>
        <v>1</v>
      </c>
      <c r="AS320" s="5"/>
      <c r="AT320" s="5"/>
      <c r="AU320" s="5" t="str">
        <f ca="1">IFERROR(__xludf.DUMMYFUNCTION("""COMPUTED_VALUE"""),"Fazi")</f>
        <v>Fazi</v>
      </c>
      <c r="AV320" s="5"/>
      <c r="AW320" s="5"/>
      <c r="AX320" s="5"/>
      <c r="AY320" s="5"/>
      <c r="AZ320" s="5"/>
      <c r="BA320" s="5" t="str">
        <f ca="1">IFERROR(__xludf.DUMMYFUNCTION("""COMPUTED_VALUE"""),"")</f>
        <v/>
      </c>
      <c r="BB320" s="5"/>
      <c r="BC320" s="5" t="str">
        <f ca="1">IFERROR(__xludf.DUMMYFUNCTION("""COMPUTED_VALUE"""),"Foxi")</f>
        <v>Foxi</v>
      </c>
      <c r="BD320" s="5" t="str">
        <f ca="1">IFERROR(__xludf.DUMMYFUNCTION("""COMPUTED_VALUE"""),"")</f>
        <v/>
      </c>
      <c r="BE320" s="5"/>
    </row>
    <row r="321" spans="1:57" x14ac:dyDescent="0.25">
      <c r="A321" s="5">
        <f ca="1">IFERROR(__xludf.DUMMYFUNCTION("""COMPUTED_VALUE"""),321)</f>
        <v>321</v>
      </c>
      <c r="B321" s="5">
        <f ca="1">IFERROR(__xludf.DUMMYFUNCTION("""COMPUTED_VALUE"""),320)</f>
        <v>320</v>
      </c>
      <c r="C321" s="5" t="str">
        <f ca="1">IFERROR(__xludf.DUMMYFUNCTION("""COMPUTED_VALUE"""),"Fazi")</f>
        <v>Fazi</v>
      </c>
      <c r="D321" s="5" t="str">
        <f ca="1">IFERROR(__xludf.DUMMYFUNCTION("""COMPUTED_VALUE"""),"Vintage Fruits 40")</f>
        <v>Vintage Fruits 40</v>
      </c>
      <c r="E321" s="5" t="str">
        <f ca="1">IFERROR(__xludf.DUMMYFUNCTION("""COMPUTED_VALUE"""),"V4-1")</f>
        <v>V4-1</v>
      </c>
      <c r="F321" s="5" t="str">
        <f ca="1">IFERROR(__xludf.DUMMYFUNCTION("""COMPUTED_VALUE"""),"VintageFruits40")</f>
        <v>VintageFruits40</v>
      </c>
      <c r="G321" s="5" t="str">
        <f ca="1">IFERROR(__xludf.DUMMYFUNCTION("""COMPUTED_VALUE"""),"Live")</f>
        <v>Live</v>
      </c>
      <c r="H321" s="5"/>
      <c r="I321" s="5" t="str">
        <f ca="1">IFERROR(__xludf.DUMMYFUNCTION("""COMPUTED_VALUE"""),"V4")</f>
        <v>V4</v>
      </c>
      <c r="J321" s="5" t="str">
        <f ca="1">IFERROR(__xludf.DUMMYFUNCTION("""COMPUTED_VALUE"""),"JSON")</f>
        <v>JSON</v>
      </c>
      <c r="K321" s="5" t="str">
        <f ca="1">IFERROR(__xludf.DUMMYFUNCTION("""COMPUTED_VALUE"""),"Slot")</f>
        <v>Slot</v>
      </c>
      <c r="L321" s="5"/>
      <c r="M321" s="5"/>
      <c r="N321" s="5"/>
      <c r="O321" s="5"/>
      <c r="P321" s="14">
        <f ca="1">IFERROR(__xludf.DUMMYFUNCTION("""COMPUTED_VALUE"""),8.8)</f>
        <v>8.8000000000000007</v>
      </c>
      <c r="Q321" s="5"/>
      <c r="R321" s="5"/>
      <c r="S321" s="15">
        <f ca="1">IFERROR(__xludf.DUMMYFUNCTION("""COMPUTED_VALUE"""),45469)</f>
        <v>45469</v>
      </c>
      <c r="T321" s="5" t="b">
        <f ca="1">IFERROR(__xludf.DUMMYFUNCTION("""COMPUTED_VALUE"""),TRUE)</f>
        <v>1</v>
      </c>
      <c r="U321" s="5" t="str">
        <f ca="1">IFERROR(__xludf.DUMMYFUNCTION("""COMPUTED_VALUE"""),"5x4")</f>
        <v>5x4</v>
      </c>
      <c r="V321" s="12" t="str">
        <f ca="1">IFERROR(__xludf.DUMMYFUNCTION("""COMPUTED_VALUE"""),"40")</f>
        <v>40</v>
      </c>
      <c r="W321" s="12" t="str">
        <f ca="1">IFERROR(__xludf.DUMMYFUNCTION("""COMPUTED_VALUE"""),"40")</f>
        <v>40</v>
      </c>
      <c r="X321" s="5">
        <f ca="1">IFERROR(__xludf.DUMMYFUNCTION("""COMPUTED_VALUE"""),96.382)</f>
        <v>96.382000000000005</v>
      </c>
      <c r="Y321" s="5" t="str">
        <f ca="1">IFERROR(__xludf.DUMMYFUNCTION("""COMPUTED_VALUE"""),"Medium")</f>
        <v>Medium</v>
      </c>
      <c r="Z321" s="5">
        <f ca="1">IFERROR(__xludf.DUMMYFUNCTION("""COMPUTED_VALUE"""),14.89)</f>
        <v>14.89</v>
      </c>
      <c r="AA321" s="14">
        <f ca="1">IFERROR(__xludf.DUMMYFUNCTION("""COMPUTED_VALUE"""),1000)</f>
        <v>1000</v>
      </c>
      <c r="AB321" s="5" t="str">
        <f ca="1">IFERROR(__xludf.DUMMYFUNCTION("""COMPUTED_VALUE"""),"/")</f>
        <v>/</v>
      </c>
      <c r="AC321" s="5" t="str">
        <f ca="1">IFERROR(__xludf.DUMMYFUNCTION("""COMPUTED_VALUE"""),"Wild Symbol, Scatter")</f>
        <v>Wild Symbol, Scatter</v>
      </c>
      <c r="AD321" s="5" t="str">
        <f ca="1">IFERROR(__xludf.DUMMYFUNCTION("""COMPUTED_VALUE"""),"0.4/40")</f>
        <v>0.4/40</v>
      </c>
      <c r="AE321" s="5"/>
      <c r="AF321" s="5"/>
      <c r="AG321" s="10">
        <f ca="1">IFERROR(__xludf.DUMMYFUNCTION("""COMPUTED_VALUE"""),46176.4844907407)</f>
        <v>46176.484490740702</v>
      </c>
      <c r="AH321" s="5" t="str">
        <f ca="1">IFERROR(__xludf.DUMMYFUNCTION("""COMPUTED_VALUE"""),"djordje.petrovic@fazi.rs")</f>
        <v>djordje.petrovic@fazi.rs</v>
      </c>
      <c r="AI321" s="5"/>
      <c r="AJ321" s="5"/>
      <c r="AK321" s="5">
        <f ca="1">IFERROR(__xludf.DUMMYFUNCTION("""COMPUTED_VALUE"""),40)</f>
        <v>40</v>
      </c>
      <c r="AL321" s="5" t="str">
        <f ca="1">IFERROR(__xludf.DUMMYFUNCTION("""COMPUTED_VALUE"""),"Yes")</f>
        <v>Yes</v>
      </c>
      <c r="AM321" s="5" t="str">
        <f ca="1">IFERROR(__xludf.DUMMYFUNCTION("""COMPUTED_VALUE"""),"No")</f>
        <v>No</v>
      </c>
      <c r="AN321" s="7" t="str">
        <f ca="1">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AO321" s="5" t="str">
        <f ca="1">IFERROR(__xludf.DUMMYFUNCTION("""COMPUTED_VALUE"""),"Yes")</f>
        <v>Yes</v>
      </c>
      <c r="AP321" s="5" t="str">
        <f ca="1">IFERROR(__xludf.DUMMYFUNCTION("""COMPUTED_VALUE"""),"Yes")</f>
        <v>Yes</v>
      </c>
      <c r="AQ321" s="5" t="b">
        <f ca="1">IFERROR(__xludf.DUMMYFUNCTION("""COMPUTED_VALUE"""),TRUE)</f>
        <v>1</v>
      </c>
      <c r="AR321" s="5"/>
      <c r="AS321" s="5" t="str">
        <f ca="1">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AT321" s="5" t="str">
        <f ca="1">IFERROR(__xludf.DUMMYFUNCTION("""COMPUTED_VALUE"""),"Yes")</f>
        <v>Yes</v>
      </c>
      <c r="AU321" s="5" t="str">
        <f ca="1">IFERROR(__xludf.DUMMYFUNCTION("""COMPUTED_VALUE"""),"Fazi")</f>
        <v>Fazi</v>
      </c>
      <c r="AV321" s="5"/>
      <c r="AW321"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21" s="5"/>
      <c r="AY321" s="5"/>
      <c r="AZ321" s="5"/>
      <c r="BA321" s="5"/>
      <c r="BB321" s="5"/>
      <c r="BC321" s="5" t="str">
        <f ca="1">IFERROR(__xludf.DUMMYFUNCTION("""COMPUTED_VALUE"""),"Foxi")</f>
        <v>Foxi</v>
      </c>
      <c r="BD321" s="7" t="str">
        <f ca="1">IFERROR(__xludf.DUMMYFUNCTION("""COMPUTED_VALUE"""),"https://gameserver-store-client-area.orbionlimited.com/Home/IntegrationGameLaunch/client-area?moneyType=0&amp;gameName=VintageFruits40&amp;platform=desktop&amp;languageCode=eng&amp;currency=EUR")</f>
        <v>https://gameserver-store-client-area.orbionlimited.com/Home/IntegrationGameLaunch/client-area?moneyType=0&amp;gameName=VintageFruits40&amp;platform=desktop&amp;languageCode=eng&amp;currency=EUR</v>
      </c>
      <c r="BE321" s="5" t="b">
        <f ca="1">IFERROR(__xludf.DUMMYFUNCTION("""COMPUTED_VALUE"""),TRUE)</f>
        <v>1</v>
      </c>
    </row>
    <row r="322" spans="1:57" x14ac:dyDescent="0.25">
      <c r="A322" s="5">
        <f ca="1">IFERROR(__xludf.DUMMYFUNCTION("""COMPUTED_VALUE"""),322)</f>
        <v>322</v>
      </c>
      <c r="B322" s="5">
        <f ca="1">IFERROR(__xludf.DUMMYFUNCTION("""COMPUTED_VALUE"""),321)</f>
        <v>321</v>
      </c>
      <c r="C322" s="5" t="str">
        <f ca="1">IFERROR(__xludf.DUMMYFUNCTION("""COMPUTED_VALUE"""),"Fazi")</f>
        <v>Fazi</v>
      </c>
      <c r="D322" s="5" t="str">
        <f ca="1">IFERROR(__xludf.DUMMYFUNCTION("""COMPUTED_VALUE"""),"Summer Rush")</f>
        <v>Summer Rush</v>
      </c>
      <c r="E322" s="5" t="str">
        <f ca="1">IFERROR(__xludf.DUMMYFUNCTION("""COMPUTED_VALUE"""),"V2")</f>
        <v>V2</v>
      </c>
      <c r="F322" s="5" t="str">
        <f ca="1">IFERROR(__xludf.DUMMYFUNCTION("""COMPUTED_VALUE"""),"SummerRush")</f>
        <v>SummerRush</v>
      </c>
      <c r="G322" s="5" t="str">
        <f ca="1">IFERROR(__xludf.DUMMYFUNCTION("""COMPUTED_VALUE"""),"Live")</f>
        <v>Live</v>
      </c>
      <c r="H322" s="5"/>
      <c r="I322" s="5" t="str">
        <f ca="1">IFERROR(__xludf.DUMMYFUNCTION("""COMPUTED_VALUE"""),"V2")</f>
        <v>V2</v>
      </c>
      <c r="J322" s="5" t="str">
        <f ca="1">IFERROR(__xludf.DUMMYFUNCTION("""COMPUTED_VALUE"""),"Binary")</f>
        <v>Binary</v>
      </c>
      <c r="K322" s="5" t="str">
        <f ca="1">IFERROR(__xludf.DUMMYFUNCTION("""COMPUTED_VALUE"""),"Slot")</f>
        <v>Slot</v>
      </c>
      <c r="L322" s="5" t="str">
        <f ca="1">IFERROR(__xludf.DUMMYFUNCTION("""COMPUTED_VALUE"""),"Clone")</f>
        <v>Clone</v>
      </c>
      <c r="M322" s="5" t="str">
        <f ca="1">IFERROR(__xludf.DUMMYFUNCTION("""COMPUTED_VALUE"""),"Wild Lucky Clover")</f>
        <v>Wild Lucky Clover</v>
      </c>
      <c r="N322" s="5"/>
      <c r="O322" s="5"/>
      <c r="P322" s="14">
        <f ca="1">IFERROR(__xludf.DUMMYFUNCTION("""COMPUTED_VALUE"""),31.8)</f>
        <v>31.8</v>
      </c>
      <c r="Q322" s="5"/>
      <c r="R322" s="5"/>
      <c r="S322" s="15">
        <f ca="1">IFERROR(__xludf.DUMMYFUNCTION("""COMPUTED_VALUE"""),45495)</f>
        <v>45495</v>
      </c>
      <c r="T322" s="5" t="b">
        <f ca="1">IFERROR(__xludf.DUMMYFUNCTION("""COMPUTED_VALUE"""),TRUE)</f>
        <v>1</v>
      </c>
      <c r="U322" s="5" t="str">
        <f ca="1">IFERROR(__xludf.DUMMYFUNCTION("""COMPUTED_VALUE"""),"5x4")</f>
        <v>5x4</v>
      </c>
      <c r="V322" s="12" t="str">
        <f ca="1">IFERROR(__xludf.DUMMYFUNCTION("""COMPUTED_VALUE"""),"40")</f>
        <v>40</v>
      </c>
      <c r="W322" s="12" t="str">
        <f ca="1">IFERROR(__xludf.DUMMYFUNCTION("""COMPUTED_VALUE"""),"40")</f>
        <v>40</v>
      </c>
      <c r="X322" s="5">
        <f ca="1">IFERROR(__xludf.DUMMYFUNCTION("""COMPUTED_VALUE"""),96.291)</f>
        <v>96.290999999999997</v>
      </c>
      <c r="Y322" s="5" t="str">
        <f ca="1">IFERROR(__xludf.DUMMYFUNCTION("""COMPUTED_VALUE"""),"Medium")</f>
        <v>Medium</v>
      </c>
      <c r="Z322" s="5">
        <f ca="1">IFERROR(__xludf.DUMMYFUNCTION("""COMPUTED_VALUE"""),12.67)</f>
        <v>12.67</v>
      </c>
      <c r="AA322" s="14">
        <f ca="1">IFERROR(__xludf.DUMMYFUNCTION("""COMPUTED_VALUE"""),1043)</f>
        <v>1043</v>
      </c>
      <c r="AB322" s="5">
        <f ca="1">IFERROR(__xludf.DUMMYFUNCTION("""COMPUTED_VALUE"""),199)</f>
        <v>199</v>
      </c>
      <c r="AC322" s="5" t="str">
        <f ca="1">IFERROR(__xludf.DUMMYFUNCTION("""COMPUTED_VALUE"""),"Wild Symbol, Bonus Game with Free Spins, Wild Symbol")</f>
        <v>Wild Symbol, Bonus Game with Free Spins, Wild Symbol</v>
      </c>
      <c r="AD322" s="5" t="str">
        <f ca="1">IFERROR(__xludf.DUMMYFUNCTION("""COMPUTED_VALUE"""),"0.40/60")</f>
        <v>0.40/60</v>
      </c>
      <c r="AE322" s="5"/>
      <c r="AF322" s="5"/>
      <c r="AG322" s="10">
        <f ca="1">IFERROR(__xludf.DUMMYFUNCTION("""COMPUTED_VALUE"""),46055.597974537)</f>
        <v>46055.597974536999</v>
      </c>
      <c r="AH322" s="5" t="str">
        <f ca="1">IFERROR(__xludf.DUMMYFUNCTION("""COMPUTED_VALUE"""),"aleksandar.trajkovic@fazi.rs")</f>
        <v>aleksandar.trajkovic@fazi.rs</v>
      </c>
      <c r="AI322" s="5"/>
      <c r="AJ322" s="5"/>
      <c r="AK322" s="5">
        <f ca="1">IFERROR(__xludf.DUMMYFUNCTION("""COMPUTED_VALUE"""),40)</f>
        <v>40</v>
      </c>
      <c r="AL322" s="5" t="str">
        <f ca="1">IFERROR(__xludf.DUMMYFUNCTION("""COMPUTED_VALUE"""),"Yes")</f>
        <v>Yes</v>
      </c>
      <c r="AM322" s="5"/>
      <c r="AN322" s="7" t="str">
        <f ca="1">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AO322" s="5"/>
      <c r="AP322" s="5"/>
      <c r="AQ322" s="5" t="b">
        <f ca="1">IFERROR(__xludf.DUMMYFUNCTION("""COMPUTED_VALUE"""),TRUE)</f>
        <v>1</v>
      </c>
      <c r="AR322" s="5"/>
      <c r="AS322" s="5" t="str">
        <f ca="1">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AT322" s="5"/>
      <c r="AU322" s="5" t="str">
        <f ca="1">IFERROR(__xludf.DUMMYFUNCTION("""COMPUTED_VALUE"""),"Fazi")</f>
        <v>Fazi</v>
      </c>
      <c r="AV322" s="5"/>
      <c r="AW322" s="5"/>
      <c r="AX322" s="5"/>
      <c r="AY322" s="5"/>
      <c r="AZ322" s="5"/>
      <c r="BA322" s="5" t="str">
        <f ca="1">IFERROR(__xludf.DUMMYFUNCTION("""COMPUTED_VALUE"""),"")</f>
        <v/>
      </c>
      <c r="BB322" s="5"/>
      <c r="BC322" s="5" t="str">
        <f ca="1">IFERROR(__xludf.DUMMYFUNCTION("""COMPUTED_VALUE"""),"Foxi")</f>
        <v>Foxi</v>
      </c>
      <c r="BD322" s="7" t="str">
        <f ca="1">IFERROR(__xludf.DUMMYFUNCTION("""COMPUTED_VALUE"""),"https://gameserver-store-client-area.orbionlimited.com/Home/IntegrationGameLaunch/client-area?moneyType=0&amp;gameName=SummerRush&amp;platform=desktop&amp;languageCode=eng&amp;currency=EUR")</f>
        <v>https://gameserver-store-client-area.orbionlimited.com/Home/IntegrationGameLaunch/client-area?moneyType=0&amp;gameName=SummerRush&amp;platform=desktop&amp;languageCode=eng&amp;currency=EUR</v>
      </c>
      <c r="BE322" s="5" t="b">
        <f ca="1">IFERROR(__xludf.DUMMYFUNCTION("""COMPUTED_VALUE"""),TRUE)</f>
        <v>1</v>
      </c>
    </row>
    <row r="323" spans="1:57" x14ac:dyDescent="0.25">
      <c r="A323" s="5">
        <f ca="1">IFERROR(__xludf.DUMMYFUNCTION("""COMPUTED_VALUE"""),323)</f>
        <v>323</v>
      </c>
      <c r="B323" s="5">
        <f ca="1">IFERROR(__xludf.DUMMYFUNCTION("""COMPUTED_VALUE"""),322)</f>
        <v>322</v>
      </c>
      <c r="C323" s="5" t="str">
        <f ca="1">IFERROR(__xludf.DUMMYFUNCTION("""COMPUTED_VALUE"""),"Fazi")</f>
        <v>Fazi</v>
      </c>
      <c r="D323" s="5" t="str">
        <f ca="1">IFERROR(__xludf.DUMMYFUNCTION("""COMPUTED_VALUE"""),"Football Victory")</f>
        <v>Football Victory</v>
      </c>
      <c r="E323" s="5" t="str">
        <f ca="1">IFERROR(__xludf.DUMMYFUNCTION("""COMPUTED_VALUE"""),"V2")</f>
        <v>V2</v>
      </c>
      <c r="F323" s="5" t="str">
        <f ca="1">IFERROR(__xludf.DUMMYFUNCTION("""COMPUTED_VALUE"""),"FootballVictory")</f>
        <v>FootballVictory</v>
      </c>
      <c r="G323" s="5" t="str">
        <f ca="1">IFERROR(__xludf.DUMMYFUNCTION("""COMPUTED_VALUE"""),"Live")</f>
        <v>Live</v>
      </c>
      <c r="H323" s="5" t="str">
        <f ca="1">IFERROR(__xludf.DUMMYFUNCTION("""COMPUTED_VALUE"""),"BTOBET")</f>
        <v>BTOBET</v>
      </c>
      <c r="I323" s="5" t="str">
        <f ca="1">IFERROR(__xludf.DUMMYFUNCTION("""COMPUTED_VALUE"""),"V2")</f>
        <v>V2</v>
      </c>
      <c r="J323" s="5" t="str">
        <f ca="1">IFERROR(__xludf.DUMMYFUNCTION("""COMPUTED_VALUE"""),"Binary")</f>
        <v>Binary</v>
      </c>
      <c r="K323" s="5" t="str">
        <f ca="1">IFERROR(__xludf.DUMMYFUNCTION("""COMPUTED_VALUE"""),"Slot")</f>
        <v>Slot</v>
      </c>
      <c r="L323" s="5" t="str">
        <f ca="1">IFERROR(__xludf.DUMMYFUNCTION("""COMPUTED_VALUE"""),"Clone")</f>
        <v>Clone</v>
      </c>
      <c r="M323" s="5" t="str">
        <f ca="1">IFERROR(__xludf.DUMMYFUNCTION("""COMPUTED_VALUE"""),"Mayans Battle")</f>
        <v>Mayans Battle</v>
      </c>
      <c r="N323" s="5"/>
      <c r="O323" s="5"/>
      <c r="P323" s="14">
        <f ca="1">IFERROR(__xludf.DUMMYFUNCTION("""COMPUTED_VALUE"""),21)</f>
        <v>21</v>
      </c>
      <c r="Q323" s="5"/>
      <c r="R323" s="5"/>
      <c r="S323" s="15">
        <f ca="1">IFERROR(__xludf.DUMMYFUNCTION("""COMPUTED_VALUE"""),45450)</f>
        <v>45450</v>
      </c>
      <c r="T323" s="5" t="b">
        <f ca="1">IFERROR(__xludf.DUMMYFUNCTION("""COMPUTED_VALUE"""),TRUE)</f>
        <v>1</v>
      </c>
      <c r="U323" s="5" t="str">
        <f ca="1">IFERROR(__xludf.DUMMYFUNCTION("""COMPUTED_VALUE"""),"5x3")</f>
        <v>5x3</v>
      </c>
      <c r="V323" s="12" t="str">
        <f ca="1">IFERROR(__xludf.DUMMYFUNCTION("""COMPUTED_VALUE"""),"30")</f>
        <v>30</v>
      </c>
      <c r="W323" s="12" t="str">
        <f ca="1">IFERROR(__xludf.DUMMYFUNCTION("""COMPUTED_VALUE"""),"30")</f>
        <v>30</v>
      </c>
      <c r="X323" s="5">
        <f ca="1">IFERROR(__xludf.DUMMYFUNCTION("""COMPUTED_VALUE"""),96.477)</f>
        <v>96.477000000000004</v>
      </c>
      <c r="Y323" s="5" t="str">
        <f ca="1">IFERROR(__xludf.DUMMYFUNCTION("""COMPUTED_VALUE"""),"High")</f>
        <v>High</v>
      </c>
      <c r="Z323" s="5">
        <f ca="1">IFERROR(__xludf.DUMMYFUNCTION("""COMPUTED_VALUE"""),21.289)</f>
        <v>21.289000000000001</v>
      </c>
      <c r="AA323" s="14">
        <f ca="1">IFERROR(__xludf.DUMMYFUNCTION("""COMPUTED_VALUE"""),2752)</f>
        <v>2752</v>
      </c>
      <c r="AB323" s="5">
        <f ca="1">IFERROR(__xludf.DUMMYFUNCTION("""COMPUTED_VALUE"""),168)</f>
        <v>168</v>
      </c>
      <c r="AC323" s="5" t="str">
        <f ca="1">IFERROR(__xludf.DUMMYFUNCTION("""COMPUTED_VALUE"""),"Wild Symbol, Scatter, Bonus Game with Free Spins")</f>
        <v>Wild Symbol, Scatter, Bonus Game with Free Spins</v>
      </c>
      <c r="AD323" s="5" t="str">
        <f ca="1">IFERROR(__xludf.DUMMYFUNCTION("""COMPUTED_VALUE"""),"0.3/30")</f>
        <v>0.3/30</v>
      </c>
      <c r="AE323" s="5"/>
      <c r="AF323" s="5"/>
      <c r="AG323" s="10">
        <f ca="1">IFERROR(__xludf.DUMMYFUNCTION("""COMPUTED_VALUE"""),46055.5257523148)</f>
        <v>46055.525752314803</v>
      </c>
      <c r="AH323" s="5" t="str">
        <f ca="1">IFERROR(__xludf.DUMMYFUNCTION("""COMPUTED_VALUE"""),"djordje.jankovic@fazi.rs")</f>
        <v>djordje.jankovic@fazi.rs</v>
      </c>
      <c r="AI323" s="5"/>
      <c r="AJ323" s="5"/>
      <c r="AK323" s="5">
        <f ca="1">IFERROR(__xludf.DUMMYFUNCTION("""COMPUTED_VALUE"""),30)</f>
        <v>30</v>
      </c>
      <c r="AL323" s="5" t="str">
        <f ca="1">IFERROR(__xludf.DUMMYFUNCTION("""COMPUTED_VALUE"""),"Yes")</f>
        <v>Yes</v>
      </c>
      <c r="AM323" s="5"/>
      <c r="AN323" s="7" t="str">
        <f ca="1">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AO323" s="5"/>
      <c r="AP323" s="5"/>
      <c r="AQ323" s="5" t="b">
        <f ca="1">IFERROR(__xludf.DUMMYFUNCTION("""COMPUTED_VALUE"""),TRUE)</f>
        <v>1</v>
      </c>
      <c r="AR323" s="5" t="b">
        <f ca="1">IFERROR(__xludf.DUMMYFUNCTION("""COMPUTED_VALUE"""),TRUE)</f>
        <v>1</v>
      </c>
      <c r="AS323" s="5" t="str">
        <f ca="1">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AT323" s="5"/>
      <c r="AU323" s="5" t="str">
        <f ca="1">IFERROR(__xludf.DUMMYFUNCTION("""COMPUTED_VALUE"""),"Fazi")</f>
        <v>Fazi</v>
      </c>
      <c r="AV323" s="5"/>
      <c r="AW323" s="5"/>
      <c r="AX323" s="5"/>
      <c r="AY323" s="5"/>
      <c r="AZ323" s="5"/>
      <c r="BA323" s="5" t="str">
        <f ca="1">IFERROR(__xludf.DUMMYFUNCTION("""COMPUTED_VALUE"""),"")</f>
        <v/>
      </c>
      <c r="BB323" s="5"/>
      <c r="BC323" s="5" t="str">
        <f ca="1">IFERROR(__xludf.DUMMYFUNCTION("""COMPUTED_VALUE"""),"Foxi")</f>
        <v>Foxi</v>
      </c>
      <c r="BD323" s="7" t="str">
        <f ca="1">IFERROR(__xludf.DUMMYFUNCTION("""COMPUTED_VALUE"""),"https://gameserver-store-client-area.orbionlimited.com/Home/IntegrationGameLaunch/client-area?moneyType=0&amp;gameName=FootballVictory&amp;platform=desktop&amp;languageCode=eng&amp;currency=EUR")</f>
        <v>https://gameserver-store-client-area.orbionlimited.com/Home/IntegrationGameLaunch/client-area?moneyType=0&amp;gameName=FootballVictory&amp;platform=desktop&amp;languageCode=eng&amp;currency=EUR</v>
      </c>
      <c r="BE323" s="5" t="b">
        <f ca="1">IFERROR(__xludf.DUMMYFUNCTION("""COMPUTED_VALUE"""),TRUE)</f>
        <v>1</v>
      </c>
    </row>
    <row r="324" spans="1:57" x14ac:dyDescent="0.25">
      <c r="A324" s="5">
        <f ca="1">IFERROR(__xludf.DUMMYFUNCTION("""COMPUTED_VALUE"""),324)</f>
        <v>324</v>
      </c>
      <c r="B324" s="5">
        <f ca="1">IFERROR(__xludf.DUMMYFUNCTION("""COMPUTED_VALUE"""),323)</f>
        <v>323</v>
      </c>
      <c r="C324" s="5" t="str">
        <f ca="1">IFERROR(__xludf.DUMMYFUNCTION("""COMPUTED_VALUE"""),"Redstone")</f>
        <v>Redstone</v>
      </c>
      <c r="D324" s="5" t="str">
        <f ca="1">IFERROR(__xludf.DUMMYFUNCTION("""COMPUTED_VALUE"""),"Caps and Crowns")</f>
        <v>Caps and Crowns</v>
      </c>
      <c r="E324" s="5" t="str">
        <f ca="1">IFERROR(__xludf.DUMMYFUNCTION("""COMPUTED_VALUE"""),"Redstone")</f>
        <v>Redstone</v>
      </c>
      <c r="F324" s="5" t="str">
        <f ca="1">IFERROR(__xludf.DUMMYFUNCTION("""COMPUTED_VALUE"""),"RedstoneCapsAndCrowns")</f>
        <v>RedstoneCapsAndCrowns</v>
      </c>
      <c r="G324" s="5" t="str">
        <f ca="1">IFERROR(__xludf.DUMMYFUNCTION("""COMPUTED_VALUE"""),"Live")</f>
        <v>Live</v>
      </c>
      <c r="H324" s="5"/>
      <c r="I324" s="5" t="str">
        <f ca="1">IFERROR(__xludf.DUMMYFUNCTION("""COMPUTED_VALUE"""),"Redstone")</f>
        <v>Redstone</v>
      </c>
      <c r="J324" s="5" t="str">
        <f ca="1">IFERROR(__xludf.DUMMYFUNCTION("""COMPUTED_VALUE"""),"JSON")</f>
        <v>JSON</v>
      </c>
      <c r="K324" s="5" t="str">
        <f ca="1">IFERROR(__xludf.DUMMYFUNCTION("""COMPUTED_VALUE"""),"Slot")</f>
        <v>Slot</v>
      </c>
      <c r="L324" s="5" t="str">
        <f ca="1">IFERROR(__xludf.DUMMYFUNCTION("""COMPUTED_VALUE""")," Clone")</f>
        <v xml:space="preserve"> Clone</v>
      </c>
      <c r="M324" s="5" t="str">
        <f ca="1">IFERROR(__xludf.DUMMYFUNCTION("""COMPUTED_VALUE"""),"Chilli Double")</f>
        <v>Chilli Double</v>
      </c>
      <c r="N324" s="7" t="str">
        <f ca="1">IFERROR(__xludf.DUMMYFUNCTION("""COMPUTED_VALUE"""),"https://docs.google.com/document/d/1jtuk8s7n3DxZm8QVJKAl2DJTlsG7cf8H/edit?usp=drive_link&amp;ouid=107596163405648766688&amp;rtpof=true&amp;sd=true")</f>
        <v>https://docs.google.com/document/d/1jtuk8s7n3DxZm8QVJKAl2DJTlsG7cf8H/edit?usp=drive_link&amp;ouid=107596163405648766688&amp;rtpof=true&amp;sd=true</v>
      </c>
      <c r="O324" s="7" t="str">
        <f ca="1">IFERROR(__xludf.DUMMYFUNCTION("""COMPUTED_VALUE"""),"https://docs.google.com/document/d/133EFX9Kmc_ni_odAawnqEsToy2VaVDRX/edit?usp=drive_link&amp;ouid=107596163405648766688&amp;rtpof=true&amp;sd=true")</f>
        <v>https://docs.google.com/document/d/133EFX9Kmc_ni_odAawnqEsToy2VaVDRX/edit?usp=drive_link&amp;ouid=107596163405648766688&amp;rtpof=true&amp;sd=true</v>
      </c>
      <c r="P324" s="14">
        <f ca="1">IFERROR(__xludf.DUMMYFUNCTION("""COMPUTED_VALUE"""),7.6)</f>
        <v>7.6</v>
      </c>
      <c r="Q324" s="5"/>
      <c r="R324" s="5"/>
      <c r="S324" s="15">
        <f ca="1">IFERROR(__xludf.DUMMYFUNCTION("""COMPUTED_VALUE"""),45386)</f>
        <v>45386</v>
      </c>
      <c r="T324" s="5" t="b">
        <f ca="1">IFERROR(__xludf.DUMMYFUNCTION("""COMPUTED_VALUE"""),TRUE)</f>
        <v>1</v>
      </c>
      <c r="U324" s="5" t="str">
        <f ca="1">IFERROR(__xludf.DUMMYFUNCTION("""COMPUTED_VALUE"""),"5x3")</f>
        <v>5x3</v>
      </c>
      <c r="V324" s="12" t="str">
        <f ca="1">IFERROR(__xludf.DUMMYFUNCTION("""COMPUTED_VALUE"""),"5")</f>
        <v>5</v>
      </c>
      <c r="W324" s="12" t="str">
        <f ca="1">IFERROR(__xludf.DUMMYFUNCTION("""COMPUTED_VALUE"""),"5")</f>
        <v>5</v>
      </c>
      <c r="X324" s="5">
        <f ca="1">IFERROR(__xludf.DUMMYFUNCTION("""COMPUTED_VALUE"""),96.45)</f>
        <v>96.45</v>
      </c>
      <c r="Y324" s="5" t="str">
        <f ca="1">IFERROR(__xludf.DUMMYFUNCTION("""COMPUTED_VALUE"""),"Medium")</f>
        <v>Medium</v>
      </c>
      <c r="Z324" s="5">
        <f ca="1">IFERROR(__xludf.DUMMYFUNCTION("""COMPUTED_VALUE"""),14.23)</f>
        <v>14.23</v>
      </c>
      <c r="AA324" s="14">
        <f ca="1">IFERROR(__xludf.DUMMYFUNCTION("""COMPUTED_VALUE"""),2624)</f>
        <v>2624</v>
      </c>
      <c r="AB324" s="5"/>
      <c r="AC324" s="5" t="str">
        <f ca="1">IFERROR(__xludf.DUMMYFUNCTION("""COMPUTED_VALUE"""),"Scatter, Expanding Wild")</f>
        <v>Scatter, Expanding Wild</v>
      </c>
      <c r="AD324" s="5" t="str">
        <f ca="1">IFERROR(__xludf.DUMMYFUNCTION("""COMPUTED_VALUE"""),"0.05/100")</f>
        <v>0.05/100</v>
      </c>
      <c r="AE324" s="5"/>
      <c r="AF324" s="5"/>
      <c r="AG324" s="10">
        <f ca="1">IFERROR(__xludf.DUMMYFUNCTION("""COMPUTED_VALUE"""),46157.4793402777)</f>
        <v>46157.4793402777</v>
      </c>
      <c r="AH324" s="5"/>
      <c r="AI324" s="5"/>
      <c r="AJ324" s="5"/>
      <c r="AK324" s="5">
        <f ca="1">IFERROR(__xludf.DUMMYFUNCTION("""COMPUTED_VALUE"""),1)</f>
        <v>1</v>
      </c>
      <c r="AL324" s="5" t="str">
        <f ca="1">IFERROR(__xludf.DUMMYFUNCTION("""COMPUTED_VALUE"""),"No")</f>
        <v>No</v>
      </c>
      <c r="AM324" s="5" t="str">
        <f ca="1">IFERROR(__xludf.DUMMYFUNCTION("""COMPUTED_VALUE"""),"No")</f>
        <v>No</v>
      </c>
      <c r="AN324" s="7" t="str">
        <f ca="1">IFERROR(__xludf.DUMMYFUNCTION("""COMPUTED_VALUE"""),"https://static.redstone.rs/games/caps-and-crowns/")</f>
        <v>https://static.redstone.rs/games/caps-and-crowns/</v>
      </c>
      <c r="AO324" s="5" t="str">
        <f ca="1">IFERROR(__xludf.DUMMYFUNCTION("""COMPUTED_VALUE"""),"No")</f>
        <v>No</v>
      </c>
      <c r="AP324" s="5" t="str">
        <f ca="1">IFERROR(__xludf.DUMMYFUNCTION("""COMPUTED_VALUE"""),"No")</f>
        <v>No</v>
      </c>
      <c r="AQ324" s="5" t="b">
        <f ca="1">IFERROR(__xludf.DUMMYFUNCTION("""COMPUTED_VALUE"""),TRUE)</f>
        <v>1</v>
      </c>
      <c r="AR324" s="5"/>
      <c r="AS324" s="5" t="str">
        <f ca="1">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AT324" s="5"/>
      <c r="AU324" s="5" t="str">
        <f ca="1">IFERROR(__xludf.DUMMYFUNCTION("""COMPUTED_VALUE"""),"Redstone")</f>
        <v>Redstone</v>
      </c>
      <c r="AV324" s="5"/>
      <c r="AW324" s="5"/>
      <c r="AX324" s="5"/>
      <c r="AY324" s="5"/>
      <c r="AZ324" s="5"/>
      <c r="BA324" s="5"/>
      <c r="BB324" s="5" t="b">
        <f ca="1">IFERROR(__xludf.DUMMYFUNCTION("""COMPUTED_VALUE"""),TRUE)</f>
        <v>1</v>
      </c>
      <c r="BC324" s="5" t="str">
        <f ca="1">IFERROR(__xludf.DUMMYFUNCTION("""COMPUTED_VALUE"""),"Redstone")</f>
        <v>Redstone</v>
      </c>
      <c r="BD324" s="7" t="str">
        <f ca="1">IFERROR(__xludf.DUMMYFUNCTION("""COMPUTED_VALUE"""),"https://static.redstone.rs/games/caps-and-crowns/")</f>
        <v>https://static.redstone.rs/games/caps-and-crowns/</v>
      </c>
      <c r="BE324" s="5" t="b">
        <f ca="1">IFERROR(__xludf.DUMMYFUNCTION("""COMPUTED_VALUE"""),TRUE)</f>
        <v>1</v>
      </c>
    </row>
    <row r="325" spans="1:57" x14ac:dyDescent="0.25">
      <c r="A325" s="5">
        <f ca="1">IFERROR(__xludf.DUMMYFUNCTION("""COMPUTED_VALUE"""),325)</f>
        <v>325</v>
      </c>
      <c r="B325" s="5">
        <f ca="1">IFERROR(__xludf.DUMMYFUNCTION("""COMPUTED_VALUE"""),324)</f>
        <v>324</v>
      </c>
      <c r="C325" s="5" t="str">
        <f ca="1">IFERROR(__xludf.DUMMYFUNCTION("""COMPUTED_VALUE"""),"Tiptop")</f>
        <v>Tiptop</v>
      </c>
      <c r="D325" s="5" t="str">
        <f ca="1">IFERROR(__xludf.DUMMYFUNCTION("""COMPUTED_VALUE"""),"Lava Diamonds")</f>
        <v>Lava Diamonds</v>
      </c>
      <c r="E325" s="5"/>
      <c r="F325" s="5" t="str">
        <f ca="1">IFERROR(__xludf.DUMMYFUNCTION("""COMPUTED_VALUE"""),"UnicornLavaDiamonds")</f>
        <v>UnicornLavaDiamonds</v>
      </c>
      <c r="G325" s="5" t="str">
        <f ca="1">IFERROR(__xludf.DUMMYFUNCTION("""COMPUTED_VALUE"""),"Live")</f>
        <v>Live</v>
      </c>
      <c r="H325" s="5"/>
      <c r="I325" s="5" t="str">
        <f ca="1">IFERROR(__xludf.DUMMYFUNCTION("""COMPUTED_VALUE"""),"TipTop")</f>
        <v>TipTop</v>
      </c>
      <c r="J325" s="5" t="str">
        <f ca="1">IFERROR(__xludf.DUMMYFUNCTION("""COMPUTED_VALUE"""),"JSON")</f>
        <v>JSON</v>
      </c>
      <c r="K325" s="5" t="str">
        <f ca="1">IFERROR(__xludf.DUMMYFUNCTION("""COMPUTED_VALUE"""),"Slot")</f>
        <v>Slot</v>
      </c>
      <c r="L325" s="5"/>
      <c r="M325" s="5"/>
      <c r="N325" s="5"/>
      <c r="O325" s="5"/>
      <c r="P325" s="14">
        <f ca="1">IFERROR(__xludf.DUMMYFUNCTION("""COMPUTED_VALUE"""),11)</f>
        <v>11</v>
      </c>
      <c r="Q325" s="5"/>
      <c r="R325" s="5"/>
      <c r="S325" s="15">
        <f ca="1">IFERROR(__xludf.DUMMYFUNCTION("""COMPUTED_VALUE"""),45398)</f>
        <v>45398</v>
      </c>
      <c r="T325" s="5" t="b">
        <f ca="1">IFERROR(__xludf.DUMMYFUNCTION("""COMPUTED_VALUE"""),TRUE)</f>
        <v>1</v>
      </c>
      <c r="U325" s="5" t="str">
        <f ca="1">IFERROR(__xludf.DUMMYFUNCTION("""COMPUTED_VALUE"""),"5X3")</f>
        <v>5X3</v>
      </c>
      <c r="V325" s="12" t="str">
        <f ca="1">IFERROR(__xludf.DUMMYFUNCTION("""COMPUTED_VALUE"""),"10")</f>
        <v>10</v>
      </c>
      <c r="W325" s="12" t="str">
        <f ca="1">IFERROR(__xludf.DUMMYFUNCTION("""COMPUTED_VALUE"""),"10")</f>
        <v>10</v>
      </c>
      <c r="X325" s="5">
        <f ca="1">IFERROR(__xludf.DUMMYFUNCTION("""COMPUTED_VALUE"""),96)</f>
        <v>96</v>
      </c>
      <c r="Y325" s="5" t="str">
        <f ca="1">IFERROR(__xludf.DUMMYFUNCTION("""COMPUTED_VALUE"""),"Low")</f>
        <v>Low</v>
      </c>
      <c r="Z325" s="5">
        <f ca="1">IFERROR(__xludf.DUMMYFUNCTION("""COMPUTED_VALUE"""),24.14)</f>
        <v>24.14</v>
      </c>
      <c r="AA325" s="14">
        <f ca="1">IFERROR(__xludf.DUMMYFUNCTION("""COMPUTED_VALUE"""),10000)</f>
        <v>10000</v>
      </c>
      <c r="AB325" s="5"/>
      <c r="AC325" s="5" t="str">
        <f ca="1">IFERROR(__xludf.DUMMYFUNCTION("""COMPUTED_VALUE"""),"Scatter")</f>
        <v>Scatter</v>
      </c>
      <c r="AD325" s="5" t="str">
        <f ca="1">IFERROR(__xludf.DUMMYFUNCTION("""COMPUTED_VALUE"""),"0.1/100")</f>
        <v>0.1/100</v>
      </c>
      <c r="AE325" s="5"/>
      <c r="AF325" s="5"/>
      <c r="AG325" s="10">
        <f ca="1">IFERROR(__xludf.DUMMYFUNCTION("""COMPUTED_VALUE"""),46197.4659143518)</f>
        <v>46197.4659143518</v>
      </c>
      <c r="AH325" s="5" t="str">
        <f ca="1">IFERROR(__xludf.DUMMYFUNCTION("""COMPUTED_VALUE"""),"selena.mihajlovic@fazi.rs")</f>
        <v>selena.mihajlovic@fazi.rs</v>
      </c>
      <c r="AI325" s="5"/>
      <c r="AJ325" s="5"/>
      <c r="AK325" s="5">
        <f ca="1">IFERROR(__xludf.DUMMYFUNCTION("""COMPUTED_VALUE"""),10)</f>
        <v>10</v>
      </c>
      <c r="AL325" s="5" t="str">
        <f ca="1">IFERROR(__xludf.DUMMYFUNCTION("""COMPUTED_VALUE"""),"No")</f>
        <v>No</v>
      </c>
      <c r="AM325" s="5"/>
      <c r="AN325" s="7" t="str">
        <f ca="1">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AO325" s="5"/>
      <c r="AP325" s="5"/>
      <c r="AQ325" s="5" t="b">
        <f ca="1">IFERROR(__xludf.DUMMYFUNCTION("""COMPUTED_VALUE"""),TRUE)</f>
        <v>1</v>
      </c>
      <c r="AR325" s="5"/>
      <c r="AS325" s="5" t="str">
        <f ca="1">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5" s="5"/>
      <c r="AU325" s="5" t="str">
        <f ca="1">IFERROR(__xludf.DUMMYFUNCTION("""COMPUTED_VALUE"""),"Fazi")</f>
        <v>Fazi</v>
      </c>
      <c r="AV325" s="5"/>
      <c r="AW325" s="5"/>
      <c r="AX325" s="5"/>
      <c r="AY325" s="5"/>
      <c r="AZ325" s="5"/>
      <c r="BA325" s="5"/>
      <c r="BB325" s="5" t="b">
        <f ca="1">IFERROR(__xludf.DUMMYFUNCTION("""COMPUTED_VALUE"""),TRUE)</f>
        <v>1</v>
      </c>
      <c r="BC325" s="5" t="str">
        <f ca="1">IFERROR(__xludf.DUMMYFUNCTION("""COMPUTED_VALUE"""),"Tiptop")</f>
        <v>Tiptop</v>
      </c>
      <c r="BD325" s="7" t="str">
        <f ca="1">IFERROR(__xludf.DUMMYFUNCTION("""COMPUTED_VALUE"""),"https://gameserver-store-client-area.orbionlimited.com/Home/IntegrationGameLaunch/client-area?moneyType=0&amp;gameName=UnicornLavaDiamonds&amp;platform=desktop&amp;languageCode=eng&amp;currency=EUR")</f>
        <v>https://gameserver-store-client-area.orbionlimited.com/Home/IntegrationGameLaunch/client-area?moneyType=0&amp;gameName=UnicornLavaDiamonds&amp;platform=desktop&amp;languageCode=eng&amp;currency=EUR</v>
      </c>
      <c r="BE325" s="5" t="b">
        <f ca="1">IFERROR(__xludf.DUMMYFUNCTION("""COMPUTED_VALUE"""),TRUE)</f>
        <v>1</v>
      </c>
    </row>
    <row r="326" spans="1:57" x14ac:dyDescent="0.25">
      <c r="A326" s="5">
        <f ca="1">IFERROR(__xludf.DUMMYFUNCTION("""COMPUTED_VALUE"""),326)</f>
        <v>326</v>
      </c>
      <c r="B326" s="5">
        <f ca="1">IFERROR(__xludf.DUMMYFUNCTION("""COMPUTED_VALUE"""),325)</f>
        <v>325</v>
      </c>
      <c r="C326" s="5" t="str">
        <f ca="1">IFERROR(__xludf.DUMMYFUNCTION("""COMPUTED_VALUE"""),"Tiptop")</f>
        <v>Tiptop</v>
      </c>
      <c r="D326" s="5" t="str">
        <f ca="1">IFERROR(__xludf.DUMMYFUNCTION("""COMPUTED_VALUE"""),"5 Hot Strike Dice")</f>
        <v>5 Hot Strike Dice</v>
      </c>
      <c r="E326" s="5"/>
      <c r="F326" s="5" t="str">
        <f ca="1">IFERROR(__xludf.DUMMYFUNCTION("""COMPUTED_VALUE"""),"Unicorn5HotStrikeDice")</f>
        <v>Unicorn5HotStrikeDice</v>
      </c>
      <c r="G326" s="5" t="str">
        <f ca="1">IFERROR(__xludf.DUMMYFUNCTION("""COMPUTED_VALUE"""),"Live")</f>
        <v>Live</v>
      </c>
      <c r="H326" s="5"/>
      <c r="I326" s="5" t="str">
        <f ca="1">IFERROR(__xludf.DUMMYFUNCTION("""COMPUTED_VALUE"""),"TipTop")</f>
        <v>TipTop</v>
      </c>
      <c r="J326" s="5" t="str">
        <f ca="1">IFERROR(__xludf.DUMMYFUNCTION("""COMPUTED_VALUE"""),"JSON")</f>
        <v>JSON</v>
      </c>
      <c r="K326" s="5" t="str">
        <f ca="1">IFERROR(__xludf.DUMMYFUNCTION("""COMPUTED_VALUE"""),"Dice Slots")</f>
        <v>Dice Slots</v>
      </c>
      <c r="L326" s="5"/>
      <c r="M326" s="5"/>
      <c r="N326" s="5"/>
      <c r="O326" s="5"/>
      <c r="P326" s="14">
        <f ca="1">IFERROR(__xludf.DUMMYFUNCTION("""COMPUTED_VALUE"""),11)</f>
        <v>11</v>
      </c>
      <c r="Q326" s="5"/>
      <c r="R326" s="5"/>
      <c r="S326" s="15">
        <f ca="1">IFERROR(__xludf.DUMMYFUNCTION("""COMPUTED_VALUE"""),45420)</f>
        <v>45420</v>
      </c>
      <c r="T326" s="5" t="b">
        <f ca="1">IFERROR(__xludf.DUMMYFUNCTION("""COMPUTED_VALUE"""),TRUE)</f>
        <v>1</v>
      </c>
      <c r="U326" s="5" t="str">
        <f ca="1">IFERROR(__xludf.DUMMYFUNCTION("""COMPUTED_VALUE"""),"5X3")</f>
        <v>5X3</v>
      </c>
      <c r="V326" s="12" t="str">
        <f ca="1">IFERROR(__xludf.DUMMYFUNCTION("""COMPUTED_VALUE"""),"5")</f>
        <v>5</v>
      </c>
      <c r="W326" s="12" t="str">
        <f ca="1">IFERROR(__xludf.DUMMYFUNCTION("""COMPUTED_VALUE"""),"5")</f>
        <v>5</v>
      </c>
      <c r="X326" s="5">
        <f ca="1">IFERROR(__xludf.DUMMYFUNCTION("""COMPUTED_VALUE"""),96)</f>
        <v>96</v>
      </c>
      <c r="Y326" s="5" t="str">
        <f ca="1">IFERROR(__xludf.DUMMYFUNCTION("""COMPUTED_VALUE"""),"Low")</f>
        <v>Low</v>
      </c>
      <c r="Z326" s="5">
        <f ca="1">IFERROR(__xludf.DUMMYFUNCTION("""COMPUTED_VALUE"""),11.41)</f>
        <v>11.41</v>
      </c>
      <c r="AA326" s="14">
        <f ca="1">IFERROR(__xludf.DUMMYFUNCTION("""COMPUTED_VALUE"""),2000)</f>
        <v>2000</v>
      </c>
      <c r="AB326" s="5"/>
      <c r="AC326" s="5" t="str">
        <f ca="1">IFERROR(__xludf.DUMMYFUNCTION("""COMPUTED_VALUE"""),"Wild Symbol, Scatter")</f>
        <v>Wild Symbol, Scatter</v>
      </c>
      <c r="AD326" s="5" t="str">
        <f ca="1">IFERROR(__xludf.DUMMYFUNCTION("""COMPUTED_VALUE"""),"0.05/100")</f>
        <v>0.05/100</v>
      </c>
      <c r="AE326" s="5"/>
      <c r="AF326" s="5"/>
      <c r="AG326" s="10">
        <f ca="1">IFERROR(__xludf.DUMMYFUNCTION("""COMPUTED_VALUE"""),46197.4881944444)</f>
        <v>46197.488194444399</v>
      </c>
      <c r="AH326" s="5" t="str">
        <f ca="1">IFERROR(__xludf.DUMMYFUNCTION("""COMPUTED_VALUE"""),"selena.mihajlovic@fazi.rs")</f>
        <v>selena.mihajlovic@fazi.rs</v>
      </c>
      <c r="AI326" s="5"/>
      <c r="AJ326" s="5"/>
      <c r="AK326" s="5">
        <f ca="1">IFERROR(__xludf.DUMMYFUNCTION("""COMPUTED_VALUE"""),5)</f>
        <v>5</v>
      </c>
      <c r="AL326" s="5" t="str">
        <f ca="1">IFERROR(__xludf.DUMMYFUNCTION("""COMPUTED_VALUE"""),"No")</f>
        <v>No</v>
      </c>
      <c r="AM326" s="5"/>
      <c r="AN326" s="7" t="str">
        <f ca="1">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AO326" s="5"/>
      <c r="AP326" s="5"/>
      <c r="AQ326" s="5" t="b">
        <f ca="1">IFERROR(__xludf.DUMMYFUNCTION("""COMPUTED_VALUE"""),TRUE)</f>
        <v>1</v>
      </c>
      <c r="AR326" s="5"/>
      <c r="AS326" s="5" t="str">
        <f ca="1">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6" s="5"/>
      <c r="AU326" s="5" t="str">
        <f ca="1">IFERROR(__xludf.DUMMYFUNCTION("""COMPUTED_VALUE"""),"Fazi")</f>
        <v>Fazi</v>
      </c>
      <c r="AV326" s="5"/>
      <c r="AW326" s="5"/>
      <c r="AX326" s="5"/>
      <c r="AY326" s="5"/>
      <c r="AZ326" s="5"/>
      <c r="BA326" s="5"/>
      <c r="BB326" s="5" t="b">
        <f ca="1">IFERROR(__xludf.DUMMYFUNCTION("""COMPUTED_VALUE"""),TRUE)</f>
        <v>1</v>
      </c>
      <c r="BC326" s="5" t="str">
        <f ca="1">IFERROR(__xludf.DUMMYFUNCTION("""COMPUTED_VALUE"""),"Tiptop")</f>
        <v>Tiptop</v>
      </c>
      <c r="BD326" s="7" t="str">
        <f ca="1">IFERROR(__xludf.DUMMYFUNCTION("""COMPUTED_VALUE"""),"https://gameserver-store-client-area.orbionlimited.com/Home/IntegrationGameLaunch/client-area?moneyType=0&amp;gameName=Unicorn5HotStrikeDice&amp;platform=desktop&amp;languageCode=eng&amp;currency=EUR")</f>
        <v>https://gameserver-store-client-area.orbionlimited.com/Home/IntegrationGameLaunch/client-area?moneyType=0&amp;gameName=Unicorn5HotStrikeDice&amp;platform=desktop&amp;languageCode=eng&amp;currency=EUR</v>
      </c>
      <c r="BE326" s="5" t="b">
        <f ca="1">IFERROR(__xludf.DUMMYFUNCTION("""COMPUTED_VALUE"""),TRUE)</f>
        <v>1</v>
      </c>
    </row>
    <row r="327" spans="1:57" x14ac:dyDescent="0.25">
      <c r="A327" s="5">
        <f ca="1">IFERROR(__xludf.DUMMYFUNCTION("""COMPUTED_VALUE"""),327)</f>
        <v>327</v>
      </c>
      <c r="B327" s="5">
        <f ca="1">IFERROR(__xludf.DUMMYFUNCTION("""COMPUTED_VALUE"""),326)</f>
        <v>326</v>
      </c>
      <c r="C327" s="5" t="str">
        <f ca="1">IFERROR(__xludf.DUMMYFUNCTION("""COMPUTED_VALUE"""),"Redstone")</f>
        <v>Redstone</v>
      </c>
      <c r="D327" s="5" t="str">
        <f ca="1">IFERROR(__xludf.DUMMYFUNCTION("""COMPUTED_VALUE"""),"Hot Rush Both Ways")</f>
        <v>Hot Rush Both Ways</v>
      </c>
      <c r="E327" s="5" t="str">
        <f ca="1">IFERROR(__xludf.DUMMYFUNCTION("""COMPUTED_VALUE"""),"Redstone")</f>
        <v>Redstone</v>
      </c>
      <c r="F327" s="5" t="str">
        <f ca="1">IFERROR(__xludf.DUMMYFUNCTION("""COMPUTED_VALUE"""),"RedstoneHotRushBothWays")</f>
        <v>RedstoneHotRushBothWays</v>
      </c>
      <c r="G327" s="5" t="str">
        <f ca="1">IFERROR(__xludf.DUMMYFUNCTION("""COMPUTED_VALUE"""),"Live")</f>
        <v>Live</v>
      </c>
      <c r="H327" s="5"/>
      <c r="I327" s="5" t="str">
        <f ca="1">IFERROR(__xludf.DUMMYFUNCTION("""COMPUTED_VALUE"""),"Redstone")</f>
        <v>Redstone</v>
      </c>
      <c r="J327" s="5" t="str">
        <f ca="1">IFERROR(__xludf.DUMMYFUNCTION("""COMPUTED_VALUE"""),"JSON")</f>
        <v>JSON</v>
      </c>
      <c r="K327" s="5" t="str">
        <f ca="1">IFERROR(__xludf.DUMMYFUNCTION("""COMPUTED_VALUE"""),"Slot")</f>
        <v>Slot</v>
      </c>
      <c r="L327" s="5" t="str">
        <f ca="1">IFERROR(__xludf.DUMMYFUNCTION("""COMPUTED_VALUE"""),"Master")</f>
        <v>Master</v>
      </c>
      <c r="M327" s="5"/>
      <c r="N327" s="7" t="str">
        <f ca="1">IFERROR(__xludf.DUMMYFUNCTION("""COMPUTED_VALUE"""),"https://docs.google.com/document/d/1yDUchn8GrW3WRFURTjL1B4zxCM5AfF-t/edit?usp=drive_link&amp;ouid=107596163405648766688&amp;rtpof=true&amp;sd=true")</f>
        <v>https://docs.google.com/document/d/1yDUchn8GrW3WRFURTjL1B4zxCM5AfF-t/edit?usp=drive_link&amp;ouid=107596163405648766688&amp;rtpof=true&amp;sd=true</v>
      </c>
      <c r="O327" s="7" t="str">
        <f ca="1">IFERROR(__xludf.DUMMYFUNCTION("""COMPUTED_VALUE"""),"https://docs.google.com/document/d/1LP-773KOGjSB_rZ6WHFgqj6HeerAZfgT/edit?usp=drive_link&amp;ouid=107596163405648766688&amp;rtpof=true&amp;sd=true")</f>
        <v>https://docs.google.com/document/d/1LP-773KOGjSB_rZ6WHFgqj6HeerAZfgT/edit?usp=drive_link&amp;ouid=107596163405648766688&amp;rtpof=true&amp;sd=true</v>
      </c>
      <c r="P327" s="14">
        <f ca="1">IFERROR(__xludf.DUMMYFUNCTION("""COMPUTED_VALUE"""),7.5)</f>
        <v>7.5</v>
      </c>
      <c r="Q327" s="5"/>
      <c r="R327" s="5"/>
      <c r="S327" s="15">
        <f ca="1">IFERROR(__xludf.DUMMYFUNCTION("""COMPUTED_VALUE"""),45405)</f>
        <v>45405</v>
      </c>
      <c r="T327" s="5" t="b">
        <f ca="1">IFERROR(__xludf.DUMMYFUNCTION("""COMPUTED_VALUE"""),TRUE)</f>
        <v>1</v>
      </c>
      <c r="U327" s="5" t="str">
        <f ca="1">IFERROR(__xludf.DUMMYFUNCTION("""COMPUTED_VALUE"""),"5x3")</f>
        <v>5x3</v>
      </c>
      <c r="V327" s="12" t="str">
        <f ca="1">IFERROR(__xludf.DUMMYFUNCTION("""COMPUTED_VALUE"""),"5")</f>
        <v>5</v>
      </c>
      <c r="W327" s="12" t="str">
        <f ca="1">IFERROR(__xludf.DUMMYFUNCTION("""COMPUTED_VALUE"""),"5")</f>
        <v>5</v>
      </c>
      <c r="X327" s="5">
        <f ca="1">IFERROR(__xludf.DUMMYFUNCTION("""COMPUTED_VALUE"""),96.04)</f>
        <v>96.04</v>
      </c>
      <c r="Y327" s="5" t="str">
        <f ca="1">IFERROR(__xludf.DUMMYFUNCTION("""COMPUTED_VALUE"""),"Low")</f>
        <v>Low</v>
      </c>
      <c r="Z327" s="5">
        <f ca="1">IFERROR(__xludf.DUMMYFUNCTION("""COMPUTED_VALUE"""),18.64)</f>
        <v>18.64</v>
      </c>
      <c r="AA327" s="14">
        <f ca="1">IFERROR(__xludf.DUMMYFUNCTION("""COMPUTED_VALUE"""),1000)</f>
        <v>1000</v>
      </c>
      <c r="AB327" s="5"/>
      <c r="AC327" s="5" t="str">
        <f ca="1">IFERROR(__xludf.DUMMYFUNCTION("""COMPUTED_VALUE"""),"Bothways")</f>
        <v>Bothways</v>
      </c>
      <c r="AD327" s="5" t="str">
        <f ca="1">IFERROR(__xludf.DUMMYFUNCTION("""COMPUTED_VALUE"""),"0.05/100")</f>
        <v>0.05/100</v>
      </c>
      <c r="AE327" s="5"/>
      <c r="AF327" s="5"/>
      <c r="AG327" s="10">
        <f ca="1">IFERROR(__xludf.DUMMYFUNCTION("""COMPUTED_VALUE"""),46157.4795254629)</f>
        <v>46157.479525462899</v>
      </c>
      <c r="AH327" s="5"/>
      <c r="AI327" s="5"/>
      <c r="AJ327" s="5"/>
      <c r="AK327" s="5">
        <f ca="1">IFERROR(__xludf.DUMMYFUNCTION("""COMPUTED_VALUE"""),1)</f>
        <v>1</v>
      </c>
      <c r="AL327" s="5" t="str">
        <f ca="1">IFERROR(__xludf.DUMMYFUNCTION("""COMPUTED_VALUE"""),"No")</f>
        <v>No</v>
      </c>
      <c r="AM327" s="5" t="str">
        <f ca="1">IFERROR(__xludf.DUMMYFUNCTION("""COMPUTED_VALUE"""),"No")</f>
        <v>No</v>
      </c>
      <c r="AN327" s="7" t="str">
        <f ca="1">IFERROR(__xludf.DUMMYFUNCTION("""COMPUTED_VALUE"""),"https://static.redstone.rs/games/hot-rush-both-ways/")</f>
        <v>https://static.redstone.rs/games/hot-rush-both-ways/</v>
      </c>
      <c r="AO327" s="5" t="str">
        <f ca="1">IFERROR(__xludf.DUMMYFUNCTION("""COMPUTED_VALUE"""),"No")</f>
        <v>No</v>
      </c>
      <c r="AP327" s="5" t="str">
        <f ca="1">IFERROR(__xludf.DUMMYFUNCTION("""COMPUTED_VALUE"""),"No")</f>
        <v>No</v>
      </c>
      <c r="AQ327" s="5" t="b">
        <f ca="1">IFERROR(__xludf.DUMMYFUNCTION("""COMPUTED_VALUE"""),TRUE)</f>
        <v>1</v>
      </c>
      <c r="AR327" s="5"/>
      <c r="AS327" s="5" t="str">
        <f ca="1">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AT327" s="5"/>
      <c r="AU327" s="5" t="str">
        <f ca="1">IFERROR(__xludf.DUMMYFUNCTION("""COMPUTED_VALUE"""),"Redstone")</f>
        <v>Redstone</v>
      </c>
      <c r="AV327" s="5"/>
      <c r="AW327" s="5"/>
      <c r="AX327" s="5"/>
      <c r="AY327" s="5"/>
      <c r="AZ327" s="5"/>
      <c r="BA327" s="5"/>
      <c r="BB327" s="5" t="b">
        <f ca="1">IFERROR(__xludf.DUMMYFUNCTION("""COMPUTED_VALUE"""),TRUE)</f>
        <v>1</v>
      </c>
      <c r="BC327" s="5" t="str">
        <f ca="1">IFERROR(__xludf.DUMMYFUNCTION("""COMPUTED_VALUE"""),"Redstone")</f>
        <v>Redstone</v>
      </c>
      <c r="BD327" s="7" t="str">
        <f ca="1">IFERROR(__xludf.DUMMYFUNCTION("""COMPUTED_VALUE"""),"https://static.redstone.rs/games/hot-rush-both-ways/")</f>
        <v>https://static.redstone.rs/games/hot-rush-both-ways/</v>
      </c>
      <c r="BE327" s="5" t="b">
        <f ca="1">IFERROR(__xludf.DUMMYFUNCTION("""COMPUTED_VALUE"""),TRUE)</f>
        <v>1</v>
      </c>
    </row>
    <row r="328" spans="1:57" x14ac:dyDescent="0.25">
      <c r="A328" s="5">
        <f ca="1">IFERROR(__xludf.DUMMYFUNCTION("""COMPUTED_VALUE"""),329)</f>
        <v>329</v>
      </c>
      <c r="B328" s="5">
        <f ca="1">IFERROR(__xludf.DUMMYFUNCTION("""COMPUTED_VALUE"""),328)</f>
        <v>328</v>
      </c>
      <c r="C328" s="5" t="str">
        <f ca="1">IFERROR(__xludf.DUMMYFUNCTION("""COMPUTED_VALUE"""),"Redstone")</f>
        <v>Redstone</v>
      </c>
      <c r="D328" s="5" t="str">
        <f ca="1">IFERROR(__xludf.DUMMYFUNCTION("""COMPUTED_VALUE"""),"Book Of Scorpio")</f>
        <v>Book Of Scorpio</v>
      </c>
      <c r="E328" s="5"/>
      <c r="F328" s="5" t="str">
        <f ca="1">IFERROR(__xludf.DUMMYFUNCTION("""COMPUTED_VALUE"""),"RedstoneBookOfScorpio")</f>
        <v>RedstoneBookOfScorpio</v>
      </c>
      <c r="G328" s="5" t="str">
        <f ca="1">IFERROR(__xludf.DUMMYFUNCTION("""COMPUTED_VALUE"""),"Live")</f>
        <v>Live</v>
      </c>
      <c r="H328" s="5"/>
      <c r="I328" s="5" t="str">
        <f ca="1">IFERROR(__xludf.DUMMYFUNCTION("""COMPUTED_VALUE"""),"Redstone")</f>
        <v>Redstone</v>
      </c>
      <c r="J328" s="5" t="str">
        <f ca="1">IFERROR(__xludf.DUMMYFUNCTION("""COMPUTED_VALUE"""),"JSON")</f>
        <v>JSON</v>
      </c>
      <c r="K328" s="5" t="str">
        <f ca="1">IFERROR(__xludf.DUMMYFUNCTION("""COMPUTED_VALUE"""),"Slot")</f>
        <v>Slot</v>
      </c>
      <c r="L328" s="5" t="str">
        <f ca="1">IFERROR(__xludf.DUMMYFUNCTION("""COMPUTED_VALUE"""),"Master")</f>
        <v>Master</v>
      </c>
      <c r="M328" s="5"/>
      <c r="N328" s="7" t="str">
        <f ca="1">IFERROR(__xludf.DUMMYFUNCTION("""COMPUTED_VALUE"""),"https://docs.google.com/document/d/1V5vML2_cYkD_jgU9nNxokYIDq2owyKOV/edit?usp=drive_link&amp;ouid=107596163405648766688&amp;rtpof=true&amp;sd=true")</f>
        <v>https://docs.google.com/document/d/1V5vML2_cYkD_jgU9nNxokYIDq2owyKOV/edit?usp=drive_link&amp;ouid=107596163405648766688&amp;rtpof=true&amp;sd=true</v>
      </c>
      <c r="O328" s="7" t="str">
        <f ca="1">IFERROR(__xludf.DUMMYFUNCTION("""COMPUTED_VALUE"""),"https://docs.google.com/document/d/1MmyOm1Zuhp3punU29AoQc9ItHlFyFed_/edit?usp=drive_link&amp;ouid=107596163405648766688&amp;rtpof=true&amp;sd=true")</f>
        <v>https://docs.google.com/document/d/1MmyOm1Zuhp3punU29AoQc9ItHlFyFed_/edit?usp=drive_link&amp;ouid=107596163405648766688&amp;rtpof=true&amp;sd=true</v>
      </c>
      <c r="P328" s="14">
        <f ca="1">IFERROR(__xludf.DUMMYFUNCTION("""COMPUTED_VALUE"""),12)</f>
        <v>12</v>
      </c>
      <c r="Q328" s="5"/>
      <c r="R328" s="5"/>
      <c r="S328" s="15">
        <f ca="1">IFERROR(__xludf.DUMMYFUNCTION("""COMPUTED_VALUE"""),45427)</f>
        <v>45427</v>
      </c>
      <c r="T328" s="5" t="b">
        <f ca="1">IFERROR(__xludf.DUMMYFUNCTION("""COMPUTED_VALUE"""),TRUE)</f>
        <v>1</v>
      </c>
      <c r="U328" s="5" t="str">
        <f ca="1">IFERROR(__xludf.DUMMYFUNCTION("""COMPUTED_VALUE"""),"5x3")</f>
        <v>5x3</v>
      </c>
      <c r="V328" s="12" t="str">
        <f ca="1">IFERROR(__xludf.DUMMYFUNCTION("""COMPUTED_VALUE"""),"10")</f>
        <v>10</v>
      </c>
      <c r="W328" s="12" t="str">
        <f ca="1">IFERROR(__xludf.DUMMYFUNCTION("""COMPUTED_VALUE"""),"10")</f>
        <v>10</v>
      </c>
      <c r="X328" s="5">
        <f ca="1">IFERROR(__xludf.DUMMYFUNCTION("""COMPUTED_VALUE"""),96.2)</f>
        <v>96.2</v>
      </c>
      <c r="Y328" s="5" t="str">
        <f ca="1">IFERROR(__xludf.DUMMYFUNCTION("""COMPUTED_VALUE"""),"High")</f>
        <v>High</v>
      </c>
      <c r="Z328" s="5">
        <f ca="1">IFERROR(__xludf.DUMMYFUNCTION("""COMPUTED_VALUE"""),12.34)</f>
        <v>12.34</v>
      </c>
      <c r="AA328" s="14">
        <f ca="1">IFERROR(__xludf.DUMMYFUNCTION("""COMPUTED_VALUE"""),5456)</f>
        <v>5456</v>
      </c>
      <c r="AB328" s="5"/>
      <c r="AC328" s="5" t="str">
        <f ca="1">IFERROR(__xludf.DUMMYFUNCTION("""COMPUTED_VALUE"""),"Scatter, Wild Symbol, Bonus Game with Free Spins, Bonus Game with Special Symbol")</f>
        <v>Scatter, Wild Symbol, Bonus Game with Free Spins, Bonus Game with Special Symbol</v>
      </c>
      <c r="AD328" s="5" t="str">
        <f ca="1">IFERROR(__xludf.DUMMYFUNCTION("""COMPUTED_VALUE"""),"0.10/40")</f>
        <v>0.10/40</v>
      </c>
      <c r="AE328" s="5"/>
      <c r="AF328" s="5"/>
      <c r="AG328" s="10">
        <f ca="1">IFERROR(__xludf.DUMMYFUNCTION("""COMPUTED_VALUE"""),46157.4825)</f>
        <v>46157.482499999998</v>
      </c>
      <c r="AH328" s="5"/>
      <c r="AI328" s="5"/>
      <c r="AJ328" s="5"/>
      <c r="AK328" s="5"/>
      <c r="AL328" s="5" t="str">
        <f ca="1">IFERROR(__xludf.DUMMYFUNCTION("""COMPUTED_VALUE"""),"No")</f>
        <v>No</v>
      </c>
      <c r="AM328" s="5" t="str">
        <f ca="1">IFERROR(__xludf.DUMMYFUNCTION("""COMPUTED_VALUE"""),"No")</f>
        <v>No</v>
      </c>
      <c r="AN328" s="7" t="str">
        <f ca="1">IFERROR(__xludf.DUMMYFUNCTION("""COMPUTED_VALUE"""),"https://static.redstone.rs/games/book-of-scorpio/")</f>
        <v>https://static.redstone.rs/games/book-of-scorpio/</v>
      </c>
      <c r="AO328" s="5" t="str">
        <f ca="1">IFERROR(__xludf.DUMMYFUNCTION("""COMPUTED_VALUE"""),"No")</f>
        <v>No</v>
      </c>
      <c r="AP328" s="5" t="str">
        <f ca="1">IFERROR(__xludf.DUMMYFUNCTION("""COMPUTED_VALUE"""),"No")</f>
        <v>No</v>
      </c>
      <c r="AQ328" s="5" t="b">
        <f ca="1">IFERROR(__xludf.DUMMYFUNCTION("""COMPUTED_VALUE"""),TRUE)</f>
        <v>1</v>
      </c>
      <c r="AR328" s="5"/>
      <c r="AS328" s="5" t="str">
        <f ca="1">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AT328" s="5"/>
      <c r="AU328" s="5" t="str">
        <f ca="1">IFERROR(__xludf.DUMMYFUNCTION("""COMPUTED_VALUE"""),"Redstone")</f>
        <v>Redstone</v>
      </c>
      <c r="AV328" s="5"/>
      <c r="AW328" s="5"/>
      <c r="AX328" s="5"/>
      <c r="AY328" s="5"/>
      <c r="AZ328" s="5"/>
      <c r="BA328" s="5"/>
      <c r="BB328" s="5" t="b">
        <f ca="1">IFERROR(__xludf.DUMMYFUNCTION("""COMPUTED_VALUE"""),TRUE)</f>
        <v>1</v>
      </c>
      <c r="BC328" s="5" t="str">
        <f ca="1">IFERROR(__xludf.DUMMYFUNCTION("""COMPUTED_VALUE"""),"Redstone")</f>
        <v>Redstone</v>
      </c>
      <c r="BD328" s="7" t="str">
        <f ca="1">IFERROR(__xludf.DUMMYFUNCTION("""COMPUTED_VALUE"""),"https://static.redstone.rs/games/book-of-scorpio/")</f>
        <v>https://static.redstone.rs/games/book-of-scorpio/</v>
      </c>
      <c r="BE328" s="5" t="b">
        <f ca="1">IFERROR(__xludf.DUMMYFUNCTION("""COMPUTED_VALUE"""),TRUE)</f>
        <v>1</v>
      </c>
    </row>
    <row r="329" spans="1:57" x14ac:dyDescent="0.25">
      <c r="A329" s="5">
        <f ca="1">IFERROR(__xludf.DUMMYFUNCTION("""COMPUTED_VALUE"""),331)</f>
        <v>331</v>
      </c>
      <c r="B329" s="5">
        <f ca="1">IFERROR(__xludf.DUMMYFUNCTION("""COMPUTED_VALUE"""),330)</f>
        <v>330</v>
      </c>
      <c r="C329" s="5" t="str">
        <f ca="1">IFERROR(__xludf.DUMMYFUNCTION("""COMPUTED_VALUE"""),"Tiptop")</f>
        <v>Tiptop</v>
      </c>
      <c r="D329" s="5" t="str">
        <f ca="1">IFERROR(__xludf.DUMMYFUNCTION("""COMPUTED_VALUE"""),"Buffalo Sevens")</f>
        <v>Buffalo Sevens</v>
      </c>
      <c r="E329" s="5"/>
      <c r="F329" s="5" t="str">
        <f ca="1">IFERROR(__xludf.DUMMYFUNCTION("""COMPUTED_VALUE"""),"UnicornBuffaloSevens")</f>
        <v>UnicornBuffaloSevens</v>
      </c>
      <c r="G329" s="5" t="str">
        <f ca="1">IFERROR(__xludf.DUMMYFUNCTION("""COMPUTED_VALUE"""),"Live")</f>
        <v>Live</v>
      </c>
      <c r="H329" s="5"/>
      <c r="I329" s="5" t="str">
        <f ca="1">IFERROR(__xludf.DUMMYFUNCTION("""COMPUTED_VALUE"""),"TipTop")</f>
        <v>TipTop</v>
      </c>
      <c r="J329" s="5" t="str">
        <f ca="1">IFERROR(__xludf.DUMMYFUNCTION("""COMPUTED_VALUE"""),"JSON")</f>
        <v>JSON</v>
      </c>
      <c r="K329" s="5" t="str">
        <f ca="1">IFERROR(__xludf.DUMMYFUNCTION("""COMPUTED_VALUE"""),"Slot")</f>
        <v>Slot</v>
      </c>
      <c r="L329" s="5"/>
      <c r="M329" s="5"/>
      <c r="N329" s="5"/>
      <c r="O329" s="5"/>
      <c r="P329" s="14">
        <f ca="1">IFERROR(__xludf.DUMMYFUNCTION("""COMPUTED_VALUE"""),10.8)</f>
        <v>10.8</v>
      </c>
      <c r="Q329" s="5"/>
      <c r="R329" s="5"/>
      <c r="S329" s="15">
        <f ca="1">IFERROR(__xludf.DUMMYFUNCTION("""COMPUTED_VALUE"""),45462)</f>
        <v>45462</v>
      </c>
      <c r="T329" s="5" t="b">
        <f ca="1">IFERROR(__xludf.DUMMYFUNCTION("""COMPUTED_VALUE"""),TRUE)</f>
        <v>1</v>
      </c>
      <c r="U329" s="5" t="str">
        <f ca="1">IFERROR(__xludf.DUMMYFUNCTION("""COMPUTED_VALUE"""),"5X3")</f>
        <v>5X3</v>
      </c>
      <c r="V329" s="12" t="str">
        <f ca="1">IFERROR(__xludf.DUMMYFUNCTION("""COMPUTED_VALUE"""),"10")</f>
        <v>10</v>
      </c>
      <c r="W329" s="12" t="str">
        <f ca="1">IFERROR(__xludf.DUMMYFUNCTION("""COMPUTED_VALUE"""),"10")</f>
        <v>10</v>
      </c>
      <c r="X329" s="13">
        <f ca="1">IFERROR(__xludf.DUMMYFUNCTION("""COMPUTED_VALUE"""),96)</f>
        <v>96</v>
      </c>
      <c r="Y329" s="5" t="str">
        <f ca="1">IFERROR(__xludf.DUMMYFUNCTION("""COMPUTED_VALUE"""),"Low")</f>
        <v>Low</v>
      </c>
      <c r="Z329" s="5">
        <f ca="1">IFERROR(__xludf.DUMMYFUNCTION("""COMPUTED_VALUE"""),9.08)</f>
        <v>9.08</v>
      </c>
      <c r="AA329" s="14">
        <f ca="1">IFERROR(__xludf.DUMMYFUNCTION("""COMPUTED_VALUE"""),5000)</f>
        <v>5000</v>
      </c>
      <c r="AB329" s="5"/>
      <c r="AC329" s="5"/>
      <c r="AD329" s="5" t="str">
        <f ca="1">IFERROR(__xludf.DUMMYFUNCTION("""COMPUTED_VALUE"""),"0.1/100")</f>
        <v>0.1/100</v>
      </c>
      <c r="AE329" s="5"/>
      <c r="AF329" s="5"/>
      <c r="AG329" s="10">
        <f ca="1">IFERROR(__xludf.DUMMYFUNCTION("""COMPUTED_VALUE"""),46197.4884606481)</f>
        <v>46197.488460648099</v>
      </c>
      <c r="AH329" s="5" t="str">
        <f ca="1">IFERROR(__xludf.DUMMYFUNCTION("""COMPUTED_VALUE"""),"selena.mihajlovic@fazi.rs")</f>
        <v>selena.mihajlovic@fazi.rs</v>
      </c>
      <c r="AI329" s="5"/>
      <c r="AJ329" s="5"/>
      <c r="AK329" s="5">
        <f ca="1">IFERROR(__xludf.DUMMYFUNCTION("""COMPUTED_VALUE"""),10)</f>
        <v>10</v>
      </c>
      <c r="AL329" s="5" t="str">
        <f ca="1">IFERROR(__xludf.DUMMYFUNCTION("""COMPUTED_VALUE"""),"No")</f>
        <v>No</v>
      </c>
      <c r="AM329" s="5"/>
      <c r="AN329" s="7" t="str">
        <f ca="1">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AO329" s="5"/>
      <c r="AP329" s="5"/>
      <c r="AQ329" s="5" t="b">
        <f ca="1">IFERROR(__xludf.DUMMYFUNCTION("""COMPUTED_VALUE"""),TRUE)</f>
        <v>1</v>
      </c>
      <c r="AR329" s="5"/>
      <c r="AS329" s="5" t="str">
        <f ca="1">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AT329" s="5"/>
      <c r="AU329" s="5" t="str">
        <f ca="1">IFERROR(__xludf.DUMMYFUNCTION("""COMPUTED_VALUE"""),"Fazi")</f>
        <v>Fazi</v>
      </c>
      <c r="AV329" s="5"/>
      <c r="AW329" s="5"/>
      <c r="AX329" s="5"/>
      <c r="AY329" s="5"/>
      <c r="AZ329" s="5"/>
      <c r="BA329" s="5"/>
      <c r="BB329" s="5" t="b">
        <f ca="1">IFERROR(__xludf.DUMMYFUNCTION("""COMPUTED_VALUE"""),TRUE)</f>
        <v>1</v>
      </c>
      <c r="BC329" s="5" t="str">
        <f ca="1">IFERROR(__xludf.DUMMYFUNCTION("""COMPUTED_VALUE"""),"Tiptop")</f>
        <v>Tiptop</v>
      </c>
      <c r="BD329" s="7" t="str">
        <f ca="1">IFERROR(__xludf.DUMMYFUNCTION("""COMPUTED_VALUE"""),"https://gameserver-store-client-area.orbionlimited.com/Home/IntegrationGameLaunch/client-area?moneyType=0&amp;gameName=UnicornBuffaloSevens&amp;platform=desktop&amp;languageCode=eng&amp;currency=EUR")</f>
        <v>https://gameserver-store-client-area.orbionlimited.com/Home/IntegrationGameLaunch/client-area?moneyType=0&amp;gameName=UnicornBuffaloSevens&amp;platform=desktop&amp;languageCode=eng&amp;currency=EUR</v>
      </c>
      <c r="BE329" s="5" t="b">
        <f ca="1">IFERROR(__xludf.DUMMYFUNCTION("""COMPUTED_VALUE"""),TRUE)</f>
        <v>1</v>
      </c>
    </row>
    <row r="330" spans="1:57" x14ac:dyDescent="0.25">
      <c r="A330" s="5">
        <f ca="1">IFERROR(__xludf.DUMMYFUNCTION("""COMPUTED_VALUE"""),332)</f>
        <v>332</v>
      </c>
      <c r="B330" s="5">
        <f ca="1">IFERROR(__xludf.DUMMYFUNCTION("""COMPUTED_VALUE"""),331)</f>
        <v>331</v>
      </c>
      <c r="C330" s="5" t="str">
        <f ca="1">IFERROR(__xludf.DUMMYFUNCTION("""COMPUTED_VALUE"""),"Tiptop")</f>
        <v>Tiptop</v>
      </c>
      <c r="D330" s="5" t="str">
        <f ca="1">IFERROR(__xludf.DUMMYFUNCTION("""COMPUTED_VALUE"""),"Mister Luck")</f>
        <v>Mister Luck</v>
      </c>
      <c r="E330" s="5"/>
      <c r="F330" s="5" t="str">
        <f ca="1">IFERROR(__xludf.DUMMYFUNCTION("""COMPUTED_VALUE"""),"UnicornMisterLuck")</f>
        <v>UnicornMisterLuck</v>
      </c>
      <c r="G330" s="5" t="str">
        <f ca="1">IFERROR(__xludf.DUMMYFUNCTION("""COMPUTED_VALUE"""),"Live")</f>
        <v>Live</v>
      </c>
      <c r="H330" s="5"/>
      <c r="I330" s="5" t="str">
        <f ca="1">IFERROR(__xludf.DUMMYFUNCTION("""COMPUTED_VALUE"""),"TipTop")</f>
        <v>TipTop</v>
      </c>
      <c r="J330" s="5" t="str">
        <f ca="1">IFERROR(__xludf.DUMMYFUNCTION("""COMPUTED_VALUE"""),"JSON")</f>
        <v>JSON</v>
      </c>
      <c r="K330" s="5" t="str">
        <f ca="1">IFERROR(__xludf.DUMMYFUNCTION("""COMPUTED_VALUE"""),"Slot")</f>
        <v>Slot</v>
      </c>
      <c r="L330" s="5"/>
      <c r="M330" s="5"/>
      <c r="N330" s="5"/>
      <c r="O330" s="5"/>
      <c r="P330" s="14">
        <f ca="1">IFERROR(__xludf.DUMMYFUNCTION("""COMPUTED_VALUE"""),15.5)</f>
        <v>15.5</v>
      </c>
      <c r="Q330" s="5"/>
      <c r="R330" s="5"/>
      <c r="S330" s="15">
        <f ca="1">IFERROR(__xludf.DUMMYFUNCTION("""COMPUTED_VALUE"""),45441)</f>
        <v>45441</v>
      </c>
      <c r="T330" s="5" t="b">
        <f ca="1">IFERROR(__xludf.DUMMYFUNCTION("""COMPUTED_VALUE"""),TRUE)</f>
        <v>1</v>
      </c>
      <c r="U330" s="5" t="str">
        <f ca="1">IFERROR(__xludf.DUMMYFUNCTION("""COMPUTED_VALUE"""),"5X3")</f>
        <v>5X3</v>
      </c>
      <c r="V330" s="12" t="str">
        <f ca="1">IFERROR(__xludf.DUMMYFUNCTION("""COMPUTED_VALUE"""),"5")</f>
        <v>5</v>
      </c>
      <c r="W330" s="12" t="str">
        <f ca="1">IFERROR(__xludf.DUMMYFUNCTION("""COMPUTED_VALUE"""),"5")</f>
        <v>5</v>
      </c>
      <c r="X330" s="13">
        <f ca="1">IFERROR(__xludf.DUMMYFUNCTION("""COMPUTED_VALUE"""),96)</f>
        <v>96</v>
      </c>
      <c r="Y330" s="5" t="str">
        <f ca="1">IFERROR(__xludf.DUMMYFUNCTION("""COMPUTED_VALUE"""),"Low")</f>
        <v>Low</v>
      </c>
      <c r="Z330" s="5">
        <f ca="1">IFERROR(__xludf.DUMMYFUNCTION("""COMPUTED_VALUE"""),13.64)</f>
        <v>13.64</v>
      </c>
      <c r="AA330" s="14">
        <f ca="1">IFERROR(__xludf.DUMMYFUNCTION("""COMPUTED_VALUE"""),10000)</f>
        <v>10000</v>
      </c>
      <c r="AB330" s="5"/>
      <c r="AC330" s="5"/>
      <c r="AD330" s="5" t="str">
        <f ca="1">IFERROR(__xludf.DUMMYFUNCTION("""COMPUTED_VALUE"""),"0.05/100")</f>
        <v>0.05/100</v>
      </c>
      <c r="AE330" s="5"/>
      <c r="AF330" s="5"/>
      <c r="AG330" s="10">
        <f ca="1">IFERROR(__xludf.DUMMYFUNCTION("""COMPUTED_VALUE"""),46197.4886574074)</f>
        <v>46197.488657407397</v>
      </c>
      <c r="AH330" s="5" t="str">
        <f ca="1">IFERROR(__xludf.DUMMYFUNCTION("""COMPUTED_VALUE"""),"selena.mihajlovic@fazi.rs")</f>
        <v>selena.mihajlovic@fazi.rs</v>
      </c>
      <c r="AI330" s="5"/>
      <c r="AJ330" s="5"/>
      <c r="AK330" s="5">
        <f ca="1">IFERROR(__xludf.DUMMYFUNCTION("""COMPUTED_VALUE"""),5)</f>
        <v>5</v>
      </c>
      <c r="AL330" s="5" t="str">
        <f ca="1">IFERROR(__xludf.DUMMYFUNCTION("""COMPUTED_VALUE"""),"No")</f>
        <v>No</v>
      </c>
      <c r="AM330" s="5"/>
      <c r="AN330" s="7" t="str">
        <f ca="1">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AO330" s="5"/>
      <c r="AP330" s="5"/>
      <c r="AQ330" s="5" t="b">
        <f ca="1">IFERROR(__xludf.DUMMYFUNCTION("""COMPUTED_VALUE"""),TRUE)</f>
        <v>1</v>
      </c>
      <c r="AR330" s="5"/>
      <c r="AS330" s="5" t="str">
        <f ca="1">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AT330" s="5"/>
      <c r="AU330" s="5" t="str">
        <f ca="1">IFERROR(__xludf.DUMMYFUNCTION("""COMPUTED_VALUE"""),"Fazi")</f>
        <v>Fazi</v>
      </c>
      <c r="AV330" s="5"/>
      <c r="AW330" s="5"/>
      <c r="AX330" s="5"/>
      <c r="AY330" s="5"/>
      <c r="AZ330" s="5"/>
      <c r="BA330" s="5"/>
      <c r="BB330" s="5" t="b">
        <f ca="1">IFERROR(__xludf.DUMMYFUNCTION("""COMPUTED_VALUE"""),TRUE)</f>
        <v>1</v>
      </c>
      <c r="BC330" s="5" t="str">
        <f ca="1">IFERROR(__xludf.DUMMYFUNCTION("""COMPUTED_VALUE"""),"Tiptop")</f>
        <v>Tiptop</v>
      </c>
      <c r="BD330" s="7" t="str">
        <f ca="1">IFERROR(__xludf.DUMMYFUNCTION("""COMPUTED_VALUE"""),"https://gameserver-store-client-area.orbionlimited.com/Home/IntegrationGameLaunch/client-area?moneyType=0&amp;gameName=UnicornMisterLuck&amp;platform=desktop&amp;languageCode=eng&amp;currency=EUR")</f>
        <v>https://gameserver-store-client-area.orbionlimited.com/Home/IntegrationGameLaunch/client-area?moneyType=0&amp;gameName=UnicornMisterLuck&amp;platform=desktop&amp;languageCode=eng&amp;currency=EUR</v>
      </c>
      <c r="BE330" s="5" t="b">
        <f ca="1">IFERROR(__xludf.DUMMYFUNCTION("""COMPUTED_VALUE"""),TRUE)</f>
        <v>1</v>
      </c>
    </row>
    <row r="331" spans="1:57" x14ac:dyDescent="0.25">
      <c r="A331" s="5">
        <f ca="1">IFERROR(__xludf.DUMMYFUNCTION("""COMPUTED_VALUE"""),334)</f>
        <v>334</v>
      </c>
      <c r="B331" s="5">
        <f ca="1">IFERROR(__xludf.DUMMYFUNCTION("""COMPUTED_VALUE"""),333)</f>
        <v>333</v>
      </c>
      <c r="C331" s="5" t="str">
        <f ca="1">IFERROR(__xludf.DUMMYFUNCTION("""COMPUTED_VALUE"""),"Fazi")</f>
        <v>Fazi</v>
      </c>
      <c r="D331" s="5" t="str">
        <f ca="1">IFERROR(__xludf.DUMMYFUNCTION("""COMPUTED_VALUE"""),"Wild Sunburst")</f>
        <v>Wild Sunburst</v>
      </c>
      <c r="E331" s="5" t="str">
        <f ca="1">IFERROR(__xludf.DUMMYFUNCTION("""COMPUTED_VALUE"""),"V4-2")</f>
        <v>V4-2</v>
      </c>
      <c r="F331" s="5" t="str">
        <f ca="1">IFERROR(__xludf.DUMMYFUNCTION("""COMPUTED_VALUE"""),"WildSunburst")</f>
        <v>WildSunburst</v>
      </c>
      <c r="G331" s="5" t="str">
        <f ca="1">IFERROR(__xludf.DUMMYFUNCTION("""COMPUTED_VALUE"""),"Live")</f>
        <v>Live</v>
      </c>
      <c r="H331" s="5"/>
      <c r="I331" s="5" t="str">
        <f ca="1">IFERROR(__xludf.DUMMYFUNCTION("""COMPUTED_VALUE"""),"V4")</f>
        <v>V4</v>
      </c>
      <c r="J331" s="5" t="str">
        <f ca="1">IFERROR(__xludf.DUMMYFUNCTION("""COMPUTED_VALUE"""),"JSON")</f>
        <v>JSON</v>
      </c>
      <c r="K331" s="5" t="str">
        <f ca="1">IFERROR(__xludf.DUMMYFUNCTION("""COMPUTED_VALUE"""),"Slot")</f>
        <v>Slot</v>
      </c>
      <c r="L331" s="5" t="str">
        <f ca="1">IFERROR(__xludf.DUMMYFUNCTION("""COMPUTED_VALUE"""),"Master")</f>
        <v>Master</v>
      </c>
      <c r="M331" s="5"/>
      <c r="N331" s="7" t="str">
        <f ca="1">IFERROR(__xludf.DUMMYFUNCTION("""COMPUTED_VALUE"""),"https://drive.google.com/file/d/16yachCE10tU0GkEF5-A7M4MsArXU5EsH/view?usp=drive_link")</f>
        <v>https://drive.google.com/file/d/16yachCE10tU0GkEF5-A7M4MsArXU5EsH/view?usp=drive_link</v>
      </c>
      <c r="O331" s="7" t="str">
        <f ca="1">IFERROR(__xludf.DUMMYFUNCTION("""COMPUTED_VALUE"""),"https://drive.google.com/file/d/1vSIAX07YqAaggMDQW2hqGetso4iIxqC2/view?usp=drive_link")</f>
        <v>https://drive.google.com/file/d/1vSIAX07YqAaggMDQW2hqGetso4iIxqC2/view?usp=drive_link</v>
      </c>
      <c r="P331" s="14">
        <f ca="1">IFERROR(__xludf.DUMMYFUNCTION("""COMPUTED_VALUE"""),17)</f>
        <v>17</v>
      </c>
      <c r="Q331" s="17">
        <f ca="1">IFERROR(__xludf.DUMMYFUNCTION("""COMPUTED_VALUE"""),45518)</f>
        <v>45518</v>
      </c>
      <c r="R331" s="17">
        <f ca="1">IFERROR(__xludf.DUMMYFUNCTION("""COMPUTED_VALUE"""),45518)</f>
        <v>45518</v>
      </c>
      <c r="S331" s="15">
        <f ca="1">IFERROR(__xludf.DUMMYFUNCTION("""COMPUTED_VALUE"""),45525)</f>
        <v>45525</v>
      </c>
      <c r="T331" s="5" t="b">
        <f ca="1">IFERROR(__xludf.DUMMYFUNCTION("""COMPUTED_VALUE"""),TRUE)</f>
        <v>1</v>
      </c>
      <c r="U331" s="5" t="str">
        <f ca="1">IFERROR(__xludf.DUMMYFUNCTION("""COMPUTED_VALUE"""),"5x3")</f>
        <v>5x3</v>
      </c>
      <c r="V331" s="12" t="str">
        <f ca="1">IFERROR(__xludf.DUMMYFUNCTION("""COMPUTED_VALUE"""),"40")</f>
        <v>40</v>
      </c>
      <c r="W331" s="12" t="str">
        <f ca="1">IFERROR(__xludf.DUMMYFUNCTION("""COMPUTED_VALUE"""),"40")</f>
        <v>40</v>
      </c>
      <c r="X331" s="13">
        <f ca="1">IFERROR(__xludf.DUMMYFUNCTION("""COMPUTED_VALUE"""),96.526)</f>
        <v>96.525999999999996</v>
      </c>
      <c r="Y331" s="5" t="str">
        <f ca="1">IFERROR(__xludf.DUMMYFUNCTION("""COMPUTED_VALUE"""),"Medium")</f>
        <v>Medium</v>
      </c>
      <c r="Z331" s="5">
        <f ca="1">IFERROR(__xludf.DUMMYFUNCTION("""COMPUTED_VALUE"""),38.826)</f>
        <v>38.826000000000001</v>
      </c>
      <c r="AA331" s="14">
        <f ca="1">IFERROR(__xludf.DUMMYFUNCTION("""COMPUTED_VALUE"""),2320)</f>
        <v>2320</v>
      </c>
      <c r="AB331" s="5">
        <f ca="1">IFERROR(__xludf.DUMMYFUNCTION("""COMPUTED_VALUE"""),87)</f>
        <v>87</v>
      </c>
      <c r="AC331" s="5" t="str">
        <f ca="1">IFERROR(__xludf.DUMMYFUNCTION("""COMPUTED_VALUE"""),"Bonus Game with Free Spins, Wild Multiplier, Expanding Wild")</f>
        <v>Bonus Game with Free Spins, Wild Multiplier, Expanding Wild</v>
      </c>
      <c r="AD331" s="5" t="str">
        <f ca="1">IFERROR(__xludf.DUMMYFUNCTION("""COMPUTED_VALUE"""),"0.4/60")</f>
        <v>0.4/60</v>
      </c>
      <c r="AE331" s="5"/>
      <c r="AF331" s="5"/>
      <c r="AG331" s="10">
        <f ca="1">IFERROR(__xludf.DUMMYFUNCTION("""COMPUTED_VALUE"""),46212.6873611111)</f>
        <v>46212.6873611111</v>
      </c>
      <c r="AH331" s="5" t="str">
        <f ca="1">IFERROR(__xludf.DUMMYFUNCTION("""COMPUTED_VALUE"""),"djordje.petrovic@fazi.rs")</f>
        <v>djordje.petrovic@fazi.rs</v>
      </c>
      <c r="AI331" s="5"/>
      <c r="AJ331" s="5"/>
      <c r="AK331" s="5">
        <f ca="1">IFERROR(__xludf.DUMMYFUNCTION("""COMPUTED_VALUE"""),40)</f>
        <v>40</v>
      </c>
      <c r="AL331" s="5" t="str">
        <f ca="1">IFERROR(__xludf.DUMMYFUNCTION("""COMPUTED_VALUE"""),"Yes")</f>
        <v>Yes</v>
      </c>
      <c r="AM331" s="5"/>
      <c r="AN331" s="7" t="str">
        <f ca="1">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AO331" s="5" t="str">
        <f ca="1">IFERROR(__xludf.DUMMYFUNCTION("""COMPUTED_VALUE"""),"Yes")</f>
        <v>Yes</v>
      </c>
      <c r="AP331" s="5" t="str">
        <f ca="1">IFERROR(__xludf.DUMMYFUNCTION("""COMPUTED_VALUE"""),"Yes")</f>
        <v>Yes</v>
      </c>
      <c r="AQ331" s="5" t="b">
        <f ca="1">IFERROR(__xludf.DUMMYFUNCTION("""COMPUTED_VALUE"""),TRUE)</f>
        <v>1</v>
      </c>
      <c r="AR331" s="5"/>
      <c r="AS331" s="5" t="str">
        <f ca="1">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AT331" s="5" t="str">
        <f ca="1">IFERROR(__xludf.DUMMYFUNCTION("""COMPUTED_VALUE"""),"Yes")</f>
        <v>Yes</v>
      </c>
      <c r="AU331" s="5" t="str">
        <f ca="1">IFERROR(__xludf.DUMMYFUNCTION("""COMPUTED_VALUE"""),"Fazi")</f>
        <v>Fazi</v>
      </c>
      <c r="AV331" s="5"/>
      <c r="AW331"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1" s="5"/>
      <c r="AY331" s="5"/>
      <c r="AZ331" s="5"/>
      <c r="BA331" s="5"/>
      <c r="BB331" s="5"/>
      <c r="BC331" s="5" t="str">
        <f ca="1">IFERROR(__xludf.DUMMYFUNCTION("""COMPUTED_VALUE"""),"Foxi")</f>
        <v>Foxi</v>
      </c>
      <c r="BD331" s="7" t="str">
        <f ca="1">IFERROR(__xludf.DUMMYFUNCTION("""COMPUTED_VALUE"""),"https://gameserver-store-client-area.orbionlimited.com/Home/IntegrationGameLaunch/client-area?moneyType=0&amp;gameName=WildSunburst&amp;platform=desktop&amp;languageCode=eng&amp;currency=EUR")</f>
        <v>https://gameserver-store-client-area.orbionlimited.com/Home/IntegrationGameLaunch/client-area?moneyType=0&amp;gameName=WildSunburst&amp;platform=desktop&amp;languageCode=eng&amp;currency=EUR</v>
      </c>
      <c r="BE331" s="5" t="b">
        <f ca="1">IFERROR(__xludf.DUMMYFUNCTION("""COMPUTED_VALUE"""),TRUE)</f>
        <v>1</v>
      </c>
    </row>
    <row r="332" spans="1:57" x14ac:dyDescent="0.25">
      <c r="A332" s="5">
        <f ca="1">IFERROR(__xludf.DUMMYFUNCTION("""COMPUTED_VALUE"""),335)</f>
        <v>335</v>
      </c>
      <c r="B332" s="5">
        <f ca="1">IFERROR(__xludf.DUMMYFUNCTION("""COMPUTED_VALUE"""),334)</f>
        <v>334</v>
      </c>
      <c r="C332" s="5" t="str">
        <f ca="1">IFERROR(__xludf.DUMMYFUNCTION("""COMPUTED_VALUE"""),"Fazi")</f>
        <v>Fazi</v>
      </c>
      <c r="D332" s="5" t="str">
        <f ca="1">IFERROR(__xludf.DUMMYFUNCTION("""COMPUTED_VALUE"""),"Toxic Haze")</f>
        <v>Toxic Haze</v>
      </c>
      <c r="E332" s="5" t="str">
        <f ca="1">IFERROR(__xludf.DUMMYFUNCTION("""COMPUTED_VALUE"""),"V4-1")</f>
        <v>V4-1</v>
      </c>
      <c r="F332" s="5" t="str">
        <f ca="1">IFERROR(__xludf.DUMMYFUNCTION("""COMPUTED_VALUE"""),"ToxicHaze")</f>
        <v>ToxicHaze</v>
      </c>
      <c r="G332" s="5" t="str">
        <f ca="1">IFERROR(__xludf.DUMMYFUNCTION("""COMPUTED_VALUE"""),"Live")</f>
        <v>Live</v>
      </c>
      <c r="H332" s="5"/>
      <c r="I332" s="5" t="str">
        <f ca="1">IFERROR(__xludf.DUMMYFUNCTION("""COMPUTED_VALUE"""),"V4")</f>
        <v>V4</v>
      </c>
      <c r="J332" s="5" t="str">
        <f ca="1">IFERROR(__xludf.DUMMYFUNCTION("""COMPUTED_VALUE"""),"JSON")</f>
        <v>JSON</v>
      </c>
      <c r="K332" s="5" t="str">
        <f ca="1">IFERROR(__xludf.DUMMYFUNCTION("""COMPUTED_VALUE"""),"Slot")</f>
        <v>Slot</v>
      </c>
      <c r="L332" s="5"/>
      <c r="M332" s="5"/>
      <c r="N332" s="5"/>
      <c r="O332" s="5"/>
      <c r="P332" s="14">
        <f ca="1">IFERROR(__xludf.DUMMYFUNCTION("""COMPUTED_VALUE"""),32.2)</f>
        <v>32.200000000000003</v>
      </c>
      <c r="Q332" s="5"/>
      <c r="R332" s="5"/>
      <c r="S332" s="15">
        <f ca="1">IFERROR(__xludf.DUMMYFUNCTION("""COMPUTED_VALUE"""),45478)</f>
        <v>45478</v>
      </c>
      <c r="T332" s="5" t="b">
        <f ca="1">IFERROR(__xludf.DUMMYFUNCTION("""COMPUTED_VALUE"""),TRUE)</f>
        <v>1</v>
      </c>
      <c r="U332" s="5" t="str">
        <f ca="1">IFERROR(__xludf.DUMMYFUNCTION("""COMPUTED_VALUE"""),"5x5")</f>
        <v>5x5</v>
      </c>
      <c r="V332" s="12" t="str">
        <f ca="1">IFERROR(__xludf.DUMMYFUNCTION("""COMPUTED_VALUE"""),"40")</f>
        <v>40</v>
      </c>
      <c r="W332" s="12" t="str">
        <f ca="1">IFERROR(__xludf.DUMMYFUNCTION("""COMPUTED_VALUE"""),"40")</f>
        <v>40</v>
      </c>
      <c r="X332" s="13">
        <f ca="1">IFERROR(__xludf.DUMMYFUNCTION("""COMPUTED_VALUE"""),96.817)</f>
        <v>96.816999999999993</v>
      </c>
      <c r="Y332" s="5" t="str">
        <f ca="1">IFERROR(__xludf.DUMMYFUNCTION("""COMPUTED_VALUE"""),"Medium")</f>
        <v>Medium</v>
      </c>
      <c r="Z332" s="5">
        <f ca="1">IFERROR(__xludf.DUMMYFUNCTION("""COMPUTED_VALUE"""),18.44)</f>
        <v>18.440000000000001</v>
      </c>
      <c r="AA332" s="14">
        <f ca="1">IFERROR(__xludf.DUMMYFUNCTION("""COMPUTED_VALUE"""),2674)</f>
        <v>2674</v>
      </c>
      <c r="AB332" s="5">
        <f ca="1">IFERROR(__xludf.DUMMYFUNCTION("""COMPUTED_VALUE"""),110)</f>
        <v>110</v>
      </c>
      <c r="AC332" s="5" t="str">
        <f ca="1">IFERROR(__xludf.DUMMYFUNCTION("""COMPUTED_VALUE"""),"Bonus Game with Free Spins, Shifting Wild")</f>
        <v>Bonus Game with Free Spins, Shifting Wild</v>
      </c>
      <c r="AD332" s="5" t="str">
        <f ca="1">IFERROR(__xludf.DUMMYFUNCTION("""COMPUTED_VALUE"""),"0.4/40")</f>
        <v>0.4/40</v>
      </c>
      <c r="AE332" s="5"/>
      <c r="AF332" s="5"/>
      <c r="AG332" s="10">
        <f ca="1">IFERROR(__xludf.DUMMYFUNCTION("""COMPUTED_VALUE"""),46153.6266666666)</f>
        <v>46153.626666666598</v>
      </c>
      <c r="AH332" s="5" t="str">
        <f ca="1">IFERROR(__xludf.DUMMYFUNCTION("""COMPUTED_VALUE"""),"djordje.petrovic@fazi.rs")</f>
        <v>djordje.petrovic@fazi.rs</v>
      </c>
      <c r="AI332" s="5"/>
      <c r="AJ332" s="5"/>
      <c r="AK332" s="5">
        <f ca="1">IFERROR(__xludf.DUMMYFUNCTION("""COMPUTED_VALUE"""),40)</f>
        <v>40</v>
      </c>
      <c r="AL332" s="5" t="str">
        <f ca="1">IFERROR(__xludf.DUMMYFUNCTION("""COMPUTED_VALUE"""),"Yes")</f>
        <v>Yes</v>
      </c>
      <c r="AM332" s="5"/>
      <c r="AN332" s="7" t="str">
        <f ca="1">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AO332" s="5" t="str">
        <f ca="1">IFERROR(__xludf.DUMMYFUNCTION("""COMPUTED_VALUE"""),"Yes")</f>
        <v>Yes</v>
      </c>
      <c r="AP332" s="5" t="str">
        <f ca="1">IFERROR(__xludf.DUMMYFUNCTION("""COMPUTED_VALUE"""),"Yes")</f>
        <v>Yes</v>
      </c>
      <c r="AQ332" s="5" t="b">
        <f ca="1">IFERROR(__xludf.DUMMYFUNCTION("""COMPUTED_VALUE"""),TRUE)</f>
        <v>1</v>
      </c>
      <c r="AR332" s="5"/>
      <c r="AS332" s="5" t="str">
        <f ca="1">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AT332" s="5" t="str">
        <f ca="1">IFERROR(__xludf.DUMMYFUNCTION("""COMPUTED_VALUE"""),"Yes")</f>
        <v>Yes</v>
      </c>
      <c r="AU332" s="5" t="str">
        <f ca="1">IFERROR(__xludf.DUMMYFUNCTION("""COMPUTED_VALUE"""),"Fazi")</f>
        <v>Fazi</v>
      </c>
      <c r="AV332" s="5"/>
      <c r="AW332"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2" s="5"/>
      <c r="AY332" s="5"/>
      <c r="AZ332" s="5"/>
      <c r="BA332" s="5"/>
      <c r="BB332" s="5"/>
      <c r="BC332" s="5" t="str">
        <f ca="1">IFERROR(__xludf.DUMMYFUNCTION("""COMPUTED_VALUE"""),"Foxi")</f>
        <v>Foxi</v>
      </c>
      <c r="BD332" s="7" t="str">
        <f ca="1">IFERROR(__xludf.DUMMYFUNCTION("""COMPUTED_VALUE"""),"https://gameserver-store-client-area.orbionlimited.com/Home/IntegrationGameLaunch/client-area?moneyType=0&amp;gameName=ToxicHaze&amp;platform=desktop&amp;languageCode=eng&amp;currency=EUR")</f>
        <v>https://gameserver-store-client-area.orbionlimited.com/Home/IntegrationGameLaunch/client-area?moneyType=0&amp;gameName=ToxicHaze&amp;platform=desktop&amp;languageCode=eng&amp;currency=EUR</v>
      </c>
      <c r="BE332" s="5" t="b">
        <f ca="1">IFERROR(__xludf.DUMMYFUNCTION("""COMPUTED_VALUE"""),TRUE)</f>
        <v>1</v>
      </c>
    </row>
    <row r="333" spans="1:57" x14ac:dyDescent="0.25">
      <c r="A333" s="5">
        <f ca="1">IFERROR(__xludf.DUMMYFUNCTION("""COMPUTED_VALUE"""),337)</f>
        <v>337</v>
      </c>
      <c r="B333" s="5">
        <f ca="1">IFERROR(__xludf.DUMMYFUNCTION("""COMPUTED_VALUE"""),336)</f>
        <v>336</v>
      </c>
      <c r="C333" s="5" t="str">
        <f ca="1">IFERROR(__xludf.DUMMYFUNCTION("""COMPUTED_VALUE"""),"Tiptop")</f>
        <v>Tiptop</v>
      </c>
      <c r="D333" s="5" t="str">
        <f ca="1">IFERROR(__xludf.DUMMYFUNCTION("""COMPUTED_VALUE"""),"Froot Classic")</f>
        <v>Froot Classic</v>
      </c>
      <c r="E333" s="5"/>
      <c r="F333" s="5" t="str">
        <f ca="1">IFERROR(__xludf.DUMMYFUNCTION("""COMPUTED_VALUE"""),"UnicornFrootClassic")</f>
        <v>UnicornFrootClassic</v>
      </c>
      <c r="G333" s="5" t="str">
        <f ca="1">IFERROR(__xludf.DUMMYFUNCTION("""COMPUTED_VALUE"""),"Live")</f>
        <v>Live</v>
      </c>
      <c r="H333" s="5"/>
      <c r="I333" s="5" t="str">
        <f ca="1">IFERROR(__xludf.DUMMYFUNCTION("""COMPUTED_VALUE"""),"TipTop")</f>
        <v>TipTop</v>
      </c>
      <c r="J333" s="5" t="str">
        <f ca="1">IFERROR(__xludf.DUMMYFUNCTION("""COMPUTED_VALUE"""),"JSON")</f>
        <v>JSON</v>
      </c>
      <c r="K333" s="5" t="str">
        <f ca="1">IFERROR(__xludf.DUMMYFUNCTION("""COMPUTED_VALUE"""),"Slot")</f>
        <v>Slot</v>
      </c>
      <c r="L333" s="5"/>
      <c r="M333" s="5"/>
      <c r="N333" s="5"/>
      <c r="O333" s="5"/>
      <c r="P333" s="14">
        <f ca="1">IFERROR(__xludf.DUMMYFUNCTION("""COMPUTED_VALUE"""),12.2)</f>
        <v>12.2</v>
      </c>
      <c r="Q333" s="5"/>
      <c r="R333" s="5"/>
      <c r="S333" s="15">
        <f ca="1">IFERROR(__xludf.DUMMYFUNCTION("""COMPUTED_VALUE"""),45455)</f>
        <v>45455</v>
      </c>
      <c r="T333" s="5" t="b">
        <f ca="1">IFERROR(__xludf.DUMMYFUNCTION("""COMPUTED_VALUE"""),TRUE)</f>
        <v>1</v>
      </c>
      <c r="U333" s="5" t="str">
        <f ca="1">IFERROR(__xludf.DUMMYFUNCTION("""COMPUTED_VALUE"""),"5X3")</f>
        <v>5X3</v>
      </c>
      <c r="V333" s="12" t="str">
        <f ca="1">IFERROR(__xludf.DUMMYFUNCTION("""COMPUTED_VALUE"""),"5")</f>
        <v>5</v>
      </c>
      <c r="W333" s="12" t="str">
        <f ca="1">IFERROR(__xludf.DUMMYFUNCTION("""COMPUTED_VALUE"""),"5")</f>
        <v>5</v>
      </c>
      <c r="X333" s="13">
        <f ca="1">IFERROR(__xludf.DUMMYFUNCTION("""COMPUTED_VALUE"""),96)</f>
        <v>96</v>
      </c>
      <c r="Y333" s="5" t="str">
        <f ca="1">IFERROR(__xludf.DUMMYFUNCTION("""COMPUTED_VALUE"""),"Low")</f>
        <v>Low</v>
      </c>
      <c r="Z333" s="5">
        <f ca="1">IFERROR(__xludf.DUMMYFUNCTION("""COMPUTED_VALUE"""),10.57)</f>
        <v>10.57</v>
      </c>
      <c r="AA333" s="14">
        <f ca="1">IFERROR(__xludf.DUMMYFUNCTION("""COMPUTED_VALUE"""),1200)</f>
        <v>1200</v>
      </c>
      <c r="AB333" s="5"/>
      <c r="AC333" s="5"/>
      <c r="AD333" s="5" t="str">
        <f ca="1">IFERROR(__xludf.DUMMYFUNCTION("""COMPUTED_VALUE"""),"0.05/100")</f>
        <v>0.05/100</v>
      </c>
      <c r="AE333" s="5"/>
      <c r="AF333" s="5"/>
      <c r="AG333" s="10">
        <f ca="1">IFERROR(__xludf.DUMMYFUNCTION("""COMPUTED_VALUE"""),46197.4889699074)</f>
        <v>46197.488969907397</v>
      </c>
      <c r="AH333" s="5" t="str">
        <f ca="1">IFERROR(__xludf.DUMMYFUNCTION("""COMPUTED_VALUE"""),"selena.mihajlovic@fazi.rs")</f>
        <v>selena.mihajlovic@fazi.rs</v>
      </c>
      <c r="AI333" s="5"/>
      <c r="AJ333" s="5"/>
      <c r="AK333" s="5">
        <f ca="1">IFERROR(__xludf.DUMMYFUNCTION("""COMPUTED_VALUE"""),5)</f>
        <v>5</v>
      </c>
      <c r="AL333" s="5" t="str">
        <f ca="1">IFERROR(__xludf.DUMMYFUNCTION("""COMPUTED_VALUE"""),"No")</f>
        <v>No</v>
      </c>
      <c r="AM333" s="5"/>
      <c r="AN333" s="7" t="str">
        <f ca="1">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AO333" s="5"/>
      <c r="AP333" s="5"/>
      <c r="AQ333" s="5" t="b">
        <f ca="1">IFERROR(__xludf.DUMMYFUNCTION("""COMPUTED_VALUE"""),TRUE)</f>
        <v>1</v>
      </c>
      <c r="AR333" s="5"/>
      <c r="AS333" s="5" t="str">
        <f ca="1">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AT333" s="5"/>
      <c r="AU333" s="5" t="str">
        <f ca="1">IFERROR(__xludf.DUMMYFUNCTION("""COMPUTED_VALUE"""),"Fazi")</f>
        <v>Fazi</v>
      </c>
      <c r="AV333" s="5"/>
      <c r="AW333" s="5"/>
      <c r="AX333" s="5"/>
      <c r="AY333" s="5"/>
      <c r="AZ333" s="5"/>
      <c r="BA333" s="5"/>
      <c r="BB333" s="5" t="b">
        <f ca="1">IFERROR(__xludf.DUMMYFUNCTION("""COMPUTED_VALUE"""),TRUE)</f>
        <v>1</v>
      </c>
      <c r="BC333" s="5" t="str">
        <f ca="1">IFERROR(__xludf.DUMMYFUNCTION("""COMPUTED_VALUE"""),"Tiptop")</f>
        <v>Tiptop</v>
      </c>
      <c r="BD333" s="7" t="str">
        <f ca="1">IFERROR(__xludf.DUMMYFUNCTION("""COMPUTED_VALUE"""),"https://gameserver-store-client-area.orbionlimited.com/Home/IntegrationGameLaunch/client-area?moneyType=0&amp;gameName=UnicornFrootClassic&amp;platform=desktop&amp;languageCode=eng&amp;currency=EUR")</f>
        <v>https://gameserver-store-client-area.orbionlimited.com/Home/IntegrationGameLaunch/client-area?moneyType=0&amp;gameName=UnicornFrootClassic&amp;platform=desktop&amp;languageCode=eng&amp;currency=EUR</v>
      </c>
      <c r="BE333" s="5" t="b">
        <f ca="1">IFERROR(__xludf.DUMMYFUNCTION("""COMPUTED_VALUE"""),TRUE)</f>
        <v>1</v>
      </c>
    </row>
    <row r="334" spans="1:57" x14ac:dyDescent="0.25">
      <c r="A334" s="5">
        <f ca="1">IFERROR(__xludf.DUMMYFUNCTION("""COMPUTED_VALUE"""),338)</f>
        <v>338</v>
      </c>
      <c r="B334" s="5">
        <f ca="1">IFERROR(__xludf.DUMMYFUNCTION("""COMPUTED_VALUE"""),337)</f>
        <v>337</v>
      </c>
      <c r="C334" s="5" t="str">
        <f ca="1">IFERROR(__xludf.DUMMYFUNCTION("""COMPUTED_VALUE"""),"Tiptop")</f>
        <v>Tiptop</v>
      </c>
      <c r="D334" s="5" t="str">
        <f ca="1">IFERROR(__xludf.DUMMYFUNCTION("""COMPUTED_VALUE"""),"Dice Wild Lines")</f>
        <v>Dice Wild Lines</v>
      </c>
      <c r="E334" s="5"/>
      <c r="F334" s="5" t="str">
        <f ca="1">IFERROR(__xludf.DUMMYFUNCTION("""COMPUTED_VALUE"""),"UnicornDiceWildLines")</f>
        <v>UnicornDiceWildLines</v>
      </c>
      <c r="G334" s="5" t="str">
        <f ca="1">IFERROR(__xludf.DUMMYFUNCTION("""COMPUTED_VALUE"""),"Live")</f>
        <v>Live</v>
      </c>
      <c r="H334" s="5"/>
      <c r="I334" s="5" t="str">
        <f ca="1">IFERROR(__xludf.DUMMYFUNCTION("""COMPUTED_VALUE"""),"TipTop")</f>
        <v>TipTop</v>
      </c>
      <c r="J334" s="5" t="str">
        <f ca="1">IFERROR(__xludf.DUMMYFUNCTION("""COMPUTED_VALUE"""),"JSON")</f>
        <v>JSON</v>
      </c>
      <c r="K334" s="5" t="str">
        <f ca="1">IFERROR(__xludf.DUMMYFUNCTION("""COMPUTED_VALUE"""),"Dice Slots")</f>
        <v>Dice Slots</v>
      </c>
      <c r="L334" s="5"/>
      <c r="M334" s="5"/>
      <c r="N334" s="5"/>
      <c r="O334" s="5"/>
      <c r="P334" s="14">
        <f ca="1">IFERROR(__xludf.DUMMYFUNCTION("""COMPUTED_VALUE"""),13.3)</f>
        <v>13.3</v>
      </c>
      <c r="Q334" s="5"/>
      <c r="R334" s="5"/>
      <c r="S334" s="15">
        <f ca="1">IFERROR(__xludf.DUMMYFUNCTION("""COMPUTED_VALUE"""),45488)</f>
        <v>45488</v>
      </c>
      <c r="T334" s="5"/>
      <c r="U334" s="5" t="str">
        <f ca="1">IFERROR(__xludf.DUMMYFUNCTION("""COMPUTED_VALUE"""),"5X3")</f>
        <v>5X3</v>
      </c>
      <c r="V334" s="12" t="str">
        <f ca="1">IFERROR(__xludf.DUMMYFUNCTION("""COMPUTED_VALUE"""),"10")</f>
        <v>10</v>
      </c>
      <c r="W334" s="12" t="str">
        <f ca="1">IFERROR(__xludf.DUMMYFUNCTION("""COMPUTED_VALUE"""),"10")</f>
        <v>10</v>
      </c>
      <c r="X334" s="13">
        <f ca="1">IFERROR(__xludf.DUMMYFUNCTION("""COMPUTED_VALUE"""),96)</f>
        <v>96</v>
      </c>
      <c r="Y334" s="5" t="str">
        <f ca="1">IFERROR(__xludf.DUMMYFUNCTION("""COMPUTED_VALUE"""),"High")</f>
        <v>High</v>
      </c>
      <c r="Z334" s="5">
        <f ca="1">IFERROR(__xludf.DUMMYFUNCTION("""COMPUTED_VALUE"""),9.46)</f>
        <v>9.4600000000000009</v>
      </c>
      <c r="AA334" s="14">
        <f ca="1">IFERROR(__xludf.DUMMYFUNCTION("""COMPUTED_VALUE"""),1000)</f>
        <v>1000</v>
      </c>
      <c r="AB334" s="5"/>
      <c r="AC334" s="5"/>
      <c r="AD334" s="5" t="str">
        <f ca="1">IFERROR(__xludf.DUMMYFUNCTION("""COMPUTED_VALUE"""),"0.1/100")</f>
        <v>0.1/100</v>
      </c>
      <c r="AE334" s="5"/>
      <c r="AF334" s="5"/>
      <c r="AG334" s="10">
        <f ca="1">IFERROR(__xludf.DUMMYFUNCTION("""COMPUTED_VALUE"""),46197.4892129629)</f>
        <v>46197.489212962901</v>
      </c>
      <c r="AH334" s="5" t="str">
        <f ca="1">IFERROR(__xludf.DUMMYFUNCTION("""COMPUTED_VALUE"""),"selena.mihajlovic@fazi.rs")</f>
        <v>selena.mihajlovic@fazi.rs</v>
      </c>
      <c r="AI334" s="5"/>
      <c r="AJ334" s="5"/>
      <c r="AK334" s="5">
        <f ca="1">IFERROR(__xludf.DUMMYFUNCTION("""COMPUTED_VALUE"""),10)</f>
        <v>10</v>
      </c>
      <c r="AL334" s="5" t="str">
        <f ca="1">IFERROR(__xludf.DUMMYFUNCTION("""COMPUTED_VALUE"""),"No")</f>
        <v>No</v>
      </c>
      <c r="AM334" s="5"/>
      <c r="AN334" s="7" t="str">
        <f ca="1">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AO334" s="5"/>
      <c r="AP334" s="5"/>
      <c r="AQ334" s="5" t="b">
        <f ca="1">IFERROR(__xludf.DUMMYFUNCTION("""COMPUTED_VALUE"""),TRUE)</f>
        <v>1</v>
      </c>
      <c r="AR334" s="5"/>
      <c r="AS334" s="5" t="str">
        <f ca="1">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AT334" s="5"/>
      <c r="AU334" s="5" t="str">
        <f ca="1">IFERROR(__xludf.DUMMYFUNCTION("""COMPUTED_VALUE"""),"Fazi")</f>
        <v>Fazi</v>
      </c>
      <c r="AV334" s="5"/>
      <c r="AW334" s="5"/>
      <c r="AX334" s="5"/>
      <c r="AY334" s="5"/>
      <c r="AZ334" s="5"/>
      <c r="BA334" s="5"/>
      <c r="BB334" s="5" t="b">
        <f ca="1">IFERROR(__xludf.DUMMYFUNCTION("""COMPUTED_VALUE"""),TRUE)</f>
        <v>1</v>
      </c>
      <c r="BC334" s="5" t="str">
        <f ca="1">IFERROR(__xludf.DUMMYFUNCTION("""COMPUTED_VALUE"""),"Tiptop")</f>
        <v>Tiptop</v>
      </c>
      <c r="BD334" s="7" t="str">
        <f ca="1">IFERROR(__xludf.DUMMYFUNCTION("""COMPUTED_VALUE"""),"https://gameserver-store-client-area.orbionlimited.com/Home/IntegrationGameLaunch/client-area?moneyType=0&amp;gameName=UnicornDiceWildLines&amp;platform=desktop&amp;languageCode=eng&amp;currency=EUR")</f>
        <v>https://gameserver-store-client-area.orbionlimited.com/Home/IntegrationGameLaunch/client-area?moneyType=0&amp;gameName=UnicornDiceWildLines&amp;platform=desktop&amp;languageCode=eng&amp;currency=EUR</v>
      </c>
      <c r="BE334" s="5" t="b">
        <f ca="1">IFERROR(__xludf.DUMMYFUNCTION("""COMPUTED_VALUE"""),TRUE)</f>
        <v>1</v>
      </c>
    </row>
    <row r="335" spans="1:57" x14ac:dyDescent="0.25">
      <c r="A335" s="5">
        <f ca="1">IFERROR(__xludf.DUMMYFUNCTION("""COMPUTED_VALUE"""),339)</f>
        <v>339</v>
      </c>
      <c r="B335" s="5">
        <f ca="1">IFERROR(__xludf.DUMMYFUNCTION("""COMPUTED_VALUE"""),338)</f>
        <v>338</v>
      </c>
      <c r="C335" s="5" t="str">
        <f ca="1">IFERROR(__xludf.DUMMYFUNCTION("""COMPUTED_VALUE"""),"Redstone")</f>
        <v>Redstone</v>
      </c>
      <c r="D335" s="5" t="str">
        <f ca="1">IFERROR(__xludf.DUMMYFUNCTION("""COMPUTED_VALUE"""),"SpinUp")</f>
        <v>SpinUp</v>
      </c>
      <c r="E335" s="5" t="str">
        <f ca="1">IFERROR(__xludf.DUMMYFUNCTION("""COMPUTED_VALUE"""),"Redstone")</f>
        <v>Redstone</v>
      </c>
      <c r="F335" s="5" t="str">
        <f ca="1">IFERROR(__xludf.DUMMYFUNCTION("""COMPUTED_VALUE"""),"RedstoneSpinUp")</f>
        <v>RedstoneSpinUp</v>
      </c>
      <c r="G335" s="5" t="str">
        <f ca="1">IFERROR(__xludf.DUMMYFUNCTION("""COMPUTED_VALUE"""),"Live")</f>
        <v>Live</v>
      </c>
      <c r="H335" s="5"/>
      <c r="I335" s="5" t="str">
        <f ca="1">IFERROR(__xludf.DUMMYFUNCTION("""COMPUTED_VALUE"""),"Redstone")</f>
        <v>Redstone</v>
      </c>
      <c r="J335" s="5" t="str">
        <f ca="1">IFERROR(__xludf.DUMMYFUNCTION("""COMPUTED_VALUE"""),"JSON")</f>
        <v>JSON</v>
      </c>
      <c r="K335" s="5" t="str">
        <f ca="1">IFERROR(__xludf.DUMMYFUNCTION("""COMPUTED_VALUE"""),"Slot")</f>
        <v>Slot</v>
      </c>
      <c r="L335" s="5" t="str">
        <f ca="1">IFERROR(__xludf.DUMMYFUNCTION("""COMPUTED_VALUE""")," Clone")</f>
        <v xml:space="preserve"> Clone</v>
      </c>
      <c r="M335" s="5" t="str">
        <f ca="1">IFERROR(__xludf.DUMMYFUNCTION("""COMPUTED_VALUE"""),"Wild Heart Beat")</f>
        <v>Wild Heart Beat</v>
      </c>
      <c r="N335" s="7" t="str">
        <f ca="1">IFERROR(__xludf.DUMMYFUNCTION("""COMPUTED_VALUE"""),"https://docs.google.com/document/d/1zNXXdgwpk0wY_p-WflsEbpxMSjnrtoYH/edit?usp=drive_link&amp;ouid=107596163405648766688&amp;rtpof=true&amp;sd=true")</f>
        <v>https://docs.google.com/document/d/1zNXXdgwpk0wY_p-WflsEbpxMSjnrtoYH/edit?usp=drive_link&amp;ouid=107596163405648766688&amp;rtpof=true&amp;sd=true</v>
      </c>
      <c r="O335" s="7" t="str">
        <f ca="1">IFERROR(__xludf.DUMMYFUNCTION("""COMPUTED_VALUE"""),"https://docs.google.com/document/d/1l_7cKdNbv28fsvSV1onRbMphPBpdLsOZ/edit?usp=drive_link&amp;ouid=107596163405648766688&amp;rtpof=true&amp;sd=true")</f>
        <v>https://docs.google.com/document/d/1l_7cKdNbv28fsvSV1onRbMphPBpdLsOZ/edit?usp=drive_link&amp;ouid=107596163405648766688&amp;rtpof=true&amp;sd=true</v>
      </c>
      <c r="P335" s="14">
        <f ca="1">IFERROR(__xludf.DUMMYFUNCTION("""COMPUTED_VALUE"""),10.2)</f>
        <v>10.199999999999999</v>
      </c>
      <c r="Q335" s="5"/>
      <c r="R335" s="5"/>
      <c r="S335" s="15">
        <f ca="1">IFERROR(__xludf.DUMMYFUNCTION("""COMPUTED_VALUE"""),45446)</f>
        <v>45446</v>
      </c>
      <c r="T335" s="5" t="b">
        <f ca="1">IFERROR(__xludf.DUMMYFUNCTION("""COMPUTED_VALUE"""),TRUE)</f>
        <v>1</v>
      </c>
      <c r="U335" s="5" t="str">
        <f ca="1">IFERROR(__xludf.DUMMYFUNCTION("""COMPUTED_VALUE"""),"5x3")</f>
        <v>5x3</v>
      </c>
      <c r="V335" s="12" t="str">
        <f ca="1">IFERROR(__xludf.DUMMYFUNCTION("""COMPUTED_VALUE"""),"5")</f>
        <v>5</v>
      </c>
      <c r="W335" s="12" t="str">
        <f ca="1">IFERROR(__xludf.DUMMYFUNCTION("""COMPUTED_VALUE"""),"5")</f>
        <v>5</v>
      </c>
      <c r="X335" s="13">
        <f ca="1">IFERROR(__xludf.DUMMYFUNCTION("""COMPUTED_VALUE"""),96.36)</f>
        <v>96.36</v>
      </c>
      <c r="Y335" s="5" t="str">
        <f ca="1">IFERROR(__xludf.DUMMYFUNCTION("""COMPUTED_VALUE"""),"Medium")</f>
        <v>Medium</v>
      </c>
      <c r="Z335" s="5">
        <f ca="1">IFERROR(__xludf.DUMMYFUNCTION("""COMPUTED_VALUE"""),11.87)</f>
        <v>11.87</v>
      </c>
      <c r="AA335" s="14">
        <f ca="1">IFERROR(__xludf.DUMMYFUNCTION("""COMPUTED_VALUE"""),2000)</f>
        <v>2000</v>
      </c>
      <c r="AB335" s="5"/>
      <c r="AC335" s="5" t="str">
        <f ca="1">IFERROR(__xludf.DUMMYFUNCTION("""COMPUTED_VALUE"""),"Expanding Wild, Scatter")</f>
        <v>Expanding Wild, Scatter</v>
      </c>
      <c r="AD335" s="5" t="str">
        <f ca="1">IFERROR(__xludf.DUMMYFUNCTION("""COMPUTED_VALUE"""),"0.01/50")</f>
        <v>0.01/50</v>
      </c>
      <c r="AE335" s="5"/>
      <c r="AF335" s="5"/>
      <c r="AG335" s="10">
        <f ca="1">IFERROR(__xludf.DUMMYFUNCTION("""COMPUTED_VALUE"""),46157.4893171296)</f>
        <v>46157.489317129599</v>
      </c>
      <c r="AH335" s="5"/>
      <c r="AI335" s="5"/>
      <c r="AJ335" s="5"/>
      <c r="AK335" s="5">
        <f ca="1">IFERROR(__xludf.DUMMYFUNCTION("""COMPUTED_VALUE"""),1)</f>
        <v>1</v>
      </c>
      <c r="AL335" s="5" t="str">
        <f ca="1">IFERROR(__xludf.DUMMYFUNCTION("""COMPUTED_VALUE"""),"No")</f>
        <v>No</v>
      </c>
      <c r="AM335" s="5" t="str">
        <f ca="1">IFERROR(__xludf.DUMMYFUNCTION("""COMPUTED_VALUE"""),"No")</f>
        <v>No</v>
      </c>
      <c r="AN335" s="7" t="str">
        <f ca="1">IFERROR(__xludf.DUMMYFUNCTION("""COMPUTED_VALUE"""),"https://static.redstone.rs/games/spin-up/")</f>
        <v>https://static.redstone.rs/games/spin-up/</v>
      </c>
      <c r="AO335" s="5" t="str">
        <f ca="1">IFERROR(__xludf.DUMMYFUNCTION("""COMPUTED_VALUE"""),"No")</f>
        <v>No</v>
      </c>
      <c r="AP335" s="5" t="str">
        <f ca="1">IFERROR(__xludf.DUMMYFUNCTION("""COMPUTED_VALUE"""),"No")</f>
        <v>No</v>
      </c>
      <c r="AQ335" s="5" t="b">
        <f ca="1">IFERROR(__xludf.DUMMYFUNCTION("""COMPUTED_VALUE"""),TRUE)</f>
        <v>1</v>
      </c>
      <c r="AR335" s="5"/>
      <c r="AS335" s="5" t="str">
        <f ca="1">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AT335" s="5"/>
      <c r="AU335" s="5" t="str">
        <f ca="1">IFERROR(__xludf.DUMMYFUNCTION("""COMPUTED_VALUE"""),"Redstone")</f>
        <v>Redstone</v>
      </c>
      <c r="AV335" s="5"/>
      <c r="AW335" s="5"/>
      <c r="AX335" s="5"/>
      <c r="AY335" s="5"/>
      <c r="AZ335" s="5"/>
      <c r="BA335" s="5"/>
      <c r="BB335" s="5" t="b">
        <f ca="1">IFERROR(__xludf.DUMMYFUNCTION("""COMPUTED_VALUE"""),TRUE)</f>
        <v>1</v>
      </c>
      <c r="BC335" s="5" t="str">
        <f ca="1">IFERROR(__xludf.DUMMYFUNCTION("""COMPUTED_VALUE"""),"Redstone")</f>
        <v>Redstone</v>
      </c>
      <c r="BD335" s="7" t="str">
        <f ca="1">IFERROR(__xludf.DUMMYFUNCTION("""COMPUTED_VALUE"""),"https://static.redstone.rs/games/spin-up/")</f>
        <v>https://static.redstone.rs/games/spin-up/</v>
      </c>
      <c r="BE335" s="5" t="b">
        <f ca="1">IFERROR(__xludf.DUMMYFUNCTION("""COMPUTED_VALUE"""),TRUE)</f>
        <v>1</v>
      </c>
    </row>
    <row r="336" spans="1:57" x14ac:dyDescent="0.25">
      <c r="A336" s="5">
        <f ca="1">IFERROR(__xludf.DUMMYFUNCTION("""COMPUTED_VALUE"""),340)</f>
        <v>340</v>
      </c>
      <c r="B336" s="5">
        <f ca="1">IFERROR(__xludf.DUMMYFUNCTION("""COMPUTED_VALUE"""),339)</f>
        <v>339</v>
      </c>
      <c r="C336" s="5" t="str">
        <f ca="1">IFERROR(__xludf.DUMMYFUNCTION("""COMPUTED_VALUE"""),"Tiptop")</f>
        <v>Tiptop</v>
      </c>
      <c r="D336" s="5" t="str">
        <f ca="1">IFERROR(__xludf.DUMMYFUNCTION("""COMPUTED_VALUE"""),"Sticky Hot")</f>
        <v>Sticky Hot</v>
      </c>
      <c r="E336" s="5"/>
      <c r="F336" s="5" t="str">
        <f ca="1">IFERROR(__xludf.DUMMYFUNCTION("""COMPUTED_VALUE"""),"UnicornStickyHot")</f>
        <v>UnicornStickyHot</v>
      </c>
      <c r="G336" s="5" t="str">
        <f ca="1">IFERROR(__xludf.DUMMYFUNCTION("""COMPUTED_VALUE"""),"Live")</f>
        <v>Live</v>
      </c>
      <c r="H336" s="5"/>
      <c r="I336" s="5" t="str">
        <f ca="1">IFERROR(__xludf.DUMMYFUNCTION("""COMPUTED_VALUE"""),"TipTop")</f>
        <v>TipTop</v>
      </c>
      <c r="J336" s="5" t="str">
        <f ca="1">IFERROR(__xludf.DUMMYFUNCTION("""COMPUTED_VALUE"""),"JSON")</f>
        <v>JSON</v>
      </c>
      <c r="K336" s="5" t="str">
        <f ca="1">IFERROR(__xludf.DUMMYFUNCTION("""COMPUTED_VALUE"""),"Slot")</f>
        <v>Slot</v>
      </c>
      <c r="L336" s="5"/>
      <c r="M336" s="5"/>
      <c r="N336" s="5"/>
      <c r="O336" s="5"/>
      <c r="P336" s="14">
        <f ca="1">IFERROR(__xludf.DUMMYFUNCTION("""COMPUTED_VALUE"""),12.9)</f>
        <v>12.9</v>
      </c>
      <c r="Q336" s="5"/>
      <c r="R336" s="5"/>
      <c r="S336" s="15">
        <f ca="1">IFERROR(__xludf.DUMMYFUNCTION("""COMPUTED_VALUE"""),45503)</f>
        <v>45503</v>
      </c>
      <c r="T336" s="5" t="b">
        <f ca="1">IFERROR(__xludf.DUMMYFUNCTION("""COMPUTED_VALUE"""),TRUE)</f>
        <v>1</v>
      </c>
      <c r="U336" s="5" t="str">
        <f ca="1">IFERROR(__xludf.DUMMYFUNCTION("""COMPUTED_VALUE"""),"5X3")</f>
        <v>5X3</v>
      </c>
      <c r="V336" s="12" t="str">
        <f ca="1">IFERROR(__xludf.DUMMYFUNCTION("""COMPUTED_VALUE"""),"10")</f>
        <v>10</v>
      </c>
      <c r="W336" s="12" t="str">
        <f ca="1">IFERROR(__xludf.DUMMYFUNCTION("""COMPUTED_VALUE"""),"10")</f>
        <v>10</v>
      </c>
      <c r="X336" s="13">
        <f ca="1">IFERROR(__xludf.DUMMYFUNCTION("""COMPUTED_VALUE"""),96)</f>
        <v>96</v>
      </c>
      <c r="Y336" s="5" t="str">
        <f ca="1">IFERROR(__xludf.DUMMYFUNCTION("""COMPUTED_VALUE"""),"Medium")</f>
        <v>Medium</v>
      </c>
      <c r="Z336" s="5">
        <f ca="1">IFERROR(__xludf.DUMMYFUNCTION("""COMPUTED_VALUE"""),17.47)</f>
        <v>17.47</v>
      </c>
      <c r="AA336" s="14">
        <f ca="1">IFERROR(__xludf.DUMMYFUNCTION("""COMPUTED_VALUE"""),3500)</f>
        <v>3500</v>
      </c>
      <c r="AB336" s="5"/>
      <c r="AC336" s="5"/>
      <c r="AD336" s="5" t="str">
        <f ca="1">IFERROR(__xludf.DUMMYFUNCTION("""COMPUTED_VALUE"""),"0.1/100")</f>
        <v>0.1/100</v>
      </c>
      <c r="AE336" s="5"/>
      <c r="AF336" s="5"/>
      <c r="AG336" s="10">
        <f ca="1">IFERROR(__xludf.DUMMYFUNCTION("""COMPUTED_VALUE"""),46197.4897569444)</f>
        <v>46197.4897569444</v>
      </c>
      <c r="AH336" s="5" t="str">
        <f ca="1">IFERROR(__xludf.DUMMYFUNCTION("""COMPUTED_VALUE"""),"selena.mihajlovic@fazi.rs")</f>
        <v>selena.mihajlovic@fazi.rs</v>
      </c>
      <c r="AI336" s="5"/>
      <c r="AJ336" s="5"/>
      <c r="AK336" s="5">
        <f ca="1">IFERROR(__xludf.DUMMYFUNCTION("""COMPUTED_VALUE"""),10)</f>
        <v>10</v>
      </c>
      <c r="AL336" s="5" t="str">
        <f ca="1">IFERROR(__xludf.DUMMYFUNCTION("""COMPUTED_VALUE"""),"No")</f>
        <v>No</v>
      </c>
      <c r="AM336" s="5"/>
      <c r="AN336" s="7" t="str">
        <f ca="1">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AO336" s="5"/>
      <c r="AP336" s="5"/>
      <c r="AQ336" s="5" t="b">
        <f ca="1">IFERROR(__xludf.DUMMYFUNCTION("""COMPUTED_VALUE"""),TRUE)</f>
        <v>1</v>
      </c>
      <c r="AR336" s="5"/>
      <c r="AS336" s="5" t="str">
        <f ca="1">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AT336" s="5"/>
      <c r="AU336" s="5" t="str">
        <f ca="1">IFERROR(__xludf.DUMMYFUNCTION("""COMPUTED_VALUE"""),"Fazi")</f>
        <v>Fazi</v>
      </c>
      <c r="AV336" s="5"/>
      <c r="AW336" s="5"/>
      <c r="AX336" s="5"/>
      <c r="AY336" s="5"/>
      <c r="AZ336" s="5"/>
      <c r="BA336" s="5"/>
      <c r="BB336" s="5" t="b">
        <f ca="1">IFERROR(__xludf.DUMMYFUNCTION("""COMPUTED_VALUE"""),TRUE)</f>
        <v>1</v>
      </c>
      <c r="BC336" s="5" t="str">
        <f ca="1">IFERROR(__xludf.DUMMYFUNCTION("""COMPUTED_VALUE"""),"Tiptop")</f>
        <v>Tiptop</v>
      </c>
      <c r="BD336" s="7" t="str">
        <f ca="1">IFERROR(__xludf.DUMMYFUNCTION("""COMPUTED_VALUE"""),"https://gameserver-store-client-area.orbionlimited.com/Home/IntegrationGameLaunch/client-area?moneyType=0&amp;gameName=UnicornStickyHot&amp;platform=desktop&amp;languageCode=eng&amp;currency=EUR")</f>
        <v>https://gameserver-store-client-area.orbionlimited.com/Home/IntegrationGameLaunch/client-area?moneyType=0&amp;gameName=UnicornStickyHot&amp;platform=desktop&amp;languageCode=eng&amp;currency=EUR</v>
      </c>
      <c r="BE336" s="5" t="b">
        <f ca="1">IFERROR(__xludf.DUMMYFUNCTION("""COMPUTED_VALUE"""),TRUE)</f>
        <v>1</v>
      </c>
    </row>
    <row r="337" spans="1:57" x14ac:dyDescent="0.25">
      <c r="A337" s="5">
        <f ca="1">IFERROR(__xludf.DUMMYFUNCTION("""COMPUTED_VALUE"""),341)</f>
        <v>341</v>
      </c>
      <c r="B337" s="5">
        <f ca="1">IFERROR(__xludf.DUMMYFUNCTION("""COMPUTED_VALUE"""),344)</f>
        <v>344</v>
      </c>
      <c r="C337" s="5" t="str">
        <f ca="1">IFERROR(__xludf.DUMMYFUNCTION("""COMPUTED_VALUE"""),"Fazi")</f>
        <v>Fazi</v>
      </c>
      <c r="D337" s="5" t="str">
        <f ca="1">IFERROR(__xludf.DUMMYFUNCTION("""COMPUTED_VALUE"""),"Mega Hot 10")</f>
        <v>Mega Hot 10</v>
      </c>
      <c r="E337" s="5" t="str">
        <f ca="1">IFERROR(__xludf.DUMMYFUNCTION("""COMPUTED_VALUE"""),"V4-1")</f>
        <v>V4-1</v>
      </c>
      <c r="F337" s="5" t="str">
        <f ca="1">IFERROR(__xludf.DUMMYFUNCTION("""COMPUTED_VALUE"""),"MegaHot10")</f>
        <v>MegaHot10</v>
      </c>
      <c r="G337" s="5" t="str">
        <f ca="1">IFERROR(__xludf.DUMMYFUNCTION("""COMPUTED_VALUE"""),"Live")</f>
        <v>Live</v>
      </c>
      <c r="H337" s="5"/>
      <c r="I337" s="5" t="str">
        <f ca="1">IFERROR(__xludf.DUMMYFUNCTION("""COMPUTED_VALUE"""),"V4")</f>
        <v>V4</v>
      </c>
      <c r="J337" s="5" t="str">
        <f ca="1">IFERROR(__xludf.DUMMYFUNCTION("""COMPUTED_VALUE"""),"JSON")</f>
        <v>JSON</v>
      </c>
      <c r="K337" s="5" t="str">
        <f ca="1">IFERROR(__xludf.DUMMYFUNCTION("""COMPUTED_VALUE"""),"Slot")</f>
        <v>Slot</v>
      </c>
      <c r="L337" s="5"/>
      <c r="M337" s="5"/>
      <c r="N337" s="5"/>
      <c r="O337" s="5"/>
      <c r="P337" s="14">
        <f ca="1">IFERROR(__xludf.DUMMYFUNCTION("""COMPUTED_VALUE"""),9.8)</f>
        <v>9.8000000000000007</v>
      </c>
      <c r="Q337" s="5"/>
      <c r="R337" s="5"/>
      <c r="S337" s="15">
        <f ca="1">IFERROR(__xludf.DUMMYFUNCTION("""COMPUTED_VALUE"""),45540)</f>
        <v>45540</v>
      </c>
      <c r="T337" s="5" t="b">
        <f ca="1">IFERROR(__xludf.DUMMYFUNCTION("""COMPUTED_VALUE"""),TRUE)</f>
        <v>1</v>
      </c>
      <c r="U337" s="5" t="str">
        <f ca="1">IFERROR(__xludf.DUMMYFUNCTION("""COMPUTED_VALUE"""),"5x3")</f>
        <v>5x3</v>
      </c>
      <c r="V337" s="12" t="str">
        <f ca="1">IFERROR(__xludf.DUMMYFUNCTION("""COMPUTED_VALUE"""),"10")</f>
        <v>10</v>
      </c>
      <c r="W337" s="12" t="str">
        <f ca="1">IFERROR(__xludf.DUMMYFUNCTION("""COMPUTED_VALUE"""),"10")</f>
        <v>10</v>
      </c>
      <c r="X337" s="13">
        <f ca="1">IFERROR(__xludf.DUMMYFUNCTION("""COMPUTED_VALUE"""),96.475)</f>
        <v>96.474999999999994</v>
      </c>
      <c r="Y337" s="5" t="str">
        <f ca="1">IFERROR(__xludf.DUMMYFUNCTION("""COMPUTED_VALUE"""),"High")</f>
        <v>High</v>
      </c>
      <c r="Z337" s="5">
        <f ca="1">IFERROR(__xludf.DUMMYFUNCTION("""COMPUTED_VALUE"""),5.93399999999999)</f>
        <v>5.9339999999999904</v>
      </c>
      <c r="AA337" s="14">
        <f ca="1">IFERROR(__xludf.DUMMYFUNCTION("""COMPUTED_VALUE"""),1500)</f>
        <v>1500</v>
      </c>
      <c r="AB337" s="5">
        <f ca="1">IFERROR(__xludf.DUMMYFUNCTION("""COMPUTED_VALUE"""),164)</f>
        <v>164</v>
      </c>
      <c r="AC337" s="5" t="str">
        <f ca="1">IFERROR(__xludf.DUMMYFUNCTION("""COMPUTED_VALUE"""),"Win Multiplier")</f>
        <v>Win Multiplier</v>
      </c>
      <c r="AD337" s="5" t="str">
        <f ca="1">IFERROR(__xludf.DUMMYFUNCTION("""COMPUTED_VALUE"""),"0.1/40")</f>
        <v>0.1/40</v>
      </c>
      <c r="AE337" s="5"/>
      <c r="AF337" s="5"/>
      <c r="AG337" s="10">
        <f ca="1">IFERROR(__xludf.DUMMYFUNCTION("""COMPUTED_VALUE"""),46176.4831712963)</f>
        <v>46176.483171296299</v>
      </c>
      <c r="AH337" s="5" t="str">
        <f ca="1">IFERROR(__xludf.DUMMYFUNCTION("""COMPUTED_VALUE"""),"djordje.petrovic@fazi.rs")</f>
        <v>djordje.petrovic@fazi.rs</v>
      </c>
      <c r="AI337" s="5"/>
      <c r="AJ337" s="5"/>
      <c r="AK337" s="5">
        <f ca="1">IFERROR(__xludf.DUMMYFUNCTION("""COMPUTED_VALUE"""),10)</f>
        <v>10</v>
      </c>
      <c r="AL337" s="5" t="str">
        <f ca="1">IFERROR(__xludf.DUMMYFUNCTION("""COMPUTED_VALUE"""),"Yes")</f>
        <v>Yes</v>
      </c>
      <c r="AM337" s="5" t="str">
        <f ca="1">IFERROR(__xludf.DUMMYFUNCTION("""COMPUTED_VALUE"""),"No")</f>
        <v>No</v>
      </c>
      <c r="AN337" s="7" t="str">
        <f ca="1">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AO337" s="5" t="str">
        <f ca="1">IFERROR(__xludf.DUMMYFUNCTION("""COMPUTED_VALUE"""),"Yes")</f>
        <v>Yes</v>
      </c>
      <c r="AP337" s="5" t="str">
        <f ca="1">IFERROR(__xludf.DUMMYFUNCTION("""COMPUTED_VALUE"""),"Yes")</f>
        <v>Yes</v>
      </c>
      <c r="AQ337" s="5" t="b">
        <f ca="1">IFERROR(__xludf.DUMMYFUNCTION("""COMPUTED_VALUE"""),TRUE)</f>
        <v>1</v>
      </c>
      <c r="AR337" s="5"/>
      <c r="AS337" s="5" t="str">
        <f ca="1">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AT337" s="5" t="str">
        <f ca="1">IFERROR(__xludf.DUMMYFUNCTION("""COMPUTED_VALUE"""),"Yes")</f>
        <v>Yes</v>
      </c>
      <c r="AU337" s="5" t="str">
        <f ca="1">IFERROR(__xludf.DUMMYFUNCTION("""COMPUTED_VALUE"""),"Fazi")</f>
        <v>Fazi</v>
      </c>
      <c r="AV337" s="5"/>
      <c r="AW337"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7" s="5"/>
      <c r="AY337" s="5"/>
      <c r="AZ337" s="5"/>
      <c r="BA337" s="5"/>
      <c r="BB337" s="5"/>
      <c r="BC337" s="5" t="str">
        <f ca="1">IFERROR(__xludf.DUMMYFUNCTION("""COMPUTED_VALUE"""),"Foxi")</f>
        <v>Foxi</v>
      </c>
      <c r="BD337" s="7" t="str">
        <f ca="1">IFERROR(__xludf.DUMMYFUNCTION("""COMPUTED_VALUE"""),"https://gameserver-store-client-area.orbionlimited.com/Home/IntegrationGameLaunch/client-area?moneyType=0&amp;gameName=MegaHot10&amp;platform=desktop&amp;languageCode=eng&amp;currency=EUR")</f>
        <v>https://gameserver-store-client-area.orbionlimited.com/Home/IntegrationGameLaunch/client-area?moneyType=0&amp;gameName=MegaHot10&amp;platform=desktop&amp;languageCode=eng&amp;currency=EUR</v>
      </c>
      <c r="BE337" s="5" t="b">
        <f ca="1">IFERROR(__xludf.DUMMYFUNCTION("""COMPUTED_VALUE"""),TRUE)</f>
        <v>1</v>
      </c>
    </row>
    <row r="338" spans="1:57" x14ac:dyDescent="0.25">
      <c r="A338" s="5">
        <f ca="1">IFERROR(__xludf.DUMMYFUNCTION("""COMPUTED_VALUE"""),342)</f>
        <v>342</v>
      </c>
      <c r="B338" s="5">
        <f ca="1">IFERROR(__xludf.DUMMYFUNCTION("""COMPUTED_VALUE"""),353)</f>
        <v>353</v>
      </c>
      <c r="C338" s="5" t="str">
        <f ca="1">IFERROR(__xludf.DUMMYFUNCTION("""COMPUTED_VALUE"""),"Fazi")</f>
        <v>Fazi</v>
      </c>
      <c r="D338" s="5" t="str">
        <f ca="1">IFERROR(__xludf.DUMMYFUNCTION("""COMPUTED_VALUE"""),"Wild Heat 40")</f>
        <v>Wild Heat 40</v>
      </c>
      <c r="E338" s="5" t="str">
        <f ca="1">IFERROR(__xludf.DUMMYFUNCTION("""COMPUTED_VALUE"""),"V4-2")</f>
        <v>V4-2</v>
      </c>
      <c r="F338" s="5" t="str">
        <f ca="1">IFERROR(__xludf.DUMMYFUNCTION("""COMPUTED_VALUE"""),"WildHeat40")</f>
        <v>WildHeat40</v>
      </c>
      <c r="G338" s="5" t="str">
        <f ca="1">IFERROR(__xludf.DUMMYFUNCTION("""COMPUTED_VALUE"""),"Live")</f>
        <v>Live</v>
      </c>
      <c r="H338" s="5"/>
      <c r="I338" s="5" t="str">
        <f ca="1">IFERROR(__xludf.DUMMYFUNCTION("""COMPUTED_VALUE"""),"V4")</f>
        <v>V4</v>
      </c>
      <c r="J338" s="5" t="str">
        <f ca="1">IFERROR(__xludf.DUMMYFUNCTION("""COMPUTED_VALUE"""),"JSON")</f>
        <v>JSON</v>
      </c>
      <c r="K338" s="5" t="str">
        <f ca="1">IFERROR(__xludf.DUMMYFUNCTION("""COMPUTED_VALUE"""),"Slot")</f>
        <v>Slot</v>
      </c>
      <c r="L338" s="5" t="str">
        <f ca="1">IFERROR(__xludf.DUMMYFUNCTION("""COMPUTED_VALUE""")," Variant")</f>
        <v xml:space="preserve"> Variant</v>
      </c>
      <c r="M338" s="5" t="str">
        <f ca="1">IFERROR(__xludf.DUMMYFUNCTION("""COMPUTED_VALUE"""),"Wild Hot 40")</f>
        <v>Wild Hot 40</v>
      </c>
      <c r="N338" s="7" t="str">
        <f ca="1">IFERROR(__xludf.DUMMYFUNCTION("""COMPUTED_VALUE"""),"https://drive.google.com/file/d/1gp0lAf8_G5l6Gwzm1XC85yZzwG7h5yC4/view?usp=drive_link")</f>
        <v>https://drive.google.com/file/d/1gp0lAf8_G5l6Gwzm1XC85yZzwG7h5yC4/view?usp=drive_link</v>
      </c>
      <c r="O338" s="7" t="str">
        <f ca="1">IFERROR(__xludf.DUMMYFUNCTION("""COMPUTED_VALUE"""),"https://drive.google.com/file/d/1I1mdL7JQIpfe3awcmJxwX4wXF8Aj0Lgr/view?usp=drive_link")</f>
        <v>https://drive.google.com/file/d/1I1mdL7JQIpfe3awcmJxwX4wXF8Aj0Lgr/view?usp=drive_link</v>
      </c>
      <c r="P338" s="14">
        <f ca="1">IFERROR(__xludf.DUMMYFUNCTION("""COMPUTED_VALUE"""),11.9)</f>
        <v>11.9</v>
      </c>
      <c r="Q338" s="17">
        <f ca="1">IFERROR(__xludf.DUMMYFUNCTION("""COMPUTED_VALUE"""),45532)</f>
        <v>45532</v>
      </c>
      <c r="R338" s="17">
        <f ca="1">IFERROR(__xludf.DUMMYFUNCTION("""COMPUTED_VALUE"""),45544)</f>
        <v>45544</v>
      </c>
      <c r="S338" s="15">
        <f ca="1">IFERROR(__xludf.DUMMYFUNCTION("""COMPUTED_VALUE"""),45551)</f>
        <v>45551</v>
      </c>
      <c r="T338" s="5" t="b">
        <f ca="1">IFERROR(__xludf.DUMMYFUNCTION("""COMPUTED_VALUE"""),TRUE)</f>
        <v>1</v>
      </c>
      <c r="U338" s="5" t="str">
        <f ca="1">IFERROR(__xludf.DUMMYFUNCTION("""COMPUTED_VALUE"""),"5x4")</f>
        <v>5x4</v>
      </c>
      <c r="V338" s="12" t="str">
        <f ca="1">IFERROR(__xludf.DUMMYFUNCTION("""COMPUTED_VALUE"""),"40")</f>
        <v>40</v>
      </c>
      <c r="W338" s="12" t="str">
        <f ca="1">IFERROR(__xludf.DUMMYFUNCTION("""COMPUTED_VALUE"""),"40")</f>
        <v>40</v>
      </c>
      <c r="X338" s="13">
        <f ca="1">IFERROR(__xludf.DUMMYFUNCTION("""COMPUTED_VALUE"""),96.997)</f>
        <v>96.997</v>
      </c>
      <c r="Y338" s="5" t="str">
        <f ca="1">IFERROR(__xludf.DUMMYFUNCTION("""COMPUTED_VALUE"""),"Low")</f>
        <v>Low</v>
      </c>
      <c r="Z338" s="5">
        <f ca="1">IFERROR(__xludf.DUMMYFUNCTION("""COMPUTED_VALUE"""),16.768)</f>
        <v>16.768000000000001</v>
      </c>
      <c r="AA338" s="14">
        <f ca="1">IFERROR(__xludf.DUMMYFUNCTION("""COMPUTED_VALUE"""),1000)</f>
        <v>1000</v>
      </c>
      <c r="AB338" s="5" t="str">
        <f ca="1">IFERROR(__xludf.DUMMYFUNCTION("""COMPUTED_VALUE"""),"/")</f>
        <v>/</v>
      </c>
      <c r="AC338" s="5" t="str">
        <f ca="1">IFERROR(__xludf.DUMMYFUNCTION("""COMPUTED_VALUE"""),"Wild Symbol")</f>
        <v>Wild Symbol</v>
      </c>
      <c r="AD338" s="5" t="str">
        <f ca="1">IFERROR(__xludf.DUMMYFUNCTION("""COMPUTED_VALUE"""),"0.4/60")</f>
        <v>0.4/60</v>
      </c>
      <c r="AE338" s="5"/>
      <c r="AF338" s="5"/>
      <c r="AG338" s="10">
        <f ca="1">IFERROR(__xludf.DUMMYFUNCTION("""COMPUTED_VALUE"""),46212.687511574)</f>
        <v>46212.687511573997</v>
      </c>
      <c r="AH338" s="5" t="str">
        <f ca="1">IFERROR(__xludf.DUMMYFUNCTION("""COMPUTED_VALUE"""),"djordje.petrovic@fazi.rs")</f>
        <v>djordje.petrovic@fazi.rs</v>
      </c>
      <c r="AI338" s="5"/>
      <c r="AJ338" s="5"/>
      <c r="AK338" s="5">
        <f ca="1">IFERROR(__xludf.DUMMYFUNCTION("""COMPUTED_VALUE"""),40)</f>
        <v>40</v>
      </c>
      <c r="AL338" s="5" t="str">
        <f ca="1">IFERROR(__xludf.DUMMYFUNCTION("""COMPUTED_VALUE"""),"Yes")</f>
        <v>Yes</v>
      </c>
      <c r="AM338" s="5"/>
      <c r="AN338" s="7" t="str">
        <f ca="1">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AO338" s="5" t="str">
        <f ca="1">IFERROR(__xludf.DUMMYFUNCTION("""COMPUTED_VALUE"""),"Yes")</f>
        <v>Yes</v>
      </c>
      <c r="AP338" s="5" t="str">
        <f ca="1">IFERROR(__xludf.DUMMYFUNCTION("""COMPUTED_VALUE"""),"Yes")</f>
        <v>Yes</v>
      </c>
      <c r="AQ338" s="5" t="b">
        <f ca="1">IFERROR(__xludf.DUMMYFUNCTION("""COMPUTED_VALUE"""),TRUE)</f>
        <v>1</v>
      </c>
      <c r="AR338" s="5"/>
      <c r="AS338" s="5" t="str">
        <f ca="1">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AT338" s="5" t="str">
        <f ca="1">IFERROR(__xludf.DUMMYFUNCTION("""COMPUTED_VALUE"""),"Yes")</f>
        <v>Yes</v>
      </c>
      <c r="AU338" s="5" t="str">
        <f ca="1">IFERROR(__xludf.DUMMYFUNCTION("""COMPUTED_VALUE"""),"Fazi")</f>
        <v>Fazi</v>
      </c>
      <c r="AV338" s="5"/>
      <c r="AW338"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8" s="5"/>
      <c r="AY338" s="5"/>
      <c r="AZ338" s="5"/>
      <c r="BA338" s="5"/>
      <c r="BB338" s="5"/>
      <c r="BC338" s="5" t="str">
        <f ca="1">IFERROR(__xludf.DUMMYFUNCTION("""COMPUTED_VALUE"""),"Foxi")</f>
        <v>Foxi</v>
      </c>
      <c r="BD338" s="7" t="str">
        <f ca="1">IFERROR(__xludf.DUMMYFUNCTION("""COMPUTED_VALUE"""),"https://gameserver-store-client-area.orbionlimited.com/Home/IntegrationGameLaunch/client-area?moneyType=0&amp;gameName=WildHeat40&amp;platform=desktop&amp;languageCode=eng&amp;currency=EUR")</f>
        <v>https://gameserver-store-client-area.orbionlimited.com/Home/IntegrationGameLaunch/client-area?moneyType=0&amp;gameName=WildHeat40&amp;platform=desktop&amp;languageCode=eng&amp;currency=EUR</v>
      </c>
      <c r="BE338" s="5" t="b">
        <f ca="1">IFERROR(__xludf.DUMMYFUNCTION("""COMPUTED_VALUE"""),TRUE)</f>
        <v>1</v>
      </c>
    </row>
    <row r="339" spans="1:57" x14ac:dyDescent="0.25">
      <c r="A339" s="5">
        <f ca="1">IFERROR(__xludf.DUMMYFUNCTION("""COMPUTED_VALUE"""),343)</f>
        <v>343</v>
      </c>
      <c r="B339" s="5">
        <f ca="1">IFERROR(__xludf.DUMMYFUNCTION("""COMPUTED_VALUE"""),1001)</f>
        <v>1001</v>
      </c>
      <c r="C339" s="5" t="str">
        <f ca="1">IFERROR(__xludf.DUMMYFUNCTION("""COMPUTED_VALUE"""),"Fazi")</f>
        <v>Fazi</v>
      </c>
      <c r="D339" s="5" t="str">
        <f ca="1">IFERROR(__xludf.DUMMYFUNCTION("""COMPUTED_VALUE"""),"Blow Fruits 40")</f>
        <v>Blow Fruits 40</v>
      </c>
      <c r="E339" s="5" t="str">
        <f ca="1">IFERROR(__xludf.DUMMYFUNCTION("""COMPUTED_VALUE"""),"V4-1")</f>
        <v>V4-1</v>
      </c>
      <c r="F339" s="5" t="str">
        <f ca="1">IFERROR(__xludf.DUMMYFUNCTION("""COMPUTED_VALUE"""),"BlowFruits40")</f>
        <v>BlowFruits40</v>
      </c>
      <c r="G339" s="5" t="str">
        <f ca="1">IFERROR(__xludf.DUMMYFUNCTION("""COMPUTED_VALUE"""),"Live")</f>
        <v>Live</v>
      </c>
      <c r="H339" s="5"/>
      <c r="I339" s="5" t="str">
        <f ca="1">IFERROR(__xludf.DUMMYFUNCTION("""COMPUTED_VALUE"""),"V4")</f>
        <v>V4</v>
      </c>
      <c r="J339" s="5" t="str">
        <f ca="1">IFERROR(__xludf.DUMMYFUNCTION("""COMPUTED_VALUE"""),"JSON")</f>
        <v>JSON</v>
      </c>
      <c r="K339" s="5" t="str">
        <f ca="1">IFERROR(__xludf.DUMMYFUNCTION("""COMPUTED_VALUE"""),"Slot")</f>
        <v>Slot</v>
      </c>
      <c r="L339" s="5"/>
      <c r="M339" s="5"/>
      <c r="N339" s="5"/>
      <c r="O339" s="5"/>
      <c r="P339" s="14">
        <f ca="1">IFERROR(__xludf.DUMMYFUNCTION("""COMPUTED_VALUE"""),22.6)</f>
        <v>22.6</v>
      </c>
      <c r="Q339" s="5"/>
      <c r="R339" s="5"/>
      <c r="S339" s="15">
        <f ca="1">IFERROR(__xludf.DUMMYFUNCTION("""COMPUTED_VALUE"""),45601)</f>
        <v>45601</v>
      </c>
      <c r="T339" s="5" t="b">
        <f ca="1">IFERROR(__xludf.DUMMYFUNCTION("""COMPUTED_VALUE"""),TRUE)</f>
        <v>1</v>
      </c>
      <c r="U339" s="5" t="str">
        <f ca="1">IFERROR(__xludf.DUMMYFUNCTION("""COMPUTED_VALUE"""),"5x4")</f>
        <v>5x4</v>
      </c>
      <c r="V339" s="12" t="str">
        <f ca="1">IFERROR(__xludf.DUMMYFUNCTION("""COMPUTED_VALUE"""),"40")</f>
        <v>40</v>
      </c>
      <c r="W339" s="12" t="str">
        <f ca="1">IFERROR(__xludf.DUMMYFUNCTION("""COMPUTED_VALUE"""),"40")</f>
        <v>40</v>
      </c>
      <c r="X339" s="13">
        <f ca="1">IFERROR(__xludf.DUMMYFUNCTION("""COMPUTED_VALUE"""),96.594)</f>
        <v>96.593999999999994</v>
      </c>
      <c r="Y339" s="5" t="str">
        <f ca="1">IFERROR(__xludf.DUMMYFUNCTION("""COMPUTED_VALUE"""),"Medium")</f>
        <v>Medium</v>
      </c>
      <c r="Z339" s="5">
        <f ca="1">IFERROR(__xludf.DUMMYFUNCTION("""COMPUTED_VALUE"""),12.056)</f>
        <v>12.055999999999999</v>
      </c>
      <c r="AA339" s="14">
        <f ca="1">IFERROR(__xludf.DUMMYFUNCTION("""COMPUTED_VALUE"""),750)</f>
        <v>750</v>
      </c>
      <c r="AB339" s="5">
        <f ca="1">IFERROR(__xludf.DUMMYFUNCTION("""COMPUTED_VALUE"""),18)</f>
        <v>18</v>
      </c>
      <c r="AC339" s="5" t="str">
        <f ca="1">IFERROR(__xludf.DUMMYFUNCTION("""COMPUTED_VALUE"""),"Exploding Wild")</f>
        <v>Exploding Wild</v>
      </c>
      <c r="AD339" s="5" t="str">
        <f ca="1">IFERROR(__xludf.DUMMYFUNCTION("""COMPUTED_VALUE"""),"0.4/60")</f>
        <v>0.4/60</v>
      </c>
      <c r="AE339" s="5"/>
      <c r="AF339" s="5"/>
      <c r="AG339" s="10">
        <f ca="1">IFERROR(__xludf.DUMMYFUNCTION("""COMPUTED_VALUE"""),46085.6862962963)</f>
        <v>46085.686296296299</v>
      </c>
      <c r="AH339" s="5" t="str">
        <f ca="1">IFERROR(__xludf.DUMMYFUNCTION("""COMPUTED_VALUE"""),"djordje.petrovic@fazi.rs")</f>
        <v>djordje.petrovic@fazi.rs</v>
      </c>
      <c r="AI339" s="5"/>
      <c r="AJ339" s="5"/>
      <c r="AK339" s="5" t="str">
        <f ca="1">IFERROR(__xludf.DUMMYFUNCTION("""COMPUTED_VALUE"""),"NULL")</f>
        <v>NULL</v>
      </c>
      <c r="AL339" s="5" t="str">
        <f ca="1">IFERROR(__xludf.DUMMYFUNCTION("""COMPUTED_VALUE"""),"Yes")</f>
        <v>Yes</v>
      </c>
      <c r="AM339" s="5"/>
      <c r="AN339" s="7" t="str">
        <f ca="1">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339" s="5" t="str">
        <f ca="1">IFERROR(__xludf.DUMMYFUNCTION("""COMPUTED_VALUE"""),"Yes")</f>
        <v>Yes</v>
      </c>
      <c r="AP339" s="5" t="str">
        <f ca="1">IFERROR(__xludf.DUMMYFUNCTION("""COMPUTED_VALUE"""),"Yes")</f>
        <v>Yes</v>
      </c>
      <c r="AQ339" s="5" t="b">
        <f ca="1">IFERROR(__xludf.DUMMYFUNCTION("""COMPUTED_VALUE"""),TRUE)</f>
        <v>1</v>
      </c>
      <c r="AR339" s="5"/>
      <c r="AS339" s="5" t="str">
        <f ca="1">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AT339" s="5" t="str">
        <f ca="1">IFERROR(__xludf.DUMMYFUNCTION("""COMPUTED_VALUE"""),"No")</f>
        <v>No</v>
      </c>
      <c r="AU339" s="5" t="str">
        <f ca="1">IFERROR(__xludf.DUMMYFUNCTION("""COMPUTED_VALUE"""),"Fazi")</f>
        <v>Fazi</v>
      </c>
      <c r="AV339" s="5"/>
      <c r="AW339" s="5" t="str">
        <f ca="1">IFERROR(__xludf.DUMMYFUNCTION("""COMPUTED_VALUE"""),"Testirano na platformi")</f>
        <v>Testirano na platformi</v>
      </c>
      <c r="AX339" s="5"/>
      <c r="AY339" s="5"/>
      <c r="AZ339" s="5"/>
      <c r="BA339" s="5" t="str">
        <f ca="1">IFERROR(__xludf.DUMMYFUNCTION("""COMPUTED_VALUE"""),"")</f>
        <v/>
      </c>
      <c r="BB339" s="5"/>
      <c r="BC339" s="5" t="str">
        <f ca="1">IFERROR(__xludf.DUMMYFUNCTION("""COMPUTED_VALUE"""),"Foxi")</f>
        <v>Foxi</v>
      </c>
      <c r="BD339" s="7" t="str">
        <f ca="1">IFERROR(__xludf.DUMMYFUNCTION("""COMPUTED_VALUE"""),"https://gameserver-store-client-area.orbionlimited.com/Home/IntegrationGameLaunch/client-area?moneyType=0&amp;gameName=BlowFruits40&amp;platform=desktop&amp;languageCode=eng&amp;currency=EUR")</f>
        <v>https://gameserver-store-client-area.orbionlimited.com/Home/IntegrationGameLaunch/client-area?moneyType=0&amp;gameName=BlowFruits40&amp;platform=desktop&amp;languageCode=eng&amp;currency=EUR</v>
      </c>
      <c r="BE339" s="5" t="b">
        <f ca="1">IFERROR(__xludf.DUMMYFUNCTION("""COMPUTED_VALUE"""),TRUE)</f>
        <v>1</v>
      </c>
    </row>
    <row r="340" spans="1:57" x14ac:dyDescent="0.25">
      <c r="A340" s="5">
        <f ca="1">IFERROR(__xludf.DUMMYFUNCTION("""COMPUTED_VALUE"""),344)</f>
        <v>344</v>
      </c>
      <c r="B340" s="5">
        <f ca="1">IFERROR(__xludf.DUMMYFUNCTION("""COMPUTED_VALUE"""),2003)</f>
        <v>2003</v>
      </c>
      <c r="C340" s="5" t="str">
        <f ca="1">IFERROR(__xludf.DUMMYFUNCTION("""COMPUTED_VALUE"""),"Fazi")</f>
        <v>Fazi</v>
      </c>
      <c r="D340" s="5" t="str">
        <f ca="1">IFERROR(__xludf.DUMMYFUNCTION("""COMPUTED_VALUE"""),"Age of Rome")</f>
        <v>Age of Rome</v>
      </c>
      <c r="E340" s="5" t="str">
        <f ca="1">IFERROR(__xludf.DUMMYFUNCTION("""COMPUTED_VALUE"""),"V4-2")</f>
        <v>V4-2</v>
      </c>
      <c r="F340" s="5" t="str">
        <f ca="1">IFERROR(__xludf.DUMMYFUNCTION("""COMPUTED_VALUE"""),"AgeOfRome")</f>
        <v>AgeOfRome</v>
      </c>
      <c r="G340" s="5" t="str">
        <f ca="1">IFERROR(__xludf.DUMMYFUNCTION("""COMPUTED_VALUE"""),"Live")</f>
        <v>Live</v>
      </c>
      <c r="H340" s="5"/>
      <c r="I340" s="5" t="str">
        <f ca="1">IFERROR(__xludf.DUMMYFUNCTION("""COMPUTED_VALUE"""),"V4")</f>
        <v>V4</v>
      </c>
      <c r="J340" s="5" t="str">
        <f ca="1">IFERROR(__xludf.DUMMYFUNCTION("""COMPUTED_VALUE"""),"JSON")</f>
        <v>JSON</v>
      </c>
      <c r="K340" s="5" t="str">
        <f ca="1">IFERROR(__xludf.DUMMYFUNCTION("""COMPUTED_VALUE"""),"Slot")</f>
        <v>Slot</v>
      </c>
      <c r="L340" s="5" t="str">
        <f ca="1">IFERROR(__xludf.DUMMYFUNCTION("""COMPUTED_VALUE"""),"Master")</f>
        <v>Master</v>
      </c>
      <c r="M340" s="5"/>
      <c r="N340" s="7" t="str">
        <f ca="1">IFERROR(__xludf.DUMMYFUNCTION("""COMPUTED_VALUE"""),"https://drive.google.com/file/d/14yOLKz6xQ-f2rXoAd31NAfoZfcclkWkd/view?usp=drive_link")</f>
        <v>https://drive.google.com/file/d/14yOLKz6xQ-f2rXoAd31NAfoZfcclkWkd/view?usp=drive_link</v>
      </c>
      <c r="O340" s="7" t="str">
        <f ca="1">IFERROR(__xludf.DUMMYFUNCTION("""COMPUTED_VALUE"""),"https://drive.google.com/file/d/1oV_sbQ1uPYps71br5FN121qUs1JHr-hc/view?usp=drive_link")</f>
        <v>https://drive.google.com/file/d/1oV_sbQ1uPYps71br5FN121qUs1JHr-hc/view?usp=drive_link</v>
      </c>
      <c r="P340" s="14">
        <f ca="1">IFERROR(__xludf.DUMMYFUNCTION("""COMPUTED_VALUE"""),33.1)</f>
        <v>33.1</v>
      </c>
      <c r="Q340" s="17">
        <f ca="1">IFERROR(__xludf.DUMMYFUNCTION("""COMPUTED_VALUE"""),45747)</f>
        <v>45747</v>
      </c>
      <c r="R340" s="17">
        <f ca="1">IFERROR(__xludf.DUMMYFUNCTION("""COMPUTED_VALUE"""),45762)</f>
        <v>45762</v>
      </c>
      <c r="S340" s="15">
        <f ca="1">IFERROR(__xludf.DUMMYFUNCTION("""COMPUTED_VALUE"""),45769)</f>
        <v>45769</v>
      </c>
      <c r="T340" s="5" t="b">
        <f ca="1">IFERROR(__xludf.DUMMYFUNCTION("""COMPUTED_VALUE"""),TRUE)</f>
        <v>1</v>
      </c>
      <c r="U340" s="5" t="str">
        <f ca="1">IFERROR(__xludf.DUMMYFUNCTION("""COMPUTED_VALUE"""),"5x3")</f>
        <v>5x3</v>
      </c>
      <c r="V340" s="12" t="str">
        <f ca="1">IFERROR(__xludf.DUMMYFUNCTION("""COMPUTED_VALUE"""),"20")</f>
        <v>20</v>
      </c>
      <c r="W340" s="12" t="str">
        <f ca="1">IFERROR(__xludf.DUMMYFUNCTION("""COMPUTED_VALUE"""),"20")</f>
        <v>20</v>
      </c>
      <c r="X340" s="13">
        <f ca="1">IFERROR(__xludf.DUMMYFUNCTION("""COMPUTED_VALUE"""),96.502)</f>
        <v>96.501999999999995</v>
      </c>
      <c r="Y340" s="5" t="str">
        <f ca="1">IFERROR(__xludf.DUMMYFUNCTION("""COMPUTED_VALUE"""),"High")</f>
        <v>High</v>
      </c>
      <c r="Z340" s="5">
        <f ca="1">IFERROR(__xludf.DUMMYFUNCTION("""COMPUTED_VALUE"""),12.937)</f>
        <v>12.936999999999999</v>
      </c>
      <c r="AA340" s="14">
        <f ca="1">IFERROR(__xludf.DUMMYFUNCTION("""COMPUTED_VALUE"""),14000)</f>
        <v>14000</v>
      </c>
      <c r="AB340" s="5">
        <f ca="1">IFERROR(__xludf.DUMMYFUNCTION("""COMPUTED_VALUE"""),345)</f>
        <v>345</v>
      </c>
      <c r="AC340" s="5" t="str">
        <f ca="1">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AD340" s="5" t="str">
        <f ca="1">IFERROR(__xludf.DUMMYFUNCTION("""COMPUTED_VALUE"""),"0.4/60")</f>
        <v>0.4/60</v>
      </c>
      <c r="AE340" s="5"/>
      <c r="AF340" s="5"/>
      <c r="AG340" s="10">
        <f ca="1">IFERROR(__xludf.DUMMYFUNCTION("""COMPUTED_VALUE"""),46112.611412037)</f>
        <v>46112.611412036997</v>
      </c>
      <c r="AH340" s="5" t="str">
        <f ca="1">IFERROR(__xludf.DUMMYFUNCTION("""COMPUTED_VALUE"""),"sandra.stamenkovic@fazi.rs")</f>
        <v>sandra.stamenkovic@fazi.rs</v>
      </c>
      <c r="AI340" s="15">
        <f ca="1">IFERROR(__xludf.DUMMYFUNCTION("""COMPUTED_VALUE"""),45749)</f>
        <v>45749</v>
      </c>
      <c r="AJ340" s="5" t="str">
        <f ca="1">IFERROR(__xludf.DUMMYFUNCTION("""COMPUTED_VALUE"""),"DUX : Ninecasino, Betonred, Cryptoleo
GRR Tech: Brunocasino, Bdmbet, Felixspin, Savaspin, Winaura, Liraspin, Lazybar
Volcano MNE pre-release od 14. aprila")</f>
        <v>DUX : Ninecasino, Betonred, Cryptoleo
GRR Tech: Brunocasino, Bdmbet, Felixspin, Savaspin, Winaura, Liraspin, Lazybar
Volcano MNE pre-release od 14. aprila</v>
      </c>
      <c r="AK340" s="5">
        <f ca="1">IFERROR(__xludf.DUMMYFUNCTION("""COMPUTED_VALUE"""),1)</f>
        <v>1</v>
      </c>
      <c r="AL340" s="5" t="str">
        <f ca="1">IFERROR(__xludf.DUMMYFUNCTION("""COMPUTED_VALUE"""),"Yes")</f>
        <v>Yes</v>
      </c>
      <c r="AM340" s="5"/>
      <c r="AN340" s="7" t="str">
        <f ca="1">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AO340" s="5" t="str">
        <f ca="1">IFERROR(__xludf.DUMMYFUNCTION("""COMPUTED_VALUE"""),"Yes")</f>
        <v>Yes</v>
      </c>
      <c r="AP340" s="5" t="str">
        <f ca="1">IFERROR(__xludf.DUMMYFUNCTION("""COMPUTED_VALUE"""),"Yes")</f>
        <v>Yes</v>
      </c>
      <c r="AQ340" s="5" t="b">
        <f ca="1">IFERROR(__xludf.DUMMYFUNCTION("""COMPUTED_VALUE"""),TRUE)</f>
        <v>1</v>
      </c>
      <c r="AR340" s="5"/>
      <c r="AS340" s="5" t="str">
        <f ca="1">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AT340" s="5" t="str">
        <f ca="1">IFERROR(__xludf.DUMMYFUNCTION("""COMPUTED_VALUE"""),"Yes")</f>
        <v>Yes</v>
      </c>
      <c r="AU340" s="5" t="str">
        <f ca="1">IFERROR(__xludf.DUMMYFUNCTION("""COMPUTED_VALUE"""),"Fazi")</f>
        <v>Fazi</v>
      </c>
      <c r="AV340" s="5"/>
      <c r="AW340" s="5"/>
      <c r="AX340" s="5"/>
      <c r="AY340" s="5"/>
      <c r="AZ340" s="5"/>
      <c r="BA340" s="5">
        <f ca="1">IFERROR(__xludf.DUMMYFUNCTION("""COMPUTED_VALUE"""),100)</f>
        <v>100</v>
      </c>
      <c r="BB340" s="5"/>
      <c r="BC340" s="5" t="str">
        <f ca="1">IFERROR(__xludf.DUMMYFUNCTION("""COMPUTED_VALUE"""),"Foxi")</f>
        <v>Foxi</v>
      </c>
      <c r="BD340" s="7" t="str">
        <f ca="1">IFERROR(__xludf.DUMMYFUNCTION("""COMPUTED_VALUE"""),"https://gameserver-store-client-area.orbionlimited.com/Home/IntegrationGameLaunch/client-area?moneyType=0&amp;gameName=AgeOfRome&amp;platform=desktop&amp;languageCode=eng&amp;currency=EUR")</f>
        <v>https://gameserver-store-client-area.orbionlimited.com/Home/IntegrationGameLaunch/client-area?moneyType=0&amp;gameName=AgeOfRome&amp;platform=desktop&amp;languageCode=eng&amp;currency=EUR</v>
      </c>
      <c r="BE340" s="5" t="b">
        <f ca="1">IFERROR(__xludf.DUMMYFUNCTION("""COMPUTED_VALUE"""),TRUE)</f>
        <v>1</v>
      </c>
    </row>
    <row r="341" spans="1:57" x14ac:dyDescent="0.25">
      <c r="A341" s="5">
        <f ca="1">IFERROR(__xludf.DUMMYFUNCTION("""COMPUTED_VALUE"""),345)</f>
        <v>345</v>
      </c>
      <c r="B341" s="5">
        <f ca="1">IFERROR(__xludf.DUMMYFUNCTION("""COMPUTED_VALUE"""),2005)</f>
        <v>2005</v>
      </c>
      <c r="C341" s="5" t="str">
        <f ca="1">IFERROR(__xludf.DUMMYFUNCTION("""COMPUTED_VALUE"""),"Fazi")</f>
        <v>Fazi</v>
      </c>
      <c r="D341" s="5" t="str">
        <f ca="1">IFERROR(__xludf.DUMMYFUNCTION("""COMPUTED_VALUE"""),"Fruity Force 40")</f>
        <v>Fruity Force 40</v>
      </c>
      <c r="E341" s="5" t="str">
        <f ca="1">IFERROR(__xludf.DUMMYFUNCTION("""COMPUTED_VALUE"""),"V4-2")</f>
        <v>V4-2</v>
      </c>
      <c r="F341" s="5" t="str">
        <f ca="1">IFERROR(__xludf.DUMMYFUNCTION("""COMPUTED_VALUE"""),"FruityForce40")</f>
        <v>FruityForce40</v>
      </c>
      <c r="G341" s="5" t="str">
        <f ca="1">IFERROR(__xludf.DUMMYFUNCTION("""COMPUTED_VALUE"""),"Live")</f>
        <v>Live</v>
      </c>
      <c r="H341" s="5"/>
      <c r="I341" s="5" t="str">
        <f ca="1">IFERROR(__xludf.DUMMYFUNCTION("""COMPUTED_VALUE"""),"V4")</f>
        <v>V4</v>
      </c>
      <c r="J341" s="5" t="str">
        <f ca="1">IFERROR(__xludf.DUMMYFUNCTION("""COMPUTED_VALUE"""),"JSON")</f>
        <v>JSON</v>
      </c>
      <c r="K341" s="5" t="str">
        <f ca="1">IFERROR(__xludf.DUMMYFUNCTION("""COMPUTED_VALUE"""),"Slot")</f>
        <v>Slot</v>
      </c>
      <c r="L341" s="5" t="str">
        <f ca="1">IFERROR(__xludf.DUMMYFUNCTION("""COMPUTED_VALUE"""),"Master")</f>
        <v>Master</v>
      </c>
      <c r="M341" s="5"/>
      <c r="N341" s="7" t="str">
        <f ca="1">IFERROR(__xludf.DUMMYFUNCTION("""COMPUTED_VALUE"""),"https://drive.google.com/file/d/1Bzk5T4MRXZAiUngZZUNnNYIqLHVoexC2/view?usp=drive_link")</f>
        <v>https://drive.google.com/file/d/1Bzk5T4MRXZAiUngZZUNnNYIqLHVoexC2/view?usp=drive_link</v>
      </c>
      <c r="O341" s="7" t="str">
        <f ca="1">IFERROR(__xludf.DUMMYFUNCTION("""COMPUTED_VALUE"""),"https://drive.google.com/file/d/1m2cQxpCNQfIiTNBZum4iZQ4bQKcgPfnP/view?usp=drive_link")</f>
        <v>https://drive.google.com/file/d/1m2cQxpCNQfIiTNBZum4iZQ4bQKcgPfnP/view?usp=drive_link</v>
      </c>
      <c r="P341" s="14">
        <f ca="1">IFERROR(__xludf.DUMMYFUNCTION("""COMPUTED_VALUE"""),22.6)</f>
        <v>22.6</v>
      </c>
      <c r="Q341" s="17">
        <f ca="1">IFERROR(__xludf.DUMMYFUNCTION("""COMPUTED_VALUE"""),45733)</f>
        <v>45733</v>
      </c>
      <c r="R341" s="17">
        <f ca="1">IFERROR(__xludf.DUMMYFUNCTION("""COMPUTED_VALUE"""),45736)</f>
        <v>45736</v>
      </c>
      <c r="S341" s="15">
        <f ca="1">IFERROR(__xludf.DUMMYFUNCTION("""COMPUTED_VALUE"""),45743)</f>
        <v>45743</v>
      </c>
      <c r="T341" s="5" t="b">
        <f ca="1">IFERROR(__xludf.DUMMYFUNCTION("""COMPUTED_VALUE"""),TRUE)</f>
        <v>1</v>
      </c>
      <c r="U341" s="5" t="str">
        <f ca="1">IFERROR(__xludf.DUMMYFUNCTION("""COMPUTED_VALUE"""),"5x4")</f>
        <v>5x4</v>
      </c>
      <c r="V341" s="12" t="str">
        <f ca="1">IFERROR(__xludf.DUMMYFUNCTION("""COMPUTED_VALUE"""),"40")</f>
        <v>40</v>
      </c>
      <c r="W341" s="12" t="str">
        <f ca="1">IFERROR(__xludf.DUMMYFUNCTION("""COMPUTED_VALUE"""),"40")</f>
        <v>40</v>
      </c>
      <c r="X341" s="13">
        <f ca="1">IFERROR(__xludf.DUMMYFUNCTION("""COMPUTED_VALUE"""),96.621)</f>
        <v>96.620999999999995</v>
      </c>
      <c r="Y341" s="5" t="str">
        <f ca="1">IFERROR(__xludf.DUMMYFUNCTION("""COMPUTED_VALUE"""),"High")</f>
        <v>High</v>
      </c>
      <c r="Z341" s="5">
        <f ca="1">IFERROR(__xludf.DUMMYFUNCTION("""COMPUTED_VALUE"""),12.617)</f>
        <v>12.617000000000001</v>
      </c>
      <c r="AA341" s="14">
        <f ca="1">IFERROR(__xludf.DUMMYFUNCTION("""COMPUTED_VALUE"""),25000)</f>
        <v>25000</v>
      </c>
      <c r="AB341" s="5"/>
      <c r="AC341" s="5" t="str">
        <f ca="1">IFERROR(__xludf.DUMMYFUNCTION("""COMPUTED_VALUE"""),"Level Pay, Win Multiplier, Buy Feature")</f>
        <v>Level Pay, Win Multiplier, Buy Feature</v>
      </c>
      <c r="AD341" s="5" t="str">
        <f ca="1">IFERROR(__xludf.DUMMYFUNCTION("""COMPUTED_VALUE"""),"0.40/60")</f>
        <v>0.40/60</v>
      </c>
      <c r="AE341" s="5"/>
      <c r="AF341" s="5"/>
      <c r="AG341" s="10">
        <f ca="1">IFERROR(__xludf.DUMMYFUNCTION("""COMPUTED_VALUE"""),46182.6362847222)</f>
        <v>46182.636284722197</v>
      </c>
      <c r="AH341" s="5" t="str">
        <f ca="1">IFERROR(__xludf.DUMMYFUNCTION("""COMPUTED_VALUE"""),"aleksandar.trajkovic@fazi.rs")</f>
        <v>aleksandar.trajkovic@fazi.rs</v>
      </c>
      <c r="AI341" s="5"/>
      <c r="AJ341" s="5"/>
      <c r="AK341" s="5">
        <f ca="1">IFERROR(__xludf.DUMMYFUNCTION("""COMPUTED_VALUE"""),40)</f>
        <v>40</v>
      </c>
      <c r="AL341" s="5" t="str">
        <f ca="1">IFERROR(__xludf.DUMMYFUNCTION("""COMPUTED_VALUE"""),"Yes")</f>
        <v>Yes</v>
      </c>
      <c r="AM341" s="5"/>
      <c r="AN341" s="7" t="str">
        <f ca="1">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AO341" s="5" t="str">
        <f ca="1">IFERROR(__xludf.DUMMYFUNCTION("""COMPUTED_VALUE"""),"No")</f>
        <v>No</v>
      </c>
      <c r="AP341" s="5" t="str">
        <f ca="1">IFERROR(__xludf.DUMMYFUNCTION("""COMPUTED_VALUE"""),"No")</f>
        <v>No</v>
      </c>
      <c r="AQ341" s="5" t="b">
        <f ca="1">IFERROR(__xludf.DUMMYFUNCTION("""COMPUTED_VALUE"""),TRUE)</f>
        <v>1</v>
      </c>
      <c r="AR341" s="5"/>
      <c r="AS341" s="5" t="str">
        <f ca="1">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AT341" s="5" t="str">
        <f ca="1">IFERROR(__xludf.DUMMYFUNCTION("""COMPUTED_VALUE"""),"Yes")</f>
        <v>Yes</v>
      </c>
      <c r="AU341" s="5" t="str">
        <f ca="1">IFERROR(__xludf.DUMMYFUNCTION("""COMPUTED_VALUE"""),"Fazi")</f>
        <v>Fazi</v>
      </c>
      <c r="AV341" s="5"/>
      <c r="AW341" s="5"/>
      <c r="AX341" s="5"/>
      <c r="AY341" s="5"/>
      <c r="AZ341" s="5"/>
      <c r="BA341" s="5"/>
      <c r="BB341" s="5"/>
      <c r="BC341" s="5" t="str">
        <f ca="1">IFERROR(__xludf.DUMMYFUNCTION("""COMPUTED_VALUE"""),"Foxi")</f>
        <v>Foxi</v>
      </c>
      <c r="BD341" s="7" t="str">
        <f ca="1">IFERROR(__xludf.DUMMYFUNCTION("""COMPUTED_VALUE"""),"https://gameserver-store-client-area.orbionlimited.com/Home/IntegrationGameLaunch/client-area?moneyType=0&amp;gameName=FruityForce40&amp;platform=desktop&amp;languageCode=eng&amp;currency=EUR")</f>
        <v>https://gameserver-store-client-area.orbionlimited.com/Home/IntegrationGameLaunch/client-area?moneyType=0&amp;gameName=FruityForce40&amp;platform=desktop&amp;languageCode=eng&amp;currency=EUR</v>
      </c>
      <c r="BE341" s="5" t="b">
        <f ca="1">IFERROR(__xludf.DUMMYFUNCTION("""COMPUTED_VALUE"""),TRUE)</f>
        <v>1</v>
      </c>
    </row>
    <row r="342" spans="1:57" x14ac:dyDescent="0.25">
      <c r="A342" s="5">
        <f ca="1">IFERROR(__xludf.DUMMYFUNCTION("""COMPUTED_VALUE"""),346)</f>
        <v>346</v>
      </c>
      <c r="B342" s="5">
        <f ca="1">IFERROR(__xludf.DUMMYFUNCTION("""COMPUTED_VALUE"""),2004)</f>
        <v>2004</v>
      </c>
      <c r="C342" s="5" t="str">
        <f ca="1">IFERROR(__xludf.DUMMYFUNCTION("""COMPUTED_VALUE"""),"Fazi")</f>
        <v>Fazi</v>
      </c>
      <c r="D342" s="5" t="str">
        <f ca="1">IFERROR(__xludf.DUMMYFUNCTION("""COMPUTED_VALUE"""),"Bonus Crown")</f>
        <v>Bonus Crown</v>
      </c>
      <c r="E342" s="5" t="str">
        <f ca="1">IFERROR(__xludf.DUMMYFUNCTION("""COMPUTED_VALUE"""),"V4-2")</f>
        <v>V4-2</v>
      </c>
      <c r="F342" s="5" t="str">
        <f ca="1">IFERROR(__xludf.DUMMYFUNCTION("""COMPUTED_VALUE"""),"BonusCrown")</f>
        <v>BonusCrown</v>
      </c>
      <c r="G342" s="5" t="str">
        <f ca="1">IFERROR(__xludf.DUMMYFUNCTION("""COMPUTED_VALUE"""),"Live")</f>
        <v>Live</v>
      </c>
      <c r="H342" s="5"/>
      <c r="I342" s="5" t="str">
        <f ca="1">IFERROR(__xludf.DUMMYFUNCTION("""COMPUTED_VALUE"""),"V4")</f>
        <v>V4</v>
      </c>
      <c r="J342" s="5" t="str">
        <f ca="1">IFERROR(__xludf.DUMMYFUNCTION("""COMPUTED_VALUE"""),"JSON")</f>
        <v>JSON</v>
      </c>
      <c r="K342" s="5" t="str">
        <f ca="1">IFERROR(__xludf.DUMMYFUNCTION("""COMPUTED_VALUE"""),"Slot")</f>
        <v>Slot</v>
      </c>
      <c r="L342" s="5" t="str">
        <f ca="1">IFERROR(__xludf.DUMMYFUNCTION("""COMPUTED_VALUE""")," Variant")</f>
        <v xml:space="preserve"> Variant</v>
      </c>
      <c r="M342" s="5" t="str">
        <f ca="1">IFERROR(__xludf.DUMMYFUNCTION("""COMPUTED_VALUE"""),"Bonus Epic Crown")</f>
        <v>Bonus Epic Crown</v>
      </c>
      <c r="N342" s="7" t="str">
        <f ca="1">IFERROR(__xludf.DUMMYFUNCTION("""COMPUTED_VALUE"""),"https://drive.google.com/file/d/1cxG6mU16qcu_ClB03Mcybh8Phw3vHxjf/view?usp=drive_link")</f>
        <v>https://drive.google.com/file/d/1cxG6mU16qcu_ClB03Mcybh8Phw3vHxjf/view?usp=drive_link</v>
      </c>
      <c r="O342" s="7" t="str">
        <f ca="1">IFERROR(__xludf.DUMMYFUNCTION("""COMPUTED_VALUE"""),"https://drive.google.com/file/d/19S8lEmrFJHzmRlgOTArf8w7jWrtdVwFJ/view?usp=drive_link")</f>
        <v>https://drive.google.com/file/d/19S8lEmrFJHzmRlgOTArf8w7jWrtdVwFJ/view?usp=drive_link</v>
      </c>
      <c r="P342" s="14">
        <f ca="1">IFERROR(__xludf.DUMMYFUNCTION("""COMPUTED_VALUE"""),17)</f>
        <v>17</v>
      </c>
      <c r="Q342" s="17">
        <f ca="1">IFERROR(__xludf.DUMMYFUNCTION("""COMPUTED_VALUE"""),45608)</f>
        <v>45608</v>
      </c>
      <c r="R342" s="17">
        <f ca="1">IFERROR(__xludf.DUMMYFUNCTION("""COMPUTED_VALUE"""),45608)</f>
        <v>45608</v>
      </c>
      <c r="S342" s="15">
        <f ca="1">IFERROR(__xludf.DUMMYFUNCTION("""COMPUTED_VALUE"""),45615)</f>
        <v>45615</v>
      </c>
      <c r="T342" s="5" t="b">
        <f ca="1">IFERROR(__xludf.DUMMYFUNCTION("""COMPUTED_VALUE"""),TRUE)</f>
        <v>1</v>
      </c>
      <c r="U342" s="5" t="str">
        <f ca="1">IFERROR(__xludf.DUMMYFUNCTION("""COMPUTED_VALUE"""),"5x3")</f>
        <v>5x3</v>
      </c>
      <c r="V342" s="12" t="str">
        <f ca="1">IFERROR(__xludf.DUMMYFUNCTION("""COMPUTED_VALUE"""),"10")</f>
        <v>10</v>
      </c>
      <c r="W342" s="12" t="str">
        <f ca="1">IFERROR(__xludf.DUMMYFUNCTION("""COMPUTED_VALUE"""),"10")</f>
        <v>10</v>
      </c>
      <c r="X342" s="13">
        <f ca="1">IFERROR(__xludf.DUMMYFUNCTION("""COMPUTED_VALUE"""),96.533)</f>
        <v>96.533000000000001</v>
      </c>
      <c r="Y342" s="5" t="str">
        <f ca="1">IFERROR(__xludf.DUMMYFUNCTION("""COMPUTED_VALUE"""),"High")</f>
        <v>High</v>
      </c>
      <c r="Z342" s="5">
        <f ca="1">IFERROR(__xludf.DUMMYFUNCTION("""COMPUTED_VALUE"""),10.607)</f>
        <v>10.606999999999999</v>
      </c>
      <c r="AA342" s="14">
        <f ca="1">IFERROR(__xludf.DUMMYFUNCTION("""COMPUTED_VALUE"""),10400)</f>
        <v>10400</v>
      </c>
      <c r="AB342" s="5">
        <f ca="1">IFERROR(__xludf.DUMMYFUNCTION("""COMPUTED_VALUE"""),190)</f>
        <v>190</v>
      </c>
      <c r="AC342" s="5" t="str">
        <f ca="1">IFERROR(__xludf.DUMMYFUNCTION("""COMPUTED_VALUE"""),"Extralines, Expanding Wild, Buy Bonus")</f>
        <v>Extralines, Expanding Wild, Buy Bonus</v>
      </c>
      <c r="AD342" s="5" t="str">
        <f ca="1">IFERROR(__xludf.DUMMYFUNCTION("""COMPUTED_VALUE"""),"0.1/40")</f>
        <v>0.1/40</v>
      </c>
      <c r="AE342" s="5"/>
      <c r="AF342" s="5"/>
      <c r="AG342" s="10">
        <f ca="1">IFERROR(__xludf.DUMMYFUNCTION("""COMPUTED_VALUE"""),46212.6878009259)</f>
        <v>46212.687800925902</v>
      </c>
      <c r="AH342" s="5" t="str">
        <f ca="1">IFERROR(__xludf.DUMMYFUNCTION("""COMPUTED_VALUE"""),"djordje.petrovic@fazi.rs")</f>
        <v>djordje.petrovic@fazi.rs</v>
      </c>
      <c r="AI342" s="5"/>
      <c r="AJ342" s="5"/>
      <c r="AK342" s="5">
        <f ca="1">IFERROR(__xludf.DUMMYFUNCTION("""COMPUTED_VALUE"""),10)</f>
        <v>10</v>
      </c>
      <c r="AL342" s="5" t="str">
        <f ca="1">IFERROR(__xludf.DUMMYFUNCTION("""COMPUTED_VALUE"""),"Yes")</f>
        <v>Yes</v>
      </c>
      <c r="AM342" s="5"/>
      <c r="AN342" s="7" t="str">
        <f ca="1">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AO342" s="5" t="str">
        <f ca="1">IFERROR(__xludf.DUMMYFUNCTION("""COMPUTED_VALUE"""),"Yes")</f>
        <v>Yes</v>
      </c>
      <c r="AP342" s="5" t="str">
        <f ca="1">IFERROR(__xludf.DUMMYFUNCTION("""COMPUTED_VALUE"""),"Yes")</f>
        <v>Yes</v>
      </c>
      <c r="AQ342" s="5" t="b">
        <f ca="1">IFERROR(__xludf.DUMMYFUNCTION("""COMPUTED_VALUE"""),TRUE)</f>
        <v>1</v>
      </c>
      <c r="AR342" s="5"/>
      <c r="AS342" s="5" t="str">
        <f ca="1">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AT342" s="5" t="str">
        <f ca="1">IFERROR(__xludf.DUMMYFUNCTION("""COMPUTED_VALUE"""),"Yes")</f>
        <v>Yes</v>
      </c>
      <c r="AU342" s="5" t="str">
        <f ca="1">IFERROR(__xludf.DUMMYFUNCTION("""COMPUTED_VALUE"""),"Fazi")</f>
        <v>Fazi</v>
      </c>
      <c r="AV342" s="5"/>
      <c r="AW342"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2" s="5"/>
      <c r="AY342" s="5"/>
      <c r="AZ342" s="5"/>
      <c r="BA342" s="5" t="str">
        <f ca="1">IFERROR(__xludf.DUMMYFUNCTION("""COMPUTED_VALUE"""),"54, 81, 108")</f>
        <v>54, 81, 108</v>
      </c>
      <c r="BB342" s="5"/>
      <c r="BC342" s="5" t="str">
        <f ca="1">IFERROR(__xludf.DUMMYFUNCTION("""COMPUTED_VALUE"""),"Foxi")</f>
        <v>Foxi</v>
      </c>
      <c r="BD342" s="7" t="str">
        <f ca="1">IFERROR(__xludf.DUMMYFUNCTION("""COMPUTED_VALUE"""),"https://gameserver-store-client-area.orbionlimited.com/Home/IntegrationGameLaunch/client-area?moneyType=0&amp;gameName=BonusCrown&amp;platform=desktop&amp;languageCode=eng&amp;currency=EUR")</f>
        <v>https://gameserver-store-client-area.orbionlimited.com/Home/IntegrationGameLaunch/client-area?moneyType=0&amp;gameName=BonusCrown&amp;platform=desktop&amp;languageCode=eng&amp;currency=EUR</v>
      </c>
      <c r="BE342" s="5" t="b">
        <f ca="1">IFERROR(__xludf.DUMMYFUNCTION("""COMPUTED_VALUE"""),TRUE)</f>
        <v>1</v>
      </c>
    </row>
    <row r="343" spans="1:57" x14ac:dyDescent="0.25">
      <c r="A343" s="5">
        <f ca="1">IFERROR(__xludf.DUMMYFUNCTION("""COMPUTED_VALUE"""),347)</f>
        <v>347</v>
      </c>
      <c r="B343" s="5">
        <f ca="1">IFERROR(__xludf.DUMMYFUNCTION("""COMPUTED_VALUE"""),2006)</f>
        <v>2006</v>
      </c>
      <c r="C343" s="5" t="str">
        <f ca="1">IFERROR(__xludf.DUMMYFUNCTION("""COMPUTED_VALUE"""),"Fazi")</f>
        <v>Fazi</v>
      </c>
      <c r="D343" s="5" t="str">
        <f ca="1">IFERROR(__xludf.DUMMYFUNCTION("""COMPUTED_VALUE"""),"Aqua Flame")</f>
        <v>Aqua Flame</v>
      </c>
      <c r="E343" s="5" t="str">
        <f ca="1">IFERROR(__xludf.DUMMYFUNCTION("""COMPUTED_VALUE"""),"V4-2")</f>
        <v>V4-2</v>
      </c>
      <c r="F343" s="5" t="str">
        <f ca="1">IFERROR(__xludf.DUMMYFUNCTION("""COMPUTED_VALUE"""),"AquaFlame")</f>
        <v>AquaFlame</v>
      </c>
      <c r="G343" s="5" t="str">
        <f ca="1">IFERROR(__xludf.DUMMYFUNCTION("""COMPUTED_VALUE"""),"Live")</f>
        <v>Live</v>
      </c>
      <c r="H343" s="5"/>
      <c r="I343" s="5" t="str">
        <f ca="1">IFERROR(__xludf.DUMMYFUNCTION("""COMPUTED_VALUE"""),"V4")</f>
        <v>V4</v>
      </c>
      <c r="J343" s="5" t="str">
        <f ca="1">IFERROR(__xludf.DUMMYFUNCTION("""COMPUTED_VALUE"""),"JSON")</f>
        <v>JSON</v>
      </c>
      <c r="K343" s="5" t="str">
        <f ca="1">IFERROR(__xludf.DUMMYFUNCTION("""COMPUTED_VALUE"""),"Slot")</f>
        <v>Slot</v>
      </c>
      <c r="L343" s="5" t="str">
        <f ca="1">IFERROR(__xludf.DUMMYFUNCTION("""COMPUTED_VALUE"""),"Master")</f>
        <v>Master</v>
      </c>
      <c r="M343" s="5"/>
      <c r="N343" s="7" t="str">
        <f ca="1">IFERROR(__xludf.DUMMYFUNCTION("""COMPUTED_VALUE"""),"https://drive.google.com/file/d/1QczkBEtF6aigPVs3NS4sPtWhw_oLqrwO/view?usp=drive_link")</f>
        <v>https://drive.google.com/file/d/1QczkBEtF6aigPVs3NS4sPtWhw_oLqrwO/view?usp=drive_link</v>
      </c>
      <c r="O343" s="7" t="str">
        <f ca="1">IFERROR(__xludf.DUMMYFUNCTION("""COMPUTED_VALUE"""),"https://drive.google.com/file/d/1Esuvc7EPZgNNggegkws6JPLTIltpZczW/view?usp=drive_link")</f>
        <v>https://drive.google.com/file/d/1Esuvc7EPZgNNggegkws6JPLTIltpZczW/view?usp=drive_link</v>
      </c>
      <c r="P343" s="5">
        <f ca="1">IFERROR(__xludf.DUMMYFUNCTION("""COMPUTED_VALUE"""),18.8)</f>
        <v>18.8</v>
      </c>
      <c r="Q343" s="17">
        <f ca="1">IFERROR(__xludf.DUMMYFUNCTION("""COMPUTED_VALUE"""),45635)</f>
        <v>45635</v>
      </c>
      <c r="R343" s="17">
        <f ca="1">IFERROR(__xludf.DUMMYFUNCTION("""COMPUTED_VALUE"""),45636)</f>
        <v>45636</v>
      </c>
      <c r="S343" s="15">
        <f ca="1">IFERROR(__xludf.DUMMYFUNCTION("""COMPUTED_VALUE"""),45643)</f>
        <v>45643</v>
      </c>
      <c r="T343" s="5" t="b">
        <f ca="1">IFERROR(__xludf.DUMMYFUNCTION("""COMPUTED_VALUE"""),TRUE)</f>
        <v>1</v>
      </c>
      <c r="U343" s="5" t="str">
        <f ca="1">IFERROR(__xludf.DUMMYFUNCTION("""COMPUTED_VALUE"""),"5x3")</f>
        <v>5x3</v>
      </c>
      <c r="V343" s="12" t="str">
        <f ca="1">IFERROR(__xludf.DUMMYFUNCTION("""COMPUTED_VALUE"""),"20")</f>
        <v>20</v>
      </c>
      <c r="W343" s="12" t="str">
        <f ca="1">IFERROR(__xludf.DUMMYFUNCTION("""COMPUTED_VALUE"""),"20")</f>
        <v>20</v>
      </c>
      <c r="X343" s="13">
        <f ca="1">IFERROR(__xludf.DUMMYFUNCTION("""COMPUTED_VALUE"""),96.502)</f>
        <v>96.501999999999995</v>
      </c>
      <c r="Y343" s="5" t="str">
        <f ca="1">IFERROR(__xludf.DUMMYFUNCTION("""COMPUTED_VALUE"""),"High")</f>
        <v>High</v>
      </c>
      <c r="Z343" s="13">
        <f ca="1">IFERROR(__xludf.DUMMYFUNCTION("""COMPUTED_VALUE"""),17.348)</f>
        <v>17.347999999999999</v>
      </c>
      <c r="AA343" s="14">
        <f ca="1">IFERROR(__xludf.DUMMYFUNCTION("""COMPUTED_VALUE"""),10000)</f>
        <v>10000</v>
      </c>
      <c r="AB343" s="5"/>
      <c r="AC343" s="5" t="str">
        <f ca="1">IFERROR(__xludf.DUMMYFUNCTION("""COMPUTED_VALUE"""),"Select Volatility, Scatter, Wild Symbol")</f>
        <v>Select Volatility, Scatter, Wild Symbol</v>
      </c>
      <c r="AD343" s="5" t="str">
        <f ca="1">IFERROR(__xludf.DUMMYFUNCTION("""COMPUTED_VALUE"""),"0.2/50")</f>
        <v>0.2/50</v>
      </c>
      <c r="AE343" s="5"/>
      <c r="AF343" s="5"/>
      <c r="AG343" s="16">
        <f ca="1">IFERROR(__xludf.DUMMYFUNCTION("""COMPUTED_VALUE"""),46182.6380208333)</f>
        <v>46182.638020833299</v>
      </c>
      <c r="AH343" s="5" t="str">
        <f ca="1">IFERROR(__xludf.DUMMYFUNCTION("""COMPUTED_VALUE"""),"aleksandar.trajkovic@fazi.rs")</f>
        <v>aleksandar.trajkovic@fazi.rs</v>
      </c>
      <c r="AI343" s="5"/>
      <c r="AJ343" s="5"/>
      <c r="AK343" s="5">
        <f ca="1">IFERROR(__xludf.DUMMYFUNCTION("""COMPUTED_VALUE"""),20)</f>
        <v>20</v>
      </c>
      <c r="AL343" s="5" t="str">
        <f ca="1">IFERROR(__xludf.DUMMYFUNCTION("""COMPUTED_VALUE"""),"Yes")</f>
        <v>Yes</v>
      </c>
      <c r="AM343" s="5"/>
      <c r="AN343" s="7" t="str">
        <f ca="1">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AO343" s="5" t="str">
        <f ca="1">IFERROR(__xludf.DUMMYFUNCTION("""COMPUTED_VALUE"""),"Yes")</f>
        <v>Yes</v>
      </c>
      <c r="AP343" s="5" t="str">
        <f ca="1">IFERROR(__xludf.DUMMYFUNCTION("""COMPUTED_VALUE"""),"No")</f>
        <v>No</v>
      </c>
      <c r="AQ343" s="5" t="b">
        <f ca="1">IFERROR(__xludf.DUMMYFUNCTION("""COMPUTED_VALUE"""),TRUE)</f>
        <v>1</v>
      </c>
      <c r="AR343" s="5"/>
      <c r="AS343" s="5" t="str">
        <f ca="1">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AT343" s="5" t="str">
        <f ca="1">IFERROR(__xludf.DUMMYFUNCTION("""COMPUTED_VALUE"""),"Yes")</f>
        <v>Yes</v>
      </c>
      <c r="AU343" s="5" t="str">
        <f ca="1">IFERROR(__xludf.DUMMYFUNCTION("""COMPUTED_VALUE"""),"Fazi")</f>
        <v>Fazi</v>
      </c>
      <c r="AV343" s="5"/>
      <c r="AW343" s="5"/>
      <c r="AX343" s="5"/>
      <c r="AY343" s="5"/>
      <c r="AZ343" s="5"/>
      <c r="BA343" s="5"/>
      <c r="BB343" s="5"/>
      <c r="BC343" s="5" t="str">
        <f ca="1">IFERROR(__xludf.DUMMYFUNCTION("""COMPUTED_VALUE"""),"Foxi")</f>
        <v>Foxi</v>
      </c>
      <c r="BD343" s="7" t="str">
        <f ca="1">IFERROR(__xludf.DUMMYFUNCTION("""COMPUTED_VALUE"""),"https://gameserver-store-client-area.orbionlimited.com/Home/IntegrationGameLaunch/client-area?moneyType=0&amp;gameName=AquaFlame&amp;platform=desktop&amp;languageCode=eng&amp;currency=EUR")</f>
        <v>https://gameserver-store-client-area.orbionlimited.com/Home/IntegrationGameLaunch/client-area?moneyType=0&amp;gameName=AquaFlame&amp;platform=desktop&amp;languageCode=eng&amp;currency=EUR</v>
      </c>
      <c r="BE343" s="5" t="b">
        <f ca="1">IFERROR(__xludf.DUMMYFUNCTION("""COMPUTED_VALUE"""),TRUE)</f>
        <v>1</v>
      </c>
    </row>
    <row r="344" spans="1:57" x14ac:dyDescent="0.25">
      <c r="A344" s="5">
        <f ca="1">IFERROR(__xludf.DUMMYFUNCTION("""COMPUTED_VALUE"""),348)</f>
        <v>348</v>
      </c>
      <c r="B344" s="5">
        <f ca="1">IFERROR(__xludf.DUMMYFUNCTION("""COMPUTED_VALUE"""),1004)</f>
        <v>1004</v>
      </c>
      <c r="C344" s="5" t="str">
        <f ca="1">IFERROR(__xludf.DUMMYFUNCTION("""COMPUTED_VALUE"""),"Fazi")</f>
        <v>Fazi</v>
      </c>
      <c r="D344" s="5" t="str">
        <f ca="1">IFERROR(__xludf.DUMMYFUNCTION("""COMPUTED_VALUE"""),"Crown of Secret")</f>
        <v>Crown of Secret</v>
      </c>
      <c r="E344" s="5" t="str">
        <f ca="1">IFERROR(__xludf.DUMMYFUNCTION("""COMPUTED_VALUE"""),"V4-1")</f>
        <v>V4-1</v>
      </c>
      <c r="F344" s="5" t="str">
        <f ca="1">IFERROR(__xludf.DUMMYFUNCTION("""COMPUTED_VALUE"""),"CrownOfSecret")</f>
        <v>CrownOfSecret</v>
      </c>
      <c r="G344" s="5" t="str">
        <f ca="1">IFERROR(__xludf.DUMMYFUNCTION("""COMPUTED_VALUE"""),"Live")</f>
        <v>Live</v>
      </c>
      <c r="H344" s="5"/>
      <c r="I344" s="5" t="str">
        <f ca="1">IFERROR(__xludf.DUMMYFUNCTION("""COMPUTED_VALUE"""),"V4")</f>
        <v>V4</v>
      </c>
      <c r="J344" s="5" t="str">
        <f ca="1">IFERROR(__xludf.DUMMYFUNCTION("""COMPUTED_VALUE"""),"JSON")</f>
        <v>JSON</v>
      </c>
      <c r="K344" s="5" t="str">
        <f ca="1">IFERROR(__xludf.DUMMYFUNCTION("""COMPUTED_VALUE"""),"Slot")</f>
        <v>Slot</v>
      </c>
      <c r="L344" s="5" t="str">
        <f ca="1">IFERROR(__xludf.DUMMYFUNCTION("""COMPUTED_VALUE"""),"Master")</f>
        <v>Master</v>
      </c>
      <c r="M344" s="5"/>
      <c r="N344" s="7" t="str">
        <f ca="1">IFERROR(__xludf.DUMMYFUNCTION("""COMPUTED_VALUE"""),"https://drive.google.com/file/d/1OF2eJheSz_4wQpBcWHtnC8Mk-6SqQj9O/view?usp=drive_link")</f>
        <v>https://drive.google.com/file/d/1OF2eJheSz_4wQpBcWHtnC8Mk-6SqQj9O/view?usp=drive_link</v>
      </c>
      <c r="O344" s="7" t="str">
        <f ca="1">IFERROR(__xludf.DUMMYFUNCTION("""COMPUTED_VALUE"""),"https://drive.google.com/file/d/1dmckAxO5UBCW7cPMCN2QYkQYI3YuBe-A/view?usp=drive_link")</f>
        <v>https://drive.google.com/file/d/1dmckAxO5UBCW7cPMCN2QYkQYI3YuBe-A/view?usp=drive_link</v>
      </c>
      <c r="P344" s="14">
        <f ca="1">IFERROR(__xludf.DUMMYFUNCTION("""COMPUTED_VALUE"""),23.4)</f>
        <v>23.4</v>
      </c>
      <c r="Q344" s="5"/>
      <c r="R344" s="17">
        <f ca="1">IFERROR(__xludf.DUMMYFUNCTION("""COMPUTED_VALUE"""),45743)</f>
        <v>45743</v>
      </c>
      <c r="S344" s="15">
        <f ca="1">IFERROR(__xludf.DUMMYFUNCTION("""COMPUTED_VALUE"""),45750)</f>
        <v>45750</v>
      </c>
      <c r="T344" s="5" t="b">
        <f ca="1">IFERROR(__xludf.DUMMYFUNCTION("""COMPUTED_VALUE"""),TRUE)</f>
        <v>1</v>
      </c>
      <c r="U344" s="5" t="str">
        <f ca="1">IFERROR(__xludf.DUMMYFUNCTION("""COMPUTED_VALUE"""),"5x3")</f>
        <v>5x3</v>
      </c>
      <c r="V344" s="12" t="str">
        <f ca="1">IFERROR(__xludf.DUMMYFUNCTION("""COMPUTED_VALUE"""),"10")</f>
        <v>10</v>
      </c>
      <c r="W344" s="12" t="str">
        <f ca="1">IFERROR(__xludf.DUMMYFUNCTION("""COMPUTED_VALUE"""),"10")</f>
        <v>10</v>
      </c>
      <c r="X344" s="5">
        <f ca="1">IFERROR(__xludf.DUMMYFUNCTION("""COMPUTED_VALUE"""),96.74)</f>
        <v>96.74</v>
      </c>
      <c r="Y344" s="5" t="str">
        <f ca="1">IFERROR(__xludf.DUMMYFUNCTION("""COMPUTED_VALUE"""),"High")</f>
        <v>High</v>
      </c>
      <c r="Z344" s="5">
        <f ca="1">IFERROR(__xludf.DUMMYFUNCTION("""COMPUTED_VALUE"""),11.115)</f>
        <v>11.115</v>
      </c>
      <c r="AA344" s="14">
        <f ca="1">IFERROR(__xludf.DUMMYFUNCTION("""COMPUTED_VALUE"""),15700)</f>
        <v>15700</v>
      </c>
      <c r="AB344" s="5"/>
      <c r="AC344" s="5" t="str">
        <f ca="1">IFERROR(__xludf.DUMMYFUNCTION("""COMPUTED_VALUE"""),"Buy Bonus, Expanding Wild")</f>
        <v>Buy Bonus, Expanding Wild</v>
      </c>
      <c r="AD344" s="5" t="str">
        <f ca="1">IFERROR(__xludf.DUMMYFUNCTION("""COMPUTED_VALUE"""),"0.1/40")</f>
        <v>0.1/40</v>
      </c>
      <c r="AE344" s="5"/>
      <c r="AF344" s="5"/>
      <c r="AG344" s="10">
        <f ca="1">IFERROR(__xludf.DUMMYFUNCTION("""COMPUTED_VALUE"""),46162.4367476851)</f>
        <v>46162.436747685097</v>
      </c>
      <c r="AH344" s="5" t="str">
        <f ca="1">IFERROR(__xludf.DUMMYFUNCTION("""COMPUTED_VALUE"""),"djordje.petrovic@fazi.rs")</f>
        <v>djordje.petrovic@fazi.rs</v>
      </c>
      <c r="AI344" s="15">
        <f ca="1">IFERROR(__xludf.DUMMYFUNCTION("""COMPUTED_VALUE"""),45736)</f>
        <v>45736</v>
      </c>
      <c r="AJ344" s="5" t="str">
        <f ca="1">IFERROR(__xludf.DUMMYFUNCTION("""COMPUTED_VALUE"""),"Digitain - Grandpashabet kazino
Hub88 - sledeća kazina:
Instant Casino
Golden Panda
Samba Slots
Fast Slots
Klikkikasino 
Vbet.am (BetConstruct) - kod njih ide na pre-release od 26.03. 
Volcano. me - 27.03.")</f>
        <v>Digitain - Grandpashabet kazino
Hub88 - sledeća kazina:
Instant Casino
Golden Panda
Samba Slots
Fast Slots
Klikkikasino 
Vbet.am (BetConstruct) - kod njih ide na pre-release od 26.03. 
Volcano. me - 27.03.</v>
      </c>
      <c r="AK344" s="5">
        <f ca="1">IFERROR(__xludf.DUMMYFUNCTION("""COMPUTED_VALUE"""),10)</f>
        <v>10</v>
      </c>
      <c r="AL344" s="5" t="str">
        <f ca="1">IFERROR(__xludf.DUMMYFUNCTION("""COMPUTED_VALUE"""),"Yes")</f>
        <v>Yes</v>
      </c>
      <c r="AM344" s="5"/>
      <c r="AN344" s="7" t="str">
        <f ca="1">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AO344" s="5" t="str">
        <f ca="1">IFERROR(__xludf.DUMMYFUNCTION("""COMPUTED_VALUE"""),"Yes")</f>
        <v>Yes</v>
      </c>
      <c r="AP344" s="5" t="str">
        <f ca="1">IFERROR(__xludf.DUMMYFUNCTION("""COMPUTED_VALUE"""),"Yes")</f>
        <v>Yes</v>
      </c>
      <c r="AQ344" s="5" t="b">
        <f ca="1">IFERROR(__xludf.DUMMYFUNCTION("""COMPUTED_VALUE"""),TRUE)</f>
        <v>1</v>
      </c>
      <c r="AR344" s="5"/>
      <c r="AS344" s="5" t="str">
        <f ca="1">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AT344" s="5" t="str">
        <f ca="1">IFERROR(__xludf.DUMMYFUNCTION("""COMPUTED_VALUE"""),"No")</f>
        <v>No</v>
      </c>
      <c r="AU344" s="5" t="str">
        <f ca="1">IFERROR(__xludf.DUMMYFUNCTION("""COMPUTED_VALUE"""),"Fazi")</f>
        <v>Fazi</v>
      </c>
      <c r="AV344" s="5"/>
      <c r="AW344" s="5" t="str">
        <f ca="1">IFERROR(__xludf.DUMMYFUNCTION("""COMPUTED_VALUE"""),"Testirano na platformi")</f>
        <v>Testirano na platformi</v>
      </c>
      <c r="AX344" s="5"/>
      <c r="AY344" s="5"/>
      <c r="AZ344" s="5"/>
      <c r="BA344" s="5" t="str">
        <f ca="1">IFERROR(__xludf.DUMMYFUNCTION("""COMPUTED_VALUE"""),"70, 170, 510")</f>
        <v>70, 170, 510</v>
      </c>
      <c r="BB344" s="5"/>
      <c r="BC344" s="5" t="str">
        <f ca="1">IFERROR(__xludf.DUMMYFUNCTION("""COMPUTED_VALUE"""),"Foxi")</f>
        <v>Foxi</v>
      </c>
      <c r="BD344" s="7" t="str">
        <f ca="1">IFERROR(__xludf.DUMMYFUNCTION("""COMPUTED_VALUE"""),"https://gameserver-store-client-area.orbionlimited.com/Home/IntegrationGameLaunch/client-area?moneyType=0&amp;gameName=CrownOfSecret&amp;platform=desktop&amp;languageCode=eng&amp;currency=EUR")</f>
        <v>https://gameserver-store-client-area.orbionlimited.com/Home/IntegrationGameLaunch/client-area?moneyType=0&amp;gameName=CrownOfSecret&amp;platform=desktop&amp;languageCode=eng&amp;currency=EUR</v>
      </c>
      <c r="BE344" s="5" t="b">
        <f ca="1">IFERROR(__xludf.DUMMYFUNCTION("""COMPUTED_VALUE"""),TRUE)</f>
        <v>1</v>
      </c>
    </row>
    <row r="345" spans="1:57" x14ac:dyDescent="0.25">
      <c r="A345" s="5">
        <f ca="1">IFERROR(__xludf.DUMMYFUNCTION("""COMPUTED_VALUE"""),349)</f>
        <v>349</v>
      </c>
      <c r="B345" s="5">
        <f ca="1">IFERROR(__xludf.DUMMYFUNCTION("""COMPUTED_VALUE"""),1002)</f>
        <v>1002</v>
      </c>
      <c r="C345" s="5" t="str">
        <f ca="1">IFERROR(__xludf.DUMMYFUNCTION("""COMPUTED_VALUE"""),"Fazi")</f>
        <v>Fazi</v>
      </c>
      <c r="D345" s="5" t="str">
        <f ca="1">IFERROR(__xludf.DUMMYFUNCTION("""COMPUTED_VALUE"""),"Very Hot 40 Extreme")</f>
        <v>Very Hot 40 Extreme</v>
      </c>
      <c r="E345" s="5" t="str">
        <f ca="1">IFERROR(__xludf.DUMMYFUNCTION("""COMPUTED_VALUE"""),"V4-1")</f>
        <v>V4-1</v>
      </c>
      <c r="F345" s="5" t="str">
        <f ca="1">IFERROR(__xludf.DUMMYFUNCTION("""COMPUTED_VALUE"""),"VeryHot40Extreme")</f>
        <v>VeryHot40Extreme</v>
      </c>
      <c r="G345" s="5" t="str">
        <f ca="1">IFERROR(__xludf.DUMMYFUNCTION("""COMPUTED_VALUE"""),"Live")</f>
        <v>Live</v>
      </c>
      <c r="H345" s="5"/>
      <c r="I345" s="5" t="str">
        <f ca="1">IFERROR(__xludf.DUMMYFUNCTION("""COMPUTED_VALUE"""),"V4")</f>
        <v>V4</v>
      </c>
      <c r="J345" s="5" t="str">
        <f ca="1">IFERROR(__xludf.DUMMYFUNCTION("""COMPUTED_VALUE"""),"JSON")</f>
        <v>JSON</v>
      </c>
      <c r="K345" s="5" t="str">
        <f ca="1">IFERROR(__xludf.DUMMYFUNCTION("""COMPUTED_VALUE"""),"Slot")</f>
        <v>Slot</v>
      </c>
      <c r="L345" s="5"/>
      <c r="M345" s="5"/>
      <c r="N345" s="5"/>
      <c r="O345" s="5"/>
      <c r="P345" s="14">
        <f ca="1">IFERROR(__xludf.DUMMYFUNCTION("""COMPUTED_VALUE"""),15.4)</f>
        <v>15.4</v>
      </c>
      <c r="Q345" s="5"/>
      <c r="R345" s="5"/>
      <c r="S345" s="15">
        <f ca="1">IFERROR(__xludf.DUMMYFUNCTION("""COMPUTED_VALUE"""),45622)</f>
        <v>45622</v>
      </c>
      <c r="T345" s="5" t="b">
        <f ca="1">IFERROR(__xludf.DUMMYFUNCTION("""COMPUTED_VALUE"""),TRUE)</f>
        <v>1</v>
      </c>
      <c r="U345" s="5" t="str">
        <f ca="1">IFERROR(__xludf.DUMMYFUNCTION("""COMPUTED_VALUE"""),"5x3")</f>
        <v>5x3</v>
      </c>
      <c r="V345" s="12" t="str">
        <f ca="1">IFERROR(__xludf.DUMMYFUNCTION("""COMPUTED_VALUE"""),"40")</f>
        <v>40</v>
      </c>
      <c r="W345" s="12" t="str">
        <f ca="1">IFERROR(__xludf.DUMMYFUNCTION("""COMPUTED_VALUE"""),"40")</f>
        <v>40</v>
      </c>
      <c r="X345" s="13">
        <f ca="1">IFERROR(__xludf.DUMMYFUNCTION("""COMPUTED_VALUE"""),96.453)</f>
        <v>96.453000000000003</v>
      </c>
      <c r="Y345" s="5" t="str">
        <f ca="1">IFERROR(__xludf.DUMMYFUNCTION("""COMPUTED_VALUE"""),"Low")</f>
        <v>Low</v>
      </c>
      <c r="Z345" s="5">
        <f ca="1">IFERROR(__xludf.DUMMYFUNCTION("""COMPUTED_VALUE"""),22.711)</f>
        <v>22.710999999999999</v>
      </c>
      <c r="AA345" s="14">
        <f ca="1">IFERROR(__xludf.DUMMYFUNCTION("""COMPUTED_VALUE"""),1993)</f>
        <v>1993</v>
      </c>
      <c r="AB345" s="5"/>
      <c r="AC345" s="5" t="str">
        <f ca="1">IFERROR(__xludf.DUMMYFUNCTION("""COMPUTED_VALUE"""),"Wild Symbol, Win Multiplier")</f>
        <v>Wild Symbol, Win Multiplier</v>
      </c>
      <c r="AD345" s="5" t="str">
        <f ca="1">IFERROR(__xludf.DUMMYFUNCTION("""COMPUTED_VALUE"""),"0.12/ 80")</f>
        <v>0.12/ 80</v>
      </c>
      <c r="AE345" s="5"/>
      <c r="AF345" s="5"/>
      <c r="AG345" s="10">
        <f ca="1">IFERROR(__xludf.DUMMYFUNCTION("""COMPUTED_VALUE"""),46176.4825694444)</f>
        <v>46176.482569444401</v>
      </c>
      <c r="AH345" s="5" t="str">
        <f ca="1">IFERROR(__xludf.DUMMYFUNCTION("""COMPUTED_VALUE"""),"djordje.petrovic@fazi.rs")</f>
        <v>djordje.petrovic@fazi.rs</v>
      </c>
      <c r="AI345" s="5"/>
      <c r="AJ345" s="5"/>
      <c r="AK345" s="5">
        <f ca="1">IFERROR(__xludf.DUMMYFUNCTION("""COMPUTED_VALUE"""),4)</f>
        <v>4</v>
      </c>
      <c r="AL345" s="5" t="str">
        <f ca="1">IFERROR(__xludf.DUMMYFUNCTION("""COMPUTED_VALUE"""),"Yes")</f>
        <v>Yes</v>
      </c>
      <c r="AM345" s="5" t="str">
        <f ca="1">IFERROR(__xludf.DUMMYFUNCTION("""COMPUTED_VALUE"""),"No")</f>
        <v>No</v>
      </c>
      <c r="AN345" s="7" t="str">
        <f ca="1">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AO345" s="5" t="str">
        <f ca="1">IFERROR(__xludf.DUMMYFUNCTION("""COMPUTED_VALUE"""),"Yes")</f>
        <v>Yes</v>
      </c>
      <c r="AP345" s="5" t="str">
        <f ca="1">IFERROR(__xludf.DUMMYFUNCTION("""COMPUTED_VALUE"""),"Yes")</f>
        <v>Yes</v>
      </c>
      <c r="AQ345" s="5" t="b">
        <f ca="1">IFERROR(__xludf.DUMMYFUNCTION("""COMPUTED_VALUE"""),TRUE)</f>
        <v>1</v>
      </c>
      <c r="AR345" s="5"/>
      <c r="AS345" s="5" t="str">
        <f ca="1">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AT345" s="5" t="str">
        <f ca="1">IFERROR(__xludf.DUMMYFUNCTION("""COMPUTED_VALUE"""),"Yes")</f>
        <v>Yes</v>
      </c>
      <c r="AU345" s="5" t="str">
        <f ca="1">IFERROR(__xludf.DUMMYFUNCTION("""COMPUTED_VALUE"""),"Fazi")</f>
        <v>Fazi</v>
      </c>
      <c r="AV345" s="5"/>
      <c r="AW345"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5" s="5"/>
      <c r="AY345" s="5"/>
      <c r="AZ345" s="5"/>
      <c r="BA345" s="5"/>
      <c r="BB345" s="5"/>
      <c r="BC345" s="5" t="str">
        <f ca="1">IFERROR(__xludf.DUMMYFUNCTION("""COMPUTED_VALUE"""),"Foxi")</f>
        <v>Foxi</v>
      </c>
      <c r="BD345" s="7" t="str">
        <f ca="1">IFERROR(__xludf.DUMMYFUNCTION("""COMPUTED_VALUE"""),"https://gameserver-store-client-area.orbionlimited.com/Home/IntegrationGameLaunch/client-area?moneyType=0&amp;gameName=VeryHot40Extreme&amp;platform=desktop&amp;languageCode=eng&amp;currency=EUR")</f>
        <v>https://gameserver-store-client-area.orbionlimited.com/Home/IntegrationGameLaunch/client-area?moneyType=0&amp;gameName=VeryHot40Extreme&amp;platform=desktop&amp;languageCode=eng&amp;currency=EUR</v>
      </c>
      <c r="BE345" s="5" t="b">
        <f ca="1">IFERROR(__xludf.DUMMYFUNCTION("""COMPUTED_VALUE"""),TRUE)</f>
        <v>1</v>
      </c>
    </row>
    <row r="346" spans="1:57" x14ac:dyDescent="0.25">
      <c r="A346" s="5">
        <f ca="1">IFERROR(__xludf.DUMMYFUNCTION("""COMPUTED_VALUE"""),350)</f>
        <v>350</v>
      </c>
      <c r="B346" s="5">
        <f ca="1">IFERROR(__xludf.DUMMYFUNCTION("""COMPUTED_VALUE"""),1003)</f>
        <v>1003</v>
      </c>
      <c r="C346" s="5" t="str">
        <f ca="1">IFERROR(__xludf.DUMMYFUNCTION("""COMPUTED_VALUE"""),"Fazi")</f>
        <v>Fazi</v>
      </c>
      <c r="D346" s="5" t="str">
        <f ca="1">IFERROR(__xludf.DUMMYFUNCTION("""COMPUTED_VALUE"""),"Special Fruits")</f>
        <v>Special Fruits</v>
      </c>
      <c r="E346" s="5" t="str">
        <f ca="1">IFERROR(__xludf.DUMMYFUNCTION("""COMPUTED_VALUE"""),"V4-1")</f>
        <v>V4-1</v>
      </c>
      <c r="F346" s="5" t="str">
        <f ca="1">IFERROR(__xludf.DUMMYFUNCTION("""COMPUTED_VALUE"""),"SpecialFruits")</f>
        <v>SpecialFruits</v>
      </c>
      <c r="G346" s="5" t="str">
        <f ca="1">IFERROR(__xludf.DUMMYFUNCTION("""COMPUTED_VALUE"""),"Live")</f>
        <v>Live</v>
      </c>
      <c r="H346" s="5"/>
      <c r="I346" s="5" t="str">
        <f ca="1">IFERROR(__xludf.DUMMYFUNCTION("""COMPUTED_VALUE"""),"V4")</f>
        <v>V4</v>
      </c>
      <c r="J346" s="5" t="str">
        <f ca="1">IFERROR(__xludf.DUMMYFUNCTION("""COMPUTED_VALUE"""),"JSON")</f>
        <v>JSON</v>
      </c>
      <c r="K346" s="5" t="str">
        <f ca="1">IFERROR(__xludf.DUMMYFUNCTION("""COMPUTED_VALUE"""),"Slot")</f>
        <v>Slot</v>
      </c>
      <c r="L346" s="5" t="str">
        <f ca="1">IFERROR(__xludf.DUMMYFUNCTION("""COMPUTED_VALUE"""),"Master")</f>
        <v>Master</v>
      </c>
      <c r="M346" s="5"/>
      <c r="N346" s="7" t="str">
        <f ca="1">IFERROR(__xludf.DUMMYFUNCTION("""COMPUTED_VALUE"""),"https://drive.google.com/file/d/1ONtonMDeJcghue58HcLhnu0yFju2iU8F/view?usp=sharing")</f>
        <v>https://drive.google.com/file/d/1ONtonMDeJcghue58HcLhnu0yFju2iU8F/view?usp=sharing</v>
      </c>
      <c r="O346" s="7" t="str">
        <f ca="1">IFERROR(__xludf.DUMMYFUNCTION("""COMPUTED_VALUE"""),"https://drive.google.com/file/d/1DGkweW3DZ3diqU5wsDwo0vzr6CsSQCzO/view?usp=sharing")</f>
        <v>https://drive.google.com/file/d/1DGkweW3DZ3diqU5wsDwo0vzr6CsSQCzO/view?usp=sharing</v>
      </c>
      <c r="P346" s="14">
        <f ca="1">IFERROR(__xludf.DUMMYFUNCTION("""COMPUTED_VALUE"""),14.1)</f>
        <v>14.1</v>
      </c>
      <c r="Q346" s="17">
        <f ca="1">IFERROR(__xludf.DUMMYFUNCTION("""COMPUTED_VALUE"""),45642)</f>
        <v>45642</v>
      </c>
      <c r="R346" s="17">
        <f ca="1">IFERROR(__xludf.DUMMYFUNCTION("""COMPUTED_VALUE"""),45673)</f>
        <v>45673</v>
      </c>
      <c r="S346" s="15">
        <f ca="1">IFERROR(__xludf.DUMMYFUNCTION("""COMPUTED_VALUE"""),45680)</f>
        <v>45680</v>
      </c>
      <c r="T346" s="5" t="b">
        <f ca="1">IFERROR(__xludf.DUMMYFUNCTION("""COMPUTED_VALUE"""),TRUE)</f>
        <v>1</v>
      </c>
      <c r="U346" s="5" t="str">
        <f ca="1">IFERROR(__xludf.DUMMYFUNCTION("""COMPUTED_VALUE"""),"5x3")</f>
        <v>5x3</v>
      </c>
      <c r="V346" s="12" t="str">
        <f ca="1">IFERROR(__xludf.DUMMYFUNCTION("""COMPUTED_VALUE"""),"20")</f>
        <v>20</v>
      </c>
      <c r="W346" s="12" t="str">
        <f ca="1">IFERROR(__xludf.DUMMYFUNCTION("""COMPUTED_VALUE"""),"5, 10, 15, 20, 30, 40")</f>
        <v>5, 10, 15, 20, 30, 40</v>
      </c>
      <c r="X346" s="13">
        <f ca="1">IFERROR(__xludf.DUMMYFUNCTION("""COMPUTED_VALUE"""),96.501)</f>
        <v>96.501000000000005</v>
      </c>
      <c r="Y346" s="5" t="str">
        <f ca="1">IFERROR(__xludf.DUMMYFUNCTION("""COMPUTED_VALUE"""),"Low")</f>
        <v>Low</v>
      </c>
      <c r="Z346" s="5">
        <f ca="1">IFERROR(__xludf.DUMMYFUNCTION("""COMPUTED_VALUE"""),16.882)</f>
        <v>16.882000000000001</v>
      </c>
      <c r="AA346" s="14">
        <f ca="1">IFERROR(__xludf.DUMMYFUNCTION("""COMPUTED_VALUE"""),2000)</f>
        <v>2000</v>
      </c>
      <c r="AB346" s="5"/>
      <c r="AC346" s="5" t="str">
        <f ca="1">IFERROR(__xludf.DUMMYFUNCTION("""COMPUTED_VALUE"""),"Mystic Pay, Scatter, Wild Symbol")</f>
        <v>Mystic Pay, Scatter, Wild Symbol</v>
      </c>
      <c r="AD346" s="5" t="str">
        <f ca="1">IFERROR(__xludf.DUMMYFUNCTION("""COMPUTED_VALUE"""),"0.2/50")</f>
        <v>0.2/50</v>
      </c>
      <c r="AE346" s="5"/>
      <c r="AF346" s="5"/>
      <c r="AG346" s="10">
        <f ca="1">IFERROR(__xludf.DUMMYFUNCTION("""COMPUTED_VALUE"""),46153.6269907407)</f>
        <v>46153.626990740697</v>
      </c>
      <c r="AH346" s="5" t="str">
        <f ca="1">IFERROR(__xludf.DUMMYFUNCTION("""COMPUTED_VALUE"""),"djordje.petrovic@fazi.rs")</f>
        <v>djordje.petrovic@fazi.rs</v>
      </c>
      <c r="AI346" s="15">
        <f ca="1">IFERROR(__xludf.DUMMYFUNCTION("""COMPUTED_VALUE"""),45643)</f>
        <v>45643</v>
      </c>
      <c r="AJ346" s="5"/>
      <c r="AK346" s="5">
        <f ca="1">IFERROR(__xludf.DUMMYFUNCTION("""COMPUTED_VALUE"""),20)</f>
        <v>20</v>
      </c>
      <c r="AL346" s="5" t="str">
        <f ca="1">IFERROR(__xludf.DUMMYFUNCTION("""COMPUTED_VALUE"""),"Yes")</f>
        <v>Yes</v>
      </c>
      <c r="AM346" s="5"/>
      <c r="AN346" s="7" t="str">
        <f ca="1">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AO346" s="5" t="str">
        <f ca="1">IFERROR(__xludf.DUMMYFUNCTION("""COMPUTED_VALUE"""),"Yes")</f>
        <v>Yes</v>
      </c>
      <c r="AP346" s="5" t="str">
        <f ca="1">IFERROR(__xludf.DUMMYFUNCTION("""COMPUTED_VALUE"""),"Yes")</f>
        <v>Yes</v>
      </c>
      <c r="AQ346" s="5" t="b">
        <f ca="1">IFERROR(__xludf.DUMMYFUNCTION("""COMPUTED_VALUE"""),TRUE)</f>
        <v>1</v>
      </c>
      <c r="AR346" s="5"/>
      <c r="AS346" s="5" t="str">
        <f ca="1">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AT346" s="5" t="str">
        <f ca="1">IFERROR(__xludf.DUMMYFUNCTION("""COMPUTED_VALUE"""),"Yes")</f>
        <v>Yes</v>
      </c>
      <c r="AU346" s="5" t="str">
        <f ca="1">IFERROR(__xludf.DUMMYFUNCTION("""COMPUTED_VALUE"""),"Fazi")</f>
        <v>Fazi</v>
      </c>
      <c r="AV346" s="5"/>
      <c r="AW346" s="5"/>
      <c r="AX346" s="5"/>
      <c r="AY346" s="5"/>
      <c r="AZ346" s="5"/>
      <c r="BA346" s="5"/>
      <c r="BB346" s="5"/>
      <c r="BC346" s="5" t="str">
        <f ca="1">IFERROR(__xludf.DUMMYFUNCTION("""COMPUTED_VALUE"""),"Foxi")</f>
        <v>Foxi</v>
      </c>
      <c r="BD346" s="7" t="str">
        <f ca="1">IFERROR(__xludf.DUMMYFUNCTION("""COMPUTED_VALUE"""),"https://gameserver-store-client-area.orbionlimited.com/Home/IntegrationGameLaunch/client-area?moneyType=0&amp;gameName=SpecialFruits&amp;platform=desktop&amp;languageCode=eng&amp;currency=EUR")</f>
        <v>https://gameserver-store-client-area.orbionlimited.com/Home/IntegrationGameLaunch/client-area?moneyType=0&amp;gameName=SpecialFruits&amp;platform=desktop&amp;languageCode=eng&amp;currency=EUR</v>
      </c>
      <c r="BE346" s="5" t="b">
        <f ca="1">IFERROR(__xludf.DUMMYFUNCTION("""COMPUTED_VALUE"""),TRUE)</f>
        <v>1</v>
      </c>
    </row>
    <row r="347" spans="1:57" x14ac:dyDescent="0.25">
      <c r="A347" s="5">
        <f ca="1">IFERROR(__xludf.DUMMYFUNCTION("""COMPUTED_VALUE"""),351)</f>
        <v>351</v>
      </c>
      <c r="B347" s="5">
        <f ca="1">IFERROR(__xludf.DUMMYFUNCTION("""COMPUTED_VALUE"""),329)</f>
        <v>329</v>
      </c>
      <c r="C347" s="5" t="str">
        <f ca="1">IFERROR(__xludf.DUMMYFUNCTION("""COMPUTED_VALUE"""),"Fazi")</f>
        <v>Fazi</v>
      </c>
      <c r="D347" s="5" t="str">
        <f ca="1">IFERROR(__xludf.DUMMYFUNCTION("""COMPUTED_VALUE"""),"Turbo Stars 10")</f>
        <v>Turbo Stars 10</v>
      </c>
      <c r="E347" s="5" t="str">
        <f ca="1">IFERROR(__xludf.DUMMYFUNCTION("""COMPUTED_VALUE"""),"V2")</f>
        <v>V2</v>
      </c>
      <c r="F347" s="5" t="str">
        <f ca="1">IFERROR(__xludf.DUMMYFUNCTION("""COMPUTED_VALUE"""),"TurboStars10")</f>
        <v>TurboStars10</v>
      </c>
      <c r="G347" s="5" t="str">
        <f ca="1">IFERROR(__xludf.DUMMYFUNCTION("""COMPUTED_VALUE"""),"Live")</f>
        <v>Live</v>
      </c>
      <c r="H347" s="5"/>
      <c r="I347" s="5" t="str">
        <f ca="1">IFERROR(__xludf.DUMMYFUNCTION("""COMPUTED_VALUE"""),"V2")</f>
        <v>V2</v>
      </c>
      <c r="J347" s="5" t="str">
        <f ca="1">IFERROR(__xludf.DUMMYFUNCTION("""COMPUTED_VALUE"""),"Binary")</f>
        <v>Binary</v>
      </c>
      <c r="K347" s="5" t="str">
        <f ca="1">IFERROR(__xludf.DUMMYFUNCTION("""COMPUTED_VALUE"""),"Slot")</f>
        <v>Slot</v>
      </c>
      <c r="L347" s="5" t="str">
        <f ca="1">IFERROR(__xludf.DUMMYFUNCTION("""COMPUTED_VALUE"""),"Clone")</f>
        <v>Clone</v>
      </c>
      <c r="M347" s="5" t="str">
        <f ca="1">IFERROR(__xludf.DUMMYFUNCTION("""COMPUTED_VALUE"""),"Hot Stars")</f>
        <v>Hot Stars</v>
      </c>
      <c r="N347" s="5"/>
      <c r="O347" s="5"/>
      <c r="P347" s="14">
        <f ca="1">IFERROR(__xludf.DUMMYFUNCTION("""COMPUTED_VALUE"""),22)</f>
        <v>22</v>
      </c>
      <c r="Q347" s="5"/>
      <c r="R347" s="5"/>
      <c r="S347" s="15">
        <f ca="1">IFERROR(__xludf.DUMMYFUNCTION("""COMPUTED_VALUE"""),45483)</f>
        <v>45483</v>
      </c>
      <c r="T347" s="5" t="b">
        <f ca="1">IFERROR(__xludf.DUMMYFUNCTION("""COMPUTED_VALUE"""),TRUE)</f>
        <v>1</v>
      </c>
      <c r="U347" s="5" t="str">
        <f ca="1">IFERROR(__xludf.DUMMYFUNCTION("""COMPUTED_VALUE"""),"5x3")</f>
        <v>5x3</v>
      </c>
      <c r="V347" s="12" t="str">
        <f ca="1">IFERROR(__xludf.DUMMYFUNCTION("""COMPUTED_VALUE"""),"10")</f>
        <v>10</v>
      </c>
      <c r="W347" s="12" t="str">
        <f ca="1">IFERROR(__xludf.DUMMYFUNCTION("""COMPUTED_VALUE"""),"1,3,5,7,10")</f>
        <v>1,3,5,7,10</v>
      </c>
      <c r="X347" s="13">
        <f ca="1">IFERROR(__xludf.DUMMYFUNCTION("""COMPUTED_VALUE"""),95.544)</f>
        <v>95.543999999999997</v>
      </c>
      <c r="Y347" s="5" t="str">
        <f ca="1">IFERROR(__xludf.DUMMYFUNCTION("""COMPUTED_VALUE"""),"Medium")</f>
        <v>Medium</v>
      </c>
      <c r="Z347" s="5">
        <f ca="1">IFERROR(__xludf.DUMMYFUNCTION("""COMPUTED_VALUE"""),13.022)</f>
        <v>13.022</v>
      </c>
      <c r="AA347" s="14">
        <f ca="1">IFERROR(__xludf.DUMMYFUNCTION("""COMPUTED_VALUE"""),1611)</f>
        <v>1611</v>
      </c>
      <c r="AB347" s="5">
        <f ca="1">IFERROR(__xludf.DUMMYFUNCTION("""COMPUTED_VALUE"""),18)</f>
        <v>18</v>
      </c>
      <c r="AC347" s="5" t="str">
        <f ca="1">IFERROR(__xludf.DUMMYFUNCTION("""COMPUTED_VALUE"""),"Respin, Expanding Wild")</f>
        <v>Respin, Expanding Wild</v>
      </c>
      <c r="AD347" s="5" t="str">
        <f ca="1">IFERROR(__xludf.DUMMYFUNCTION("""COMPUTED_VALUE"""),"0.1/40")</f>
        <v>0.1/40</v>
      </c>
      <c r="AE347" s="5"/>
      <c r="AF347" s="5"/>
      <c r="AG347" s="10">
        <f ca="1">IFERROR(__xludf.DUMMYFUNCTION("""COMPUTED_VALUE"""),45695.6298611111)</f>
        <v>45695.629861111098</v>
      </c>
      <c r="AH347" s="5" t="str">
        <f ca="1">IFERROR(__xludf.DUMMYFUNCTION("""COMPUTED_VALUE"""),"iva.cirkovic@fazi.rs")</f>
        <v>iva.cirkovic@fazi.rs</v>
      </c>
      <c r="AI347" s="5"/>
      <c r="AJ347" s="5"/>
      <c r="AK347" s="5">
        <f ca="1">IFERROR(__xludf.DUMMYFUNCTION("""COMPUTED_VALUE"""),10)</f>
        <v>10</v>
      </c>
      <c r="AL347" s="5" t="str">
        <f ca="1">IFERROR(__xludf.DUMMYFUNCTION("""COMPUTED_VALUE"""),"Yes")</f>
        <v>Yes</v>
      </c>
      <c r="AM347" s="5"/>
      <c r="AN347" s="7" t="str">
        <f ca="1">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AO347" s="5"/>
      <c r="AP347" s="5"/>
      <c r="AQ347" s="5" t="b">
        <f ca="1">IFERROR(__xludf.DUMMYFUNCTION("""COMPUTED_VALUE"""),TRUE)</f>
        <v>1</v>
      </c>
      <c r="AR347" s="5"/>
      <c r="AS347" s="5" t="str">
        <f ca="1">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AT347" s="5"/>
      <c r="AU347" s="5" t="str">
        <f ca="1">IFERROR(__xludf.DUMMYFUNCTION("""COMPUTED_VALUE"""),"Fazi")</f>
        <v>Fazi</v>
      </c>
      <c r="AV347" s="5"/>
      <c r="AW347" s="5"/>
      <c r="AX347" s="5"/>
      <c r="AY347" s="5"/>
      <c r="AZ347" s="5"/>
      <c r="BA347" s="5" t="str">
        <f ca="1">IFERROR(__xludf.DUMMYFUNCTION("""COMPUTED_VALUE"""),"")</f>
        <v/>
      </c>
      <c r="BB347" s="5"/>
      <c r="BC347" s="5" t="str">
        <f ca="1">IFERROR(__xludf.DUMMYFUNCTION("""COMPUTED_VALUE"""),"Foxi")</f>
        <v>Foxi</v>
      </c>
      <c r="BD347" s="7" t="str">
        <f ca="1">IFERROR(__xludf.DUMMYFUNCTION("""COMPUTED_VALUE"""),"https://gameserver-store-client-area.orbionlimited.com/Home/IntegrationGameLaunch/client-area?moneyType=0&amp;gameName=TurboStars10&amp;platform=desktop&amp;languageCode=eng&amp;currency=EUR")</f>
        <v>https://gameserver-store-client-area.orbionlimited.com/Home/IntegrationGameLaunch/client-area?moneyType=0&amp;gameName=TurboStars10&amp;platform=desktop&amp;languageCode=eng&amp;currency=EUR</v>
      </c>
      <c r="BE347" s="5" t="b">
        <f ca="1">IFERROR(__xludf.DUMMYFUNCTION("""COMPUTED_VALUE"""),TRUE)</f>
        <v>1</v>
      </c>
    </row>
    <row r="348" spans="1:57" x14ac:dyDescent="0.25">
      <c r="A348" s="5">
        <f ca="1">IFERROR(__xludf.DUMMYFUNCTION("""COMPUTED_VALUE"""),352)</f>
        <v>352</v>
      </c>
      <c r="B348" s="5">
        <f ca="1">IFERROR(__xludf.DUMMYFUNCTION("""COMPUTED_VALUE"""),3003)</f>
        <v>3003</v>
      </c>
      <c r="C348" s="5" t="str">
        <f ca="1">IFERROR(__xludf.DUMMYFUNCTION("""COMPUTED_VALUE"""),"Fazi")</f>
        <v>Fazi</v>
      </c>
      <c r="D348" s="5" t="str">
        <f ca="1">IFERROR(__xludf.DUMMYFUNCTION("""COMPUTED_VALUE"""),"Turbo Stars 40")</f>
        <v>Turbo Stars 40</v>
      </c>
      <c r="E348" s="5" t="str">
        <f ca="1">IFERROR(__xludf.DUMMYFUNCTION("""COMPUTED_VALUE"""),"V2")</f>
        <v>V2</v>
      </c>
      <c r="F348" s="5" t="str">
        <f ca="1">IFERROR(__xludf.DUMMYFUNCTION("""COMPUTED_VALUE"""),"TurboStars40")</f>
        <v>TurboStars40</v>
      </c>
      <c r="G348" s="5" t="str">
        <f ca="1">IFERROR(__xludf.DUMMYFUNCTION("""COMPUTED_VALUE"""),"Live")</f>
        <v>Live</v>
      </c>
      <c r="H348" s="5"/>
      <c r="I348" s="5" t="str">
        <f ca="1">IFERROR(__xludf.DUMMYFUNCTION("""COMPUTED_VALUE"""),"V2")</f>
        <v>V2</v>
      </c>
      <c r="J348" s="5" t="str">
        <f ca="1">IFERROR(__xludf.DUMMYFUNCTION("""COMPUTED_VALUE"""),"Binary")</f>
        <v>Binary</v>
      </c>
      <c r="K348" s="5" t="str">
        <f ca="1">IFERROR(__xludf.DUMMYFUNCTION("""COMPUTED_VALUE"""),"Slot")</f>
        <v>Slot</v>
      </c>
      <c r="L348" s="5"/>
      <c r="M348" s="5"/>
      <c r="N348" s="5"/>
      <c r="O348" s="5"/>
      <c r="P348" s="14">
        <f ca="1">IFERROR(__xludf.DUMMYFUNCTION("""COMPUTED_VALUE"""),21.3)</f>
        <v>21.3</v>
      </c>
      <c r="Q348" s="5"/>
      <c r="R348" s="5"/>
      <c r="S348" s="15">
        <f ca="1">IFERROR(__xludf.DUMMYFUNCTION("""COMPUTED_VALUE"""),45593)</f>
        <v>45593</v>
      </c>
      <c r="T348" s="5" t="b">
        <f ca="1">IFERROR(__xludf.DUMMYFUNCTION("""COMPUTED_VALUE"""),TRUE)</f>
        <v>1</v>
      </c>
      <c r="U348" s="5" t="str">
        <f ca="1">IFERROR(__xludf.DUMMYFUNCTION("""COMPUTED_VALUE"""),"5x3")</f>
        <v>5x3</v>
      </c>
      <c r="V348" s="12" t="str">
        <f ca="1">IFERROR(__xludf.DUMMYFUNCTION("""COMPUTED_VALUE"""),"40")</f>
        <v>40</v>
      </c>
      <c r="W348" s="12" t="str">
        <f ca="1">IFERROR(__xludf.DUMMYFUNCTION("""COMPUTED_VALUE"""),"40")</f>
        <v>40</v>
      </c>
      <c r="X348" s="13">
        <f ca="1">IFERROR(__xludf.DUMMYFUNCTION("""COMPUTED_VALUE"""),95.544)</f>
        <v>95.543999999999997</v>
      </c>
      <c r="Y348" s="5" t="str">
        <f ca="1">IFERROR(__xludf.DUMMYFUNCTION("""COMPUTED_VALUE"""),"Medium")</f>
        <v>Medium</v>
      </c>
      <c r="Z348" s="5">
        <f ca="1">IFERROR(__xludf.DUMMYFUNCTION("""COMPUTED_VALUE"""),17.13)</f>
        <v>17.13</v>
      </c>
      <c r="AA348" s="14">
        <f ca="1">IFERROR(__xludf.DUMMYFUNCTION("""COMPUTED_VALUE"""),1700)</f>
        <v>1700</v>
      </c>
      <c r="AB348" s="5" t="str">
        <f ca="1">IFERROR(__xludf.DUMMYFUNCTION("""COMPUTED_VALUE"""),"/")</f>
        <v>/</v>
      </c>
      <c r="AC348" s="5" t="str">
        <f ca="1">IFERROR(__xludf.DUMMYFUNCTION("""COMPUTED_VALUE"""),"Expanding Wild, Respin")</f>
        <v>Expanding Wild, Respin</v>
      </c>
      <c r="AD348" s="5" t="str">
        <f ca="1">IFERROR(__xludf.DUMMYFUNCTION("""COMPUTED_VALUE"""),"0.4/60")</f>
        <v>0.4/60</v>
      </c>
      <c r="AE348" s="5"/>
      <c r="AF348" s="5"/>
      <c r="AG348" s="5"/>
      <c r="AH348" s="5"/>
      <c r="AI348" s="5"/>
      <c r="AJ348" s="5"/>
      <c r="AK348" s="5" t="str">
        <f ca="1">IFERROR(__xludf.DUMMYFUNCTION("""COMPUTED_VALUE"""),"NULL")</f>
        <v>NULL</v>
      </c>
      <c r="AL348" s="5" t="str">
        <f ca="1">IFERROR(__xludf.DUMMYFUNCTION("""COMPUTED_VALUE"""),"Yes")</f>
        <v>Yes</v>
      </c>
      <c r="AM348" s="5"/>
      <c r="AN348" s="7" t="str">
        <f ca="1">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AO348" s="5"/>
      <c r="AP348" s="5"/>
      <c r="AQ348" s="5" t="b">
        <f ca="1">IFERROR(__xludf.DUMMYFUNCTION("""COMPUTED_VALUE"""),TRUE)</f>
        <v>1</v>
      </c>
      <c r="AR348" s="5"/>
      <c r="AS348" s="5" t="str">
        <f ca="1">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AT348" s="5"/>
      <c r="AU348" s="5" t="str">
        <f ca="1">IFERROR(__xludf.DUMMYFUNCTION("""COMPUTED_VALUE"""),"Fazi")</f>
        <v>Fazi</v>
      </c>
      <c r="AV348" s="5"/>
      <c r="AW348" s="5"/>
      <c r="AX348" s="5"/>
      <c r="AY348" s="5"/>
      <c r="AZ348" s="5"/>
      <c r="BA348" s="5" t="str">
        <f ca="1">IFERROR(__xludf.DUMMYFUNCTION("""COMPUTED_VALUE"""),"")</f>
        <v/>
      </c>
      <c r="BB348" s="5"/>
      <c r="BC348" s="5" t="str">
        <f ca="1">IFERROR(__xludf.DUMMYFUNCTION("""COMPUTED_VALUE"""),"Foxi")</f>
        <v>Foxi</v>
      </c>
      <c r="BD348" s="7" t="str">
        <f ca="1">IFERROR(__xludf.DUMMYFUNCTION("""COMPUTED_VALUE"""),"https://gameserver-store-client-area.orbionlimited.com/Home/IntegrationGameLaunch/client-area?moneyType=0&amp;gameName=TurboStars40&amp;platform=desktop&amp;languageCode=eng&amp;currency=EUR")</f>
        <v>https://gameserver-store-client-area.orbionlimited.com/Home/IntegrationGameLaunch/client-area?moneyType=0&amp;gameName=TurboStars40&amp;platform=desktop&amp;languageCode=eng&amp;currency=EUR</v>
      </c>
      <c r="BE348" s="5" t="b">
        <f ca="1">IFERROR(__xludf.DUMMYFUNCTION("""COMPUTED_VALUE"""),TRUE)</f>
        <v>1</v>
      </c>
    </row>
    <row r="349" spans="1:57" x14ac:dyDescent="0.25">
      <c r="A349" s="5">
        <f ca="1">IFERROR(__xludf.DUMMYFUNCTION("""COMPUTED_VALUE"""),353)</f>
        <v>353</v>
      </c>
      <c r="B349" s="5">
        <f ca="1">IFERROR(__xludf.DUMMYFUNCTION("""COMPUTED_VALUE"""),3004)</f>
        <v>3004</v>
      </c>
      <c r="C349" s="5" t="str">
        <f ca="1">IFERROR(__xludf.DUMMYFUNCTION("""COMPUTED_VALUE"""),"Fazi")</f>
        <v>Fazi</v>
      </c>
      <c r="D349" s="5" t="str">
        <f ca="1">IFERROR(__xludf.DUMMYFUNCTION("""COMPUTED_VALUE"""),"Turbo Stars 20")</f>
        <v>Turbo Stars 20</v>
      </c>
      <c r="E349" s="5" t="str">
        <f ca="1">IFERROR(__xludf.DUMMYFUNCTION("""COMPUTED_VALUE"""),"V2")</f>
        <v>V2</v>
      </c>
      <c r="F349" s="5" t="str">
        <f ca="1">IFERROR(__xludf.DUMMYFUNCTION("""COMPUTED_VALUE"""),"TurboStars20")</f>
        <v>TurboStars20</v>
      </c>
      <c r="G349" s="5" t="str">
        <f ca="1">IFERROR(__xludf.DUMMYFUNCTION("""COMPUTED_VALUE"""),"Live")</f>
        <v>Live</v>
      </c>
      <c r="H349" s="5"/>
      <c r="I349" s="5" t="str">
        <f ca="1">IFERROR(__xludf.DUMMYFUNCTION("""COMPUTED_VALUE"""),"V2")</f>
        <v>V2</v>
      </c>
      <c r="J349" s="5" t="str">
        <f ca="1">IFERROR(__xludf.DUMMYFUNCTION("""COMPUTED_VALUE"""),"Binary")</f>
        <v>Binary</v>
      </c>
      <c r="K349" s="5" t="str">
        <f ca="1">IFERROR(__xludf.DUMMYFUNCTION("""COMPUTED_VALUE"""),"Slot")</f>
        <v>Slot</v>
      </c>
      <c r="L349" s="5"/>
      <c r="M349" s="5"/>
      <c r="N349" s="5"/>
      <c r="O349" s="5"/>
      <c r="P349" s="14">
        <f ca="1">IFERROR(__xludf.DUMMYFUNCTION("""COMPUTED_VALUE"""),23)</f>
        <v>23</v>
      </c>
      <c r="Q349" s="17">
        <f ca="1">IFERROR(__xludf.DUMMYFUNCTION("""COMPUTED_VALUE"""),45602)</f>
        <v>45602</v>
      </c>
      <c r="R349" s="17">
        <f ca="1">IFERROR(__xludf.DUMMYFUNCTION("""COMPUTED_VALUE"""),45616)</f>
        <v>45616</v>
      </c>
      <c r="S349" s="15">
        <f ca="1">IFERROR(__xludf.DUMMYFUNCTION("""COMPUTED_VALUE"""),45630)</f>
        <v>45630</v>
      </c>
      <c r="T349" s="5" t="b">
        <f ca="1">IFERROR(__xludf.DUMMYFUNCTION("""COMPUTED_VALUE"""),TRUE)</f>
        <v>1</v>
      </c>
      <c r="U349" s="5" t="str">
        <f ca="1">IFERROR(__xludf.DUMMYFUNCTION("""COMPUTED_VALUE"""),"5x3")</f>
        <v>5x3</v>
      </c>
      <c r="V349" s="12" t="str">
        <f ca="1">IFERROR(__xludf.DUMMYFUNCTION("""COMPUTED_VALUE"""),"20")</f>
        <v>20</v>
      </c>
      <c r="W349" s="12" t="str">
        <f ca="1">IFERROR(__xludf.DUMMYFUNCTION("""COMPUTED_VALUE"""),"20")</f>
        <v>20</v>
      </c>
      <c r="X349" s="13">
        <f ca="1">IFERROR(__xludf.DUMMYFUNCTION("""COMPUTED_VALUE"""),95.544)</f>
        <v>95.543999999999997</v>
      </c>
      <c r="Y349" s="5" t="str">
        <f ca="1">IFERROR(__xludf.DUMMYFUNCTION("""COMPUTED_VALUE"""),"Medium")</f>
        <v>Medium</v>
      </c>
      <c r="Z349" s="5">
        <f ca="1">IFERROR(__xludf.DUMMYFUNCTION("""COMPUTED_VALUE"""),16.508)</f>
        <v>16.507999999999999</v>
      </c>
      <c r="AA349" s="14">
        <f ca="1">IFERROR(__xludf.DUMMYFUNCTION("""COMPUTED_VALUE"""),1700)</f>
        <v>1700</v>
      </c>
      <c r="AB349" s="5" t="str">
        <f ca="1">IFERROR(__xludf.DUMMYFUNCTION("""COMPUTED_VALUE"""),"/")</f>
        <v>/</v>
      </c>
      <c r="AC349" s="5" t="str">
        <f ca="1">IFERROR(__xludf.DUMMYFUNCTION("""COMPUTED_VALUE"""),"Expanding Wild, Respin")</f>
        <v>Expanding Wild, Respin</v>
      </c>
      <c r="AD349" s="5" t="str">
        <f ca="1">IFERROR(__xludf.DUMMYFUNCTION("""COMPUTED_VALUE"""),"0.2/50")</f>
        <v>0.2/50</v>
      </c>
      <c r="AE349" s="5"/>
      <c r="AF349" s="5"/>
      <c r="AG349" s="16">
        <f ca="1">IFERROR(__xludf.DUMMYFUNCTION("""COMPUTED_VALUE"""),45670.6060185185)</f>
        <v>45670.606018518498</v>
      </c>
      <c r="AH349" s="5" t="str">
        <f ca="1">IFERROR(__xludf.DUMMYFUNCTION("""COMPUTED_VALUE"""),"nikola.antic@fazi.rs")</f>
        <v>nikola.antic@fazi.rs</v>
      </c>
      <c r="AI349" s="5"/>
      <c r="AJ349" s="5"/>
      <c r="AK349" s="5" t="str">
        <f ca="1">IFERROR(__xludf.DUMMYFUNCTION("""COMPUTED_VALUE"""),"NULL")</f>
        <v>NULL</v>
      </c>
      <c r="AL349" s="5" t="str">
        <f ca="1">IFERROR(__xludf.DUMMYFUNCTION("""COMPUTED_VALUE"""),"Yes")</f>
        <v>Yes</v>
      </c>
      <c r="AM349" s="5"/>
      <c r="AN349" s="7" t="str">
        <f ca="1">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AO349" s="5"/>
      <c r="AP349" s="5"/>
      <c r="AQ349" s="5" t="b">
        <f ca="1">IFERROR(__xludf.DUMMYFUNCTION("""COMPUTED_VALUE"""),TRUE)</f>
        <v>1</v>
      </c>
      <c r="AR349" s="5"/>
      <c r="AS349" s="5" t="str">
        <f ca="1">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AT349" s="5"/>
      <c r="AU349" s="5" t="str">
        <f ca="1">IFERROR(__xludf.DUMMYFUNCTION("""COMPUTED_VALUE"""),"Fazi")</f>
        <v>Fazi</v>
      </c>
      <c r="AV349" s="5"/>
      <c r="AW349" s="5"/>
      <c r="AX349" s="5"/>
      <c r="AY349" s="5"/>
      <c r="AZ349" s="5"/>
      <c r="BA349" s="5" t="str">
        <f ca="1">IFERROR(__xludf.DUMMYFUNCTION("""COMPUTED_VALUE"""),"")</f>
        <v/>
      </c>
      <c r="BB349" s="5"/>
      <c r="BC349" s="5" t="str">
        <f ca="1">IFERROR(__xludf.DUMMYFUNCTION("""COMPUTED_VALUE"""),"Foxi")</f>
        <v>Foxi</v>
      </c>
      <c r="BD349" s="7" t="str">
        <f ca="1">IFERROR(__xludf.DUMMYFUNCTION("""COMPUTED_VALUE"""),"https://gameserver-store-client-area.orbionlimited.com/Home/IntegrationGameLaunch/client-area?moneyType=0&amp;gameName=TurboStars20&amp;platform=desktop&amp;languageCode=eng&amp;currency=EUR")</f>
        <v>https://gameserver-store-client-area.orbionlimited.com/Home/IntegrationGameLaunch/client-area?moneyType=0&amp;gameName=TurboStars20&amp;platform=desktop&amp;languageCode=eng&amp;currency=EUR</v>
      </c>
      <c r="BE349" s="5" t="b">
        <f ca="1">IFERROR(__xludf.DUMMYFUNCTION("""COMPUTED_VALUE"""),TRUE)</f>
        <v>1</v>
      </c>
    </row>
    <row r="350" spans="1:57" x14ac:dyDescent="0.25">
      <c r="A350" s="5">
        <f ca="1">IFERROR(__xludf.DUMMYFUNCTION("""COMPUTED_VALUE"""),354)</f>
        <v>354</v>
      </c>
      <c r="B350" s="5">
        <f ca="1">IFERROR(__xludf.DUMMYFUNCTION("""COMPUTED_VALUE"""),332)</f>
        <v>332</v>
      </c>
      <c r="C350" s="5" t="str">
        <f ca="1">IFERROR(__xludf.DUMMYFUNCTION("""COMPUTED_VALUE"""),"Fazi")</f>
        <v>Fazi</v>
      </c>
      <c r="D350" s="5" t="str">
        <f ca="1">IFERROR(__xludf.DUMMYFUNCTION("""COMPUTED_VALUE"""),"Rizk Hot 40")</f>
        <v>Rizk Hot 40</v>
      </c>
      <c r="E350" s="5" t="str">
        <f ca="1">IFERROR(__xludf.DUMMYFUNCTION("""COMPUTED_VALUE"""),"Sertifikacioni")</f>
        <v>Sertifikacioni</v>
      </c>
      <c r="F350" s="5" t="str">
        <f ca="1">IFERROR(__xludf.DUMMYFUNCTION("""COMPUTED_VALUE"""),"RizkHot40")</f>
        <v>RizkHot40</v>
      </c>
      <c r="G350" s="5" t="str">
        <f ca="1">IFERROR(__xludf.DUMMYFUNCTION("""COMPUTED_VALUE"""),"Live")</f>
        <v>Live</v>
      </c>
      <c r="H350" s="5" t="str">
        <f ca="1">IFERROR(__xludf.DUMMYFUNCTION("""COMPUTED_VALUE"""),"Rizk Hot 40")</f>
        <v>Rizk Hot 40</v>
      </c>
      <c r="I350" s="5" t="str">
        <f ca="1">IFERROR(__xludf.DUMMYFUNCTION("""COMPUTED_VALUE"""),"V2")</f>
        <v>V2</v>
      </c>
      <c r="J350" s="5" t="str">
        <f ca="1">IFERROR(__xludf.DUMMYFUNCTION("""COMPUTED_VALUE"""),"Binary")</f>
        <v>Binary</v>
      </c>
      <c r="K350" s="5" t="str">
        <f ca="1">IFERROR(__xludf.DUMMYFUNCTION("""COMPUTED_VALUE"""),"Slot")</f>
        <v>Slot</v>
      </c>
      <c r="L350" s="5" t="str">
        <f ca="1">IFERROR(__xludf.DUMMYFUNCTION("""COMPUTED_VALUE""")," Clone")</f>
        <v xml:space="preserve"> Clone</v>
      </c>
      <c r="M350" s="5" t="str">
        <f ca="1">IFERROR(__xludf.DUMMYFUNCTION("""COMPUTED_VALUE"""),"Wild Hot 40")</f>
        <v>Wild Hot 40</v>
      </c>
      <c r="N350" s="5"/>
      <c r="O350" s="5"/>
      <c r="P350" s="5"/>
      <c r="Q350" s="5"/>
      <c r="R350" s="5"/>
      <c r="S350" s="5"/>
      <c r="T350" s="5"/>
      <c r="U350" s="5" t="str">
        <f ca="1">IFERROR(__xludf.DUMMYFUNCTION("""COMPUTED_VALUE"""),"5x4")</f>
        <v>5x4</v>
      </c>
      <c r="V350" s="5">
        <f ca="1">IFERROR(__xludf.DUMMYFUNCTION("""COMPUTED_VALUE"""),40)</f>
        <v>40</v>
      </c>
      <c r="W350" s="5">
        <f ca="1">IFERROR(__xludf.DUMMYFUNCTION("""COMPUTED_VALUE"""),40)</f>
        <v>40</v>
      </c>
      <c r="X350" s="13">
        <f ca="1">IFERROR(__xludf.DUMMYFUNCTION("""COMPUTED_VALUE"""),95.504)</f>
        <v>95.504000000000005</v>
      </c>
      <c r="Y350" s="5" t="str">
        <f ca="1">IFERROR(__xludf.DUMMYFUNCTION("""COMPUTED_VALUE"""),"Low")</f>
        <v>Low</v>
      </c>
      <c r="Z350" s="5">
        <f ca="1">IFERROR(__xludf.DUMMYFUNCTION("""COMPUTED_VALUE"""),16.725)</f>
        <v>16.725000000000001</v>
      </c>
      <c r="AA350" s="5">
        <f ca="1">IFERROR(__xludf.DUMMYFUNCTION("""COMPUTED_VALUE"""),1000)</f>
        <v>1000</v>
      </c>
      <c r="AB350" s="5"/>
      <c r="AC350" s="5"/>
      <c r="AD350" s="5"/>
      <c r="AE350" s="5"/>
      <c r="AF350" s="5"/>
      <c r="AG350" s="10">
        <f ca="1">IFERROR(__xludf.DUMMYFUNCTION("""COMPUTED_VALUE"""),46020.5175925925)</f>
        <v>46020.5175925925</v>
      </c>
      <c r="AH350" s="5" t="str">
        <f ca="1">IFERROR(__xludf.DUMMYFUNCTION("""COMPUTED_VALUE"""),"djordje.jankovic@fazi.rs")</f>
        <v>djordje.jankovic@fazi.rs</v>
      </c>
      <c r="AI350" s="5"/>
      <c r="AJ350" s="5"/>
      <c r="AK350" s="5">
        <f ca="1">IFERROR(__xludf.DUMMYFUNCTION("""COMPUTED_VALUE"""),40)</f>
        <v>40</v>
      </c>
      <c r="AL350" s="5" t="str">
        <f ca="1">IFERROR(__xludf.DUMMYFUNCTION("""COMPUTED_VALUE"""),"Yes")</f>
        <v>Yes</v>
      </c>
      <c r="AM350" s="5"/>
      <c r="AN350" s="5"/>
      <c r="AO350" s="5"/>
      <c r="AP350" s="5"/>
      <c r="AQ350" s="5"/>
      <c r="AR350" s="5" t="b">
        <f ca="1">IFERROR(__xludf.DUMMYFUNCTION("""COMPUTED_VALUE"""),TRUE)</f>
        <v>1</v>
      </c>
      <c r="AS350" s="5"/>
      <c r="AT350" s="5"/>
      <c r="AU350" s="5" t="str">
        <f ca="1">IFERROR(__xludf.DUMMYFUNCTION("""COMPUTED_VALUE"""),"Fazi")</f>
        <v>Fazi</v>
      </c>
      <c r="AV350" s="5"/>
      <c r="AW350" s="5"/>
      <c r="AX350" s="5"/>
      <c r="AY350" s="5"/>
      <c r="AZ350" s="5"/>
      <c r="BA350" s="5" t="str">
        <f ca="1">IFERROR(__xludf.DUMMYFUNCTION("""COMPUTED_VALUE"""),"")</f>
        <v/>
      </c>
      <c r="BB350" s="5"/>
      <c r="BC350" s="5" t="str">
        <f ca="1">IFERROR(__xludf.DUMMYFUNCTION("""COMPUTED_VALUE"""),"Foxi")</f>
        <v>Foxi</v>
      </c>
      <c r="BD350" s="5" t="str">
        <f ca="1">IFERROR(__xludf.DUMMYFUNCTION("""COMPUTED_VALUE"""),"")</f>
        <v/>
      </c>
      <c r="BE350" s="5"/>
    </row>
    <row r="351" spans="1:57" x14ac:dyDescent="0.25">
      <c r="A351" s="5">
        <f ca="1">IFERROR(__xludf.DUMMYFUNCTION("""COMPUTED_VALUE"""),355)</f>
        <v>355</v>
      </c>
      <c r="B351" s="5">
        <f ca="1">IFERROR(__xludf.DUMMYFUNCTION("""COMPUTED_VALUE"""),4001)</f>
        <v>4001</v>
      </c>
      <c r="C351" s="5" t="str">
        <f ca="1">IFERROR(__xludf.DUMMYFUNCTION("""COMPUTED_VALUE"""),"Fazi")</f>
        <v>Fazi</v>
      </c>
      <c r="D351" s="5" t="str">
        <f ca="1">IFERROR(__xludf.DUMMYFUNCTION("""COMPUTED_VALUE"""),"Bet Ole Hot 40")</f>
        <v>Bet Ole Hot 40</v>
      </c>
      <c r="E351" s="5" t="str">
        <f ca="1">IFERROR(__xludf.DUMMYFUNCTION("""COMPUTED_VALUE"""),"Sertifikacioni")</f>
        <v>Sertifikacioni</v>
      </c>
      <c r="F351" s="5" t="str">
        <f ca="1">IFERROR(__xludf.DUMMYFUNCTION("""COMPUTED_VALUE"""),"BetOleHot40")</f>
        <v>BetOleHot40</v>
      </c>
      <c r="G351" s="5" t="str">
        <f ca="1">IFERROR(__xludf.DUMMYFUNCTION("""COMPUTED_VALUE"""),"Live")</f>
        <v>Live</v>
      </c>
      <c r="H351" s="5"/>
      <c r="I351" s="5" t="str">
        <f ca="1">IFERROR(__xludf.DUMMYFUNCTION("""COMPUTED_VALUE"""),"V2")</f>
        <v>V2</v>
      </c>
      <c r="J351" s="5" t="str">
        <f ca="1">IFERROR(__xludf.DUMMYFUNCTION("""COMPUTED_VALUE"""),"Binary")</f>
        <v>Binary</v>
      </c>
      <c r="K351" s="5" t="str">
        <f ca="1">IFERROR(__xludf.DUMMYFUNCTION("""COMPUTED_VALUE"""),"Slot")</f>
        <v>Slot</v>
      </c>
      <c r="L351" s="5" t="str">
        <f ca="1">IFERROR(__xludf.DUMMYFUNCTION("""COMPUTED_VALUE""")," Clone")</f>
        <v xml:space="preserve"> Clone</v>
      </c>
      <c r="M351" s="5" t="str">
        <f ca="1">IFERROR(__xludf.DUMMYFUNCTION("""COMPUTED_VALUE"""),"Wild Hot 40")</f>
        <v>Wild Hot 40</v>
      </c>
      <c r="N351" s="5"/>
      <c r="O351" s="5"/>
      <c r="P351" s="5"/>
      <c r="Q351" s="5"/>
      <c r="R351" s="5"/>
      <c r="S351" s="15">
        <f ca="1">IFERROR(__xludf.DUMMYFUNCTION("""COMPUTED_VALUE"""),45523)</f>
        <v>45523</v>
      </c>
      <c r="T351" s="5"/>
      <c r="U351" s="5" t="str">
        <f ca="1">IFERROR(__xludf.DUMMYFUNCTION("""COMPUTED_VALUE"""),"5x4")</f>
        <v>5x4</v>
      </c>
      <c r="V351" s="5">
        <f ca="1">IFERROR(__xludf.DUMMYFUNCTION("""COMPUTED_VALUE"""),40)</f>
        <v>40</v>
      </c>
      <c r="W351" s="5">
        <f ca="1">IFERROR(__xludf.DUMMYFUNCTION("""COMPUTED_VALUE"""),40)</f>
        <v>40</v>
      </c>
      <c r="X351" s="13">
        <f ca="1">IFERROR(__xludf.DUMMYFUNCTION("""COMPUTED_VALUE"""),96.58)</f>
        <v>96.58</v>
      </c>
      <c r="Y351" s="5" t="str">
        <f ca="1">IFERROR(__xludf.DUMMYFUNCTION("""COMPUTED_VALUE"""),"Low")</f>
        <v>Low</v>
      </c>
      <c r="Z351" s="5">
        <f ca="1">IFERROR(__xludf.DUMMYFUNCTION("""COMPUTED_VALUE"""),16.73)</f>
        <v>16.73</v>
      </c>
      <c r="AA351" s="5">
        <f ca="1">IFERROR(__xludf.DUMMYFUNCTION("""COMPUTED_VALUE"""),1000)</f>
        <v>1000</v>
      </c>
      <c r="AB351" s="5"/>
      <c r="AC351" s="5"/>
      <c r="AD351" s="5"/>
      <c r="AE351" s="5"/>
      <c r="AF351" s="5"/>
      <c r="AG351" s="10">
        <f ca="1">IFERROR(__xludf.DUMMYFUNCTION("""COMPUTED_VALUE"""),46020.5174537037)</f>
        <v>46020.517453703702</v>
      </c>
      <c r="AH351" s="5" t="str">
        <f ca="1">IFERROR(__xludf.DUMMYFUNCTION("""COMPUTED_VALUE"""),"djordje.jankovic@fazi.rs")</f>
        <v>djordje.jankovic@fazi.rs</v>
      </c>
      <c r="AI351" s="5"/>
      <c r="AJ351" s="5"/>
      <c r="AK351" s="5" t="str">
        <f ca="1">IFERROR(__xludf.DUMMYFUNCTION("""COMPUTED_VALUE"""),"#N/A")</f>
        <v>#N/A</v>
      </c>
      <c r="AL351" s="5" t="str">
        <f ca="1">IFERROR(__xludf.DUMMYFUNCTION("""COMPUTED_VALUE"""),"Yes")</f>
        <v>Yes</v>
      </c>
      <c r="AM351" s="5"/>
      <c r="AN351" s="5"/>
      <c r="AO351" s="5"/>
      <c r="AP351" s="5"/>
      <c r="AQ351" s="5"/>
      <c r="AR351" s="5" t="b">
        <f ca="1">IFERROR(__xludf.DUMMYFUNCTION("""COMPUTED_VALUE"""),TRUE)</f>
        <v>1</v>
      </c>
      <c r="AS351" s="5"/>
      <c r="AT351" s="5"/>
      <c r="AU351" s="5" t="str">
        <f ca="1">IFERROR(__xludf.DUMMYFUNCTION("""COMPUTED_VALUE"""),"Fazi")</f>
        <v>Fazi</v>
      </c>
      <c r="AV351" s="5"/>
      <c r="AW351" s="5"/>
      <c r="AX351" s="5"/>
      <c r="AY351" s="5"/>
      <c r="AZ351" s="5"/>
      <c r="BA351" s="5" t="str">
        <f ca="1">IFERROR(__xludf.DUMMYFUNCTION("""COMPUTED_VALUE"""),"")</f>
        <v/>
      </c>
      <c r="BB351" s="5"/>
      <c r="BC351" s="5" t="str">
        <f ca="1">IFERROR(__xludf.DUMMYFUNCTION("""COMPUTED_VALUE"""),"Foxi")</f>
        <v>Foxi</v>
      </c>
      <c r="BD351" s="5" t="str">
        <f ca="1">IFERROR(__xludf.DUMMYFUNCTION("""COMPUTED_VALUE"""),"")</f>
        <v/>
      </c>
      <c r="BE351" s="5"/>
    </row>
    <row r="352" spans="1:57" x14ac:dyDescent="0.25">
      <c r="A352" s="5">
        <f ca="1">IFERROR(__xludf.DUMMYFUNCTION("""COMPUTED_VALUE"""),356)</f>
        <v>356</v>
      </c>
      <c r="B352" s="5">
        <f ca="1">IFERROR(__xludf.DUMMYFUNCTION("""COMPUTED_VALUE"""),4005)</f>
        <v>4005</v>
      </c>
      <c r="C352" s="5" t="str">
        <f ca="1">IFERROR(__xludf.DUMMYFUNCTION("""COMPUTED_VALUE"""),"Fazi")</f>
        <v>Fazi</v>
      </c>
      <c r="D352" s="5" t="str">
        <f ca="1">IFERROR(__xludf.DUMMYFUNCTION("""COMPUTED_VALUE"""),"Wild Lucky Betebet")</f>
        <v>Wild Lucky Betebet</v>
      </c>
      <c r="E352" s="5" t="str">
        <f ca="1">IFERROR(__xludf.DUMMYFUNCTION("""COMPUTED_VALUE"""),"Sertifikacioni")</f>
        <v>Sertifikacioni</v>
      </c>
      <c r="F352" s="5" t="str">
        <f ca="1">IFERROR(__xludf.DUMMYFUNCTION("""COMPUTED_VALUE"""),"WildLuckyBetebet")</f>
        <v>WildLuckyBetebet</v>
      </c>
      <c r="G352" s="5" t="str">
        <f ca="1">IFERROR(__xludf.DUMMYFUNCTION("""COMPUTED_VALUE"""),"Live")</f>
        <v>Live</v>
      </c>
      <c r="H352" s="5"/>
      <c r="I352" s="5" t="str">
        <f ca="1">IFERROR(__xludf.DUMMYFUNCTION("""COMPUTED_VALUE"""),"V2")</f>
        <v>V2</v>
      </c>
      <c r="J352" s="5" t="str">
        <f ca="1">IFERROR(__xludf.DUMMYFUNCTION("""COMPUTED_VALUE"""),"Binary")</f>
        <v>Binary</v>
      </c>
      <c r="K352" s="5" t="str">
        <f ca="1">IFERROR(__xludf.DUMMYFUNCTION("""COMPUTED_VALUE"""),"Slot")</f>
        <v>Slot</v>
      </c>
      <c r="L352" s="5" t="str">
        <f ca="1">IFERROR(__xludf.DUMMYFUNCTION("""COMPUTED_VALUE""")," Clone")</f>
        <v xml:space="preserve"> Clone</v>
      </c>
      <c r="M352" s="5" t="str">
        <f ca="1">IFERROR(__xludf.DUMMYFUNCTION("""COMPUTED_VALUE"""),"Wild Lucky Clover")</f>
        <v>Wild Lucky Clover</v>
      </c>
      <c r="N352" s="5"/>
      <c r="O352" s="5"/>
      <c r="P352" s="5"/>
      <c r="Q352" s="5"/>
      <c r="R352" s="5"/>
      <c r="S352" s="15">
        <f ca="1">IFERROR(__xludf.DUMMYFUNCTION("""COMPUTED_VALUE"""),45590)</f>
        <v>45590</v>
      </c>
      <c r="T352" s="5"/>
      <c r="U352" s="5" t="str">
        <f ca="1">IFERROR(__xludf.DUMMYFUNCTION("""COMPUTED_VALUE"""),"5x4")</f>
        <v>5x4</v>
      </c>
      <c r="V352" s="5">
        <f ca="1">IFERROR(__xludf.DUMMYFUNCTION("""COMPUTED_VALUE"""),40)</f>
        <v>40</v>
      </c>
      <c r="W352" s="5">
        <f ca="1">IFERROR(__xludf.DUMMYFUNCTION("""COMPUTED_VALUE"""),40)</f>
        <v>40</v>
      </c>
      <c r="X352" s="13">
        <f ca="1">IFERROR(__xludf.DUMMYFUNCTION("""COMPUTED_VALUE"""),96.289999999)</f>
        <v>96.289999999000003</v>
      </c>
      <c r="Y352" s="5" t="str">
        <f ca="1">IFERROR(__xludf.DUMMYFUNCTION("""COMPUTED_VALUE"""),"Medium")</f>
        <v>Medium</v>
      </c>
      <c r="Z352" s="5">
        <f ca="1">IFERROR(__xludf.DUMMYFUNCTION("""COMPUTED_VALUE"""),12.67)</f>
        <v>12.67</v>
      </c>
      <c r="AA352" s="5">
        <f ca="1">IFERROR(__xludf.DUMMYFUNCTION("""COMPUTED_VALUE"""),12.67)</f>
        <v>12.67</v>
      </c>
      <c r="AB352" s="5"/>
      <c r="AC352" s="5"/>
      <c r="AD352" s="5"/>
      <c r="AE352" s="5"/>
      <c r="AF352" s="5"/>
      <c r="AG352" s="10">
        <f ca="1">IFERROR(__xludf.DUMMYFUNCTION("""COMPUTED_VALUE"""),46020.5172337962)</f>
        <v>46020.517233796199</v>
      </c>
      <c r="AH352" s="5" t="str">
        <f ca="1">IFERROR(__xludf.DUMMYFUNCTION("""COMPUTED_VALUE"""),"djordje.jankovic@fazi.rs")</f>
        <v>djordje.jankovic@fazi.rs</v>
      </c>
      <c r="AI352" s="5"/>
      <c r="AJ352" s="5"/>
      <c r="AK352" s="5" t="str">
        <f ca="1">IFERROR(__xludf.DUMMYFUNCTION("""COMPUTED_VALUE"""),"NULL")</f>
        <v>NULL</v>
      </c>
      <c r="AL352" s="5" t="str">
        <f ca="1">IFERROR(__xludf.DUMMYFUNCTION("""COMPUTED_VALUE"""),"Yes")</f>
        <v>Yes</v>
      </c>
      <c r="AM352" s="5"/>
      <c r="AN352" s="5"/>
      <c r="AO352" s="5"/>
      <c r="AP352" s="5"/>
      <c r="AQ352" s="5"/>
      <c r="AR352" s="5" t="b">
        <f ca="1">IFERROR(__xludf.DUMMYFUNCTION("""COMPUTED_VALUE"""),TRUE)</f>
        <v>1</v>
      </c>
      <c r="AS352" s="5"/>
      <c r="AT352" s="5"/>
      <c r="AU352" s="5" t="str">
        <f ca="1">IFERROR(__xludf.DUMMYFUNCTION("""COMPUTED_VALUE"""),"Fazi")</f>
        <v>Fazi</v>
      </c>
      <c r="AV352" s="5"/>
      <c r="AW352" s="5"/>
      <c r="AX352" s="5"/>
      <c r="AY352" s="5"/>
      <c r="AZ352" s="5"/>
      <c r="BA352" s="5" t="str">
        <f ca="1">IFERROR(__xludf.DUMMYFUNCTION("""COMPUTED_VALUE"""),"")</f>
        <v/>
      </c>
      <c r="BB352" s="5"/>
      <c r="BC352" s="5" t="str">
        <f ca="1">IFERROR(__xludf.DUMMYFUNCTION("""COMPUTED_VALUE"""),"Foxi")</f>
        <v>Foxi</v>
      </c>
      <c r="BD352" s="5" t="str">
        <f ca="1">IFERROR(__xludf.DUMMYFUNCTION("""COMPUTED_VALUE"""),"")</f>
        <v/>
      </c>
      <c r="BE352" s="5"/>
    </row>
    <row r="353" spans="1:57" x14ac:dyDescent="0.25">
      <c r="A353" s="5">
        <f ca="1">IFERROR(__xludf.DUMMYFUNCTION("""COMPUTED_VALUE"""),357)</f>
        <v>357</v>
      </c>
      <c r="B353" s="5">
        <f ca="1">IFERROR(__xludf.DUMMYFUNCTION("""COMPUTED_VALUE"""),4006)</f>
        <v>4006</v>
      </c>
      <c r="C353" s="5" t="str">
        <f ca="1">IFERROR(__xludf.DUMMYFUNCTION("""COMPUTED_VALUE"""),"Fazi")</f>
        <v>Fazi</v>
      </c>
      <c r="D353" s="5" t="str">
        <f ca="1">IFERROR(__xludf.DUMMYFUNCTION("""COMPUTED_VALUE"""),"Quick Win Crown 10")</f>
        <v>Quick Win Crown 10</v>
      </c>
      <c r="E353" s="5" t="str">
        <f ca="1">IFERROR(__xludf.DUMMYFUNCTION("""COMPUTED_VALUE"""),"Sertifikacioni")</f>
        <v>Sertifikacioni</v>
      </c>
      <c r="F353" s="5" t="str">
        <f ca="1">IFERROR(__xludf.DUMMYFUNCTION("""COMPUTED_VALUE"""),"QuickWinCrown10")</f>
        <v>QuickWinCrown10</v>
      </c>
      <c r="G353" s="5" t="str">
        <f ca="1">IFERROR(__xludf.DUMMYFUNCTION("""COMPUTED_VALUE"""),"Live")</f>
        <v>Live</v>
      </c>
      <c r="H353" s="5"/>
      <c r="I353" s="5" t="str">
        <f ca="1">IFERROR(__xludf.DUMMYFUNCTION("""COMPUTED_VALUE"""),"V2")</f>
        <v>V2</v>
      </c>
      <c r="J353" s="5" t="str">
        <f ca="1">IFERROR(__xludf.DUMMYFUNCTION("""COMPUTED_VALUE"""),"Binary")</f>
        <v>Binary</v>
      </c>
      <c r="K353" s="5" t="str">
        <f ca="1">IFERROR(__xludf.DUMMYFUNCTION("""COMPUTED_VALUE"""),"Slot")</f>
        <v>Slot</v>
      </c>
      <c r="L353" s="5" t="str">
        <f ca="1">IFERROR(__xludf.DUMMYFUNCTION("""COMPUTED_VALUE""")," Clone")</f>
        <v xml:space="preserve"> Clone</v>
      </c>
      <c r="M353" s="5" t="str">
        <f ca="1">IFERROR(__xludf.DUMMYFUNCTION("""COMPUTED_VALUE"""),"Epic Crown 10")</f>
        <v>Epic Crown 10</v>
      </c>
      <c r="N353" s="5"/>
      <c r="O353" s="5"/>
      <c r="P353" s="5"/>
      <c r="Q353" s="5"/>
      <c r="R353" s="5"/>
      <c r="S353" s="15">
        <f ca="1">IFERROR(__xludf.DUMMYFUNCTION("""COMPUTED_VALUE"""),45579)</f>
        <v>45579</v>
      </c>
      <c r="T353" s="5"/>
      <c r="U353" s="5" t="str">
        <f ca="1">IFERROR(__xludf.DUMMYFUNCTION("""COMPUTED_VALUE"""),"5x3")</f>
        <v>5x3</v>
      </c>
      <c r="V353" s="5">
        <f ca="1">IFERROR(__xludf.DUMMYFUNCTION("""COMPUTED_VALUE"""),10)</f>
        <v>10</v>
      </c>
      <c r="W353" s="5">
        <f ca="1">IFERROR(__xludf.DUMMYFUNCTION("""COMPUTED_VALUE"""),10)</f>
        <v>10</v>
      </c>
      <c r="X353" s="13">
        <f ca="1">IFERROR(__xludf.DUMMYFUNCTION("""COMPUTED_VALUE"""),95.96)</f>
        <v>95.96</v>
      </c>
      <c r="Y353" s="5" t="str">
        <f ca="1">IFERROR(__xludf.DUMMYFUNCTION("""COMPUTED_VALUE"""),"Medium")</f>
        <v>Medium</v>
      </c>
      <c r="Z353" s="5">
        <f ca="1">IFERROR(__xludf.DUMMYFUNCTION("""COMPUTED_VALUE"""),14.63)</f>
        <v>14.63</v>
      </c>
      <c r="AA353" s="5">
        <f ca="1">IFERROR(__xludf.DUMMYFUNCTION("""COMPUTED_VALUE"""),1538)</f>
        <v>1538</v>
      </c>
      <c r="AB353" s="5"/>
      <c r="AC353" s="5"/>
      <c r="AD353" s="5"/>
      <c r="AE353" s="5"/>
      <c r="AF353" s="5"/>
      <c r="AG353" s="10">
        <f ca="1">IFERROR(__xludf.DUMMYFUNCTION("""COMPUTED_VALUE"""),46020.5162037037)</f>
        <v>46020.516203703701</v>
      </c>
      <c r="AH353" s="5" t="str">
        <f ca="1">IFERROR(__xludf.DUMMYFUNCTION("""COMPUTED_VALUE"""),"djordje.jankovic@fazi.rs")</f>
        <v>djordje.jankovic@fazi.rs</v>
      </c>
      <c r="AI353" s="5"/>
      <c r="AJ353" s="5"/>
      <c r="AK353" s="5" t="str">
        <f ca="1">IFERROR(__xludf.DUMMYFUNCTION("""COMPUTED_VALUE"""),"#N/A")</f>
        <v>#N/A</v>
      </c>
      <c r="AL353" s="5" t="str">
        <f ca="1">IFERROR(__xludf.DUMMYFUNCTION("""COMPUTED_VALUE"""),"Yes")</f>
        <v>Yes</v>
      </c>
      <c r="AM353" s="5"/>
      <c r="AN353" s="5"/>
      <c r="AO353" s="5"/>
      <c r="AP353" s="5"/>
      <c r="AQ353" s="5"/>
      <c r="AR353" s="5" t="b">
        <f ca="1">IFERROR(__xludf.DUMMYFUNCTION("""COMPUTED_VALUE"""),TRUE)</f>
        <v>1</v>
      </c>
      <c r="AS353" s="5"/>
      <c r="AT353" s="5"/>
      <c r="AU353" s="5" t="str">
        <f ca="1">IFERROR(__xludf.DUMMYFUNCTION("""COMPUTED_VALUE"""),"Fazi")</f>
        <v>Fazi</v>
      </c>
      <c r="AV353" s="5"/>
      <c r="AW353" s="5"/>
      <c r="AX353" s="5"/>
      <c r="AY353" s="5"/>
      <c r="AZ353" s="5"/>
      <c r="BA353" s="5" t="str">
        <f ca="1">IFERROR(__xludf.DUMMYFUNCTION("""COMPUTED_VALUE"""),"")</f>
        <v/>
      </c>
      <c r="BB353" s="5"/>
      <c r="BC353" s="5" t="str">
        <f ca="1">IFERROR(__xludf.DUMMYFUNCTION("""COMPUTED_VALUE"""),"Foxi")</f>
        <v>Foxi</v>
      </c>
      <c r="BD353" s="5" t="str">
        <f ca="1">IFERROR(__xludf.DUMMYFUNCTION("""COMPUTED_VALUE"""),"")</f>
        <v/>
      </c>
      <c r="BE353" s="5"/>
    </row>
    <row r="354" spans="1:57" x14ac:dyDescent="0.25">
      <c r="A354" s="5">
        <f ca="1">IFERROR(__xludf.DUMMYFUNCTION("""COMPUTED_VALUE"""),358)</f>
        <v>358</v>
      </c>
      <c r="B354" s="5">
        <f ca="1">IFERROR(__xludf.DUMMYFUNCTION("""COMPUTED_VALUE"""),4002)</f>
        <v>4002</v>
      </c>
      <c r="C354" s="5" t="str">
        <f ca="1">IFERROR(__xludf.DUMMYFUNCTION("""COMPUTED_VALUE"""),"Fazi")</f>
        <v>Fazi</v>
      </c>
      <c r="D354" s="5" t="str">
        <f ca="1">IFERROR(__xludf.DUMMYFUNCTION("""COMPUTED_VALUE"""),"Lolla's Soccer World")</f>
        <v>Lolla's Soccer World</v>
      </c>
      <c r="E354" s="5" t="str">
        <f ca="1">IFERROR(__xludf.DUMMYFUNCTION("""COMPUTED_VALUE"""),"Sertifikacioni")</f>
        <v>Sertifikacioni</v>
      </c>
      <c r="F354" s="5" t="str">
        <f ca="1">IFERROR(__xludf.DUMMYFUNCTION("""COMPUTED_VALUE"""),"LollasSoccerWorld")</f>
        <v>LollasSoccerWorld</v>
      </c>
      <c r="G354" s="5" t="str">
        <f ca="1">IFERROR(__xludf.DUMMYFUNCTION("""COMPUTED_VALUE"""),"Live")</f>
        <v>Live</v>
      </c>
      <c r="H354" s="5"/>
      <c r="I354" s="5" t="str">
        <f ca="1">IFERROR(__xludf.DUMMYFUNCTION("""COMPUTED_VALUE"""),"V2")</f>
        <v>V2</v>
      </c>
      <c r="J354" s="5" t="str">
        <f ca="1">IFERROR(__xludf.DUMMYFUNCTION("""COMPUTED_VALUE"""),"Binary")</f>
        <v>Binary</v>
      </c>
      <c r="K354" s="5" t="str">
        <f ca="1">IFERROR(__xludf.DUMMYFUNCTION("""COMPUTED_VALUE"""),"Slot")</f>
        <v>Slot</v>
      </c>
      <c r="L354" s="5" t="str">
        <f ca="1">IFERROR(__xludf.DUMMYFUNCTION("""COMPUTED_VALUE""")," Clone")</f>
        <v xml:space="preserve"> Clone</v>
      </c>
      <c r="M354" s="5" t="str">
        <f ca="1">IFERROR(__xludf.DUMMYFUNCTION("""COMPUTED_VALUE"""),"Lollas World")</f>
        <v>Lollas World</v>
      </c>
      <c r="N354" s="5"/>
      <c r="O354" s="5"/>
      <c r="P354" s="5"/>
      <c r="Q354" s="5"/>
      <c r="R354" s="5"/>
      <c r="S354" s="15">
        <f ca="1">IFERROR(__xludf.DUMMYFUNCTION("""COMPUTED_VALUE"""),45565)</f>
        <v>45565</v>
      </c>
      <c r="T354" s="5"/>
      <c r="U354" s="5" t="str">
        <f ca="1">IFERROR(__xludf.DUMMYFUNCTION("""COMPUTED_VALUE"""),"5x4")</f>
        <v>5x4</v>
      </c>
      <c r="V354" s="5">
        <f ca="1">IFERROR(__xludf.DUMMYFUNCTION("""COMPUTED_VALUE"""),40)</f>
        <v>40</v>
      </c>
      <c r="W354" s="5">
        <f ca="1">IFERROR(__xludf.DUMMYFUNCTION("""COMPUTED_VALUE"""),40)</f>
        <v>40</v>
      </c>
      <c r="X354" s="13">
        <f ca="1">IFERROR(__xludf.DUMMYFUNCTION("""COMPUTED_VALUE"""),95.48)</f>
        <v>95.48</v>
      </c>
      <c r="Y354" s="5" t="str">
        <f ca="1">IFERROR(__xludf.DUMMYFUNCTION("""COMPUTED_VALUE"""),"Medium")</f>
        <v>Medium</v>
      </c>
      <c r="Z354" s="5">
        <f ca="1">IFERROR(__xludf.DUMMYFUNCTION("""COMPUTED_VALUE"""),14.79)</f>
        <v>14.79</v>
      </c>
      <c r="AA354" s="5">
        <f ca="1">IFERROR(__xludf.DUMMYFUNCTION("""COMPUTED_VALUE"""),1000)</f>
        <v>1000</v>
      </c>
      <c r="AB354" s="5"/>
      <c r="AC354" s="5"/>
      <c r="AD354" s="5"/>
      <c r="AE354" s="5"/>
      <c r="AF354" s="5"/>
      <c r="AG354" s="10">
        <f ca="1">IFERROR(__xludf.DUMMYFUNCTION("""COMPUTED_VALUE"""),46020.5142939814)</f>
        <v>46020.514293981403</v>
      </c>
      <c r="AH354" s="5" t="str">
        <f ca="1">IFERROR(__xludf.DUMMYFUNCTION("""COMPUTED_VALUE"""),"djordje.jankovic@fazi.rs")</f>
        <v>djordje.jankovic@fazi.rs</v>
      </c>
      <c r="AI354" s="5"/>
      <c r="AJ354" s="5"/>
      <c r="AK354" s="5" t="str">
        <f ca="1">IFERROR(__xludf.DUMMYFUNCTION("""COMPUTED_VALUE"""),"#N/A")</f>
        <v>#N/A</v>
      </c>
      <c r="AL354" s="5" t="str">
        <f ca="1">IFERROR(__xludf.DUMMYFUNCTION("""COMPUTED_VALUE"""),"Yes")</f>
        <v>Yes</v>
      </c>
      <c r="AM354" s="5"/>
      <c r="AN354" s="5"/>
      <c r="AO354" s="5"/>
      <c r="AP354" s="5"/>
      <c r="AQ354" s="5"/>
      <c r="AR354" s="5" t="b">
        <f ca="1">IFERROR(__xludf.DUMMYFUNCTION("""COMPUTED_VALUE"""),TRUE)</f>
        <v>1</v>
      </c>
      <c r="AS354" s="5"/>
      <c r="AT354" s="5"/>
      <c r="AU354" s="5" t="str">
        <f ca="1">IFERROR(__xludf.DUMMYFUNCTION("""COMPUTED_VALUE"""),"Fazi")</f>
        <v>Fazi</v>
      </c>
      <c r="AV354" s="5"/>
      <c r="AW354" s="5"/>
      <c r="AX354" s="5"/>
      <c r="AY354" s="5"/>
      <c r="AZ354" s="5"/>
      <c r="BA354" s="5" t="str">
        <f ca="1">IFERROR(__xludf.DUMMYFUNCTION("""COMPUTED_VALUE"""),"")</f>
        <v/>
      </c>
      <c r="BB354" s="5"/>
      <c r="BC354" s="5" t="str">
        <f ca="1">IFERROR(__xludf.DUMMYFUNCTION("""COMPUTED_VALUE"""),"Foxi")</f>
        <v>Foxi</v>
      </c>
      <c r="BD354" s="5" t="str">
        <f ca="1">IFERROR(__xludf.DUMMYFUNCTION("""COMPUTED_VALUE"""),"")</f>
        <v/>
      </c>
      <c r="BE354" s="5"/>
    </row>
    <row r="355" spans="1:57" x14ac:dyDescent="0.25">
      <c r="A355" s="5">
        <f ca="1">IFERROR(__xludf.DUMMYFUNCTION("""COMPUTED_VALUE"""),359)</f>
        <v>359</v>
      </c>
      <c r="B355" s="5">
        <f ca="1">IFERROR(__xludf.DUMMYFUNCTION("""COMPUTED_VALUE"""),4003)</f>
        <v>4003</v>
      </c>
      <c r="C355" s="5" t="str">
        <f ca="1">IFERROR(__xludf.DUMMYFUNCTION("""COMPUTED_VALUE"""),"Fazi")</f>
        <v>Fazi</v>
      </c>
      <c r="D355" s="5" t="str">
        <f ca="1">IFERROR(__xludf.DUMMYFUNCTION("""COMPUTED_VALUE"""),"Soccers Clover")</f>
        <v>Soccers Clover</v>
      </c>
      <c r="E355" s="5" t="str">
        <f ca="1">IFERROR(__xludf.DUMMYFUNCTION("""COMPUTED_VALUE"""),"Sertifikacioni")</f>
        <v>Sertifikacioni</v>
      </c>
      <c r="F355" s="5" t="str">
        <f ca="1">IFERROR(__xludf.DUMMYFUNCTION("""COMPUTED_VALUE"""),"SoccersClover")</f>
        <v>SoccersClover</v>
      </c>
      <c r="G355" s="5" t="str">
        <f ca="1">IFERROR(__xludf.DUMMYFUNCTION("""COMPUTED_VALUE"""),"Live")</f>
        <v>Live</v>
      </c>
      <c r="H355" s="5"/>
      <c r="I355" s="5" t="str">
        <f ca="1">IFERROR(__xludf.DUMMYFUNCTION("""COMPUTED_VALUE"""),"V2")</f>
        <v>V2</v>
      </c>
      <c r="J355" s="5" t="str">
        <f ca="1">IFERROR(__xludf.DUMMYFUNCTION("""COMPUTED_VALUE"""),"Binary")</f>
        <v>Binary</v>
      </c>
      <c r="K355" s="5" t="str">
        <f ca="1">IFERROR(__xludf.DUMMYFUNCTION("""COMPUTED_VALUE"""),"Slot")</f>
        <v>Slot</v>
      </c>
      <c r="L355" s="5" t="str">
        <f ca="1">IFERROR(__xludf.DUMMYFUNCTION("""COMPUTED_VALUE""")," Clone")</f>
        <v xml:space="preserve"> Clone</v>
      </c>
      <c r="M355" s="5" t="str">
        <f ca="1">IFERROR(__xludf.DUMMYFUNCTION("""COMPUTED_VALUE"""),"Wild Lucky Clover")</f>
        <v>Wild Lucky Clover</v>
      </c>
      <c r="N355" s="5"/>
      <c r="O355" s="5"/>
      <c r="P355" s="5"/>
      <c r="Q355" s="5"/>
      <c r="R355" s="5"/>
      <c r="S355" s="15">
        <f ca="1">IFERROR(__xludf.DUMMYFUNCTION("""COMPUTED_VALUE"""),45565)</f>
        <v>45565</v>
      </c>
      <c r="T355" s="5"/>
      <c r="U355" s="5" t="str">
        <f ca="1">IFERROR(__xludf.DUMMYFUNCTION("""COMPUTED_VALUE"""),"5x40")</f>
        <v>5x40</v>
      </c>
      <c r="V355" s="5">
        <f ca="1">IFERROR(__xludf.DUMMYFUNCTION("""COMPUTED_VALUE"""),40)</f>
        <v>40</v>
      </c>
      <c r="W355" s="5">
        <f ca="1">IFERROR(__xludf.DUMMYFUNCTION("""COMPUTED_VALUE"""),40)</f>
        <v>40</v>
      </c>
      <c r="X355" s="13">
        <f ca="1">IFERROR(__xludf.DUMMYFUNCTION("""COMPUTED_VALUE"""),96.289)</f>
        <v>96.289000000000001</v>
      </c>
      <c r="Y355" s="5" t="str">
        <f ca="1">IFERROR(__xludf.DUMMYFUNCTION("""COMPUTED_VALUE"""),"Medium")</f>
        <v>Medium</v>
      </c>
      <c r="Z355" s="5">
        <f ca="1">IFERROR(__xludf.DUMMYFUNCTION("""COMPUTED_VALUE"""),12.67)</f>
        <v>12.67</v>
      </c>
      <c r="AA355" s="5">
        <f ca="1">IFERROR(__xludf.DUMMYFUNCTION("""COMPUTED_VALUE"""),1043)</f>
        <v>1043</v>
      </c>
      <c r="AB355" s="5"/>
      <c r="AC355" s="5"/>
      <c r="AD355" s="5"/>
      <c r="AE355" s="5"/>
      <c r="AF355" s="5"/>
      <c r="AG355" s="10">
        <f ca="1">IFERROR(__xludf.DUMMYFUNCTION("""COMPUTED_VALUE"""),46020.5144212963)</f>
        <v>46020.514421296299</v>
      </c>
      <c r="AH355" s="5" t="str">
        <f ca="1">IFERROR(__xludf.DUMMYFUNCTION("""COMPUTED_VALUE"""),"djordje.jankovic@fazi.rs")</f>
        <v>djordje.jankovic@fazi.rs</v>
      </c>
      <c r="AI355" s="5"/>
      <c r="AJ355" s="5"/>
      <c r="AK355" s="5" t="str">
        <f ca="1">IFERROR(__xludf.DUMMYFUNCTION("""COMPUTED_VALUE"""),"#N/A")</f>
        <v>#N/A</v>
      </c>
      <c r="AL355" s="5" t="str">
        <f ca="1">IFERROR(__xludf.DUMMYFUNCTION("""COMPUTED_VALUE"""),"Yes")</f>
        <v>Yes</v>
      </c>
      <c r="AM355" s="5"/>
      <c r="AN355" s="5"/>
      <c r="AO355" s="5"/>
      <c r="AP355" s="5"/>
      <c r="AQ355" s="5"/>
      <c r="AR355" s="5" t="b">
        <f ca="1">IFERROR(__xludf.DUMMYFUNCTION("""COMPUTED_VALUE"""),TRUE)</f>
        <v>1</v>
      </c>
      <c r="AS355" s="5"/>
      <c r="AT355" s="5"/>
      <c r="AU355" s="5" t="str">
        <f ca="1">IFERROR(__xludf.DUMMYFUNCTION("""COMPUTED_VALUE"""),"Fazi")</f>
        <v>Fazi</v>
      </c>
      <c r="AV355" s="5"/>
      <c r="AW355" s="5"/>
      <c r="AX355" s="5"/>
      <c r="AY355" s="5"/>
      <c r="AZ355" s="5"/>
      <c r="BA355" s="5" t="str">
        <f ca="1">IFERROR(__xludf.DUMMYFUNCTION("""COMPUTED_VALUE"""),"")</f>
        <v/>
      </c>
      <c r="BB355" s="5"/>
      <c r="BC355" s="5" t="str">
        <f ca="1">IFERROR(__xludf.DUMMYFUNCTION("""COMPUTED_VALUE"""),"Foxi")</f>
        <v>Foxi</v>
      </c>
      <c r="BD355" s="5" t="str">
        <f ca="1">IFERROR(__xludf.DUMMYFUNCTION("""COMPUTED_VALUE"""),"")</f>
        <v/>
      </c>
      <c r="BE355" s="5"/>
    </row>
    <row r="356" spans="1:57" x14ac:dyDescent="0.25">
      <c r="A356" s="5">
        <f ca="1">IFERROR(__xludf.DUMMYFUNCTION("""COMPUTED_VALUE"""),360)</f>
        <v>360</v>
      </c>
      <c r="B356" s="5">
        <f ca="1">IFERROR(__xludf.DUMMYFUNCTION("""COMPUTED_VALUE"""),4004)</f>
        <v>4004</v>
      </c>
      <c r="C356" s="5" t="str">
        <f ca="1">IFERROR(__xludf.DUMMYFUNCTION("""COMPUTED_VALUE"""),"Fazi")</f>
        <v>Fazi</v>
      </c>
      <c r="D356" s="5" t="str">
        <f ca="1">IFERROR(__xludf.DUMMYFUNCTION("""COMPUTED_VALUE"""),"Soccer Hot 40 FreeSpins")</f>
        <v>Soccer Hot 40 FreeSpins</v>
      </c>
      <c r="E356" s="5" t="str">
        <f ca="1">IFERROR(__xludf.DUMMYFUNCTION("""COMPUTED_VALUE"""),"Sertifikacioni")</f>
        <v>Sertifikacioni</v>
      </c>
      <c r="F356" s="5" t="str">
        <f ca="1">IFERROR(__xludf.DUMMYFUNCTION("""COMPUTED_VALUE"""),"SoccerHot40FreeSpins")</f>
        <v>SoccerHot40FreeSpins</v>
      </c>
      <c r="G356" s="5" t="str">
        <f ca="1">IFERROR(__xludf.DUMMYFUNCTION("""COMPUTED_VALUE"""),"Live")</f>
        <v>Live</v>
      </c>
      <c r="H356" s="5"/>
      <c r="I356" s="5" t="str">
        <f ca="1">IFERROR(__xludf.DUMMYFUNCTION("""COMPUTED_VALUE"""),"V2")</f>
        <v>V2</v>
      </c>
      <c r="J356" s="5" t="str">
        <f ca="1">IFERROR(__xludf.DUMMYFUNCTION("""COMPUTED_VALUE"""),"Binary")</f>
        <v>Binary</v>
      </c>
      <c r="K356" s="5" t="str">
        <f ca="1">IFERROR(__xludf.DUMMYFUNCTION("""COMPUTED_VALUE"""),"Slot")</f>
        <v>Slot</v>
      </c>
      <c r="L356" s="5" t="str">
        <f ca="1">IFERROR(__xludf.DUMMYFUNCTION("""COMPUTED_VALUE""")," Clone")</f>
        <v xml:space="preserve"> Clone</v>
      </c>
      <c r="M356" s="5" t="str">
        <f ca="1">IFERROR(__xludf.DUMMYFUNCTION("""COMPUTED_VALUE"""),"Wild Hot 40 Free Spins")</f>
        <v>Wild Hot 40 Free Spins</v>
      </c>
      <c r="N356" s="5"/>
      <c r="O356" s="5"/>
      <c r="P356" s="5"/>
      <c r="Q356" s="5"/>
      <c r="R356" s="5"/>
      <c r="S356" s="15">
        <f ca="1">IFERROR(__xludf.DUMMYFUNCTION("""COMPUTED_VALUE"""),45565)</f>
        <v>45565</v>
      </c>
      <c r="T356" s="5"/>
      <c r="U356" s="5" t="str">
        <f ca="1">IFERROR(__xludf.DUMMYFUNCTION("""COMPUTED_VALUE"""),"5x40")</f>
        <v>5x40</v>
      </c>
      <c r="V356" s="5">
        <f ca="1">IFERROR(__xludf.DUMMYFUNCTION("""COMPUTED_VALUE"""),40)</f>
        <v>40</v>
      </c>
      <c r="W356" s="5">
        <f ca="1">IFERROR(__xludf.DUMMYFUNCTION("""COMPUTED_VALUE"""),40)</f>
        <v>40</v>
      </c>
      <c r="X356" s="13">
        <f ca="1">IFERROR(__xludf.DUMMYFUNCTION("""COMPUTED_VALUE"""),96.02)</f>
        <v>96.02</v>
      </c>
      <c r="Y356" s="5" t="str">
        <f ca="1">IFERROR(__xludf.DUMMYFUNCTION("""COMPUTED_VALUE"""),"Low")</f>
        <v>Low</v>
      </c>
      <c r="Z356" s="5">
        <f ca="1">IFERROR(__xludf.DUMMYFUNCTION("""COMPUTED_VALUE"""),17.23)</f>
        <v>17.23</v>
      </c>
      <c r="AA356" s="5">
        <f ca="1">IFERROR(__xludf.DUMMYFUNCTION("""COMPUTED_VALUE"""),1046)</f>
        <v>1046</v>
      </c>
      <c r="AB356" s="5">
        <f ca="1">IFERROR(__xludf.DUMMYFUNCTION("""COMPUTED_VALUE"""),152)</f>
        <v>152</v>
      </c>
      <c r="AC356" s="5"/>
      <c r="AD356" s="5"/>
      <c r="AE356" s="5"/>
      <c r="AF356" s="5"/>
      <c r="AG356" s="10">
        <f ca="1">IFERROR(__xludf.DUMMYFUNCTION("""COMPUTED_VALUE"""),46020.5145949074)</f>
        <v>46020.514594907399</v>
      </c>
      <c r="AH356" s="5" t="str">
        <f ca="1">IFERROR(__xludf.DUMMYFUNCTION("""COMPUTED_VALUE"""),"djordje.jankovic@fazi.rs")</f>
        <v>djordje.jankovic@fazi.rs</v>
      </c>
      <c r="AI356" s="5"/>
      <c r="AJ356" s="5"/>
      <c r="AK356" s="5" t="str">
        <f ca="1">IFERROR(__xludf.DUMMYFUNCTION("""COMPUTED_VALUE"""),"#N/A")</f>
        <v>#N/A</v>
      </c>
      <c r="AL356" s="5" t="str">
        <f ca="1">IFERROR(__xludf.DUMMYFUNCTION("""COMPUTED_VALUE"""),"Yes")</f>
        <v>Yes</v>
      </c>
      <c r="AM356" s="5"/>
      <c r="AN356" s="5"/>
      <c r="AO356" s="5"/>
      <c r="AP356" s="5"/>
      <c r="AQ356" s="5"/>
      <c r="AR356" s="5" t="b">
        <f ca="1">IFERROR(__xludf.DUMMYFUNCTION("""COMPUTED_VALUE"""),TRUE)</f>
        <v>1</v>
      </c>
      <c r="AS356" s="5"/>
      <c r="AT356" s="5"/>
      <c r="AU356" s="5" t="str">
        <f ca="1">IFERROR(__xludf.DUMMYFUNCTION("""COMPUTED_VALUE"""),"Fazi")</f>
        <v>Fazi</v>
      </c>
      <c r="AV356" s="5"/>
      <c r="AW356" s="5"/>
      <c r="AX356" s="5"/>
      <c r="AY356" s="5"/>
      <c r="AZ356" s="5"/>
      <c r="BA356" s="5" t="str">
        <f ca="1">IFERROR(__xludf.DUMMYFUNCTION("""COMPUTED_VALUE"""),"")</f>
        <v/>
      </c>
      <c r="BB356" s="5"/>
      <c r="BC356" s="5" t="str">
        <f ca="1">IFERROR(__xludf.DUMMYFUNCTION("""COMPUTED_VALUE"""),"Foxi")</f>
        <v>Foxi</v>
      </c>
      <c r="BD356" s="5" t="str">
        <f ca="1">IFERROR(__xludf.DUMMYFUNCTION("""COMPUTED_VALUE"""),"")</f>
        <v/>
      </c>
      <c r="BE356" s="5"/>
    </row>
    <row r="357" spans="1:57" x14ac:dyDescent="0.25">
      <c r="A357" s="5">
        <f ca="1">IFERROR(__xludf.DUMMYFUNCTION("""COMPUTED_VALUE"""),361)</f>
        <v>361</v>
      </c>
      <c r="B357" s="5">
        <f ca="1">IFERROR(__xludf.DUMMYFUNCTION("""COMPUTED_VALUE"""),348)</f>
        <v>348</v>
      </c>
      <c r="C357" s="5" t="str">
        <f ca="1">IFERROR(__xludf.DUMMYFUNCTION("""COMPUTED_VALUE"""),"Fazi")</f>
        <v>Fazi</v>
      </c>
      <c r="D357" s="5" t="str">
        <f ca="1">IFERROR(__xludf.DUMMYFUNCTION("""COMPUTED_VALUE"""),"Epic Dice 100")</f>
        <v>Epic Dice 100</v>
      </c>
      <c r="E357" s="5" t="str">
        <f ca="1">IFERROR(__xludf.DUMMYFUNCTION("""COMPUTED_VALUE"""),"V2")</f>
        <v>V2</v>
      </c>
      <c r="F357" s="5" t="str">
        <f ca="1">IFERROR(__xludf.DUMMYFUNCTION("""COMPUTED_VALUE"""),"EpicDice100")</f>
        <v>EpicDice100</v>
      </c>
      <c r="G357" s="5" t="str">
        <f ca="1">IFERROR(__xludf.DUMMYFUNCTION("""COMPUTED_VALUE"""),"Live")</f>
        <v>Live</v>
      </c>
      <c r="H357" s="5"/>
      <c r="I357" s="5" t="str">
        <f ca="1">IFERROR(__xludf.DUMMYFUNCTION("""COMPUTED_VALUE"""),"V2")</f>
        <v>V2</v>
      </c>
      <c r="J357" s="5" t="str">
        <f ca="1">IFERROR(__xludf.DUMMYFUNCTION("""COMPUTED_VALUE"""),"Binary")</f>
        <v>Binary</v>
      </c>
      <c r="K357" s="5" t="str">
        <f ca="1">IFERROR(__xludf.DUMMYFUNCTION("""COMPUTED_VALUE"""),"Slot")</f>
        <v>Slot</v>
      </c>
      <c r="L357" s="5" t="str">
        <f ca="1">IFERROR(__xludf.DUMMYFUNCTION("""COMPUTED_VALUE""")," Clone")</f>
        <v xml:space="preserve"> Clone</v>
      </c>
      <c r="M357" s="5" t="str">
        <f ca="1">IFERROR(__xludf.DUMMYFUNCTION("""COMPUTED_VALUE"""),"Epic Clover 100")</f>
        <v>Epic Clover 100</v>
      </c>
      <c r="N357" s="5"/>
      <c r="O357" s="5"/>
      <c r="P357" s="14">
        <f ca="1">IFERROR(__xludf.DUMMYFUNCTION("""COMPUTED_VALUE"""),23.1)</f>
        <v>23.1</v>
      </c>
      <c r="Q357" s="5"/>
      <c r="R357" s="5"/>
      <c r="S357" s="15">
        <f ca="1">IFERROR(__xludf.DUMMYFUNCTION("""COMPUTED_VALUE"""),45518)</f>
        <v>45518</v>
      </c>
      <c r="T357" s="5" t="b">
        <f ca="1">IFERROR(__xludf.DUMMYFUNCTION("""COMPUTED_VALUE"""),TRUE)</f>
        <v>1</v>
      </c>
      <c r="U357" s="5" t="str">
        <f ca="1">IFERROR(__xludf.DUMMYFUNCTION("""COMPUTED_VALUE"""),"5x4")</f>
        <v>5x4</v>
      </c>
      <c r="V357" s="5">
        <f ca="1">IFERROR(__xludf.DUMMYFUNCTION("""COMPUTED_VALUE"""),100)</f>
        <v>100</v>
      </c>
      <c r="W357" s="5">
        <f ca="1">IFERROR(__xludf.DUMMYFUNCTION("""COMPUTED_VALUE"""),100)</f>
        <v>100</v>
      </c>
      <c r="X357" s="18">
        <f ca="1">IFERROR(__xludf.DUMMYFUNCTION("""COMPUTED_VALUE"""),96.502)</f>
        <v>96.501999999999995</v>
      </c>
      <c r="Y357" s="5" t="str">
        <f ca="1">IFERROR(__xludf.DUMMYFUNCTION("""COMPUTED_VALUE"""),"Medium")</f>
        <v>Medium</v>
      </c>
      <c r="Z357" s="18">
        <f ca="1">IFERROR(__xludf.DUMMYFUNCTION("""COMPUTED_VALUE"""),13.309)</f>
        <v>13.308999999999999</v>
      </c>
      <c r="AA357" s="5">
        <f ca="1">IFERROR(__xludf.DUMMYFUNCTION("""COMPUTED_VALUE"""),3000)</f>
        <v>3000</v>
      </c>
      <c r="AB357" s="5">
        <f ca="1">IFERROR(__xludf.DUMMYFUNCTION("""COMPUTED_VALUE"""),4)</f>
        <v>4</v>
      </c>
      <c r="AC357" s="5" t="str">
        <f ca="1">IFERROR(__xludf.DUMMYFUNCTION("""COMPUTED_VALUE"""),"Scatter, Expanding Wild")</f>
        <v>Scatter, Expanding Wild</v>
      </c>
      <c r="AD357" s="5" t="str">
        <f ca="1">IFERROR(__xludf.DUMMYFUNCTION("""COMPUTED_VALUE"""),"1/100")</f>
        <v>1/100</v>
      </c>
      <c r="AE357" s="5"/>
      <c r="AF357" s="5"/>
      <c r="AG357" s="10">
        <f ca="1">IFERROR(__xludf.DUMMYFUNCTION("""COMPUTED_VALUE"""),46055.5277546296)</f>
        <v>46055.527754629598</v>
      </c>
      <c r="AH357" s="5" t="str">
        <f ca="1">IFERROR(__xludf.DUMMYFUNCTION("""COMPUTED_VALUE"""),"djordje.jankovic@fazi.rs")</f>
        <v>djordje.jankovic@fazi.rs</v>
      </c>
      <c r="AI357" s="5"/>
      <c r="AJ357" s="5"/>
      <c r="AK357" s="5" t="str">
        <f ca="1">IFERROR(__xludf.DUMMYFUNCTION("""COMPUTED_VALUE"""),"N/A")</f>
        <v>N/A</v>
      </c>
      <c r="AL357" s="5" t="str">
        <f ca="1">IFERROR(__xludf.DUMMYFUNCTION("""COMPUTED_VALUE"""),"Yes")</f>
        <v>Yes</v>
      </c>
      <c r="AM357" s="5"/>
      <c r="AN357" s="7" t="str">
        <f ca="1">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AO357" s="5"/>
      <c r="AP357" s="5"/>
      <c r="AQ357" s="5" t="b">
        <f ca="1">IFERROR(__xludf.DUMMYFUNCTION("""COMPUTED_VALUE"""),TRUE)</f>
        <v>1</v>
      </c>
      <c r="AR357" s="5"/>
      <c r="AS357" s="5" t="str">
        <f ca="1">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AT357" s="5"/>
      <c r="AU357" s="5" t="str">
        <f ca="1">IFERROR(__xludf.DUMMYFUNCTION("""COMPUTED_VALUE"""),"Fazi")</f>
        <v>Fazi</v>
      </c>
      <c r="AV357" s="5"/>
      <c r="AW357" s="5"/>
      <c r="AX357" s="5"/>
      <c r="AY357" s="5"/>
      <c r="AZ357" s="5"/>
      <c r="BA357" s="5" t="str">
        <f ca="1">IFERROR(__xludf.DUMMYFUNCTION("""COMPUTED_VALUE"""),"")</f>
        <v/>
      </c>
      <c r="BB357" s="5"/>
      <c r="BC357" s="5" t="str">
        <f ca="1">IFERROR(__xludf.DUMMYFUNCTION("""COMPUTED_VALUE"""),"Foxi")</f>
        <v>Foxi</v>
      </c>
      <c r="BD357" s="7" t="str">
        <f ca="1">IFERROR(__xludf.DUMMYFUNCTION("""COMPUTED_VALUE"""),"https://gameserver-store-client-area.orbionlimited.com/Home/IntegrationGameLaunch/client-area?moneyType=0&amp;gameName=EpicDice100&amp;platform=desktop&amp;languageCode=eng&amp;currency=EUR")</f>
        <v>https://gameserver-store-client-area.orbionlimited.com/Home/IntegrationGameLaunch/client-area?moneyType=0&amp;gameName=EpicDice100&amp;platform=desktop&amp;languageCode=eng&amp;currency=EUR</v>
      </c>
      <c r="BE357" s="5" t="b">
        <f ca="1">IFERROR(__xludf.DUMMYFUNCTION("""COMPUTED_VALUE"""),TRUE)</f>
        <v>1</v>
      </c>
    </row>
    <row r="358" spans="1:57" x14ac:dyDescent="0.25">
      <c r="A358" s="5">
        <f ca="1">IFERROR(__xludf.DUMMYFUNCTION("""COMPUTED_VALUE"""),362)</f>
        <v>362</v>
      </c>
      <c r="B358" s="5">
        <f ca="1">IFERROR(__xludf.DUMMYFUNCTION("""COMPUTED_VALUE"""),345)</f>
        <v>345</v>
      </c>
      <c r="C358" s="5" t="str">
        <f ca="1">IFERROR(__xludf.DUMMYFUNCTION("""COMPUTED_VALUE"""),"Fazi")</f>
        <v>Fazi</v>
      </c>
      <c r="D358" s="5" t="str">
        <f ca="1">IFERROR(__xludf.DUMMYFUNCTION("""COMPUTED_VALUE"""),"Mega Hot 20")</f>
        <v>Mega Hot 20</v>
      </c>
      <c r="E358" s="5" t="str">
        <f ca="1">IFERROR(__xludf.DUMMYFUNCTION("""COMPUTED_VALUE"""),"V2")</f>
        <v>V2</v>
      </c>
      <c r="F358" s="5" t="str">
        <f ca="1">IFERROR(__xludf.DUMMYFUNCTION("""COMPUTED_VALUE"""),"MegaHot20")</f>
        <v>MegaHot20</v>
      </c>
      <c r="G358" s="5" t="str">
        <f ca="1">IFERROR(__xludf.DUMMYFUNCTION("""COMPUTED_VALUE"""),"Live")</f>
        <v>Live</v>
      </c>
      <c r="H358" s="5"/>
      <c r="I358" s="5" t="str">
        <f ca="1">IFERROR(__xludf.DUMMYFUNCTION("""COMPUTED_VALUE"""),"V2")</f>
        <v>V2</v>
      </c>
      <c r="J358" s="5" t="str">
        <f ca="1">IFERROR(__xludf.DUMMYFUNCTION("""COMPUTED_VALUE"""),"Binary")</f>
        <v>Binary</v>
      </c>
      <c r="K358" s="5" t="str">
        <f ca="1">IFERROR(__xludf.DUMMYFUNCTION("""COMPUTED_VALUE"""),"Slot")</f>
        <v>Slot</v>
      </c>
      <c r="L358" s="5"/>
      <c r="M358" s="5"/>
      <c r="N358" s="5"/>
      <c r="O358" s="5"/>
      <c r="P358" s="14">
        <f ca="1">IFERROR(__xludf.DUMMYFUNCTION("""COMPUTED_VALUE"""),21)</f>
        <v>21</v>
      </c>
      <c r="Q358" s="5"/>
      <c r="R358" s="5"/>
      <c r="S358" s="15">
        <f ca="1">IFERROR(__xludf.DUMMYFUNCTION("""COMPUTED_VALUE"""),45509)</f>
        <v>45509</v>
      </c>
      <c r="T358" s="5" t="b">
        <f ca="1">IFERROR(__xludf.DUMMYFUNCTION("""COMPUTED_VALUE"""),TRUE)</f>
        <v>1</v>
      </c>
      <c r="U358" s="5" t="str">
        <f ca="1">IFERROR(__xludf.DUMMYFUNCTION("""COMPUTED_VALUE"""),"5x3")</f>
        <v>5x3</v>
      </c>
      <c r="V358" s="5">
        <f ca="1">IFERROR(__xludf.DUMMYFUNCTION("""COMPUTED_VALUE"""),20)</f>
        <v>20</v>
      </c>
      <c r="W358" s="5">
        <f ca="1">IFERROR(__xludf.DUMMYFUNCTION("""COMPUTED_VALUE"""),20)</f>
        <v>20</v>
      </c>
      <c r="X358" s="5">
        <f ca="1">IFERROR(__xludf.DUMMYFUNCTION("""COMPUTED_VALUE"""),96.475)</f>
        <v>96.474999999999994</v>
      </c>
      <c r="Y358" s="5" t="str">
        <f ca="1">IFERROR(__xludf.DUMMYFUNCTION("""COMPUTED_VALUE"""),"High")</f>
        <v>High</v>
      </c>
      <c r="Z358" s="5">
        <f ca="1">IFERROR(__xludf.DUMMYFUNCTION("""COMPUTED_VALUE"""),7.13)</f>
        <v>7.13</v>
      </c>
      <c r="AA358" s="5">
        <f ca="1">IFERROR(__xludf.DUMMYFUNCTION("""COMPUTED_VALUE"""),1500)</f>
        <v>1500</v>
      </c>
      <c r="AB358" s="5"/>
      <c r="AC358" s="5" t="str">
        <f ca="1">IFERROR(__xludf.DUMMYFUNCTION("""COMPUTED_VALUE"""),"Win Multiplier")</f>
        <v>Win Multiplier</v>
      </c>
      <c r="AD358" s="5" t="str">
        <f ca="1">IFERROR(__xludf.DUMMYFUNCTION("""COMPUTED_VALUE"""),"0.2/50")</f>
        <v>0.2/50</v>
      </c>
      <c r="AE358" s="5"/>
      <c r="AF358" s="5"/>
      <c r="AG358" s="10">
        <f ca="1">IFERROR(__xludf.DUMMYFUNCTION("""COMPUTED_VALUE"""),46055.5950694444)</f>
        <v>46055.595069444404</v>
      </c>
      <c r="AH358" s="5" t="str">
        <f ca="1">IFERROR(__xludf.DUMMYFUNCTION("""COMPUTED_VALUE"""),"djordje.jankovic@fazi.rs")</f>
        <v>djordje.jankovic@fazi.rs</v>
      </c>
      <c r="AI358" s="5"/>
      <c r="AJ358" s="5"/>
      <c r="AK358" s="5">
        <f ca="1">IFERROR(__xludf.DUMMYFUNCTION("""COMPUTED_VALUE"""),20)</f>
        <v>20</v>
      </c>
      <c r="AL358" s="5" t="str">
        <f ca="1">IFERROR(__xludf.DUMMYFUNCTION("""COMPUTED_VALUE"""),"Yes")</f>
        <v>Yes</v>
      </c>
      <c r="AM358" s="5"/>
      <c r="AN358" s="7" t="str">
        <f ca="1">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AO358" s="5"/>
      <c r="AP358" s="5"/>
      <c r="AQ358" s="5" t="b">
        <f ca="1">IFERROR(__xludf.DUMMYFUNCTION("""COMPUTED_VALUE"""),TRUE)</f>
        <v>1</v>
      </c>
      <c r="AR358" s="5"/>
      <c r="AS358" s="5" t="str">
        <f ca="1">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AT358" s="5"/>
      <c r="AU358" s="5" t="str">
        <f ca="1">IFERROR(__xludf.DUMMYFUNCTION("""COMPUTED_VALUE"""),"Fazi")</f>
        <v>Fazi</v>
      </c>
      <c r="AV358" s="5"/>
      <c r="AW358" s="5"/>
      <c r="AX358" s="5"/>
      <c r="AY358" s="5"/>
      <c r="AZ358" s="5"/>
      <c r="BA358" s="5" t="str">
        <f ca="1">IFERROR(__xludf.DUMMYFUNCTION("""COMPUTED_VALUE"""),"")</f>
        <v/>
      </c>
      <c r="BB358" s="5"/>
      <c r="BC358" s="5" t="str">
        <f ca="1">IFERROR(__xludf.DUMMYFUNCTION("""COMPUTED_VALUE"""),"Foxi")</f>
        <v>Foxi</v>
      </c>
      <c r="BD358" s="7" t="str">
        <f ca="1">IFERROR(__xludf.DUMMYFUNCTION("""COMPUTED_VALUE"""),"https://gameserver-store-client-area.orbionlimited.com/Home/IntegrationGameLaunch/client-area?moneyType=0&amp;gameName=MegaHot20&amp;platform=desktop&amp;languageCode=eng&amp;currency=EUR")</f>
        <v>https://gameserver-store-client-area.orbionlimited.com/Home/IntegrationGameLaunch/client-area?moneyType=0&amp;gameName=MegaHot20&amp;platform=desktop&amp;languageCode=eng&amp;currency=EUR</v>
      </c>
      <c r="BE358" s="5" t="b">
        <f ca="1">IFERROR(__xludf.DUMMYFUNCTION("""COMPUTED_VALUE"""),TRUE)</f>
        <v>1</v>
      </c>
    </row>
    <row r="359" spans="1:57" x14ac:dyDescent="0.25">
      <c r="A359" s="5">
        <f ca="1">IFERROR(__xludf.DUMMYFUNCTION("""COMPUTED_VALUE"""),363)</f>
        <v>363</v>
      </c>
      <c r="B359" s="5">
        <f ca="1">IFERROR(__xludf.DUMMYFUNCTION("""COMPUTED_VALUE"""),3001)</f>
        <v>3001</v>
      </c>
      <c r="C359" s="5" t="str">
        <f ca="1">IFERROR(__xludf.DUMMYFUNCTION("""COMPUTED_VALUE"""),"Fazi")</f>
        <v>Fazi</v>
      </c>
      <c r="D359" s="5" t="str">
        <f ca="1">IFERROR(__xludf.DUMMYFUNCTION("""COMPUTED_VALUE"""),"Clovers And Stars")</f>
        <v>Clovers And Stars</v>
      </c>
      <c r="E359" s="5" t="str">
        <f ca="1">IFERROR(__xludf.DUMMYFUNCTION("""COMPUTED_VALUE"""),"V2")</f>
        <v>V2</v>
      </c>
      <c r="F359" s="5" t="str">
        <f ca="1">IFERROR(__xludf.DUMMYFUNCTION("""COMPUTED_VALUE"""),"CloversAndStars")</f>
        <v>CloversAndStars</v>
      </c>
      <c r="G359" s="5" t="str">
        <f ca="1">IFERROR(__xludf.DUMMYFUNCTION("""COMPUTED_VALUE"""),"Live")</f>
        <v>Live</v>
      </c>
      <c r="H359" s="5"/>
      <c r="I359" s="5" t="str">
        <f ca="1">IFERROR(__xludf.DUMMYFUNCTION("""COMPUTED_VALUE"""),"V2")</f>
        <v>V2</v>
      </c>
      <c r="J359" s="5" t="str">
        <f ca="1">IFERROR(__xludf.DUMMYFUNCTION("""COMPUTED_VALUE"""),"Binary")</f>
        <v>Binary</v>
      </c>
      <c r="K359" s="5" t="str">
        <f ca="1">IFERROR(__xludf.DUMMYFUNCTION("""COMPUTED_VALUE"""),"Slot")</f>
        <v>Slot</v>
      </c>
      <c r="L359" s="5"/>
      <c r="M359" s="5"/>
      <c r="N359" s="5"/>
      <c r="O359" s="5"/>
      <c r="P359" s="14">
        <f ca="1">IFERROR(__xludf.DUMMYFUNCTION("""COMPUTED_VALUE"""),22.4)</f>
        <v>22.4</v>
      </c>
      <c r="Q359" s="5"/>
      <c r="R359" s="5"/>
      <c r="S359" s="15">
        <f ca="1">IFERROR(__xludf.DUMMYFUNCTION("""COMPUTED_VALUE"""),45566)</f>
        <v>45566</v>
      </c>
      <c r="T359" s="5" t="b">
        <f ca="1">IFERROR(__xludf.DUMMYFUNCTION("""COMPUTED_VALUE"""),TRUE)</f>
        <v>1</v>
      </c>
      <c r="U359" s="5" t="str">
        <f ca="1">IFERROR(__xludf.DUMMYFUNCTION("""COMPUTED_VALUE"""),"5x4")</f>
        <v>5x4</v>
      </c>
      <c r="V359" s="5">
        <f ca="1">IFERROR(__xludf.DUMMYFUNCTION("""COMPUTED_VALUE"""),40)</f>
        <v>40</v>
      </c>
      <c r="W359" s="5">
        <f ca="1">IFERROR(__xludf.DUMMYFUNCTION("""COMPUTED_VALUE"""),40)</f>
        <v>40</v>
      </c>
      <c r="X359" s="5">
        <f ca="1">IFERROR(__xludf.DUMMYFUNCTION("""COMPUTED_VALUE"""),96.474)</f>
        <v>96.474000000000004</v>
      </c>
      <c r="Y359" s="5" t="str">
        <f ca="1">IFERROR(__xludf.DUMMYFUNCTION("""COMPUTED_VALUE"""),"High")</f>
        <v>High</v>
      </c>
      <c r="Z359" s="5">
        <f ca="1">IFERROR(__xludf.DUMMYFUNCTION("""COMPUTED_VALUE"""),10.421)</f>
        <v>10.420999999999999</v>
      </c>
      <c r="AA359" s="5">
        <f ca="1">IFERROR(__xludf.DUMMYFUNCTION("""COMPUTED_VALUE"""),10145)</f>
        <v>10145</v>
      </c>
      <c r="AB359" s="5"/>
      <c r="AC359" s="5"/>
      <c r="AD359" s="5" t="str">
        <f ca="1">IFERROR(__xludf.DUMMYFUNCTION("""COMPUTED_VALUE"""),"0.4/60")</f>
        <v>0.4/60</v>
      </c>
      <c r="AE359" s="5"/>
      <c r="AF359" s="5"/>
      <c r="AG359" s="10">
        <f ca="1">IFERROR(__xludf.DUMMYFUNCTION("""COMPUTED_VALUE"""),46055.6054976851)</f>
        <v>46055.605497685101</v>
      </c>
      <c r="AH359" s="5" t="str">
        <f ca="1">IFERROR(__xludf.DUMMYFUNCTION("""COMPUTED_VALUE"""),"djordje.jankovic@fazi.rs")</f>
        <v>djordje.jankovic@fazi.rs</v>
      </c>
      <c r="AI359" s="5"/>
      <c r="AJ359" s="5"/>
      <c r="AK359" s="5">
        <f ca="1">IFERROR(__xludf.DUMMYFUNCTION("""COMPUTED_VALUE"""),40)</f>
        <v>40</v>
      </c>
      <c r="AL359" s="5" t="str">
        <f ca="1">IFERROR(__xludf.DUMMYFUNCTION("""COMPUTED_VALUE"""),"Yes")</f>
        <v>Yes</v>
      </c>
      <c r="AM359" s="5"/>
      <c r="AN359" s="7" t="str">
        <f ca="1">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AO359" s="5"/>
      <c r="AP359" s="5"/>
      <c r="AQ359" s="5" t="b">
        <f ca="1">IFERROR(__xludf.DUMMYFUNCTION("""COMPUTED_VALUE"""),TRUE)</f>
        <v>1</v>
      </c>
      <c r="AR359" s="5"/>
      <c r="AS359" s="5" t="str">
        <f ca="1">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AT359" s="5"/>
      <c r="AU359" s="5" t="str">
        <f ca="1">IFERROR(__xludf.DUMMYFUNCTION("""COMPUTED_VALUE"""),"Fazi")</f>
        <v>Fazi</v>
      </c>
      <c r="AV359" s="5"/>
      <c r="AW359" s="5"/>
      <c r="AX359" s="5"/>
      <c r="AY359" s="5"/>
      <c r="AZ359" s="5"/>
      <c r="BA359" s="5" t="str">
        <f ca="1">IFERROR(__xludf.DUMMYFUNCTION("""COMPUTED_VALUE"""),"")</f>
        <v/>
      </c>
      <c r="BB359" s="5"/>
      <c r="BC359" s="5" t="str">
        <f ca="1">IFERROR(__xludf.DUMMYFUNCTION("""COMPUTED_VALUE"""),"Foxi")</f>
        <v>Foxi</v>
      </c>
      <c r="BD359" s="7" t="str">
        <f ca="1">IFERROR(__xludf.DUMMYFUNCTION("""COMPUTED_VALUE"""),"https://gameserver-store-client-area.orbionlimited.com/Home/IntegrationGameLaunch/client-area?moneyType=0&amp;gameName=CloversAndStars&amp;platform=desktop&amp;languageCode=eng&amp;currency=EUR")</f>
        <v>https://gameserver-store-client-area.orbionlimited.com/Home/IntegrationGameLaunch/client-area?moneyType=0&amp;gameName=CloversAndStars&amp;platform=desktop&amp;languageCode=eng&amp;currency=EUR</v>
      </c>
      <c r="BE359" s="5" t="b">
        <f ca="1">IFERROR(__xludf.DUMMYFUNCTION("""COMPUTED_VALUE"""),TRUE)</f>
        <v>1</v>
      </c>
    </row>
    <row r="360" spans="1:57" x14ac:dyDescent="0.25">
      <c r="A360" s="5">
        <f ca="1">IFERROR(__xludf.DUMMYFUNCTION("""COMPUTED_VALUE"""),364)</f>
        <v>364</v>
      </c>
      <c r="B360" s="5">
        <f ca="1">IFERROR(__xludf.DUMMYFUNCTION("""COMPUTED_VALUE"""),3002)</f>
        <v>3002</v>
      </c>
      <c r="C360" s="5" t="str">
        <f ca="1">IFERROR(__xludf.DUMMYFUNCTION("""COMPUTED_VALUE"""),"Fazi")</f>
        <v>Fazi</v>
      </c>
      <c r="D360" s="5" t="str">
        <f ca="1">IFERROR(__xludf.DUMMYFUNCTION("""COMPUTED_VALUE"""),"Fortune Parrot")</f>
        <v>Fortune Parrot</v>
      </c>
      <c r="E360" s="5" t="str">
        <f ca="1">IFERROR(__xludf.DUMMYFUNCTION("""COMPUTED_VALUE"""),"V2")</f>
        <v>V2</v>
      </c>
      <c r="F360" s="5" t="str">
        <f ca="1">IFERROR(__xludf.DUMMYFUNCTION("""COMPUTED_VALUE"""),"FortuneParrot")</f>
        <v>FortuneParrot</v>
      </c>
      <c r="G360" s="5" t="str">
        <f ca="1">IFERROR(__xludf.DUMMYFUNCTION("""COMPUTED_VALUE"""),"Live")</f>
        <v>Live</v>
      </c>
      <c r="H360" s="5"/>
      <c r="I360" s="5" t="str">
        <f ca="1">IFERROR(__xludf.DUMMYFUNCTION("""COMPUTED_VALUE"""),"V2")</f>
        <v>V2</v>
      </c>
      <c r="J360" s="5" t="str">
        <f ca="1">IFERROR(__xludf.DUMMYFUNCTION("""COMPUTED_VALUE"""),"Binary")</f>
        <v>Binary</v>
      </c>
      <c r="K360" s="5" t="str">
        <f ca="1">IFERROR(__xludf.DUMMYFUNCTION("""COMPUTED_VALUE"""),"Slot")</f>
        <v>Slot</v>
      </c>
      <c r="L360" s="5"/>
      <c r="M360" s="5"/>
      <c r="N360" s="5"/>
      <c r="O360" s="5"/>
      <c r="P360" s="14">
        <f ca="1">IFERROR(__xludf.DUMMYFUNCTION("""COMPUTED_VALUE"""),27)</f>
        <v>27</v>
      </c>
      <c r="Q360" s="5"/>
      <c r="R360" s="5"/>
      <c r="S360" s="15">
        <f ca="1">IFERROR(__xludf.DUMMYFUNCTION("""COMPUTED_VALUE"""),45582)</f>
        <v>45582</v>
      </c>
      <c r="T360" s="5" t="b">
        <f ca="1">IFERROR(__xludf.DUMMYFUNCTION("""COMPUTED_VALUE"""),TRUE)</f>
        <v>1</v>
      </c>
      <c r="U360" s="5" t="str">
        <f ca="1">IFERROR(__xludf.DUMMYFUNCTION("""COMPUTED_VALUE"""),"5x3")</f>
        <v>5x3</v>
      </c>
      <c r="V360" s="5">
        <f ca="1">IFERROR(__xludf.DUMMYFUNCTION("""COMPUTED_VALUE"""),10)</f>
        <v>10</v>
      </c>
      <c r="W360" s="5">
        <f ca="1">IFERROR(__xludf.DUMMYFUNCTION("""COMPUTED_VALUE"""),10)</f>
        <v>10</v>
      </c>
      <c r="X360" s="13">
        <f ca="1">IFERROR(__xludf.DUMMYFUNCTION("""COMPUTED_VALUE"""),96.414)</f>
        <v>96.414000000000001</v>
      </c>
      <c r="Y360" s="5" t="str">
        <f ca="1">IFERROR(__xludf.DUMMYFUNCTION("""COMPUTED_VALUE"""),"Medium")</f>
        <v>Medium</v>
      </c>
      <c r="Z360" s="5">
        <f ca="1">IFERROR(__xludf.DUMMYFUNCTION("""COMPUTED_VALUE"""),17.959)</f>
        <v>17.959</v>
      </c>
      <c r="AA360" s="5">
        <f ca="1">IFERROR(__xludf.DUMMYFUNCTION("""COMPUTED_VALUE"""),1543)</f>
        <v>1543</v>
      </c>
      <c r="AB360" s="5"/>
      <c r="AC360" s="5" t="str">
        <f ca="1">IFERROR(__xludf.DUMMYFUNCTION("""COMPUTED_VALUE"""),"Expanding Wild, Scatter")</f>
        <v>Expanding Wild, Scatter</v>
      </c>
      <c r="AD360" s="5" t="str">
        <f ca="1">IFERROR(__xludf.DUMMYFUNCTION("""COMPUTED_VALUE"""),"0.1/40")</f>
        <v>0.1/40</v>
      </c>
      <c r="AE360" s="5"/>
      <c r="AF360" s="5"/>
      <c r="AG360" s="10">
        <f ca="1">IFERROR(__xludf.DUMMYFUNCTION("""COMPUTED_VALUE"""),46108.4585300925)</f>
        <v>46108.458530092503</v>
      </c>
      <c r="AH360" s="5" t="str">
        <f ca="1">IFERROR(__xludf.DUMMYFUNCTION("""COMPUTED_VALUE"""),"djordje.jankovic@fazi.rs")</f>
        <v>djordje.jankovic@fazi.rs</v>
      </c>
      <c r="AI360" s="5"/>
      <c r="AJ360" s="5"/>
      <c r="AK360" s="5">
        <f ca="1">IFERROR(__xludf.DUMMYFUNCTION("""COMPUTED_VALUE"""),10)</f>
        <v>10</v>
      </c>
      <c r="AL360" s="5" t="str">
        <f ca="1">IFERROR(__xludf.DUMMYFUNCTION("""COMPUTED_VALUE"""),"Yes")</f>
        <v>Yes</v>
      </c>
      <c r="AM360" s="5"/>
      <c r="AN360" s="7" t="str">
        <f ca="1">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AO360" s="5"/>
      <c r="AP360" s="5"/>
      <c r="AQ360" s="5" t="b">
        <f ca="1">IFERROR(__xludf.DUMMYFUNCTION("""COMPUTED_VALUE"""),TRUE)</f>
        <v>1</v>
      </c>
      <c r="AR360" s="5"/>
      <c r="AS360" s="5" t="str">
        <f ca="1">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AT360" s="5"/>
      <c r="AU360" s="5" t="str">
        <f ca="1">IFERROR(__xludf.DUMMYFUNCTION("""COMPUTED_VALUE"""),"Fazi")</f>
        <v>Fazi</v>
      </c>
      <c r="AV360" s="5"/>
      <c r="AW360" s="5"/>
      <c r="AX360" s="5"/>
      <c r="AY360" s="5"/>
      <c r="AZ360" s="5"/>
      <c r="BA360" s="5" t="str">
        <f ca="1">IFERROR(__xludf.DUMMYFUNCTION("""COMPUTED_VALUE"""),"")</f>
        <v/>
      </c>
      <c r="BB360" s="5"/>
      <c r="BC360" s="5" t="str">
        <f ca="1">IFERROR(__xludf.DUMMYFUNCTION("""COMPUTED_VALUE"""),"Foxi")</f>
        <v>Foxi</v>
      </c>
      <c r="BD360" s="7" t="str">
        <f ca="1">IFERROR(__xludf.DUMMYFUNCTION("""COMPUTED_VALUE"""),"https://gameserver-store-client-area.orbionlimited.com/Home/IntegrationGameLaunch/client-area?moneyType=0&amp;gameName=FortuneParrot&amp;platform=desktop&amp;languageCode=eng&amp;currency=EUR")</f>
        <v>https://gameserver-store-client-area.orbionlimited.com/Home/IntegrationGameLaunch/client-area?moneyType=0&amp;gameName=FortuneParrot&amp;platform=desktop&amp;languageCode=eng&amp;currency=EUR</v>
      </c>
      <c r="BE360" s="5" t="b">
        <f ca="1">IFERROR(__xludf.DUMMYFUNCTION("""COMPUTED_VALUE"""),TRUE)</f>
        <v>1</v>
      </c>
    </row>
    <row r="361" spans="1:57" x14ac:dyDescent="0.25">
      <c r="A361" s="5">
        <f ca="1">IFERROR(__xludf.DUMMYFUNCTION("""COMPUTED_VALUE"""),365)</f>
        <v>365</v>
      </c>
      <c r="B361" s="5">
        <f ca="1">IFERROR(__xludf.DUMMYFUNCTION("""COMPUTED_VALUE"""),3006)</f>
        <v>3006</v>
      </c>
      <c r="C361" s="5" t="str">
        <f ca="1">IFERROR(__xludf.DUMMYFUNCTION("""COMPUTED_VALUE"""),"Fazi")</f>
        <v>Fazi</v>
      </c>
      <c r="D361" s="5" t="str">
        <f ca="1">IFERROR(__xludf.DUMMYFUNCTION("""COMPUTED_VALUE"""),"Golden Crown Max")</f>
        <v>Golden Crown Max</v>
      </c>
      <c r="E361" s="5" t="str">
        <f ca="1">IFERROR(__xludf.DUMMYFUNCTION("""COMPUTED_VALUE"""),"V2")</f>
        <v>V2</v>
      </c>
      <c r="F361" s="5" t="str">
        <f ca="1">IFERROR(__xludf.DUMMYFUNCTION("""COMPUTED_VALUE"""),"GoldenCrownMax")</f>
        <v>GoldenCrownMax</v>
      </c>
      <c r="G361" s="5" t="str">
        <f ca="1">IFERROR(__xludf.DUMMYFUNCTION("""COMPUTED_VALUE"""),"Live")</f>
        <v>Live</v>
      </c>
      <c r="H361" s="5"/>
      <c r="I361" s="5" t="str">
        <f ca="1">IFERROR(__xludf.DUMMYFUNCTION("""COMPUTED_VALUE"""),"V2")</f>
        <v>V2</v>
      </c>
      <c r="J361" s="5" t="str">
        <f ca="1">IFERROR(__xludf.DUMMYFUNCTION("""COMPUTED_VALUE"""),"JSON")</f>
        <v>JSON</v>
      </c>
      <c r="K361" s="5" t="str">
        <f ca="1">IFERROR(__xludf.DUMMYFUNCTION("""COMPUTED_VALUE"""),"Slot")</f>
        <v>Slot</v>
      </c>
      <c r="L361" s="5"/>
      <c r="M361" s="5"/>
      <c r="N361" s="7" t="str">
        <f ca="1">IFERROR(__xludf.DUMMYFUNCTION("""COMPUTED_VALUE"""),"https://drive.google.com/file/d/1ivbG8UXxIAnTfkAgUJByvwfzugx0b1Hb/view?usp=drive_link")</f>
        <v>https://drive.google.com/file/d/1ivbG8UXxIAnTfkAgUJByvwfzugx0b1Hb/view?usp=drive_link</v>
      </c>
      <c r="O361" s="7" t="str">
        <f ca="1">IFERROR(__xludf.DUMMYFUNCTION("""COMPUTED_VALUE"""),"https://drive.google.com/file/d/1mpJlWtYm8PvapZgmNiyB45GyxGZIbeVT/view?usp=drive_link")</f>
        <v>https://drive.google.com/file/d/1mpJlWtYm8PvapZgmNiyB45GyxGZIbeVT/view?usp=drive_link</v>
      </c>
      <c r="P361" s="14">
        <f ca="1">IFERROR(__xludf.DUMMYFUNCTION("""COMPUTED_VALUE"""),25)</f>
        <v>25</v>
      </c>
      <c r="Q361" s="17">
        <f ca="1">IFERROR(__xludf.DUMMYFUNCTION("""COMPUTED_VALUE"""),45635)</f>
        <v>45635</v>
      </c>
      <c r="R361" s="17">
        <f ca="1">IFERROR(__xludf.DUMMYFUNCTION("""COMPUTED_VALUE"""),45629)</f>
        <v>45629</v>
      </c>
      <c r="S361" s="15">
        <f ca="1">IFERROR(__xludf.DUMMYFUNCTION("""COMPUTED_VALUE"""),45636)</f>
        <v>45636</v>
      </c>
      <c r="T361" s="5" t="b">
        <f ca="1">IFERROR(__xludf.DUMMYFUNCTION("""COMPUTED_VALUE"""),TRUE)</f>
        <v>1</v>
      </c>
      <c r="U361" s="5" t="str">
        <f ca="1">IFERROR(__xludf.DUMMYFUNCTION("""COMPUTED_VALUE"""),"5x4")</f>
        <v>5x4</v>
      </c>
      <c r="V361" s="5">
        <f ca="1">IFERROR(__xludf.DUMMYFUNCTION("""COMPUTED_VALUE"""),40)</f>
        <v>40</v>
      </c>
      <c r="W361" s="5">
        <f ca="1">IFERROR(__xludf.DUMMYFUNCTION("""COMPUTED_VALUE"""),40)</f>
        <v>40</v>
      </c>
      <c r="X361" s="13">
        <f ca="1">IFERROR(__xludf.DUMMYFUNCTION("""COMPUTED_VALUE"""),96.483)</f>
        <v>96.483000000000004</v>
      </c>
      <c r="Y361" s="5" t="str">
        <f ca="1">IFERROR(__xludf.DUMMYFUNCTION("""COMPUTED_VALUE"""),"High")</f>
        <v>High</v>
      </c>
      <c r="Z361" s="5">
        <f ca="1">IFERROR(__xludf.DUMMYFUNCTION("""COMPUTED_VALUE"""),12.5)</f>
        <v>12.5</v>
      </c>
      <c r="AA361" s="5">
        <f ca="1">IFERROR(__xludf.DUMMYFUNCTION("""COMPUTED_VALUE"""),5000)</f>
        <v>5000</v>
      </c>
      <c r="AB361" s="5"/>
      <c r="AC361" s="5" t="str">
        <f ca="1">IFERROR(__xludf.DUMMYFUNCTION("""COMPUTED_VALUE"""),"Scatter, Expanding Wild")</f>
        <v>Scatter, Expanding Wild</v>
      </c>
      <c r="AD361" s="5" t="str">
        <f ca="1">IFERROR(__xludf.DUMMYFUNCTION("""COMPUTED_VALUE"""),"0.4/60")</f>
        <v>0.4/60</v>
      </c>
      <c r="AE361" s="5"/>
      <c r="AF361" s="5"/>
      <c r="AG361" s="16">
        <f ca="1">IFERROR(__xludf.DUMMYFUNCTION("""COMPUTED_VALUE"""),46112.3859606481)</f>
        <v>46112.385960648098</v>
      </c>
      <c r="AH361" s="5" t="str">
        <f ca="1">IFERROR(__xludf.DUMMYFUNCTION("""COMPUTED_VALUE"""),"milutin.toskic@fazi.rs")</f>
        <v>milutin.toskic@fazi.rs</v>
      </c>
      <c r="AI361" s="5"/>
      <c r="AJ361" s="5"/>
      <c r="AK361" s="5" t="str">
        <f ca="1">IFERROR(__xludf.DUMMYFUNCTION("""COMPUTED_VALUE"""),"#N/A")</f>
        <v>#N/A</v>
      </c>
      <c r="AL361" s="5" t="str">
        <f ca="1">IFERROR(__xludf.DUMMYFUNCTION("""COMPUTED_VALUE"""),"Yes")</f>
        <v>Yes</v>
      </c>
      <c r="AM361" s="5"/>
      <c r="AN361" s="7" t="str">
        <f ca="1">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AO361" s="5" t="str">
        <f ca="1">IFERROR(__xludf.DUMMYFUNCTION("""COMPUTED_VALUE"""),"Yes")</f>
        <v>Yes</v>
      </c>
      <c r="AP361" s="5" t="str">
        <f ca="1">IFERROR(__xludf.DUMMYFUNCTION("""COMPUTED_VALUE"""),"Yes")</f>
        <v>Yes</v>
      </c>
      <c r="AQ361" s="5" t="b">
        <f ca="1">IFERROR(__xludf.DUMMYFUNCTION("""COMPUTED_VALUE"""),TRUE)</f>
        <v>1</v>
      </c>
      <c r="AR361" s="5"/>
      <c r="AS361" s="5" t="str">
        <f ca="1">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AT361" s="5" t="str">
        <f ca="1">IFERROR(__xludf.DUMMYFUNCTION("""COMPUTED_VALUE"""),"Yes")</f>
        <v>Yes</v>
      </c>
      <c r="AU361" s="5" t="str">
        <f ca="1">IFERROR(__xludf.DUMMYFUNCTION("""COMPUTED_VALUE"""),"Fazi")</f>
        <v>Fazi</v>
      </c>
      <c r="AV361" s="5"/>
      <c r="AW361" s="5"/>
      <c r="AX361" s="5"/>
      <c r="AY361" s="5"/>
      <c r="AZ361" s="5"/>
      <c r="BA361" s="5"/>
      <c r="BB361" s="5"/>
      <c r="BC361" s="5" t="str">
        <f ca="1">IFERROR(__xludf.DUMMYFUNCTION("""COMPUTED_VALUE"""),"Foxi")</f>
        <v>Foxi</v>
      </c>
      <c r="BD361" s="7" t="str">
        <f ca="1">IFERROR(__xludf.DUMMYFUNCTION("""COMPUTED_VALUE"""),"https://gameserver-store-client-area.orbionlimited.com/Home/IntegrationGameLaunch/client-area?moneyType=0&amp;gameName=GoldenCrownMax&amp;platform=desktop&amp;languageCode=eng&amp;currency=EUR")</f>
        <v>https://gameserver-store-client-area.orbionlimited.com/Home/IntegrationGameLaunch/client-area?moneyType=0&amp;gameName=GoldenCrownMax&amp;platform=desktop&amp;languageCode=eng&amp;currency=EUR</v>
      </c>
      <c r="BE361" s="5" t="b">
        <f ca="1">IFERROR(__xludf.DUMMYFUNCTION("""COMPUTED_VALUE"""),TRUE)</f>
        <v>1</v>
      </c>
    </row>
    <row r="362" spans="1:57" x14ac:dyDescent="0.25">
      <c r="A362" s="5">
        <f ca="1">IFERROR(__xludf.DUMMYFUNCTION("""COMPUTED_VALUE"""),366)</f>
        <v>366</v>
      </c>
      <c r="B362" s="5">
        <f ca="1">IFERROR(__xludf.DUMMYFUNCTION("""COMPUTED_VALUE"""),340)</f>
        <v>340</v>
      </c>
      <c r="C362" s="5" t="str">
        <f ca="1">IFERROR(__xludf.DUMMYFUNCTION("""COMPUTED_VALUE"""),"Tiptop")</f>
        <v>Tiptop</v>
      </c>
      <c r="D362" s="5" t="str">
        <f ca="1">IFERROR(__xludf.DUMMYFUNCTION("""COMPUTED_VALUE"""),"Buffalo Dice")</f>
        <v>Buffalo Dice</v>
      </c>
      <c r="E362" s="5"/>
      <c r="F362" s="5" t="str">
        <f ca="1">IFERROR(__xludf.DUMMYFUNCTION("""COMPUTED_VALUE"""),"UnicornBuffaloDice")</f>
        <v>UnicornBuffaloDice</v>
      </c>
      <c r="G362" s="5" t="str">
        <f ca="1">IFERROR(__xludf.DUMMYFUNCTION("""COMPUTED_VALUE"""),"Live")</f>
        <v>Live</v>
      </c>
      <c r="H362" s="5"/>
      <c r="I362" s="5" t="str">
        <f ca="1">IFERROR(__xludf.DUMMYFUNCTION("""COMPUTED_VALUE"""),"TipTop")</f>
        <v>TipTop</v>
      </c>
      <c r="J362" s="5" t="str">
        <f ca="1">IFERROR(__xludf.DUMMYFUNCTION("""COMPUTED_VALUE"""),"JSON")</f>
        <v>JSON</v>
      </c>
      <c r="K362" s="5" t="str">
        <f ca="1">IFERROR(__xludf.DUMMYFUNCTION("""COMPUTED_VALUE"""),"Dice Slots")</f>
        <v>Dice Slots</v>
      </c>
      <c r="L362" s="5"/>
      <c r="M362" s="5"/>
      <c r="N362" s="5"/>
      <c r="O362" s="5"/>
      <c r="P362" s="14">
        <f ca="1">IFERROR(__xludf.DUMMYFUNCTION("""COMPUTED_VALUE"""),10.8)</f>
        <v>10.8</v>
      </c>
      <c r="Q362" s="5"/>
      <c r="R362" s="5"/>
      <c r="S362" s="15">
        <f ca="1">IFERROR(__xludf.DUMMYFUNCTION("""COMPUTED_VALUE"""),45516)</f>
        <v>45516</v>
      </c>
      <c r="T362" s="5" t="b">
        <f ca="1">IFERROR(__xludf.DUMMYFUNCTION("""COMPUTED_VALUE"""),TRUE)</f>
        <v>1</v>
      </c>
      <c r="U362" s="5" t="str">
        <f ca="1">IFERROR(__xludf.DUMMYFUNCTION("""COMPUTED_VALUE"""),"5X3")</f>
        <v>5X3</v>
      </c>
      <c r="V362" s="5">
        <f ca="1">IFERROR(__xludf.DUMMYFUNCTION("""COMPUTED_VALUE"""),10)</f>
        <v>10</v>
      </c>
      <c r="W362" s="5">
        <f ca="1">IFERROR(__xludf.DUMMYFUNCTION("""COMPUTED_VALUE"""),10)</f>
        <v>10</v>
      </c>
      <c r="X362" s="13">
        <f ca="1">IFERROR(__xludf.DUMMYFUNCTION("""COMPUTED_VALUE"""),96)</f>
        <v>96</v>
      </c>
      <c r="Y362" s="5" t="str">
        <f ca="1">IFERROR(__xludf.DUMMYFUNCTION("""COMPUTED_VALUE"""),"Low")</f>
        <v>Low</v>
      </c>
      <c r="Z362" s="5">
        <f ca="1">IFERROR(__xludf.DUMMYFUNCTION("""COMPUTED_VALUE"""),9.08)</f>
        <v>9.08</v>
      </c>
      <c r="AA362" s="5">
        <f ca="1">IFERROR(__xludf.DUMMYFUNCTION("""COMPUTED_VALUE"""),5000)</f>
        <v>5000</v>
      </c>
      <c r="AB362" s="5"/>
      <c r="AC362" s="5"/>
      <c r="AD362" s="5" t="str">
        <f ca="1">IFERROR(__xludf.DUMMYFUNCTION("""COMPUTED_VALUE"""),"0.1/100")</f>
        <v>0.1/100</v>
      </c>
      <c r="AE362" s="5"/>
      <c r="AF362" s="5"/>
      <c r="AG362" s="10">
        <f ca="1">IFERROR(__xludf.DUMMYFUNCTION("""COMPUTED_VALUE"""),46197.4899768518)</f>
        <v>46197.489976851801</v>
      </c>
      <c r="AH362" s="5" t="str">
        <f ca="1">IFERROR(__xludf.DUMMYFUNCTION("""COMPUTED_VALUE"""),"selena.mihajlovic@fazi.rs")</f>
        <v>selena.mihajlovic@fazi.rs</v>
      </c>
      <c r="AI362" s="5"/>
      <c r="AJ362" s="5"/>
      <c r="AK362" s="5">
        <f ca="1">IFERROR(__xludf.DUMMYFUNCTION("""COMPUTED_VALUE"""),10)</f>
        <v>10</v>
      </c>
      <c r="AL362" s="5" t="str">
        <f ca="1">IFERROR(__xludf.DUMMYFUNCTION("""COMPUTED_VALUE"""),"No")</f>
        <v>No</v>
      </c>
      <c r="AM362" s="5"/>
      <c r="AN362" s="7" t="str">
        <f ca="1">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AO362" s="5"/>
      <c r="AP362" s="5"/>
      <c r="AQ362" s="5" t="b">
        <f ca="1">IFERROR(__xludf.DUMMYFUNCTION("""COMPUTED_VALUE"""),TRUE)</f>
        <v>1</v>
      </c>
      <c r="AR362" s="5"/>
      <c r="AS362" s="5" t="str">
        <f ca="1">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AT362" s="5"/>
      <c r="AU362" s="5" t="str">
        <f ca="1">IFERROR(__xludf.DUMMYFUNCTION("""COMPUTED_VALUE"""),"Fazi")</f>
        <v>Fazi</v>
      </c>
      <c r="AV362" s="5"/>
      <c r="AW362" s="5"/>
      <c r="AX362" s="5"/>
      <c r="AY362" s="5"/>
      <c r="AZ362" s="5"/>
      <c r="BA362" s="5"/>
      <c r="BB362" s="5" t="b">
        <f ca="1">IFERROR(__xludf.DUMMYFUNCTION("""COMPUTED_VALUE"""),TRUE)</f>
        <v>1</v>
      </c>
      <c r="BC362" s="5" t="str">
        <f ca="1">IFERROR(__xludf.DUMMYFUNCTION("""COMPUTED_VALUE"""),"Tiptop")</f>
        <v>Tiptop</v>
      </c>
      <c r="BD362" s="7" t="str">
        <f ca="1">IFERROR(__xludf.DUMMYFUNCTION("""COMPUTED_VALUE"""),"https://gameserver-store-client-area.orbionlimited.com/Home/IntegrationGameLaunch/client-area?moneyType=0&amp;gameName=UnicornBuffaloDice&amp;platform=desktop&amp;languageCode=eng&amp;currency=EUR")</f>
        <v>https://gameserver-store-client-area.orbionlimited.com/Home/IntegrationGameLaunch/client-area?moneyType=0&amp;gameName=UnicornBuffaloDice&amp;platform=desktop&amp;languageCode=eng&amp;currency=EUR</v>
      </c>
      <c r="BE362" s="5" t="b">
        <f ca="1">IFERROR(__xludf.DUMMYFUNCTION("""COMPUTED_VALUE"""),TRUE)</f>
        <v>1</v>
      </c>
    </row>
    <row r="363" spans="1:57" x14ac:dyDescent="0.25">
      <c r="A363" s="5">
        <f ca="1">IFERROR(__xludf.DUMMYFUNCTION("""COMPUTED_VALUE"""),367)</f>
        <v>367</v>
      </c>
      <c r="B363" s="5">
        <f ca="1">IFERROR(__xludf.DUMMYFUNCTION("""COMPUTED_VALUE"""),341)</f>
        <v>341</v>
      </c>
      <c r="C363" s="5" t="str">
        <f ca="1">IFERROR(__xludf.DUMMYFUNCTION("""COMPUTED_VALUE"""),"Redstone")</f>
        <v>Redstone</v>
      </c>
      <c r="D363" s="5" t="str">
        <f ca="1">IFERROR(__xludf.DUMMYFUNCTION("""COMPUTED_VALUE"""),"81 Vegas Crown")</f>
        <v>81 Vegas Crown</v>
      </c>
      <c r="E363" s="5" t="str">
        <f ca="1">IFERROR(__xludf.DUMMYFUNCTION("""COMPUTED_VALUE"""),"Redstone")</f>
        <v>Redstone</v>
      </c>
      <c r="F363" s="5" t="str">
        <f ca="1">IFERROR(__xludf.DUMMYFUNCTION("""COMPUTED_VALUE"""),"Redstone81VegasCrown")</f>
        <v>Redstone81VegasCrown</v>
      </c>
      <c r="G363" s="5" t="str">
        <f ca="1">IFERROR(__xludf.DUMMYFUNCTION("""COMPUTED_VALUE"""),"Live")</f>
        <v>Live</v>
      </c>
      <c r="H363" s="5"/>
      <c r="I363" s="5" t="str">
        <f ca="1">IFERROR(__xludf.DUMMYFUNCTION("""COMPUTED_VALUE"""),"Redstone")</f>
        <v>Redstone</v>
      </c>
      <c r="J363" s="5"/>
      <c r="K363" s="5" t="str">
        <f ca="1">IFERROR(__xludf.DUMMYFUNCTION("""COMPUTED_VALUE"""),"Slot")</f>
        <v>Slot</v>
      </c>
      <c r="L363" s="5" t="str">
        <f ca="1">IFERROR(__xludf.DUMMYFUNCTION("""COMPUTED_VALUE"""),"Master")</f>
        <v>Master</v>
      </c>
      <c r="M363" s="5"/>
      <c r="N363" s="7" t="str">
        <f ca="1">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63" s="7" t="str">
        <f ca="1">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63" s="14">
        <f ca="1">IFERROR(__xludf.DUMMYFUNCTION("""COMPUTED_VALUE"""),11.7)</f>
        <v>11.7</v>
      </c>
      <c r="Q363" s="5"/>
      <c r="R363" s="5"/>
      <c r="S363" s="15">
        <f ca="1">IFERROR(__xludf.DUMMYFUNCTION("""COMPUTED_VALUE"""),45485)</f>
        <v>45485</v>
      </c>
      <c r="T363" s="5" t="b">
        <f ca="1">IFERROR(__xludf.DUMMYFUNCTION("""COMPUTED_VALUE"""),TRUE)</f>
        <v>1</v>
      </c>
      <c r="U363" s="5" t="str">
        <f ca="1">IFERROR(__xludf.DUMMYFUNCTION("""COMPUTED_VALUE"""),"4x3")</f>
        <v>4x3</v>
      </c>
      <c r="V363" s="5">
        <f ca="1">IFERROR(__xludf.DUMMYFUNCTION("""COMPUTED_VALUE"""),81)</f>
        <v>81</v>
      </c>
      <c r="W363" s="5">
        <f ca="1">IFERROR(__xludf.DUMMYFUNCTION("""COMPUTED_VALUE"""),81)</f>
        <v>81</v>
      </c>
      <c r="X363" s="5">
        <f ca="1">IFERROR(__xludf.DUMMYFUNCTION("""COMPUTED_VALUE"""),96.55)</f>
        <v>96.55</v>
      </c>
      <c r="Y363" s="5" t="str">
        <f ca="1">IFERROR(__xludf.DUMMYFUNCTION("""COMPUTED_VALUE"""),"High")</f>
        <v>High</v>
      </c>
      <c r="Z363" s="5">
        <f ca="1">IFERROR(__xludf.DUMMYFUNCTION("""COMPUTED_VALUE"""),5.1)</f>
        <v>5.0999999999999996</v>
      </c>
      <c r="AA363" s="5">
        <f ca="1">IFERROR(__xludf.DUMMYFUNCTION("""COMPUTED_VALUE"""),3200)</f>
        <v>3200</v>
      </c>
      <c r="AB363" s="5"/>
      <c r="AC363" s="5" t="str">
        <f ca="1">IFERROR(__xludf.DUMMYFUNCTION("""COMPUTED_VALUE"""),"Mystery symbol, Wild Multiplier, Win Multiplier")</f>
        <v>Mystery symbol, Wild Multiplier, Win Multiplier</v>
      </c>
      <c r="AD363" s="5" t="str">
        <f ca="1">IFERROR(__xludf.DUMMYFUNCTION("""COMPUTED_VALUE"""),"0.05/20")</f>
        <v>0.05/20</v>
      </c>
      <c r="AE363" s="5"/>
      <c r="AF363" s="5"/>
      <c r="AG363" s="10">
        <f ca="1">IFERROR(__xludf.DUMMYFUNCTION("""COMPUTED_VALUE"""),46157.4895138888)</f>
        <v>46157.489513888802</v>
      </c>
      <c r="AH363" s="5"/>
      <c r="AI363" s="5"/>
      <c r="AJ363" s="5"/>
      <c r="AK363" s="5">
        <f ca="1">IFERROR(__xludf.DUMMYFUNCTION("""COMPUTED_VALUE"""),1)</f>
        <v>1</v>
      </c>
      <c r="AL363" s="5" t="str">
        <f ca="1">IFERROR(__xludf.DUMMYFUNCTION("""COMPUTED_VALUE"""),"No")</f>
        <v>No</v>
      </c>
      <c r="AM363" s="5" t="str">
        <f ca="1">IFERROR(__xludf.DUMMYFUNCTION("""COMPUTED_VALUE"""),"No")</f>
        <v>No</v>
      </c>
      <c r="AN363" s="7" t="str">
        <f ca="1">IFERROR(__xludf.DUMMYFUNCTION("""COMPUTED_VALUE"""),"https://static.redstone.rs/games/81-vegas-crown/")</f>
        <v>https://static.redstone.rs/games/81-vegas-crown/</v>
      </c>
      <c r="AO363" s="5" t="str">
        <f ca="1">IFERROR(__xludf.DUMMYFUNCTION("""COMPUTED_VALUE"""),"No")</f>
        <v>No</v>
      </c>
      <c r="AP363" s="5" t="str">
        <f ca="1">IFERROR(__xludf.DUMMYFUNCTION("""COMPUTED_VALUE"""),"No")</f>
        <v>No</v>
      </c>
      <c r="AQ363" s="5" t="b">
        <f ca="1">IFERROR(__xludf.DUMMYFUNCTION("""COMPUTED_VALUE"""),TRUE)</f>
        <v>1</v>
      </c>
      <c r="AR363" s="5"/>
      <c r="AS363" s="5" t="str">
        <f ca="1">IFERROR(__xludf.DUMMYFUNCTION("""COMPUTED_VALUE"""),"Feel the Vegas atmosphere with 81 Vegas Crown, land crown symbols and get some juicy multipliers!")</f>
        <v>Feel the Vegas atmosphere with 81 Vegas Crown, land crown symbols and get some juicy multipliers!</v>
      </c>
      <c r="AT363" s="5"/>
      <c r="AU363" s="5" t="str">
        <f ca="1">IFERROR(__xludf.DUMMYFUNCTION("""COMPUTED_VALUE"""),"Redstone")</f>
        <v>Redstone</v>
      </c>
      <c r="AV363" s="5"/>
      <c r="AW363" s="5"/>
      <c r="AX363" s="5"/>
      <c r="AY363" s="5"/>
      <c r="AZ363" s="5"/>
      <c r="BA363" s="5"/>
      <c r="BB363" s="5" t="b">
        <f ca="1">IFERROR(__xludf.DUMMYFUNCTION("""COMPUTED_VALUE"""),TRUE)</f>
        <v>1</v>
      </c>
      <c r="BC363" s="5" t="str">
        <f ca="1">IFERROR(__xludf.DUMMYFUNCTION("""COMPUTED_VALUE"""),"Redstone")</f>
        <v>Redstone</v>
      </c>
      <c r="BD363" s="7" t="str">
        <f ca="1">IFERROR(__xludf.DUMMYFUNCTION("""COMPUTED_VALUE"""),"https://static.redstone.rs/games/81-vegas-crown/")</f>
        <v>https://static.redstone.rs/games/81-vegas-crown/</v>
      </c>
      <c r="BE363" s="5" t="b">
        <f ca="1">IFERROR(__xludf.DUMMYFUNCTION("""COMPUTED_VALUE"""),TRUE)</f>
        <v>1</v>
      </c>
    </row>
    <row r="364" spans="1:57" x14ac:dyDescent="0.25">
      <c r="A364" s="5">
        <f ca="1">IFERROR(__xludf.DUMMYFUNCTION("""COMPUTED_VALUE"""),368)</f>
        <v>368</v>
      </c>
      <c r="B364" s="5">
        <f ca="1">IFERROR(__xludf.DUMMYFUNCTION("""COMPUTED_VALUE"""),342)</f>
        <v>342</v>
      </c>
      <c r="C364" s="5" t="str">
        <f ca="1">IFERROR(__xludf.DUMMYFUNCTION("""COMPUTED_VALUE"""),"Tiptop")</f>
        <v>Tiptop</v>
      </c>
      <c r="D364" s="5" t="str">
        <f ca="1">IFERROR(__xludf.DUMMYFUNCTION("""COMPUTED_VALUE"""),"Lava Dice")</f>
        <v>Lava Dice</v>
      </c>
      <c r="E364" s="5"/>
      <c r="F364" s="5" t="str">
        <f ca="1">IFERROR(__xludf.DUMMYFUNCTION("""COMPUTED_VALUE"""),"UnicornLavaDice")</f>
        <v>UnicornLavaDice</v>
      </c>
      <c r="G364" s="5" t="str">
        <f ca="1">IFERROR(__xludf.DUMMYFUNCTION("""COMPUTED_VALUE"""),"Live")</f>
        <v>Live</v>
      </c>
      <c r="H364" s="5"/>
      <c r="I364" s="5" t="str">
        <f ca="1">IFERROR(__xludf.DUMMYFUNCTION("""COMPUTED_VALUE"""),"TipTop")</f>
        <v>TipTop</v>
      </c>
      <c r="J364" s="5" t="str">
        <f ca="1">IFERROR(__xludf.DUMMYFUNCTION("""COMPUTED_VALUE"""),"JSON")</f>
        <v>JSON</v>
      </c>
      <c r="K364" s="5" t="str">
        <f ca="1">IFERROR(__xludf.DUMMYFUNCTION("""COMPUTED_VALUE"""),"Dice Slots")</f>
        <v>Dice Slots</v>
      </c>
      <c r="L364" s="5"/>
      <c r="M364" s="5"/>
      <c r="N364" s="5"/>
      <c r="O364" s="5"/>
      <c r="P364" s="14">
        <f ca="1">IFERROR(__xludf.DUMMYFUNCTION("""COMPUTED_VALUE"""),10.9)</f>
        <v>10.9</v>
      </c>
      <c r="Q364" s="5"/>
      <c r="R364" s="5"/>
      <c r="S364" s="15">
        <f ca="1">IFERROR(__xludf.DUMMYFUNCTION("""COMPUTED_VALUE"""),45476)</f>
        <v>45476</v>
      </c>
      <c r="T364" s="5" t="b">
        <f ca="1">IFERROR(__xludf.DUMMYFUNCTION("""COMPUTED_VALUE"""),TRUE)</f>
        <v>1</v>
      </c>
      <c r="U364" s="5" t="str">
        <f ca="1">IFERROR(__xludf.DUMMYFUNCTION("""COMPUTED_VALUE"""),"5X3")</f>
        <v>5X3</v>
      </c>
      <c r="V364" s="5">
        <f ca="1">IFERROR(__xludf.DUMMYFUNCTION("""COMPUTED_VALUE"""),10)</f>
        <v>10</v>
      </c>
      <c r="W364" s="5">
        <f ca="1">IFERROR(__xludf.DUMMYFUNCTION("""COMPUTED_VALUE"""),10)</f>
        <v>10</v>
      </c>
      <c r="X364" s="5">
        <f ca="1">IFERROR(__xludf.DUMMYFUNCTION("""COMPUTED_VALUE"""),96)</f>
        <v>96</v>
      </c>
      <c r="Y364" s="5" t="str">
        <f ca="1">IFERROR(__xludf.DUMMYFUNCTION("""COMPUTED_VALUE"""),"Low")</f>
        <v>Low</v>
      </c>
      <c r="Z364" s="5">
        <f ca="1">IFERROR(__xludf.DUMMYFUNCTION("""COMPUTED_VALUE"""),24.14)</f>
        <v>24.14</v>
      </c>
      <c r="AA364" s="5">
        <f ca="1">IFERROR(__xludf.DUMMYFUNCTION("""COMPUTED_VALUE"""),10000)</f>
        <v>10000</v>
      </c>
      <c r="AB364" s="5"/>
      <c r="AC364" s="5"/>
      <c r="AD364" s="5" t="str">
        <f ca="1">IFERROR(__xludf.DUMMYFUNCTION("""COMPUTED_VALUE"""),"0.1/100")</f>
        <v>0.1/100</v>
      </c>
      <c r="AE364" s="5"/>
      <c r="AF364" s="5"/>
      <c r="AG364" s="10">
        <f ca="1">IFERROR(__xludf.DUMMYFUNCTION("""COMPUTED_VALUE"""),46197.4901851851)</f>
        <v>46197.490185185103</v>
      </c>
      <c r="AH364" s="5" t="str">
        <f ca="1">IFERROR(__xludf.DUMMYFUNCTION("""COMPUTED_VALUE"""),"selena.mihajlovic@fazi.rs")</f>
        <v>selena.mihajlovic@fazi.rs</v>
      </c>
      <c r="AI364" s="5"/>
      <c r="AJ364" s="5"/>
      <c r="AK364" s="5">
        <f ca="1">IFERROR(__xludf.DUMMYFUNCTION("""COMPUTED_VALUE"""),10)</f>
        <v>10</v>
      </c>
      <c r="AL364" s="5" t="str">
        <f ca="1">IFERROR(__xludf.DUMMYFUNCTION("""COMPUTED_VALUE"""),"No")</f>
        <v>No</v>
      </c>
      <c r="AM364" s="5"/>
      <c r="AN364" s="7" t="str">
        <f ca="1">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AO364" s="5"/>
      <c r="AP364" s="5"/>
      <c r="AQ364" s="5" t="b">
        <f ca="1">IFERROR(__xludf.DUMMYFUNCTION("""COMPUTED_VALUE"""),TRUE)</f>
        <v>1</v>
      </c>
      <c r="AR364" s="5"/>
      <c r="AS364" s="5" t="str">
        <f ca="1">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AT364" s="5"/>
      <c r="AU364" s="5" t="str">
        <f ca="1">IFERROR(__xludf.DUMMYFUNCTION("""COMPUTED_VALUE"""),"Fazi")</f>
        <v>Fazi</v>
      </c>
      <c r="AV364" s="5"/>
      <c r="AW364" s="5"/>
      <c r="AX364" s="5"/>
      <c r="AY364" s="5"/>
      <c r="AZ364" s="5"/>
      <c r="BA364" s="5"/>
      <c r="BB364" s="5" t="b">
        <f ca="1">IFERROR(__xludf.DUMMYFUNCTION("""COMPUTED_VALUE"""),TRUE)</f>
        <v>1</v>
      </c>
      <c r="BC364" s="5" t="str">
        <f ca="1">IFERROR(__xludf.DUMMYFUNCTION("""COMPUTED_VALUE"""),"Tiptop")</f>
        <v>Tiptop</v>
      </c>
      <c r="BD364" s="7" t="str">
        <f ca="1">IFERROR(__xludf.DUMMYFUNCTION("""COMPUTED_VALUE"""),"https://gameserver-store-client-area.orbionlimited.com/Home/IntegrationGameLaunch/client-area?moneyType=0&amp;gameName=UnicornLavaDice&amp;platform=desktop&amp;languageCode=eng&amp;currency=EUR")</f>
        <v>https://gameserver-store-client-area.orbionlimited.com/Home/IntegrationGameLaunch/client-area?moneyType=0&amp;gameName=UnicornLavaDice&amp;platform=desktop&amp;languageCode=eng&amp;currency=EUR</v>
      </c>
      <c r="BE364" s="5" t="b">
        <f ca="1">IFERROR(__xludf.DUMMYFUNCTION("""COMPUTED_VALUE"""),TRUE)</f>
        <v>1</v>
      </c>
    </row>
    <row r="365" spans="1:57" x14ac:dyDescent="0.25">
      <c r="A365" s="5">
        <f ca="1">IFERROR(__xludf.DUMMYFUNCTION("""COMPUTED_VALUE"""),369)</f>
        <v>369</v>
      </c>
      <c r="B365" s="5">
        <f ca="1">IFERROR(__xludf.DUMMYFUNCTION("""COMPUTED_VALUE"""),343)</f>
        <v>343</v>
      </c>
      <c r="C365" s="5" t="str">
        <f ca="1">IFERROR(__xludf.DUMMYFUNCTION("""COMPUTED_VALUE"""),"Redstone")</f>
        <v>Redstone</v>
      </c>
      <c r="D365" s="5" t="str">
        <f ca="1">IFERROR(__xludf.DUMMYFUNCTION("""COMPUTED_VALUE"""),"Apollo 27 Classic")</f>
        <v>Apollo 27 Classic</v>
      </c>
      <c r="E365" s="5" t="str">
        <f ca="1">IFERROR(__xludf.DUMMYFUNCTION("""COMPUTED_VALUE"""),"Redstone")</f>
        <v>Redstone</v>
      </c>
      <c r="F365" s="5" t="str">
        <f ca="1">IFERROR(__xludf.DUMMYFUNCTION("""COMPUTED_VALUE"""),"RedstoneApollo27Classic")</f>
        <v>RedstoneApollo27Classic</v>
      </c>
      <c r="G365" s="5" t="str">
        <f ca="1">IFERROR(__xludf.DUMMYFUNCTION("""COMPUTED_VALUE"""),"Live")</f>
        <v>Live</v>
      </c>
      <c r="H365" s="5"/>
      <c r="I365" s="5" t="str">
        <f ca="1">IFERROR(__xludf.DUMMYFUNCTION("""COMPUTED_VALUE"""),"Redstone")</f>
        <v>Redstone</v>
      </c>
      <c r="J365" s="5" t="str">
        <f ca="1">IFERROR(__xludf.DUMMYFUNCTION("""COMPUTED_VALUE"""),"JSON")</f>
        <v>JSON</v>
      </c>
      <c r="K365" s="5" t="str">
        <f ca="1">IFERROR(__xludf.DUMMYFUNCTION("""COMPUTED_VALUE"""),"Slot")</f>
        <v>Slot</v>
      </c>
      <c r="L365" s="5" t="str">
        <f ca="1">IFERROR(__xludf.DUMMYFUNCTION("""COMPUTED_VALUE"""),"Master")</f>
        <v>Master</v>
      </c>
      <c r="M365" s="5"/>
      <c r="N365" s="7" t="str">
        <f ca="1">IFERROR(__xludf.DUMMYFUNCTION("""COMPUTED_VALUE"""),"https://docs.google.com/document/d/1U8Oko8zxhZUB-T_GMeF5oSqREzEyeBXj/edit?usp=drive_link&amp;ouid=107596163405648766688&amp;rtpof=true&amp;sd=true")</f>
        <v>https://docs.google.com/document/d/1U8Oko8zxhZUB-T_GMeF5oSqREzEyeBXj/edit?usp=drive_link&amp;ouid=107596163405648766688&amp;rtpof=true&amp;sd=true</v>
      </c>
      <c r="O365" s="7" t="str">
        <f ca="1">IFERROR(__xludf.DUMMYFUNCTION("""COMPUTED_VALUE"""),"https://docs.google.com/document/d/1oou0d1yvLwRN0xVZsxval7CIO-R8ZPqx/edit?usp=drive_link&amp;ouid=107596163405648766688&amp;rtpof=true&amp;sd=true")</f>
        <v>https://docs.google.com/document/d/1oou0d1yvLwRN0xVZsxval7CIO-R8ZPqx/edit?usp=drive_link&amp;ouid=107596163405648766688&amp;rtpof=true&amp;sd=true</v>
      </c>
      <c r="P365" s="14">
        <f ca="1">IFERROR(__xludf.DUMMYFUNCTION("""COMPUTED_VALUE"""),6.1)</f>
        <v>6.1</v>
      </c>
      <c r="Q365" s="5"/>
      <c r="R365" s="5"/>
      <c r="S365" s="15">
        <f ca="1">IFERROR(__xludf.DUMMYFUNCTION("""COMPUTED_VALUE"""),45467)</f>
        <v>45467</v>
      </c>
      <c r="T365" s="5" t="b">
        <f ca="1">IFERROR(__xludf.DUMMYFUNCTION("""COMPUTED_VALUE"""),TRUE)</f>
        <v>1</v>
      </c>
      <c r="U365" s="5" t="str">
        <f ca="1">IFERROR(__xludf.DUMMYFUNCTION("""COMPUTED_VALUE"""),"3x3")</f>
        <v>3x3</v>
      </c>
      <c r="V365" s="5">
        <f ca="1">IFERROR(__xludf.DUMMYFUNCTION("""COMPUTED_VALUE"""),27)</f>
        <v>27</v>
      </c>
      <c r="W365" s="5">
        <f ca="1">IFERROR(__xludf.DUMMYFUNCTION("""COMPUTED_VALUE"""),27)</f>
        <v>27</v>
      </c>
      <c r="X365" s="5">
        <f ca="1">IFERROR(__xludf.DUMMYFUNCTION("""COMPUTED_VALUE"""),96.24)</f>
        <v>96.24</v>
      </c>
      <c r="Y365" s="5" t="str">
        <f ca="1">IFERROR(__xludf.DUMMYFUNCTION("""COMPUTED_VALUE"""),"Low")</f>
        <v>Low</v>
      </c>
      <c r="Z365" s="5">
        <f ca="1">IFERROR(__xludf.DUMMYFUNCTION("""COMPUTED_VALUE"""),6.58)</f>
        <v>6.58</v>
      </c>
      <c r="AA365" s="5">
        <f ca="1">IFERROR(__xludf.DUMMYFUNCTION("""COMPUTED_VALUE"""),108)</f>
        <v>108</v>
      </c>
      <c r="AB365" s="5"/>
      <c r="AC365" s="5" t="str">
        <f ca="1">IFERROR(__xludf.DUMMYFUNCTION("""COMPUTED_VALUE"""),"Win Multiplier")</f>
        <v>Win Multiplier</v>
      </c>
      <c r="AD365" s="5" t="str">
        <f ca="1">IFERROR(__xludf.DUMMYFUNCTION("""COMPUTED_VALUE"""),"0.01/50")</f>
        <v>0.01/50</v>
      </c>
      <c r="AE365" s="5"/>
      <c r="AF365" s="5"/>
      <c r="AG365" s="10">
        <f ca="1">IFERROR(__xludf.DUMMYFUNCTION("""COMPUTED_VALUE"""),46157.4899537037)</f>
        <v>46157.489953703698</v>
      </c>
      <c r="AH365" s="5"/>
      <c r="AI365" s="5"/>
      <c r="AJ365" s="5"/>
      <c r="AK365" s="5">
        <f ca="1">IFERROR(__xludf.DUMMYFUNCTION("""COMPUTED_VALUE"""),1)</f>
        <v>1</v>
      </c>
      <c r="AL365" s="5" t="str">
        <f ca="1">IFERROR(__xludf.DUMMYFUNCTION("""COMPUTED_VALUE"""),"No")</f>
        <v>No</v>
      </c>
      <c r="AM365" s="5" t="str">
        <f ca="1">IFERROR(__xludf.DUMMYFUNCTION("""COMPUTED_VALUE"""),"No")</f>
        <v>No</v>
      </c>
      <c r="AN365" s="7" t="str">
        <f ca="1">IFERROR(__xludf.DUMMYFUNCTION("""COMPUTED_VALUE"""),"https://static.redstone.rs/games/apollo-27-classic/")</f>
        <v>https://static.redstone.rs/games/apollo-27-classic/</v>
      </c>
      <c r="AO365" s="5" t="str">
        <f ca="1">IFERROR(__xludf.DUMMYFUNCTION("""COMPUTED_VALUE"""),"No")</f>
        <v>No</v>
      </c>
      <c r="AP365" s="5" t="str">
        <f ca="1">IFERROR(__xludf.DUMMYFUNCTION("""COMPUTED_VALUE"""),"No")</f>
        <v>No</v>
      </c>
      <c r="AQ365" s="5" t="b">
        <f ca="1">IFERROR(__xludf.DUMMYFUNCTION("""COMPUTED_VALUE"""),TRUE)</f>
        <v>1</v>
      </c>
      <c r="AR365" s="5"/>
      <c r="AS365" s="5" t="str">
        <f ca="1">IFERROR(__xludf.DUMMYFUNCTION("""COMPUTED_VALUE"""),"Spin the fruity reels and chase double wins! With 27 ways for payout, this game is a juicy classic!")</f>
        <v>Spin the fruity reels and chase double wins! With 27 ways for payout, this game is a juicy classic!</v>
      </c>
      <c r="AT365" s="5"/>
      <c r="AU365" s="5" t="str">
        <f ca="1">IFERROR(__xludf.DUMMYFUNCTION("""COMPUTED_VALUE"""),"Redstone")</f>
        <v>Redstone</v>
      </c>
      <c r="AV365" s="5"/>
      <c r="AW365" s="5"/>
      <c r="AX365" s="5"/>
      <c r="AY365" s="5"/>
      <c r="AZ365" s="5"/>
      <c r="BA365" s="5"/>
      <c r="BB365" s="5" t="b">
        <f ca="1">IFERROR(__xludf.DUMMYFUNCTION("""COMPUTED_VALUE"""),TRUE)</f>
        <v>1</v>
      </c>
      <c r="BC365" s="5" t="str">
        <f ca="1">IFERROR(__xludf.DUMMYFUNCTION("""COMPUTED_VALUE"""),"Redstone")</f>
        <v>Redstone</v>
      </c>
      <c r="BD365" s="7" t="str">
        <f ca="1">IFERROR(__xludf.DUMMYFUNCTION("""COMPUTED_VALUE"""),"https://static.redstone.rs/games/apollo-27-classic/")</f>
        <v>https://static.redstone.rs/games/apollo-27-classic/</v>
      </c>
      <c r="BE365" s="5" t="b">
        <f ca="1">IFERROR(__xludf.DUMMYFUNCTION("""COMPUTED_VALUE"""),TRUE)</f>
        <v>1</v>
      </c>
    </row>
    <row r="366" spans="1:57" x14ac:dyDescent="0.25">
      <c r="A366" s="5">
        <f ca="1">IFERROR(__xludf.DUMMYFUNCTION("""COMPUTED_VALUE"""),370)</f>
        <v>370</v>
      </c>
      <c r="B366" s="5">
        <f ca="1">IFERROR(__xludf.DUMMYFUNCTION("""COMPUTED_VALUE"""),346)</f>
        <v>346</v>
      </c>
      <c r="C366" s="5" t="str">
        <f ca="1">IFERROR(__xludf.DUMMYFUNCTION("""COMPUTED_VALUE"""),"Playnet")</f>
        <v>Playnet</v>
      </c>
      <c r="D366" s="5" t="str">
        <f ca="1">IFERROR(__xludf.DUMMYFUNCTION("""COMPUTED_VALUE"""),"Fortune Clover 5")</f>
        <v>Fortune Clover 5</v>
      </c>
      <c r="E366" s="5"/>
      <c r="F366" s="5" t="str">
        <f ca="1">IFERROR(__xludf.DUMMYFUNCTION("""COMPUTED_VALUE"""),"FortuneClover5")</f>
        <v>FortuneClover5</v>
      </c>
      <c r="G366" s="5" t="str">
        <f ca="1">IFERROR(__xludf.DUMMYFUNCTION("""COMPUTED_VALUE"""),"Live")</f>
        <v>Live</v>
      </c>
      <c r="H366" s="5"/>
      <c r="I366" s="5"/>
      <c r="J366" s="5" t="str">
        <f ca="1">IFERROR(__xludf.DUMMYFUNCTION("""COMPUTED_VALUE"""),"JSON")</f>
        <v>JSON</v>
      </c>
      <c r="K366" s="5" t="str">
        <f ca="1">IFERROR(__xludf.DUMMYFUNCTION("""COMPUTED_VALUE"""),"Slot")</f>
        <v>Slot</v>
      </c>
      <c r="L366" s="5"/>
      <c r="M366" s="5"/>
      <c r="N366" s="5"/>
      <c r="O366" s="5"/>
      <c r="P366" s="14">
        <f ca="1">IFERROR(__xludf.DUMMYFUNCTION("""COMPUTED_VALUE"""),7.1)</f>
        <v>7.1</v>
      </c>
      <c r="Q366" s="5"/>
      <c r="R366" s="5"/>
      <c r="S366" s="15">
        <f ca="1">IFERROR(__xludf.DUMMYFUNCTION("""COMPUTED_VALUE"""),45460)</f>
        <v>45460</v>
      </c>
      <c r="T366" s="5" t="b">
        <f ca="1">IFERROR(__xludf.DUMMYFUNCTION("""COMPUTED_VALUE"""),TRUE)</f>
        <v>1</v>
      </c>
      <c r="U366" s="5" t="str">
        <f ca="1">IFERROR(__xludf.DUMMYFUNCTION("""COMPUTED_VALUE"""),"5x3")</f>
        <v>5x3</v>
      </c>
      <c r="V366" s="5">
        <f ca="1">IFERROR(__xludf.DUMMYFUNCTION("""COMPUTED_VALUE"""),5)</f>
        <v>5</v>
      </c>
      <c r="W366" s="5">
        <f ca="1">IFERROR(__xludf.DUMMYFUNCTION("""COMPUTED_VALUE"""),5)</f>
        <v>5</v>
      </c>
      <c r="X366" s="5">
        <f ca="1">IFERROR(__xludf.DUMMYFUNCTION("""COMPUTED_VALUE"""),96.447)</f>
        <v>96.447000000000003</v>
      </c>
      <c r="Y366" s="5" t="str">
        <f ca="1">IFERROR(__xludf.DUMMYFUNCTION("""COMPUTED_VALUE"""),"Medium")</f>
        <v>Medium</v>
      </c>
      <c r="Z366" s="5">
        <f ca="1">IFERROR(__xludf.DUMMYFUNCTION("""COMPUTED_VALUE"""),14.505)</f>
        <v>14.505000000000001</v>
      </c>
      <c r="AA366" s="5">
        <f ca="1">IFERROR(__xludf.DUMMYFUNCTION("""COMPUTED_VALUE"""),1222)</f>
        <v>1222</v>
      </c>
      <c r="AB366" s="5"/>
      <c r="AC366" s="5" t="str">
        <f ca="1">IFERROR(__xludf.DUMMYFUNCTION("""COMPUTED_VALUE"""),"Expanding Wild, Scatter")</f>
        <v>Expanding Wild, Scatter</v>
      </c>
      <c r="AD366" s="5" t="str">
        <f ca="1">IFERROR(__xludf.DUMMYFUNCTION("""COMPUTED_VALUE"""),"0.05/50")</f>
        <v>0.05/50</v>
      </c>
      <c r="AE366" s="5"/>
      <c r="AF366" s="5"/>
      <c r="AG366" s="10">
        <f ca="1">IFERROR(__xludf.DUMMYFUNCTION("""COMPUTED_VALUE"""),46220.4985416666)</f>
        <v>46220.498541666602</v>
      </c>
      <c r="AH366" s="5" t="str">
        <f ca="1">IFERROR(__xludf.DUMMYFUNCTION("""COMPUTED_VALUE"""),"selena.mihajlovic@fazi.rs")</f>
        <v>selena.mihajlovic@fazi.rs</v>
      </c>
      <c r="AI366" s="5"/>
      <c r="AJ366" s="5"/>
      <c r="AK366" s="5">
        <f ca="1">IFERROR(__xludf.DUMMYFUNCTION("""COMPUTED_VALUE"""),5)</f>
        <v>5</v>
      </c>
      <c r="AL366" s="5" t="str">
        <f ca="1">IFERROR(__xludf.DUMMYFUNCTION("""COMPUTED_VALUE"""),"No")</f>
        <v>No</v>
      </c>
      <c r="AM366" s="5" t="str">
        <f ca="1">IFERROR(__xludf.DUMMYFUNCTION("""COMPUTED_VALUE"""),"No")</f>
        <v>No</v>
      </c>
      <c r="AN366" s="7" t="str">
        <f ca="1">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AO366" s="5" t="str">
        <f ca="1">IFERROR(__xludf.DUMMYFUNCTION("""COMPUTED_VALUE"""),"No")</f>
        <v>No</v>
      </c>
      <c r="AP366" s="5" t="str">
        <f ca="1">IFERROR(__xludf.DUMMYFUNCTION("""COMPUTED_VALUE"""),"No")</f>
        <v>No</v>
      </c>
      <c r="AQ366" s="5" t="b">
        <f ca="1">IFERROR(__xludf.DUMMYFUNCTION("""COMPUTED_VALUE"""),TRUE)</f>
        <v>1</v>
      </c>
      <c r="AR366" s="5"/>
      <c r="AS366" s="5" t="str">
        <f ca="1">IFERROR(__xludf.DUMMYFUNCTION("""COMPUTED_VALUE"""),"Feeling Lucky? Play the Fortune Clover 5 now for a chance to win big! Spin to find fortune among the clovers!")</f>
        <v>Feeling Lucky? Play the Fortune Clover 5 now for a chance to win big! Spin to find fortune among the clovers!</v>
      </c>
      <c r="AT366" s="5"/>
      <c r="AU366" s="5" t="str">
        <f ca="1">IFERROR(__xludf.DUMMYFUNCTION("""COMPUTED_VALUE"""),"Fazi")</f>
        <v>Fazi</v>
      </c>
      <c r="AV366" s="5"/>
      <c r="AW366" s="5"/>
      <c r="AX366" s="5"/>
      <c r="AY366" s="5"/>
      <c r="AZ366" s="5"/>
      <c r="BA366" s="5"/>
      <c r="BB366" s="5" t="b">
        <f ca="1">IFERROR(__xludf.DUMMYFUNCTION("""COMPUTED_VALUE"""),TRUE)</f>
        <v>1</v>
      </c>
      <c r="BC366" s="5" t="str">
        <f ca="1">IFERROR(__xludf.DUMMYFUNCTION("""COMPUTED_VALUE"""),"Playnet")</f>
        <v>Playnet</v>
      </c>
      <c r="BD366" s="7" t="str">
        <f ca="1">IFERROR(__xludf.DUMMYFUNCTION("""COMPUTED_VALUE"""),"https://gameserver-store-client-area.orbionlimited.com/Home/IntegrationGameLaunch/client-area?moneyType=0&amp;gameName=FortuneClover5&amp;platform=desktop&amp;languageCode=eng&amp;currency=EUR")</f>
        <v>https://gameserver-store-client-area.orbionlimited.com/Home/IntegrationGameLaunch/client-area?moneyType=0&amp;gameName=FortuneClover5&amp;platform=desktop&amp;languageCode=eng&amp;currency=EUR</v>
      </c>
      <c r="BE366" s="5" t="b">
        <f ca="1">IFERROR(__xludf.DUMMYFUNCTION("""COMPUTED_VALUE"""),TRUE)</f>
        <v>1</v>
      </c>
    </row>
    <row r="367" spans="1:57" x14ac:dyDescent="0.25">
      <c r="A367" s="5">
        <f ca="1">IFERROR(__xludf.DUMMYFUNCTION("""COMPUTED_VALUE"""),371)</f>
        <v>371</v>
      </c>
      <c r="B367" s="5">
        <f ca="1">IFERROR(__xludf.DUMMYFUNCTION("""COMPUTED_VALUE"""),347)</f>
        <v>347</v>
      </c>
      <c r="C367" s="5" t="str">
        <f ca="1">IFERROR(__xludf.DUMMYFUNCTION("""COMPUTED_VALUE"""),"Playnet")</f>
        <v>Playnet</v>
      </c>
      <c r="D367" s="5" t="str">
        <f ca="1">IFERROR(__xludf.DUMMYFUNCTION("""COMPUTED_VALUE"""),"Majestic Crown 10")</f>
        <v>Majestic Crown 10</v>
      </c>
      <c r="E367" s="5"/>
      <c r="F367" s="5" t="str">
        <f ca="1">IFERROR(__xludf.DUMMYFUNCTION("""COMPUTED_VALUE"""),"MajesticCrown10")</f>
        <v>MajesticCrown10</v>
      </c>
      <c r="G367" s="5" t="str">
        <f ca="1">IFERROR(__xludf.DUMMYFUNCTION("""COMPUTED_VALUE"""),"Live")</f>
        <v>Live</v>
      </c>
      <c r="H367" s="5"/>
      <c r="I367" s="5"/>
      <c r="J367" s="5" t="str">
        <f ca="1">IFERROR(__xludf.DUMMYFUNCTION("""COMPUTED_VALUE"""),"JSON")</f>
        <v>JSON</v>
      </c>
      <c r="K367" s="5" t="str">
        <f ca="1">IFERROR(__xludf.DUMMYFUNCTION("""COMPUTED_VALUE"""),"Slot")</f>
        <v>Slot</v>
      </c>
      <c r="L367" s="5"/>
      <c r="M367" s="5"/>
      <c r="N367" s="5"/>
      <c r="O367" s="5"/>
      <c r="P367" s="14">
        <f ca="1">IFERROR(__xludf.DUMMYFUNCTION("""COMPUTED_VALUE"""),7.1)</f>
        <v>7.1</v>
      </c>
      <c r="Q367" s="5"/>
      <c r="R367" s="5"/>
      <c r="S367" s="15">
        <f ca="1">IFERROR(__xludf.DUMMYFUNCTION("""COMPUTED_VALUE"""),45470)</f>
        <v>45470</v>
      </c>
      <c r="T367" s="5" t="b">
        <f ca="1">IFERROR(__xludf.DUMMYFUNCTION("""COMPUTED_VALUE"""),TRUE)</f>
        <v>1</v>
      </c>
      <c r="U367" s="5" t="str">
        <f ca="1">IFERROR(__xludf.DUMMYFUNCTION("""COMPUTED_VALUE"""),"5x3")</f>
        <v>5x3</v>
      </c>
      <c r="V367" s="5">
        <f ca="1">IFERROR(__xludf.DUMMYFUNCTION("""COMPUTED_VALUE"""),10)</f>
        <v>10</v>
      </c>
      <c r="W367" s="5">
        <f ca="1">IFERROR(__xludf.DUMMYFUNCTION("""COMPUTED_VALUE"""),10)</f>
        <v>10</v>
      </c>
      <c r="X367" s="5">
        <f ca="1">IFERROR(__xludf.DUMMYFUNCTION("""COMPUTED_VALUE"""),95.962)</f>
        <v>95.962000000000003</v>
      </c>
      <c r="Y367" s="5" t="str">
        <f ca="1">IFERROR(__xludf.DUMMYFUNCTION("""COMPUTED_VALUE"""),"Medium")</f>
        <v>Medium</v>
      </c>
      <c r="Z367" s="5">
        <f ca="1">IFERROR(__xludf.DUMMYFUNCTION("""COMPUTED_VALUE"""),14.634)</f>
        <v>14.634</v>
      </c>
      <c r="AA367" s="5">
        <f ca="1">IFERROR(__xludf.DUMMYFUNCTION("""COMPUTED_VALUE"""),1538)</f>
        <v>1538</v>
      </c>
      <c r="AB367" s="5"/>
      <c r="AC367" s="5" t="str">
        <f ca="1">IFERROR(__xludf.DUMMYFUNCTION("""COMPUTED_VALUE"""),"Scatter, Expanding Wild")</f>
        <v>Scatter, Expanding Wild</v>
      </c>
      <c r="AD367" s="5" t="str">
        <f ca="1">IFERROR(__xludf.DUMMYFUNCTION("""COMPUTED_VALUE"""),"0.01/50")</f>
        <v>0.01/50</v>
      </c>
      <c r="AE367" s="5"/>
      <c r="AF367" s="5"/>
      <c r="AG367" s="10">
        <f ca="1">IFERROR(__xludf.DUMMYFUNCTION("""COMPUTED_VALUE"""),46220.4987152777)</f>
        <v>46220.498715277703</v>
      </c>
      <c r="AH367" s="5" t="str">
        <f ca="1">IFERROR(__xludf.DUMMYFUNCTION("""COMPUTED_VALUE"""),"selena.mihajlovic@fazi.rs")</f>
        <v>selena.mihajlovic@fazi.rs</v>
      </c>
      <c r="AI367" s="5"/>
      <c r="AJ367" s="5"/>
      <c r="AK367" s="5">
        <f ca="1">IFERROR(__xludf.DUMMYFUNCTION("""COMPUTED_VALUE"""),10)</f>
        <v>10</v>
      </c>
      <c r="AL367" s="5" t="str">
        <f ca="1">IFERROR(__xludf.DUMMYFUNCTION("""COMPUTED_VALUE"""),"No")</f>
        <v>No</v>
      </c>
      <c r="AM367" s="5" t="str">
        <f ca="1">IFERROR(__xludf.DUMMYFUNCTION("""COMPUTED_VALUE"""),"No")</f>
        <v>No</v>
      </c>
      <c r="AN367" s="7" t="str">
        <f ca="1">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AO367" s="5" t="str">
        <f ca="1">IFERROR(__xludf.DUMMYFUNCTION("""COMPUTED_VALUE"""),"No")</f>
        <v>No</v>
      </c>
      <c r="AP367" s="5" t="str">
        <f ca="1">IFERROR(__xludf.DUMMYFUNCTION("""COMPUTED_VALUE"""),"No")</f>
        <v>No</v>
      </c>
      <c r="AQ367" s="5" t="b">
        <f ca="1">IFERROR(__xludf.DUMMYFUNCTION("""COMPUTED_VALUE"""),TRUE)</f>
        <v>1</v>
      </c>
      <c r="AR367" s="5"/>
      <c r="AS367" s="5" t="str">
        <f ca="1">IFERROR(__xludf.DUMMYFUNCTION("""COMPUTED_VALUE"""),"Spin to uncover royal treasures and watch as expanding wilds adorn your reels!")</f>
        <v>Spin to uncover royal treasures and watch as expanding wilds adorn your reels!</v>
      </c>
      <c r="AT367" s="5"/>
      <c r="AU367" s="5" t="str">
        <f ca="1">IFERROR(__xludf.DUMMYFUNCTION("""COMPUTED_VALUE"""),"Fazi")</f>
        <v>Fazi</v>
      </c>
      <c r="AV367" s="5"/>
      <c r="AW367" s="5"/>
      <c r="AX367" s="5"/>
      <c r="AY367" s="5"/>
      <c r="AZ367" s="5"/>
      <c r="BA367" s="5"/>
      <c r="BB367" s="5" t="b">
        <f ca="1">IFERROR(__xludf.DUMMYFUNCTION("""COMPUTED_VALUE"""),TRUE)</f>
        <v>1</v>
      </c>
      <c r="BC367" s="5" t="str">
        <f ca="1">IFERROR(__xludf.DUMMYFUNCTION("""COMPUTED_VALUE"""),"Playnet")</f>
        <v>Playnet</v>
      </c>
      <c r="BD367" s="7" t="str">
        <f ca="1">IFERROR(__xludf.DUMMYFUNCTION("""COMPUTED_VALUE"""),"https://gameserver-store-client-area.orbionlimited.com/Home/IntegrationGameLaunch/client-area?moneyType=0&amp;gameName=MajesticCrown10&amp;platform=desktop&amp;languageCode=eng&amp;currency=EUR")</f>
        <v>https://gameserver-store-client-area.orbionlimited.com/Home/IntegrationGameLaunch/client-area?moneyType=0&amp;gameName=MajesticCrown10&amp;platform=desktop&amp;languageCode=eng&amp;currency=EUR</v>
      </c>
      <c r="BE367" s="5" t="b">
        <f ca="1">IFERROR(__xludf.DUMMYFUNCTION("""COMPUTED_VALUE"""),TRUE)</f>
        <v>1</v>
      </c>
    </row>
    <row r="368" spans="1:57" x14ac:dyDescent="0.25">
      <c r="A368" s="5">
        <f ca="1">IFERROR(__xludf.DUMMYFUNCTION("""COMPUTED_VALUE"""),373)</f>
        <v>373</v>
      </c>
      <c r="B368" s="5">
        <f ca="1">IFERROR(__xludf.DUMMYFUNCTION("""COMPUTED_VALUE"""),350)</f>
        <v>350</v>
      </c>
      <c r="C368" s="5" t="str">
        <f ca="1">IFERROR(__xludf.DUMMYFUNCTION("""COMPUTED_VALUE"""),"Redstone")</f>
        <v>Redstone</v>
      </c>
      <c r="D368" s="5" t="str">
        <f ca="1">IFERROR(__xludf.DUMMYFUNCTION("""COMPUTED_VALUE"""),"Double Clover Fire")</f>
        <v>Double Clover Fire</v>
      </c>
      <c r="E368" s="5" t="str">
        <f ca="1">IFERROR(__xludf.DUMMYFUNCTION("""COMPUTED_VALUE"""),"Redstone")</f>
        <v>Redstone</v>
      </c>
      <c r="F368" s="5" t="str">
        <f ca="1">IFERROR(__xludf.DUMMYFUNCTION("""COMPUTED_VALUE"""),"RedstoneDoubleFireClover")</f>
        <v>RedstoneDoubleFireClover</v>
      </c>
      <c r="G368" s="5" t="str">
        <f ca="1">IFERROR(__xludf.DUMMYFUNCTION("""COMPUTED_VALUE"""),"Live")</f>
        <v>Live</v>
      </c>
      <c r="H368" s="5"/>
      <c r="I368" s="5" t="str">
        <f ca="1">IFERROR(__xludf.DUMMYFUNCTION("""COMPUTED_VALUE"""),"Redstone")</f>
        <v>Redstone</v>
      </c>
      <c r="J368" s="5" t="str">
        <f ca="1">IFERROR(__xludf.DUMMYFUNCTION("""COMPUTED_VALUE"""),"JSON")</f>
        <v>JSON</v>
      </c>
      <c r="K368" s="5" t="str">
        <f ca="1">IFERROR(__xludf.DUMMYFUNCTION("""COMPUTED_VALUE"""),"Slot")</f>
        <v>Slot</v>
      </c>
      <c r="L368" s="5" t="str">
        <f ca="1">IFERROR(__xludf.DUMMYFUNCTION("""COMPUTED_VALUE""")," Clone")</f>
        <v xml:space="preserve"> Clone</v>
      </c>
      <c r="M368" s="5" t="str">
        <f ca="1">IFERROR(__xludf.DUMMYFUNCTION("""COMPUTED_VALUE"""),"Chilli Double")</f>
        <v>Chilli Double</v>
      </c>
      <c r="N368" s="7" t="str">
        <f ca="1">IFERROR(__xludf.DUMMYFUNCTION("""COMPUTED_VALUE"""),"https://docs.google.com/document/d/1GjMjFhDDra5S98Eu8oW327f3zalMBGyI/edit?usp=drive_link&amp;ouid=107596163405648766688&amp;rtpof=true&amp;sd=true")</f>
        <v>https://docs.google.com/document/d/1GjMjFhDDra5S98Eu8oW327f3zalMBGyI/edit?usp=drive_link&amp;ouid=107596163405648766688&amp;rtpof=true&amp;sd=true</v>
      </c>
      <c r="O368" s="7" t="str">
        <f ca="1">IFERROR(__xludf.DUMMYFUNCTION("""COMPUTED_VALUE"""),"https://docs.google.com/document/d/1mXBnKRVcNAjM-HC47zcxr6236JVcRFYE/edit?usp=drive_link&amp;ouid=107596163405648766688&amp;rtpof=true&amp;sd=true")</f>
        <v>https://docs.google.com/document/d/1mXBnKRVcNAjM-HC47zcxr6236JVcRFYE/edit?usp=drive_link&amp;ouid=107596163405648766688&amp;rtpof=true&amp;sd=true</v>
      </c>
      <c r="P368" s="14">
        <f ca="1">IFERROR(__xludf.DUMMYFUNCTION("""COMPUTED_VALUE"""),8.9)</f>
        <v>8.9</v>
      </c>
      <c r="Q368" s="5"/>
      <c r="R368" s="5"/>
      <c r="S368" s="15">
        <f ca="1">IFERROR(__xludf.DUMMYFUNCTION("""COMPUTED_VALUE"""),45499)</f>
        <v>45499</v>
      </c>
      <c r="T368" s="5" t="b">
        <f ca="1">IFERROR(__xludf.DUMMYFUNCTION("""COMPUTED_VALUE"""),TRUE)</f>
        <v>1</v>
      </c>
      <c r="U368" s="5" t="str">
        <f ca="1">IFERROR(__xludf.DUMMYFUNCTION("""COMPUTED_VALUE"""),"5x3")</f>
        <v>5x3</v>
      </c>
      <c r="V368" s="5">
        <f ca="1">IFERROR(__xludf.DUMMYFUNCTION("""COMPUTED_VALUE"""),5)</f>
        <v>5</v>
      </c>
      <c r="W368" s="5">
        <f ca="1">IFERROR(__xludf.DUMMYFUNCTION("""COMPUTED_VALUE"""),5)</f>
        <v>5</v>
      </c>
      <c r="X368" s="13">
        <f ca="1">IFERROR(__xludf.DUMMYFUNCTION("""COMPUTED_VALUE"""),96.45)</f>
        <v>96.45</v>
      </c>
      <c r="Y368" s="5" t="str">
        <f ca="1">IFERROR(__xludf.DUMMYFUNCTION("""COMPUTED_VALUE"""),"Medium")</f>
        <v>Medium</v>
      </c>
      <c r="Z368" s="5">
        <f ca="1">IFERROR(__xludf.DUMMYFUNCTION("""COMPUTED_VALUE"""),14.23)</f>
        <v>14.23</v>
      </c>
      <c r="AA368" s="5">
        <f ca="1">IFERROR(__xludf.DUMMYFUNCTION("""COMPUTED_VALUE"""),2624)</f>
        <v>2624</v>
      </c>
      <c r="AB368" s="5"/>
      <c r="AC368" s="5" t="str">
        <f ca="1">IFERROR(__xludf.DUMMYFUNCTION("""COMPUTED_VALUE"""),"Expanding Wild, Scatter")</f>
        <v>Expanding Wild, Scatter</v>
      </c>
      <c r="AD368" s="5" t="str">
        <f ca="1">IFERROR(__xludf.DUMMYFUNCTION("""COMPUTED_VALUE"""),"0.05/100")</f>
        <v>0.05/100</v>
      </c>
      <c r="AE368" s="5"/>
      <c r="AF368" s="5"/>
      <c r="AG368" s="10">
        <f ca="1">IFERROR(__xludf.DUMMYFUNCTION("""COMPUTED_VALUE"""),46157.4899884259)</f>
        <v>46157.489988425899</v>
      </c>
      <c r="AH368" s="5"/>
      <c r="AI368" s="5"/>
      <c r="AJ368" s="5"/>
      <c r="AK368" s="5">
        <f ca="1">IFERROR(__xludf.DUMMYFUNCTION("""COMPUTED_VALUE"""),1)</f>
        <v>1</v>
      </c>
      <c r="AL368" s="5" t="str">
        <f ca="1">IFERROR(__xludf.DUMMYFUNCTION("""COMPUTED_VALUE"""),"No")</f>
        <v>No</v>
      </c>
      <c r="AM368" s="5" t="str">
        <f ca="1">IFERROR(__xludf.DUMMYFUNCTION("""COMPUTED_VALUE"""),"No")</f>
        <v>No</v>
      </c>
      <c r="AN368" s="7" t="str">
        <f ca="1">IFERROR(__xludf.DUMMYFUNCTION("""COMPUTED_VALUE"""),"https://static.redstone.rs/games/double-clover-fire/")</f>
        <v>https://static.redstone.rs/games/double-clover-fire/</v>
      </c>
      <c r="AO368" s="5" t="str">
        <f ca="1">IFERROR(__xludf.DUMMYFUNCTION("""COMPUTED_VALUE"""),"No")</f>
        <v>No</v>
      </c>
      <c r="AP368" s="5" t="str">
        <f ca="1">IFERROR(__xludf.DUMMYFUNCTION("""COMPUTED_VALUE"""),"No")</f>
        <v>No</v>
      </c>
      <c r="AQ368" s="5" t="b">
        <f ca="1">IFERROR(__xludf.DUMMYFUNCTION("""COMPUTED_VALUE"""),TRUE)</f>
        <v>1</v>
      </c>
      <c r="AR368" s="5"/>
      <c r="AS368" s="5" t="str">
        <f ca="1">IFERROR(__xludf.DUMMYFUNCTION("""COMPUTED_VALUE"""),"Discover the blazing excitement of Double Clover Fire and spin your way to doubled wins today!")</f>
        <v>Discover the blazing excitement of Double Clover Fire and spin your way to doubled wins today!</v>
      </c>
      <c r="AT368" s="5"/>
      <c r="AU368" s="5" t="str">
        <f ca="1">IFERROR(__xludf.DUMMYFUNCTION("""COMPUTED_VALUE"""),"Redstone")</f>
        <v>Redstone</v>
      </c>
      <c r="AV368" s="5"/>
      <c r="AW368" s="5"/>
      <c r="AX368" s="5"/>
      <c r="AY368" s="5"/>
      <c r="AZ368" s="5"/>
      <c r="BA368" s="5"/>
      <c r="BB368" s="5" t="b">
        <f ca="1">IFERROR(__xludf.DUMMYFUNCTION("""COMPUTED_VALUE"""),TRUE)</f>
        <v>1</v>
      </c>
      <c r="BC368" s="5" t="str">
        <f ca="1">IFERROR(__xludf.DUMMYFUNCTION("""COMPUTED_VALUE"""),"Redstone")</f>
        <v>Redstone</v>
      </c>
      <c r="BD368" s="7" t="str">
        <f ca="1">IFERROR(__xludf.DUMMYFUNCTION("""COMPUTED_VALUE"""),"https://static.redstone.rs/games/double-clover-fire/")</f>
        <v>https://static.redstone.rs/games/double-clover-fire/</v>
      </c>
      <c r="BE368" s="5" t="b">
        <f ca="1">IFERROR(__xludf.DUMMYFUNCTION("""COMPUTED_VALUE"""),TRUE)</f>
        <v>1</v>
      </c>
    </row>
    <row r="369" spans="1:57" x14ac:dyDescent="0.25">
      <c r="A369" s="5">
        <f ca="1">IFERROR(__xludf.DUMMYFUNCTION("""COMPUTED_VALUE"""),374)</f>
        <v>374</v>
      </c>
      <c r="B369" s="5">
        <f ca="1">IFERROR(__xludf.DUMMYFUNCTION("""COMPUTED_VALUE"""),351)</f>
        <v>351</v>
      </c>
      <c r="C369" s="5" t="str">
        <f ca="1">IFERROR(__xludf.DUMMYFUNCTION("""COMPUTED_VALUE"""),"Playnet")</f>
        <v>Playnet</v>
      </c>
      <c r="D369" s="5" t="str">
        <f ca="1">IFERROR(__xludf.DUMMYFUNCTION("""COMPUTED_VALUE"""),"Fortune Clover 40")</f>
        <v>Fortune Clover 40</v>
      </c>
      <c r="E369" s="5"/>
      <c r="F369" s="5" t="str">
        <f ca="1">IFERROR(__xludf.DUMMYFUNCTION("""COMPUTED_VALUE"""),"PlayNetFortuneClover40")</f>
        <v>PlayNetFortuneClover40</v>
      </c>
      <c r="G369" s="5" t="str">
        <f ca="1">IFERROR(__xludf.DUMMYFUNCTION("""COMPUTED_VALUE"""),"Live")</f>
        <v>Live</v>
      </c>
      <c r="H369" s="5"/>
      <c r="I369" s="5"/>
      <c r="J369" s="5" t="str">
        <f ca="1">IFERROR(__xludf.DUMMYFUNCTION("""COMPUTED_VALUE"""),"JSON")</f>
        <v>JSON</v>
      </c>
      <c r="K369" s="5" t="str">
        <f ca="1">IFERROR(__xludf.DUMMYFUNCTION("""COMPUTED_VALUE"""),"Slot")</f>
        <v>Slot</v>
      </c>
      <c r="L369" s="5"/>
      <c r="M369" s="5"/>
      <c r="N369" s="5"/>
      <c r="O369" s="5"/>
      <c r="P369" s="14">
        <f ca="1">IFERROR(__xludf.DUMMYFUNCTION("""COMPUTED_VALUE"""),7.1)</f>
        <v>7.1</v>
      </c>
      <c r="Q369" s="5"/>
      <c r="R369" s="5"/>
      <c r="S369" s="15">
        <f ca="1">IFERROR(__xludf.DUMMYFUNCTION("""COMPUTED_VALUE"""),45502)</f>
        <v>45502</v>
      </c>
      <c r="T369" s="5" t="b">
        <f ca="1">IFERROR(__xludf.DUMMYFUNCTION("""COMPUTED_VALUE"""),TRUE)</f>
        <v>1</v>
      </c>
      <c r="U369" s="5" t="str">
        <f ca="1">IFERROR(__xludf.DUMMYFUNCTION("""COMPUTED_VALUE"""),"5x3")</f>
        <v>5x3</v>
      </c>
      <c r="V369" s="5">
        <f ca="1">IFERROR(__xludf.DUMMYFUNCTION("""COMPUTED_VALUE"""),40)</f>
        <v>40</v>
      </c>
      <c r="W369" s="5">
        <f ca="1">IFERROR(__xludf.DUMMYFUNCTION("""COMPUTED_VALUE"""),40)</f>
        <v>40</v>
      </c>
      <c r="X369" s="13">
        <f ca="1">IFERROR(__xludf.DUMMYFUNCTION("""COMPUTED_VALUE"""),96.53)</f>
        <v>96.53</v>
      </c>
      <c r="Y369" s="5" t="str">
        <f ca="1">IFERROR(__xludf.DUMMYFUNCTION("""COMPUTED_VALUE"""),"Low")</f>
        <v>Low</v>
      </c>
      <c r="Z369" s="5">
        <f ca="1">IFERROR(__xludf.DUMMYFUNCTION("""COMPUTED_VALUE"""),23.377)</f>
        <v>23.376999999999999</v>
      </c>
      <c r="AA369" s="5">
        <f ca="1">IFERROR(__xludf.DUMMYFUNCTION("""COMPUTED_VALUE"""),876.75)</f>
        <v>876.75</v>
      </c>
      <c r="AB369" s="5"/>
      <c r="AC369" s="5" t="str">
        <f ca="1">IFERROR(__xludf.DUMMYFUNCTION("""COMPUTED_VALUE"""),"Scatter, Expanding Wild")</f>
        <v>Scatter, Expanding Wild</v>
      </c>
      <c r="AD369" s="5" t="str">
        <f ca="1">IFERROR(__xludf.DUMMYFUNCTION("""COMPUTED_VALUE"""),"0.40/60")</f>
        <v>0.40/60</v>
      </c>
      <c r="AE369" s="5"/>
      <c r="AF369" s="5"/>
      <c r="AG369" s="10">
        <f ca="1">IFERROR(__xludf.DUMMYFUNCTION("""COMPUTED_VALUE"""),46220.4988657407)</f>
        <v>46220.498865740701</v>
      </c>
      <c r="AH369" s="5" t="str">
        <f ca="1">IFERROR(__xludf.DUMMYFUNCTION("""COMPUTED_VALUE"""),"selena.mihajlovic@fazi.rs")</f>
        <v>selena.mihajlovic@fazi.rs</v>
      </c>
      <c r="AI369" s="5"/>
      <c r="AJ369" s="5"/>
      <c r="AK369" s="5" t="str">
        <f ca="1">IFERROR(__xludf.DUMMYFUNCTION("""COMPUTED_VALUE"""),"NULL")</f>
        <v>NULL</v>
      </c>
      <c r="AL369" s="5" t="str">
        <f ca="1">IFERROR(__xludf.DUMMYFUNCTION("""COMPUTED_VALUE"""),"No")</f>
        <v>No</v>
      </c>
      <c r="AM369" s="5" t="str">
        <f ca="1">IFERROR(__xludf.DUMMYFUNCTION("""COMPUTED_VALUE"""),"No")</f>
        <v>No</v>
      </c>
      <c r="AN369" s="7" t="str">
        <f ca="1">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AO369" s="5" t="str">
        <f ca="1">IFERROR(__xludf.DUMMYFUNCTION("""COMPUTED_VALUE"""),"No")</f>
        <v>No</v>
      </c>
      <c r="AP369" s="5" t="str">
        <f ca="1">IFERROR(__xludf.DUMMYFUNCTION("""COMPUTED_VALUE"""),"No")</f>
        <v>No</v>
      </c>
      <c r="AQ369" s="5" t="b">
        <f ca="1">IFERROR(__xludf.DUMMYFUNCTION("""COMPUTED_VALUE"""),TRUE)</f>
        <v>1</v>
      </c>
      <c r="AR369" s="5"/>
      <c r="AS369" s="5" t="str">
        <f ca="1">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AT369" s="5"/>
      <c r="AU369" s="5" t="str">
        <f ca="1">IFERROR(__xludf.DUMMYFUNCTION("""COMPUTED_VALUE"""),"Fazi")</f>
        <v>Fazi</v>
      </c>
      <c r="AV369" s="5"/>
      <c r="AW369" s="5"/>
      <c r="AX369" s="5"/>
      <c r="AY369" s="5"/>
      <c r="AZ369" s="5"/>
      <c r="BA369" s="5"/>
      <c r="BB369" s="5" t="b">
        <f ca="1">IFERROR(__xludf.DUMMYFUNCTION("""COMPUTED_VALUE"""),TRUE)</f>
        <v>1</v>
      </c>
      <c r="BC369" s="5" t="str">
        <f ca="1">IFERROR(__xludf.DUMMYFUNCTION("""COMPUTED_VALUE"""),"Playnet")</f>
        <v>Playnet</v>
      </c>
      <c r="BD369" s="7" t="str">
        <f ca="1">IFERROR(__xludf.DUMMYFUNCTION("""COMPUTED_VALUE"""),"https://gameserver-store-client-area.orbionlimited.com/Home/IntegrationGameLaunch/client-area?moneyType=0&amp;gameName=PlayNetFortuneClover40&amp;platform=desktop&amp;languageCode=eng&amp;currency=EUR")</f>
        <v>https://gameserver-store-client-area.orbionlimited.com/Home/IntegrationGameLaunch/client-area?moneyType=0&amp;gameName=PlayNetFortuneClover40&amp;platform=desktop&amp;languageCode=eng&amp;currency=EUR</v>
      </c>
      <c r="BE369" s="5" t="b">
        <f ca="1">IFERROR(__xludf.DUMMYFUNCTION("""COMPUTED_VALUE"""),TRUE)</f>
        <v>1</v>
      </c>
    </row>
    <row r="370" spans="1:57" x14ac:dyDescent="0.25">
      <c r="A370" s="5">
        <f ca="1">IFERROR(__xludf.DUMMYFUNCTION("""COMPUTED_VALUE"""),375)</f>
        <v>375</v>
      </c>
      <c r="B370" s="5">
        <f ca="1">IFERROR(__xludf.DUMMYFUNCTION("""COMPUTED_VALUE"""),352)</f>
        <v>352</v>
      </c>
      <c r="C370" s="5" t="str">
        <f ca="1">IFERROR(__xludf.DUMMYFUNCTION("""COMPUTED_VALUE"""),"Playnet")</f>
        <v>Playnet</v>
      </c>
      <c r="D370" s="5" t="str">
        <f ca="1">IFERROR(__xludf.DUMMYFUNCTION("""COMPUTED_VALUE"""),"Diamond Heart 5")</f>
        <v>Diamond Heart 5</v>
      </c>
      <c r="E370" s="5"/>
      <c r="F370" s="5" t="str">
        <f ca="1">IFERROR(__xludf.DUMMYFUNCTION("""COMPUTED_VALUE"""),"PlayNetDiamondHeart5")</f>
        <v>PlayNetDiamondHeart5</v>
      </c>
      <c r="G370" s="5" t="str">
        <f ca="1">IFERROR(__xludf.DUMMYFUNCTION("""COMPUTED_VALUE"""),"Live")</f>
        <v>Live</v>
      </c>
      <c r="H370" s="5"/>
      <c r="I370" s="5"/>
      <c r="J370" s="5" t="str">
        <f ca="1">IFERROR(__xludf.DUMMYFUNCTION("""COMPUTED_VALUE"""),"JSON")</f>
        <v>JSON</v>
      </c>
      <c r="K370" s="5" t="str">
        <f ca="1">IFERROR(__xludf.DUMMYFUNCTION("""COMPUTED_VALUE"""),"Slot")</f>
        <v>Slot</v>
      </c>
      <c r="L370" s="5"/>
      <c r="M370" s="5"/>
      <c r="N370" s="5"/>
      <c r="O370" s="5"/>
      <c r="P370" s="14">
        <f ca="1">IFERROR(__xludf.DUMMYFUNCTION("""COMPUTED_VALUE"""),7.1)</f>
        <v>7.1</v>
      </c>
      <c r="Q370" s="5"/>
      <c r="R370" s="5"/>
      <c r="S370" s="15">
        <f ca="1">IFERROR(__xludf.DUMMYFUNCTION("""COMPUTED_VALUE"""),45492)</f>
        <v>45492</v>
      </c>
      <c r="T370" s="5" t="b">
        <f ca="1">IFERROR(__xludf.DUMMYFUNCTION("""COMPUTED_VALUE"""),TRUE)</f>
        <v>1</v>
      </c>
      <c r="U370" s="5" t="str">
        <f ca="1">IFERROR(__xludf.DUMMYFUNCTION("""COMPUTED_VALUE"""),"5x3")</f>
        <v>5x3</v>
      </c>
      <c r="V370" s="5">
        <f ca="1">IFERROR(__xludf.DUMMYFUNCTION("""COMPUTED_VALUE"""),5)</f>
        <v>5</v>
      </c>
      <c r="W370" s="5">
        <f ca="1">IFERROR(__xludf.DUMMYFUNCTION("""COMPUTED_VALUE"""),5)</f>
        <v>5</v>
      </c>
      <c r="X370" s="13">
        <f ca="1">IFERROR(__xludf.DUMMYFUNCTION("""COMPUTED_VALUE"""),96.447)</f>
        <v>96.447000000000003</v>
      </c>
      <c r="Y370" s="5" t="str">
        <f ca="1">IFERROR(__xludf.DUMMYFUNCTION("""COMPUTED_VALUE"""),"Medium")</f>
        <v>Medium</v>
      </c>
      <c r="Z370" s="5">
        <f ca="1">IFERROR(__xludf.DUMMYFUNCTION("""COMPUTED_VALUE"""),14.505)</f>
        <v>14.505000000000001</v>
      </c>
      <c r="AA370" s="5">
        <f ca="1">IFERROR(__xludf.DUMMYFUNCTION("""COMPUTED_VALUE"""),1222)</f>
        <v>1222</v>
      </c>
      <c r="AB370" s="5"/>
      <c r="AC370" s="5" t="str">
        <f ca="1">IFERROR(__xludf.DUMMYFUNCTION("""COMPUTED_VALUE"""),"Scatter, Expanding Wild")</f>
        <v>Scatter, Expanding Wild</v>
      </c>
      <c r="AD370" s="5" t="str">
        <f ca="1">IFERROR(__xludf.DUMMYFUNCTION("""COMPUTED_VALUE"""),"0.05/30")</f>
        <v>0.05/30</v>
      </c>
      <c r="AE370" s="5"/>
      <c r="AF370" s="5"/>
      <c r="AG370" s="10">
        <f ca="1">IFERROR(__xludf.DUMMYFUNCTION("""COMPUTED_VALUE"""),46220.4993287037)</f>
        <v>46220.4993287037</v>
      </c>
      <c r="AH370" s="5" t="str">
        <f ca="1">IFERROR(__xludf.DUMMYFUNCTION("""COMPUTED_VALUE"""),"selena.mihajlovic@fazi.rs")</f>
        <v>selena.mihajlovic@fazi.rs</v>
      </c>
      <c r="AI370" s="5"/>
      <c r="AJ370" s="5"/>
      <c r="AK370" s="5" t="str">
        <f ca="1">IFERROR(__xludf.DUMMYFUNCTION("""COMPUTED_VALUE"""),"NULL")</f>
        <v>NULL</v>
      </c>
      <c r="AL370" s="5" t="str">
        <f ca="1">IFERROR(__xludf.DUMMYFUNCTION("""COMPUTED_VALUE"""),"No")</f>
        <v>No</v>
      </c>
      <c r="AM370" s="5" t="str">
        <f ca="1">IFERROR(__xludf.DUMMYFUNCTION("""COMPUTED_VALUE"""),"No")</f>
        <v>No</v>
      </c>
      <c r="AN370" s="7" t="str">
        <f ca="1">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AO370" s="5" t="str">
        <f ca="1">IFERROR(__xludf.DUMMYFUNCTION("""COMPUTED_VALUE"""),"No")</f>
        <v>No</v>
      </c>
      <c r="AP370" s="5" t="str">
        <f ca="1">IFERROR(__xludf.DUMMYFUNCTION("""COMPUTED_VALUE"""),"No")</f>
        <v>No</v>
      </c>
      <c r="AQ370" s="5" t="b">
        <f ca="1">IFERROR(__xludf.DUMMYFUNCTION("""COMPUTED_VALUE"""),TRUE)</f>
        <v>1</v>
      </c>
      <c r="AR370" s="5"/>
      <c r="AS370" s="5" t="str">
        <f ca="1">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AT370" s="5"/>
      <c r="AU370" s="5" t="str">
        <f ca="1">IFERROR(__xludf.DUMMYFUNCTION("""COMPUTED_VALUE"""),"Fazi")</f>
        <v>Fazi</v>
      </c>
      <c r="AV370" s="5"/>
      <c r="AW370" s="5"/>
      <c r="AX370" s="5"/>
      <c r="AY370" s="5"/>
      <c r="AZ370" s="5"/>
      <c r="BA370" s="5"/>
      <c r="BB370" s="5" t="b">
        <f ca="1">IFERROR(__xludf.DUMMYFUNCTION("""COMPUTED_VALUE"""),TRUE)</f>
        <v>1</v>
      </c>
      <c r="BC370" s="5" t="str">
        <f ca="1">IFERROR(__xludf.DUMMYFUNCTION("""COMPUTED_VALUE"""),"Playnet")</f>
        <v>Playnet</v>
      </c>
      <c r="BD370" s="7" t="str">
        <f ca="1">IFERROR(__xludf.DUMMYFUNCTION("""COMPUTED_VALUE"""),"https://gameserver-store-client-area.orbionlimited.com/Home/IntegrationGameLaunch/client-area?moneyType=0&amp;gameName=PlayNetDiamondHeart5&amp;platform=desktop&amp;languageCode=eng&amp;currency=EUR")</f>
        <v>https://gameserver-store-client-area.orbionlimited.com/Home/IntegrationGameLaunch/client-area?moneyType=0&amp;gameName=PlayNetDiamondHeart5&amp;platform=desktop&amp;languageCode=eng&amp;currency=EUR</v>
      </c>
      <c r="BE370" s="5" t="b">
        <f ca="1">IFERROR(__xludf.DUMMYFUNCTION("""COMPUTED_VALUE"""),TRUE)</f>
        <v>1</v>
      </c>
    </row>
    <row r="371" spans="1:57" x14ac:dyDescent="0.25">
      <c r="A371" s="5">
        <f ca="1">IFERROR(__xludf.DUMMYFUNCTION("""COMPUTED_VALUE"""),376)</f>
        <v>376</v>
      </c>
      <c r="B371" s="5">
        <f ca="1">IFERROR(__xludf.DUMMYFUNCTION("""COMPUTED_VALUE"""),354)</f>
        <v>354</v>
      </c>
      <c r="C371" s="5" t="str">
        <f ca="1">IFERROR(__xludf.DUMMYFUNCTION("""COMPUTED_VALUE"""),"Redstone")</f>
        <v>Redstone</v>
      </c>
      <c r="D371" s="5" t="str">
        <f ca="1">IFERROR(__xludf.DUMMYFUNCTION("""COMPUTED_VALUE"""),"100 Clover Fire")</f>
        <v>100 Clover Fire</v>
      </c>
      <c r="E371" s="5" t="str">
        <f ca="1">IFERROR(__xludf.DUMMYFUNCTION("""COMPUTED_VALUE"""),"Redstone")</f>
        <v>Redstone</v>
      </c>
      <c r="F371" s="5" t="str">
        <f ca="1">IFERROR(__xludf.DUMMYFUNCTION("""COMPUTED_VALUE"""),"Redstone100CloverFire")</f>
        <v>Redstone100CloverFire</v>
      </c>
      <c r="G371" s="5" t="str">
        <f ca="1">IFERROR(__xludf.DUMMYFUNCTION("""COMPUTED_VALUE"""),"Live")</f>
        <v>Live</v>
      </c>
      <c r="H371" s="5"/>
      <c r="I371" s="5" t="str">
        <f ca="1">IFERROR(__xludf.DUMMYFUNCTION("""COMPUTED_VALUE"""),"Redstone")</f>
        <v>Redstone</v>
      </c>
      <c r="J371" s="5" t="str">
        <f ca="1">IFERROR(__xludf.DUMMYFUNCTION("""COMPUTED_VALUE"""),"JSON")</f>
        <v>JSON</v>
      </c>
      <c r="K371" s="5" t="str">
        <f ca="1">IFERROR(__xludf.DUMMYFUNCTION("""COMPUTED_VALUE"""),"Slot")</f>
        <v>Slot</v>
      </c>
      <c r="L371" s="5" t="str">
        <f ca="1">IFERROR(__xludf.DUMMYFUNCTION("""COMPUTED_VALUE"""),"Master")</f>
        <v>Master</v>
      </c>
      <c r="M371" s="5"/>
      <c r="N371" s="7" t="str">
        <f ca="1">IFERROR(__xludf.DUMMYFUNCTION("""COMPUTED_VALUE"""),"https://docs.google.com/document/d/1W3Ba_cSXNdHIMN1RMBvGdFZYpyMiDgSn/edit?usp=drive_link&amp;ouid=107596163405648766688&amp;rtpof=true&amp;sd=true")</f>
        <v>https://docs.google.com/document/d/1W3Ba_cSXNdHIMN1RMBvGdFZYpyMiDgSn/edit?usp=drive_link&amp;ouid=107596163405648766688&amp;rtpof=true&amp;sd=true</v>
      </c>
      <c r="O371" s="7" t="str">
        <f ca="1">IFERROR(__xludf.DUMMYFUNCTION("""COMPUTED_VALUE"""),"https://docs.google.com/document/d/1BAKVXe_X6jiqGNaK1MEqCP2ls_MEsc5Y/edit?usp=drive_link&amp;ouid=107596163405648766688&amp;rtpof=true&amp;sd=true")</f>
        <v>https://docs.google.com/document/d/1BAKVXe_X6jiqGNaK1MEqCP2ls_MEsc5Y/edit?usp=drive_link&amp;ouid=107596163405648766688&amp;rtpof=true&amp;sd=true</v>
      </c>
      <c r="P371" s="14">
        <f ca="1">IFERROR(__xludf.DUMMYFUNCTION("""COMPUTED_VALUE"""),9.7)</f>
        <v>9.6999999999999993</v>
      </c>
      <c r="Q371" s="5"/>
      <c r="R371" s="5"/>
      <c r="S371" s="15">
        <f ca="1">IFERROR(__xludf.DUMMYFUNCTION("""COMPUTED_VALUE"""),45511)</f>
        <v>45511</v>
      </c>
      <c r="T371" s="5" t="b">
        <f ca="1">IFERROR(__xludf.DUMMYFUNCTION("""COMPUTED_VALUE"""),TRUE)</f>
        <v>1</v>
      </c>
      <c r="U371" s="5" t="str">
        <f ca="1">IFERROR(__xludf.DUMMYFUNCTION("""COMPUTED_VALUE"""),"5x4")</f>
        <v>5x4</v>
      </c>
      <c r="V371" s="5">
        <f ca="1">IFERROR(__xludf.DUMMYFUNCTION("""COMPUTED_VALUE"""),100)</f>
        <v>100</v>
      </c>
      <c r="W371" s="5">
        <f ca="1">IFERROR(__xludf.DUMMYFUNCTION("""COMPUTED_VALUE"""),100)</f>
        <v>100</v>
      </c>
      <c r="X371" s="13">
        <f ca="1">IFERROR(__xludf.DUMMYFUNCTION("""COMPUTED_VALUE"""),96.5)</f>
        <v>96.5</v>
      </c>
      <c r="Y371" s="5" t="str">
        <f ca="1">IFERROR(__xludf.DUMMYFUNCTION("""COMPUTED_VALUE"""),"Medium")</f>
        <v>Medium</v>
      </c>
      <c r="Z371" s="5">
        <f ca="1">IFERROR(__xludf.DUMMYFUNCTION("""COMPUTED_VALUE"""),13.31)</f>
        <v>13.31</v>
      </c>
      <c r="AA371" s="5">
        <f ca="1">IFERROR(__xludf.DUMMYFUNCTION("""COMPUTED_VALUE"""),3000)</f>
        <v>3000</v>
      </c>
      <c r="AB371" s="5"/>
      <c r="AC371" s="5" t="str">
        <f ca="1">IFERROR(__xludf.DUMMYFUNCTION("""COMPUTED_VALUE"""),"Scatter, Expanding Wild")</f>
        <v>Scatter, Expanding Wild</v>
      </c>
      <c r="AD371" s="5" t="str">
        <f ca="1">IFERROR(__xludf.DUMMYFUNCTION("""COMPUTED_VALUE"""),"1/100")</f>
        <v>1/100</v>
      </c>
      <c r="AE371" s="5"/>
      <c r="AF371" s="5"/>
      <c r="AG371" s="10">
        <f ca="1">IFERROR(__xludf.DUMMYFUNCTION("""COMPUTED_VALUE"""),46157.4900347222)</f>
        <v>46157.490034722199</v>
      </c>
      <c r="AH371" s="5"/>
      <c r="AI371" s="5"/>
      <c r="AJ371" s="5"/>
      <c r="AK371" s="5">
        <f ca="1">IFERROR(__xludf.DUMMYFUNCTION("""COMPUTED_VALUE"""),1)</f>
        <v>1</v>
      </c>
      <c r="AL371" s="5" t="str">
        <f ca="1">IFERROR(__xludf.DUMMYFUNCTION("""COMPUTED_VALUE"""),"No")</f>
        <v>No</v>
      </c>
      <c r="AM371" s="5" t="str">
        <f ca="1">IFERROR(__xludf.DUMMYFUNCTION("""COMPUTED_VALUE"""),"No")</f>
        <v>No</v>
      </c>
      <c r="AN371" s="7" t="str">
        <f ca="1">IFERROR(__xludf.DUMMYFUNCTION("""COMPUTED_VALUE"""),"https://static.redstone.rs/games/100-clover-fire/")</f>
        <v>https://static.redstone.rs/games/100-clover-fire/</v>
      </c>
      <c r="AO371" s="5" t="str">
        <f ca="1">IFERROR(__xludf.DUMMYFUNCTION("""COMPUTED_VALUE"""),"No")</f>
        <v>No</v>
      </c>
      <c r="AP371" s="5" t="str">
        <f ca="1">IFERROR(__xludf.DUMMYFUNCTION("""COMPUTED_VALUE"""),"No")</f>
        <v>No</v>
      </c>
      <c r="AQ371" s="5" t="b">
        <f ca="1">IFERROR(__xludf.DUMMYFUNCTION("""COMPUTED_VALUE"""),TRUE)</f>
        <v>1</v>
      </c>
      <c r="AR371" s="5"/>
      <c r="AS371" s="5" t="str">
        <f ca="1">IFERROR(__xludf.DUMMYFUNCTION("""COMPUTED_VALUE"""),"100 Clover Fire means 100 ways to win! Feel the thrill, spin the reels and blaze your path to massive wins!")</f>
        <v>100 Clover Fire means 100 ways to win! Feel the thrill, spin the reels and blaze your path to massive wins!</v>
      </c>
      <c r="AT371" s="5"/>
      <c r="AU371" s="5" t="str">
        <f ca="1">IFERROR(__xludf.DUMMYFUNCTION("""COMPUTED_VALUE"""),"Redstone")</f>
        <v>Redstone</v>
      </c>
      <c r="AV371" s="5"/>
      <c r="AW371" s="5"/>
      <c r="AX371" s="5"/>
      <c r="AY371" s="5"/>
      <c r="AZ371" s="5"/>
      <c r="BA371" s="5"/>
      <c r="BB371" s="5" t="b">
        <f ca="1">IFERROR(__xludf.DUMMYFUNCTION("""COMPUTED_VALUE"""),TRUE)</f>
        <v>1</v>
      </c>
      <c r="BC371" s="5" t="str">
        <f ca="1">IFERROR(__xludf.DUMMYFUNCTION("""COMPUTED_VALUE"""),"Redstone")</f>
        <v>Redstone</v>
      </c>
      <c r="BD371" s="7" t="str">
        <f ca="1">IFERROR(__xludf.DUMMYFUNCTION("""COMPUTED_VALUE"""),"https://static.redstone.rs/games/100-clover-fire/")</f>
        <v>https://static.redstone.rs/games/100-clover-fire/</v>
      </c>
      <c r="BE371" s="5" t="b">
        <f ca="1">IFERROR(__xludf.DUMMYFUNCTION("""COMPUTED_VALUE"""),TRUE)</f>
        <v>1</v>
      </c>
    </row>
    <row r="372" spans="1:57" x14ac:dyDescent="0.25">
      <c r="A372" s="5">
        <f ca="1">IFERROR(__xludf.DUMMYFUNCTION("""COMPUTED_VALUE"""),377)</f>
        <v>377</v>
      </c>
      <c r="B372" s="5">
        <f ca="1">IFERROR(__xludf.DUMMYFUNCTION("""COMPUTED_VALUE"""),355)</f>
        <v>355</v>
      </c>
      <c r="C372" s="5" t="str">
        <f ca="1">IFERROR(__xludf.DUMMYFUNCTION("""COMPUTED_VALUE"""),"Redstone")</f>
        <v>Redstone</v>
      </c>
      <c r="D372" s="5" t="str">
        <f ca="1">IFERROR(__xludf.DUMMYFUNCTION("""COMPUTED_VALUE"""),"Volcano Crown")</f>
        <v>Volcano Crown</v>
      </c>
      <c r="E372" s="5" t="str">
        <f ca="1">IFERROR(__xludf.DUMMYFUNCTION("""COMPUTED_VALUE"""),"Redstone")</f>
        <v>Redstone</v>
      </c>
      <c r="F372" s="5" t="str">
        <f ca="1">IFERROR(__xludf.DUMMYFUNCTION("""COMPUTED_VALUE"""),"RedstoneVolcanoCrown")</f>
        <v>RedstoneVolcanoCrown</v>
      </c>
      <c r="G372" s="5" t="str">
        <f ca="1">IFERROR(__xludf.DUMMYFUNCTION("""COMPUTED_VALUE"""),"Live")</f>
        <v>Live</v>
      </c>
      <c r="H372" s="5"/>
      <c r="I372" s="5" t="str">
        <f ca="1">IFERROR(__xludf.DUMMYFUNCTION("""COMPUTED_VALUE"""),"Redstone")</f>
        <v>Redstone</v>
      </c>
      <c r="J372" s="5" t="str">
        <f ca="1">IFERROR(__xludf.DUMMYFUNCTION("""COMPUTED_VALUE"""),"JSON")</f>
        <v>JSON</v>
      </c>
      <c r="K372" s="5" t="str">
        <f ca="1">IFERROR(__xludf.DUMMYFUNCTION("""COMPUTED_VALUE"""),"Slot")</f>
        <v>Slot</v>
      </c>
      <c r="L372" s="5" t="str">
        <f ca="1">IFERROR(__xludf.DUMMYFUNCTION("""COMPUTED_VALUE""")," Clone")</f>
        <v xml:space="preserve"> Clone</v>
      </c>
      <c r="M372" s="5" t="str">
        <f ca="1">IFERROR(__xludf.DUMMYFUNCTION("""COMPUTED_VALUE"""),"10 Wild Crown")</f>
        <v>10 Wild Crown</v>
      </c>
      <c r="N372" s="7" t="str">
        <f ca="1">IFERROR(__xludf.DUMMYFUNCTION("""COMPUTED_VALUE"""),"https://docs.google.com/document/d/1622RXsaCRk6kddwwmUtbQISmOIoVvd5e/edit?usp=drive_link&amp;ouid=107596163405648766688&amp;rtpof=true&amp;sd=true")</f>
        <v>https://docs.google.com/document/d/1622RXsaCRk6kddwwmUtbQISmOIoVvd5e/edit?usp=drive_link&amp;ouid=107596163405648766688&amp;rtpof=true&amp;sd=true</v>
      </c>
      <c r="O372" s="7" t="str">
        <f ca="1">IFERROR(__xludf.DUMMYFUNCTION("""COMPUTED_VALUE"""),"https://docs.google.com/document/d/1qsiqXRneZgmrDYvIQRnYXZ8s2fzskp4C/edit?usp=drive_link&amp;ouid=107596163405648766688&amp;rtpof=true&amp;sd=true")</f>
        <v>https://docs.google.com/document/d/1qsiqXRneZgmrDYvIQRnYXZ8s2fzskp4C/edit?usp=drive_link&amp;ouid=107596163405648766688&amp;rtpof=true&amp;sd=true</v>
      </c>
      <c r="P372" s="14">
        <f ca="1">IFERROR(__xludf.DUMMYFUNCTION("""COMPUTED_VALUE"""),7.5)</f>
        <v>7.5</v>
      </c>
      <c r="Q372" s="5"/>
      <c r="R372" s="5"/>
      <c r="S372" s="15">
        <f ca="1">IFERROR(__xludf.DUMMYFUNCTION("""COMPUTED_VALUE"""),45523)</f>
        <v>45523</v>
      </c>
      <c r="T372" s="5" t="b">
        <f ca="1">IFERROR(__xludf.DUMMYFUNCTION("""COMPUTED_VALUE"""),TRUE)</f>
        <v>1</v>
      </c>
      <c r="U372" s="5" t="str">
        <f ca="1">IFERROR(__xludf.DUMMYFUNCTION("""COMPUTED_VALUE"""),"5x3")</f>
        <v>5x3</v>
      </c>
      <c r="V372" s="5">
        <f ca="1">IFERROR(__xludf.DUMMYFUNCTION("""COMPUTED_VALUE"""),10)</f>
        <v>10</v>
      </c>
      <c r="W372" s="5">
        <f ca="1">IFERROR(__xludf.DUMMYFUNCTION("""COMPUTED_VALUE"""),10)</f>
        <v>10</v>
      </c>
      <c r="X372" s="13">
        <f ca="1">IFERROR(__xludf.DUMMYFUNCTION("""COMPUTED_VALUE"""),95.96)</f>
        <v>95.96</v>
      </c>
      <c r="Y372" s="5" t="str">
        <f ca="1">IFERROR(__xludf.DUMMYFUNCTION("""COMPUTED_VALUE"""),"Medium")</f>
        <v>Medium</v>
      </c>
      <c r="Z372" s="5">
        <f ca="1">IFERROR(__xludf.DUMMYFUNCTION("""COMPUTED_VALUE"""),14.63)</f>
        <v>14.63</v>
      </c>
      <c r="AA372" s="5">
        <f ca="1">IFERROR(__xludf.DUMMYFUNCTION("""COMPUTED_VALUE"""),1538)</f>
        <v>1538</v>
      </c>
      <c r="AB372" s="5"/>
      <c r="AC372" s="5" t="str">
        <f ca="1">IFERROR(__xludf.DUMMYFUNCTION("""COMPUTED_VALUE"""),"Expanding Wild, Scatter")</f>
        <v>Expanding Wild, Scatter</v>
      </c>
      <c r="AD372" s="5" t="str">
        <f ca="1">IFERROR(__xludf.DUMMYFUNCTION("""COMPUTED_VALUE"""),"0.10/40")</f>
        <v>0.10/40</v>
      </c>
      <c r="AE372" s="5"/>
      <c r="AF372" s="5"/>
      <c r="AG372" s="10">
        <f ca="1">IFERROR(__xludf.DUMMYFUNCTION("""COMPUTED_VALUE"""),46157.4901967592)</f>
        <v>46157.490196759201</v>
      </c>
      <c r="AH372" s="5"/>
      <c r="AI372" s="5"/>
      <c r="AJ372" s="5"/>
      <c r="AK372" s="5">
        <f ca="1">IFERROR(__xludf.DUMMYFUNCTION("""COMPUTED_VALUE"""),1)</f>
        <v>1</v>
      </c>
      <c r="AL372" s="5" t="str">
        <f ca="1">IFERROR(__xludf.DUMMYFUNCTION("""COMPUTED_VALUE"""),"No")</f>
        <v>No</v>
      </c>
      <c r="AM372" s="5" t="str">
        <f ca="1">IFERROR(__xludf.DUMMYFUNCTION("""COMPUTED_VALUE"""),"No")</f>
        <v>No</v>
      </c>
      <c r="AN372" s="7" t="str">
        <f ca="1">IFERROR(__xludf.DUMMYFUNCTION("""COMPUTED_VALUE"""),"https://static.redstone.rs/games/volcano-crown/")</f>
        <v>https://static.redstone.rs/games/volcano-crown/</v>
      </c>
      <c r="AO372" s="5" t="str">
        <f ca="1">IFERROR(__xludf.DUMMYFUNCTION("""COMPUTED_VALUE"""),"No")</f>
        <v>No</v>
      </c>
      <c r="AP372" s="5" t="str">
        <f ca="1">IFERROR(__xludf.DUMMYFUNCTION("""COMPUTED_VALUE"""),"No")</f>
        <v>No</v>
      </c>
      <c r="AQ372" s="5" t="b">
        <f ca="1">IFERROR(__xludf.DUMMYFUNCTION("""COMPUTED_VALUE"""),TRUE)</f>
        <v>1</v>
      </c>
      <c r="AR372" s="5"/>
      <c r="AS372" s="5" t="str">
        <f ca="1">IFERROR(__xludf.DUMMYFUNCTION("""COMPUTED_VALUE"""),"Feel the lava flow as you spin for regal rewards. Erupt with excitement and claim your Volcano Crown today!")</f>
        <v>Feel the lava flow as you spin for regal rewards. Erupt with excitement and claim your Volcano Crown today!</v>
      </c>
      <c r="AT372" s="5"/>
      <c r="AU372" s="5" t="str">
        <f ca="1">IFERROR(__xludf.DUMMYFUNCTION("""COMPUTED_VALUE"""),"Redstone")</f>
        <v>Redstone</v>
      </c>
      <c r="AV372" s="5"/>
      <c r="AW372" s="5"/>
      <c r="AX372" s="5"/>
      <c r="AY372" s="5"/>
      <c r="AZ372" s="5"/>
      <c r="BA372" s="5"/>
      <c r="BB372" s="5" t="b">
        <f ca="1">IFERROR(__xludf.DUMMYFUNCTION("""COMPUTED_VALUE"""),TRUE)</f>
        <v>1</v>
      </c>
      <c r="BC372" s="5" t="str">
        <f ca="1">IFERROR(__xludf.DUMMYFUNCTION("""COMPUTED_VALUE"""),"Redstone")</f>
        <v>Redstone</v>
      </c>
      <c r="BD372" s="7" t="str">
        <f ca="1">IFERROR(__xludf.DUMMYFUNCTION("""COMPUTED_VALUE"""),"https://static.redstone.rs/games/volcano-crown/")</f>
        <v>https://static.redstone.rs/games/volcano-crown/</v>
      </c>
      <c r="BE372" s="5" t="b">
        <f ca="1">IFERROR(__xludf.DUMMYFUNCTION("""COMPUTED_VALUE"""),TRUE)</f>
        <v>1</v>
      </c>
    </row>
    <row r="373" spans="1:57" x14ac:dyDescent="0.25">
      <c r="A373" s="5">
        <f ca="1">IFERROR(__xludf.DUMMYFUNCTION("""COMPUTED_VALUE"""),378)</f>
        <v>378</v>
      </c>
      <c r="B373" s="5">
        <f ca="1">IFERROR(__xludf.DUMMYFUNCTION("""COMPUTED_VALUE"""),356)</f>
        <v>356</v>
      </c>
      <c r="C373" s="5" t="str">
        <f ca="1">IFERROR(__xludf.DUMMYFUNCTION("""COMPUTED_VALUE"""),"Tiptop")</f>
        <v>Tiptop</v>
      </c>
      <c r="D373" s="5" t="str">
        <f ca="1">IFERROR(__xludf.DUMMYFUNCTION("""COMPUTED_VALUE"""),"Gold Line Dice")</f>
        <v>Gold Line Dice</v>
      </c>
      <c r="E373" s="5" t="str">
        <f ca="1">IFERROR(__xludf.DUMMYFUNCTION("""COMPUTED_VALUE"""),"V4-2")</f>
        <v>V4-2</v>
      </c>
      <c r="F373" s="5" t="str">
        <f ca="1">IFERROR(__xludf.DUMMYFUNCTION("""COMPUTED_VALUE"""),"UnicornGoldLineDice")</f>
        <v>UnicornGoldLineDice</v>
      </c>
      <c r="G373" s="5" t="str">
        <f ca="1">IFERROR(__xludf.DUMMYFUNCTION("""COMPUTED_VALUE"""),"Live")</f>
        <v>Live</v>
      </c>
      <c r="H373" s="5"/>
      <c r="I373" s="5" t="str">
        <f ca="1">IFERROR(__xludf.DUMMYFUNCTION("""COMPUTED_VALUE"""),"TipTop")</f>
        <v>TipTop</v>
      </c>
      <c r="J373" s="5" t="str">
        <f ca="1">IFERROR(__xludf.DUMMYFUNCTION("""COMPUTED_VALUE"""),"JSON")</f>
        <v>JSON</v>
      </c>
      <c r="K373" s="5" t="str">
        <f ca="1">IFERROR(__xludf.DUMMYFUNCTION("""COMPUTED_VALUE"""),"Dice Slots")</f>
        <v>Dice Slots</v>
      </c>
      <c r="L373" s="5"/>
      <c r="M373" s="5"/>
      <c r="N373" s="5"/>
      <c r="O373" s="5"/>
      <c r="P373" s="14">
        <f ca="1">IFERROR(__xludf.DUMMYFUNCTION("""COMPUTED_VALUE"""),12.9)</f>
        <v>12.9</v>
      </c>
      <c r="Q373" s="5"/>
      <c r="R373" s="5"/>
      <c r="S373" s="15">
        <f ca="1">IFERROR(__xludf.DUMMYFUNCTION("""COMPUTED_VALUE"""),45533)</f>
        <v>45533</v>
      </c>
      <c r="T373" s="5" t="b">
        <f ca="1">IFERROR(__xludf.DUMMYFUNCTION("""COMPUTED_VALUE"""),TRUE)</f>
        <v>1</v>
      </c>
      <c r="U373" s="5" t="str">
        <f ca="1">IFERROR(__xludf.DUMMYFUNCTION("""COMPUTED_VALUE"""),"5X3")</f>
        <v>5X3</v>
      </c>
      <c r="V373" s="5">
        <f ca="1">IFERROR(__xludf.DUMMYFUNCTION("""COMPUTED_VALUE"""),20)</f>
        <v>20</v>
      </c>
      <c r="W373" s="5" t="str">
        <f ca="1">IFERROR(__xludf.DUMMYFUNCTION("""COMPUTED_VALUE"""),"10+1 ")</f>
        <v xml:space="preserve">10+1 </v>
      </c>
      <c r="X373" s="13">
        <f ca="1">IFERROR(__xludf.DUMMYFUNCTION("""COMPUTED_VALUE"""),96)</f>
        <v>96</v>
      </c>
      <c r="Y373" s="5" t="str">
        <f ca="1">IFERROR(__xludf.DUMMYFUNCTION("""COMPUTED_VALUE"""),"Low")</f>
        <v>Low</v>
      </c>
      <c r="Z373" s="5">
        <f ca="1">IFERROR(__xludf.DUMMYFUNCTION("""COMPUTED_VALUE"""),17.39)</f>
        <v>17.39</v>
      </c>
      <c r="AA373" s="5">
        <f ca="1">IFERROR(__xludf.DUMMYFUNCTION("""COMPUTED_VALUE"""),10000)</f>
        <v>10000</v>
      </c>
      <c r="AB373" s="5"/>
      <c r="AC373" s="5"/>
      <c r="AD373" s="5" t="str">
        <f ca="1">IFERROR(__xludf.DUMMYFUNCTION("""COMPUTED_VALUE"""),"0.2/100")</f>
        <v>0.2/100</v>
      </c>
      <c r="AE373" s="5"/>
      <c r="AF373" s="5"/>
      <c r="AG373" s="10">
        <f ca="1">IFERROR(__xludf.DUMMYFUNCTION("""COMPUTED_VALUE"""),46197.4903819444)</f>
        <v>46197.490381944401</v>
      </c>
      <c r="AH373" s="5" t="str">
        <f ca="1">IFERROR(__xludf.DUMMYFUNCTION("""COMPUTED_VALUE"""),"selena.mihajlovic@fazi.rs")</f>
        <v>selena.mihajlovic@fazi.rs</v>
      </c>
      <c r="AI373" s="5"/>
      <c r="AJ373" s="5"/>
      <c r="AK373" s="5">
        <f ca="1">IFERROR(__xludf.DUMMYFUNCTION("""COMPUTED_VALUE"""),20)</f>
        <v>20</v>
      </c>
      <c r="AL373" s="5" t="str">
        <f ca="1">IFERROR(__xludf.DUMMYFUNCTION("""COMPUTED_VALUE"""),"No")</f>
        <v>No</v>
      </c>
      <c r="AM373" s="5"/>
      <c r="AN373" s="7" t="str">
        <f ca="1">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AO373" s="5"/>
      <c r="AP373" s="5"/>
      <c r="AQ373" s="5" t="b">
        <f ca="1">IFERROR(__xludf.DUMMYFUNCTION("""COMPUTED_VALUE"""),TRUE)</f>
        <v>1</v>
      </c>
      <c r="AR373" s="5"/>
      <c r="AS373" s="5" t="str">
        <f ca="1">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373" s="5"/>
      <c r="AU373" s="5" t="str">
        <f ca="1">IFERROR(__xludf.DUMMYFUNCTION("""COMPUTED_VALUE"""),"Fazi")</f>
        <v>Fazi</v>
      </c>
      <c r="AV373" s="5"/>
      <c r="AW373" s="5"/>
      <c r="AX373" s="5"/>
      <c r="AY373" s="5"/>
      <c r="AZ373" s="5"/>
      <c r="BA373" s="5"/>
      <c r="BB373" s="5" t="b">
        <f ca="1">IFERROR(__xludf.DUMMYFUNCTION("""COMPUTED_VALUE"""),TRUE)</f>
        <v>1</v>
      </c>
      <c r="BC373" s="5" t="str">
        <f ca="1">IFERROR(__xludf.DUMMYFUNCTION("""COMPUTED_VALUE"""),"Tiptop")</f>
        <v>Tiptop</v>
      </c>
      <c r="BD373" s="7" t="str">
        <f ca="1">IFERROR(__xludf.DUMMYFUNCTION("""COMPUTED_VALUE"""),"https://gameserver-store-client-area.orbionlimited.com/Home/IntegrationGameLaunch/client-area?moneyType=0&amp;gameName=UnicornGoldLineDice&amp;platform=desktop&amp;languageCode=eng&amp;currency=EUR")</f>
        <v>https://gameserver-store-client-area.orbionlimited.com/Home/IntegrationGameLaunch/client-area?moneyType=0&amp;gameName=UnicornGoldLineDice&amp;platform=desktop&amp;languageCode=eng&amp;currency=EUR</v>
      </c>
      <c r="BE373" s="5" t="b">
        <f ca="1">IFERROR(__xludf.DUMMYFUNCTION("""COMPUTED_VALUE"""),TRUE)</f>
        <v>1</v>
      </c>
    </row>
    <row r="374" spans="1:57" x14ac:dyDescent="0.25">
      <c r="A374" s="5">
        <f ca="1">IFERROR(__xludf.DUMMYFUNCTION("""COMPUTED_VALUE"""),379)</f>
        <v>379</v>
      </c>
      <c r="B374" s="5">
        <f ca="1">IFERROR(__xludf.DUMMYFUNCTION("""COMPUTED_VALUE"""),357)</f>
        <v>357</v>
      </c>
      <c r="C374" s="5" t="str">
        <f ca="1">IFERROR(__xludf.DUMMYFUNCTION("""COMPUTED_VALUE"""),"Tiptop")</f>
        <v>Tiptop</v>
      </c>
      <c r="D374" s="5" t="str">
        <f ca="1">IFERROR(__xludf.DUMMYFUNCTION("""COMPUTED_VALUE"""),"Lava Diamonds Christmas")</f>
        <v>Lava Diamonds Christmas</v>
      </c>
      <c r="E374" s="5" t="str">
        <f ca="1">IFERROR(__xludf.DUMMYFUNCTION("""COMPUTED_VALUE"""),"V4-2")</f>
        <v>V4-2</v>
      </c>
      <c r="F374" s="5" t="str">
        <f ca="1">IFERROR(__xludf.DUMMYFUNCTION("""COMPUTED_VALUE"""),"UnicornLavaDiamondsChristmas")</f>
        <v>UnicornLavaDiamondsChristmas</v>
      </c>
      <c r="G374" s="5" t="str">
        <f ca="1">IFERROR(__xludf.DUMMYFUNCTION("""COMPUTED_VALUE"""),"Live")</f>
        <v>Live</v>
      </c>
      <c r="H374" s="5"/>
      <c r="I374" s="5" t="str">
        <f ca="1">IFERROR(__xludf.DUMMYFUNCTION("""COMPUTED_VALUE"""),"TipTop")</f>
        <v>TipTop</v>
      </c>
      <c r="J374" s="5" t="str">
        <f ca="1">IFERROR(__xludf.DUMMYFUNCTION("""COMPUTED_VALUE"""),"JSON")</f>
        <v>JSON</v>
      </c>
      <c r="K374" s="5" t="str">
        <f ca="1">IFERROR(__xludf.DUMMYFUNCTION("""COMPUTED_VALUE"""),"Slot")</f>
        <v>Slot</v>
      </c>
      <c r="L374" s="5"/>
      <c r="M374" s="5"/>
      <c r="N374" s="5"/>
      <c r="O374" s="5"/>
      <c r="P374" s="14">
        <f ca="1">IFERROR(__xludf.DUMMYFUNCTION("""COMPUTED_VALUE"""),11.9)</f>
        <v>11.9</v>
      </c>
      <c r="Q374" s="5"/>
      <c r="R374" s="5"/>
      <c r="S374" s="15">
        <f ca="1">IFERROR(__xludf.DUMMYFUNCTION("""COMPUTED_VALUE"""),45588)</f>
        <v>45588</v>
      </c>
      <c r="T374" s="5" t="b">
        <f ca="1">IFERROR(__xludf.DUMMYFUNCTION("""COMPUTED_VALUE"""),TRUE)</f>
        <v>1</v>
      </c>
      <c r="U374" s="5" t="str">
        <f ca="1">IFERROR(__xludf.DUMMYFUNCTION("""COMPUTED_VALUE"""),"5X3")</f>
        <v>5X3</v>
      </c>
      <c r="V374" s="5">
        <f ca="1">IFERROR(__xludf.DUMMYFUNCTION("""COMPUTED_VALUE"""),10)</f>
        <v>10</v>
      </c>
      <c r="W374" s="5">
        <f ca="1">IFERROR(__xludf.DUMMYFUNCTION("""COMPUTED_VALUE"""),10)</f>
        <v>10</v>
      </c>
      <c r="X374" s="13">
        <f ca="1">IFERROR(__xludf.DUMMYFUNCTION("""COMPUTED_VALUE"""),96)</f>
        <v>96</v>
      </c>
      <c r="Y374" s="5" t="str">
        <f ca="1">IFERROR(__xludf.DUMMYFUNCTION("""COMPUTED_VALUE"""),"Low")</f>
        <v>Low</v>
      </c>
      <c r="Z374" s="5">
        <f ca="1">IFERROR(__xludf.DUMMYFUNCTION("""COMPUTED_VALUE"""),24.14)</f>
        <v>24.14</v>
      </c>
      <c r="AA374" s="5">
        <f ca="1">IFERROR(__xludf.DUMMYFUNCTION("""COMPUTED_VALUE"""),10000)</f>
        <v>10000</v>
      </c>
      <c r="AB374" s="5"/>
      <c r="AC374" s="5"/>
      <c r="AD374" s="5" t="str">
        <f ca="1">IFERROR(__xludf.DUMMYFUNCTION("""COMPUTED_VALUE"""),"0.1/100")</f>
        <v>0.1/100</v>
      </c>
      <c r="AE374" s="5"/>
      <c r="AF374" s="5"/>
      <c r="AG374" s="10">
        <f ca="1">IFERROR(__xludf.DUMMYFUNCTION("""COMPUTED_VALUE"""),46197.4906828703)</f>
        <v>46197.490682870302</v>
      </c>
      <c r="AH374" s="5" t="str">
        <f ca="1">IFERROR(__xludf.DUMMYFUNCTION("""COMPUTED_VALUE"""),"selena.mihajlovic@fazi.rs")</f>
        <v>selena.mihajlovic@fazi.rs</v>
      </c>
      <c r="AI374" s="5"/>
      <c r="AJ374" s="5"/>
      <c r="AK374" s="5">
        <f ca="1">IFERROR(__xludf.DUMMYFUNCTION("""COMPUTED_VALUE"""),10)</f>
        <v>10</v>
      </c>
      <c r="AL374" s="5" t="str">
        <f ca="1">IFERROR(__xludf.DUMMYFUNCTION("""COMPUTED_VALUE"""),"No")</f>
        <v>No</v>
      </c>
      <c r="AM374" s="5"/>
      <c r="AN374" s="7" t="str">
        <f ca="1">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AO374" s="5"/>
      <c r="AP374" s="5"/>
      <c r="AQ374" s="5" t="b">
        <f ca="1">IFERROR(__xludf.DUMMYFUNCTION("""COMPUTED_VALUE"""),TRUE)</f>
        <v>1</v>
      </c>
      <c r="AR374" s="5"/>
      <c r="AS374" s="5" t="str">
        <f ca="1">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AT374" s="5"/>
      <c r="AU374" s="5" t="str">
        <f ca="1">IFERROR(__xludf.DUMMYFUNCTION("""COMPUTED_VALUE"""),"Fazi")</f>
        <v>Fazi</v>
      </c>
      <c r="AV374" s="5"/>
      <c r="AW374" s="5"/>
      <c r="AX374" s="5"/>
      <c r="AY374" s="5"/>
      <c r="AZ374" s="5"/>
      <c r="BA374" s="5"/>
      <c r="BB374" s="5" t="b">
        <f ca="1">IFERROR(__xludf.DUMMYFUNCTION("""COMPUTED_VALUE"""),TRUE)</f>
        <v>1</v>
      </c>
      <c r="BC374" s="5" t="str">
        <f ca="1">IFERROR(__xludf.DUMMYFUNCTION("""COMPUTED_VALUE"""),"Tiptop")</f>
        <v>Tiptop</v>
      </c>
      <c r="BD374" s="7" t="str">
        <f ca="1">IFERROR(__xludf.DUMMYFUNCTION("""COMPUTED_VALUE"""),"https://gameserver-store-client-area.orbionlimited.com/Home/IntegrationGameLaunch/client-area?moneyType=0&amp;gameName=UnicornLavaDiamondsChristmas&amp;platform=desktop&amp;languageCode=eng&amp;currency=EUR")</f>
        <v>https://gameserver-store-client-area.orbionlimited.com/Home/IntegrationGameLaunch/client-area?moneyType=0&amp;gameName=UnicornLavaDiamondsChristmas&amp;platform=desktop&amp;languageCode=eng&amp;currency=EUR</v>
      </c>
      <c r="BE374" s="5" t="b">
        <f ca="1">IFERROR(__xludf.DUMMYFUNCTION("""COMPUTED_VALUE"""),TRUE)</f>
        <v>1</v>
      </c>
    </row>
    <row r="375" spans="1:57" x14ac:dyDescent="0.25">
      <c r="A375" s="5">
        <f ca="1">IFERROR(__xludf.DUMMYFUNCTION("""COMPUTED_VALUE"""),380)</f>
        <v>380</v>
      </c>
      <c r="B375" s="5">
        <f ca="1">IFERROR(__xludf.DUMMYFUNCTION("""COMPUTED_VALUE"""),358)</f>
        <v>358</v>
      </c>
      <c r="C375" s="5" t="str">
        <f ca="1">IFERROR(__xludf.DUMMYFUNCTION("""COMPUTED_VALUE"""),"Tiptop")</f>
        <v>Tiptop</v>
      </c>
      <c r="D375" s="5" t="str">
        <f ca="1">IFERROR(__xludf.DUMMYFUNCTION("""COMPUTED_VALUE"""),"Pumpkin Horror")</f>
        <v>Pumpkin Horror</v>
      </c>
      <c r="E375" s="5" t="str">
        <f ca="1">IFERROR(__xludf.DUMMYFUNCTION("""COMPUTED_VALUE"""),"V4-2")</f>
        <v>V4-2</v>
      </c>
      <c r="F375" s="5" t="str">
        <f ca="1">IFERROR(__xludf.DUMMYFUNCTION("""COMPUTED_VALUE"""),"UnicornPumpkinHorror")</f>
        <v>UnicornPumpkinHorror</v>
      </c>
      <c r="G375" s="5" t="str">
        <f ca="1">IFERROR(__xludf.DUMMYFUNCTION("""COMPUTED_VALUE"""),"Live")</f>
        <v>Live</v>
      </c>
      <c r="H375" s="5"/>
      <c r="I375" s="5" t="str">
        <f ca="1">IFERROR(__xludf.DUMMYFUNCTION("""COMPUTED_VALUE"""),"TipTop")</f>
        <v>TipTop</v>
      </c>
      <c r="J375" s="5" t="str">
        <f ca="1">IFERROR(__xludf.DUMMYFUNCTION("""COMPUTED_VALUE"""),"JSON")</f>
        <v>JSON</v>
      </c>
      <c r="K375" s="5" t="str">
        <f ca="1">IFERROR(__xludf.DUMMYFUNCTION("""COMPUTED_VALUE"""),"Slot")</f>
        <v>Slot</v>
      </c>
      <c r="L375" s="5"/>
      <c r="M375" s="5"/>
      <c r="N375" s="5"/>
      <c r="O375" s="5"/>
      <c r="P375" s="14">
        <f ca="1">IFERROR(__xludf.DUMMYFUNCTION("""COMPUTED_VALUE"""),12.6)</f>
        <v>12.6</v>
      </c>
      <c r="Q375" s="5"/>
      <c r="R375" s="5"/>
      <c r="S375" s="15">
        <f ca="1">IFERROR(__xludf.DUMMYFUNCTION("""COMPUTED_VALUE"""),45576)</f>
        <v>45576</v>
      </c>
      <c r="T375" s="5" t="b">
        <f ca="1">IFERROR(__xludf.DUMMYFUNCTION("""COMPUTED_VALUE"""),TRUE)</f>
        <v>1</v>
      </c>
      <c r="U375" s="5" t="str">
        <f ca="1">IFERROR(__xludf.DUMMYFUNCTION("""COMPUTED_VALUE"""),"5X3")</f>
        <v>5X3</v>
      </c>
      <c r="V375" s="5">
        <f ca="1">IFERROR(__xludf.DUMMYFUNCTION("""COMPUTED_VALUE"""),10)</f>
        <v>10</v>
      </c>
      <c r="W375" s="5">
        <f ca="1">IFERROR(__xludf.DUMMYFUNCTION("""COMPUTED_VALUE"""),10)</f>
        <v>10</v>
      </c>
      <c r="X375" s="13">
        <f ca="1">IFERROR(__xludf.DUMMYFUNCTION("""COMPUTED_VALUE"""),96)</f>
        <v>96</v>
      </c>
      <c r="Y375" s="5" t="str">
        <f ca="1">IFERROR(__xludf.DUMMYFUNCTION("""COMPUTED_VALUE"""),"Medium")</f>
        <v>Medium</v>
      </c>
      <c r="Z375" s="5">
        <f ca="1">IFERROR(__xludf.DUMMYFUNCTION("""COMPUTED_VALUE"""),23.31)</f>
        <v>23.31</v>
      </c>
      <c r="AA375" s="5">
        <f ca="1">IFERROR(__xludf.DUMMYFUNCTION("""COMPUTED_VALUE"""),10000)</f>
        <v>10000</v>
      </c>
      <c r="AB375" s="5"/>
      <c r="AC375" s="5"/>
      <c r="AD375" s="5" t="str">
        <f ca="1">IFERROR(__xludf.DUMMYFUNCTION("""COMPUTED_VALUE"""),"0.1/100")</f>
        <v>0.1/100</v>
      </c>
      <c r="AE375" s="5"/>
      <c r="AF375" s="5"/>
      <c r="AG375" s="10">
        <f ca="1">IFERROR(__xludf.DUMMYFUNCTION("""COMPUTED_VALUE"""),46197.490949074)</f>
        <v>46197.490949074003</v>
      </c>
      <c r="AH375" s="5" t="str">
        <f ca="1">IFERROR(__xludf.DUMMYFUNCTION("""COMPUTED_VALUE"""),"selena.mihajlovic@fazi.rs")</f>
        <v>selena.mihajlovic@fazi.rs</v>
      </c>
      <c r="AI375" s="5"/>
      <c r="AJ375" s="5"/>
      <c r="AK375" s="5">
        <f ca="1">IFERROR(__xludf.DUMMYFUNCTION("""COMPUTED_VALUE"""),10)</f>
        <v>10</v>
      </c>
      <c r="AL375" s="5" t="str">
        <f ca="1">IFERROR(__xludf.DUMMYFUNCTION("""COMPUTED_VALUE"""),"No")</f>
        <v>No</v>
      </c>
      <c r="AM375" s="5"/>
      <c r="AN375" s="7" t="str">
        <f ca="1">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AO375" s="5"/>
      <c r="AP375" s="5"/>
      <c r="AQ375" s="5" t="b">
        <f ca="1">IFERROR(__xludf.DUMMYFUNCTION("""COMPUTED_VALUE"""),TRUE)</f>
        <v>1</v>
      </c>
      <c r="AR375" s="5"/>
      <c r="AS375" s="5" t="str">
        <f ca="1">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AT375" s="5"/>
      <c r="AU375" s="5" t="str">
        <f ca="1">IFERROR(__xludf.DUMMYFUNCTION("""COMPUTED_VALUE"""),"Fazi")</f>
        <v>Fazi</v>
      </c>
      <c r="AV375" s="5"/>
      <c r="AW375" s="5"/>
      <c r="AX375" s="5"/>
      <c r="AY375" s="5"/>
      <c r="AZ375" s="5"/>
      <c r="BA375" s="5"/>
      <c r="BB375" s="5" t="b">
        <f ca="1">IFERROR(__xludf.DUMMYFUNCTION("""COMPUTED_VALUE"""),TRUE)</f>
        <v>1</v>
      </c>
      <c r="BC375" s="5" t="str">
        <f ca="1">IFERROR(__xludf.DUMMYFUNCTION("""COMPUTED_VALUE"""),"Tiptop")</f>
        <v>Tiptop</v>
      </c>
      <c r="BD375" s="7" t="str">
        <f ca="1">IFERROR(__xludf.DUMMYFUNCTION("""COMPUTED_VALUE"""),"https://gameserver-store-client-area.orbionlimited.com/Home/IntegrationGameLaunch/client-area?moneyType=0&amp;gameName=UnicornPumpkinHorror&amp;platform=desktop&amp;languageCode=eng&amp;currency=EUR")</f>
        <v>https://gameserver-store-client-area.orbionlimited.com/Home/IntegrationGameLaunch/client-area?moneyType=0&amp;gameName=UnicornPumpkinHorror&amp;platform=desktop&amp;languageCode=eng&amp;currency=EUR</v>
      </c>
      <c r="BE375" s="5" t="b">
        <f ca="1">IFERROR(__xludf.DUMMYFUNCTION("""COMPUTED_VALUE"""),TRUE)</f>
        <v>1</v>
      </c>
    </row>
    <row r="376" spans="1:57" x14ac:dyDescent="0.25">
      <c r="A376" s="5">
        <f ca="1">IFERROR(__xludf.DUMMYFUNCTION("""COMPUTED_VALUE"""),381)</f>
        <v>381</v>
      </c>
      <c r="B376" s="5">
        <f ca="1">IFERROR(__xludf.DUMMYFUNCTION("""COMPUTED_VALUE"""),359)</f>
        <v>359</v>
      </c>
      <c r="C376" s="5" t="str">
        <f ca="1">IFERROR(__xludf.DUMMYFUNCTION("""COMPUTED_VALUE"""),"Playnet")</f>
        <v>Playnet</v>
      </c>
      <c r="D376" s="5" t="str">
        <f ca="1">IFERROR(__xludf.DUMMYFUNCTION("""COMPUTED_VALUE"""),"Majestic Crown 20")</f>
        <v>Majestic Crown 20</v>
      </c>
      <c r="E376" s="5" t="str">
        <f ca="1">IFERROR(__xludf.DUMMYFUNCTION("""COMPUTED_VALUE"""),"V4-2")</f>
        <v>V4-2</v>
      </c>
      <c r="F376" s="5" t="str">
        <f ca="1">IFERROR(__xludf.DUMMYFUNCTION("""COMPUTED_VALUE"""),"PlayNetMajesticCrown20")</f>
        <v>PlayNetMajesticCrown20</v>
      </c>
      <c r="G376" s="5" t="str">
        <f ca="1">IFERROR(__xludf.DUMMYFUNCTION("""COMPUTED_VALUE"""),"Live")</f>
        <v>Live</v>
      </c>
      <c r="H376" s="5"/>
      <c r="I376" s="5"/>
      <c r="J376" s="5" t="str">
        <f ca="1">IFERROR(__xludf.DUMMYFUNCTION("""COMPUTED_VALUE"""),"JSON")</f>
        <v>JSON</v>
      </c>
      <c r="K376" s="5" t="str">
        <f ca="1">IFERROR(__xludf.DUMMYFUNCTION("""COMPUTED_VALUE"""),"Slot")</f>
        <v>Slot</v>
      </c>
      <c r="L376" s="5"/>
      <c r="M376" s="5"/>
      <c r="N376" s="5"/>
      <c r="O376" s="5"/>
      <c r="P376" s="14">
        <f ca="1">IFERROR(__xludf.DUMMYFUNCTION("""COMPUTED_VALUE"""),7)</f>
        <v>7</v>
      </c>
      <c r="Q376" s="5"/>
      <c r="R376" s="5"/>
      <c r="S376" s="15">
        <f ca="1">IFERROR(__xludf.DUMMYFUNCTION("""COMPUTED_VALUE"""),45520)</f>
        <v>45520</v>
      </c>
      <c r="T376" s="5" t="b">
        <f ca="1">IFERROR(__xludf.DUMMYFUNCTION("""COMPUTED_VALUE"""),TRUE)</f>
        <v>1</v>
      </c>
      <c r="U376" s="5" t="str">
        <f ca="1">IFERROR(__xludf.DUMMYFUNCTION("""COMPUTED_VALUE"""),"5x3")</f>
        <v>5x3</v>
      </c>
      <c r="V376" s="5">
        <f ca="1">IFERROR(__xludf.DUMMYFUNCTION("""COMPUTED_VALUE"""),20)</f>
        <v>20</v>
      </c>
      <c r="W376" s="5">
        <f ca="1">IFERROR(__xludf.DUMMYFUNCTION("""COMPUTED_VALUE"""),20)</f>
        <v>20</v>
      </c>
      <c r="X376" s="13">
        <f ca="1">IFERROR(__xludf.DUMMYFUNCTION("""COMPUTED_VALUE"""),96.5)</f>
        <v>96.5</v>
      </c>
      <c r="Y376" s="5" t="str">
        <f ca="1">IFERROR(__xludf.DUMMYFUNCTION("""COMPUTED_VALUE"""),"Medium")</f>
        <v>Medium</v>
      </c>
      <c r="Z376" s="5">
        <f ca="1">IFERROR(__xludf.DUMMYFUNCTION("""COMPUTED_VALUE"""),21.75)</f>
        <v>21.75</v>
      </c>
      <c r="AA376" s="5">
        <f ca="1">IFERROR(__xludf.DUMMYFUNCTION("""COMPUTED_VALUE"""),1200)</f>
        <v>1200</v>
      </c>
      <c r="AB376" s="5"/>
      <c r="AC376" s="5" t="str">
        <f ca="1">IFERROR(__xludf.DUMMYFUNCTION("""COMPUTED_VALUE"""),"Scatter, Expanding Wild")</f>
        <v>Scatter, Expanding Wild</v>
      </c>
      <c r="AD376" s="5" t="str">
        <f ca="1">IFERROR(__xludf.DUMMYFUNCTION("""COMPUTED_VALUE"""),"0.20/100")</f>
        <v>0.20/100</v>
      </c>
      <c r="AE376" s="5"/>
      <c r="AF376" s="5"/>
      <c r="AG376" s="10">
        <f ca="1">IFERROR(__xludf.DUMMYFUNCTION("""COMPUTED_VALUE"""),46220.4995023148)</f>
        <v>46220.4995023148</v>
      </c>
      <c r="AH376" s="5" t="str">
        <f ca="1">IFERROR(__xludf.DUMMYFUNCTION("""COMPUTED_VALUE"""),"selena.mihajlovic@fazi.rs")</f>
        <v>selena.mihajlovic@fazi.rs</v>
      </c>
      <c r="AI376" s="5"/>
      <c r="AJ376" s="5"/>
      <c r="AK376" s="5" t="str">
        <f ca="1">IFERROR(__xludf.DUMMYFUNCTION("""COMPUTED_VALUE"""),"NULL")</f>
        <v>NULL</v>
      </c>
      <c r="AL376" s="5" t="str">
        <f ca="1">IFERROR(__xludf.DUMMYFUNCTION("""COMPUTED_VALUE"""),"No")</f>
        <v>No</v>
      </c>
      <c r="AM376" s="5" t="str">
        <f ca="1">IFERROR(__xludf.DUMMYFUNCTION("""COMPUTED_VALUE"""),"No")</f>
        <v>No</v>
      </c>
      <c r="AN376" s="7" t="str">
        <f ca="1">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AO376" s="5" t="str">
        <f ca="1">IFERROR(__xludf.DUMMYFUNCTION("""COMPUTED_VALUE"""),"No")</f>
        <v>No</v>
      </c>
      <c r="AP376" s="5" t="str">
        <f ca="1">IFERROR(__xludf.DUMMYFUNCTION("""COMPUTED_VALUE"""),"No")</f>
        <v>No</v>
      </c>
      <c r="AQ376" s="5" t="b">
        <f ca="1">IFERROR(__xludf.DUMMYFUNCTION("""COMPUTED_VALUE"""),TRUE)</f>
        <v>1</v>
      </c>
      <c r="AR376" s="5"/>
      <c r="AS376" s="5" t="str">
        <f ca="1">IFERROR(__xludf.DUMMYFUNCTION("""COMPUTED_VALUE"""),"Step into royalty with Majestic Crown 20! Spin the reels and reign over 20 majestic ways to win!")</f>
        <v>Step into royalty with Majestic Crown 20! Spin the reels and reign over 20 majestic ways to win!</v>
      </c>
      <c r="AT376" s="5"/>
      <c r="AU376" s="5" t="str">
        <f ca="1">IFERROR(__xludf.DUMMYFUNCTION("""COMPUTED_VALUE"""),"Fazi")</f>
        <v>Fazi</v>
      </c>
      <c r="AV376" s="5"/>
      <c r="AW376" s="5"/>
      <c r="AX376" s="5"/>
      <c r="AY376" s="5"/>
      <c r="AZ376" s="5"/>
      <c r="BA376" s="5"/>
      <c r="BB376" s="5" t="b">
        <f ca="1">IFERROR(__xludf.DUMMYFUNCTION("""COMPUTED_VALUE"""),TRUE)</f>
        <v>1</v>
      </c>
      <c r="BC376" s="5" t="str">
        <f ca="1">IFERROR(__xludf.DUMMYFUNCTION("""COMPUTED_VALUE"""),"Playnet")</f>
        <v>Playnet</v>
      </c>
      <c r="BD376" s="7" t="str">
        <f ca="1">IFERROR(__xludf.DUMMYFUNCTION("""COMPUTED_VALUE"""),"https://gameserver-store-client-area.orbionlimited.com/Home/IntegrationGameLaunch/client-area?moneyType=0&amp;gameName=PlayNetMajesticCrown20&amp;platform=desktop&amp;languageCode=eng&amp;currency=EUR")</f>
        <v>https://gameserver-store-client-area.orbionlimited.com/Home/IntegrationGameLaunch/client-area?moneyType=0&amp;gameName=PlayNetMajesticCrown20&amp;platform=desktop&amp;languageCode=eng&amp;currency=EUR</v>
      </c>
      <c r="BE376" s="5" t="b">
        <f ca="1">IFERROR(__xludf.DUMMYFUNCTION("""COMPUTED_VALUE"""),TRUE)</f>
        <v>1</v>
      </c>
    </row>
    <row r="377" spans="1:57" x14ac:dyDescent="0.25">
      <c r="A377" s="5">
        <f ca="1">IFERROR(__xludf.DUMMYFUNCTION("""COMPUTED_VALUE"""),382)</f>
        <v>382</v>
      </c>
      <c r="B377" s="5">
        <f ca="1">IFERROR(__xludf.DUMMYFUNCTION("""COMPUTED_VALUE"""),360)</f>
        <v>360</v>
      </c>
      <c r="C377" s="5" t="str">
        <f ca="1">IFERROR(__xludf.DUMMYFUNCTION("""COMPUTED_VALUE"""),"Playnet")</f>
        <v>Playnet</v>
      </c>
      <c r="D377" s="5" t="str">
        <f ca="1">IFERROR(__xludf.DUMMYFUNCTION("""COMPUTED_VALUE"""),"Diamond Heart 40")</f>
        <v>Diamond Heart 40</v>
      </c>
      <c r="E377" s="5" t="str">
        <f ca="1">IFERROR(__xludf.DUMMYFUNCTION("""COMPUTED_VALUE"""),"V4-2")</f>
        <v>V4-2</v>
      </c>
      <c r="F377" s="5" t="str">
        <f ca="1">IFERROR(__xludf.DUMMYFUNCTION("""COMPUTED_VALUE"""),"PlayNetDiamondHeart40")</f>
        <v>PlayNetDiamondHeart40</v>
      </c>
      <c r="G377" s="5" t="str">
        <f ca="1">IFERROR(__xludf.DUMMYFUNCTION("""COMPUTED_VALUE"""),"Live")</f>
        <v>Live</v>
      </c>
      <c r="H377" s="5"/>
      <c r="I377" s="5"/>
      <c r="J377" s="5" t="str">
        <f ca="1">IFERROR(__xludf.DUMMYFUNCTION("""COMPUTED_VALUE"""),"JSON")</f>
        <v>JSON</v>
      </c>
      <c r="K377" s="5" t="str">
        <f ca="1">IFERROR(__xludf.DUMMYFUNCTION("""COMPUTED_VALUE"""),"Slot")</f>
        <v>Slot</v>
      </c>
      <c r="L377" s="5"/>
      <c r="M377" s="5"/>
      <c r="N377" s="5"/>
      <c r="O377" s="5"/>
      <c r="P377" s="14">
        <f ca="1">IFERROR(__xludf.DUMMYFUNCTION("""COMPUTED_VALUE"""),7)</f>
        <v>7</v>
      </c>
      <c r="Q377" s="5"/>
      <c r="R377" s="5"/>
      <c r="S377" s="15">
        <f ca="1">IFERROR(__xludf.DUMMYFUNCTION("""COMPUTED_VALUE"""),45530)</f>
        <v>45530</v>
      </c>
      <c r="T377" s="5" t="b">
        <f ca="1">IFERROR(__xludf.DUMMYFUNCTION("""COMPUTED_VALUE"""),TRUE)</f>
        <v>1</v>
      </c>
      <c r="U377" s="5" t="str">
        <f ca="1">IFERROR(__xludf.DUMMYFUNCTION("""COMPUTED_VALUE"""),"5x3")</f>
        <v>5x3</v>
      </c>
      <c r="V377" s="5">
        <f ca="1">IFERROR(__xludf.DUMMYFUNCTION("""COMPUTED_VALUE"""),40)</f>
        <v>40</v>
      </c>
      <c r="W377" s="5">
        <f ca="1">IFERROR(__xludf.DUMMYFUNCTION("""COMPUTED_VALUE"""),40)</f>
        <v>40</v>
      </c>
      <c r="X377" s="13">
        <f ca="1">IFERROR(__xludf.DUMMYFUNCTION("""COMPUTED_VALUE"""),96.53)</f>
        <v>96.53</v>
      </c>
      <c r="Y377" s="5" t="str">
        <f ca="1">IFERROR(__xludf.DUMMYFUNCTION("""COMPUTED_VALUE"""),"Low")</f>
        <v>Low</v>
      </c>
      <c r="Z377" s="5">
        <f ca="1">IFERROR(__xludf.DUMMYFUNCTION("""COMPUTED_VALUE"""),23.337)</f>
        <v>23.337</v>
      </c>
      <c r="AA377" s="5">
        <f ca="1">IFERROR(__xludf.DUMMYFUNCTION("""COMPUTED_VALUE"""),876.75)</f>
        <v>876.75</v>
      </c>
      <c r="AB377" s="5"/>
      <c r="AC377" s="5" t="str">
        <f ca="1">IFERROR(__xludf.DUMMYFUNCTION("""COMPUTED_VALUE"""),"Scatter, Expanding Wild")</f>
        <v>Scatter, Expanding Wild</v>
      </c>
      <c r="AD377" s="5" t="str">
        <f ca="1">IFERROR(__xludf.DUMMYFUNCTION("""COMPUTED_VALUE"""),"0.40/60")</f>
        <v>0.40/60</v>
      </c>
      <c r="AE377" s="5"/>
      <c r="AF377" s="5"/>
      <c r="AG377" s="10">
        <f ca="1">IFERROR(__xludf.DUMMYFUNCTION("""COMPUTED_VALUE"""),46220.4996643518)</f>
        <v>46220.499664351802</v>
      </c>
      <c r="AH377" s="5" t="str">
        <f ca="1">IFERROR(__xludf.DUMMYFUNCTION("""COMPUTED_VALUE"""),"selena.mihajlovic@fazi.rs")</f>
        <v>selena.mihajlovic@fazi.rs</v>
      </c>
      <c r="AI377" s="5"/>
      <c r="AJ377" s="5"/>
      <c r="AK377" s="5" t="str">
        <f ca="1">IFERROR(__xludf.DUMMYFUNCTION("""COMPUTED_VALUE"""),"NULL")</f>
        <v>NULL</v>
      </c>
      <c r="AL377" s="5" t="str">
        <f ca="1">IFERROR(__xludf.DUMMYFUNCTION("""COMPUTED_VALUE"""),"No")</f>
        <v>No</v>
      </c>
      <c r="AM377" s="5" t="str">
        <f ca="1">IFERROR(__xludf.DUMMYFUNCTION("""COMPUTED_VALUE"""),"No")</f>
        <v>No</v>
      </c>
      <c r="AN377" s="7" t="str">
        <f ca="1">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AO377" s="5" t="str">
        <f ca="1">IFERROR(__xludf.DUMMYFUNCTION("""COMPUTED_VALUE"""),"No")</f>
        <v>No</v>
      </c>
      <c r="AP377" s="5" t="str">
        <f ca="1">IFERROR(__xludf.DUMMYFUNCTION("""COMPUTED_VALUE"""),"No")</f>
        <v>No</v>
      </c>
      <c r="AQ377" s="5" t="b">
        <f ca="1">IFERROR(__xludf.DUMMYFUNCTION("""COMPUTED_VALUE"""),TRUE)</f>
        <v>1</v>
      </c>
      <c r="AR377" s="5"/>
      <c r="AS377" s="5" t="str">
        <f ca="1">IFERROR(__xludf.DUMMYFUNCTION("""COMPUTED_VALUE"""),"Let your heart shine with every spin! Spin the reels and discover 40 ways to win!")</f>
        <v>Let your heart shine with every spin! Spin the reels and discover 40 ways to win!</v>
      </c>
      <c r="AT377" s="5"/>
      <c r="AU377" s="5" t="str">
        <f ca="1">IFERROR(__xludf.DUMMYFUNCTION("""COMPUTED_VALUE"""),"Fazi")</f>
        <v>Fazi</v>
      </c>
      <c r="AV377" s="5"/>
      <c r="AW377" s="5"/>
      <c r="AX377" s="5"/>
      <c r="AY377" s="5"/>
      <c r="AZ377" s="5"/>
      <c r="BA377" s="5"/>
      <c r="BB377" s="5" t="b">
        <f ca="1">IFERROR(__xludf.DUMMYFUNCTION("""COMPUTED_VALUE"""),TRUE)</f>
        <v>1</v>
      </c>
      <c r="BC377" s="5" t="str">
        <f ca="1">IFERROR(__xludf.DUMMYFUNCTION("""COMPUTED_VALUE"""),"Playnet")</f>
        <v>Playnet</v>
      </c>
      <c r="BD377" s="7" t="str">
        <f ca="1">IFERROR(__xludf.DUMMYFUNCTION("""COMPUTED_VALUE"""),"https://gameserver-store-client-area.orbionlimited.com/Home/IntegrationGameLaunch/client-area?moneyType=0&amp;gameName=PlayNetDiamondHeart40&amp;platform=desktop&amp;languageCode=eng&amp;currency=EUR")</f>
        <v>https://gameserver-store-client-area.orbionlimited.com/Home/IntegrationGameLaunch/client-area?moneyType=0&amp;gameName=PlayNetDiamondHeart40&amp;platform=desktop&amp;languageCode=eng&amp;currency=EUR</v>
      </c>
      <c r="BE377" s="5" t="b">
        <f ca="1">IFERROR(__xludf.DUMMYFUNCTION("""COMPUTED_VALUE"""),TRUE)</f>
        <v>1</v>
      </c>
    </row>
    <row r="378" spans="1:57" x14ac:dyDescent="0.25">
      <c r="A378" s="5">
        <f ca="1">IFERROR(__xludf.DUMMYFUNCTION("""COMPUTED_VALUE"""),383)</f>
        <v>383</v>
      </c>
      <c r="B378" s="5">
        <f ca="1">IFERROR(__xludf.DUMMYFUNCTION("""COMPUTED_VALUE"""),361)</f>
        <v>361</v>
      </c>
      <c r="C378" s="5" t="str">
        <f ca="1">IFERROR(__xludf.DUMMYFUNCTION("""COMPUTED_VALUE"""),"Tiptop")</f>
        <v>Tiptop</v>
      </c>
      <c r="D378" s="5" t="str">
        <f ca="1">IFERROR(__xludf.DUMMYFUNCTION("""COMPUTED_VALUE"""),"Hit Line")</f>
        <v>Hit Line</v>
      </c>
      <c r="E378" s="5" t="str">
        <f ca="1">IFERROR(__xludf.DUMMYFUNCTION("""COMPUTED_VALUE"""),"V4-2")</f>
        <v>V4-2</v>
      </c>
      <c r="F378" s="5" t="str">
        <f ca="1">IFERROR(__xludf.DUMMYFUNCTION("""COMPUTED_VALUE"""),"UnicornHitLine")</f>
        <v>UnicornHitLine</v>
      </c>
      <c r="G378" s="5" t="str">
        <f ca="1">IFERROR(__xludf.DUMMYFUNCTION("""COMPUTED_VALUE"""),"Live")</f>
        <v>Live</v>
      </c>
      <c r="H378" s="5"/>
      <c r="I378" s="5" t="str">
        <f ca="1">IFERROR(__xludf.DUMMYFUNCTION("""COMPUTED_VALUE"""),"TipTop")</f>
        <v>TipTop</v>
      </c>
      <c r="J378" s="5" t="str">
        <f ca="1">IFERROR(__xludf.DUMMYFUNCTION("""COMPUTED_VALUE"""),"JSON")</f>
        <v>JSON</v>
      </c>
      <c r="K378" s="5" t="str">
        <f ca="1">IFERROR(__xludf.DUMMYFUNCTION("""COMPUTED_VALUE"""),"Slot")</f>
        <v>Slot</v>
      </c>
      <c r="L378" s="5"/>
      <c r="M378" s="5"/>
      <c r="N378" s="5"/>
      <c r="O378" s="5"/>
      <c r="P378" s="14">
        <f ca="1">IFERROR(__xludf.DUMMYFUNCTION("""COMPUTED_VALUE"""),13.3)</f>
        <v>13.3</v>
      </c>
      <c r="Q378" s="5"/>
      <c r="R378" s="5"/>
      <c r="S378" s="15">
        <f ca="1">IFERROR(__xludf.DUMMYFUNCTION("""COMPUTED_VALUE"""),45547)</f>
        <v>45547</v>
      </c>
      <c r="T378" s="5" t="b">
        <f ca="1">IFERROR(__xludf.DUMMYFUNCTION("""COMPUTED_VALUE"""),TRUE)</f>
        <v>1</v>
      </c>
      <c r="U378" s="5" t="str">
        <f ca="1">IFERROR(__xludf.DUMMYFUNCTION("""COMPUTED_VALUE"""),"5X3")</f>
        <v>5X3</v>
      </c>
      <c r="V378" s="5">
        <f ca="1">IFERROR(__xludf.DUMMYFUNCTION("""COMPUTED_VALUE"""),10)</f>
        <v>10</v>
      </c>
      <c r="W378" s="5">
        <f ca="1">IFERROR(__xludf.DUMMYFUNCTION("""COMPUTED_VALUE"""),10)</f>
        <v>10</v>
      </c>
      <c r="X378" s="13">
        <f ca="1">IFERROR(__xludf.DUMMYFUNCTION("""COMPUTED_VALUE"""),96)</f>
        <v>96</v>
      </c>
      <c r="Y378" s="5" t="str">
        <f ca="1">IFERROR(__xludf.DUMMYFUNCTION("""COMPUTED_VALUE"""),"Low")</f>
        <v>Low</v>
      </c>
      <c r="Z378" s="5">
        <f ca="1">IFERROR(__xludf.DUMMYFUNCTION("""COMPUTED_VALUE"""),10.88)</f>
        <v>10.88</v>
      </c>
      <c r="AA378" s="5">
        <f ca="1">IFERROR(__xludf.DUMMYFUNCTION("""COMPUTED_VALUE"""),8000)</f>
        <v>8000</v>
      </c>
      <c r="AB378" s="5"/>
      <c r="AC378" s="5"/>
      <c r="AD378" s="5" t="str">
        <f ca="1">IFERROR(__xludf.DUMMYFUNCTION("""COMPUTED_VALUE"""),"0.1/100")</f>
        <v>0.1/100</v>
      </c>
      <c r="AE378" s="5"/>
      <c r="AF378" s="5"/>
      <c r="AG378" s="10">
        <f ca="1">IFERROR(__xludf.DUMMYFUNCTION("""COMPUTED_VALUE"""),46197.4911458333)</f>
        <v>46197.491145833301</v>
      </c>
      <c r="AH378" s="5" t="str">
        <f ca="1">IFERROR(__xludf.DUMMYFUNCTION("""COMPUTED_VALUE"""),"selena.mihajlovic@fazi.rs")</f>
        <v>selena.mihajlovic@fazi.rs</v>
      </c>
      <c r="AI378" s="5"/>
      <c r="AJ378" s="5"/>
      <c r="AK378" s="5">
        <f ca="1">IFERROR(__xludf.DUMMYFUNCTION("""COMPUTED_VALUE"""),10)</f>
        <v>10</v>
      </c>
      <c r="AL378" s="5" t="str">
        <f ca="1">IFERROR(__xludf.DUMMYFUNCTION("""COMPUTED_VALUE"""),"No")</f>
        <v>No</v>
      </c>
      <c r="AM378" s="5"/>
      <c r="AN378" s="7" t="str">
        <f ca="1">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AO378" s="5"/>
      <c r="AP378" s="5"/>
      <c r="AQ378" s="5" t="b">
        <f ca="1">IFERROR(__xludf.DUMMYFUNCTION("""COMPUTED_VALUE"""),TRUE)</f>
        <v>1</v>
      </c>
      <c r="AR378" s="5"/>
      <c r="AS378" s="5" t="str">
        <f ca="1">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78" s="5"/>
      <c r="AU378" s="5" t="str">
        <f ca="1">IFERROR(__xludf.DUMMYFUNCTION("""COMPUTED_VALUE"""),"Fazi")</f>
        <v>Fazi</v>
      </c>
      <c r="AV378" s="5"/>
      <c r="AW378" s="5"/>
      <c r="AX378" s="5"/>
      <c r="AY378" s="5"/>
      <c r="AZ378" s="5"/>
      <c r="BA378" s="5"/>
      <c r="BB378" s="5" t="b">
        <f ca="1">IFERROR(__xludf.DUMMYFUNCTION("""COMPUTED_VALUE"""),TRUE)</f>
        <v>1</v>
      </c>
      <c r="BC378" s="5" t="str">
        <f ca="1">IFERROR(__xludf.DUMMYFUNCTION("""COMPUTED_VALUE"""),"Tiptop")</f>
        <v>Tiptop</v>
      </c>
      <c r="BD378" s="7" t="str">
        <f ca="1">IFERROR(__xludf.DUMMYFUNCTION("""COMPUTED_VALUE"""),"https://gameserver-store-client-area.orbionlimited.com/Home/IntegrationGameLaunch/client-area?moneyType=0&amp;gameName=UnicornHitLine&amp;platform=desktop&amp;languageCode=eng&amp;currency=EUR")</f>
        <v>https://gameserver-store-client-area.orbionlimited.com/Home/IntegrationGameLaunch/client-area?moneyType=0&amp;gameName=UnicornHitLine&amp;platform=desktop&amp;languageCode=eng&amp;currency=EUR</v>
      </c>
      <c r="BE378" s="5" t="b">
        <f ca="1">IFERROR(__xludf.DUMMYFUNCTION("""COMPUTED_VALUE"""),TRUE)</f>
        <v>1</v>
      </c>
    </row>
    <row r="379" spans="1:57" x14ac:dyDescent="0.25">
      <c r="A379" s="5">
        <f ca="1">IFERROR(__xludf.DUMMYFUNCTION("""COMPUTED_VALUE"""),384)</f>
        <v>384</v>
      </c>
      <c r="B379" s="5">
        <f ca="1">IFERROR(__xludf.DUMMYFUNCTION("""COMPUTED_VALUE"""),362)</f>
        <v>362</v>
      </c>
      <c r="C379" s="5" t="str">
        <f ca="1">IFERROR(__xludf.DUMMYFUNCTION("""COMPUTED_VALUE"""),"Redstone")</f>
        <v>Redstone</v>
      </c>
      <c r="D379" s="5" t="str">
        <f ca="1">IFERROR(__xludf.DUMMYFUNCTION("""COMPUTED_VALUE"""),"Spooky Spins")</f>
        <v>Spooky Spins</v>
      </c>
      <c r="E379" s="5" t="str">
        <f ca="1">IFERROR(__xludf.DUMMYFUNCTION("""COMPUTED_VALUE"""),"Redstone")</f>
        <v>Redstone</v>
      </c>
      <c r="F379" s="5" t="str">
        <f ca="1">IFERROR(__xludf.DUMMYFUNCTION("""COMPUTED_VALUE"""),"RedstoneSpookySpins")</f>
        <v>RedstoneSpookySpins</v>
      </c>
      <c r="G379" s="5" t="str">
        <f ca="1">IFERROR(__xludf.DUMMYFUNCTION("""COMPUTED_VALUE"""),"Live")</f>
        <v>Live</v>
      </c>
      <c r="H379" s="5"/>
      <c r="I379" s="5" t="str">
        <f ca="1">IFERROR(__xludf.DUMMYFUNCTION("""COMPUTED_VALUE"""),"Redstone")</f>
        <v>Redstone</v>
      </c>
      <c r="J379" s="5" t="str">
        <f ca="1">IFERROR(__xludf.DUMMYFUNCTION("""COMPUTED_VALUE"""),"JSON")</f>
        <v>JSON</v>
      </c>
      <c r="K379" s="5" t="str">
        <f ca="1">IFERROR(__xludf.DUMMYFUNCTION("""COMPUTED_VALUE"""),"Slot")</f>
        <v>Slot</v>
      </c>
      <c r="L379" s="5" t="str">
        <f ca="1">IFERROR(__xludf.DUMMYFUNCTION("""COMPUTED_VALUE"""),"Master")</f>
        <v>Master</v>
      </c>
      <c r="M379" s="5"/>
      <c r="N379" s="7" t="str">
        <f ca="1">IFERROR(__xludf.DUMMYFUNCTION("""COMPUTED_VALUE"""),"https://drive.google.com/file/d/16Oz2qdJrgfgOytfKWbOZ9JQQQuXI4TGK/view?usp=drive_link")</f>
        <v>https://drive.google.com/file/d/16Oz2qdJrgfgOytfKWbOZ9JQQQuXI4TGK/view?usp=drive_link</v>
      </c>
      <c r="O379" s="7" t="str">
        <f ca="1">IFERROR(__xludf.DUMMYFUNCTION("""COMPUTED_VALUE"""),"https://drive.google.com/file/d/12CNoGZjqaGvqwtItrZMz6E9UyZ8XsoJZ/view?usp=drive_link")</f>
        <v>https://drive.google.com/file/d/12CNoGZjqaGvqwtItrZMz6E9UyZ8XsoJZ/view?usp=drive_link</v>
      </c>
      <c r="P379" s="14">
        <f ca="1">IFERROR(__xludf.DUMMYFUNCTION("""COMPUTED_VALUE"""),12)</f>
        <v>12</v>
      </c>
      <c r="Q379" s="5"/>
      <c r="R379" s="5"/>
      <c r="S379" s="15">
        <f ca="1">IFERROR(__xludf.DUMMYFUNCTION("""COMPUTED_VALUE"""),45574)</f>
        <v>45574</v>
      </c>
      <c r="T379" s="5" t="b">
        <f ca="1">IFERROR(__xludf.DUMMYFUNCTION("""COMPUTED_VALUE"""),TRUE)</f>
        <v>1</v>
      </c>
      <c r="U379" s="5" t="str">
        <f ca="1">IFERROR(__xludf.DUMMYFUNCTION("""COMPUTED_VALUE"""),"5x3")</f>
        <v>5x3</v>
      </c>
      <c r="V379" s="5">
        <f ca="1">IFERROR(__xludf.DUMMYFUNCTION("""COMPUTED_VALUE"""),10)</f>
        <v>10</v>
      </c>
      <c r="W379" s="5">
        <f ca="1">IFERROR(__xludf.DUMMYFUNCTION("""COMPUTED_VALUE"""),10)</f>
        <v>10</v>
      </c>
      <c r="X379" s="13">
        <f ca="1">IFERROR(__xludf.DUMMYFUNCTION("""COMPUTED_VALUE"""),96.53)</f>
        <v>96.53</v>
      </c>
      <c r="Y379" s="5" t="str">
        <f ca="1">IFERROR(__xludf.DUMMYFUNCTION("""COMPUTED_VALUE"""),"High")</f>
        <v>High</v>
      </c>
      <c r="Z379" s="5">
        <f ca="1">IFERROR(__xludf.DUMMYFUNCTION("""COMPUTED_VALUE"""),10.61)</f>
        <v>10.61</v>
      </c>
      <c r="AA379" s="5">
        <f ca="1">IFERROR(__xludf.DUMMYFUNCTION("""COMPUTED_VALUE"""),20108)</f>
        <v>20108</v>
      </c>
      <c r="AB379" s="5"/>
      <c r="AC379" s="5" t="str">
        <f ca="1">IFERROR(__xludf.DUMMYFUNCTION("""COMPUTED_VALUE"""),"Expanding Wild, Scatter, Bonus Game with Free Spins, Extralines")</f>
        <v>Expanding Wild, Scatter, Bonus Game with Free Spins, Extralines</v>
      </c>
      <c r="AD379" s="5" t="str">
        <f ca="1">IFERROR(__xludf.DUMMYFUNCTION("""COMPUTED_VALUE"""),"0.10/40")</f>
        <v>0.10/40</v>
      </c>
      <c r="AE379" s="5"/>
      <c r="AF379" s="5"/>
      <c r="AG379" s="10">
        <f ca="1">IFERROR(__xludf.DUMMYFUNCTION("""COMPUTED_VALUE"""),46157.4717476851)</f>
        <v>46157.4717476851</v>
      </c>
      <c r="AH379" s="5"/>
      <c r="AI379" s="5"/>
      <c r="AJ379" s="5"/>
      <c r="AK379" s="5"/>
      <c r="AL379" s="5" t="str">
        <f ca="1">IFERROR(__xludf.DUMMYFUNCTION("""COMPUTED_VALUE"""),"No")</f>
        <v>No</v>
      </c>
      <c r="AM379" s="5" t="str">
        <f ca="1">IFERROR(__xludf.DUMMYFUNCTION("""COMPUTED_VALUE"""),"No")</f>
        <v>No</v>
      </c>
      <c r="AN379" s="7" t="str">
        <f ca="1">IFERROR(__xludf.DUMMYFUNCTION("""COMPUTED_VALUE"""),"https://static.redstone.rs/games/spooky-spins/")</f>
        <v>https://static.redstone.rs/games/spooky-spins/</v>
      </c>
      <c r="AO379" s="5" t="str">
        <f ca="1">IFERROR(__xludf.DUMMYFUNCTION("""COMPUTED_VALUE"""),"No")</f>
        <v>No</v>
      </c>
      <c r="AP379" s="5" t="str">
        <f ca="1">IFERROR(__xludf.DUMMYFUNCTION("""COMPUTED_VALUE"""),"No")</f>
        <v>No</v>
      </c>
      <c r="AQ379" s="5" t="b">
        <f ca="1">IFERROR(__xludf.DUMMYFUNCTION("""COMPUTED_VALUE"""),TRUE)</f>
        <v>1</v>
      </c>
      <c r="AR379" s="5"/>
      <c r="AS379" s="5" t="str">
        <f ca="1">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AT379" s="5"/>
      <c r="AU379" s="5" t="str">
        <f ca="1">IFERROR(__xludf.DUMMYFUNCTION("""COMPUTED_VALUE"""),"Redstone")</f>
        <v>Redstone</v>
      </c>
      <c r="AV379" s="5"/>
      <c r="AW379" s="5"/>
      <c r="AX379" s="5"/>
      <c r="AY379" s="5"/>
      <c r="AZ379" s="5"/>
      <c r="BA379" s="5"/>
      <c r="BB379" s="5" t="b">
        <f ca="1">IFERROR(__xludf.DUMMYFUNCTION("""COMPUTED_VALUE"""),TRUE)</f>
        <v>1</v>
      </c>
      <c r="BC379" s="5" t="str">
        <f ca="1">IFERROR(__xludf.DUMMYFUNCTION("""COMPUTED_VALUE"""),"Redstone")</f>
        <v>Redstone</v>
      </c>
      <c r="BD379" s="7" t="str">
        <f ca="1">IFERROR(__xludf.DUMMYFUNCTION("""COMPUTED_VALUE"""),"https://static.redstone.rs/games/spooky-spins/")</f>
        <v>https://static.redstone.rs/games/spooky-spins/</v>
      </c>
      <c r="BE379" s="5" t="b">
        <f ca="1">IFERROR(__xludf.DUMMYFUNCTION("""COMPUTED_VALUE"""),TRUE)</f>
        <v>1</v>
      </c>
    </row>
    <row r="380" spans="1:57" x14ac:dyDescent="0.25">
      <c r="A380" s="5">
        <f ca="1">IFERROR(__xludf.DUMMYFUNCTION("""COMPUTED_VALUE"""),385)</f>
        <v>385</v>
      </c>
      <c r="B380" s="5">
        <f ca="1">IFERROR(__xludf.DUMMYFUNCTION("""COMPUTED_VALUE"""),363)</f>
        <v>363</v>
      </c>
      <c r="C380" s="5" t="str">
        <f ca="1">IFERROR(__xludf.DUMMYFUNCTION("""COMPUTED_VALUE"""),"Tiptop")</f>
        <v>Tiptop</v>
      </c>
      <c r="D380" s="5" t="str">
        <f ca="1">IFERROR(__xludf.DUMMYFUNCTION("""COMPUTED_VALUE"""),"20 Super Flames")</f>
        <v>20 Super Flames</v>
      </c>
      <c r="E380" s="5" t="str">
        <f ca="1">IFERROR(__xludf.DUMMYFUNCTION("""COMPUTED_VALUE"""),"V4-2")</f>
        <v>V4-2</v>
      </c>
      <c r="F380" s="5" t="str">
        <f ca="1">IFERROR(__xludf.DUMMYFUNCTION("""COMPUTED_VALUE"""),"Unicorn20SuperFlames")</f>
        <v>Unicorn20SuperFlames</v>
      </c>
      <c r="G380" s="5" t="str">
        <f ca="1">IFERROR(__xludf.DUMMYFUNCTION("""COMPUTED_VALUE"""),"Live")</f>
        <v>Live</v>
      </c>
      <c r="H380" s="5"/>
      <c r="I380" s="5" t="str">
        <f ca="1">IFERROR(__xludf.DUMMYFUNCTION("""COMPUTED_VALUE"""),"TipTop")</f>
        <v>TipTop</v>
      </c>
      <c r="J380" s="5" t="str">
        <f ca="1">IFERROR(__xludf.DUMMYFUNCTION("""COMPUTED_VALUE"""),"JSON")</f>
        <v>JSON</v>
      </c>
      <c r="K380" s="5" t="str">
        <f ca="1">IFERROR(__xludf.DUMMYFUNCTION("""COMPUTED_VALUE"""),"Slot")</f>
        <v>Slot</v>
      </c>
      <c r="L380" s="5"/>
      <c r="M380" s="5"/>
      <c r="N380" s="5"/>
      <c r="O380" s="5"/>
      <c r="P380" s="14">
        <f ca="1">IFERROR(__xludf.DUMMYFUNCTION("""COMPUTED_VALUE"""),9.2)</f>
        <v>9.1999999999999993</v>
      </c>
      <c r="Q380" s="5"/>
      <c r="R380" s="5"/>
      <c r="S380" s="15">
        <f ca="1">IFERROR(__xludf.DUMMYFUNCTION("""COMPUTED_VALUE"""),45580)</f>
        <v>45580</v>
      </c>
      <c r="T380" s="5" t="b">
        <f ca="1">IFERROR(__xludf.DUMMYFUNCTION("""COMPUTED_VALUE"""),TRUE)</f>
        <v>1</v>
      </c>
      <c r="U380" s="5" t="str">
        <f ca="1">IFERROR(__xludf.DUMMYFUNCTION("""COMPUTED_VALUE"""),"5X3")</f>
        <v>5X3</v>
      </c>
      <c r="V380" s="5">
        <f ca="1">IFERROR(__xludf.DUMMYFUNCTION("""COMPUTED_VALUE"""),20)</f>
        <v>20</v>
      </c>
      <c r="W380" s="5">
        <f ca="1">IFERROR(__xludf.DUMMYFUNCTION("""COMPUTED_VALUE"""),20)</f>
        <v>20</v>
      </c>
      <c r="X380" s="13">
        <f ca="1">IFERROR(__xludf.DUMMYFUNCTION("""COMPUTED_VALUE"""),96)</f>
        <v>96</v>
      </c>
      <c r="Y380" s="5" t="str">
        <f ca="1">IFERROR(__xludf.DUMMYFUNCTION("""COMPUTED_VALUE"""),"Low")</f>
        <v>Low</v>
      </c>
      <c r="Z380" s="5">
        <f ca="1">IFERROR(__xludf.DUMMYFUNCTION("""COMPUTED_VALUE"""),16.45)</f>
        <v>16.45</v>
      </c>
      <c r="AA380" s="5">
        <f ca="1">IFERROR(__xludf.DUMMYFUNCTION("""COMPUTED_VALUE"""),2000)</f>
        <v>2000</v>
      </c>
      <c r="AB380" s="5"/>
      <c r="AC380" s="5"/>
      <c r="AD380" s="5" t="str">
        <f ca="1">IFERROR(__xludf.DUMMYFUNCTION("""COMPUTED_VALUE"""),"0.2/100")</f>
        <v>0.2/100</v>
      </c>
      <c r="AE380" s="5"/>
      <c r="AF380" s="5"/>
      <c r="AG380" s="10">
        <f ca="1">IFERROR(__xludf.DUMMYFUNCTION("""COMPUTED_VALUE"""),46197.4913888888)</f>
        <v>46197.491388888797</v>
      </c>
      <c r="AH380" s="5" t="str">
        <f ca="1">IFERROR(__xludf.DUMMYFUNCTION("""COMPUTED_VALUE"""),"selena.mihajlovic@fazi.rs")</f>
        <v>selena.mihajlovic@fazi.rs</v>
      </c>
      <c r="AI380" s="5"/>
      <c r="AJ380" s="5"/>
      <c r="AK380" s="5">
        <f ca="1">IFERROR(__xludf.DUMMYFUNCTION("""COMPUTED_VALUE"""),20)</f>
        <v>20</v>
      </c>
      <c r="AL380" s="5" t="str">
        <f ca="1">IFERROR(__xludf.DUMMYFUNCTION("""COMPUTED_VALUE"""),"No")</f>
        <v>No</v>
      </c>
      <c r="AM380" s="5"/>
      <c r="AN380" s="7" t="str">
        <f ca="1">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AO380" s="5"/>
      <c r="AP380" s="5"/>
      <c r="AQ380" s="5" t="b">
        <f ca="1">IFERROR(__xludf.DUMMYFUNCTION("""COMPUTED_VALUE"""),TRUE)</f>
        <v>1</v>
      </c>
      <c r="AR380" s="5"/>
      <c r="AS380" s="5" t="str">
        <f ca="1">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AT380" s="5"/>
      <c r="AU380" s="5" t="str">
        <f ca="1">IFERROR(__xludf.DUMMYFUNCTION("""COMPUTED_VALUE"""),"Fazi")</f>
        <v>Fazi</v>
      </c>
      <c r="AV380" s="5"/>
      <c r="AW380" s="5"/>
      <c r="AX380" s="5"/>
      <c r="AY380" s="5"/>
      <c r="AZ380" s="5"/>
      <c r="BA380" s="5"/>
      <c r="BB380" s="5" t="b">
        <f ca="1">IFERROR(__xludf.DUMMYFUNCTION("""COMPUTED_VALUE"""),TRUE)</f>
        <v>1</v>
      </c>
      <c r="BC380" s="5" t="str">
        <f ca="1">IFERROR(__xludf.DUMMYFUNCTION("""COMPUTED_VALUE"""),"Tiptop")</f>
        <v>Tiptop</v>
      </c>
      <c r="BD380" s="7" t="str">
        <f ca="1">IFERROR(__xludf.DUMMYFUNCTION("""COMPUTED_VALUE"""),"https://gameserver-store-client-area.orbionlimited.com/Home/IntegrationGameLaunch/client-area?moneyType=0&amp;gameName=Unicorn20SuperFlames&amp;platform=desktop&amp;languageCode=eng&amp;currency=EUR")</f>
        <v>https://gameserver-store-client-area.orbionlimited.com/Home/IntegrationGameLaunch/client-area?moneyType=0&amp;gameName=Unicorn20SuperFlames&amp;platform=desktop&amp;languageCode=eng&amp;currency=EUR</v>
      </c>
      <c r="BE380" s="5" t="b">
        <f ca="1">IFERROR(__xludf.DUMMYFUNCTION("""COMPUTED_VALUE"""),TRUE)</f>
        <v>1</v>
      </c>
    </row>
    <row r="381" spans="1:57" x14ac:dyDescent="0.25">
      <c r="A381" s="5">
        <f ca="1">IFERROR(__xludf.DUMMYFUNCTION("""COMPUTED_VALUE"""),386)</f>
        <v>386</v>
      </c>
      <c r="B381" s="5">
        <f ca="1">IFERROR(__xludf.DUMMYFUNCTION("""COMPUTED_VALUE"""),364)</f>
        <v>364</v>
      </c>
      <c r="C381" s="5" t="str">
        <f ca="1">IFERROR(__xludf.DUMMYFUNCTION("""COMPUTED_VALUE"""),"Playnet")</f>
        <v>Playnet</v>
      </c>
      <c r="D381" s="5" t="str">
        <f ca="1">IFERROR(__xludf.DUMMYFUNCTION("""COMPUTED_VALUE"""),"27 Wild Stacks")</f>
        <v>27 Wild Stacks</v>
      </c>
      <c r="E381" s="5" t="str">
        <f ca="1">IFERROR(__xludf.DUMMYFUNCTION("""COMPUTED_VALUE"""),"V4-2")</f>
        <v>V4-2</v>
      </c>
      <c r="F381" s="5" t="str">
        <f ca="1">IFERROR(__xludf.DUMMYFUNCTION("""COMPUTED_VALUE"""),"PlayNet27WildStacks")</f>
        <v>PlayNet27WildStacks</v>
      </c>
      <c r="G381" s="5" t="str">
        <f ca="1">IFERROR(__xludf.DUMMYFUNCTION("""COMPUTED_VALUE"""),"Live")</f>
        <v>Live</v>
      </c>
      <c r="H381" s="5"/>
      <c r="I381" s="5"/>
      <c r="J381" s="5" t="str">
        <f ca="1">IFERROR(__xludf.DUMMYFUNCTION("""COMPUTED_VALUE"""),"JSON")</f>
        <v>JSON</v>
      </c>
      <c r="K381" s="5" t="str">
        <f ca="1">IFERROR(__xludf.DUMMYFUNCTION("""COMPUTED_VALUE"""),"Slot")</f>
        <v>Slot</v>
      </c>
      <c r="L381" s="5"/>
      <c r="M381" s="5"/>
      <c r="N381" s="5"/>
      <c r="O381" s="5"/>
      <c r="P381" s="14">
        <f ca="1">IFERROR(__xludf.DUMMYFUNCTION("""COMPUTED_VALUE"""),5.4)</f>
        <v>5.4</v>
      </c>
      <c r="Q381" s="5"/>
      <c r="R381" s="5"/>
      <c r="S381" s="15">
        <f ca="1">IFERROR(__xludf.DUMMYFUNCTION("""COMPUTED_VALUE"""),45548)</f>
        <v>45548</v>
      </c>
      <c r="T381" s="5" t="b">
        <f ca="1">IFERROR(__xludf.DUMMYFUNCTION("""COMPUTED_VALUE"""),TRUE)</f>
        <v>1</v>
      </c>
      <c r="U381" s="5" t="str">
        <f ca="1">IFERROR(__xludf.DUMMYFUNCTION("""COMPUTED_VALUE"""),"3x3")</f>
        <v>3x3</v>
      </c>
      <c r="V381" s="5">
        <f ca="1">IFERROR(__xludf.DUMMYFUNCTION("""COMPUTED_VALUE"""),27)</f>
        <v>27</v>
      </c>
      <c r="W381" s="5">
        <f ca="1">IFERROR(__xludf.DUMMYFUNCTION("""COMPUTED_VALUE"""),27)</f>
        <v>27</v>
      </c>
      <c r="X381" s="13">
        <f ca="1">IFERROR(__xludf.DUMMYFUNCTION("""COMPUTED_VALUE"""),96.24)</f>
        <v>96.24</v>
      </c>
      <c r="Y381" s="5" t="str">
        <f ca="1">IFERROR(__xludf.DUMMYFUNCTION("""COMPUTED_VALUE"""),"Low")</f>
        <v>Low</v>
      </c>
      <c r="Z381" s="5">
        <f ca="1">IFERROR(__xludf.DUMMYFUNCTION("""COMPUTED_VALUE"""),6.58)</f>
        <v>6.58</v>
      </c>
      <c r="AA381" s="5">
        <f ca="1">IFERROR(__xludf.DUMMYFUNCTION("""COMPUTED_VALUE"""),108)</f>
        <v>108</v>
      </c>
      <c r="AB381" s="5"/>
      <c r="AC381" s="5" t="str">
        <f ca="1">IFERROR(__xludf.DUMMYFUNCTION("""COMPUTED_VALUE"""),"Win Multiplier")</f>
        <v>Win Multiplier</v>
      </c>
      <c r="AD381" s="5" t="str">
        <f ca="1">IFERROR(__xludf.DUMMYFUNCTION("""COMPUTED_VALUE"""),"0.01/50")</f>
        <v>0.01/50</v>
      </c>
      <c r="AE381" s="5"/>
      <c r="AF381" s="5"/>
      <c r="AG381" s="10">
        <f ca="1">IFERROR(__xludf.DUMMYFUNCTION("""COMPUTED_VALUE"""),46220.4998726851)</f>
        <v>46220.499872685097</v>
      </c>
      <c r="AH381" s="5" t="str">
        <f ca="1">IFERROR(__xludf.DUMMYFUNCTION("""COMPUTED_VALUE"""),"selena.mihajlovic@fazi.rs")</f>
        <v>selena.mihajlovic@fazi.rs</v>
      </c>
      <c r="AI381" s="5"/>
      <c r="AJ381" s="5"/>
      <c r="AK381" s="5">
        <f ca="1">IFERROR(__xludf.DUMMYFUNCTION("""COMPUTED_VALUE"""),1)</f>
        <v>1</v>
      </c>
      <c r="AL381" s="5" t="str">
        <f ca="1">IFERROR(__xludf.DUMMYFUNCTION("""COMPUTED_VALUE"""),"No")</f>
        <v>No</v>
      </c>
      <c r="AM381" s="5" t="str">
        <f ca="1">IFERROR(__xludf.DUMMYFUNCTION("""COMPUTED_VALUE"""),"No")</f>
        <v>No</v>
      </c>
      <c r="AN381" s="7" t="str">
        <f ca="1">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AO381" s="5" t="str">
        <f ca="1">IFERROR(__xludf.DUMMYFUNCTION("""COMPUTED_VALUE"""),"No")</f>
        <v>No</v>
      </c>
      <c r="AP381" s="5" t="str">
        <f ca="1">IFERROR(__xludf.DUMMYFUNCTION("""COMPUTED_VALUE"""),"No")</f>
        <v>No</v>
      </c>
      <c r="AQ381" s="5" t="b">
        <f ca="1">IFERROR(__xludf.DUMMYFUNCTION("""COMPUTED_VALUE"""),TRUE)</f>
        <v>1</v>
      </c>
      <c r="AR381" s="5"/>
      <c r="AS381" s="5" t="str">
        <f ca="1">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AT381" s="5"/>
      <c r="AU381" s="5" t="str">
        <f ca="1">IFERROR(__xludf.DUMMYFUNCTION("""COMPUTED_VALUE"""),"Fazi")</f>
        <v>Fazi</v>
      </c>
      <c r="AV381" s="5"/>
      <c r="AW381" s="5"/>
      <c r="AX381" s="5"/>
      <c r="AY381" s="5"/>
      <c r="AZ381" s="5"/>
      <c r="BA381" s="5"/>
      <c r="BB381" s="5" t="b">
        <f ca="1">IFERROR(__xludf.DUMMYFUNCTION("""COMPUTED_VALUE"""),TRUE)</f>
        <v>1</v>
      </c>
      <c r="BC381" s="5" t="str">
        <f ca="1">IFERROR(__xludf.DUMMYFUNCTION("""COMPUTED_VALUE"""),"Playnet")</f>
        <v>Playnet</v>
      </c>
      <c r="BD381" s="7" t="str">
        <f ca="1">IFERROR(__xludf.DUMMYFUNCTION("""COMPUTED_VALUE"""),"https://gameserver-store-client-area.orbionlimited.com/Home/IntegrationGameLaunch/client-area?moneyType=0&amp;gameName=PlayNet27WildStacks&amp;platform=desktop&amp;languageCode=eng&amp;currency=EUR")</f>
        <v>https://gameserver-store-client-area.orbionlimited.com/Home/IntegrationGameLaunch/client-area?moneyType=0&amp;gameName=PlayNet27WildStacks&amp;platform=desktop&amp;languageCode=eng&amp;currency=EUR</v>
      </c>
      <c r="BE381" s="5" t="b">
        <f ca="1">IFERROR(__xludf.DUMMYFUNCTION("""COMPUTED_VALUE"""),TRUE)</f>
        <v>1</v>
      </c>
    </row>
    <row r="382" spans="1:57" x14ac:dyDescent="0.25">
      <c r="A382" s="5">
        <f ca="1">IFERROR(__xludf.DUMMYFUNCTION("""COMPUTED_VALUE"""),387)</f>
        <v>387</v>
      </c>
      <c r="B382" s="5">
        <f ca="1">IFERROR(__xludf.DUMMYFUNCTION("""COMPUTED_VALUE"""),365)</f>
        <v>365</v>
      </c>
      <c r="C382" s="5" t="str">
        <f ca="1">IFERROR(__xludf.DUMMYFUNCTION("""COMPUTED_VALUE"""),"Playnet")</f>
        <v>Playnet</v>
      </c>
      <c r="D382" s="5" t="str">
        <f ca="1">IFERROR(__xludf.DUMMYFUNCTION("""COMPUTED_VALUE"""),"Dashing Hot 5")</f>
        <v>Dashing Hot 5</v>
      </c>
      <c r="E382" s="5"/>
      <c r="F382" s="5" t="str">
        <f ca="1">IFERROR(__xludf.DUMMYFUNCTION("""COMPUTED_VALUE"""),"PlayNetDashingHot5")</f>
        <v>PlayNetDashingHot5</v>
      </c>
      <c r="G382" s="5" t="str">
        <f ca="1">IFERROR(__xludf.DUMMYFUNCTION("""COMPUTED_VALUE"""),"Live")</f>
        <v>Live</v>
      </c>
      <c r="H382" s="5"/>
      <c r="I382" s="5"/>
      <c r="J382" s="5" t="str">
        <f ca="1">IFERROR(__xludf.DUMMYFUNCTION("""COMPUTED_VALUE"""),"JSON")</f>
        <v>JSON</v>
      </c>
      <c r="K382" s="5" t="str">
        <f ca="1">IFERROR(__xludf.DUMMYFUNCTION("""COMPUTED_VALUE"""),"Slot")</f>
        <v>Slot</v>
      </c>
      <c r="L382" s="5"/>
      <c r="M382" s="5"/>
      <c r="N382" s="5"/>
      <c r="O382" s="5"/>
      <c r="P382" s="14">
        <f ca="1">IFERROR(__xludf.DUMMYFUNCTION("""COMPUTED_VALUE"""),6.1)</f>
        <v>6.1</v>
      </c>
      <c r="Q382" s="5"/>
      <c r="R382" s="5"/>
      <c r="S382" s="15">
        <f ca="1">IFERROR(__xludf.DUMMYFUNCTION("""COMPUTED_VALUE"""),45555)</f>
        <v>45555</v>
      </c>
      <c r="T382" s="5" t="b">
        <f ca="1">IFERROR(__xludf.DUMMYFUNCTION("""COMPUTED_VALUE"""),TRUE)</f>
        <v>1</v>
      </c>
      <c r="U382" s="5" t="str">
        <f ca="1">IFERROR(__xludf.DUMMYFUNCTION("""COMPUTED_VALUE"""),"5x3")</f>
        <v>5x3</v>
      </c>
      <c r="V382" s="5">
        <f ca="1">IFERROR(__xludf.DUMMYFUNCTION("""COMPUTED_VALUE"""),5)</f>
        <v>5</v>
      </c>
      <c r="W382" s="5">
        <f ca="1">IFERROR(__xludf.DUMMYFUNCTION("""COMPUTED_VALUE"""),5)</f>
        <v>5</v>
      </c>
      <c r="X382" s="13">
        <f ca="1">IFERROR(__xludf.DUMMYFUNCTION("""COMPUTED_VALUE"""),95.656)</f>
        <v>95.656000000000006</v>
      </c>
      <c r="Y382" s="5" t="str">
        <f ca="1">IFERROR(__xludf.DUMMYFUNCTION("""COMPUTED_VALUE"""),"Medium")</f>
        <v>Medium</v>
      </c>
      <c r="Z382" s="5">
        <f ca="1">IFERROR(__xludf.DUMMYFUNCTION("""COMPUTED_VALUE"""),12.489)</f>
        <v>12.489000000000001</v>
      </c>
      <c r="AA382" s="5">
        <f ca="1">IFERROR(__xludf.DUMMYFUNCTION("""COMPUTED_VALUE"""),1000)</f>
        <v>1000</v>
      </c>
      <c r="AB382" s="5"/>
      <c r="AC382" s="5" t="str">
        <f ca="1">IFERROR(__xludf.DUMMYFUNCTION("""COMPUTED_VALUE"""),"Scatter")</f>
        <v>Scatter</v>
      </c>
      <c r="AD382" s="5" t="str">
        <f ca="1">IFERROR(__xludf.DUMMYFUNCTION("""COMPUTED_VALUE"""),"0.05/30")</f>
        <v>0.05/30</v>
      </c>
      <c r="AE382" s="5"/>
      <c r="AF382" s="5"/>
      <c r="AG382" s="10">
        <f ca="1">IFERROR(__xludf.DUMMYFUNCTION("""COMPUTED_VALUE"""),46220.5)</f>
        <v>46220.5</v>
      </c>
      <c r="AH382" s="5" t="str">
        <f ca="1">IFERROR(__xludf.DUMMYFUNCTION("""COMPUTED_VALUE"""),"selena.mihajlovic@fazi.rs")</f>
        <v>selena.mihajlovic@fazi.rs</v>
      </c>
      <c r="AI382" s="5"/>
      <c r="AJ382" s="5"/>
      <c r="AK382" s="5">
        <f ca="1">IFERROR(__xludf.DUMMYFUNCTION("""COMPUTED_VALUE"""),5)</f>
        <v>5</v>
      </c>
      <c r="AL382" s="5" t="str">
        <f ca="1">IFERROR(__xludf.DUMMYFUNCTION("""COMPUTED_VALUE"""),"No")</f>
        <v>No</v>
      </c>
      <c r="AM382" s="5" t="str">
        <f ca="1">IFERROR(__xludf.DUMMYFUNCTION("""COMPUTED_VALUE"""),"No")</f>
        <v>No</v>
      </c>
      <c r="AN382" s="7" t="str">
        <f ca="1">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AO382" s="5" t="str">
        <f ca="1">IFERROR(__xludf.DUMMYFUNCTION("""COMPUTED_VALUE"""),"No")</f>
        <v>No</v>
      </c>
      <c r="AP382" s="5" t="str">
        <f ca="1">IFERROR(__xludf.DUMMYFUNCTION("""COMPUTED_VALUE"""),"No")</f>
        <v>No</v>
      </c>
      <c r="AQ382" s="5" t="b">
        <f ca="1">IFERROR(__xludf.DUMMYFUNCTION("""COMPUTED_VALUE"""),TRUE)</f>
        <v>1</v>
      </c>
      <c r="AR382" s="5"/>
      <c r="AS382" s="5" t="str">
        <f ca="1">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AT382" s="5"/>
      <c r="AU382" s="5" t="str">
        <f ca="1">IFERROR(__xludf.DUMMYFUNCTION("""COMPUTED_VALUE"""),"Fazi")</f>
        <v>Fazi</v>
      </c>
      <c r="AV382" s="5"/>
      <c r="AW382" s="5"/>
      <c r="AX382" s="5"/>
      <c r="AY382" s="5"/>
      <c r="AZ382" s="5"/>
      <c r="BA382" s="5"/>
      <c r="BB382" s="5" t="b">
        <f ca="1">IFERROR(__xludf.DUMMYFUNCTION("""COMPUTED_VALUE"""),TRUE)</f>
        <v>1</v>
      </c>
      <c r="BC382" s="5" t="str">
        <f ca="1">IFERROR(__xludf.DUMMYFUNCTION("""COMPUTED_VALUE"""),"Playnet")</f>
        <v>Playnet</v>
      </c>
      <c r="BD382" s="7" t="str">
        <f ca="1">IFERROR(__xludf.DUMMYFUNCTION("""COMPUTED_VALUE"""),"https://gameserver-store-client-area.orbionlimited.com/Home/IntegrationGameLaunch/client-area?moneyType=0&amp;gameName=PlayNetDashingHot5&amp;platform=desktop&amp;languageCode=eng&amp;currency=EUR")</f>
        <v>https://gameserver-store-client-area.orbionlimited.com/Home/IntegrationGameLaunch/client-area?moneyType=0&amp;gameName=PlayNetDashingHot5&amp;platform=desktop&amp;languageCode=eng&amp;currency=EUR</v>
      </c>
      <c r="BE382" s="5" t="b">
        <f ca="1">IFERROR(__xludf.DUMMYFUNCTION("""COMPUTED_VALUE"""),TRUE)</f>
        <v>1</v>
      </c>
    </row>
    <row r="383" spans="1:57" x14ac:dyDescent="0.25">
      <c r="A383" s="5">
        <f ca="1">IFERROR(__xludf.DUMMYFUNCTION("""COMPUTED_VALUE"""),388)</f>
        <v>388</v>
      </c>
      <c r="B383" s="5">
        <f ca="1">IFERROR(__xludf.DUMMYFUNCTION("""COMPUTED_VALUE"""),366)</f>
        <v>366</v>
      </c>
      <c r="C383" s="5" t="str">
        <f ca="1">IFERROR(__xludf.DUMMYFUNCTION("""COMPUTED_VALUE"""),"Tiptop")</f>
        <v>Tiptop</v>
      </c>
      <c r="D383" s="5" t="str">
        <f ca="1">IFERROR(__xludf.DUMMYFUNCTION("""COMPUTED_VALUE"""),"20 Hot Strike Jackpot")</f>
        <v>20 Hot Strike Jackpot</v>
      </c>
      <c r="E383" s="5" t="str">
        <f ca="1">IFERROR(__xludf.DUMMYFUNCTION("""COMPUTED_VALUE"""),"V4-2")</f>
        <v>V4-2</v>
      </c>
      <c r="F383" s="5" t="str">
        <f ca="1">IFERROR(__xludf.DUMMYFUNCTION("""COMPUTED_VALUE"""),"Unicorn20HotStrikeJackpot")</f>
        <v>Unicorn20HotStrikeJackpot</v>
      </c>
      <c r="G383" s="5" t="str">
        <f ca="1">IFERROR(__xludf.DUMMYFUNCTION("""COMPUTED_VALUE"""),"Live")</f>
        <v>Live</v>
      </c>
      <c r="H383" s="5"/>
      <c r="I383" s="5" t="str">
        <f ca="1">IFERROR(__xludf.DUMMYFUNCTION("""COMPUTED_VALUE"""),"TipTop")</f>
        <v>TipTop</v>
      </c>
      <c r="J383" s="5" t="str">
        <f ca="1">IFERROR(__xludf.DUMMYFUNCTION("""COMPUTED_VALUE"""),"JSON")</f>
        <v>JSON</v>
      </c>
      <c r="K383" s="5" t="str">
        <f ca="1">IFERROR(__xludf.DUMMYFUNCTION("""COMPUTED_VALUE"""),"Slot")</f>
        <v>Slot</v>
      </c>
      <c r="L383" s="5"/>
      <c r="M383" s="5"/>
      <c r="N383" s="5"/>
      <c r="O383" s="5"/>
      <c r="P383" s="14">
        <f ca="1">IFERROR(__xludf.DUMMYFUNCTION("""COMPUTED_VALUE"""),14.2)</f>
        <v>14.2</v>
      </c>
      <c r="Q383" s="5"/>
      <c r="R383" s="5"/>
      <c r="S383" s="15">
        <f ca="1">IFERROR(__xludf.DUMMYFUNCTION("""COMPUTED_VALUE"""),45603)</f>
        <v>45603</v>
      </c>
      <c r="T383" s="5"/>
      <c r="U383" s="5" t="str">
        <f ca="1">IFERROR(__xludf.DUMMYFUNCTION("""COMPUTED_VALUE"""),"5X3")</f>
        <v>5X3</v>
      </c>
      <c r="V383" s="5">
        <f ca="1">IFERROR(__xludf.DUMMYFUNCTION("""COMPUTED_VALUE"""),20)</f>
        <v>20</v>
      </c>
      <c r="W383" s="5">
        <f ca="1">IFERROR(__xludf.DUMMYFUNCTION("""COMPUTED_VALUE"""),20)</f>
        <v>20</v>
      </c>
      <c r="X383" s="13">
        <f ca="1">IFERROR(__xludf.DUMMYFUNCTION("""COMPUTED_VALUE"""),96)</f>
        <v>96</v>
      </c>
      <c r="Y383" s="5" t="str">
        <f ca="1">IFERROR(__xludf.DUMMYFUNCTION("""COMPUTED_VALUE"""),"Low")</f>
        <v>Low</v>
      </c>
      <c r="Z383" s="5">
        <f ca="1">IFERROR(__xludf.DUMMYFUNCTION("""COMPUTED_VALUE"""),14.46)</f>
        <v>14.46</v>
      </c>
      <c r="AA383" s="5">
        <f ca="1">IFERROR(__xludf.DUMMYFUNCTION("""COMPUTED_VALUE"""),10000)</f>
        <v>10000</v>
      </c>
      <c r="AB383" s="5"/>
      <c r="AC383" s="5"/>
      <c r="AD383" s="5" t="str">
        <f ca="1">IFERROR(__xludf.DUMMYFUNCTION("""COMPUTED_VALUE"""),"0.2/100")</f>
        <v>0.2/100</v>
      </c>
      <c r="AE383" s="5"/>
      <c r="AF383" s="5"/>
      <c r="AG383" s="10">
        <f ca="1">IFERROR(__xludf.DUMMYFUNCTION("""COMPUTED_VALUE"""),46197.4917013888)</f>
        <v>46197.491701388797</v>
      </c>
      <c r="AH383" s="5" t="str">
        <f ca="1">IFERROR(__xludf.DUMMYFUNCTION("""COMPUTED_VALUE"""),"selena.mihajlovic@fazi.rs")</f>
        <v>selena.mihajlovic@fazi.rs</v>
      </c>
      <c r="AI383" s="5"/>
      <c r="AJ383" s="5"/>
      <c r="AK383" s="5">
        <f ca="1">IFERROR(__xludf.DUMMYFUNCTION("""COMPUTED_VALUE"""),20)</f>
        <v>20</v>
      </c>
      <c r="AL383" s="5" t="str">
        <f ca="1">IFERROR(__xludf.DUMMYFUNCTION("""COMPUTED_VALUE"""),"No")</f>
        <v>No</v>
      </c>
      <c r="AM383" s="5"/>
      <c r="AN383" s="7" t="str">
        <f ca="1">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AO383" s="5"/>
      <c r="AP383" s="5"/>
      <c r="AQ383" s="5" t="b">
        <f ca="1">IFERROR(__xludf.DUMMYFUNCTION("""COMPUTED_VALUE"""),TRUE)</f>
        <v>1</v>
      </c>
      <c r="AR383" s="5"/>
      <c r="AS383" s="5" t="str">
        <f ca="1">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383" s="5"/>
      <c r="AU383" s="5" t="str">
        <f ca="1">IFERROR(__xludf.DUMMYFUNCTION("""COMPUTED_VALUE"""),"Fazi")</f>
        <v>Fazi</v>
      </c>
      <c r="AV383" s="5"/>
      <c r="AW383" s="5"/>
      <c r="AX383" s="5"/>
      <c r="AY383" s="5"/>
      <c r="AZ383" s="5"/>
      <c r="BA383" s="5"/>
      <c r="BB383" s="5" t="b">
        <f ca="1">IFERROR(__xludf.DUMMYFUNCTION("""COMPUTED_VALUE"""),TRUE)</f>
        <v>1</v>
      </c>
      <c r="BC383" s="5" t="str">
        <f ca="1">IFERROR(__xludf.DUMMYFUNCTION("""COMPUTED_VALUE"""),"Tiptop")</f>
        <v>Tiptop</v>
      </c>
      <c r="BD383" s="7" t="str">
        <f ca="1">IFERROR(__xludf.DUMMYFUNCTION("""COMPUTED_VALUE"""),"https://gameserver-store-client-area.orbionlimited.com/Home/IntegrationGameLaunch/client-area?moneyType=0&amp;gameName=Unicorn20HotStrikeJackpot&amp;platform=desktop&amp;languageCode=eng&amp;currency=EUR")</f>
        <v>https://gameserver-store-client-area.orbionlimited.com/Home/IntegrationGameLaunch/client-area?moneyType=0&amp;gameName=Unicorn20HotStrikeJackpot&amp;platform=desktop&amp;languageCode=eng&amp;currency=EUR</v>
      </c>
      <c r="BE383" s="5" t="b">
        <f ca="1">IFERROR(__xludf.DUMMYFUNCTION("""COMPUTED_VALUE"""),TRUE)</f>
        <v>1</v>
      </c>
    </row>
    <row r="384" spans="1:57" x14ac:dyDescent="0.25">
      <c r="A384" s="5">
        <f ca="1">IFERROR(__xludf.DUMMYFUNCTION("""COMPUTED_VALUE"""),389)</f>
        <v>389</v>
      </c>
      <c r="B384" s="5">
        <f ca="1">IFERROR(__xludf.DUMMYFUNCTION("""COMPUTED_VALUE"""),367)</f>
        <v>367</v>
      </c>
      <c r="C384" s="5" t="str">
        <f ca="1">IFERROR(__xludf.DUMMYFUNCTION("""COMPUTED_VALUE"""),"Redstone")</f>
        <v>Redstone</v>
      </c>
      <c r="D384" s="5" t="str">
        <f ca="1">IFERROR(__xludf.DUMMYFUNCTION("""COMPUTED_VALUE"""),"5 Wild Fire")</f>
        <v>5 Wild Fire</v>
      </c>
      <c r="E384" s="5" t="str">
        <f ca="1">IFERROR(__xludf.DUMMYFUNCTION("""COMPUTED_VALUE"""),"Redstone")</f>
        <v>Redstone</v>
      </c>
      <c r="F384" s="5" t="str">
        <f ca="1">IFERROR(__xludf.DUMMYFUNCTION("""COMPUTED_VALUE"""),"Redstone5WildFire")</f>
        <v>Redstone5WildFire</v>
      </c>
      <c r="G384" s="5" t="str">
        <f ca="1">IFERROR(__xludf.DUMMYFUNCTION("""COMPUTED_VALUE"""),"Live")</f>
        <v>Live</v>
      </c>
      <c r="H384" s="5"/>
      <c r="I384" s="5" t="str">
        <f ca="1">IFERROR(__xludf.DUMMYFUNCTION("""COMPUTED_VALUE"""),"Redstone")</f>
        <v>Redstone</v>
      </c>
      <c r="J384" s="5" t="str">
        <f ca="1">IFERROR(__xludf.DUMMYFUNCTION("""COMPUTED_VALUE"""),"JSON")</f>
        <v>JSON</v>
      </c>
      <c r="K384" s="5" t="str">
        <f ca="1">IFERROR(__xludf.DUMMYFUNCTION("""COMPUTED_VALUE"""),"Slot")</f>
        <v>Slot</v>
      </c>
      <c r="L384" s="5" t="str">
        <f ca="1">IFERROR(__xludf.DUMMYFUNCTION("""COMPUTED_VALUE""")," Clone")</f>
        <v xml:space="preserve"> Clone</v>
      </c>
      <c r="M384" s="5" t="str">
        <f ca="1">IFERROR(__xludf.DUMMYFUNCTION("""COMPUTED_VALUE"""),"Clover Blast 5")</f>
        <v>Clover Blast 5</v>
      </c>
      <c r="N384" s="7" t="str">
        <f ca="1">IFERROR(__xludf.DUMMYFUNCTION("""COMPUTED_VALUE"""),"https://drive.google.com/file/d/1CnPNsoW7A8gDqsGH0QmYIC5F1rDUvStJ/view?usp=drive_link")</f>
        <v>https://drive.google.com/file/d/1CnPNsoW7A8gDqsGH0QmYIC5F1rDUvStJ/view?usp=drive_link</v>
      </c>
      <c r="O384" s="7" t="str">
        <f ca="1">IFERROR(__xludf.DUMMYFUNCTION("""COMPUTED_VALUE"""),"https://drive.google.com/file/d/10GFfdufP0A_6r3dlwLlKQ77wnmqVJaDU/view?usp=drive_link")</f>
        <v>https://drive.google.com/file/d/10GFfdufP0A_6r3dlwLlKQ77wnmqVJaDU/view?usp=drive_link</v>
      </c>
      <c r="P384" s="14">
        <f ca="1">IFERROR(__xludf.DUMMYFUNCTION("""COMPUTED_VALUE"""),11.2)</f>
        <v>11.2</v>
      </c>
      <c r="Q384" s="5"/>
      <c r="R384" s="5"/>
      <c r="S384" s="15">
        <f ca="1">IFERROR(__xludf.DUMMYFUNCTION("""COMPUTED_VALUE"""),45568)</f>
        <v>45568</v>
      </c>
      <c r="T384" s="5" t="b">
        <f ca="1">IFERROR(__xludf.DUMMYFUNCTION("""COMPUTED_VALUE"""),TRUE)</f>
        <v>1</v>
      </c>
      <c r="U384" s="5" t="str">
        <f ca="1">IFERROR(__xludf.DUMMYFUNCTION("""COMPUTED_VALUE"""),"5x3")</f>
        <v>5x3</v>
      </c>
      <c r="V384" s="5">
        <f ca="1">IFERROR(__xludf.DUMMYFUNCTION("""COMPUTED_VALUE"""),5)</f>
        <v>5</v>
      </c>
      <c r="W384" s="5">
        <f ca="1">IFERROR(__xludf.DUMMYFUNCTION("""COMPUTED_VALUE"""),5)</f>
        <v>5</v>
      </c>
      <c r="X384" s="13">
        <f ca="1">IFERROR(__xludf.DUMMYFUNCTION("""COMPUTED_VALUE"""),96.2)</f>
        <v>96.2</v>
      </c>
      <c r="Y384" s="5" t="str">
        <f ca="1">IFERROR(__xludf.DUMMYFUNCTION("""COMPUTED_VALUE"""),"Medium")</f>
        <v>Medium</v>
      </c>
      <c r="Z384" s="5">
        <f ca="1">IFERROR(__xludf.DUMMYFUNCTION("""COMPUTED_VALUE"""),11.91)</f>
        <v>11.91</v>
      </c>
      <c r="AA384" s="5">
        <f ca="1">IFERROR(__xludf.DUMMYFUNCTION("""COMPUTED_VALUE"""),2000)</f>
        <v>2000</v>
      </c>
      <c r="AB384" s="5"/>
      <c r="AC384" s="5" t="str">
        <f ca="1">IFERROR(__xludf.DUMMYFUNCTION("""COMPUTED_VALUE"""),"Wild Symbol")</f>
        <v>Wild Symbol</v>
      </c>
      <c r="AD384" s="5" t="str">
        <f ca="1">IFERROR(__xludf.DUMMYFUNCTION("""COMPUTED_VALUE"""),"0.01/50")</f>
        <v>0.01/50</v>
      </c>
      <c r="AE384" s="5"/>
      <c r="AF384" s="5"/>
      <c r="AG384" s="10">
        <f ca="1">IFERROR(__xludf.DUMMYFUNCTION("""COMPUTED_VALUE"""),46157.4904166666)</f>
        <v>46157.490416666602</v>
      </c>
      <c r="AH384" s="5"/>
      <c r="AI384" s="5"/>
      <c r="AJ384" s="5"/>
      <c r="AK384" s="5">
        <f ca="1">IFERROR(__xludf.DUMMYFUNCTION("""COMPUTED_VALUE"""),1)</f>
        <v>1</v>
      </c>
      <c r="AL384" s="5" t="str">
        <f ca="1">IFERROR(__xludf.DUMMYFUNCTION("""COMPUTED_VALUE"""),"No")</f>
        <v>No</v>
      </c>
      <c r="AM384" s="5" t="str">
        <f ca="1">IFERROR(__xludf.DUMMYFUNCTION("""COMPUTED_VALUE"""),"No")</f>
        <v>No</v>
      </c>
      <c r="AN384" s="7" t="str">
        <f ca="1">IFERROR(__xludf.DUMMYFUNCTION("""COMPUTED_VALUE"""),"https://static.redstone.rs/games/5-wild-fire/")</f>
        <v>https://static.redstone.rs/games/5-wild-fire/</v>
      </c>
      <c r="AO384" s="5" t="str">
        <f ca="1">IFERROR(__xludf.DUMMYFUNCTION("""COMPUTED_VALUE"""),"No")</f>
        <v>No</v>
      </c>
      <c r="AP384" s="5" t="str">
        <f ca="1">IFERROR(__xludf.DUMMYFUNCTION("""COMPUTED_VALUE"""),"No")</f>
        <v>No</v>
      </c>
      <c r="AQ384" s="5" t="b">
        <f ca="1">IFERROR(__xludf.DUMMYFUNCTION("""COMPUTED_VALUE"""),TRUE)</f>
        <v>1</v>
      </c>
      <c r="AR384" s="5"/>
      <c r="AS384" s="5" t="str">
        <f ca="1">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AT384" s="5"/>
      <c r="AU384" s="5" t="str">
        <f ca="1">IFERROR(__xludf.DUMMYFUNCTION("""COMPUTED_VALUE"""),"Redstone")</f>
        <v>Redstone</v>
      </c>
      <c r="AV384" s="5"/>
      <c r="AW384" s="5"/>
      <c r="AX384" s="5"/>
      <c r="AY384" s="5"/>
      <c r="AZ384" s="5"/>
      <c r="BA384" s="5"/>
      <c r="BB384" s="5" t="b">
        <f ca="1">IFERROR(__xludf.DUMMYFUNCTION("""COMPUTED_VALUE"""),TRUE)</f>
        <v>1</v>
      </c>
      <c r="BC384" s="5" t="str">
        <f ca="1">IFERROR(__xludf.DUMMYFUNCTION("""COMPUTED_VALUE"""),"Redstone")</f>
        <v>Redstone</v>
      </c>
      <c r="BD384" s="7" t="str">
        <f ca="1">IFERROR(__xludf.DUMMYFUNCTION("""COMPUTED_VALUE"""),"https://static.redstone.rs/games/5-wild-fire/")</f>
        <v>https://static.redstone.rs/games/5-wild-fire/</v>
      </c>
      <c r="BE384" s="5" t="b">
        <f ca="1">IFERROR(__xludf.DUMMYFUNCTION("""COMPUTED_VALUE"""),TRUE)</f>
        <v>1</v>
      </c>
    </row>
    <row r="385" spans="1:57" x14ac:dyDescent="0.25">
      <c r="A385" s="5">
        <f ca="1">IFERROR(__xludf.DUMMYFUNCTION("""COMPUTED_VALUE"""),390)</f>
        <v>390</v>
      </c>
      <c r="B385" s="5">
        <f ca="1">IFERROR(__xludf.DUMMYFUNCTION("""COMPUTED_VALUE"""),368)</f>
        <v>368</v>
      </c>
      <c r="C385" s="5" t="str">
        <f ca="1">IFERROR(__xludf.DUMMYFUNCTION("""COMPUTED_VALUE"""),"Playnet")</f>
        <v>Playnet</v>
      </c>
      <c r="D385" s="5" t="str">
        <f ca="1">IFERROR(__xludf.DUMMYFUNCTION("""COMPUTED_VALUE"""),"Wild Forties")</f>
        <v>Wild Forties</v>
      </c>
      <c r="E385" s="5" t="str">
        <f ca="1">IFERROR(__xludf.DUMMYFUNCTION("""COMPUTED_VALUE"""),"V4-2")</f>
        <v>V4-2</v>
      </c>
      <c r="F385" s="5" t="str">
        <f ca="1">IFERROR(__xludf.DUMMYFUNCTION("""COMPUTED_VALUE"""),"PlayNetWildForties")</f>
        <v>PlayNetWildForties</v>
      </c>
      <c r="G385" s="5" t="str">
        <f ca="1">IFERROR(__xludf.DUMMYFUNCTION("""COMPUTED_VALUE"""),"Live")</f>
        <v>Live</v>
      </c>
      <c r="H385" s="5"/>
      <c r="I385" s="5"/>
      <c r="J385" s="5" t="str">
        <f ca="1">IFERROR(__xludf.DUMMYFUNCTION("""COMPUTED_VALUE"""),"JSON")</f>
        <v>JSON</v>
      </c>
      <c r="K385" s="5" t="str">
        <f ca="1">IFERROR(__xludf.DUMMYFUNCTION("""COMPUTED_VALUE"""),"Slot")</f>
        <v>Slot</v>
      </c>
      <c r="L385" s="5" t="str">
        <f ca="1">IFERROR(__xludf.DUMMYFUNCTION("""COMPUTED_VALUE""")," Clone")</f>
        <v xml:space="preserve"> Clone</v>
      </c>
      <c r="M385" s="5" t="str">
        <f ca="1">IFERROR(__xludf.DUMMYFUNCTION("""COMPUTED_VALUE"""),"Vintage Fruits 40")</f>
        <v>Vintage Fruits 40</v>
      </c>
      <c r="N385" s="5"/>
      <c r="O385" s="5"/>
      <c r="P385" s="14">
        <f ca="1">IFERROR(__xludf.DUMMYFUNCTION("""COMPUTED_VALUE"""),4.4)</f>
        <v>4.4000000000000004</v>
      </c>
      <c r="Q385" s="5"/>
      <c r="R385" s="5"/>
      <c r="S385" s="15">
        <f ca="1">IFERROR(__xludf.DUMMYFUNCTION("""COMPUTED_VALUE"""),45572)</f>
        <v>45572</v>
      </c>
      <c r="T385" s="5" t="b">
        <f ca="1">IFERROR(__xludf.DUMMYFUNCTION("""COMPUTED_VALUE"""),TRUE)</f>
        <v>1</v>
      </c>
      <c r="U385" s="5" t="str">
        <f ca="1">IFERROR(__xludf.DUMMYFUNCTION("""COMPUTED_VALUE"""),"5x4")</f>
        <v>5x4</v>
      </c>
      <c r="V385" s="5">
        <f ca="1">IFERROR(__xludf.DUMMYFUNCTION("""COMPUTED_VALUE"""),40)</f>
        <v>40</v>
      </c>
      <c r="W385" s="5">
        <f ca="1">IFERROR(__xludf.DUMMYFUNCTION("""COMPUTED_VALUE"""),40)</f>
        <v>40</v>
      </c>
      <c r="X385" s="13">
        <f ca="1">IFERROR(__xludf.DUMMYFUNCTION("""COMPUTED_VALUE"""),96.382)</f>
        <v>96.382000000000005</v>
      </c>
      <c r="Y385" s="5" t="str">
        <f ca="1">IFERROR(__xludf.DUMMYFUNCTION("""COMPUTED_VALUE"""),"Medium")</f>
        <v>Medium</v>
      </c>
      <c r="Z385" s="5">
        <f ca="1">IFERROR(__xludf.DUMMYFUNCTION("""COMPUTED_VALUE"""),14.89)</f>
        <v>14.89</v>
      </c>
      <c r="AA385" s="5">
        <f ca="1">IFERROR(__xludf.DUMMYFUNCTION("""COMPUTED_VALUE"""),1000)</f>
        <v>1000</v>
      </c>
      <c r="AB385" s="5"/>
      <c r="AC385" s="5" t="str">
        <f ca="1">IFERROR(__xludf.DUMMYFUNCTION("""COMPUTED_VALUE"""),"Wild Symbol, Scatter")</f>
        <v>Wild Symbol, Scatter</v>
      </c>
      <c r="AD385" s="5" t="str">
        <f ca="1">IFERROR(__xludf.DUMMYFUNCTION("""COMPUTED_VALUE"""),"0.4/40")</f>
        <v>0.4/40</v>
      </c>
      <c r="AE385" s="5"/>
      <c r="AF385" s="5"/>
      <c r="AG385" s="10">
        <f ca="1">IFERROR(__xludf.DUMMYFUNCTION("""COMPUTED_VALUE"""),46220.5001967592)</f>
        <v>46220.500196759203</v>
      </c>
      <c r="AH385" s="5" t="str">
        <f ca="1">IFERROR(__xludf.DUMMYFUNCTION("""COMPUTED_VALUE"""),"selena.mihajlovic@fazi.rs")</f>
        <v>selena.mihajlovic@fazi.rs</v>
      </c>
      <c r="AI385" s="5"/>
      <c r="AJ385" s="5"/>
      <c r="AK385" s="5">
        <f ca="1">IFERROR(__xludf.DUMMYFUNCTION("""COMPUTED_VALUE"""),40)</f>
        <v>40</v>
      </c>
      <c r="AL385" s="5" t="str">
        <f ca="1">IFERROR(__xludf.DUMMYFUNCTION("""COMPUTED_VALUE"""),"No")</f>
        <v>No</v>
      </c>
      <c r="AM385" s="5" t="str">
        <f ca="1">IFERROR(__xludf.DUMMYFUNCTION("""COMPUTED_VALUE"""),"No")</f>
        <v>No</v>
      </c>
      <c r="AN385" s="7" t="str">
        <f ca="1">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AO385" s="5" t="str">
        <f ca="1">IFERROR(__xludf.DUMMYFUNCTION("""COMPUTED_VALUE"""),"No")</f>
        <v>No</v>
      </c>
      <c r="AP385" s="5" t="str">
        <f ca="1">IFERROR(__xludf.DUMMYFUNCTION("""COMPUTED_VALUE"""),"No")</f>
        <v>No</v>
      </c>
      <c r="AQ385" s="5" t="b">
        <f ca="1">IFERROR(__xludf.DUMMYFUNCTION("""COMPUTED_VALUE"""),TRUE)</f>
        <v>1</v>
      </c>
      <c r="AR385" s="5"/>
      <c r="AS385" s="5" t="str">
        <f ca="1">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AT385" s="5"/>
      <c r="AU385" s="5" t="str">
        <f ca="1">IFERROR(__xludf.DUMMYFUNCTION("""COMPUTED_VALUE"""),"Fazi")</f>
        <v>Fazi</v>
      </c>
      <c r="AV385" s="5"/>
      <c r="AW385" s="5"/>
      <c r="AX385" s="5"/>
      <c r="AY385" s="5"/>
      <c r="AZ385" s="5"/>
      <c r="BA385" s="5"/>
      <c r="BB385" s="5" t="b">
        <f ca="1">IFERROR(__xludf.DUMMYFUNCTION("""COMPUTED_VALUE"""),TRUE)</f>
        <v>1</v>
      </c>
      <c r="BC385" s="5" t="str">
        <f ca="1">IFERROR(__xludf.DUMMYFUNCTION("""COMPUTED_VALUE"""),"Playnet")</f>
        <v>Playnet</v>
      </c>
      <c r="BD385" s="7" t="str">
        <f ca="1">IFERROR(__xludf.DUMMYFUNCTION("""COMPUTED_VALUE"""),"https://gameserver-store-client-area.orbionlimited.com/Home/IntegrationGameLaunch/client-area?moneyType=0&amp;gameName=PlayNetWildForties&amp;platform=desktop&amp;languageCode=eng&amp;currency=EUR")</f>
        <v>https://gameserver-store-client-area.orbionlimited.com/Home/IntegrationGameLaunch/client-area?moneyType=0&amp;gameName=PlayNetWildForties&amp;platform=desktop&amp;languageCode=eng&amp;currency=EUR</v>
      </c>
      <c r="BE385" s="5" t="b">
        <f ca="1">IFERROR(__xludf.DUMMYFUNCTION("""COMPUTED_VALUE"""),TRUE)</f>
        <v>1</v>
      </c>
    </row>
    <row r="386" spans="1:57" x14ac:dyDescent="0.25">
      <c r="A386" s="5">
        <f ca="1">IFERROR(__xludf.DUMMYFUNCTION("""COMPUTED_VALUE"""),392)</f>
        <v>392</v>
      </c>
      <c r="B386" s="5">
        <f ca="1">IFERROR(__xludf.DUMMYFUNCTION("""COMPUTED_VALUE"""),370)</f>
        <v>370</v>
      </c>
      <c r="C386" s="5" t="str">
        <f ca="1">IFERROR(__xludf.DUMMYFUNCTION("""COMPUTED_VALUE"""),"Tiptop")</f>
        <v>Tiptop</v>
      </c>
      <c r="D386" s="5" t="str">
        <f ca="1">IFERROR(__xludf.DUMMYFUNCTION("""COMPUTED_VALUE"""),"Hit Line Dice")</f>
        <v>Hit Line Dice</v>
      </c>
      <c r="E386" s="5" t="str">
        <f ca="1">IFERROR(__xludf.DUMMYFUNCTION("""COMPUTED_VALUE"""),"V4-2")</f>
        <v>V4-2</v>
      </c>
      <c r="F386" s="5" t="str">
        <f ca="1">IFERROR(__xludf.DUMMYFUNCTION("""COMPUTED_VALUE"""),"UnicornHitLineDice")</f>
        <v>UnicornHitLineDice</v>
      </c>
      <c r="G386" s="5" t="str">
        <f ca="1">IFERROR(__xludf.DUMMYFUNCTION("""COMPUTED_VALUE"""),"Live")</f>
        <v>Live</v>
      </c>
      <c r="H386" s="5"/>
      <c r="I386" s="5" t="str">
        <f ca="1">IFERROR(__xludf.DUMMYFUNCTION("""COMPUTED_VALUE"""),"TipTop")</f>
        <v>TipTop</v>
      </c>
      <c r="J386" s="5" t="str">
        <f ca="1">IFERROR(__xludf.DUMMYFUNCTION("""COMPUTED_VALUE"""),"JSON")</f>
        <v>JSON</v>
      </c>
      <c r="K386" s="5" t="str">
        <f ca="1">IFERROR(__xludf.DUMMYFUNCTION("""COMPUTED_VALUE"""),"Dice Slots")</f>
        <v>Dice Slots</v>
      </c>
      <c r="L386" s="5"/>
      <c r="M386" s="5"/>
      <c r="N386" s="5"/>
      <c r="O386" s="5"/>
      <c r="P386" s="14">
        <f ca="1">IFERROR(__xludf.DUMMYFUNCTION("""COMPUTED_VALUE"""),13.4)</f>
        <v>13.4</v>
      </c>
      <c r="Q386" s="5"/>
      <c r="R386" s="5"/>
      <c r="S386" s="15">
        <f ca="1">IFERROR(__xludf.DUMMYFUNCTION("""COMPUTED_VALUE"""),45624)</f>
        <v>45624</v>
      </c>
      <c r="T386" s="5" t="b">
        <f ca="1">IFERROR(__xludf.DUMMYFUNCTION("""COMPUTED_VALUE"""),TRUE)</f>
        <v>1</v>
      </c>
      <c r="U386" s="5" t="str">
        <f ca="1">IFERROR(__xludf.DUMMYFUNCTION("""COMPUTED_VALUE"""),"5X3")</f>
        <v>5X3</v>
      </c>
      <c r="V386" s="5">
        <f ca="1">IFERROR(__xludf.DUMMYFUNCTION("""COMPUTED_VALUE"""),10)</f>
        <v>10</v>
      </c>
      <c r="W386" s="5">
        <f ca="1">IFERROR(__xludf.DUMMYFUNCTION("""COMPUTED_VALUE"""),10)</f>
        <v>10</v>
      </c>
      <c r="X386" s="13">
        <f ca="1">IFERROR(__xludf.DUMMYFUNCTION("""COMPUTED_VALUE"""),96)</f>
        <v>96</v>
      </c>
      <c r="Y386" s="5" t="str">
        <f ca="1">IFERROR(__xludf.DUMMYFUNCTION("""COMPUTED_VALUE"""),"Low")</f>
        <v>Low</v>
      </c>
      <c r="Z386" s="5">
        <f ca="1">IFERROR(__xludf.DUMMYFUNCTION("""COMPUTED_VALUE"""),10.88)</f>
        <v>10.88</v>
      </c>
      <c r="AA386" s="5">
        <f ca="1">IFERROR(__xludf.DUMMYFUNCTION("""COMPUTED_VALUE"""),8000)</f>
        <v>8000</v>
      </c>
      <c r="AB386" s="5"/>
      <c r="AC386" s="5"/>
      <c r="AD386" s="5" t="str">
        <f ca="1">IFERROR(__xludf.DUMMYFUNCTION("""COMPUTED_VALUE"""),"0.1/100")</f>
        <v>0.1/100</v>
      </c>
      <c r="AE386" s="5"/>
      <c r="AF386" s="5"/>
      <c r="AG386" s="10">
        <f ca="1">IFERROR(__xludf.DUMMYFUNCTION("""COMPUTED_VALUE"""),46197.4918402777)</f>
        <v>46197.491840277697</v>
      </c>
      <c r="AH386" s="5" t="str">
        <f ca="1">IFERROR(__xludf.DUMMYFUNCTION("""COMPUTED_VALUE"""),"selena.mihajlovic@fazi.rs")</f>
        <v>selena.mihajlovic@fazi.rs</v>
      </c>
      <c r="AI386" s="5"/>
      <c r="AJ386" s="5"/>
      <c r="AK386" s="5">
        <f ca="1">IFERROR(__xludf.DUMMYFUNCTION("""COMPUTED_VALUE"""),10)</f>
        <v>10</v>
      </c>
      <c r="AL386" s="5" t="str">
        <f ca="1">IFERROR(__xludf.DUMMYFUNCTION("""COMPUTED_VALUE"""),"No")</f>
        <v>No</v>
      </c>
      <c r="AM386" s="5"/>
      <c r="AN386" s="7" t="str">
        <f ca="1">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AO386" s="5"/>
      <c r="AP386" s="5"/>
      <c r="AQ386" s="5" t="b">
        <f ca="1">IFERROR(__xludf.DUMMYFUNCTION("""COMPUTED_VALUE"""),TRUE)</f>
        <v>1</v>
      </c>
      <c r="AR386" s="5"/>
      <c r="AS386" s="5" t="str">
        <f ca="1">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86" s="5"/>
      <c r="AU386" s="5" t="str">
        <f ca="1">IFERROR(__xludf.DUMMYFUNCTION("""COMPUTED_VALUE"""),"Fazi")</f>
        <v>Fazi</v>
      </c>
      <c r="AV386" s="5"/>
      <c r="AW386" s="5"/>
      <c r="AX386" s="5"/>
      <c r="AY386" s="5"/>
      <c r="AZ386" s="5"/>
      <c r="BA386" s="5"/>
      <c r="BB386" s="5" t="b">
        <f ca="1">IFERROR(__xludf.DUMMYFUNCTION("""COMPUTED_VALUE"""),TRUE)</f>
        <v>1</v>
      </c>
      <c r="BC386" s="5" t="str">
        <f ca="1">IFERROR(__xludf.DUMMYFUNCTION("""COMPUTED_VALUE"""),"Tiptop")</f>
        <v>Tiptop</v>
      </c>
      <c r="BD386" s="7" t="str">
        <f ca="1">IFERROR(__xludf.DUMMYFUNCTION("""COMPUTED_VALUE"""),"https://gameserver-store-client-area.orbionlimited.com/Home/IntegrationGameLaunch/client-area?moneyType=0&amp;gameName=UnicornHitLineDice&amp;platform=desktop&amp;languageCode=eng&amp;currency=EUR")</f>
        <v>https://gameserver-store-client-area.orbionlimited.com/Home/IntegrationGameLaunch/client-area?moneyType=0&amp;gameName=UnicornHitLineDice&amp;platform=desktop&amp;languageCode=eng&amp;currency=EUR</v>
      </c>
      <c r="BE386" s="5" t="b">
        <f ca="1">IFERROR(__xludf.DUMMYFUNCTION("""COMPUTED_VALUE"""),TRUE)</f>
        <v>1</v>
      </c>
    </row>
    <row r="387" spans="1:57" x14ac:dyDescent="0.25">
      <c r="A387" s="5">
        <f ca="1">IFERROR(__xludf.DUMMYFUNCTION("""COMPUTED_VALUE"""),393)</f>
        <v>393</v>
      </c>
      <c r="B387" s="5">
        <f ca="1">IFERROR(__xludf.DUMMYFUNCTION("""COMPUTED_VALUE"""),371)</f>
        <v>371</v>
      </c>
      <c r="C387" s="5" t="str">
        <f ca="1">IFERROR(__xludf.DUMMYFUNCTION("""COMPUTED_VALUE"""),"Playnet")</f>
        <v>Playnet</v>
      </c>
      <c r="D387" s="5" t="str">
        <f ca="1">IFERROR(__xludf.DUMMYFUNCTION("""COMPUTED_VALUE"""),"Book Of Amun")</f>
        <v>Book Of Amun</v>
      </c>
      <c r="E387" s="5" t="str">
        <f ca="1">IFERROR(__xludf.DUMMYFUNCTION("""COMPUTED_VALUE"""),"V4-2")</f>
        <v>V4-2</v>
      </c>
      <c r="F387" s="5" t="str">
        <f ca="1">IFERROR(__xludf.DUMMYFUNCTION("""COMPUTED_VALUE"""),"PlayNetBookOfAmun")</f>
        <v>PlayNetBookOfAmun</v>
      </c>
      <c r="G387" s="5" t="str">
        <f ca="1">IFERROR(__xludf.DUMMYFUNCTION("""COMPUTED_VALUE"""),"Live")</f>
        <v>Live</v>
      </c>
      <c r="H387" s="5"/>
      <c r="I387" s="5"/>
      <c r="J387" s="5" t="str">
        <f ca="1">IFERROR(__xludf.DUMMYFUNCTION("""COMPUTED_VALUE"""),"JSON")</f>
        <v>JSON</v>
      </c>
      <c r="K387" s="5" t="str">
        <f ca="1">IFERROR(__xludf.DUMMYFUNCTION("""COMPUTED_VALUE"""),"Slot")</f>
        <v>Slot</v>
      </c>
      <c r="L387" s="5" t="str">
        <f ca="1">IFERROR(__xludf.DUMMYFUNCTION("""COMPUTED_VALUE""")," Clone")</f>
        <v xml:space="preserve"> Clone</v>
      </c>
      <c r="M387" s="5" t="str">
        <f ca="1">IFERROR(__xludf.DUMMYFUNCTION("""COMPUTED_VALUE"""),"Book Of Spells Deluxe")</f>
        <v>Book Of Spells Deluxe</v>
      </c>
      <c r="N387" s="5"/>
      <c r="O387" s="5"/>
      <c r="P387" s="14">
        <f ca="1">IFERROR(__xludf.DUMMYFUNCTION("""COMPUTED_VALUE"""),10)</f>
        <v>10</v>
      </c>
      <c r="Q387" s="5"/>
      <c r="R387" s="5"/>
      <c r="S387" s="15">
        <f ca="1">IFERROR(__xludf.DUMMYFUNCTION("""COMPUTED_VALUE"""),45590)</f>
        <v>45590</v>
      </c>
      <c r="T387" s="5" t="b">
        <f ca="1">IFERROR(__xludf.DUMMYFUNCTION("""COMPUTED_VALUE"""),TRUE)</f>
        <v>1</v>
      </c>
      <c r="U387" s="5" t="str">
        <f ca="1">IFERROR(__xludf.DUMMYFUNCTION("""COMPUTED_VALUE"""),"5x3")</f>
        <v>5x3</v>
      </c>
      <c r="V387" s="5">
        <f ca="1">IFERROR(__xludf.DUMMYFUNCTION("""COMPUTED_VALUE"""),10)</f>
        <v>10</v>
      </c>
      <c r="W387" s="5">
        <f ca="1">IFERROR(__xludf.DUMMYFUNCTION("""COMPUTED_VALUE"""),10)</f>
        <v>10</v>
      </c>
      <c r="X387" s="13">
        <f ca="1">IFERROR(__xludf.DUMMYFUNCTION("""COMPUTED_VALUE"""),96.064)</f>
        <v>96.063999999999993</v>
      </c>
      <c r="Y387" s="5" t="str">
        <f ca="1">IFERROR(__xludf.DUMMYFUNCTION("""COMPUTED_VALUE"""),"High")</f>
        <v>High</v>
      </c>
      <c r="Z387" s="5">
        <f ca="1">IFERROR(__xludf.DUMMYFUNCTION("""COMPUTED_VALUE"""),31.467)</f>
        <v>31.466999999999999</v>
      </c>
      <c r="AA387" s="5">
        <f ca="1">IFERROR(__xludf.DUMMYFUNCTION("""COMPUTED_VALUE"""),5512)</f>
        <v>5512</v>
      </c>
      <c r="AB387" s="5"/>
      <c r="AC387" s="5" t="str">
        <f ca="1">IFERROR(__xludf.DUMMYFUNCTION("""COMPUTED_VALUE"""),"Bonus Game with Free Spins, Book Of Game, Wild Symbol, Scatter")</f>
        <v>Bonus Game with Free Spins, Book Of Game, Wild Symbol, Scatter</v>
      </c>
      <c r="AD387" s="5" t="str">
        <f ca="1">IFERROR(__xludf.DUMMYFUNCTION("""COMPUTED_VALUE"""),"0.01/40")</f>
        <v>0.01/40</v>
      </c>
      <c r="AE387" s="5"/>
      <c r="AF387" s="5"/>
      <c r="AG387" s="10">
        <f ca="1">IFERROR(__xludf.DUMMYFUNCTION("""COMPUTED_VALUE"""),46220.5004398148)</f>
        <v>46220.500439814801</v>
      </c>
      <c r="AH387" s="5" t="str">
        <f ca="1">IFERROR(__xludf.DUMMYFUNCTION("""COMPUTED_VALUE"""),"selena.mihajlovic@fazi.rs")</f>
        <v>selena.mihajlovic@fazi.rs</v>
      </c>
      <c r="AI387" s="5"/>
      <c r="AJ387" s="5"/>
      <c r="AK387" s="5">
        <f ca="1">IFERROR(__xludf.DUMMYFUNCTION("""COMPUTED_VALUE"""),10)</f>
        <v>10</v>
      </c>
      <c r="AL387" s="5" t="str">
        <f ca="1">IFERROR(__xludf.DUMMYFUNCTION("""COMPUTED_VALUE"""),"No")</f>
        <v>No</v>
      </c>
      <c r="AM387" s="5" t="str">
        <f ca="1">IFERROR(__xludf.DUMMYFUNCTION("""COMPUTED_VALUE"""),"No")</f>
        <v>No</v>
      </c>
      <c r="AN387" s="7" t="str">
        <f ca="1">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AO387" s="5" t="str">
        <f ca="1">IFERROR(__xludf.DUMMYFUNCTION("""COMPUTED_VALUE"""),"No")</f>
        <v>No</v>
      </c>
      <c r="AP387" s="5" t="str">
        <f ca="1">IFERROR(__xludf.DUMMYFUNCTION("""COMPUTED_VALUE"""),"No")</f>
        <v>No</v>
      </c>
      <c r="AQ387" s="5" t="b">
        <f ca="1">IFERROR(__xludf.DUMMYFUNCTION("""COMPUTED_VALUE"""),TRUE)</f>
        <v>1</v>
      </c>
      <c r="AR387" s="5"/>
      <c r="AS387" s="5" t="str">
        <f ca="1">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AT387" s="5"/>
      <c r="AU387" s="5" t="str">
        <f ca="1">IFERROR(__xludf.DUMMYFUNCTION("""COMPUTED_VALUE"""),"Fazi")</f>
        <v>Fazi</v>
      </c>
      <c r="AV387" s="5"/>
      <c r="AW387" s="5"/>
      <c r="AX387" s="5"/>
      <c r="AY387" s="5"/>
      <c r="AZ387" s="5"/>
      <c r="BA387" s="5"/>
      <c r="BB387" s="5" t="b">
        <f ca="1">IFERROR(__xludf.DUMMYFUNCTION("""COMPUTED_VALUE"""),TRUE)</f>
        <v>1</v>
      </c>
      <c r="BC387" s="5" t="str">
        <f ca="1">IFERROR(__xludf.DUMMYFUNCTION("""COMPUTED_VALUE"""),"Playnet")</f>
        <v>Playnet</v>
      </c>
      <c r="BD387" s="7" t="str">
        <f ca="1">IFERROR(__xludf.DUMMYFUNCTION("""COMPUTED_VALUE"""),"https://gameserver-store-client-area.orbionlimited.com/Home/IntegrationGameLaunch/client-area?moneyType=0&amp;gameName=PlayNetBookOfAmun&amp;platform=desktop&amp;languageCode=eng&amp;currency=EUR")</f>
        <v>https://gameserver-store-client-area.orbionlimited.com/Home/IntegrationGameLaunch/client-area?moneyType=0&amp;gameName=PlayNetBookOfAmun&amp;platform=desktop&amp;languageCode=eng&amp;currency=EUR</v>
      </c>
      <c r="BE387" s="5" t="b">
        <f ca="1">IFERROR(__xludf.DUMMYFUNCTION("""COMPUTED_VALUE"""),TRUE)</f>
        <v>1</v>
      </c>
    </row>
    <row r="388" spans="1:57" x14ac:dyDescent="0.25">
      <c r="A388" s="5">
        <f ca="1">IFERROR(__xludf.DUMMYFUNCTION("""COMPUTED_VALUE"""),394)</f>
        <v>394</v>
      </c>
      <c r="B388" s="5">
        <f ca="1">IFERROR(__xludf.DUMMYFUNCTION("""COMPUTED_VALUE"""),372)</f>
        <v>372</v>
      </c>
      <c r="C388" s="5" t="str">
        <f ca="1">IFERROR(__xludf.DUMMYFUNCTION("""COMPUTED_VALUE"""),"Redstone")</f>
        <v>Redstone</v>
      </c>
      <c r="D388" s="5" t="str">
        <f ca="1">IFERROR(__xludf.DUMMYFUNCTION("""COMPUTED_VALUE"""),"81 Double Magic")</f>
        <v>81 Double Magic</v>
      </c>
      <c r="E388" s="5" t="str">
        <f ca="1">IFERROR(__xludf.DUMMYFUNCTION("""COMPUTED_VALUE"""),"Redstone")</f>
        <v>Redstone</v>
      </c>
      <c r="F388" s="5" t="str">
        <f ca="1">IFERROR(__xludf.DUMMYFUNCTION("""COMPUTED_VALUE"""),"Redstone81DoubleMagic")</f>
        <v>Redstone81DoubleMagic</v>
      </c>
      <c r="G388" s="5" t="str">
        <f ca="1">IFERROR(__xludf.DUMMYFUNCTION("""COMPUTED_VALUE"""),"Live")</f>
        <v>Live</v>
      </c>
      <c r="H388" s="5"/>
      <c r="I388" s="5" t="str">
        <f ca="1">IFERROR(__xludf.DUMMYFUNCTION("""COMPUTED_VALUE"""),"Redstone")</f>
        <v>Redstone</v>
      </c>
      <c r="J388" s="5" t="str">
        <f ca="1">IFERROR(__xludf.DUMMYFUNCTION("""COMPUTED_VALUE"""),"JSON")</f>
        <v>JSON</v>
      </c>
      <c r="K388" s="5" t="str">
        <f ca="1">IFERROR(__xludf.DUMMYFUNCTION("""COMPUTED_VALUE"""),"Slot")</f>
        <v>Slot</v>
      </c>
      <c r="L388" s="5" t="str">
        <f ca="1">IFERROR(__xludf.DUMMYFUNCTION("""COMPUTED_VALUE""")," Clone")</f>
        <v xml:space="preserve"> Clone</v>
      </c>
      <c r="M388" s="5" t="str">
        <f ca="1">IFERROR(__xludf.DUMMYFUNCTION("""COMPUTED_VALUE"""),"81 Vegas Crown")</f>
        <v>81 Vegas Crown</v>
      </c>
      <c r="N388" s="7" t="str">
        <f ca="1">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88" s="7" t="str">
        <f ca="1">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88" s="14">
        <f ca="1">IFERROR(__xludf.DUMMYFUNCTION("""COMPUTED_VALUE"""),9.7)</f>
        <v>9.6999999999999993</v>
      </c>
      <c r="Q388" s="5"/>
      <c r="R388" s="5"/>
      <c r="S388" s="15">
        <f ca="1">IFERROR(__xludf.DUMMYFUNCTION("""COMPUTED_VALUE"""),45586)</f>
        <v>45586</v>
      </c>
      <c r="T388" s="5" t="b">
        <f ca="1">IFERROR(__xludf.DUMMYFUNCTION("""COMPUTED_VALUE"""),TRUE)</f>
        <v>1</v>
      </c>
      <c r="U388" s="5" t="str">
        <f ca="1">IFERROR(__xludf.DUMMYFUNCTION("""COMPUTED_VALUE"""),"4x3")</f>
        <v>4x3</v>
      </c>
      <c r="V388" s="5">
        <f ca="1">IFERROR(__xludf.DUMMYFUNCTION("""COMPUTED_VALUE"""),81)</f>
        <v>81</v>
      </c>
      <c r="W388" s="5">
        <f ca="1">IFERROR(__xludf.DUMMYFUNCTION("""COMPUTED_VALUE"""),81)</f>
        <v>81</v>
      </c>
      <c r="X388" s="13">
        <f ca="1">IFERROR(__xludf.DUMMYFUNCTION("""COMPUTED_VALUE"""),96.55)</f>
        <v>96.55</v>
      </c>
      <c r="Y388" s="5" t="str">
        <f ca="1">IFERROR(__xludf.DUMMYFUNCTION("""COMPUTED_VALUE"""),"High")</f>
        <v>High</v>
      </c>
      <c r="Z388" s="5">
        <f ca="1">IFERROR(__xludf.DUMMYFUNCTION("""COMPUTED_VALUE"""),5.1)</f>
        <v>5.0999999999999996</v>
      </c>
      <c r="AA388" s="5">
        <f ca="1">IFERROR(__xludf.DUMMYFUNCTION("""COMPUTED_VALUE"""),3200)</f>
        <v>3200</v>
      </c>
      <c r="AB388" s="5"/>
      <c r="AC388" s="5" t="str">
        <f ca="1">IFERROR(__xludf.DUMMYFUNCTION("""COMPUTED_VALUE"""),"Mystery symbol, Wild Multiplier")</f>
        <v>Mystery symbol, Wild Multiplier</v>
      </c>
      <c r="AD388" s="5" t="str">
        <f ca="1">IFERROR(__xludf.DUMMYFUNCTION("""COMPUTED_VALUE"""),"0.05/20")</f>
        <v>0.05/20</v>
      </c>
      <c r="AE388" s="5"/>
      <c r="AF388" s="5"/>
      <c r="AG388" s="10">
        <f ca="1">IFERROR(__xludf.DUMMYFUNCTION("""COMPUTED_VALUE"""),46157.4905439814)</f>
        <v>46157.490543981403</v>
      </c>
      <c r="AH388" s="5"/>
      <c r="AI388" s="5"/>
      <c r="AJ388" s="5"/>
      <c r="AK388" s="5">
        <f ca="1">IFERROR(__xludf.DUMMYFUNCTION("""COMPUTED_VALUE"""),1)</f>
        <v>1</v>
      </c>
      <c r="AL388" s="5" t="str">
        <f ca="1">IFERROR(__xludf.DUMMYFUNCTION("""COMPUTED_VALUE"""),"No")</f>
        <v>No</v>
      </c>
      <c r="AM388" s="5" t="str">
        <f ca="1">IFERROR(__xludf.DUMMYFUNCTION("""COMPUTED_VALUE"""),"No")</f>
        <v>No</v>
      </c>
      <c r="AN388" s="7" t="str">
        <f ca="1">IFERROR(__xludf.DUMMYFUNCTION("""COMPUTED_VALUE"""),"https://static.redstone.rs/games/81-double-magic/")</f>
        <v>https://static.redstone.rs/games/81-double-magic/</v>
      </c>
      <c r="AO388" s="5" t="str">
        <f ca="1">IFERROR(__xludf.DUMMYFUNCTION("""COMPUTED_VALUE"""),"No")</f>
        <v>No</v>
      </c>
      <c r="AP388" s="5" t="str">
        <f ca="1">IFERROR(__xludf.DUMMYFUNCTION("""COMPUTED_VALUE"""),"No")</f>
        <v>No</v>
      </c>
      <c r="AQ388" s="5" t="b">
        <f ca="1">IFERROR(__xludf.DUMMYFUNCTION("""COMPUTED_VALUE"""),TRUE)</f>
        <v>1</v>
      </c>
      <c r="AR388" s="5"/>
      <c r="AS388" s="5" t="str">
        <f ca="1">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AT388" s="5"/>
      <c r="AU388" s="5" t="str">
        <f ca="1">IFERROR(__xludf.DUMMYFUNCTION("""COMPUTED_VALUE"""),"Redstone")</f>
        <v>Redstone</v>
      </c>
      <c r="AV388" s="5"/>
      <c r="AW388" s="5"/>
      <c r="AX388" s="5"/>
      <c r="AY388" s="5"/>
      <c r="AZ388" s="5"/>
      <c r="BA388" s="5"/>
      <c r="BB388" s="5" t="b">
        <f ca="1">IFERROR(__xludf.DUMMYFUNCTION("""COMPUTED_VALUE"""),TRUE)</f>
        <v>1</v>
      </c>
      <c r="BC388" s="5" t="str">
        <f ca="1">IFERROR(__xludf.DUMMYFUNCTION("""COMPUTED_VALUE"""),"Redstone")</f>
        <v>Redstone</v>
      </c>
      <c r="BD388" s="7" t="str">
        <f ca="1">IFERROR(__xludf.DUMMYFUNCTION("""COMPUTED_VALUE"""),"https://static.redstone.rs/games/81-double-magic/")</f>
        <v>https://static.redstone.rs/games/81-double-magic/</v>
      </c>
      <c r="BE388" s="5" t="b">
        <f ca="1">IFERROR(__xludf.DUMMYFUNCTION("""COMPUTED_VALUE"""),TRUE)</f>
        <v>1</v>
      </c>
    </row>
    <row r="389" spans="1:57" x14ac:dyDescent="0.25">
      <c r="A389" s="5">
        <f ca="1">IFERROR(__xludf.DUMMYFUNCTION("""COMPUTED_VALUE"""),396)</f>
        <v>396</v>
      </c>
      <c r="B389" s="5">
        <f ca="1">IFERROR(__xludf.DUMMYFUNCTION("""COMPUTED_VALUE"""),374)</f>
        <v>374</v>
      </c>
      <c r="C389" s="5" t="str">
        <f ca="1">IFERROR(__xludf.DUMMYFUNCTION("""COMPUTED_VALUE"""),"Tiptop")</f>
        <v>Tiptop</v>
      </c>
      <c r="D389" s="5" t="str">
        <f ca="1">IFERROR(__xludf.DUMMYFUNCTION("""COMPUTED_VALUE"""),"Dynamite Run")</f>
        <v>Dynamite Run</v>
      </c>
      <c r="E389" s="5" t="str">
        <f ca="1">IFERROR(__xludf.DUMMYFUNCTION("""COMPUTED_VALUE"""),"V4-2")</f>
        <v>V4-2</v>
      </c>
      <c r="F389" s="5" t="str">
        <f ca="1">IFERROR(__xludf.DUMMYFUNCTION("""COMPUTED_VALUE"""),"UnicornDynamiteRun")</f>
        <v>UnicornDynamiteRun</v>
      </c>
      <c r="G389" s="5" t="str">
        <f ca="1">IFERROR(__xludf.DUMMYFUNCTION("""COMPUTED_VALUE"""),"Live")</f>
        <v>Live</v>
      </c>
      <c r="H389" s="5"/>
      <c r="I389" s="5" t="str">
        <f ca="1">IFERROR(__xludf.DUMMYFUNCTION("""COMPUTED_VALUE"""),"TipTop")</f>
        <v>TipTop</v>
      </c>
      <c r="J389" s="5" t="str">
        <f ca="1">IFERROR(__xludf.DUMMYFUNCTION("""COMPUTED_VALUE"""),"JSON")</f>
        <v>JSON</v>
      </c>
      <c r="K389" s="5" t="str">
        <f ca="1">IFERROR(__xludf.DUMMYFUNCTION("""COMPUTED_VALUE"""),"Slot")</f>
        <v>Slot</v>
      </c>
      <c r="L389" s="5" t="str">
        <f ca="1">IFERROR(__xludf.DUMMYFUNCTION("""COMPUTED_VALUE""")," Clone")</f>
        <v xml:space="preserve"> Clone</v>
      </c>
      <c r="M389" s="5" t="str">
        <f ca="1">IFERROR(__xludf.DUMMYFUNCTION("""COMPUTED_VALUE"""),"The Crown Fruit")</f>
        <v>The Crown Fruit</v>
      </c>
      <c r="N389" s="5"/>
      <c r="O389" s="5"/>
      <c r="P389" s="14">
        <f ca="1">IFERROR(__xludf.DUMMYFUNCTION("""COMPUTED_VALUE"""),12.3)</f>
        <v>12.3</v>
      </c>
      <c r="Q389" s="17">
        <f ca="1">IFERROR(__xludf.DUMMYFUNCTION("""COMPUTED_VALUE"""),45635)</f>
        <v>45635</v>
      </c>
      <c r="R389" s="17">
        <f ca="1">IFERROR(__xludf.DUMMYFUNCTION("""COMPUTED_VALUE"""),45637)</f>
        <v>45637</v>
      </c>
      <c r="S389" s="15">
        <f ca="1">IFERROR(__xludf.DUMMYFUNCTION("""COMPUTED_VALUE"""),45644)</f>
        <v>45644</v>
      </c>
      <c r="T389" s="5" t="b">
        <f ca="1">IFERROR(__xludf.DUMMYFUNCTION("""COMPUTED_VALUE"""),TRUE)</f>
        <v>1</v>
      </c>
      <c r="U389" s="5" t="str">
        <f ca="1">IFERROR(__xludf.DUMMYFUNCTION("""COMPUTED_VALUE"""),"5X3")</f>
        <v>5X3</v>
      </c>
      <c r="V389" s="5">
        <f ca="1">IFERROR(__xludf.DUMMYFUNCTION("""COMPUTED_VALUE"""),10)</f>
        <v>10</v>
      </c>
      <c r="W389" s="5">
        <f ca="1">IFERROR(__xludf.DUMMYFUNCTION("""COMPUTED_VALUE"""),10)</f>
        <v>10</v>
      </c>
      <c r="X389" s="13">
        <f ca="1">IFERROR(__xludf.DUMMYFUNCTION("""COMPUTED_VALUE"""),96)</f>
        <v>96</v>
      </c>
      <c r="Y389" s="5" t="str">
        <f ca="1">IFERROR(__xludf.DUMMYFUNCTION("""COMPUTED_VALUE"""),"Low")</f>
        <v>Low</v>
      </c>
      <c r="Z389" s="5">
        <f ca="1">IFERROR(__xludf.DUMMYFUNCTION("""COMPUTED_VALUE"""),26.12)</f>
        <v>26.12</v>
      </c>
      <c r="AA389" s="5">
        <f ca="1">IFERROR(__xludf.DUMMYFUNCTION("""COMPUTED_VALUE"""),1100)</f>
        <v>1100</v>
      </c>
      <c r="AB389" s="5"/>
      <c r="AC389" s="5"/>
      <c r="AD389" s="5" t="str">
        <f ca="1">IFERROR(__xludf.DUMMYFUNCTION("""COMPUTED_VALUE"""),"0.1/100")</f>
        <v>0.1/100</v>
      </c>
      <c r="AE389" s="5"/>
      <c r="AF389" s="5"/>
      <c r="AG389" s="10">
        <f ca="1">IFERROR(__xludf.DUMMYFUNCTION("""COMPUTED_VALUE"""),46197.4920949074)</f>
        <v>46197.4920949074</v>
      </c>
      <c r="AH389" s="5" t="str">
        <f ca="1">IFERROR(__xludf.DUMMYFUNCTION("""COMPUTED_VALUE"""),"selena.mihajlovic@fazi.rs")</f>
        <v>selena.mihajlovic@fazi.rs</v>
      </c>
      <c r="AI389" s="5"/>
      <c r="AJ389" s="5"/>
      <c r="AK389" s="5">
        <f ca="1">IFERROR(__xludf.DUMMYFUNCTION("""COMPUTED_VALUE"""),10)</f>
        <v>10</v>
      </c>
      <c r="AL389" s="5" t="str">
        <f ca="1">IFERROR(__xludf.DUMMYFUNCTION("""COMPUTED_VALUE"""),"No")</f>
        <v>No</v>
      </c>
      <c r="AM389" s="5"/>
      <c r="AN389" s="7" t="str">
        <f ca="1">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AO389" s="5"/>
      <c r="AP389" s="5"/>
      <c r="AQ389" s="5" t="b">
        <f ca="1">IFERROR(__xludf.DUMMYFUNCTION("""COMPUTED_VALUE"""),TRUE)</f>
        <v>1</v>
      </c>
      <c r="AR389" s="5"/>
      <c r="AS389" s="5" t="str">
        <f ca="1">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AT389" s="5"/>
      <c r="AU389" s="5" t="str">
        <f ca="1">IFERROR(__xludf.DUMMYFUNCTION("""COMPUTED_VALUE"""),"Fazi")</f>
        <v>Fazi</v>
      </c>
      <c r="AV389" s="5"/>
      <c r="AW389" s="5"/>
      <c r="AX389" s="5"/>
      <c r="AY389" s="5"/>
      <c r="AZ389" s="5"/>
      <c r="BA389" s="5"/>
      <c r="BB389" s="5" t="b">
        <f ca="1">IFERROR(__xludf.DUMMYFUNCTION("""COMPUTED_VALUE"""),TRUE)</f>
        <v>1</v>
      </c>
      <c r="BC389" s="5" t="str">
        <f ca="1">IFERROR(__xludf.DUMMYFUNCTION("""COMPUTED_VALUE"""),"Tiptop")</f>
        <v>Tiptop</v>
      </c>
      <c r="BD389" s="7" t="str">
        <f ca="1">IFERROR(__xludf.DUMMYFUNCTION("""COMPUTED_VALUE"""),"https://gameserver-store-client-area.orbionlimited.com/Home/IntegrationGameLaunch/client-area?moneyType=0&amp;gameName=UnicornDynamiteRun&amp;platform=desktop&amp;languageCode=eng&amp;currency=EUR")</f>
        <v>https://gameserver-store-client-area.orbionlimited.com/Home/IntegrationGameLaunch/client-area?moneyType=0&amp;gameName=UnicornDynamiteRun&amp;platform=desktop&amp;languageCode=eng&amp;currency=EUR</v>
      </c>
      <c r="BE389" s="5" t="b">
        <f ca="1">IFERROR(__xludf.DUMMYFUNCTION("""COMPUTED_VALUE"""),TRUE)</f>
        <v>1</v>
      </c>
    </row>
    <row r="390" spans="1:57" x14ac:dyDescent="0.25">
      <c r="A390" s="5">
        <f ca="1">IFERROR(__xludf.DUMMYFUNCTION("""COMPUTED_VALUE"""),398)</f>
        <v>398</v>
      </c>
      <c r="B390" s="5">
        <f ca="1">IFERROR(__xludf.DUMMYFUNCTION("""COMPUTED_VALUE"""),376)</f>
        <v>376</v>
      </c>
      <c r="C390" s="5" t="str">
        <f ca="1">IFERROR(__xludf.DUMMYFUNCTION("""COMPUTED_VALUE"""),"Redstone")</f>
        <v>Redstone</v>
      </c>
      <c r="D390" s="5" t="str">
        <f ca="1">IFERROR(__xludf.DUMMYFUNCTION("""COMPUTED_VALUE"""),"Only Anime")</f>
        <v>Only Anime</v>
      </c>
      <c r="E390" s="5" t="str">
        <f ca="1">IFERROR(__xludf.DUMMYFUNCTION("""COMPUTED_VALUE"""),"Redstone")</f>
        <v>Redstone</v>
      </c>
      <c r="F390" s="5" t="str">
        <f ca="1">IFERROR(__xludf.DUMMYFUNCTION("""COMPUTED_VALUE"""),"RedstoneOnlyAnime")</f>
        <v>RedstoneOnlyAnime</v>
      </c>
      <c r="G390" s="5" t="str">
        <f ca="1">IFERROR(__xludf.DUMMYFUNCTION("""COMPUTED_VALUE"""),"Live")</f>
        <v>Live</v>
      </c>
      <c r="H390" s="5"/>
      <c r="I390" s="5" t="str">
        <f ca="1">IFERROR(__xludf.DUMMYFUNCTION("""COMPUTED_VALUE"""),"Redstone")</f>
        <v>Redstone</v>
      </c>
      <c r="J390" s="5" t="str">
        <f ca="1">IFERROR(__xludf.DUMMYFUNCTION("""COMPUTED_VALUE"""),"JSON")</f>
        <v>JSON</v>
      </c>
      <c r="K390" s="5" t="str">
        <f ca="1">IFERROR(__xludf.DUMMYFUNCTION("""COMPUTED_VALUE"""),"Slot")</f>
        <v>Slot</v>
      </c>
      <c r="L390" s="5" t="str">
        <f ca="1">IFERROR(__xludf.DUMMYFUNCTION("""COMPUTED_VALUE""")," Clone")</f>
        <v xml:space="preserve"> Clone</v>
      </c>
      <c r="M390" s="5" t="str">
        <f ca="1">IFERROR(__xludf.DUMMYFUNCTION("""COMPUTED_VALUE"""),"Wild Heart Beat")</f>
        <v>Wild Heart Beat</v>
      </c>
      <c r="N390" s="7" t="str">
        <f ca="1">IFERROR(__xludf.DUMMYFUNCTION("""COMPUTED_VALUE"""),"https://drive.google.com/file/d/19k5oZnvVV_HIMJQy22Kac8uBOSmgadyn/view?usp=drive_link")</f>
        <v>https://drive.google.com/file/d/19k5oZnvVV_HIMJQy22Kac8uBOSmgadyn/view?usp=drive_link</v>
      </c>
      <c r="O390" s="7" t="str">
        <f ca="1">IFERROR(__xludf.DUMMYFUNCTION("""COMPUTED_VALUE"""),"https://drive.google.com/file/d/1-I-7paFu6ZRTeGNBBK3AzEis6T2kyLPY/view?usp=drive_link")</f>
        <v>https://drive.google.com/file/d/1-I-7paFu6ZRTeGNBBK3AzEis6T2kyLPY/view?usp=drive_link</v>
      </c>
      <c r="P390" s="14">
        <f ca="1">IFERROR(__xludf.DUMMYFUNCTION("""COMPUTED_VALUE"""),8.5)</f>
        <v>8.5</v>
      </c>
      <c r="Q390" s="5"/>
      <c r="R390" s="5"/>
      <c r="S390" s="15">
        <f ca="1">IFERROR(__xludf.DUMMYFUNCTION("""COMPUTED_VALUE"""),45610)</f>
        <v>45610</v>
      </c>
      <c r="T390" s="5"/>
      <c r="U390" s="5" t="str">
        <f ca="1">IFERROR(__xludf.DUMMYFUNCTION("""COMPUTED_VALUE"""),"5x3")</f>
        <v>5x3</v>
      </c>
      <c r="V390" s="5">
        <f ca="1">IFERROR(__xludf.DUMMYFUNCTION("""COMPUTED_VALUE"""),5)</f>
        <v>5</v>
      </c>
      <c r="W390" s="5">
        <f ca="1">IFERROR(__xludf.DUMMYFUNCTION("""COMPUTED_VALUE"""),5)</f>
        <v>5</v>
      </c>
      <c r="X390" s="5">
        <f ca="1">IFERROR(__xludf.DUMMYFUNCTION("""COMPUTED_VALUE"""),96.36)</f>
        <v>96.36</v>
      </c>
      <c r="Y390" s="5" t="str">
        <f ca="1">IFERROR(__xludf.DUMMYFUNCTION("""COMPUTED_VALUE"""),"Medium")</f>
        <v>Medium</v>
      </c>
      <c r="Z390" s="5">
        <f ca="1">IFERROR(__xludf.DUMMYFUNCTION("""COMPUTED_VALUE"""),11.87)</f>
        <v>11.87</v>
      </c>
      <c r="AA390" s="5">
        <f ca="1">IFERROR(__xludf.DUMMYFUNCTION("""COMPUTED_VALUE"""),2000)</f>
        <v>2000</v>
      </c>
      <c r="AB390" s="5"/>
      <c r="AC390" s="5" t="str">
        <f ca="1">IFERROR(__xludf.DUMMYFUNCTION("""COMPUTED_VALUE"""),"Scatter, Expanding Wild")</f>
        <v>Scatter, Expanding Wild</v>
      </c>
      <c r="AD390" s="5" t="str">
        <f ca="1">IFERROR(__xludf.DUMMYFUNCTION("""COMPUTED_VALUE"""),"0.01/50")</f>
        <v>0.01/50</v>
      </c>
      <c r="AE390" s="5"/>
      <c r="AF390" s="5"/>
      <c r="AG390" s="10">
        <f ca="1">IFERROR(__xludf.DUMMYFUNCTION("""COMPUTED_VALUE"""),46157.4905787037)</f>
        <v>46157.490578703699</v>
      </c>
      <c r="AH390" s="5"/>
      <c r="AI390" s="5"/>
      <c r="AJ390" s="5"/>
      <c r="AK390" s="5">
        <f ca="1">IFERROR(__xludf.DUMMYFUNCTION("""COMPUTED_VALUE"""),1)</f>
        <v>1</v>
      </c>
      <c r="AL390" s="5" t="str">
        <f ca="1">IFERROR(__xludf.DUMMYFUNCTION("""COMPUTED_VALUE"""),"No")</f>
        <v>No</v>
      </c>
      <c r="AM390" s="5" t="str">
        <f ca="1">IFERROR(__xludf.DUMMYFUNCTION("""COMPUTED_VALUE"""),"No")</f>
        <v>No</v>
      </c>
      <c r="AN390" s="7" t="str">
        <f ca="1">IFERROR(__xludf.DUMMYFUNCTION("""COMPUTED_VALUE"""),"https://static.redstone.rs/games/only-anime/")</f>
        <v>https://static.redstone.rs/games/only-anime/</v>
      </c>
      <c r="AO390" s="5" t="str">
        <f ca="1">IFERROR(__xludf.DUMMYFUNCTION("""COMPUTED_VALUE"""),"No")</f>
        <v>No</v>
      </c>
      <c r="AP390" s="5" t="str">
        <f ca="1">IFERROR(__xludf.DUMMYFUNCTION("""COMPUTED_VALUE"""),"No")</f>
        <v>No</v>
      </c>
      <c r="AQ390" s="5" t="b">
        <f ca="1">IFERROR(__xludf.DUMMYFUNCTION("""COMPUTED_VALUE"""),TRUE)</f>
        <v>1</v>
      </c>
      <c r="AR390" s="5"/>
      <c r="AS390" s="5" t="str">
        <f ca="1">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AT390" s="5"/>
      <c r="AU390" s="5" t="str">
        <f ca="1">IFERROR(__xludf.DUMMYFUNCTION("""COMPUTED_VALUE"""),"Redstone")</f>
        <v>Redstone</v>
      </c>
      <c r="AV390" s="5"/>
      <c r="AW390" s="5"/>
      <c r="AX390" s="5"/>
      <c r="AY390" s="5"/>
      <c r="AZ390" s="5"/>
      <c r="BA390" s="5"/>
      <c r="BB390" s="5" t="b">
        <f ca="1">IFERROR(__xludf.DUMMYFUNCTION("""COMPUTED_VALUE"""),TRUE)</f>
        <v>1</v>
      </c>
      <c r="BC390" s="5" t="str">
        <f ca="1">IFERROR(__xludf.DUMMYFUNCTION("""COMPUTED_VALUE"""),"Redstone")</f>
        <v>Redstone</v>
      </c>
      <c r="BD390" s="7" t="str">
        <f ca="1">IFERROR(__xludf.DUMMYFUNCTION("""COMPUTED_VALUE"""),"https://static.redstone.rs/games/only-anime/")</f>
        <v>https://static.redstone.rs/games/only-anime/</v>
      </c>
      <c r="BE390" s="5" t="b">
        <f ca="1">IFERROR(__xludf.DUMMYFUNCTION("""COMPUTED_VALUE"""),TRUE)</f>
        <v>1</v>
      </c>
    </row>
    <row r="391" spans="1:57" x14ac:dyDescent="0.25">
      <c r="A391" s="5">
        <f ca="1">IFERROR(__xludf.DUMMYFUNCTION("""COMPUTED_VALUE"""),399)</f>
        <v>399</v>
      </c>
      <c r="B391" s="5">
        <f ca="1">IFERROR(__xludf.DUMMYFUNCTION("""COMPUTED_VALUE"""),377)</f>
        <v>377</v>
      </c>
      <c r="C391" s="5" t="str">
        <f ca="1">IFERROR(__xludf.DUMMYFUNCTION("""COMPUTED_VALUE"""),"Redstone")</f>
        <v>Redstone</v>
      </c>
      <c r="D391" s="5" t="str">
        <f ca="1">IFERROR(__xludf.DUMMYFUNCTION("""COMPUTED_VALUE"""),"27 Double Fruits")</f>
        <v>27 Double Fruits</v>
      </c>
      <c r="E391" s="5" t="str">
        <f ca="1">IFERROR(__xludf.DUMMYFUNCTION("""COMPUTED_VALUE"""),"Redstone")</f>
        <v>Redstone</v>
      </c>
      <c r="F391" s="5" t="str">
        <f ca="1">IFERROR(__xludf.DUMMYFUNCTION("""COMPUTED_VALUE"""),"Redstone27DoubleFruit")</f>
        <v>Redstone27DoubleFruit</v>
      </c>
      <c r="G391" s="5" t="str">
        <f ca="1">IFERROR(__xludf.DUMMYFUNCTION("""COMPUTED_VALUE"""),"Live")</f>
        <v>Live</v>
      </c>
      <c r="H391" s="5"/>
      <c r="I391" s="5" t="str">
        <f ca="1">IFERROR(__xludf.DUMMYFUNCTION("""COMPUTED_VALUE"""),"Redstone")</f>
        <v>Redstone</v>
      </c>
      <c r="J391" s="5" t="str">
        <f ca="1">IFERROR(__xludf.DUMMYFUNCTION("""COMPUTED_VALUE"""),"JSON")</f>
        <v>JSON</v>
      </c>
      <c r="K391" s="5" t="str">
        <f ca="1">IFERROR(__xludf.DUMMYFUNCTION("""COMPUTED_VALUE"""),"Slot")</f>
        <v>Slot</v>
      </c>
      <c r="L391" s="5" t="str">
        <f ca="1">IFERROR(__xludf.DUMMYFUNCTION("""COMPUTED_VALUE""")," Clone")</f>
        <v xml:space="preserve"> Clone</v>
      </c>
      <c r="M391" s="5" t="str">
        <f ca="1">IFERROR(__xludf.DUMMYFUNCTION("""COMPUTED_VALUE"""),"Apollo 27 Classic")</f>
        <v>Apollo 27 Classic</v>
      </c>
      <c r="N391" s="7" t="str">
        <f ca="1">IFERROR(__xludf.DUMMYFUNCTION("""COMPUTED_VALUE"""),"https://drive.google.com/file/d/1WvgU430EFQf7ooLSL3f6fKZDBoTMbRkG/view?usp=drive_link")</f>
        <v>https://drive.google.com/file/d/1WvgU430EFQf7ooLSL3f6fKZDBoTMbRkG/view?usp=drive_link</v>
      </c>
      <c r="O391" s="7" t="str">
        <f ca="1">IFERROR(__xludf.DUMMYFUNCTION("""COMPUTED_VALUE"""),"https://drive.google.com/file/d/1rEbycdA6TxvvOeCgks6cSjRZsmDRxjog/view?usp=drive_link")</f>
        <v>https://drive.google.com/file/d/1rEbycdA6TxvvOeCgks6cSjRZsmDRxjog/view?usp=drive_link</v>
      </c>
      <c r="P391" s="14">
        <f ca="1">IFERROR(__xludf.DUMMYFUNCTION("""COMPUTED_VALUE"""),6.2)</f>
        <v>6.2</v>
      </c>
      <c r="Q391" s="5"/>
      <c r="R391" s="5"/>
      <c r="S391" s="15">
        <f ca="1">IFERROR(__xludf.DUMMYFUNCTION("""COMPUTED_VALUE"""),45621)</f>
        <v>45621</v>
      </c>
      <c r="T391" s="5" t="b">
        <f ca="1">IFERROR(__xludf.DUMMYFUNCTION("""COMPUTED_VALUE"""),TRUE)</f>
        <v>1</v>
      </c>
      <c r="U391" s="5" t="str">
        <f ca="1">IFERROR(__xludf.DUMMYFUNCTION("""COMPUTED_VALUE"""),"3x3")</f>
        <v>3x3</v>
      </c>
      <c r="V391" s="5">
        <f ca="1">IFERROR(__xludf.DUMMYFUNCTION("""COMPUTED_VALUE"""),27)</f>
        <v>27</v>
      </c>
      <c r="W391" s="5">
        <f ca="1">IFERROR(__xludf.DUMMYFUNCTION("""COMPUTED_VALUE"""),27)</f>
        <v>27</v>
      </c>
      <c r="X391" s="5">
        <f ca="1">IFERROR(__xludf.DUMMYFUNCTION("""COMPUTED_VALUE"""),96.24)</f>
        <v>96.24</v>
      </c>
      <c r="Y391" s="5" t="str">
        <f ca="1">IFERROR(__xludf.DUMMYFUNCTION("""COMPUTED_VALUE"""),"Low")</f>
        <v>Low</v>
      </c>
      <c r="Z391" s="5">
        <f ca="1">IFERROR(__xludf.DUMMYFUNCTION("""COMPUTED_VALUE"""),6.58)</f>
        <v>6.58</v>
      </c>
      <c r="AA391" s="5">
        <f ca="1">IFERROR(__xludf.DUMMYFUNCTION("""COMPUTED_VALUE"""),108)</f>
        <v>108</v>
      </c>
      <c r="AB391" s="5"/>
      <c r="AC391" s="5" t="str">
        <f ca="1">IFERROR(__xludf.DUMMYFUNCTION("""COMPUTED_VALUE"""),"Win Multiplier")</f>
        <v>Win Multiplier</v>
      </c>
      <c r="AD391" s="5" t="str">
        <f ca="1">IFERROR(__xludf.DUMMYFUNCTION("""COMPUTED_VALUE"""),"0.10/50")</f>
        <v>0.10/50</v>
      </c>
      <c r="AE391" s="5"/>
      <c r="AF391" s="5"/>
      <c r="AG391" s="10">
        <f ca="1">IFERROR(__xludf.DUMMYFUNCTION("""COMPUTED_VALUE"""),46157.4908564814)</f>
        <v>46157.490856481403</v>
      </c>
      <c r="AH391" s="5"/>
      <c r="AI391" s="5"/>
      <c r="AJ391" s="5"/>
      <c r="AK391" s="5">
        <f ca="1">IFERROR(__xludf.DUMMYFUNCTION("""COMPUTED_VALUE"""),1)</f>
        <v>1</v>
      </c>
      <c r="AL391" s="5" t="str">
        <f ca="1">IFERROR(__xludf.DUMMYFUNCTION("""COMPUTED_VALUE"""),"No")</f>
        <v>No</v>
      </c>
      <c r="AM391" s="5" t="str">
        <f ca="1">IFERROR(__xludf.DUMMYFUNCTION("""COMPUTED_VALUE"""),"No")</f>
        <v>No</v>
      </c>
      <c r="AN391" s="7" t="str">
        <f ca="1">IFERROR(__xludf.DUMMYFUNCTION("""COMPUTED_VALUE"""),"https://static.redstone.rs/games/27-double-fruits/")</f>
        <v>https://static.redstone.rs/games/27-double-fruits/</v>
      </c>
      <c r="AO391" s="5" t="str">
        <f ca="1">IFERROR(__xludf.DUMMYFUNCTION("""COMPUTED_VALUE"""),"No")</f>
        <v>No</v>
      </c>
      <c r="AP391" s="5" t="str">
        <f ca="1">IFERROR(__xludf.DUMMYFUNCTION("""COMPUTED_VALUE"""),"No")</f>
        <v>No</v>
      </c>
      <c r="AQ391" s="5" t="b">
        <f ca="1">IFERROR(__xludf.DUMMYFUNCTION("""COMPUTED_VALUE"""),TRUE)</f>
        <v>1</v>
      </c>
      <c r="AR391" s="5"/>
      <c r="AS391" s="5" t="str">
        <f ca="1">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AT391" s="5"/>
      <c r="AU391" s="5" t="str">
        <f ca="1">IFERROR(__xludf.DUMMYFUNCTION("""COMPUTED_VALUE"""),"Redstone")</f>
        <v>Redstone</v>
      </c>
      <c r="AV391" s="5"/>
      <c r="AW391" s="5"/>
      <c r="AX391" s="5"/>
      <c r="AY391" s="5"/>
      <c r="AZ391" s="5"/>
      <c r="BA391" s="5"/>
      <c r="BB391" s="5" t="b">
        <f ca="1">IFERROR(__xludf.DUMMYFUNCTION("""COMPUTED_VALUE"""),TRUE)</f>
        <v>1</v>
      </c>
      <c r="BC391" s="5" t="str">
        <f ca="1">IFERROR(__xludf.DUMMYFUNCTION("""COMPUTED_VALUE"""),"Redstone")</f>
        <v>Redstone</v>
      </c>
      <c r="BD391" s="7" t="str">
        <f ca="1">IFERROR(__xludf.DUMMYFUNCTION("""COMPUTED_VALUE"""),"https://static.redstone.rs/games/27-double-fruits/")</f>
        <v>https://static.redstone.rs/games/27-double-fruits/</v>
      </c>
      <c r="BE391" s="5" t="b">
        <f ca="1">IFERROR(__xludf.DUMMYFUNCTION("""COMPUTED_VALUE"""),TRUE)</f>
        <v>1</v>
      </c>
    </row>
    <row r="392" spans="1:57" x14ac:dyDescent="0.25">
      <c r="A392" s="5">
        <f ca="1">IFERROR(__xludf.DUMMYFUNCTION("""COMPUTED_VALUE"""),401)</f>
        <v>401</v>
      </c>
      <c r="B392" s="5">
        <f ca="1">IFERROR(__xludf.DUMMYFUNCTION("""COMPUTED_VALUE"""),379)</f>
        <v>379</v>
      </c>
      <c r="C392" s="5" t="str">
        <f ca="1">IFERROR(__xludf.DUMMYFUNCTION("""COMPUTED_VALUE"""),"Playnet")</f>
        <v>Playnet</v>
      </c>
      <c r="D392" s="5" t="str">
        <f ca="1">IFERROR(__xludf.DUMMYFUNCTION("""COMPUTED_VALUE"""),"27 Wild Stacks Xmas")</f>
        <v>27 Wild Stacks Xmas</v>
      </c>
      <c r="E392" s="5" t="str">
        <f ca="1">IFERROR(__xludf.DUMMYFUNCTION("""COMPUTED_VALUE"""),"V4-2")</f>
        <v>V4-2</v>
      </c>
      <c r="F392" s="5" t="str">
        <f ca="1">IFERROR(__xludf.DUMMYFUNCTION("""COMPUTED_VALUE"""),"PlayNet27WildStacksXmas")</f>
        <v>PlayNet27WildStacksXmas</v>
      </c>
      <c r="G392" s="5" t="str">
        <f ca="1">IFERROR(__xludf.DUMMYFUNCTION("""COMPUTED_VALUE"""),"Live")</f>
        <v>Live</v>
      </c>
      <c r="H392" s="5"/>
      <c r="I392" s="5"/>
      <c r="J392" s="5" t="str">
        <f ca="1">IFERROR(__xludf.DUMMYFUNCTION("""COMPUTED_VALUE"""),"JSON")</f>
        <v>JSON</v>
      </c>
      <c r="K392" s="5" t="str">
        <f ca="1">IFERROR(__xludf.DUMMYFUNCTION("""COMPUTED_VALUE"""),"Slot")</f>
        <v>Slot</v>
      </c>
      <c r="L392" s="5" t="str">
        <f ca="1">IFERROR(__xludf.DUMMYFUNCTION("""COMPUTED_VALUE""")," Clone")</f>
        <v xml:space="preserve"> Clone</v>
      </c>
      <c r="M392" s="5"/>
      <c r="N392" s="5"/>
      <c r="O392" s="5"/>
      <c r="P392" s="14">
        <f ca="1">IFERROR(__xludf.DUMMYFUNCTION("""COMPUTED_VALUE"""),6.3)</f>
        <v>6.3</v>
      </c>
      <c r="Q392" s="5"/>
      <c r="R392" s="5"/>
      <c r="S392" s="15">
        <f ca="1">IFERROR(__xludf.DUMMYFUNCTION("""COMPUTED_VALUE"""),45617)</f>
        <v>45617</v>
      </c>
      <c r="T392" s="5" t="b">
        <f ca="1">IFERROR(__xludf.DUMMYFUNCTION("""COMPUTED_VALUE"""),TRUE)</f>
        <v>1</v>
      </c>
      <c r="U392" s="5" t="str">
        <f ca="1">IFERROR(__xludf.DUMMYFUNCTION("""COMPUTED_VALUE"""),"3x3")</f>
        <v>3x3</v>
      </c>
      <c r="V392" s="5">
        <f ca="1">IFERROR(__xludf.DUMMYFUNCTION("""COMPUTED_VALUE"""),27)</f>
        <v>27</v>
      </c>
      <c r="W392" s="5">
        <f ca="1">IFERROR(__xludf.DUMMYFUNCTION("""COMPUTED_VALUE"""),27)</f>
        <v>27</v>
      </c>
      <c r="X392" s="13">
        <f ca="1">IFERROR(__xludf.DUMMYFUNCTION("""COMPUTED_VALUE"""),96.24)</f>
        <v>96.24</v>
      </c>
      <c r="Y392" s="5" t="str">
        <f ca="1">IFERROR(__xludf.DUMMYFUNCTION("""COMPUTED_VALUE"""),"Low")</f>
        <v>Low</v>
      </c>
      <c r="Z392" s="5">
        <f ca="1">IFERROR(__xludf.DUMMYFUNCTION("""COMPUTED_VALUE"""),6.58)</f>
        <v>6.58</v>
      </c>
      <c r="AA392" s="5">
        <f ca="1">IFERROR(__xludf.DUMMYFUNCTION("""COMPUTED_VALUE"""),108)</f>
        <v>108</v>
      </c>
      <c r="AB392" s="5"/>
      <c r="AC392" s="5" t="str">
        <f ca="1">IFERROR(__xludf.DUMMYFUNCTION("""COMPUTED_VALUE"""),"Win Multiplier")</f>
        <v>Win Multiplier</v>
      </c>
      <c r="AD392" s="5" t="str">
        <f ca="1">IFERROR(__xludf.DUMMYFUNCTION("""COMPUTED_VALUE"""),"0.01/50")</f>
        <v>0.01/50</v>
      </c>
      <c r="AE392" s="5"/>
      <c r="AF392" s="5"/>
      <c r="AG392" s="10">
        <f ca="1">IFERROR(__xludf.DUMMYFUNCTION("""COMPUTED_VALUE"""),46220.500625)</f>
        <v>46220.500625000001</v>
      </c>
      <c r="AH392" s="5" t="str">
        <f ca="1">IFERROR(__xludf.DUMMYFUNCTION("""COMPUTED_VALUE"""),"selena.mihajlovic@fazi.rs")</f>
        <v>selena.mihajlovic@fazi.rs</v>
      </c>
      <c r="AI392" s="5"/>
      <c r="AJ392" s="5"/>
      <c r="AK392" s="5">
        <f ca="1">IFERROR(__xludf.DUMMYFUNCTION("""COMPUTED_VALUE"""),1)</f>
        <v>1</v>
      </c>
      <c r="AL392" s="5" t="str">
        <f ca="1">IFERROR(__xludf.DUMMYFUNCTION("""COMPUTED_VALUE"""),"No")</f>
        <v>No</v>
      </c>
      <c r="AM392" s="5" t="str">
        <f ca="1">IFERROR(__xludf.DUMMYFUNCTION("""COMPUTED_VALUE"""),"No")</f>
        <v>No</v>
      </c>
      <c r="AN392" s="7" t="str">
        <f ca="1">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AO392" s="5" t="str">
        <f ca="1">IFERROR(__xludf.DUMMYFUNCTION("""COMPUTED_VALUE"""),"No")</f>
        <v>No</v>
      </c>
      <c r="AP392" s="5" t="str">
        <f ca="1">IFERROR(__xludf.DUMMYFUNCTION("""COMPUTED_VALUE"""),"No")</f>
        <v>No</v>
      </c>
      <c r="AQ392" s="5" t="b">
        <f ca="1">IFERROR(__xludf.DUMMYFUNCTION("""COMPUTED_VALUE"""),TRUE)</f>
        <v>1</v>
      </c>
      <c r="AR392" s="5"/>
      <c r="AS392" s="5" t="str">
        <f ca="1">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AT392" s="5"/>
      <c r="AU392" s="5" t="str">
        <f ca="1">IFERROR(__xludf.DUMMYFUNCTION("""COMPUTED_VALUE"""),"Fazi")</f>
        <v>Fazi</v>
      </c>
      <c r="AV392" s="5"/>
      <c r="AW392" s="5"/>
      <c r="AX392" s="5"/>
      <c r="AY392" s="5"/>
      <c r="AZ392" s="5"/>
      <c r="BA392" s="5"/>
      <c r="BB392" s="5" t="b">
        <f ca="1">IFERROR(__xludf.DUMMYFUNCTION("""COMPUTED_VALUE"""),TRUE)</f>
        <v>1</v>
      </c>
      <c r="BC392" s="5" t="str">
        <f ca="1">IFERROR(__xludf.DUMMYFUNCTION("""COMPUTED_VALUE"""),"Playnet")</f>
        <v>Playnet</v>
      </c>
      <c r="BD392" s="7" t="str">
        <f ca="1">IFERROR(__xludf.DUMMYFUNCTION("""COMPUTED_VALUE"""),"https://gameserver-store-client-area.orbionlimited.com/Home/IntegrationGameLaunch/client-area?moneyType=0&amp;gameName=PlayNet27WildStacksXmas&amp;platform=desktop&amp;languageCode=eng&amp;currency=EUR")</f>
        <v>https://gameserver-store-client-area.orbionlimited.com/Home/IntegrationGameLaunch/client-area?moneyType=0&amp;gameName=PlayNet27WildStacksXmas&amp;platform=desktop&amp;languageCode=eng&amp;currency=EUR</v>
      </c>
      <c r="BE392" s="5" t="b">
        <f ca="1">IFERROR(__xludf.DUMMYFUNCTION("""COMPUTED_VALUE"""),TRUE)</f>
        <v>1</v>
      </c>
    </row>
    <row r="393" spans="1:57" x14ac:dyDescent="0.25">
      <c r="A393" s="5">
        <f ca="1">IFERROR(__xludf.DUMMYFUNCTION("""COMPUTED_VALUE"""),402)</f>
        <v>402</v>
      </c>
      <c r="B393" s="5">
        <f ca="1">IFERROR(__xludf.DUMMYFUNCTION("""COMPUTED_VALUE"""),380)</f>
        <v>380</v>
      </c>
      <c r="C393" s="5" t="str">
        <f ca="1">IFERROR(__xludf.DUMMYFUNCTION("""COMPUTED_VALUE"""),"Playnet")</f>
        <v>Playnet</v>
      </c>
      <c r="D393" s="5" t="str">
        <f ca="1">IFERROR(__xludf.DUMMYFUNCTION("""COMPUTED_VALUE"""),"Majestic Crown 20 Xmas")</f>
        <v>Majestic Crown 20 Xmas</v>
      </c>
      <c r="E393" s="5" t="str">
        <f ca="1">IFERROR(__xludf.DUMMYFUNCTION("""COMPUTED_VALUE"""),"V4-2")</f>
        <v>V4-2</v>
      </c>
      <c r="F393" s="5" t="str">
        <f ca="1">IFERROR(__xludf.DUMMYFUNCTION("""COMPUTED_VALUE"""),"PlayNetMajesticCrown20Xmas")</f>
        <v>PlayNetMajesticCrown20Xmas</v>
      </c>
      <c r="G393" s="5" t="str">
        <f ca="1">IFERROR(__xludf.DUMMYFUNCTION("""COMPUTED_VALUE"""),"Live")</f>
        <v>Live</v>
      </c>
      <c r="H393" s="5"/>
      <c r="I393" s="5"/>
      <c r="J393" s="5" t="str">
        <f ca="1">IFERROR(__xludf.DUMMYFUNCTION("""COMPUTED_VALUE"""),"JSON")</f>
        <v>JSON</v>
      </c>
      <c r="K393" s="5" t="str">
        <f ca="1">IFERROR(__xludf.DUMMYFUNCTION("""COMPUTED_VALUE"""),"Slot")</f>
        <v>Slot</v>
      </c>
      <c r="L393" s="5" t="str">
        <f ca="1">IFERROR(__xludf.DUMMYFUNCTION("""COMPUTED_VALUE""")," Clone")</f>
        <v xml:space="preserve"> Clone</v>
      </c>
      <c r="M393" s="5"/>
      <c r="N393" s="5"/>
      <c r="O393" s="5"/>
      <c r="P393" s="14">
        <f ca="1">IFERROR(__xludf.DUMMYFUNCTION("""COMPUTED_VALUE"""),7.5)</f>
        <v>7.5</v>
      </c>
      <c r="Q393" s="5"/>
      <c r="R393" s="5"/>
      <c r="S393" s="15">
        <f ca="1">IFERROR(__xludf.DUMMYFUNCTION("""COMPUTED_VALUE"""),45629)</f>
        <v>45629</v>
      </c>
      <c r="T393" s="5" t="b">
        <f ca="1">IFERROR(__xludf.DUMMYFUNCTION("""COMPUTED_VALUE"""),TRUE)</f>
        <v>1</v>
      </c>
      <c r="U393" s="5" t="str">
        <f ca="1">IFERROR(__xludf.DUMMYFUNCTION("""COMPUTED_VALUE"""),"5x3")</f>
        <v>5x3</v>
      </c>
      <c r="V393" s="5">
        <f ca="1">IFERROR(__xludf.DUMMYFUNCTION("""COMPUTED_VALUE"""),20)</f>
        <v>20</v>
      </c>
      <c r="W393" s="5">
        <f ca="1">IFERROR(__xludf.DUMMYFUNCTION("""COMPUTED_VALUE"""),20)</f>
        <v>20</v>
      </c>
      <c r="X393" s="13">
        <f ca="1">IFERROR(__xludf.DUMMYFUNCTION("""COMPUTED_VALUE"""),96.5)</f>
        <v>96.5</v>
      </c>
      <c r="Y393" s="5" t="str">
        <f ca="1">IFERROR(__xludf.DUMMYFUNCTION("""COMPUTED_VALUE"""),"Medium")</f>
        <v>Medium</v>
      </c>
      <c r="Z393" s="5">
        <f ca="1">IFERROR(__xludf.DUMMYFUNCTION("""COMPUTED_VALUE"""),21.75)</f>
        <v>21.75</v>
      </c>
      <c r="AA393" s="5">
        <f ca="1">IFERROR(__xludf.DUMMYFUNCTION("""COMPUTED_VALUE"""),1200)</f>
        <v>1200</v>
      </c>
      <c r="AB393" s="5"/>
      <c r="AC393" s="5" t="str">
        <f ca="1">IFERROR(__xludf.DUMMYFUNCTION("""COMPUTED_VALUE"""),"Expanding Wild, Scatter")</f>
        <v>Expanding Wild, Scatter</v>
      </c>
      <c r="AD393" s="5" t="str">
        <f ca="1">IFERROR(__xludf.DUMMYFUNCTION("""COMPUTED_VALUE"""),"0.20/100")</f>
        <v>0.20/100</v>
      </c>
      <c r="AE393" s="5"/>
      <c r="AF393" s="5"/>
      <c r="AG393" s="10">
        <f ca="1">IFERROR(__xludf.DUMMYFUNCTION("""COMPUTED_VALUE"""),46220.5007638888)</f>
        <v>46220.500763888798</v>
      </c>
      <c r="AH393" s="5" t="str">
        <f ca="1">IFERROR(__xludf.DUMMYFUNCTION("""COMPUTED_VALUE"""),"selena.mihajlovic@fazi.rs")</f>
        <v>selena.mihajlovic@fazi.rs</v>
      </c>
      <c r="AI393" s="5"/>
      <c r="AJ393" s="5"/>
      <c r="AK393" s="5">
        <f ca="1">IFERROR(__xludf.DUMMYFUNCTION("""COMPUTED_VALUE"""),20)</f>
        <v>20</v>
      </c>
      <c r="AL393" s="5" t="str">
        <f ca="1">IFERROR(__xludf.DUMMYFUNCTION("""COMPUTED_VALUE"""),"No")</f>
        <v>No</v>
      </c>
      <c r="AM393" s="5" t="str">
        <f ca="1">IFERROR(__xludf.DUMMYFUNCTION("""COMPUTED_VALUE"""),"No")</f>
        <v>No</v>
      </c>
      <c r="AN393" s="7" t="str">
        <f ca="1">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AO393" s="5" t="str">
        <f ca="1">IFERROR(__xludf.DUMMYFUNCTION("""COMPUTED_VALUE"""),"No")</f>
        <v>No</v>
      </c>
      <c r="AP393" s="5" t="str">
        <f ca="1">IFERROR(__xludf.DUMMYFUNCTION("""COMPUTED_VALUE"""),"No")</f>
        <v>No</v>
      </c>
      <c r="AQ393" s="5" t="b">
        <f ca="1">IFERROR(__xludf.DUMMYFUNCTION("""COMPUTED_VALUE"""),TRUE)</f>
        <v>1</v>
      </c>
      <c r="AR393" s="5"/>
      <c r="AS393" s="5" t="str">
        <f ca="1">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AT393" s="5"/>
      <c r="AU393" s="5" t="str">
        <f ca="1">IFERROR(__xludf.DUMMYFUNCTION("""COMPUTED_VALUE"""),"Fazi")</f>
        <v>Fazi</v>
      </c>
      <c r="AV393" s="5"/>
      <c r="AW393" s="5"/>
      <c r="AX393" s="5"/>
      <c r="AY393" s="5"/>
      <c r="AZ393" s="5"/>
      <c r="BA393" s="5"/>
      <c r="BB393" s="5" t="b">
        <f ca="1">IFERROR(__xludf.DUMMYFUNCTION("""COMPUTED_VALUE"""),TRUE)</f>
        <v>1</v>
      </c>
      <c r="BC393" s="5" t="str">
        <f ca="1">IFERROR(__xludf.DUMMYFUNCTION("""COMPUTED_VALUE"""),"Playnet")</f>
        <v>Playnet</v>
      </c>
      <c r="BD393" s="7" t="str">
        <f ca="1">IFERROR(__xludf.DUMMYFUNCTION("""COMPUTED_VALUE"""),"https://gameserver-store-client-area.orbionlimited.com/Home/IntegrationGameLaunch/client-area?moneyType=0&amp;gameName=PlayNetMajesticCrown20Xmas&amp;platform=desktop&amp;languageCode=eng&amp;currency=EUR")</f>
        <v>https://gameserver-store-client-area.orbionlimited.com/Home/IntegrationGameLaunch/client-area?moneyType=0&amp;gameName=PlayNetMajesticCrown20Xmas&amp;platform=desktop&amp;languageCode=eng&amp;currency=EUR</v>
      </c>
      <c r="BE393" s="5" t="b">
        <f ca="1">IFERROR(__xludf.DUMMYFUNCTION("""COMPUTED_VALUE"""),TRUE)</f>
        <v>1</v>
      </c>
    </row>
    <row r="394" spans="1:57" x14ac:dyDescent="0.25">
      <c r="A394" s="5">
        <f ca="1">IFERROR(__xludf.DUMMYFUNCTION("""COMPUTED_VALUE"""),403)</f>
        <v>403</v>
      </c>
      <c r="B394" s="5">
        <f ca="1">IFERROR(__xludf.DUMMYFUNCTION("""COMPUTED_VALUE"""),381)</f>
        <v>381</v>
      </c>
      <c r="C394" s="5" t="str">
        <f ca="1">IFERROR(__xludf.DUMMYFUNCTION("""COMPUTED_VALUE"""),"Playnet")</f>
        <v>Playnet</v>
      </c>
      <c r="D394" s="5" t="str">
        <f ca="1">IFERROR(__xludf.DUMMYFUNCTION("""COMPUTED_VALUE"""),"Wild Forties Xmas")</f>
        <v>Wild Forties Xmas</v>
      </c>
      <c r="E394" s="5" t="str">
        <f ca="1">IFERROR(__xludf.DUMMYFUNCTION("""COMPUTED_VALUE"""),"V4-2")</f>
        <v>V4-2</v>
      </c>
      <c r="F394" s="5" t="str">
        <f ca="1">IFERROR(__xludf.DUMMYFUNCTION("""COMPUTED_VALUE"""),"PlayNetWildFortiesXmas")</f>
        <v>PlayNetWildFortiesXmas</v>
      </c>
      <c r="G394" s="5" t="str">
        <f ca="1">IFERROR(__xludf.DUMMYFUNCTION("""COMPUTED_VALUE"""),"Live")</f>
        <v>Live</v>
      </c>
      <c r="H394" s="5"/>
      <c r="I394" s="5"/>
      <c r="J394" s="5" t="str">
        <f ca="1">IFERROR(__xludf.DUMMYFUNCTION("""COMPUTED_VALUE"""),"JSON")</f>
        <v>JSON</v>
      </c>
      <c r="K394" s="5" t="str">
        <f ca="1">IFERROR(__xludf.DUMMYFUNCTION("""COMPUTED_VALUE"""),"Slot")</f>
        <v>Slot</v>
      </c>
      <c r="L394" s="5" t="str">
        <f ca="1">IFERROR(__xludf.DUMMYFUNCTION("""COMPUTED_VALUE""")," Clone")</f>
        <v xml:space="preserve"> Clone</v>
      </c>
      <c r="M394" s="5"/>
      <c r="N394" s="5"/>
      <c r="O394" s="5"/>
      <c r="P394" s="14">
        <f ca="1">IFERROR(__xludf.DUMMYFUNCTION("""COMPUTED_VALUE"""),6.8)</f>
        <v>6.8</v>
      </c>
      <c r="Q394" s="17">
        <f ca="1">IFERROR(__xludf.DUMMYFUNCTION("""COMPUTED_VALUE"""),45635)</f>
        <v>45635</v>
      </c>
      <c r="R394" s="17">
        <f ca="1">IFERROR(__xludf.DUMMYFUNCTION("""COMPUTED_VALUE"""),45638)</f>
        <v>45638</v>
      </c>
      <c r="S394" s="15">
        <f ca="1">IFERROR(__xludf.DUMMYFUNCTION("""COMPUTED_VALUE"""),45645)</f>
        <v>45645</v>
      </c>
      <c r="T394" s="5" t="b">
        <f ca="1">IFERROR(__xludf.DUMMYFUNCTION("""COMPUTED_VALUE"""),TRUE)</f>
        <v>1</v>
      </c>
      <c r="U394" s="5" t="str">
        <f ca="1">IFERROR(__xludf.DUMMYFUNCTION("""COMPUTED_VALUE"""),"5x4")</f>
        <v>5x4</v>
      </c>
      <c r="V394" s="5">
        <f ca="1">IFERROR(__xludf.DUMMYFUNCTION("""COMPUTED_VALUE"""),40)</f>
        <v>40</v>
      </c>
      <c r="W394" s="5">
        <f ca="1">IFERROR(__xludf.DUMMYFUNCTION("""COMPUTED_VALUE"""),40)</f>
        <v>40</v>
      </c>
      <c r="X394" s="13">
        <f ca="1">IFERROR(__xludf.DUMMYFUNCTION("""COMPUTED_VALUE"""),96.382)</f>
        <v>96.382000000000005</v>
      </c>
      <c r="Y394" s="5" t="str">
        <f ca="1">IFERROR(__xludf.DUMMYFUNCTION("""COMPUTED_VALUE"""),"Medium")</f>
        <v>Medium</v>
      </c>
      <c r="Z394" s="5">
        <f ca="1">IFERROR(__xludf.DUMMYFUNCTION("""COMPUTED_VALUE"""),14.89)</f>
        <v>14.89</v>
      </c>
      <c r="AA394" s="5">
        <f ca="1">IFERROR(__xludf.DUMMYFUNCTION("""COMPUTED_VALUE"""),1000)</f>
        <v>1000</v>
      </c>
      <c r="AB394" s="5"/>
      <c r="AC394" s="5" t="str">
        <f ca="1">IFERROR(__xludf.DUMMYFUNCTION("""COMPUTED_VALUE"""),"Wild Symbol, Scatter")</f>
        <v>Wild Symbol, Scatter</v>
      </c>
      <c r="AD394" s="5" t="str">
        <f ca="1">IFERROR(__xludf.DUMMYFUNCTION("""COMPUTED_VALUE"""),"0.4/40")</f>
        <v>0.4/40</v>
      </c>
      <c r="AE394" s="5"/>
      <c r="AF394" s="5"/>
      <c r="AG394" s="10">
        <f ca="1">IFERROR(__xludf.DUMMYFUNCTION("""COMPUTED_VALUE"""),46220.5009143518)</f>
        <v>46220.500914351796</v>
      </c>
      <c r="AH394" s="5" t="str">
        <f ca="1">IFERROR(__xludf.DUMMYFUNCTION("""COMPUTED_VALUE"""),"selena.mihajlovic@fazi.rs")</f>
        <v>selena.mihajlovic@fazi.rs</v>
      </c>
      <c r="AI394" s="5"/>
      <c r="AJ394" s="5"/>
      <c r="AK394" s="5">
        <f ca="1">IFERROR(__xludf.DUMMYFUNCTION("""COMPUTED_VALUE"""),40)</f>
        <v>40</v>
      </c>
      <c r="AL394" s="5" t="str">
        <f ca="1">IFERROR(__xludf.DUMMYFUNCTION("""COMPUTED_VALUE"""),"No")</f>
        <v>No</v>
      </c>
      <c r="AM394" s="5" t="str">
        <f ca="1">IFERROR(__xludf.DUMMYFUNCTION("""COMPUTED_VALUE"""),"No")</f>
        <v>No</v>
      </c>
      <c r="AN394" s="7" t="str">
        <f ca="1">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AO394" s="5" t="str">
        <f ca="1">IFERROR(__xludf.DUMMYFUNCTION("""COMPUTED_VALUE"""),"No")</f>
        <v>No</v>
      </c>
      <c r="AP394" s="5" t="str">
        <f ca="1">IFERROR(__xludf.DUMMYFUNCTION("""COMPUTED_VALUE"""),"No")</f>
        <v>No</v>
      </c>
      <c r="AQ394" s="5" t="b">
        <f ca="1">IFERROR(__xludf.DUMMYFUNCTION("""COMPUTED_VALUE"""),TRUE)</f>
        <v>1</v>
      </c>
      <c r="AR394" s="5"/>
      <c r="AS394" s="5" t="str">
        <f ca="1">IFERROR(__xludf.DUMMYFUNCTION("""COMPUTED_VALUE"""),"Spin the reels and unwrap timeless fun, where every spin brings you closer to festive surprises and juicy rewards!")</f>
        <v>Spin the reels and unwrap timeless fun, where every spin brings you closer to festive surprises and juicy rewards!</v>
      </c>
      <c r="AT394" s="5"/>
      <c r="AU394" s="5" t="str">
        <f ca="1">IFERROR(__xludf.DUMMYFUNCTION("""COMPUTED_VALUE"""),"Fazi")</f>
        <v>Fazi</v>
      </c>
      <c r="AV394" s="5"/>
      <c r="AW394" s="5"/>
      <c r="AX394" s="5"/>
      <c r="AY394" s="5"/>
      <c r="AZ394" s="5"/>
      <c r="BA394" s="5"/>
      <c r="BB394" s="5" t="b">
        <f ca="1">IFERROR(__xludf.DUMMYFUNCTION("""COMPUTED_VALUE"""),TRUE)</f>
        <v>1</v>
      </c>
      <c r="BC394" s="5" t="str">
        <f ca="1">IFERROR(__xludf.DUMMYFUNCTION("""COMPUTED_VALUE"""),"Playnet")</f>
        <v>Playnet</v>
      </c>
      <c r="BD394" s="7" t="str">
        <f ca="1">IFERROR(__xludf.DUMMYFUNCTION("""COMPUTED_VALUE"""),"https://gameserver-store-client-area.orbionlimited.com/Home/IntegrationGameLaunch/client-area?moneyType=0&amp;gameName=PlayNetWildFortiesXmas&amp;platform=desktop&amp;languageCode=eng&amp;currency=EUR")</f>
        <v>https://gameserver-store-client-area.orbionlimited.com/Home/IntegrationGameLaunch/client-area?moneyType=0&amp;gameName=PlayNetWildFortiesXmas&amp;platform=desktop&amp;languageCode=eng&amp;currency=EUR</v>
      </c>
      <c r="BE394" s="5" t="b">
        <f ca="1">IFERROR(__xludf.DUMMYFUNCTION("""COMPUTED_VALUE"""),TRUE)</f>
        <v>1</v>
      </c>
    </row>
    <row r="395" spans="1:57" x14ac:dyDescent="0.25">
      <c r="A395" s="5">
        <f ca="1">IFERROR(__xludf.DUMMYFUNCTION("""COMPUTED_VALUE"""),404)</f>
        <v>404</v>
      </c>
      <c r="B395" s="5">
        <f ca="1">IFERROR(__xludf.DUMMYFUNCTION("""COMPUTED_VALUE"""),382)</f>
        <v>382</v>
      </c>
      <c r="C395" s="5" t="str">
        <f ca="1">IFERROR(__xludf.DUMMYFUNCTION("""COMPUTED_VALUE"""),"Redstone")</f>
        <v>Redstone</v>
      </c>
      <c r="D395" s="5" t="str">
        <f ca="1">IFERROR(__xludf.DUMMYFUNCTION("""COMPUTED_VALUE"""),"Juicy Heat 20")</f>
        <v>Juicy Heat 20</v>
      </c>
      <c r="E395" s="5" t="str">
        <f ca="1">IFERROR(__xludf.DUMMYFUNCTION("""COMPUTED_VALUE"""),"Redstone")</f>
        <v>Redstone</v>
      </c>
      <c r="F395" s="5" t="str">
        <f ca="1">IFERROR(__xludf.DUMMYFUNCTION("""COMPUTED_VALUE"""),"RedstoneJuicyHeat20")</f>
        <v>RedstoneJuicyHeat20</v>
      </c>
      <c r="G395" s="5" t="str">
        <f ca="1">IFERROR(__xludf.DUMMYFUNCTION("""COMPUTED_VALUE"""),"Live")</f>
        <v>Live</v>
      </c>
      <c r="H395" s="5"/>
      <c r="I395" s="5" t="str">
        <f ca="1">IFERROR(__xludf.DUMMYFUNCTION("""COMPUTED_VALUE"""),"Redstone")</f>
        <v>Redstone</v>
      </c>
      <c r="J395" s="5" t="str">
        <f ca="1">IFERROR(__xludf.DUMMYFUNCTION("""COMPUTED_VALUE"""),"JSON")</f>
        <v>JSON</v>
      </c>
      <c r="K395" s="5" t="str">
        <f ca="1">IFERROR(__xludf.DUMMYFUNCTION("""COMPUTED_VALUE"""),"Slot")</f>
        <v>Slot</v>
      </c>
      <c r="L395" s="5" t="str">
        <f ca="1">IFERROR(__xludf.DUMMYFUNCTION("""COMPUTED_VALUE"""),"Master")</f>
        <v>Master</v>
      </c>
      <c r="M395" s="5"/>
      <c r="N395" s="7" t="str">
        <f ca="1">IFERROR(__xludf.DUMMYFUNCTION("""COMPUTED_VALUE"""),"https://docs.google.com/document/d/1Qo2KjaT3kEptoNDLQOy3QuX7PJwEt22J/edit?usp=drive_link&amp;ouid=107596163405648766688&amp;rtpof=true&amp;sd=true")</f>
        <v>https://docs.google.com/document/d/1Qo2KjaT3kEptoNDLQOy3QuX7PJwEt22J/edit?usp=drive_link&amp;ouid=107596163405648766688&amp;rtpof=true&amp;sd=true</v>
      </c>
      <c r="O395" s="7" t="str">
        <f ca="1">IFERROR(__xludf.DUMMYFUNCTION("""COMPUTED_VALUE"""),"https://docs.google.com/document/d/1213J-9PEpD_CkhkZdtihAaAaWjKDzVPT/edit?usp=drive_link&amp;ouid=107596163405648766688&amp;rtpof=true&amp;sd=true")</f>
        <v>https://docs.google.com/document/d/1213J-9PEpD_CkhkZdtihAaAaWjKDzVPT/edit?usp=drive_link&amp;ouid=107596163405648766688&amp;rtpof=true&amp;sd=true</v>
      </c>
      <c r="P395" s="14">
        <f ca="1">IFERROR(__xludf.DUMMYFUNCTION("""COMPUTED_VALUE"""),7.2)</f>
        <v>7.2</v>
      </c>
      <c r="Q395" s="5"/>
      <c r="R395" s="5"/>
      <c r="S395" s="15">
        <f ca="1">IFERROR(__xludf.DUMMYFUNCTION("""COMPUTED_VALUE"""),45628)</f>
        <v>45628</v>
      </c>
      <c r="T395" s="5" t="b">
        <f ca="1">IFERROR(__xludf.DUMMYFUNCTION("""COMPUTED_VALUE"""),TRUE)</f>
        <v>1</v>
      </c>
      <c r="U395" s="5" t="str">
        <f ca="1">IFERROR(__xludf.DUMMYFUNCTION("""COMPUTED_VALUE"""),"5x3")</f>
        <v>5x3</v>
      </c>
      <c r="V395" s="5">
        <f ca="1">IFERROR(__xludf.DUMMYFUNCTION("""COMPUTED_VALUE"""),20)</f>
        <v>20</v>
      </c>
      <c r="W395" s="5">
        <f ca="1">IFERROR(__xludf.DUMMYFUNCTION("""COMPUTED_VALUE"""),20)</f>
        <v>20</v>
      </c>
      <c r="X395" s="13">
        <f ca="1">IFERROR(__xludf.DUMMYFUNCTION("""COMPUTED_VALUE"""),96.48)</f>
        <v>96.48</v>
      </c>
      <c r="Y395" s="5" t="str">
        <f ca="1">IFERROR(__xludf.DUMMYFUNCTION("""COMPUTED_VALUE"""),"High")</f>
        <v>High</v>
      </c>
      <c r="Z395" s="5">
        <f ca="1">IFERROR(__xludf.DUMMYFUNCTION("""COMPUTED_VALUE"""),7.13)</f>
        <v>7.13</v>
      </c>
      <c r="AA395" s="5">
        <f ca="1">IFERROR(__xludf.DUMMYFUNCTION("""COMPUTED_VALUE"""),1500)</f>
        <v>1500</v>
      </c>
      <c r="AB395" s="5"/>
      <c r="AC395" s="5" t="str">
        <f ca="1">IFERROR(__xludf.DUMMYFUNCTION("""COMPUTED_VALUE"""),"Win Multiplier")</f>
        <v>Win Multiplier</v>
      </c>
      <c r="AD395" s="5" t="str">
        <f ca="1">IFERROR(__xludf.DUMMYFUNCTION("""COMPUTED_VALUE"""),"0.20/50")</f>
        <v>0.20/50</v>
      </c>
      <c r="AE395" s="5"/>
      <c r="AF395" s="5"/>
      <c r="AG395" s="10">
        <f ca="1">IFERROR(__xludf.DUMMYFUNCTION("""COMPUTED_VALUE"""),46157.4910879629)</f>
        <v>46157.491087962902</v>
      </c>
      <c r="AH395" s="5"/>
      <c r="AI395" s="5"/>
      <c r="AJ395" s="5"/>
      <c r="AK395" s="5">
        <f ca="1">IFERROR(__xludf.DUMMYFUNCTION("""COMPUTED_VALUE"""),1)</f>
        <v>1</v>
      </c>
      <c r="AL395" s="5" t="str">
        <f ca="1">IFERROR(__xludf.DUMMYFUNCTION("""COMPUTED_VALUE"""),"No")</f>
        <v>No</v>
      </c>
      <c r="AM395" s="5" t="str">
        <f ca="1">IFERROR(__xludf.DUMMYFUNCTION("""COMPUTED_VALUE"""),"No")</f>
        <v>No</v>
      </c>
      <c r="AN395" s="7" t="str">
        <f ca="1">IFERROR(__xludf.DUMMYFUNCTION("""COMPUTED_VALUE"""),"https://static.redstone.rs/games/juicy-heat-20/")</f>
        <v>https://static.redstone.rs/games/juicy-heat-20/</v>
      </c>
      <c r="AO395" s="5" t="str">
        <f ca="1">IFERROR(__xludf.DUMMYFUNCTION("""COMPUTED_VALUE"""),"No")</f>
        <v>No</v>
      </c>
      <c r="AP395" s="5" t="str">
        <f ca="1">IFERROR(__xludf.DUMMYFUNCTION("""COMPUTED_VALUE"""),"No")</f>
        <v>No</v>
      </c>
      <c r="AQ395" s="5" t="b">
        <f ca="1">IFERROR(__xludf.DUMMYFUNCTION("""COMPUTED_VALUE"""),TRUE)</f>
        <v>1</v>
      </c>
      <c r="AR395" s="5"/>
      <c r="AS395" s="5" t="str">
        <f ca="1">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AT395" s="5"/>
      <c r="AU395" s="5" t="str">
        <f ca="1">IFERROR(__xludf.DUMMYFUNCTION("""COMPUTED_VALUE"""),"Redstone")</f>
        <v>Redstone</v>
      </c>
      <c r="AV395" s="5"/>
      <c r="AW395" s="5"/>
      <c r="AX395" s="5"/>
      <c r="AY395" s="5"/>
      <c r="AZ395" s="5"/>
      <c r="BA395" s="5"/>
      <c r="BB395" s="5" t="b">
        <f ca="1">IFERROR(__xludf.DUMMYFUNCTION("""COMPUTED_VALUE"""),TRUE)</f>
        <v>1</v>
      </c>
      <c r="BC395" s="5" t="str">
        <f ca="1">IFERROR(__xludf.DUMMYFUNCTION("""COMPUTED_VALUE"""),"Redstone")</f>
        <v>Redstone</v>
      </c>
      <c r="BD395" s="7" t="str">
        <f ca="1">IFERROR(__xludf.DUMMYFUNCTION("""COMPUTED_VALUE"""),"https://static.redstone.rs/games/juicy-heat-20/")</f>
        <v>https://static.redstone.rs/games/juicy-heat-20/</v>
      </c>
      <c r="BE395" s="5" t="b">
        <f ca="1">IFERROR(__xludf.DUMMYFUNCTION("""COMPUTED_VALUE"""),TRUE)</f>
        <v>1</v>
      </c>
    </row>
    <row r="396" spans="1:57" x14ac:dyDescent="0.25">
      <c r="A396" s="5">
        <f ca="1">IFERROR(__xludf.DUMMYFUNCTION("""COMPUTED_VALUE"""),405)</f>
        <v>405</v>
      </c>
      <c r="B396" s="5">
        <f ca="1">IFERROR(__xludf.DUMMYFUNCTION("""COMPUTED_VALUE"""),383)</f>
        <v>383</v>
      </c>
      <c r="C396" s="5" t="str">
        <f ca="1">IFERROR(__xludf.DUMMYFUNCTION("""COMPUTED_VALUE"""),"Redstone")</f>
        <v>Redstone</v>
      </c>
      <c r="D396" s="5" t="str">
        <f ca="1">IFERROR(__xludf.DUMMYFUNCTION("""COMPUTED_VALUE"""),"Christmas Delight")</f>
        <v>Christmas Delight</v>
      </c>
      <c r="E396" s="5" t="str">
        <f ca="1">IFERROR(__xludf.DUMMYFUNCTION("""COMPUTED_VALUE"""),"Redstone")</f>
        <v>Redstone</v>
      </c>
      <c r="F396" s="5" t="str">
        <f ca="1">IFERROR(__xludf.DUMMYFUNCTION("""COMPUTED_VALUE"""),"RedstoneChristmasDelight")</f>
        <v>RedstoneChristmasDelight</v>
      </c>
      <c r="G396" s="5" t="str">
        <f ca="1">IFERROR(__xludf.DUMMYFUNCTION("""COMPUTED_VALUE"""),"Live")</f>
        <v>Live</v>
      </c>
      <c r="H396" s="5"/>
      <c r="I396" s="5" t="str">
        <f ca="1">IFERROR(__xludf.DUMMYFUNCTION("""COMPUTED_VALUE"""),"Redstone")</f>
        <v>Redstone</v>
      </c>
      <c r="J396" s="5" t="str">
        <f ca="1">IFERROR(__xludf.DUMMYFUNCTION("""COMPUTED_VALUE"""),"JSON")</f>
        <v>JSON</v>
      </c>
      <c r="K396" s="5" t="str">
        <f ca="1">IFERROR(__xludf.DUMMYFUNCTION("""COMPUTED_VALUE"""),"Slot")</f>
        <v>Slot</v>
      </c>
      <c r="L396" s="5" t="str">
        <f ca="1">IFERROR(__xludf.DUMMYFUNCTION("""COMPUTED_VALUE""")," Clone")</f>
        <v xml:space="preserve"> Clone</v>
      </c>
      <c r="M396" s="5" t="str">
        <f ca="1">IFERROR(__xludf.DUMMYFUNCTION("""COMPUTED_VALUE"""),"Chilli Double")</f>
        <v>Chilli Double</v>
      </c>
      <c r="N396" s="7" t="str">
        <f ca="1">IFERROR(__xludf.DUMMYFUNCTION("""COMPUTED_VALUE"""),"https://drive.google.com/file/d/1JLmg9yqgKR9pWUI2pPankCp5JO38HPMl/view?usp=drive_link")</f>
        <v>https://drive.google.com/file/d/1JLmg9yqgKR9pWUI2pPankCp5JO38HPMl/view?usp=drive_link</v>
      </c>
      <c r="O396" s="7" t="str">
        <f ca="1">IFERROR(__xludf.DUMMYFUNCTION("""COMPUTED_VALUE"""),"https://drive.google.com/file/d/1kLHUR8NNfLffwEHlNKvQ6N7hvCPspAYY/view?usp=drive_link")</f>
        <v>https://drive.google.com/file/d/1kLHUR8NNfLffwEHlNKvQ6N7hvCPspAYY/view?usp=drive_link</v>
      </c>
      <c r="P396" s="14">
        <f ca="1">IFERROR(__xludf.DUMMYFUNCTION("""COMPUTED_VALUE"""),10.8)</f>
        <v>10.8</v>
      </c>
      <c r="Q396" s="17">
        <f ca="1">IFERROR(__xludf.DUMMYFUNCTION("""COMPUTED_VALUE"""),45635)</f>
        <v>45635</v>
      </c>
      <c r="R396" s="17">
        <f ca="1">IFERROR(__xludf.DUMMYFUNCTION("""COMPUTED_VALUE"""),45631)</f>
        <v>45631</v>
      </c>
      <c r="S396" s="15">
        <f ca="1">IFERROR(__xludf.DUMMYFUNCTION("""COMPUTED_VALUE"""),45638)</f>
        <v>45638</v>
      </c>
      <c r="T396" s="5" t="b">
        <f ca="1">IFERROR(__xludf.DUMMYFUNCTION("""COMPUTED_VALUE"""),TRUE)</f>
        <v>1</v>
      </c>
      <c r="U396" s="5" t="str">
        <f ca="1">IFERROR(__xludf.DUMMYFUNCTION("""COMPUTED_VALUE"""),"5x3")</f>
        <v>5x3</v>
      </c>
      <c r="V396" s="5">
        <f ca="1">IFERROR(__xludf.DUMMYFUNCTION("""COMPUTED_VALUE"""),5)</f>
        <v>5</v>
      </c>
      <c r="W396" s="5">
        <f ca="1">IFERROR(__xludf.DUMMYFUNCTION("""COMPUTED_VALUE"""),5)</f>
        <v>5</v>
      </c>
      <c r="X396" s="13">
        <f ca="1">IFERROR(__xludf.DUMMYFUNCTION("""COMPUTED_VALUE"""),96.45)</f>
        <v>96.45</v>
      </c>
      <c r="Y396" s="5" t="str">
        <f ca="1">IFERROR(__xludf.DUMMYFUNCTION("""COMPUTED_VALUE"""),"Medium")</f>
        <v>Medium</v>
      </c>
      <c r="Z396" s="5">
        <f ca="1">IFERROR(__xludf.DUMMYFUNCTION("""COMPUTED_VALUE"""),14.23)</f>
        <v>14.23</v>
      </c>
      <c r="AA396" s="5">
        <f ca="1">IFERROR(__xludf.DUMMYFUNCTION("""COMPUTED_VALUE"""),2624)</f>
        <v>2624</v>
      </c>
      <c r="AB396" s="5"/>
      <c r="AC396" s="5" t="str">
        <f ca="1">IFERROR(__xludf.DUMMYFUNCTION("""COMPUTED_VALUE"""),"Expanding Wild, Scatter")</f>
        <v>Expanding Wild, Scatter</v>
      </c>
      <c r="AD396" s="5" t="str">
        <f ca="1">IFERROR(__xludf.DUMMYFUNCTION("""COMPUTED_VALUE"""),"0.05/100")</f>
        <v>0.05/100</v>
      </c>
      <c r="AE396" s="5"/>
      <c r="AF396" s="5"/>
      <c r="AG396" s="10">
        <f ca="1">IFERROR(__xludf.DUMMYFUNCTION("""COMPUTED_VALUE"""),46157.4913773148)</f>
        <v>46157.4913773148</v>
      </c>
      <c r="AH396" s="5"/>
      <c r="AI396" s="5"/>
      <c r="AJ396" s="5"/>
      <c r="AK396" s="5">
        <f ca="1">IFERROR(__xludf.DUMMYFUNCTION("""COMPUTED_VALUE"""),1)</f>
        <v>1</v>
      </c>
      <c r="AL396" s="5" t="str">
        <f ca="1">IFERROR(__xludf.DUMMYFUNCTION("""COMPUTED_VALUE"""),"No")</f>
        <v>No</v>
      </c>
      <c r="AM396" s="5" t="str">
        <f ca="1">IFERROR(__xludf.DUMMYFUNCTION("""COMPUTED_VALUE"""),"No")</f>
        <v>No</v>
      </c>
      <c r="AN396" s="7" t="str">
        <f ca="1">IFERROR(__xludf.DUMMYFUNCTION("""COMPUTED_VALUE"""),"https://static.redstone.rs/games/christmas-delight/")</f>
        <v>https://static.redstone.rs/games/christmas-delight/</v>
      </c>
      <c r="AO396" s="5" t="str">
        <f ca="1">IFERROR(__xludf.DUMMYFUNCTION("""COMPUTED_VALUE"""),"No")</f>
        <v>No</v>
      </c>
      <c r="AP396" s="5" t="str">
        <f ca="1">IFERROR(__xludf.DUMMYFUNCTION("""COMPUTED_VALUE"""),"No")</f>
        <v>No</v>
      </c>
      <c r="AQ396" s="5" t="b">
        <f ca="1">IFERROR(__xludf.DUMMYFUNCTION("""COMPUTED_VALUE"""),TRUE)</f>
        <v>1</v>
      </c>
      <c r="AR396" s="5"/>
      <c r="AS396" s="5" t="str">
        <f ca="1">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AT396" s="5"/>
      <c r="AU396" s="5" t="str">
        <f ca="1">IFERROR(__xludf.DUMMYFUNCTION("""COMPUTED_VALUE"""),"Redstone")</f>
        <v>Redstone</v>
      </c>
      <c r="AV396" s="5"/>
      <c r="AW396" s="5"/>
      <c r="AX396" s="5"/>
      <c r="AY396" s="5"/>
      <c r="AZ396" s="5"/>
      <c r="BA396" s="5"/>
      <c r="BB396" s="5" t="b">
        <f ca="1">IFERROR(__xludf.DUMMYFUNCTION("""COMPUTED_VALUE"""),TRUE)</f>
        <v>1</v>
      </c>
      <c r="BC396" s="5" t="str">
        <f ca="1">IFERROR(__xludf.DUMMYFUNCTION("""COMPUTED_VALUE"""),"Redstone")</f>
        <v>Redstone</v>
      </c>
      <c r="BD396" s="7" t="str">
        <f ca="1">IFERROR(__xludf.DUMMYFUNCTION("""COMPUTED_VALUE"""),"https://static.redstone.rs/games/christmas-delight/")</f>
        <v>https://static.redstone.rs/games/christmas-delight/</v>
      </c>
      <c r="BE396" s="5" t="b">
        <f ca="1">IFERROR(__xludf.DUMMYFUNCTION("""COMPUTED_VALUE"""),TRUE)</f>
        <v>1</v>
      </c>
    </row>
    <row r="397" spans="1:57" x14ac:dyDescent="0.25">
      <c r="A397" s="5">
        <f ca="1">IFERROR(__xludf.DUMMYFUNCTION("""COMPUTED_VALUE"""),406)</f>
        <v>406</v>
      </c>
      <c r="B397" s="5">
        <f ca="1">IFERROR(__xludf.DUMMYFUNCTION("""COMPUTED_VALUE"""),384)</f>
        <v>384</v>
      </c>
      <c r="C397" s="5" t="str">
        <f ca="1">IFERROR(__xludf.DUMMYFUNCTION("""COMPUTED_VALUE"""),"Redstone")</f>
        <v>Redstone</v>
      </c>
      <c r="D397" s="5" t="str">
        <f ca="1">IFERROR(__xludf.DUMMYFUNCTION("""COMPUTED_VALUE"""),"Funky Fruits")</f>
        <v>Funky Fruits</v>
      </c>
      <c r="E397" s="5" t="str">
        <f ca="1">IFERROR(__xludf.DUMMYFUNCTION("""COMPUTED_VALUE"""),"Redstone")</f>
        <v>Redstone</v>
      </c>
      <c r="F397" s="5" t="str">
        <f ca="1">IFERROR(__xludf.DUMMYFUNCTION("""COMPUTED_VALUE"""),"RedstoneFunkyFruits")</f>
        <v>RedstoneFunkyFruits</v>
      </c>
      <c r="G397" s="5" t="str">
        <f ca="1">IFERROR(__xludf.DUMMYFUNCTION("""COMPUTED_VALUE"""),"Live")</f>
        <v>Live</v>
      </c>
      <c r="H397" s="5"/>
      <c r="I397" s="5" t="str">
        <f ca="1">IFERROR(__xludf.DUMMYFUNCTION("""COMPUTED_VALUE"""),"Redstone")</f>
        <v>Redstone</v>
      </c>
      <c r="J397" s="5" t="str">
        <f ca="1">IFERROR(__xludf.DUMMYFUNCTION("""COMPUTED_VALUE"""),"JSON")</f>
        <v>JSON</v>
      </c>
      <c r="K397" s="5" t="str">
        <f ca="1">IFERROR(__xludf.DUMMYFUNCTION("""COMPUTED_VALUE"""),"Slot")</f>
        <v>Slot</v>
      </c>
      <c r="L397" s="5" t="str">
        <f ca="1">IFERROR(__xludf.DUMMYFUNCTION("""COMPUTED_VALUE""")," Clone")</f>
        <v xml:space="preserve"> Clone</v>
      </c>
      <c r="M397" s="5" t="str">
        <f ca="1">IFERROR(__xludf.DUMMYFUNCTION("""COMPUTED_VALUE"""),"5 Clover Fire")</f>
        <v>5 Clover Fire</v>
      </c>
      <c r="N397" s="7" t="str">
        <f ca="1">IFERROR(__xludf.DUMMYFUNCTION("""COMPUTED_VALUE"""),"https://drive.google.com/file/d/1dfI9pBuaRN9WtXDJR91Zt7NejVPTF9pw/view?usp=drive_link")</f>
        <v>https://drive.google.com/file/d/1dfI9pBuaRN9WtXDJR91Zt7NejVPTF9pw/view?usp=drive_link</v>
      </c>
      <c r="O397" s="7" t="str">
        <f ca="1">IFERROR(__xludf.DUMMYFUNCTION("""COMPUTED_VALUE"""),"https://drive.google.com/file/d/1yFW_DFZpZEz8k9eLcehKH_MYcKX2SXKy/view?usp=drive_link")</f>
        <v>https://drive.google.com/file/d/1yFW_DFZpZEz8k9eLcehKH_MYcKX2SXKy/view?usp=drive_link</v>
      </c>
      <c r="P397" s="14">
        <f ca="1">IFERROR(__xludf.DUMMYFUNCTION("""COMPUTED_VALUE"""),8.9)</f>
        <v>8.9</v>
      </c>
      <c r="Q397" s="17">
        <f ca="1">IFERROR(__xludf.DUMMYFUNCTION("""COMPUTED_VALUE"""),45635)</f>
        <v>45635</v>
      </c>
      <c r="R397" s="17">
        <f ca="1">IFERROR(__xludf.DUMMYFUNCTION("""COMPUTED_VALUE"""),45635)</f>
        <v>45635</v>
      </c>
      <c r="S397" s="15">
        <f ca="1">IFERROR(__xludf.DUMMYFUNCTION("""COMPUTED_VALUE"""),45642)</f>
        <v>45642</v>
      </c>
      <c r="T397" s="5" t="b">
        <f ca="1">IFERROR(__xludf.DUMMYFUNCTION("""COMPUTED_VALUE"""),TRUE)</f>
        <v>1</v>
      </c>
      <c r="U397" s="5" t="str">
        <f ca="1">IFERROR(__xludf.DUMMYFUNCTION("""COMPUTED_VALUE"""),"5x3")</f>
        <v>5x3</v>
      </c>
      <c r="V397" s="5">
        <f ca="1">IFERROR(__xludf.DUMMYFUNCTION("""COMPUTED_VALUE"""),5)</f>
        <v>5</v>
      </c>
      <c r="W397" s="5">
        <f ca="1">IFERROR(__xludf.DUMMYFUNCTION("""COMPUTED_VALUE"""),5)</f>
        <v>5</v>
      </c>
      <c r="X397" s="13">
        <f ca="1">IFERROR(__xludf.DUMMYFUNCTION("""COMPUTED_VALUE"""),96.45)</f>
        <v>96.45</v>
      </c>
      <c r="Y397" s="5" t="str">
        <f ca="1">IFERROR(__xludf.DUMMYFUNCTION("""COMPUTED_VALUE"""),"Medium")</f>
        <v>Medium</v>
      </c>
      <c r="Z397" s="5">
        <f ca="1">IFERROR(__xludf.DUMMYFUNCTION("""COMPUTED_VALUE"""),14.5)</f>
        <v>14.5</v>
      </c>
      <c r="AA397" s="5">
        <f ca="1">IFERROR(__xludf.DUMMYFUNCTION("""COMPUTED_VALUE"""),1222)</f>
        <v>1222</v>
      </c>
      <c r="AB397" s="5"/>
      <c r="AC397" s="5" t="str">
        <f ca="1">IFERROR(__xludf.DUMMYFUNCTION("""COMPUTED_VALUE"""),"Expanding Wild, Scatter")</f>
        <v>Expanding Wild, Scatter</v>
      </c>
      <c r="AD397" s="5" t="str">
        <f ca="1">IFERROR(__xludf.DUMMYFUNCTION("""COMPUTED_VALUE"""),"0.05/30")</f>
        <v>0.05/30</v>
      </c>
      <c r="AE397" s="5"/>
      <c r="AF397" s="5"/>
      <c r="AG397" s="10">
        <f ca="1">IFERROR(__xludf.DUMMYFUNCTION("""COMPUTED_VALUE"""),46157.4914351851)</f>
        <v>46157.491435185097</v>
      </c>
      <c r="AH397" s="5"/>
      <c r="AI397" s="5"/>
      <c r="AJ397" s="5"/>
      <c r="AK397" s="5">
        <f ca="1">IFERROR(__xludf.DUMMYFUNCTION("""COMPUTED_VALUE"""),1)</f>
        <v>1</v>
      </c>
      <c r="AL397" s="5" t="str">
        <f ca="1">IFERROR(__xludf.DUMMYFUNCTION("""COMPUTED_VALUE"""),"No")</f>
        <v>No</v>
      </c>
      <c r="AM397" s="5" t="str">
        <f ca="1">IFERROR(__xludf.DUMMYFUNCTION("""COMPUTED_VALUE"""),"No")</f>
        <v>No</v>
      </c>
      <c r="AN397" s="7" t="str">
        <f ca="1">IFERROR(__xludf.DUMMYFUNCTION("""COMPUTED_VALUE"""),"https://static.redstone.rs/games/funky-fruits/")</f>
        <v>https://static.redstone.rs/games/funky-fruits/</v>
      </c>
      <c r="AO397" s="5" t="str">
        <f ca="1">IFERROR(__xludf.DUMMYFUNCTION("""COMPUTED_VALUE"""),"No")</f>
        <v>No</v>
      </c>
      <c r="AP397" s="5" t="str">
        <f ca="1">IFERROR(__xludf.DUMMYFUNCTION("""COMPUTED_VALUE"""),"No")</f>
        <v>No</v>
      </c>
      <c r="AQ397" s="5" t="b">
        <f ca="1">IFERROR(__xludf.DUMMYFUNCTION("""COMPUTED_VALUE"""),TRUE)</f>
        <v>1</v>
      </c>
      <c r="AR397" s="5"/>
      <c r="AS397" s="5" t="str">
        <f ca="1">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AT397" s="5"/>
      <c r="AU397" s="5" t="str">
        <f ca="1">IFERROR(__xludf.DUMMYFUNCTION("""COMPUTED_VALUE"""),"Redstone")</f>
        <v>Redstone</v>
      </c>
      <c r="AV397" s="5"/>
      <c r="AW397" s="5"/>
      <c r="AX397" s="5"/>
      <c r="AY397" s="5"/>
      <c r="AZ397" s="5"/>
      <c r="BA397" s="5"/>
      <c r="BB397" s="5" t="b">
        <f ca="1">IFERROR(__xludf.DUMMYFUNCTION("""COMPUTED_VALUE"""),TRUE)</f>
        <v>1</v>
      </c>
      <c r="BC397" s="5" t="str">
        <f ca="1">IFERROR(__xludf.DUMMYFUNCTION("""COMPUTED_VALUE"""),"Redstone")</f>
        <v>Redstone</v>
      </c>
      <c r="BD397" s="7" t="str">
        <f ca="1">IFERROR(__xludf.DUMMYFUNCTION("""COMPUTED_VALUE"""),"https://static.redstone.rs/games/funky-fruits/")</f>
        <v>https://static.redstone.rs/games/funky-fruits/</v>
      </c>
      <c r="BE397" s="5" t="b">
        <f ca="1">IFERROR(__xludf.DUMMYFUNCTION("""COMPUTED_VALUE"""),TRUE)</f>
        <v>1</v>
      </c>
    </row>
    <row r="398" spans="1:57" x14ac:dyDescent="0.25">
      <c r="A398" s="5">
        <f ca="1">IFERROR(__xludf.DUMMYFUNCTION("""COMPUTED_VALUE"""),407)</f>
        <v>407</v>
      </c>
      <c r="B398" s="5">
        <f ca="1">IFERROR(__xludf.DUMMYFUNCTION("""COMPUTED_VALUE"""),2001)</f>
        <v>2001</v>
      </c>
      <c r="C398" s="5" t="str">
        <f ca="1">IFERROR(__xludf.DUMMYFUNCTION("""COMPUTED_VALUE"""),"Redstone")</f>
        <v>Redstone</v>
      </c>
      <c r="D398" s="5" t="str">
        <f ca="1">IFERROR(__xludf.DUMMYFUNCTION("""COMPUTED_VALUE"""),"Dice Double")</f>
        <v>Dice Double</v>
      </c>
      <c r="E398" s="5" t="str">
        <f ca="1">IFERROR(__xludf.DUMMYFUNCTION("""COMPUTED_VALUE"""),"Redstone")</f>
        <v>Redstone</v>
      </c>
      <c r="F398" s="5" t="str">
        <f ca="1">IFERROR(__xludf.DUMMYFUNCTION("""COMPUTED_VALUE"""),"RedstoneDiceDouble")</f>
        <v>RedstoneDiceDouble</v>
      </c>
      <c r="G398" s="5" t="str">
        <f ca="1">IFERROR(__xludf.DUMMYFUNCTION("""COMPUTED_VALUE"""),"Live")</f>
        <v>Live</v>
      </c>
      <c r="H398" s="5"/>
      <c r="I398" s="5" t="str">
        <f ca="1">IFERROR(__xludf.DUMMYFUNCTION("""COMPUTED_VALUE"""),"Redstone")</f>
        <v>Redstone</v>
      </c>
      <c r="J398" s="5" t="str">
        <f ca="1">IFERROR(__xludf.DUMMYFUNCTION("""COMPUTED_VALUE"""),"JSON")</f>
        <v>JSON</v>
      </c>
      <c r="K398" s="5" t="str">
        <f ca="1">IFERROR(__xludf.DUMMYFUNCTION("""COMPUTED_VALUE"""),"Slot")</f>
        <v>Slot</v>
      </c>
      <c r="L398" s="5" t="str">
        <f ca="1">IFERROR(__xludf.DUMMYFUNCTION("""COMPUTED_VALUE""")," Clone")</f>
        <v xml:space="preserve"> Clone</v>
      </c>
      <c r="M398" s="5" t="str">
        <f ca="1">IFERROR(__xludf.DUMMYFUNCTION("""COMPUTED_VALUE"""),"Chilli Double")</f>
        <v>Chilli Double</v>
      </c>
      <c r="N398" s="7" t="str">
        <f ca="1">IFERROR(__xludf.DUMMYFUNCTION("""COMPUTED_VALUE"""),"https://docs.google.com/document/d/1wxcgajZpfBwjzRG61wJUdl-Ya0-Xcpri/edit?usp=drive_link&amp;ouid=107596163405648766688&amp;rtpof=true&amp;sd=true")</f>
        <v>https://docs.google.com/document/d/1wxcgajZpfBwjzRG61wJUdl-Ya0-Xcpri/edit?usp=drive_link&amp;ouid=107596163405648766688&amp;rtpof=true&amp;sd=true</v>
      </c>
      <c r="O398" s="7" t="str">
        <f ca="1">IFERROR(__xludf.DUMMYFUNCTION("""COMPUTED_VALUE"""),"https://docs.google.com/document/d/16mtDOc_tx8TXaxsQ0hi3FNv8JZf8Z6hC/edit?usp=drive_link&amp;ouid=107596163405648766688&amp;rtpof=true&amp;sd=true")</f>
        <v>https://docs.google.com/document/d/16mtDOc_tx8TXaxsQ0hi3FNv8JZf8Z6hC/edit?usp=drive_link&amp;ouid=107596163405648766688&amp;rtpof=true&amp;sd=true</v>
      </c>
      <c r="P398" s="14">
        <f ca="1">IFERROR(__xludf.DUMMYFUNCTION("""COMPUTED_VALUE"""),7.6)</f>
        <v>7.6</v>
      </c>
      <c r="Q398" s="5"/>
      <c r="R398" s="5"/>
      <c r="S398" s="15">
        <f ca="1">IFERROR(__xludf.DUMMYFUNCTION("""COMPUTED_VALUE"""),45506)</f>
        <v>45506</v>
      </c>
      <c r="T398" s="5" t="b">
        <f ca="1">IFERROR(__xludf.DUMMYFUNCTION("""COMPUTED_VALUE"""),TRUE)</f>
        <v>1</v>
      </c>
      <c r="U398" s="5" t="str">
        <f ca="1">IFERROR(__xludf.DUMMYFUNCTION("""COMPUTED_VALUE"""),"5x3")</f>
        <v>5x3</v>
      </c>
      <c r="V398" s="5">
        <f ca="1">IFERROR(__xludf.DUMMYFUNCTION("""COMPUTED_VALUE"""),5)</f>
        <v>5</v>
      </c>
      <c r="W398" s="5">
        <f ca="1">IFERROR(__xludf.DUMMYFUNCTION("""COMPUTED_VALUE"""),5)</f>
        <v>5</v>
      </c>
      <c r="X398" s="13">
        <f ca="1">IFERROR(__xludf.DUMMYFUNCTION("""COMPUTED_VALUE"""),96.45)</f>
        <v>96.45</v>
      </c>
      <c r="Y398" s="5" t="str">
        <f ca="1">IFERROR(__xludf.DUMMYFUNCTION("""COMPUTED_VALUE"""),"Medium")</f>
        <v>Medium</v>
      </c>
      <c r="Z398" s="5">
        <f ca="1">IFERROR(__xludf.DUMMYFUNCTION("""COMPUTED_VALUE"""),14.23)</f>
        <v>14.23</v>
      </c>
      <c r="AA398" s="5">
        <f ca="1">IFERROR(__xludf.DUMMYFUNCTION("""COMPUTED_VALUE"""),2624)</f>
        <v>2624</v>
      </c>
      <c r="AB398" s="5"/>
      <c r="AC398" s="5" t="str">
        <f ca="1">IFERROR(__xludf.DUMMYFUNCTION("""COMPUTED_VALUE"""),"Expanding Wild, Scatter")</f>
        <v>Expanding Wild, Scatter</v>
      </c>
      <c r="AD398" s="5" t="str">
        <f ca="1">IFERROR(__xludf.DUMMYFUNCTION("""COMPUTED_VALUE"""),"0.05/100")</f>
        <v>0.05/100</v>
      </c>
      <c r="AE398" s="5"/>
      <c r="AF398" s="5"/>
      <c r="AG398" s="10">
        <f ca="1">IFERROR(__xludf.DUMMYFUNCTION("""COMPUTED_VALUE"""),46157.4925694444)</f>
        <v>46157.492569444403</v>
      </c>
      <c r="AH398" s="5"/>
      <c r="AI398" s="5"/>
      <c r="AJ398" s="5"/>
      <c r="AK398" s="5">
        <f ca="1">IFERROR(__xludf.DUMMYFUNCTION("""COMPUTED_VALUE"""),1)</f>
        <v>1</v>
      </c>
      <c r="AL398" s="5" t="str">
        <f ca="1">IFERROR(__xludf.DUMMYFUNCTION("""COMPUTED_VALUE"""),"No")</f>
        <v>No</v>
      </c>
      <c r="AM398" s="5" t="str">
        <f ca="1">IFERROR(__xludf.DUMMYFUNCTION("""COMPUTED_VALUE"""),"No")</f>
        <v>No</v>
      </c>
      <c r="AN398" s="7" t="str">
        <f ca="1">IFERROR(__xludf.DUMMYFUNCTION("""COMPUTED_VALUE"""),"https://static.redstone.rs/games/dice-double/")</f>
        <v>https://static.redstone.rs/games/dice-double/</v>
      </c>
      <c r="AO398" s="5" t="str">
        <f ca="1">IFERROR(__xludf.DUMMYFUNCTION("""COMPUTED_VALUE"""),"No")</f>
        <v>No</v>
      </c>
      <c r="AP398" s="5" t="str">
        <f ca="1">IFERROR(__xludf.DUMMYFUNCTION("""COMPUTED_VALUE"""),"No")</f>
        <v>No</v>
      </c>
      <c r="AQ398" s="5" t="b">
        <f ca="1">IFERROR(__xludf.DUMMYFUNCTION("""COMPUTED_VALUE"""),TRUE)</f>
        <v>1</v>
      </c>
      <c r="AR398" s="5"/>
      <c r="AS398" s="5" t="str">
        <f ca="1">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AT398" s="5"/>
      <c r="AU398" s="5" t="str">
        <f ca="1">IFERROR(__xludf.DUMMYFUNCTION("""COMPUTED_VALUE"""),"Redstone")</f>
        <v>Redstone</v>
      </c>
      <c r="AV398" s="5"/>
      <c r="AW398" s="5"/>
      <c r="AX398" s="5"/>
      <c r="AY398" s="5"/>
      <c r="AZ398" s="5"/>
      <c r="BA398" s="5"/>
      <c r="BB398" s="5" t="b">
        <f ca="1">IFERROR(__xludf.DUMMYFUNCTION("""COMPUTED_VALUE"""),TRUE)</f>
        <v>1</v>
      </c>
      <c r="BC398" s="5" t="str">
        <f ca="1">IFERROR(__xludf.DUMMYFUNCTION("""COMPUTED_VALUE"""),"Redstone")</f>
        <v>Redstone</v>
      </c>
      <c r="BD398" s="7" t="str">
        <f ca="1">IFERROR(__xludf.DUMMYFUNCTION("""COMPUTED_VALUE"""),"https://static.redstone.rs/games/dice-double/")</f>
        <v>https://static.redstone.rs/games/dice-double/</v>
      </c>
      <c r="BE398" s="5" t="b">
        <f ca="1">IFERROR(__xludf.DUMMYFUNCTION("""COMPUTED_VALUE"""),TRUE)</f>
        <v>1</v>
      </c>
    </row>
    <row r="399" spans="1:57" x14ac:dyDescent="0.25">
      <c r="A399" s="5">
        <f ca="1">IFERROR(__xludf.DUMMYFUNCTION("""COMPUTED_VALUE"""),408)</f>
        <v>408</v>
      </c>
      <c r="B399" s="5">
        <f ca="1">IFERROR(__xludf.DUMMYFUNCTION("""COMPUTED_VALUE"""),2002)</f>
        <v>2002</v>
      </c>
      <c r="C399" s="5" t="str">
        <f ca="1">IFERROR(__xludf.DUMMYFUNCTION("""COMPUTED_VALUE"""),"Redstone")</f>
        <v>Redstone</v>
      </c>
      <c r="D399" s="5" t="str">
        <f ca="1">IFERROR(__xludf.DUMMYFUNCTION("""COMPUTED_VALUE"""),"Volcano Hot")</f>
        <v>Volcano Hot</v>
      </c>
      <c r="E399" s="5" t="str">
        <f ca="1">IFERROR(__xludf.DUMMYFUNCTION("""COMPUTED_VALUE"""),"Redstone")</f>
        <v>Redstone</v>
      </c>
      <c r="F399" s="5" t="str">
        <f ca="1">IFERROR(__xludf.DUMMYFUNCTION("""COMPUTED_VALUE"""),"RedstoneVolcanoHot")</f>
        <v>RedstoneVolcanoHot</v>
      </c>
      <c r="G399" s="5" t="str">
        <f ca="1">IFERROR(__xludf.DUMMYFUNCTION("""COMPUTED_VALUE"""),"Live")</f>
        <v>Live</v>
      </c>
      <c r="H399" s="5"/>
      <c r="I399" s="5" t="str">
        <f ca="1">IFERROR(__xludf.DUMMYFUNCTION("""COMPUTED_VALUE"""),"Redstone")</f>
        <v>Redstone</v>
      </c>
      <c r="J399" s="5" t="str">
        <f ca="1">IFERROR(__xludf.DUMMYFUNCTION("""COMPUTED_VALUE"""),"JSON")</f>
        <v>JSON</v>
      </c>
      <c r="K399" s="5" t="str">
        <f ca="1">IFERROR(__xludf.DUMMYFUNCTION("""COMPUTED_VALUE"""),"Slot")</f>
        <v>Slot</v>
      </c>
      <c r="L399" s="5" t="str">
        <f ca="1">IFERROR(__xludf.DUMMYFUNCTION("""COMPUTED_VALUE""")," Clone")</f>
        <v xml:space="preserve"> Clone</v>
      </c>
      <c r="M399" s="5" t="str">
        <f ca="1">IFERROR(__xludf.DUMMYFUNCTION("""COMPUTED_VALUE"""),"20 Fire Cash")</f>
        <v>20 Fire Cash</v>
      </c>
      <c r="N399" s="7" t="str">
        <f ca="1">IFERROR(__xludf.DUMMYFUNCTION("""COMPUTED_VALUE"""),"https://drive.google.com/file/d/1TIDXrQqfVRm2CVG_wBa8hrOS0YKT3vAF/view?usp=drive_link")</f>
        <v>https://drive.google.com/file/d/1TIDXrQqfVRm2CVG_wBa8hrOS0YKT3vAF/view?usp=drive_link</v>
      </c>
      <c r="O399" s="7" t="str">
        <f ca="1">IFERROR(__xludf.DUMMYFUNCTION("""COMPUTED_VALUE"""),"https://drive.google.com/file/d/166wIewWhocd1jH7pxyQpKQESUAJhpHdt/view?usp=drive_link")</f>
        <v>https://drive.google.com/file/d/166wIewWhocd1jH7pxyQpKQESUAJhpHdt/view?usp=drive_link</v>
      </c>
      <c r="P399" s="14">
        <f ca="1">IFERROR(__xludf.DUMMYFUNCTION("""COMPUTED_VALUE"""),7.5)</f>
        <v>7.5</v>
      </c>
      <c r="Q399" s="5"/>
      <c r="R399" s="5"/>
      <c r="S399" s="15">
        <f ca="1">IFERROR(__xludf.DUMMYFUNCTION("""COMPUTED_VALUE"""),45553)</f>
        <v>45553</v>
      </c>
      <c r="T399" s="5" t="b">
        <f ca="1">IFERROR(__xludf.DUMMYFUNCTION("""COMPUTED_VALUE"""),TRUE)</f>
        <v>1</v>
      </c>
      <c r="U399" s="5" t="str">
        <f ca="1">IFERROR(__xludf.DUMMYFUNCTION("""COMPUTED_VALUE"""),"5x3")</f>
        <v>5x3</v>
      </c>
      <c r="V399" s="5">
        <f ca="1">IFERROR(__xludf.DUMMYFUNCTION("""COMPUTED_VALUE"""),20)</f>
        <v>20</v>
      </c>
      <c r="W399" s="5">
        <f ca="1">IFERROR(__xludf.DUMMYFUNCTION("""COMPUTED_VALUE"""),20)</f>
        <v>20</v>
      </c>
      <c r="X399" s="13">
        <f ca="1">IFERROR(__xludf.DUMMYFUNCTION("""COMPUTED_VALUE"""),96.47)</f>
        <v>96.47</v>
      </c>
      <c r="Y399" s="5" t="str">
        <f ca="1">IFERROR(__xludf.DUMMYFUNCTION("""COMPUTED_VALUE"""),"Medium")</f>
        <v>Medium</v>
      </c>
      <c r="Z399" s="5">
        <f ca="1">IFERROR(__xludf.DUMMYFUNCTION("""COMPUTED_VALUE"""),17.73)</f>
        <v>17.73</v>
      </c>
      <c r="AA399" s="5">
        <f ca="1">IFERROR(__xludf.DUMMYFUNCTION("""COMPUTED_VALUE"""),1000)</f>
        <v>1000</v>
      </c>
      <c r="AB399" s="5"/>
      <c r="AC399" s="5" t="str">
        <f ca="1">IFERROR(__xludf.DUMMYFUNCTION("""COMPUTED_VALUE"""),"Scatter, Special Wild")</f>
        <v>Scatter, Special Wild</v>
      </c>
      <c r="AD399" s="5" t="str">
        <f ca="1">IFERROR(__xludf.DUMMYFUNCTION("""COMPUTED_VALUE"""),"0.02/50")</f>
        <v>0.02/50</v>
      </c>
      <c r="AE399" s="5"/>
      <c r="AF399" s="5"/>
      <c r="AG399" s="10">
        <f ca="1">IFERROR(__xludf.DUMMYFUNCTION("""COMPUTED_VALUE"""),46157.4926157407)</f>
        <v>46157.492615740703</v>
      </c>
      <c r="AH399" s="5"/>
      <c r="AI399" s="5"/>
      <c r="AJ399" s="5"/>
      <c r="AK399" s="5">
        <f ca="1">IFERROR(__xludf.DUMMYFUNCTION("""COMPUTED_VALUE"""),1)</f>
        <v>1</v>
      </c>
      <c r="AL399" s="5" t="str">
        <f ca="1">IFERROR(__xludf.DUMMYFUNCTION("""COMPUTED_VALUE"""),"No")</f>
        <v>No</v>
      </c>
      <c r="AM399" s="5" t="str">
        <f ca="1">IFERROR(__xludf.DUMMYFUNCTION("""COMPUTED_VALUE"""),"No")</f>
        <v>No</v>
      </c>
      <c r="AN399" s="7" t="str">
        <f ca="1">IFERROR(__xludf.DUMMYFUNCTION("""COMPUTED_VALUE"""),"https://static.redstone.rs/games/volcano-hot/")</f>
        <v>https://static.redstone.rs/games/volcano-hot/</v>
      </c>
      <c r="AO399" s="5" t="str">
        <f ca="1">IFERROR(__xludf.DUMMYFUNCTION("""COMPUTED_VALUE"""),"No")</f>
        <v>No</v>
      </c>
      <c r="AP399" s="5" t="str">
        <f ca="1">IFERROR(__xludf.DUMMYFUNCTION("""COMPUTED_VALUE"""),"No")</f>
        <v>No</v>
      </c>
      <c r="AQ399" s="5" t="b">
        <f ca="1">IFERROR(__xludf.DUMMYFUNCTION("""COMPUTED_VALUE"""),TRUE)</f>
        <v>1</v>
      </c>
      <c r="AR399" s="5"/>
      <c r="AS399" s="5" t="str">
        <f ca="1">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AT399" s="5"/>
      <c r="AU399" s="5" t="str">
        <f ca="1">IFERROR(__xludf.DUMMYFUNCTION("""COMPUTED_VALUE"""),"Redstone")</f>
        <v>Redstone</v>
      </c>
      <c r="AV399" s="5"/>
      <c r="AW399" s="5"/>
      <c r="AX399" s="5"/>
      <c r="AY399" s="5"/>
      <c r="AZ399" s="5"/>
      <c r="BA399" s="5"/>
      <c r="BB399" s="5" t="b">
        <f ca="1">IFERROR(__xludf.DUMMYFUNCTION("""COMPUTED_VALUE"""),TRUE)</f>
        <v>1</v>
      </c>
      <c r="BC399" s="5" t="str">
        <f ca="1">IFERROR(__xludf.DUMMYFUNCTION("""COMPUTED_VALUE"""),"Redstone")</f>
        <v>Redstone</v>
      </c>
      <c r="BD399" s="7" t="str">
        <f ca="1">IFERROR(__xludf.DUMMYFUNCTION("""COMPUTED_VALUE"""),"https://static.redstone.rs/games/volcano-hot/")</f>
        <v>https://static.redstone.rs/games/volcano-hot/</v>
      </c>
      <c r="BE399" s="5" t="b">
        <f ca="1">IFERROR(__xludf.DUMMYFUNCTION("""COMPUTED_VALUE"""),TRUE)</f>
        <v>1</v>
      </c>
    </row>
    <row r="400" spans="1:57" x14ac:dyDescent="0.25">
      <c r="A400" s="5">
        <f ca="1">IFERROR(__xludf.DUMMYFUNCTION("""COMPUTED_VALUE"""),409)</f>
        <v>409</v>
      </c>
      <c r="B400" s="5">
        <f ca="1">IFERROR(__xludf.DUMMYFUNCTION("""COMPUTED_VALUE"""),180001)</f>
        <v>180001</v>
      </c>
      <c r="C400" s="5" t="str">
        <f ca="1">IFERROR(__xludf.DUMMYFUNCTION("""COMPUTED_VALUE"""),"Redstone")</f>
        <v>Redstone</v>
      </c>
      <c r="D400" s="5" t="str">
        <f ca="1">IFERROR(__xludf.DUMMYFUNCTION("""COMPUTED_VALUE"""),"10 Clover Fire")</f>
        <v>10 Clover Fire</v>
      </c>
      <c r="E400" s="5" t="str">
        <f ca="1">IFERROR(__xludf.DUMMYFUNCTION("""COMPUTED_VALUE"""),"Redstone")</f>
        <v>Redstone</v>
      </c>
      <c r="F400" s="5" t="str">
        <f ca="1">IFERROR(__xludf.DUMMYFUNCTION("""COMPUTED_VALUE"""),"Redstone10CloverFire")</f>
        <v>Redstone10CloverFire</v>
      </c>
      <c r="G400" s="5" t="str">
        <f ca="1">IFERROR(__xludf.DUMMYFUNCTION("""COMPUTED_VALUE"""),"Live")</f>
        <v>Live</v>
      </c>
      <c r="H400" s="5"/>
      <c r="I400" s="5" t="str">
        <f ca="1">IFERROR(__xludf.DUMMYFUNCTION("""COMPUTED_VALUE"""),"Redstone")</f>
        <v>Redstone</v>
      </c>
      <c r="J400" s="5" t="str">
        <f ca="1">IFERROR(__xludf.DUMMYFUNCTION("""COMPUTED_VALUE"""),"JSON")</f>
        <v>JSON</v>
      </c>
      <c r="K400" s="5" t="str">
        <f ca="1">IFERROR(__xludf.DUMMYFUNCTION("""COMPUTED_VALUE"""),"Slot")</f>
        <v>Slot</v>
      </c>
      <c r="L400" s="5" t="str">
        <f ca="1">IFERROR(__xludf.DUMMYFUNCTION("""COMPUTED_VALUE"""),"Master")</f>
        <v>Master</v>
      </c>
      <c r="M400" s="5"/>
      <c r="N400" s="7" t="str">
        <f ca="1">IFERROR(__xludf.DUMMYFUNCTION("""COMPUTED_VALUE"""),"https://docs.google.com/document/d/1TZm4cFN3pLqqLsQDht7QeFxb_bqDb1Jo/edit?usp=drive_link&amp;ouid=107596163405648766688&amp;rtpof=true&amp;sd=true")</f>
        <v>https://docs.google.com/document/d/1TZm4cFN3pLqqLsQDht7QeFxb_bqDb1Jo/edit?usp=drive_link&amp;ouid=107596163405648766688&amp;rtpof=true&amp;sd=true</v>
      </c>
      <c r="O400" s="7" t="str">
        <f ca="1">IFERROR(__xludf.DUMMYFUNCTION("""COMPUTED_VALUE"""),"https://docs.google.com/document/d/1GbD7Xr2mxOwa_hwLj37fj-PYGBhDbBCh/edit?usp=drive_link&amp;ouid=107596163405648766688&amp;rtpof=true&amp;sd=true")</f>
        <v>https://docs.google.com/document/d/1GbD7Xr2mxOwa_hwLj37fj-PYGBhDbBCh/edit?usp=drive_link&amp;ouid=107596163405648766688&amp;rtpof=true&amp;sd=true</v>
      </c>
      <c r="P400" s="14">
        <f ca="1">IFERROR(__xludf.DUMMYFUNCTION("""COMPUTED_VALUE"""),8.2)</f>
        <v>8.1999999999999993</v>
      </c>
      <c r="Q400" s="5"/>
      <c r="R400" s="5"/>
      <c r="S400" s="15">
        <f ca="1">IFERROR(__xludf.DUMMYFUNCTION("""COMPUTED_VALUE"""),45432)</f>
        <v>45432</v>
      </c>
      <c r="T400" s="5"/>
      <c r="U400" s="5" t="str">
        <f ca="1">IFERROR(__xludf.DUMMYFUNCTION("""COMPUTED_VALUE"""),"5x3")</f>
        <v>5x3</v>
      </c>
      <c r="V400" s="5">
        <f ca="1">IFERROR(__xludf.DUMMYFUNCTION("""COMPUTED_VALUE"""),10)</f>
        <v>10</v>
      </c>
      <c r="W400" s="5">
        <f ca="1">IFERROR(__xludf.DUMMYFUNCTION("""COMPUTED_VALUE"""),10)</f>
        <v>10</v>
      </c>
      <c r="X400" s="13">
        <f ca="1">IFERROR(__xludf.DUMMYFUNCTION("""COMPUTED_VALUE"""),96.52)</f>
        <v>96.52</v>
      </c>
      <c r="Y400" s="5" t="str">
        <f ca="1">IFERROR(__xludf.DUMMYFUNCTION("""COMPUTED_VALUE"""),"Medium")</f>
        <v>Medium</v>
      </c>
      <c r="Z400" s="5">
        <f ca="1">IFERROR(__xludf.DUMMYFUNCTION("""COMPUTED_VALUE"""),17.77)</f>
        <v>17.77</v>
      </c>
      <c r="AA400" s="5">
        <f ca="1">IFERROR(__xludf.DUMMYFUNCTION("""COMPUTED_VALUE"""),944)</f>
        <v>944</v>
      </c>
      <c r="AB400" s="5"/>
      <c r="AC400" s="5" t="str">
        <f ca="1">IFERROR(__xludf.DUMMYFUNCTION("""COMPUTED_VALUE"""),"Expanding Wild, Scatter")</f>
        <v>Expanding Wild, Scatter</v>
      </c>
      <c r="AD400" s="5" t="str">
        <f ca="1">IFERROR(__xludf.DUMMYFUNCTION("""COMPUTED_VALUE"""),"0.10/100")</f>
        <v>0.10/100</v>
      </c>
      <c r="AE400" s="5"/>
      <c r="AF400" s="5"/>
      <c r="AG400" s="10">
        <f ca="1">IFERROR(__xludf.DUMMYFUNCTION("""COMPUTED_VALUE"""),46157.492662037)</f>
        <v>46157.492662037002</v>
      </c>
      <c r="AH400" s="5"/>
      <c r="AI400" s="5"/>
      <c r="AJ400" s="5"/>
      <c r="AK400" s="5">
        <f ca="1">IFERROR(__xludf.DUMMYFUNCTION("""COMPUTED_VALUE"""),1)</f>
        <v>1</v>
      </c>
      <c r="AL400" s="5" t="str">
        <f ca="1">IFERROR(__xludf.DUMMYFUNCTION("""COMPUTED_VALUE"""),"No")</f>
        <v>No</v>
      </c>
      <c r="AM400" s="5" t="str">
        <f ca="1">IFERROR(__xludf.DUMMYFUNCTION("""COMPUTED_VALUE"""),"No")</f>
        <v>No</v>
      </c>
      <c r="AN400" s="7" t="str">
        <f ca="1">IFERROR(__xludf.DUMMYFUNCTION("""COMPUTED_VALUE"""),"https://static.redstone.rs/games/10-clover-fire/")</f>
        <v>https://static.redstone.rs/games/10-clover-fire/</v>
      </c>
      <c r="AO400" s="5" t="str">
        <f ca="1">IFERROR(__xludf.DUMMYFUNCTION("""COMPUTED_VALUE"""),"No")</f>
        <v>No</v>
      </c>
      <c r="AP400" s="5" t="str">
        <f ca="1">IFERROR(__xludf.DUMMYFUNCTION("""COMPUTED_VALUE"""),"No")</f>
        <v>No</v>
      </c>
      <c r="AQ400" s="5" t="b">
        <f ca="1">IFERROR(__xludf.DUMMYFUNCTION("""COMPUTED_VALUE"""),TRUE)</f>
        <v>1</v>
      </c>
      <c r="AR400" s="5"/>
      <c r="AS400" s="5" t="str">
        <f ca="1">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AT400" s="5"/>
      <c r="AU400" s="5" t="str">
        <f ca="1">IFERROR(__xludf.DUMMYFUNCTION("""COMPUTED_VALUE"""),"Redstone")</f>
        <v>Redstone</v>
      </c>
      <c r="AV400" s="5"/>
      <c r="AW400" s="5"/>
      <c r="AX400" s="5"/>
      <c r="AY400" s="5"/>
      <c r="AZ400" s="5"/>
      <c r="BA400" s="5"/>
      <c r="BB400" s="5" t="b">
        <f ca="1">IFERROR(__xludf.DUMMYFUNCTION("""COMPUTED_VALUE"""),TRUE)</f>
        <v>1</v>
      </c>
      <c r="BC400" s="5" t="str">
        <f ca="1">IFERROR(__xludf.DUMMYFUNCTION("""COMPUTED_VALUE"""),"Redstone")</f>
        <v>Redstone</v>
      </c>
      <c r="BD400" s="7" t="str">
        <f ca="1">IFERROR(__xludf.DUMMYFUNCTION("""COMPUTED_VALUE"""),"https://static.redstone.rs/games/10-clover-fire/")</f>
        <v>https://static.redstone.rs/games/10-clover-fire/</v>
      </c>
      <c r="BE400" s="5" t="b">
        <f ca="1">IFERROR(__xludf.DUMMYFUNCTION("""COMPUTED_VALUE"""),TRUE)</f>
        <v>1</v>
      </c>
    </row>
    <row r="401" spans="1:57" x14ac:dyDescent="0.25">
      <c r="A401" s="5">
        <f ca="1">IFERROR(__xludf.DUMMYFUNCTION("""COMPUTED_VALUE"""),410)</f>
        <v>410</v>
      </c>
      <c r="B401" s="5">
        <f ca="1">IFERROR(__xludf.DUMMYFUNCTION("""COMPUTED_VALUE"""),2000001)</f>
        <v>2000001</v>
      </c>
      <c r="C401" s="5"/>
      <c r="D401" s="5" t="str">
        <f ca="1">IFERROR(__xludf.DUMMYFUNCTION("""COMPUTED_VALUE"""),"God Of Thunderstorm")</f>
        <v>God Of Thunderstorm</v>
      </c>
      <c r="E401" s="5"/>
      <c r="F401" s="5"/>
      <c r="G401" s="5"/>
      <c r="H401" s="5"/>
      <c r="I401" s="5"/>
      <c r="J401" s="5"/>
      <c r="K401" s="5" t="str">
        <f ca="1">IFERROR(__xludf.DUMMYFUNCTION("""COMPUTED_VALUE"""),"Plinko")</f>
        <v>Plinko</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t="str">
        <f ca="1">IFERROR(__xludf.DUMMYFUNCTION("""COMPUTED_VALUE"""),"#N/A")</f>
        <v>#N/A</v>
      </c>
      <c r="AL401" s="5"/>
      <c r="AM401" s="5"/>
      <c r="AN401" s="5"/>
      <c r="AO401" s="5"/>
      <c r="AP401" s="5"/>
      <c r="AQ401" s="5"/>
      <c r="AR401" s="5"/>
      <c r="AS401" s="5"/>
      <c r="AT401" s="5"/>
      <c r="AU401" s="5"/>
      <c r="AV401" s="5"/>
      <c r="AW401" s="5"/>
      <c r="AX401" s="5"/>
      <c r="AY401" s="5"/>
      <c r="AZ401" s="5"/>
      <c r="BA401" s="5" t="str">
        <f ca="1">IFERROR(__xludf.DUMMYFUNCTION("""COMPUTED_VALUE"""),"")</f>
        <v/>
      </c>
      <c r="BB401" s="5"/>
      <c r="BC401" s="5"/>
      <c r="BD401" s="5"/>
      <c r="BE401" s="5"/>
    </row>
    <row r="402" spans="1:57" x14ac:dyDescent="0.25">
      <c r="A402" s="5">
        <f ca="1">IFERROR(__xludf.DUMMYFUNCTION("""COMPUTED_VALUE"""),413)</f>
        <v>413</v>
      </c>
      <c r="B402" s="5">
        <f ca="1">IFERROR(__xludf.DUMMYFUNCTION("""COMPUTED_VALUE"""),3005)</f>
        <v>3005</v>
      </c>
      <c r="C402" s="5" t="str">
        <f ca="1">IFERROR(__xludf.DUMMYFUNCTION("""COMPUTED_VALUE"""),"Fazi")</f>
        <v>Fazi</v>
      </c>
      <c r="D402" s="5" t="str">
        <f ca="1">IFERROR(__xludf.DUMMYFUNCTION("""COMPUTED_VALUE"""),"Crowns and Stars")</f>
        <v>Crowns and Stars</v>
      </c>
      <c r="E402" s="5" t="str">
        <f ca="1">IFERROR(__xludf.DUMMYFUNCTION("""COMPUTED_VALUE"""),"V2")</f>
        <v>V2</v>
      </c>
      <c r="F402" s="5" t="str">
        <f ca="1">IFERROR(__xludf.DUMMYFUNCTION("""COMPUTED_VALUE"""),"CrownsAndStars")</f>
        <v>CrownsAndStars</v>
      </c>
      <c r="G402" s="5" t="str">
        <f ca="1">IFERROR(__xludf.DUMMYFUNCTION("""COMPUTED_VALUE"""),"Live")</f>
        <v>Live</v>
      </c>
      <c r="H402" s="5"/>
      <c r="I402" s="5" t="str">
        <f ca="1">IFERROR(__xludf.DUMMYFUNCTION("""COMPUTED_VALUE"""),"V2")</f>
        <v>V2</v>
      </c>
      <c r="J402" s="5" t="str">
        <f ca="1">IFERROR(__xludf.DUMMYFUNCTION("""COMPUTED_VALUE"""),"Binary")</f>
        <v>Binary</v>
      </c>
      <c r="K402" s="5" t="str">
        <f ca="1">IFERROR(__xludf.DUMMYFUNCTION("""COMPUTED_VALUE"""),"Slot")</f>
        <v>Slot</v>
      </c>
      <c r="L402" s="5" t="str">
        <f ca="1">IFERROR(__xludf.DUMMYFUNCTION("""COMPUTED_VALUE"""),"Master")</f>
        <v>Master</v>
      </c>
      <c r="M402" s="5"/>
      <c r="N402" s="7" t="str">
        <f ca="1">IFERROR(__xludf.DUMMYFUNCTION("""COMPUTED_VALUE"""),"https://drive.google.com/file/d/1MagzLGH8WOcAl7avhVNFyMA7HKX2TYKo/view?usp=sharing")</f>
        <v>https://drive.google.com/file/d/1MagzLGH8WOcAl7avhVNFyMA7HKX2TYKo/view?usp=sharing</v>
      </c>
      <c r="O402" s="7" t="str">
        <f ca="1">IFERROR(__xludf.DUMMYFUNCTION("""COMPUTED_VALUE"""),"https://drive.google.com/file/d/1s1mvKjVqp4KPPhHWwEIdwZY3oCvr48sm/view?usp=sharing")</f>
        <v>https://drive.google.com/file/d/1s1mvKjVqp4KPPhHWwEIdwZY3oCvr48sm/view?usp=sharing</v>
      </c>
      <c r="P402" s="14">
        <f ca="1">IFERROR(__xludf.DUMMYFUNCTION("""COMPUTED_VALUE"""),30.3)</f>
        <v>30.3</v>
      </c>
      <c r="Q402" s="15">
        <f ca="1">IFERROR(__xludf.DUMMYFUNCTION("""COMPUTED_VALUE"""),45642)</f>
        <v>45642</v>
      </c>
      <c r="R402" s="17">
        <f ca="1">IFERROR(__xludf.DUMMYFUNCTION("""COMPUTED_VALUE"""),45660)</f>
        <v>45660</v>
      </c>
      <c r="S402" s="15">
        <f ca="1">IFERROR(__xludf.DUMMYFUNCTION("""COMPUTED_VALUE"""),45666)</f>
        <v>45666</v>
      </c>
      <c r="T402" s="5" t="b">
        <f ca="1">IFERROR(__xludf.DUMMYFUNCTION("""COMPUTED_VALUE"""),TRUE)</f>
        <v>1</v>
      </c>
      <c r="U402" s="5" t="str">
        <f ca="1">IFERROR(__xludf.DUMMYFUNCTION("""COMPUTED_VALUE"""),"5x3")</f>
        <v>5x3</v>
      </c>
      <c r="V402" s="5">
        <f ca="1">IFERROR(__xludf.DUMMYFUNCTION("""COMPUTED_VALUE"""),10)</f>
        <v>10</v>
      </c>
      <c r="W402" s="5">
        <f ca="1">IFERROR(__xludf.DUMMYFUNCTION("""COMPUTED_VALUE"""),10)</f>
        <v>10</v>
      </c>
      <c r="X402" s="13">
        <f ca="1">IFERROR(__xludf.DUMMYFUNCTION("""COMPUTED_VALUE"""),96.592)</f>
        <v>96.591999999999999</v>
      </c>
      <c r="Y402" s="5" t="str">
        <f ca="1">IFERROR(__xludf.DUMMYFUNCTION("""COMPUTED_VALUE"""),"High")</f>
        <v>High</v>
      </c>
      <c r="Z402" s="5">
        <f ca="1">IFERROR(__xludf.DUMMYFUNCTION("""COMPUTED_VALUE"""),10.705)</f>
        <v>10.705</v>
      </c>
      <c r="AA402" s="5">
        <f ca="1">IFERROR(__xludf.DUMMYFUNCTION("""COMPUTED_VALUE"""),10075)</f>
        <v>10075</v>
      </c>
      <c r="AB402" s="5"/>
      <c r="AC402" s="5" t="str">
        <f ca="1">IFERROR(__xludf.DUMMYFUNCTION("""COMPUTED_VALUE"""),"In Game Jackpot, Expanding Wild")</f>
        <v>In Game Jackpot, Expanding Wild</v>
      </c>
      <c r="AD402" s="5" t="str">
        <f ca="1">IFERROR(__xludf.DUMMYFUNCTION("""COMPUTED_VALUE"""),"0.1/40")</f>
        <v>0.1/40</v>
      </c>
      <c r="AE402" s="5"/>
      <c r="AF402" s="5"/>
      <c r="AG402" s="10">
        <f ca="1">IFERROR(__xludf.DUMMYFUNCTION("""COMPUTED_VALUE"""),46062.4130439814)</f>
        <v>46062.413043981403</v>
      </c>
      <c r="AH402" s="5" t="str">
        <f ca="1">IFERROR(__xludf.DUMMYFUNCTION("""COMPUTED_VALUE"""),"aleksandar.trajkovic@fazi.rs")</f>
        <v>aleksandar.trajkovic@fazi.rs</v>
      </c>
      <c r="AI402" s="15">
        <f ca="1">IFERROR(__xludf.DUMMYFUNCTION("""COMPUTED_VALUE"""),45643)</f>
        <v>45643</v>
      </c>
      <c r="AJ402" s="5" t="str">
        <f ca="1">IFERROR(__xludf.DUMMYFUNCTION("""COMPUTED_VALUE"""),"1xbet (BetB2B)")</f>
        <v>1xbet (BetB2B)</v>
      </c>
      <c r="AK402" s="5">
        <f ca="1">IFERROR(__xludf.DUMMYFUNCTION("""COMPUTED_VALUE"""),10)</f>
        <v>10</v>
      </c>
      <c r="AL402" s="5" t="str">
        <f ca="1">IFERROR(__xludf.DUMMYFUNCTION("""COMPUTED_VALUE"""),"Yes")</f>
        <v>Yes</v>
      </c>
      <c r="AM402" s="5"/>
      <c r="AN402" s="7" t="str">
        <f ca="1">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AO402" s="5"/>
      <c r="AP402" s="5"/>
      <c r="AQ402" s="5" t="b">
        <f ca="1">IFERROR(__xludf.DUMMYFUNCTION("""COMPUTED_VALUE"""),TRUE)</f>
        <v>1</v>
      </c>
      <c r="AR402" s="5"/>
      <c r="AS402" s="5" t="str">
        <f ca="1">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AT402" s="5"/>
      <c r="AU402" s="5" t="str">
        <f ca="1">IFERROR(__xludf.DUMMYFUNCTION("""COMPUTED_VALUE"""),"Fazi")</f>
        <v>Fazi</v>
      </c>
      <c r="AV402" s="5"/>
      <c r="AW402" s="5"/>
      <c r="AX402" s="5"/>
      <c r="AY402" s="5"/>
      <c r="AZ402" s="5"/>
      <c r="BA402" s="5" t="str">
        <f ca="1">IFERROR(__xludf.DUMMYFUNCTION("""COMPUTED_VALUE"""),"")</f>
        <v/>
      </c>
      <c r="BB402" s="5"/>
      <c r="BC402" s="5" t="str">
        <f ca="1">IFERROR(__xludf.DUMMYFUNCTION("""COMPUTED_VALUE"""),"Foxi")</f>
        <v>Foxi</v>
      </c>
      <c r="BD402" s="7" t="str">
        <f ca="1">IFERROR(__xludf.DUMMYFUNCTION("""COMPUTED_VALUE"""),"https://gameserver-store-client-area.orbionlimited.com/Home/IntegrationGameLaunch/client-area?moneyType=0&amp;gameName=CrownsAndStars&amp;platform=desktop&amp;languageCode=eng&amp;currency=EUR")</f>
        <v>https://gameserver-store-client-area.orbionlimited.com/Home/IntegrationGameLaunch/client-area?moneyType=0&amp;gameName=CrownsAndStars&amp;platform=desktop&amp;languageCode=eng&amp;currency=EUR</v>
      </c>
      <c r="BE402" s="5" t="b">
        <f ca="1">IFERROR(__xludf.DUMMYFUNCTION("""COMPUTED_VALUE"""),TRUE)</f>
        <v>1</v>
      </c>
    </row>
    <row r="403" spans="1:57" x14ac:dyDescent="0.25">
      <c r="A403" s="5">
        <f ca="1">IFERROR(__xludf.DUMMYFUNCTION("""COMPUTED_VALUE"""),414)</f>
        <v>414</v>
      </c>
      <c r="B403" s="5">
        <f ca="1">IFERROR(__xludf.DUMMYFUNCTION("""COMPUTED_VALUE"""),390)</f>
        <v>390</v>
      </c>
      <c r="C403" s="5" t="str">
        <f ca="1">IFERROR(__xludf.DUMMYFUNCTION("""COMPUTED_VALUE"""),"Playnet")</f>
        <v>Playnet</v>
      </c>
      <c r="D403" s="5" t="str">
        <f ca="1">IFERROR(__xludf.DUMMYFUNCTION("""COMPUTED_VALUE"""),"Fortune Clover x2")</f>
        <v>Fortune Clover x2</v>
      </c>
      <c r="E403" s="5" t="str">
        <f ca="1">IFERROR(__xludf.DUMMYFUNCTION("""COMPUTED_VALUE"""),"V4-2")</f>
        <v>V4-2</v>
      </c>
      <c r="F403" s="5" t="str">
        <f ca="1">IFERROR(__xludf.DUMMYFUNCTION("""COMPUTED_VALUE"""),"PlayNetFortuneCloverX2")</f>
        <v>PlayNetFortuneCloverX2</v>
      </c>
      <c r="G403" s="5" t="str">
        <f ca="1">IFERROR(__xludf.DUMMYFUNCTION("""COMPUTED_VALUE"""),"Live")</f>
        <v>Live</v>
      </c>
      <c r="H403" s="5"/>
      <c r="I403" s="5"/>
      <c r="J403" s="5" t="str">
        <f ca="1">IFERROR(__xludf.DUMMYFUNCTION("""COMPUTED_VALUE"""),"JSON")</f>
        <v>JSON</v>
      </c>
      <c r="K403" s="5" t="str">
        <f ca="1">IFERROR(__xludf.DUMMYFUNCTION("""COMPUTED_VALUE"""),"Slot")</f>
        <v>Slot</v>
      </c>
      <c r="L403" s="5" t="str">
        <f ca="1">IFERROR(__xludf.DUMMYFUNCTION("""COMPUTED_VALUE""")," Clone")</f>
        <v xml:space="preserve"> Clone</v>
      </c>
      <c r="M403" s="5" t="str">
        <f ca="1">IFERROR(__xludf.DUMMYFUNCTION("""COMPUTED_VALUE"""),"Very Hot 5 Extreme")</f>
        <v>Very Hot 5 Extreme</v>
      </c>
      <c r="N403" s="5"/>
      <c r="O403" s="5"/>
      <c r="P403" s="14">
        <f ca="1">IFERROR(__xludf.DUMMYFUNCTION("""COMPUTED_VALUE"""),7)</f>
        <v>7</v>
      </c>
      <c r="Q403" s="5"/>
      <c r="R403" s="17">
        <f ca="1">IFERROR(__xludf.DUMMYFUNCTION("""COMPUTED_VALUE"""),45678)</f>
        <v>45678</v>
      </c>
      <c r="S403" s="15">
        <f ca="1">IFERROR(__xludf.DUMMYFUNCTION("""COMPUTED_VALUE"""),45685)</f>
        <v>45685</v>
      </c>
      <c r="T403" s="5" t="b">
        <f ca="1">IFERROR(__xludf.DUMMYFUNCTION("""COMPUTED_VALUE"""),TRUE)</f>
        <v>1</v>
      </c>
      <c r="U403" s="5" t="str">
        <f ca="1">IFERROR(__xludf.DUMMYFUNCTION("""COMPUTED_VALUE"""),"5x3")</f>
        <v>5x3</v>
      </c>
      <c r="V403" s="5">
        <f ca="1">IFERROR(__xludf.DUMMYFUNCTION("""COMPUTED_VALUE"""),5)</f>
        <v>5</v>
      </c>
      <c r="W403" s="5">
        <f ca="1">IFERROR(__xludf.DUMMYFUNCTION("""COMPUTED_VALUE"""),5)</f>
        <v>5</v>
      </c>
      <c r="X403" s="13">
        <f ca="1">IFERROR(__xludf.DUMMYFUNCTION("""COMPUTED_VALUE"""),96.453)</f>
        <v>96.453000000000003</v>
      </c>
      <c r="Y403" s="5" t="str">
        <f ca="1">IFERROR(__xludf.DUMMYFUNCTION("""COMPUTED_VALUE"""),"Medium")</f>
        <v>Medium</v>
      </c>
      <c r="Z403" s="5">
        <f ca="1">IFERROR(__xludf.DUMMYFUNCTION("""COMPUTED_VALUE"""),14.234)</f>
        <v>14.234</v>
      </c>
      <c r="AA403" s="5">
        <f ca="1">IFERROR(__xludf.DUMMYFUNCTION("""COMPUTED_VALUE"""),2624)</f>
        <v>2624</v>
      </c>
      <c r="AB403" s="5"/>
      <c r="AC403" s="5" t="str">
        <f ca="1">IFERROR(__xludf.DUMMYFUNCTION("""COMPUTED_VALUE"""),"Wild Multiplier, Expanding Wild, Scatter")</f>
        <v>Wild Multiplier, Expanding Wild, Scatter</v>
      </c>
      <c r="AD403" s="5" t="str">
        <f ca="1">IFERROR(__xludf.DUMMYFUNCTION("""COMPUTED_VALUE"""),"0.05/30")</f>
        <v>0.05/30</v>
      </c>
      <c r="AE403" s="5"/>
      <c r="AF403" s="5"/>
      <c r="AG403" s="10">
        <f ca="1">IFERROR(__xludf.DUMMYFUNCTION("""COMPUTED_VALUE"""),46220.5010763888)</f>
        <v>46220.501076388799</v>
      </c>
      <c r="AH403" s="5" t="str">
        <f ca="1">IFERROR(__xludf.DUMMYFUNCTION("""COMPUTED_VALUE"""),"selena.mihajlovic@fazi.rs")</f>
        <v>selena.mihajlovic@fazi.rs</v>
      </c>
      <c r="AI403" s="5"/>
      <c r="AJ403" s="5"/>
      <c r="AK403" s="5">
        <f ca="1">IFERROR(__xludf.DUMMYFUNCTION("""COMPUTED_VALUE"""),10)</f>
        <v>10</v>
      </c>
      <c r="AL403" s="5" t="str">
        <f ca="1">IFERROR(__xludf.DUMMYFUNCTION("""COMPUTED_VALUE"""),"No")</f>
        <v>No</v>
      </c>
      <c r="AM403" s="5" t="str">
        <f ca="1">IFERROR(__xludf.DUMMYFUNCTION("""COMPUTED_VALUE"""),"No")</f>
        <v>No</v>
      </c>
      <c r="AN403" s="7" t="str">
        <f ca="1">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AO403" s="5" t="str">
        <f ca="1">IFERROR(__xludf.DUMMYFUNCTION("""COMPUTED_VALUE"""),"No")</f>
        <v>No</v>
      </c>
      <c r="AP403" s="5" t="str">
        <f ca="1">IFERROR(__xludf.DUMMYFUNCTION("""COMPUTED_VALUE"""),"No")</f>
        <v>No</v>
      </c>
      <c r="AQ403" s="5" t="b">
        <f ca="1">IFERROR(__xludf.DUMMYFUNCTION("""COMPUTED_VALUE"""),TRUE)</f>
        <v>1</v>
      </c>
      <c r="AR403" s="5"/>
      <c r="AS403" s="5" t="str">
        <f ca="1">IFERROR(__xludf.DUMMYFUNCTION("""COMPUTED_VALUE"""),"Double the excitement with Fortune Clover x2! Land the special clover symbol and see how far your luck can take you!")</f>
        <v>Double the excitement with Fortune Clover x2! Land the special clover symbol and see how far your luck can take you!</v>
      </c>
      <c r="AT403" s="5"/>
      <c r="AU403" s="5" t="str">
        <f ca="1">IFERROR(__xludf.DUMMYFUNCTION("""COMPUTED_VALUE"""),"Fazi")</f>
        <v>Fazi</v>
      </c>
      <c r="AV403" s="5"/>
      <c r="AW403" s="5"/>
      <c r="AX403" s="5"/>
      <c r="AY403" s="5"/>
      <c r="AZ403" s="5"/>
      <c r="BA403" s="5"/>
      <c r="BB403" s="5" t="b">
        <f ca="1">IFERROR(__xludf.DUMMYFUNCTION("""COMPUTED_VALUE"""),TRUE)</f>
        <v>1</v>
      </c>
      <c r="BC403" s="5" t="str">
        <f ca="1">IFERROR(__xludf.DUMMYFUNCTION("""COMPUTED_VALUE"""),"Playnet")</f>
        <v>Playnet</v>
      </c>
      <c r="BD403" s="7" t="str">
        <f ca="1">IFERROR(__xludf.DUMMYFUNCTION("""COMPUTED_VALUE"""),"https://gameserver-store-client-area.orbionlimited.com/Home/IntegrationGameLaunch/client-area?moneyType=0&amp;gameName=PlayNetFortuneCloverX2&amp;platform=desktop&amp;languageCode=eng&amp;currency=EUR")</f>
        <v>https://gameserver-store-client-area.orbionlimited.com/Home/IntegrationGameLaunch/client-area?moneyType=0&amp;gameName=PlayNetFortuneCloverX2&amp;platform=desktop&amp;languageCode=eng&amp;currency=EUR</v>
      </c>
      <c r="BE403" s="5" t="b">
        <f ca="1">IFERROR(__xludf.DUMMYFUNCTION("""COMPUTED_VALUE"""),TRUE)</f>
        <v>1</v>
      </c>
    </row>
    <row r="404" spans="1:57" x14ac:dyDescent="0.25">
      <c r="A404" s="5">
        <f ca="1">IFERROR(__xludf.DUMMYFUNCTION("""COMPUTED_VALUE"""),415)</f>
        <v>415</v>
      </c>
      <c r="B404" s="5">
        <f ca="1">IFERROR(__xludf.DUMMYFUNCTION("""COMPUTED_VALUE"""),391)</f>
        <v>391</v>
      </c>
      <c r="C404" s="5" t="str">
        <f ca="1">IFERROR(__xludf.DUMMYFUNCTION("""COMPUTED_VALUE"""),"Playnet")</f>
        <v>Playnet</v>
      </c>
      <c r="D404" s="5" t="str">
        <f ca="1">IFERROR(__xludf.DUMMYFUNCTION("""COMPUTED_VALUE"""),"Diamond Heart X2")</f>
        <v>Diamond Heart X2</v>
      </c>
      <c r="E404" s="5" t="str">
        <f ca="1">IFERROR(__xludf.DUMMYFUNCTION("""COMPUTED_VALUE"""),"V4-2")</f>
        <v>V4-2</v>
      </c>
      <c r="F404" s="5" t="str">
        <f ca="1">IFERROR(__xludf.DUMMYFUNCTION("""COMPUTED_VALUE"""),"PlayNetDiamondHeartX2")</f>
        <v>PlayNetDiamondHeartX2</v>
      </c>
      <c r="G404" s="5" t="str">
        <f ca="1">IFERROR(__xludf.DUMMYFUNCTION("""COMPUTED_VALUE"""),"Live")</f>
        <v>Live</v>
      </c>
      <c r="H404" s="5"/>
      <c r="I404" s="5"/>
      <c r="J404" s="5" t="str">
        <f ca="1">IFERROR(__xludf.DUMMYFUNCTION("""COMPUTED_VALUE"""),"JSON")</f>
        <v>JSON</v>
      </c>
      <c r="K404" s="5" t="str">
        <f ca="1">IFERROR(__xludf.DUMMYFUNCTION("""COMPUTED_VALUE"""),"Slot")</f>
        <v>Slot</v>
      </c>
      <c r="L404" s="5" t="str">
        <f ca="1">IFERROR(__xludf.DUMMYFUNCTION("""COMPUTED_VALUE""")," Clone")</f>
        <v xml:space="preserve"> Clone</v>
      </c>
      <c r="M404" s="5" t="str">
        <f ca="1">IFERROR(__xludf.DUMMYFUNCTION("""COMPUTED_VALUE"""),"Very Hot 5 Extreme")</f>
        <v>Very Hot 5 Extreme</v>
      </c>
      <c r="N404" s="5"/>
      <c r="O404" s="5"/>
      <c r="P404" s="14">
        <f ca="1">IFERROR(__xludf.DUMMYFUNCTION("""COMPUTED_VALUE"""),7.1)</f>
        <v>7.1</v>
      </c>
      <c r="Q404" s="5"/>
      <c r="R404" s="17">
        <f ca="1">IFERROR(__xludf.DUMMYFUNCTION("""COMPUTED_VALUE"""),45686)</f>
        <v>45686</v>
      </c>
      <c r="S404" s="15">
        <f ca="1">IFERROR(__xludf.DUMMYFUNCTION("""COMPUTED_VALUE"""),45692)</f>
        <v>45692</v>
      </c>
      <c r="T404" s="5" t="b">
        <f ca="1">IFERROR(__xludf.DUMMYFUNCTION("""COMPUTED_VALUE"""),TRUE)</f>
        <v>1</v>
      </c>
      <c r="U404" s="5" t="str">
        <f ca="1">IFERROR(__xludf.DUMMYFUNCTION("""COMPUTED_VALUE"""),"5x3")</f>
        <v>5x3</v>
      </c>
      <c r="V404" s="5">
        <f ca="1">IFERROR(__xludf.DUMMYFUNCTION("""COMPUTED_VALUE"""),5)</f>
        <v>5</v>
      </c>
      <c r="W404" s="5">
        <f ca="1">IFERROR(__xludf.DUMMYFUNCTION("""COMPUTED_VALUE"""),5)</f>
        <v>5</v>
      </c>
      <c r="X404" s="13">
        <f ca="1">IFERROR(__xludf.DUMMYFUNCTION("""COMPUTED_VALUE"""),96.453)</f>
        <v>96.453000000000003</v>
      </c>
      <c r="Y404" s="5" t="str">
        <f ca="1">IFERROR(__xludf.DUMMYFUNCTION("""COMPUTED_VALUE"""),"Medium")</f>
        <v>Medium</v>
      </c>
      <c r="Z404" s="5">
        <f ca="1">IFERROR(__xludf.DUMMYFUNCTION("""COMPUTED_VALUE"""),14.234)</f>
        <v>14.234</v>
      </c>
      <c r="AA404" s="5">
        <f ca="1">IFERROR(__xludf.DUMMYFUNCTION("""COMPUTED_VALUE"""),2624)</f>
        <v>2624</v>
      </c>
      <c r="AB404" s="5"/>
      <c r="AC404" s="5" t="str">
        <f ca="1">IFERROR(__xludf.DUMMYFUNCTION("""COMPUTED_VALUE"""),"Wild Multiplier, Expanding Wild, Scatter")</f>
        <v>Wild Multiplier, Expanding Wild, Scatter</v>
      </c>
      <c r="AD404" s="5" t="str">
        <f ca="1">IFERROR(__xludf.DUMMYFUNCTION("""COMPUTED_VALUE"""),"0.05/30")</f>
        <v>0.05/30</v>
      </c>
      <c r="AE404" s="5"/>
      <c r="AF404" s="5"/>
      <c r="AG404" s="10">
        <f ca="1">IFERROR(__xludf.DUMMYFUNCTION("""COMPUTED_VALUE"""),46220.5012268518)</f>
        <v>46220.501226851797</v>
      </c>
      <c r="AH404" s="5" t="str">
        <f ca="1">IFERROR(__xludf.DUMMYFUNCTION("""COMPUTED_VALUE"""),"selena.mihajlovic@fazi.rs")</f>
        <v>selena.mihajlovic@fazi.rs</v>
      </c>
      <c r="AI404" s="5"/>
      <c r="AJ404" s="5"/>
      <c r="AK404" s="5">
        <f ca="1">IFERROR(__xludf.DUMMYFUNCTION("""COMPUTED_VALUE"""),10)</f>
        <v>10</v>
      </c>
      <c r="AL404" s="5" t="str">
        <f ca="1">IFERROR(__xludf.DUMMYFUNCTION("""COMPUTED_VALUE"""),"No")</f>
        <v>No</v>
      </c>
      <c r="AM404" s="5" t="str">
        <f ca="1">IFERROR(__xludf.DUMMYFUNCTION("""COMPUTED_VALUE"""),"No")</f>
        <v>No</v>
      </c>
      <c r="AN404" s="7" t="str">
        <f ca="1">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AO404" s="5" t="str">
        <f ca="1">IFERROR(__xludf.DUMMYFUNCTION("""COMPUTED_VALUE"""),"No")</f>
        <v>No</v>
      </c>
      <c r="AP404" s="5" t="str">
        <f ca="1">IFERROR(__xludf.DUMMYFUNCTION("""COMPUTED_VALUE"""),"No")</f>
        <v>No</v>
      </c>
      <c r="AQ404" s="5" t="b">
        <f ca="1">IFERROR(__xludf.DUMMYFUNCTION("""COMPUTED_VALUE"""),TRUE)</f>
        <v>1</v>
      </c>
      <c r="AR404" s="5"/>
      <c r="AS404" s="5" t="str">
        <f ca="1">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AT404" s="5"/>
      <c r="AU404" s="5" t="str">
        <f ca="1">IFERROR(__xludf.DUMMYFUNCTION("""COMPUTED_VALUE"""),"Fazi")</f>
        <v>Fazi</v>
      </c>
      <c r="AV404" s="5"/>
      <c r="AW404" s="5"/>
      <c r="AX404" s="5"/>
      <c r="AY404" s="5"/>
      <c r="AZ404" s="5"/>
      <c r="BA404" s="5"/>
      <c r="BB404" s="5" t="b">
        <f ca="1">IFERROR(__xludf.DUMMYFUNCTION("""COMPUTED_VALUE"""),TRUE)</f>
        <v>1</v>
      </c>
      <c r="BC404" s="5" t="str">
        <f ca="1">IFERROR(__xludf.DUMMYFUNCTION("""COMPUTED_VALUE"""),"Playnet")</f>
        <v>Playnet</v>
      </c>
      <c r="BD404" s="7" t="str">
        <f ca="1">IFERROR(__xludf.DUMMYFUNCTION("""COMPUTED_VALUE"""),"https://gameserver-store-client-area.orbionlimited.com/Home/IntegrationGameLaunch/client-area?moneyType=0&amp;gameName=PlayNetDiamondHeartX2&amp;platform=desktop&amp;languageCode=eng&amp;currency=EUR")</f>
        <v>https://gameserver-store-client-area.orbionlimited.com/Home/IntegrationGameLaunch/client-area?moneyType=0&amp;gameName=PlayNetDiamondHeartX2&amp;platform=desktop&amp;languageCode=eng&amp;currency=EUR</v>
      </c>
      <c r="BE404" s="5" t="b">
        <f ca="1">IFERROR(__xludf.DUMMYFUNCTION("""COMPUTED_VALUE"""),TRUE)</f>
        <v>1</v>
      </c>
    </row>
    <row r="405" spans="1:57" x14ac:dyDescent="0.25">
      <c r="A405" s="5">
        <f ca="1">IFERROR(__xludf.DUMMYFUNCTION("""COMPUTED_VALUE"""),416)</f>
        <v>416</v>
      </c>
      <c r="B405" s="5">
        <f ca="1">IFERROR(__xludf.DUMMYFUNCTION("""COMPUTED_VALUE"""),392)</f>
        <v>392</v>
      </c>
      <c r="C405" s="5" t="str">
        <f ca="1">IFERROR(__xludf.DUMMYFUNCTION("""COMPUTED_VALUE"""),"Playnet")</f>
        <v>Playnet</v>
      </c>
      <c r="D405" s="5" t="str">
        <f ca="1">IFERROR(__xludf.DUMMYFUNCTION("""COMPUTED_VALUE"""),"Fortune Clover 100")</f>
        <v>Fortune Clover 100</v>
      </c>
      <c r="E405" s="5" t="str">
        <f ca="1">IFERROR(__xludf.DUMMYFUNCTION("""COMPUTED_VALUE"""),"V4-2")</f>
        <v>V4-2</v>
      </c>
      <c r="F405" s="5" t="str">
        <f ca="1">IFERROR(__xludf.DUMMYFUNCTION("""COMPUTED_VALUE"""),"PlayNetFortuneClover100")</f>
        <v>PlayNetFortuneClover100</v>
      </c>
      <c r="G405" s="5" t="str">
        <f ca="1">IFERROR(__xludf.DUMMYFUNCTION("""COMPUTED_VALUE"""),"Live")</f>
        <v>Live</v>
      </c>
      <c r="H405" s="5"/>
      <c r="I405" s="5"/>
      <c r="J405" s="5" t="str">
        <f ca="1">IFERROR(__xludf.DUMMYFUNCTION("""COMPUTED_VALUE"""),"JSON")</f>
        <v>JSON</v>
      </c>
      <c r="K405" s="5" t="str">
        <f ca="1">IFERROR(__xludf.DUMMYFUNCTION("""COMPUTED_VALUE"""),"Slot")</f>
        <v>Slot</v>
      </c>
      <c r="L405" s="5" t="str">
        <f ca="1">IFERROR(__xludf.DUMMYFUNCTION("""COMPUTED_VALUE""")," Clone")</f>
        <v xml:space="preserve"> Clone</v>
      </c>
      <c r="M405" s="5" t="str">
        <f ca="1">IFERROR(__xludf.DUMMYFUNCTION("""COMPUTED_VALUE"""),"Epic Clover 100")</f>
        <v>Epic Clover 100</v>
      </c>
      <c r="N405" s="5"/>
      <c r="O405" s="5"/>
      <c r="P405" s="14">
        <f ca="1">IFERROR(__xludf.DUMMYFUNCTION("""COMPUTED_VALUE"""),7.3)</f>
        <v>7.3</v>
      </c>
      <c r="Q405" s="5"/>
      <c r="R405" s="17">
        <f ca="1">IFERROR(__xludf.DUMMYFUNCTION("""COMPUTED_VALUE"""),45705)</f>
        <v>45705</v>
      </c>
      <c r="S405" s="15">
        <f ca="1">IFERROR(__xludf.DUMMYFUNCTION("""COMPUTED_VALUE"""),45712)</f>
        <v>45712</v>
      </c>
      <c r="T405" s="5" t="b">
        <f ca="1">IFERROR(__xludf.DUMMYFUNCTION("""COMPUTED_VALUE"""),TRUE)</f>
        <v>1</v>
      </c>
      <c r="U405" s="5" t="str">
        <f ca="1">IFERROR(__xludf.DUMMYFUNCTION("""COMPUTED_VALUE"""),"5x4")</f>
        <v>5x4</v>
      </c>
      <c r="V405" s="5">
        <f ca="1">IFERROR(__xludf.DUMMYFUNCTION("""COMPUTED_VALUE"""),100)</f>
        <v>100</v>
      </c>
      <c r="W405" s="5">
        <f ca="1">IFERROR(__xludf.DUMMYFUNCTION("""COMPUTED_VALUE"""),100)</f>
        <v>100</v>
      </c>
      <c r="X405" s="13">
        <f ca="1">IFERROR(__xludf.DUMMYFUNCTION("""COMPUTED_VALUE"""),96.502)</f>
        <v>96.501999999999995</v>
      </c>
      <c r="Y405" s="5" t="str">
        <f ca="1">IFERROR(__xludf.DUMMYFUNCTION("""COMPUTED_VALUE"""),"Medium")</f>
        <v>Medium</v>
      </c>
      <c r="Z405" s="5">
        <f ca="1">IFERROR(__xludf.DUMMYFUNCTION("""COMPUTED_VALUE"""),13.309)</f>
        <v>13.308999999999999</v>
      </c>
      <c r="AA405" s="5">
        <f ca="1">IFERROR(__xludf.DUMMYFUNCTION("""COMPUTED_VALUE"""),3000)</f>
        <v>3000</v>
      </c>
      <c r="AB405" s="5"/>
      <c r="AC405" s="5" t="str">
        <f ca="1">IFERROR(__xludf.DUMMYFUNCTION("""COMPUTED_VALUE"""),"Expanding Wild, Scatter")</f>
        <v>Expanding Wild, Scatter</v>
      </c>
      <c r="AD405" s="5" t="str">
        <f ca="1">IFERROR(__xludf.DUMMYFUNCTION("""COMPUTED_VALUE"""),"1/100")</f>
        <v>1/100</v>
      </c>
      <c r="AE405" s="5"/>
      <c r="AF405" s="5"/>
      <c r="AG405" s="10">
        <f ca="1">IFERROR(__xludf.DUMMYFUNCTION("""COMPUTED_VALUE"""),46220.5014004629)</f>
        <v>46220.501400462897</v>
      </c>
      <c r="AH405" s="5" t="str">
        <f ca="1">IFERROR(__xludf.DUMMYFUNCTION("""COMPUTED_VALUE"""),"selena.mihajlovic@fazi.rs")</f>
        <v>selena.mihajlovic@fazi.rs</v>
      </c>
      <c r="AI405" s="5"/>
      <c r="AJ405" s="5"/>
      <c r="AK405" s="5">
        <f ca="1">IFERROR(__xludf.DUMMYFUNCTION("""COMPUTED_VALUE"""),10)</f>
        <v>10</v>
      </c>
      <c r="AL405" s="5" t="str">
        <f ca="1">IFERROR(__xludf.DUMMYFUNCTION("""COMPUTED_VALUE"""),"No")</f>
        <v>No</v>
      </c>
      <c r="AM405" s="5" t="str">
        <f ca="1">IFERROR(__xludf.DUMMYFUNCTION("""COMPUTED_VALUE"""),"No")</f>
        <v>No</v>
      </c>
      <c r="AN405" s="7" t="str">
        <f ca="1">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AO405" s="5" t="str">
        <f ca="1">IFERROR(__xludf.DUMMYFUNCTION("""COMPUTED_VALUE"""),"No")</f>
        <v>No</v>
      </c>
      <c r="AP405" s="5" t="str">
        <f ca="1">IFERROR(__xludf.DUMMYFUNCTION("""COMPUTED_VALUE"""),"No")</f>
        <v>No</v>
      </c>
      <c r="AQ405" s="5" t="b">
        <f ca="1">IFERROR(__xludf.DUMMYFUNCTION("""COMPUTED_VALUE"""),TRUE)</f>
        <v>1</v>
      </c>
      <c r="AR405" s="5"/>
      <c r="AS405" s="5" t="str">
        <f ca="1">IFERROR(__xludf.DUMMYFUNCTION("""COMPUTED_VALUE"""),"With 100 active lines, Fortune Clover 100 is packed with action. Let the clovers guide you to incredible rewards!")</f>
        <v>With 100 active lines, Fortune Clover 100 is packed with action. Let the clovers guide you to incredible rewards!</v>
      </c>
      <c r="AT405" s="5"/>
      <c r="AU405" s="5" t="str">
        <f ca="1">IFERROR(__xludf.DUMMYFUNCTION("""COMPUTED_VALUE"""),"Fazi")</f>
        <v>Fazi</v>
      </c>
      <c r="AV405" s="5"/>
      <c r="AW405" s="5"/>
      <c r="AX405" s="5"/>
      <c r="AY405" s="5"/>
      <c r="AZ405" s="5"/>
      <c r="BA405" s="5"/>
      <c r="BB405" s="5" t="b">
        <f ca="1">IFERROR(__xludf.DUMMYFUNCTION("""COMPUTED_VALUE"""),TRUE)</f>
        <v>1</v>
      </c>
      <c r="BC405" s="5" t="str">
        <f ca="1">IFERROR(__xludf.DUMMYFUNCTION("""COMPUTED_VALUE"""),"Playnet")</f>
        <v>Playnet</v>
      </c>
      <c r="BD405" s="7" t="str">
        <f ca="1">IFERROR(__xludf.DUMMYFUNCTION("""COMPUTED_VALUE"""),"https://gameserver-store-client-area.orbionlimited.com/Home/IntegrationGameLaunch/client-area?moneyType=0&amp;gameName=PlayNetFortuneClover100&amp;platform=desktop&amp;languageCode=eng&amp;currency=EUR")</f>
        <v>https://gameserver-store-client-area.orbionlimited.com/Home/IntegrationGameLaunch/client-area?moneyType=0&amp;gameName=PlayNetFortuneClover100&amp;platform=desktop&amp;languageCode=eng&amp;currency=EUR</v>
      </c>
      <c r="BE405" s="5" t="b">
        <f ca="1">IFERROR(__xludf.DUMMYFUNCTION("""COMPUTED_VALUE"""),TRUE)</f>
        <v>1</v>
      </c>
    </row>
    <row r="406" spans="1:57" x14ac:dyDescent="0.25">
      <c r="A406" s="5">
        <f ca="1">IFERROR(__xludf.DUMMYFUNCTION("""COMPUTED_VALUE"""),417)</f>
        <v>417</v>
      </c>
      <c r="B406" s="5">
        <f ca="1">IFERROR(__xludf.DUMMYFUNCTION("""COMPUTED_VALUE"""),180002)</f>
        <v>180002</v>
      </c>
      <c r="C406" s="5" t="str">
        <f ca="1">IFERROR(__xludf.DUMMYFUNCTION("""COMPUTED_VALUE"""),"Redstone")</f>
        <v>Redstone</v>
      </c>
      <c r="D406" s="5" t="str">
        <f ca="1">IFERROR(__xludf.DUMMYFUNCTION("""COMPUTED_VALUE"""),"Cosmic Sevens")</f>
        <v>Cosmic Sevens</v>
      </c>
      <c r="E406" s="5" t="str">
        <f ca="1">IFERROR(__xludf.DUMMYFUNCTION("""COMPUTED_VALUE"""),"Redstone")</f>
        <v>Redstone</v>
      </c>
      <c r="F406" s="5" t="str">
        <f ca="1">IFERROR(__xludf.DUMMYFUNCTION("""COMPUTED_VALUE"""),"RedstoneCosmicSevens")</f>
        <v>RedstoneCosmicSevens</v>
      </c>
      <c r="G406" s="5" t="str">
        <f ca="1">IFERROR(__xludf.DUMMYFUNCTION("""COMPUTED_VALUE"""),"Live")</f>
        <v>Live</v>
      </c>
      <c r="H406" s="5"/>
      <c r="I406" s="5" t="str">
        <f ca="1">IFERROR(__xludf.DUMMYFUNCTION("""COMPUTED_VALUE"""),"Redstone")</f>
        <v>Redstone</v>
      </c>
      <c r="J406" s="5" t="str">
        <f ca="1">IFERROR(__xludf.DUMMYFUNCTION("""COMPUTED_VALUE"""),"JSON")</f>
        <v>JSON</v>
      </c>
      <c r="K406" s="5" t="str">
        <f ca="1">IFERROR(__xludf.DUMMYFUNCTION("""COMPUTED_VALUE"""),"Slot")</f>
        <v>Slot</v>
      </c>
      <c r="L406" s="5" t="str">
        <f ca="1">IFERROR(__xludf.DUMMYFUNCTION("""COMPUTED_VALUE"""),"Master")</f>
        <v>Master</v>
      </c>
      <c r="M406" s="5"/>
      <c r="N406" s="7" t="str">
        <f ca="1">IFERROR(__xludf.DUMMYFUNCTION("""COMPUTED_VALUE"""),"https://drive.google.com/file/d/1hY7sDKOVoR3lt4VsKh-H2CdHH5RM6AJ1/view?usp=drive_link")</f>
        <v>https://drive.google.com/file/d/1hY7sDKOVoR3lt4VsKh-H2CdHH5RM6AJ1/view?usp=drive_link</v>
      </c>
      <c r="O406" s="7" t="str">
        <f ca="1">IFERROR(__xludf.DUMMYFUNCTION("""COMPUTED_VALUE"""),"https://drive.google.com/file/d/16oPbWrM8ByDIEHp6tJjyzjJKpxREI28r/view?usp=drive_link")</f>
        <v>https://drive.google.com/file/d/16oPbWrM8ByDIEHp6tJjyzjJKpxREI28r/view?usp=drive_link</v>
      </c>
      <c r="P406" s="14">
        <f ca="1">IFERROR(__xludf.DUMMYFUNCTION("""COMPUTED_VALUE"""),12.2)</f>
        <v>12.2</v>
      </c>
      <c r="Q406" s="5"/>
      <c r="R406" s="17">
        <f ca="1">IFERROR(__xludf.DUMMYFUNCTION("""COMPUTED_VALUE"""),45671)</f>
        <v>45671</v>
      </c>
      <c r="S406" s="15">
        <f ca="1">IFERROR(__xludf.DUMMYFUNCTION("""COMPUTED_VALUE"""),45678)</f>
        <v>45678</v>
      </c>
      <c r="T406" s="5"/>
      <c r="U406" s="5" t="str">
        <f ca="1">IFERROR(__xludf.DUMMYFUNCTION("""COMPUTED_VALUE"""),"5x3")</f>
        <v>5x3</v>
      </c>
      <c r="V406" s="5">
        <f ca="1">IFERROR(__xludf.DUMMYFUNCTION("""COMPUTED_VALUE"""),10)</f>
        <v>10</v>
      </c>
      <c r="W406" s="5">
        <f ca="1">IFERROR(__xludf.DUMMYFUNCTION("""COMPUTED_VALUE"""),10)</f>
        <v>10</v>
      </c>
      <c r="X406" s="13">
        <f ca="1">IFERROR(__xludf.DUMMYFUNCTION("""COMPUTED_VALUE"""),96.03)</f>
        <v>96.03</v>
      </c>
      <c r="Y406" s="5" t="str">
        <f ca="1">IFERROR(__xludf.DUMMYFUNCTION("""COMPUTED_VALUE"""),"Medium")</f>
        <v>Medium</v>
      </c>
      <c r="Z406" s="5">
        <f ca="1">IFERROR(__xludf.DUMMYFUNCTION("""COMPUTED_VALUE"""),18.71)</f>
        <v>18.71</v>
      </c>
      <c r="AA406" s="5">
        <f ca="1">IFERROR(__xludf.DUMMYFUNCTION("""COMPUTED_VALUE"""),3000)</f>
        <v>3000</v>
      </c>
      <c r="AB406" s="5"/>
      <c r="AC406" s="5" t="str">
        <f ca="1">IFERROR(__xludf.DUMMYFUNCTION("""COMPUTED_VALUE"""),"Expanding Wild, Scatter")</f>
        <v>Expanding Wild, Scatter</v>
      </c>
      <c r="AD406" s="5" t="str">
        <f ca="1">IFERROR(__xludf.DUMMYFUNCTION("""COMPUTED_VALUE"""),"0.10/100")</f>
        <v>0.10/100</v>
      </c>
      <c r="AE406" s="5"/>
      <c r="AF406" s="5"/>
      <c r="AG406" s="10">
        <f ca="1">IFERROR(__xludf.DUMMYFUNCTION("""COMPUTED_VALUE"""),46157.4927314814)</f>
        <v>46157.492731481398</v>
      </c>
      <c r="AH406" s="5"/>
      <c r="AI406" s="5"/>
      <c r="AJ406" s="5"/>
      <c r="AK406" s="5">
        <f ca="1">IFERROR(__xludf.DUMMYFUNCTION("""COMPUTED_VALUE"""),1)</f>
        <v>1</v>
      </c>
      <c r="AL406" s="5" t="str">
        <f ca="1">IFERROR(__xludf.DUMMYFUNCTION("""COMPUTED_VALUE"""),"No")</f>
        <v>No</v>
      </c>
      <c r="AM406" s="5" t="str">
        <f ca="1">IFERROR(__xludf.DUMMYFUNCTION("""COMPUTED_VALUE"""),"No")</f>
        <v>No</v>
      </c>
      <c r="AN406" s="7" t="str">
        <f ca="1">IFERROR(__xludf.DUMMYFUNCTION("""COMPUTED_VALUE"""),"https://static.redstone.rs/games/cosmic-sevens/")</f>
        <v>https://static.redstone.rs/games/cosmic-sevens/</v>
      </c>
      <c r="AO406" s="5" t="str">
        <f ca="1">IFERROR(__xludf.DUMMYFUNCTION("""COMPUTED_VALUE"""),"No")</f>
        <v>No</v>
      </c>
      <c r="AP406" s="5" t="str">
        <f ca="1">IFERROR(__xludf.DUMMYFUNCTION("""COMPUTED_VALUE"""),"No")</f>
        <v>No</v>
      </c>
      <c r="AQ406" s="5" t="b">
        <f ca="1">IFERROR(__xludf.DUMMYFUNCTION("""COMPUTED_VALUE"""),TRUE)</f>
        <v>1</v>
      </c>
      <c r="AR406" s="5"/>
      <c r="AS406" s="5" t="str">
        <f ca="1">IFERROR(__xludf.DUMMYFUNCTION("""COMPUTED_VALUE"""),"Spin to the stars and beyond with Cosmic Sevens! Land a seven, expand the wilds and aim for a massive 3000x win!")</f>
        <v>Spin to the stars and beyond with Cosmic Sevens! Land a seven, expand the wilds and aim for a massive 3000x win!</v>
      </c>
      <c r="AT406" s="5"/>
      <c r="AU406" s="5" t="str">
        <f ca="1">IFERROR(__xludf.DUMMYFUNCTION("""COMPUTED_VALUE"""),"Redstone")</f>
        <v>Redstone</v>
      </c>
      <c r="AV406" s="5"/>
      <c r="AW406" s="5"/>
      <c r="AX406" s="5"/>
      <c r="AY406" s="5"/>
      <c r="AZ406" s="5"/>
      <c r="BA406" s="5"/>
      <c r="BB406" s="5" t="b">
        <f ca="1">IFERROR(__xludf.DUMMYFUNCTION("""COMPUTED_VALUE"""),TRUE)</f>
        <v>1</v>
      </c>
      <c r="BC406" s="5" t="str">
        <f ca="1">IFERROR(__xludf.DUMMYFUNCTION("""COMPUTED_VALUE"""),"Redstone")</f>
        <v>Redstone</v>
      </c>
      <c r="BD406" s="7" t="str">
        <f ca="1">IFERROR(__xludf.DUMMYFUNCTION("""COMPUTED_VALUE"""),"https://static.redstone.rs/games/cosmic-sevens/")</f>
        <v>https://static.redstone.rs/games/cosmic-sevens/</v>
      </c>
      <c r="BE406" s="5" t="b">
        <f ca="1">IFERROR(__xludf.DUMMYFUNCTION("""COMPUTED_VALUE"""),TRUE)</f>
        <v>1</v>
      </c>
    </row>
    <row r="407" spans="1:57" x14ac:dyDescent="0.25">
      <c r="A407" s="5">
        <f ca="1">IFERROR(__xludf.DUMMYFUNCTION("""COMPUTED_VALUE"""),418)</f>
        <v>418</v>
      </c>
      <c r="B407" s="5">
        <f ca="1">IFERROR(__xludf.DUMMYFUNCTION("""COMPUTED_VALUE"""),369)</f>
        <v>369</v>
      </c>
      <c r="C407" s="5" t="str">
        <f ca="1">IFERROR(__xludf.DUMMYFUNCTION("""COMPUTED_VALUE"""),"Tiptop")</f>
        <v>Tiptop</v>
      </c>
      <c r="D407" s="5" t="str">
        <f ca="1">IFERROR(__xludf.DUMMYFUNCTION("""COMPUTED_VALUE"""),"20 Hot Strike Dice Jackpot")</f>
        <v>20 Hot Strike Dice Jackpot</v>
      </c>
      <c r="E407" s="5" t="str">
        <f ca="1">IFERROR(__xludf.DUMMYFUNCTION("""COMPUTED_VALUE"""),"V4-2")</f>
        <v>V4-2</v>
      </c>
      <c r="F407" s="5" t="str">
        <f ca="1">IFERROR(__xludf.DUMMYFUNCTION("""COMPUTED_VALUE"""),"Unicorn20HotStrikeDiceJackpot")</f>
        <v>Unicorn20HotStrikeDiceJackpot</v>
      </c>
      <c r="G407" s="5" t="str">
        <f ca="1">IFERROR(__xludf.DUMMYFUNCTION("""COMPUTED_VALUE"""),"Live")</f>
        <v>Live</v>
      </c>
      <c r="H407" s="5"/>
      <c r="I407" s="5" t="str">
        <f ca="1">IFERROR(__xludf.DUMMYFUNCTION("""COMPUTED_VALUE"""),"TipTop")</f>
        <v>TipTop</v>
      </c>
      <c r="J407" s="5" t="str">
        <f ca="1">IFERROR(__xludf.DUMMYFUNCTION("""COMPUTED_VALUE"""),"JSON")</f>
        <v>JSON</v>
      </c>
      <c r="K407" s="5" t="str">
        <f ca="1">IFERROR(__xludf.DUMMYFUNCTION("""COMPUTED_VALUE"""),"Dice Slots")</f>
        <v>Dice Slots</v>
      </c>
      <c r="L407" s="5" t="str">
        <f ca="1">IFERROR(__xludf.DUMMYFUNCTION("""COMPUTED_VALUE""")," Clone")</f>
        <v xml:space="preserve"> Clone</v>
      </c>
      <c r="M407" s="5" t="str">
        <f ca="1">IFERROR(__xludf.DUMMYFUNCTION("""COMPUTED_VALUE"""),"Unicorn 20 Hot Strike Jackpot")</f>
        <v>Unicorn 20 Hot Strike Jackpot</v>
      </c>
      <c r="N407" s="5"/>
      <c r="O407" s="5"/>
      <c r="P407" s="14">
        <f ca="1">IFERROR(__xludf.DUMMYFUNCTION("""COMPUTED_VALUE"""),13.1)</f>
        <v>13.1</v>
      </c>
      <c r="Q407" s="5"/>
      <c r="R407" s="17">
        <f ca="1">IFERROR(__xludf.DUMMYFUNCTION("""COMPUTED_VALUE"""),45672)</f>
        <v>45672</v>
      </c>
      <c r="S407" s="15">
        <f ca="1">IFERROR(__xludf.DUMMYFUNCTION("""COMPUTED_VALUE"""),45679)</f>
        <v>45679</v>
      </c>
      <c r="T407" s="5"/>
      <c r="U407" s="5" t="str">
        <f ca="1">IFERROR(__xludf.DUMMYFUNCTION("""COMPUTED_VALUE"""),"5x3")</f>
        <v>5x3</v>
      </c>
      <c r="V407" s="5">
        <f ca="1">IFERROR(__xludf.DUMMYFUNCTION("""COMPUTED_VALUE"""),20)</f>
        <v>20</v>
      </c>
      <c r="W407" s="5">
        <f ca="1">IFERROR(__xludf.DUMMYFUNCTION("""COMPUTED_VALUE"""),20)</f>
        <v>20</v>
      </c>
      <c r="X407" s="13">
        <f ca="1">IFERROR(__xludf.DUMMYFUNCTION("""COMPUTED_VALUE"""),96)</f>
        <v>96</v>
      </c>
      <c r="Y407" s="5" t="str">
        <f ca="1">IFERROR(__xludf.DUMMYFUNCTION("""COMPUTED_VALUE"""),"Low")</f>
        <v>Low</v>
      </c>
      <c r="Z407" s="5">
        <f ca="1">IFERROR(__xludf.DUMMYFUNCTION("""COMPUTED_VALUE"""),14.46)</f>
        <v>14.46</v>
      </c>
      <c r="AA407" s="5">
        <f ca="1">IFERROR(__xludf.DUMMYFUNCTION("""COMPUTED_VALUE"""),10000)</f>
        <v>10000</v>
      </c>
      <c r="AB407" s="5"/>
      <c r="AC407" s="5"/>
      <c r="AD407" s="5" t="str">
        <f ca="1">IFERROR(__xludf.DUMMYFUNCTION("""COMPUTED_VALUE"""),"0.2/100")</f>
        <v>0.2/100</v>
      </c>
      <c r="AE407" s="5"/>
      <c r="AF407" s="5"/>
      <c r="AG407" s="10">
        <f ca="1">IFERROR(__xludf.DUMMYFUNCTION("""COMPUTED_VALUE"""),46197.4924421296)</f>
        <v>46197.492442129602</v>
      </c>
      <c r="AH407" s="5" t="str">
        <f ca="1">IFERROR(__xludf.DUMMYFUNCTION("""COMPUTED_VALUE"""),"selena.mihajlovic@fazi.rs")</f>
        <v>selena.mihajlovic@fazi.rs</v>
      </c>
      <c r="AI407" s="5"/>
      <c r="AJ407" s="5"/>
      <c r="AK407" s="5">
        <f ca="1">IFERROR(__xludf.DUMMYFUNCTION("""COMPUTED_VALUE"""),20)</f>
        <v>20</v>
      </c>
      <c r="AL407" s="5" t="str">
        <f ca="1">IFERROR(__xludf.DUMMYFUNCTION("""COMPUTED_VALUE"""),"No")</f>
        <v>No</v>
      </c>
      <c r="AM407" s="5"/>
      <c r="AN407" s="7" t="str">
        <f ca="1">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AO407" s="5"/>
      <c r="AP407" s="5"/>
      <c r="AQ407" s="5" t="b">
        <f ca="1">IFERROR(__xludf.DUMMYFUNCTION("""COMPUTED_VALUE"""),TRUE)</f>
        <v>1</v>
      </c>
      <c r="AR407" s="5"/>
      <c r="AS407" s="5" t="str">
        <f ca="1">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407" s="5"/>
      <c r="AU407" s="5" t="str">
        <f ca="1">IFERROR(__xludf.DUMMYFUNCTION("""COMPUTED_VALUE"""),"Fazi")</f>
        <v>Fazi</v>
      </c>
      <c r="AV407" s="5"/>
      <c r="AW407" s="5"/>
      <c r="AX407" s="5"/>
      <c r="AY407" s="5"/>
      <c r="AZ407" s="5"/>
      <c r="BA407" s="5"/>
      <c r="BB407" s="5" t="b">
        <f ca="1">IFERROR(__xludf.DUMMYFUNCTION("""COMPUTED_VALUE"""),TRUE)</f>
        <v>1</v>
      </c>
      <c r="BC407" s="5" t="str">
        <f ca="1">IFERROR(__xludf.DUMMYFUNCTION("""COMPUTED_VALUE"""),"Tiptop")</f>
        <v>Tiptop</v>
      </c>
      <c r="BD407" s="7" t="str">
        <f ca="1">IFERROR(__xludf.DUMMYFUNCTION("""COMPUTED_VALUE"""),"https://gameserver-store-client-area.orbionlimited.com/Home/IntegrationGameLaunch/client-area?moneyType=0&amp;gameName=Unicorn20HotStrikeDiceJackpot&amp;platform=desktop&amp;languageCode=eng&amp;currency=EUR")</f>
        <v>https://gameserver-store-client-area.orbionlimited.com/Home/IntegrationGameLaunch/client-area?moneyType=0&amp;gameName=Unicorn20HotStrikeDiceJackpot&amp;platform=desktop&amp;languageCode=eng&amp;currency=EUR</v>
      </c>
      <c r="BE407" s="5" t="b">
        <f ca="1">IFERROR(__xludf.DUMMYFUNCTION("""COMPUTED_VALUE"""),TRUE)</f>
        <v>1</v>
      </c>
    </row>
    <row r="408" spans="1:57" x14ac:dyDescent="0.25">
      <c r="A408" s="5">
        <f ca="1">IFERROR(__xludf.DUMMYFUNCTION("""COMPUTED_VALUE"""),419)</f>
        <v>419</v>
      </c>
      <c r="B408" s="5">
        <f ca="1">IFERROR(__xludf.DUMMYFUNCTION("""COMPUTED_VALUE"""),389)</f>
        <v>389</v>
      </c>
      <c r="C408" s="5" t="str">
        <f ca="1">IFERROR(__xludf.DUMMYFUNCTION("""COMPUTED_VALUE"""),"Tiptop")</f>
        <v>Tiptop</v>
      </c>
      <c r="D408" s="5" t="str">
        <f ca="1">IFERROR(__xludf.DUMMYFUNCTION("""COMPUTED_VALUE"""),"Dice Machine")</f>
        <v>Dice Machine</v>
      </c>
      <c r="E408" s="5" t="str">
        <f ca="1">IFERROR(__xludf.DUMMYFUNCTION("""COMPUTED_VALUE"""),"V4-2")</f>
        <v>V4-2</v>
      </c>
      <c r="F408" s="5" t="str">
        <f ca="1">IFERROR(__xludf.DUMMYFUNCTION("""COMPUTED_VALUE"""),"UnicornDiceMachine")</f>
        <v>UnicornDiceMachine</v>
      </c>
      <c r="G408" s="5" t="str">
        <f ca="1">IFERROR(__xludf.DUMMYFUNCTION("""COMPUTED_VALUE"""),"Live")</f>
        <v>Live</v>
      </c>
      <c r="H408" s="5"/>
      <c r="I408" s="5" t="str">
        <f ca="1">IFERROR(__xludf.DUMMYFUNCTION("""COMPUTED_VALUE"""),"TipTop")</f>
        <v>TipTop</v>
      </c>
      <c r="J408" s="5" t="str">
        <f ca="1">IFERROR(__xludf.DUMMYFUNCTION("""COMPUTED_VALUE"""),"JSON")</f>
        <v>JSON</v>
      </c>
      <c r="K408" s="5" t="str">
        <f ca="1">IFERROR(__xludf.DUMMYFUNCTION("""COMPUTED_VALUE"""),"Dice Slots")</f>
        <v>Dice Slots</v>
      </c>
      <c r="L408" s="5" t="str">
        <f ca="1">IFERROR(__xludf.DUMMYFUNCTION("""COMPUTED_VALUE""")," Clone")</f>
        <v xml:space="preserve"> Clone</v>
      </c>
      <c r="M408" s="5" t="str">
        <f ca="1">IFERROR(__xludf.DUMMYFUNCTION("""COMPUTED_VALUE"""),"Froot Machine")</f>
        <v>Froot Machine</v>
      </c>
      <c r="N408" s="5"/>
      <c r="O408" s="5"/>
      <c r="P408" s="14">
        <f ca="1">IFERROR(__xludf.DUMMYFUNCTION("""COMPUTED_VALUE"""),10.9)</f>
        <v>10.9</v>
      </c>
      <c r="Q408" s="5"/>
      <c r="R408" s="17">
        <f ca="1">IFERROR(__xludf.DUMMYFUNCTION("""COMPUTED_VALUE"""),45680)</f>
        <v>45680</v>
      </c>
      <c r="S408" s="15">
        <f ca="1">IFERROR(__xludf.DUMMYFUNCTION("""COMPUTED_VALUE"""),45687)</f>
        <v>45687</v>
      </c>
      <c r="T408" s="5"/>
      <c r="U408" s="5" t="str">
        <f ca="1">IFERROR(__xludf.DUMMYFUNCTION("""COMPUTED_VALUE"""),"5x3")</f>
        <v>5x3</v>
      </c>
      <c r="V408" s="5">
        <f ca="1">IFERROR(__xludf.DUMMYFUNCTION("""COMPUTED_VALUE"""),5)</f>
        <v>5</v>
      </c>
      <c r="W408" s="5">
        <f ca="1">IFERROR(__xludf.DUMMYFUNCTION("""COMPUTED_VALUE"""),5)</f>
        <v>5</v>
      </c>
      <c r="X408" s="13">
        <f ca="1">IFERROR(__xludf.DUMMYFUNCTION("""COMPUTED_VALUE"""),96)</f>
        <v>96</v>
      </c>
      <c r="Y408" s="5" t="str">
        <f ca="1">IFERROR(__xludf.DUMMYFUNCTION("""COMPUTED_VALUE"""),"Low")</f>
        <v>Low</v>
      </c>
      <c r="Z408" s="5">
        <f ca="1">IFERROR(__xludf.DUMMYFUNCTION("""COMPUTED_VALUE"""),10.5)</f>
        <v>10.5</v>
      </c>
      <c r="AA408" s="5">
        <f ca="1">IFERROR(__xludf.DUMMYFUNCTION("""COMPUTED_VALUE"""),1000)</f>
        <v>1000</v>
      </c>
      <c r="AB408" s="5"/>
      <c r="AC408" s="5"/>
      <c r="AD408" s="5" t="str">
        <f ca="1">IFERROR(__xludf.DUMMYFUNCTION("""COMPUTED_VALUE"""),"0.05/100")</f>
        <v>0.05/100</v>
      </c>
      <c r="AE408" s="5"/>
      <c r="AF408" s="5"/>
      <c r="AG408" s="10">
        <f ca="1">IFERROR(__xludf.DUMMYFUNCTION("""COMPUTED_VALUE"""),46197.4925925925)</f>
        <v>46197.492592592498</v>
      </c>
      <c r="AH408" s="5" t="str">
        <f ca="1">IFERROR(__xludf.DUMMYFUNCTION("""COMPUTED_VALUE"""),"selena.mihajlovic@fazi.rs")</f>
        <v>selena.mihajlovic@fazi.rs</v>
      </c>
      <c r="AI408" s="5"/>
      <c r="AJ408" s="5"/>
      <c r="AK408" s="5">
        <f ca="1">IFERROR(__xludf.DUMMYFUNCTION("""COMPUTED_VALUE"""),5)</f>
        <v>5</v>
      </c>
      <c r="AL408" s="5" t="str">
        <f ca="1">IFERROR(__xludf.DUMMYFUNCTION("""COMPUTED_VALUE"""),"No")</f>
        <v>No</v>
      </c>
      <c r="AM408" s="5"/>
      <c r="AN408" s="7" t="str">
        <f ca="1">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AO408" s="5"/>
      <c r="AP408" s="5"/>
      <c r="AQ408" s="5" t="b">
        <f ca="1">IFERROR(__xludf.DUMMYFUNCTION("""COMPUTED_VALUE"""),TRUE)</f>
        <v>1</v>
      </c>
      <c r="AR408" s="5"/>
      <c r="AS408" s="5" t="str">
        <f ca="1">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AT408" s="5"/>
      <c r="AU408" s="5" t="str">
        <f ca="1">IFERROR(__xludf.DUMMYFUNCTION("""COMPUTED_VALUE"""),"Fazi")</f>
        <v>Fazi</v>
      </c>
      <c r="AV408" s="5"/>
      <c r="AW408" s="5"/>
      <c r="AX408" s="5"/>
      <c r="AY408" s="5"/>
      <c r="AZ408" s="5"/>
      <c r="BA408" s="5"/>
      <c r="BB408" s="5" t="b">
        <f ca="1">IFERROR(__xludf.DUMMYFUNCTION("""COMPUTED_VALUE"""),TRUE)</f>
        <v>1</v>
      </c>
      <c r="BC408" s="5" t="str">
        <f ca="1">IFERROR(__xludf.DUMMYFUNCTION("""COMPUTED_VALUE"""),"Tiptop")</f>
        <v>Tiptop</v>
      </c>
      <c r="BD408" s="7" t="str">
        <f ca="1">IFERROR(__xludf.DUMMYFUNCTION("""COMPUTED_VALUE"""),"https://gameserver-store-client-area.orbionlimited.com/Home/IntegrationGameLaunch/client-area?moneyType=0&amp;gameName=UnicornDiceMachine&amp;platform=desktop&amp;languageCode=eng&amp;currency=EUR")</f>
        <v>https://gameserver-store-client-area.orbionlimited.com/Home/IntegrationGameLaunch/client-area?moneyType=0&amp;gameName=UnicornDiceMachine&amp;platform=desktop&amp;languageCode=eng&amp;currency=EUR</v>
      </c>
      <c r="BE408" s="5" t="b">
        <f ca="1">IFERROR(__xludf.DUMMYFUNCTION("""COMPUTED_VALUE"""),TRUE)</f>
        <v>1</v>
      </c>
    </row>
    <row r="409" spans="1:57" x14ac:dyDescent="0.25">
      <c r="A409" s="5">
        <f ca="1">IFERROR(__xludf.DUMMYFUNCTION("""COMPUTED_VALUE"""),421)</f>
        <v>421</v>
      </c>
      <c r="B409" s="5">
        <f ca="1">IFERROR(__xludf.DUMMYFUNCTION("""COMPUTED_VALUE"""),180004)</f>
        <v>180004</v>
      </c>
      <c r="C409" s="5" t="str">
        <f ca="1">IFERROR(__xludf.DUMMYFUNCTION("""COMPUTED_VALUE"""),"Redstone")</f>
        <v>Redstone</v>
      </c>
      <c r="D409" s="5" t="str">
        <f ca="1">IFERROR(__xludf.DUMMYFUNCTION("""COMPUTED_VALUE"""),"Clover Royale")</f>
        <v>Clover Royale</v>
      </c>
      <c r="E409" s="5" t="str">
        <f ca="1">IFERROR(__xludf.DUMMYFUNCTION("""COMPUTED_VALUE"""),"Redstone")</f>
        <v>Redstone</v>
      </c>
      <c r="F409" s="5" t="str">
        <f ca="1">IFERROR(__xludf.DUMMYFUNCTION("""COMPUTED_VALUE"""),"RedstoneCloverRoyale")</f>
        <v>RedstoneCloverRoyale</v>
      </c>
      <c r="G409" s="5" t="str">
        <f ca="1">IFERROR(__xludf.DUMMYFUNCTION("""COMPUTED_VALUE"""),"Live")</f>
        <v>Live</v>
      </c>
      <c r="H409" s="5"/>
      <c r="I409" s="5" t="str">
        <f ca="1">IFERROR(__xludf.DUMMYFUNCTION("""COMPUTED_VALUE"""),"Redstone")</f>
        <v>Redstone</v>
      </c>
      <c r="J409" s="5" t="str">
        <f ca="1">IFERROR(__xludf.DUMMYFUNCTION("""COMPUTED_VALUE"""),"JSON")</f>
        <v>JSON</v>
      </c>
      <c r="K409" s="5" t="str">
        <f ca="1">IFERROR(__xludf.DUMMYFUNCTION("""COMPUTED_VALUE"""),"Slot")</f>
        <v>Slot</v>
      </c>
      <c r="L409" s="5" t="str">
        <f ca="1">IFERROR(__xludf.DUMMYFUNCTION("""COMPUTED_VALUE"""),"Master")</f>
        <v>Master</v>
      </c>
      <c r="M409" s="5"/>
      <c r="N409" s="7" t="str">
        <f ca="1">IFERROR(__xludf.DUMMYFUNCTION("""COMPUTED_VALUE"""),"https://drive.google.com/file/d/1W_BPHrrUARyMXmK7K4qDLrMjxipREg4L/view?usp=drive_link")</f>
        <v>https://drive.google.com/file/d/1W_BPHrrUARyMXmK7K4qDLrMjxipREg4L/view?usp=drive_link</v>
      </c>
      <c r="O409" s="7" t="str">
        <f ca="1">IFERROR(__xludf.DUMMYFUNCTION("""COMPUTED_VALUE"""),"https://drive.google.com/file/d/1HdoaxLQhloVgaTyCDIWWJPfPgT3XsCsI/view?usp=drive_link")</f>
        <v>https://drive.google.com/file/d/1HdoaxLQhloVgaTyCDIWWJPfPgT3XsCsI/view?usp=drive_link</v>
      </c>
      <c r="P409" s="14">
        <f ca="1">IFERROR(__xludf.DUMMYFUNCTION("""COMPUTED_VALUE"""),9.7)</f>
        <v>9.6999999999999993</v>
      </c>
      <c r="Q409" s="5"/>
      <c r="R409" s="17">
        <f ca="1">IFERROR(__xludf.DUMMYFUNCTION("""COMPUTED_VALUE"""),45687)</f>
        <v>45687</v>
      </c>
      <c r="S409" s="15">
        <f ca="1">IFERROR(__xludf.DUMMYFUNCTION("""COMPUTED_VALUE"""),45693)</f>
        <v>45693</v>
      </c>
      <c r="T409" s="5" t="b">
        <f ca="1">IFERROR(__xludf.DUMMYFUNCTION("""COMPUTED_VALUE"""),TRUE)</f>
        <v>1</v>
      </c>
      <c r="U409" s="5" t="str">
        <f ca="1">IFERROR(__xludf.DUMMYFUNCTION("""COMPUTED_VALUE"""),"5x3")</f>
        <v>5x3</v>
      </c>
      <c r="V409" s="5">
        <f ca="1">IFERROR(__xludf.DUMMYFUNCTION("""COMPUTED_VALUE"""),5)</f>
        <v>5</v>
      </c>
      <c r="W409" s="5">
        <f ca="1">IFERROR(__xludf.DUMMYFUNCTION("""COMPUTED_VALUE"""),5)</f>
        <v>5</v>
      </c>
      <c r="X409" s="13">
        <f ca="1">IFERROR(__xludf.DUMMYFUNCTION("""COMPUTED_VALUE"""),96.01)</f>
        <v>96.01</v>
      </c>
      <c r="Y409" s="5" t="str">
        <f ca="1">IFERROR(__xludf.DUMMYFUNCTION("""COMPUTED_VALUE"""),"High")</f>
        <v>High</v>
      </c>
      <c r="Z409" s="5">
        <f ca="1">IFERROR(__xludf.DUMMYFUNCTION("""COMPUTED_VALUE"""),6.6)</f>
        <v>6.6</v>
      </c>
      <c r="AA409" s="5">
        <f ca="1">IFERROR(__xludf.DUMMYFUNCTION("""COMPUTED_VALUE"""),3225)</f>
        <v>3225</v>
      </c>
      <c r="AB409" s="5"/>
      <c r="AC409" s="5" t="str">
        <f ca="1">IFERROR(__xludf.DUMMYFUNCTION("""COMPUTED_VALUE"""),"Win Multiplier")</f>
        <v>Win Multiplier</v>
      </c>
      <c r="AD409" s="5" t="str">
        <f ca="1">IFERROR(__xludf.DUMMYFUNCTION("""COMPUTED_VALUE"""),"0.10/50")</f>
        <v>0.10/50</v>
      </c>
      <c r="AE409" s="5"/>
      <c r="AF409" s="5"/>
      <c r="AG409" s="10">
        <f ca="1">IFERROR(__xludf.DUMMYFUNCTION("""COMPUTED_VALUE"""),46157.4930555555)</f>
        <v>46157.493055555497</v>
      </c>
      <c r="AH409" s="5"/>
      <c r="AI409" s="5"/>
      <c r="AJ409" s="5"/>
      <c r="AK409" s="5">
        <f ca="1">IFERROR(__xludf.DUMMYFUNCTION("""COMPUTED_VALUE"""),1)</f>
        <v>1</v>
      </c>
      <c r="AL409" s="5" t="str">
        <f ca="1">IFERROR(__xludf.DUMMYFUNCTION("""COMPUTED_VALUE"""),"No")</f>
        <v>No</v>
      </c>
      <c r="AM409" s="5" t="str">
        <f ca="1">IFERROR(__xludf.DUMMYFUNCTION("""COMPUTED_VALUE"""),"No")</f>
        <v>No</v>
      </c>
      <c r="AN409" s="7" t="str">
        <f ca="1">IFERROR(__xludf.DUMMYFUNCTION("""COMPUTED_VALUE"""),"https://static.redstone.rs/games/clover-royale/")</f>
        <v>https://static.redstone.rs/games/clover-royale/</v>
      </c>
      <c r="AO409" s="5" t="str">
        <f ca="1">IFERROR(__xludf.DUMMYFUNCTION("""COMPUTED_VALUE"""),"No")</f>
        <v>No</v>
      </c>
      <c r="AP409" s="5" t="str">
        <f ca="1">IFERROR(__xludf.DUMMYFUNCTION("""COMPUTED_VALUE"""),"No")</f>
        <v>No</v>
      </c>
      <c r="AQ409" s="5" t="b">
        <f ca="1">IFERROR(__xludf.DUMMYFUNCTION("""COMPUTED_VALUE"""),TRUE)</f>
        <v>1</v>
      </c>
      <c r="AR409" s="5"/>
      <c r="AS409" s="5" t="str">
        <f ca="1">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AT409" s="5"/>
      <c r="AU409" s="5" t="str">
        <f ca="1">IFERROR(__xludf.DUMMYFUNCTION("""COMPUTED_VALUE"""),"Redstone")</f>
        <v>Redstone</v>
      </c>
      <c r="AV409" s="5"/>
      <c r="AW409" s="5"/>
      <c r="AX409" s="5"/>
      <c r="AY409" s="5"/>
      <c r="AZ409" s="5"/>
      <c r="BA409" s="5"/>
      <c r="BB409" s="5" t="b">
        <f ca="1">IFERROR(__xludf.DUMMYFUNCTION("""COMPUTED_VALUE"""),TRUE)</f>
        <v>1</v>
      </c>
      <c r="BC409" s="5" t="str">
        <f ca="1">IFERROR(__xludf.DUMMYFUNCTION("""COMPUTED_VALUE"""),"Redstone")</f>
        <v>Redstone</v>
      </c>
      <c r="BD409" s="7" t="str">
        <f ca="1">IFERROR(__xludf.DUMMYFUNCTION("""COMPUTED_VALUE"""),"https://static.redstone.rs/games/clover-royale/")</f>
        <v>https://static.redstone.rs/games/clover-royale/</v>
      </c>
      <c r="BE409" s="5" t="b">
        <f ca="1">IFERROR(__xludf.DUMMYFUNCTION("""COMPUTED_VALUE"""),TRUE)</f>
        <v>1</v>
      </c>
    </row>
    <row r="410" spans="1:57" x14ac:dyDescent="0.25">
      <c r="A410" s="5">
        <f ca="1">IFERROR(__xludf.DUMMYFUNCTION("""COMPUTED_VALUE"""),422)</f>
        <v>422</v>
      </c>
      <c r="B410" s="5">
        <f ca="1">IFERROR(__xludf.DUMMYFUNCTION("""COMPUTED_VALUE"""),378)</f>
        <v>378</v>
      </c>
      <c r="C410" s="5" t="str">
        <f ca="1">IFERROR(__xludf.DUMMYFUNCTION("""COMPUTED_VALUE"""),"Tiptop")</f>
        <v>Tiptop</v>
      </c>
      <c r="D410" s="5" t="str">
        <f ca="1">IFERROR(__xludf.DUMMYFUNCTION("""COMPUTED_VALUE"""),"Thunder Fruits")</f>
        <v>Thunder Fruits</v>
      </c>
      <c r="E410" s="5" t="str">
        <f ca="1">IFERROR(__xludf.DUMMYFUNCTION("""COMPUTED_VALUE"""),"V4-2")</f>
        <v>V4-2</v>
      </c>
      <c r="F410" s="5" t="str">
        <f ca="1">IFERROR(__xludf.DUMMYFUNCTION("""COMPUTED_VALUE"""),"UnicornThunderFruits")</f>
        <v>UnicornThunderFruits</v>
      </c>
      <c r="G410" s="5" t="str">
        <f ca="1">IFERROR(__xludf.DUMMYFUNCTION("""COMPUTED_VALUE"""),"Live")</f>
        <v>Live</v>
      </c>
      <c r="H410" s="5"/>
      <c r="I410" s="5" t="str">
        <f ca="1">IFERROR(__xludf.DUMMYFUNCTION("""COMPUTED_VALUE"""),"TipTop")</f>
        <v>TipTop</v>
      </c>
      <c r="J410" s="5" t="str">
        <f ca="1">IFERROR(__xludf.DUMMYFUNCTION("""COMPUTED_VALUE"""),"JSON")</f>
        <v>JSON</v>
      </c>
      <c r="K410" s="5" t="str">
        <f ca="1">IFERROR(__xludf.DUMMYFUNCTION("""COMPUTED_VALUE"""),"Slot")</f>
        <v>Slot</v>
      </c>
      <c r="L410" s="5" t="str">
        <f ca="1">IFERROR(__xludf.DUMMYFUNCTION("""COMPUTED_VALUE""")," Clone")</f>
        <v xml:space="preserve"> Clone</v>
      </c>
      <c r="M410" s="5" t="str">
        <f ca="1">IFERROR(__xludf.DUMMYFUNCTION("""COMPUTED_VALUE"""),"Rainbow Sevens")</f>
        <v>Rainbow Sevens</v>
      </c>
      <c r="N410" s="5"/>
      <c r="O410" s="5"/>
      <c r="P410" s="14">
        <f ca="1">IFERROR(__xludf.DUMMYFUNCTION("""COMPUTED_VALUE"""),11.1)</f>
        <v>11.1</v>
      </c>
      <c r="Q410" s="5"/>
      <c r="R410" s="17">
        <f ca="1">IFERROR(__xludf.DUMMYFUNCTION("""COMPUTED_VALUE"""),45688)</f>
        <v>45688</v>
      </c>
      <c r="S410" s="15">
        <f ca="1">IFERROR(__xludf.DUMMYFUNCTION("""COMPUTED_VALUE"""),45694)</f>
        <v>45694</v>
      </c>
      <c r="T410" s="5" t="b">
        <f ca="1">IFERROR(__xludf.DUMMYFUNCTION("""COMPUTED_VALUE"""),TRUE)</f>
        <v>1</v>
      </c>
      <c r="U410" s="5" t="str">
        <f ca="1">IFERROR(__xludf.DUMMYFUNCTION("""COMPUTED_VALUE"""),"5x3")</f>
        <v>5x3</v>
      </c>
      <c r="V410" s="5">
        <f ca="1">IFERROR(__xludf.DUMMYFUNCTION("""COMPUTED_VALUE"""),5)</f>
        <v>5</v>
      </c>
      <c r="W410" s="5">
        <f ca="1">IFERROR(__xludf.DUMMYFUNCTION("""COMPUTED_VALUE"""),5)</f>
        <v>5</v>
      </c>
      <c r="X410" s="13">
        <f ca="1">IFERROR(__xludf.DUMMYFUNCTION("""COMPUTED_VALUE"""),96)</f>
        <v>96</v>
      </c>
      <c r="Y410" s="5" t="str">
        <f ca="1">IFERROR(__xludf.DUMMYFUNCTION("""COMPUTED_VALUE"""),"Low")</f>
        <v>Low</v>
      </c>
      <c r="Z410" s="5">
        <f ca="1">IFERROR(__xludf.DUMMYFUNCTION("""COMPUTED_VALUE"""),9.2)</f>
        <v>9.1999999999999993</v>
      </c>
      <c r="AA410" s="5">
        <f ca="1">IFERROR(__xludf.DUMMYFUNCTION("""COMPUTED_VALUE"""),1000)</f>
        <v>1000</v>
      </c>
      <c r="AB410" s="5"/>
      <c r="AC410" s="5"/>
      <c r="AD410" s="5" t="str">
        <f ca="1">IFERROR(__xludf.DUMMYFUNCTION("""COMPUTED_VALUE"""),"0.05/100")</f>
        <v>0.05/100</v>
      </c>
      <c r="AE410" s="5"/>
      <c r="AF410" s="5"/>
      <c r="AG410" s="10">
        <f ca="1">IFERROR(__xludf.DUMMYFUNCTION("""COMPUTED_VALUE"""),46197.4928009259)</f>
        <v>46197.492800925902</v>
      </c>
      <c r="AH410" s="5" t="str">
        <f ca="1">IFERROR(__xludf.DUMMYFUNCTION("""COMPUTED_VALUE"""),"selena.mihajlovic@fazi.rs")</f>
        <v>selena.mihajlovic@fazi.rs</v>
      </c>
      <c r="AI410" s="5"/>
      <c r="AJ410" s="5"/>
      <c r="AK410" s="5">
        <f ca="1">IFERROR(__xludf.DUMMYFUNCTION("""COMPUTED_VALUE"""),5)</f>
        <v>5</v>
      </c>
      <c r="AL410" s="5" t="str">
        <f ca="1">IFERROR(__xludf.DUMMYFUNCTION("""COMPUTED_VALUE"""),"No")</f>
        <v>No</v>
      </c>
      <c r="AM410" s="5"/>
      <c r="AN410" s="7" t="str">
        <f ca="1">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AO410" s="5"/>
      <c r="AP410" s="5"/>
      <c r="AQ410" s="5" t="b">
        <f ca="1">IFERROR(__xludf.DUMMYFUNCTION("""COMPUTED_VALUE"""),TRUE)</f>
        <v>1</v>
      </c>
      <c r="AR410" s="5"/>
      <c r="AS410" s="5" t="str">
        <f ca="1">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AT410" s="5"/>
      <c r="AU410" s="5" t="str">
        <f ca="1">IFERROR(__xludf.DUMMYFUNCTION("""COMPUTED_VALUE"""),"Fazi")</f>
        <v>Fazi</v>
      </c>
      <c r="AV410" s="5"/>
      <c r="AW410" s="5"/>
      <c r="AX410" s="5"/>
      <c r="AY410" s="5"/>
      <c r="AZ410" s="5"/>
      <c r="BA410" s="5"/>
      <c r="BB410" s="5" t="b">
        <f ca="1">IFERROR(__xludf.DUMMYFUNCTION("""COMPUTED_VALUE"""),TRUE)</f>
        <v>1</v>
      </c>
      <c r="BC410" s="5" t="str">
        <f ca="1">IFERROR(__xludf.DUMMYFUNCTION("""COMPUTED_VALUE"""),"Tiptop")</f>
        <v>Tiptop</v>
      </c>
      <c r="BD410" s="7" t="str">
        <f ca="1">IFERROR(__xludf.DUMMYFUNCTION("""COMPUTED_VALUE"""),"https://gameserver-store-client-area.orbionlimited.com/Home/IntegrationGameLaunch/client-area?moneyType=0&amp;gameName=UnicornThunderFruits&amp;platform=desktop&amp;languageCode=eng&amp;currency=EUR")</f>
        <v>https://gameserver-store-client-area.orbionlimited.com/Home/IntegrationGameLaunch/client-area?moneyType=0&amp;gameName=UnicornThunderFruits&amp;platform=desktop&amp;languageCode=eng&amp;currency=EUR</v>
      </c>
      <c r="BE410" s="5" t="b">
        <f ca="1">IFERROR(__xludf.DUMMYFUNCTION("""COMPUTED_VALUE"""),TRUE)</f>
        <v>1</v>
      </c>
    </row>
    <row r="411" spans="1:57" x14ac:dyDescent="0.25">
      <c r="A411" s="5">
        <f ca="1">IFERROR(__xludf.DUMMYFUNCTION("""COMPUTED_VALUE"""),423)</f>
        <v>423</v>
      </c>
      <c r="B411" s="5">
        <f ca="1">IFERROR(__xludf.DUMMYFUNCTION("""COMPUTED_VALUE"""),385)</f>
        <v>385</v>
      </c>
      <c r="C411" s="5" t="str">
        <f ca="1">IFERROR(__xludf.DUMMYFUNCTION("""COMPUTED_VALUE"""),"Tiptop")</f>
        <v>Tiptop</v>
      </c>
      <c r="D411" s="5" t="str">
        <f ca="1">IFERROR(__xludf.DUMMYFUNCTION("""COMPUTED_VALUE"""),"Epic Mega Cash")</f>
        <v>Epic Mega Cash</v>
      </c>
      <c r="E411" s="5" t="str">
        <f ca="1">IFERROR(__xludf.DUMMYFUNCTION("""COMPUTED_VALUE"""),"V4-2")</f>
        <v>V4-2</v>
      </c>
      <c r="F411" s="5" t="str">
        <f ca="1">IFERROR(__xludf.DUMMYFUNCTION("""COMPUTED_VALUE"""),"UnicornEpicMegaCash")</f>
        <v>UnicornEpicMegaCash</v>
      </c>
      <c r="G411" s="5" t="str">
        <f ca="1">IFERROR(__xludf.DUMMYFUNCTION("""COMPUTED_VALUE"""),"Live")</f>
        <v>Live</v>
      </c>
      <c r="H411" s="5"/>
      <c r="I411" s="5" t="str">
        <f ca="1">IFERROR(__xludf.DUMMYFUNCTION("""COMPUTED_VALUE"""),"TipTop")</f>
        <v>TipTop</v>
      </c>
      <c r="J411" s="5" t="str">
        <f ca="1">IFERROR(__xludf.DUMMYFUNCTION("""COMPUTED_VALUE"""),"JSON")</f>
        <v>JSON</v>
      </c>
      <c r="K411" s="5" t="str">
        <f ca="1">IFERROR(__xludf.DUMMYFUNCTION("""COMPUTED_VALUE"""),"Slot")</f>
        <v>Slot</v>
      </c>
      <c r="L411" s="5" t="str">
        <f ca="1">IFERROR(__xludf.DUMMYFUNCTION("""COMPUTED_VALUE"""),"Master")</f>
        <v>Master</v>
      </c>
      <c r="M411" s="5"/>
      <c r="N411" s="5"/>
      <c r="O411" s="5"/>
      <c r="P411" s="14">
        <f ca="1">IFERROR(__xludf.DUMMYFUNCTION("""COMPUTED_VALUE"""),12)</f>
        <v>12</v>
      </c>
      <c r="Q411" s="5"/>
      <c r="R411" s="17">
        <f ca="1">IFERROR(__xludf.DUMMYFUNCTION("""COMPUTED_VALUE"""),45694)</f>
        <v>45694</v>
      </c>
      <c r="S411" s="15">
        <f ca="1">IFERROR(__xludf.DUMMYFUNCTION("""COMPUTED_VALUE"""),45701)</f>
        <v>45701</v>
      </c>
      <c r="T411" s="5" t="b">
        <f ca="1">IFERROR(__xludf.DUMMYFUNCTION("""COMPUTED_VALUE"""),TRUE)</f>
        <v>1</v>
      </c>
      <c r="U411" s="5" t="str">
        <f ca="1">IFERROR(__xludf.DUMMYFUNCTION("""COMPUTED_VALUE"""),"5x3")</f>
        <v>5x3</v>
      </c>
      <c r="V411" s="5">
        <f ca="1">IFERROR(__xludf.DUMMYFUNCTION("""COMPUTED_VALUE"""),10)</f>
        <v>10</v>
      </c>
      <c r="W411" s="5">
        <f ca="1">IFERROR(__xludf.DUMMYFUNCTION("""COMPUTED_VALUE"""),10)</f>
        <v>10</v>
      </c>
      <c r="X411" s="13">
        <f ca="1">IFERROR(__xludf.DUMMYFUNCTION("""COMPUTED_VALUE"""),96)</f>
        <v>96</v>
      </c>
      <c r="Y411" s="5" t="str">
        <f ca="1">IFERROR(__xludf.DUMMYFUNCTION("""COMPUTED_VALUE"""),"Medium")</f>
        <v>Medium</v>
      </c>
      <c r="Z411" s="5">
        <f ca="1">IFERROR(__xludf.DUMMYFUNCTION("""COMPUTED_VALUE"""),15.91)</f>
        <v>15.91</v>
      </c>
      <c r="AA411" s="5">
        <f ca="1">IFERROR(__xludf.DUMMYFUNCTION("""COMPUTED_VALUE"""),5000)</f>
        <v>5000</v>
      </c>
      <c r="AB411" s="5"/>
      <c r="AC411" s="5"/>
      <c r="AD411" s="5" t="str">
        <f ca="1">IFERROR(__xludf.DUMMYFUNCTION("""COMPUTED_VALUE"""),"0.1/100")</f>
        <v>0.1/100</v>
      </c>
      <c r="AE411" s="5"/>
      <c r="AF411" s="5"/>
      <c r="AG411" s="10">
        <f ca="1">IFERROR(__xludf.DUMMYFUNCTION("""COMPUTED_VALUE"""),46197.4929629629)</f>
        <v>46197.492962962897</v>
      </c>
      <c r="AH411" s="5" t="str">
        <f ca="1">IFERROR(__xludf.DUMMYFUNCTION("""COMPUTED_VALUE"""),"selena.mihajlovic@fazi.rs")</f>
        <v>selena.mihajlovic@fazi.rs</v>
      </c>
      <c r="AI411" s="5"/>
      <c r="AJ411" s="5"/>
      <c r="AK411" s="5">
        <f ca="1">IFERROR(__xludf.DUMMYFUNCTION("""COMPUTED_VALUE"""),10)</f>
        <v>10</v>
      </c>
      <c r="AL411" s="5" t="str">
        <f ca="1">IFERROR(__xludf.DUMMYFUNCTION("""COMPUTED_VALUE"""),"No")</f>
        <v>No</v>
      </c>
      <c r="AM411" s="5"/>
      <c r="AN411" s="7" t="str">
        <f ca="1">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AO411" s="5"/>
      <c r="AP411" s="5"/>
      <c r="AQ411" s="5" t="b">
        <f ca="1">IFERROR(__xludf.DUMMYFUNCTION("""COMPUTED_VALUE"""),TRUE)</f>
        <v>1</v>
      </c>
      <c r="AR411" s="5"/>
      <c r="AS411" s="5" t="str">
        <f ca="1">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AT411" s="5"/>
      <c r="AU411" s="5" t="str">
        <f ca="1">IFERROR(__xludf.DUMMYFUNCTION("""COMPUTED_VALUE"""),"Fazi")</f>
        <v>Fazi</v>
      </c>
      <c r="AV411" s="5"/>
      <c r="AW411" s="5"/>
      <c r="AX411" s="5"/>
      <c r="AY411" s="5"/>
      <c r="AZ411" s="5"/>
      <c r="BA411" s="5"/>
      <c r="BB411" s="5" t="b">
        <f ca="1">IFERROR(__xludf.DUMMYFUNCTION("""COMPUTED_VALUE"""),TRUE)</f>
        <v>1</v>
      </c>
      <c r="BC411" s="5" t="str">
        <f ca="1">IFERROR(__xludf.DUMMYFUNCTION("""COMPUTED_VALUE"""),"Tiptop")</f>
        <v>Tiptop</v>
      </c>
      <c r="BD411" s="7" t="str">
        <f ca="1">IFERROR(__xludf.DUMMYFUNCTION("""COMPUTED_VALUE"""),"https://gameserver-store-client-area.orbionlimited.com/Home/IntegrationGameLaunch/client-area?moneyType=0&amp;gameName=UnicornEpicMegaCash&amp;platform=desktop&amp;languageCode=eng&amp;currency=EUR")</f>
        <v>https://gameserver-store-client-area.orbionlimited.com/Home/IntegrationGameLaunch/client-area?moneyType=0&amp;gameName=UnicornEpicMegaCash&amp;platform=desktop&amp;languageCode=eng&amp;currency=EUR</v>
      </c>
      <c r="BE411" s="5" t="b">
        <f ca="1">IFERROR(__xludf.DUMMYFUNCTION("""COMPUTED_VALUE"""),TRUE)</f>
        <v>1</v>
      </c>
    </row>
    <row r="412" spans="1:57" x14ac:dyDescent="0.25">
      <c r="A412" s="5">
        <f ca="1">IFERROR(__xludf.DUMMYFUNCTION("""COMPUTED_VALUE"""),424)</f>
        <v>424</v>
      </c>
      <c r="B412" s="5">
        <f ca="1">IFERROR(__xludf.DUMMYFUNCTION("""COMPUTED_VALUE"""),180005)</f>
        <v>180005</v>
      </c>
      <c r="C412" s="5" t="str">
        <f ca="1">IFERROR(__xludf.DUMMYFUNCTION("""COMPUTED_VALUE"""),"Redstone")</f>
        <v>Redstone</v>
      </c>
      <c r="D412" s="5" t="str">
        <f ca="1">IFERROR(__xludf.DUMMYFUNCTION("""COMPUTED_VALUE"""),"Eternal Hearts 10")</f>
        <v>Eternal Hearts 10</v>
      </c>
      <c r="E412" s="5" t="str">
        <f ca="1">IFERROR(__xludf.DUMMYFUNCTION("""COMPUTED_VALUE"""),"Redstone")</f>
        <v>Redstone</v>
      </c>
      <c r="F412" s="5" t="str">
        <f ca="1">IFERROR(__xludf.DUMMYFUNCTION("""COMPUTED_VALUE"""),"RedstoneEternalHearts10")</f>
        <v>RedstoneEternalHearts10</v>
      </c>
      <c r="G412" s="5" t="str">
        <f ca="1">IFERROR(__xludf.DUMMYFUNCTION("""COMPUTED_VALUE"""),"Live")</f>
        <v>Live</v>
      </c>
      <c r="H412" s="5"/>
      <c r="I412" s="5" t="str">
        <f ca="1">IFERROR(__xludf.DUMMYFUNCTION("""COMPUTED_VALUE"""),"Redstone")</f>
        <v>Redstone</v>
      </c>
      <c r="J412" s="5" t="str">
        <f ca="1">IFERROR(__xludf.DUMMYFUNCTION("""COMPUTED_VALUE"""),"JSON")</f>
        <v>JSON</v>
      </c>
      <c r="K412" s="5" t="str">
        <f ca="1">IFERROR(__xludf.DUMMYFUNCTION("""COMPUTED_VALUE"""),"Slot")</f>
        <v>Slot</v>
      </c>
      <c r="L412" s="5" t="str">
        <f ca="1">IFERROR(__xludf.DUMMYFUNCTION("""COMPUTED_VALUE"""),"Master")</f>
        <v>Master</v>
      </c>
      <c r="M412" s="5"/>
      <c r="N412" s="7" t="str">
        <f ca="1">IFERROR(__xludf.DUMMYFUNCTION("""COMPUTED_VALUE"""),"https://drive.google.com/file/d/1_XF5fB_2OqLxjOLOl7IyL6jS9pEUmJLh/view?usp=drive_link")</f>
        <v>https://drive.google.com/file/d/1_XF5fB_2OqLxjOLOl7IyL6jS9pEUmJLh/view?usp=drive_link</v>
      </c>
      <c r="O412" s="7" t="str">
        <f ca="1">IFERROR(__xludf.DUMMYFUNCTION("""COMPUTED_VALUE"""),"https://drive.google.com/file/d/1Br-aQhMsrkbl4TIl3PpwgNlJJm4d_Y4N/view?usp=drive_link")</f>
        <v>https://drive.google.com/file/d/1Br-aQhMsrkbl4TIl3PpwgNlJJm4d_Y4N/view?usp=drive_link</v>
      </c>
      <c r="P412" s="14">
        <f ca="1">IFERROR(__xludf.DUMMYFUNCTION("""COMPUTED_VALUE"""),12.7)</f>
        <v>12.7</v>
      </c>
      <c r="Q412" s="5"/>
      <c r="R412" s="17">
        <f ca="1">IFERROR(__xludf.DUMMYFUNCTION("""COMPUTED_VALUE"""),45691)</f>
        <v>45691</v>
      </c>
      <c r="S412" s="15">
        <f ca="1">IFERROR(__xludf.DUMMYFUNCTION("""COMPUTED_VALUE"""),45698)</f>
        <v>45698</v>
      </c>
      <c r="T412" s="5" t="b">
        <f ca="1">IFERROR(__xludf.DUMMYFUNCTION("""COMPUTED_VALUE"""),TRUE)</f>
        <v>1</v>
      </c>
      <c r="U412" s="5" t="str">
        <f ca="1">IFERROR(__xludf.DUMMYFUNCTION("""COMPUTED_VALUE"""),"5x3")</f>
        <v>5x3</v>
      </c>
      <c r="V412" s="5">
        <f ca="1">IFERROR(__xludf.DUMMYFUNCTION("""COMPUTED_VALUE"""),10)</f>
        <v>10</v>
      </c>
      <c r="W412" s="5">
        <f ca="1">IFERROR(__xludf.DUMMYFUNCTION("""COMPUTED_VALUE"""),10)</f>
        <v>10</v>
      </c>
      <c r="X412" s="13">
        <f ca="1">IFERROR(__xludf.DUMMYFUNCTION("""COMPUTED_VALUE"""),96.05)</f>
        <v>96.05</v>
      </c>
      <c r="Y412" s="5" t="str">
        <f ca="1">IFERROR(__xludf.DUMMYFUNCTION("""COMPUTED_VALUE"""),"Medium")</f>
        <v>Medium</v>
      </c>
      <c r="Z412" s="5">
        <f ca="1">IFERROR(__xludf.DUMMYFUNCTION("""COMPUTED_VALUE"""),14.29)</f>
        <v>14.29</v>
      </c>
      <c r="AA412" s="5">
        <f ca="1">IFERROR(__xludf.DUMMYFUNCTION("""COMPUTED_VALUE"""),1250)</f>
        <v>1250</v>
      </c>
      <c r="AB412" s="5"/>
      <c r="AC412" s="5" t="str">
        <f ca="1">IFERROR(__xludf.DUMMYFUNCTION("""COMPUTED_VALUE"""),"Hold and Win, Special Wild")</f>
        <v>Hold and Win, Special Wild</v>
      </c>
      <c r="AD412" s="5" t="str">
        <f ca="1">IFERROR(__xludf.DUMMYFUNCTION("""COMPUTED_VALUE"""),"0.05/100")</f>
        <v>0.05/100</v>
      </c>
      <c r="AE412" s="5"/>
      <c r="AF412" s="5"/>
      <c r="AG412" s="10">
        <f ca="1">IFERROR(__xludf.DUMMYFUNCTION("""COMPUTED_VALUE"""),46157.4930902777)</f>
        <v>46157.493090277698</v>
      </c>
      <c r="AH412" s="5"/>
      <c r="AI412" s="5"/>
      <c r="AJ412" s="5"/>
      <c r="AK412" s="5">
        <f ca="1">IFERROR(__xludf.DUMMYFUNCTION("""COMPUTED_VALUE"""),1)</f>
        <v>1</v>
      </c>
      <c r="AL412" s="5" t="str">
        <f ca="1">IFERROR(__xludf.DUMMYFUNCTION("""COMPUTED_VALUE"""),"No")</f>
        <v>No</v>
      </c>
      <c r="AM412" s="5" t="str">
        <f ca="1">IFERROR(__xludf.DUMMYFUNCTION("""COMPUTED_VALUE"""),"No")</f>
        <v>No</v>
      </c>
      <c r="AN412" s="7" t="str">
        <f ca="1">IFERROR(__xludf.DUMMYFUNCTION("""COMPUTED_VALUE"""),"https://static.redstone.rs/games/eternal-hearts-10/")</f>
        <v>https://static.redstone.rs/games/eternal-hearts-10/</v>
      </c>
      <c r="AO412" s="5" t="str">
        <f ca="1">IFERROR(__xludf.DUMMYFUNCTION("""COMPUTED_VALUE"""),"No")</f>
        <v>No</v>
      </c>
      <c r="AP412" s="5" t="str">
        <f ca="1">IFERROR(__xludf.DUMMYFUNCTION("""COMPUTED_VALUE"""),"No")</f>
        <v>No</v>
      </c>
      <c r="AQ412" s="5" t="b">
        <f ca="1">IFERROR(__xludf.DUMMYFUNCTION("""COMPUTED_VALUE"""),TRUE)</f>
        <v>1</v>
      </c>
      <c r="AR412" s="5"/>
      <c r="AS412" s="5" t="str">
        <f ca="1">IFERROR(__xludf.DUMMYFUNCTION("""COMPUTED_VALUE"""),"Can you gather all 15 hearts? In Eternal Hearts, the challenge leads to unforgettable rewards in the bonus round.")</f>
        <v>Can you gather all 15 hearts? In Eternal Hearts, the challenge leads to unforgettable rewards in the bonus round.</v>
      </c>
      <c r="AT412" s="5"/>
      <c r="AU412" s="5" t="str">
        <f ca="1">IFERROR(__xludf.DUMMYFUNCTION("""COMPUTED_VALUE"""),"Redstone")</f>
        <v>Redstone</v>
      </c>
      <c r="AV412" s="5"/>
      <c r="AW412" s="5"/>
      <c r="AX412" s="5"/>
      <c r="AY412" s="5"/>
      <c r="AZ412" s="5"/>
      <c r="BA412" s="5"/>
      <c r="BB412" s="5" t="b">
        <f ca="1">IFERROR(__xludf.DUMMYFUNCTION("""COMPUTED_VALUE"""),TRUE)</f>
        <v>1</v>
      </c>
      <c r="BC412" s="5" t="str">
        <f ca="1">IFERROR(__xludf.DUMMYFUNCTION("""COMPUTED_VALUE"""),"Redstone")</f>
        <v>Redstone</v>
      </c>
      <c r="BD412" s="7" t="str">
        <f ca="1">IFERROR(__xludf.DUMMYFUNCTION("""COMPUTED_VALUE"""),"https://static.redstone.rs/games/eternal-hearts-10/")</f>
        <v>https://static.redstone.rs/games/eternal-hearts-10/</v>
      </c>
      <c r="BE412" s="5" t="b">
        <f ca="1">IFERROR(__xludf.DUMMYFUNCTION("""COMPUTED_VALUE"""),TRUE)</f>
        <v>1</v>
      </c>
    </row>
    <row r="413" spans="1:57" x14ac:dyDescent="0.25">
      <c r="A413" s="5">
        <f ca="1">IFERROR(__xludf.DUMMYFUNCTION("""COMPUTED_VALUE"""),425)</f>
        <v>425</v>
      </c>
      <c r="B413" s="5">
        <f ca="1">IFERROR(__xludf.DUMMYFUNCTION("""COMPUTED_VALUE"""),180006)</f>
        <v>180006</v>
      </c>
      <c r="C413" s="5" t="str">
        <f ca="1">IFERROR(__xludf.DUMMYFUNCTION("""COMPUTED_VALUE"""),"Redstone")</f>
        <v>Redstone</v>
      </c>
      <c r="D413" s="5" t="str">
        <f ca="1">IFERROR(__xludf.DUMMYFUNCTION("""COMPUTED_VALUE"""),"Star Chaser")</f>
        <v>Star Chaser</v>
      </c>
      <c r="E413" s="5" t="str">
        <f ca="1">IFERROR(__xludf.DUMMYFUNCTION("""COMPUTED_VALUE"""),"Redstone")</f>
        <v>Redstone</v>
      </c>
      <c r="F413" s="5" t="str">
        <f ca="1">IFERROR(__xludf.DUMMYFUNCTION("""COMPUTED_VALUE"""),"RedstoneStarChaser")</f>
        <v>RedstoneStarChaser</v>
      </c>
      <c r="G413" s="5" t="str">
        <f ca="1">IFERROR(__xludf.DUMMYFUNCTION("""COMPUTED_VALUE"""),"Live")</f>
        <v>Live</v>
      </c>
      <c r="H413" s="5"/>
      <c r="I413" s="5" t="str">
        <f ca="1">IFERROR(__xludf.DUMMYFUNCTION("""COMPUTED_VALUE"""),"Redstone")</f>
        <v>Redstone</v>
      </c>
      <c r="J413" s="5" t="str">
        <f ca="1">IFERROR(__xludf.DUMMYFUNCTION("""COMPUTED_VALUE"""),"JSON")</f>
        <v>JSON</v>
      </c>
      <c r="K413" s="5" t="str">
        <f ca="1">IFERROR(__xludf.DUMMYFUNCTION("""COMPUTED_VALUE"""),"Slot")</f>
        <v>Slot</v>
      </c>
      <c r="L413" s="5" t="str">
        <f ca="1">IFERROR(__xludf.DUMMYFUNCTION("""COMPUTED_VALUE"""),"Master")</f>
        <v>Master</v>
      </c>
      <c r="M413" s="5"/>
      <c r="N413" s="7" t="str">
        <f ca="1">IFERROR(__xludf.DUMMYFUNCTION("""COMPUTED_VALUE"""),"https://drive.google.com/file/d/1r-U96WcbZ3z5FYIESmrnhZU5w6rvEH0T/view?usp=drive_link")</f>
        <v>https://drive.google.com/file/d/1r-U96WcbZ3z5FYIESmrnhZU5w6rvEH0T/view?usp=drive_link</v>
      </c>
      <c r="O413" s="7" t="str">
        <f ca="1">IFERROR(__xludf.DUMMYFUNCTION("""COMPUTED_VALUE"""),"https://drive.google.com/file/d/1UwaXMw5PZnR5qVXiFJJw_mRVc3jTktte/view?usp=drive_link")</f>
        <v>https://drive.google.com/file/d/1UwaXMw5PZnR5qVXiFJJw_mRVc3jTktte/view?usp=drive_link</v>
      </c>
      <c r="P413" s="14">
        <f ca="1">IFERROR(__xludf.DUMMYFUNCTION("""COMPUTED_VALUE"""),8)</f>
        <v>8</v>
      </c>
      <c r="Q413" s="5"/>
      <c r="R413" s="17">
        <f ca="1">IFERROR(__xludf.DUMMYFUNCTION("""COMPUTED_VALUE"""),45699)</f>
        <v>45699</v>
      </c>
      <c r="S413" s="15">
        <f ca="1">IFERROR(__xludf.DUMMYFUNCTION("""COMPUTED_VALUE"""),45707)</f>
        <v>45707</v>
      </c>
      <c r="T413" s="5" t="b">
        <f ca="1">IFERROR(__xludf.DUMMYFUNCTION("""COMPUTED_VALUE"""),TRUE)</f>
        <v>1</v>
      </c>
      <c r="U413" s="5" t="str">
        <f ca="1">IFERROR(__xludf.DUMMYFUNCTION("""COMPUTED_VALUE"""),"5x3")</f>
        <v>5x3</v>
      </c>
      <c r="V413" s="5">
        <f ca="1">IFERROR(__xludf.DUMMYFUNCTION("""COMPUTED_VALUE"""),15)</f>
        <v>15</v>
      </c>
      <c r="W413" s="5">
        <f ca="1">IFERROR(__xludf.DUMMYFUNCTION("""COMPUTED_VALUE"""),15)</f>
        <v>15</v>
      </c>
      <c r="X413" s="13">
        <f ca="1">IFERROR(__xludf.DUMMYFUNCTION("""COMPUTED_VALUE"""),96)</f>
        <v>96</v>
      </c>
      <c r="Y413" s="5" t="str">
        <f ca="1">IFERROR(__xludf.DUMMYFUNCTION("""COMPUTED_VALUE"""),"High")</f>
        <v>High</v>
      </c>
      <c r="Z413" s="5">
        <f ca="1">IFERROR(__xludf.DUMMYFUNCTION("""COMPUTED_VALUE"""),5.67)</f>
        <v>5.67</v>
      </c>
      <c r="AA413" s="5">
        <f ca="1">IFERROR(__xludf.DUMMYFUNCTION("""COMPUTED_VALUE"""),10000)</f>
        <v>10000</v>
      </c>
      <c r="AB413" s="5"/>
      <c r="AC413" s="5" t="str">
        <f ca="1">IFERROR(__xludf.DUMMYFUNCTION("""COMPUTED_VALUE"""),"Scatter")</f>
        <v>Scatter</v>
      </c>
      <c r="AD413" s="5" t="str">
        <f ca="1">IFERROR(__xludf.DUMMYFUNCTION("""COMPUTED_VALUE"""),"0.10/50")</f>
        <v>0.10/50</v>
      </c>
      <c r="AE413" s="5"/>
      <c r="AF413" s="5"/>
      <c r="AG413" s="10">
        <f ca="1">IFERROR(__xludf.DUMMYFUNCTION("""COMPUTED_VALUE"""),46157.4931134259)</f>
        <v>46157.493113425902</v>
      </c>
      <c r="AH413" s="5"/>
      <c r="AI413" s="5"/>
      <c r="AJ413" s="5"/>
      <c r="AK413" s="5">
        <f ca="1">IFERROR(__xludf.DUMMYFUNCTION("""COMPUTED_VALUE"""),1)</f>
        <v>1</v>
      </c>
      <c r="AL413" s="5" t="str">
        <f ca="1">IFERROR(__xludf.DUMMYFUNCTION("""COMPUTED_VALUE"""),"No")</f>
        <v>No</v>
      </c>
      <c r="AM413" s="5" t="str">
        <f ca="1">IFERROR(__xludf.DUMMYFUNCTION("""COMPUTED_VALUE"""),"No")</f>
        <v>No</v>
      </c>
      <c r="AN413" s="7" t="str">
        <f ca="1">IFERROR(__xludf.DUMMYFUNCTION("""COMPUTED_VALUE"""),"https://static.redstone.rs/games/star-chaser/")</f>
        <v>https://static.redstone.rs/games/star-chaser/</v>
      </c>
      <c r="AO413" s="5" t="str">
        <f ca="1">IFERROR(__xludf.DUMMYFUNCTION("""COMPUTED_VALUE"""),"No")</f>
        <v>No</v>
      </c>
      <c r="AP413" s="5" t="str">
        <f ca="1">IFERROR(__xludf.DUMMYFUNCTION("""COMPUTED_VALUE"""),"No")</f>
        <v>No</v>
      </c>
      <c r="AQ413" s="5" t="b">
        <f ca="1">IFERROR(__xludf.DUMMYFUNCTION("""COMPUTED_VALUE"""),TRUE)</f>
        <v>1</v>
      </c>
      <c r="AR413" s="5"/>
      <c r="AS413" s="5" t="str">
        <f ca="1">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AT413" s="5"/>
      <c r="AU413" s="5" t="str">
        <f ca="1">IFERROR(__xludf.DUMMYFUNCTION("""COMPUTED_VALUE"""),"Redstone")</f>
        <v>Redstone</v>
      </c>
      <c r="AV413" s="5"/>
      <c r="AW413" s="5"/>
      <c r="AX413" s="5"/>
      <c r="AY413" s="5"/>
      <c r="AZ413" s="5"/>
      <c r="BA413" s="5"/>
      <c r="BB413" s="5" t="b">
        <f ca="1">IFERROR(__xludf.DUMMYFUNCTION("""COMPUTED_VALUE"""),TRUE)</f>
        <v>1</v>
      </c>
      <c r="BC413" s="5" t="str">
        <f ca="1">IFERROR(__xludf.DUMMYFUNCTION("""COMPUTED_VALUE"""),"Redstone")</f>
        <v>Redstone</v>
      </c>
      <c r="BD413" s="7" t="str">
        <f ca="1">IFERROR(__xludf.DUMMYFUNCTION("""COMPUTED_VALUE"""),"https://static.redstone.rs/games/star-chaser/")</f>
        <v>https://static.redstone.rs/games/star-chaser/</v>
      </c>
      <c r="BE413" s="5" t="b">
        <f ca="1">IFERROR(__xludf.DUMMYFUNCTION("""COMPUTED_VALUE"""),TRUE)</f>
        <v>1</v>
      </c>
    </row>
    <row r="414" spans="1:57" x14ac:dyDescent="0.25">
      <c r="A414" s="5">
        <f ca="1">IFERROR(__xludf.DUMMYFUNCTION("""COMPUTED_VALUE"""),426)</f>
        <v>426</v>
      </c>
      <c r="B414" s="5">
        <f ca="1">IFERROR(__xludf.DUMMYFUNCTION("""COMPUTED_VALUE"""),393)</f>
        <v>393</v>
      </c>
      <c r="C414" s="5" t="str">
        <f ca="1">IFERROR(__xludf.DUMMYFUNCTION("""COMPUTED_VALUE"""),"Tiptop")</f>
        <v>Tiptop</v>
      </c>
      <c r="D414" s="5" t="str">
        <f ca="1">IFERROR(__xludf.DUMMYFUNCTION("""COMPUTED_VALUE"""),"Wild Hoppers")</f>
        <v>Wild Hoppers</v>
      </c>
      <c r="E414" s="5" t="str">
        <f ca="1">IFERROR(__xludf.DUMMYFUNCTION("""COMPUTED_VALUE"""),"V4-2")</f>
        <v>V4-2</v>
      </c>
      <c r="F414" s="5" t="str">
        <f ca="1">IFERROR(__xludf.DUMMYFUNCTION("""COMPUTED_VALUE"""),"UnicornWildHoppers")</f>
        <v>UnicornWildHoppers</v>
      </c>
      <c r="G414" s="5" t="str">
        <f ca="1">IFERROR(__xludf.DUMMYFUNCTION("""COMPUTED_VALUE"""),"Live")</f>
        <v>Live</v>
      </c>
      <c r="H414" s="5"/>
      <c r="I414" s="5" t="str">
        <f ca="1">IFERROR(__xludf.DUMMYFUNCTION("""COMPUTED_VALUE"""),"TipTop")</f>
        <v>TipTop</v>
      </c>
      <c r="J414" s="5" t="str">
        <f ca="1">IFERROR(__xludf.DUMMYFUNCTION("""COMPUTED_VALUE"""),"JSON")</f>
        <v>JSON</v>
      </c>
      <c r="K414" s="5" t="str">
        <f ca="1">IFERROR(__xludf.DUMMYFUNCTION("""COMPUTED_VALUE"""),"Slot")</f>
        <v>Slot</v>
      </c>
      <c r="L414" s="5" t="str">
        <f ca="1">IFERROR(__xludf.DUMMYFUNCTION("""COMPUTED_VALUE""")," Clone")</f>
        <v xml:space="preserve"> Clone</v>
      </c>
      <c r="M414" s="5" t="str">
        <f ca="1">IFERROR(__xludf.DUMMYFUNCTION("""COMPUTED_VALUE"""),"Unicorn Pumpkin Horror")</f>
        <v>Unicorn Pumpkin Horror</v>
      </c>
      <c r="N414" s="5"/>
      <c r="O414" s="5"/>
      <c r="P414" s="14">
        <f ca="1">IFERROR(__xludf.DUMMYFUNCTION("""COMPUTED_VALUE"""),12.6)</f>
        <v>12.6</v>
      </c>
      <c r="Q414" s="5"/>
      <c r="R414" s="17">
        <f ca="1">IFERROR(__xludf.DUMMYFUNCTION("""COMPUTED_VALUE"""),45708)</f>
        <v>45708</v>
      </c>
      <c r="S414" s="15">
        <f ca="1">IFERROR(__xludf.DUMMYFUNCTION("""COMPUTED_VALUE"""),45714)</f>
        <v>45714</v>
      </c>
      <c r="T414" s="5" t="b">
        <f ca="1">IFERROR(__xludf.DUMMYFUNCTION("""COMPUTED_VALUE"""),TRUE)</f>
        <v>1</v>
      </c>
      <c r="U414" s="5" t="str">
        <f ca="1">IFERROR(__xludf.DUMMYFUNCTION("""COMPUTED_VALUE"""),"5x3")</f>
        <v>5x3</v>
      </c>
      <c r="V414" s="5">
        <f ca="1">IFERROR(__xludf.DUMMYFUNCTION("""COMPUTED_VALUE"""),10)</f>
        <v>10</v>
      </c>
      <c r="W414" s="5">
        <f ca="1">IFERROR(__xludf.DUMMYFUNCTION("""COMPUTED_VALUE"""),10)</f>
        <v>10</v>
      </c>
      <c r="X414" s="13">
        <f ca="1">IFERROR(__xludf.DUMMYFUNCTION("""COMPUTED_VALUE"""),96)</f>
        <v>96</v>
      </c>
      <c r="Y414" s="5" t="str">
        <f ca="1">IFERROR(__xludf.DUMMYFUNCTION("""COMPUTED_VALUE"""),"Medium")</f>
        <v>Medium</v>
      </c>
      <c r="Z414" s="5">
        <f ca="1">IFERROR(__xludf.DUMMYFUNCTION("""COMPUTED_VALUE"""),23.31)</f>
        <v>23.31</v>
      </c>
      <c r="AA414" s="5">
        <f ca="1">IFERROR(__xludf.DUMMYFUNCTION("""COMPUTED_VALUE"""),10000)</f>
        <v>10000</v>
      </c>
      <c r="AB414" s="5"/>
      <c r="AC414" s="5"/>
      <c r="AD414" s="5" t="str">
        <f ca="1">IFERROR(__xludf.DUMMYFUNCTION("""COMPUTED_VALUE"""),"0.1/100")</f>
        <v>0.1/100</v>
      </c>
      <c r="AE414" s="5"/>
      <c r="AF414" s="5"/>
      <c r="AG414" s="10">
        <f ca="1">IFERROR(__xludf.DUMMYFUNCTION("""COMPUTED_VALUE"""),46197.4932060185)</f>
        <v>46197.493206018502</v>
      </c>
      <c r="AH414" s="5" t="str">
        <f ca="1">IFERROR(__xludf.DUMMYFUNCTION("""COMPUTED_VALUE"""),"selena.mihajlovic@fazi.rs")</f>
        <v>selena.mihajlovic@fazi.rs</v>
      </c>
      <c r="AI414" s="5"/>
      <c r="AJ414" s="5"/>
      <c r="AK414" s="5">
        <f ca="1">IFERROR(__xludf.DUMMYFUNCTION("""COMPUTED_VALUE"""),10)</f>
        <v>10</v>
      </c>
      <c r="AL414" s="5" t="str">
        <f ca="1">IFERROR(__xludf.DUMMYFUNCTION("""COMPUTED_VALUE"""),"No")</f>
        <v>No</v>
      </c>
      <c r="AM414" s="5"/>
      <c r="AN414" s="7" t="str">
        <f ca="1">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AO414" s="5"/>
      <c r="AP414" s="5"/>
      <c r="AQ414" s="5" t="b">
        <f ca="1">IFERROR(__xludf.DUMMYFUNCTION("""COMPUTED_VALUE"""),TRUE)</f>
        <v>1</v>
      </c>
      <c r="AR414" s="5"/>
      <c r="AS414" s="5" t="str">
        <f ca="1">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AT414" s="5"/>
      <c r="AU414" s="5" t="str">
        <f ca="1">IFERROR(__xludf.DUMMYFUNCTION("""COMPUTED_VALUE"""),"Fazi")</f>
        <v>Fazi</v>
      </c>
      <c r="AV414" s="5"/>
      <c r="AW414" s="5"/>
      <c r="AX414" s="5"/>
      <c r="AY414" s="5"/>
      <c r="AZ414" s="5"/>
      <c r="BA414" s="5"/>
      <c r="BB414" s="5" t="b">
        <f ca="1">IFERROR(__xludf.DUMMYFUNCTION("""COMPUTED_VALUE"""),TRUE)</f>
        <v>1</v>
      </c>
      <c r="BC414" s="5" t="str">
        <f ca="1">IFERROR(__xludf.DUMMYFUNCTION("""COMPUTED_VALUE"""),"Tiptop")</f>
        <v>Tiptop</v>
      </c>
      <c r="BD414" s="7" t="str">
        <f ca="1">IFERROR(__xludf.DUMMYFUNCTION("""COMPUTED_VALUE"""),"https://gameserver-store-client-area.orbionlimited.com/Home/IntegrationGameLaunch/client-area?moneyType=0&amp;gameName=UnicornWildHoppers&amp;platform=desktop&amp;languageCode=eng&amp;currency=EUR")</f>
        <v>https://gameserver-store-client-area.orbionlimited.com/Home/IntegrationGameLaunch/client-area?moneyType=0&amp;gameName=UnicornWildHoppers&amp;platform=desktop&amp;languageCode=eng&amp;currency=EUR</v>
      </c>
      <c r="BE414" s="5" t="b">
        <f ca="1">IFERROR(__xludf.DUMMYFUNCTION("""COMPUTED_VALUE"""),TRUE)</f>
        <v>1</v>
      </c>
    </row>
    <row r="415" spans="1:57" x14ac:dyDescent="0.25">
      <c r="A415" s="5">
        <f ca="1">IFERROR(__xludf.DUMMYFUNCTION("""COMPUTED_VALUE"""),427)</f>
        <v>427</v>
      </c>
      <c r="B415" s="5">
        <f ca="1">IFERROR(__xludf.DUMMYFUNCTION("""COMPUTED_VALUE"""),394)</f>
        <v>394</v>
      </c>
      <c r="C415" s="5" t="str">
        <f ca="1">IFERROR(__xludf.DUMMYFUNCTION("""COMPUTED_VALUE"""),"Tiptop")</f>
        <v>Tiptop</v>
      </c>
      <c r="D415" s="5" t="str">
        <f ca="1">IFERROR(__xludf.DUMMYFUNCTION("""COMPUTED_VALUE"""),"Simply Sevens Dice Easter")</f>
        <v>Simply Sevens Dice Easter</v>
      </c>
      <c r="E415" s="5" t="str">
        <f ca="1">IFERROR(__xludf.DUMMYFUNCTION("""COMPUTED_VALUE"""),"V4-2")</f>
        <v>V4-2</v>
      </c>
      <c r="F415" s="5" t="str">
        <f ca="1">IFERROR(__xludf.DUMMYFUNCTION("""COMPUTED_VALUE"""),"UnicornSimplySevensDiceEaster")</f>
        <v>UnicornSimplySevensDiceEaster</v>
      </c>
      <c r="G415" s="5" t="str">
        <f ca="1">IFERROR(__xludf.DUMMYFUNCTION("""COMPUTED_VALUE"""),"Live")</f>
        <v>Live</v>
      </c>
      <c r="H415" s="5"/>
      <c r="I415" s="5" t="str">
        <f ca="1">IFERROR(__xludf.DUMMYFUNCTION("""COMPUTED_VALUE"""),"TipTop")</f>
        <v>TipTop</v>
      </c>
      <c r="J415" s="5" t="str">
        <f ca="1">IFERROR(__xludf.DUMMYFUNCTION("""COMPUTED_VALUE"""),"JSON")</f>
        <v>JSON</v>
      </c>
      <c r="K415" s="5" t="str">
        <f ca="1">IFERROR(__xludf.DUMMYFUNCTION("""COMPUTED_VALUE"""),"Dice Slots")</f>
        <v>Dice Slots</v>
      </c>
      <c r="L415" s="5" t="str">
        <f ca="1">IFERROR(__xludf.DUMMYFUNCTION("""COMPUTED_VALUE""")," Clone")</f>
        <v xml:space="preserve"> Clone</v>
      </c>
      <c r="M415" s="5" t="str">
        <f ca="1">IFERROR(__xludf.DUMMYFUNCTION("""COMPUTED_VALUE"""),"Simply Sevens Dice")</f>
        <v>Simply Sevens Dice</v>
      </c>
      <c r="N415" s="5"/>
      <c r="O415" s="5"/>
      <c r="P415" s="14">
        <f ca="1">IFERROR(__xludf.DUMMYFUNCTION("""COMPUTED_VALUE"""),11)</f>
        <v>11</v>
      </c>
      <c r="Q415" s="5"/>
      <c r="R415" s="17">
        <f ca="1">IFERROR(__xludf.DUMMYFUNCTION("""COMPUTED_VALUE"""),45709)</f>
        <v>45709</v>
      </c>
      <c r="S415" s="15">
        <f ca="1">IFERROR(__xludf.DUMMYFUNCTION("""COMPUTED_VALUE"""),45715)</f>
        <v>45715</v>
      </c>
      <c r="T415" s="5" t="b">
        <f ca="1">IFERROR(__xludf.DUMMYFUNCTION("""COMPUTED_VALUE"""),TRUE)</f>
        <v>1</v>
      </c>
      <c r="U415" s="5" t="str">
        <f ca="1">IFERROR(__xludf.DUMMYFUNCTION("""COMPUTED_VALUE"""),"5x3")</f>
        <v>5x3</v>
      </c>
      <c r="V415" s="5">
        <f ca="1">IFERROR(__xludf.DUMMYFUNCTION("""COMPUTED_VALUE"""),10)</f>
        <v>10</v>
      </c>
      <c r="W415" s="5">
        <f ca="1">IFERROR(__xludf.DUMMYFUNCTION("""COMPUTED_VALUE"""),10)</f>
        <v>10</v>
      </c>
      <c r="X415" s="13">
        <f ca="1">IFERROR(__xludf.DUMMYFUNCTION("""COMPUTED_VALUE"""),96)</f>
        <v>96</v>
      </c>
      <c r="Y415" s="5" t="str">
        <f ca="1">IFERROR(__xludf.DUMMYFUNCTION("""COMPUTED_VALUE"""),"Low")</f>
        <v>Low</v>
      </c>
      <c r="Z415" s="5">
        <f ca="1">IFERROR(__xludf.DUMMYFUNCTION("""COMPUTED_VALUE"""),24.14)</f>
        <v>24.14</v>
      </c>
      <c r="AA415" s="5">
        <f ca="1">IFERROR(__xludf.DUMMYFUNCTION("""COMPUTED_VALUE"""),10000)</f>
        <v>10000</v>
      </c>
      <c r="AB415" s="5"/>
      <c r="AC415" s="5"/>
      <c r="AD415" s="5" t="str">
        <f ca="1">IFERROR(__xludf.DUMMYFUNCTION("""COMPUTED_VALUE"""),"0.1/100")</f>
        <v>0.1/100</v>
      </c>
      <c r="AE415" s="5"/>
      <c r="AF415" s="5"/>
      <c r="AG415" s="10">
        <f ca="1">IFERROR(__xludf.DUMMYFUNCTION("""COMPUTED_VALUE"""),46197.4936342592)</f>
        <v>46197.493634259197</v>
      </c>
      <c r="AH415" s="5" t="str">
        <f ca="1">IFERROR(__xludf.DUMMYFUNCTION("""COMPUTED_VALUE"""),"selena.mihajlovic@fazi.rs")</f>
        <v>selena.mihajlovic@fazi.rs</v>
      </c>
      <c r="AI415" s="15">
        <f ca="1">IFERROR(__xludf.DUMMYFUNCTION("""COMPUTED_VALUE"""),45706)</f>
        <v>45706</v>
      </c>
      <c r="AJ415" s="5" t="str">
        <f ca="1">IFERROR(__xludf.DUMMYFUNCTION("""COMPUTED_VALUE"""),"Pre-Release:
Gaming 1 (sva kazina)
BetConstruct (Vbet kazino) ")</f>
        <v xml:space="preserve">Pre-Release:
Gaming 1 (sva kazina)
BetConstruct (Vbet kazino) </v>
      </c>
      <c r="AK415" s="5">
        <f ca="1">IFERROR(__xludf.DUMMYFUNCTION("""COMPUTED_VALUE"""),10)</f>
        <v>10</v>
      </c>
      <c r="AL415" s="5" t="str">
        <f ca="1">IFERROR(__xludf.DUMMYFUNCTION("""COMPUTED_VALUE"""),"No")</f>
        <v>No</v>
      </c>
      <c r="AM415" s="5"/>
      <c r="AN415" s="7" t="str">
        <f ca="1">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AO415" s="5"/>
      <c r="AP415" s="5"/>
      <c r="AQ415" s="5" t="b">
        <f ca="1">IFERROR(__xludf.DUMMYFUNCTION("""COMPUTED_VALUE"""),TRUE)</f>
        <v>1</v>
      </c>
      <c r="AR415" s="5"/>
      <c r="AS415" s="5" t="str">
        <f ca="1">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AT415" s="5"/>
      <c r="AU415" s="5" t="str">
        <f ca="1">IFERROR(__xludf.DUMMYFUNCTION("""COMPUTED_VALUE"""),"Fazi")</f>
        <v>Fazi</v>
      </c>
      <c r="AV415" s="5"/>
      <c r="AW415" s="5"/>
      <c r="AX415" s="5"/>
      <c r="AY415" s="5"/>
      <c r="AZ415" s="5"/>
      <c r="BA415" s="5"/>
      <c r="BB415" s="5" t="b">
        <f ca="1">IFERROR(__xludf.DUMMYFUNCTION("""COMPUTED_VALUE"""),TRUE)</f>
        <v>1</v>
      </c>
      <c r="BC415" s="5" t="str">
        <f ca="1">IFERROR(__xludf.DUMMYFUNCTION("""COMPUTED_VALUE"""),"Tiptop")</f>
        <v>Tiptop</v>
      </c>
      <c r="BD415" s="7" t="str">
        <f ca="1">IFERROR(__xludf.DUMMYFUNCTION("""COMPUTED_VALUE"""),"https://gameserver-store-client-area.orbionlimited.com/Home/IntegrationGameLaunch/client-area?moneyType=0&amp;gameName=UnicornSimplySevensDiceEaster&amp;platform=desktop&amp;languageCode=eng&amp;currency=EUR")</f>
        <v>https://gameserver-store-client-area.orbionlimited.com/Home/IntegrationGameLaunch/client-area?moneyType=0&amp;gameName=UnicornSimplySevensDiceEaster&amp;platform=desktop&amp;languageCode=eng&amp;currency=EUR</v>
      </c>
      <c r="BE415" s="5" t="b">
        <f ca="1">IFERROR(__xludf.DUMMYFUNCTION("""COMPUTED_VALUE"""),TRUE)</f>
        <v>1</v>
      </c>
    </row>
    <row r="416" spans="1:57" x14ac:dyDescent="0.25">
      <c r="A416" s="5">
        <f ca="1">IFERROR(__xludf.DUMMYFUNCTION("""COMPUTED_VALUE"""),428)</f>
        <v>428</v>
      </c>
      <c r="B416" s="5">
        <f ca="1">IFERROR(__xludf.DUMMYFUNCTION("""COMPUTED_VALUE"""),180007)</f>
        <v>180007</v>
      </c>
      <c r="C416" s="5" t="str">
        <f ca="1">IFERROR(__xludf.DUMMYFUNCTION("""COMPUTED_VALUE"""),"Redstone")</f>
        <v>Redstone</v>
      </c>
      <c r="D416" s="5" t="str">
        <f ca="1">IFERROR(__xludf.DUMMYFUNCTION("""COMPUTED_VALUE"""),"Multi Clover 10")</f>
        <v>Multi Clover 10</v>
      </c>
      <c r="E416" s="5" t="str">
        <f ca="1">IFERROR(__xludf.DUMMYFUNCTION("""COMPUTED_VALUE"""),"Redstone")</f>
        <v>Redstone</v>
      </c>
      <c r="F416" s="5" t="str">
        <f ca="1">IFERROR(__xludf.DUMMYFUNCTION("""COMPUTED_VALUE"""),"RedstoneMultiClover10")</f>
        <v>RedstoneMultiClover10</v>
      </c>
      <c r="G416" s="5" t="str">
        <f ca="1">IFERROR(__xludf.DUMMYFUNCTION("""COMPUTED_VALUE"""),"Live")</f>
        <v>Live</v>
      </c>
      <c r="H416" s="5"/>
      <c r="I416" s="5" t="str">
        <f ca="1">IFERROR(__xludf.DUMMYFUNCTION("""COMPUTED_VALUE"""),"Redstone")</f>
        <v>Redstone</v>
      </c>
      <c r="J416" s="5" t="str">
        <f ca="1">IFERROR(__xludf.DUMMYFUNCTION("""COMPUTED_VALUE"""),"JSON")</f>
        <v>JSON</v>
      </c>
      <c r="K416" s="5" t="str">
        <f ca="1">IFERROR(__xludf.DUMMYFUNCTION("""COMPUTED_VALUE"""),"Slot")</f>
        <v>Slot</v>
      </c>
      <c r="L416" s="5" t="str">
        <f ca="1">IFERROR(__xludf.DUMMYFUNCTION("""COMPUTED_VALUE"""),"Master")</f>
        <v>Master</v>
      </c>
      <c r="M416" s="5"/>
      <c r="N416" s="7" t="str">
        <f ca="1">IFERROR(__xludf.DUMMYFUNCTION("""COMPUTED_VALUE"""),"https://drive.google.com/file/d/1y5Y6SBY1LdfTNoAKADaYoL-I5VyQPl2Y/view?usp=drive_link")</f>
        <v>https://drive.google.com/file/d/1y5Y6SBY1LdfTNoAKADaYoL-I5VyQPl2Y/view?usp=drive_link</v>
      </c>
      <c r="O416" s="7" t="str">
        <f ca="1">IFERROR(__xludf.DUMMYFUNCTION("""COMPUTED_VALUE"""),"https://drive.google.com/file/d/1CXLi8GgMycV3GyC6LKQGBLvP-rq9jtHE/view?usp=drive_link")</f>
        <v>https://drive.google.com/file/d/1CXLi8GgMycV3GyC6LKQGBLvP-rq9jtHE/view?usp=drive_link</v>
      </c>
      <c r="P416" s="14">
        <f ca="1">IFERROR(__xludf.DUMMYFUNCTION("""COMPUTED_VALUE"""),8)</f>
        <v>8</v>
      </c>
      <c r="Q416" s="5"/>
      <c r="R416" s="17">
        <f ca="1">IFERROR(__xludf.DUMMYFUNCTION("""COMPUTED_VALUE"""),45707)</f>
        <v>45707</v>
      </c>
      <c r="S416" s="15">
        <f ca="1">IFERROR(__xludf.DUMMYFUNCTION("""COMPUTED_VALUE"""),45713)</f>
        <v>45713</v>
      </c>
      <c r="T416" s="5" t="b">
        <f ca="1">IFERROR(__xludf.DUMMYFUNCTION("""COMPUTED_VALUE"""),TRUE)</f>
        <v>1</v>
      </c>
      <c r="U416" s="5" t="str">
        <f ca="1">IFERROR(__xludf.DUMMYFUNCTION("""COMPUTED_VALUE"""),"5x3")</f>
        <v>5x3</v>
      </c>
      <c r="V416" s="5">
        <f ca="1">IFERROR(__xludf.DUMMYFUNCTION("""COMPUTED_VALUE"""),10)</f>
        <v>10</v>
      </c>
      <c r="W416" s="5">
        <f ca="1">IFERROR(__xludf.DUMMYFUNCTION("""COMPUTED_VALUE"""),10)</f>
        <v>10</v>
      </c>
      <c r="X416" s="13">
        <f ca="1">IFERROR(__xludf.DUMMYFUNCTION("""COMPUTED_VALUE"""),96.01)</f>
        <v>96.01</v>
      </c>
      <c r="Y416" s="5" t="str">
        <f ca="1">IFERROR(__xludf.DUMMYFUNCTION("""COMPUTED_VALUE"""),"Medium")</f>
        <v>Medium</v>
      </c>
      <c r="Z416" s="5">
        <f ca="1">IFERROR(__xludf.DUMMYFUNCTION("""COMPUTED_VALUE"""),13.61)</f>
        <v>13.61</v>
      </c>
      <c r="AA416" s="5">
        <f ca="1">IFERROR(__xludf.DUMMYFUNCTION("""COMPUTED_VALUE"""),1615)</f>
        <v>1615</v>
      </c>
      <c r="AB416" s="5"/>
      <c r="AC416" s="5" t="str">
        <f ca="1">IFERROR(__xludf.DUMMYFUNCTION("""COMPUTED_VALUE"""),"Expanding Wild, Win Multiplier")</f>
        <v>Expanding Wild, Win Multiplier</v>
      </c>
      <c r="AD416" s="5" t="str">
        <f ca="1">IFERROR(__xludf.DUMMYFUNCTION("""COMPUTED_VALUE"""),"0.10/50")</f>
        <v>0.10/50</v>
      </c>
      <c r="AE416" s="5"/>
      <c r="AF416" s="5"/>
      <c r="AG416" s="10">
        <f ca="1">IFERROR(__xludf.DUMMYFUNCTION("""COMPUTED_VALUE"""),46157.4936458333)</f>
        <v>46157.493645833303</v>
      </c>
      <c r="AH416" s="5"/>
      <c r="AI416" s="5"/>
      <c r="AJ416" s="5"/>
      <c r="AK416" s="5">
        <f ca="1">IFERROR(__xludf.DUMMYFUNCTION("""COMPUTED_VALUE"""),1)</f>
        <v>1</v>
      </c>
      <c r="AL416" s="5" t="str">
        <f ca="1">IFERROR(__xludf.DUMMYFUNCTION("""COMPUTED_VALUE"""),"No")</f>
        <v>No</v>
      </c>
      <c r="AM416" s="5" t="str">
        <f ca="1">IFERROR(__xludf.DUMMYFUNCTION("""COMPUTED_VALUE"""),"No")</f>
        <v>No</v>
      </c>
      <c r="AN416" s="7" t="str">
        <f ca="1">IFERROR(__xludf.DUMMYFUNCTION("""COMPUTED_VALUE"""),"https://static.redstone.rs/games/multi-clover-10/")</f>
        <v>https://static.redstone.rs/games/multi-clover-10/</v>
      </c>
      <c r="AO416" s="5" t="str">
        <f ca="1">IFERROR(__xludf.DUMMYFUNCTION("""COMPUTED_VALUE"""),"No")</f>
        <v>No</v>
      </c>
      <c r="AP416" s="5" t="str">
        <f ca="1">IFERROR(__xludf.DUMMYFUNCTION("""COMPUTED_VALUE"""),"No")</f>
        <v>No</v>
      </c>
      <c r="AQ416" s="5" t="b">
        <f ca="1">IFERROR(__xludf.DUMMYFUNCTION("""COMPUTED_VALUE"""),TRUE)</f>
        <v>1</v>
      </c>
      <c r="AR416" s="5"/>
      <c r="AS416" s="5" t="str">
        <f ca="1">IFERROR(__xludf.DUMMYFUNCTION("""COMPUTED_VALUE"""),"Spin into a world of clovers and magic with Multi Clover 10. One clover can change everything - watch as expanding wilds boost your winnings with x2, x3 or x5 multipliers! ")</f>
        <v xml:space="preserve">Spin into a world of clovers and magic with Multi Clover 10. One clover can change everything - watch as expanding wilds boost your winnings with x2, x3 or x5 multipliers! </v>
      </c>
      <c r="AT416" s="5"/>
      <c r="AU416" s="5" t="str">
        <f ca="1">IFERROR(__xludf.DUMMYFUNCTION("""COMPUTED_VALUE"""),"Redstone")</f>
        <v>Redstone</v>
      </c>
      <c r="AV416" s="5"/>
      <c r="AW416" s="5"/>
      <c r="AX416" s="5"/>
      <c r="AY416" s="5"/>
      <c r="AZ416" s="5"/>
      <c r="BA416" s="5"/>
      <c r="BB416" s="5" t="b">
        <f ca="1">IFERROR(__xludf.DUMMYFUNCTION("""COMPUTED_VALUE"""),TRUE)</f>
        <v>1</v>
      </c>
      <c r="BC416" s="5" t="str">
        <f ca="1">IFERROR(__xludf.DUMMYFUNCTION("""COMPUTED_VALUE"""),"Redstone")</f>
        <v>Redstone</v>
      </c>
      <c r="BD416" s="7" t="str">
        <f ca="1">IFERROR(__xludf.DUMMYFUNCTION("""COMPUTED_VALUE"""),"https://static.redstone.rs/games/multi-clover-10/")</f>
        <v>https://static.redstone.rs/games/multi-clover-10/</v>
      </c>
      <c r="BE416" s="5" t="b">
        <f ca="1">IFERROR(__xludf.DUMMYFUNCTION("""COMPUTED_VALUE"""),TRUE)</f>
        <v>1</v>
      </c>
    </row>
    <row r="417" spans="1:57" x14ac:dyDescent="0.25">
      <c r="A417" s="5">
        <f ca="1">IFERROR(__xludf.DUMMYFUNCTION("""COMPUTED_VALUE"""),429)</f>
        <v>429</v>
      </c>
      <c r="B417" s="5">
        <f ca="1">IFERROR(__xludf.DUMMYFUNCTION("""COMPUTED_VALUE"""),180008)</f>
        <v>180008</v>
      </c>
      <c r="C417" s="5" t="str">
        <f ca="1">IFERROR(__xludf.DUMMYFUNCTION("""COMPUTED_VALUE"""),"Redstone")</f>
        <v>Redstone</v>
      </c>
      <c r="D417" s="5" t="str">
        <f ca="1">IFERROR(__xludf.DUMMYFUNCTION("""COMPUTED_VALUE"""),"REEL X5")</f>
        <v>REEL X5</v>
      </c>
      <c r="E417" s="5" t="str">
        <f ca="1">IFERROR(__xludf.DUMMYFUNCTION("""COMPUTED_VALUE"""),"Redstone")</f>
        <v>Redstone</v>
      </c>
      <c r="F417" s="5" t="str">
        <f ca="1">IFERROR(__xludf.DUMMYFUNCTION("""COMPUTED_VALUE"""),"RedstoneReelX5")</f>
        <v>RedstoneReelX5</v>
      </c>
      <c r="G417" s="5" t="str">
        <f ca="1">IFERROR(__xludf.DUMMYFUNCTION("""COMPUTED_VALUE"""),"Live")</f>
        <v>Live</v>
      </c>
      <c r="H417" s="5"/>
      <c r="I417" s="5" t="str">
        <f ca="1">IFERROR(__xludf.DUMMYFUNCTION("""COMPUTED_VALUE"""),"Redstone")</f>
        <v>Redstone</v>
      </c>
      <c r="J417" s="5" t="str">
        <f ca="1">IFERROR(__xludf.DUMMYFUNCTION("""COMPUTED_VALUE"""),"JSON")</f>
        <v>JSON</v>
      </c>
      <c r="K417" s="5" t="str">
        <f ca="1">IFERROR(__xludf.DUMMYFUNCTION("""COMPUTED_VALUE"""),"Slot")</f>
        <v>Slot</v>
      </c>
      <c r="L417" s="5" t="str">
        <f ca="1">IFERROR(__xludf.DUMMYFUNCTION("""COMPUTED_VALUE"""),"Master")</f>
        <v>Master</v>
      </c>
      <c r="M417" s="5"/>
      <c r="N417" s="7" t="str">
        <f ca="1">IFERROR(__xludf.DUMMYFUNCTION("""COMPUTED_VALUE"""),"https://drive.google.com/file/d/1FxBFAxIrdGHCkC_EQhDHoc4aQjSLDKuk/view?usp=drive_link")</f>
        <v>https://drive.google.com/file/d/1FxBFAxIrdGHCkC_EQhDHoc4aQjSLDKuk/view?usp=drive_link</v>
      </c>
      <c r="O417" s="7" t="str">
        <f ca="1">IFERROR(__xludf.DUMMYFUNCTION("""COMPUTED_VALUE"""),"https://drive.google.com/file/d/11ZuJz99MnzBEN9Wu2mO6F5qgjg1UQxMe/view?usp=drive_link")</f>
        <v>https://drive.google.com/file/d/11ZuJz99MnzBEN9Wu2mO6F5qgjg1UQxMe/view?usp=drive_link</v>
      </c>
      <c r="P417" s="14">
        <f ca="1">IFERROR(__xludf.DUMMYFUNCTION("""COMPUTED_VALUE"""),8.5)</f>
        <v>8.5</v>
      </c>
      <c r="Q417" s="5"/>
      <c r="R417" s="17">
        <f ca="1">IFERROR(__xludf.DUMMYFUNCTION("""COMPUTED_VALUE"""),45714)</f>
        <v>45714</v>
      </c>
      <c r="S417" s="15">
        <f ca="1">IFERROR(__xludf.DUMMYFUNCTION("""COMPUTED_VALUE"""),45720)</f>
        <v>45720</v>
      </c>
      <c r="T417" s="5" t="b">
        <f ca="1">IFERROR(__xludf.DUMMYFUNCTION("""COMPUTED_VALUE"""),TRUE)</f>
        <v>1</v>
      </c>
      <c r="U417" s="5" t="str">
        <f ca="1">IFERROR(__xludf.DUMMYFUNCTION("""COMPUTED_VALUE"""),"3x3")</f>
        <v>3x3</v>
      </c>
      <c r="V417" s="5">
        <f ca="1">IFERROR(__xludf.DUMMYFUNCTION("""COMPUTED_VALUE"""),5)</f>
        <v>5</v>
      </c>
      <c r="W417" s="5">
        <f ca="1">IFERROR(__xludf.DUMMYFUNCTION("""COMPUTED_VALUE"""),5)</f>
        <v>5</v>
      </c>
      <c r="X417" s="13">
        <f ca="1">IFERROR(__xludf.DUMMYFUNCTION("""COMPUTED_VALUE"""),96.03)</f>
        <v>96.03</v>
      </c>
      <c r="Y417" s="5" t="str">
        <f ca="1">IFERROR(__xludf.DUMMYFUNCTION("""COMPUTED_VALUE"""),"Low")</f>
        <v>Low</v>
      </c>
      <c r="Z417" s="5">
        <f ca="1">IFERROR(__xludf.DUMMYFUNCTION("""COMPUTED_VALUE"""),8.98)</f>
        <v>8.98</v>
      </c>
      <c r="AA417" s="5">
        <f ca="1">IFERROR(__xludf.DUMMYFUNCTION("""COMPUTED_VALUE"""),145)</f>
        <v>145</v>
      </c>
      <c r="AB417" s="5"/>
      <c r="AC417" s="5" t="str">
        <f ca="1">IFERROR(__xludf.DUMMYFUNCTION("""COMPUTED_VALUE"""),"Win Multiplier")</f>
        <v>Win Multiplier</v>
      </c>
      <c r="AD417" s="5" t="str">
        <f ca="1">IFERROR(__xludf.DUMMYFUNCTION("""COMPUTED_VALUE"""),"0.10/50")</f>
        <v>0.10/50</v>
      </c>
      <c r="AE417" s="5"/>
      <c r="AF417" s="5"/>
      <c r="AG417" s="10">
        <f ca="1">IFERROR(__xludf.DUMMYFUNCTION("""COMPUTED_VALUE"""),46157.5263425925)</f>
        <v>46157.5263425925</v>
      </c>
      <c r="AH417" s="5"/>
      <c r="AI417" s="5"/>
      <c r="AJ417" s="5"/>
      <c r="AK417" s="5">
        <f ca="1">IFERROR(__xludf.DUMMYFUNCTION("""COMPUTED_VALUE"""),1)</f>
        <v>1</v>
      </c>
      <c r="AL417" s="5" t="str">
        <f ca="1">IFERROR(__xludf.DUMMYFUNCTION("""COMPUTED_VALUE"""),"No")</f>
        <v>No</v>
      </c>
      <c r="AM417" s="5" t="str">
        <f ca="1">IFERROR(__xludf.DUMMYFUNCTION("""COMPUTED_VALUE"""),"No")</f>
        <v>No</v>
      </c>
      <c r="AN417" s="7" t="str">
        <f ca="1">IFERROR(__xludf.DUMMYFUNCTION("""COMPUTED_VALUE"""),"https://static.redstone.rs/games/reel-x5/")</f>
        <v>https://static.redstone.rs/games/reel-x5/</v>
      </c>
      <c r="AO417" s="5" t="str">
        <f ca="1">IFERROR(__xludf.DUMMYFUNCTION("""COMPUTED_VALUE"""),"No")</f>
        <v>No</v>
      </c>
      <c r="AP417" s="5" t="str">
        <f ca="1">IFERROR(__xludf.DUMMYFUNCTION("""COMPUTED_VALUE"""),"No")</f>
        <v>No</v>
      </c>
      <c r="AQ417" s="5" t="b">
        <f ca="1">IFERROR(__xludf.DUMMYFUNCTION("""COMPUTED_VALUE"""),TRUE)</f>
        <v>1</v>
      </c>
      <c r="AR417" s="5"/>
      <c r="AS417" s="5" t="str">
        <f ca="1">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AT417" s="5"/>
      <c r="AU417" s="5" t="str">
        <f ca="1">IFERROR(__xludf.DUMMYFUNCTION("""COMPUTED_VALUE"""),"Redstone")</f>
        <v>Redstone</v>
      </c>
      <c r="AV417" s="5"/>
      <c r="AW417" s="5"/>
      <c r="AX417" s="5"/>
      <c r="AY417" s="5"/>
      <c r="AZ417" s="5"/>
      <c r="BA417" s="5"/>
      <c r="BB417" s="5" t="b">
        <f ca="1">IFERROR(__xludf.DUMMYFUNCTION("""COMPUTED_VALUE"""),TRUE)</f>
        <v>1</v>
      </c>
      <c r="BC417" s="5" t="str">
        <f ca="1">IFERROR(__xludf.DUMMYFUNCTION("""COMPUTED_VALUE"""),"Redstone")</f>
        <v>Redstone</v>
      </c>
      <c r="BD417" s="7" t="str">
        <f ca="1">IFERROR(__xludf.DUMMYFUNCTION("""COMPUTED_VALUE"""),"https://static.redstone.rs/games/reel-x5/")</f>
        <v>https://static.redstone.rs/games/reel-x5/</v>
      </c>
      <c r="BE417" s="5" t="b">
        <f ca="1">IFERROR(__xludf.DUMMYFUNCTION("""COMPUTED_VALUE"""),TRUE)</f>
        <v>1</v>
      </c>
    </row>
    <row r="418" spans="1:57" x14ac:dyDescent="0.25">
      <c r="A418" s="5">
        <f ca="1">IFERROR(__xludf.DUMMYFUNCTION("""COMPUTED_VALUE"""),430)</f>
        <v>430</v>
      </c>
      <c r="B418" s="5">
        <f ca="1">IFERROR(__xludf.DUMMYFUNCTION("""COMPUTED_VALUE"""),397)</f>
        <v>397</v>
      </c>
      <c r="C418" s="5" t="str">
        <f ca="1">IFERROR(__xludf.DUMMYFUNCTION("""COMPUTED_VALUE"""),"Tiptop")</f>
        <v>Tiptop</v>
      </c>
      <c r="D418" s="5" t="str">
        <f ca="1">IFERROR(__xludf.DUMMYFUNCTION("""COMPUTED_VALUE"""),"Fruit Island Gems")</f>
        <v>Fruit Island Gems</v>
      </c>
      <c r="E418" s="5" t="str">
        <f ca="1">IFERROR(__xludf.DUMMYFUNCTION("""COMPUTED_VALUE"""),"V4-2")</f>
        <v>V4-2</v>
      </c>
      <c r="F418" s="5" t="str">
        <f ca="1">IFERROR(__xludf.DUMMYFUNCTION("""COMPUTED_VALUE"""),"UnicornFruitIslandGems")</f>
        <v>UnicornFruitIslandGems</v>
      </c>
      <c r="G418" s="5" t="str">
        <f ca="1">IFERROR(__xludf.DUMMYFUNCTION("""COMPUTED_VALUE"""),"Live")</f>
        <v>Live</v>
      </c>
      <c r="H418" s="5"/>
      <c r="I418" s="5" t="str">
        <f ca="1">IFERROR(__xludf.DUMMYFUNCTION("""COMPUTED_VALUE"""),"TipTop")</f>
        <v>TipTop</v>
      </c>
      <c r="J418" s="5" t="str">
        <f ca="1">IFERROR(__xludf.DUMMYFUNCTION("""COMPUTED_VALUE"""),"JSON")</f>
        <v>JSON</v>
      </c>
      <c r="K418" s="5" t="str">
        <f ca="1">IFERROR(__xludf.DUMMYFUNCTION("""COMPUTED_VALUE"""),"Slot")</f>
        <v>Slot</v>
      </c>
      <c r="L418" s="5" t="str">
        <f ca="1">IFERROR(__xludf.DUMMYFUNCTION("""COMPUTED_VALUE""")," Clone")</f>
        <v xml:space="preserve"> Clone</v>
      </c>
      <c r="M418" s="5" t="str">
        <f ca="1">IFERROR(__xludf.DUMMYFUNCTION("""COMPUTED_VALUE"""),"Fruit Island")</f>
        <v>Fruit Island</v>
      </c>
      <c r="N418" s="5"/>
      <c r="O418" s="5"/>
      <c r="P418" s="14">
        <f ca="1">IFERROR(__xludf.DUMMYFUNCTION("""COMPUTED_VALUE"""),11.1)</f>
        <v>11.1</v>
      </c>
      <c r="Q418" s="5"/>
      <c r="R418" s="17">
        <f ca="1">IFERROR(__xludf.DUMMYFUNCTION("""COMPUTED_VALUE"""),45716)</f>
        <v>45716</v>
      </c>
      <c r="S418" s="15">
        <f ca="1">IFERROR(__xludf.DUMMYFUNCTION("""COMPUTED_VALUE"""),45722)</f>
        <v>45722</v>
      </c>
      <c r="T418" s="5" t="b">
        <f ca="1">IFERROR(__xludf.DUMMYFUNCTION("""COMPUTED_VALUE"""),TRUE)</f>
        <v>1</v>
      </c>
      <c r="U418" s="5" t="str">
        <f ca="1">IFERROR(__xludf.DUMMYFUNCTION("""COMPUTED_VALUE"""),"5x3")</f>
        <v>5x3</v>
      </c>
      <c r="V418" s="5">
        <f ca="1">IFERROR(__xludf.DUMMYFUNCTION("""COMPUTED_VALUE"""),5)</f>
        <v>5</v>
      </c>
      <c r="W418" s="5">
        <f ca="1">IFERROR(__xludf.DUMMYFUNCTION("""COMPUTED_VALUE"""),5)</f>
        <v>5</v>
      </c>
      <c r="X418" s="13">
        <f ca="1">IFERROR(__xludf.DUMMYFUNCTION("""COMPUTED_VALUE"""),96)</f>
        <v>96</v>
      </c>
      <c r="Y418" s="5" t="str">
        <f ca="1">IFERROR(__xludf.DUMMYFUNCTION("""COMPUTED_VALUE"""),"Low")</f>
        <v>Low</v>
      </c>
      <c r="Z418" s="5">
        <f ca="1">IFERROR(__xludf.DUMMYFUNCTION("""COMPUTED_VALUE"""),10.5)</f>
        <v>10.5</v>
      </c>
      <c r="AA418" s="5">
        <f ca="1">IFERROR(__xludf.DUMMYFUNCTION("""COMPUTED_VALUE"""),1000)</f>
        <v>1000</v>
      </c>
      <c r="AB418" s="5"/>
      <c r="AC418" s="5"/>
      <c r="AD418" s="5" t="str">
        <f ca="1">IFERROR(__xludf.DUMMYFUNCTION("""COMPUTED_VALUE"""),"0.05/100")</f>
        <v>0.05/100</v>
      </c>
      <c r="AE418" s="5"/>
      <c r="AF418" s="5"/>
      <c r="AG418" s="10">
        <f ca="1">IFERROR(__xludf.DUMMYFUNCTION("""COMPUTED_VALUE"""),46197.4937731481)</f>
        <v>46197.493773148097</v>
      </c>
      <c r="AH418" s="5" t="str">
        <f ca="1">IFERROR(__xludf.DUMMYFUNCTION("""COMPUTED_VALUE"""),"selena.mihajlovic@fazi.rs")</f>
        <v>selena.mihajlovic@fazi.rs</v>
      </c>
      <c r="AI418" s="5"/>
      <c r="AJ418" s="5"/>
      <c r="AK418" s="5">
        <f ca="1">IFERROR(__xludf.DUMMYFUNCTION("""COMPUTED_VALUE"""),5)</f>
        <v>5</v>
      </c>
      <c r="AL418" s="5" t="str">
        <f ca="1">IFERROR(__xludf.DUMMYFUNCTION("""COMPUTED_VALUE"""),"No")</f>
        <v>No</v>
      </c>
      <c r="AM418" s="5"/>
      <c r="AN418" s="7" t="str">
        <f ca="1">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AO418" s="5"/>
      <c r="AP418" s="5"/>
      <c r="AQ418" s="5" t="b">
        <f ca="1">IFERROR(__xludf.DUMMYFUNCTION("""COMPUTED_VALUE"""),TRUE)</f>
        <v>1</v>
      </c>
      <c r="AR418" s="5"/>
      <c r="AS418" s="5" t="str">
        <f ca="1">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AT418" s="5"/>
      <c r="AU418" s="5" t="str">
        <f ca="1">IFERROR(__xludf.DUMMYFUNCTION("""COMPUTED_VALUE"""),"Fazi")</f>
        <v>Fazi</v>
      </c>
      <c r="AV418" s="5"/>
      <c r="AW418" s="5"/>
      <c r="AX418" s="5"/>
      <c r="AY418" s="5"/>
      <c r="AZ418" s="5"/>
      <c r="BA418" s="5"/>
      <c r="BB418" s="5" t="b">
        <f ca="1">IFERROR(__xludf.DUMMYFUNCTION("""COMPUTED_VALUE"""),TRUE)</f>
        <v>1</v>
      </c>
      <c r="BC418" s="5" t="str">
        <f ca="1">IFERROR(__xludf.DUMMYFUNCTION("""COMPUTED_VALUE"""),"Tiptop")</f>
        <v>Tiptop</v>
      </c>
      <c r="BD418" s="7" t="str">
        <f ca="1">IFERROR(__xludf.DUMMYFUNCTION("""COMPUTED_VALUE"""),"https://gameserver-store-client-area.orbionlimited.com/Home/IntegrationGameLaunch/client-area?moneyType=0&amp;gameName=UnicornFruitIslandGems&amp;platform=desktop&amp;languageCode=eng&amp;currency=EUR")</f>
        <v>https://gameserver-store-client-area.orbionlimited.com/Home/IntegrationGameLaunch/client-area?moneyType=0&amp;gameName=UnicornFruitIslandGems&amp;platform=desktop&amp;languageCode=eng&amp;currency=EUR</v>
      </c>
      <c r="BE418" s="5" t="b">
        <f ca="1">IFERROR(__xludf.DUMMYFUNCTION("""COMPUTED_VALUE"""),TRUE)</f>
        <v>1</v>
      </c>
    </row>
    <row r="419" spans="1:57" x14ac:dyDescent="0.25">
      <c r="A419" s="5">
        <f ca="1">IFERROR(__xludf.DUMMYFUNCTION("""COMPUTED_VALUE"""),431)</f>
        <v>431</v>
      </c>
      <c r="B419" s="5">
        <f ca="1">IFERROR(__xludf.DUMMYFUNCTION("""COMPUTED_VALUE"""),398)</f>
        <v>398</v>
      </c>
      <c r="C419" s="5" t="str">
        <f ca="1">IFERROR(__xludf.DUMMYFUNCTION("""COMPUTED_VALUE"""),"Tiptop")</f>
        <v>Tiptop</v>
      </c>
      <c r="D419" s="5" t="str">
        <f ca="1">IFERROR(__xludf.DUMMYFUNCTION("""COMPUTED_VALUE"""),"Bunny Dice")</f>
        <v>Bunny Dice</v>
      </c>
      <c r="E419" s="5" t="str">
        <f ca="1">IFERROR(__xludf.DUMMYFUNCTION("""COMPUTED_VALUE"""),"V4-2")</f>
        <v>V4-2</v>
      </c>
      <c r="F419" s="5" t="str">
        <f ca="1">IFERROR(__xludf.DUMMYFUNCTION("""COMPUTED_VALUE"""),"UnicornBunnyDice")</f>
        <v>UnicornBunnyDice</v>
      </c>
      <c r="G419" s="5" t="str">
        <f ca="1">IFERROR(__xludf.DUMMYFUNCTION("""COMPUTED_VALUE"""),"Live")</f>
        <v>Live</v>
      </c>
      <c r="H419" s="5"/>
      <c r="I419" s="5" t="str">
        <f ca="1">IFERROR(__xludf.DUMMYFUNCTION("""COMPUTED_VALUE"""),"TipTop")</f>
        <v>TipTop</v>
      </c>
      <c r="J419" s="5" t="str">
        <f ca="1">IFERROR(__xludf.DUMMYFUNCTION("""COMPUTED_VALUE"""),"JSON")</f>
        <v>JSON</v>
      </c>
      <c r="K419" s="5" t="str">
        <f ca="1">IFERROR(__xludf.DUMMYFUNCTION("""COMPUTED_VALUE"""),"Dice Slots")</f>
        <v>Dice Slots</v>
      </c>
      <c r="L419" s="5" t="str">
        <f ca="1">IFERROR(__xludf.DUMMYFUNCTION("""COMPUTED_VALUE""")," Clone")</f>
        <v xml:space="preserve"> Clone</v>
      </c>
      <c r="M419" s="5" t="str">
        <f ca="1">IFERROR(__xludf.DUMMYFUNCTION("""COMPUTED_VALUE"""),"Lava Diamonds")</f>
        <v>Lava Diamonds</v>
      </c>
      <c r="N419" s="5"/>
      <c r="O419" s="5"/>
      <c r="P419" s="14">
        <f ca="1">IFERROR(__xludf.DUMMYFUNCTION("""COMPUTED_VALUE"""),12.2)</f>
        <v>12.2</v>
      </c>
      <c r="Q419" s="5"/>
      <c r="R419" s="17">
        <f ca="1">IFERROR(__xludf.DUMMYFUNCTION("""COMPUTED_VALUE"""),45722)</f>
        <v>45722</v>
      </c>
      <c r="S419" s="15">
        <f ca="1">IFERROR(__xludf.DUMMYFUNCTION("""COMPUTED_VALUE"""),45729)</f>
        <v>45729</v>
      </c>
      <c r="T419" s="5" t="b">
        <f ca="1">IFERROR(__xludf.DUMMYFUNCTION("""COMPUTED_VALUE"""),TRUE)</f>
        <v>1</v>
      </c>
      <c r="U419" s="5" t="str">
        <f ca="1">IFERROR(__xludf.DUMMYFUNCTION("""COMPUTED_VALUE"""),"5x3")</f>
        <v>5x3</v>
      </c>
      <c r="V419" s="5">
        <f ca="1">IFERROR(__xludf.DUMMYFUNCTION("""COMPUTED_VALUE"""),10)</f>
        <v>10</v>
      </c>
      <c r="W419" s="5">
        <f ca="1">IFERROR(__xludf.DUMMYFUNCTION("""COMPUTED_VALUE"""),10)</f>
        <v>10</v>
      </c>
      <c r="X419" s="13">
        <f ca="1">IFERROR(__xludf.DUMMYFUNCTION("""COMPUTED_VALUE"""),96)</f>
        <v>96</v>
      </c>
      <c r="Y419" s="5" t="str">
        <f ca="1">IFERROR(__xludf.DUMMYFUNCTION("""COMPUTED_VALUE"""),"Low")</f>
        <v>Low</v>
      </c>
      <c r="Z419" s="5">
        <f ca="1">IFERROR(__xludf.DUMMYFUNCTION("""COMPUTED_VALUE"""),24.14)</f>
        <v>24.14</v>
      </c>
      <c r="AA419" s="5">
        <f ca="1">IFERROR(__xludf.DUMMYFUNCTION("""COMPUTED_VALUE"""),10000)</f>
        <v>10000</v>
      </c>
      <c r="AB419" s="5"/>
      <c r="AC419" s="5"/>
      <c r="AD419" s="5" t="str">
        <f ca="1">IFERROR(__xludf.DUMMYFUNCTION("""COMPUTED_VALUE"""),"0.1/100")</f>
        <v>0.1/100</v>
      </c>
      <c r="AE419" s="5"/>
      <c r="AF419" s="5"/>
      <c r="AG419" s="10">
        <f ca="1">IFERROR(__xludf.DUMMYFUNCTION("""COMPUTED_VALUE"""),46197.4958101851)</f>
        <v>46197.495810185101</v>
      </c>
      <c r="AH419" s="5" t="str">
        <f ca="1">IFERROR(__xludf.DUMMYFUNCTION("""COMPUTED_VALUE"""),"selena.mihajlovic@fazi.rs")</f>
        <v>selena.mihajlovic@fazi.rs</v>
      </c>
      <c r="AI419" s="5"/>
      <c r="AJ419" s="5"/>
      <c r="AK419" s="5">
        <f ca="1">IFERROR(__xludf.DUMMYFUNCTION("""COMPUTED_VALUE"""),10)</f>
        <v>10</v>
      </c>
      <c r="AL419" s="5" t="str">
        <f ca="1">IFERROR(__xludf.DUMMYFUNCTION("""COMPUTED_VALUE"""),"No")</f>
        <v>No</v>
      </c>
      <c r="AM419" s="5"/>
      <c r="AN419" s="7" t="str">
        <f ca="1">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AO419" s="5"/>
      <c r="AP419" s="5"/>
      <c r="AQ419" s="5" t="b">
        <f ca="1">IFERROR(__xludf.DUMMYFUNCTION("""COMPUTED_VALUE"""),TRUE)</f>
        <v>1</v>
      </c>
      <c r="AR419" s="5"/>
      <c r="AS419" s="5" t="str">
        <f ca="1">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AT419" s="5"/>
      <c r="AU419" s="5" t="str">
        <f ca="1">IFERROR(__xludf.DUMMYFUNCTION("""COMPUTED_VALUE"""),"Fazi")</f>
        <v>Fazi</v>
      </c>
      <c r="AV419" s="5"/>
      <c r="AW419" s="5"/>
      <c r="AX419" s="5"/>
      <c r="AY419" s="5"/>
      <c r="AZ419" s="5"/>
      <c r="BA419" s="5"/>
      <c r="BB419" s="5" t="b">
        <f ca="1">IFERROR(__xludf.DUMMYFUNCTION("""COMPUTED_VALUE"""),TRUE)</f>
        <v>1</v>
      </c>
      <c r="BC419" s="5" t="str">
        <f ca="1">IFERROR(__xludf.DUMMYFUNCTION("""COMPUTED_VALUE"""),"Tiptop")</f>
        <v>Tiptop</v>
      </c>
      <c r="BD419" s="7" t="str">
        <f ca="1">IFERROR(__xludf.DUMMYFUNCTION("""COMPUTED_VALUE"""),"https://gameserver-store-client-area.orbionlimited.com/Home/IntegrationGameLaunch/client-area?moneyType=0&amp;gameName=UnicornBunnyDice&amp;platform=desktop&amp;languageCode=eng&amp;currency=EUR")</f>
        <v>https://gameserver-store-client-area.orbionlimited.com/Home/IntegrationGameLaunch/client-area?moneyType=0&amp;gameName=UnicornBunnyDice&amp;platform=desktop&amp;languageCode=eng&amp;currency=EUR</v>
      </c>
      <c r="BE419" s="5" t="b">
        <f ca="1">IFERROR(__xludf.DUMMYFUNCTION("""COMPUTED_VALUE"""),TRUE)</f>
        <v>1</v>
      </c>
    </row>
    <row r="420" spans="1:57" x14ac:dyDescent="0.25">
      <c r="A420" s="5">
        <f ca="1">IFERROR(__xludf.DUMMYFUNCTION("""COMPUTED_VALUE"""),432)</f>
        <v>432</v>
      </c>
      <c r="B420" s="5">
        <f ca="1">IFERROR(__xludf.DUMMYFUNCTION("""COMPUTED_VALUE"""),180009)</f>
        <v>180009</v>
      </c>
      <c r="C420" s="5" t="str">
        <f ca="1">IFERROR(__xludf.DUMMYFUNCTION("""COMPUTED_VALUE"""),"Redstone")</f>
        <v>Redstone</v>
      </c>
      <c r="D420" s="5" t="str">
        <f ca="1">IFERROR(__xludf.DUMMYFUNCTION("""COMPUTED_VALUE"""),"Farm Fiesta")</f>
        <v>Farm Fiesta</v>
      </c>
      <c r="E420" s="5" t="str">
        <f ca="1">IFERROR(__xludf.DUMMYFUNCTION("""COMPUTED_VALUE"""),"Redstone")</f>
        <v>Redstone</v>
      </c>
      <c r="F420" s="5" t="str">
        <f ca="1">IFERROR(__xludf.DUMMYFUNCTION("""COMPUTED_VALUE"""),"RedstoneFarmFiesta")</f>
        <v>RedstoneFarmFiesta</v>
      </c>
      <c r="G420" s="5" t="str">
        <f ca="1">IFERROR(__xludf.DUMMYFUNCTION("""COMPUTED_VALUE"""),"Live")</f>
        <v>Live</v>
      </c>
      <c r="H420" s="5"/>
      <c r="I420" s="5" t="str">
        <f ca="1">IFERROR(__xludf.DUMMYFUNCTION("""COMPUTED_VALUE"""),"Redstone")</f>
        <v>Redstone</v>
      </c>
      <c r="J420" s="5" t="str">
        <f ca="1">IFERROR(__xludf.DUMMYFUNCTION("""COMPUTED_VALUE"""),"JSON")</f>
        <v>JSON</v>
      </c>
      <c r="K420" s="5" t="str">
        <f ca="1">IFERROR(__xludf.DUMMYFUNCTION("""COMPUTED_VALUE"""),"Slot")</f>
        <v>Slot</v>
      </c>
      <c r="L420" s="5" t="str">
        <f ca="1">IFERROR(__xludf.DUMMYFUNCTION("""COMPUTED_VALUE"""),"Master")</f>
        <v>Master</v>
      </c>
      <c r="M420" s="5"/>
      <c r="N420" s="7" t="str">
        <f ca="1">IFERROR(__xludf.DUMMYFUNCTION("""COMPUTED_VALUE"""),"https://docs.google.com/document/d/1DdYXTKFFkRj34SDHVCAwvpT3sxtvhBr0/edit?usp=drive_link&amp;ouid=107596163405648766688&amp;rtpof=true&amp;sd=true")</f>
        <v>https://docs.google.com/document/d/1DdYXTKFFkRj34SDHVCAwvpT3sxtvhBr0/edit?usp=drive_link&amp;ouid=107596163405648766688&amp;rtpof=true&amp;sd=true</v>
      </c>
      <c r="O420" s="7" t="str">
        <f ca="1">IFERROR(__xludf.DUMMYFUNCTION("""COMPUTED_VALUE"""),"https://docs.google.com/document/d/1iWTO0Oacvjv2ikz7_9v_gkTjRfs47CM6/edit?usp=drive_link&amp;ouid=107596163405648766688&amp;rtpof=true&amp;sd=true")</f>
        <v>https://docs.google.com/document/d/1iWTO0Oacvjv2ikz7_9v_gkTjRfs47CM6/edit?usp=drive_link&amp;ouid=107596163405648766688&amp;rtpof=true&amp;sd=true</v>
      </c>
      <c r="P420" s="14">
        <f ca="1">IFERROR(__xludf.DUMMYFUNCTION("""COMPUTED_VALUE"""),13)</f>
        <v>13</v>
      </c>
      <c r="Q420" s="5"/>
      <c r="R420" s="17">
        <f ca="1">IFERROR(__xludf.DUMMYFUNCTION("""COMPUTED_VALUE"""),45720)</f>
        <v>45720</v>
      </c>
      <c r="S420" s="15">
        <f ca="1">IFERROR(__xludf.DUMMYFUNCTION("""COMPUTED_VALUE"""),45727)</f>
        <v>45727</v>
      </c>
      <c r="T420" s="5" t="b">
        <f ca="1">IFERROR(__xludf.DUMMYFUNCTION("""COMPUTED_VALUE"""),TRUE)</f>
        <v>1</v>
      </c>
      <c r="U420" s="5" t="str">
        <f ca="1">IFERROR(__xludf.DUMMYFUNCTION("""COMPUTED_VALUE"""),"5x3")</f>
        <v>5x3</v>
      </c>
      <c r="V420" s="5">
        <f ca="1">IFERROR(__xludf.DUMMYFUNCTION("""COMPUTED_VALUE"""),20)</f>
        <v>20</v>
      </c>
      <c r="W420" s="5">
        <f ca="1">IFERROR(__xludf.DUMMYFUNCTION("""COMPUTED_VALUE"""),20)</f>
        <v>20</v>
      </c>
      <c r="X420" s="13">
        <f ca="1">IFERROR(__xludf.DUMMYFUNCTION("""COMPUTED_VALUE"""),96)</f>
        <v>96</v>
      </c>
      <c r="Y420" s="5" t="str">
        <f ca="1">IFERROR(__xludf.DUMMYFUNCTION("""COMPUTED_VALUE"""),"Medium")</f>
        <v>Medium</v>
      </c>
      <c r="Z420" s="5">
        <f ca="1">IFERROR(__xludf.DUMMYFUNCTION("""COMPUTED_VALUE"""),30)</f>
        <v>30</v>
      </c>
      <c r="AA420" s="5">
        <f ca="1">IFERROR(__xludf.DUMMYFUNCTION("""COMPUTED_VALUE"""),2000)</f>
        <v>2000</v>
      </c>
      <c r="AB420" s="5"/>
      <c r="AC420" s="5" t="str">
        <f ca="1">IFERROR(__xludf.DUMMYFUNCTION("""COMPUTED_VALUE"""),"Scatter, Wild Symbol, Bonus Game with Free Spins, Bonus Game with Sticky Wild")</f>
        <v>Scatter, Wild Symbol, Bonus Game with Free Spins, Bonus Game with Sticky Wild</v>
      </c>
      <c r="AD420" s="5" t="str">
        <f ca="1">IFERROR(__xludf.DUMMYFUNCTION("""COMPUTED_VALUE"""),"0.10/50")</f>
        <v>0.10/50</v>
      </c>
      <c r="AE420" s="5"/>
      <c r="AF420" s="5"/>
      <c r="AG420" s="10">
        <f ca="1">IFERROR(__xludf.DUMMYFUNCTION("""COMPUTED_VALUE"""),46157.5279861111)</f>
        <v>46157.527986111098</v>
      </c>
      <c r="AH420" s="5"/>
      <c r="AI420" s="5"/>
      <c r="AJ420" s="5"/>
      <c r="AK420" s="5"/>
      <c r="AL420" s="5" t="str">
        <f ca="1">IFERROR(__xludf.DUMMYFUNCTION("""COMPUTED_VALUE"""),"No")</f>
        <v>No</v>
      </c>
      <c r="AM420" s="5" t="str">
        <f ca="1">IFERROR(__xludf.DUMMYFUNCTION("""COMPUTED_VALUE"""),"No")</f>
        <v>No</v>
      </c>
      <c r="AN420" s="7" t="str">
        <f ca="1">IFERROR(__xludf.DUMMYFUNCTION("""COMPUTED_VALUE"""),"https://static.redstone.rs/games/farm-fiesta/")</f>
        <v>https://static.redstone.rs/games/farm-fiesta/</v>
      </c>
      <c r="AO420" s="5" t="str">
        <f ca="1">IFERROR(__xludf.DUMMYFUNCTION("""COMPUTED_VALUE"""),"No")</f>
        <v>No</v>
      </c>
      <c r="AP420" s="5" t="str">
        <f ca="1">IFERROR(__xludf.DUMMYFUNCTION("""COMPUTED_VALUE"""),"No")</f>
        <v>No</v>
      </c>
      <c r="AQ420" s="5" t="b">
        <f ca="1">IFERROR(__xludf.DUMMYFUNCTION("""COMPUTED_VALUE"""),TRUE)</f>
        <v>1</v>
      </c>
      <c r="AR420" s="5"/>
      <c r="AS420" s="5" t="str">
        <f ca="1">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AT420" s="5"/>
      <c r="AU420" s="5" t="str">
        <f ca="1">IFERROR(__xludf.DUMMYFUNCTION("""COMPUTED_VALUE"""),"Redstone")</f>
        <v>Redstone</v>
      </c>
      <c r="AV420" s="5"/>
      <c r="AW420" s="5"/>
      <c r="AX420" s="5"/>
      <c r="AY420" s="5"/>
      <c r="AZ420" s="5"/>
      <c r="BA420" s="5"/>
      <c r="BB420" s="5" t="b">
        <f ca="1">IFERROR(__xludf.DUMMYFUNCTION("""COMPUTED_VALUE"""),TRUE)</f>
        <v>1</v>
      </c>
      <c r="BC420" s="5" t="str">
        <f ca="1">IFERROR(__xludf.DUMMYFUNCTION("""COMPUTED_VALUE"""),"Redstone")</f>
        <v>Redstone</v>
      </c>
      <c r="BD420" s="7" t="str">
        <f ca="1">IFERROR(__xludf.DUMMYFUNCTION("""COMPUTED_VALUE"""),"https://static.redstone.rs/games/farm-fiesta/")</f>
        <v>https://static.redstone.rs/games/farm-fiesta/</v>
      </c>
      <c r="BE420" s="5" t="b">
        <f ca="1">IFERROR(__xludf.DUMMYFUNCTION("""COMPUTED_VALUE"""),TRUE)</f>
        <v>1</v>
      </c>
    </row>
    <row r="421" spans="1:57" x14ac:dyDescent="0.25">
      <c r="A421" s="5">
        <f ca="1">IFERROR(__xludf.DUMMYFUNCTION("""COMPUTED_VALUE"""),433)</f>
        <v>433</v>
      </c>
      <c r="B421" s="5">
        <f ca="1">IFERROR(__xludf.DUMMYFUNCTION("""COMPUTED_VALUE"""),180010)</f>
        <v>180010</v>
      </c>
      <c r="C421" s="5" t="str">
        <f ca="1">IFERROR(__xludf.DUMMYFUNCTION("""COMPUTED_VALUE"""),"Redstone")</f>
        <v>Redstone</v>
      </c>
      <c r="D421" s="5" t="str">
        <f ca="1">IFERROR(__xludf.DUMMYFUNCTION("""COMPUTED_VALUE"""),"Sweet Respins")</f>
        <v>Sweet Respins</v>
      </c>
      <c r="E421" s="5" t="str">
        <f ca="1">IFERROR(__xludf.DUMMYFUNCTION("""COMPUTED_VALUE"""),"Redstone")</f>
        <v>Redstone</v>
      </c>
      <c r="F421" s="5" t="str">
        <f ca="1">IFERROR(__xludf.DUMMYFUNCTION("""COMPUTED_VALUE"""),"RedstoneSweetRespins")</f>
        <v>RedstoneSweetRespins</v>
      </c>
      <c r="G421" s="5" t="str">
        <f ca="1">IFERROR(__xludf.DUMMYFUNCTION("""COMPUTED_VALUE"""),"Live")</f>
        <v>Live</v>
      </c>
      <c r="H421" s="5"/>
      <c r="I421" s="5" t="str">
        <f ca="1">IFERROR(__xludf.DUMMYFUNCTION("""COMPUTED_VALUE"""),"Redstone")</f>
        <v>Redstone</v>
      </c>
      <c r="J421" s="5" t="str">
        <f ca="1">IFERROR(__xludf.DUMMYFUNCTION("""COMPUTED_VALUE"""),"JSON")</f>
        <v>JSON</v>
      </c>
      <c r="K421" s="5" t="str">
        <f ca="1">IFERROR(__xludf.DUMMYFUNCTION("""COMPUTED_VALUE"""),"Slot")</f>
        <v>Slot</v>
      </c>
      <c r="L421" s="5" t="str">
        <f ca="1">IFERROR(__xludf.DUMMYFUNCTION("""COMPUTED_VALUE"""),"Master")</f>
        <v>Master</v>
      </c>
      <c r="M421" s="5"/>
      <c r="N421" s="7" t="str">
        <f ca="1">IFERROR(__xludf.DUMMYFUNCTION("""COMPUTED_VALUE"""),"https://drive.google.com/file/d/1NBpzN0MPuuw6DJLjEkH_qHfLuxDx6OcM/view?usp=drive_link")</f>
        <v>https://drive.google.com/file/d/1NBpzN0MPuuw6DJLjEkH_qHfLuxDx6OcM/view?usp=drive_link</v>
      </c>
      <c r="O421" s="7" t="str">
        <f ca="1">IFERROR(__xludf.DUMMYFUNCTION("""COMPUTED_VALUE"""),"https://drive.google.com/file/d/1IS1lcx8cIUZ1FAcAGfjHbVWaBX3qs_tT/view?usp=drive_link")</f>
        <v>https://drive.google.com/file/d/1IS1lcx8cIUZ1FAcAGfjHbVWaBX3qs_tT/view?usp=drive_link</v>
      </c>
      <c r="P421" s="14">
        <f ca="1">IFERROR(__xludf.DUMMYFUNCTION("""COMPUTED_VALUE"""),10.5)</f>
        <v>10.5</v>
      </c>
      <c r="Q421" s="5"/>
      <c r="R421" s="17">
        <f ca="1">IFERROR(__xludf.DUMMYFUNCTION("""COMPUTED_VALUE"""),45727)</f>
        <v>45727</v>
      </c>
      <c r="S421" s="15">
        <f ca="1">IFERROR(__xludf.DUMMYFUNCTION("""COMPUTED_VALUE"""),45734)</f>
        <v>45734</v>
      </c>
      <c r="T421" s="5" t="b">
        <f ca="1">IFERROR(__xludf.DUMMYFUNCTION("""COMPUTED_VALUE"""),TRUE)</f>
        <v>1</v>
      </c>
      <c r="U421" s="5" t="str">
        <f ca="1">IFERROR(__xludf.DUMMYFUNCTION("""COMPUTED_VALUE"""),"5x3")</f>
        <v>5x3</v>
      </c>
      <c r="V421" s="5">
        <f ca="1">IFERROR(__xludf.DUMMYFUNCTION("""COMPUTED_VALUE"""),10)</f>
        <v>10</v>
      </c>
      <c r="W421" s="5">
        <f ca="1">IFERROR(__xludf.DUMMYFUNCTION("""COMPUTED_VALUE"""),10)</f>
        <v>10</v>
      </c>
      <c r="X421" s="13">
        <f ca="1">IFERROR(__xludf.DUMMYFUNCTION("""COMPUTED_VALUE"""),96.05)</f>
        <v>96.05</v>
      </c>
      <c r="Y421" s="5" t="str">
        <f ca="1">IFERROR(__xludf.DUMMYFUNCTION("""COMPUTED_VALUE"""),"High")</f>
        <v>High</v>
      </c>
      <c r="Z421" s="5">
        <f ca="1">IFERROR(__xludf.DUMMYFUNCTION("""COMPUTED_VALUE"""),19.5)</f>
        <v>19.5</v>
      </c>
      <c r="AA421" s="5">
        <f ca="1">IFERROR(__xludf.DUMMYFUNCTION("""COMPUTED_VALUE"""),10000)</f>
        <v>10000</v>
      </c>
      <c r="AB421" s="5"/>
      <c r="AC421" s="5" t="str">
        <f ca="1">IFERROR(__xludf.DUMMYFUNCTION("""COMPUTED_VALUE"""),"Expanding Wild, Sticky Wild, Respin, Bothways, Scatter")</f>
        <v>Expanding Wild, Sticky Wild, Respin, Bothways, Scatter</v>
      </c>
      <c r="AD421" s="5" t="str">
        <f ca="1">IFERROR(__xludf.DUMMYFUNCTION("""COMPUTED_VALUE"""),"0.10/50")</f>
        <v>0.10/50</v>
      </c>
      <c r="AE421" s="5"/>
      <c r="AF421" s="5"/>
      <c r="AG421" s="10">
        <f ca="1">IFERROR(__xludf.DUMMYFUNCTION("""COMPUTED_VALUE"""),46157.5277314814)</f>
        <v>46157.527731481401</v>
      </c>
      <c r="AH421" s="5"/>
      <c r="AI421" s="5"/>
      <c r="AJ421" s="5"/>
      <c r="AK421" s="5">
        <f ca="1">IFERROR(__xludf.DUMMYFUNCTION("""COMPUTED_VALUE"""),1)</f>
        <v>1</v>
      </c>
      <c r="AL421" s="5" t="str">
        <f ca="1">IFERROR(__xludf.DUMMYFUNCTION("""COMPUTED_VALUE"""),"No")</f>
        <v>No</v>
      </c>
      <c r="AM421" s="5" t="str">
        <f ca="1">IFERROR(__xludf.DUMMYFUNCTION("""COMPUTED_VALUE"""),"Yes")</f>
        <v>Yes</v>
      </c>
      <c r="AN421" s="7" t="str">
        <f ca="1">IFERROR(__xludf.DUMMYFUNCTION("""COMPUTED_VALUE"""),"https://static.redstone.rs/games/sweet-respins/")</f>
        <v>https://static.redstone.rs/games/sweet-respins/</v>
      </c>
      <c r="AO421" s="5" t="str">
        <f ca="1">IFERROR(__xludf.DUMMYFUNCTION("""COMPUTED_VALUE"""),"No")</f>
        <v>No</v>
      </c>
      <c r="AP421" s="5" t="str">
        <f ca="1">IFERROR(__xludf.DUMMYFUNCTION("""COMPUTED_VALUE"""),"No")</f>
        <v>No</v>
      </c>
      <c r="AQ421" s="5" t="b">
        <f ca="1">IFERROR(__xludf.DUMMYFUNCTION("""COMPUTED_VALUE"""),TRUE)</f>
        <v>1</v>
      </c>
      <c r="AR421" s="5"/>
      <c r="AS421" s="5" t="str">
        <f ca="1">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AT421" s="5"/>
      <c r="AU421" s="5" t="str">
        <f ca="1">IFERROR(__xludf.DUMMYFUNCTION("""COMPUTED_VALUE"""),"Redstone")</f>
        <v>Redstone</v>
      </c>
      <c r="AV421" s="5"/>
      <c r="AW421" s="5"/>
      <c r="AX421" s="5"/>
      <c r="AY421" s="5"/>
      <c r="AZ421" s="5"/>
      <c r="BA421" s="5"/>
      <c r="BB421" s="5" t="b">
        <f ca="1">IFERROR(__xludf.DUMMYFUNCTION("""COMPUTED_VALUE"""),TRUE)</f>
        <v>1</v>
      </c>
      <c r="BC421" s="5" t="str">
        <f ca="1">IFERROR(__xludf.DUMMYFUNCTION("""COMPUTED_VALUE"""),"Redstone")</f>
        <v>Redstone</v>
      </c>
      <c r="BD421" s="7" t="str">
        <f ca="1">IFERROR(__xludf.DUMMYFUNCTION("""COMPUTED_VALUE"""),"https://static.redstone.rs/games/sweet-respins/")</f>
        <v>https://static.redstone.rs/games/sweet-respins/</v>
      </c>
      <c r="BE421" s="5" t="b">
        <f ca="1">IFERROR(__xludf.DUMMYFUNCTION("""COMPUTED_VALUE"""),TRUE)</f>
        <v>1</v>
      </c>
    </row>
    <row r="422" spans="1:57" x14ac:dyDescent="0.25">
      <c r="A422" s="5">
        <f ca="1">IFERROR(__xludf.DUMMYFUNCTION("""COMPUTED_VALUE"""),434)</f>
        <v>434</v>
      </c>
      <c r="B422" s="5">
        <f ca="1">IFERROR(__xludf.DUMMYFUNCTION("""COMPUTED_VALUE"""),999977)</f>
        <v>999977</v>
      </c>
      <c r="C422" s="5" t="str">
        <f ca="1">IFERROR(__xludf.DUMMYFUNCTION("""COMPUTED_VALUE"""),"Tiptop")</f>
        <v>Tiptop</v>
      </c>
      <c r="D422" s="5" t="str">
        <f ca="1">IFERROR(__xludf.DUMMYFUNCTION("""COMPUTED_VALUE"""),"Top Prize Wilds")</f>
        <v>Top Prize Wilds</v>
      </c>
      <c r="E422" s="5" t="str">
        <f ca="1">IFERROR(__xludf.DUMMYFUNCTION("""COMPUTED_VALUE"""),"V4-2")</f>
        <v>V4-2</v>
      </c>
      <c r="F422" s="5" t="str">
        <f ca="1">IFERROR(__xludf.DUMMYFUNCTION("""COMPUTED_VALUE"""),"TBD-T1")</f>
        <v>TBD-T1</v>
      </c>
      <c r="G422" s="5" t="str">
        <f ca="1">IFERROR(__xludf.DUMMYFUNCTION("""COMPUTED_VALUE"""),"Planned")</f>
        <v>Planned</v>
      </c>
      <c r="H422" s="5"/>
      <c r="I422" s="5" t="str">
        <f ca="1">IFERROR(__xludf.DUMMYFUNCTION("""COMPUTED_VALUE"""),"TipTop")</f>
        <v>TipTop</v>
      </c>
      <c r="J422" s="5" t="str">
        <f ca="1">IFERROR(__xludf.DUMMYFUNCTION("""COMPUTED_VALUE"""),"JSON")</f>
        <v>JSON</v>
      </c>
      <c r="K422" s="5" t="str">
        <f ca="1">IFERROR(__xludf.DUMMYFUNCTION("""COMPUTED_VALUE"""),"Slot")</f>
        <v>Slot</v>
      </c>
      <c r="L422" s="5" t="str">
        <f ca="1">IFERROR(__xludf.DUMMYFUNCTION("""COMPUTED_VALUE"""),"Master")</f>
        <v>Master</v>
      </c>
      <c r="M422" s="5"/>
      <c r="N422" s="5"/>
      <c r="O422" s="5"/>
      <c r="P422" s="5"/>
      <c r="Q422" s="5"/>
      <c r="R422" s="5"/>
      <c r="S422" s="5"/>
      <c r="T422" s="5"/>
      <c r="U422" s="5"/>
      <c r="V422" s="5"/>
      <c r="W422" s="5"/>
      <c r="X422" s="5"/>
      <c r="Y422" s="5"/>
      <c r="Z422" s="5"/>
      <c r="AA422" s="5"/>
      <c r="AB422" s="5"/>
      <c r="AC422" s="5"/>
      <c r="AD422" s="5"/>
      <c r="AE422" s="5"/>
      <c r="AF422" s="5"/>
      <c r="AG422" s="10">
        <f ca="1">IFERROR(__xludf.DUMMYFUNCTION("""COMPUTED_VALUE"""),45726.6755092592)</f>
        <v>45726.675509259199</v>
      </c>
      <c r="AH422" s="5" t="str">
        <f ca="1">IFERROR(__xludf.DUMMYFUNCTION("""COMPUTED_VALUE"""),"danica.stojanovic@fazi.rs")</f>
        <v>danica.stojanovic@fazi.rs</v>
      </c>
      <c r="AI422" s="5"/>
      <c r="AJ422" s="5"/>
      <c r="AK422" s="5">
        <f ca="1">IFERROR(__xludf.DUMMYFUNCTION("""COMPUTED_VALUE"""),10)</f>
        <v>10</v>
      </c>
      <c r="AL422" s="5"/>
      <c r="AM422" s="5"/>
      <c r="AN422" s="5"/>
      <c r="AO422" s="5"/>
      <c r="AP422" s="5"/>
      <c r="AQ422" s="5"/>
      <c r="AR422" s="5"/>
      <c r="AS422" s="5"/>
      <c r="AT422" s="5"/>
      <c r="AU422" s="5" t="str">
        <f ca="1">IFERROR(__xludf.DUMMYFUNCTION("""COMPUTED_VALUE"""),"Fazi")</f>
        <v>Fazi</v>
      </c>
      <c r="AV422" s="5"/>
      <c r="AW422" s="5"/>
      <c r="AX422" s="5"/>
      <c r="AY422" s="5"/>
      <c r="AZ422" s="5"/>
      <c r="BA422" s="5" t="str">
        <f ca="1">IFERROR(__xludf.DUMMYFUNCTION("""COMPUTED_VALUE"""),"")</f>
        <v/>
      </c>
      <c r="BB422" s="5"/>
      <c r="BC422" s="5" t="str">
        <f ca="1">IFERROR(__xludf.DUMMYFUNCTION("""COMPUTED_VALUE"""),"Tiptop")</f>
        <v>Tiptop</v>
      </c>
      <c r="BD422" s="5"/>
      <c r="BE422" s="5"/>
    </row>
    <row r="423" spans="1:57" x14ac:dyDescent="0.25">
      <c r="A423" s="5">
        <f ca="1">IFERROR(__xludf.DUMMYFUNCTION("""COMPUTED_VALUE"""),435)</f>
        <v>435</v>
      </c>
      <c r="B423" s="5">
        <f ca="1">IFERROR(__xludf.DUMMYFUNCTION("""COMPUTED_VALUE"""),375)</f>
        <v>375</v>
      </c>
      <c r="C423" s="5" t="str">
        <f ca="1">IFERROR(__xludf.DUMMYFUNCTION("""COMPUTED_VALUE"""),"Tiptop")</f>
        <v>Tiptop</v>
      </c>
      <c r="D423" s="5" t="str">
        <f ca="1">IFERROR(__xludf.DUMMYFUNCTION("""COMPUTED_VALUE"""),"Savana Fruits")</f>
        <v>Savana Fruits</v>
      </c>
      <c r="E423" s="5" t="str">
        <f ca="1">IFERROR(__xludf.DUMMYFUNCTION("""COMPUTED_VALUE"""),"V4-2")</f>
        <v>V4-2</v>
      </c>
      <c r="F423" s="5" t="str">
        <f ca="1">IFERROR(__xludf.DUMMYFUNCTION("""COMPUTED_VALUE"""),"UnicornSavanaFruits")</f>
        <v>UnicornSavanaFruits</v>
      </c>
      <c r="G423" s="5" t="str">
        <f ca="1">IFERROR(__xludf.DUMMYFUNCTION("""COMPUTED_VALUE"""),"Live")</f>
        <v>Live</v>
      </c>
      <c r="H423" s="5"/>
      <c r="I423" s="5" t="str">
        <f ca="1">IFERROR(__xludf.DUMMYFUNCTION("""COMPUTED_VALUE"""),"TipTop")</f>
        <v>TipTop</v>
      </c>
      <c r="J423" s="5" t="str">
        <f ca="1">IFERROR(__xludf.DUMMYFUNCTION("""COMPUTED_VALUE"""),"JSON")</f>
        <v>JSON</v>
      </c>
      <c r="K423" s="5" t="str">
        <f ca="1">IFERROR(__xludf.DUMMYFUNCTION("""COMPUTED_VALUE"""),"Slot")</f>
        <v>Slot</v>
      </c>
      <c r="L423" s="5" t="str">
        <f ca="1">IFERROR(__xludf.DUMMYFUNCTION("""COMPUTED_VALUE""")," Clone")</f>
        <v xml:space="preserve"> Clone</v>
      </c>
      <c r="M423" s="5" t="str">
        <f ca="1">IFERROR(__xludf.DUMMYFUNCTION("""COMPUTED_VALUE"""),"Coyote Sevens")</f>
        <v>Coyote Sevens</v>
      </c>
      <c r="N423" s="5"/>
      <c r="O423" s="5"/>
      <c r="P423" s="14">
        <f ca="1">IFERROR(__xludf.DUMMYFUNCTION("""COMPUTED_VALUE"""),10.9)</f>
        <v>10.9</v>
      </c>
      <c r="Q423" s="5"/>
      <c r="R423" s="17">
        <f ca="1">IFERROR(__xludf.DUMMYFUNCTION("""COMPUTED_VALUE"""),45735)</f>
        <v>45735</v>
      </c>
      <c r="S423" s="15">
        <f ca="1">IFERROR(__xludf.DUMMYFUNCTION("""COMPUTED_VALUE"""),45742)</f>
        <v>45742</v>
      </c>
      <c r="T423" s="5" t="b">
        <f ca="1">IFERROR(__xludf.DUMMYFUNCTION("""COMPUTED_VALUE"""),TRUE)</f>
        <v>1</v>
      </c>
      <c r="U423" s="5" t="str">
        <f ca="1">IFERROR(__xludf.DUMMYFUNCTION("""COMPUTED_VALUE"""),"5x3")</f>
        <v>5x3</v>
      </c>
      <c r="V423" s="5">
        <f ca="1">IFERROR(__xludf.DUMMYFUNCTION("""COMPUTED_VALUE"""),5)</f>
        <v>5</v>
      </c>
      <c r="W423" s="5">
        <f ca="1">IFERROR(__xludf.DUMMYFUNCTION("""COMPUTED_VALUE"""),5)</f>
        <v>5</v>
      </c>
      <c r="X423" s="13">
        <f ca="1">IFERROR(__xludf.DUMMYFUNCTION("""COMPUTED_VALUE"""),96)</f>
        <v>96</v>
      </c>
      <c r="Y423" s="5" t="str">
        <f ca="1">IFERROR(__xludf.DUMMYFUNCTION("""COMPUTED_VALUE"""),"Medium")</f>
        <v>Medium</v>
      </c>
      <c r="Z423" s="5">
        <f ca="1">IFERROR(__xludf.DUMMYFUNCTION("""COMPUTED_VALUE"""),10.1)</f>
        <v>10.1</v>
      </c>
      <c r="AA423" s="5">
        <f ca="1">IFERROR(__xludf.DUMMYFUNCTION("""COMPUTED_VALUE"""),1000)</f>
        <v>1000</v>
      </c>
      <c r="AB423" s="5"/>
      <c r="AC423" s="5"/>
      <c r="AD423" s="5" t="str">
        <f ca="1">IFERROR(__xludf.DUMMYFUNCTION("""COMPUTED_VALUE"""),"0.05/100")</f>
        <v>0.05/100</v>
      </c>
      <c r="AE423" s="5"/>
      <c r="AF423" s="5"/>
      <c r="AG423" s="10">
        <f ca="1">IFERROR(__xludf.DUMMYFUNCTION("""COMPUTED_VALUE"""),46197.4959722222)</f>
        <v>46197.495972222197</v>
      </c>
      <c r="AH423" s="5" t="str">
        <f ca="1">IFERROR(__xludf.DUMMYFUNCTION("""COMPUTED_VALUE"""),"selena.mihajlovic@fazi.rs")</f>
        <v>selena.mihajlovic@fazi.rs</v>
      </c>
      <c r="AI423" s="15">
        <f ca="1">IFERROR(__xludf.DUMMYFUNCTION("""COMPUTED_VALUE"""),45734)</f>
        <v>45734</v>
      </c>
      <c r="AJ423" s="5" t="str">
        <f ca="1">IFERROR(__xludf.DUMMYFUNCTION("""COMPUTED_VALUE"""),"Preko Betconstruct-a kazina: 
bet2africa.ml
bet2africa.ga
elephantbet.sl
elephantbet.co.ao")</f>
        <v>Preko Betconstruct-a kazina: 
bet2africa.ml
bet2africa.ga
elephantbet.sl
elephantbet.co.ao</v>
      </c>
      <c r="AK423" s="5">
        <f ca="1">IFERROR(__xludf.DUMMYFUNCTION("""COMPUTED_VALUE"""),5)</f>
        <v>5</v>
      </c>
      <c r="AL423" s="5" t="str">
        <f ca="1">IFERROR(__xludf.DUMMYFUNCTION("""COMPUTED_VALUE"""),"No")</f>
        <v>No</v>
      </c>
      <c r="AM423" s="5"/>
      <c r="AN423" s="7" t="str">
        <f ca="1">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AO423" s="5"/>
      <c r="AP423" s="5"/>
      <c r="AQ423" s="5" t="b">
        <f ca="1">IFERROR(__xludf.DUMMYFUNCTION("""COMPUTED_VALUE"""),TRUE)</f>
        <v>1</v>
      </c>
      <c r="AR423" s="5"/>
      <c r="AS423" s="5" t="str">
        <f ca="1">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AT423" s="5"/>
      <c r="AU423" s="5" t="str">
        <f ca="1">IFERROR(__xludf.DUMMYFUNCTION("""COMPUTED_VALUE"""),"Fazi")</f>
        <v>Fazi</v>
      </c>
      <c r="AV423" s="5"/>
      <c r="AW423" s="5"/>
      <c r="AX423" s="5"/>
      <c r="AY423" s="5"/>
      <c r="AZ423" s="5"/>
      <c r="BA423" s="5"/>
      <c r="BB423" s="5" t="b">
        <f ca="1">IFERROR(__xludf.DUMMYFUNCTION("""COMPUTED_VALUE"""),TRUE)</f>
        <v>1</v>
      </c>
      <c r="BC423" s="5" t="str">
        <f ca="1">IFERROR(__xludf.DUMMYFUNCTION("""COMPUTED_VALUE"""),"Tiptop")</f>
        <v>Tiptop</v>
      </c>
      <c r="BD423" s="7" t="str">
        <f ca="1">IFERROR(__xludf.DUMMYFUNCTION("""COMPUTED_VALUE"""),"https://gameserver-store-client-area.orbionlimited.com/Home/IntegrationGameLaunch/client-area?moneyType=0&amp;gameName=UnicornSavanaFruits&amp;platform=desktop&amp;languageCode=eng&amp;currency=EUR")</f>
        <v>https://gameserver-store-client-area.orbionlimited.com/Home/IntegrationGameLaunch/client-area?moneyType=0&amp;gameName=UnicornSavanaFruits&amp;platform=desktop&amp;languageCode=eng&amp;currency=EUR</v>
      </c>
      <c r="BE423" s="5" t="b">
        <f ca="1">IFERROR(__xludf.DUMMYFUNCTION("""COMPUTED_VALUE"""),TRUE)</f>
        <v>1</v>
      </c>
    </row>
    <row r="424" spans="1:57" x14ac:dyDescent="0.25">
      <c r="A424" s="5">
        <f ca="1">IFERROR(__xludf.DUMMYFUNCTION("""COMPUTED_VALUE"""),436)</f>
        <v>436</v>
      </c>
      <c r="B424" s="5">
        <f ca="1">IFERROR(__xludf.DUMMYFUNCTION("""COMPUTED_VALUE"""),180012)</f>
        <v>180012</v>
      </c>
      <c r="C424" s="5" t="str">
        <f ca="1">IFERROR(__xludf.DUMMYFUNCTION("""COMPUTED_VALUE"""),"Redstone")</f>
        <v>Redstone</v>
      </c>
      <c r="D424" s="5" t="str">
        <f ca="1">IFERROR(__xludf.DUMMYFUNCTION("""COMPUTED_VALUE"""),"Sticky Tiki")</f>
        <v>Sticky Tiki</v>
      </c>
      <c r="E424" s="5" t="str">
        <f ca="1">IFERROR(__xludf.DUMMYFUNCTION("""COMPUTED_VALUE"""),"Redstone")</f>
        <v>Redstone</v>
      </c>
      <c r="F424" s="5" t="str">
        <f ca="1">IFERROR(__xludf.DUMMYFUNCTION("""COMPUTED_VALUE"""),"RedstoneStickyTiki")</f>
        <v>RedstoneStickyTiki</v>
      </c>
      <c r="G424" s="5" t="str">
        <f ca="1">IFERROR(__xludf.DUMMYFUNCTION("""COMPUTED_VALUE"""),"Live")</f>
        <v>Live</v>
      </c>
      <c r="H424" s="5"/>
      <c r="I424" s="5" t="str">
        <f ca="1">IFERROR(__xludf.DUMMYFUNCTION("""COMPUTED_VALUE"""),"Redstone")</f>
        <v>Redstone</v>
      </c>
      <c r="J424" s="5" t="str">
        <f ca="1">IFERROR(__xludf.DUMMYFUNCTION("""COMPUTED_VALUE"""),"JSON")</f>
        <v>JSON</v>
      </c>
      <c r="K424" s="5" t="str">
        <f ca="1">IFERROR(__xludf.DUMMYFUNCTION("""COMPUTED_VALUE"""),"Slot")</f>
        <v>Slot</v>
      </c>
      <c r="L424" s="5" t="str">
        <f ca="1">IFERROR(__xludf.DUMMYFUNCTION("""COMPUTED_VALUE""")," Clone")</f>
        <v xml:space="preserve"> Clone</v>
      </c>
      <c r="M424" s="5" t="str">
        <f ca="1">IFERROR(__xludf.DUMMYFUNCTION("""COMPUTED_VALUE"""),"Sweet Respins")</f>
        <v>Sweet Respins</v>
      </c>
      <c r="N424" s="7" t="str">
        <f ca="1">IFERROR(__xludf.DUMMYFUNCTION("""COMPUTED_VALUE"""),"https://drive.google.com/file/d/12vGsFllmq9UMDItMEAf7XkGL9ui00F1k/view?usp=drive_link")</f>
        <v>https://drive.google.com/file/d/12vGsFllmq9UMDItMEAf7XkGL9ui00F1k/view?usp=drive_link</v>
      </c>
      <c r="O424" s="7" t="str">
        <f ca="1">IFERROR(__xludf.DUMMYFUNCTION("""COMPUTED_VALUE"""),"https://drive.google.com/file/d/1ei-DJnGnfC4ikq8YZZ6BD0vM0O5OSpUY/view?usp=drive_link")</f>
        <v>https://drive.google.com/file/d/1ei-DJnGnfC4ikq8YZZ6BD0vM0O5OSpUY/view?usp=drive_link</v>
      </c>
      <c r="P424" s="14">
        <f ca="1">IFERROR(__xludf.DUMMYFUNCTION("""COMPUTED_VALUE"""),11)</f>
        <v>11</v>
      </c>
      <c r="Q424" s="5"/>
      <c r="R424" s="17">
        <f ca="1">IFERROR(__xludf.DUMMYFUNCTION("""COMPUTED_VALUE"""),45734)</f>
        <v>45734</v>
      </c>
      <c r="S424" s="15">
        <f ca="1">IFERROR(__xludf.DUMMYFUNCTION("""COMPUTED_VALUE"""),45741)</f>
        <v>45741</v>
      </c>
      <c r="T424" s="5" t="b">
        <f ca="1">IFERROR(__xludf.DUMMYFUNCTION("""COMPUTED_VALUE"""),TRUE)</f>
        <v>1</v>
      </c>
      <c r="U424" s="5" t="str">
        <f ca="1">IFERROR(__xludf.DUMMYFUNCTION("""COMPUTED_VALUE"""),"5x3")</f>
        <v>5x3</v>
      </c>
      <c r="V424" s="5">
        <f ca="1">IFERROR(__xludf.DUMMYFUNCTION("""COMPUTED_VALUE"""),10)</f>
        <v>10</v>
      </c>
      <c r="W424" s="5">
        <f ca="1">IFERROR(__xludf.DUMMYFUNCTION("""COMPUTED_VALUE"""),10)</f>
        <v>10</v>
      </c>
      <c r="X424" s="13">
        <f ca="1">IFERROR(__xludf.DUMMYFUNCTION("""COMPUTED_VALUE"""),96.05)</f>
        <v>96.05</v>
      </c>
      <c r="Y424" s="5" t="str">
        <f ca="1">IFERROR(__xludf.DUMMYFUNCTION("""COMPUTED_VALUE"""),"High")</f>
        <v>High</v>
      </c>
      <c r="Z424" s="5">
        <f ca="1">IFERROR(__xludf.DUMMYFUNCTION("""COMPUTED_VALUE"""),19.5)</f>
        <v>19.5</v>
      </c>
      <c r="AA424" s="5">
        <f ca="1">IFERROR(__xludf.DUMMYFUNCTION("""COMPUTED_VALUE"""),10000)</f>
        <v>10000</v>
      </c>
      <c r="AB424" s="5"/>
      <c r="AC424" s="5" t="str">
        <f ca="1">IFERROR(__xludf.DUMMYFUNCTION("""COMPUTED_VALUE"""),"Expanding Wild, Sticky Wild, Scatter, Bothways, Respin")</f>
        <v>Expanding Wild, Sticky Wild, Scatter, Bothways, Respin</v>
      </c>
      <c r="AD424" s="5" t="str">
        <f ca="1">IFERROR(__xludf.DUMMYFUNCTION("""COMPUTED_VALUE"""),"0.10/50")</f>
        <v>0.10/50</v>
      </c>
      <c r="AE424" s="5"/>
      <c r="AF424" s="5"/>
      <c r="AG424" s="10">
        <f ca="1">IFERROR(__xludf.DUMMYFUNCTION("""COMPUTED_VALUE"""),46157.5283333333)</f>
        <v>46157.528333333299</v>
      </c>
      <c r="AH424" s="5"/>
      <c r="AI424" s="5"/>
      <c r="AJ424" s="5"/>
      <c r="AK424" s="5">
        <f ca="1">IFERROR(__xludf.DUMMYFUNCTION("""COMPUTED_VALUE"""),1)</f>
        <v>1</v>
      </c>
      <c r="AL424" s="5" t="str">
        <f ca="1">IFERROR(__xludf.DUMMYFUNCTION("""COMPUTED_VALUE"""),"No")</f>
        <v>No</v>
      </c>
      <c r="AM424" s="5" t="str">
        <f ca="1">IFERROR(__xludf.DUMMYFUNCTION("""COMPUTED_VALUE"""),"Yes")</f>
        <v>Yes</v>
      </c>
      <c r="AN424" s="7" t="str">
        <f ca="1">IFERROR(__xludf.DUMMYFUNCTION("""COMPUTED_VALUE"""),"https://static.redstone.rs/games/sticky-tiki/")</f>
        <v>https://static.redstone.rs/games/sticky-tiki/</v>
      </c>
      <c r="AO424" s="5" t="str">
        <f ca="1">IFERROR(__xludf.DUMMYFUNCTION("""COMPUTED_VALUE"""),"No")</f>
        <v>No</v>
      </c>
      <c r="AP424" s="5" t="str">
        <f ca="1">IFERROR(__xludf.DUMMYFUNCTION("""COMPUTED_VALUE"""),"No")</f>
        <v>No</v>
      </c>
      <c r="AQ424" s="5" t="b">
        <f ca="1">IFERROR(__xludf.DUMMYFUNCTION("""COMPUTED_VALUE"""),TRUE)</f>
        <v>1</v>
      </c>
      <c r="AR424" s="5"/>
      <c r="AS424" s="5" t="str">
        <f ca="1">IFERROR(__xludf.DUMMYFUNCTION("""COMPUTED_VALUE"""),"Spin into a tropical adventure with Sticky Tiki, where sticky symbols lock in place and keep the wins rolling!")</f>
        <v>Spin into a tropical adventure with Sticky Tiki, where sticky symbols lock in place and keep the wins rolling!</v>
      </c>
      <c r="AT424" s="5"/>
      <c r="AU424" s="5" t="str">
        <f ca="1">IFERROR(__xludf.DUMMYFUNCTION("""COMPUTED_VALUE"""),"Redstone")</f>
        <v>Redstone</v>
      </c>
      <c r="AV424" s="5"/>
      <c r="AW424" s="5"/>
      <c r="AX424" s="5"/>
      <c r="AY424" s="5"/>
      <c r="AZ424" s="5"/>
      <c r="BA424" s="5"/>
      <c r="BB424" s="5" t="b">
        <f ca="1">IFERROR(__xludf.DUMMYFUNCTION("""COMPUTED_VALUE"""),TRUE)</f>
        <v>1</v>
      </c>
      <c r="BC424" s="5" t="str">
        <f ca="1">IFERROR(__xludf.DUMMYFUNCTION("""COMPUTED_VALUE"""),"Redstone")</f>
        <v>Redstone</v>
      </c>
      <c r="BD424" s="7" t="str">
        <f ca="1">IFERROR(__xludf.DUMMYFUNCTION("""COMPUTED_VALUE"""),"https://static.redstone.rs/games/sticky-tiki/")</f>
        <v>https://static.redstone.rs/games/sticky-tiki/</v>
      </c>
      <c r="BE424" s="5" t="b">
        <f ca="1">IFERROR(__xludf.DUMMYFUNCTION("""COMPUTED_VALUE"""),TRUE)</f>
        <v>1</v>
      </c>
    </row>
    <row r="425" spans="1:57" x14ac:dyDescent="0.25">
      <c r="A425" s="5">
        <f ca="1">IFERROR(__xludf.DUMMYFUNCTION("""COMPUTED_VALUE"""),437)</f>
        <v>437</v>
      </c>
      <c r="B425" s="5">
        <f ca="1">IFERROR(__xludf.DUMMYFUNCTION("""COMPUTED_VALUE"""),180011)</f>
        <v>180011</v>
      </c>
      <c r="C425" s="5" t="str">
        <f ca="1">IFERROR(__xludf.DUMMYFUNCTION("""COMPUTED_VALUE"""),"Redstone")</f>
        <v>Redstone</v>
      </c>
      <c r="D425" s="5" t="str">
        <f ca="1">IFERROR(__xludf.DUMMYFUNCTION("""COMPUTED_VALUE"""),"Hot Rush Triple Star")</f>
        <v>Hot Rush Triple Star</v>
      </c>
      <c r="E425" s="5" t="str">
        <f ca="1">IFERROR(__xludf.DUMMYFUNCTION("""COMPUTED_VALUE"""),"Redstone")</f>
        <v>Redstone</v>
      </c>
      <c r="F425" s="5" t="str">
        <f ca="1">IFERROR(__xludf.DUMMYFUNCTION("""COMPUTED_VALUE"""),"RedstoneHotRushTripleStar")</f>
        <v>RedstoneHotRushTripleStar</v>
      </c>
      <c r="G425" s="5" t="str">
        <f ca="1">IFERROR(__xludf.DUMMYFUNCTION("""COMPUTED_VALUE"""),"Live")</f>
        <v>Live</v>
      </c>
      <c r="H425" s="5"/>
      <c r="I425" s="5" t="str">
        <f ca="1">IFERROR(__xludf.DUMMYFUNCTION("""COMPUTED_VALUE"""),"Redstone")</f>
        <v>Redstone</v>
      </c>
      <c r="J425" s="5" t="str">
        <f ca="1">IFERROR(__xludf.DUMMYFUNCTION("""COMPUTED_VALUE"""),"JSON")</f>
        <v>JSON</v>
      </c>
      <c r="K425" s="5" t="str">
        <f ca="1">IFERROR(__xludf.DUMMYFUNCTION("""COMPUTED_VALUE"""),"Slot")</f>
        <v>Slot</v>
      </c>
      <c r="L425" s="5" t="str">
        <f ca="1">IFERROR(__xludf.DUMMYFUNCTION("""COMPUTED_VALUE"""),"Master")</f>
        <v>Master</v>
      </c>
      <c r="M425" s="5"/>
      <c r="N425" s="7" t="str">
        <f ca="1">IFERROR(__xludf.DUMMYFUNCTION("""COMPUTED_VALUE"""),"https://docs.google.com/document/d/16vQ_zLf_GhGAUkK1ezFbrXJIhbbcuZQj/edit?usp=drive_link&amp;ouid=107596163405648766688&amp;rtpof=true&amp;sd=true")</f>
        <v>https://docs.google.com/document/d/16vQ_zLf_GhGAUkK1ezFbrXJIhbbcuZQj/edit?usp=drive_link&amp;ouid=107596163405648766688&amp;rtpof=true&amp;sd=true</v>
      </c>
      <c r="O425" s="7" t="str">
        <f ca="1">IFERROR(__xludf.DUMMYFUNCTION("""COMPUTED_VALUE"""),"https://docs.google.com/document/d/1geperOvJzuAYghHRkA3ii6iO17WD-9W9/edit?usp=drive_link&amp;ouid=107596163405648766688&amp;rtpof=true&amp;sd=true")</f>
        <v>https://docs.google.com/document/d/1geperOvJzuAYghHRkA3ii6iO17WD-9W9/edit?usp=drive_link&amp;ouid=107596163405648766688&amp;rtpof=true&amp;sd=true</v>
      </c>
      <c r="P425" s="14">
        <f ca="1">IFERROR(__xludf.DUMMYFUNCTION("""COMPUTED_VALUE"""),9.8)</f>
        <v>9.8000000000000007</v>
      </c>
      <c r="Q425" s="5"/>
      <c r="R425" s="17">
        <f ca="1">IFERROR(__xludf.DUMMYFUNCTION("""COMPUTED_VALUE"""),45733)</f>
        <v>45733</v>
      </c>
      <c r="S425" s="15">
        <f ca="1">IFERROR(__xludf.DUMMYFUNCTION("""COMPUTED_VALUE"""),45740)</f>
        <v>45740</v>
      </c>
      <c r="T425" s="5" t="b">
        <f ca="1">IFERROR(__xludf.DUMMYFUNCTION("""COMPUTED_VALUE"""),TRUE)</f>
        <v>1</v>
      </c>
      <c r="U425" s="5" t="str">
        <f ca="1">IFERROR(__xludf.DUMMYFUNCTION("""COMPUTED_VALUE"""),"5x3")</f>
        <v>5x3</v>
      </c>
      <c r="V425" s="5">
        <f ca="1">IFERROR(__xludf.DUMMYFUNCTION("""COMPUTED_VALUE"""),5)</f>
        <v>5</v>
      </c>
      <c r="W425" s="5">
        <f ca="1">IFERROR(__xludf.DUMMYFUNCTION("""COMPUTED_VALUE"""),5)</f>
        <v>5</v>
      </c>
      <c r="X425" s="13">
        <f ca="1">IFERROR(__xludf.DUMMYFUNCTION("""COMPUTED_VALUE"""),96)</f>
        <v>96</v>
      </c>
      <c r="Y425" s="5" t="str">
        <f ca="1">IFERROR(__xludf.DUMMYFUNCTION("""COMPUTED_VALUE"""),"Medium")</f>
        <v>Medium</v>
      </c>
      <c r="Z425" s="5">
        <f ca="1">IFERROR(__xludf.DUMMYFUNCTION("""COMPUTED_VALUE"""),12.3)</f>
        <v>12.3</v>
      </c>
      <c r="AA425" s="5">
        <f ca="1">IFERROR(__xludf.DUMMYFUNCTION("""COMPUTED_VALUE"""),1246)</f>
        <v>1246</v>
      </c>
      <c r="AB425" s="5"/>
      <c r="AC425" s="5" t="str">
        <f ca="1">IFERROR(__xludf.DUMMYFUNCTION("""COMPUTED_VALUE"""),"Expanding Wild, Scatter, Respin")</f>
        <v>Expanding Wild, Scatter, Respin</v>
      </c>
      <c r="AD425" s="5" t="str">
        <f ca="1">IFERROR(__xludf.DUMMYFUNCTION("""COMPUTED_VALUE"""),"0.10/50")</f>
        <v>0.10/50</v>
      </c>
      <c r="AE425" s="5"/>
      <c r="AF425" s="5"/>
      <c r="AG425" s="10">
        <f ca="1">IFERROR(__xludf.DUMMYFUNCTION("""COMPUTED_VALUE"""),46157.5283564814)</f>
        <v>46157.528356481402</v>
      </c>
      <c r="AH425" s="5"/>
      <c r="AI425" s="5"/>
      <c r="AJ425" s="5"/>
      <c r="AK425" s="5">
        <f ca="1">IFERROR(__xludf.DUMMYFUNCTION("""COMPUTED_VALUE"""),1)</f>
        <v>1</v>
      </c>
      <c r="AL425" s="5" t="str">
        <f ca="1">IFERROR(__xludf.DUMMYFUNCTION("""COMPUTED_VALUE"""),"No")</f>
        <v>No</v>
      </c>
      <c r="AM425" s="5" t="str">
        <f ca="1">IFERROR(__xludf.DUMMYFUNCTION("""COMPUTED_VALUE"""),"Yes")</f>
        <v>Yes</v>
      </c>
      <c r="AN425" s="7" t="str">
        <f ca="1">IFERROR(__xludf.DUMMYFUNCTION("""COMPUTED_VALUE"""),"https://static.redstone.rs/games/hot-rush-triple-star/")</f>
        <v>https://static.redstone.rs/games/hot-rush-triple-star/</v>
      </c>
      <c r="AO425" s="5" t="str">
        <f ca="1">IFERROR(__xludf.DUMMYFUNCTION("""COMPUTED_VALUE"""),"No")</f>
        <v>No</v>
      </c>
      <c r="AP425" s="5" t="str">
        <f ca="1">IFERROR(__xludf.DUMMYFUNCTION("""COMPUTED_VALUE"""),"No")</f>
        <v>No</v>
      </c>
      <c r="AQ425" s="5" t="b">
        <f ca="1">IFERROR(__xludf.DUMMYFUNCTION("""COMPUTED_VALUE"""),TRUE)</f>
        <v>1</v>
      </c>
      <c r="AR425" s="5"/>
      <c r="AS425" s="5" t="str">
        <f ca="1">IFERROR(__xludf.DUMMYFUNCTION("""COMPUTED_VALUE"""),"Hot Rush Triple Star delivers wild excitement with expanding wilds that lock in place, triggering thrilling respins! ")</f>
        <v xml:space="preserve">Hot Rush Triple Star delivers wild excitement with expanding wilds that lock in place, triggering thrilling respins! </v>
      </c>
      <c r="AT425" s="5"/>
      <c r="AU425" s="5" t="str">
        <f ca="1">IFERROR(__xludf.DUMMYFUNCTION("""COMPUTED_VALUE"""),"Redstone")</f>
        <v>Redstone</v>
      </c>
      <c r="AV425" s="5"/>
      <c r="AW425" s="5"/>
      <c r="AX425" s="5"/>
      <c r="AY425" s="5"/>
      <c r="AZ425" s="5"/>
      <c r="BA425" s="5"/>
      <c r="BB425" s="5" t="b">
        <f ca="1">IFERROR(__xludf.DUMMYFUNCTION("""COMPUTED_VALUE"""),TRUE)</f>
        <v>1</v>
      </c>
      <c r="BC425" s="5" t="str">
        <f ca="1">IFERROR(__xludf.DUMMYFUNCTION("""COMPUTED_VALUE"""),"Redstone")</f>
        <v>Redstone</v>
      </c>
      <c r="BD425" s="7" t="str">
        <f ca="1">IFERROR(__xludf.DUMMYFUNCTION("""COMPUTED_VALUE"""),"https://static.redstone.rs/games/hot-rush-triple-star/")</f>
        <v>https://static.redstone.rs/games/hot-rush-triple-star/</v>
      </c>
      <c r="BE425" s="5" t="b">
        <f ca="1">IFERROR(__xludf.DUMMYFUNCTION("""COMPUTED_VALUE"""),TRUE)</f>
        <v>1</v>
      </c>
    </row>
    <row r="426" spans="1:57" x14ac:dyDescent="0.25">
      <c r="A426" s="5">
        <f ca="1">IFERROR(__xludf.DUMMYFUNCTION("""COMPUTED_VALUE"""),439)</f>
        <v>439</v>
      </c>
      <c r="B426" s="5">
        <f ca="1">IFERROR(__xludf.DUMMYFUNCTION("""COMPUTED_VALUE"""),4011)</f>
        <v>4011</v>
      </c>
      <c r="C426" s="5" t="str">
        <f ca="1">IFERROR(__xludf.DUMMYFUNCTION("""COMPUTED_VALUE"""),"Fazi")</f>
        <v>Fazi</v>
      </c>
      <c r="D426" s="5" t="str">
        <f ca="1">IFERROR(__xludf.DUMMYFUNCTION("""COMPUTED_VALUE"""),"Hearts and Stars")</f>
        <v>Hearts and Stars</v>
      </c>
      <c r="E426" s="5" t="str">
        <f ca="1">IFERROR(__xludf.DUMMYFUNCTION("""COMPUTED_VALUE"""),"V2")</f>
        <v>V2</v>
      </c>
      <c r="F426" s="5" t="str">
        <f ca="1">IFERROR(__xludf.DUMMYFUNCTION("""COMPUTED_VALUE"""),"HeartsAndStars")</f>
        <v>HeartsAndStars</v>
      </c>
      <c r="G426" s="5" t="str">
        <f ca="1">IFERROR(__xludf.DUMMYFUNCTION("""COMPUTED_VALUE"""),"Live")</f>
        <v>Live</v>
      </c>
      <c r="H426" s="5"/>
      <c r="I426" s="5" t="str">
        <f ca="1">IFERROR(__xludf.DUMMYFUNCTION("""COMPUTED_VALUE"""),"V2")</f>
        <v>V2</v>
      </c>
      <c r="J426" s="5" t="str">
        <f ca="1">IFERROR(__xludf.DUMMYFUNCTION("""COMPUTED_VALUE"""),"Binary")</f>
        <v>Binary</v>
      </c>
      <c r="K426" s="5" t="str">
        <f ca="1">IFERROR(__xludf.DUMMYFUNCTION("""COMPUTED_VALUE"""),"Slot")</f>
        <v>Slot</v>
      </c>
      <c r="L426" s="5" t="str">
        <f ca="1">IFERROR(__xludf.DUMMYFUNCTION("""COMPUTED_VALUE""")," Clone")</f>
        <v xml:space="preserve"> Clone</v>
      </c>
      <c r="M426" s="5" t="str">
        <f ca="1">IFERROR(__xludf.DUMMYFUNCTION("""COMPUTED_VALUE"""),"Clovers And Stars")</f>
        <v>Clovers And Stars</v>
      </c>
      <c r="N426" s="7" t="str">
        <f ca="1">IFERROR(__xludf.DUMMYFUNCTION("""COMPUTED_VALUE"""),"https://drive.google.com/drive/folders/1rUqrqNmV28Bdn42G5Tw6B4dajdJakbwM")</f>
        <v>https://drive.google.com/drive/folders/1rUqrqNmV28Bdn42G5Tw6B4dajdJakbwM</v>
      </c>
      <c r="O426" s="7" t="str">
        <f ca="1">IFERROR(__xludf.DUMMYFUNCTION("""COMPUTED_VALUE"""),"https://drive.google.com/drive/folders/1rUqrqNmV28Bdn42G5Tw6B4dajdJakbwM")</f>
        <v>https://drive.google.com/drive/folders/1rUqrqNmV28Bdn42G5Tw6B4dajdJakbwM</v>
      </c>
      <c r="P426" s="14">
        <f ca="1">IFERROR(__xludf.DUMMYFUNCTION("""COMPUTED_VALUE"""),23.6)</f>
        <v>23.6</v>
      </c>
      <c r="Q426" s="15">
        <f ca="1">IFERROR(__xludf.DUMMYFUNCTION("""COMPUTED_VALUE"""),45691)</f>
        <v>45691</v>
      </c>
      <c r="R426" s="17">
        <f ca="1">IFERROR(__xludf.DUMMYFUNCTION("""COMPUTED_VALUE"""),45694)</f>
        <v>45694</v>
      </c>
      <c r="S426" s="15">
        <f ca="1">IFERROR(__xludf.DUMMYFUNCTION("""COMPUTED_VALUE"""),45698)</f>
        <v>45698</v>
      </c>
      <c r="T426" s="5" t="b">
        <f ca="1">IFERROR(__xludf.DUMMYFUNCTION("""COMPUTED_VALUE"""),TRUE)</f>
        <v>1</v>
      </c>
      <c r="U426" s="5"/>
      <c r="V426" s="5">
        <f ca="1">IFERROR(__xludf.DUMMYFUNCTION("""COMPUTED_VALUE"""),40)</f>
        <v>40</v>
      </c>
      <c r="W426" s="5"/>
      <c r="X426" s="5">
        <f ca="1">IFERROR(__xludf.DUMMYFUNCTION("""COMPUTED_VALUE"""),96.474)</f>
        <v>96.474000000000004</v>
      </c>
      <c r="Y426" s="5" t="str">
        <f ca="1">IFERROR(__xludf.DUMMYFUNCTION("""COMPUTED_VALUE"""),"High")</f>
        <v>High</v>
      </c>
      <c r="Z426" s="5">
        <f ca="1">IFERROR(__xludf.DUMMYFUNCTION("""COMPUTED_VALUE"""),10.421)</f>
        <v>10.420999999999999</v>
      </c>
      <c r="AA426" s="5">
        <f ca="1">IFERROR(__xludf.DUMMYFUNCTION("""COMPUTED_VALUE"""),10145)</f>
        <v>10145</v>
      </c>
      <c r="AB426" s="5"/>
      <c r="AC426" s="5" t="str">
        <f ca="1">IFERROR(__xludf.DUMMYFUNCTION("""COMPUTED_VALUE"""),"Wild Symbol")</f>
        <v>Wild Symbol</v>
      </c>
      <c r="AD426" s="5" t="str">
        <f ca="1">IFERROR(__xludf.DUMMYFUNCTION("""COMPUTED_VALUE"""),"0.4/60")</f>
        <v>0.4/60</v>
      </c>
      <c r="AE426" s="5"/>
      <c r="AF426" s="5"/>
      <c r="AG426" s="10">
        <f ca="1">IFERROR(__xludf.DUMMYFUNCTION("""COMPUTED_VALUE"""),46055.6200925925)</f>
        <v>46055.6200925925</v>
      </c>
      <c r="AH426" s="5" t="str">
        <f ca="1">IFERROR(__xludf.DUMMYFUNCTION("""COMPUTED_VALUE"""),"aleksandar.trajkovic@fazi.rs")</f>
        <v>aleksandar.trajkovic@fazi.rs</v>
      </c>
      <c r="AI426" s="5"/>
      <c r="AJ426" s="5"/>
      <c r="AK426" s="5">
        <f ca="1">IFERROR(__xludf.DUMMYFUNCTION("""COMPUTED_VALUE"""),40)</f>
        <v>40</v>
      </c>
      <c r="AL426" s="5" t="str">
        <f ca="1">IFERROR(__xludf.DUMMYFUNCTION("""COMPUTED_VALUE"""),"Yes")</f>
        <v>Yes</v>
      </c>
      <c r="AM426" s="5"/>
      <c r="AN426" s="5"/>
      <c r="AO426" s="5"/>
      <c r="AP426" s="5"/>
      <c r="AQ426" s="5" t="b">
        <f ca="1">IFERROR(__xludf.DUMMYFUNCTION("""COMPUTED_VALUE"""),TRUE)</f>
        <v>1</v>
      </c>
      <c r="AR426" s="5"/>
      <c r="AS426" s="5"/>
      <c r="AT426" s="5"/>
      <c r="AU426" s="5" t="str">
        <f ca="1">IFERROR(__xludf.DUMMYFUNCTION("""COMPUTED_VALUE"""),"Fazi")</f>
        <v>Fazi</v>
      </c>
      <c r="AV426" s="5"/>
      <c r="AW426" s="5"/>
      <c r="AX426" s="5"/>
      <c r="AY426" s="5"/>
      <c r="AZ426" s="5"/>
      <c r="BA426" s="5" t="str">
        <f ca="1">IFERROR(__xludf.DUMMYFUNCTION("""COMPUTED_VALUE"""),"")</f>
        <v/>
      </c>
      <c r="BB426" s="5"/>
      <c r="BC426" s="5" t="str">
        <f ca="1">IFERROR(__xludf.DUMMYFUNCTION("""COMPUTED_VALUE"""),"Foxi")</f>
        <v>Foxi</v>
      </c>
      <c r="BD426" s="5" t="str">
        <f ca="1">IFERROR(__xludf.DUMMYFUNCTION("""COMPUTED_VALUE"""),"")</f>
        <v/>
      </c>
      <c r="BE426" s="5" t="b">
        <f ca="1">IFERROR(__xludf.DUMMYFUNCTION("""COMPUTED_VALUE"""),TRUE)</f>
        <v>1</v>
      </c>
    </row>
    <row r="427" spans="1:57" x14ac:dyDescent="0.25">
      <c r="A427" s="5">
        <f ca="1">IFERROR(__xludf.DUMMYFUNCTION("""COMPUTED_VALUE"""),440)</f>
        <v>440</v>
      </c>
      <c r="B427" s="5">
        <f ca="1">IFERROR(__xludf.DUMMYFUNCTION("""COMPUTED_VALUE"""),3007)</f>
        <v>3007</v>
      </c>
      <c r="C427" s="5" t="str">
        <f ca="1">IFERROR(__xludf.DUMMYFUNCTION("""COMPUTED_VALUE"""),"Fazi")</f>
        <v>Fazi</v>
      </c>
      <c r="D427" s="5" t="str">
        <f ca="1">IFERROR(__xludf.DUMMYFUNCTION("""COMPUTED_VALUE"""),"Top Hot 5")</f>
        <v>Top Hot 5</v>
      </c>
      <c r="E427" s="5" t="str">
        <f ca="1">IFERROR(__xludf.DUMMYFUNCTION("""COMPUTED_VALUE"""),"V2")</f>
        <v>V2</v>
      </c>
      <c r="F427" s="5" t="str">
        <f ca="1">IFERROR(__xludf.DUMMYFUNCTION("""COMPUTED_VALUE"""),"TopHot5")</f>
        <v>TopHot5</v>
      </c>
      <c r="G427" s="5" t="str">
        <f ca="1">IFERROR(__xludf.DUMMYFUNCTION("""COMPUTED_VALUE"""),"Live")</f>
        <v>Live</v>
      </c>
      <c r="H427" s="5"/>
      <c r="I427" s="5" t="str">
        <f ca="1">IFERROR(__xludf.DUMMYFUNCTION("""COMPUTED_VALUE"""),"V4")</f>
        <v>V4</v>
      </c>
      <c r="J427" s="5" t="str">
        <f ca="1">IFERROR(__xludf.DUMMYFUNCTION("""COMPUTED_VALUE"""),"JSON")</f>
        <v>JSON</v>
      </c>
      <c r="K427" s="5" t="str">
        <f ca="1">IFERROR(__xludf.DUMMYFUNCTION("""COMPUTED_VALUE"""),"Slot")</f>
        <v>Slot</v>
      </c>
      <c r="L427" s="5" t="str">
        <f ca="1">IFERROR(__xludf.DUMMYFUNCTION("""COMPUTED_VALUE"""),"Master")</f>
        <v>Master</v>
      </c>
      <c r="M427" s="5"/>
      <c r="N427" s="7" t="str">
        <f ca="1">IFERROR(__xludf.DUMMYFUNCTION("""COMPUTED_VALUE"""),"https://drive.google.com/drive/folders/16_OhPd98nkLRrPr2Hoep9zEW80bS1S9y")</f>
        <v>https://drive.google.com/drive/folders/16_OhPd98nkLRrPr2Hoep9zEW80bS1S9y</v>
      </c>
      <c r="O427" s="7" t="str">
        <f ca="1">IFERROR(__xludf.DUMMYFUNCTION("""COMPUTED_VALUE"""),"https://drive.google.com/drive/folders/16_OhPd98nkLRrPr2Hoep9zEW80bS1S9y")</f>
        <v>https://drive.google.com/drive/folders/16_OhPd98nkLRrPr2Hoep9zEW80bS1S9y</v>
      </c>
      <c r="P427" s="14">
        <f ca="1">IFERROR(__xludf.DUMMYFUNCTION("""COMPUTED_VALUE"""),36.8)</f>
        <v>36.799999999999997</v>
      </c>
      <c r="Q427" s="5"/>
      <c r="R427" s="17">
        <f ca="1">IFERROR(__xludf.DUMMYFUNCTION("""COMPUTED_VALUE"""),45701)</f>
        <v>45701</v>
      </c>
      <c r="S427" s="15">
        <f ca="1">IFERROR(__xludf.DUMMYFUNCTION("""COMPUTED_VALUE"""),45708)</f>
        <v>45708</v>
      </c>
      <c r="T427" s="5" t="b">
        <f ca="1">IFERROR(__xludf.DUMMYFUNCTION("""COMPUTED_VALUE"""),TRUE)</f>
        <v>1</v>
      </c>
      <c r="U427" s="5" t="str">
        <f ca="1">IFERROR(__xludf.DUMMYFUNCTION("""COMPUTED_VALUE"""),"3x3")</f>
        <v>3x3</v>
      </c>
      <c r="V427" s="5">
        <f ca="1">IFERROR(__xludf.DUMMYFUNCTION("""COMPUTED_VALUE"""),5)</f>
        <v>5</v>
      </c>
      <c r="W427" s="5">
        <f ca="1">IFERROR(__xludf.DUMMYFUNCTION("""COMPUTED_VALUE"""),5)</f>
        <v>5</v>
      </c>
      <c r="X427" s="5">
        <f ca="1">IFERROR(__xludf.DUMMYFUNCTION("""COMPUTED_VALUE"""),96.609)</f>
        <v>96.608999999999995</v>
      </c>
      <c r="Y427" s="5" t="str">
        <f ca="1">IFERROR(__xludf.DUMMYFUNCTION("""COMPUTED_VALUE"""),"Low")</f>
        <v>Low</v>
      </c>
      <c r="Z427" s="5">
        <f ca="1">IFERROR(__xludf.DUMMYFUNCTION("""COMPUTED_VALUE"""),6.446)</f>
        <v>6.4459999999999997</v>
      </c>
      <c r="AA427" s="5">
        <f ca="1">IFERROR(__xludf.DUMMYFUNCTION("""COMPUTED_VALUE"""),60)</f>
        <v>60</v>
      </c>
      <c r="AB427" s="5"/>
      <c r="AC427" s="5"/>
      <c r="AD427" s="5"/>
      <c r="AE427" s="5"/>
      <c r="AF427" s="5"/>
      <c r="AG427" s="10">
        <f ca="1">IFERROR(__xludf.DUMMYFUNCTION("""COMPUTED_VALUE"""),46213.4461805555)</f>
        <v>46213.446180555497</v>
      </c>
      <c r="AH427" s="5" t="str">
        <f ca="1">IFERROR(__xludf.DUMMYFUNCTION("""COMPUTED_VALUE"""),"djordje.petrovic@fazi.rs")</f>
        <v>djordje.petrovic@fazi.rs</v>
      </c>
      <c r="AI427" s="5"/>
      <c r="AJ427" s="5"/>
      <c r="AK427" s="5">
        <f ca="1">IFERROR(__xludf.DUMMYFUNCTION("""COMPUTED_VALUE"""),5)</f>
        <v>5</v>
      </c>
      <c r="AL427" s="5" t="str">
        <f ca="1">IFERROR(__xludf.DUMMYFUNCTION("""COMPUTED_VALUE"""),"Yes")</f>
        <v>Yes</v>
      </c>
      <c r="AM427" s="5"/>
      <c r="AN427" s="7" t="str">
        <f ca="1">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AO427" s="5"/>
      <c r="AP427" s="5" t="str">
        <f ca="1">IFERROR(__xludf.DUMMYFUNCTION("""COMPUTED_VALUE"""),"No")</f>
        <v>No</v>
      </c>
      <c r="AQ427" s="5" t="b">
        <f ca="1">IFERROR(__xludf.DUMMYFUNCTION("""COMPUTED_VALUE"""),TRUE)</f>
        <v>1</v>
      </c>
      <c r="AR427" s="5"/>
      <c r="AS427" s="5" t="str">
        <f ca="1">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AT427" s="5"/>
      <c r="AU427" s="5" t="str">
        <f ca="1">IFERROR(__xludf.DUMMYFUNCTION("""COMPUTED_VALUE"""),"Fazi")</f>
        <v>Fazi</v>
      </c>
      <c r="AV427" s="5"/>
      <c r="AW427" s="5"/>
      <c r="AX427" s="5"/>
      <c r="AY427" s="5"/>
      <c r="AZ427" s="5"/>
      <c r="BA427" s="5"/>
      <c r="BB427" s="5"/>
      <c r="BC427" s="5" t="str">
        <f ca="1">IFERROR(__xludf.DUMMYFUNCTION("""COMPUTED_VALUE"""),"Foxi")</f>
        <v>Foxi</v>
      </c>
      <c r="BD427" s="7" t="str">
        <f ca="1">IFERROR(__xludf.DUMMYFUNCTION("""COMPUTED_VALUE"""),"https://gameserver-store-client-area.orbionlimited.com/Home/IntegrationGameLaunch/client-area?moneyType=0&amp;gameName=TopHot5&amp;platform=desktop&amp;languageCode=eng&amp;currency=EUR")</f>
        <v>https://gameserver-store-client-area.orbionlimited.com/Home/IntegrationGameLaunch/client-area?moneyType=0&amp;gameName=TopHot5&amp;platform=desktop&amp;languageCode=eng&amp;currency=EUR</v>
      </c>
      <c r="BE427" s="5" t="b">
        <f ca="1">IFERROR(__xludf.DUMMYFUNCTION("""COMPUTED_VALUE"""),TRUE)</f>
        <v>1</v>
      </c>
    </row>
    <row r="428" spans="1:57" x14ac:dyDescent="0.25">
      <c r="A428" s="5">
        <f ca="1">IFERROR(__xludf.DUMMYFUNCTION("""COMPUTED_VALUE"""),441)</f>
        <v>441</v>
      </c>
      <c r="B428" s="5">
        <f ca="1">IFERROR(__xludf.DUMMYFUNCTION("""COMPUTED_VALUE"""),327)</f>
        <v>327</v>
      </c>
      <c r="C428" s="5" t="str">
        <f ca="1">IFERROR(__xludf.DUMMYFUNCTION("""COMPUTED_VALUE"""),"Tiptop")</f>
        <v>Tiptop</v>
      </c>
      <c r="D428" s="5" t="str">
        <f ca="1">IFERROR(__xludf.DUMMYFUNCTION("""COMPUTED_VALUE"""),"Big Spin Sevens")</f>
        <v>Big Spin Sevens</v>
      </c>
      <c r="E428" s="5"/>
      <c r="F428" s="5" t="str">
        <f ca="1">IFERROR(__xludf.DUMMYFUNCTION("""COMPUTED_VALUE"""),"UnicornBigSpinSevens")</f>
        <v>UnicornBigSpinSevens</v>
      </c>
      <c r="G428" s="5" t="str">
        <f ca="1">IFERROR(__xludf.DUMMYFUNCTION("""COMPUTED_VALUE"""),"Live")</f>
        <v>Live</v>
      </c>
      <c r="H428" s="5"/>
      <c r="I428" s="5" t="str">
        <f ca="1">IFERROR(__xludf.DUMMYFUNCTION("""COMPUTED_VALUE"""),"TipTop")</f>
        <v>TipTop</v>
      </c>
      <c r="J428" s="5" t="str">
        <f ca="1">IFERROR(__xludf.DUMMYFUNCTION("""COMPUTED_VALUE"""),"JSON")</f>
        <v>JSON</v>
      </c>
      <c r="K428" s="5" t="str">
        <f ca="1">IFERROR(__xludf.DUMMYFUNCTION("""COMPUTED_VALUE"""),"Slot")</f>
        <v>Slot</v>
      </c>
      <c r="L428" s="5"/>
      <c r="M428" s="5"/>
      <c r="N428" s="5"/>
      <c r="O428" s="5"/>
      <c r="P428" s="14">
        <f ca="1">IFERROR(__xludf.DUMMYFUNCTION("""COMPUTED_VALUE"""),9.9)</f>
        <v>9.9</v>
      </c>
      <c r="Q428" s="5"/>
      <c r="R428" s="5"/>
      <c r="S428" s="15">
        <f ca="1">IFERROR(__xludf.DUMMYFUNCTION("""COMPUTED_VALUE"""),45427)</f>
        <v>45427</v>
      </c>
      <c r="T428" s="5" t="b">
        <f ca="1">IFERROR(__xludf.DUMMYFUNCTION("""COMPUTED_VALUE"""),TRUE)</f>
        <v>1</v>
      </c>
      <c r="U428" s="5" t="str">
        <f ca="1">IFERROR(__xludf.DUMMYFUNCTION("""COMPUTED_VALUE"""),"5X3")</f>
        <v>5X3</v>
      </c>
      <c r="V428" s="12" t="str">
        <f ca="1">IFERROR(__xludf.DUMMYFUNCTION("""COMPUTED_VALUE"""),"5")</f>
        <v>5</v>
      </c>
      <c r="W428" s="5">
        <f ca="1">IFERROR(__xludf.DUMMYFUNCTION("""COMPUTED_VALUE"""),5)</f>
        <v>5</v>
      </c>
      <c r="X428" s="5">
        <f ca="1">IFERROR(__xludf.DUMMYFUNCTION("""COMPUTED_VALUE"""),96)</f>
        <v>96</v>
      </c>
      <c r="Y428" s="5" t="str">
        <f ca="1">IFERROR(__xludf.DUMMYFUNCTION("""COMPUTED_VALUE"""),"Low")</f>
        <v>Low</v>
      </c>
      <c r="Z428" s="5">
        <f ca="1">IFERROR(__xludf.DUMMYFUNCTION("""COMPUTED_VALUE"""),8.83)</f>
        <v>8.83</v>
      </c>
      <c r="AA428" s="5">
        <f ca="1">IFERROR(__xludf.DUMMYFUNCTION("""COMPUTED_VALUE"""),1000)</f>
        <v>1000</v>
      </c>
      <c r="AB428" s="5"/>
      <c r="AC428" s="5"/>
      <c r="AD428" s="5" t="str">
        <f ca="1">IFERROR(__xludf.DUMMYFUNCTION("""COMPUTED_VALUE"""),"0.05/100")</f>
        <v>0.05/100</v>
      </c>
      <c r="AE428" s="5"/>
      <c r="AF428" s="5"/>
      <c r="AG428" s="10">
        <f ca="1">IFERROR(__xludf.DUMMYFUNCTION("""COMPUTED_VALUE"""),46197.4962731481)</f>
        <v>46197.496273148099</v>
      </c>
      <c r="AH428" s="5" t="str">
        <f ca="1">IFERROR(__xludf.DUMMYFUNCTION("""COMPUTED_VALUE"""),"selena.mihajlovic@fazi.rs")</f>
        <v>selena.mihajlovic@fazi.rs</v>
      </c>
      <c r="AI428" s="5"/>
      <c r="AJ428" s="5"/>
      <c r="AK428" s="5">
        <f ca="1">IFERROR(__xludf.DUMMYFUNCTION("""COMPUTED_VALUE"""),5)</f>
        <v>5</v>
      </c>
      <c r="AL428" s="5" t="str">
        <f ca="1">IFERROR(__xludf.DUMMYFUNCTION("""COMPUTED_VALUE"""),"No")</f>
        <v>No</v>
      </c>
      <c r="AM428" s="5"/>
      <c r="AN428" s="7" t="str">
        <f ca="1">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AO428" s="5"/>
      <c r="AP428" s="5"/>
      <c r="AQ428" s="5" t="b">
        <f ca="1">IFERROR(__xludf.DUMMYFUNCTION("""COMPUTED_VALUE"""),TRUE)</f>
        <v>1</v>
      </c>
      <c r="AR428" s="5"/>
      <c r="AS428" s="5" t="str">
        <f ca="1">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AT428" s="5"/>
      <c r="AU428" s="5" t="str">
        <f ca="1">IFERROR(__xludf.DUMMYFUNCTION("""COMPUTED_VALUE"""),"Fazi")</f>
        <v>Fazi</v>
      </c>
      <c r="AV428" s="5"/>
      <c r="AW428" s="5"/>
      <c r="AX428" s="5"/>
      <c r="AY428" s="5"/>
      <c r="AZ428" s="5"/>
      <c r="BA428" s="5"/>
      <c r="BB428" s="5" t="b">
        <f ca="1">IFERROR(__xludf.DUMMYFUNCTION("""COMPUTED_VALUE"""),TRUE)</f>
        <v>1</v>
      </c>
      <c r="BC428" s="5" t="str">
        <f ca="1">IFERROR(__xludf.DUMMYFUNCTION("""COMPUTED_VALUE"""),"Tiptop")</f>
        <v>Tiptop</v>
      </c>
      <c r="BD428" s="7" t="str">
        <f ca="1">IFERROR(__xludf.DUMMYFUNCTION("""COMPUTED_VALUE"""),"https://gameserver-store-client-area.orbionlimited.com/Home/IntegrationGameLaunch/client-area?moneyType=0&amp;gameName=UnicornBigSpinSevens&amp;platform=desktop&amp;languageCode=eng&amp;currency=EUR")</f>
        <v>https://gameserver-store-client-area.orbionlimited.com/Home/IntegrationGameLaunch/client-area?moneyType=0&amp;gameName=UnicornBigSpinSevens&amp;platform=desktop&amp;languageCode=eng&amp;currency=EUR</v>
      </c>
      <c r="BE428" s="5" t="b">
        <f ca="1">IFERROR(__xludf.DUMMYFUNCTION("""COMPUTED_VALUE"""),TRUE)</f>
        <v>1</v>
      </c>
    </row>
    <row r="429" spans="1:57" x14ac:dyDescent="0.25">
      <c r="A429" s="5">
        <f ca="1">IFERROR(__xludf.DUMMYFUNCTION("""COMPUTED_VALUE"""),442)</f>
        <v>442</v>
      </c>
      <c r="B429" s="5">
        <f ca="1">IFERROR(__xludf.DUMMYFUNCTION("""COMPUTED_VALUE"""),335)</f>
        <v>335</v>
      </c>
      <c r="C429" s="5" t="str">
        <f ca="1">IFERROR(__xludf.DUMMYFUNCTION("""COMPUTED_VALUE"""),"Redstone")</f>
        <v>Redstone</v>
      </c>
      <c r="D429" s="5" t="str">
        <f ca="1">IFERROR(__xludf.DUMMYFUNCTION("""COMPUTED_VALUE"""),"Hot Rush Fruit Lines")</f>
        <v>Hot Rush Fruit Lines</v>
      </c>
      <c r="E429" s="5" t="str">
        <f ca="1">IFERROR(__xludf.DUMMYFUNCTION("""COMPUTED_VALUE"""),"Redstone")</f>
        <v>Redstone</v>
      </c>
      <c r="F429" s="5" t="str">
        <f ca="1">IFERROR(__xludf.DUMMYFUNCTION("""COMPUTED_VALUE"""),"RedstoneHotRushFruitLines")</f>
        <v>RedstoneHotRushFruitLines</v>
      </c>
      <c r="G429" s="5" t="str">
        <f ca="1">IFERROR(__xludf.DUMMYFUNCTION("""COMPUTED_VALUE"""),"Live")</f>
        <v>Live</v>
      </c>
      <c r="H429" s="5"/>
      <c r="I429" s="5" t="str">
        <f ca="1">IFERROR(__xludf.DUMMYFUNCTION("""COMPUTED_VALUE"""),"Redstone")</f>
        <v>Redstone</v>
      </c>
      <c r="J429" s="5" t="str">
        <f ca="1">IFERROR(__xludf.DUMMYFUNCTION("""COMPUTED_VALUE"""),"JSON")</f>
        <v>JSON</v>
      </c>
      <c r="K429" s="5" t="str">
        <f ca="1">IFERROR(__xludf.DUMMYFUNCTION("""COMPUTED_VALUE"""),"Slot")</f>
        <v>Slot</v>
      </c>
      <c r="L429" s="5" t="str">
        <f ca="1">IFERROR(__xludf.DUMMYFUNCTION("""COMPUTED_VALUE"""),"Master")</f>
        <v>Master</v>
      </c>
      <c r="M429" s="5"/>
      <c r="N429" s="7" t="str">
        <f ca="1">IFERROR(__xludf.DUMMYFUNCTION("""COMPUTED_VALUE"""),"https://docs.google.com/document/d/1MDzFpw1Ba1ZwjHnP3dPjDDT4cZqBv_J_/edit?usp=drive_link&amp;ouid=107596163405648766688&amp;rtpof=true&amp;sd=true")</f>
        <v>https://docs.google.com/document/d/1MDzFpw1Ba1ZwjHnP3dPjDDT4cZqBv_J_/edit?usp=drive_link&amp;ouid=107596163405648766688&amp;rtpof=true&amp;sd=true</v>
      </c>
      <c r="O429" s="7" t="str">
        <f ca="1">IFERROR(__xludf.DUMMYFUNCTION("""COMPUTED_VALUE"""),"https://docs.google.com/document/d/1MShAbhMzYV_ictGwDjX6Sn27uuCG2Ms-/edit?usp=drive_link&amp;ouid=107596163405648766688&amp;rtpof=true&amp;sd=true")</f>
        <v>https://docs.google.com/document/d/1MShAbhMzYV_ictGwDjX6Sn27uuCG2Ms-/edit?usp=drive_link&amp;ouid=107596163405648766688&amp;rtpof=true&amp;sd=true</v>
      </c>
      <c r="P429" s="14">
        <f ca="1">IFERROR(__xludf.DUMMYFUNCTION("""COMPUTED_VALUE"""),6.3)</f>
        <v>6.3</v>
      </c>
      <c r="Q429" s="5"/>
      <c r="R429" s="5"/>
      <c r="S429" s="15">
        <f ca="1">IFERROR(__xludf.DUMMYFUNCTION("""COMPUTED_VALUE"""),45434)</f>
        <v>45434</v>
      </c>
      <c r="T429" s="5"/>
      <c r="U429" s="5" t="str">
        <f ca="1">IFERROR(__xludf.DUMMYFUNCTION("""COMPUTED_VALUE"""),"5x3")</f>
        <v>5x3</v>
      </c>
      <c r="V429" s="12" t="str">
        <f ca="1">IFERROR(__xludf.DUMMYFUNCTION("""COMPUTED_VALUE"""),"5")</f>
        <v>5</v>
      </c>
      <c r="W429" s="5">
        <f ca="1">IFERROR(__xludf.DUMMYFUNCTION("""COMPUTED_VALUE"""),5)</f>
        <v>5</v>
      </c>
      <c r="X429" s="5">
        <f ca="1">IFERROR(__xludf.DUMMYFUNCTION("""COMPUTED_VALUE"""),96.04)</f>
        <v>96.04</v>
      </c>
      <c r="Y429" s="5" t="str">
        <f ca="1">IFERROR(__xludf.DUMMYFUNCTION("""COMPUTED_VALUE"""),"Low")</f>
        <v>Low</v>
      </c>
      <c r="Z429" s="5">
        <f ca="1">IFERROR(__xludf.DUMMYFUNCTION("""COMPUTED_VALUE"""),8.89)</f>
        <v>8.89</v>
      </c>
      <c r="AA429" s="5">
        <f ca="1">IFERROR(__xludf.DUMMYFUNCTION("""COMPUTED_VALUE"""),1100)</f>
        <v>1100</v>
      </c>
      <c r="AB429" s="5"/>
      <c r="AC429" s="5"/>
      <c r="AD429" s="5" t="str">
        <f ca="1">IFERROR(__xludf.DUMMYFUNCTION("""COMPUTED_VALUE"""),"0.05/100")</f>
        <v>0.05/100</v>
      </c>
      <c r="AE429" s="5"/>
      <c r="AF429" s="5"/>
      <c r="AG429" s="10">
        <f ca="1">IFERROR(__xludf.DUMMYFUNCTION("""COMPUTED_VALUE"""),46212.4947685185)</f>
        <v>46212.494768518503</v>
      </c>
      <c r="AH429" s="5" t="str">
        <f ca="1">IFERROR(__xludf.DUMMYFUNCTION("""COMPUTED_VALUE"""),"selena.mihajlovic@fazi.rs")</f>
        <v>selena.mihajlovic@fazi.rs</v>
      </c>
      <c r="AI429" s="5"/>
      <c r="AJ429" s="5"/>
      <c r="AK429" s="5">
        <f ca="1">IFERROR(__xludf.DUMMYFUNCTION("""COMPUTED_VALUE"""),1)</f>
        <v>1</v>
      </c>
      <c r="AL429" s="5" t="str">
        <f ca="1">IFERROR(__xludf.DUMMYFUNCTION("""COMPUTED_VALUE"""),"No")</f>
        <v>No</v>
      </c>
      <c r="AM429" s="5" t="str">
        <f ca="1">IFERROR(__xludf.DUMMYFUNCTION("""COMPUTED_VALUE"""),"No")</f>
        <v>No</v>
      </c>
      <c r="AN429" s="7" t="str">
        <f ca="1">IFERROR(__xludf.DUMMYFUNCTION("""COMPUTED_VALUE"""),"https://static.redstone.rs/games/hot-rush-fruit-lines/")</f>
        <v>https://static.redstone.rs/games/hot-rush-fruit-lines/</v>
      </c>
      <c r="AO429" s="5" t="str">
        <f ca="1">IFERROR(__xludf.DUMMYFUNCTION("""COMPUTED_VALUE"""),"No")</f>
        <v>No</v>
      </c>
      <c r="AP429" s="5" t="str">
        <f ca="1">IFERROR(__xludf.DUMMYFUNCTION("""COMPUTED_VALUE"""),"No")</f>
        <v>No</v>
      </c>
      <c r="AQ429" s="5" t="b">
        <f ca="1">IFERROR(__xludf.DUMMYFUNCTION("""COMPUTED_VALUE"""),TRUE)</f>
        <v>1</v>
      </c>
      <c r="AR429" s="5"/>
      <c r="AS429" s="5" t="str">
        <f ca="1">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AT429" s="5"/>
      <c r="AU429" s="5" t="str">
        <f ca="1">IFERROR(__xludf.DUMMYFUNCTION("""COMPUTED_VALUE"""),"Redstone")</f>
        <v>Redstone</v>
      </c>
      <c r="AV429" s="5"/>
      <c r="AW429" s="5"/>
      <c r="AX429" s="5"/>
      <c r="AY429" s="5"/>
      <c r="AZ429" s="5"/>
      <c r="BA429" s="5"/>
      <c r="BB429" s="5" t="b">
        <f ca="1">IFERROR(__xludf.DUMMYFUNCTION("""COMPUTED_VALUE"""),TRUE)</f>
        <v>1</v>
      </c>
      <c r="BC429" s="5" t="str">
        <f ca="1">IFERROR(__xludf.DUMMYFUNCTION("""COMPUTED_VALUE"""),"Redstone")</f>
        <v>Redstone</v>
      </c>
      <c r="BD429" s="7" t="str">
        <f ca="1">IFERROR(__xludf.DUMMYFUNCTION("""COMPUTED_VALUE"""),"https://static.redstone.rs/games/hot-rush-fruit-lines/")</f>
        <v>https://static.redstone.rs/games/hot-rush-fruit-lines/</v>
      </c>
      <c r="BE429" s="5" t="b">
        <f ca="1">IFERROR(__xludf.DUMMYFUNCTION("""COMPUTED_VALUE"""),TRUE)</f>
        <v>1</v>
      </c>
    </row>
    <row r="430" spans="1:57" x14ac:dyDescent="0.25">
      <c r="A430" s="5">
        <f ca="1">IFERROR(__xludf.DUMMYFUNCTION("""COMPUTED_VALUE"""),445)</f>
        <v>445</v>
      </c>
      <c r="B430" s="5">
        <f ca="1">IFERROR(__xludf.DUMMYFUNCTION("""COMPUTED_VALUE"""),2000002)</f>
        <v>2000002</v>
      </c>
      <c r="C430" s="5" t="str">
        <f ca="1">IFERROR(__xludf.DUMMYFUNCTION("""COMPUTED_VALUE"""),"Game Play Technology")</f>
        <v>Game Play Technology</v>
      </c>
      <c r="D430" s="5" t="str">
        <f ca="1">IFERROR(__xludf.DUMMYFUNCTION("""COMPUTED_VALUE"""),"Plinko Hinamis Forest of Magic")</f>
        <v>Plinko Hinamis Forest of Magic</v>
      </c>
      <c r="E430" s="5"/>
      <c r="F430" s="5" t="str">
        <f ca="1">IFERROR(__xludf.DUMMYFUNCTION("""COMPUTED_VALUE"""),"HinamisForestOfMagic")</f>
        <v>HinamisForestOfMagic</v>
      </c>
      <c r="G430" s="5" t="str">
        <f ca="1">IFERROR(__xludf.DUMMYFUNCTION("""COMPUTED_VALUE"""),"Retired")</f>
        <v>Retired</v>
      </c>
      <c r="H430" s="5"/>
      <c r="I430" s="5"/>
      <c r="J430" s="5"/>
      <c r="K430" s="5" t="str">
        <f ca="1">IFERROR(__xludf.DUMMYFUNCTION("""COMPUTED_VALUE"""),"Plinko")</f>
        <v>Plinko</v>
      </c>
      <c r="L430" s="5"/>
      <c r="M430" s="5"/>
      <c r="N430" s="5"/>
      <c r="O430" s="5"/>
      <c r="P430" s="5"/>
      <c r="Q430" s="5"/>
      <c r="R430" s="5"/>
      <c r="S430" s="15">
        <f ca="1">IFERROR(__xludf.DUMMYFUNCTION("""COMPUTED_VALUE"""),45448)</f>
        <v>45448</v>
      </c>
      <c r="T430" s="5" t="b">
        <f ca="1">IFERROR(__xludf.DUMMYFUNCTION("""COMPUTED_VALUE"""),TRUE)</f>
        <v>1</v>
      </c>
      <c r="U430" s="5"/>
      <c r="V430" s="5"/>
      <c r="W430" s="5"/>
      <c r="X430" s="5"/>
      <c r="Y430" s="5"/>
      <c r="Z430" s="5"/>
      <c r="AA430" s="5"/>
      <c r="AB430" s="5"/>
      <c r="AC430" s="5"/>
      <c r="AD430" s="5"/>
      <c r="AE430" s="5"/>
      <c r="AF430" s="5"/>
      <c r="AG430" s="10">
        <f ca="1">IFERROR(__xludf.DUMMYFUNCTION("""COMPUTED_VALUE"""),45706.4326273148)</f>
        <v>45706.432627314804</v>
      </c>
      <c r="AH430" s="5" t="str">
        <f ca="1">IFERROR(__xludf.DUMMYFUNCTION("""COMPUTED_VALUE"""),"iva.cirkovic@fazi.rs")</f>
        <v>iva.cirkovic@fazi.rs</v>
      </c>
      <c r="AI430" s="5"/>
      <c r="AJ430" s="5"/>
      <c r="AK430" s="5"/>
      <c r="AL430" s="5"/>
      <c r="AM430" s="5"/>
      <c r="AN430" s="5"/>
      <c r="AO430" s="5"/>
      <c r="AP430" s="5"/>
      <c r="AQ430" s="5"/>
      <c r="AR430" s="5"/>
      <c r="AS430" s="5"/>
      <c r="AT430" s="5"/>
      <c r="AU430" s="5"/>
      <c r="AV430" s="5"/>
      <c r="AW430" s="5"/>
      <c r="AX430" s="5"/>
      <c r="AY430" s="5"/>
      <c r="AZ430" s="5"/>
      <c r="BA430" s="5" t="str">
        <f ca="1">IFERROR(__xludf.DUMMYFUNCTION("""COMPUTED_VALUE"""),"")</f>
        <v/>
      </c>
      <c r="BB430" s="5"/>
      <c r="BC430" s="5" t="str">
        <f ca="1">IFERROR(__xludf.DUMMYFUNCTION("""COMPUTED_VALUE"""),"Game Play Technology")</f>
        <v>Game Play Technology</v>
      </c>
      <c r="BD430" s="5"/>
      <c r="BE430" s="5"/>
    </row>
    <row r="431" spans="1:57" x14ac:dyDescent="0.25">
      <c r="A431" s="5">
        <f ca="1">IFERROR(__xludf.DUMMYFUNCTION("""COMPUTED_VALUE"""),447)</f>
        <v>447</v>
      </c>
      <c r="B431" s="5">
        <f ca="1">IFERROR(__xludf.DUMMYFUNCTION("""COMPUTED_VALUE"""),2000003)</f>
        <v>2000003</v>
      </c>
      <c r="C431" s="5" t="str">
        <f ca="1">IFERROR(__xludf.DUMMYFUNCTION("""COMPUTED_VALUE"""),"Game Play Technology")</f>
        <v>Game Play Technology</v>
      </c>
      <c r="D431" s="5" t="str">
        <f ca="1">IFERROR(__xludf.DUMMYFUNCTION("""COMPUTED_VALUE"""),"Plinko Running Mice")</f>
        <v>Plinko Running Mice</v>
      </c>
      <c r="E431" s="5"/>
      <c r="F431" s="5" t="str">
        <f ca="1">IFERROR(__xludf.DUMMYFUNCTION("""COMPUTED_VALUE"""),"RunningMice")</f>
        <v>RunningMice</v>
      </c>
      <c r="G431" s="5" t="str">
        <f ca="1">IFERROR(__xludf.DUMMYFUNCTION("""COMPUTED_VALUE"""),"Retired")</f>
        <v>Retired</v>
      </c>
      <c r="H431" s="5"/>
      <c r="I431" s="5"/>
      <c r="J431" s="5"/>
      <c r="K431" s="5" t="str">
        <f ca="1">IFERROR(__xludf.DUMMYFUNCTION("""COMPUTED_VALUE"""),"Plinko")</f>
        <v>Plinko</v>
      </c>
      <c r="L431" s="5"/>
      <c r="M431" s="5"/>
      <c r="N431" s="5"/>
      <c r="O431" s="5"/>
      <c r="P431" s="5"/>
      <c r="Q431" s="5"/>
      <c r="R431" s="5"/>
      <c r="S431" s="15">
        <f ca="1">IFERROR(__xludf.DUMMYFUNCTION("""COMPUTED_VALUE"""),45464)</f>
        <v>45464</v>
      </c>
      <c r="T431" s="5"/>
      <c r="U431" s="5"/>
      <c r="V431" s="5"/>
      <c r="W431" s="5"/>
      <c r="X431" s="5"/>
      <c r="Y431" s="5"/>
      <c r="Z431" s="5"/>
      <c r="AA431" s="5"/>
      <c r="AB431" s="5"/>
      <c r="AC431" s="5"/>
      <c r="AD431" s="5"/>
      <c r="AE431" s="5"/>
      <c r="AF431" s="5"/>
      <c r="AG431" s="10">
        <f ca="1">IFERROR(__xludf.DUMMYFUNCTION("""COMPUTED_VALUE"""),45695.7097106481)</f>
        <v>45695.709710648101</v>
      </c>
      <c r="AH431" s="5" t="str">
        <f ca="1">IFERROR(__xludf.DUMMYFUNCTION("""COMPUTED_VALUE"""),"mila.stefanovic@fazi.rs")</f>
        <v>mila.stefanovic@fazi.rs</v>
      </c>
      <c r="AI431" s="5"/>
      <c r="AJ431" s="5"/>
      <c r="AK431" s="5"/>
      <c r="AL431" s="5"/>
      <c r="AM431" s="5"/>
      <c r="AN431" s="5"/>
      <c r="AO431" s="5"/>
      <c r="AP431" s="5"/>
      <c r="AQ431" s="5"/>
      <c r="AR431" s="5"/>
      <c r="AS431" s="5"/>
      <c r="AT431" s="5"/>
      <c r="AU431" s="5"/>
      <c r="AV431" s="5"/>
      <c r="AW431" s="5"/>
      <c r="AX431" s="5"/>
      <c r="AY431" s="5"/>
      <c r="AZ431" s="5"/>
      <c r="BA431" s="5" t="str">
        <f ca="1">IFERROR(__xludf.DUMMYFUNCTION("""COMPUTED_VALUE"""),"")</f>
        <v/>
      </c>
      <c r="BB431" s="5"/>
      <c r="BC431" s="5" t="str">
        <f ca="1">IFERROR(__xludf.DUMMYFUNCTION("""COMPUTED_VALUE"""),"Game Play Technology")</f>
        <v>Game Play Technology</v>
      </c>
      <c r="BD431" s="5"/>
      <c r="BE431" s="5"/>
    </row>
    <row r="432" spans="1:57" x14ac:dyDescent="0.25">
      <c r="A432" s="5">
        <f ca="1">IFERROR(__xludf.DUMMYFUNCTION("""COMPUTED_VALUE"""),448)</f>
        <v>448</v>
      </c>
      <c r="B432" s="5">
        <f ca="1">IFERROR(__xludf.DUMMYFUNCTION("""COMPUTED_VALUE"""),1005)</f>
        <v>1005</v>
      </c>
      <c r="C432" s="5" t="str">
        <f ca="1">IFERROR(__xludf.DUMMYFUNCTION("""COMPUTED_VALUE"""),"Fazi")</f>
        <v>Fazi</v>
      </c>
      <c r="D432" s="5" t="str">
        <f ca="1">IFERROR(__xludf.DUMMYFUNCTION("""COMPUTED_VALUE"""),"Wild 5")</f>
        <v>Wild 5</v>
      </c>
      <c r="E432" s="5" t="str">
        <f ca="1">IFERROR(__xludf.DUMMYFUNCTION("""COMPUTED_VALUE"""),"V4-1")</f>
        <v>V4-1</v>
      </c>
      <c r="F432" s="5" t="str">
        <f ca="1">IFERROR(__xludf.DUMMYFUNCTION("""COMPUTED_VALUE"""),"Wild5")</f>
        <v>Wild5</v>
      </c>
      <c r="G432" s="5" t="str">
        <f ca="1">IFERROR(__xludf.DUMMYFUNCTION("""COMPUTED_VALUE"""),"Live")</f>
        <v>Live</v>
      </c>
      <c r="H432" s="5"/>
      <c r="I432" s="5" t="str">
        <f ca="1">IFERROR(__xludf.DUMMYFUNCTION("""COMPUTED_VALUE"""),"V4")</f>
        <v>V4</v>
      </c>
      <c r="J432" s="5" t="str">
        <f ca="1">IFERROR(__xludf.DUMMYFUNCTION("""COMPUTED_VALUE"""),"JSON")</f>
        <v>JSON</v>
      </c>
      <c r="K432" s="5" t="str">
        <f ca="1">IFERROR(__xludf.DUMMYFUNCTION("""COMPUTED_VALUE"""),"Slot")</f>
        <v>Slot</v>
      </c>
      <c r="L432" s="5"/>
      <c r="M432" s="5"/>
      <c r="N432" s="7" t="str">
        <f ca="1">IFERROR(__xludf.DUMMYFUNCTION("""COMPUTED_VALUE"""),"https://drive.google.com/file/d/1d-3kCKBdZXLlvGz9vxVk8oWs8zGTsxln/view?usp=sharing")</f>
        <v>https://drive.google.com/file/d/1d-3kCKBdZXLlvGz9vxVk8oWs8zGTsxln/view?usp=sharing</v>
      </c>
      <c r="O432" s="7" t="str">
        <f ca="1">IFERROR(__xludf.DUMMYFUNCTION("""COMPUTED_VALUE"""),"https://drive.google.com/file/d/10mce7DaE2ruwhtSFdWdSsoQV1nSqOwQY/view?usp=sharing")</f>
        <v>https://drive.google.com/file/d/10mce7DaE2ruwhtSFdWdSsoQV1nSqOwQY/view?usp=sharing</v>
      </c>
      <c r="P432" s="14">
        <f ca="1">IFERROR(__xludf.DUMMYFUNCTION("""COMPUTED_VALUE"""),10.1)</f>
        <v>10.1</v>
      </c>
      <c r="Q432" s="15">
        <f ca="1">IFERROR(__xludf.DUMMYFUNCTION("""COMPUTED_VALUE"""),45713)</f>
        <v>45713</v>
      </c>
      <c r="R432" s="17">
        <f ca="1">IFERROR(__xludf.DUMMYFUNCTION("""COMPUTED_VALUE"""),45719)</f>
        <v>45719</v>
      </c>
      <c r="S432" s="15">
        <f ca="1">IFERROR(__xludf.DUMMYFUNCTION("""COMPUTED_VALUE"""),45726)</f>
        <v>45726</v>
      </c>
      <c r="T432" s="5" t="b">
        <f ca="1">IFERROR(__xludf.DUMMYFUNCTION("""COMPUTED_VALUE"""),TRUE)</f>
        <v>1</v>
      </c>
      <c r="U432" s="5" t="str">
        <f ca="1">IFERROR(__xludf.DUMMYFUNCTION("""COMPUTED_VALUE"""),"3x3")</f>
        <v>3x3</v>
      </c>
      <c r="V432" s="5">
        <f ca="1">IFERROR(__xludf.DUMMYFUNCTION("""COMPUTED_VALUE"""),5)</f>
        <v>5</v>
      </c>
      <c r="W432" s="5">
        <f ca="1">IFERROR(__xludf.DUMMYFUNCTION("""COMPUTED_VALUE"""),5)</f>
        <v>5</v>
      </c>
      <c r="X432" s="5">
        <f ca="1">IFERROR(__xludf.DUMMYFUNCTION("""COMPUTED_VALUE"""),96.327)</f>
        <v>96.326999999999998</v>
      </c>
      <c r="Y432" s="5" t="str">
        <f ca="1">IFERROR(__xludf.DUMMYFUNCTION("""COMPUTED_VALUE"""),"High")</f>
        <v>High</v>
      </c>
      <c r="Z432" s="5">
        <f ca="1">IFERROR(__xludf.DUMMYFUNCTION("""COMPUTED_VALUE"""),5.553)</f>
        <v>5.5529999999999999</v>
      </c>
      <c r="AA432" s="5">
        <f ca="1">IFERROR(__xludf.DUMMYFUNCTION("""COMPUTED_VALUE"""),100)</f>
        <v>100</v>
      </c>
      <c r="AB432" s="5"/>
      <c r="AC432" s="5" t="str">
        <f ca="1">IFERROR(__xludf.DUMMYFUNCTION("""COMPUTED_VALUE"""),"Win Multiplier, Win Multiplier")</f>
        <v>Win Multiplier, Win Multiplier</v>
      </c>
      <c r="AD432" s="5" t="str">
        <f ca="1">IFERROR(__xludf.DUMMYFUNCTION("""COMPUTED_VALUE"""),"0.1/50")</f>
        <v>0.1/50</v>
      </c>
      <c r="AE432" s="5"/>
      <c r="AF432" s="5"/>
      <c r="AG432" s="10">
        <f ca="1">IFERROR(__xludf.DUMMYFUNCTION("""COMPUTED_VALUE"""),46153.6262268518)</f>
        <v>46153.626226851797</v>
      </c>
      <c r="AH432" s="5" t="str">
        <f ca="1">IFERROR(__xludf.DUMMYFUNCTION("""COMPUTED_VALUE"""),"djordje.petrovic@fazi.rs")</f>
        <v>djordje.petrovic@fazi.rs</v>
      </c>
      <c r="AI432" s="5"/>
      <c r="AJ432" s="5"/>
      <c r="AK432" s="5">
        <f ca="1">IFERROR(__xludf.DUMMYFUNCTION("""COMPUTED_VALUE"""),1)</f>
        <v>1</v>
      </c>
      <c r="AL432" s="5" t="str">
        <f ca="1">IFERROR(__xludf.DUMMYFUNCTION("""COMPUTED_VALUE"""),"Yes")</f>
        <v>Yes</v>
      </c>
      <c r="AM432" s="5"/>
      <c r="AN432" s="7" t="str">
        <f ca="1">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AO432" s="5" t="str">
        <f ca="1">IFERROR(__xludf.DUMMYFUNCTION("""COMPUTED_VALUE"""),"Yes")</f>
        <v>Yes</v>
      </c>
      <c r="AP432" s="5" t="str">
        <f ca="1">IFERROR(__xludf.DUMMYFUNCTION("""COMPUTED_VALUE"""),"Yes")</f>
        <v>Yes</v>
      </c>
      <c r="AQ432" s="5" t="b">
        <f ca="1">IFERROR(__xludf.DUMMYFUNCTION("""COMPUTED_VALUE"""),TRUE)</f>
        <v>1</v>
      </c>
      <c r="AR432" s="5"/>
      <c r="AS432" s="5" t="str">
        <f ca="1">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AT432" s="5" t="str">
        <f ca="1">IFERROR(__xludf.DUMMYFUNCTION("""COMPUTED_VALUE"""),"Yes")</f>
        <v>Yes</v>
      </c>
      <c r="AU432" s="5" t="str">
        <f ca="1">IFERROR(__xludf.DUMMYFUNCTION("""COMPUTED_VALUE"""),"Fazi")</f>
        <v>Fazi</v>
      </c>
      <c r="AV432" s="5"/>
      <c r="AW432" s="5"/>
      <c r="AX432" s="5"/>
      <c r="AY432" s="5" t="str">
        <f ca="1">IFERROR(__xludf.DUMMYFUNCTION("""COMPUTED_VALUE"""),"87.5%, 89.5%, 91.5%, 93.5%, 94.5%, 95.5%, 96.5%")</f>
        <v>87.5%, 89.5%, 91.5%, 93.5%, 94.5%, 95.5%, 96.5%</v>
      </c>
      <c r="AZ432" s="5"/>
      <c r="BA432" s="5"/>
      <c r="BB432" s="5"/>
      <c r="BC432" s="5" t="str">
        <f ca="1">IFERROR(__xludf.DUMMYFUNCTION("""COMPUTED_VALUE"""),"Foxi")</f>
        <v>Foxi</v>
      </c>
      <c r="BD432" s="7" t="str">
        <f ca="1">IFERROR(__xludf.DUMMYFUNCTION("""COMPUTED_VALUE"""),"https://gameserver-store-client-area.orbionlimited.com/Home/IntegrationGameLaunch/client-area?moneyType=0&amp;gameName=Wild5&amp;platform=desktop&amp;languageCode=eng&amp;currency=EUR")</f>
        <v>https://gameserver-store-client-area.orbionlimited.com/Home/IntegrationGameLaunch/client-area?moneyType=0&amp;gameName=Wild5&amp;platform=desktop&amp;languageCode=eng&amp;currency=EUR</v>
      </c>
      <c r="BE432" s="5" t="b">
        <f ca="1">IFERROR(__xludf.DUMMYFUNCTION("""COMPUTED_VALUE"""),TRUE)</f>
        <v>1</v>
      </c>
    </row>
    <row r="433" spans="1:57" x14ac:dyDescent="0.25">
      <c r="A433" s="5">
        <f ca="1">IFERROR(__xludf.DUMMYFUNCTION("""COMPUTED_VALUE"""),449)</f>
        <v>449</v>
      </c>
      <c r="B433" s="5">
        <f ca="1">IFERROR(__xludf.DUMMYFUNCTION("""COMPUTED_VALUE"""),3008)</f>
        <v>3008</v>
      </c>
      <c r="C433" s="5" t="str">
        <f ca="1">IFERROR(__xludf.DUMMYFUNCTION("""COMPUTED_VALUE"""),"Fazi")</f>
        <v>Fazi</v>
      </c>
      <c r="D433" s="5" t="str">
        <f ca="1">IFERROR(__xludf.DUMMYFUNCTION("""COMPUTED_VALUE"""),"Brilliant Heart")</f>
        <v>Brilliant Heart</v>
      </c>
      <c r="E433" s="5" t="str">
        <f ca="1">IFERROR(__xludf.DUMMYFUNCTION("""COMPUTED_VALUE"""),"V2")</f>
        <v>V2</v>
      </c>
      <c r="F433" s="5" t="str">
        <f ca="1">IFERROR(__xludf.DUMMYFUNCTION("""COMPUTED_VALUE"""),"BrilliantHeart")</f>
        <v>BrilliantHeart</v>
      </c>
      <c r="G433" s="5" t="str">
        <f ca="1">IFERROR(__xludf.DUMMYFUNCTION("""COMPUTED_VALUE"""),"Live")</f>
        <v>Live</v>
      </c>
      <c r="H433" s="5"/>
      <c r="I433" s="5" t="str">
        <f ca="1">IFERROR(__xludf.DUMMYFUNCTION("""COMPUTED_VALUE"""),"V2")</f>
        <v>V2</v>
      </c>
      <c r="J433" s="5" t="str">
        <f ca="1">IFERROR(__xludf.DUMMYFUNCTION("""COMPUTED_VALUE"""),"JSON")</f>
        <v>JSON</v>
      </c>
      <c r="K433" s="5" t="str">
        <f ca="1">IFERROR(__xludf.DUMMYFUNCTION("""COMPUTED_VALUE"""),"Slot")</f>
        <v>Slot</v>
      </c>
      <c r="L433" s="5" t="str">
        <f ca="1">IFERROR(__xludf.DUMMYFUNCTION("""COMPUTED_VALUE""")," Clone")</f>
        <v xml:space="preserve"> Clone</v>
      </c>
      <c r="M433" s="5" t="str">
        <f ca="1">IFERROR(__xludf.DUMMYFUNCTION("""COMPUTED_VALUE"""),"Golden Crown Max")</f>
        <v>Golden Crown Max</v>
      </c>
      <c r="N433" s="7" t="str">
        <f ca="1">IFERROR(__xludf.DUMMYFUNCTION("""COMPUTED_VALUE"""),"https://drive.google.com/drive/folders/1kbglFJ5oU8iGhS6Kx0DglZ_vC6RUsXi9")</f>
        <v>https://drive.google.com/drive/folders/1kbglFJ5oU8iGhS6Kx0DglZ_vC6RUsXi9</v>
      </c>
      <c r="O433" s="7" t="str">
        <f ca="1">IFERROR(__xludf.DUMMYFUNCTION("""COMPUTED_VALUE"""),"https://drive.google.com/drive/folders/1kbglFJ5oU8iGhS6Kx0DglZ_vC6RUsXi9")</f>
        <v>https://drive.google.com/drive/folders/1kbglFJ5oU8iGhS6Kx0DglZ_vC6RUsXi9</v>
      </c>
      <c r="P433" s="14">
        <f ca="1">IFERROR(__xludf.DUMMYFUNCTION("""COMPUTED_VALUE"""),24.6)</f>
        <v>24.6</v>
      </c>
      <c r="Q433" s="5"/>
      <c r="R433" s="17">
        <f ca="1">IFERROR(__xludf.DUMMYFUNCTION("""COMPUTED_VALUE"""),45729)</f>
        <v>45729</v>
      </c>
      <c r="S433" s="15">
        <f ca="1">IFERROR(__xludf.DUMMYFUNCTION("""COMPUTED_VALUE"""),45736)</f>
        <v>45736</v>
      </c>
      <c r="T433" s="5" t="b">
        <f ca="1">IFERROR(__xludf.DUMMYFUNCTION("""COMPUTED_VALUE"""),TRUE)</f>
        <v>1</v>
      </c>
      <c r="U433" s="5" t="str">
        <f ca="1">IFERROR(__xludf.DUMMYFUNCTION("""COMPUTED_VALUE"""),"5x4")</f>
        <v>5x4</v>
      </c>
      <c r="V433" s="5">
        <f ca="1">IFERROR(__xludf.DUMMYFUNCTION("""COMPUTED_VALUE"""),40)</f>
        <v>40</v>
      </c>
      <c r="W433" s="5">
        <f ca="1">IFERROR(__xludf.DUMMYFUNCTION("""COMPUTED_VALUE"""),40)</f>
        <v>40</v>
      </c>
      <c r="X433" s="5">
        <f ca="1">IFERROR(__xludf.DUMMYFUNCTION("""COMPUTED_VALUE"""),96.483)</f>
        <v>96.483000000000004</v>
      </c>
      <c r="Y433" s="5" t="str">
        <f ca="1">IFERROR(__xludf.DUMMYFUNCTION("""COMPUTED_VALUE"""),"High")</f>
        <v>High</v>
      </c>
      <c r="Z433" s="5">
        <f ca="1">IFERROR(__xludf.DUMMYFUNCTION("""COMPUTED_VALUE"""),12.5)</f>
        <v>12.5</v>
      </c>
      <c r="AA433" s="5">
        <f ca="1">IFERROR(__xludf.DUMMYFUNCTION("""COMPUTED_VALUE"""),5000)</f>
        <v>5000</v>
      </c>
      <c r="AB433" s="5"/>
      <c r="AC433" s="5" t="str">
        <f ca="1">IFERROR(__xludf.DUMMYFUNCTION("""COMPUTED_VALUE"""),"Expanding Wild")</f>
        <v>Expanding Wild</v>
      </c>
      <c r="AD433" s="5" t="str">
        <f ca="1">IFERROR(__xludf.DUMMYFUNCTION("""COMPUTED_VALUE"""),"0.4/60")</f>
        <v>0.4/60</v>
      </c>
      <c r="AE433" s="5"/>
      <c r="AF433" s="5"/>
      <c r="AG433" s="10">
        <f ca="1">IFERROR(__xludf.DUMMYFUNCTION("""COMPUTED_VALUE"""),46112.3863541666)</f>
        <v>46112.3863541666</v>
      </c>
      <c r="AH433" s="5" t="str">
        <f ca="1">IFERROR(__xludf.DUMMYFUNCTION("""COMPUTED_VALUE"""),"milutin.toskic@fazi.rs")</f>
        <v>milutin.toskic@fazi.rs</v>
      </c>
      <c r="AI433" s="5"/>
      <c r="AJ433" s="5"/>
      <c r="AK433" s="5" t="str">
        <f ca="1">IFERROR(__xludf.DUMMYFUNCTION("""COMPUTED_VALUE"""),"N/A")</f>
        <v>N/A</v>
      </c>
      <c r="AL433" s="5" t="str">
        <f ca="1">IFERROR(__xludf.DUMMYFUNCTION("""COMPUTED_VALUE"""),"Yes")</f>
        <v>Yes</v>
      </c>
      <c r="AM433" s="5"/>
      <c r="AN433" s="7" t="str">
        <f ca="1">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AO433" s="5" t="str">
        <f ca="1">IFERROR(__xludf.DUMMYFUNCTION("""COMPUTED_VALUE"""),"Yes")</f>
        <v>Yes</v>
      </c>
      <c r="AP433" s="5" t="str">
        <f ca="1">IFERROR(__xludf.DUMMYFUNCTION("""COMPUTED_VALUE"""),"Yes")</f>
        <v>Yes</v>
      </c>
      <c r="AQ433" s="5" t="b">
        <f ca="1">IFERROR(__xludf.DUMMYFUNCTION("""COMPUTED_VALUE"""),TRUE)</f>
        <v>1</v>
      </c>
      <c r="AR433" s="5"/>
      <c r="AS433" s="5" t="str">
        <f ca="1">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AT433" s="5" t="str">
        <f ca="1">IFERROR(__xludf.DUMMYFUNCTION("""COMPUTED_VALUE"""),"Yes")</f>
        <v>Yes</v>
      </c>
      <c r="AU433" s="5" t="str">
        <f ca="1">IFERROR(__xludf.DUMMYFUNCTION("""COMPUTED_VALUE"""),"Fazi")</f>
        <v>Fazi</v>
      </c>
      <c r="AV433" s="5"/>
      <c r="AW433" s="5"/>
      <c r="AX433" s="5"/>
      <c r="AY433" s="5"/>
      <c r="AZ433" s="5"/>
      <c r="BA433" s="5"/>
      <c r="BB433" s="5"/>
      <c r="BC433" s="5" t="str">
        <f ca="1">IFERROR(__xludf.DUMMYFUNCTION("""COMPUTED_VALUE"""),"Foxi")</f>
        <v>Foxi</v>
      </c>
      <c r="BD433" s="7" t="str">
        <f ca="1">IFERROR(__xludf.DUMMYFUNCTION("""COMPUTED_VALUE"""),"https://gameserver-store-client-area.orbionlimited.com/Home/IntegrationGameLaunch/client-area?moneyType=0&amp;gameName=BrilliantHeart&amp;platform=desktop&amp;languageCode=eng&amp;currency=EUR")</f>
        <v>https://gameserver-store-client-area.orbionlimited.com/Home/IntegrationGameLaunch/client-area?moneyType=0&amp;gameName=BrilliantHeart&amp;platform=desktop&amp;languageCode=eng&amp;currency=EUR</v>
      </c>
      <c r="BE433" s="5" t="b">
        <f ca="1">IFERROR(__xludf.DUMMYFUNCTION("""COMPUTED_VALUE"""),TRUE)</f>
        <v>1</v>
      </c>
    </row>
    <row r="434" spans="1:57" x14ac:dyDescent="0.25">
      <c r="A434" s="5">
        <f ca="1">IFERROR(__xludf.DUMMYFUNCTION("""COMPUTED_VALUE"""),450)</f>
        <v>450</v>
      </c>
      <c r="B434" s="5">
        <f ca="1">IFERROR(__xludf.DUMMYFUNCTION("""COMPUTED_VALUE"""),395)</f>
        <v>395</v>
      </c>
      <c r="C434" s="5" t="str">
        <f ca="1">IFERROR(__xludf.DUMMYFUNCTION("""COMPUTED_VALUE"""),"Playnet")</f>
        <v>Playnet</v>
      </c>
      <c r="D434" s="5" t="str">
        <f ca="1">IFERROR(__xludf.DUMMYFUNCTION("""COMPUTED_VALUE"""),"Crown Stacks 40")</f>
        <v>Crown Stacks 40</v>
      </c>
      <c r="E434" s="5" t="str">
        <f ca="1">IFERROR(__xludf.DUMMYFUNCTION("""COMPUTED_VALUE"""),"V4-2")</f>
        <v>V4-2</v>
      </c>
      <c r="F434" s="5" t="str">
        <f ca="1">IFERROR(__xludf.DUMMYFUNCTION("""COMPUTED_VALUE"""),"PlayNetCrownStacks40")</f>
        <v>PlayNetCrownStacks40</v>
      </c>
      <c r="G434" s="5" t="str">
        <f ca="1">IFERROR(__xludf.DUMMYFUNCTION("""COMPUTED_VALUE"""),"Live")</f>
        <v>Live</v>
      </c>
      <c r="H434" s="5"/>
      <c r="I434" s="5"/>
      <c r="J434" s="5" t="str">
        <f ca="1">IFERROR(__xludf.DUMMYFUNCTION("""COMPUTED_VALUE"""),"JSON")</f>
        <v>JSON</v>
      </c>
      <c r="K434" s="5" t="str">
        <f ca="1">IFERROR(__xludf.DUMMYFUNCTION("""COMPUTED_VALUE"""),"Slot")</f>
        <v>Slot</v>
      </c>
      <c r="L434" s="5" t="str">
        <f ca="1">IFERROR(__xludf.DUMMYFUNCTION("""COMPUTED_VALUE""")," Reskin")</f>
        <v xml:space="preserve"> Reskin</v>
      </c>
      <c r="M434" s="5" t="str">
        <f ca="1">IFERROR(__xludf.DUMMYFUNCTION("""COMPUTED_VALUE"""),"Lollas World")</f>
        <v>Lollas World</v>
      </c>
      <c r="N434" s="5"/>
      <c r="O434" s="5"/>
      <c r="P434" s="14">
        <f ca="1">IFERROR(__xludf.DUMMYFUNCTION("""COMPUTED_VALUE"""),6.3)</f>
        <v>6.3</v>
      </c>
      <c r="Q434" s="15">
        <f ca="1">IFERROR(__xludf.DUMMYFUNCTION("""COMPUTED_VALUE"""),45719)</f>
        <v>45719</v>
      </c>
      <c r="R434" s="17">
        <f ca="1">IFERROR(__xludf.DUMMYFUNCTION("""COMPUTED_VALUE"""),45713)</f>
        <v>45713</v>
      </c>
      <c r="S434" s="15">
        <f ca="1">IFERROR(__xludf.DUMMYFUNCTION("""COMPUTED_VALUE"""),45720)</f>
        <v>45720</v>
      </c>
      <c r="T434" s="5" t="b">
        <f ca="1">IFERROR(__xludf.DUMMYFUNCTION("""COMPUTED_VALUE"""),TRUE)</f>
        <v>1</v>
      </c>
      <c r="U434" s="5" t="str">
        <f ca="1">IFERROR(__xludf.DUMMYFUNCTION("""COMPUTED_VALUE"""),"5x4")</f>
        <v>5x4</v>
      </c>
      <c r="V434" s="5">
        <f ca="1">IFERROR(__xludf.DUMMYFUNCTION("""COMPUTED_VALUE"""),40)</f>
        <v>40</v>
      </c>
      <c r="W434" s="5">
        <f ca="1">IFERROR(__xludf.DUMMYFUNCTION("""COMPUTED_VALUE"""),40)</f>
        <v>40</v>
      </c>
      <c r="X434" s="5">
        <f ca="1">IFERROR(__xludf.DUMMYFUNCTION("""COMPUTED_VALUE"""),95.479)</f>
        <v>95.478999999999999</v>
      </c>
      <c r="Y434" s="5" t="str">
        <f ca="1">IFERROR(__xludf.DUMMYFUNCTION("""COMPUTED_VALUE"""),"Medium")</f>
        <v>Medium</v>
      </c>
      <c r="Z434" s="5">
        <f ca="1">IFERROR(__xludf.DUMMYFUNCTION("""COMPUTED_VALUE"""),14.8)</f>
        <v>14.8</v>
      </c>
      <c r="AA434" s="5">
        <f ca="1">IFERROR(__xludf.DUMMYFUNCTION("""COMPUTED_VALUE"""),1000)</f>
        <v>1000</v>
      </c>
      <c r="AB434" s="5"/>
      <c r="AC434" s="5" t="str">
        <f ca="1">IFERROR(__xludf.DUMMYFUNCTION("""COMPUTED_VALUE"""),"Wild Symbol, Scatter")</f>
        <v>Wild Symbol, Scatter</v>
      </c>
      <c r="AD434" s="5" t="str">
        <f ca="1">IFERROR(__xludf.DUMMYFUNCTION("""COMPUTED_VALUE"""),"0.4/60")</f>
        <v>0.4/60</v>
      </c>
      <c r="AE434" s="5"/>
      <c r="AF434" s="5"/>
      <c r="AG434" s="10">
        <f ca="1">IFERROR(__xludf.DUMMYFUNCTION("""COMPUTED_VALUE"""),46220.5015509259)</f>
        <v>46220.501550925903</v>
      </c>
      <c r="AH434" s="5" t="str">
        <f ca="1">IFERROR(__xludf.DUMMYFUNCTION("""COMPUTED_VALUE"""),"selena.mihajlovic@fazi.rs")</f>
        <v>selena.mihajlovic@fazi.rs</v>
      </c>
      <c r="AI434" s="5"/>
      <c r="AJ434" s="5"/>
      <c r="AK434" s="5">
        <f ca="1">IFERROR(__xludf.DUMMYFUNCTION("""COMPUTED_VALUE"""),40)</f>
        <v>40</v>
      </c>
      <c r="AL434" s="5" t="str">
        <f ca="1">IFERROR(__xludf.DUMMYFUNCTION("""COMPUTED_VALUE"""),"No")</f>
        <v>No</v>
      </c>
      <c r="AM434" s="5" t="str">
        <f ca="1">IFERROR(__xludf.DUMMYFUNCTION("""COMPUTED_VALUE"""),"No")</f>
        <v>No</v>
      </c>
      <c r="AN434" s="7" t="str">
        <f ca="1">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AO434" s="5" t="str">
        <f ca="1">IFERROR(__xludf.DUMMYFUNCTION("""COMPUTED_VALUE"""),"No")</f>
        <v>No</v>
      </c>
      <c r="AP434" s="5" t="str">
        <f ca="1">IFERROR(__xludf.DUMMYFUNCTION("""COMPUTED_VALUE"""),"No")</f>
        <v>No</v>
      </c>
      <c r="AQ434" s="5" t="b">
        <f ca="1">IFERROR(__xludf.DUMMYFUNCTION("""COMPUTED_VALUE"""),TRUE)</f>
        <v>1</v>
      </c>
      <c r="AR434" s="5"/>
      <c r="AS434" s="5" t="str">
        <f ca="1">IFERROR(__xludf.DUMMYFUNCTION("""COMPUTED_VALUE"""),"Crown Stacks 40 delivers royal wins with perfectly stacked crown symbols across 40 paylines - your throne awaits!")</f>
        <v>Crown Stacks 40 delivers royal wins with perfectly stacked crown symbols across 40 paylines - your throne awaits!</v>
      </c>
      <c r="AT434" s="5"/>
      <c r="AU434" s="5" t="str">
        <f ca="1">IFERROR(__xludf.DUMMYFUNCTION("""COMPUTED_VALUE"""),"Fazi")</f>
        <v>Fazi</v>
      </c>
      <c r="AV434" s="5"/>
      <c r="AW434" s="5"/>
      <c r="AX434" s="5"/>
      <c r="AY434" s="5"/>
      <c r="AZ434" s="5"/>
      <c r="BA434" s="5"/>
      <c r="BB434" s="5" t="b">
        <f ca="1">IFERROR(__xludf.DUMMYFUNCTION("""COMPUTED_VALUE"""),TRUE)</f>
        <v>1</v>
      </c>
      <c r="BC434" s="5" t="str">
        <f ca="1">IFERROR(__xludf.DUMMYFUNCTION("""COMPUTED_VALUE"""),"Playnet")</f>
        <v>Playnet</v>
      </c>
      <c r="BD434" s="7" t="str">
        <f ca="1">IFERROR(__xludf.DUMMYFUNCTION("""COMPUTED_VALUE"""),"https://gameserver-store-client-area.orbionlimited.com/Home/IntegrationGameLaunch/client-area?moneyType=0&amp;gameName=PlayNetCrownStacks40&amp;platform=desktop&amp;languageCode=eng&amp;currency=EUR")</f>
        <v>https://gameserver-store-client-area.orbionlimited.com/Home/IntegrationGameLaunch/client-area?moneyType=0&amp;gameName=PlayNetCrownStacks40&amp;platform=desktop&amp;languageCode=eng&amp;currency=EUR</v>
      </c>
      <c r="BE434" s="5" t="b">
        <f ca="1">IFERROR(__xludf.DUMMYFUNCTION("""COMPUTED_VALUE"""),TRUE)</f>
        <v>1</v>
      </c>
    </row>
    <row r="435" spans="1:57" x14ac:dyDescent="0.25">
      <c r="A435" s="5">
        <f ca="1">IFERROR(__xludf.DUMMYFUNCTION("""COMPUTED_VALUE"""),451)</f>
        <v>451</v>
      </c>
      <c r="B435" s="5">
        <f ca="1">IFERROR(__xludf.DUMMYFUNCTION("""COMPUTED_VALUE"""),396)</f>
        <v>396</v>
      </c>
      <c r="C435" s="5" t="str">
        <f ca="1">IFERROR(__xludf.DUMMYFUNCTION("""COMPUTED_VALUE"""),"Playnet")</f>
        <v>Playnet</v>
      </c>
      <c r="D435" s="5" t="str">
        <f ca="1">IFERROR(__xludf.DUMMYFUNCTION("""COMPUTED_VALUE"""),"Wild Spread 40")</f>
        <v>Wild Spread 40</v>
      </c>
      <c r="E435" s="5" t="str">
        <f ca="1">IFERROR(__xludf.DUMMYFUNCTION("""COMPUTED_VALUE"""),"V4-2")</f>
        <v>V4-2</v>
      </c>
      <c r="F435" s="5" t="str">
        <f ca="1">IFERROR(__xludf.DUMMYFUNCTION("""COMPUTED_VALUE"""),"PlayNetWildSpread40")</f>
        <v>PlayNetWildSpread40</v>
      </c>
      <c r="G435" s="5" t="str">
        <f ca="1">IFERROR(__xludf.DUMMYFUNCTION("""COMPUTED_VALUE"""),"Live")</f>
        <v>Live</v>
      </c>
      <c r="H435" s="5"/>
      <c r="I435" s="5"/>
      <c r="J435" s="5" t="str">
        <f ca="1">IFERROR(__xludf.DUMMYFUNCTION("""COMPUTED_VALUE"""),"JSON")</f>
        <v>JSON</v>
      </c>
      <c r="K435" s="5" t="str">
        <f ca="1">IFERROR(__xludf.DUMMYFUNCTION("""COMPUTED_VALUE"""),"Slot")</f>
        <v>Slot</v>
      </c>
      <c r="L435" s="5" t="str">
        <f ca="1">IFERROR(__xludf.DUMMYFUNCTION("""COMPUTED_VALUE""")," Reskin")</f>
        <v xml:space="preserve"> Reskin</v>
      </c>
      <c r="M435" s="5" t="str">
        <f ca="1">IFERROR(__xludf.DUMMYFUNCTION("""COMPUTED_VALUE"""),"Wild Hot 40 Blow")</f>
        <v>Wild Hot 40 Blow</v>
      </c>
      <c r="N435" s="5"/>
      <c r="O435" s="5"/>
      <c r="P435" s="14">
        <f ca="1">IFERROR(__xludf.DUMMYFUNCTION("""COMPUTED_VALUE"""),6.7)</f>
        <v>6.7</v>
      </c>
      <c r="Q435" s="15">
        <f ca="1">IFERROR(__xludf.DUMMYFUNCTION("""COMPUTED_VALUE"""),45719)</f>
        <v>45719</v>
      </c>
      <c r="R435" s="17">
        <f ca="1">IFERROR(__xludf.DUMMYFUNCTION("""COMPUTED_VALUE"""),45721)</f>
        <v>45721</v>
      </c>
      <c r="S435" s="15">
        <f ca="1">IFERROR(__xludf.DUMMYFUNCTION("""COMPUTED_VALUE"""),45728)</f>
        <v>45728</v>
      </c>
      <c r="T435" s="5" t="b">
        <f ca="1">IFERROR(__xludf.DUMMYFUNCTION("""COMPUTED_VALUE"""),TRUE)</f>
        <v>1</v>
      </c>
      <c r="U435" s="5" t="str">
        <f ca="1">IFERROR(__xludf.DUMMYFUNCTION("""COMPUTED_VALUE"""),"5x4")</f>
        <v>5x4</v>
      </c>
      <c r="V435" s="5">
        <f ca="1">IFERROR(__xludf.DUMMYFUNCTION("""COMPUTED_VALUE"""),40)</f>
        <v>40</v>
      </c>
      <c r="W435" s="5">
        <f ca="1">IFERROR(__xludf.DUMMYFUNCTION("""COMPUTED_VALUE"""),40)</f>
        <v>40</v>
      </c>
      <c r="X435" s="5">
        <f ca="1">IFERROR(__xludf.DUMMYFUNCTION("""COMPUTED_VALUE"""),96.268)</f>
        <v>96.268000000000001</v>
      </c>
      <c r="Y435" s="5" t="str">
        <f ca="1">IFERROR(__xludf.DUMMYFUNCTION("""COMPUTED_VALUE"""),"Medium")</f>
        <v>Medium</v>
      </c>
      <c r="Z435" s="5">
        <f ca="1">IFERROR(__xludf.DUMMYFUNCTION("""COMPUTED_VALUE"""),13.875)</f>
        <v>13.875</v>
      </c>
      <c r="AA435" s="5">
        <f ca="1">IFERROR(__xludf.DUMMYFUNCTION("""COMPUTED_VALUE"""),1000)</f>
        <v>1000</v>
      </c>
      <c r="AB435" s="5"/>
      <c r="AC435" s="5" t="str">
        <f ca="1">IFERROR(__xludf.DUMMYFUNCTION("""COMPUTED_VALUE"""),"Scatter, Exploding Wild")</f>
        <v>Scatter, Exploding Wild</v>
      </c>
      <c r="AD435" s="5" t="str">
        <f ca="1">IFERROR(__xludf.DUMMYFUNCTION("""COMPUTED_VALUE"""),"0.4/60")</f>
        <v>0.4/60</v>
      </c>
      <c r="AE435" s="5"/>
      <c r="AF435" s="5"/>
      <c r="AG435" s="10">
        <f ca="1">IFERROR(__xludf.DUMMYFUNCTION("""COMPUTED_VALUE"""),46220.5017013888)</f>
        <v>46220.501701388799</v>
      </c>
      <c r="AH435" s="5" t="str">
        <f ca="1">IFERROR(__xludf.DUMMYFUNCTION("""COMPUTED_VALUE"""),"selena.mihajlovic@fazi.rs")</f>
        <v>selena.mihajlovic@fazi.rs</v>
      </c>
      <c r="AI435" s="5"/>
      <c r="AJ435" s="5"/>
      <c r="AK435" s="5">
        <f ca="1">IFERROR(__xludf.DUMMYFUNCTION("""COMPUTED_VALUE"""),40)</f>
        <v>40</v>
      </c>
      <c r="AL435" s="5" t="str">
        <f ca="1">IFERROR(__xludf.DUMMYFUNCTION("""COMPUTED_VALUE"""),"No")</f>
        <v>No</v>
      </c>
      <c r="AM435" s="5" t="str">
        <f ca="1">IFERROR(__xludf.DUMMYFUNCTION("""COMPUTED_VALUE"""),"No")</f>
        <v>No</v>
      </c>
      <c r="AN435" s="7" t="str">
        <f ca="1">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AO435" s="5" t="str">
        <f ca="1">IFERROR(__xludf.DUMMYFUNCTION("""COMPUTED_VALUE"""),"No")</f>
        <v>No</v>
      </c>
      <c r="AP435" s="5" t="str">
        <f ca="1">IFERROR(__xludf.DUMMYFUNCTION("""COMPUTED_VALUE"""),"No")</f>
        <v>No</v>
      </c>
      <c r="AQ435" s="5" t="b">
        <f ca="1">IFERROR(__xludf.DUMMYFUNCTION("""COMPUTED_VALUE"""),TRUE)</f>
        <v>1</v>
      </c>
      <c r="AR435" s="5"/>
      <c r="AS435" s="5" t="str">
        <f ca="1">IFERROR(__xludf.DUMMYFUNCTION("""COMPUTED_VALUE"""),"One wild is all it takes! In Wild Spread 40 every wild expands to cover more space, bringing bigger chances to win!")</f>
        <v>One wild is all it takes! In Wild Spread 40 every wild expands to cover more space, bringing bigger chances to win!</v>
      </c>
      <c r="AT435" s="5"/>
      <c r="AU435" s="5" t="str">
        <f ca="1">IFERROR(__xludf.DUMMYFUNCTION("""COMPUTED_VALUE"""),"Fazi")</f>
        <v>Fazi</v>
      </c>
      <c r="AV435" s="5"/>
      <c r="AW435" s="5"/>
      <c r="AX435" s="5"/>
      <c r="AY435" s="5"/>
      <c r="AZ435" s="5"/>
      <c r="BA435" s="5"/>
      <c r="BB435" s="5" t="b">
        <f ca="1">IFERROR(__xludf.DUMMYFUNCTION("""COMPUTED_VALUE"""),TRUE)</f>
        <v>1</v>
      </c>
      <c r="BC435" s="5" t="str">
        <f ca="1">IFERROR(__xludf.DUMMYFUNCTION("""COMPUTED_VALUE"""),"Playnet")</f>
        <v>Playnet</v>
      </c>
      <c r="BD435" s="7" t="str">
        <f ca="1">IFERROR(__xludf.DUMMYFUNCTION("""COMPUTED_VALUE"""),"https://gameserver-store-client-area.orbionlimited.com/Home/IntegrationGameLaunch/client-area?moneyType=0&amp;gameName=PlayNetWildSpread40&amp;platform=desktop&amp;languageCode=eng&amp;currency=EUR")</f>
        <v>https://gameserver-store-client-area.orbionlimited.com/Home/IntegrationGameLaunch/client-area?moneyType=0&amp;gameName=PlayNetWildSpread40&amp;platform=desktop&amp;languageCode=eng&amp;currency=EUR</v>
      </c>
      <c r="BE435" s="5" t="b">
        <f ca="1">IFERROR(__xludf.DUMMYFUNCTION("""COMPUTED_VALUE"""),TRUE)</f>
        <v>1</v>
      </c>
    </row>
    <row r="436" spans="1:57" x14ac:dyDescent="0.25">
      <c r="A436" s="5">
        <f ca="1">IFERROR(__xludf.DUMMYFUNCTION("""COMPUTED_VALUE"""),452)</f>
        <v>452</v>
      </c>
      <c r="B436" s="5">
        <f ca="1">IFERROR(__xludf.DUMMYFUNCTION("""COMPUTED_VALUE"""),402)</f>
        <v>402</v>
      </c>
      <c r="C436" s="5" t="str">
        <f ca="1">IFERROR(__xludf.DUMMYFUNCTION("""COMPUTED_VALUE"""),"Playnet")</f>
        <v>Playnet</v>
      </c>
      <c r="D436" s="5" t="str">
        <f ca="1">IFERROR(__xludf.DUMMYFUNCTION("""COMPUTED_VALUE"""),"Crown Spread 40")</f>
        <v>Crown Spread 40</v>
      </c>
      <c r="E436" s="5" t="str">
        <f ca="1">IFERROR(__xludf.DUMMYFUNCTION("""COMPUTED_VALUE"""),"V4-2")</f>
        <v>V4-2</v>
      </c>
      <c r="F436" s="5" t="str">
        <f ca="1">IFERROR(__xludf.DUMMYFUNCTION("""COMPUTED_VALUE"""),"PlayNetCrownSpread40")</f>
        <v>PlayNetCrownSpread40</v>
      </c>
      <c r="G436" s="5" t="str">
        <f ca="1">IFERROR(__xludf.DUMMYFUNCTION("""COMPUTED_VALUE"""),"Live")</f>
        <v>Live</v>
      </c>
      <c r="H436" s="5"/>
      <c r="I436" s="5"/>
      <c r="J436" s="5" t="str">
        <f ca="1">IFERROR(__xludf.DUMMYFUNCTION("""COMPUTED_VALUE"""),"JSON")</f>
        <v>JSON</v>
      </c>
      <c r="K436" s="5" t="str">
        <f ca="1">IFERROR(__xludf.DUMMYFUNCTION("""COMPUTED_VALUE"""),"Slot")</f>
        <v>Slot</v>
      </c>
      <c r="L436" s="5" t="str">
        <f ca="1">IFERROR(__xludf.DUMMYFUNCTION("""COMPUTED_VALUE""")," Clone")</f>
        <v xml:space="preserve"> Clone</v>
      </c>
      <c r="M436" s="5" t="str">
        <f ca="1">IFERROR(__xludf.DUMMYFUNCTION("""COMPUTED_VALUE"""),"Wild Hot 40 Blow")</f>
        <v>Wild Hot 40 Blow</v>
      </c>
      <c r="N436" s="5"/>
      <c r="O436" s="5"/>
      <c r="P436" s="14">
        <f ca="1">IFERROR(__xludf.DUMMYFUNCTION("""COMPUTED_VALUE"""),6.7)</f>
        <v>6.7</v>
      </c>
      <c r="Q436" s="15">
        <f ca="1">IFERROR(__xludf.DUMMYFUNCTION("""COMPUTED_VALUE"""),45733)</f>
        <v>45733</v>
      </c>
      <c r="R436" s="17">
        <f ca="1">IFERROR(__xludf.DUMMYFUNCTION("""COMPUTED_VALUE"""),45741)</f>
        <v>45741</v>
      </c>
      <c r="S436" s="15">
        <f ca="1">IFERROR(__xludf.DUMMYFUNCTION("""COMPUTED_VALUE"""),45748)</f>
        <v>45748</v>
      </c>
      <c r="T436" s="5" t="b">
        <f ca="1">IFERROR(__xludf.DUMMYFUNCTION("""COMPUTED_VALUE"""),TRUE)</f>
        <v>1</v>
      </c>
      <c r="U436" s="5" t="str">
        <f ca="1">IFERROR(__xludf.DUMMYFUNCTION("""COMPUTED_VALUE"""),"5x4")</f>
        <v>5x4</v>
      </c>
      <c r="V436" s="5">
        <f ca="1">IFERROR(__xludf.DUMMYFUNCTION("""COMPUTED_VALUE"""),40)</f>
        <v>40</v>
      </c>
      <c r="W436" s="5">
        <f ca="1">IFERROR(__xludf.DUMMYFUNCTION("""COMPUTED_VALUE"""),40)</f>
        <v>40</v>
      </c>
      <c r="X436" s="5">
        <f ca="1">IFERROR(__xludf.DUMMYFUNCTION("""COMPUTED_VALUE"""),96.268)</f>
        <v>96.268000000000001</v>
      </c>
      <c r="Y436" s="5" t="str">
        <f ca="1">IFERROR(__xludf.DUMMYFUNCTION("""COMPUTED_VALUE"""),"Medium")</f>
        <v>Medium</v>
      </c>
      <c r="Z436" s="5">
        <f ca="1">IFERROR(__xludf.DUMMYFUNCTION("""COMPUTED_VALUE"""),13.875)</f>
        <v>13.875</v>
      </c>
      <c r="AA436" s="5">
        <f ca="1">IFERROR(__xludf.DUMMYFUNCTION("""COMPUTED_VALUE"""),1000)</f>
        <v>1000</v>
      </c>
      <c r="AB436" s="5"/>
      <c r="AC436" s="5" t="str">
        <f ca="1">IFERROR(__xludf.DUMMYFUNCTION("""COMPUTED_VALUE"""),"Scatter, Exploding Wild")</f>
        <v>Scatter, Exploding Wild</v>
      </c>
      <c r="AD436" s="5" t="str">
        <f ca="1">IFERROR(__xludf.DUMMYFUNCTION("""COMPUTED_VALUE"""),"0.4/60")</f>
        <v>0.4/60</v>
      </c>
      <c r="AE436" s="5"/>
      <c r="AF436" s="5"/>
      <c r="AG436" s="10">
        <f ca="1">IFERROR(__xludf.DUMMYFUNCTION("""COMPUTED_VALUE"""),46220.5018402777)</f>
        <v>46220.501840277699</v>
      </c>
      <c r="AH436" s="5" t="str">
        <f ca="1">IFERROR(__xludf.DUMMYFUNCTION("""COMPUTED_VALUE"""),"selena.mihajlovic@fazi.rs")</f>
        <v>selena.mihajlovic@fazi.rs</v>
      </c>
      <c r="AI436" s="5"/>
      <c r="AJ436" s="5"/>
      <c r="AK436" s="5">
        <f ca="1">IFERROR(__xludf.DUMMYFUNCTION("""COMPUTED_VALUE"""),40)</f>
        <v>40</v>
      </c>
      <c r="AL436" s="5" t="str">
        <f ca="1">IFERROR(__xludf.DUMMYFUNCTION("""COMPUTED_VALUE"""),"No")</f>
        <v>No</v>
      </c>
      <c r="AM436" s="5" t="str">
        <f ca="1">IFERROR(__xludf.DUMMYFUNCTION("""COMPUTED_VALUE"""),"No")</f>
        <v>No</v>
      </c>
      <c r="AN436" s="7" t="str">
        <f ca="1">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AO436" s="5" t="str">
        <f ca="1">IFERROR(__xludf.DUMMYFUNCTION("""COMPUTED_VALUE"""),"No")</f>
        <v>No</v>
      </c>
      <c r="AP436" s="5"/>
      <c r="AQ436" s="5" t="b">
        <f ca="1">IFERROR(__xludf.DUMMYFUNCTION("""COMPUTED_VALUE"""),TRUE)</f>
        <v>1</v>
      </c>
      <c r="AR436" s="5"/>
      <c r="AS436" s="5" t="str">
        <f ca="1">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AT436" s="5"/>
      <c r="AU436" s="5" t="str">
        <f ca="1">IFERROR(__xludf.DUMMYFUNCTION("""COMPUTED_VALUE"""),"Fazi")</f>
        <v>Fazi</v>
      </c>
      <c r="AV436" s="5"/>
      <c r="AW436" s="5"/>
      <c r="AX436" s="5"/>
      <c r="AY436" s="5"/>
      <c r="AZ436" s="5"/>
      <c r="BA436" s="5"/>
      <c r="BB436" s="5" t="b">
        <f ca="1">IFERROR(__xludf.DUMMYFUNCTION("""COMPUTED_VALUE"""),TRUE)</f>
        <v>1</v>
      </c>
      <c r="BC436" s="5" t="str">
        <f ca="1">IFERROR(__xludf.DUMMYFUNCTION("""COMPUTED_VALUE"""),"Playnet")</f>
        <v>Playnet</v>
      </c>
      <c r="BD436" s="7" t="str">
        <f ca="1">IFERROR(__xludf.DUMMYFUNCTION("""COMPUTED_VALUE"""),"https://gameserver-store-client-area.orbionlimited.com/Home/IntegrationGameLaunch/client-area?moneyType=0&amp;gameName=PlayNetCrownSpread40&amp;platform=desktop&amp;languageCode=eng&amp;currency=EUR")</f>
        <v>https://gameserver-store-client-area.orbionlimited.com/Home/IntegrationGameLaunch/client-area?moneyType=0&amp;gameName=PlayNetCrownSpread40&amp;platform=desktop&amp;languageCode=eng&amp;currency=EUR</v>
      </c>
      <c r="BE436" s="5" t="b">
        <f ca="1">IFERROR(__xludf.DUMMYFUNCTION("""COMPUTED_VALUE"""),TRUE)</f>
        <v>1</v>
      </c>
    </row>
    <row r="437" spans="1:57" x14ac:dyDescent="0.25">
      <c r="A437" s="5">
        <f ca="1">IFERROR(__xludf.DUMMYFUNCTION("""COMPUTED_VALUE"""),453)</f>
        <v>453</v>
      </c>
      <c r="B437" s="5">
        <f ca="1">IFERROR(__xludf.DUMMYFUNCTION("""COMPUTED_VALUE"""),401)</f>
        <v>401</v>
      </c>
      <c r="C437" s="5" t="str">
        <f ca="1">IFERROR(__xludf.DUMMYFUNCTION("""COMPUTED_VALUE"""),"Tiptop")</f>
        <v>Tiptop</v>
      </c>
      <c r="D437" s="5" t="str">
        <f ca="1">IFERROR(__xludf.DUMMYFUNCTION("""COMPUTED_VALUE"""),"Dynamite Run Platinum")</f>
        <v>Dynamite Run Platinum</v>
      </c>
      <c r="E437" s="5" t="str">
        <f ca="1">IFERROR(__xludf.DUMMYFUNCTION("""COMPUTED_VALUE"""),"V4-2")</f>
        <v>V4-2</v>
      </c>
      <c r="F437" s="5" t="str">
        <f ca="1">IFERROR(__xludf.DUMMYFUNCTION("""COMPUTED_VALUE"""),"UnicornDynamiteRunPlatinum")</f>
        <v>UnicornDynamiteRunPlatinum</v>
      </c>
      <c r="G437" s="5" t="str">
        <f ca="1">IFERROR(__xludf.DUMMYFUNCTION("""COMPUTED_VALUE"""),"Live")</f>
        <v>Live</v>
      </c>
      <c r="H437" s="5"/>
      <c r="I437" s="5" t="str">
        <f ca="1">IFERROR(__xludf.DUMMYFUNCTION("""COMPUTED_VALUE"""),"TipTop")</f>
        <v>TipTop</v>
      </c>
      <c r="J437" s="5" t="str">
        <f ca="1">IFERROR(__xludf.DUMMYFUNCTION("""COMPUTED_VALUE"""),"JSON")</f>
        <v>JSON</v>
      </c>
      <c r="K437" s="5" t="str">
        <f ca="1">IFERROR(__xludf.DUMMYFUNCTION("""COMPUTED_VALUE"""),"Slot")</f>
        <v>Slot</v>
      </c>
      <c r="L437" s="5" t="str">
        <f ca="1">IFERROR(__xludf.DUMMYFUNCTION("""COMPUTED_VALUE""")," Clone")</f>
        <v xml:space="preserve"> Clone</v>
      </c>
      <c r="M437" s="5" t="str">
        <f ca="1">IFERROR(__xludf.DUMMYFUNCTION("""COMPUTED_VALUE"""),"Unicorn Dynamite Run")</f>
        <v>Unicorn Dynamite Run</v>
      </c>
      <c r="N437" s="5"/>
      <c r="O437" s="5"/>
      <c r="P437" s="14">
        <f ca="1">IFERROR(__xludf.DUMMYFUNCTION("""COMPUTED_VALUE"""),13)</f>
        <v>13</v>
      </c>
      <c r="Q437" s="15">
        <f ca="1">IFERROR(__xludf.DUMMYFUNCTION("""COMPUTED_VALUE"""),45733)</f>
        <v>45733</v>
      </c>
      <c r="R437" s="17">
        <f ca="1">IFERROR(__xludf.DUMMYFUNCTION("""COMPUTED_VALUE"""),45728)</f>
        <v>45728</v>
      </c>
      <c r="S437" s="15">
        <f ca="1">IFERROR(__xludf.DUMMYFUNCTION("""COMPUTED_VALUE"""),45735)</f>
        <v>45735</v>
      </c>
      <c r="T437" s="5" t="b">
        <f ca="1">IFERROR(__xludf.DUMMYFUNCTION("""COMPUTED_VALUE"""),TRUE)</f>
        <v>1</v>
      </c>
      <c r="U437" s="5" t="str">
        <f ca="1">IFERROR(__xludf.DUMMYFUNCTION("""COMPUTED_VALUE"""),"5x3")</f>
        <v>5x3</v>
      </c>
      <c r="V437" s="5">
        <f ca="1">IFERROR(__xludf.DUMMYFUNCTION("""COMPUTED_VALUE"""),10)</f>
        <v>10</v>
      </c>
      <c r="W437" s="5">
        <f ca="1">IFERROR(__xludf.DUMMYFUNCTION("""COMPUTED_VALUE"""),10)</f>
        <v>10</v>
      </c>
      <c r="X437" s="5">
        <f ca="1">IFERROR(__xludf.DUMMYFUNCTION("""COMPUTED_VALUE"""),96)</f>
        <v>96</v>
      </c>
      <c r="Y437" s="5" t="str">
        <f ca="1">IFERROR(__xludf.DUMMYFUNCTION("""COMPUTED_VALUE"""),"Low")</f>
        <v>Low</v>
      </c>
      <c r="Z437" s="5">
        <f ca="1">IFERROR(__xludf.DUMMYFUNCTION("""COMPUTED_VALUE"""),26.12)</f>
        <v>26.12</v>
      </c>
      <c r="AA437" s="5">
        <f ca="1">IFERROR(__xludf.DUMMYFUNCTION("""COMPUTED_VALUE"""),1100)</f>
        <v>1100</v>
      </c>
      <c r="AB437" s="5"/>
      <c r="AC437" s="5"/>
      <c r="AD437" s="5" t="str">
        <f ca="1">IFERROR(__xludf.DUMMYFUNCTION("""COMPUTED_VALUE"""),"0.1/100")</f>
        <v>0.1/100</v>
      </c>
      <c r="AE437" s="5"/>
      <c r="AF437" s="5"/>
      <c r="AG437" s="10">
        <f ca="1">IFERROR(__xludf.DUMMYFUNCTION("""COMPUTED_VALUE"""),46197.4964467592)</f>
        <v>46197.4964467592</v>
      </c>
      <c r="AH437" s="5" t="str">
        <f ca="1">IFERROR(__xludf.DUMMYFUNCTION("""COMPUTED_VALUE"""),"selena.mihajlovic@fazi.rs")</f>
        <v>selena.mihajlovic@fazi.rs</v>
      </c>
      <c r="AI437" s="5"/>
      <c r="AJ437" s="5"/>
      <c r="AK437" s="5">
        <f ca="1">IFERROR(__xludf.DUMMYFUNCTION("""COMPUTED_VALUE"""),10)</f>
        <v>10</v>
      </c>
      <c r="AL437" s="5" t="str">
        <f ca="1">IFERROR(__xludf.DUMMYFUNCTION("""COMPUTED_VALUE"""),"No")</f>
        <v>No</v>
      </c>
      <c r="AM437" s="5"/>
      <c r="AN437" s="7" t="str">
        <f ca="1">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AO437" s="5"/>
      <c r="AP437" s="5"/>
      <c r="AQ437" s="5" t="b">
        <f ca="1">IFERROR(__xludf.DUMMYFUNCTION("""COMPUTED_VALUE"""),TRUE)</f>
        <v>1</v>
      </c>
      <c r="AR437" s="5"/>
      <c r="AS437" s="5" t="str">
        <f ca="1">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AT437" s="5"/>
      <c r="AU437" s="5" t="str">
        <f ca="1">IFERROR(__xludf.DUMMYFUNCTION("""COMPUTED_VALUE"""),"Fazi")</f>
        <v>Fazi</v>
      </c>
      <c r="AV437" s="5"/>
      <c r="AW437" s="5"/>
      <c r="AX437" s="5"/>
      <c r="AY437" s="5"/>
      <c r="AZ437" s="5"/>
      <c r="BA437" s="5"/>
      <c r="BB437" s="5" t="b">
        <f ca="1">IFERROR(__xludf.DUMMYFUNCTION("""COMPUTED_VALUE"""),TRUE)</f>
        <v>1</v>
      </c>
      <c r="BC437" s="5" t="str">
        <f ca="1">IFERROR(__xludf.DUMMYFUNCTION("""COMPUTED_VALUE"""),"Tiptop")</f>
        <v>Tiptop</v>
      </c>
      <c r="BD437" s="7" t="str">
        <f ca="1">IFERROR(__xludf.DUMMYFUNCTION("""COMPUTED_VALUE"""),"https://gameserver-store-client-area.orbionlimited.com/Home/IntegrationGameLaunch/client-area?moneyType=0&amp;gameName=UnicornDynamiteRunPlatinum&amp;platform=desktop&amp;languageCode=eng&amp;currency=EUR")</f>
        <v>https://gameserver-store-client-area.orbionlimited.com/Home/IntegrationGameLaunch/client-area?moneyType=0&amp;gameName=UnicornDynamiteRunPlatinum&amp;platform=desktop&amp;languageCode=eng&amp;currency=EUR</v>
      </c>
      <c r="BE437" s="5" t="b">
        <f ca="1">IFERROR(__xludf.DUMMYFUNCTION("""COMPUTED_VALUE"""),TRUE)</f>
        <v>1</v>
      </c>
    </row>
    <row r="438" spans="1:57" x14ac:dyDescent="0.25">
      <c r="A438" s="5">
        <f ca="1">IFERROR(__xludf.DUMMYFUNCTION("""COMPUTED_VALUE"""),457)</f>
        <v>457</v>
      </c>
      <c r="B438" s="5">
        <f ca="1">IFERROR(__xludf.DUMMYFUNCTION("""COMPUTED_VALUE"""),399)</f>
        <v>399</v>
      </c>
      <c r="C438" s="5" t="str">
        <f ca="1">IFERROR(__xludf.DUMMYFUNCTION("""COMPUTED_VALUE"""),"Tiptop")</f>
        <v>Tiptop</v>
      </c>
      <c r="D438" s="5" t="str">
        <f ca="1">IFERROR(__xludf.DUMMYFUNCTION("""COMPUTED_VALUE"""),"Big Hit Sevens")</f>
        <v>Big Hit Sevens</v>
      </c>
      <c r="E438" s="5" t="str">
        <f ca="1">IFERROR(__xludf.DUMMYFUNCTION("""COMPUTED_VALUE"""),"V4-2")</f>
        <v>V4-2</v>
      </c>
      <c r="F438" s="5" t="str">
        <f ca="1">IFERROR(__xludf.DUMMYFUNCTION("""COMPUTED_VALUE"""),"UnicornBigHitSevens")</f>
        <v>UnicornBigHitSevens</v>
      </c>
      <c r="G438" s="5" t="str">
        <f ca="1">IFERROR(__xludf.DUMMYFUNCTION("""COMPUTED_VALUE"""),"Live")</f>
        <v>Live</v>
      </c>
      <c r="H438" s="5"/>
      <c r="I438" s="5"/>
      <c r="J438" s="5" t="str">
        <f ca="1">IFERROR(__xludf.DUMMYFUNCTION("""COMPUTED_VALUE"""),"JSON")</f>
        <v>JSON</v>
      </c>
      <c r="K438" s="5" t="str">
        <f ca="1">IFERROR(__xludf.DUMMYFUNCTION("""COMPUTED_VALUE"""),"Slot")</f>
        <v>Slot</v>
      </c>
      <c r="L438" s="5" t="str">
        <f ca="1">IFERROR(__xludf.DUMMYFUNCTION("""COMPUTED_VALUE"""),"Master")</f>
        <v>Master</v>
      </c>
      <c r="M438" s="5"/>
      <c r="N438" s="5"/>
      <c r="O438" s="5"/>
      <c r="P438" s="14">
        <f ca="1">IFERROR(__xludf.DUMMYFUNCTION("""COMPUTED_VALUE"""),10.1)</f>
        <v>10.1</v>
      </c>
      <c r="Q438" s="5"/>
      <c r="R438" s="15">
        <f ca="1">IFERROR(__xludf.DUMMYFUNCTION("""COMPUTED_VALUE"""),45757)</f>
        <v>45757</v>
      </c>
      <c r="S438" s="15">
        <f ca="1">IFERROR(__xludf.DUMMYFUNCTION("""COMPUTED_VALUE"""),45764)</f>
        <v>45764</v>
      </c>
      <c r="T438" s="5" t="b">
        <f ca="1">IFERROR(__xludf.DUMMYFUNCTION("""COMPUTED_VALUE"""),TRUE)</f>
        <v>1</v>
      </c>
      <c r="U438" s="5" t="str">
        <f ca="1">IFERROR(__xludf.DUMMYFUNCTION("""COMPUTED_VALUE"""),"5x3")</f>
        <v>5x3</v>
      </c>
      <c r="V438" s="5">
        <f ca="1">IFERROR(__xludf.DUMMYFUNCTION("""COMPUTED_VALUE"""),10)</f>
        <v>10</v>
      </c>
      <c r="W438" s="5">
        <f ca="1">IFERROR(__xludf.DUMMYFUNCTION("""COMPUTED_VALUE"""),10)</f>
        <v>10</v>
      </c>
      <c r="X438" s="5">
        <f ca="1">IFERROR(__xludf.DUMMYFUNCTION("""COMPUTED_VALUE"""),96)</f>
        <v>96</v>
      </c>
      <c r="Y438" s="5" t="str">
        <f ca="1">IFERROR(__xludf.DUMMYFUNCTION("""COMPUTED_VALUE"""),"Low")</f>
        <v>Low</v>
      </c>
      <c r="Z438" s="5">
        <f ca="1">IFERROR(__xludf.DUMMYFUNCTION("""COMPUTED_VALUE"""),10.84)</f>
        <v>10.84</v>
      </c>
      <c r="AA438" s="5">
        <f ca="1">IFERROR(__xludf.DUMMYFUNCTION("""COMPUTED_VALUE"""),1200)</f>
        <v>1200</v>
      </c>
      <c r="AB438" s="5"/>
      <c r="AC438" s="5"/>
      <c r="AD438" s="5" t="str">
        <f ca="1">IFERROR(__xludf.DUMMYFUNCTION("""COMPUTED_VALUE"""),"0.1/100")</f>
        <v>0.1/100</v>
      </c>
      <c r="AE438" s="5"/>
      <c r="AF438" s="5"/>
      <c r="AG438" s="10">
        <f ca="1">IFERROR(__xludf.DUMMYFUNCTION("""COMPUTED_VALUE"""),46197.4966203703)</f>
        <v>46197.496620370301</v>
      </c>
      <c r="AH438" s="5" t="str">
        <f ca="1">IFERROR(__xludf.DUMMYFUNCTION("""COMPUTED_VALUE"""),"selena.mihajlovic@fazi.rs")</f>
        <v>selena.mihajlovic@fazi.rs</v>
      </c>
      <c r="AI438" s="5"/>
      <c r="AJ438" s="5"/>
      <c r="AK438" s="5">
        <f ca="1">IFERROR(__xludf.DUMMYFUNCTION("""COMPUTED_VALUE"""),10)</f>
        <v>10</v>
      </c>
      <c r="AL438" s="5" t="str">
        <f ca="1">IFERROR(__xludf.DUMMYFUNCTION("""COMPUTED_VALUE"""),"No")</f>
        <v>No</v>
      </c>
      <c r="AM438" s="5"/>
      <c r="AN438" s="7" t="str">
        <f ca="1">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AO438" s="5"/>
      <c r="AP438" s="5"/>
      <c r="AQ438" s="5" t="b">
        <f ca="1">IFERROR(__xludf.DUMMYFUNCTION("""COMPUTED_VALUE"""),TRUE)</f>
        <v>1</v>
      </c>
      <c r="AR438" s="5"/>
      <c r="AS438" s="5" t="str">
        <f ca="1">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38" s="5"/>
      <c r="AU438" s="5" t="str">
        <f ca="1">IFERROR(__xludf.DUMMYFUNCTION("""COMPUTED_VALUE"""),"Fazi")</f>
        <v>Fazi</v>
      </c>
      <c r="AV438" s="5"/>
      <c r="AW438" s="5"/>
      <c r="AX438" s="5"/>
      <c r="AY438" s="5"/>
      <c r="AZ438" s="5"/>
      <c r="BA438" s="5"/>
      <c r="BB438" s="5" t="b">
        <f ca="1">IFERROR(__xludf.DUMMYFUNCTION("""COMPUTED_VALUE"""),TRUE)</f>
        <v>1</v>
      </c>
      <c r="BC438" s="5" t="str">
        <f ca="1">IFERROR(__xludf.DUMMYFUNCTION("""COMPUTED_VALUE"""),"Tiptop")</f>
        <v>Tiptop</v>
      </c>
      <c r="BD438" s="7" t="str">
        <f ca="1">IFERROR(__xludf.DUMMYFUNCTION("""COMPUTED_VALUE"""),"https://gameserver-store-client-area.orbionlimited.com/Home/IntegrationGameLaunch/client-area?moneyType=0&amp;gameName=UnicornBigHitSevens&amp;platform=desktop&amp;languageCode=eng&amp;currency=EUR")</f>
        <v>https://gameserver-store-client-area.orbionlimited.com/Home/IntegrationGameLaunch/client-area?moneyType=0&amp;gameName=UnicornBigHitSevens&amp;platform=desktop&amp;languageCode=eng&amp;currency=EUR</v>
      </c>
      <c r="BE438" s="5" t="b">
        <f ca="1">IFERROR(__xludf.DUMMYFUNCTION("""COMPUTED_VALUE"""),TRUE)</f>
        <v>1</v>
      </c>
    </row>
    <row r="439" spans="1:57" x14ac:dyDescent="0.25">
      <c r="A439" s="5">
        <f ca="1">IFERROR(__xludf.DUMMYFUNCTION("""COMPUTED_VALUE"""),461)</f>
        <v>461</v>
      </c>
      <c r="B439" s="5">
        <f ca="1">IFERROR(__xludf.DUMMYFUNCTION("""COMPUTED_VALUE"""),999965)</f>
        <v>999965</v>
      </c>
      <c r="C439" s="5" t="str">
        <f ca="1">IFERROR(__xludf.DUMMYFUNCTION("""COMPUTED_VALUE"""),"Fazi")</f>
        <v>Fazi</v>
      </c>
      <c r="D439" s="5" t="str">
        <f ca="1">IFERROR(__xludf.DUMMYFUNCTION("""COMPUTED_VALUE"""),"Placeholder 1")</f>
        <v>Placeholder 1</v>
      </c>
      <c r="E439" s="5"/>
      <c r="F439" s="5" t="str">
        <f ca="1">IFERROR(__xludf.DUMMYFUNCTION("""COMPUTED_VALUE"""),"Placeholder 1")</f>
        <v>Placeholder 1</v>
      </c>
      <c r="G439" s="5" t="str">
        <f ca="1">IFERROR(__xludf.DUMMYFUNCTION("""COMPUTED_VALUE"""),"Planned")</f>
        <v>Planned</v>
      </c>
      <c r="H439" s="5"/>
      <c r="I439" s="5"/>
      <c r="J439" s="5"/>
      <c r="K439" s="5"/>
      <c r="L439" s="5"/>
      <c r="M439" s="5"/>
      <c r="N439" s="5"/>
      <c r="O439" s="5"/>
      <c r="P439" s="5"/>
      <c r="Q439" s="5"/>
      <c r="R439" s="5"/>
      <c r="S439" s="5"/>
      <c r="T439" s="5" t="b">
        <f ca="1">IFERROR(__xludf.DUMMYFUNCTION("""COMPUTED_VALUE"""),FALSE)</f>
        <v>0</v>
      </c>
      <c r="U439" s="5"/>
      <c r="V439" s="5"/>
      <c r="W439" s="5"/>
      <c r="X439" s="5"/>
      <c r="Y439" s="5"/>
      <c r="Z439" s="5"/>
      <c r="AA439" s="5"/>
      <c r="AB439" s="5"/>
      <c r="AC439" s="5"/>
      <c r="AD439" s="5"/>
      <c r="AE439" s="5"/>
      <c r="AF439" s="5"/>
      <c r="AG439" s="10">
        <f ca="1">IFERROR(__xludf.DUMMYFUNCTION("""COMPUTED_VALUE"""),45789.4908796296)</f>
        <v>45789.4908796296</v>
      </c>
      <c r="AH439" s="5" t="str">
        <f ca="1">IFERROR(__xludf.DUMMYFUNCTION("""COMPUTED_VALUE"""),"iva.cirkovic@fazi.rs")</f>
        <v>iva.cirkovic@fazi.rs</v>
      </c>
      <c r="AI439" s="5"/>
      <c r="AJ439" s="5"/>
      <c r="AK439" s="5"/>
      <c r="AL439" s="5"/>
      <c r="AM439" s="5"/>
      <c r="AN439" s="5"/>
      <c r="AO439" s="5"/>
      <c r="AP439" s="5"/>
      <c r="AQ439" s="5"/>
      <c r="AR439" s="5"/>
      <c r="AS439" s="5"/>
      <c r="AT439" s="5"/>
      <c r="AU439" s="5" t="str">
        <f ca="1">IFERROR(__xludf.DUMMYFUNCTION("""COMPUTED_VALUE"""),"Fazi")</f>
        <v>Fazi</v>
      </c>
      <c r="AV439" s="5"/>
      <c r="AW439" s="5"/>
      <c r="AX439" s="5"/>
      <c r="AY439" s="5"/>
      <c r="AZ439" s="5"/>
      <c r="BA439" s="5" t="str">
        <f ca="1">IFERROR(__xludf.DUMMYFUNCTION("""COMPUTED_VALUE"""),"")</f>
        <v/>
      </c>
      <c r="BB439" s="5"/>
      <c r="BC439" s="5" t="str">
        <f ca="1">IFERROR(__xludf.DUMMYFUNCTION("""COMPUTED_VALUE"""),"Foxi")</f>
        <v>Foxi</v>
      </c>
      <c r="BD439" s="5" t="str">
        <f ca="1">IFERROR(__xludf.DUMMYFUNCTION("""COMPUTED_VALUE"""),"")</f>
        <v/>
      </c>
      <c r="BE439" s="5"/>
    </row>
    <row r="440" spans="1:57" x14ac:dyDescent="0.25">
      <c r="A440" s="5">
        <f ca="1">IFERROR(__xludf.DUMMYFUNCTION("""COMPUTED_VALUE"""),462)</f>
        <v>462</v>
      </c>
      <c r="B440" s="5">
        <f ca="1">IFERROR(__xludf.DUMMYFUNCTION("""COMPUTED_VALUE"""),999964)</f>
        <v>999964</v>
      </c>
      <c r="C440" s="5" t="str">
        <f ca="1">IFERROR(__xludf.DUMMYFUNCTION("""COMPUTED_VALUE"""),"Fazi")</f>
        <v>Fazi</v>
      </c>
      <c r="D440" s="5" t="str">
        <f ca="1">IFERROR(__xludf.DUMMYFUNCTION("""COMPUTED_VALUE"""),"Placeholder 2")</f>
        <v>Placeholder 2</v>
      </c>
      <c r="E440" s="5"/>
      <c r="F440" s="5" t="str">
        <f ca="1">IFERROR(__xludf.DUMMYFUNCTION("""COMPUTED_VALUE"""),"Placeholder 2")</f>
        <v>Placeholder 2</v>
      </c>
      <c r="G440" s="5" t="str">
        <f ca="1">IFERROR(__xludf.DUMMYFUNCTION("""COMPUTED_VALUE"""),"Planned")</f>
        <v>Planned</v>
      </c>
      <c r="H440" s="5"/>
      <c r="I440" s="5"/>
      <c r="J440" s="5"/>
      <c r="K440" s="5"/>
      <c r="L440" s="5"/>
      <c r="M440" s="5"/>
      <c r="N440" s="5"/>
      <c r="O440" s="5"/>
      <c r="P440" s="5"/>
      <c r="Q440" s="5"/>
      <c r="R440" s="5"/>
      <c r="S440" s="5"/>
      <c r="T440" s="5" t="b">
        <f ca="1">IFERROR(__xludf.DUMMYFUNCTION("""COMPUTED_VALUE"""),FALSE)</f>
        <v>0</v>
      </c>
      <c r="U440" s="5"/>
      <c r="V440" s="5"/>
      <c r="W440" s="5"/>
      <c r="X440" s="5"/>
      <c r="Y440" s="5"/>
      <c r="Z440" s="5"/>
      <c r="AA440" s="5"/>
      <c r="AB440" s="5"/>
      <c r="AC440" s="5"/>
      <c r="AD440" s="5"/>
      <c r="AE440" s="5"/>
      <c r="AF440" s="5"/>
      <c r="AG440" s="10">
        <f ca="1">IFERROR(__xludf.DUMMYFUNCTION("""COMPUTED_VALUE"""),45789.4911342592)</f>
        <v>45789.491134259202</v>
      </c>
      <c r="AH440" s="5" t="str">
        <f ca="1">IFERROR(__xludf.DUMMYFUNCTION("""COMPUTED_VALUE"""),"iva.cirkovic@fazi.rs")</f>
        <v>iva.cirkovic@fazi.rs</v>
      </c>
      <c r="AI440" s="5"/>
      <c r="AJ440" s="5"/>
      <c r="AK440" s="5"/>
      <c r="AL440" s="5"/>
      <c r="AM440" s="5"/>
      <c r="AN440" s="5"/>
      <c r="AO440" s="5"/>
      <c r="AP440" s="5"/>
      <c r="AQ440" s="5"/>
      <c r="AR440" s="5"/>
      <c r="AS440" s="5"/>
      <c r="AT440" s="5"/>
      <c r="AU440" s="5" t="str">
        <f ca="1">IFERROR(__xludf.DUMMYFUNCTION("""COMPUTED_VALUE"""),"Fazi")</f>
        <v>Fazi</v>
      </c>
      <c r="AV440" s="5"/>
      <c r="AW440" s="5"/>
      <c r="AX440" s="5"/>
      <c r="AY440" s="5"/>
      <c r="AZ440" s="5"/>
      <c r="BA440" s="5" t="str">
        <f ca="1">IFERROR(__xludf.DUMMYFUNCTION("""COMPUTED_VALUE"""),"")</f>
        <v/>
      </c>
      <c r="BB440" s="5"/>
      <c r="BC440" s="5" t="str">
        <f ca="1">IFERROR(__xludf.DUMMYFUNCTION("""COMPUTED_VALUE"""),"Foxi")</f>
        <v>Foxi</v>
      </c>
      <c r="BD440" s="5" t="str">
        <f ca="1">IFERROR(__xludf.DUMMYFUNCTION("""COMPUTED_VALUE"""),"")</f>
        <v/>
      </c>
      <c r="BE440" s="5"/>
    </row>
    <row r="441" spans="1:57" x14ac:dyDescent="0.25">
      <c r="A441" s="5">
        <f ca="1">IFERROR(__xludf.DUMMYFUNCTION("""COMPUTED_VALUE"""),463)</f>
        <v>463</v>
      </c>
      <c r="B441" s="5">
        <f ca="1">IFERROR(__xludf.DUMMYFUNCTION("""COMPUTED_VALUE"""),999963)</f>
        <v>999963</v>
      </c>
      <c r="C441" s="5" t="str">
        <f ca="1">IFERROR(__xludf.DUMMYFUNCTION("""COMPUTED_VALUE"""),"Fazi")</f>
        <v>Fazi</v>
      </c>
      <c r="D441" s="5" t="str">
        <f ca="1">IFERROR(__xludf.DUMMYFUNCTION("""COMPUTED_VALUE"""),"Placeholder 3")</f>
        <v>Placeholder 3</v>
      </c>
      <c r="E441" s="5"/>
      <c r="F441" s="5" t="str">
        <f ca="1">IFERROR(__xludf.DUMMYFUNCTION("""COMPUTED_VALUE"""),"Placeholder 3")</f>
        <v>Placeholder 3</v>
      </c>
      <c r="G441" s="5" t="str">
        <f ca="1">IFERROR(__xludf.DUMMYFUNCTION("""COMPUTED_VALUE"""),"Planned")</f>
        <v>Planned</v>
      </c>
      <c r="H441" s="5"/>
      <c r="I441" s="5"/>
      <c r="J441" s="5"/>
      <c r="K441" s="5"/>
      <c r="L441" s="5"/>
      <c r="M441" s="5"/>
      <c r="N441" s="5"/>
      <c r="O441" s="5"/>
      <c r="P441" s="5"/>
      <c r="Q441" s="5"/>
      <c r="R441" s="5"/>
      <c r="S441" s="5"/>
      <c r="T441" s="5" t="b">
        <f ca="1">IFERROR(__xludf.DUMMYFUNCTION("""COMPUTED_VALUE"""),FALSE)</f>
        <v>0</v>
      </c>
      <c r="U441" s="5"/>
      <c r="V441" s="5"/>
      <c r="W441" s="5"/>
      <c r="X441" s="5"/>
      <c r="Y441" s="5"/>
      <c r="Z441" s="5"/>
      <c r="AA441" s="5"/>
      <c r="AB441" s="5"/>
      <c r="AC441" s="5"/>
      <c r="AD441" s="5"/>
      <c r="AE441" s="5"/>
      <c r="AF441" s="5"/>
      <c r="AG441" s="10">
        <f ca="1">IFERROR(__xludf.DUMMYFUNCTION("""COMPUTED_VALUE"""),45789.4913078703)</f>
        <v>45789.491307870303</v>
      </c>
      <c r="AH441" s="5" t="str">
        <f ca="1">IFERROR(__xludf.DUMMYFUNCTION("""COMPUTED_VALUE"""),"iva.cirkovic@fazi.rs")</f>
        <v>iva.cirkovic@fazi.rs</v>
      </c>
      <c r="AI441" s="5"/>
      <c r="AJ441" s="5"/>
      <c r="AK441" s="5"/>
      <c r="AL441" s="5"/>
      <c r="AM441" s="5"/>
      <c r="AN441" s="5"/>
      <c r="AO441" s="5"/>
      <c r="AP441" s="5"/>
      <c r="AQ441" s="5"/>
      <c r="AR441" s="5"/>
      <c r="AS441" s="5"/>
      <c r="AT441" s="5"/>
      <c r="AU441" s="5" t="str">
        <f ca="1">IFERROR(__xludf.DUMMYFUNCTION("""COMPUTED_VALUE"""),"Fazi")</f>
        <v>Fazi</v>
      </c>
      <c r="AV441" s="5"/>
      <c r="AW441" s="5"/>
      <c r="AX441" s="5"/>
      <c r="AY441" s="5"/>
      <c r="AZ441" s="5"/>
      <c r="BA441" s="5" t="str">
        <f ca="1">IFERROR(__xludf.DUMMYFUNCTION("""COMPUTED_VALUE"""),"")</f>
        <v/>
      </c>
      <c r="BB441" s="5"/>
      <c r="BC441" s="5" t="str">
        <f ca="1">IFERROR(__xludf.DUMMYFUNCTION("""COMPUTED_VALUE"""),"Foxi")</f>
        <v>Foxi</v>
      </c>
      <c r="BD441" s="5" t="str">
        <f ca="1">IFERROR(__xludf.DUMMYFUNCTION("""COMPUTED_VALUE"""),"")</f>
        <v/>
      </c>
      <c r="BE441" s="5"/>
    </row>
    <row r="442" spans="1:57" x14ac:dyDescent="0.25">
      <c r="A442" s="5">
        <f ca="1">IFERROR(__xludf.DUMMYFUNCTION("""COMPUTED_VALUE"""),464)</f>
        <v>464</v>
      </c>
      <c r="B442" s="5">
        <f ca="1">IFERROR(__xludf.DUMMYFUNCTION("""COMPUTED_VALUE"""),999962)</f>
        <v>999962</v>
      </c>
      <c r="C442" s="5" t="str">
        <f ca="1">IFERROR(__xludf.DUMMYFUNCTION("""COMPUTED_VALUE"""),"Fazi")</f>
        <v>Fazi</v>
      </c>
      <c r="D442" s="5" t="str">
        <f ca="1">IFERROR(__xludf.DUMMYFUNCTION("""COMPUTED_VALUE"""),"Placeholder 4")</f>
        <v>Placeholder 4</v>
      </c>
      <c r="E442" s="5"/>
      <c r="F442" s="5" t="str">
        <f ca="1">IFERROR(__xludf.DUMMYFUNCTION("""COMPUTED_VALUE"""),"Placeholder 4")</f>
        <v>Placeholder 4</v>
      </c>
      <c r="G442" s="5" t="str">
        <f ca="1">IFERROR(__xludf.DUMMYFUNCTION("""COMPUTED_VALUE"""),"Planned")</f>
        <v>Planned</v>
      </c>
      <c r="H442" s="5"/>
      <c r="I442" s="5"/>
      <c r="J442" s="5"/>
      <c r="K442" s="5"/>
      <c r="L442" s="5"/>
      <c r="M442" s="5"/>
      <c r="N442" s="5"/>
      <c r="O442" s="5"/>
      <c r="P442" s="5"/>
      <c r="Q442" s="5"/>
      <c r="R442" s="5"/>
      <c r="S442" s="5"/>
      <c r="T442" s="5" t="b">
        <f ca="1">IFERROR(__xludf.DUMMYFUNCTION("""COMPUTED_VALUE"""),FALSE)</f>
        <v>0</v>
      </c>
      <c r="U442" s="5"/>
      <c r="V442" s="5"/>
      <c r="W442" s="5"/>
      <c r="X442" s="5"/>
      <c r="Y442" s="5"/>
      <c r="Z442" s="5"/>
      <c r="AA442" s="5"/>
      <c r="AB442" s="5"/>
      <c r="AC442" s="5"/>
      <c r="AD442" s="5"/>
      <c r="AE442" s="5"/>
      <c r="AF442" s="5"/>
      <c r="AG442" s="10">
        <f ca="1">IFERROR(__xludf.DUMMYFUNCTION("""COMPUTED_VALUE"""),45789.4914583333)</f>
        <v>45789.491458333301</v>
      </c>
      <c r="AH442" s="5" t="str">
        <f ca="1">IFERROR(__xludf.DUMMYFUNCTION("""COMPUTED_VALUE"""),"iva.cirkovic@fazi.rs")</f>
        <v>iva.cirkovic@fazi.rs</v>
      </c>
      <c r="AI442" s="5"/>
      <c r="AJ442" s="5"/>
      <c r="AK442" s="5"/>
      <c r="AL442" s="5"/>
      <c r="AM442" s="5"/>
      <c r="AN442" s="5"/>
      <c r="AO442" s="5"/>
      <c r="AP442" s="5"/>
      <c r="AQ442" s="5"/>
      <c r="AR442" s="5"/>
      <c r="AS442" s="5"/>
      <c r="AT442" s="5"/>
      <c r="AU442" s="5"/>
      <c r="AV442" s="5"/>
      <c r="AW442" s="5"/>
      <c r="AX442" s="5"/>
      <c r="AY442" s="5"/>
      <c r="AZ442" s="5"/>
      <c r="BA442" s="5" t="str">
        <f ca="1">IFERROR(__xludf.DUMMYFUNCTION("""COMPUTED_VALUE"""),"")</f>
        <v/>
      </c>
      <c r="BB442" s="5"/>
      <c r="BC442" s="5" t="str">
        <f ca="1">IFERROR(__xludf.DUMMYFUNCTION("""COMPUTED_VALUE"""),"Foxi")</f>
        <v>Foxi</v>
      </c>
      <c r="BD442" s="5" t="str">
        <f ca="1">IFERROR(__xludf.DUMMYFUNCTION("""COMPUTED_VALUE"""),"")</f>
        <v/>
      </c>
      <c r="BE442" s="5"/>
    </row>
    <row r="443" spans="1:57" x14ac:dyDescent="0.25">
      <c r="A443" s="5">
        <f ca="1">IFERROR(__xludf.DUMMYFUNCTION("""COMPUTED_VALUE"""),466)</f>
        <v>466</v>
      </c>
      <c r="B443" s="5">
        <f ca="1">IFERROR(__xludf.DUMMYFUNCTION("""COMPUTED_VALUE"""),387)</f>
        <v>387</v>
      </c>
      <c r="C443" s="5" t="str">
        <f ca="1">IFERROR(__xludf.DUMMYFUNCTION("""COMPUTED_VALUE"""),"Tiptop")</f>
        <v>Tiptop</v>
      </c>
      <c r="D443" s="5" t="str">
        <f ca="1">IFERROR(__xludf.DUMMYFUNCTION("""COMPUTED_VALUE"""),"Supreme Sevens")</f>
        <v>Supreme Sevens</v>
      </c>
      <c r="E443" s="5" t="str">
        <f ca="1">IFERROR(__xludf.DUMMYFUNCTION("""COMPUTED_VALUE"""),"V4-2")</f>
        <v>V4-2</v>
      </c>
      <c r="F443" s="5" t="str">
        <f ca="1">IFERROR(__xludf.DUMMYFUNCTION("""COMPUTED_VALUE"""),"UnicornSupremeSevens")</f>
        <v>UnicornSupremeSevens</v>
      </c>
      <c r="G443" s="5" t="str">
        <f ca="1">IFERROR(__xludf.DUMMYFUNCTION("""COMPUTED_VALUE"""),"Live")</f>
        <v>Live</v>
      </c>
      <c r="H443" s="5"/>
      <c r="I443" s="5"/>
      <c r="J443" s="5" t="str">
        <f ca="1">IFERROR(__xludf.DUMMYFUNCTION("""COMPUTED_VALUE"""),"JSON")</f>
        <v>JSON</v>
      </c>
      <c r="K443" s="5" t="str">
        <f ca="1">IFERROR(__xludf.DUMMYFUNCTION("""COMPUTED_VALUE"""),"Slot")</f>
        <v>Slot</v>
      </c>
      <c r="L443" s="5" t="str">
        <f ca="1">IFERROR(__xludf.DUMMYFUNCTION("""COMPUTED_VALUE""")," Clone")</f>
        <v xml:space="preserve"> Clone</v>
      </c>
      <c r="M443" s="5" t="str">
        <f ca="1">IFERROR(__xludf.DUMMYFUNCTION("""COMPUTED_VALUE"""),"Fruit Island")</f>
        <v>Fruit Island</v>
      </c>
      <c r="N443" s="5"/>
      <c r="O443" s="5"/>
      <c r="P443" s="14">
        <f ca="1">IFERROR(__xludf.DUMMYFUNCTION("""COMPUTED_VALUE"""),10.1)</f>
        <v>10.1</v>
      </c>
      <c r="Q443" s="5"/>
      <c r="R443" s="15">
        <f ca="1">IFERROR(__xludf.DUMMYFUNCTION("""COMPUTED_VALUE"""),45742)</f>
        <v>45742</v>
      </c>
      <c r="S443" s="15">
        <f ca="1">IFERROR(__xludf.DUMMYFUNCTION("""COMPUTED_VALUE"""),45749)</f>
        <v>45749</v>
      </c>
      <c r="T443" s="5" t="b">
        <f ca="1">IFERROR(__xludf.DUMMYFUNCTION("""COMPUTED_VALUE"""),TRUE)</f>
        <v>1</v>
      </c>
      <c r="U443" s="5" t="str">
        <f ca="1">IFERROR(__xludf.DUMMYFUNCTION("""COMPUTED_VALUE"""),"5x3")</f>
        <v>5x3</v>
      </c>
      <c r="V443" s="5">
        <f ca="1">IFERROR(__xludf.DUMMYFUNCTION("""COMPUTED_VALUE"""),5)</f>
        <v>5</v>
      </c>
      <c r="W443" s="5">
        <f ca="1">IFERROR(__xludf.DUMMYFUNCTION("""COMPUTED_VALUE"""),5)</f>
        <v>5</v>
      </c>
      <c r="X443" s="5">
        <f ca="1">IFERROR(__xludf.DUMMYFUNCTION("""COMPUTED_VALUE"""),96)</f>
        <v>96</v>
      </c>
      <c r="Y443" s="5" t="str">
        <f ca="1">IFERROR(__xludf.DUMMYFUNCTION("""COMPUTED_VALUE"""),"Low")</f>
        <v>Low</v>
      </c>
      <c r="Z443" s="5">
        <f ca="1">IFERROR(__xludf.DUMMYFUNCTION("""COMPUTED_VALUE"""),10.5)</f>
        <v>10.5</v>
      </c>
      <c r="AA443" s="5">
        <f ca="1">IFERROR(__xludf.DUMMYFUNCTION("""COMPUTED_VALUE"""),1000)</f>
        <v>1000</v>
      </c>
      <c r="AB443" s="5"/>
      <c r="AC443" s="5"/>
      <c r="AD443" s="5" t="str">
        <f ca="1">IFERROR(__xludf.DUMMYFUNCTION("""COMPUTED_VALUE"""),"0.05/100")</f>
        <v>0.05/100</v>
      </c>
      <c r="AE443" s="5"/>
      <c r="AF443" s="5"/>
      <c r="AG443" s="10">
        <f ca="1">IFERROR(__xludf.DUMMYFUNCTION("""COMPUTED_VALUE"""),46197.4968171296)</f>
        <v>46197.496817129599</v>
      </c>
      <c r="AH443" s="5" t="str">
        <f ca="1">IFERROR(__xludf.DUMMYFUNCTION("""COMPUTED_VALUE"""),"selena.mihajlovic@fazi.rs")</f>
        <v>selena.mihajlovic@fazi.rs</v>
      </c>
      <c r="AI443" s="5"/>
      <c r="AJ443" s="5"/>
      <c r="AK443" s="5">
        <f ca="1">IFERROR(__xludf.DUMMYFUNCTION("""COMPUTED_VALUE"""),5)</f>
        <v>5</v>
      </c>
      <c r="AL443" s="5" t="str">
        <f ca="1">IFERROR(__xludf.DUMMYFUNCTION("""COMPUTED_VALUE"""),"No")</f>
        <v>No</v>
      </c>
      <c r="AM443" s="5"/>
      <c r="AN443" s="7" t="str">
        <f ca="1">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AO443" s="5"/>
      <c r="AP443" s="5"/>
      <c r="AQ443" s="5" t="b">
        <f ca="1">IFERROR(__xludf.DUMMYFUNCTION("""COMPUTED_VALUE"""),TRUE)</f>
        <v>1</v>
      </c>
      <c r="AR443" s="5"/>
      <c r="AS443" s="5" t="str">
        <f ca="1">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43" s="5"/>
      <c r="AU443" s="5" t="str">
        <f ca="1">IFERROR(__xludf.DUMMYFUNCTION("""COMPUTED_VALUE"""),"Fazi")</f>
        <v>Fazi</v>
      </c>
      <c r="AV443" s="5"/>
      <c r="AW443" s="5"/>
      <c r="AX443" s="5"/>
      <c r="AY443" s="5"/>
      <c r="AZ443" s="5"/>
      <c r="BA443" s="5"/>
      <c r="BB443" s="5" t="b">
        <f ca="1">IFERROR(__xludf.DUMMYFUNCTION("""COMPUTED_VALUE"""),TRUE)</f>
        <v>1</v>
      </c>
      <c r="BC443" s="5" t="str">
        <f ca="1">IFERROR(__xludf.DUMMYFUNCTION("""COMPUTED_VALUE"""),"Tiptop")</f>
        <v>Tiptop</v>
      </c>
      <c r="BD443" s="7" t="str">
        <f ca="1">IFERROR(__xludf.DUMMYFUNCTION("""COMPUTED_VALUE"""),"https://gameserver-store-client-area.orbionlimited.com/Home/IntegrationGameLaunch/client-area?moneyType=0&amp;gameName=UnicornSupremeSevens&amp;platform=desktop&amp;languageCode=eng&amp;currency=EUR")</f>
        <v>https://gameserver-store-client-area.orbionlimited.com/Home/IntegrationGameLaunch/client-area?moneyType=0&amp;gameName=UnicornSupremeSevens&amp;platform=desktop&amp;languageCode=eng&amp;currency=EUR</v>
      </c>
      <c r="BE443" s="5" t="b">
        <f ca="1">IFERROR(__xludf.DUMMYFUNCTION("""COMPUTED_VALUE"""),TRUE)</f>
        <v>1</v>
      </c>
    </row>
    <row r="444" spans="1:57" x14ac:dyDescent="0.25">
      <c r="A444" s="5">
        <f ca="1">IFERROR(__xludf.DUMMYFUNCTION("""COMPUTED_VALUE"""),467)</f>
        <v>467</v>
      </c>
      <c r="B444" s="5">
        <f ca="1">IFERROR(__xludf.DUMMYFUNCTION("""COMPUTED_VALUE"""),388)</f>
        <v>388</v>
      </c>
      <c r="C444" s="5" t="str">
        <f ca="1">IFERROR(__xludf.DUMMYFUNCTION("""COMPUTED_VALUE"""),"Tiptop")</f>
        <v>Tiptop</v>
      </c>
      <c r="D444" s="5" t="str">
        <f ca="1">IFERROR(__xludf.DUMMYFUNCTION("""COMPUTED_VALUE"""),"Triple Stacked Diamonds")</f>
        <v>Triple Stacked Diamonds</v>
      </c>
      <c r="E444" s="5" t="str">
        <f ca="1">IFERROR(__xludf.DUMMYFUNCTION("""COMPUTED_VALUE"""),"V4-2")</f>
        <v>V4-2</v>
      </c>
      <c r="F444" s="5" t="str">
        <f ca="1">IFERROR(__xludf.DUMMYFUNCTION("""COMPUTED_VALUE"""),"UnicornTripleStackedDiamonds")</f>
        <v>UnicornTripleStackedDiamonds</v>
      </c>
      <c r="G444" s="5" t="str">
        <f ca="1">IFERROR(__xludf.DUMMYFUNCTION("""COMPUTED_VALUE"""),"Live")</f>
        <v>Live</v>
      </c>
      <c r="H444" s="5"/>
      <c r="I444" s="5"/>
      <c r="J444" s="5" t="str">
        <f ca="1">IFERROR(__xludf.DUMMYFUNCTION("""COMPUTED_VALUE"""),"JSON")</f>
        <v>JSON</v>
      </c>
      <c r="K444" s="5" t="str">
        <f ca="1">IFERROR(__xludf.DUMMYFUNCTION("""COMPUTED_VALUE"""),"Slot")</f>
        <v>Slot</v>
      </c>
      <c r="L444" s="5" t="str">
        <f ca="1">IFERROR(__xludf.DUMMYFUNCTION("""COMPUTED_VALUE""")," Clone")</f>
        <v xml:space="preserve"> Clone</v>
      </c>
      <c r="M444" s="5" t="str">
        <f ca="1">IFERROR(__xludf.DUMMYFUNCTION("""COMPUTED_VALUE"""),"BuffaloSevens")</f>
        <v>BuffaloSevens</v>
      </c>
      <c r="N444" s="5"/>
      <c r="O444" s="5"/>
      <c r="P444" s="14">
        <f ca="1">IFERROR(__xludf.DUMMYFUNCTION("""COMPUTED_VALUE"""),10.7)</f>
        <v>10.7</v>
      </c>
      <c r="Q444" s="5"/>
      <c r="R444" s="15">
        <f ca="1">IFERROR(__xludf.DUMMYFUNCTION("""COMPUTED_VALUE"""),45748)</f>
        <v>45748</v>
      </c>
      <c r="S444" s="15">
        <f ca="1">IFERROR(__xludf.DUMMYFUNCTION("""COMPUTED_VALUE"""),45755)</f>
        <v>45755</v>
      </c>
      <c r="T444" s="5" t="b">
        <f ca="1">IFERROR(__xludf.DUMMYFUNCTION("""COMPUTED_VALUE"""),TRUE)</f>
        <v>1</v>
      </c>
      <c r="U444" s="5" t="str">
        <f ca="1">IFERROR(__xludf.DUMMYFUNCTION("""COMPUTED_VALUE"""),"5x3")</f>
        <v>5x3</v>
      </c>
      <c r="V444" s="5">
        <f ca="1">IFERROR(__xludf.DUMMYFUNCTION("""COMPUTED_VALUE"""),10)</f>
        <v>10</v>
      </c>
      <c r="W444" s="5">
        <f ca="1">IFERROR(__xludf.DUMMYFUNCTION("""COMPUTED_VALUE"""),10)</f>
        <v>10</v>
      </c>
      <c r="X444" s="5">
        <f ca="1">IFERROR(__xludf.DUMMYFUNCTION("""COMPUTED_VALUE"""),96)</f>
        <v>96</v>
      </c>
      <c r="Y444" s="5" t="str">
        <f ca="1">IFERROR(__xludf.DUMMYFUNCTION("""COMPUTED_VALUE"""),"Low")</f>
        <v>Low</v>
      </c>
      <c r="Z444" s="5">
        <f ca="1">IFERROR(__xludf.DUMMYFUNCTION("""COMPUTED_VALUE"""),9.08)</f>
        <v>9.08</v>
      </c>
      <c r="AA444" s="5">
        <f ca="1">IFERROR(__xludf.DUMMYFUNCTION("""COMPUTED_VALUE"""),5000)</f>
        <v>5000</v>
      </c>
      <c r="AB444" s="5"/>
      <c r="AC444" s="5"/>
      <c r="AD444" s="5" t="str">
        <f ca="1">IFERROR(__xludf.DUMMYFUNCTION("""COMPUTED_VALUE"""),"0.1/100")</f>
        <v>0.1/100</v>
      </c>
      <c r="AE444" s="5"/>
      <c r="AF444" s="5"/>
      <c r="AG444" s="10">
        <f ca="1">IFERROR(__xludf.DUMMYFUNCTION("""COMPUTED_VALUE"""),46197.4971296296)</f>
        <v>46197.497129629599</v>
      </c>
      <c r="AH444" s="5" t="str">
        <f ca="1">IFERROR(__xludf.DUMMYFUNCTION("""COMPUTED_VALUE"""),"selena.mihajlovic@fazi.rs")</f>
        <v>selena.mihajlovic@fazi.rs</v>
      </c>
      <c r="AI444" s="5"/>
      <c r="AJ444" s="5"/>
      <c r="AK444" s="5">
        <f ca="1">IFERROR(__xludf.DUMMYFUNCTION("""COMPUTED_VALUE"""),10)</f>
        <v>10</v>
      </c>
      <c r="AL444" s="5" t="str">
        <f ca="1">IFERROR(__xludf.DUMMYFUNCTION("""COMPUTED_VALUE"""),"No")</f>
        <v>No</v>
      </c>
      <c r="AM444" s="5"/>
      <c r="AN444" s="7" t="str">
        <f ca="1">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AO444" s="5"/>
      <c r="AP444" s="5"/>
      <c r="AQ444" s="5" t="b">
        <f ca="1">IFERROR(__xludf.DUMMYFUNCTION("""COMPUTED_VALUE"""),TRUE)</f>
        <v>1</v>
      </c>
      <c r="AR444" s="5"/>
      <c r="AS444" s="5" t="str">
        <f ca="1">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AT444" s="5"/>
      <c r="AU444" s="5" t="str">
        <f ca="1">IFERROR(__xludf.DUMMYFUNCTION("""COMPUTED_VALUE"""),"Fazi")</f>
        <v>Fazi</v>
      </c>
      <c r="AV444" s="5"/>
      <c r="AW444" s="5"/>
      <c r="AX444" s="5"/>
      <c r="AY444" s="5"/>
      <c r="AZ444" s="5"/>
      <c r="BA444" s="5"/>
      <c r="BB444" s="5" t="b">
        <f ca="1">IFERROR(__xludf.DUMMYFUNCTION("""COMPUTED_VALUE"""),TRUE)</f>
        <v>1</v>
      </c>
      <c r="BC444" s="5" t="str">
        <f ca="1">IFERROR(__xludf.DUMMYFUNCTION("""COMPUTED_VALUE"""),"Tiptop")</f>
        <v>Tiptop</v>
      </c>
      <c r="BD444" s="7" t="str">
        <f ca="1">IFERROR(__xludf.DUMMYFUNCTION("""COMPUTED_VALUE"""),"https://gameserver-store-client-area.orbionlimited.com/Home/IntegrationGameLaunch/client-area?moneyType=0&amp;gameName=UnicornTripleStackedDiamonds&amp;platform=desktop&amp;languageCode=eng&amp;currency=EUR")</f>
        <v>https://gameserver-store-client-area.orbionlimited.com/Home/IntegrationGameLaunch/client-area?moneyType=0&amp;gameName=UnicornTripleStackedDiamonds&amp;platform=desktop&amp;languageCode=eng&amp;currency=EUR</v>
      </c>
      <c r="BE444" s="5" t="b">
        <f ca="1">IFERROR(__xludf.DUMMYFUNCTION("""COMPUTED_VALUE"""),TRUE)</f>
        <v>1</v>
      </c>
    </row>
    <row r="445" spans="1:57" x14ac:dyDescent="0.25">
      <c r="A445" s="5">
        <f ca="1">IFERROR(__xludf.DUMMYFUNCTION("""COMPUTED_VALUE"""),468)</f>
        <v>468</v>
      </c>
      <c r="B445" s="5">
        <f ca="1">IFERROR(__xludf.DUMMYFUNCTION("""COMPUTED_VALUE"""),403)</f>
        <v>403</v>
      </c>
      <c r="C445" s="5" t="str">
        <f ca="1">IFERROR(__xludf.DUMMYFUNCTION("""COMPUTED_VALUE"""),"Tiptop")</f>
        <v>Tiptop</v>
      </c>
      <c r="D445" s="5" t="str">
        <f ca="1">IFERROR(__xludf.DUMMYFUNCTION("""COMPUTED_VALUE"""),"Dynamite Boom")</f>
        <v>Dynamite Boom</v>
      </c>
      <c r="E445" s="5" t="str">
        <f ca="1">IFERROR(__xludf.DUMMYFUNCTION("""COMPUTED_VALUE"""),"V4-2")</f>
        <v>V4-2</v>
      </c>
      <c r="F445" s="5" t="str">
        <f ca="1">IFERROR(__xludf.DUMMYFUNCTION("""COMPUTED_VALUE"""),"UnicornDynamiteBoom")</f>
        <v>UnicornDynamiteBoom</v>
      </c>
      <c r="G445" s="5" t="str">
        <f ca="1">IFERROR(__xludf.DUMMYFUNCTION("""COMPUTED_VALUE"""),"Live")</f>
        <v>Live</v>
      </c>
      <c r="H445" s="5"/>
      <c r="I445" s="5" t="str">
        <f ca="1">IFERROR(__xludf.DUMMYFUNCTION("""COMPUTED_VALUE"""),"TipTop")</f>
        <v>TipTop</v>
      </c>
      <c r="J445" s="5" t="str">
        <f ca="1">IFERROR(__xludf.DUMMYFUNCTION("""COMPUTED_VALUE"""),"JSON")</f>
        <v>JSON</v>
      </c>
      <c r="K445" s="5" t="str">
        <f ca="1">IFERROR(__xludf.DUMMYFUNCTION("""COMPUTED_VALUE"""),"Slot")</f>
        <v>Slot</v>
      </c>
      <c r="L445" s="5" t="str">
        <f ca="1">IFERROR(__xludf.DUMMYFUNCTION("""COMPUTED_VALUE""")," Clone")</f>
        <v xml:space="preserve"> Clone</v>
      </c>
      <c r="M445" s="5" t="str">
        <f ca="1">IFERROR(__xludf.DUMMYFUNCTION("""COMPUTED_VALUE"""),"MisterLuck")</f>
        <v>MisterLuck</v>
      </c>
      <c r="N445" s="5"/>
      <c r="O445" s="5"/>
      <c r="P445" s="14">
        <f ca="1">IFERROR(__xludf.DUMMYFUNCTION("""COMPUTED_VALUE"""),14.2)</f>
        <v>14.2</v>
      </c>
      <c r="Q445" s="5"/>
      <c r="R445" s="15">
        <f ca="1">IFERROR(__xludf.DUMMYFUNCTION("""COMPUTED_VALUE"""),45769)</f>
        <v>45769</v>
      </c>
      <c r="S445" s="15">
        <f ca="1">IFERROR(__xludf.DUMMYFUNCTION("""COMPUTED_VALUE"""),45776)</f>
        <v>45776</v>
      </c>
      <c r="T445" s="5" t="b">
        <f ca="1">IFERROR(__xludf.DUMMYFUNCTION("""COMPUTED_VALUE"""),TRUE)</f>
        <v>1</v>
      </c>
      <c r="U445" s="5" t="str">
        <f ca="1">IFERROR(__xludf.DUMMYFUNCTION("""COMPUTED_VALUE"""),"5x3")</f>
        <v>5x3</v>
      </c>
      <c r="V445" s="5">
        <f ca="1">IFERROR(__xludf.DUMMYFUNCTION("""COMPUTED_VALUE"""),5)</f>
        <v>5</v>
      </c>
      <c r="W445" s="5">
        <f ca="1">IFERROR(__xludf.DUMMYFUNCTION("""COMPUTED_VALUE"""),5)</f>
        <v>5</v>
      </c>
      <c r="X445" s="5">
        <f ca="1">IFERROR(__xludf.DUMMYFUNCTION("""COMPUTED_VALUE"""),96)</f>
        <v>96</v>
      </c>
      <c r="Y445" s="5" t="str">
        <f ca="1">IFERROR(__xludf.DUMMYFUNCTION("""COMPUTED_VALUE"""),"Low")</f>
        <v>Low</v>
      </c>
      <c r="Z445" s="5">
        <f ca="1">IFERROR(__xludf.DUMMYFUNCTION("""COMPUTED_VALUE"""),13.64)</f>
        <v>13.64</v>
      </c>
      <c r="AA445" s="5">
        <f ca="1">IFERROR(__xludf.DUMMYFUNCTION("""COMPUTED_VALUE"""),10000)</f>
        <v>10000</v>
      </c>
      <c r="AB445" s="5"/>
      <c r="AC445" s="5"/>
      <c r="AD445" s="5" t="str">
        <f ca="1">IFERROR(__xludf.DUMMYFUNCTION("""COMPUTED_VALUE"""),"0.05/100")</f>
        <v>0.05/100</v>
      </c>
      <c r="AE445" s="5"/>
      <c r="AF445" s="5"/>
      <c r="AG445" s="10">
        <f ca="1">IFERROR(__xludf.DUMMYFUNCTION("""COMPUTED_VALUE"""),46197.4972916666)</f>
        <v>46197.497291666601</v>
      </c>
      <c r="AH445" s="5" t="str">
        <f ca="1">IFERROR(__xludf.DUMMYFUNCTION("""COMPUTED_VALUE"""),"selena.mihajlovic@fazi.rs")</f>
        <v>selena.mihajlovic@fazi.rs</v>
      </c>
      <c r="AI445" s="5"/>
      <c r="AJ445" s="5"/>
      <c r="AK445" s="5">
        <f ca="1">IFERROR(__xludf.DUMMYFUNCTION("""COMPUTED_VALUE"""),5)</f>
        <v>5</v>
      </c>
      <c r="AL445" s="5" t="str">
        <f ca="1">IFERROR(__xludf.DUMMYFUNCTION("""COMPUTED_VALUE"""),"No")</f>
        <v>No</v>
      </c>
      <c r="AM445" s="5"/>
      <c r="AN445" s="7" t="str">
        <f ca="1">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AO445" s="5"/>
      <c r="AP445" s="5"/>
      <c r="AQ445" s="5" t="b">
        <f ca="1">IFERROR(__xludf.DUMMYFUNCTION("""COMPUTED_VALUE"""),TRUE)</f>
        <v>1</v>
      </c>
      <c r="AR445" s="5"/>
      <c r="AS445" s="5" t="str">
        <f ca="1">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AT445" s="5"/>
      <c r="AU445" s="5" t="str">
        <f ca="1">IFERROR(__xludf.DUMMYFUNCTION("""COMPUTED_VALUE"""),"Fazi")</f>
        <v>Fazi</v>
      </c>
      <c r="AV445" s="5"/>
      <c r="AW445" s="5"/>
      <c r="AX445" s="5"/>
      <c r="AY445" s="5"/>
      <c r="AZ445" s="5"/>
      <c r="BA445" s="5"/>
      <c r="BB445" s="5" t="b">
        <f ca="1">IFERROR(__xludf.DUMMYFUNCTION("""COMPUTED_VALUE"""),TRUE)</f>
        <v>1</v>
      </c>
      <c r="BC445" s="5" t="str">
        <f ca="1">IFERROR(__xludf.DUMMYFUNCTION("""COMPUTED_VALUE"""),"Tiptop")</f>
        <v>Tiptop</v>
      </c>
      <c r="BD445" s="7" t="str">
        <f ca="1">IFERROR(__xludf.DUMMYFUNCTION("""COMPUTED_VALUE"""),"https://gameserver-store-client-area.orbionlimited.com/Home/IntegrationGameLaunch/client-area?moneyType=0&amp;gameName=UnicornDynamiteBoom&amp;platform=desktop&amp;languageCode=eng&amp;currency=EUR")</f>
        <v>https://gameserver-store-client-area.orbionlimited.com/Home/IntegrationGameLaunch/client-area?moneyType=0&amp;gameName=UnicornDynamiteBoom&amp;platform=desktop&amp;languageCode=eng&amp;currency=EUR</v>
      </c>
      <c r="BE445" s="5" t="b">
        <f ca="1">IFERROR(__xludf.DUMMYFUNCTION("""COMPUTED_VALUE"""),TRUE)</f>
        <v>1</v>
      </c>
    </row>
    <row r="446" spans="1:57" x14ac:dyDescent="0.25">
      <c r="A446" s="5">
        <f ca="1">IFERROR(__xludf.DUMMYFUNCTION("""COMPUTED_VALUE"""),469)</f>
        <v>469</v>
      </c>
      <c r="B446" s="5">
        <f ca="1">IFERROR(__xludf.DUMMYFUNCTION("""COMPUTED_VALUE"""),404)</f>
        <v>404</v>
      </c>
      <c r="C446" s="5" t="str">
        <f ca="1">IFERROR(__xludf.DUMMYFUNCTION("""COMPUTED_VALUE"""),"Tiptop")</f>
        <v>Tiptop</v>
      </c>
      <c r="D446" s="5" t="str">
        <f ca="1">IFERROR(__xludf.DUMMYFUNCTION("""COMPUTED_VALUE"""),"Fast Pay")</f>
        <v>Fast Pay</v>
      </c>
      <c r="E446" s="5" t="str">
        <f ca="1">IFERROR(__xludf.DUMMYFUNCTION("""COMPUTED_VALUE"""),"V4-2")</f>
        <v>V4-2</v>
      </c>
      <c r="F446" s="5" t="str">
        <f ca="1">IFERROR(__xludf.DUMMYFUNCTION("""COMPUTED_VALUE"""),"UnicornFastPay")</f>
        <v>UnicornFastPay</v>
      </c>
      <c r="G446" s="5" t="str">
        <f ca="1">IFERROR(__xludf.DUMMYFUNCTION("""COMPUTED_VALUE"""),"Live")</f>
        <v>Live</v>
      </c>
      <c r="H446" s="5"/>
      <c r="I446" s="5"/>
      <c r="J446" s="5" t="str">
        <f ca="1">IFERROR(__xludf.DUMMYFUNCTION("""COMPUTED_VALUE"""),"JSON")</f>
        <v>JSON</v>
      </c>
      <c r="K446" s="5" t="str">
        <f ca="1">IFERROR(__xludf.DUMMYFUNCTION("""COMPUTED_VALUE"""),"Slot")</f>
        <v>Slot</v>
      </c>
      <c r="L446" s="5" t="str">
        <f ca="1">IFERROR(__xludf.DUMMYFUNCTION("""COMPUTED_VALUE""")," Clone")</f>
        <v xml:space="preserve"> Clone</v>
      </c>
      <c r="M446" s="5" t="str">
        <f ca="1">IFERROR(__xludf.DUMMYFUNCTION("""COMPUTED_VALUE"""),"Simply Sevens")</f>
        <v>Simply Sevens</v>
      </c>
      <c r="N446" s="5"/>
      <c r="O446" s="5"/>
      <c r="P446" s="14">
        <f ca="1">IFERROR(__xludf.DUMMYFUNCTION("""COMPUTED_VALUE"""),11)</f>
        <v>11</v>
      </c>
      <c r="Q446" s="5"/>
      <c r="R446" s="15">
        <f ca="1">IFERROR(__xludf.DUMMYFUNCTION("""COMPUTED_VALUE"""),45763)</f>
        <v>45763</v>
      </c>
      <c r="S446" s="15">
        <f ca="1">IFERROR(__xludf.DUMMYFUNCTION("""COMPUTED_VALUE"""),45770)</f>
        <v>45770</v>
      </c>
      <c r="T446" s="5" t="b">
        <f ca="1">IFERROR(__xludf.DUMMYFUNCTION("""COMPUTED_VALUE"""),TRUE)</f>
        <v>1</v>
      </c>
      <c r="U446" s="5" t="str">
        <f ca="1">IFERROR(__xludf.DUMMYFUNCTION("""COMPUTED_VALUE"""),"5x3")</f>
        <v>5x3</v>
      </c>
      <c r="V446" s="5">
        <f ca="1">IFERROR(__xludf.DUMMYFUNCTION("""COMPUTED_VALUE"""),10)</f>
        <v>10</v>
      </c>
      <c r="W446" s="5">
        <f ca="1">IFERROR(__xludf.DUMMYFUNCTION("""COMPUTED_VALUE"""),10)</f>
        <v>10</v>
      </c>
      <c r="X446" s="5">
        <f ca="1">IFERROR(__xludf.DUMMYFUNCTION("""COMPUTED_VALUE"""),96)</f>
        <v>96</v>
      </c>
      <c r="Y446" s="5" t="str">
        <f ca="1">IFERROR(__xludf.DUMMYFUNCTION("""COMPUTED_VALUE"""),"Low")</f>
        <v>Low</v>
      </c>
      <c r="Z446" s="5">
        <f ca="1">IFERROR(__xludf.DUMMYFUNCTION("""COMPUTED_VALUE"""),24.14)</f>
        <v>24.14</v>
      </c>
      <c r="AA446" s="5">
        <f ca="1">IFERROR(__xludf.DUMMYFUNCTION("""COMPUTED_VALUE"""),10000)</f>
        <v>10000</v>
      </c>
      <c r="AB446" s="5"/>
      <c r="AC446" s="5"/>
      <c r="AD446" s="5" t="str">
        <f ca="1">IFERROR(__xludf.DUMMYFUNCTION("""COMPUTED_VALUE"""),"0.1/100")</f>
        <v>0.1/100</v>
      </c>
      <c r="AE446" s="5"/>
      <c r="AF446" s="5"/>
      <c r="AG446" s="10">
        <f ca="1">IFERROR(__xludf.DUMMYFUNCTION("""COMPUTED_VALUE"""),46197.4974884259)</f>
        <v>46197.497488425899</v>
      </c>
      <c r="AH446" s="5" t="str">
        <f ca="1">IFERROR(__xludf.DUMMYFUNCTION("""COMPUTED_VALUE"""),"selena.mihajlovic@fazi.rs")</f>
        <v>selena.mihajlovic@fazi.rs</v>
      </c>
      <c r="AI446" s="5"/>
      <c r="AJ446" s="5"/>
      <c r="AK446" s="5">
        <f ca="1">IFERROR(__xludf.DUMMYFUNCTION("""COMPUTED_VALUE"""),10)</f>
        <v>10</v>
      </c>
      <c r="AL446" s="5" t="str">
        <f ca="1">IFERROR(__xludf.DUMMYFUNCTION("""COMPUTED_VALUE"""),"No")</f>
        <v>No</v>
      </c>
      <c r="AM446" s="5"/>
      <c r="AN446" s="7" t="str">
        <f ca="1">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AO446" s="5"/>
      <c r="AP446" s="5"/>
      <c r="AQ446" s="5" t="b">
        <f ca="1">IFERROR(__xludf.DUMMYFUNCTION("""COMPUTED_VALUE"""),TRUE)</f>
        <v>1</v>
      </c>
      <c r="AR446" s="5"/>
      <c r="AS446" s="5" t="str">
        <f ca="1">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AT446" s="5"/>
      <c r="AU446" s="5" t="str">
        <f ca="1">IFERROR(__xludf.DUMMYFUNCTION("""COMPUTED_VALUE"""),"Fazi")</f>
        <v>Fazi</v>
      </c>
      <c r="AV446" s="5"/>
      <c r="AW446" s="5"/>
      <c r="AX446" s="5"/>
      <c r="AY446" s="5"/>
      <c r="AZ446" s="5"/>
      <c r="BA446" s="5"/>
      <c r="BB446" s="5" t="b">
        <f ca="1">IFERROR(__xludf.DUMMYFUNCTION("""COMPUTED_VALUE"""),TRUE)</f>
        <v>1</v>
      </c>
      <c r="BC446" s="5" t="str">
        <f ca="1">IFERROR(__xludf.DUMMYFUNCTION("""COMPUTED_VALUE"""),"Tiptop")</f>
        <v>Tiptop</v>
      </c>
      <c r="BD446" s="7" t="str">
        <f ca="1">IFERROR(__xludf.DUMMYFUNCTION("""COMPUTED_VALUE"""),"https://gameserver-store-client-area.orbionlimited.com/Home/IntegrationGameLaunch/client-area?moneyType=0&amp;gameName=UnicornFastPay&amp;platform=desktop&amp;languageCode=eng&amp;currency=EUR")</f>
        <v>https://gameserver-store-client-area.orbionlimited.com/Home/IntegrationGameLaunch/client-area?moneyType=0&amp;gameName=UnicornFastPay&amp;platform=desktop&amp;languageCode=eng&amp;currency=EUR</v>
      </c>
      <c r="BE446" s="5" t="b">
        <f ca="1">IFERROR(__xludf.DUMMYFUNCTION("""COMPUTED_VALUE"""),TRUE)</f>
        <v>1</v>
      </c>
    </row>
    <row r="447" spans="1:57" x14ac:dyDescent="0.25">
      <c r="A447" s="5">
        <f ca="1">IFERROR(__xludf.DUMMYFUNCTION("""COMPUTED_VALUE"""),470)</f>
        <v>470</v>
      </c>
      <c r="B447" s="5">
        <f ca="1">IFERROR(__xludf.DUMMYFUNCTION("""COMPUTED_VALUE"""),406)</f>
        <v>406</v>
      </c>
      <c r="C447" s="5" t="str">
        <f ca="1">IFERROR(__xludf.DUMMYFUNCTION("""COMPUTED_VALUE"""),"Tiptop")</f>
        <v>Tiptop</v>
      </c>
      <c r="D447" s="5" t="str">
        <f ca="1">IFERROR(__xludf.DUMMYFUNCTION("""COMPUTED_VALUE"""),"Super Fire Jackpot")</f>
        <v>Super Fire Jackpot</v>
      </c>
      <c r="E447" s="5" t="str">
        <f ca="1">IFERROR(__xludf.DUMMYFUNCTION("""COMPUTED_VALUE"""),"V4-2")</f>
        <v>V4-2</v>
      </c>
      <c r="F447" s="5" t="str">
        <f ca="1">IFERROR(__xludf.DUMMYFUNCTION("""COMPUTED_VALUE"""),"UnicornSuperFireJackpot")</f>
        <v>UnicornSuperFireJackpot</v>
      </c>
      <c r="G447" s="5" t="str">
        <f ca="1">IFERROR(__xludf.DUMMYFUNCTION("""COMPUTED_VALUE"""),"Live")</f>
        <v>Live</v>
      </c>
      <c r="H447" s="5"/>
      <c r="I447" s="5"/>
      <c r="J447" s="5" t="str">
        <f ca="1">IFERROR(__xludf.DUMMYFUNCTION("""COMPUTED_VALUE"""),"JSON")</f>
        <v>JSON</v>
      </c>
      <c r="K447" s="5" t="str">
        <f ca="1">IFERROR(__xludf.DUMMYFUNCTION("""COMPUTED_VALUE"""),"Slot")</f>
        <v>Slot</v>
      </c>
      <c r="L447" s="5" t="str">
        <f ca="1">IFERROR(__xludf.DUMMYFUNCTION("""COMPUTED_VALUE""")," Clone")</f>
        <v xml:space="preserve"> Clone</v>
      </c>
      <c r="M447" s="5" t="str">
        <f ca="1">IFERROR(__xludf.DUMMYFUNCTION("""COMPUTED_VALUE"""),"Unicorn 20 Hot Strike Jackpot")</f>
        <v>Unicorn 20 Hot Strike Jackpot</v>
      </c>
      <c r="N447" s="5"/>
      <c r="O447" s="5"/>
      <c r="P447" s="14">
        <f ca="1">IFERROR(__xludf.DUMMYFUNCTION("""COMPUTED_VALUE"""),10.6)</f>
        <v>10.6</v>
      </c>
      <c r="Q447" s="5"/>
      <c r="R447" s="15">
        <f ca="1">IFERROR(__xludf.DUMMYFUNCTION("""COMPUTED_VALUE"""),45777)</f>
        <v>45777</v>
      </c>
      <c r="S447" s="15">
        <f ca="1">IFERROR(__xludf.DUMMYFUNCTION("""COMPUTED_VALUE"""),45785)</f>
        <v>45785</v>
      </c>
      <c r="T447" s="5" t="b">
        <f ca="1">IFERROR(__xludf.DUMMYFUNCTION("""COMPUTED_VALUE"""),TRUE)</f>
        <v>1</v>
      </c>
      <c r="U447" s="5" t="str">
        <f ca="1">IFERROR(__xludf.DUMMYFUNCTION("""COMPUTED_VALUE"""),"5x3")</f>
        <v>5x3</v>
      </c>
      <c r="V447" s="5">
        <f ca="1">IFERROR(__xludf.DUMMYFUNCTION("""COMPUTED_VALUE"""),20)</f>
        <v>20</v>
      </c>
      <c r="W447" s="5">
        <f ca="1">IFERROR(__xludf.DUMMYFUNCTION("""COMPUTED_VALUE"""),20)</f>
        <v>20</v>
      </c>
      <c r="X447" s="5">
        <f ca="1">IFERROR(__xludf.DUMMYFUNCTION("""COMPUTED_VALUE"""),96)</f>
        <v>96</v>
      </c>
      <c r="Y447" s="5" t="str">
        <f ca="1">IFERROR(__xludf.DUMMYFUNCTION("""COMPUTED_VALUE"""),"Low")</f>
        <v>Low</v>
      </c>
      <c r="Z447" s="5">
        <f ca="1">IFERROR(__xludf.DUMMYFUNCTION("""COMPUTED_VALUE"""),14.46)</f>
        <v>14.46</v>
      </c>
      <c r="AA447" s="5">
        <f ca="1">IFERROR(__xludf.DUMMYFUNCTION("""COMPUTED_VALUE"""),10000)</f>
        <v>10000</v>
      </c>
      <c r="AB447" s="5"/>
      <c r="AC447" s="5"/>
      <c r="AD447" s="5" t="str">
        <f ca="1">IFERROR(__xludf.DUMMYFUNCTION("""COMPUTED_VALUE"""),"0.2/100")</f>
        <v>0.2/100</v>
      </c>
      <c r="AE447" s="5"/>
      <c r="AF447" s="5"/>
      <c r="AG447" s="10">
        <f ca="1">IFERROR(__xludf.DUMMYFUNCTION("""COMPUTED_VALUE"""),46197.4978472222)</f>
        <v>46197.497847222199</v>
      </c>
      <c r="AH447" s="5" t="str">
        <f ca="1">IFERROR(__xludf.DUMMYFUNCTION("""COMPUTED_VALUE"""),"selena.mihajlovic@fazi.rs")</f>
        <v>selena.mihajlovic@fazi.rs</v>
      </c>
      <c r="AI447" s="5"/>
      <c r="AJ447" s="5"/>
      <c r="AK447" s="5">
        <f ca="1">IFERROR(__xludf.DUMMYFUNCTION("""COMPUTED_VALUE"""),20)</f>
        <v>20</v>
      </c>
      <c r="AL447" s="5" t="str">
        <f ca="1">IFERROR(__xludf.DUMMYFUNCTION("""COMPUTED_VALUE"""),"No")</f>
        <v>No</v>
      </c>
      <c r="AM447" s="5"/>
      <c r="AN447" s="7" t="str">
        <f ca="1">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AO447" s="5"/>
      <c r="AP447" s="5"/>
      <c r="AQ447" s="5" t="b">
        <f ca="1">IFERROR(__xludf.DUMMYFUNCTION("""COMPUTED_VALUE"""),TRUE)</f>
        <v>1</v>
      </c>
      <c r="AR447" s="5"/>
      <c r="AS447" s="5" t="str">
        <f ca="1">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AT447" s="5"/>
      <c r="AU447" s="5" t="str">
        <f ca="1">IFERROR(__xludf.DUMMYFUNCTION("""COMPUTED_VALUE"""),"Fazi")</f>
        <v>Fazi</v>
      </c>
      <c r="AV447" s="5"/>
      <c r="AW447" s="5"/>
      <c r="AX447" s="5"/>
      <c r="AY447" s="5"/>
      <c r="AZ447" s="5"/>
      <c r="BA447" s="5"/>
      <c r="BB447" s="5" t="b">
        <f ca="1">IFERROR(__xludf.DUMMYFUNCTION("""COMPUTED_VALUE"""),TRUE)</f>
        <v>1</v>
      </c>
      <c r="BC447" s="5" t="str">
        <f ca="1">IFERROR(__xludf.DUMMYFUNCTION("""COMPUTED_VALUE"""),"Tiptop")</f>
        <v>Tiptop</v>
      </c>
      <c r="BD447" s="7" t="str">
        <f ca="1">IFERROR(__xludf.DUMMYFUNCTION("""COMPUTED_VALUE"""),"https://gameserver-store-client-area.orbionlimited.com/Home/IntegrationGameLaunch/client-area?moneyType=0&amp;gameName=UnicornSuperFireJackpot&amp;platform=desktop&amp;languageCode=eng&amp;currency=EUR")</f>
        <v>https://gameserver-store-client-area.orbionlimited.com/Home/IntegrationGameLaunch/client-area?moneyType=0&amp;gameName=UnicornSuperFireJackpot&amp;platform=desktop&amp;languageCode=eng&amp;currency=EUR</v>
      </c>
      <c r="BE447" s="5" t="b">
        <f ca="1">IFERROR(__xludf.DUMMYFUNCTION("""COMPUTED_VALUE"""),TRUE)</f>
        <v>1</v>
      </c>
    </row>
    <row r="448" spans="1:57" x14ac:dyDescent="0.25">
      <c r="A448" s="5">
        <f ca="1">IFERROR(__xludf.DUMMYFUNCTION("""COMPUTED_VALUE"""),471)</f>
        <v>471</v>
      </c>
      <c r="B448" s="5">
        <f ca="1">IFERROR(__xludf.DUMMYFUNCTION("""COMPUTED_VALUE"""),411)</f>
        <v>411</v>
      </c>
      <c r="C448" s="5" t="str">
        <f ca="1">IFERROR(__xludf.DUMMYFUNCTION("""COMPUTED_VALUE"""),"Tiptop")</f>
        <v>Tiptop</v>
      </c>
      <c r="D448" s="5" t="str">
        <f ca="1">IFERROR(__xludf.DUMMYFUNCTION("""COMPUTED_VALUE"""),"Coyote Gems")</f>
        <v>Coyote Gems</v>
      </c>
      <c r="E448" s="5" t="str">
        <f ca="1">IFERROR(__xludf.DUMMYFUNCTION("""COMPUTED_VALUE"""),"V4-2")</f>
        <v>V4-2</v>
      </c>
      <c r="F448" s="5" t="str">
        <f ca="1">IFERROR(__xludf.DUMMYFUNCTION("""COMPUTED_VALUE"""),"UnicornCoyoteGems")</f>
        <v>UnicornCoyoteGems</v>
      </c>
      <c r="G448" s="5" t="str">
        <f ca="1">IFERROR(__xludf.DUMMYFUNCTION("""COMPUTED_VALUE"""),"Live")</f>
        <v>Live</v>
      </c>
      <c r="H448" s="5"/>
      <c r="I448" s="5"/>
      <c r="J448" s="5" t="str">
        <f ca="1">IFERROR(__xludf.DUMMYFUNCTION("""COMPUTED_VALUE"""),"JSON")</f>
        <v>JSON</v>
      </c>
      <c r="K448" s="5" t="str">
        <f ca="1">IFERROR(__xludf.DUMMYFUNCTION("""COMPUTED_VALUE"""),"Slot")</f>
        <v>Slot</v>
      </c>
      <c r="L448" s="5" t="str">
        <f ca="1">IFERROR(__xludf.DUMMYFUNCTION("""COMPUTED_VALUE""")," Clone")</f>
        <v xml:space="preserve"> Clone</v>
      </c>
      <c r="M448" s="5" t="str">
        <f ca="1">IFERROR(__xludf.DUMMYFUNCTION("""COMPUTED_VALUE"""),"Coyote Sevens")</f>
        <v>Coyote Sevens</v>
      </c>
      <c r="N448" s="5"/>
      <c r="O448" s="5"/>
      <c r="P448" s="14">
        <f ca="1">IFERROR(__xludf.DUMMYFUNCTION("""COMPUTED_VALUE"""),10.8)</f>
        <v>10.8</v>
      </c>
      <c r="Q448" s="5"/>
      <c r="R448" s="15">
        <f ca="1">IFERROR(__xludf.DUMMYFUNCTION("""COMPUTED_VALUE"""),45785)</f>
        <v>45785</v>
      </c>
      <c r="S448" s="15">
        <f ca="1">IFERROR(__xludf.DUMMYFUNCTION("""COMPUTED_VALUE"""),45792)</f>
        <v>45792</v>
      </c>
      <c r="T448" s="5" t="b">
        <f ca="1">IFERROR(__xludf.DUMMYFUNCTION("""COMPUTED_VALUE"""),TRUE)</f>
        <v>1</v>
      </c>
      <c r="U448" s="5" t="str">
        <f ca="1">IFERROR(__xludf.DUMMYFUNCTION("""COMPUTED_VALUE"""),"5x3")</f>
        <v>5x3</v>
      </c>
      <c r="V448" s="5">
        <f ca="1">IFERROR(__xludf.DUMMYFUNCTION("""COMPUTED_VALUE"""),5)</f>
        <v>5</v>
      </c>
      <c r="W448" s="5">
        <f ca="1">IFERROR(__xludf.DUMMYFUNCTION("""COMPUTED_VALUE"""),5)</f>
        <v>5</v>
      </c>
      <c r="X448" s="5">
        <f ca="1">IFERROR(__xludf.DUMMYFUNCTION("""COMPUTED_VALUE"""),96)</f>
        <v>96</v>
      </c>
      <c r="Y448" s="5" t="str">
        <f ca="1">IFERROR(__xludf.DUMMYFUNCTION("""COMPUTED_VALUE"""),"Medium")</f>
        <v>Medium</v>
      </c>
      <c r="Z448" s="5">
        <f ca="1">IFERROR(__xludf.DUMMYFUNCTION("""COMPUTED_VALUE"""),10.1)</f>
        <v>10.1</v>
      </c>
      <c r="AA448" s="5">
        <f ca="1">IFERROR(__xludf.DUMMYFUNCTION("""COMPUTED_VALUE"""),1000)</f>
        <v>1000</v>
      </c>
      <c r="AB448" s="5"/>
      <c r="AC448" s="5"/>
      <c r="AD448" s="5" t="str">
        <f ca="1">IFERROR(__xludf.DUMMYFUNCTION("""COMPUTED_VALUE"""),"0.05/100")</f>
        <v>0.05/100</v>
      </c>
      <c r="AE448" s="5"/>
      <c r="AF448" s="5"/>
      <c r="AG448" s="10">
        <f ca="1">IFERROR(__xludf.DUMMYFUNCTION("""COMPUTED_VALUE"""),46197.497974537)</f>
        <v>46197.497974537</v>
      </c>
      <c r="AH448" s="5" t="str">
        <f ca="1">IFERROR(__xludf.DUMMYFUNCTION("""COMPUTED_VALUE"""),"selena.mihajlovic@fazi.rs")</f>
        <v>selena.mihajlovic@fazi.rs</v>
      </c>
      <c r="AI448" s="5"/>
      <c r="AJ448" s="5"/>
      <c r="AK448" s="5">
        <f ca="1">IFERROR(__xludf.DUMMYFUNCTION("""COMPUTED_VALUE"""),5)</f>
        <v>5</v>
      </c>
      <c r="AL448" s="5" t="str">
        <f ca="1">IFERROR(__xludf.DUMMYFUNCTION("""COMPUTED_VALUE"""),"No")</f>
        <v>No</v>
      </c>
      <c r="AM448" s="5"/>
      <c r="AN448" s="7" t="str">
        <f ca="1">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AO448" s="5"/>
      <c r="AP448" s="5"/>
      <c r="AQ448" s="5" t="b">
        <f ca="1">IFERROR(__xludf.DUMMYFUNCTION("""COMPUTED_VALUE"""),TRUE)</f>
        <v>1</v>
      </c>
      <c r="AR448" s="5"/>
      <c r="AS448" s="5" t="str">
        <f ca="1">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AT448" s="5"/>
      <c r="AU448" s="5" t="str">
        <f ca="1">IFERROR(__xludf.DUMMYFUNCTION("""COMPUTED_VALUE"""),"Fazi")</f>
        <v>Fazi</v>
      </c>
      <c r="AV448" s="5"/>
      <c r="AW448" s="5"/>
      <c r="AX448" s="5"/>
      <c r="AY448" s="5"/>
      <c r="AZ448" s="5"/>
      <c r="BA448" s="5"/>
      <c r="BB448" s="5" t="b">
        <f ca="1">IFERROR(__xludf.DUMMYFUNCTION("""COMPUTED_VALUE"""),TRUE)</f>
        <v>1</v>
      </c>
      <c r="BC448" s="5" t="str">
        <f ca="1">IFERROR(__xludf.DUMMYFUNCTION("""COMPUTED_VALUE"""),"Tiptop")</f>
        <v>Tiptop</v>
      </c>
      <c r="BD448" s="7" t="str">
        <f ca="1">IFERROR(__xludf.DUMMYFUNCTION("""COMPUTED_VALUE"""),"https://gameserver-store-client-area.orbionlimited.com/Home/IntegrationGameLaunch/client-area?moneyType=0&amp;gameName=UnicornCoyoteGems&amp;platform=desktop&amp;languageCode=eng&amp;currency=EUR")</f>
        <v>https://gameserver-store-client-area.orbionlimited.com/Home/IntegrationGameLaunch/client-area?moneyType=0&amp;gameName=UnicornCoyoteGems&amp;platform=desktop&amp;languageCode=eng&amp;currency=EUR</v>
      </c>
      <c r="BE448" s="5" t="b">
        <f ca="1">IFERROR(__xludf.DUMMYFUNCTION("""COMPUTED_VALUE"""),TRUE)</f>
        <v>1</v>
      </c>
    </row>
    <row r="449" spans="1:57" x14ac:dyDescent="0.25">
      <c r="A449" s="5">
        <f ca="1">IFERROR(__xludf.DUMMYFUNCTION("""COMPUTED_VALUE"""),472)</f>
        <v>472</v>
      </c>
      <c r="B449" s="5">
        <f ca="1">IFERROR(__xludf.DUMMYFUNCTION("""COMPUTED_VALUE"""),412)</f>
        <v>412</v>
      </c>
      <c r="C449" s="5" t="str">
        <f ca="1">IFERROR(__xludf.DUMMYFUNCTION("""COMPUTED_VALUE"""),"Tiptop")</f>
        <v>Tiptop</v>
      </c>
      <c r="D449" s="5" t="str">
        <f ca="1">IFERROR(__xludf.DUMMYFUNCTION("""COMPUTED_VALUE"""),"Dynamite Run Dice")</f>
        <v>Dynamite Run Dice</v>
      </c>
      <c r="E449" s="5" t="str">
        <f ca="1">IFERROR(__xludf.DUMMYFUNCTION("""COMPUTED_VALUE"""),"V4-2")</f>
        <v>V4-2</v>
      </c>
      <c r="F449" s="5" t="str">
        <f ca="1">IFERROR(__xludf.DUMMYFUNCTION("""COMPUTED_VALUE"""),"UnicornDynamiteRunDice")</f>
        <v>UnicornDynamiteRunDice</v>
      </c>
      <c r="G449" s="5" t="str">
        <f ca="1">IFERROR(__xludf.DUMMYFUNCTION("""COMPUTED_VALUE"""),"Live")</f>
        <v>Live</v>
      </c>
      <c r="H449" s="5"/>
      <c r="I449" s="5"/>
      <c r="J449" s="5" t="str">
        <f ca="1">IFERROR(__xludf.DUMMYFUNCTION("""COMPUTED_VALUE"""),"JSON")</f>
        <v>JSON</v>
      </c>
      <c r="K449" s="5" t="str">
        <f ca="1">IFERROR(__xludf.DUMMYFUNCTION("""COMPUTED_VALUE"""),"Dice Slots")</f>
        <v>Dice Slots</v>
      </c>
      <c r="L449" s="5" t="str">
        <f ca="1">IFERROR(__xludf.DUMMYFUNCTION("""COMPUTED_VALUE""")," Clone")</f>
        <v xml:space="preserve"> Clone</v>
      </c>
      <c r="M449" s="5" t="str">
        <f ca="1">IFERROR(__xludf.DUMMYFUNCTION("""COMPUTED_VALUE"""),"Unicorn Dynamite Run")</f>
        <v>Unicorn Dynamite Run</v>
      </c>
      <c r="N449" s="5"/>
      <c r="O449" s="5"/>
      <c r="P449" s="14">
        <f ca="1">IFERROR(__xludf.DUMMYFUNCTION("""COMPUTED_VALUE"""),12.7)</f>
        <v>12.7</v>
      </c>
      <c r="Q449" s="5"/>
      <c r="R449" s="15">
        <f ca="1">IFERROR(__xludf.DUMMYFUNCTION("""COMPUTED_VALUE"""),45790)</f>
        <v>45790</v>
      </c>
      <c r="S449" s="15">
        <f ca="1">IFERROR(__xludf.DUMMYFUNCTION("""COMPUTED_VALUE"""),45797)</f>
        <v>45797</v>
      </c>
      <c r="T449" s="5" t="b">
        <f ca="1">IFERROR(__xludf.DUMMYFUNCTION("""COMPUTED_VALUE"""),TRUE)</f>
        <v>1</v>
      </c>
      <c r="U449" s="5" t="str">
        <f ca="1">IFERROR(__xludf.DUMMYFUNCTION("""COMPUTED_VALUE"""),"5x3")</f>
        <v>5x3</v>
      </c>
      <c r="V449" s="5">
        <f ca="1">IFERROR(__xludf.DUMMYFUNCTION("""COMPUTED_VALUE"""),10)</f>
        <v>10</v>
      </c>
      <c r="W449" s="5">
        <f ca="1">IFERROR(__xludf.DUMMYFUNCTION("""COMPUTED_VALUE"""),10)</f>
        <v>10</v>
      </c>
      <c r="X449" s="5">
        <f ca="1">IFERROR(__xludf.DUMMYFUNCTION("""COMPUTED_VALUE"""),96)</f>
        <v>96</v>
      </c>
      <c r="Y449" s="5" t="str">
        <f ca="1">IFERROR(__xludf.DUMMYFUNCTION("""COMPUTED_VALUE"""),"Low")</f>
        <v>Low</v>
      </c>
      <c r="Z449" s="5">
        <f ca="1">IFERROR(__xludf.DUMMYFUNCTION("""COMPUTED_VALUE"""),26.12)</f>
        <v>26.12</v>
      </c>
      <c r="AA449" s="5">
        <f ca="1">IFERROR(__xludf.DUMMYFUNCTION("""COMPUTED_VALUE"""),1100)</f>
        <v>1100</v>
      </c>
      <c r="AB449" s="5"/>
      <c r="AC449" s="5"/>
      <c r="AD449" s="5" t="str">
        <f ca="1">IFERROR(__xludf.DUMMYFUNCTION("""COMPUTED_VALUE"""),"0.1/100")</f>
        <v>0.1/100</v>
      </c>
      <c r="AE449" s="5"/>
      <c r="AF449" s="5"/>
      <c r="AG449" s="10">
        <f ca="1">IFERROR(__xludf.DUMMYFUNCTION("""COMPUTED_VALUE"""),46197.4982523148)</f>
        <v>46197.498252314799</v>
      </c>
      <c r="AH449" s="5" t="str">
        <f ca="1">IFERROR(__xludf.DUMMYFUNCTION("""COMPUTED_VALUE"""),"selena.mihajlovic@fazi.rs")</f>
        <v>selena.mihajlovic@fazi.rs</v>
      </c>
      <c r="AI449" s="5"/>
      <c r="AJ449" s="5"/>
      <c r="AK449" s="5">
        <f ca="1">IFERROR(__xludf.DUMMYFUNCTION("""COMPUTED_VALUE"""),10)</f>
        <v>10</v>
      </c>
      <c r="AL449" s="5" t="str">
        <f ca="1">IFERROR(__xludf.DUMMYFUNCTION("""COMPUTED_VALUE"""),"No")</f>
        <v>No</v>
      </c>
      <c r="AM449" s="5"/>
      <c r="AN449" s="7" t="str">
        <f ca="1">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AO449" s="5"/>
      <c r="AP449" s="5"/>
      <c r="AQ449" s="5" t="b">
        <f ca="1">IFERROR(__xludf.DUMMYFUNCTION("""COMPUTED_VALUE"""),TRUE)</f>
        <v>1</v>
      </c>
      <c r="AR449" s="5"/>
      <c r="AS449" s="5" t="str">
        <f ca="1">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AT449" s="5"/>
      <c r="AU449" s="5" t="str">
        <f ca="1">IFERROR(__xludf.DUMMYFUNCTION("""COMPUTED_VALUE"""),"Fazi")</f>
        <v>Fazi</v>
      </c>
      <c r="AV449" s="5"/>
      <c r="AW449" s="5"/>
      <c r="AX449" s="5"/>
      <c r="AY449" s="5"/>
      <c r="AZ449" s="5"/>
      <c r="BA449" s="5"/>
      <c r="BB449" s="5" t="b">
        <f ca="1">IFERROR(__xludf.DUMMYFUNCTION("""COMPUTED_VALUE"""),TRUE)</f>
        <v>1</v>
      </c>
      <c r="BC449" s="5" t="str">
        <f ca="1">IFERROR(__xludf.DUMMYFUNCTION("""COMPUTED_VALUE"""),"Tiptop")</f>
        <v>Tiptop</v>
      </c>
      <c r="BD449" s="7" t="str">
        <f ca="1">IFERROR(__xludf.DUMMYFUNCTION("""COMPUTED_VALUE"""),"https://gameserver-store-client-area.orbionlimited.com/Home/IntegrationGameLaunch/client-area?moneyType=0&amp;gameName=UnicornDynamiteRunDice&amp;platform=desktop&amp;languageCode=eng&amp;currency=EUR")</f>
        <v>https://gameserver-store-client-area.orbionlimited.com/Home/IntegrationGameLaunch/client-area?moneyType=0&amp;gameName=UnicornDynamiteRunDice&amp;platform=desktop&amp;languageCode=eng&amp;currency=EUR</v>
      </c>
      <c r="BE449" s="5" t="b">
        <f ca="1">IFERROR(__xludf.DUMMYFUNCTION("""COMPUTED_VALUE"""),TRUE)</f>
        <v>1</v>
      </c>
    </row>
    <row r="450" spans="1:57" x14ac:dyDescent="0.25">
      <c r="A450" s="5">
        <f ca="1">IFERROR(__xludf.DUMMYFUNCTION("""COMPUTED_VALUE"""),473)</f>
        <v>473</v>
      </c>
      <c r="B450" s="5">
        <f ca="1">IFERROR(__xludf.DUMMYFUNCTION("""COMPUTED_VALUE"""),400)</f>
        <v>400</v>
      </c>
      <c r="C450" s="5" t="str">
        <f ca="1">IFERROR(__xludf.DUMMYFUNCTION("""COMPUTED_VALUE"""),"Tiptop")</f>
        <v>Tiptop</v>
      </c>
      <c r="D450" s="5" t="str">
        <f ca="1">IFERROR(__xludf.DUMMYFUNCTION("""COMPUTED_VALUE"""),"Big Spin Dragons")</f>
        <v>Big Spin Dragons</v>
      </c>
      <c r="E450" s="5" t="str">
        <f ca="1">IFERROR(__xludf.DUMMYFUNCTION("""COMPUTED_VALUE"""),"V4-2")</f>
        <v>V4-2</v>
      </c>
      <c r="F450" s="5" t="str">
        <f ca="1">IFERROR(__xludf.DUMMYFUNCTION("""COMPUTED_VALUE"""),"UnicornBigSpinDragons")</f>
        <v>UnicornBigSpinDragons</v>
      </c>
      <c r="G450" s="5" t="str">
        <f ca="1">IFERROR(__xludf.DUMMYFUNCTION("""COMPUTED_VALUE"""),"Live")</f>
        <v>Live</v>
      </c>
      <c r="H450" s="5"/>
      <c r="I450" s="5"/>
      <c r="J450" s="5" t="str">
        <f ca="1">IFERROR(__xludf.DUMMYFUNCTION("""COMPUTED_VALUE"""),"JSON")</f>
        <v>JSON</v>
      </c>
      <c r="K450" s="5" t="str">
        <f ca="1">IFERROR(__xludf.DUMMYFUNCTION("""COMPUTED_VALUE"""),"Slot")</f>
        <v>Slot</v>
      </c>
      <c r="L450" s="5" t="str">
        <f ca="1">IFERROR(__xludf.DUMMYFUNCTION("""COMPUTED_VALUE"""),"Master")</f>
        <v>Master</v>
      </c>
      <c r="M450" s="5"/>
      <c r="N450" s="5"/>
      <c r="O450" s="5"/>
      <c r="P450" s="14">
        <f ca="1">IFERROR(__xludf.DUMMYFUNCTION("""COMPUTED_VALUE"""),12)</f>
        <v>12</v>
      </c>
      <c r="Q450" s="5"/>
      <c r="R450" s="15">
        <f ca="1">IFERROR(__xludf.DUMMYFUNCTION("""COMPUTED_VALUE"""),45799)</f>
        <v>45799</v>
      </c>
      <c r="S450" s="15">
        <f ca="1">IFERROR(__xludf.DUMMYFUNCTION("""COMPUTED_VALUE"""),45806)</f>
        <v>45806</v>
      </c>
      <c r="T450" s="5" t="b">
        <f ca="1">IFERROR(__xludf.DUMMYFUNCTION("""COMPUTED_VALUE"""),TRUE)</f>
        <v>1</v>
      </c>
      <c r="U450" s="5" t="str">
        <f ca="1">IFERROR(__xludf.DUMMYFUNCTION("""COMPUTED_VALUE"""),"5x3")</f>
        <v>5x3</v>
      </c>
      <c r="V450" s="5">
        <f ca="1">IFERROR(__xludf.DUMMYFUNCTION("""COMPUTED_VALUE"""),5)</f>
        <v>5</v>
      </c>
      <c r="W450" s="5">
        <f ca="1">IFERROR(__xludf.DUMMYFUNCTION("""COMPUTED_VALUE"""),5)</f>
        <v>5</v>
      </c>
      <c r="X450" s="5">
        <f ca="1">IFERROR(__xludf.DUMMYFUNCTION("""COMPUTED_VALUE"""),96)</f>
        <v>96</v>
      </c>
      <c r="Y450" s="5" t="str">
        <f ca="1">IFERROR(__xludf.DUMMYFUNCTION("""COMPUTED_VALUE"""),"Low")</f>
        <v>Low</v>
      </c>
      <c r="Z450" s="5">
        <f ca="1">IFERROR(__xludf.DUMMYFUNCTION("""COMPUTED_VALUE"""),14.4)</f>
        <v>14.4</v>
      </c>
      <c r="AA450" s="5">
        <f ca="1">IFERROR(__xludf.DUMMYFUNCTION("""COMPUTED_VALUE"""),10000)</f>
        <v>10000</v>
      </c>
      <c r="AB450" s="5"/>
      <c r="AC450" s="5"/>
      <c r="AD450" s="5" t="str">
        <f ca="1">IFERROR(__xludf.DUMMYFUNCTION("""COMPUTED_VALUE"""),"0.05/100")</f>
        <v>0.05/100</v>
      </c>
      <c r="AE450" s="5"/>
      <c r="AF450" s="5"/>
      <c r="AG450" s="10">
        <f ca="1">IFERROR(__xludf.DUMMYFUNCTION("""COMPUTED_VALUE"""),46197.4983912037)</f>
        <v>46197.498391203699</v>
      </c>
      <c r="AH450" s="5" t="str">
        <f ca="1">IFERROR(__xludf.DUMMYFUNCTION("""COMPUTED_VALUE"""),"selena.mihajlovic@fazi.rs")</f>
        <v>selena.mihajlovic@fazi.rs</v>
      </c>
      <c r="AI450" s="5"/>
      <c r="AJ450" s="5"/>
      <c r="AK450" s="5">
        <f ca="1">IFERROR(__xludf.DUMMYFUNCTION("""COMPUTED_VALUE"""),5)</f>
        <v>5</v>
      </c>
      <c r="AL450" s="5" t="str">
        <f ca="1">IFERROR(__xludf.DUMMYFUNCTION("""COMPUTED_VALUE"""),"No")</f>
        <v>No</v>
      </c>
      <c r="AM450" s="5"/>
      <c r="AN450" s="7" t="str">
        <f ca="1">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AO450" s="5"/>
      <c r="AP450" s="5"/>
      <c r="AQ450" s="5" t="b">
        <f ca="1">IFERROR(__xludf.DUMMYFUNCTION("""COMPUTED_VALUE"""),TRUE)</f>
        <v>1</v>
      </c>
      <c r="AR450" s="5"/>
      <c r="AS450" s="5" t="str">
        <f ca="1">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AT450" s="5"/>
      <c r="AU450" s="5" t="str">
        <f ca="1">IFERROR(__xludf.DUMMYFUNCTION("""COMPUTED_VALUE"""),"Fazi")</f>
        <v>Fazi</v>
      </c>
      <c r="AV450" s="5"/>
      <c r="AW450" s="5"/>
      <c r="AX450" s="5"/>
      <c r="AY450" s="5"/>
      <c r="AZ450" s="5"/>
      <c r="BA450" s="5"/>
      <c r="BB450" s="5" t="b">
        <f ca="1">IFERROR(__xludf.DUMMYFUNCTION("""COMPUTED_VALUE"""),TRUE)</f>
        <v>1</v>
      </c>
      <c r="BC450" s="5" t="str">
        <f ca="1">IFERROR(__xludf.DUMMYFUNCTION("""COMPUTED_VALUE"""),"Tiptop")</f>
        <v>Tiptop</v>
      </c>
      <c r="BD450" s="7" t="str">
        <f ca="1">IFERROR(__xludf.DUMMYFUNCTION("""COMPUTED_VALUE"""),"https://gameserver-store-client-area.orbionlimited.com/Home/IntegrationGameLaunch/client-area?moneyType=0&amp;gameName=UnicornBigSpinDragons&amp;platform=desktop&amp;languageCode=eng&amp;currency=EUR")</f>
        <v>https://gameserver-store-client-area.orbionlimited.com/Home/IntegrationGameLaunch/client-area?moneyType=0&amp;gameName=UnicornBigSpinDragons&amp;platform=desktop&amp;languageCode=eng&amp;currency=EUR</v>
      </c>
      <c r="BE450" s="5" t="b">
        <f ca="1">IFERROR(__xludf.DUMMYFUNCTION("""COMPUTED_VALUE"""),TRUE)</f>
        <v>1</v>
      </c>
    </row>
    <row r="451" spans="1:57" x14ac:dyDescent="0.25">
      <c r="A451" s="5">
        <f ca="1">IFERROR(__xludf.DUMMYFUNCTION("""COMPUTED_VALUE"""),474)</f>
        <v>474</v>
      </c>
      <c r="B451" s="5">
        <f ca="1">IFERROR(__xludf.DUMMYFUNCTION("""COMPUTED_VALUE"""),415)</f>
        <v>415</v>
      </c>
      <c r="C451" s="5" t="str">
        <f ca="1">IFERROR(__xludf.DUMMYFUNCTION("""COMPUTED_VALUE"""),"Tiptop")</f>
        <v>Tiptop</v>
      </c>
      <c r="D451" s="5" t="str">
        <f ca="1">IFERROR(__xludf.DUMMYFUNCTION("""COMPUTED_VALUE"""),"Simply Sevens Gems")</f>
        <v>Simply Sevens Gems</v>
      </c>
      <c r="E451" s="5" t="str">
        <f ca="1">IFERROR(__xludf.DUMMYFUNCTION("""COMPUTED_VALUE"""),"V4-2")</f>
        <v>V4-2</v>
      </c>
      <c r="F451" s="5" t="str">
        <f ca="1">IFERROR(__xludf.DUMMYFUNCTION("""COMPUTED_VALUE"""),"UnicornSimplySevensGems")</f>
        <v>UnicornSimplySevensGems</v>
      </c>
      <c r="G451" s="5" t="str">
        <f ca="1">IFERROR(__xludf.DUMMYFUNCTION("""COMPUTED_VALUE"""),"Live")</f>
        <v>Live</v>
      </c>
      <c r="H451" s="5"/>
      <c r="I451" s="5"/>
      <c r="J451" s="5" t="str">
        <f ca="1">IFERROR(__xludf.DUMMYFUNCTION("""COMPUTED_VALUE"""),"JSON")</f>
        <v>JSON</v>
      </c>
      <c r="K451" s="5" t="str">
        <f ca="1">IFERROR(__xludf.DUMMYFUNCTION("""COMPUTED_VALUE"""),"Slot")</f>
        <v>Slot</v>
      </c>
      <c r="L451" s="5" t="str">
        <f ca="1">IFERROR(__xludf.DUMMYFUNCTION("""COMPUTED_VALUE""")," Clone")</f>
        <v xml:space="preserve"> Clone</v>
      </c>
      <c r="M451" s="5" t="str">
        <f ca="1">IFERROR(__xludf.DUMMYFUNCTION("""COMPUTED_VALUE"""),"Simply Sevens")</f>
        <v>Simply Sevens</v>
      </c>
      <c r="N451" s="5"/>
      <c r="O451" s="5"/>
      <c r="P451" s="14">
        <f ca="1">IFERROR(__xludf.DUMMYFUNCTION("""COMPUTED_VALUE"""),10.7)</f>
        <v>10.7</v>
      </c>
      <c r="Q451" s="5"/>
      <c r="R451" s="15">
        <f ca="1">IFERROR(__xludf.DUMMYFUNCTION("""COMPUTED_VALUE"""),45806)</f>
        <v>45806</v>
      </c>
      <c r="S451" s="15">
        <f ca="1">IFERROR(__xludf.DUMMYFUNCTION("""COMPUTED_VALUE"""),45813)</f>
        <v>45813</v>
      </c>
      <c r="T451" s="5" t="b">
        <f ca="1">IFERROR(__xludf.DUMMYFUNCTION("""COMPUTED_VALUE"""),TRUE)</f>
        <v>1</v>
      </c>
      <c r="U451" s="5" t="str">
        <f ca="1">IFERROR(__xludf.DUMMYFUNCTION("""COMPUTED_VALUE"""),"5x3")</f>
        <v>5x3</v>
      </c>
      <c r="V451" s="5">
        <f ca="1">IFERROR(__xludf.DUMMYFUNCTION("""COMPUTED_VALUE"""),10)</f>
        <v>10</v>
      </c>
      <c r="W451" s="5">
        <f ca="1">IFERROR(__xludf.DUMMYFUNCTION("""COMPUTED_VALUE"""),10)</f>
        <v>10</v>
      </c>
      <c r="X451" s="5">
        <f ca="1">IFERROR(__xludf.DUMMYFUNCTION("""COMPUTED_VALUE"""),96)</f>
        <v>96</v>
      </c>
      <c r="Y451" s="5" t="str">
        <f ca="1">IFERROR(__xludf.DUMMYFUNCTION("""COMPUTED_VALUE"""),"Low")</f>
        <v>Low</v>
      </c>
      <c r="Z451" s="5">
        <f ca="1">IFERROR(__xludf.DUMMYFUNCTION("""COMPUTED_VALUE"""),24.14)</f>
        <v>24.14</v>
      </c>
      <c r="AA451" s="5">
        <f ca="1">IFERROR(__xludf.DUMMYFUNCTION("""COMPUTED_VALUE"""),10000)</f>
        <v>10000</v>
      </c>
      <c r="AB451" s="5"/>
      <c r="AC451" s="5"/>
      <c r="AD451" s="5" t="str">
        <f ca="1">IFERROR(__xludf.DUMMYFUNCTION("""COMPUTED_VALUE"""),"0.1/100")</f>
        <v>0.1/100</v>
      </c>
      <c r="AE451" s="5"/>
      <c r="AF451" s="5"/>
      <c r="AG451" s="10">
        <f ca="1">IFERROR(__xludf.DUMMYFUNCTION("""COMPUTED_VALUE"""),46197.4985763888)</f>
        <v>46197.498576388803</v>
      </c>
      <c r="AH451" s="5" t="str">
        <f ca="1">IFERROR(__xludf.DUMMYFUNCTION("""COMPUTED_VALUE"""),"selena.mihajlovic@fazi.rs")</f>
        <v>selena.mihajlovic@fazi.rs</v>
      </c>
      <c r="AI451" s="5"/>
      <c r="AJ451" s="5"/>
      <c r="AK451" s="5">
        <f ca="1">IFERROR(__xludf.DUMMYFUNCTION("""COMPUTED_VALUE"""),10)</f>
        <v>10</v>
      </c>
      <c r="AL451" s="5" t="str">
        <f ca="1">IFERROR(__xludf.DUMMYFUNCTION("""COMPUTED_VALUE"""),"No")</f>
        <v>No</v>
      </c>
      <c r="AM451" s="5"/>
      <c r="AN451" s="7" t="str">
        <f ca="1">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AO451" s="5"/>
      <c r="AP451" s="5"/>
      <c r="AQ451" s="5" t="b">
        <f ca="1">IFERROR(__xludf.DUMMYFUNCTION("""COMPUTED_VALUE"""),TRUE)</f>
        <v>1</v>
      </c>
      <c r="AR451" s="5"/>
      <c r="AS451" s="5" t="str">
        <f ca="1">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AT451" s="5"/>
      <c r="AU451" s="5" t="str">
        <f ca="1">IFERROR(__xludf.DUMMYFUNCTION("""COMPUTED_VALUE"""),"Fazi")</f>
        <v>Fazi</v>
      </c>
      <c r="AV451" s="5"/>
      <c r="AW451" s="5"/>
      <c r="AX451" s="5"/>
      <c r="AY451" s="5"/>
      <c r="AZ451" s="5"/>
      <c r="BA451" s="5"/>
      <c r="BB451" s="5" t="b">
        <f ca="1">IFERROR(__xludf.DUMMYFUNCTION("""COMPUTED_VALUE"""),TRUE)</f>
        <v>1</v>
      </c>
      <c r="BC451" s="5" t="str">
        <f ca="1">IFERROR(__xludf.DUMMYFUNCTION("""COMPUTED_VALUE"""),"Tiptop")</f>
        <v>Tiptop</v>
      </c>
      <c r="BD451" s="7" t="str">
        <f ca="1">IFERROR(__xludf.DUMMYFUNCTION("""COMPUTED_VALUE"""),"https://gameserver-store-client-area.orbionlimited.com/Home/IntegrationGameLaunch/client-area?moneyType=0&amp;gameName=UnicornSimplySevensGems&amp;platform=desktop&amp;languageCode=eng&amp;currency=EUR")</f>
        <v>https://gameserver-store-client-area.orbionlimited.com/Home/IntegrationGameLaunch/client-area?moneyType=0&amp;gameName=UnicornSimplySevensGems&amp;platform=desktop&amp;languageCode=eng&amp;currency=EUR</v>
      </c>
      <c r="BE451" s="5" t="b">
        <f ca="1">IFERROR(__xludf.DUMMYFUNCTION("""COMPUTED_VALUE"""),TRUE)</f>
        <v>1</v>
      </c>
    </row>
    <row r="452" spans="1:57" x14ac:dyDescent="0.25">
      <c r="A452" s="5">
        <f ca="1">IFERROR(__xludf.DUMMYFUNCTION("""COMPUTED_VALUE"""),475)</f>
        <v>475</v>
      </c>
      <c r="B452" s="5">
        <f ca="1">IFERROR(__xludf.DUMMYFUNCTION("""COMPUTED_VALUE"""),407)</f>
        <v>407</v>
      </c>
      <c r="C452" s="5" t="str">
        <f ca="1">IFERROR(__xludf.DUMMYFUNCTION("""COMPUTED_VALUE"""),"Tiptop")</f>
        <v>Tiptop</v>
      </c>
      <c r="D452" s="5" t="str">
        <f ca="1">IFERROR(__xludf.DUMMYFUNCTION("""COMPUTED_VALUE"""),"Super Fire Dice Jackpot")</f>
        <v>Super Fire Dice Jackpot</v>
      </c>
      <c r="E452" s="5" t="str">
        <f ca="1">IFERROR(__xludf.DUMMYFUNCTION("""COMPUTED_VALUE"""),"V4-2")</f>
        <v>V4-2</v>
      </c>
      <c r="F452" s="5" t="str">
        <f ca="1">IFERROR(__xludf.DUMMYFUNCTION("""COMPUTED_VALUE"""),"UnicornSuperFireDiceJackpot")</f>
        <v>UnicornSuperFireDiceJackpot</v>
      </c>
      <c r="G452" s="5" t="str">
        <f ca="1">IFERROR(__xludf.DUMMYFUNCTION("""COMPUTED_VALUE"""),"Live")</f>
        <v>Live</v>
      </c>
      <c r="H452" s="5"/>
      <c r="I452" s="5"/>
      <c r="J452" s="5" t="str">
        <f ca="1">IFERROR(__xludf.DUMMYFUNCTION("""COMPUTED_VALUE"""),"JSON")</f>
        <v>JSON</v>
      </c>
      <c r="K452" s="5" t="str">
        <f ca="1">IFERROR(__xludf.DUMMYFUNCTION("""COMPUTED_VALUE"""),"Dice Slots")</f>
        <v>Dice Slots</v>
      </c>
      <c r="L452" s="5" t="str">
        <f ca="1">IFERROR(__xludf.DUMMYFUNCTION("""COMPUTED_VALUE""")," Clone")</f>
        <v xml:space="preserve"> Clone</v>
      </c>
      <c r="M452" s="5" t="str">
        <f ca="1">IFERROR(__xludf.DUMMYFUNCTION("""COMPUTED_VALUE"""),"Unicorn 20 Hot Strike Jackpot")</f>
        <v>Unicorn 20 Hot Strike Jackpot</v>
      </c>
      <c r="N452" s="5"/>
      <c r="O452" s="5"/>
      <c r="P452" s="14">
        <f ca="1">IFERROR(__xludf.DUMMYFUNCTION("""COMPUTED_VALUE"""),10.6)</f>
        <v>10.6</v>
      </c>
      <c r="Q452" s="5"/>
      <c r="R452" s="15">
        <f ca="1">IFERROR(__xludf.DUMMYFUNCTION("""COMPUTED_VALUE"""),45813)</f>
        <v>45813</v>
      </c>
      <c r="S452" s="15">
        <f ca="1">IFERROR(__xludf.DUMMYFUNCTION("""COMPUTED_VALUE"""),45820)</f>
        <v>45820</v>
      </c>
      <c r="T452" s="5" t="b">
        <f ca="1">IFERROR(__xludf.DUMMYFUNCTION("""COMPUTED_VALUE"""),TRUE)</f>
        <v>1</v>
      </c>
      <c r="U452" s="5" t="str">
        <f ca="1">IFERROR(__xludf.DUMMYFUNCTION("""COMPUTED_VALUE"""),"5x3")</f>
        <v>5x3</v>
      </c>
      <c r="V452" s="5">
        <f ca="1">IFERROR(__xludf.DUMMYFUNCTION("""COMPUTED_VALUE"""),20)</f>
        <v>20</v>
      </c>
      <c r="W452" s="5">
        <f ca="1">IFERROR(__xludf.DUMMYFUNCTION("""COMPUTED_VALUE"""),20)</f>
        <v>20</v>
      </c>
      <c r="X452" s="5">
        <f ca="1">IFERROR(__xludf.DUMMYFUNCTION("""COMPUTED_VALUE"""),96)</f>
        <v>96</v>
      </c>
      <c r="Y452" s="5" t="str">
        <f ca="1">IFERROR(__xludf.DUMMYFUNCTION("""COMPUTED_VALUE"""),"Low")</f>
        <v>Low</v>
      </c>
      <c r="Z452" s="5">
        <f ca="1">IFERROR(__xludf.DUMMYFUNCTION("""COMPUTED_VALUE"""),14.46)</f>
        <v>14.46</v>
      </c>
      <c r="AA452" s="5">
        <f ca="1">IFERROR(__xludf.DUMMYFUNCTION("""COMPUTED_VALUE"""),10000)</f>
        <v>10000</v>
      </c>
      <c r="AB452" s="5"/>
      <c r="AC452" s="5"/>
      <c r="AD452" s="5" t="str">
        <f ca="1">IFERROR(__xludf.DUMMYFUNCTION("""COMPUTED_VALUE"""),"0.2/100")</f>
        <v>0.2/100</v>
      </c>
      <c r="AE452" s="5"/>
      <c r="AF452" s="5"/>
      <c r="AG452" s="10">
        <f ca="1">IFERROR(__xludf.DUMMYFUNCTION("""COMPUTED_VALUE"""),46197.4987268518)</f>
        <v>46197.498726851802</v>
      </c>
      <c r="AH452" s="5" t="str">
        <f ca="1">IFERROR(__xludf.DUMMYFUNCTION("""COMPUTED_VALUE"""),"selena.mihajlovic@fazi.rs")</f>
        <v>selena.mihajlovic@fazi.rs</v>
      </c>
      <c r="AI452" s="5"/>
      <c r="AJ452" s="5"/>
      <c r="AK452" s="5">
        <f ca="1">IFERROR(__xludf.DUMMYFUNCTION("""COMPUTED_VALUE"""),20)</f>
        <v>20</v>
      </c>
      <c r="AL452" s="5" t="str">
        <f ca="1">IFERROR(__xludf.DUMMYFUNCTION("""COMPUTED_VALUE"""),"No")</f>
        <v>No</v>
      </c>
      <c r="AM452" s="5"/>
      <c r="AN452" s="7" t="str">
        <f ca="1">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AO452" s="5"/>
      <c r="AP452" s="5"/>
      <c r="AQ452" s="5" t="b">
        <f ca="1">IFERROR(__xludf.DUMMYFUNCTION("""COMPUTED_VALUE"""),TRUE)</f>
        <v>1</v>
      </c>
      <c r="AR452" s="5"/>
      <c r="AS452" s="5" t="str">
        <f ca="1">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AT452" s="5"/>
      <c r="AU452" s="5" t="str">
        <f ca="1">IFERROR(__xludf.DUMMYFUNCTION("""COMPUTED_VALUE"""),"Fazi")</f>
        <v>Fazi</v>
      </c>
      <c r="AV452" s="5"/>
      <c r="AW452" s="5"/>
      <c r="AX452" s="5"/>
      <c r="AY452" s="5"/>
      <c r="AZ452" s="5"/>
      <c r="BA452" s="5"/>
      <c r="BB452" s="5" t="b">
        <f ca="1">IFERROR(__xludf.DUMMYFUNCTION("""COMPUTED_VALUE"""),TRUE)</f>
        <v>1</v>
      </c>
      <c r="BC452" s="5" t="str">
        <f ca="1">IFERROR(__xludf.DUMMYFUNCTION("""COMPUTED_VALUE"""),"Tiptop")</f>
        <v>Tiptop</v>
      </c>
      <c r="BD452" s="7" t="str">
        <f ca="1">IFERROR(__xludf.DUMMYFUNCTION("""COMPUTED_VALUE"""),"https://gameserver-store-client-area.orbionlimited.com/Home/IntegrationGameLaunch/client-area?moneyType=0&amp;gameName=UnicornSuperFireDiceJackpot&amp;platform=desktop&amp;languageCode=eng&amp;currency=EUR")</f>
        <v>https://gameserver-store-client-area.orbionlimited.com/Home/IntegrationGameLaunch/client-area?moneyType=0&amp;gameName=UnicornSuperFireDiceJackpot&amp;platform=desktop&amp;languageCode=eng&amp;currency=EUR</v>
      </c>
      <c r="BE452" s="5" t="b">
        <f ca="1">IFERROR(__xludf.DUMMYFUNCTION("""COMPUTED_VALUE"""),TRUE)</f>
        <v>1</v>
      </c>
    </row>
    <row r="453" spans="1:57" x14ac:dyDescent="0.25">
      <c r="A453" s="5">
        <f ca="1">IFERROR(__xludf.DUMMYFUNCTION("""COMPUTED_VALUE"""),476)</f>
        <v>476</v>
      </c>
      <c r="B453" s="5">
        <f ca="1">IFERROR(__xludf.DUMMYFUNCTION("""COMPUTED_VALUE"""),418)</f>
        <v>418</v>
      </c>
      <c r="C453" s="5" t="str">
        <f ca="1">IFERROR(__xludf.DUMMYFUNCTION("""COMPUTED_VALUE"""),"Tiptop")</f>
        <v>Tiptop</v>
      </c>
      <c r="D453" s="5" t="str">
        <f ca="1">IFERROR(__xludf.DUMMYFUNCTION("""COMPUTED_VALUE"""),"Mister Dice")</f>
        <v>Mister Dice</v>
      </c>
      <c r="E453" s="5" t="str">
        <f ca="1">IFERROR(__xludf.DUMMYFUNCTION("""COMPUTED_VALUE"""),"V4-2")</f>
        <v>V4-2</v>
      </c>
      <c r="F453" s="5" t="str">
        <f ca="1">IFERROR(__xludf.DUMMYFUNCTION("""COMPUTED_VALUE"""),"UnicornMisterDice")</f>
        <v>UnicornMisterDice</v>
      </c>
      <c r="G453" s="5" t="str">
        <f ca="1">IFERROR(__xludf.DUMMYFUNCTION("""COMPUTED_VALUE"""),"Live")</f>
        <v>Live</v>
      </c>
      <c r="H453" s="5"/>
      <c r="I453" s="5"/>
      <c r="J453" s="5" t="str">
        <f ca="1">IFERROR(__xludf.DUMMYFUNCTION("""COMPUTED_VALUE"""),"JSON")</f>
        <v>JSON</v>
      </c>
      <c r="K453" s="5" t="str">
        <f ca="1">IFERROR(__xludf.DUMMYFUNCTION("""COMPUTED_VALUE"""),"Dice Slots")</f>
        <v>Dice Slots</v>
      </c>
      <c r="L453" s="5" t="str">
        <f ca="1">IFERROR(__xludf.DUMMYFUNCTION("""COMPUTED_VALUE""")," Clone")</f>
        <v xml:space="preserve"> Clone</v>
      </c>
      <c r="M453" s="5" t="str">
        <f ca="1">IFERROR(__xludf.DUMMYFUNCTION("""COMPUTED_VALUE"""),"MisterLuck")</f>
        <v>MisterLuck</v>
      </c>
      <c r="N453" s="5"/>
      <c r="O453" s="5"/>
      <c r="P453" s="14">
        <f ca="1">IFERROR(__xludf.DUMMYFUNCTION("""COMPUTED_VALUE"""),15.1)</f>
        <v>15.1</v>
      </c>
      <c r="Q453" s="5"/>
      <c r="R453" s="15">
        <f ca="1">IFERROR(__xludf.DUMMYFUNCTION("""COMPUTED_VALUE"""),45818)</f>
        <v>45818</v>
      </c>
      <c r="S453" s="15">
        <f ca="1">IFERROR(__xludf.DUMMYFUNCTION("""COMPUTED_VALUE"""),45825)</f>
        <v>45825</v>
      </c>
      <c r="T453" s="5" t="b">
        <f ca="1">IFERROR(__xludf.DUMMYFUNCTION("""COMPUTED_VALUE"""),TRUE)</f>
        <v>1</v>
      </c>
      <c r="U453" s="5" t="str">
        <f ca="1">IFERROR(__xludf.DUMMYFUNCTION("""COMPUTED_VALUE"""),"5x3")</f>
        <v>5x3</v>
      </c>
      <c r="V453" s="5">
        <f ca="1">IFERROR(__xludf.DUMMYFUNCTION("""COMPUTED_VALUE"""),5)</f>
        <v>5</v>
      </c>
      <c r="W453" s="5">
        <f ca="1">IFERROR(__xludf.DUMMYFUNCTION("""COMPUTED_VALUE"""),5)</f>
        <v>5</v>
      </c>
      <c r="X453" s="5">
        <f ca="1">IFERROR(__xludf.DUMMYFUNCTION("""COMPUTED_VALUE"""),96)</f>
        <v>96</v>
      </c>
      <c r="Y453" s="5" t="str">
        <f ca="1">IFERROR(__xludf.DUMMYFUNCTION("""COMPUTED_VALUE"""),"Low")</f>
        <v>Low</v>
      </c>
      <c r="Z453" s="5">
        <f ca="1">IFERROR(__xludf.DUMMYFUNCTION("""COMPUTED_VALUE"""),13.64)</f>
        <v>13.64</v>
      </c>
      <c r="AA453" s="5">
        <f ca="1">IFERROR(__xludf.DUMMYFUNCTION("""COMPUTED_VALUE"""),10000)</f>
        <v>10000</v>
      </c>
      <c r="AB453" s="5"/>
      <c r="AC453" s="5"/>
      <c r="AD453" s="5" t="str">
        <f ca="1">IFERROR(__xludf.DUMMYFUNCTION("""COMPUTED_VALUE"""),"0.05/100")</f>
        <v>0.05/100</v>
      </c>
      <c r="AE453" s="5"/>
      <c r="AF453" s="5"/>
      <c r="AG453" s="10">
        <f ca="1">IFERROR(__xludf.DUMMYFUNCTION("""COMPUTED_VALUE"""),46197.4988541666)</f>
        <v>46197.498854166603</v>
      </c>
      <c r="AH453" s="5" t="str">
        <f ca="1">IFERROR(__xludf.DUMMYFUNCTION("""COMPUTED_VALUE"""),"selena.mihajlovic@fazi.rs")</f>
        <v>selena.mihajlovic@fazi.rs</v>
      </c>
      <c r="AI453" s="15">
        <f ca="1">IFERROR(__xludf.DUMMYFUNCTION("""COMPUTED_VALUE"""),45817)</f>
        <v>45817</v>
      </c>
      <c r="AJ453" s="5" t="str">
        <f ca="1">IFERROR(__xludf.DUMMYFUNCTION("""COMPUTED_VALUE"""),"Panache (Gaming 1 integracija)")</f>
        <v>Panache (Gaming 1 integracija)</v>
      </c>
      <c r="AK453" s="5">
        <f ca="1">IFERROR(__xludf.DUMMYFUNCTION("""COMPUTED_VALUE"""),5)</f>
        <v>5</v>
      </c>
      <c r="AL453" s="5" t="str">
        <f ca="1">IFERROR(__xludf.DUMMYFUNCTION("""COMPUTED_VALUE"""),"No")</f>
        <v>No</v>
      </c>
      <c r="AM453" s="5"/>
      <c r="AN453" s="7" t="str">
        <f ca="1">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AO453" s="5"/>
      <c r="AP453" s="5"/>
      <c r="AQ453" s="5" t="b">
        <f ca="1">IFERROR(__xludf.DUMMYFUNCTION("""COMPUTED_VALUE"""),TRUE)</f>
        <v>1</v>
      </c>
      <c r="AR453" s="5"/>
      <c r="AS453" s="5" t="str">
        <f ca="1">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AT453" s="5"/>
      <c r="AU453" s="5" t="str">
        <f ca="1">IFERROR(__xludf.DUMMYFUNCTION("""COMPUTED_VALUE"""),"Fazi")</f>
        <v>Fazi</v>
      </c>
      <c r="AV453" s="5"/>
      <c r="AW453" s="5"/>
      <c r="AX453" s="5"/>
      <c r="AY453" s="5"/>
      <c r="AZ453" s="5"/>
      <c r="BA453" s="5"/>
      <c r="BB453" s="5" t="b">
        <f ca="1">IFERROR(__xludf.DUMMYFUNCTION("""COMPUTED_VALUE"""),TRUE)</f>
        <v>1</v>
      </c>
      <c r="BC453" s="5" t="str">
        <f ca="1">IFERROR(__xludf.DUMMYFUNCTION("""COMPUTED_VALUE"""),"Tiptop")</f>
        <v>Tiptop</v>
      </c>
      <c r="BD453" s="7" t="str">
        <f ca="1">IFERROR(__xludf.DUMMYFUNCTION("""COMPUTED_VALUE"""),"https://gameserver-store-client-area.orbionlimited.com/Home/IntegrationGameLaunch/client-area?moneyType=0&amp;gameName=UnicornMisterDice&amp;platform=desktop&amp;languageCode=eng&amp;currency=EUR")</f>
        <v>https://gameserver-store-client-area.orbionlimited.com/Home/IntegrationGameLaunch/client-area?moneyType=0&amp;gameName=UnicornMisterDice&amp;platform=desktop&amp;languageCode=eng&amp;currency=EUR</v>
      </c>
      <c r="BE453" s="5" t="b">
        <f ca="1">IFERROR(__xludf.DUMMYFUNCTION("""COMPUTED_VALUE"""),TRUE)</f>
        <v>1</v>
      </c>
    </row>
    <row r="454" spans="1:57" x14ac:dyDescent="0.25">
      <c r="A454" s="5">
        <f ca="1">IFERROR(__xludf.DUMMYFUNCTION("""COMPUTED_VALUE"""),477)</f>
        <v>477</v>
      </c>
      <c r="B454" s="5">
        <f ca="1">IFERROR(__xludf.DUMMYFUNCTION("""COMPUTED_VALUE"""),414)</f>
        <v>414</v>
      </c>
      <c r="C454" s="5" t="str">
        <f ca="1">IFERROR(__xludf.DUMMYFUNCTION("""COMPUTED_VALUE"""),"Tiptop")</f>
        <v>Tiptop</v>
      </c>
      <c r="D454" s="5" t="str">
        <f ca="1">IFERROR(__xludf.DUMMYFUNCTION("""COMPUTED_VALUE"""),"Three Reel Sevens")</f>
        <v>Three Reel Sevens</v>
      </c>
      <c r="E454" s="5" t="str">
        <f ca="1">IFERROR(__xludf.DUMMYFUNCTION("""COMPUTED_VALUE"""),"V4-2")</f>
        <v>V4-2</v>
      </c>
      <c r="F454" s="5" t="str">
        <f ca="1">IFERROR(__xludf.DUMMYFUNCTION("""COMPUTED_VALUE"""),"UnicornThreeReelSevens")</f>
        <v>UnicornThreeReelSevens</v>
      </c>
      <c r="G454" s="5" t="str">
        <f ca="1">IFERROR(__xludf.DUMMYFUNCTION("""COMPUTED_VALUE"""),"Live")</f>
        <v>Live</v>
      </c>
      <c r="H454" s="5"/>
      <c r="I454" s="5" t="str">
        <f ca="1">IFERROR(__xludf.DUMMYFUNCTION("""COMPUTED_VALUE"""),"TipTop")</f>
        <v>TipTop</v>
      </c>
      <c r="J454" s="5" t="str">
        <f ca="1">IFERROR(__xludf.DUMMYFUNCTION("""COMPUTED_VALUE"""),"JSON")</f>
        <v>JSON</v>
      </c>
      <c r="K454" s="5" t="str">
        <f ca="1">IFERROR(__xludf.DUMMYFUNCTION("""COMPUTED_VALUE"""),"Slot")</f>
        <v>Slot</v>
      </c>
      <c r="L454" s="5" t="str">
        <f ca="1">IFERROR(__xludf.DUMMYFUNCTION("""COMPUTED_VALUE"""),"Master")</f>
        <v>Master</v>
      </c>
      <c r="M454" s="5"/>
      <c r="N454" s="5"/>
      <c r="O454" s="5"/>
      <c r="P454" s="14">
        <f ca="1">IFERROR(__xludf.DUMMYFUNCTION("""COMPUTED_VALUE"""),10.5)</f>
        <v>10.5</v>
      </c>
      <c r="Q454" s="5"/>
      <c r="R454" s="15">
        <f ca="1">IFERROR(__xludf.DUMMYFUNCTION("""COMPUTED_VALUE"""),45826)</f>
        <v>45826</v>
      </c>
      <c r="S454" s="15">
        <f ca="1">IFERROR(__xludf.DUMMYFUNCTION("""COMPUTED_VALUE"""),45833)</f>
        <v>45833</v>
      </c>
      <c r="T454" s="5" t="b">
        <f ca="1">IFERROR(__xludf.DUMMYFUNCTION("""COMPUTED_VALUE"""),TRUE)</f>
        <v>1</v>
      </c>
      <c r="U454" s="5" t="str">
        <f ca="1">IFERROR(__xludf.DUMMYFUNCTION("""COMPUTED_VALUE"""),"3x3")</f>
        <v>3x3</v>
      </c>
      <c r="V454" s="5">
        <f ca="1">IFERROR(__xludf.DUMMYFUNCTION("""COMPUTED_VALUE"""),5)</f>
        <v>5</v>
      </c>
      <c r="W454" s="5">
        <f ca="1">IFERROR(__xludf.DUMMYFUNCTION("""COMPUTED_VALUE"""),5)</f>
        <v>5</v>
      </c>
      <c r="X454" s="5">
        <f ca="1">IFERROR(__xludf.DUMMYFUNCTION("""COMPUTED_VALUE"""),96)</f>
        <v>96</v>
      </c>
      <c r="Y454" s="5" t="str">
        <f ca="1">IFERROR(__xludf.DUMMYFUNCTION("""COMPUTED_VALUE"""),"Low")</f>
        <v>Low</v>
      </c>
      <c r="Z454" s="5">
        <f ca="1">IFERROR(__xludf.DUMMYFUNCTION("""COMPUTED_VALUE"""),12.6)</f>
        <v>12.6</v>
      </c>
      <c r="AA454" s="5">
        <f ca="1">IFERROR(__xludf.DUMMYFUNCTION("""COMPUTED_VALUE"""),1000)</f>
        <v>1000</v>
      </c>
      <c r="AB454" s="5"/>
      <c r="AC454" s="5"/>
      <c r="AD454" s="5" t="str">
        <f ca="1">IFERROR(__xludf.DUMMYFUNCTION("""COMPUTED_VALUE"""),"0.05/100")</f>
        <v>0.05/100</v>
      </c>
      <c r="AE454" s="5"/>
      <c r="AF454" s="5"/>
      <c r="AG454" s="10">
        <f ca="1">IFERROR(__xludf.DUMMYFUNCTION("""COMPUTED_VALUE"""),46197.4990277777)</f>
        <v>46197.499027777703</v>
      </c>
      <c r="AH454" s="5" t="str">
        <f ca="1">IFERROR(__xludf.DUMMYFUNCTION("""COMPUTED_VALUE"""),"selena.mihajlovic@fazi.rs")</f>
        <v>selena.mihajlovic@fazi.rs</v>
      </c>
      <c r="AI454" s="5"/>
      <c r="AJ454" s="5"/>
      <c r="AK454" s="5">
        <f ca="1">IFERROR(__xludf.DUMMYFUNCTION("""COMPUTED_VALUE"""),5)</f>
        <v>5</v>
      </c>
      <c r="AL454" s="5" t="str">
        <f ca="1">IFERROR(__xludf.DUMMYFUNCTION("""COMPUTED_VALUE"""),"No")</f>
        <v>No</v>
      </c>
      <c r="AM454" s="5"/>
      <c r="AN454" s="7" t="str">
        <f ca="1">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AO454" s="5"/>
      <c r="AP454" s="5"/>
      <c r="AQ454" s="5" t="b">
        <f ca="1">IFERROR(__xludf.DUMMYFUNCTION("""COMPUTED_VALUE"""),TRUE)</f>
        <v>1</v>
      </c>
      <c r="AR454" s="5"/>
      <c r="AS454" s="5" t="str">
        <f ca="1">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AT454" s="5"/>
      <c r="AU454" s="5" t="str">
        <f ca="1">IFERROR(__xludf.DUMMYFUNCTION("""COMPUTED_VALUE"""),"Fazi")</f>
        <v>Fazi</v>
      </c>
      <c r="AV454" s="5"/>
      <c r="AW454" s="5"/>
      <c r="AX454" s="5"/>
      <c r="AY454" s="5"/>
      <c r="AZ454" s="5"/>
      <c r="BA454" s="5"/>
      <c r="BB454" s="5" t="b">
        <f ca="1">IFERROR(__xludf.DUMMYFUNCTION("""COMPUTED_VALUE"""),TRUE)</f>
        <v>1</v>
      </c>
      <c r="BC454" s="5" t="str">
        <f ca="1">IFERROR(__xludf.DUMMYFUNCTION("""COMPUTED_VALUE"""),"Tiptop")</f>
        <v>Tiptop</v>
      </c>
      <c r="BD454" s="7" t="str">
        <f ca="1">IFERROR(__xludf.DUMMYFUNCTION("""COMPUTED_VALUE"""),"https://gameserver-store-client-area.orbionlimited.com/Home/IntegrationGameLaunch/client-area?moneyType=0&amp;gameName=UnicornThreeReelSevens&amp;platform=desktop&amp;languageCode=eng&amp;currency=EUR")</f>
        <v>https://gameserver-store-client-area.orbionlimited.com/Home/IntegrationGameLaunch/client-area?moneyType=0&amp;gameName=UnicornThreeReelSevens&amp;platform=desktop&amp;languageCode=eng&amp;currency=EUR</v>
      </c>
      <c r="BE454" s="5" t="b">
        <f ca="1">IFERROR(__xludf.DUMMYFUNCTION("""COMPUTED_VALUE"""),TRUE)</f>
        <v>1</v>
      </c>
    </row>
    <row r="455" spans="1:57" x14ac:dyDescent="0.25">
      <c r="A455" s="5">
        <f ca="1">IFERROR(__xludf.DUMMYFUNCTION("""COMPUTED_VALUE"""),478)</f>
        <v>478</v>
      </c>
      <c r="B455" s="5">
        <f ca="1">IFERROR(__xludf.DUMMYFUNCTION("""COMPUTED_VALUE"""),1006)</f>
        <v>1006</v>
      </c>
      <c r="C455" s="5" t="str">
        <f ca="1">IFERROR(__xludf.DUMMYFUNCTION("""COMPUTED_VALUE"""),"Fazi")</f>
        <v>Fazi</v>
      </c>
      <c r="D455" s="5" t="str">
        <f ca="1">IFERROR(__xludf.DUMMYFUNCTION("""COMPUTED_VALUE"""),"Lucky Sheriff")</f>
        <v>Lucky Sheriff</v>
      </c>
      <c r="E455" s="5" t="str">
        <f ca="1">IFERROR(__xludf.DUMMYFUNCTION("""COMPUTED_VALUE"""),"V4-1")</f>
        <v>V4-1</v>
      </c>
      <c r="F455" s="5" t="str">
        <f ca="1">IFERROR(__xludf.DUMMYFUNCTION("""COMPUTED_VALUE"""),"LuckySheriff")</f>
        <v>LuckySheriff</v>
      </c>
      <c r="G455" s="5" t="str">
        <f ca="1">IFERROR(__xludf.DUMMYFUNCTION("""COMPUTED_VALUE"""),"Live")</f>
        <v>Live</v>
      </c>
      <c r="H455" s="5"/>
      <c r="I455" s="5" t="str">
        <f ca="1">IFERROR(__xludf.DUMMYFUNCTION("""COMPUTED_VALUE"""),"V4")</f>
        <v>V4</v>
      </c>
      <c r="J455" s="5" t="str">
        <f ca="1">IFERROR(__xludf.DUMMYFUNCTION("""COMPUTED_VALUE"""),"JSON")</f>
        <v>JSON</v>
      </c>
      <c r="K455" s="5" t="str">
        <f ca="1">IFERROR(__xludf.DUMMYFUNCTION("""COMPUTED_VALUE"""),"Slot")</f>
        <v>Slot</v>
      </c>
      <c r="L455" s="5" t="str">
        <f ca="1">IFERROR(__xludf.DUMMYFUNCTION("""COMPUTED_VALUE"""),"Master")</f>
        <v>Master</v>
      </c>
      <c r="M455" s="5"/>
      <c r="N455" s="5"/>
      <c r="O455" s="5"/>
      <c r="P455" s="14">
        <f ca="1">IFERROR(__xludf.DUMMYFUNCTION("""COMPUTED_VALUE"""),23.75)</f>
        <v>23.75</v>
      </c>
      <c r="Q455" s="15">
        <f ca="1">IFERROR(__xludf.DUMMYFUNCTION("""COMPUTED_VALUE"""),45943)</f>
        <v>45943</v>
      </c>
      <c r="R455" s="15">
        <f ca="1">IFERROR(__xludf.DUMMYFUNCTION("""COMPUTED_VALUE"""),45953)</f>
        <v>45953</v>
      </c>
      <c r="S455" s="15">
        <f ca="1">IFERROR(__xludf.DUMMYFUNCTION("""COMPUTED_VALUE"""),45960)</f>
        <v>45960</v>
      </c>
      <c r="T455" s="5" t="b">
        <f ca="1">IFERROR(__xludf.DUMMYFUNCTION("""COMPUTED_VALUE"""),TRUE)</f>
        <v>1</v>
      </c>
      <c r="U455" s="5" t="str">
        <f ca="1">IFERROR(__xludf.DUMMYFUNCTION("""COMPUTED_VALUE"""),"5x3")</f>
        <v>5x3</v>
      </c>
      <c r="V455" s="5">
        <f ca="1">IFERROR(__xludf.DUMMYFUNCTION("""COMPUTED_VALUE"""),25)</f>
        <v>25</v>
      </c>
      <c r="W455" s="5">
        <f ca="1">IFERROR(__xludf.DUMMYFUNCTION("""COMPUTED_VALUE"""),25)</f>
        <v>25</v>
      </c>
      <c r="X455" s="5">
        <f ca="1">IFERROR(__xludf.DUMMYFUNCTION("""COMPUTED_VALUE"""),96.556)</f>
        <v>96.555999999999997</v>
      </c>
      <c r="Y455" s="5" t="str">
        <f ca="1">IFERROR(__xludf.DUMMYFUNCTION("""COMPUTED_VALUE"""),"High")</f>
        <v>High</v>
      </c>
      <c r="Z455" s="5">
        <f ca="1">IFERROR(__xludf.DUMMYFUNCTION("""COMPUTED_VALUE"""),43.091)</f>
        <v>43.091000000000001</v>
      </c>
      <c r="AA455" s="5">
        <f ca="1">IFERROR(__xludf.DUMMYFUNCTION("""COMPUTED_VALUE"""),1590)</f>
        <v>1590</v>
      </c>
      <c r="AB455" s="5"/>
      <c r="AC455" s="5" t="str">
        <f ca="1">IFERROR(__xludf.DUMMYFUNCTION("""COMPUTED_VALUE"""),"Wild Symbol, Respin, Bonus Game with Free Spins, Buy Bonus")</f>
        <v>Wild Symbol, Respin, Bonus Game with Free Spins, Buy Bonus</v>
      </c>
      <c r="AD455" s="5" t="str">
        <f ca="1">IFERROR(__xludf.DUMMYFUNCTION("""COMPUTED_VALUE"""),"0.25/50")</f>
        <v>0.25/50</v>
      </c>
      <c r="AE455" s="5"/>
      <c r="AF455" s="5"/>
      <c r="AG455" s="10">
        <f ca="1">IFERROR(__xludf.DUMMYFUNCTION("""COMPUTED_VALUE"""),46162.4308449074)</f>
        <v>46162.430844907401</v>
      </c>
      <c r="AH455" s="5" t="str">
        <f ca="1">IFERROR(__xludf.DUMMYFUNCTION("""COMPUTED_VALUE"""),"djordje.petrovic@fazi.rs")</f>
        <v>djordje.petrovic@fazi.rs</v>
      </c>
      <c r="AI455" s="15">
        <f ca="1">IFERROR(__xludf.DUMMYFUNCTION("""COMPUTED_VALUE"""),45950)</f>
        <v>45950</v>
      </c>
      <c r="AJ455" s="5" t="str">
        <f ca="1">IFERROR(__xludf.DUMMYFUNCTION("""COMPUTED_VALUE"""),"1xBet ")</f>
        <v xml:space="preserve">1xBet </v>
      </c>
      <c r="AK455" s="5">
        <f ca="1">IFERROR(__xludf.DUMMYFUNCTION("""COMPUTED_VALUE"""),5)</f>
        <v>5</v>
      </c>
      <c r="AL455" s="5" t="str">
        <f ca="1">IFERROR(__xludf.DUMMYFUNCTION("""COMPUTED_VALUE"""),"No")</f>
        <v>No</v>
      </c>
      <c r="AM455" s="5" t="str">
        <f ca="1">IFERROR(__xludf.DUMMYFUNCTION("""COMPUTED_VALUE"""),"Yes")</f>
        <v>Yes</v>
      </c>
      <c r="AN455" s="7" t="str">
        <f ca="1">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AO455" s="5" t="str">
        <f ca="1">IFERROR(__xludf.DUMMYFUNCTION("""COMPUTED_VALUE"""),"Yes")</f>
        <v>Yes</v>
      </c>
      <c r="AP455" s="5" t="str">
        <f ca="1">IFERROR(__xludf.DUMMYFUNCTION("""COMPUTED_VALUE"""),"Yes")</f>
        <v>Yes</v>
      </c>
      <c r="AQ455" s="5" t="b">
        <f ca="1">IFERROR(__xludf.DUMMYFUNCTION("""COMPUTED_VALUE"""),TRUE)</f>
        <v>1</v>
      </c>
      <c r="AR455" s="5"/>
      <c r="AS455" s="5" t="str">
        <f ca="1">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AT455" s="5" t="str">
        <f ca="1">IFERROR(__xludf.DUMMYFUNCTION("""COMPUTED_VALUE"""),"Yes")</f>
        <v>Yes</v>
      </c>
      <c r="AU455" s="5" t="str">
        <f ca="1">IFERROR(__xludf.DUMMYFUNCTION("""COMPUTED_VALUE"""),"Fazi")</f>
        <v>Fazi</v>
      </c>
      <c r="AV455" s="5"/>
      <c r="AW455" s="5"/>
      <c r="AX455" s="15">
        <f ca="1">IFERROR(__xludf.DUMMYFUNCTION("""COMPUTED_VALUE"""),45937)</f>
        <v>45937</v>
      </c>
      <c r="AY455" s="5"/>
      <c r="AZ455" s="5"/>
      <c r="BA455" s="5" t="str">
        <f ca="1">IFERROR(__xludf.DUMMYFUNCTION("""COMPUTED_VALUE"""),"50, 70")</f>
        <v>50, 70</v>
      </c>
      <c r="BB455" s="5"/>
      <c r="BC455" s="5" t="str">
        <f ca="1">IFERROR(__xludf.DUMMYFUNCTION("""COMPUTED_VALUE"""),"Foxi")</f>
        <v>Foxi</v>
      </c>
      <c r="BD455" s="7" t="str">
        <f ca="1">IFERROR(__xludf.DUMMYFUNCTION("""COMPUTED_VALUE"""),"https://gameserver-store-client-area.orbionlimited.com/Home/IntegrationGameLaunch/client-area?moneyType=0&amp;gameName=LuckySheriff&amp;platform=desktop&amp;languageCode=eng&amp;currency=EUR")</f>
        <v>https://gameserver-store-client-area.orbionlimited.com/Home/IntegrationGameLaunch/client-area?moneyType=0&amp;gameName=LuckySheriff&amp;platform=desktop&amp;languageCode=eng&amp;currency=EUR</v>
      </c>
      <c r="BE455" s="5" t="b">
        <f ca="1">IFERROR(__xludf.DUMMYFUNCTION("""COMPUTED_VALUE"""),TRUE)</f>
        <v>1</v>
      </c>
    </row>
    <row r="456" spans="1:57" x14ac:dyDescent="0.25">
      <c r="A456" s="5">
        <f ca="1">IFERROR(__xludf.DUMMYFUNCTION("""COMPUTED_VALUE"""),479)</f>
        <v>479</v>
      </c>
      <c r="B456" s="5">
        <f ca="1">IFERROR(__xludf.DUMMYFUNCTION("""COMPUTED_VALUE"""),1007)</f>
        <v>1007</v>
      </c>
      <c r="C456" s="5" t="str">
        <f ca="1">IFERROR(__xludf.DUMMYFUNCTION("""COMPUTED_VALUE"""),"Fazi")</f>
        <v>Fazi</v>
      </c>
      <c r="D456" s="5" t="str">
        <f ca="1">IFERROR(__xludf.DUMMYFUNCTION("""COMPUTED_VALUE"""),"Coin Splash")</f>
        <v>Coin Splash</v>
      </c>
      <c r="E456" s="5" t="str">
        <f ca="1">IFERROR(__xludf.DUMMYFUNCTION("""COMPUTED_VALUE"""),"V4-1")</f>
        <v>V4-1</v>
      </c>
      <c r="F456" s="5" t="str">
        <f ca="1">IFERROR(__xludf.DUMMYFUNCTION("""COMPUTED_VALUE"""),"CoinSplash")</f>
        <v>CoinSplash</v>
      </c>
      <c r="G456" s="5" t="str">
        <f ca="1">IFERROR(__xludf.DUMMYFUNCTION("""COMPUTED_VALUE"""),"Live")</f>
        <v>Live</v>
      </c>
      <c r="H456" s="5"/>
      <c r="I456" s="5" t="str">
        <f ca="1">IFERROR(__xludf.DUMMYFUNCTION("""COMPUTED_VALUE"""),"V4")</f>
        <v>V4</v>
      </c>
      <c r="J456" s="5" t="str">
        <f ca="1">IFERROR(__xludf.DUMMYFUNCTION("""COMPUTED_VALUE"""),"JSON")</f>
        <v>JSON</v>
      </c>
      <c r="K456" s="5" t="str">
        <f ca="1">IFERROR(__xludf.DUMMYFUNCTION("""COMPUTED_VALUE"""),"Slot")</f>
        <v>Slot</v>
      </c>
      <c r="L456" s="5" t="str">
        <f ca="1">IFERROR(__xludf.DUMMYFUNCTION("""COMPUTED_VALUE""")," Clone")</f>
        <v xml:space="preserve"> Clone</v>
      </c>
      <c r="M456" s="5" t="str">
        <f ca="1">IFERROR(__xludf.DUMMYFUNCTION("""COMPUTED_VALUE"""),"Blow Fruits 40")</f>
        <v>Blow Fruits 40</v>
      </c>
      <c r="N456" s="7" t="str">
        <f ca="1">IFERROR(__xludf.DUMMYFUNCTION("""COMPUTED_VALUE"""),"https://drive.google.com/file/d/1rrWTfY4LMCdgbEbfmhrvsVsKCd2w4bvO/view?usp=sharing")</f>
        <v>https://drive.google.com/file/d/1rrWTfY4LMCdgbEbfmhrvsVsKCd2w4bvO/view?usp=sharing</v>
      </c>
      <c r="O456" s="7" t="str">
        <f ca="1">IFERROR(__xludf.DUMMYFUNCTION("""COMPUTED_VALUE"""),"https://drive.google.com/file/d/1TMpX-3d-GMrkiWUaYstT8weMYDI2yoSD/view?usp=sharing")</f>
        <v>https://drive.google.com/file/d/1TMpX-3d-GMrkiWUaYstT8weMYDI2yoSD/view?usp=sharing</v>
      </c>
      <c r="P456" s="14">
        <f ca="1">IFERROR(__xludf.DUMMYFUNCTION("""COMPUTED_VALUE"""),14)</f>
        <v>14</v>
      </c>
      <c r="Q456" s="5"/>
      <c r="R456" s="15">
        <f ca="1">IFERROR(__xludf.DUMMYFUNCTION("""COMPUTED_VALUE"""),45776)</f>
        <v>45776</v>
      </c>
      <c r="S456" s="15">
        <f ca="1">IFERROR(__xludf.DUMMYFUNCTION("""COMPUTED_VALUE"""),45783)</f>
        <v>45783</v>
      </c>
      <c r="T456" s="5" t="b">
        <f ca="1">IFERROR(__xludf.DUMMYFUNCTION("""COMPUTED_VALUE"""),TRUE)</f>
        <v>1</v>
      </c>
      <c r="U456" s="5" t="str">
        <f ca="1">IFERROR(__xludf.DUMMYFUNCTION("""COMPUTED_VALUE"""),"5x4")</f>
        <v>5x4</v>
      </c>
      <c r="V456" s="5">
        <f ca="1">IFERROR(__xludf.DUMMYFUNCTION("""COMPUTED_VALUE"""),40)</f>
        <v>40</v>
      </c>
      <c r="W456" s="5">
        <f ca="1">IFERROR(__xludf.DUMMYFUNCTION("""COMPUTED_VALUE"""),40)</f>
        <v>40</v>
      </c>
      <c r="X456" s="5">
        <f ca="1">IFERROR(__xludf.DUMMYFUNCTION("""COMPUTED_VALUE"""),96.594)</f>
        <v>96.593999999999994</v>
      </c>
      <c r="Y456" s="5" t="str">
        <f ca="1">IFERROR(__xludf.DUMMYFUNCTION("""COMPUTED_VALUE"""),"Medium")</f>
        <v>Medium</v>
      </c>
      <c r="Z456" s="5">
        <f ca="1">IFERROR(__xludf.DUMMYFUNCTION("""COMPUTED_VALUE"""),12.056)</f>
        <v>12.055999999999999</v>
      </c>
      <c r="AA456" s="5">
        <f ca="1">IFERROR(__xludf.DUMMYFUNCTION("""COMPUTED_VALUE"""),750)</f>
        <v>750</v>
      </c>
      <c r="AB456" s="5"/>
      <c r="AC456" s="5" t="str">
        <f ca="1">IFERROR(__xludf.DUMMYFUNCTION("""COMPUTED_VALUE"""),"Exploding Wild")</f>
        <v>Exploding Wild</v>
      </c>
      <c r="AD456" s="5" t="str">
        <f ca="1">IFERROR(__xludf.DUMMYFUNCTION("""COMPUTED_VALUE"""),"0.04/60")</f>
        <v>0.04/60</v>
      </c>
      <c r="AE456" s="5"/>
      <c r="AF456" s="5"/>
      <c r="AG456" s="10">
        <f ca="1">IFERROR(__xludf.DUMMYFUNCTION("""COMPUTED_VALUE"""),46198.5189004629)</f>
        <v>46198.518900462899</v>
      </c>
      <c r="AH456" s="5" t="str">
        <f ca="1">IFERROR(__xludf.DUMMYFUNCTION("""COMPUTED_VALUE"""),"selena.mihajlovic@fazi.rs")</f>
        <v>selena.mihajlovic@fazi.rs</v>
      </c>
      <c r="AI456" s="5"/>
      <c r="AJ456" s="5"/>
      <c r="AK456" s="5">
        <f ca="1">IFERROR(__xludf.DUMMYFUNCTION("""COMPUTED_VALUE"""),4)</f>
        <v>4</v>
      </c>
      <c r="AL456" s="5" t="str">
        <f ca="1">IFERROR(__xludf.DUMMYFUNCTION("""COMPUTED_VALUE"""),"Yes")</f>
        <v>Yes</v>
      </c>
      <c r="AM456" s="5"/>
      <c r="AN456" s="7" t="str">
        <f ca="1">IFERROR(__xludf.DUMMYFUNCTION("""COMPUTED_VALUE"""),"https://gameserver-store-msstg.fazi.rs/Home/IntegrationGameLaunch/fazi-stg16?moneyType=0&amp;currency=EUR&amp;gameName=CoinSplash")</f>
        <v>https://gameserver-store-msstg.fazi.rs/Home/IntegrationGameLaunch/fazi-stg16?moneyType=0&amp;currency=EUR&amp;gameName=CoinSplash</v>
      </c>
      <c r="AO456" s="5" t="str">
        <f ca="1">IFERROR(__xludf.DUMMYFUNCTION("""COMPUTED_VALUE"""),"Yes")</f>
        <v>Yes</v>
      </c>
      <c r="AP456" s="5" t="str">
        <f ca="1">IFERROR(__xludf.DUMMYFUNCTION("""COMPUTED_VALUE"""),"Yes")</f>
        <v>Yes</v>
      </c>
      <c r="AQ456" s="5" t="b">
        <f ca="1">IFERROR(__xludf.DUMMYFUNCTION("""COMPUTED_VALUE"""),TRUE)</f>
        <v>1</v>
      </c>
      <c r="AR456" s="5"/>
      <c r="AS456" s="5" t="str">
        <f ca="1">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 xml:space="preserve">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AT456" s="5" t="str">
        <f ca="1">IFERROR(__xludf.DUMMYFUNCTION("""COMPUTED_VALUE"""),"No")</f>
        <v>No</v>
      </c>
      <c r="AU456" s="5" t="str">
        <f ca="1">IFERROR(__xludf.DUMMYFUNCTION("""COMPUTED_VALUE"""),"Fazi")</f>
        <v>Fazi</v>
      </c>
      <c r="AV456" s="5"/>
      <c r="AW456" s="5"/>
      <c r="AX456" s="5"/>
      <c r="AY456" s="5"/>
      <c r="AZ456" s="5"/>
      <c r="BA456" s="5"/>
      <c r="BB456" s="5"/>
      <c r="BC456" s="5" t="str">
        <f ca="1">IFERROR(__xludf.DUMMYFUNCTION("""COMPUTED_VALUE"""),"Foxi")</f>
        <v>Foxi</v>
      </c>
      <c r="BD456" s="7" t="str">
        <f ca="1">IFERROR(__xludf.DUMMYFUNCTION("""COMPUTED_VALUE"""),"https://gameserver-store-client-area.orbionlimited.com/Home/IntegrationGameLaunch/client-area?moneyType=0&amp;gameName=CoinSplash&amp;platform=desktop&amp;languageCode=eng&amp;currency=EUR")</f>
        <v>https://gameserver-store-client-area.orbionlimited.com/Home/IntegrationGameLaunch/client-area?moneyType=0&amp;gameName=CoinSplash&amp;platform=desktop&amp;languageCode=eng&amp;currency=EUR</v>
      </c>
      <c r="BE456" s="5" t="b">
        <f ca="1">IFERROR(__xludf.DUMMYFUNCTION("""COMPUTED_VALUE"""),TRUE)</f>
        <v>1</v>
      </c>
    </row>
    <row r="457" spans="1:57" x14ac:dyDescent="0.25">
      <c r="A457" s="5">
        <f ca="1">IFERROR(__xludf.DUMMYFUNCTION("""COMPUTED_VALUE"""),480)</f>
        <v>480</v>
      </c>
      <c r="B457" s="5">
        <f ca="1">IFERROR(__xludf.DUMMYFUNCTION("""COMPUTED_VALUE"""),180013)</f>
        <v>180013</v>
      </c>
      <c r="C457" s="5" t="str">
        <f ca="1">IFERROR(__xludf.DUMMYFUNCTION("""COMPUTED_VALUE"""),"Redstone")</f>
        <v>Redstone</v>
      </c>
      <c r="D457" s="5" t="str">
        <f ca="1">IFERROR(__xludf.DUMMYFUNCTION("""COMPUTED_VALUE"""),"10 Wild Heart")</f>
        <v>10 Wild Heart</v>
      </c>
      <c r="E457" s="5" t="str">
        <f ca="1">IFERROR(__xludf.DUMMYFUNCTION("""COMPUTED_VALUE"""),"Redstone")</f>
        <v>Redstone</v>
      </c>
      <c r="F457" s="5" t="str">
        <f ca="1">IFERROR(__xludf.DUMMYFUNCTION("""COMPUTED_VALUE"""),"Redstone10WildHeart")</f>
        <v>Redstone10WildHeart</v>
      </c>
      <c r="G457" s="5" t="str">
        <f ca="1">IFERROR(__xludf.DUMMYFUNCTION("""COMPUTED_VALUE"""),"Live")</f>
        <v>Live</v>
      </c>
      <c r="H457" s="5"/>
      <c r="I457" s="5" t="str">
        <f ca="1">IFERROR(__xludf.DUMMYFUNCTION("""COMPUTED_VALUE"""),"Redstone")</f>
        <v>Redstone</v>
      </c>
      <c r="J457" s="5" t="str">
        <f ca="1">IFERROR(__xludf.DUMMYFUNCTION("""COMPUTED_VALUE"""),"JSON")</f>
        <v>JSON</v>
      </c>
      <c r="K457" s="5" t="str">
        <f ca="1">IFERROR(__xludf.DUMMYFUNCTION("""COMPUTED_VALUE"""),"Slot")</f>
        <v>Slot</v>
      </c>
      <c r="L457" s="5" t="str">
        <f ca="1">IFERROR(__xludf.DUMMYFUNCTION("""COMPUTED_VALUE"""),"Master")</f>
        <v>Master</v>
      </c>
      <c r="M457" s="5"/>
      <c r="N457" s="7" t="str">
        <f ca="1">IFERROR(__xludf.DUMMYFUNCTION("""COMPUTED_VALUE"""),"https://drive.google.com/file/d/1ab3ESJmNaQTYQ2yRtk3CzvhG5e61AzoG/view?usp=drive_link")</f>
        <v>https://drive.google.com/file/d/1ab3ESJmNaQTYQ2yRtk3CzvhG5e61AzoG/view?usp=drive_link</v>
      </c>
      <c r="O457" s="7" t="str">
        <f ca="1">IFERROR(__xludf.DUMMYFUNCTION("""COMPUTED_VALUE"""),"https://drive.google.com/file/d/1-3HYx5EH8g8nTtAydEBMqfN6nNh_Jre2/view?usp=drive_link")</f>
        <v>https://drive.google.com/file/d/1-3HYx5EH8g8nTtAydEBMqfN6nNh_Jre2/view?usp=drive_link</v>
      </c>
      <c r="P457" s="14">
        <f ca="1">IFERROR(__xludf.DUMMYFUNCTION("""COMPUTED_VALUE"""),6.9)</f>
        <v>6.9</v>
      </c>
      <c r="Q457" s="5"/>
      <c r="R457" s="15">
        <f ca="1">IFERROR(__xludf.DUMMYFUNCTION("""COMPUTED_VALUE"""),45747)</f>
        <v>45747</v>
      </c>
      <c r="S457" s="15">
        <f ca="1">IFERROR(__xludf.DUMMYFUNCTION("""COMPUTED_VALUE"""),45754)</f>
        <v>45754</v>
      </c>
      <c r="T457" s="5" t="b">
        <f ca="1">IFERROR(__xludf.DUMMYFUNCTION("""COMPUTED_VALUE"""),TRUE)</f>
        <v>1</v>
      </c>
      <c r="U457" s="5" t="str">
        <f ca="1">IFERROR(__xludf.DUMMYFUNCTION("""COMPUTED_VALUE"""),"5x3")</f>
        <v>5x3</v>
      </c>
      <c r="V457" s="5">
        <f ca="1">IFERROR(__xludf.DUMMYFUNCTION("""COMPUTED_VALUE"""),10)</f>
        <v>10</v>
      </c>
      <c r="W457" s="5">
        <f ca="1">IFERROR(__xludf.DUMMYFUNCTION("""COMPUTED_VALUE"""),10)</f>
        <v>10</v>
      </c>
      <c r="X457" s="5">
        <f ca="1">IFERROR(__xludf.DUMMYFUNCTION("""COMPUTED_VALUE"""),95.96)</f>
        <v>95.96</v>
      </c>
      <c r="Y457" s="5" t="str">
        <f ca="1">IFERROR(__xludf.DUMMYFUNCTION("""COMPUTED_VALUE"""),"Medium")</f>
        <v>Medium</v>
      </c>
      <c r="Z457" s="5">
        <f ca="1">IFERROR(__xludf.DUMMYFUNCTION("""COMPUTED_VALUE"""),14.63)</f>
        <v>14.63</v>
      </c>
      <c r="AA457" s="5">
        <f ca="1">IFERROR(__xludf.DUMMYFUNCTION("""COMPUTED_VALUE"""),1538)</f>
        <v>1538</v>
      </c>
      <c r="AB457" s="5"/>
      <c r="AC457" s="5" t="str">
        <f ca="1">IFERROR(__xludf.DUMMYFUNCTION("""COMPUTED_VALUE"""),"Expanding Wild, Ante Bet, Bonus Game with Free Spins, Scatter")</f>
        <v>Expanding Wild, Ante Bet, Bonus Game with Free Spins, Scatter</v>
      </c>
      <c r="AD457" s="5" t="str">
        <f ca="1">IFERROR(__xludf.DUMMYFUNCTION("""COMPUTED_VALUE"""),"0.10/100")</f>
        <v>0.10/100</v>
      </c>
      <c r="AE457" s="5"/>
      <c r="AF457" s="5"/>
      <c r="AG457" s="10">
        <f ca="1">IFERROR(__xludf.DUMMYFUNCTION("""COMPUTED_VALUE"""),46157.5285069444)</f>
        <v>46157.5285069444</v>
      </c>
      <c r="AH457" s="5"/>
      <c r="AI457" s="5"/>
      <c r="AJ457" s="5"/>
      <c r="AK457" s="5">
        <f ca="1">IFERROR(__xludf.DUMMYFUNCTION("""COMPUTED_VALUE"""),1)</f>
        <v>1</v>
      </c>
      <c r="AL457" s="5" t="str">
        <f ca="1">IFERROR(__xludf.DUMMYFUNCTION("""COMPUTED_VALUE"""),"No")</f>
        <v>No</v>
      </c>
      <c r="AM457" s="5" t="str">
        <f ca="1">IFERROR(__xludf.DUMMYFUNCTION("""COMPUTED_VALUE"""),"No")</f>
        <v>No</v>
      </c>
      <c r="AN457" s="7" t="str">
        <f ca="1">IFERROR(__xludf.DUMMYFUNCTION("""COMPUTED_VALUE"""),"https://static.redstone.rs/games/10-wild-heart/")</f>
        <v>https://static.redstone.rs/games/10-wild-heart/</v>
      </c>
      <c r="AO457" s="5" t="str">
        <f ca="1">IFERROR(__xludf.DUMMYFUNCTION("""COMPUTED_VALUE"""),"No")</f>
        <v>No</v>
      </c>
      <c r="AP457" s="5" t="str">
        <f ca="1">IFERROR(__xludf.DUMMYFUNCTION("""COMPUTED_VALUE"""),"No")</f>
        <v>No</v>
      </c>
      <c r="AQ457" s="5" t="b">
        <f ca="1">IFERROR(__xludf.DUMMYFUNCTION("""COMPUTED_VALUE"""),TRUE)</f>
        <v>1</v>
      </c>
      <c r="AR457" s="5"/>
      <c r="AS457" s="5" t="str">
        <f ca="1">IFERROR(__xludf.DUMMYFUNCTION("""COMPUTED_VALUE"""),"With 10 Wild Heart, every spin brings you closer to exciting wins. Wilds bring the heat and with just a little luck, the payouts can be unforgettable! ")</f>
        <v xml:space="preserve">With 10 Wild Heart, every spin brings you closer to exciting wins. Wilds bring the heat and with just a little luck, the payouts can be unforgettable! </v>
      </c>
      <c r="AT457" s="5"/>
      <c r="AU457" s="5" t="str">
        <f ca="1">IFERROR(__xludf.DUMMYFUNCTION("""COMPUTED_VALUE"""),"Redstone")</f>
        <v>Redstone</v>
      </c>
      <c r="AV457" s="5"/>
      <c r="AW457" s="5"/>
      <c r="AX457" s="5"/>
      <c r="AY457" s="5"/>
      <c r="AZ457" s="5"/>
      <c r="BA457" s="5"/>
      <c r="BB457" s="5" t="b">
        <f ca="1">IFERROR(__xludf.DUMMYFUNCTION("""COMPUTED_VALUE"""),TRUE)</f>
        <v>1</v>
      </c>
      <c r="BC457" s="5" t="str">
        <f ca="1">IFERROR(__xludf.DUMMYFUNCTION("""COMPUTED_VALUE"""),"Redstone")</f>
        <v>Redstone</v>
      </c>
      <c r="BD457" s="7" t="str">
        <f ca="1">IFERROR(__xludf.DUMMYFUNCTION("""COMPUTED_VALUE"""),"https://static.redstone.rs/games/10-wild-heart/")</f>
        <v>https://static.redstone.rs/games/10-wild-heart/</v>
      </c>
      <c r="BE457" s="5" t="b">
        <f ca="1">IFERROR(__xludf.DUMMYFUNCTION("""COMPUTED_VALUE"""),TRUE)</f>
        <v>1</v>
      </c>
    </row>
    <row r="458" spans="1:57" x14ac:dyDescent="0.25">
      <c r="A458" s="5">
        <f ca="1">IFERROR(__xludf.DUMMYFUNCTION("""COMPUTED_VALUE"""),481)</f>
        <v>481</v>
      </c>
      <c r="B458" s="5">
        <f ca="1">IFERROR(__xludf.DUMMYFUNCTION("""COMPUTED_VALUE"""),180014)</f>
        <v>180014</v>
      </c>
      <c r="C458" s="5" t="str">
        <f ca="1">IFERROR(__xludf.DUMMYFUNCTION("""COMPUTED_VALUE"""),"Redstone")</f>
        <v>Redstone</v>
      </c>
      <c r="D458" s="5" t="str">
        <f ca="1">IFERROR(__xludf.DUMMYFUNCTION("""COMPUTED_VALUE"""),"40 Joker Fire")</f>
        <v>40 Joker Fire</v>
      </c>
      <c r="E458" s="5" t="str">
        <f ca="1">IFERROR(__xludf.DUMMYFUNCTION("""COMPUTED_VALUE"""),"Redstone")</f>
        <v>Redstone</v>
      </c>
      <c r="F458" s="5" t="str">
        <f ca="1">IFERROR(__xludf.DUMMYFUNCTION("""COMPUTED_VALUE"""),"Redstone40JokerFire")</f>
        <v>Redstone40JokerFire</v>
      </c>
      <c r="G458" s="5" t="str">
        <f ca="1">IFERROR(__xludf.DUMMYFUNCTION("""COMPUTED_VALUE"""),"Live")</f>
        <v>Live</v>
      </c>
      <c r="H458" s="5"/>
      <c r="I458" s="5" t="str">
        <f ca="1">IFERROR(__xludf.DUMMYFUNCTION("""COMPUTED_VALUE"""),"Redstone")</f>
        <v>Redstone</v>
      </c>
      <c r="J458" s="5" t="str">
        <f ca="1">IFERROR(__xludf.DUMMYFUNCTION("""COMPUTED_VALUE"""),"JSON")</f>
        <v>JSON</v>
      </c>
      <c r="K458" s="5" t="str">
        <f ca="1">IFERROR(__xludf.DUMMYFUNCTION("""COMPUTED_VALUE"""),"Slot")</f>
        <v>Slot</v>
      </c>
      <c r="L458" s="5" t="str">
        <f ca="1">IFERROR(__xludf.DUMMYFUNCTION("""COMPUTED_VALUE"""),"Master")</f>
        <v>Master</v>
      </c>
      <c r="M458" s="5"/>
      <c r="N458" s="7" t="str">
        <f ca="1">IFERROR(__xludf.DUMMYFUNCTION("""COMPUTED_VALUE"""),"https://drive.google.com/file/d/1u1cVt2r3D74ZWE5qJ4FseBw5PY-Ib4yK/view?usp=drive_link")</f>
        <v>https://drive.google.com/file/d/1u1cVt2r3D74ZWE5qJ4FseBw5PY-Ib4yK/view?usp=drive_link</v>
      </c>
      <c r="O458" s="7" t="str">
        <f ca="1">IFERROR(__xludf.DUMMYFUNCTION("""COMPUTED_VALUE"""),"https://drive.google.com/file/d/1yckcih0apcYhGCwgqTCD9bPSWnkOLgox/view?usp=drive_link")</f>
        <v>https://drive.google.com/file/d/1yckcih0apcYhGCwgqTCD9bPSWnkOLgox/view?usp=drive_link</v>
      </c>
      <c r="P458" s="14">
        <f ca="1">IFERROR(__xludf.DUMMYFUNCTION("""COMPUTED_VALUE"""),7)</f>
        <v>7</v>
      </c>
      <c r="Q458" s="5"/>
      <c r="R458" s="15">
        <f ca="1">IFERROR(__xludf.DUMMYFUNCTION("""COMPUTED_VALUE"""),45755)</f>
        <v>45755</v>
      </c>
      <c r="S458" s="15">
        <f ca="1">IFERROR(__xludf.DUMMYFUNCTION("""COMPUTED_VALUE"""),45762)</f>
        <v>45762</v>
      </c>
      <c r="T458" s="5" t="b">
        <f ca="1">IFERROR(__xludf.DUMMYFUNCTION("""COMPUTED_VALUE"""),TRUE)</f>
        <v>1</v>
      </c>
      <c r="U458" s="5" t="str">
        <f ca="1">IFERROR(__xludf.DUMMYFUNCTION("""COMPUTED_VALUE"""),"5x4")</f>
        <v>5x4</v>
      </c>
      <c r="V458" s="5">
        <f ca="1">IFERROR(__xludf.DUMMYFUNCTION("""COMPUTED_VALUE"""),40)</f>
        <v>40</v>
      </c>
      <c r="W458" s="5">
        <f ca="1">IFERROR(__xludf.DUMMYFUNCTION("""COMPUTED_VALUE"""),40)</f>
        <v>40</v>
      </c>
      <c r="X458" s="5">
        <f ca="1">IFERROR(__xludf.DUMMYFUNCTION("""COMPUTED_VALUE"""),96)</f>
        <v>96</v>
      </c>
      <c r="Y458" s="5" t="str">
        <f ca="1">IFERROR(__xludf.DUMMYFUNCTION("""COMPUTED_VALUE"""),"Medium")</f>
        <v>Medium</v>
      </c>
      <c r="Z458" s="5">
        <f ca="1">IFERROR(__xludf.DUMMYFUNCTION("""COMPUTED_VALUE"""),20.25)</f>
        <v>20.25</v>
      </c>
      <c r="AA458" s="5">
        <f ca="1">IFERROR(__xludf.DUMMYFUNCTION("""COMPUTED_VALUE"""),2000)</f>
        <v>2000</v>
      </c>
      <c r="AB458" s="5"/>
      <c r="AC458" s="5" t="str">
        <f ca="1">IFERROR(__xludf.DUMMYFUNCTION("""COMPUTED_VALUE"""),"Sticky Wild, Special Wild, Scatter")</f>
        <v>Sticky Wild, Special Wild, Scatter</v>
      </c>
      <c r="AD458" s="5" t="str">
        <f ca="1">IFERROR(__xludf.DUMMYFUNCTION("""COMPUTED_VALUE"""),"0.12/100")</f>
        <v>0.12/100</v>
      </c>
      <c r="AE458" s="5"/>
      <c r="AF458" s="5"/>
      <c r="AG458" s="10">
        <f ca="1">IFERROR(__xludf.DUMMYFUNCTION("""COMPUTED_VALUE"""),46157.5287847222)</f>
        <v>46157.528784722199</v>
      </c>
      <c r="AH458" s="5"/>
      <c r="AI458" s="5"/>
      <c r="AJ458" s="5"/>
      <c r="AK458" s="5">
        <f ca="1">IFERROR(__xludf.DUMMYFUNCTION("""COMPUTED_VALUE"""),1)</f>
        <v>1</v>
      </c>
      <c r="AL458" s="5" t="str">
        <f ca="1">IFERROR(__xludf.DUMMYFUNCTION("""COMPUTED_VALUE"""),"No")</f>
        <v>No</v>
      </c>
      <c r="AM458" s="5" t="str">
        <f ca="1">IFERROR(__xludf.DUMMYFUNCTION("""COMPUTED_VALUE"""),"No")</f>
        <v>No</v>
      </c>
      <c r="AN458" s="7" t="str">
        <f ca="1">IFERROR(__xludf.DUMMYFUNCTION("""COMPUTED_VALUE"""),"https://static.redstone.rs/games/40-joker-fire/")</f>
        <v>https://static.redstone.rs/games/40-joker-fire/</v>
      </c>
      <c r="AO458" s="5" t="str">
        <f ca="1">IFERROR(__xludf.DUMMYFUNCTION("""COMPUTED_VALUE"""),"No")</f>
        <v>No</v>
      </c>
      <c r="AP458" s="5" t="str">
        <f ca="1">IFERROR(__xludf.DUMMYFUNCTION("""COMPUTED_VALUE"""),"No")</f>
        <v>No</v>
      </c>
      <c r="AQ458" s="5" t="b">
        <f ca="1">IFERROR(__xludf.DUMMYFUNCTION("""COMPUTED_VALUE"""),TRUE)</f>
        <v>1</v>
      </c>
      <c r="AR458" s="5"/>
      <c r="AS458" s="5" t="str">
        <f ca="1">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AT458" s="5"/>
      <c r="AU458" s="5" t="str">
        <f ca="1">IFERROR(__xludf.DUMMYFUNCTION("""COMPUTED_VALUE"""),"Redstone")</f>
        <v>Redstone</v>
      </c>
      <c r="AV458" s="5"/>
      <c r="AW458" s="5"/>
      <c r="AX458" s="5"/>
      <c r="AY458" s="5"/>
      <c r="AZ458" s="5"/>
      <c r="BA458" s="5"/>
      <c r="BB458" s="5" t="b">
        <f ca="1">IFERROR(__xludf.DUMMYFUNCTION("""COMPUTED_VALUE"""),TRUE)</f>
        <v>1</v>
      </c>
      <c r="BC458" s="5" t="str">
        <f ca="1">IFERROR(__xludf.DUMMYFUNCTION("""COMPUTED_VALUE"""),"Redstone")</f>
        <v>Redstone</v>
      </c>
      <c r="BD458" s="7" t="str">
        <f ca="1">IFERROR(__xludf.DUMMYFUNCTION("""COMPUTED_VALUE"""),"https://static.redstone.rs/games/40-joker-fire/")</f>
        <v>https://static.redstone.rs/games/40-joker-fire/</v>
      </c>
      <c r="BE458" s="5" t="b">
        <f ca="1">IFERROR(__xludf.DUMMYFUNCTION("""COMPUTED_VALUE"""),TRUE)</f>
        <v>1</v>
      </c>
    </row>
    <row r="459" spans="1:57" x14ac:dyDescent="0.25">
      <c r="A459" s="5">
        <f ca="1">IFERROR(__xludf.DUMMYFUNCTION("""COMPUTED_VALUE"""),482)</f>
        <v>482</v>
      </c>
      <c r="B459" s="5">
        <f ca="1">IFERROR(__xludf.DUMMYFUNCTION("""COMPUTED_VALUE"""),180015)</f>
        <v>180015</v>
      </c>
      <c r="C459" s="5" t="str">
        <f ca="1">IFERROR(__xludf.DUMMYFUNCTION("""COMPUTED_VALUE"""),"Redstone")</f>
        <v>Redstone</v>
      </c>
      <c r="D459" s="5" t="str">
        <f ca="1">IFERROR(__xludf.DUMMYFUNCTION("""COMPUTED_VALUE"""),"Bonus Stars")</f>
        <v>Bonus Stars</v>
      </c>
      <c r="E459" s="5" t="str">
        <f ca="1">IFERROR(__xludf.DUMMYFUNCTION("""COMPUTED_VALUE"""),"Redstone")</f>
        <v>Redstone</v>
      </c>
      <c r="F459" s="5" t="str">
        <f ca="1">IFERROR(__xludf.DUMMYFUNCTION("""COMPUTED_VALUE"""),"RedstoneBonusStars")</f>
        <v>RedstoneBonusStars</v>
      </c>
      <c r="G459" s="5" t="str">
        <f ca="1">IFERROR(__xludf.DUMMYFUNCTION("""COMPUTED_VALUE"""),"Live")</f>
        <v>Live</v>
      </c>
      <c r="H459" s="5"/>
      <c r="I459" s="5" t="str">
        <f ca="1">IFERROR(__xludf.DUMMYFUNCTION("""COMPUTED_VALUE"""),"Redstone")</f>
        <v>Redstone</v>
      </c>
      <c r="J459" s="5" t="str">
        <f ca="1">IFERROR(__xludf.DUMMYFUNCTION("""COMPUTED_VALUE"""),"JSON")</f>
        <v>JSON</v>
      </c>
      <c r="K459" s="5" t="str">
        <f ca="1">IFERROR(__xludf.DUMMYFUNCTION("""COMPUTED_VALUE"""),"Slot")</f>
        <v>Slot</v>
      </c>
      <c r="L459" s="5" t="str">
        <f ca="1">IFERROR(__xludf.DUMMYFUNCTION("""COMPUTED_VALUE"""),"Master")</f>
        <v>Master</v>
      </c>
      <c r="M459" s="5"/>
      <c r="N459" s="7" t="str">
        <f ca="1">IFERROR(__xludf.DUMMYFUNCTION("""COMPUTED_VALUE"""),"https://drive.google.com/file/d/1TUmCnus95of-VOgrsOFgtYLc-yHhQAK4/view?usp=drive_link")</f>
        <v>https://drive.google.com/file/d/1TUmCnus95of-VOgrsOFgtYLc-yHhQAK4/view?usp=drive_link</v>
      </c>
      <c r="O459" s="7" t="str">
        <f ca="1">IFERROR(__xludf.DUMMYFUNCTION("""COMPUTED_VALUE"""),"https://drive.google.com/file/d/1B52c455_iGqdn6Gcz68rQ2OHYortgt9T/view?usp=drive_link")</f>
        <v>https://drive.google.com/file/d/1B52c455_iGqdn6Gcz68rQ2OHYortgt9T/view?usp=drive_link</v>
      </c>
      <c r="P459" s="14">
        <f ca="1">IFERROR(__xludf.DUMMYFUNCTION("""COMPUTED_VALUE"""),9.1)</f>
        <v>9.1</v>
      </c>
      <c r="Q459" s="5"/>
      <c r="R459" s="15">
        <f ca="1">IFERROR(__xludf.DUMMYFUNCTION("""COMPUTED_VALUE"""),45777)</f>
        <v>45777</v>
      </c>
      <c r="S459" s="15">
        <f ca="1">IFERROR(__xludf.DUMMYFUNCTION("""COMPUTED_VALUE"""),45784)</f>
        <v>45784</v>
      </c>
      <c r="T459" s="5" t="b">
        <f ca="1">IFERROR(__xludf.DUMMYFUNCTION("""COMPUTED_VALUE"""),TRUE)</f>
        <v>1</v>
      </c>
      <c r="U459" s="5" t="str">
        <f ca="1">IFERROR(__xludf.DUMMYFUNCTION("""COMPUTED_VALUE"""),"5x3")</f>
        <v>5x3</v>
      </c>
      <c r="V459" s="5">
        <f ca="1">IFERROR(__xludf.DUMMYFUNCTION("""COMPUTED_VALUE"""),30)</f>
        <v>30</v>
      </c>
      <c r="W459" s="5">
        <f ca="1">IFERROR(__xludf.DUMMYFUNCTION("""COMPUTED_VALUE"""),30)</f>
        <v>30</v>
      </c>
      <c r="X459" s="5">
        <f ca="1">IFERROR(__xludf.DUMMYFUNCTION("""COMPUTED_VALUE"""),96)</f>
        <v>96</v>
      </c>
      <c r="Y459" s="5" t="str">
        <f ca="1">IFERROR(__xludf.DUMMYFUNCTION("""COMPUTED_VALUE"""),"Medium")</f>
        <v>Medium</v>
      </c>
      <c r="Z459" s="5">
        <f ca="1">IFERROR(__xludf.DUMMYFUNCTION("""COMPUTED_VALUE"""),36)</f>
        <v>36</v>
      </c>
      <c r="AA459" s="5">
        <f ca="1">IFERROR(__xludf.DUMMYFUNCTION("""COMPUTED_VALUE"""),2000)</f>
        <v>2000</v>
      </c>
      <c r="AB459" s="5"/>
      <c r="AC459" s="5" t="str">
        <f ca="1">IFERROR(__xludf.DUMMYFUNCTION("""COMPUTED_VALUE"""),"Wild Symbol, Scatter, Bonus Game with Free Spins")</f>
        <v>Wild Symbol, Scatter, Bonus Game with Free Spins</v>
      </c>
      <c r="AD459" s="5" t="str">
        <f ca="1">IFERROR(__xludf.DUMMYFUNCTION("""COMPUTED_VALUE"""),"0.20/50")</f>
        <v>0.20/50</v>
      </c>
      <c r="AE459" s="5"/>
      <c r="AF459" s="5"/>
      <c r="AG459" s="10">
        <f ca="1">IFERROR(__xludf.DUMMYFUNCTION("""COMPUTED_VALUE"""),46157.5288310185)</f>
        <v>46157.528831018499</v>
      </c>
      <c r="AH459" s="5"/>
      <c r="AI459" s="5"/>
      <c r="AJ459" s="5"/>
      <c r="AK459" s="5">
        <f ca="1">IFERROR(__xludf.DUMMYFUNCTION("""COMPUTED_VALUE"""),1)</f>
        <v>1</v>
      </c>
      <c r="AL459" s="5" t="str">
        <f ca="1">IFERROR(__xludf.DUMMYFUNCTION("""COMPUTED_VALUE"""),"No")</f>
        <v>No</v>
      </c>
      <c r="AM459" s="5" t="str">
        <f ca="1">IFERROR(__xludf.DUMMYFUNCTION("""COMPUTED_VALUE"""),"No")</f>
        <v>No</v>
      </c>
      <c r="AN459" s="7" t="str">
        <f ca="1">IFERROR(__xludf.DUMMYFUNCTION("""COMPUTED_VALUE"""),"https://static.redstone.rs/games/bonus-stars/")</f>
        <v>https://static.redstone.rs/games/bonus-stars/</v>
      </c>
      <c r="AO459" s="5" t="str">
        <f ca="1">IFERROR(__xludf.DUMMYFUNCTION("""COMPUTED_VALUE"""),"No")</f>
        <v>No</v>
      </c>
      <c r="AP459" s="5" t="str">
        <f ca="1">IFERROR(__xludf.DUMMYFUNCTION("""COMPUTED_VALUE"""),"No")</f>
        <v>No</v>
      </c>
      <c r="AQ459" s="5" t="b">
        <f ca="1">IFERROR(__xludf.DUMMYFUNCTION("""COMPUTED_VALUE"""),TRUE)</f>
        <v>1</v>
      </c>
      <c r="AR459" s="5"/>
      <c r="AS459" s="5" t="str">
        <f ca="1">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AT459" s="5"/>
      <c r="AU459" s="5" t="str">
        <f ca="1">IFERROR(__xludf.DUMMYFUNCTION("""COMPUTED_VALUE"""),"Redstone")</f>
        <v>Redstone</v>
      </c>
      <c r="AV459" s="5"/>
      <c r="AW459" s="5"/>
      <c r="AX459" s="5"/>
      <c r="AY459" s="5"/>
      <c r="AZ459" s="5"/>
      <c r="BA459" s="5"/>
      <c r="BB459" s="5" t="b">
        <f ca="1">IFERROR(__xludf.DUMMYFUNCTION("""COMPUTED_VALUE"""),TRUE)</f>
        <v>1</v>
      </c>
      <c r="BC459" s="5" t="str">
        <f ca="1">IFERROR(__xludf.DUMMYFUNCTION("""COMPUTED_VALUE"""),"Redstone")</f>
        <v>Redstone</v>
      </c>
      <c r="BD459" s="7" t="str">
        <f ca="1">IFERROR(__xludf.DUMMYFUNCTION("""COMPUTED_VALUE"""),"https://static.redstone.rs/games/bonus-stars/")</f>
        <v>https://static.redstone.rs/games/bonus-stars/</v>
      </c>
      <c r="BE459" s="5" t="b">
        <f ca="1">IFERROR(__xludf.DUMMYFUNCTION("""COMPUTED_VALUE"""),TRUE)</f>
        <v>1</v>
      </c>
    </row>
    <row r="460" spans="1:57" x14ac:dyDescent="0.25">
      <c r="A460" s="5">
        <f ca="1">IFERROR(__xludf.DUMMYFUNCTION("""COMPUTED_VALUE"""),483)</f>
        <v>483</v>
      </c>
      <c r="B460" s="5">
        <f ca="1">IFERROR(__xludf.DUMMYFUNCTION("""COMPUTED_VALUE"""),180017)</f>
        <v>180017</v>
      </c>
      <c r="C460" s="5" t="str">
        <f ca="1">IFERROR(__xludf.DUMMYFUNCTION("""COMPUTED_VALUE"""),"Redstone")</f>
        <v>Redstone</v>
      </c>
      <c r="D460" s="5" t="str">
        <f ca="1">IFERROR(__xludf.DUMMYFUNCTION("""COMPUTED_VALUE"""),"5 Star Fire")</f>
        <v>5 Star Fire</v>
      </c>
      <c r="E460" s="5" t="str">
        <f ca="1">IFERROR(__xludf.DUMMYFUNCTION("""COMPUTED_VALUE"""),"Redstone")</f>
        <v>Redstone</v>
      </c>
      <c r="F460" s="5" t="str">
        <f ca="1">IFERROR(__xludf.DUMMYFUNCTION("""COMPUTED_VALUE"""),"Redstone5StarFire")</f>
        <v>Redstone5StarFire</v>
      </c>
      <c r="G460" s="5" t="str">
        <f ca="1">IFERROR(__xludf.DUMMYFUNCTION("""COMPUTED_VALUE"""),"Live")</f>
        <v>Live</v>
      </c>
      <c r="H460" s="5"/>
      <c r="I460" s="5" t="str">
        <f ca="1">IFERROR(__xludf.DUMMYFUNCTION("""COMPUTED_VALUE"""),"Redstone")</f>
        <v>Redstone</v>
      </c>
      <c r="J460" s="5" t="str">
        <f ca="1">IFERROR(__xludf.DUMMYFUNCTION("""COMPUTED_VALUE"""),"JSON")</f>
        <v>JSON</v>
      </c>
      <c r="K460" s="5" t="str">
        <f ca="1">IFERROR(__xludf.DUMMYFUNCTION("""COMPUTED_VALUE"""),"Slot")</f>
        <v>Slot</v>
      </c>
      <c r="L460" s="5" t="str">
        <f ca="1">IFERROR(__xludf.DUMMYFUNCTION("""COMPUTED_VALUE""")," Reskin")</f>
        <v xml:space="preserve"> Reskin</v>
      </c>
      <c r="M460" s="5" t="str">
        <f ca="1">IFERROR(__xludf.DUMMYFUNCTION("""COMPUTED_VALUE"""),"5 Clover Fire")</f>
        <v>5 Clover Fire</v>
      </c>
      <c r="N460" s="7" t="str">
        <f ca="1">IFERROR(__xludf.DUMMYFUNCTION("""COMPUTED_VALUE"""),"https://drive.google.com/file/d/1h60qO101Dh-UU8dwVTfqnDytuQbjlzZh/view?usp=drive_link")</f>
        <v>https://drive.google.com/file/d/1h60qO101Dh-UU8dwVTfqnDytuQbjlzZh/view?usp=drive_link</v>
      </c>
      <c r="O460" s="7" t="str">
        <f ca="1">IFERROR(__xludf.DUMMYFUNCTION("""COMPUTED_VALUE"""),"https://drive.google.com/file/d/1aTMHsD7ChuP1pBEt37vm_24Ec2OmjgzM/view?usp=drive_link")</f>
        <v>https://drive.google.com/file/d/1aTMHsD7ChuP1pBEt37vm_24Ec2OmjgzM/view?usp=drive_link</v>
      </c>
      <c r="P460" s="14">
        <f ca="1">IFERROR(__xludf.DUMMYFUNCTION("""COMPUTED_VALUE"""),9.2)</f>
        <v>9.1999999999999993</v>
      </c>
      <c r="Q460" s="5"/>
      <c r="R460" s="15">
        <f ca="1">IFERROR(__xludf.DUMMYFUNCTION("""COMPUTED_VALUE"""),45783)</f>
        <v>45783</v>
      </c>
      <c r="S460" s="15">
        <f ca="1">IFERROR(__xludf.DUMMYFUNCTION("""COMPUTED_VALUE"""),45790)</f>
        <v>45790</v>
      </c>
      <c r="T460" s="5" t="b">
        <f ca="1">IFERROR(__xludf.DUMMYFUNCTION("""COMPUTED_VALUE"""),TRUE)</f>
        <v>1</v>
      </c>
      <c r="U460" s="5" t="str">
        <f ca="1">IFERROR(__xludf.DUMMYFUNCTION("""COMPUTED_VALUE"""),"5x3")</f>
        <v>5x3</v>
      </c>
      <c r="V460" s="5">
        <f ca="1">IFERROR(__xludf.DUMMYFUNCTION("""COMPUTED_VALUE"""),5)</f>
        <v>5</v>
      </c>
      <c r="W460" s="5">
        <f ca="1">IFERROR(__xludf.DUMMYFUNCTION("""COMPUTED_VALUE"""),5)</f>
        <v>5</v>
      </c>
      <c r="X460" s="5">
        <f ca="1">IFERROR(__xludf.DUMMYFUNCTION("""COMPUTED_VALUE"""),96.45)</f>
        <v>96.45</v>
      </c>
      <c r="Y460" s="5" t="str">
        <f ca="1">IFERROR(__xludf.DUMMYFUNCTION("""COMPUTED_VALUE"""),"Medium")</f>
        <v>Medium</v>
      </c>
      <c r="Z460" s="5">
        <f ca="1">IFERROR(__xludf.DUMMYFUNCTION("""COMPUTED_VALUE"""),14.5)</f>
        <v>14.5</v>
      </c>
      <c r="AA460" s="5">
        <f ca="1">IFERROR(__xludf.DUMMYFUNCTION("""COMPUTED_VALUE"""),1222)</f>
        <v>1222</v>
      </c>
      <c r="AB460" s="5"/>
      <c r="AC460" s="5" t="str">
        <f ca="1">IFERROR(__xludf.DUMMYFUNCTION("""COMPUTED_VALUE"""),"Expanding Wild, Scatter")</f>
        <v>Expanding Wild, Scatter</v>
      </c>
      <c r="AD460" s="5" t="str">
        <f ca="1">IFERROR(__xludf.DUMMYFUNCTION("""COMPUTED_VALUE"""),"0.05/30")</f>
        <v>0.05/30</v>
      </c>
      <c r="AE460" s="5"/>
      <c r="AF460" s="5"/>
      <c r="AG460" s="10">
        <f ca="1">IFERROR(__xludf.DUMMYFUNCTION("""COMPUTED_VALUE"""),46212.4951736111)</f>
        <v>46212.495173611103</v>
      </c>
      <c r="AH460" s="5" t="str">
        <f ca="1">IFERROR(__xludf.DUMMYFUNCTION("""COMPUTED_VALUE"""),"selena.mihajlovic@fazi.rs")</f>
        <v>selena.mihajlovic@fazi.rs</v>
      </c>
      <c r="AI460" s="5"/>
      <c r="AJ460" s="5"/>
      <c r="AK460" s="5">
        <f ca="1">IFERROR(__xludf.DUMMYFUNCTION("""COMPUTED_VALUE"""),1)</f>
        <v>1</v>
      </c>
      <c r="AL460" s="5" t="str">
        <f ca="1">IFERROR(__xludf.DUMMYFUNCTION("""COMPUTED_VALUE"""),"No")</f>
        <v>No</v>
      </c>
      <c r="AM460" s="5" t="str">
        <f ca="1">IFERROR(__xludf.DUMMYFUNCTION("""COMPUTED_VALUE"""),"No")</f>
        <v>No</v>
      </c>
      <c r="AN460" s="7" t="str">
        <f ca="1">IFERROR(__xludf.DUMMYFUNCTION("""COMPUTED_VALUE"""),"https://static.redstone.rs/games/5-star-fire/")</f>
        <v>https://static.redstone.rs/games/5-star-fire/</v>
      </c>
      <c r="AO460" s="5" t="str">
        <f ca="1">IFERROR(__xludf.DUMMYFUNCTION("""COMPUTED_VALUE"""),"No")</f>
        <v>No</v>
      </c>
      <c r="AP460" s="5" t="str">
        <f ca="1">IFERROR(__xludf.DUMMYFUNCTION("""COMPUTED_VALUE"""),"No")</f>
        <v>No</v>
      </c>
      <c r="AQ460" s="5" t="b">
        <f ca="1">IFERROR(__xludf.DUMMYFUNCTION("""COMPUTED_VALUE"""),TRUE)</f>
        <v>1</v>
      </c>
      <c r="AR460" s="5"/>
      <c r="AS460" s="5" t="str">
        <f ca="1">IFERROR(__xludf.DUMMYFUNCTION("""COMPUTED_VALUE"""),"5 Star Fire is a five-line slot with clear mechanics, clear symbols and pure payouts. Spin, play, repeat!")</f>
        <v>5 Star Fire is a five-line slot with clear mechanics, clear symbols and pure payouts. Spin, play, repeat!</v>
      </c>
      <c r="AT460" s="5"/>
      <c r="AU460" s="5" t="str">
        <f ca="1">IFERROR(__xludf.DUMMYFUNCTION("""COMPUTED_VALUE"""),"Redstone")</f>
        <v>Redstone</v>
      </c>
      <c r="AV460" s="5"/>
      <c r="AW460" s="5"/>
      <c r="AX460" s="5"/>
      <c r="AY460" s="5"/>
      <c r="AZ460" s="5"/>
      <c r="BA460" s="5"/>
      <c r="BB460" s="5" t="b">
        <f ca="1">IFERROR(__xludf.DUMMYFUNCTION("""COMPUTED_VALUE"""),TRUE)</f>
        <v>1</v>
      </c>
      <c r="BC460" s="5" t="str">
        <f ca="1">IFERROR(__xludf.DUMMYFUNCTION("""COMPUTED_VALUE"""),"Redstone")</f>
        <v>Redstone</v>
      </c>
      <c r="BD460" s="7" t="str">
        <f ca="1">IFERROR(__xludf.DUMMYFUNCTION("""COMPUTED_VALUE"""),"https://static.redstone.rs/games/5-star-fire/")</f>
        <v>https://static.redstone.rs/games/5-star-fire/</v>
      </c>
      <c r="BE460" s="5" t="b">
        <f ca="1">IFERROR(__xludf.DUMMYFUNCTION("""COMPUTED_VALUE"""),TRUE)</f>
        <v>1</v>
      </c>
    </row>
    <row r="461" spans="1:57" x14ac:dyDescent="0.25">
      <c r="A461" s="5">
        <f ca="1">IFERROR(__xludf.DUMMYFUNCTION("""COMPUTED_VALUE"""),484)</f>
        <v>484</v>
      </c>
      <c r="B461" s="5">
        <f ca="1">IFERROR(__xludf.DUMMYFUNCTION("""COMPUTED_VALUE"""),180034)</f>
        <v>180034</v>
      </c>
      <c r="C461" s="5" t="str">
        <f ca="1">IFERROR(__xludf.DUMMYFUNCTION("""COMPUTED_VALUE"""),"Redstone")</f>
        <v>Redstone</v>
      </c>
      <c r="D461" s="5" t="str">
        <f ca="1">IFERROR(__xludf.DUMMYFUNCTION("""COMPUTED_VALUE"""),"Crush Bonanza")</f>
        <v>Crush Bonanza</v>
      </c>
      <c r="E461" s="5" t="str">
        <f ca="1">IFERROR(__xludf.DUMMYFUNCTION("""COMPUTED_VALUE"""),"Redstone")</f>
        <v>Redstone</v>
      </c>
      <c r="F461" s="5" t="str">
        <f ca="1">IFERROR(__xludf.DUMMYFUNCTION("""COMPUTED_VALUE"""),"RedstoneCrushBonanza")</f>
        <v>RedstoneCrushBonanza</v>
      </c>
      <c r="G461" s="5" t="str">
        <f ca="1">IFERROR(__xludf.DUMMYFUNCTION("""COMPUTED_VALUE"""),"Planned")</f>
        <v>Planned</v>
      </c>
      <c r="H461" s="5"/>
      <c r="I461" s="5" t="str">
        <f ca="1">IFERROR(__xludf.DUMMYFUNCTION("""COMPUTED_VALUE"""),"Redstone")</f>
        <v>Redstone</v>
      </c>
      <c r="J461" s="5" t="str">
        <f ca="1">IFERROR(__xludf.DUMMYFUNCTION("""COMPUTED_VALUE"""),"JSON")</f>
        <v>JSON</v>
      </c>
      <c r="K461" s="5" t="str">
        <f ca="1">IFERROR(__xludf.DUMMYFUNCTION("""COMPUTED_VALUE"""),"Slot")</f>
        <v>Slot</v>
      </c>
      <c r="L461" s="5"/>
      <c r="M461" s="5"/>
      <c r="N461" s="5"/>
      <c r="O461" s="5"/>
      <c r="P461" s="5"/>
      <c r="Q461" s="5"/>
      <c r="R461" s="5"/>
      <c r="S461" s="5"/>
      <c r="T461" s="5" t="b">
        <f ca="1">IFERROR(__xludf.DUMMYFUNCTION("""COMPUTED_VALUE"""),FALSE)</f>
        <v>0</v>
      </c>
      <c r="U461" s="5"/>
      <c r="V461" s="5"/>
      <c r="W461" s="5"/>
      <c r="X461" s="5"/>
      <c r="Y461" s="5"/>
      <c r="Z461" s="5"/>
      <c r="AA461" s="5"/>
      <c r="AB461" s="5"/>
      <c r="AC461" s="5"/>
      <c r="AD461" s="5"/>
      <c r="AE461" s="5"/>
      <c r="AF461" s="5"/>
      <c r="AG461" s="10">
        <f ca="1">IFERROR(__xludf.DUMMYFUNCTION("""COMPUTED_VALUE"""),45880.4643518518)</f>
        <v>45880.464351851799</v>
      </c>
      <c r="AH461" s="5" t="str">
        <f ca="1">IFERROR(__xludf.DUMMYFUNCTION("""COMPUTED_VALUE"""),"aleksandra.pesic@fazi.rs")</f>
        <v>aleksandra.pesic@fazi.rs</v>
      </c>
      <c r="AI461" s="5"/>
      <c r="AJ461" s="5"/>
      <c r="AK461" s="5"/>
      <c r="AL461" s="5"/>
      <c r="AM461" s="5"/>
      <c r="AN461" s="5"/>
      <c r="AO461" s="5"/>
      <c r="AP461" s="5"/>
      <c r="AQ461" s="5"/>
      <c r="AR461" s="5"/>
      <c r="AS461" s="5"/>
      <c r="AT461" s="5"/>
      <c r="AU461" s="5"/>
      <c r="AV461" s="5"/>
      <c r="AW461" s="5"/>
      <c r="AX461" s="5"/>
      <c r="AY461" s="5"/>
      <c r="AZ461" s="5"/>
      <c r="BA461" s="5" t="str">
        <f ca="1">IFERROR(__xludf.DUMMYFUNCTION("""COMPUTED_VALUE"""),"")</f>
        <v/>
      </c>
      <c r="BB461" s="5"/>
      <c r="BC461" s="5" t="str">
        <f ca="1">IFERROR(__xludf.DUMMYFUNCTION("""COMPUTED_VALUE"""),"Redstone")</f>
        <v>Redstone</v>
      </c>
      <c r="BD461" s="5"/>
      <c r="BE461" s="5"/>
    </row>
    <row r="462" spans="1:57" x14ac:dyDescent="0.25">
      <c r="A462" s="5">
        <f ca="1">IFERROR(__xludf.DUMMYFUNCTION("""COMPUTED_VALUE"""),485)</f>
        <v>485</v>
      </c>
      <c r="B462" s="5">
        <f ca="1">IFERROR(__xludf.DUMMYFUNCTION("""COMPUTED_VALUE"""),180031)</f>
        <v>180031</v>
      </c>
      <c r="C462" s="5" t="str">
        <f ca="1">IFERROR(__xludf.DUMMYFUNCTION("""COMPUTED_VALUE"""),"Redstone")</f>
        <v>Redstone</v>
      </c>
      <c r="D462" s="5" t="str">
        <f ca="1">IFERROR(__xludf.DUMMYFUNCTION("""COMPUTED_VALUE"""),"Sticky Brilliants")</f>
        <v>Sticky Brilliants</v>
      </c>
      <c r="E462" s="5" t="str">
        <f ca="1">IFERROR(__xludf.DUMMYFUNCTION("""COMPUTED_VALUE"""),"Redstone")</f>
        <v>Redstone</v>
      </c>
      <c r="F462" s="5" t="str">
        <f ca="1">IFERROR(__xludf.DUMMYFUNCTION("""COMPUTED_VALUE"""),"RedstoneStickyBrilliants")</f>
        <v>RedstoneStickyBrilliants</v>
      </c>
      <c r="G462" s="5" t="str">
        <f ca="1">IFERROR(__xludf.DUMMYFUNCTION("""COMPUTED_VALUE"""),"Planned")</f>
        <v>Planned</v>
      </c>
      <c r="H462" s="5"/>
      <c r="I462" s="5" t="str">
        <f ca="1">IFERROR(__xludf.DUMMYFUNCTION("""COMPUTED_VALUE"""),"Redstone")</f>
        <v>Redstone</v>
      </c>
      <c r="J462" s="5" t="str">
        <f ca="1">IFERROR(__xludf.DUMMYFUNCTION("""COMPUTED_VALUE"""),"JSON")</f>
        <v>JSON</v>
      </c>
      <c r="K462" s="5" t="str">
        <f ca="1">IFERROR(__xludf.DUMMYFUNCTION("""COMPUTED_VALUE"""),"Slot")</f>
        <v>Slot</v>
      </c>
      <c r="L462" s="5"/>
      <c r="M462" s="5"/>
      <c r="N462" s="5"/>
      <c r="O462" s="5"/>
      <c r="P462" s="5"/>
      <c r="Q462" s="5"/>
      <c r="R462" s="15">
        <f ca="1">IFERROR(__xludf.DUMMYFUNCTION("""COMPUTED_VALUE"""),45887)</f>
        <v>45887</v>
      </c>
      <c r="S462" s="5"/>
      <c r="T462" s="5" t="b">
        <f ca="1">IFERROR(__xludf.DUMMYFUNCTION("""COMPUTED_VALUE"""),FALSE)</f>
        <v>0</v>
      </c>
      <c r="U462" s="5"/>
      <c r="V462" s="5"/>
      <c r="W462" s="5"/>
      <c r="X462" s="5"/>
      <c r="Y462" s="5"/>
      <c r="Z462" s="5"/>
      <c r="AA462" s="5"/>
      <c r="AB462" s="5"/>
      <c r="AC462" s="5"/>
      <c r="AD462" s="5"/>
      <c r="AE462" s="5"/>
      <c r="AF462" s="5"/>
      <c r="AG462" s="10">
        <f ca="1">IFERROR(__xludf.DUMMYFUNCTION("""COMPUTED_VALUE"""),45859.5912847222)</f>
        <v>45859.591284722199</v>
      </c>
      <c r="AH462" s="5" t="str">
        <f ca="1">IFERROR(__xludf.DUMMYFUNCTION("""COMPUTED_VALUE"""),"iva.cirkovic@fazi.rs")</f>
        <v>iva.cirkovic@fazi.rs</v>
      </c>
      <c r="AI462" s="5"/>
      <c r="AJ462" s="5"/>
      <c r="AK462" s="5"/>
      <c r="AL462" s="5"/>
      <c r="AM462" s="5"/>
      <c r="AN462" s="5"/>
      <c r="AO462" s="5"/>
      <c r="AP462" s="5"/>
      <c r="AQ462" s="5"/>
      <c r="AR462" s="5"/>
      <c r="AS462" s="5"/>
      <c r="AT462" s="5"/>
      <c r="AU462" s="5"/>
      <c r="AV462" s="5"/>
      <c r="AW462" s="5"/>
      <c r="AX462" s="5"/>
      <c r="AY462" s="5"/>
      <c r="AZ462" s="5"/>
      <c r="BA462" s="5" t="str">
        <f ca="1">IFERROR(__xludf.DUMMYFUNCTION("""COMPUTED_VALUE"""),"")</f>
        <v/>
      </c>
      <c r="BB462" s="5"/>
      <c r="BC462" s="5" t="str">
        <f ca="1">IFERROR(__xludf.DUMMYFUNCTION("""COMPUTED_VALUE"""),"Redstone")</f>
        <v>Redstone</v>
      </c>
      <c r="BD462" s="5"/>
      <c r="BE462" s="5"/>
    </row>
    <row r="463" spans="1:57" x14ac:dyDescent="0.25">
      <c r="A463" s="5">
        <f ca="1">IFERROR(__xludf.DUMMYFUNCTION("""COMPUTED_VALUE"""),486)</f>
        <v>486</v>
      </c>
      <c r="B463" s="5">
        <f ca="1">IFERROR(__xludf.DUMMYFUNCTION("""COMPUTED_VALUE"""),180022)</f>
        <v>180022</v>
      </c>
      <c r="C463" s="5" t="str">
        <f ca="1">IFERROR(__xludf.DUMMYFUNCTION("""COMPUTED_VALUE"""),"Redstone")</f>
        <v>Redstone</v>
      </c>
      <c r="D463" s="5" t="str">
        <f ca="1">IFERROR(__xludf.DUMMYFUNCTION("""COMPUTED_VALUE"""),"Book of Mystic")</f>
        <v>Book of Mystic</v>
      </c>
      <c r="E463" s="5" t="str">
        <f ca="1">IFERROR(__xludf.DUMMYFUNCTION("""COMPUTED_VALUE"""),"Redstone")</f>
        <v>Redstone</v>
      </c>
      <c r="F463" s="5" t="str">
        <f ca="1">IFERROR(__xludf.DUMMYFUNCTION("""COMPUTED_VALUE"""),"RedstoneBookOfMystic")</f>
        <v>RedstoneBookOfMystic</v>
      </c>
      <c r="G463" s="5" t="str">
        <f ca="1">IFERROR(__xludf.DUMMYFUNCTION("""COMPUTED_VALUE"""),"Planned")</f>
        <v>Planned</v>
      </c>
      <c r="H463" s="5"/>
      <c r="I463" s="5" t="str">
        <f ca="1">IFERROR(__xludf.DUMMYFUNCTION("""COMPUTED_VALUE"""),"Redstone")</f>
        <v>Redstone</v>
      </c>
      <c r="J463" s="5" t="str">
        <f ca="1">IFERROR(__xludf.DUMMYFUNCTION("""COMPUTED_VALUE"""),"JSON")</f>
        <v>JSON</v>
      </c>
      <c r="K463" s="5"/>
      <c r="L463" s="5"/>
      <c r="M463" s="5"/>
      <c r="N463" s="5"/>
      <c r="O463" s="5"/>
      <c r="P463" s="5"/>
      <c r="Q463" s="5"/>
      <c r="R463" s="15">
        <f ca="1">IFERROR(__xludf.DUMMYFUNCTION("""COMPUTED_VALUE"""),45825)</f>
        <v>45825</v>
      </c>
      <c r="S463" s="5"/>
      <c r="T463" s="5" t="b">
        <f ca="1">IFERROR(__xludf.DUMMYFUNCTION("""COMPUTED_VALUE"""),FALSE)</f>
        <v>0</v>
      </c>
      <c r="U463" s="5"/>
      <c r="V463" s="5"/>
      <c r="W463" s="5"/>
      <c r="X463" s="5"/>
      <c r="Y463" s="5"/>
      <c r="Z463" s="5"/>
      <c r="AA463" s="5"/>
      <c r="AB463" s="5"/>
      <c r="AC463" s="5"/>
      <c r="AD463" s="5"/>
      <c r="AE463" s="5"/>
      <c r="AF463" s="5"/>
      <c r="AG463" s="10">
        <f ca="1">IFERROR(__xludf.DUMMYFUNCTION("""COMPUTED_VALUE"""),45831.535625)</f>
        <v>45831.535624999997</v>
      </c>
      <c r="AH463" s="5" t="str">
        <f ca="1">IFERROR(__xludf.DUMMYFUNCTION("""COMPUTED_VALUE"""),"danica.stojanovic@fazi.rs")</f>
        <v>danica.stojanovic@fazi.rs</v>
      </c>
      <c r="AI463" s="5"/>
      <c r="AJ463" s="5"/>
      <c r="AK463" s="5"/>
      <c r="AL463" s="5"/>
      <c r="AM463" s="5"/>
      <c r="AN463" s="5"/>
      <c r="AO463" s="5"/>
      <c r="AP463" s="5"/>
      <c r="AQ463" s="5"/>
      <c r="AR463" s="5"/>
      <c r="AS463" s="5"/>
      <c r="AT463" s="5"/>
      <c r="AU463" s="5"/>
      <c r="AV463" s="5"/>
      <c r="AW463" s="5"/>
      <c r="AX463" s="5"/>
      <c r="AY463" s="5"/>
      <c r="AZ463" s="5"/>
      <c r="BA463" s="5" t="str">
        <f ca="1">IFERROR(__xludf.DUMMYFUNCTION("""COMPUTED_VALUE"""),"")</f>
        <v/>
      </c>
      <c r="BB463" s="5"/>
      <c r="BC463" s="5" t="str">
        <f ca="1">IFERROR(__xludf.DUMMYFUNCTION("""COMPUTED_VALUE"""),"Redstone")</f>
        <v>Redstone</v>
      </c>
      <c r="BD463" s="5"/>
      <c r="BE463" s="5"/>
    </row>
    <row r="464" spans="1:57" x14ac:dyDescent="0.25">
      <c r="A464" s="5">
        <f ca="1">IFERROR(__xludf.DUMMYFUNCTION("""COMPUTED_VALUE"""),488)</f>
        <v>488</v>
      </c>
      <c r="B464" s="5">
        <f ca="1">IFERROR(__xludf.DUMMYFUNCTION("""COMPUTED_VALUE"""),180018)</f>
        <v>180018</v>
      </c>
      <c r="C464" s="5" t="str">
        <f ca="1">IFERROR(__xludf.DUMMYFUNCTION("""COMPUTED_VALUE"""),"Redstone")</f>
        <v>Redstone</v>
      </c>
      <c r="D464" s="5" t="str">
        <f ca="1">IFERROR(__xludf.DUMMYFUNCTION("""COMPUTED_VALUE"""),"Clover Drop")</f>
        <v>Clover Drop</v>
      </c>
      <c r="E464" s="5" t="str">
        <f ca="1">IFERROR(__xludf.DUMMYFUNCTION("""COMPUTED_VALUE"""),"Redstone")</f>
        <v>Redstone</v>
      </c>
      <c r="F464" s="5" t="str">
        <f ca="1">IFERROR(__xludf.DUMMYFUNCTION("""COMPUTED_VALUE"""),"RedstoneCloverDrop")</f>
        <v>RedstoneCloverDrop</v>
      </c>
      <c r="G464" s="5" t="str">
        <f ca="1">IFERROR(__xludf.DUMMYFUNCTION("""COMPUTED_VALUE"""),"Live")</f>
        <v>Live</v>
      </c>
      <c r="H464" s="5"/>
      <c r="I464" s="5" t="str">
        <f ca="1">IFERROR(__xludf.DUMMYFUNCTION("""COMPUTED_VALUE"""),"Redstone")</f>
        <v>Redstone</v>
      </c>
      <c r="J464" s="5" t="str">
        <f ca="1">IFERROR(__xludf.DUMMYFUNCTION("""COMPUTED_VALUE"""),"JSON")</f>
        <v>JSON</v>
      </c>
      <c r="K464" s="5" t="str">
        <f ca="1">IFERROR(__xludf.DUMMYFUNCTION("""COMPUTED_VALUE"""),"Slot")</f>
        <v>Slot</v>
      </c>
      <c r="L464" s="5" t="str">
        <f ca="1">IFERROR(__xludf.DUMMYFUNCTION("""COMPUTED_VALUE"""),"Master")</f>
        <v>Master</v>
      </c>
      <c r="M464" s="5"/>
      <c r="N464" s="7" t="str">
        <f ca="1">IFERROR(__xludf.DUMMYFUNCTION("""COMPUTED_VALUE"""),"https://drive.google.com/file/d/1KpdYiCmVfigVnXOC9uMf7jQVuYIILwMl/view?usp=drive_link")</f>
        <v>https://drive.google.com/file/d/1KpdYiCmVfigVnXOC9uMf7jQVuYIILwMl/view?usp=drive_link</v>
      </c>
      <c r="O464" s="7" t="str">
        <f ca="1">IFERROR(__xludf.DUMMYFUNCTION("""COMPUTED_VALUE"""),"https://drive.google.com/file/d/1kYwrHltkbiRkd1GIHWbjvR1fTvCX6lKX/view?usp=drive_link")</f>
        <v>https://drive.google.com/file/d/1kYwrHltkbiRkd1GIHWbjvR1fTvCX6lKX/view?usp=drive_link</v>
      </c>
      <c r="P464" s="14">
        <f ca="1">IFERROR(__xludf.DUMMYFUNCTION("""COMPUTED_VALUE"""),9)</f>
        <v>9</v>
      </c>
      <c r="Q464" s="5"/>
      <c r="R464" s="15">
        <f ca="1">IFERROR(__xludf.DUMMYFUNCTION("""COMPUTED_VALUE"""),45791)</f>
        <v>45791</v>
      </c>
      <c r="S464" s="15">
        <f ca="1">IFERROR(__xludf.DUMMYFUNCTION("""COMPUTED_VALUE"""),45798)</f>
        <v>45798</v>
      </c>
      <c r="T464" s="5" t="b">
        <f ca="1">IFERROR(__xludf.DUMMYFUNCTION("""COMPUTED_VALUE"""),TRUE)</f>
        <v>1</v>
      </c>
      <c r="U464" s="5" t="str">
        <f ca="1">IFERROR(__xludf.DUMMYFUNCTION("""COMPUTED_VALUE"""),"5x5")</f>
        <v>5x5</v>
      </c>
      <c r="V464" s="5">
        <f ca="1">IFERROR(__xludf.DUMMYFUNCTION("""COMPUTED_VALUE"""),15)</f>
        <v>15</v>
      </c>
      <c r="W464" s="5">
        <f ca="1">IFERROR(__xludf.DUMMYFUNCTION("""COMPUTED_VALUE"""),15)</f>
        <v>15</v>
      </c>
      <c r="X464" s="5">
        <f ca="1">IFERROR(__xludf.DUMMYFUNCTION("""COMPUTED_VALUE"""),96.08)</f>
        <v>96.08</v>
      </c>
      <c r="Y464" s="5" t="str">
        <f ca="1">IFERROR(__xludf.DUMMYFUNCTION("""COMPUTED_VALUE"""),"Medium")</f>
        <v>Medium</v>
      </c>
      <c r="Z464" s="5">
        <f ca="1">IFERROR(__xludf.DUMMYFUNCTION("""COMPUTED_VALUE"""),16.62)</f>
        <v>16.62</v>
      </c>
      <c r="AA464" s="5">
        <f ca="1">IFERROR(__xludf.DUMMYFUNCTION("""COMPUTED_VALUE"""),6100)</f>
        <v>6100</v>
      </c>
      <c r="AB464" s="5"/>
      <c r="AC464" s="5" t="str">
        <f ca="1">IFERROR(__xludf.DUMMYFUNCTION("""COMPUTED_VALUE"""),"Expanding Wild")</f>
        <v>Expanding Wild</v>
      </c>
      <c r="AD464" s="5" t="str">
        <f ca="1">IFERROR(__xludf.DUMMYFUNCTION("""COMPUTED_VALUE"""),"2/50")</f>
        <v>2/50</v>
      </c>
      <c r="AE464" s="5"/>
      <c r="AF464" s="5"/>
      <c r="AG464" s="10">
        <f ca="1">IFERROR(__xludf.DUMMYFUNCTION("""COMPUTED_VALUE"""),46212.5569907407)</f>
        <v>46212.556990740697</v>
      </c>
      <c r="AH464" s="5" t="str">
        <f ca="1">IFERROR(__xludf.DUMMYFUNCTION("""COMPUTED_VALUE"""),"selena.mihajlovic@fazi.rs")</f>
        <v>selena.mihajlovic@fazi.rs</v>
      </c>
      <c r="AI464" s="5"/>
      <c r="AJ464" s="5"/>
      <c r="AK464" s="5">
        <f ca="1">IFERROR(__xludf.DUMMYFUNCTION("""COMPUTED_VALUE"""),1)</f>
        <v>1</v>
      </c>
      <c r="AL464" s="5" t="str">
        <f ca="1">IFERROR(__xludf.DUMMYFUNCTION("""COMPUTED_VALUE"""),"No")</f>
        <v>No</v>
      </c>
      <c r="AM464" s="5" t="str">
        <f ca="1">IFERROR(__xludf.DUMMYFUNCTION("""COMPUTED_VALUE"""),"No")</f>
        <v>No</v>
      </c>
      <c r="AN464" s="7" t="str">
        <f ca="1">IFERROR(__xludf.DUMMYFUNCTION("""COMPUTED_VALUE"""),"https://static.redstone.rs/games/clover-drop/")</f>
        <v>https://static.redstone.rs/games/clover-drop/</v>
      </c>
      <c r="AO464" s="5" t="str">
        <f ca="1">IFERROR(__xludf.DUMMYFUNCTION("""COMPUTED_VALUE"""),"No")</f>
        <v>No</v>
      </c>
      <c r="AP464" s="5" t="str">
        <f ca="1">IFERROR(__xludf.DUMMYFUNCTION("""COMPUTED_VALUE"""),"No")</f>
        <v>No</v>
      </c>
      <c r="AQ464" s="5" t="b">
        <f ca="1">IFERROR(__xludf.DUMMYFUNCTION("""COMPUTED_VALUE"""),TRUE)</f>
        <v>1</v>
      </c>
      <c r="AR464" s="5"/>
      <c r="AS464" s="5" t="str">
        <f ca="1">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AT464" s="5"/>
      <c r="AU464" s="5" t="str">
        <f ca="1">IFERROR(__xludf.DUMMYFUNCTION("""COMPUTED_VALUE"""),"Redstone")</f>
        <v>Redstone</v>
      </c>
      <c r="AV464" s="5"/>
      <c r="AW464" s="5"/>
      <c r="AX464" s="5"/>
      <c r="AY464" s="5"/>
      <c r="AZ464" s="5"/>
      <c r="BA464" s="5"/>
      <c r="BB464" s="5" t="b">
        <f ca="1">IFERROR(__xludf.DUMMYFUNCTION("""COMPUTED_VALUE"""),TRUE)</f>
        <v>1</v>
      </c>
      <c r="BC464" s="5" t="str">
        <f ca="1">IFERROR(__xludf.DUMMYFUNCTION("""COMPUTED_VALUE"""),"Redstone")</f>
        <v>Redstone</v>
      </c>
      <c r="BD464" s="7" t="str">
        <f ca="1">IFERROR(__xludf.DUMMYFUNCTION("""COMPUTED_VALUE"""),"https://static.redstone.rs/games/clover-drop/")</f>
        <v>https://static.redstone.rs/games/clover-drop/</v>
      </c>
      <c r="BE464" s="5" t="b">
        <f ca="1">IFERROR(__xludf.DUMMYFUNCTION("""COMPUTED_VALUE"""),TRUE)</f>
        <v>1</v>
      </c>
    </row>
    <row r="465" spans="1:57" x14ac:dyDescent="0.25">
      <c r="A465" s="5">
        <f ca="1">IFERROR(__xludf.DUMMYFUNCTION("""COMPUTED_VALUE"""),489)</f>
        <v>489</v>
      </c>
      <c r="B465" s="5">
        <f ca="1">IFERROR(__xludf.DUMMYFUNCTION("""COMPUTED_VALUE"""),405)</f>
        <v>405</v>
      </c>
      <c r="C465" s="5" t="str">
        <f ca="1">IFERROR(__xludf.DUMMYFUNCTION("""COMPUTED_VALUE"""),"Playnet")</f>
        <v>Playnet</v>
      </c>
      <c r="D465" s="5" t="str">
        <f ca="1">IFERROR(__xludf.DUMMYFUNCTION("""COMPUTED_VALUE"""),"Clover Spread 40")</f>
        <v>Clover Spread 40</v>
      </c>
      <c r="E465" s="5" t="str">
        <f ca="1">IFERROR(__xludf.DUMMYFUNCTION("""COMPUTED_VALUE"""),"V4-2")</f>
        <v>V4-2</v>
      </c>
      <c r="F465" s="5" t="str">
        <f ca="1">IFERROR(__xludf.DUMMYFUNCTION("""COMPUTED_VALUE"""),"PlayNetCloverSpread40")</f>
        <v>PlayNetCloverSpread40</v>
      </c>
      <c r="G465" s="5" t="str">
        <f ca="1">IFERROR(__xludf.DUMMYFUNCTION("""COMPUTED_VALUE"""),"Live")</f>
        <v>Live</v>
      </c>
      <c r="H465" s="5"/>
      <c r="I465" s="5"/>
      <c r="J465" s="5" t="str">
        <f ca="1">IFERROR(__xludf.DUMMYFUNCTION("""COMPUTED_VALUE"""),"JSON")</f>
        <v>JSON</v>
      </c>
      <c r="K465" s="5" t="str">
        <f ca="1">IFERROR(__xludf.DUMMYFUNCTION("""COMPUTED_VALUE"""),"Slot")</f>
        <v>Slot</v>
      </c>
      <c r="L465" s="5" t="str">
        <f ca="1">IFERROR(__xludf.DUMMYFUNCTION("""COMPUTED_VALUE""")," Reskin")</f>
        <v xml:space="preserve"> Reskin</v>
      </c>
      <c r="M465" s="5" t="str">
        <f ca="1">IFERROR(__xludf.DUMMYFUNCTION("""COMPUTED_VALUE"""),"Wild Hot 40 Blow")</f>
        <v>Wild Hot 40 Blow</v>
      </c>
      <c r="N465" s="5"/>
      <c r="O465" s="5"/>
      <c r="P465" s="14">
        <f ca="1">IFERROR(__xludf.DUMMYFUNCTION("""COMPUTED_VALUE"""),6.7)</f>
        <v>6.7</v>
      </c>
      <c r="Q465" s="5"/>
      <c r="R465" s="15">
        <f ca="1">IFERROR(__xludf.DUMMYFUNCTION("""COMPUTED_VALUE"""),45756)</f>
        <v>45756</v>
      </c>
      <c r="S465" s="15">
        <f ca="1">IFERROR(__xludf.DUMMYFUNCTION("""COMPUTED_VALUE"""),45763)</f>
        <v>45763</v>
      </c>
      <c r="T465" s="5" t="b">
        <f ca="1">IFERROR(__xludf.DUMMYFUNCTION("""COMPUTED_VALUE"""),TRUE)</f>
        <v>1</v>
      </c>
      <c r="U465" s="5" t="str">
        <f ca="1">IFERROR(__xludf.DUMMYFUNCTION("""COMPUTED_VALUE"""),"5x4")</f>
        <v>5x4</v>
      </c>
      <c r="V465" s="5">
        <f ca="1">IFERROR(__xludf.DUMMYFUNCTION("""COMPUTED_VALUE"""),40)</f>
        <v>40</v>
      </c>
      <c r="W465" s="5">
        <f ca="1">IFERROR(__xludf.DUMMYFUNCTION("""COMPUTED_VALUE"""),40)</f>
        <v>40</v>
      </c>
      <c r="X465" s="5">
        <f ca="1">IFERROR(__xludf.DUMMYFUNCTION("""COMPUTED_VALUE"""),96.268)</f>
        <v>96.268000000000001</v>
      </c>
      <c r="Y465" s="5" t="str">
        <f ca="1">IFERROR(__xludf.DUMMYFUNCTION("""COMPUTED_VALUE"""),"Medium")</f>
        <v>Medium</v>
      </c>
      <c r="Z465" s="5">
        <f ca="1">IFERROR(__xludf.DUMMYFUNCTION("""COMPUTED_VALUE"""),13.875)</f>
        <v>13.875</v>
      </c>
      <c r="AA465" s="5">
        <f ca="1">IFERROR(__xludf.DUMMYFUNCTION("""COMPUTED_VALUE"""),1000)</f>
        <v>1000</v>
      </c>
      <c r="AB465" s="5"/>
      <c r="AC465" s="5" t="str">
        <f ca="1">IFERROR(__xludf.DUMMYFUNCTION("""COMPUTED_VALUE"""),"Scatter, Exploding Wild")</f>
        <v>Scatter, Exploding Wild</v>
      </c>
      <c r="AD465" s="5" t="str">
        <f ca="1">IFERROR(__xludf.DUMMYFUNCTION("""COMPUTED_VALUE"""),"0.4/60")</f>
        <v>0.4/60</v>
      </c>
      <c r="AE465" s="5"/>
      <c r="AF465" s="5"/>
      <c r="AG465" s="10">
        <f ca="1">IFERROR(__xludf.DUMMYFUNCTION("""COMPUTED_VALUE"""),46220.502037037)</f>
        <v>46220.502037036997</v>
      </c>
      <c r="AH465" s="5" t="str">
        <f ca="1">IFERROR(__xludf.DUMMYFUNCTION("""COMPUTED_VALUE"""),"selena.mihajlovic@fazi.rs")</f>
        <v>selena.mihajlovic@fazi.rs</v>
      </c>
      <c r="AI465" s="5"/>
      <c r="AJ465" s="5"/>
      <c r="AK465" s="5">
        <f ca="1">IFERROR(__xludf.DUMMYFUNCTION("""COMPUTED_VALUE"""),40)</f>
        <v>40</v>
      </c>
      <c r="AL465" s="5" t="str">
        <f ca="1">IFERROR(__xludf.DUMMYFUNCTION("""COMPUTED_VALUE"""),"No")</f>
        <v>No</v>
      </c>
      <c r="AM465" s="5" t="str">
        <f ca="1">IFERROR(__xludf.DUMMYFUNCTION("""COMPUTED_VALUE"""),"No")</f>
        <v>No</v>
      </c>
      <c r="AN465" s="7" t="str">
        <f ca="1">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AO465" s="5" t="str">
        <f ca="1">IFERROR(__xludf.DUMMYFUNCTION("""COMPUTED_VALUE"""),"No")</f>
        <v>No</v>
      </c>
      <c r="AP465" s="5" t="str">
        <f ca="1">IFERROR(__xludf.DUMMYFUNCTION("""COMPUTED_VALUE"""),"No")</f>
        <v>No</v>
      </c>
      <c r="AQ465" s="5" t="b">
        <f ca="1">IFERROR(__xludf.DUMMYFUNCTION("""COMPUTED_VALUE"""),TRUE)</f>
        <v>1</v>
      </c>
      <c r="AR465" s="5"/>
      <c r="AS465" s="5" t="str">
        <f ca="1">IFERROR(__xludf.DUMMYFUNCTION("""COMPUTED_VALUE"""),"One wild is all it takes! In Clover Spread 40 every wild expands to cover more space, bringing bigger chances to win!")</f>
        <v>One wild is all it takes! In Clover Spread 40 every wild expands to cover more space, bringing bigger chances to win!</v>
      </c>
      <c r="AT465" s="5"/>
      <c r="AU465" s="5" t="str">
        <f ca="1">IFERROR(__xludf.DUMMYFUNCTION("""COMPUTED_VALUE"""),"Fazi")</f>
        <v>Fazi</v>
      </c>
      <c r="AV465" s="5"/>
      <c r="AW465" s="5"/>
      <c r="AX465" s="5"/>
      <c r="AY465" s="5"/>
      <c r="AZ465" s="5"/>
      <c r="BA465" s="5"/>
      <c r="BB465" s="5" t="b">
        <f ca="1">IFERROR(__xludf.DUMMYFUNCTION("""COMPUTED_VALUE"""),TRUE)</f>
        <v>1</v>
      </c>
      <c r="BC465" s="5" t="str">
        <f ca="1">IFERROR(__xludf.DUMMYFUNCTION("""COMPUTED_VALUE"""),"Playnet")</f>
        <v>Playnet</v>
      </c>
      <c r="BD465" s="7" t="str">
        <f ca="1">IFERROR(__xludf.DUMMYFUNCTION("""COMPUTED_VALUE"""),"https://gameserver-store-client-area.orbionlimited.com/Home/IntegrationGameLaunch/client-area?moneyType=0&amp;gameName=PlayNetCloverSpread40&amp;platform=desktop&amp;languageCode=eng&amp;currency=EUR")</f>
        <v>https://gameserver-store-client-area.orbionlimited.com/Home/IntegrationGameLaunch/client-area?moneyType=0&amp;gameName=PlayNetCloverSpread40&amp;platform=desktop&amp;languageCode=eng&amp;currency=EUR</v>
      </c>
      <c r="BE465" s="5" t="b">
        <f ca="1">IFERROR(__xludf.DUMMYFUNCTION("""COMPUTED_VALUE"""),TRUE)</f>
        <v>1</v>
      </c>
    </row>
    <row r="466" spans="1:57" x14ac:dyDescent="0.25">
      <c r="A466" s="5">
        <f ca="1">IFERROR(__xludf.DUMMYFUNCTION("""COMPUTED_VALUE"""),490)</f>
        <v>490</v>
      </c>
      <c r="B466" s="5">
        <f ca="1">IFERROR(__xludf.DUMMYFUNCTION("""COMPUTED_VALUE"""),408)</f>
        <v>408</v>
      </c>
      <c r="C466" s="5" t="str">
        <f ca="1">IFERROR(__xludf.DUMMYFUNCTION("""COMPUTED_VALUE"""),"Playnet")</f>
        <v>Playnet</v>
      </c>
      <c r="D466" s="5" t="str">
        <f ca="1">IFERROR(__xludf.DUMMYFUNCTION("""COMPUTED_VALUE"""),"Majestic Crown x2")</f>
        <v>Majestic Crown x2</v>
      </c>
      <c r="E466" s="5" t="str">
        <f ca="1">IFERROR(__xludf.DUMMYFUNCTION("""COMPUTED_VALUE"""),"V4-2")</f>
        <v>V4-2</v>
      </c>
      <c r="F466" s="5" t="str">
        <f ca="1">IFERROR(__xludf.DUMMYFUNCTION("""COMPUTED_VALUE"""),"PlayNetMajesticCrownX2")</f>
        <v>PlayNetMajesticCrownX2</v>
      </c>
      <c r="G466" s="5" t="str">
        <f ca="1">IFERROR(__xludf.DUMMYFUNCTION("""COMPUTED_VALUE"""),"Live")</f>
        <v>Live</v>
      </c>
      <c r="H466" s="5"/>
      <c r="I466" s="5"/>
      <c r="J466" s="5" t="str">
        <f ca="1">IFERROR(__xludf.DUMMYFUNCTION("""COMPUTED_VALUE"""),"JSON")</f>
        <v>JSON</v>
      </c>
      <c r="K466" s="5" t="str">
        <f ca="1">IFERROR(__xludf.DUMMYFUNCTION("""COMPUTED_VALUE"""),"Slot")</f>
        <v>Slot</v>
      </c>
      <c r="L466" s="5" t="str">
        <f ca="1">IFERROR(__xludf.DUMMYFUNCTION("""COMPUTED_VALUE""")," Reskin")</f>
        <v xml:space="preserve"> Reskin</v>
      </c>
      <c r="M466" s="5" t="str">
        <f ca="1">IFERROR(__xludf.DUMMYFUNCTION("""COMPUTED_VALUE"""),"Very Hot 5 Extreme")</f>
        <v>Very Hot 5 Extreme</v>
      </c>
      <c r="N466" s="5"/>
      <c r="O466" s="5"/>
      <c r="P466" s="14">
        <f ca="1">IFERROR(__xludf.DUMMYFUNCTION("""COMPUTED_VALUE"""),7.1)</f>
        <v>7.1</v>
      </c>
      <c r="Q466" s="5"/>
      <c r="R466" s="15">
        <f ca="1">IFERROR(__xludf.DUMMYFUNCTION("""COMPUTED_VALUE"""),45770)</f>
        <v>45770</v>
      </c>
      <c r="S466" s="15">
        <f ca="1">IFERROR(__xludf.DUMMYFUNCTION("""COMPUTED_VALUE"""),45777)</f>
        <v>45777</v>
      </c>
      <c r="T466" s="5" t="b">
        <f ca="1">IFERROR(__xludf.DUMMYFUNCTION("""COMPUTED_VALUE"""),TRUE)</f>
        <v>1</v>
      </c>
      <c r="U466" s="5" t="str">
        <f ca="1">IFERROR(__xludf.DUMMYFUNCTION("""COMPUTED_VALUE"""),"5x3")</f>
        <v>5x3</v>
      </c>
      <c r="V466" s="5">
        <f ca="1">IFERROR(__xludf.DUMMYFUNCTION("""COMPUTED_VALUE"""),5)</f>
        <v>5</v>
      </c>
      <c r="W466" s="5">
        <f ca="1">IFERROR(__xludf.DUMMYFUNCTION("""COMPUTED_VALUE"""),5)</f>
        <v>5</v>
      </c>
      <c r="X466" s="5">
        <f ca="1">IFERROR(__xludf.DUMMYFUNCTION("""COMPUTED_VALUE"""),96.453)</f>
        <v>96.453000000000003</v>
      </c>
      <c r="Y466" s="5" t="str">
        <f ca="1">IFERROR(__xludf.DUMMYFUNCTION("""COMPUTED_VALUE"""),"Medium")</f>
        <v>Medium</v>
      </c>
      <c r="Z466" s="5">
        <f ca="1">IFERROR(__xludf.DUMMYFUNCTION("""COMPUTED_VALUE"""),14.234)</f>
        <v>14.234</v>
      </c>
      <c r="AA466" s="5">
        <f ca="1">IFERROR(__xludf.DUMMYFUNCTION("""COMPUTED_VALUE"""),2624)</f>
        <v>2624</v>
      </c>
      <c r="AB466" s="5"/>
      <c r="AC466" s="5" t="str">
        <f ca="1">IFERROR(__xludf.DUMMYFUNCTION("""COMPUTED_VALUE"""),"Wild Multiplier, Expanding Wild, Scatter")</f>
        <v>Wild Multiplier, Expanding Wild, Scatter</v>
      </c>
      <c r="AD466" s="5" t="str">
        <f ca="1">IFERROR(__xludf.DUMMYFUNCTION("""COMPUTED_VALUE"""),"0.05/30")</f>
        <v>0.05/30</v>
      </c>
      <c r="AE466" s="5"/>
      <c r="AF466" s="5"/>
      <c r="AG466" s="10">
        <f ca="1">IFERROR(__xludf.DUMMYFUNCTION("""COMPUTED_VALUE"""),46220.5022106481)</f>
        <v>46220.502210648097</v>
      </c>
      <c r="AH466" s="5" t="str">
        <f ca="1">IFERROR(__xludf.DUMMYFUNCTION("""COMPUTED_VALUE"""),"selena.mihajlovic@fazi.rs")</f>
        <v>selena.mihajlovic@fazi.rs</v>
      </c>
      <c r="AI466" s="5"/>
      <c r="AJ466" s="5"/>
      <c r="AK466" s="5">
        <f ca="1">IFERROR(__xludf.DUMMYFUNCTION("""COMPUTED_VALUE"""),5)</f>
        <v>5</v>
      </c>
      <c r="AL466" s="5" t="str">
        <f ca="1">IFERROR(__xludf.DUMMYFUNCTION("""COMPUTED_VALUE"""),"No")</f>
        <v>No</v>
      </c>
      <c r="AM466" s="5" t="str">
        <f ca="1">IFERROR(__xludf.DUMMYFUNCTION("""COMPUTED_VALUE"""),"No")</f>
        <v>No</v>
      </c>
      <c r="AN466" s="7" t="str">
        <f ca="1">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AO466" s="5" t="str">
        <f ca="1">IFERROR(__xludf.DUMMYFUNCTION("""COMPUTED_VALUE"""),"No")</f>
        <v>No</v>
      </c>
      <c r="AP466" s="5" t="str">
        <f ca="1">IFERROR(__xludf.DUMMYFUNCTION("""COMPUTED_VALUE"""),"No")</f>
        <v>No</v>
      </c>
      <c r="AQ466" s="5" t="b">
        <f ca="1">IFERROR(__xludf.DUMMYFUNCTION("""COMPUTED_VALUE"""),TRUE)</f>
        <v>1</v>
      </c>
      <c r="AR466" s="5"/>
      <c r="AS466" s="5" t="str">
        <f ca="1">IFERROR(__xludf.DUMMYFUNCTION("""COMPUTED_VALUE"""),"Double the excitement with Majestic Crown X2! Land the special Crown symbol and see how far your luck can take you!")</f>
        <v>Double the excitement with Majestic Crown X2! Land the special Crown symbol and see how far your luck can take you!</v>
      </c>
      <c r="AT466" s="5"/>
      <c r="AU466" s="5" t="str">
        <f ca="1">IFERROR(__xludf.DUMMYFUNCTION("""COMPUTED_VALUE"""),"Fazi")</f>
        <v>Fazi</v>
      </c>
      <c r="AV466" s="5"/>
      <c r="AW466" s="5"/>
      <c r="AX466" s="5"/>
      <c r="AY466" s="5"/>
      <c r="AZ466" s="5"/>
      <c r="BA466" s="5"/>
      <c r="BB466" s="5" t="b">
        <f ca="1">IFERROR(__xludf.DUMMYFUNCTION("""COMPUTED_VALUE"""),TRUE)</f>
        <v>1</v>
      </c>
      <c r="BC466" s="5" t="str">
        <f ca="1">IFERROR(__xludf.DUMMYFUNCTION("""COMPUTED_VALUE"""),"Playnet")</f>
        <v>Playnet</v>
      </c>
      <c r="BD466" s="7" t="str">
        <f ca="1">IFERROR(__xludf.DUMMYFUNCTION("""COMPUTED_VALUE"""),"https://gameserver-store-client-area.orbionlimited.com/Home/IntegrationGameLaunch/client-area?moneyType=0&amp;gameName=PlayNetMajesticCrownX2&amp;platform=desktop&amp;languageCode=eng&amp;currency=EUR")</f>
        <v>https://gameserver-store-client-area.orbionlimited.com/Home/IntegrationGameLaunch/client-area?moneyType=0&amp;gameName=PlayNetMajesticCrownX2&amp;platform=desktop&amp;languageCode=eng&amp;currency=EUR</v>
      </c>
      <c r="BE466" s="5" t="b">
        <f ca="1">IFERROR(__xludf.DUMMYFUNCTION("""COMPUTED_VALUE"""),TRUE)</f>
        <v>1</v>
      </c>
    </row>
    <row r="467" spans="1:57" x14ac:dyDescent="0.25">
      <c r="A467" s="5">
        <f ca="1">IFERROR(__xludf.DUMMYFUNCTION("""COMPUTED_VALUE"""),491)</f>
        <v>491</v>
      </c>
      <c r="B467" s="5">
        <f ca="1">IFERROR(__xludf.DUMMYFUNCTION("""COMPUTED_VALUE"""),409)</f>
        <v>409</v>
      </c>
      <c r="C467" s="5" t="str">
        <f ca="1">IFERROR(__xludf.DUMMYFUNCTION("""COMPUTED_VALUE"""),"Playnet")</f>
        <v>Playnet</v>
      </c>
      <c r="D467" s="5" t="str">
        <f ca="1">IFERROR(__xludf.DUMMYFUNCTION("""COMPUTED_VALUE"""),"Bit Slot")</f>
        <v>Bit Slot</v>
      </c>
      <c r="E467" s="5" t="str">
        <f ca="1">IFERROR(__xludf.DUMMYFUNCTION("""COMPUTED_VALUE"""),"V4-2")</f>
        <v>V4-2</v>
      </c>
      <c r="F467" s="5" t="str">
        <f ca="1">IFERROR(__xludf.DUMMYFUNCTION("""COMPUTED_VALUE"""),"PlayNetBitSlot")</f>
        <v>PlayNetBitSlot</v>
      </c>
      <c r="G467" s="5" t="str">
        <f ca="1">IFERROR(__xludf.DUMMYFUNCTION("""COMPUTED_VALUE"""),"Live")</f>
        <v>Live</v>
      </c>
      <c r="H467" s="5"/>
      <c r="I467" s="5"/>
      <c r="J467" s="5" t="str">
        <f ca="1">IFERROR(__xludf.DUMMYFUNCTION("""COMPUTED_VALUE"""),"JSON")</f>
        <v>JSON</v>
      </c>
      <c r="K467" s="5" t="str">
        <f ca="1">IFERROR(__xludf.DUMMYFUNCTION("""COMPUTED_VALUE"""),"Slot")</f>
        <v>Slot</v>
      </c>
      <c r="L467" s="5" t="str">
        <f ca="1">IFERROR(__xludf.DUMMYFUNCTION("""COMPUTED_VALUE""")," Reskin")</f>
        <v xml:space="preserve"> Reskin</v>
      </c>
      <c r="M467" s="5" t="str">
        <f ca="1">IFERROR(__xludf.DUMMYFUNCTION("""COMPUTED_VALUE"""),"Wild Hot 40 Blow")</f>
        <v>Wild Hot 40 Blow</v>
      </c>
      <c r="N467" s="5"/>
      <c r="O467" s="5"/>
      <c r="P467" s="14">
        <f ca="1">IFERROR(__xludf.DUMMYFUNCTION("""COMPUTED_VALUE"""),6.7)</f>
        <v>6.7</v>
      </c>
      <c r="Q467" s="5"/>
      <c r="R467" s="15">
        <f ca="1">IFERROR(__xludf.DUMMYFUNCTION("""COMPUTED_VALUE"""),45811)</f>
        <v>45811</v>
      </c>
      <c r="S467" s="15">
        <f ca="1">IFERROR(__xludf.DUMMYFUNCTION("""COMPUTED_VALUE"""),45818)</f>
        <v>45818</v>
      </c>
      <c r="T467" s="5" t="b">
        <f ca="1">IFERROR(__xludf.DUMMYFUNCTION("""COMPUTED_VALUE"""),TRUE)</f>
        <v>1</v>
      </c>
      <c r="U467" s="5" t="str">
        <f ca="1">IFERROR(__xludf.DUMMYFUNCTION("""COMPUTED_VALUE"""),"5x4")</f>
        <v>5x4</v>
      </c>
      <c r="V467" s="5">
        <f ca="1">IFERROR(__xludf.DUMMYFUNCTION("""COMPUTED_VALUE"""),40)</f>
        <v>40</v>
      </c>
      <c r="W467" s="5">
        <f ca="1">IFERROR(__xludf.DUMMYFUNCTION("""COMPUTED_VALUE"""),40)</f>
        <v>40</v>
      </c>
      <c r="X467" s="5">
        <f ca="1">IFERROR(__xludf.DUMMYFUNCTION("""COMPUTED_VALUE"""),96.268)</f>
        <v>96.268000000000001</v>
      </c>
      <c r="Y467" s="5" t="str">
        <f ca="1">IFERROR(__xludf.DUMMYFUNCTION("""COMPUTED_VALUE"""),"Medium")</f>
        <v>Medium</v>
      </c>
      <c r="Z467" s="5">
        <f ca="1">IFERROR(__xludf.DUMMYFUNCTION("""COMPUTED_VALUE"""),13.875)</f>
        <v>13.875</v>
      </c>
      <c r="AA467" s="5">
        <f ca="1">IFERROR(__xludf.DUMMYFUNCTION("""COMPUTED_VALUE"""),1000)</f>
        <v>1000</v>
      </c>
      <c r="AB467" s="5"/>
      <c r="AC467" s="5" t="str">
        <f ca="1">IFERROR(__xludf.DUMMYFUNCTION("""COMPUTED_VALUE"""),"Expanding Wild, Scatter")</f>
        <v>Expanding Wild, Scatter</v>
      </c>
      <c r="AD467" s="5" t="str">
        <f ca="1">IFERROR(__xludf.DUMMYFUNCTION("""COMPUTED_VALUE"""),"0.4/60")</f>
        <v>0.4/60</v>
      </c>
      <c r="AE467" s="5"/>
      <c r="AF467" s="5"/>
      <c r="AG467" s="10">
        <f ca="1">IFERROR(__xludf.DUMMYFUNCTION("""COMPUTED_VALUE"""),46220.5023726851)</f>
        <v>46220.5023726851</v>
      </c>
      <c r="AH467" s="5" t="str">
        <f ca="1">IFERROR(__xludf.DUMMYFUNCTION("""COMPUTED_VALUE"""),"selena.mihajlovic@fazi.rs")</f>
        <v>selena.mihajlovic@fazi.rs</v>
      </c>
      <c r="AI467" s="5"/>
      <c r="AJ467" s="5"/>
      <c r="AK467" s="5">
        <f ca="1">IFERROR(__xludf.DUMMYFUNCTION("""COMPUTED_VALUE"""),40)</f>
        <v>40</v>
      </c>
      <c r="AL467" s="5" t="str">
        <f ca="1">IFERROR(__xludf.DUMMYFUNCTION("""COMPUTED_VALUE"""),"No")</f>
        <v>No</v>
      </c>
      <c r="AM467" s="5" t="str">
        <f ca="1">IFERROR(__xludf.DUMMYFUNCTION("""COMPUTED_VALUE"""),"No")</f>
        <v>No</v>
      </c>
      <c r="AN467" s="7" t="str">
        <f ca="1">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AO467" s="5" t="str">
        <f ca="1">IFERROR(__xludf.DUMMYFUNCTION("""COMPUTED_VALUE"""),"No")</f>
        <v>No</v>
      </c>
      <c r="AP467" s="5" t="str">
        <f ca="1">IFERROR(__xludf.DUMMYFUNCTION("""COMPUTED_VALUE"""),"No")</f>
        <v>No</v>
      </c>
      <c r="AQ467" s="5" t="b">
        <f ca="1">IFERROR(__xludf.DUMMYFUNCTION("""COMPUTED_VALUE"""),TRUE)</f>
        <v>1</v>
      </c>
      <c r="AR467" s="5"/>
      <c r="AS467" s="5" t="str">
        <f ca="1">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AT467" s="5"/>
      <c r="AU467" s="5" t="str">
        <f ca="1">IFERROR(__xludf.DUMMYFUNCTION("""COMPUTED_VALUE"""),"Fazi")</f>
        <v>Fazi</v>
      </c>
      <c r="AV467" s="5"/>
      <c r="AW467" s="5"/>
      <c r="AX467" s="5"/>
      <c r="AY467" s="5"/>
      <c r="AZ467" s="5"/>
      <c r="BA467" s="5"/>
      <c r="BB467" s="5" t="b">
        <f ca="1">IFERROR(__xludf.DUMMYFUNCTION("""COMPUTED_VALUE"""),TRUE)</f>
        <v>1</v>
      </c>
      <c r="BC467" s="5" t="str">
        <f ca="1">IFERROR(__xludf.DUMMYFUNCTION("""COMPUTED_VALUE"""),"Playnet")</f>
        <v>Playnet</v>
      </c>
      <c r="BD467" s="7" t="str">
        <f ca="1">IFERROR(__xludf.DUMMYFUNCTION("""COMPUTED_VALUE"""),"https://gameserver-store-client-area.orbionlimited.com/Home/IntegrationGameLaunch/client-area?moneyType=0&amp;gameName=PlayNetBitSlot&amp;platform=desktop&amp;languageCode=eng&amp;currency=EUR")</f>
        <v>https://gameserver-store-client-area.orbionlimited.com/Home/IntegrationGameLaunch/client-area?moneyType=0&amp;gameName=PlayNetBitSlot&amp;platform=desktop&amp;languageCode=eng&amp;currency=EUR</v>
      </c>
      <c r="BE467" s="5" t="b">
        <f ca="1">IFERROR(__xludf.DUMMYFUNCTION("""COMPUTED_VALUE"""),TRUE)</f>
        <v>1</v>
      </c>
    </row>
    <row r="468" spans="1:57" x14ac:dyDescent="0.25">
      <c r="A468" s="5">
        <f ca="1">IFERROR(__xludf.DUMMYFUNCTION("""COMPUTED_VALUE"""),492)</f>
        <v>492</v>
      </c>
      <c r="B468" s="5">
        <f ca="1">IFERROR(__xludf.DUMMYFUNCTION("""COMPUTED_VALUE"""),413)</f>
        <v>413</v>
      </c>
      <c r="C468" s="5" t="str">
        <f ca="1">IFERROR(__xludf.DUMMYFUNCTION("""COMPUTED_VALUE"""),"Playnet")</f>
        <v>Playnet</v>
      </c>
      <c r="D468" s="5" t="str">
        <f ca="1">IFERROR(__xludf.DUMMYFUNCTION("""COMPUTED_VALUE"""),"Fortune Clover 10")</f>
        <v>Fortune Clover 10</v>
      </c>
      <c r="E468" s="5" t="str">
        <f ca="1">IFERROR(__xludf.DUMMYFUNCTION("""COMPUTED_VALUE"""),"V4-2")</f>
        <v>V4-2</v>
      </c>
      <c r="F468" s="5" t="str">
        <f ca="1">IFERROR(__xludf.DUMMYFUNCTION("""COMPUTED_VALUE"""),"PlayNetFortuneClover10")</f>
        <v>PlayNetFortuneClover10</v>
      </c>
      <c r="G468" s="5" t="str">
        <f ca="1">IFERROR(__xludf.DUMMYFUNCTION("""COMPUTED_VALUE"""),"Live")</f>
        <v>Live</v>
      </c>
      <c r="H468" s="5"/>
      <c r="I468" s="5" t="str">
        <f ca="1">IFERROR(__xludf.DUMMYFUNCTION("""COMPUTED_VALUE"""),"V4")</f>
        <v>V4</v>
      </c>
      <c r="J468" s="5" t="str">
        <f ca="1">IFERROR(__xludf.DUMMYFUNCTION("""COMPUTED_VALUE"""),"JSON")</f>
        <v>JSON</v>
      </c>
      <c r="K468" s="5" t="str">
        <f ca="1">IFERROR(__xludf.DUMMYFUNCTION("""COMPUTED_VALUE"""),"Slot")</f>
        <v>Slot</v>
      </c>
      <c r="L468" s="5" t="str">
        <f ca="1">IFERROR(__xludf.DUMMYFUNCTION("""COMPUTED_VALUE""")," Reskin")</f>
        <v xml:space="preserve"> Reskin</v>
      </c>
      <c r="M468" s="5" t="str">
        <f ca="1">IFERROR(__xludf.DUMMYFUNCTION("""COMPUTED_VALUE"""),"Golden Crown")</f>
        <v>Golden Crown</v>
      </c>
      <c r="N468" s="5"/>
      <c r="O468" s="5"/>
      <c r="P468" s="14">
        <f ca="1">IFERROR(__xludf.DUMMYFUNCTION("""COMPUTED_VALUE"""),7.1)</f>
        <v>7.1</v>
      </c>
      <c r="Q468" s="5"/>
      <c r="R468" s="15">
        <f ca="1">IFERROR(__xludf.DUMMYFUNCTION("""COMPUTED_VALUE"""),45789)</f>
        <v>45789</v>
      </c>
      <c r="S468" s="15">
        <f ca="1">IFERROR(__xludf.DUMMYFUNCTION("""COMPUTED_VALUE"""),45796)</f>
        <v>45796</v>
      </c>
      <c r="T468" s="5" t="b">
        <f ca="1">IFERROR(__xludf.DUMMYFUNCTION("""COMPUTED_VALUE"""),TRUE)</f>
        <v>1</v>
      </c>
      <c r="U468" s="5" t="str">
        <f ca="1">IFERROR(__xludf.DUMMYFUNCTION("""COMPUTED_VALUE"""),"5x3")</f>
        <v>5x3</v>
      </c>
      <c r="V468" s="5">
        <f ca="1">IFERROR(__xludf.DUMMYFUNCTION("""COMPUTED_VALUE"""),10)</f>
        <v>10</v>
      </c>
      <c r="W468" s="5">
        <f ca="1">IFERROR(__xludf.DUMMYFUNCTION("""COMPUTED_VALUE"""),10)</f>
        <v>10</v>
      </c>
      <c r="X468" s="5">
        <f ca="1">IFERROR(__xludf.DUMMYFUNCTION("""COMPUTED_VALUE"""),95.962)</f>
        <v>95.962000000000003</v>
      </c>
      <c r="Y468" s="5" t="str">
        <f ca="1">IFERROR(__xludf.DUMMYFUNCTION("""COMPUTED_VALUE"""),"Medium")</f>
        <v>Medium</v>
      </c>
      <c r="Z468" s="5">
        <f ca="1">IFERROR(__xludf.DUMMYFUNCTION("""COMPUTED_VALUE"""),14.634)</f>
        <v>14.634</v>
      </c>
      <c r="AA468" s="5">
        <f ca="1">IFERROR(__xludf.DUMMYFUNCTION("""COMPUTED_VALUE"""),1538)</f>
        <v>1538</v>
      </c>
      <c r="AB468" s="5"/>
      <c r="AC468" s="5" t="str">
        <f ca="1">IFERROR(__xludf.DUMMYFUNCTION("""COMPUTED_VALUE"""),"Expanding Wild, Scatter")</f>
        <v>Expanding Wild, Scatter</v>
      </c>
      <c r="AD468" s="5" t="str">
        <f ca="1">IFERROR(__xludf.DUMMYFUNCTION("""COMPUTED_VALUE"""),"0.01/50")</f>
        <v>0.01/50</v>
      </c>
      <c r="AE468" s="5"/>
      <c r="AF468" s="5"/>
      <c r="AG468" s="10">
        <f ca="1">IFERROR(__xludf.DUMMYFUNCTION("""COMPUTED_VALUE"""),46220.502511574)</f>
        <v>46220.502511573999</v>
      </c>
      <c r="AH468" s="5" t="str">
        <f ca="1">IFERROR(__xludf.DUMMYFUNCTION("""COMPUTED_VALUE"""),"selena.mihajlovic@fazi.rs")</f>
        <v>selena.mihajlovic@fazi.rs</v>
      </c>
      <c r="AI468" s="5"/>
      <c r="AJ468" s="5"/>
      <c r="AK468" s="5">
        <f ca="1">IFERROR(__xludf.DUMMYFUNCTION("""COMPUTED_VALUE"""),10)</f>
        <v>10</v>
      </c>
      <c r="AL468" s="5" t="str">
        <f ca="1">IFERROR(__xludf.DUMMYFUNCTION("""COMPUTED_VALUE"""),"No")</f>
        <v>No</v>
      </c>
      <c r="AM468" s="5" t="str">
        <f ca="1">IFERROR(__xludf.DUMMYFUNCTION("""COMPUTED_VALUE"""),"No")</f>
        <v>No</v>
      </c>
      <c r="AN468" s="7" t="str">
        <f ca="1">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AO468" s="5" t="str">
        <f ca="1">IFERROR(__xludf.DUMMYFUNCTION("""COMPUTED_VALUE"""),"No")</f>
        <v>No</v>
      </c>
      <c r="AP468" s="5" t="str">
        <f ca="1">IFERROR(__xludf.DUMMYFUNCTION("""COMPUTED_VALUE"""),"No")</f>
        <v>No</v>
      </c>
      <c r="AQ468" s="5" t="b">
        <f ca="1">IFERROR(__xludf.DUMMYFUNCTION("""COMPUTED_VALUE"""),TRUE)</f>
        <v>1</v>
      </c>
      <c r="AR468" s="5"/>
      <c r="AS468" s="5" t="str">
        <f ca="1">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AT468" s="5"/>
      <c r="AU468" s="5" t="str">
        <f ca="1">IFERROR(__xludf.DUMMYFUNCTION("""COMPUTED_VALUE"""),"Fazi")</f>
        <v>Fazi</v>
      </c>
      <c r="AV468" s="5"/>
      <c r="AW468" s="5"/>
      <c r="AX468" s="5"/>
      <c r="AY468" s="5"/>
      <c r="AZ468" s="5"/>
      <c r="BA468" s="5"/>
      <c r="BB468" s="5" t="b">
        <f ca="1">IFERROR(__xludf.DUMMYFUNCTION("""COMPUTED_VALUE"""),TRUE)</f>
        <v>1</v>
      </c>
      <c r="BC468" s="5" t="str">
        <f ca="1">IFERROR(__xludf.DUMMYFUNCTION("""COMPUTED_VALUE"""),"Playnet")</f>
        <v>Playnet</v>
      </c>
      <c r="BD468" s="7" t="str">
        <f ca="1">IFERROR(__xludf.DUMMYFUNCTION("""COMPUTED_VALUE"""),"https://gameserver-store-client-area.orbionlimited.com/Home/IntegrationGameLaunch/client-area?moneyType=0&amp;gameName=PlayNetFortuneClover10&amp;platform=desktop&amp;languageCode=eng&amp;currency=EUR")</f>
        <v>https://gameserver-store-client-area.orbionlimited.com/Home/IntegrationGameLaunch/client-area?moneyType=0&amp;gameName=PlayNetFortuneClover10&amp;platform=desktop&amp;languageCode=eng&amp;currency=EUR</v>
      </c>
      <c r="BE468" s="5" t="b">
        <f ca="1">IFERROR(__xludf.DUMMYFUNCTION("""COMPUTED_VALUE"""),TRUE)</f>
        <v>1</v>
      </c>
    </row>
    <row r="469" spans="1:57" x14ac:dyDescent="0.25">
      <c r="A469" s="5">
        <f ca="1">IFERROR(__xludf.DUMMYFUNCTION("""COMPUTED_VALUE"""),493)</f>
        <v>493</v>
      </c>
      <c r="B469" s="5">
        <f ca="1">IFERROR(__xludf.DUMMYFUNCTION("""COMPUTED_VALUE"""),416)</f>
        <v>416</v>
      </c>
      <c r="C469" s="5" t="str">
        <f ca="1">IFERROR(__xludf.DUMMYFUNCTION("""COMPUTED_VALUE"""),"Playnet")</f>
        <v>Playnet</v>
      </c>
      <c r="D469" s="5" t="str">
        <f ca="1">IFERROR(__xludf.DUMMYFUNCTION("""COMPUTED_VALUE"""),"Majestic Crown 100")</f>
        <v>Majestic Crown 100</v>
      </c>
      <c r="E469" s="5" t="str">
        <f ca="1">IFERROR(__xludf.DUMMYFUNCTION("""COMPUTED_VALUE"""),"V4-2")</f>
        <v>V4-2</v>
      </c>
      <c r="F469" s="5" t="str">
        <f ca="1">IFERROR(__xludf.DUMMYFUNCTION("""COMPUTED_VALUE"""),"PlayNetMajesticCrown100")</f>
        <v>PlayNetMajesticCrown100</v>
      </c>
      <c r="G469" s="5" t="str">
        <f ca="1">IFERROR(__xludf.DUMMYFUNCTION("""COMPUTED_VALUE"""),"Live")</f>
        <v>Live</v>
      </c>
      <c r="H469" s="5"/>
      <c r="I469" s="5"/>
      <c r="J469" s="5" t="str">
        <f ca="1">IFERROR(__xludf.DUMMYFUNCTION("""COMPUTED_VALUE"""),"JSON")</f>
        <v>JSON</v>
      </c>
      <c r="K469" s="5" t="str">
        <f ca="1">IFERROR(__xludf.DUMMYFUNCTION("""COMPUTED_VALUE"""),"Slot")</f>
        <v>Slot</v>
      </c>
      <c r="L469" s="5" t="str">
        <f ca="1">IFERROR(__xludf.DUMMYFUNCTION("""COMPUTED_VALUE""")," Reskin")</f>
        <v xml:space="preserve"> Reskin</v>
      </c>
      <c r="M469" s="5" t="str">
        <f ca="1">IFERROR(__xludf.DUMMYFUNCTION("""COMPUTED_VALUE"""),"Epic Clover 100")</f>
        <v>Epic Clover 100</v>
      </c>
      <c r="N469" s="5"/>
      <c r="O469" s="5"/>
      <c r="P469" s="14">
        <f ca="1">IFERROR(__xludf.DUMMYFUNCTION("""COMPUTED_VALUE"""),7)</f>
        <v>7</v>
      </c>
      <c r="Q469" s="5"/>
      <c r="R469" s="15">
        <f ca="1">IFERROR(__xludf.DUMMYFUNCTION("""COMPUTED_VALUE"""),45803)</f>
        <v>45803</v>
      </c>
      <c r="S469" s="15">
        <f ca="1">IFERROR(__xludf.DUMMYFUNCTION("""COMPUTED_VALUE"""),45810)</f>
        <v>45810</v>
      </c>
      <c r="T469" s="5" t="b">
        <f ca="1">IFERROR(__xludf.DUMMYFUNCTION("""COMPUTED_VALUE"""),TRUE)</f>
        <v>1</v>
      </c>
      <c r="U469" s="5" t="str">
        <f ca="1">IFERROR(__xludf.DUMMYFUNCTION("""COMPUTED_VALUE"""),"5x4")</f>
        <v>5x4</v>
      </c>
      <c r="V469" s="5">
        <f ca="1">IFERROR(__xludf.DUMMYFUNCTION("""COMPUTED_VALUE"""),100)</f>
        <v>100</v>
      </c>
      <c r="W469" s="5">
        <f ca="1">IFERROR(__xludf.DUMMYFUNCTION("""COMPUTED_VALUE"""),100)</f>
        <v>100</v>
      </c>
      <c r="X469" s="5">
        <f ca="1">IFERROR(__xludf.DUMMYFUNCTION("""COMPUTED_VALUE"""),96.502)</f>
        <v>96.501999999999995</v>
      </c>
      <c r="Y469" s="5" t="str">
        <f ca="1">IFERROR(__xludf.DUMMYFUNCTION("""COMPUTED_VALUE"""),"Medium")</f>
        <v>Medium</v>
      </c>
      <c r="Z469" s="5">
        <f ca="1">IFERROR(__xludf.DUMMYFUNCTION("""COMPUTED_VALUE"""),13.309)</f>
        <v>13.308999999999999</v>
      </c>
      <c r="AA469" s="5">
        <f ca="1">IFERROR(__xludf.DUMMYFUNCTION("""COMPUTED_VALUE"""),3000)</f>
        <v>3000</v>
      </c>
      <c r="AB469" s="5"/>
      <c r="AC469" s="5" t="str">
        <f ca="1">IFERROR(__xludf.DUMMYFUNCTION("""COMPUTED_VALUE"""),"Scatter, Expanding Wild")</f>
        <v>Scatter, Expanding Wild</v>
      </c>
      <c r="AD469" s="5" t="str">
        <f ca="1">IFERROR(__xludf.DUMMYFUNCTION("""COMPUTED_VALUE"""),"1/100")</f>
        <v>1/100</v>
      </c>
      <c r="AE469" s="5"/>
      <c r="AF469" s="5"/>
      <c r="AG469" s="10">
        <f ca="1">IFERROR(__xludf.DUMMYFUNCTION("""COMPUTED_VALUE"""),46220.5026504629)</f>
        <v>46220.502650462899</v>
      </c>
      <c r="AH469" s="5" t="str">
        <f ca="1">IFERROR(__xludf.DUMMYFUNCTION("""COMPUTED_VALUE"""),"selena.mihajlovic@fazi.rs")</f>
        <v>selena.mihajlovic@fazi.rs</v>
      </c>
      <c r="AI469" s="5"/>
      <c r="AJ469" s="5"/>
      <c r="AK469" s="5"/>
      <c r="AL469" s="5" t="str">
        <f ca="1">IFERROR(__xludf.DUMMYFUNCTION("""COMPUTED_VALUE"""),"No")</f>
        <v>No</v>
      </c>
      <c r="AM469" s="5" t="str">
        <f ca="1">IFERROR(__xludf.DUMMYFUNCTION("""COMPUTED_VALUE"""),"No")</f>
        <v>No</v>
      </c>
      <c r="AN469" s="7" t="str">
        <f ca="1">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AO469" s="5" t="str">
        <f ca="1">IFERROR(__xludf.DUMMYFUNCTION("""COMPUTED_VALUE"""),"No")</f>
        <v>No</v>
      </c>
      <c r="AP469" s="5" t="str">
        <f ca="1">IFERROR(__xludf.DUMMYFUNCTION("""COMPUTED_VALUE"""),"No")</f>
        <v>No</v>
      </c>
      <c r="AQ469" s="5" t="b">
        <f ca="1">IFERROR(__xludf.DUMMYFUNCTION("""COMPUTED_VALUE"""),TRUE)</f>
        <v>1</v>
      </c>
      <c r="AR469" s="5"/>
      <c r="AS469" s="5" t="str">
        <f ca="1">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AT469" s="5"/>
      <c r="AU469" s="5" t="str">
        <f ca="1">IFERROR(__xludf.DUMMYFUNCTION("""COMPUTED_VALUE"""),"Fazi")</f>
        <v>Fazi</v>
      </c>
      <c r="AV469" s="5"/>
      <c r="AW469" s="5"/>
      <c r="AX469" s="5"/>
      <c r="AY469" s="5"/>
      <c r="AZ469" s="5"/>
      <c r="BA469" s="5"/>
      <c r="BB469" s="5" t="b">
        <f ca="1">IFERROR(__xludf.DUMMYFUNCTION("""COMPUTED_VALUE"""),TRUE)</f>
        <v>1</v>
      </c>
      <c r="BC469" s="5" t="str">
        <f ca="1">IFERROR(__xludf.DUMMYFUNCTION("""COMPUTED_VALUE"""),"Playnet")</f>
        <v>Playnet</v>
      </c>
      <c r="BD469" s="7" t="str">
        <f ca="1">IFERROR(__xludf.DUMMYFUNCTION("""COMPUTED_VALUE"""),"https://gameserver-store-client-area.orbionlimited.com/Home/IntegrationGameLaunch/client-area?moneyType=0&amp;gameName=PlayNetMajesticCrown100&amp;platform=desktop&amp;languageCode=eng&amp;currency=EUR")</f>
        <v>https://gameserver-store-client-area.orbionlimited.com/Home/IntegrationGameLaunch/client-area?moneyType=0&amp;gameName=PlayNetMajesticCrown100&amp;platform=desktop&amp;languageCode=eng&amp;currency=EUR</v>
      </c>
      <c r="BE469" s="5" t="b">
        <f ca="1">IFERROR(__xludf.DUMMYFUNCTION("""COMPUTED_VALUE"""),TRUE)</f>
        <v>1</v>
      </c>
    </row>
    <row r="470" spans="1:57" x14ac:dyDescent="0.25">
      <c r="A470" s="5">
        <f ca="1">IFERROR(__xludf.DUMMYFUNCTION("""COMPUTED_VALUE"""),494)</f>
        <v>494</v>
      </c>
      <c r="B470" s="5">
        <f ca="1">IFERROR(__xludf.DUMMYFUNCTION("""COMPUTED_VALUE"""),417)</f>
        <v>417</v>
      </c>
      <c r="C470" s="5" t="str">
        <f ca="1">IFERROR(__xludf.DUMMYFUNCTION("""COMPUTED_VALUE"""),"Playnet")</f>
        <v>Playnet</v>
      </c>
      <c r="D470" s="5" t="str">
        <f ca="1">IFERROR(__xludf.DUMMYFUNCTION("""COMPUTED_VALUE"""),"Fortune Clover 20")</f>
        <v>Fortune Clover 20</v>
      </c>
      <c r="E470" s="5" t="str">
        <f ca="1">IFERROR(__xludf.DUMMYFUNCTION("""COMPUTED_VALUE"""),"V4-2")</f>
        <v>V4-2</v>
      </c>
      <c r="F470" s="5" t="str">
        <f ca="1">IFERROR(__xludf.DUMMYFUNCTION("""COMPUTED_VALUE"""),"PlayNetFortuneClover20")</f>
        <v>PlayNetFortuneClover20</v>
      </c>
      <c r="G470" s="5" t="str">
        <f ca="1">IFERROR(__xludf.DUMMYFUNCTION("""COMPUTED_VALUE"""),"Live")</f>
        <v>Live</v>
      </c>
      <c r="H470" s="5"/>
      <c r="I470" s="5"/>
      <c r="J470" s="5" t="str">
        <f ca="1">IFERROR(__xludf.DUMMYFUNCTION("""COMPUTED_VALUE"""),"JSON")</f>
        <v>JSON</v>
      </c>
      <c r="K470" s="5" t="str">
        <f ca="1">IFERROR(__xludf.DUMMYFUNCTION("""COMPUTED_VALUE"""),"Slot")</f>
        <v>Slot</v>
      </c>
      <c r="L470" s="5" t="str">
        <f ca="1">IFERROR(__xludf.DUMMYFUNCTION("""COMPUTED_VALUE""")," Reskin")</f>
        <v xml:space="preserve"> Reskin</v>
      </c>
      <c r="M470" s="5" t="str">
        <f ca="1">IFERROR(__xludf.DUMMYFUNCTION("""COMPUTED_VALUE"""),"Very Hot 20")</f>
        <v>Very Hot 20</v>
      </c>
      <c r="N470" s="5"/>
      <c r="O470" s="5"/>
      <c r="P470" s="14">
        <f ca="1">IFERROR(__xludf.DUMMYFUNCTION("""COMPUTED_VALUE"""),7.2)</f>
        <v>7.2</v>
      </c>
      <c r="Q470" s="5"/>
      <c r="R470" s="15">
        <f ca="1">IFERROR(__xludf.DUMMYFUNCTION("""COMPUTED_VALUE"""),45819)</f>
        <v>45819</v>
      </c>
      <c r="S470" s="15">
        <f ca="1">IFERROR(__xludf.DUMMYFUNCTION("""COMPUTED_VALUE"""),45826)</f>
        <v>45826</v>
      </c>
      <c r="T470" s="5" t="b">
        <f ca="1">IFERROR(__xludf.DUMMYFUNCTION("""COMPUTED_VALUE"""),TRUE)</f>
        <v>1</v>
      </c>
      <c r="U470" s="5" t="str">
        <f ca="1">IFERROR(__xludf.DUMMYFUNCTION("""COMPUTED_VALUE"""),"5x3")</f>
        <v>5x3</v>
      </c>
      <c r="V470" s="5">
        <f ca="1">IFERROR(__xludf.DUMMYFUNCTION("""COMPUTED_VALUE"""),20)</f>
        <v>20</v>
      </c>
      <c r="W470" s="5">
        <f ca="1">IFERROR(__xludf.DUMMYFUNCTION("""COMPUTED_VALUE"""),20)</f>
        <v>20</v>
      </c>
      <c r="X470" s="5">
        <f ca="1">IFERROR(__xludf.DUMMYFUNCTION("""COMPUTED_VALUE"""),96.504)</f>
        <v>96.504000000000005</v>
      </c>
      <c r="Y470" s="5" t="str">
        <f ca="1">IFERROR(__xludf.DUMMYFUNCTION("""COMPUTED_VALUE"""),"Medium")</f>
        <v>Medium</v>
      </c>
      <c r="Z470" s="5">
        <f ca="1">IFERROR(__xludf.DUMMYFUNCTION("""COMPUTED_VALUE"""),21.751)</f>
        <v>21.751000000000001</v>
      </c>
      <c r="AA470" s="5">
        <f ca="1">IFERROR(__xludf.DUMMYFUNCTION("""COMPUTED_VALUE"""),1231.5)</f>
        <v>1231.5</v>
      </c>
      <c r="AB470" s="5"/>
      <c r="AC470" s="5" t="str">
        <f ca="1">IFERROR(__xludf.DUMMYFUNCTION("""COMPUTED_VALUE"""),"Scatter, Expanding Wild")</f>
        <v>Scatter, Expanding Wild</v>
      </c>
      <c r="AD470" s="5" t="str">
        <f ca="1">IFERROR(__xludf.DUMMYFUNCTION("""COMPUTED_VALUE"""),"0.2/50")</f>
        <v>0.2/50</v>
      </c>
      <c r="AE470" s="5"/>
      <c r="AF470" s="5"/>
      <c r="AG470" s="10">
        <f ca="1">IFERROR(__xludf.DUMMYFUNCTION("""COMPUTED_VALUE"""),46220.5028009259)</f>
        <v>46220.502800925897</v>
      </c>
      <c r="AH470" s="5" t="str">
        <f ca="1">IFERROR(__xludf.DUMMYFUNCTION("""COMPUTED_VALUE"""),"selena.mihajlovic@fazi.rs")</f>
        <v>selena.mihajlovic@fazi.rs</v>
      </c>
      <c r="AI470" s="5"/>
      <c r="AJ470" s="5"/>
      <c r="AK470" s="5"/>
      <c r="AL470" s="5" t="str">
        <f ca="1">IFERROR(__xludf.DUMMYFUNCTION("""COMPUTED_VALUE"""),"No")</f>
        <v>No</v>
      </c>
      <c r="AM470" s="5" t="str">
        <f ca="1">IFERROR(__xludf.DUMMYFUNCTION("""COMPUTED_VALUE"""),"No")</f>
        <v>No</v>
      </c>
      <c r="AN470" s="7" t="str">
        <f ca="1">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AO470" s="5" t="str">
        <f ca="1">IFERROR(__xludf.DUMMYFUNCTION("""COMPUTED_VALUE"""),"No")</f>
        <v>No</v>
      </c>
      <c r="AP470" s="5" t="str">
        <f ca="1">IFERROR(__xludf.DUMMYFUNCTION("""COMPUTED_VALUE"""),"No")</f>
        <v>No</v>
      </c>
      <c r="AQ470" s="5" t="b">
        <f ca="1">IFERROR(__xludf.DUMMYFUNCTION("""COMPUTED_VALUE"""),TRUE)</f>
        <v>1</v>
      </c>
      <c r="AR470" s="5"/>
      <c r="AS470" s="5" t="str">
        <f ca="1">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AT470" s="5"/>
      <c r="AU470" s="5" t="str">
        <f ca="1">IFERROR(__xludf.DUMMYFUNCTION("""COMPUTED_VALUE"""),"Fazi")</f>
        <v>Fazi</v>
      </c>
      <c r="AV470" s="5"/>
      <c r="AW470" s="5"/>
      <c r="AX470" s="5"/>
      <c r="AY470" s="5"/>
      <c r="AZ470" s="5"/>
      <c r="BA470" s="5"/>
      <c r="BB470" s="5" t="b">
        <f ca="1">IFERROR(__xludf.DUMMYFUNCTION("""COMPUTED_VALUE"""),TRUE)</f>
        <v>1</v>
      </c>
      <c r="BC470" s="5" t="str">
        <f ca="1">IFERROR(__xludf.DUMMYFUNCTION("""COMPUTED_VALUE"""),"Playnet")</f>
        <v>Playnet</v>
      </c>
      <c r="BD470" s="7" t="str">
        <f ca="1">IFERROR(__xludf.DUMMYFUNCTION("""COMPUTED_VALUE"""),"https://gameserver-store-client-area.orbionlimited.com/Home/IntegrationGameLaunch/client-area?moneyType=0&amp;gameName=PlayNetFortuneClover20&amp;platform=desktop&amp;languageCode=eng&amp;currency=EUR")</f>
        <v>https://gameserver-store-client-area.orbionlimited.com/Home/IntegrationGameLaunch/client-area?moneyType=0&amp;gameName=PlayNetFortuneClover20&amp;platform=desktop&amp;languageCode=eng&amp;currency=EUR</v>
      </c>
      <c r="BE470" s="5" t="b">
        <f ca="1">IFERROR(__xludf.DUMMYFUNCTION("""COMPUTED_VALUE"""),TRUE)</f>
        <v>1</v>
      </c>
    </row>
    <row r="471" spans="1:57" x14ac:dyDescent="0.25">
      <c r="A471" s="5">
        <f ca="1">IFERROR(__xludf.DUMMYFUNCTION("""COMPUTED_VALUE"""),495)</f>
        <v>495</v>
      </c>
      <c r="B471" s="5">
        <f ca="1">IFERROR(__xludf.DUMMYFUNCTION("""COMPUTED_VALUE"""),3000001)</f>
        <v>3000001</v>
      </c>
      <c r="C471" s="5" t="str">
        <f ca="1">IFERROR(__xludf.DUMMYFUNCTION("""COMPUTED_VALUE"""),"SOKO studio")</f>
        <v>SOKO studio</v>
      </c>
      <c r="D471" s="5" t="str">
        <f ca="1">IFERROR(__xludf.DUMMYFUNCTION("""COMPUTED_VALUE"""),"Rock@roll")</f>
        <v>Rock@roll</v>
      </c>
      <c r="E471" s="5" t="str">
        <f ca="1">IFERROR(__xludf.DUMMYFUNCTION("""COMPUTED_VALUE"""),"SOKO studio")</f>
        <v>SOKO studio</v>
      </c>
      <c r="F471" s="5" t="str">
        <f ca="1">IFERROR(__xludf.DUMMYFUNCTION("""COMPUTED_VALUE"""),"rocket-roll")</f>
        <v>rocket-roll</v>
      </c>
      <c r="G471" s="5" t="str">
        <f ca="1">IFERROR(__xludf.DUMMYFUNCTION("""COMPUTED_VALUE"""),"Live")</f>
        <v>Live</v>
      </c>
      <c r="H471" s="5"/>
      <c r="I471" s="5" t="str">
        <f ca="1">IFERROR(__xludf.DUMMYFUNCTION("""COMPUTED_VALUE"""),"SOKO studio")</f>
        <v>SOKO studio</v>
      </c>
      <c r="J471" s="5" t="str">
        <f ca="1">IFERROR(__xludf.DUMMYFUNCTION("""COMPUTED_VALUE"""),"Aggregation platform")</f>
        <v>Aggregation platform</v>
      </c>
      <c r="K471" s="5"/>
      <c r="L471" s="5"/>
      <c r="M471" s="5"/>
      <c r="N471" s="5"/>
      <c r="O471" s="5"/>
      <c r="P471" s="5"/>
      <c r="Q471" s="5"/>
      <c r="R471" s="5"/>
      <c r="S471" s="15">
        <f ca="1">IFERROR(__xludf.DUMMYFUNCTION("""COMPUTED_VALUE"""),45729)</f>
        <v>45729</v>
      </c>
      <c r="T471" s="5" t="b">
        <f ca="1">IFERROR(__xludf.DUMMYFUNCTION("""COMPUTED_VALUE"""),TRUE)</f>
        <v>1</v>
      </c>
      <c r="U471" s="5"/>
      <c r="V471" s="5"/>
      <c r="W471" s="5"/>
      <c r="X471" s="5"/>
      <c r="Y471" s="5"/>
      <c r="Z471" s="5"/>
      <c r="AA471" s="5"/>
      <c r="AB471" s="5"/>
      <c r="AC471" s="5"/>
      <c r="AD471" s="5"/>
      <c r="AE471" s="5"/>
      <c r="AF471" s="5"/>
      <c r="AG471" s="10">
        <f ca="1">IFERROR(__xludf.DUMMYFUNCTION("""COMPUTED_VALUE"""),45726.4742708333)</f>
        <v>45726.4742708333</v>
      </c>
      <c r="AH471" s="5" t="str">
        <f ca="1">IFERROR(__xludf.DUMMYFUNCTION("""COMPUTED_VALUE"""),"aleksandra.pesic@fazi.rs")</f>
        <v>aleksandra.pesic@fazi.rs</v>
      </c>
      <c r="AI471" s="5"/>
      <c r="AJ471" s="5"/>
      <c r="AK471" s="5"/>
      <c r="AL471" s="5"/>
      <c r="AM471" s="5"/>
      <c r="AN471" s="5"/>
      <c r="AO471" s="5"/>
      <c r="AP471" s="5"/>
      <c r="AQ471" s="5"/>
      <c r="AR471" s="5"/>
      <c r="AS471" s="5"/>
      <c r="AT471" s="5"/>
      <c r="AU471" s="5"/>
      <c r="AV471" s="5"/>
      <c r="AW471" s="5"/>
      <c r="AX471" s="5"/>
      <c r="AY471" s="5"/>
      <c r="AZ471" s="5"/>
      <c r="BA471" s="5" t="str">
        <f ca="1">IFERROR(__xludf.DUMMYFUNCTION("""COMPUTED_VALUE"""),"")</f>
        <v/>
      </c>
      <c r="BB471" s="5"/>
      <c r="BC471" s="5" t="str">
        <f ca="1">IFERROR(__xludf.DUMMYFUNCTION("""COMPUTED_VALUE"""),"SOKO studio")</f>
        <v>SOKO studio</v>
      </c>
      <c r="BD471" s="5"/>
      <c r="BE471" s="5"/>
    </row>
    <row r="472" spans="1:57" x14ac:dyDescent="0.25">
      <c r="A472" s="5">
        <f ca="1">IFERROR(__xludf.DUMMYFUNCTION("""COMPUTED_VALUE"""),496)</f>
        <v>496</v>
      </c>
      <c r="B472" s="5">
        <f ca="1">IFERROR(__xludf.DUMMYFUNCTION("""COMPUTED_VALUE"""),3000002)</f>
        <v>3000002</v>
      </c>
      <c r="C472" s="5" t="str">
        <f ca="1">IFERROR(__xludf.DUMMYFUNCTION("""COMPUTED_VALUE"""),"SOKO studio")</f>
        <v>SOKO studio</v>
      </c>
      <c r="D472" s="5" t="str">
        <f ca="1">IFERROR(__xludf.DUMMYFUNCTION("""COMPUTED_VALUE"""),"Cosmic Comet Chase")</f>
        <v>Cosmic Comet Chase</v>
      </c>
      <c r="E472" s="5" t="str">
        <f ca="1">IFERROR(__xludf.DUMMYFUNCTION("""COMPUTED_VALUE"""),"SOKO studio")</f>
        <v>SOKO studio</v>
      </c>
      <c r="F472" s="5" t="str">
        <f ca="1">IFERROR(__xludf.DUMMYFUNCTION("""COMPUTED_VALUE"""),"cosmic-comet-chase")</f>
        <v>cosmic-comet-chase</v>
      </c>
      <c r="G472" s="5" t="str">
        <f ca="1">IFERROR(__xludf.DUMMYFUNCTION("""COMPUTED_VALUE"""),"Live")</f>
        <v>Live</v>
      </c>
      <c r="H472" s="5"/>
      <c r="I472" s="5" t="str">
        <f ca="1">IFERROR(__xludf.DUMMYFUNCTION("""COMPUTED_VALUE"""),"SOKO studio")</f>
        <v>SOKO studio</v>
      </c>
      <c r="J472" s="5" t="str">
        <f ca="1">IFERROR(__xludf.DUMMYFUNCTION("""COMPUTED_VALUE"""),"Aggregation platform")</f>
        <v>Aggregation platform</v>
      </c>
      <c r="K472" s="5"/>
      <c r="L472" s="5"/>
      <c r="M472" s="5"/>
      <c r="N472" s="5"/>
      <c r="O472" s="5"/>
      <c r="P472" s="5"/>
      <c r="Q472" s="5"/>
      <c r="R472" s="5"/>
      <c r="S472" s="15">
        <f ca="1">IFERROR(__xludf.DUMMYFUNCTION("""COMPUTED_VALUE"""),45736)</f>
        <v>45736</v>
      </c>
      <c r="T472" s="5" t="b">
        <f ca="1">IFERROR(__xludf.DUMMYFUNCTION("""COMPUTED_VALUE"""),TRUE)</f>
        <v>1</v>
      </c>
      <c r="U472" s="5"/>
      <c r="V472" s="5"/>
      <c r="W472" s="5"/>
      <c r="X472" s="5"/>
      <c r="Y472" s="5"/>
      <c r="Z472" s="5"/>
      <c r="AA472" s="5"/>
      <c r="AB472" s="5"/>
      <c r="AC472" s="5"/>
      <c r="AD472" s="5"/>
      <c r="AE472" s="5"/>
      <c r="AF472" s="5"/>
      <c r="AG472" s="10">
        <f ca="1">IFERROR(__xludf.DUMMYFUNCTION("""COMPUTED_VALUE"""),45726.4743171296)</f>
        <v>45726.4743171296</v>
      </c>
      <c r="AH472" s="5" t="str">
        <f ca="1">IFERROR(__xludf.DUMMYFUNCTION("""COMPUTED_VALUE"""),"aleksandra.pesic@fazi.rs")</f>
        <v>aleksandra.pesic@fazi.rs</v>
      </c>
      <c r="AI472" s="5"/>
      <c r="AJ472" s="5"/>
      <c r="AK472" s="5"/>
      <c r="AL472" s="5"/>
      <c r="AM472" s="5"/>
      <c r="AN472" s="5"/>
      <c r="AO472" s="5"/>
      <c r="AP472" s="5"/>
      <c r="AQ472" s="5"/>
      <c r="AR472" s="5"/>
      <c r="AS472" s="5"/>
      <c r="AT472" s="5"/>
      <c r="AU472" s="5"/>
      <c r="AV472" s="5"/>
      <c r="AW472" s="5"/>
      <c r="AX472" s="5"/>
      <c r="AY472" s="5"/>
      <c r="AZ472" s="5"/>
      <c r="BA472" s="5" t="str">
        <f ca="1">IFERROR(__xludf.DUMMYFUNCTION("""COMPUTED_VALUE"""),"")</f>
        <v/>
      </c>
      <c r="BB472" s="5"/>
      <c r="BC472" s="5" t="str">
        <f ca="1">IFERROR(__xludf.DUMMYFUNCTION("""COMPUTED_VALUE"""),"SOKO studio")</f>
        <v>SOKO studio</v>
      </c>
      <c r="BD472" s="5"/>
      <c r="BE472" s="5"/>
    </row>
    <row r="473" spans="1:57" x14ac:dyDescent="0.25">
      <c r="A473" s="5">
        <f ca="1">IFERROR(__xludf.DUMMYFUNCTION("""COMPUTED_VALUE"""),499)</f>
        <v>499</v>
      </c>
      <c r="B473" s="5">
        <f ca="1">IFERROR(__xludf.DUMMYFUNCTION("""COMPUTED_VALUE"""),3000003)</f>
        <v>3000003</v>
      </c>
      <c r="C473" s="5" t="str">
        <f ca="1">IFERROR(__xludf.DUMMYFUNCTION("""COMPUTED_VALUE"""),"SOKO studio")</f>
        <v>SOKO studio</v>
      </c>
      <c r="D473" s="5" t="str">
        <f ca="1">IFERROR(__xludf.DUMMYFUNCTION("""COMPUTED_VALUE"""),"Neon Fruits")</f>
        <v>Neon Fruits</v>
      </c>
      <c r="E473" s="5" t="str">
        <f ca="1">IFERROR(__xludf.DUMMYFUNCTION("""COMPUTED_VALUE"""),"SOKO studio")</f>
        <v>SOKO studio</v>
      </c>
      <c r="F473" s="5" t="str">
        <f ca="1">IFERROR(__xludf.DUMMYFUNCTION("""COMPUTED_VALUE"""),"neon-fruits")</f>
        <v>neon-fruits</v>
      </c>
      <c r="G473" s="5" t="str">
        <f ca="1">IFERROR(__xludf.DUMMYFUNCTION("""COMPUTED_VALUE"""),"Live")</f>
        <v>Live</v>
      </c>
      <c r="H473" s="5"/>
      <c r="I473" s="5" t="str">
        <f ca="1">IFERROR(__xludf.DUMMYFUNCTION("""COMPUTED_VALUE"""),"SOKO studio")</f>
        <v>SOKO studio</v>
      </c>
      <c r="J473" s="5" t="str">
        <f ca="1">IFERROR(__xludf.DUMMYFUNCTION("""COMPUTED_VALUE"""),"Aggregation platform")</f>
        <v>Aggregation platform</v>
      </c>
      <c r="K473" s="5"/>
      <c r="L473" s="5"/>
      <c r="M473" s="5"/>
      <c r="N473" s="5"/>
      <c r="O473" s="5"/>
      <c r="P473" s="5"/>
      <c r="Q473" s="5"/>
      <c r="R473" s="5"/>
      <c r="S473" s="15">
        <f ca="1">IFERROR(__xludf.DUMMYFUNCTION("""COMPUTED_VALUE"""),45755)</f>
        <v>45755</v>
      </c>
      <c r="T473" s="5"/>
      <c r="U473" s="5"/>
      <c r="V473" s="5"/>
      <c r="W473" s="5"/>
      <c r="X473" s="5"/>
      <c r="Y473" s="5"/>
      <c r="Z473" s="5"/>
      <c r="AA473" s="5"/>
      <c r="AB473" s="5"/>
      <c r="AC473" s="5"/>
      <c r="AD473" s="5"/>
      <c r="AE473" s="5"/>
      <c r="AF473" s="5"/>
      <c r="AG473" s="10">
        <f ca="1">IFERROR(__xludf.DUMMYFUNCTION("""COMPUTED_VALUE"""),45742.6579166666)</f>
        <v>45742.657916666598</v>
      </c>
      <c r="AH473" s="5" t="str">
        <f ca="1">IFERROR(__xludf.DUMMYFUNCTION("""COMPUTED_VALUE"""),"danica.stojanovic@fazi.rs")</f>
        <v>danica.stojanovic@fazi.rs</v>
      </c>
      <c r="AI473" s="5"/>
      <c r="AJ473" s="5"/>
      <c r="AK473" s="5"/>
      <c r="AL473" s="5"/>
      <c r="AM473" s="5"/>
      <c r="AN473" s="5"/>
      <c r="AO473" s="5"/>
      <c r="AP473" s="5"/>
      <c r="AQ473" s="5"/>
      <c r="AR473" s="5"/>
      <c r="AS473" s="5"/>
      <c r="AT473" s="5"/>
      <c r="AU473" s="5"/>
      <c r="AV473" s="5"/>
      <c r="AW473" s="5"/>
      <c r="AX473" s="5"/>
      <c r="AY473" s="5"/>
      <c r="AZ473" s="5"/>
      <c r="BA473" s="5" t="str">
        <f ca="1">IFERROR(__xludf.DUMMYFUNCTION("""COMPUTED_VALUE"""),"")</f>
        <v/>
      </c>
      <c r="BB473" s="5"/>
      <c r="BC473" s="5" t="str">
        <f ca="1">IFERROR(__xludf.DUMMYFUNCTION("""COMPUTED_VALUE"""),"SOKO studio")</f>
        <v>SOKO studio</v>
      </c>
      <c r="BD473" s="5"/>
      <c r="BE473" s="5"/>
    </row>
    <row r="474" spans="1:57" x14ac:dyDescent="0.25">
      <c r="A474" s="5">
        <f ca="1">IFERROR(__xludf.DUMMYFUNCTION("""COMPUTED_VALUE"""),500)</f>
        <v>500</v>
      </c>
      <c r="B474" s="5">
        <f ca="1">IFERROR(__xludf.DUMMYFUNCTION("""COMPUTED_VALUE"""),3011)</f>
        <v>3011</v>
      </c>
      <c r="C474" s="5" t="str">
        <f ca="1">IFERROR(__xludf.DUMMYFUNCTION("""COMPUTED_VALUE"""),"Fazi")</f>
        <v>Fazi</v>
      </c>
      <c r="D474" s="5" t="str">
        <f ca="1">IFERROR(__xludf.DUMMYFUNCTION("""COMPUTED_VALUE"""),"Golden Crown Booster")</f>
        <v>Golden Crown Booster</v>
      </c>
      <c r="E474" s="5" t="str">
        <f ca="1">IFERROR(__xludf.DUMMYFUNCTION("""COMPUTED_VALUE"""),"V2")</f>
        <v>V2</v>
      </c>
      <c r="F474" s="5" t="str">
        <f ca="1">IFERROR(__xludf.DUMMYFUNCTION("""COMPUTED_VALUE"""),"GoldenCrownBooster")</f>
        <v>GoldenCrownBooster</v>
      </c>
      <c r="G474" s="5" t="str">
        <f ca="1">IFERROR(__xludf.DUMMYFUNCTION("""COMPUTED_VALUE"""),"Live")</f>
        <v>Live</v>
      </c>
      <c r="H474" s="5"/>
      <c r="I474" s="5" t="str">
        <f ca="1">IFERROR(__xludf.DUMMYFUNCTION("""COMPUTED_VALUE"""),"V2")</f>
        <v>V2</v>
      </c>
      <c r="J474" s="5" t="str">
        <f ca="1">IFERROR(__xludf.DUMMYFUNCTION("""COMPUTED_VALUE"""),"JSON")</f>
        <v>JSON</v>
      </c>
      <c r="K474" s="5" t="str">
        <f ca="1">IFERROR(__xludf.DUMMYFUNCTION("""COMPUTED_VALUE"""),"Slot")</f>
        <v>Slot</v>
      </c>
      <c r="L474" s="5" t="str">
        <f ca="1">IFERROR(__xludf.DUMMYFUNCTION("""COMPUTED_VALUE""")," Clone")</f>
        <v xml:space="preserve"> Clone</v>
      </c>
      <c r="M474" s="5" t="str">
        <f ca="1">IFERROR(__xludf.DUMMYFUNCTION("""COMPUTED_VALUE"""),"Golden Crown")</f>
        <v>Golden Crown</v>
      </c>
      <c r="N474" s="7" t="str">
        <f ca="1">IFERROR(__xludf.DUMMYFUNCTION("""COMPUTED_VALUE"""),"https://drive.google.com/drive/folders/1E7Mxi22KXbprgaL9JSeePsLAKW7oSG31")</f>
        <v>https://drive.google.com/drive/folders/1E7Mxi22KXbprgaL9JSeePsLAKW7oSG31</v>
      </c>
      <c r="O474" s="7" t="str">
        <f ca="1">IFERROR(__xludf.DUMMYFUNCTION("""COMPUTED_VALUE"""),"https://drive.google.com/drive/folders/1E7Mxi22KXbprgaL9JSeePsLAKW7oSG31")</f>
        <v>https://drive.google.com/drive/folders/1E7Mxi22KXbprgaL9JSeePsLAKW7oSG31</v>
      </c>
      <c r="P474" s="14">
        <f ca="1">IFERROR(__xludf.DUMMYFUNCTION("""COMPUTED_VALUE"""),38.9)</f>
        <v>38.9</v>
      </c>
      <c r="Q474" s="5"/>
      <c r="R474" s="15">
        <f ca="1">IFERROR(__xludf.DUMMYFUNCTION("""COMPUTED_VALUE"""),45784)</f>
        <v>45784</v>
      </c>
      <c r="S474" s="15">
        <f ca="1">IFERROR(__xludf.DUMMYFUNCTION("""COMPUTED_VALUE"""),45791)</f>
        <v>45791</v>
      </c>
      <c r="T474" s="5" t="b">
        <f ca="1">IFERROR(__xludf.DUMMYFUNCTION("""COMPUTED_VALUE"""),TRUE)</f>
        <v>1</v>
      </c>
      <c r="U474" s="5" t="str">
        <f ca="1">IFERROR(__xludf.DUMMYFUNCTION("""COMPUTED_VALUE"""),"5x3")</f>
        <v>5x3</v>
      </c>
      <c r="V474" s="5">
        <f ca="1">IFERROR(__xludf.DUMMYFUNCTION("""COMPUTED_VALUE"""),10)</f>
        <v>10</v>
      </c>
      <c r="W474" s="5">
        <f ca="1">IFERROR(__xludf.DUMMYFUNCTION("""COMPUTED_VALUE"""),10)</f>
        <v>10</v>
      </c>
      <c r="X474" s="5">
        <f ca="1">IFERROR(__xludf.DUMMYFUNCTION("""COMPUTED_VALUE"""),95.962)</f>
        <v>95.962000000000003</v>
      </c>
      <c r="Y474" s="5" t="str">
        <f ca="1">IFERROR(__xludf.DUMMYFUNCTION("""COMPUTED_VALUE"""),"Medium")</f>
        <v>Medium</v>
      </c>
      <c r="Z474" s="5">
        <f ca="1">IFERROR(__xludf.DUMMYFUNCTION("""COMPUTED_VALUE"""),14.63)</f>
        <v>14.63</v>
      </c>
      <c r="AA474" s="5">
        <f ca="1">IFERROR(__xludf.DUMMYFUNCTION("""COMPUTED_VALUE"""),1538)</f>
        <v>1538</v>
      </c>
      <c r="AB474" s="5">
        <f ca="1">IFERROR(__xludf.DUMMYFUNCTION("""COMPUTED_VALUE"""),4)</f>
        <v>4</v>
      </c>
      <c r="AC474" s="5" t="str">
        <f ca="1">IFERROR(__xludf.DUMMYFUNCTION("""COMPUTED_VALUE"""),"Scatter, Expanding Wild, Buy Feature")</f>
        <v>Scatter, Expanding Wild, Buy Feature</v>
      </c>
      <c r="AD474" s="5" t="str">
        <f ca="1">IFERROR(__xludf.DUMMYFUNCTION("""COMPUTED_VALUE"""),"0.1/40")</f>
        <v>0.1/40</v>
      </c>
      <c r="AE474" s="5"/>
      <c r="AF474" s="5"/>
      <c r="AG474" s="10">
        <f ca="1">IFERROR(__xludf.DUMMYFUNCTION("""COMPUTED_VALUE"""),46198.5192592592)</f>
        <v>46198.519259259199</v>
      </c>
      <c r="AH474" s="5" t="str">
        <f ca="1">IFERROR(__xludf.DUMMYFUNCTION("""COMPUTED_VALUE"""),"selena.mihajlovic@fazi.rs")</f>
        <v>selena.mihajlovic@fazi.rs</v>
      </c>
      <c r="AI474" s="15">
        <f ca="1">IFERROR(__xludf.DUMMYFUNCTION("""COMPUTED_VALUE"""),45775)</f>
        <v>45775</v>
      </c>
      <c r="AJ474" s="5" t="str">
        <f ca="1">IFERROR(__xludf.DUMMYFUNCTION("""COMPUTED_VALUE"""),"- Circus.be  kazino (Gaming 1 integracija)
- Pronet 
- Premierbet sva kazina, Mercurybet i Guinee (Btobet integracija)
")</f>
        <v xml:space="preserve">- Circus.be  kazino (Gaming 1 integracija)
- Pronet 
- Premierbet sva kazina, Mercurybet i Guinee (Btobet integracija)
</v>
      </c>
      <c r="AK474" s="5">
        <f ca="1">IFERROR(__xludf.DUMMYFUNCTION("""COMPUTED_VALUE"""),10)</f>
        <v>10</v>
      </c>
      <c r="AL474" s="5" t="str">
        <f ca="1">IFERROR(__xludf.DUMMYFUNCTION("""COMPUTED_VALUE"""),"Yes")</f>
        <v>Yes</v>
      </c>
      <c r="AM474" s="5"/>
      <c r="AN474" s="7" t="str">
        <f ca="1">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4" s="5" t="str">
        <f ca="1">IFERROR(__xludf.DUMMYFUNCTION("""COMPUTED_VALUE"""),"Yes")</f>
        <v>Yes</v>
      </c>
      <c r="AP474" s="5" t="str">
        <f ca="1">IFERROR(__xludf.DUMMYFUNCTION("""COMPUTED_VALUE"""),"Yes")</f>
        <v>Yes</v>
      </c>
      <c r="AQ474" s="5" t="b">
        <f ca="1">IFERROR(__xludf.DUMMYFUNCTION("""COMPUTED_VALUE"""),TRUE)</f>
        <v>1</v>
      </c>
      <c r="AR474" s="5"/>
      <c r="AS474" s="5" t="str">
        <f ca="1">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AT474" s="5" t="str">
        <f ca="1">IFERROR(__xludf.DUMMYFUNCTION("""COMPUTED_VALUE"""),"No")</f>
        <v>No</v>
      </c>
      <c r="AU474" s="5" t="str">
        <f ca="1">IFERROR(__xludf.DUMMYFUNCTION("""COMPUTED_VALUE"""),"Fazi")</f>
        <v>Fazi</v>
      </c>
      <c r="AV474" s="5"/>
      <c r="AW474" s="5"/>
      <c r="AX474" s="5"/>
      <c r="AY474" s="5"/>
      <c r="AZ474" s="5"/>
      <c r="BA474" s="5">
        <f ca="1">IFERROR(__xludf.DUMMYFUNCTION("""COMPUTED_VALUE"""),5)</f>
        <v>5</v>
      </c>
      <c r="BB474" s="5"/>
      <c r="BC474" s="5" t="str">
        <f ca="1">IFERROR(__xludf.DUMMYFUNCTION("""COMPUTED_VALUE"""),"Foxi")</f>
        <v>Foxi</v>
      </c>
      <c r="BD474" s="7" t="str">
        <f ca="1">IFERROR(__xludf.DUMMYFUNCTION("""COMPUTED_VALUE"""),"https://gameserver-store-client-area.orbionlimited.com/Home/IntegrationGameLaunch/client-area?moneyType=0&amp;gameName=GoldenCrownBooster&amp;platform=desktop&amp;languageCode=eng&amp;currency=EUR")</f>
        <v>https://gameserver-store-client-area.orbionlimited.com/Home/IntegrationGameLaunch/client-area?moneyType=0&amp;gameName=GoldenCrownBooster&amp;platform=desktop&amp;languageCode=eng&amp;currency=EUR</v>
      </c>
      <c r="BE474" s="5" t="b">
        <f ca="1">IFERROR(__xludf.DUMMYFUNCTION("""COMPUTED_VALUE"""),TRUE)</f>
        <v>1</v>
      </c>
    </row>
    <row r="475" spans="1:57" x14ac:dyDescent="0.25">
      <c r="A475" s="5">
        <f ca="1">IFERROR(__xludf.DUMMYFUNCTION("""COMPUTED_VALUE"""),501)</f>
        <v>501</v>
      </c>
      <c r="B475" s="5">
        <f ca="1">IFERROR(__xludf.DUMMYFUNCTION("""COMPUTED_VALUE"""),3012)</f>
        <v>3012</v>
      </c>
      <c r="C475" s="5" t="str">
        <f ca="1">IFERROR(__xludf.DUMMYFUNCTION("""COMPUTED_VALUE"""),"Fazi")</f>
        <v>Fazi</v>
      </c>
      <c r="D475" s="5" t="str">
        <f ca="1">IFERROR(__xludf.DUMMYFUNCTION("""COMPUTED_VALUE"""),"Very Hot 5 Booster")</f>
        <v>Very Hot 5 Booster</v>
      </c>
      <c r="E475" s="5" t="str">
        <f ca="1">IFERROR(__xludf.DUMMYFUNCTION("""COMPUTED_VALUE"""),"V2")</f>
        <v>V2</v>
      </c>
      <c r="F475" s="5" t="str">
        <f ca="1">IFERROR(__xludf.DUMMYFUNCTION("""COMPUTED_VALUE"""),"VeryHot5Booster")</f>
        <v>VeryHot5Booster</v>
      </c>
      <c r="G475" s="5" t="str">
        <f ca="1">IFERROR(__xludf.DUMMYFUNCTION("""COMPUTED_VALUE"""),"Live")</f>
        <v>Live</v>
      </c>
      <c r="H475" s="5"/>
      <c r="I475" s="5" t="str">
        <f ca="1">IFERROR(__xludf.DUMMYFUNCTION("""COMPUTED_VALUE"""),"V2")</f>
        <v>V2</v>
      </c>
      <c r="J475" s="5" t="str">
        <f ca="1">IFERROR(__xludf.DUMMYFUNCTION("""COMPUTED_VALUE"""),"JSON")</f>
        <v>JSON</v>
      </c>
      <c r="K475" s="5" t="str">
        <f ca="1">IFERROR(__xludf.DUMMYFUNCTION("""COMPUTED_VALUE"""),"Slot")</f>
        <v>Slot</v>
      </c>
      <c r="L475" s="5" t="str">
        <f ca="1">IFERROR(__xludf.DUMMYFUNCTION("""COMPUTED_VALUE""")," Clone")</f>
        <v xml:space="preserve"> Clone</v>
      </c>
      <c r="M475" s="5" t="str">
        <f ca="1">IFERROR(__xludf.DUMMYFUNCTION("""COMPUTED_VALUE"""),"Very Hot 5")</f>
        <v>Very Hot 5</v>
      </c>
      <c r="N475" s="7" t="str">
        <f ca="1">IFERROR(__xludf.DUMMYFUNCTION("""COMPUTED_VALUE"""),"https://drive.google.com/drive/folders/1v8TLyjtbLiw7CDi6_PxsR9MjBAwfoDTs")</f>
        <v>https://drive.google.com/drive/folders/1v8TLyjtbLiw7CDi6_PxsR9MjBAwfoDTs</v>
      </c>
      <c r="O475" s="7" t="str">
        <f ca="1">IFERROR(__xludf.DUMMYFUNCTION("""COMPUTED_VALUE"""),"https://drive.google.com/drive/folders/1v8TLyjtbLiw7CDi6_PxsR9MjBAwfoDTs")</f>
        <v>https://drive.google.com/drive/folders/1v8TLyjtbLiw7CDi6_PxsR9MjBAwfoDTs</v>
      </c>
      <c r="P475" s="14">
        <f ca="1">IFERROR(__xludf.DUMMYFUNCTION("""COMPUTED_VALUE"""),19.5)</f>
        <v>19.5</v>
      </c>
      <c r="Q475" s="5"/>
      <c r="R475" s="15">
        <f ca="1">IFERROR(__xludf.DUMMYFUNCTION("""COMPUTED_VALUE"""),45784)</f>
        <v>45784</v>
      </c>
      <c r="S475" s="15">
        <f ca="1">IFERROR(__xludf.DUMMYFUNCTION("""COMPUTED_VALUE"""),45791)</f>
        <v>45791</v>
      </c>
      <c r="T475" s="5" t="b">
        <f ca="1">IFERROR(__xludf.DUMMYFUNCTION("""COMPUTED_VALUE"""),TRUE)</f>
        <v>1</v>
      </c>
      <c r="U475" s="5" t="str">
        <f ca="1">IFERROR(__xludf.DUMMYFUNCTION("""COMPUTED_VALUE"""),"5x3")</f>
        <v>5x3</v>
      </c>
      <c r="V475" s="5">
        <f ca="1">IFERROR(__xludf.DUMMYFUNCTION("""COMPUTED_VALUE"""),5)</f>
        <v>5</v>
      </c>
      <c r="W475" s="5">
        <f ca="1">IFERROR(__xludf.DUMMYFUNCTION("""COMPUTED_VALUE"""),5)</f>
        <v>5</v>
      </c>
      <c r="X475" s="5">
        <f ca="1">IFERROR(__xludf.DUMMYFUNCTION("""COMPUTED_VALUE"""),96.447)</f>
        <v>96.447000000000003</v>
      </c>
      <c r="Y475" s="5" t="str">
        <f ca="1">IFERROR(__xludf.DUMMYFUNCTION("""COMPUTED_VALUE"""),"Medium")</f>
        <v>Medium</v>
      </c>
      <c r="Z475" s="5">
        <f ca="1">IFERROR(__xludf.DUMMYFUNCTION("""COMPUTED_VALUE"""),14.51)</f>
        <v>14.51</v>
      </c>
      <c r="AA475" s="5">
        <f ca="1">IFERROR(__xludf.DUMMYFUNCTION("""COMPUTED_VALUE"""),1222)</f>
        <v>1222</v>
      </c>
      <c r="AB475" s="5">
        <f ca="1">IFERROR(__xludf.DUMMYFUNCTION("""COMPUTED_VALUE"""),4)</f>
        <v>4</v>
      </c>
      <c r="AC475" s="5" t="str">
        <f ca="1">IFERROR(__xludf.DUMMYFUNCTION("""COMPUTED_VALUE"""),"Scatter, Expanding Wild, Buy Feature")</f>
        <v>Scatter, Expanding Wild, Buy Feature</v>
      </c>
      <c r="AD475" s="5" t="str">
        <f ca="1">IFERROR(__xludf.DUMMYFUNCTION("""COMPUTED_VALUE"""),"0.5/30")</f>
        <v>0.5/30</v>
      </c>
      <c r="AE475" s="5"/>
      <c r="AF475" s="5"/>
      <c r="AG475" s="10">
        <f ca="1">IFERROR(__xludf.DUMMYFUNCTION("""COMPUTED_VALUE"""),46176.5001388888)</f>
        <v>46176.500138888798</v>
      </c>
      <c r="AH475" s="5" t="str">
        <f ca="1">IFERROR(__xludf.DUMMYFUNCTION("""COMPUTED_VALUE"""),"aleksandar.trajkovic@fazi.rs")</f>
        <v>aleksandar.trajkovic@fazi.rs</v>
      </c>
      <c r="AI475" s="5"/>
      <c r="AJ475" s="5"/>
      <c r="AK475" s="5">
        <f ca="1">IFERROR(__xludf.DUMMYFUNCTION("""COMPUTED_VALUE"""),5)</f>
        <v>5</v>
      </c>
      <c r="AL475" s="5" t="str">
        <f ca="1">IFERROR(__xludf.DUMMYFUNCTION("""COMPUTED_VALUE"""),"Yes")</f>
        <v>Yes</v>
      </c>
      <c r="AM475" s="5"/>
      <c r="AN475" s="7" t="str">
        <f ca="1">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AO475" s="5" t="str">
        <f ca="1">IFERROR(__xludf.DUMMYFUNCTION("""COMPUTED_VALUE"""),"Yes")</f>
        <v>Yes</v>
      </c>
      <c r="AP475" s="5" t="str">
        <f ca="1">IFERROR(__xludf.DUMMYFUNCTION("""COMPUTED_VALUE"""),"No")</f>
        <v>No</v>
      </c>
      <c r="AQ475" s="5" t="b">
        <f ca="1">IFERROR(__xludf.DUMMYFUNCTION("""COMPUTED_VALUE"""),TRUE)</f>
        <v>1</v>
      </c>
      <c r="AR475" s="5"/>
      <c r="AS475" s="5" t="str">
        <f ca="1">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AT475" s="5"/>
      <c r="AU475" s="5" t="str">
        <f ca="1">IFERROR(__xludf.DUMMYFUNCTION("""COMPUTED_VALUE"""),"Fazi")</f>
        <v>Fazi</v>
      </c>
      <c r="AV475" s="5"/>
      <c r="AW475" s="5"/>
      <c r="AX475" s="5"/>
      <c r="AY475" s="5"/>
      <c r="AZ475" s="5"/>
      <c r="BA475" s="5">
        <f ca="1">IFERROR(__xludf.DUMMYFUNCTION("""COMPUTED_VALUE"""),5)</f>
        <v>5</v>
      </c>
      <c r="BB475" s="5"/>
      <c r="BC475" s="5" t="str">
        <f ca="1">IFERROR(__xludf.DUMMYFUNCTION("""COMPUTED_VALUE"""),"Foxi")</f>
        <v>Foxi</v>
      </c>
      <c r="BD475" s="7" t="str">
        <f ca="1">IFERROR(__xludf.DUMMYFUNCTION("""COMPUTED_VALUE"""),"https://gameserver-store-client-area.orbionlimited.com/Home/IntegrationGameLaunch/client-area?moneyType=0&amp;gameName=VeryHot5Booster&amp;platform=desktop&amp;languageCode=eng&amp;currency=EUR")</f>
        <v>https://gameserver-store-client-area.orbionlimited.com/Home/IntegrationGameLaunch/client-area?moneyType=0&amp;gameName=VeryHot5Booster&amp;platform=desktop&amp;languageCode=eng&amp;currency=EUR</v>
      </c>
      <c r="BE475" s="5" t="b">
        <f ca="1">IFERROR(__xludf.DUMMYFUNCTION("""COMPUTED_VALUE"""),TRUE)</f>
        <v>1</v>
      </c>
    </row>
    <row r="476" spans="1:57" x14ac:dyDescent="0.25">
      <c r="A476" s="5">
        <f ca="1">IFERROR(__xludf.DUMMYFUNCTION("""COMPUTED_VALUE"""),502)</f>
        <v>502</v>
      </c>
      <c r="B476" s="5">
        <f ca="1">IFERROR(__xludf.DUMMYFUNCTION("""COMPUTED_VALUE"""),3016)</f>
        <v>3016</v>
      </c>
      <c r="C476" s="5" t="str">
        <f ca="1">IFERROR(__xludf.DUMMYFUNCTION("""COMPUTED_VALUE"""),"Fazi")</f>
        <v>Fazi</v>
      </c>
      <c r="D476" s="5" t="str">
        <f ca="1">IFERROR(__xludf.DUMMYFUNCTION("""COMPUTED_VALUE"""),"Epic Clover 40 Booster")</f>
        <v>Epic Clover 40 Booster</v>
      </c>
      <c r="E476" s="5" t="str">
        <f ca="1">IFERROR(__xludf.DUMMYFUNCTION("""COMPUTED_VALUE"""),"V2")</f>
        <v>V2</v>
      </c>
      <c r="F476" s="5" t="str">
        <f ca="1">IFERROR(__xludf.DUMMYFUNCTION("""COMPUTED_VALUE"""),"EpicClover40Booster")</f>
        <v>EpicClover40Booster</v>
      </c>
      <c r="G476" s="5" t="str">
        <f ca="1">IFERROR(__xludf.DUMMYFUNCTION("""COMPUTED_VALUE"""),"Live")</f>
        <v>Live</v>
      </c>
      <c r="H476" s="5"/>
      <c r="I476" s="5" t="str">
        <f ca="1">IFERROR(__xludf.DUMMYFUNCTION("""COMPUTED_VALUE"""),"V2")</f>
        <v>V2</v>
      </c>
      <c r="J476" s="5" t="str">
        <f ca="1">IFERROR(__xludf.DUMMYFUNCTION("""COMPUTED_VALUE"""),"JSON")</f>
        <v>JSON</v>
      </c>
      <c r="K476" s="5" t="str">
        <f ca="1">IFERROR(__xludf.DUMMYFUNCTION("""COMPUTED_VALUE"""),"Slot")</f>
        <v>Slot</v>
      </c>
      <c r="L476" s="5" t="str">
        <f ca="1">IFERROR(__xludf.DUMMYFUNCTION("""COMPUTED_VALUE""")," Clone")</f>
        <v xml:space="preserve"> Clone</v>
      </c>
      <c r="M476" s="5" t="str">
        <f ca="1">IFERROR(__xludf.DUMMYFUNCTION("""COMPUTED_VALUE"""),"Epic Clover 40")</f>
        <v>Epic Clover 40</v>
      </c>
      <c r="N476" s="7" t="str">
        <f ca="1">IFERROR(__xludf.DUMMYFUNCTION("""COMPUTED_VALUE"""),"https://drive.google.com/drive/folders/1YXBfTlfZhbE8STuraiERB1FtF1PzqAXe")</f>
        <v>https://drive.google.com/drive/folders/1YXBfTlfZhbE8STuraiERB1FtF1PzqAXe</v>
      </c>
      <c r="O476" s="7" t="str">
        <f ca="1">IFERROR(__xludf.DUMMYFUNCTION("""COMPUTED_VALUE"""),"https://drive.google.com/drive/folders/1YXBfTlfZhbE8STuraiERB1FtF1PzqAXe")</f>
        <v>https://drive.google.com/drive/folders/1YXBfTlfZhbE8STuraiERB1FtF1PzqAXe</v>
      </c>
      <c r="P476" s="14">
        <f ca="1">IFERROR(__xludf.DUMMYFUNCTION("""COMPUTED_VALUE"""),23.8)</f>
        <v>23.8</v>
      </c>
      <c r="Q476" s="5"/>
      <c r="R476" s="15">
        <f ca="1">IFERROR(__xludf.DUMMYFUNCTION("""COMPUTED_VALUE"""),45784)</f>
        <v>45784</v>
      </c>
      <c r="S476" s="15">
        <f ca="1">IFERROR(__xludf.DUMMYFUNCTION("""COMPUTED_VALUE"""),45791)</f>
        <v>45791</v>
      </c>
      <c r="T476" s="5" t="b">
        <f ca="1">IFERROR(__xludf.DUMMYFUNCTION("""COMPUTED_VALUE"""),TRUE)</f>
        <v>1</v>
      </c>
      <c r="U476" s="5" t="str">
        <f ca="1">IFERROR(__xludf.DUMMYFUNCTION("""COMPUTED_VALUE"""),"5x4")</f>
        <v>5x4</v>
      </c>
      <c r="V476" s="5">
        <f ca="1">IFERROR(__xludf.DUMMYFUNCTION("""COMPUTED_VALUE"""),40)</f>
        <v>40</v>
      </c>
      <c r="W476" s="5">
        <f ca="1">IFERROR(__xludf.DUMMYFUNCTION("""COMPUTED_VALUE"""),40)</f>
        <v>40</v>
      </c>
      <c r="X476" s="5">
        <f ca="1">IFERROR(__xludf.DUMMYFUNCTION("""COMPUTED_VALUE"""),96.502)</f>
        <v>96.501999999999995</v>
      </c>
      <c r="Y476" s="5" t="str">
        <f ca="1">IFERROR(__xludf.DUMMYFUNCTION("""COMPUTED_VALUE"""),"Medium")</f>
        <v>Medium</v>
      </c>
      <c r="Z476" s="5">
        <f ca="1">IFERROR(__xludf.DUMMYFUNCTION("""COMPUTED_VALUE"""),11.6)</f>
        <v>11.6</v>
      </c>
      <c r="AA476" s="5">
        <f ca="1">IFERROR(__xludf.DUMMYFUNCTION("""COMPUTED_VALUE"""),3000)</f>
        <v>3000</v>
      </c>
      <c r="AB476" s="5">
        <f ca="1">IFERROR(__xludf.DUMMYFUNCTION("""COMPUTED_VALUE"""),4)</f>
        <v>4</v>
      </c>
      <c r="AC476" s="5" t="str">
        <f ca="1">IFERROR(__xludf.DUMMYFUNCTION("""COMPUTED_VALUE"""),"Expanding Wild, Scatter, Buy Feature")</f>
        <v>Expanding Wild, Scatter, Buy Feature</v>
      </c>
      <c r="AD476" s="5" t="str">
        <f ca="1">IFERROR(__xludf.DUMMYFUNCTION("""COMPUTED_VALUE"""),"0.4/40")</f>
        <v>0.4/40</v>
      </c>
      <c r="AE476" s="5"/>
      <c r="AF476" s="5"/>
      <c r="AG476" s="10">
        <f ca="1">IFERROR(__xludf.DUMMYFUNCTION("""COMPUTED_VALUE"""),46198.5191203703)</f>
        <v>46198.5191203703</v>
      </c>
      <c r="AH476" s="5" t="str">
        <f ca="1">IFERROR(__xludf.DUMMYFUNCTION("""COMPUTED_VALUE"""),"selena.mihajlovic@fazi.rs")</f>
        <v>selena.mihajlovic@fazi.rs</v>
      </c>
      <c r="AI476" s="5"/>
      <c r="AJ476" s="5"/>
      <c r="AK476" s="5">
        <f ca="1">IFERROR(__xludf.DUMMYFUNCTION("""COMPUTED_VALUE"""),40)</f>
        <v>40</v>
      </c>
      <c r="AL476" s="5" t="str">
        <f ca="1">IFERROR(__xludf.DUMMYFUNCTION("""COMPUTED_VALUE"""),"Yes")</f>
        <v>Yes</v>
      </c>
      <c r="AM476" s="5"/>
      <c r="AN476" s="7" t="str">
        <f ca="1">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6" s="5" t="str">
        <f ca="1">IFERROR(__xludf.DUMMYFUNCTION("""COMPUTED_VALUE"""),"Yes")</f>
        <v>Yes</v>
      </c>
      <c r="AP476" s="5"/>
      <c r="AQ476" s="5" t="b">
        <f ca="1">IFERROR(__xludf.DUMMYFUNCTION("""COMPUTED_VALUE"""),TRUE)</f>
        <v>1</v>
      </c>
      <c r="AR476" s="5"/>
      <c r="AS476" s="5" t="str">
        <f ca="1">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AT476" s="5"/>
      <c r="AU476" s="5" t="str">
        <f ca="1">IFERROR(__xludf.DUMMYFUNCTION("""COMPUTED_VALUE"""),"Fazi")</f>
        <v>Fazi</v>
      </c>
      <c r="AV476" s="5"/>
      <c r="AW476" s="5"/>
      <c r="AX476" s="5"/>
      <c r="AY476" s="5"/>
      <c r="AZ476" s="5"/>
      <c r="BA476" s="5">
        <f ca="1">IFERROR(__xludf.DUMMYFUNCTION("""COMPUTED_VALUE"""),7)</f>
        <v>7</v>
      </c>
      <c r="BB476" s="5"/>
      <c r="BC476" s="5" t="str">
        <f ca="1">IFERROR(__xludf.DUMMYFUNCTION("""COMPUTED_VALUE"""),"Foxi")</f>
        <v>Foxi</v>
      </c>
      <c r="BD476" s="7" t="str">
        <f ca="1">IFERROR(__xludf.DUMMYFUNCTION("""COMPUTED_VALUE"""),"https://gameserver-store-client-area.orbionlimited.com/Home/IntegrationGameLaunch/client-area?moneyType=0&amp;gameName=EpicClover40Booster&amp;platform=desktop&amp;languageCode=eng&amp;currency=EUR")</f>
        <v>https://gameserver-store-client-area.orbionlimited.com/Home/IntegrationGameLaunch/client-area?moneyType=0&amp;gameName=EpicClover40Booster&amp;platform=desktop&amp;languageCode=eng&amp;currency=EUR</v>
      </c>
      <c r="BE476" s="5" t="b">
        <f ca="1">IFERROR(__xludf.DUMMYFUNCTION("""COMPUTED_VALUE"""),TRUE)</f>
        <v>1</v>
      </c>
    </row>
    <row r="477" spans="1:57" x14ac:dyDescent="0.25">
      <c r="A477" s="5">
        <f ca="1">IFERROR(__xludf.DUMMYFUNCTION("""COMPUTED_VALUE"""),506)</f>
        <v>506</v>
      </c>
      <c r="B477" s="5">
        <f ca="1">IFERROR(__xludf.DUMMYFUNCTION("""COMPUTED_VALUE"""),180016)</f>
        <v>180016</v>
      </c>
      <c r="C477" s="5" t="str">
        <f ca="1">IFERROR(__xludf.DUMMYFUNCTION("""COMPUTED_VALUE"""),"Redstone")</f>
        <v>Redstone</v>
      </c>
      <c r="D477" s="5" t="str">
        <f ca="1">IFERROR(__xludf.DUMMYFUNCTION("""COMPUTED_VALUE"""),"Multi Crown 10")</f>
        <v>Multi Crown 10</v>
      </c>
      <c r="E477" s="5" t="str">
        <f ca="1">IFERROR(__xludf.DUMMYFUNCTION("""COMPUTED_VALUE"""),"Redstone")</f>
        <v>Redstone</v>
      </c>
      <c r="F477" s="5" t="str">
        <f ca="1">IFERROR(__xludf.DUMMYFUNCTION("""COMPUTED_VALUE"""),"RedstoneMultiCrown10")</f>
        <v>RedstoneMultiCrown10</v>
      </c>
      <c r="G477" s="5" t="str">
        <f ca="1">IFERROR(__xludf.DUMMYFUNCTION("""COMPUTED_VALUE"""),"Live")</f>
        <v>Live</v>
      </c>
      <c r="H477" s="5"/>
      <c r="I477" s="5" t="str">
        <f ca="1">IFERROR(__xludf.DUMMYFUNCTION("""COMPUTED_VALUE"""),"Redstone")</f>
        <v>Redstone</v>
      </c>
      <c r="J477" s="5" t="str">
        <f ca="1">IFERROR(__xludf.DUMMYFUNCTION("""COMPUTED_VALUE"""),"JSON")</f>
        <v>JSON</v>
      </c>
      <c r="K477" s="5" t="str">
        <f ca="1">IFERROR(__xludf.DUMMYFUNCTION("""COMPUTED_VALUE"""),"Slot")</f>
        <v>Slot</v>
      </c>
      <c r="L477" s="5" t="str">
        <f ca="1">IFERROR(__xludf.DUMMYFUNCTION("""COMPUTED_VALUE""")," Clone")</f>
        <v xml:space="preserve"> Clone</v>
      </c>
      <c r="M477" s="5" t="str">
        <f ca="1">IFERROR(__xludf.DUMMYFUNCTION("""COMPUTED_VALUE"""),"Multi Clover 10")</f>
        <v>Multi Clover 10</v>
      </c>
      <c r="N477" s="7" t="str">
        <f ca="1">IFERROR(__xludf.DUMMYFUNCTION("""COMPUTED_VALUE"""),"https://drive.google.com/file/d/1FxFMrh81jeZhmR9kjvgWSmBDo91kdkwg/view?usp=drive_link")</f>
        <v>https://drive.google.com/file/d/1FxFMrh81jeZhmR9kjvgWSmBDo91kdkwg/view?usp=drive_link</v>
      </c>
      <c r="O477" s="7" t="str">
        <f ca="1">IFERROR(__xludf.DUMMYFUNCTION("""COMPUTED_VALUE"""),"https://drive.google.com/file/d/16Ns6l8sIiUoNONSVIlMt5kSv8VXKHB3b/view?usp=drive_link")</f>
        <v>https://drive.google.com/file/d/16Ns6l8sIiUoNONSVIlMt5kSv8VXKHB3b/view?usp=drive_link</v>
      </c>
      <c r="P477" s="14">
        <f ca="1">IFERROR(__xludf.DUMMYFUNCTION("""COMPUTED_VALUE"""),9)</f>
        <v>9</v>
      </c>
      <c r="Q477" s="5"/>
      <c r="R477" s="15">
        <f ca="1">IFERROR(__xludf.DUMMYFUNCTION("""COMPUTED_VALUE"""),45797)</f>
        <v>45797</v>
      </c>
      <c r="S477" s="15">
        <f ca="1">IFERROR(__xludf.DUMMYFUNCTION("""COMPUTED_VALUE"""),45804)</f>
        <v>45804</v>
      </c>
      <c r="T477" s="5" t="b">
        <f ca="1">IFERROR(__xludf.DUMMYFUNCTION("""COMPUTED_VALUE"""),TRUE)</f>
        <v>1</v>
      </c>
      <c r="U477" s="5" t="str">
        <f ca="1">IFERROR(__xludf.DUMMYFUNCTION("""COMPUTED_VALUE"""),"5x3")</f>
        <v>5x3</v>
      </c>
      <c r="V477" s="5">
        <f ca="1">IFERROR(__xludf.DUMMYFUNCTION("""COMPUTED_VALUE"""),10)</f>
        <v>10</v>
      </c>
      <c r="W477" s="5">
        <f ca="1">IFERROR(__xludf.DUMMYFUNCTION("""COMPUTED_VALUE"""),10)</f>
        <v>10</v>
      </c>
      <c r="X477" s="5">
        <f ca="1">IFERROR(__xludf.DUMMYFUNCTION("""COMPUTED_VALUE"""),96.01)</f>
        <v>96.01</v>
      </c>
      <c r="Y477" s="5" t="str">
        <f ca="1">IFERROR(__xludf.DUMMYFUNCTION("""COMPUTED_VALUE"""),"Medium")</f>
        <v>Medium</v>
      </c>
      <c r="Z477" s="5">
        <f ca="1">IFERROR(__xludf.DUMMYFUNCTION("""COMPUTED_VALUE"""),13.61)</f>
        <v>13.61</v>
      </c>
      <c r="AA477" s="5">
        <f ca="1">IFERROR(__xludf.DUMMYFUNCTION("""COMPUTED_VALUE"""),1615)</f>
        <v>1615</v>
      </c>
      <c r="AB477" s="5"/>
      <c r="AC477" s="5" t="str">
        <f ca="1">IFERROR(__xludf.DUMMYFUNCTION("""COMPUTED_VALUE"""),"Expanding Wild, Win Multiplier")</f>
        <v>Expanding Wild, Win Multiplier</v>
      </c>
      <c r="AD477" s="5" t="str">
        <f ca="1">IFERROR(__xludf.DUMMYFUNCTION("""COMPUTED_VALUE"""),"0.10/50")</f>
        <v>0.10/50</v>
      </c>
      <c r="AE477" s="5"/>
      <c r="AF477" s="5"/>
      <c r="AG477" s="10">
        <f ca="1">IFERROR(__xludf.DUMMYFUNCTION("""COMPUTED_VALUE"""),46157.5290856481)</f>
        <v>46157.529085648101</v>
      </c>
      <c r="AH477" s="5"/>
      <c r="AI477" s="15">
        <f ca="1">IFERROR(__xludf.DUMMYFUNCTION("""COMPUTED_VALUE"""),45792)</f>
        <v>45792</v>
      </c>
      <c r="AJ477" s="5" t="str">
        <f ca="1">IFERROR(__xludf.DUMMYFUNCTION("""COMPUTED_VALUE"""),"BtoBet;
Premierbet Mali 
Premierbet - sva kazina koja idu preko BtoBet-a
GuineeGames
Mercurybet")</f>
        <v>BtoBet;
Premierbet Mali 
Premierbet - sva kazina koja idu preko BtoBet-a
GuineeGames
Mercurybet</v>
      </c>
      <c r="AK477" s="5">
        <f ca="1">IFERROR(__xludf.DUMMYFUNCTION("""COMPUTED_VALUE"""),1)</f>
        <v>1</v>
      </c>
      <c r="AL477" s="5" t="str">
        <f ca="1">IFERROR(__xludf.DUMMYFUNCTION("""COMPUTED_VALUE"""),"No")</f>
        <v>No</v>
      </c>
      <c r="AM477" s="5" t="str">
        <f ca="1">IFERROR(__xludf.DUMMYFUNCTION("""COMPUTED_VALUE"""),"No")</f>
        <v>No</v>
      </c>
      <c r="AN477" s="7" t="str">
        <f ca="1">IFERROR(__xludf.DUMMYFUNCTION("""COMPUTED_VALUE"""),"https://static.redstone.rs/games/multi-crown-10/")</f>
        <v>https://static.redstone.rs/games/multi-crown-10/</v>
      </c>
      <c r="AO477" s="5" t="str">
        <f ca="1">IFERROR(__xludf.DUMMYFUNCTION("""COMPUTED_VALUE"""),"No")</f>
        <v>No</v>
      </c>
      <c r="AP477" s="5" t="str">
        <f ca="1">IFERROR(__xludf.DUMMYFUNCTION("""COMPUTED_VALUE"""),"No")</f>
        <v>No</v>
      </c>
      <c r="AQ477" s="5" t="b">
        <f ca="1">IFERROR(__xludf.DUMMYFUNCTION("""COMPUTED_VALUE"""),TRUE)</f>
        <v>1</v>
      </c>
      <c r="AR477" s="5"/>
      <c r="AS477" s="5" t="str">
        <f ca="1">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AT477" s="5"/>
      <c r="AU477" s="5" t="str">
        <f ca="1">IFERROR(__xludf.DUMMYFUNCTION("""COMPUTED_VALUE"""),"Redstone")</f>
        <v>Redstone</v>
      </c>
      <c r="AV477" s="5"/>
      <c r="AW477" s="5"/>
      <c r="AX477" s="5"/>
      <c r="AY477" s="5"/>
      <c r="AZ477" s="5"/>
      <c r="BA477" s="5"/>
      <c r="BB477" s="5" t="b">
        <f ca="1">IFERROR(__xludf.DUMMYFUNCTION("""COMPUTED_VALUE"""),TRUE)</f>
        <v>1</v>
      </c>
      <c r="BC477" s="5" t="str">
        <f ca="1">IFERROR(__xludf.DUMMYFUNCTION("""COMPUTED_VALUE"""),"Redstone")</f>
        <v>Redstone</v>
      </c>
      <c r="BD477" s="7" t="str">
        <f ca="1">IFERROR(__xludf.DUMMYFUNCTION("""COMPUTED_VALUE"""),"https://static.redstone.rs/games/multi-crown-10/")</f>
        <v>https://static.redstone.rs/games/multi-crown-10/</v>
      </c>
      <c r="BE477" s="5" t="b">
        <f ca="1">IFERROR(__xludf.DUMMYFUNCTION("""COMPUTED_VALUE"""),TRUE)</f>
        <v>1</v>
      </c>
    </row>
    <row r="478" spans="1:57" x14ac:dyDescent="0.25">
      <c r="A478" s="5">
        <f ca="1">IFERROR(__xludf.DUMMYFUNCTION("""COMPUTED_VALUE"""),507)</f>
        <v>507</v>
      </c>
      <c r="B478" s="5">
        <f ca="1">IFERROR(__xludf.DUMMYFUNCTION("""COMPUTED_VALUE"""),4010)</f>
        <v>4010</v>
      </c>
      <c r="C478" s="5" t="str">
        <f ca="1">IFERROR(__xludf.DUMMYFUNCTION("""COMPUTED_VALUE"""),"Fazi")</f>
        <v>Fazi</v>
      </c>
      <c r="D478" s="5" t="str">
        <f ca="1">IFERROR(__xludf.DUMMYFUNCTION("""COMPUTED_VALUE"""),"Betwoon Hot 5")</f>
        <v>Betwoon Hot 5</v>
      </c>
      <c r="E478" s="5" t="str">
        <f ca="1">IFERROR(__xludf.DUMMYFUNCTION("""COMPUTED_VALUE"""),"Sertifikacioni")</f>
        <v>Sertifikacioni</v>
      </c>
      <c r="F478" s="5" t="str">
        <f ca="1">IFERROR(__xludf.DUMMYFUNCTION("""COMPUTED_VALUE"""),"BetwoonHot5")</f>
        <v>BetwoonHot5</v>
      </c>
      <c r="G478" s="5" t="str">
        <f ca="1">IFERROR(__xludf.DUMMYFUNCTION("""COMPUTED_VALUE"""),"Live")</f>
        <v>Live</v>
      </c>
      <c r="H478" s="5"/>
      <c r="I478" s="5"/>
      <c r="J478" s="5" t="str">
        <f ca="1">IFERROR(__xludf.DUMMYFUNCTION("""COMPUTED_VALUE"""),"JSON")</f>
        <v>JSON</v>
      </c>
      <c r="K478" s="5" t="str">
        <f ca="1">IFERROR(__xludf.DUMMYFUNCTION("""COMPUTED_VALUE"""),"Slot")</f>
        <v>Slot</v>
      </c>
      <c r="L478" s="5" t="str">
        <f ca="1">IFERROR(__xludf.DUMMYFUNCTION("""COMPUTED_VALUE""")," Reskin")</f>
        <v xml:space="preserve"> Reskin</v>
      </c>
      <c r="M478" s="5"/>
      <c r="N478" s="5"/>
      <c r="O478" s="5"/>
      <c r="P478" s="5"/>
      <c r="Q478" s="15">
        <f ca="1">IFERROR(__xludf.DUMMYFUNCTION("""COMPUTED_VALUE"""),45698)</f>
        <v>45698</v>
      </c>
      <c r="R478" s="5"/>
      <c r="S478" s="5"/>
      <c r="T478" s="5"/>
      <c r="U478" s="5"/>
      <c r="V478" s="5"/>
      <c r="W478" s="5"/>
      <c r="X478" s="5">
        <f ca="1">IFERROR(__xludf.DUMMYFUNCTION("""COMPUTED_VALUE"""),96.447)</f>
        <v>96.447000000000003</v>
      </c>
      <c r="Y478" s="5"/>
      <c r="Z478" s="5">
        <f ca="1">IFERROR(__xludf.DUMMYFUNCTION("""COMPUTED_VALUE"""),14.51)</f>
        <v>14.51</v>
      </c>
      <c r="AA478" s="5">
        <f ca="1">IFERROR(__xludf.DUMMYFUNCTION("""COMPUTED_VALUE"""),1222)</f>
        <v>1222</v>
      </c>
      <c r="AB478" s="5"/>
      <c r="AC478" s="5"/>
      <c r="AD478" s="5"/>
      <c r="AE478" s="5"/>
      <c r="AF478" s="5"/>
      <c r="AG478" s="10">
        <f ca="1">IFERROR(__xludf.DUMMYFUNCTION("""COMPUTED_VALUE"""),46020.5136342592)</f>
        <v>46020.513634259201</v>
      </c>
      <c r="AH478" s="5" t="str">
        <f ca="1">IFERROR(__xludf.DUMMYFUNCTION("""COMPUTED_VALUE"""),"djordje.jankovic@fazi.rs")</f>
        <v>djordje.jankovic@fazi.rs</v>
      </c>
      <c r="AI478" s="15">
        <f ca="1">IFERROR(__xludf.DUMMYFUNCTION("""COMPUTED_VALUE"""),45706)</f>
        <v>45706</v>
      </c>
      <c r="AJ478" s="5"/>
      <c r="AK478" s="5">
        <f ca="1">IFERROR(__xludf.DUMMYFUNCTION("""COMPUTED_VALUE"""),5)</f>
        <v>5</v>
      </c>
      <c r="AL478" s="5" t="str">
        <f ca="1">IFERROR(__xludf.DUMMYFUNCTION("""COMPUTED_VALUE"""),"Yes")</f>
        <v>Yes</v>
      </c>
      <c r="AM478" s="5"/>
      <c r="AN478" s="5"/>
      <c r="AO478" s="5"/>
      <c r="AP478" s="5"/>
      <c r="AQ478" s="5"/>
      <c r="AR478" s="5" t="b">
        <f ca="1">IFERROR(__xludf.DUMMYFUNCTION("""COMPUTED_VALUE"""),TRUE)</f>
        <v>1</v>
      </c>
      <c r="AS478" s="5"/>
      <c r="AT478" s="5"/>
      <c r="AU478" s="5" t="str">
        <f ca="1">IFERROR(__xludf.DUMMYFUNCTION("""COMPUTED_VALUE"""),"Fazi")</f>
        <v>Fazi</v>
      </c>
      <c r="AV478" s="5"/>
      <c r="AW478" s="5"/>
      <c r="AX478" s="5"/>
      <c r="AY478" s="5"/>
      <c r="AZ478" s="5"/>
      <c r="BA478" s="5" t="str">
        <f ca="1">IFERROR(__xludf.DUMMYFUNCTION("""COMPUTED_VALUE"""),"")</f>
        <v/>
      </c>
      <c r="BB478" s="5"/>
      <c r="BC478" s="5" t="str">
        <f ca="1">IFERROR(__xludf.DUMMYFUNCTION("""COMPUTED_VALUE"""),"Foxi")</f>
        <v>Foxi</v>
      </c>
      <c r="BD478" s="5" t="str">
        <f ca="1">IFERROR(__xludf.DUMMYFUNCTION("""COMPUTED_VALUE"""),"")</f>
        <v/>
      </c>
      <c r="BE478" s="5"/>
    </row>
    <row r="479" spans="1:57" x14ac:dyDescent="0.25">
      <c r="A479" s="5">
        <f ca="1">IFERROR(__xludf.DUMMYFUNCTION("""COMPUTED_VALUE"""),508)</f>
        <v>508</v>
      </c>
      <c r="B479" s="5">
        <f ca="1">IFERROR(__xludf.DUMMYFUNCTION("""COMPUTED_VALUE"""),3009)</f>
        <v>3009</v>
      </c>
      <c r="C479" s="5" t="str">
        <f ca="1">IFERROR(__xludf.DUMMYFUNCTION("""COMPUTED_VALUE"""),"Fazi")</f>
        <v>Fazi</v>
      </c>
      <c r="D479" s="5" t="str">
        <f ca="1">IFERROR(__xludf.DUMMYFUNCTION("""COMPUTED_VALUE"""),"Golden Crown Extreme")</f>
        <v>Golden Crown Extreme</v>
      </c>
      <c r="E479" s="5" t="str">
        <f ca="1">IFERROR(__xludf.DUMMYFUNCTION("""COMPUTED_VALUE"""),"V2")</f>
        <v>V2</v>
      </c>
      <c r="F479" s="5" t="str">
        <f ca="1">IFERROR(__xludf.DUMMYFUNCTION("""COMPUTED_VALUE"""),"GoldenCrownExtreme")</f>
        <v>GoldenCrownExtreme</v>
      </c>
      <c r="G479" s="5" t="str">
        <f ca="1">IFERROR(__xludf.DUMMYFUNCTION("""COMPUTED_VALUE"""),"Live")</f>
        <v>Live</v>
      </c>
      <c r="H479" s="5"/>
      <c r="I479" s="5" t="str">
        <f ca="1">IFERROR(__xludf.DUMMYFUNCTION("""COMPUTED_VALUE"""),"V4")</f>
        <v>V4</v>
      </c>
      <c r="J479" s="5" t="str">
        <f ca="1">IFERROR(__xludf.DUMMYFUNCTION("""COMPUTED_VALUE"""),"JSON")</f>
        <v>JSON</v>
      </c>
      <c r="K479" s="5" t="str">
        <f ca="1">IFERROR(__xludf.DUMMYFUNCTION("""COMPUTED_VALUE"""),"Slot")</f>
        <v>Slot</v>
      </c>
      <c r="L479" s="5" t="str">
        <f ca="1">IFERROR(__xludf.DUMMYFUNCTION("""COMPUTED_VALUE""")," Clone")</f>
        <v xml:space="preserve"> Clone</v>
      </c>
      <c r="M479" s="5" t="str">
        <f ca="1">IFERROR(__xludf.DUMMYFUNCTION("""COMPUTED_VALUE"""),"Very Hot 40 Extreme")</f>
        <v>Very Hot 40 Extreme</v>
      </c>
      <c r="N479" s="7" t="str">
        <f ca="1">IFERROR(__xludf.DUMMYFUNCTION("""COMPUTED_VALUE"""),"https://drive.google.com/drive/folders/1rfagR-Gq8bh6HT3DqZCroCVSfPzgTrJO")</f>
        <v>https://drive.google.com/drive/folders/1rfagR-Gq8bh6HT3DqZCroCVSfPzgTrJO</v>
      </c>
      <c r="O479" s="7" t="str">
        <f ca="1">IFERROR(__xludf.DUMMYFUNCTION("""COMPUTED_VALUE"""),"https://drive.google.com/drive/folders/1rfagR-Gq8bh6HT3DqZCroCVSfPzgTrJO")</f>
        <v>https://drive.google.com/drive/folders/1rfagR-Gq8bh6HT3DqZCroCVSfPzgTrJO</v>
      </c>
      <c r="P479" s="14">
        <f ca="1">IFERROR(__xludf.DUMMYFUNCTION("""COMPUTED_VALUE"""),36)</f>
        <v>36</v>
      </c>
      <c r="Q479" s="5"/>
      <c r="R479" s="15">
        <f ca="1">IFERROR(__xludf.DUMMYFUNCTION("""COMPUTED_VALUE"""),45798)</f>
        <v>45798</v>
      </c>
      <c r="S479" s="15">
        <f ca="1">IFERROR(__xludf.DUMMYFUNCTION("""COMPUTED_VALUE"""),45805)</f>
        <v>45805</v>
      </c>
      <c r="T479" s="5" t="b">
        <f ca="1">IFERROR(__xludf.DUMMYFUNCTION("""COMPUTED_VALUE"""),TRUE)</f>
        <v>1</v>
      </c>
      <c r="U479" s="5" t="str">
        <f ca="1">IFERROR(__xludf.DUMMYFUNCTION("""COMPUTED_VALUE"""),"5x3")</f>
        <v>5x3</v>
      </c>
      <c r="V479" s="5">
        <f ca="1">IFERROR(__xludf.DUMMYFUNCTION("""COMPUTED_VALUE"""),10)</f>
        <v>10</v>
      </c>
      <c r="W479" s="5">
        <f ca="1">IFERROR(__xludf.DUMMYFUNCTION("""COMPUTED_VALUE"""),10)</f>
        <v>10</v>
      </c>
      <c r="X479" s="5">
        <f ca="1">IFERROR(__xludf.DUMMYFUNCTION("""COMPUTED_VALUE"""),96.535)</f>
        <v>96.534999999999997</v>
      </c>
      <c r="Y479" s="5" t="str">
        <f ca="1">IFERROR(__xludf.DUMMYFUNCTION("""COMPUTED_VALUE"""),"Medium")</f>
        <v>Medium</v>
      </c>
      <c r="Z479" s="5">
        <f ca="1">IFERROR(__xludf.DUMMYFUNCTION("""COMPUTED_VALUE"""),14.28)</f>
        <v>14.28</v>
      </c>
      <c r="AA479" s="5">
        <f ca="1">IFERROR(__xludf.DUMMYFUNCTION("""COMPUTED_VALUE"""),3076)</f>
        <v>3076</v>
      </c>
      <c r="AB479" s="5"/>
      <c r="AC479" s="5" t="str">
        <f ca="1">IFERROR(__xludf.DUMMYFUNCTION("""COMPUTED_VALUE"""),"Scatter, Win Multiplier, Expanding Wild")</f>
        <v>Scatter, Win Multiplier, Expanding Wild</v>
      </c>
      <c r="AD479" s="5" t="str">
        <f ca="1">IFERROR(__xludf.DUMMYFUNCTION("""COMPUTED_VALUE"""),"01/50")</f>
        <v>01/50</v>
      </c>
      <c r="AE479" s="5"/>
      <c r="AF479" s="5"/>
      <c r="AG479" s="10">
        <f ca="1">IFERROR(__xludf.DUMMYFUNCTION("""COMPUTED_VALUE"""),46212.4564236111)</f>
        <v>46212.456423611096</v>
      </c>
      <c r="AH479" s="5" t="str">
        <f ca="1">IFERROR(__xludf.DUMMYFUNCTION("""COMPUTED_VALUE"""),"milena.kocic@fazi.rs")</f>
        <v>milena.kocic@fazi.rs</v>
      </c>
      <c r="AI479" s="5"/>
      <c r="AJ479" s="5"/>
      <c r="AK479" s="5">
        <f ca="1">IFERROR(__xludf.DUMMYFUNCTION("""COMPUTED_VALUE"""),10)</f>
        <v>10</v>
      </c>
      <c r="AL479" s="5" t="str">
        <f ca="1">IFERROR(__xludf.DUMMYFUNCTION("""COMPUTED_VALUE"""),"Yes")</f>
        <v>Yes</v>
      </c>
      <c r="AM479" s="5" t="str">
        <f ca="1">IFERROR(__xludf.DUMMYFUNCTION("""COMPUTED_VALUE"""),"No")</f>
        <v>No</v>
      </c>
      <c r="AN479" s="7" t="str">
        <f ca="1">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9" s="5" t="str">
        <f ca="1">IFERROR(__xludf.DUMMYFUNCTION("""COMPUTED_VALUE"""),"Yes")</f>
        <v>Yes</v>
      </c>
      <c r="AP479" s="5" t="str">
        <f ca="1">IFERROR(__xludf.DUMMYFUNCTION("""COMPUTED_VALUE"""),"Yes")</f>
        <v>Yes</v>
      </c>
      <c r="AQ479" s="5" t="b">
        <f ca="1">IFERROR(__xludf.DUMMYFUNCTION("""COMPUTED_VALUE"""),TRUE)</f>
        <v>1</v>
      </c>
      <c r="AR479" s="5"/>
      <c r="AS479" s="5" t="str">
        <f ca="1">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AT479" s="5"/>
      <c r="AU479" s="5" t="str">
        <f ca="1">IFERROR(__xludf.DUMMYFUNCTION("""COMPUTED_VALUE"""),"Fazi")</f>
        <v>Fazi</v>
      </c>
      <c r="AV479" s="5"/>
      <c r="AW479" s="5"/>
      <c r="AX479" s="5"/>
      <c r="AY479" s="5"/>
      <c r="AZ479" s="5"/>
      <c r="BA479" s="5"/>
      <c r="BB479" s="5"/>
      <c r="BC479" s="5" t="str">
        <f ca="1">IFERROR(__xludf.DUMMYFUNCTION("""COMPUTED_VALUE"""),"Foxi")</f>
        <v>Foxi</v>
      </c>
      <c r="BD479" s="7" t="str">
        <f ca="1">IFERROR(__xludf.DUMMYFUNCTION("""COMPUTED_VALUE"""),"https://gameserver-store-client-area.orbionlimited.com/Home/IntegrationGameLaunch/client-area?moneyType=0&amp;gameName=GoldenCrownExtreme&amp;platform=desktop&amp;languageCode=eng&amp;currency=EUR")</f>
        <v>https://gameserver-store-client-area.orbionlimited.com/Home/IntegrationGameLaunch/client-area?moneyType=0&amp;gameName=GoldenCrownExtreme&amp;platform=desktop&amp;languageCode=eng&amp;currency=EUR</v>
      </c>
      <c r="BE479" s="5" t="b">
        <f ca="1">IFERROR(__xludf.DUMMYFUNCTION("""COMPUTED_VALUE"""),TRUE)</f>
        <v>1</v>
      </c>
    </row>
    <row r="480" spans="1:57" x14ac:dyDescent="0.25">
      <c r="A480" s="5">
        <f ca="1">IFERROR(__xludf.DUMMYFUNCTION("""COMPUTED_VALUE"""),509)</f>
        <v>509</v>
      </c>
      <c r="B480" s="5">
        <f ca="1">IFERROR(__xludf.DUMMYFUNCTION("""COMPUTED_VALUE"""),503)</f>
        <v>503</v>
      </c>
      <c r="C480" s="5" t="str">
        <f ca="1">IFERROR(__xludf.DUMMYFUNCTION("""COMPUTED_VALUE"""),"Playnet")</f>
        <v>Playnet</v>
      </c>
      <c r="D480" s="5" t="str">
        <f ca="1">IFERROR(__xludf.DUMMYFUNCTION("""COMPUTED_VALUE"""),"Majestic Crown 5")</f>
        <v>Majestic Crown 5</v>
      </c>
      <c r="E480" s="5" t="str">
        <f ca="1">IFERROR(__xludf.DUMMYFUNCTION("""COMPUTED_VALUE"""),"Sertifikacioni")</f>
        <v>Sertifikacioni</v>
      </c>
      <c r="F480" s="5" t="str">
        <f ca="1">IFERROR(__xludf.DUMMYFUNCTION("""COMPUTED_VALUE"""),"PlayNetMajesticCrown5")</f>
        <v>PlayNetMajesticCrown5</v>
      </c>
      <c r="G480" s="5" t="str">
        <f ca="1">IFERROR(__xludf.DUMMYFUNCTION("""COMPUTED_VALUE"""),"Live")</f>
        <v>Live</v>
      </c>
      <c r="H480" s="5"/>
      <c r="I480" s="5"/>
      <c r="J480" s="5"/>
      <c r="K480" s="5" t="str">
        <f ca="1">IFERROR(__xludf.DUMMYFUNCTION("""COMPUTED_VALUE"""),"Slot")</f>
        <v>Slot</v>
      </c>
      <c r="L480" s="5" t="str">
        <f ca="1">IFERROR(__xludf.DUMMYFUNCTION("""COMPUTED_VALUE""")," Reskin")</f>
        <v xml:space="preserve"> Reskin</v>
      </c>
      <c r="M480" s="5" t="str">
        <f ca="1">IFERROR(__xludf.DUMMYFUNCTION("""COMPUTED_VALUE"""),"Epic Crown 5")</f>
        <v>Epic Crown 5</v>
      </c>
      <c r="N480" s="5"/>
      <c r="O480" s="5"/>
      <c r="P480" s="14">
        <f ca="1">IFERROR(__xludf.DUMMYFUNCTION("""COMPUTED_VALUE"""),7.2)</f>
        <v>7.2</v>
      </c>
      <c r="Q480" s="15">
        <f ca="1">IFERROR(__xludf.DUMMYFUNCTION("""COMPUTED_VALUE"""),45831)</f>
        <v>45831</v>
      </c>
      <c r="R480" s="15">
        <f ca="1">IFERROR(__xludf.DUMMYFUNCTION("""COMPUTED_VALUE"""),45832)</f>
        <v>45832</v>
      </c>
      <c r="S480" s="15">
        <f ca="1">IFERROR(__xludf.DUMMYFUNCTION("""COMPUTED_VALUE"""),45839)</f>
        <v>45839</v>
      </c>
      <c r="T480" s="5" t="b">
        <f ca="1">IFERROR(__xludf.DUMMYFUNCTION("""COMPUTED_VALUE"""),TRUE)</f>
        <v>1</v>
      </c>
      <c r="U480" s="5" t="str">
        <f ca="1">IFERROR(__xludf.DUMMYFUNCTION("""COMPUTED_VALUE"""),"5x3")</f>
        <v>5x3</v>
      </c>
      <c r="V480" s="5">
        <f ca="1">IFERROR(__xludf.DUMMYFUNCTION("""COMPUTED_VALUE"""),5)</f>
        <v>5</v>
      </c>
      <c r="W480" s="5">
        <f ca="1">IFERROR(__xludf.DUMMYFUNCTION("""COMPUTED_VALUE"""),5)</f>
        <v>5</v>
      </c>
      <c r="X480" s="5">
        <f ca="1">IFERROR(__xludf.DUMMYFUNCTION("""COMPUTED_VALUE"""),96.962)</f>
        <v>96.962000000000003</v>
      </c>
      <c r="Y480" s="5" t="str">
        <f ca="1">IFERROR(__xludf.DUMMYFUNCTION("""COMPUTED_VALUE"""),"Medium")</f>
        <v>Medium</v>
      </c>
      <c r="Z480" s="5">
        <f ca="1">IFERROR(__xludf.DUMMYFUNCTION("""COMPUTED_VALUE"""),12.259)</f>
        <v>12.259</v>
      </c>
      <c r="AA480" s="5">
        <f ca="1">IFERROR(__xludf.DUMMYFUNCTION("""COMPUTED_VALUE"""),2018)</f>
        <v>2018</v>
      </c>
      <c r="AB480" s="5"/>
      <c r="AC480" s="5" t="str">
        <f ca="1">IFERROR(__xludf.DUMMYFUNCTION("""COMPUTED_VALUE"""),"Scatter, Expanding Wild")</f>
        <v>Scatter, Expanding Wild</v>
      </c>
      <c r="AD480" s="5" t="str">
        <f ca="1">IFERROR(__xludf.DUMMYFUNCTION("""COMPUTED_VALUE"""),"0.05/30")</f>
        <v>0.05/30</v>
      </c>
      <c r="AE480" s="5"/>
      <c r="AF480" s="5"/>
      <c r="AG480" s="10">
        <f ca="1">IFERROR(__xludf.DUMMYFUNCTION("""COMPUTED_VALUE"""),46220.5030092592)</f>
        <v>46220.503009259199</v>
      </c>
      <c r="AH480" s="5" t="str">
        <f ca="1">IFERROR(__xludf.DUMMYFUNCTION("""COMPUTED_VALUE"""),"selena.mihajlovic@fazi.rs")</f>
        <v>selena.mihajlovic@fazi.rs</v>
      </c>
      <c r="AI480" s="5"/>
      <c r="AJ480" s="5"/>
      <c r="AK480" s="5"/>
      <c r="AL480" s="5" t="str">
        <f ca="1">IFERROR(__xludf.DUMMYFUNCTION("""COMPUTED_VALUE"""),"No")</f>
        <v>No</v>
      </c>
      <c r="AM480" s="5" t="str">
        <f ca="1">IFERROR(__xludf.DUMMYFUNCTION("""COMPUTED_VALUE"""),"No")</f>
        <v>No</v>
      </c>
      <c r="AN480" s="7" t="str">
        <f ca="1">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AO480" s="5" t="str">
        <f ca="1">IFERROR(__xludf.DUMMYFUNCTION("""COMPUTED_VALUE"""),"No")</f>
        <v>No</v>
      </c>
      <c r="AP480" s="5" t="str">
        <f ca="1">IFERROR(__xludf.DUMMYFUNCTION("""COMPUTED_VALUE"""),"No")</f>
        <v>No</v>
      </c>
      <c r="AQ480" s="5" t="b">
        <f ca="1">IFERROR(__xludf.DUMMYFUNCTION("""COMPUTED_VALUE"""),TRUE)</f>
        <v>1</v>
      </c>
      <c r="AR480" s="5"/>
      <c r="AS480" s="5" t="str">
        <f ca="1">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AT480" s="5"/>
      <c r="AU480" s="5" t="str">
        <f ca="1">IFERROR(__xludf.DUMMYFUNCTION("""COMPUTED_VALUE"""),"Fazi")</f>
        <v>Fazi</v>
      </c>
      <c r="AV480" s="5"/>
      <c r="AW480" s="5"/>
      <c r="AX480" s="5"/>
      <c r="AY480" s="5"/>
      <c r="AZ480" s="5"/>
      <c r="BA480" s="5"/>
      <c r="BB480" s="5" t="b">
        <f ca="1">IFERROR(__xludf.DUMMYFUNCTION("""COMPUTED_VALUE"""),TRUE)</f>
        <v>1</v>
      </c>
      <c r="BC480" s="5" t="str">
        <f ca="1">IFERROR(__xludf.DUMMYFUNCTION("""COMPUTED_VALUE"""),"Playnet")</f>
        <v>Playnet</v>
      </c>
      <c r="BD480" s="7" t="str">
        <f ca="1">IFERROR(__xludf.DUMMYFUNCTION("""COMPUTED_VALUE"""),"https://gameserver-store-client-area.orbionlimited.com/Home/IntegrationGameLaunch/client-area?moneyType=0&amp;gameName=PlayNetMajesticCrown5&amp;platform=desktop&amp;languageCode=eng&amp;currency=EUR")</f>
        <v>https://gameserver-store-client-area.orbionlimited.com/Home/IntegrationGameLaunch/client-area?moneyType=0&amp;gameName=PlayNetMajesticCrown5&amp;platform=desktop&amp;languageCode=eng&amp;currency=EUR</v>
      </c>
      <c r="BE480" s="5" t="b">
        <f ca="1">IFERROR(__xludf.DUMMYFUNCTION("""COMPUTED_VALUE"""),TRUE)</f>
        <v>1</v>
      </c>
    </row>
    <row r="481" spans="1:57" x14ac:dyDescent="0.25">
      <c r="A481" s="5">
        <f ca="1">IFERROR(__xludf.DUMMYFUNCTION("""COMPUTED_VALUE"""),510)</f>
        <v>510</v>
      </c>
      <c r="B481" s="5">
        <f ca="1">IFERROR(__xludf.DUMMYFUNCTION("""COMPUTED_VALUE"""),504)</f>
        <v>504</v>
      </c>
      <c r="C481" s="5" t="str">
        <f ca="1">IFERROR(__xludf.DUMMYFUNCTION("""COMPUTED_VALUE"""),"Playnet")</f>
        <v>Playnet</v>
      </c>
      <c r="D481" s="5" t="str">
        <f ca="1">IFERROR(__xludf.DUMMYFUNCTION("""COMPUTED_VALUE"""),"Royal Flame")</f>
        <v>Royal Flame</v>
      </c>
      <c r="E481" s="5" t="str">
        <f ca="1">IFERROR(__xludf.DUMMYFUNCTION("""COMPUTED_VALUE"""),"Sertifikacioni")</f>
        <v>Sertifikacioni</v>
      </c>
      <c r="F481" s="5" t="str">
        <f ca="1">IFERROR(__xludf.DUMMYFUNCTION("""COMPUTED_VALUE"""),"PlayNetRoyalFlame")</f>
        <v>PlayNetRoyalFlame</v>
      </c>
      <c r="G481" s="5" t="str">
        <f ca="1">IFERROR(__xludf.DUMMYFUNCTION("""COMPUTED_VALUE"""),"Retired")</f>
        <v>Retired</v>
      </c>
      <c r="H481" s="5"/>
      <c r="I481" s="5"/>
      <c r="J481" s="5" t="str">
        <f ca="1">IFERROR(__xludf.DUMMYFUNCTION("""COMPUTED_VALUE"""),"JSON")</f>
        <v>JSON</v>
      </c>
      <c r="K481" s="5" t="str">
        <f ca="1">IFERROR(__xludf.DUMMYFUNCTION("""COMPUTED_VALUE"""),"Slot")</f>
        <v>Slot</v>
      </c>
      <c r="L481" s="5" t="str">
        <f ca="1">IFERROR(__xludf.DUMMYFUNCTION("""COMPUTED_VALUE""")," Reskin")</f>
        <v xml:space="preserve"> Reskin</v>
      </c>
      <c r="M481" s="5" t="str">
        <f ca="1">IFERROR(__xludf.DUMMYFUNCTION("""COMPUTED_VALUE"""),"Golden Crown")</f>
        <v>Golden Crown</v>
      </c>
      <c r="N481" s="5"/>
      <c r="O481" s="5"/>
      <c r="P481" s="14">
        <f ca="1">IFERROR(__xludf.DUMMYFUNCTION("""COMPUTED_VALUE"""),7.1)</f>
        <v>7.1</v>
      </c>
      <c r="Q481" s="5"/>
      <c r="R481" s="5"/>
      <c r="S481" s="15">
        <f ca="1">IFERROR(__xludf.DUMMYFUNCTION("""COMPUTED_VALUE"""),45861)</f>
        <v>45861</v>
      </c>
      <c r="T481" s="5" t="b">
        <f ca="1">IFERROR(__xludf.DUMMYFUNCTION("""COMPUTED_VALUE"""),TRUE)</f>
        <v>1</v>
      </c>
      <c r="U481" s="5" t="str">
        <f ca="1">IFERROR(__xludf.DUMMYFUNCTION("""COMPUTED_VALUE"""),"5x3")</f>
        <v>5x3</v>
      </c>
      <c r="V481" s="5">
        <f ca="1">IFERROR(__xludf.DUMMYFUNCTION("""COMPUTED_VALUE"""),10)</f>
        <v>10</v>
      </c>
      <c r="W481" s="5">
        <f ca="1">IFERROR(__xludf.DUMMYFUNCTION("""COMPUTED_VALUE"""),10)</f>
        <v>10</v>
      </c>
      <c r="X481" s="5">
        <f ca="1">IFERROR(__xludf.DUMMYFUNCTION("""COMPUTED_VALUE"""),95.962)</f>
        <v>95.962000000000003</v>
      </c>
      <c r="Y481" s="5" t="str">
        <f ca="1">IFERROR(__xludf.DUMMYFUNCTION("""COMPUTED_VALUE"""),"Medium")</f>
        <v>Medium</v>
      </c>
      <c r="Z481" s="5">
        <f ca="1">IFERROR(__xludf.DUMMYFUNCTION("""COMPUTED_VALUE"""),14.634)</f>
        <v>14.634</v>
      </c>
      <c r="AA481" s="5">
        <f ca="1">IFERROR(__xludf.DUMMYFUNCTION("""COMPUTED_VALUE"""),1538)</f>
        <v>1538</v>
      </c>
      <c r="AB481" s="5"/>
      <c r="AC481" s="5" t="str">
        <f ca="1">IFERROR(__xludf.DUMMYFUNCTION("""COMPUTED_VALUE"""),"Scatter, Expanding Wild")</f>
        <v>Scatter, Expanding Wild</v>
      </c>
      <c r="AD481" s="5" t="str">
        <f ca="1">IFERROR(__xludf.DUMMYFUNCTION("""COMPUTED_VALUE"""),"0.1/40")</f>
        <v>0.1/40</v>
      </c>
      <c r="AE481" s="5"/>
      <c r="AF481" s="5"/>
      <c r="AG481" s="10">
        <f ca="1">IFERROR(__xludf.DUMMYFUNCTION("""COMPUTED_VALUE"""),46220.3977314814)</f>
        <v>46220.397731481396</v>
      </c>
      <c r="AH481" s="5"/>
      <c r="AI481" s="5"/>
      <c r="AJ481" s="5"/>
      <c r="AK481" s="5">
        <f ca="1">IFERROR(__xludf.DUMMYFUNCTION("""COMPUTED_VALUE"""),10)</f>
        <v>10</v>
      </c>
      <c r="AL481" s="5" t="str">
        <f ca="1">IFERROR(__xludf.DUMMYFUNCTION("""COMPUTED_VALUE"""),"Yes")</f>
        <v>Yes</v>
      </c>
      <c r="AM481" s="5" t="str">
        <f ca="1">IFERROR(__xludf.DUMMYFUNCTION("""COMPUTED_VALUE"""),"Yes")</f>
        <v>Yes</v>
      </c>
      <c r="AN481" s="7" t="str">
        <f ca="1">IFERROR(__xludf.DUMMYFUNCTION("""COMPUTED_VALUE"""),"https://onlinegamespromo.fazi.rs/Home/IntegrationGameLaunch?moneyType=0&amp;gameName=PlayNetRoyalFlame&amp;platform=desktop&amp;languageCode=eng&amp;currency=EUR")</f>
        <v>https://onlinegamespromo.fazi.rs/Home/IntegrationGameLaunch?moneyType=0&amp;gameName=PlayNetRoyalFlame&amp;platform=desktop&amp;languageCode=eng&amp;currency=EUR</v>
      </c>
      <c r="AO481" s="5" t="str">
        <f ca="1">IFERROR(__xludf.DUMMYFUNCTION("""COMPUTED_VALUE"""),"Yes")</f>
        <v>Yes</v>
      </c>
      <c r="AP481" s="5" t="str">
        <f ca="1">IFERROR(__xludf.DUMMYFUNCTION("""COMPUTED_VALUE"""),"Yes")</f>
        <v>Yes</v>
      </c>
      <c r="AQ481" s="5"/>
      <c r="AR481" s="5"/>
      <c r="AS481" s="5" t="str">
        <f ca="1">IFERROR(__xludf.DUMMYFUNCTION("""COMPUTED_VALUE"""),"Royal Flame brings a bold new energy to the timeless fruit slot formula – with a royal upgrade. When the Queen of Fire appears, she doesn’t just rule the reels – she replaces all symbols except scatter and turns the heat all the way up. Expect vibrant vis"&amp;"uals, smooth gameplay, and a fiery twist on familiar favorites. Are you ready to play with fire?")</f>
        <v>Royal Flame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Are you ready to play with fire?</v>
      </c>
      <c r="AT481" s="5"/>
      <c r="AU481" s="5" t="str">
        <f ca="1">IFERROR(__xludf.DUMMYFUNCTION("""COMPUTED_VALUE"""),"Fazi")</f>
        <v>Fazi</v>
      </c>
      <c r="AV481" s="5"/>
      <c r="AW481" s="5"/>
      <c r="AX481" s="5"/>
      <c r="AY481" s="5"/>
      <c r="AZ481" s="5"/>
      <c r="BA481" s="5"/>
      <c r="BB481" s="5" t="b">
        <f ca="1">IFERROR(__xludf.DUMMYFUNCTION("""COMPUTED_VALUE"""),TRUE)</f>
        <v>1</v>
      </c>
      <c r="BC481" s="5" t="str">
        <f ca="1">IFERROR(__xludf.DUMMYFUNCTION("""COMPUTED_VALUE"""),"Playnet")</f>
        <v>Playnet</v>
      </c>
      <c r="BD481" s="7" t="str">
        <f ca="1">IFERROR(__xludf.DUMMYFUNCTION("""COMPUTED_VALUE"""),"https://gameserver-store-client-area.orbionlimited.com/Home/IntegrationGameLaunch/client-area?moneyType=0&amp;gameName=PlayNetRoyalFlame&amp;platform=desktop&amp;languageCode=eng&amp;currency=EUR")</f>
        <v>https://gameserver-store-client-area.orbionlimited.com/Home/IntegrationGameLaunch/client-area?moneyType=0&amp;gameName=PlayNetRoyalFlame&amp;platform=desktop&amp;languageCode=eng&amp;currency=EUR</v>
      </c>
      <c r="BE481" s="5"/>
    </row>
    <row r="482" spans="1:57" x14ac:dyDescent="0.25">
      <c r="A482" s="5">
        <f ca="1">IFERROR(__xludf.DUMMYFUNCTION("""COMPUTED_VALUE"""),511)</f>
        <v>511</v>
      </c>
      <c r="B482" s="5">
        <f ca="1">IFERROR(__xludf.DUMMYFUNCTION("""COMPUTED_VALUE"""),505)</f>
        <v>505</v>
      </c>
      <c r="C482" s="5" t="str">
        <f ca="1">IFERROR(__xludf.DUMMYFUNCTION("""COMPUTED_VALUE"""),"Playnet")</f>
        <v>Playnet</v>
      </c>
      <c r="D482" s="5" t="str">
        <f ca="1">IFERROR(__xludf.DUMMYFUNCTION("""COMPUTED_VALUE"""),"Diamond Heart 100")</f>
        <v>Diamond Heart 100</v>
      </c>
      <c r="E482" s="5" t="str">
        <f ca="1">IFERROR(__xludf.DUMMYFUNCTION("""COMPUTED_VALUE"""),"Sertifikacioni")</f>
        <v>Sertifikacioni</v>
      </c>
      <c r="F482" s="5" t="str">
        <f ca="1">IFERROR(__xludf.DUMMYFUNCTION("""COMPUTED_VALUE"""),"PlayNetDiamondHeart100")</f>
        <v>PlayNetDiamondHeart100</v>
      </c>
      <c r="G482" s="5" t="str">
        <f ca="1">IFERROR(__xludf.DUMMYFUNCTION("""COMPUTED_VALUE"""),"Live")</f>
        <v>Live</v>
      </c>
      <c r="H482" s="5"/>
      <c r="I482" s="5"/>
      <c r="J482" s="5" t="str">
        <f ca="1">IFERROR(__xludf.DUMMYFUNCTION("""COMPUTED_VALUE"""),"JSON")</f>
        <v>JSON</v>
      </c>
      <c r="K482" s="5" t="str">
        <f ca="1">IFERROR(__xludf.DUMMYFUNCTION("""COMPUTED_VALUE"""),"Slot")</f>
        <v>Slot</v>
      </c>
      <c r="L482" s="5" t="str">
        <f ca="1">IFERROR(__xludf.DUMMYFUNCTION("""COMPUTED_VALUE""")," Reskin")</f>
        <v xml:space="preserve"> Reskin</v>
      </c>
      <c r="M482" s="5" t="str">
        <f ca="1">IFERROR(__xludf.DUMMYFUNCTION("""COMPUTED_VALUE"""),"Epic Clover 100")</f>
        <v>Epic Clover 100</v>
      </c>
      <c r="N482" s="5"/>
      <c r="O482" s="5"/>
      <c r="P482" s="14">
        <f ca="1">IFERROR(__xludf.DUMMYFUNCTION("""COMPUTED_VALUE"""),7.3)</f>
        <v>7.3</v>
      </c>
      <c r="Q482" s="15">
        <f ca="1">IFERROR(__xludf.DUMMYFUNCTION("""COMPUTED_VALUE"""),45873)</f>
        <v>45873</v>
      </c>
      <c r="R482" s="15">
        <f ca="1">IFERROR(__xludf.DUMMYFUNCTION("""COMPUTED_VALUE"""),45867)</f>
        <v>45867</v>
      </c>
      <c r="S482" s="15">
        <f ca="1">IFERROR(__xludf.DUMMYFUNCTION("""COMPUTED_VALUE"""),45874)</f>
        <v>45874</v>
      </c>
      <c r="T482" s="5" t="b">
        <f ca="1">IFERROR(__xludf.DUMMYFUNCTION("""COMPUTED_VALUE"""),TRUE)</f>
        <v>1</v>
      </c>
      <c r="U482" s="5" t="str">
        <f ca="1">IFERROR(__xludf.DUMMYFUNCTION("""COMPUTED_VALUE"""),"5x4")</f>
        <v>5x4</v>
      </c>
      <c r="V482" s="5">
        <f ca="1">IFERROR(__xludf.DUMMYFUNCTION("""COMPUTED_VALUE"""),100)</f>
        <v>100</v>
      </c>
      <c r="W482" s="5">
        <f ca="1">IFERROR(__xludf.DUMMYFUNCTION("""COMPUTED_VALUE"""),100)</f>
        <v>100</v>
      </c>
      <c r="X482" s="5">
        <f ca="1">IFERROR(__xludf.DUMMYFUNCTION("""COMPUTED_VALUE"""),96.502)</f>
        <v>96.501999999999995</v>
      </c>
      <c r="Y482" s="5" t="str">
        <f ca="1">IFERROR(__xludf.DUMMYFUNCTION("""COMPUTED_VALUE"""),"Medium")</f>
        <v>Medium</v>
      </c>
      <c r="Z482" s="5">
        <f ca="1">IFERROR(__xludf.DUMMYFUNCTION("""COMPUTED_VALUE"""),13.309)</f>
        <v>13.308999999999999</v>
      </c>
      <c r="AA482" s="5">
        <f ca="1">IFERROR(__xludf.DUMMYFUNCTION("""COMPUTED_VALUE"""),3000)</f>
        <v>3000</v>
      </c>
      <c r="AB482" s="5"/>
      <c r="AC482" s="5" t="str">
        <f ca="1">IFERROR(__xludf.DUMMYFUNCTION("""COMPUTED_VALUE"""),"Scatter, Expanding Wild")</f>
        <v>Scatter, Expanding Wild</v>
      </c>
      <c r="AD482" s="5" t="str">
        <f ca="1">IFERROR(__xludf.DUMMYFUNCTION("""COMPUTED_VALUE"""),"1/100")</f>
        <v>1/100</v>
      </c>
      <c r="AE482" s="5"/>
      <c r="AF482" s="5"/>
      <c r="AG482" s="10">
        <f ca="1">IFERROR(__xludf.DUMMYFUNCTION("""COMPUTED_VALUE"""),46220.503125)</f>
        <v>46220.503125000003</v>
      </c>
      <c r="AH482" s="5" t="str">
        <f ca="1">IFERROR(__xludf.DUMMYFUNCTION("""COMPUTED_VALUE"""),"selena.mihajlovic@fazi.rs")</f>
        <v>selena.mihajlovic@fazi.rs</v>
      </c>
      <c r="AI482" s="5"/>
      <c r="AJ482" s="5"/>
      <c r="AK482" s="5"/>
      <c r="AL482" s="5" t="str">
        <f ca="1">IFERROR(__xludf.DUMMYFUNCTION("""COMPUTED_VALUE"""),"No")</f>
        <v>No</v>
      </c>
      <c r="AM482" s="5" t="str">
        <f ca="1">IFERROR(__xludf.DUMMYFUNCTION("""COMPUTED_VALUE"""),"No")</f>
        <v>No</v>
      </c>
      <c r="AN482" s="7" t="str">
        <f ca="1">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AO482" s="5" t="str">
        <f ca="1">IFERROR(__xludf.DUMMYFUNCTION("""COMPUTED_VALUE"""),"No")</f>
        <v>No</v>
      </c>
      <c r="AP482" s="5" t="str">
        <f ca="1">IFERROR(__xludf.DUMMYFUNCTION("""COMPUTED_VALUE"""),"No")</f>
        <v>No</v>
      </c>
      <c r="AQ482" s="5" t="b">
        <f ca="1">IFERROR(__xludf.DUMMYFUNCTION("""COMPUTED_VALUE"""),TRUE)</f>
        <v>1</v>
      </c>
      <c r="AR482" s="5"/>
      <c r="AS482" s="5" t="str">
        <f ca="1">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AT482" s="5"/>
      <c r="AU482" s="5" t="str">
        <f ca="1">IFERROR(__xludf.DUMMYFUNCTION("""COMPUTED_VALUE"""),"Fazi")</f>
        <v>Fazi</v>
      </c>
      <c r="AV482" s="5"/>
      <c r="AW482" s="5"/>
      <c r="AX482" s="5"/>
      <c r="AY482" s="5"/>
      <c r="AZ482" s="5"/>
      <c r="BA482" s="5"/>
      <c r="BB482" s="5" t="b">
        <f ca="1">IFERROR(__xludf.DUMMYFUNCTION("""COMPUTED_VALUE"""),TRUE)</f>
        <v>1</v>
      </c>
      <c r="BC482" s="5" t="str">
        <f ca="1">IFERROR(__xludf.DUMMYFUNCTION("""COMPUTED_VALUE"""),"Playnet")</f>
        <v>Playnet</v>
      </c>
      <c r="BD482" s="7" t="str">
        <f ca="1">IFERROR(__xludf.DUMMYFUNCTION("""COMPUTED_VALUE"""),"https://gameserver-store-client-area.orbionlimited.com/Home/IntegrationGameLaunch/client-area?moneyType=0&amp;gameName=PlayNetDiamondHeart100&amp;platform=desktop&amp;languageCode=eng&amp;currency=EUR")</f>
        <v>https://gameserver-store-client-area.orbionlimited.com/Home/IntegrationGameLaunch/client-area?moneyType=0&amp;gameName=PlayNetDiamondHeart100&amp;platform=desktop&amp;languageCode=eng&amp;currency=EUR</v>
      </c>
      <c r="BE482" s="5" t="b">
        <f ca="1">IFERROR(__xludf.DUMMYFUNCTION("""COMPUTED_VALUE"""),TRUE)</f>
        <v>1</v>
      </c>
    </row>
    <row r="483" spans="1:57" x14ac:dyDescent="0.25">
      <c r="A483" s="5">
        <f ca="1">IFERROR(__xludf.DUMMYFUNCTION("""COMPUTED_VALUE"""),512)</f>
        <v>512</v>
      </c>
      <c r="B483" s="5">
        <f ca="1">IFERROR(__xludf.DUMMYFUNCTION("""COMPUTED_VALUE"""),506)</f>
        <v>506</v>
      </c>
      <c r="C483" s="5" t="str">
        <f ca="1">IFERROR(__xludf.DUMMYFUNCTION("""COMPUTED_VALUE"""),"Playnet")</f>
        <v>Playnet</v>
      </c>
      <c r="D483" s="5" t="str">
        <f ca="1">IFERROR(__xludf.DUMMYFUNCTION("""COMPUTED_VALUE"""),"Golden Getsby")</f>
        <v>Golden Getsby</v>
      </c>
      <c r="E483" s="5" t="str">
        <f ca="1">IFERROR(__xludf.DUMMYFUNCTION("""COMPUTED_VALUE"""),"Sertifikacioni")</f>
        <v>Sertifikacioni</v>
      </c>
      <c r="F483" s="5" t="str">
        <f ca="1">IFERROR(__xludf.DUMMYFUNCTION("""COMPUTED_VALUE"""),"PlayNetGoldenGetsby")</f>
        <v>PlayNetGoldenGetsby</v>
      </c>
      <c r="G483" s="5" t="str">
        <f ca="1">IFERROR(__xludf.DUMMYFUNCTION("""COMPUTED_VALUE"""),"Live")</f>
        <v>Live</v>
      </c>
      <c r="H483" s="5"/>
      <c r="I483" s="5"/>
      <c r="J483" s="5" t="str">
        <f ca="1">IFERROR(__xludf.DUMMYFUNCTION("""COMPUTED_VALUE"""),"JSON")</f>
        <v>JSON</v>
      </c>
      <c r="K483" s="5" t="str">
        <f ca="1">IFERROR(__xludf.DUMMYFUNCTION("""COMPUTED_VALUE"""),"Slot")</f>
        <v>Slot</v>
      </c>
      <c r="L483" s="5" t="str">
        <f ca="1">IFERROR(__xludf.DUMMYFUNCTION("""COMPUTED_VALUE""")," Reskin")</f>
        <v xml:space="preserve"> Reskin</v>
      </c>
      <c r="M483" s="5" t="str">
        <f ca="1">IFERROR(__xludf.DUMMYFUNCTION("""COMPUTED_VALUE"""),"Retro 7 Hot")</f>
        <v>Retro 7 Hot</v>
      </c>
      <c r="N483" s="5"/>
      <c r="O483" s="5"/>
      <c r="P483" s="14">
        <f ca="1">IFERROR(__xludf.DUMMYFUNCTION("""COMPUTED_VALUE"""),7.3)</f>
        <v>7.3</v>
      </c>
      <c r="Q483" s="15">
        <f ca="1">IFERROR(__xludf.DUMMYFUNCTION("""COMPUTED_VALUE"""),45943)</f>
        <v>45943</v>
      </c>
      <c r="R483" s="15">
        <f ca="1">IFERROR(__xludf.DUMMYFUNCTION("""COMPUTED_VALUE"""),45944)</f>
        <v>45944</v>
      </c>
      <c r="S483" s="15">
        <f ca="1">IFERROR(__xludf.DUMMYFUNCTION("""COMPUTED_VALUE"""),45951)</f>
        <v>45951</v>
      </c>
      <c r="T483" s="5" t="b">
        <f ca="1">IFERROR(__xludf.DUMMYFUNCTION("""COMPUTED_VALUE"""),TRUE)</f>
        <v>1</v>
      </c>
      <c r="U483" s="5" t="str">
        <f ca="1">IFERROR(__xludf.DUMMYFUNCTION("""COMPUTED_VALUE"""),"3x3")</f>
        <v>3x3</v>
      </c>
      <c r="V483" s="5">
        <f ca="1">IFERROR(__xludf.DUMMYFUNCTION("""COMPUTED_VALUE"""),5)</f>
        <v>5</v>
      </c>
      <c r="W483" s="5">
        <f ca="1">IFERROR(__xludf.DUMMYFUNCTION("""COMPUTED_VALUE"""),5)</f>
        <v>5</v>
      </c>
      <c r="X483" s="5">
        <f ca="1">IFERROR(__xludf.DUMMYFUNCTION("""COMPUTED_VALUE"""),95.513)</f>
        <v>95.513000000000005</v>
      </c>
      <c r="Y483" s="5" t="str">
        <f ca="1">IFERROR(__xludf.DUMMYFUNCTION("""COMPUTED_VALUE"""),"Low")</f>
        <v>Low</v>
      </c>
      <c r="Z483" s="5">
        <f ca="1">IFERROR(__xludf.DUMMYFUNCTION("""COMPUTED_VALUE"""),6.513)</f>
        <v>6.5129999999999999</v>
      </c>
      <c r="AA483" s="5">
        <f ca="1">IFERROR(__xludf.DUMMYFUNCTION("""COMPUTED_VALUE"""),60)</f>
        <v>60</v>
      </c>
      <c r="AB483" s="5"/>
      <c r="AC483" s="5" t="str">
        <f ca="1">IFERROR(__xludf.DUMMYFUNCTION("""COMPUTED_VALUE"""),"Win Multiplier")</f>
        <v>Win Multiplier</v>
      </c>
      <c r="AD483" s="5" t="str">
        <f ca="1">IFERROR(__xludf.DUMMYFUNCTION("""COMPUTED_VALUE"""),"0.05/30")</f>
        <v>0.05/30</v>
      </c>
      <c r="AE483" s="5"/>
      <c r="AF483" s="5"/>
      <c r="AG483" s="10">
        <f ca="1">IFERROR(__xludf.DUMMYFUNCTION("""COMPUTED_VALUE"""),46220.5033796296)</f>
        <v>46220.503379629597</v>
      </c>
      <c r="AH483" s="5" t="str">
        <f ca="1">IFERROR(__xludf.DUMMYFUNCTION("""COMPUTED_VALUE"""),"selena.mihajlovic@fazi.rs")</f>
        <v>selena.mihajlovic@fazi.rs</v>
      </c>
      <c r="AI483" s="5"/>
      <c r="AJ483" s="5"/>
      <c r="AK483" s="5"/>
      <c r="AL483" s="5" t="str">
        <f ca="1">IFERROR(__xludf.DUMMYFUNCTION("""COMPUTED_VALUE"""),"No")</f>
        <v>No</v>
      </c>
      <c r="AM483" s="5" t="str">
        <f ca="1">IFERROR(__xludf.DUMMYFUNCTION("""COMPUTED_VALUE"""),"No")</f>
        <v>No</v>
      </c>
      <c r="AN483" s="7" t="str">
        <f ca="1">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AO483" s="5" t="str">
        <f ca="1">IFERROR(__xludf.DUMMYFUNCTION("""COMPUTED_VALUE"""),"No")</f>
        <v>No</v>
      </c>
      <c r="AP483" s="5" t="str">
        <f ca="1">IFERROR(__xludf.DUMMYFUNCTION("""COMPUTED_VALUE"""),"No")</f>
        <v>No</v>
      </c>
      <c r="AQ483" s="5" t="b">
        <f ca="1">IFERROR(__xludf.DUMMYFUNCTION("""COMPUTED_VALUE"""),TRUE)</f>
        <v>1</v>
      </c>
      <c r="AR483" s="5"/>
      <c r="AS483" s="5" t="str">
        <f ca="1">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AT483" s="5"/>
      <c r="AU483" s="5" t="str">
        <f ca="1">IFERROR(__xludf.DUMMYFUNCTION("""COMPUTED_VALUE"""),"Fazi")</f>
        <v>Fazi</v>
      </c>
      <c r="AV483" s="5"/>
      <c r="AW483" s="5"/>
      <c r="AX483" s="15">
        <f ca="1">IFERROR(__xludf.DUMMYFUNCTION("""COMPUTED_VALUE"""),45937)</f>
        <v>45937</v>
      </c>
      <c r="AY483" s="5"/>
      <c r="AZ483" s="5"/>
      <c r="BA483" s="5"/>
      <c r="BB483" s="5" t="b">
        <f ca="1">IFERROR(__xludf.DUMMYFUNCTION("""COMPUTED_VALUE"""),TRUE)</f>
        <v>1</v>
      </c>
      <c r="BC483" s="5" t="str">
        <f ca="1">IFERROR(__xludf.DUMMYFUNCTION("""COMPUTED_VALUE"""),"Playnet")</f>
        <v>Playnet</v>
      </c>
      <c r="BD483" s="7" t="str">
        <f ca="1">IFERROR(__xludf.DUMMYFUNCTION("""COMPUTED_VALUE"""),"https://gameserver-store-client-area.orbionlimited.com/Home/IntegrationGameLaunch/client-area?moneyType=0&amp;gameName=PlayNetGoldenGetsby&amp;platform=desktop&amp;languageCode=eng&amp;currency=EUR")</f>
        <v>https://gameserver-store-client-area.orbionlimited.com/Home/IntegrationGameLaunch/client-area?moneyType=0&amp;gameName=PlayNetGoldenGetsby&amp;platform=desktop&amp;languageCode=eng&amp;currency=EUR</v>
      </c>
      <c r="BE483" s="5" t="b">
        <f ca="1">IFERROR(__xludf.DUMMYFUNCTION("""COMPUTED_VALUE"""),TRUE)</f>
        <v>1</v>
      </c>
    </row>
    <row r="484" spans="1:57" x14ac:dyDescent="0.25">
      <c r="A484" s="5">
        <f ca="1">IFERROR(__xludf.DUMMYFUNCTION("""COMPUTED_VALUE"""),513)</f>
        <v>513</v>
      </c>
      <c r="B484" s="5">
        <f ca="1">IFERROR(__xludf.DUMMYFUNCTION("""COMPUTED_VALUE"""),507)</f>
        <v>507</v>
      </c>
      <c r="C484" s="5" t="str">
        <f ca="1">IFERROR(__xludf.DUMMYFUNCTION("""COMPUTED_VALUE"""),"Playnet")</f>
        <v>Playnet</v>
      </c>
      <c r="D484" s="5" t="str">
        <f ca="1">IFERROR(__xludf.DUMMYFUNCTION("""COMPUTED_VALUE"""),"Dashing Hot 20")</f>
        <v>Dashing Hot 20</v>
      </c>
      <c r="E484" s="5" t="str">
        <f ca="1">IFERROR(__xludf.DUMMYFUNCTION("""COMPUTED_VALUE"""),"Sertifikacioni")</f>
        <v>Sertifikacioni</v>
      </c>
      <c r="F484" s="5" t="str">
        <f ca="1">IFERROR(__xludf.DUMMYFUNCTION("""COMPUTED_VALUE"""),"PlayNetDashingHot20")</f>
        <v>PlayNetDashingHot20</v>
      </c>
      <c r="G484" s="5" t="str">
        <f ca="1">IFERROR(__xludf.DUMMYFUNCTION("""COMPUTED_VALUE"""),"Live")</f>
        <v>Live</v>
      </c>
      <c r="H484" s="5"/>
      <c r="I484" s="5"/>
      <c r="J484" s="5" t="str">
        <f ca="1">IFERROR(__xludf.DUMMYFUNCTION("""COMPUTED_VALUE"""),"JSON")</f>
        <v>JSON</v>
      </c>
      <c r="K484" s="5" t="str">
        <f ca="1">IFERROR(__xludf.DUMMYFUNCTION("""COMPUTED_VALUE"""),"Slot")</f>
        <v>Slot</v>
      </c>
      <c r="L484" s="5" t="str">
        <f ca="1">IFERROR(__xludf.DUMMYFUNCTION("""COMPUTED_VALUE""")," Reskin")</f>
        <v xml:space="preserve"> Reskin</v>
      </c>
      <c r="M484" s="5" t="str">
        <f ca="1">IFERROR(__xludf.DUMMYFUNCTION("""COMPUTED_VALUE"""),"Fruits and Stars")</f>
        <v>Fruits and Stars</v>
      </c>
      <c r="N484" s="5"/>
      <c r="O484" s="5"/>
      <c r="P484" s="14">
        <f ca="1">IFERROR(__xludf.DUMMYFUNCTION("""COMPUTED_VALUE"""),7.3)</f>
        <v>7.3</v>
      </c>
      <c r="Q484" s="15">
        <f ca="1">IFERROR(__xludf.DUMMYFUNCTION("""COMPUTED_VALUE"""),45915)</f>
        <v>45915</v>
      </c>
      <c r="R484" s="15">
        <f ca="1">IFERROR(__xludf.DUMMYFUNCTION("""COMPUTED_VALUE"""),45922)</f>
        <v>45922</v>
      </c>
      <c r="S484" s="15">
        <f ca="1">IFERROR(__xludf.DUMMYFUNCTION("""COMPUTED_VALUE"""),45929)</f>
        <v>45929</v>
      </c>
      <c r="T484" s="5" t="b">
        <f ca="1">IFERROR(__xludf.DUMMYFUNCTION("""COMPUTED_VALUE"""),TRUE)</f>
        <v>1</v>
      </c>
      <c r="U484" s="5" t="str">
        <f ca="1">IFERROR(__xludf.DUMMYFUNCTION("""COMPUTED_VALUE"""),"5x3")</f>
        <v>5x3</v>
      </c>
      <c r="V484" s="5">
        <f ca="1">IFERROR(__xludf.DUMMYFUNCTION("""COMPUTED_VALUE"""),20)</f>
        <v>20</v>
      </c>
      <c r="W484" s="5">
        <f ca="1">IFERROR(__xludf.DUMMYFUNCTION("""COMPUTED_VALUE"""),20)</f>
        <v>20</v>
      </c>
      <c r="X484" s="5">
        <f ca="1">IFERROR(__xludf.DUMMYFUNCTION("""COMPUTED_VALUE"""),95.79)</f>
        <v>95.79</v>
      </c>
      <c r="Y484" s="5" t="str">
        <f ca="1">IFERROR(__xludf.DUMMYFUNCTION("""COMPUTED_VALUE"""),"Low")</f>
        <v>Low</v>
      </c>
      <c r="Z484" s="5">
        <f ca="1">IFERROR(__xludf.DUMMYFUNCTION("""COMPUTED_VALUE"""),4.856)</f>
        <v>4.8559999999999999</v>
      </c>
      <c r="AA484" s="5">
        <f ca="1">IFERROR(__xludf.DUMMYFUNCTION("""COMPUTED_VALUE"""),1000)</f>
        <v>1000</v>
      </c>
      <c r="AB484" s="5"/>
      <c r="AC484" s="5" t="str">
        <f ca="1">IFERROR(__xludf.DUMMYFUNCTION("""COMPUTED_VALUE"""),"Wild Symbol, Scatter")</f>
        <v>Wild Symbol, Scatter</v>
      </c>
      <c r="AD484" s="5" t="str">
        <f ca="1">IFERROR(__xludf.DUMMYFUNCTION("""COMPUTED_VALUE"""),"0.01/50")</f>
        <v>0.01/50</v>
      </c>
      <c r="AE484" s="5"/>
      <c r="AF484" s="5"/>
      <c r="AG484" s="10">
        <f ca="1">IFERROR(__xludf.DUMMYFUNCTION("""COMPUTED_VALUE"""),46220.5035185185)</f>
        <v>46220.503518518497</v>
      </c>
      <c r="AH484" s="5" t="str">
        <f ca="1">IFERROR(__xludf.DUMMYFUNCTION("""COMPUTED_VALUE"""),"selena.mihajlovic@fazi.rs")</f>
        <v>selena.mihajlovic@fazi.rs</v>
      </c>
      <c r="AI484" s="5"/>
      <c r="AJ484" s="5"/>
      <c r="AK484" s="5"/>
      <c r="AL484" s="5" t="str">
        <f ca="1">IFERROR(__xludf.DUMMYFUNCTION("""COMPUTED_VALUE"""),"No")</f>
        <v>No</v>
      </c>
      <c r="AM484" s="5" t="str">
        <f ca="1">IFERROR(__xludf.DUMMYFUNCTION("""COMPUTED_VALUE"""),"No")</f>
        <v>No</v>
      </c>
      <c r="AN484" s="7" t="str">
        <f ca="1">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AO484" s="5" t="str">
        <f ca="1">IFERROR(__xludf.DUMMYFUNCTION("""COMPUTED_VALUE"""),"No")</f>
        <v>No</v>
      </c>
      <c r="AP484" s="5" t="str">
        <f ca="1">IFERROR(__xludf.DUMMYFUNCTION("""COMPUTED_VALUE"""),"No")</f>
        <v>No</v>
      </c>
      <c r="AQ484" s="5" t="b">
        <f ca="1">IFERROR(__xludf.DUMMYFUNCTION("""COMPUTED_VALUE"""),TRUE)</f>
        <v>1</v>
      </c>
      <c r="AR484" s="5"/>
      <c r="AS484" s="5" t="str">
        <f ca="1">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AT484" s="5"/>
      <c r="AU484" s="5" t="str">
        <f ca="1">IFERROR(__xludf.DUMMYFUNCTION("""COMPUTED_VALUE"""),"Fazi")</f>
        <v>Fazi</v>
      </c>
      <c r="AV484" s="5"/>
      <c r="AW484" s="5"/>
      <c r="AX484" s="15">
        <f ca="1">IFERROR(__xludf.DUMMYFUNCTION("""COMPUTED_VALUE"""),45909)</f>
        <v>45909</v>
      </c>
      <c r="AY484" s="5"/>
      <c r="AZ484" s="5"/>
      <c r="BA484" s="5"/>
      <c r="BB484" s="5" t="b">
        <f ca="1">IFERROR(__xludf.DUMMYFUNCTION("""COMPUTED_VALUE"""),TRUE)</f>
        <v>1</v>
      </c>
      <c r="BC484" s="5" t="str">
        <f ca="1">IFERROR(__xludf.DUMMYFUNCTION("""COMPUTED_VALUE"""),"Playnet")</f>
        <v>Playnet</v>
      </c>
      <c r="BD484" s="7" t="str">
        <f ca="1">IFERROR(__xludf.DUMMYFUNCTION("""COMPUTED_VALUE"""),"https://gameserver-store-client-area.orbionlimited.com/Home/IntegrationGameLaunch/client-area?moneyType=0&amp;gameName=PlayNetDashingHot20&amp;platform=desktop&amp;languageCode=eng&amp;currency=EUR")</f>
        <v>https://gameserver-store-client-area.orbionlimited.com/Home/IntegrationGameLaunch/client-area?moneyType=0&amp;gameName=PlayNetDashingHot20&amp;platform=desktop&amp;languageCode=eng&amp;currency=EUR</v>
      </c>
      <c r="BE484" s="5" t="b">
        <f ca="1">IFERROR(__xludf.DUMMYFUNCTION("""COMPUTED_VALUE"""),TRUE)</f>
        <v>1</v>
      </c>
    </row>
    <row r="485" spans="1:57" x14ac:dyDescent="0.25">
      <c r="A485" s="5">
        <f ca="1">IFERROR(__xludf.DUMMYFUNCTION("""COMPUTED_VALUE"""),514)</f>
        <v>514</v>
      </c>
      <c r="B485" s="5">
        <f ca="1">IFERROR(__xludf.DUMMYFUNCTION("""COMPUTED_VALUE"""),509)</f>
        <v>509</v>
      </c>
      <c r="C485" s="5" t="str">
        <f ca="1">IFERROR(__xludf.DUMMYFUNCTION("""COMPUTED_VALUE"""),"Playnet")</f>
        <v>Playnet</v>
      </c>
      <c r="D485" s="5" t="str">
        <f ca="1">IFERROR(__xludf.DUMMYFUNCTION("""COMPUTED_VALUE"""),"Dark Temptress")</f>
        <v>Dark Temptress</v>
      </c>
      <c r="E485" s="5" t="str">
        <f ca="1">IFERROR(__xludf.DUMMYFUNCTION("""COMPUTED_VALUE"""),"Sertifikacioni")</f>
        <v>Sertifikacioni</v>
      </c>
      <c r="F485" s="5" t="str">
        <f ca="1">IFERROR(__xludf.DUMMYFUNCTION("""COMPUTED_VALUE"""),"PlayNetDarkTemptress")</f>
        <v>PlayNetDarkTemptress</v>
      </c>
      <c r="G485" s="5" t="str">
        <f ca="1">IFERROR(__xludf.DUMMYFUNCTION("""COMPUTED_VALUE"""),"Live")</f>
        <v>Live</v>
      </c>
      <c r="H485" s="5"/>
      <c r="I485" s="5"/>
      <c r="J485" s="5" t="str">
        <f ca="1">IFERROR(__xludf.DUMMYFUNCTION("""COMPUTED_VALUE"""),"JSON")</f>
        <v>JSON</v>
      </c>
      <c r="K485" s="5" t="str">
        <f ca="1">IFERROR(__xludf.DUMMYFUNCTION("""COMPUTED_VALUE"""),"Slot")</f>
        <v>Slot</v>
      </c>
      <c r="L485" s="5" t="str">
        <f ca="1">IFERROR(__xludf.DUMMYFUNCTION("""COMPUTED_VALUE""")," Reskin")</f>
        <v xml:space="preserve"> Reskin</v>
      </c>
      <c r="M485" s="5" t="str">
        <f ca="1">IFERROR(__xludf.DUMMYFUNCTION("""COMPUTED_VALUE"""),"Epic Clover 40")</f>
        <v>Epic Clover 40</v>
      </c>
      <c r="N485" s="5"/>
      <c r="O485" s="5"/>
      <c r="P485" s="14">
        <f ca="1">IFERROR(__xludf.DUMMYFUNCTION("""COMPUTED_VALUE"""),7.3)</f>
        <v>7.3</v>
      </c>
      <c r="Q485" s="15">
        <f ca="1">IFERROR(__xludf.DUMMYFUNCTION("""COMPUTED_VALUE"""),45915)</f>
        <v>45915</v>
      </c>
      <c r="R485" s="15">
        <f ca="1">IFERROR(__xludf.DUMMYFUNCTION("""COMPUTED_VALUE"""),45915)</f>
        <v>45915</v>
      </c>
      <c r="S485" s="15">
        <f ca="1">IFERROR(__xludf.DUMMYFUNCTION("""COMPUTED_VALUE"""),45922)</f>
        <v>45922</v>
      </c>
      <c r="T485" s="5" t="b">
        <f ca="1">IFERROR(__xludf.DUMMYFUNCTION("""COMPUTED_VALUE"""),TRUE)</f>
        <v>1</v>
      </c>
      <c r="U485" s="5" t="str">
        <f ca="1">IFERROR(__xludf.DUMMYFUNCTION("""COMPUTED_VALUE"""),"5x4")</f>
        <v>5x4</v>
      </c>
      <c r="V485" s="5">
        <f ca="1">IFERROR(__xludf.DUMMYFUNCTION("""COMPUTED_VALUE"""),40)</f>
        <v>40</v>
      </c>
      <c r="W485" s="5">
        <f ca="1">IFERROR(__xludf.DUMMYFUNCTION("""COMPUTED_VALUE"""),40)</f>
        <v>40</v>
      </c>
      <c r="X485" s="5">
        <f ca="1">IFERROR(__xludf.DUMMYFUNCTION("""COMPUTED_VALUE"""),96.502)</f>
        <v>96.501999999999995</v>
      </c>
      <c r="Y485" s="5" t="str">
        <f ca="1">IFERROR(__xludf.DUMMYFUNCTION("""COMPUTED_VALUE"""),"Medium")</f>
        <v>Medium</v>
      </c>
      <c r="Z485" s="5">
        <f ca="1">IFERROR(__xludf.DUMMYFUNCTION("""COMPUTED_VALUE"""),11.601)</f>
        <v>11.601000000000001</v>
      </c>
      <c r="AA485" s="5">
        <f ca="1">IFERROR(__xludf.DUMMYFUNCTION("""COMPUTED_VALUE"""),3000)</f>
        <v>3000</v>
      </c>
      <c r="AB485" s="5"/>
      <c r="AC485" s="5" t="str">
        <f ca="1">IFERROR(__xludf.DUMMYFUNCTION("""COMPUTED_VALUE"""),"Scatter, Expanding Wild")</f>
        <v>Scatter, Expanding Wild</v>
      </c>
      <c r="AD485" s="5" t="str">
        <f ca="1">IFERROR(__xludf.DUMMYFUNCTION("""COMPUTED_VALUE"""),"0.4/60")</f>
        <v>0.4/60</v>
      </c>
      <c r="AE485" s="5"/>
      <c r="AF485" s="5"/>
      <c r="AG485" s="10">
        <f ca="1">IFERROR(__xludf.DUMMYFUNCTION("""COMPUTED_VALUE"""),46220.5038194444)</f>
        <v>46220.503819444399</v>
      </c>
      <c r="AH485" s="5" t="str">
        <f ca="1">IFERROR(__xludf.DUMMYFUNCTION("""COMPUTED_VALUE"""),"selena.mihajlovic@fazi.rs")</f>
        <v>selena.mihajlovic@fazi.rs</v>
      </c>
      <c r="AI485" s="5"/>
      <c r="AJ485" s="5"/>
      <c r="AK485" s="5"/>
      <c r="AL485" s="5" t="str">
        <f ca="1">IFERROR(__xludf.DUMMYFUNCTION("""COMPUTED_VALUE"""),"No")</f>
        <v>No</v>
      </c>
      <c r="AM485" s="5" t="str">
        <f ca="1">IFERROR(__xludf.DUMMYFUNCTION("""COMPUTED_VALUE"""),"No")</f>
        <v>No</v>
      </c>
      <c r="AN485" s="7" t="str">
        <f ca="1">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AO485" s="5"/>
      <c r="AP485" s="5" t="str">
        <f ca="1">IFERROR(__xludf.DUMMYFUNCTION("""COMPUTED_VALUE"""),"No")</f>
        <v>No</v>
      </c>
      <c r="AQ485" s="5" t="b">
        <f ca="1">IFERROR(__xludf.DUMMYFUNCTION("""COMPUTED_VALUE"""),TRUE)</f>
        <v>1</v>
      </c>
      <c r="AR485" s="5"/>
      <c r="AS485" s="5" t="str">
        <f ca="1">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AT485" s="5"/>
      <c r="AU485" s="5" t="str">
        <f ca="1">IFERROR(__xludf.DUMMYFUNCTION("""COMPUTED_VALUE"""),"Fazi")</f>
        <v>Fazi</v>
      </c>
      <c r="AV485" s="5"/>
      <c r="AW485" s="5"/>
      <c r="AX485" s="15">
        <f ca="1">IFERROR(__xludf.DUMMYFUNCTION("""COMPUTED_VALUE"""),45909)</f>
        <v>45909</v>
      </c>
      <c r="AY485" s="5"/>
      <c r="AZ485" s="5"/>
      <c r="BA485" s="5"/>
      <c r="BB485" s="5" t="b">
        <f ca="1">IFERROR(__xludf.DUMMYFUNCTION("""COMPUTED_VALUE"""),TRUE)</f>
        <v>1</v>
      </c>
      <c r="BC485" s="5" t="str">
        <f ca="1">IFERROR(__xludf.DUMMYFUNCTION("""COMPUTED_VALUE"""),"Playnet")</f>
        <v>Playnet</v>
      </c>
      <c r="BD485" s="7" t="str">
        <f ca="1">IFERROR(__xludf.DUMMYFUNCTION("""COMPUTED_VALUE"""),"https://gameserver-store-client-area.orbionlimited.com/Home/IntegrationGameLaunch/client-area?moneyType=0&amp;gameName=PlayNetDarkTemptress&amp;platform=desktop&amp;languageCode=eng&amp;currency=EUR")</f>
        <v>https://gameserver-store-client-area.orbionlimited.com/Home/IntegrationGameLaunch/client-area?moneyType=0&amp;gameName=PlayNetDarkTemptress&amp;platform=desktop&amp;languageCode=eng&amp;currency=EUR</v>
      </c>
      <c r="BE485" s="5" t="b">
        <f ca="1">IFERROR(__xludf.DUMMYFUNCTION("""COMPUTED_VALUE"""),TRUE)</f>
        <v>1</v>
      </c>
    </row>
    <row r="486" spans="1:57" x14ac:dyDescent="0.25">
      <c r="A486" s="5">
        <f ca="1">IFERROR(__xludf.DUMMYFUNCTION("""COMPUTED_VALUE"""),515)</f>
        <v>515</v>
      </c>
      <c r="B486" s="5">
        <f ca="1">IFERROR(__xludf.DUMMYFUNCTION("""COMPUTED_VALUE"""),2007)</f>
        <v>2007</v>
      </c>
      <c r="C486" s="5" t="str">
        <f ca="1">IFERROR(__xludf.DUMMYFUNCTION("""COMPUTED_VALUE"""),"Fazi")</f>
        <v>Fazi</v>
      </c>
      <c r="D486" s="5" t="str">
        <f ca="1">IFERROR(__xludf.DUMMYFUNCTION("""COMPUTED_VALUE"""),"Wild Sticky Clover")</f>
        <v>Wild Sticky Clover</v>
      </c>
      <c r="E486" s="5" t="str">
        <f ca="1">IFERROR(__xludf.DUMMYFUNCTION("""COMPUTED_VALUE"""),"V4-2")</f>
        <v>V4-2</v>
      </c>
      <c r="F486" s="5" t="str">
        <f ca="1">IFERROR(__xludf.DUMMYFUNCTION("""COMPUTED_VALUE"""),"WildStickyClover")</f>
        <v>WildStickyClover</v>
      </c>
      <c r="G486" s="5" t="str">
        <f ca="1">IFERROR(__xludf.DUMMYFUNCTION("""COMPUTED_VALUE"""),"Live")</f>
        <v>Live</v>
      </c>
      <c r="H486" s="5"/>
      <c r="I486" s="5" t="str">
        <f ca="1">IFERROR(__xludf.DUMMYFUNCTION("""COMPUTED_VALUE"""),"V4")</f>
        <v>V4</v>
      </c>
      <c r="J486" s="5" t="str">
        <f ca="1">IFERROR(__xludf.DUMMYFUNCTION("""COMPUTED_VALUE"""),"JSON")</f>
        <v>JSON</v>
      </c>
      <c r="K486" s="5" t="str">
        <f ca="1">IFERROR(__xludf.DUMMYFUNCTION("""COMPUTED_VALUE"""),"Slot")</f>
        <v>Slot</v>
      </c>
      <c r="L486" s="5" t="str">
        <f ca="1">IFERROR(__xludf.DUMMYFUNCTION("""COMPUTED_VALUE""")," Variant")</f>
        <v xml:space="preserve"> Variant</v>
      </c>
      <c r="M486" s="5" t="str">
        <f ca="1">IFERROR(__xludf.DUMMYFUNCTION("""COMPUTED_VALUE"""),"Wild Lucky Clover")</f>
        <v>Wild Lucky Clover</v>
      </c>
      <c r="N486" s="5"/>
      <c r="O486" s="5"/>
      <c r="P486" s="14">
        <f ca="1">IFERROR(__xludf.DUMMYFUNCTION("""COMPUTED_VALUE"""),21.1)</f>
        <v>21.1</v>
      </c>
      <c r="Q486" s="15">
        <f ca="1">IFERROR(__xludf.DUMMYFUNCTION("""COMPUTED_VALUE"""),45831)</f>
        <v>45831</v>
      </c>
      <c r="R486" s="15">
        <f ca="1">IFERROR(__xludf.DUMMYFUNCTION("""COMPUTED_VALUE"""),45827)</f>
        <v>45827</v>
      </c>
      <c r="S486" s="15">
        <f ca="1">IFERROR(__xludf.DUMMYFUNCTION("""COMPUTED_VALUE"""),45834)</f>
        <v>45834</v>
      </c>
      <c r="T486" s="5" t="b">
        <f ca="1">IFERROR(__xludf.DUMMYFUNCTION("""COMPUTED_VALUE"""),TRUE)</f>
        <v>1</v>
      </c>
      <c r="U486" s="5" t="str">
        <f ca="1">IFERROR(__xludf.DUMMYFUNCTION("""COMPUTED_VALUE"""),"5x4")</f>
        <v>5x4</v>
      </c>
      <c r="V486" s="5">
        <f ca="1">IFERROR(__xludf.DUMMYFUNCTION("""COMPUTED_VALUE"""),40)</f>
        <v>40</v>
      </c>
      <c r="W486" s="5">
        <f ca="1">IFERROR(__xludf.DUMMYFUNCTION("""COMPUTED_VALUE"""),40)</f>
        <v>40</v>
      </c>
      <c r="X486" s="5">
        <f ca="1">IFERROR(__xludf.DUMMYFUNCTION("""COMPUTED_VALUE"""),96.62)</f>
        <v>96.62</v>
      </c>
      <c r="Y486" s="5" t="str">
        <f ca="1">IFERROR(__xludf.DUMMYFUNCTION("""COMPUTED_VALUE"""),"High")</f>
        <v>High</v>
      </c>
      <c r="Z486" s="5">
        <f ca="1">IFERROR(__xludf.DUMMYFUNCTION("""COMPUTED_VALUE"""),10.094)</f>
        <v>10.093999999999999</v>
      </c>
      <c r="AA486" s="5">
        <f ca="1">IFERROR(__xludf.DUMMYFUNCTION("""COMPUTED_VALUE"""),4000)</f>
        <v>4000</v>
      </c>
      <c r="AB486" s="5"/>
      <c r="AC486" s="5" t="str">
        <f ca="1">IFERROR(__xludf.DUMMYFUNCTION("""COMPUTED_VALUE"""),"Buy Bonus")</f>
        <v>Buy Bonus</v>
      </c>
      <c r="AD486" s="5" t="str">
        <f ca="1">IFERROR(__xludf.DUMMYFUNCTION("""COMPUTED_VALUE"""),"0.4/60")</f>
        <v>0.4/60</v>
      </c>
      <c r="AE486" s="5"/>
      <c r="AF486" s="5"/>
      <c r="AG486" s="10">
        <f ca="1">IFERROR(__xludf.DUMMYFUNCTION("""COMPUTED_VALUE"""),46212.5579976851)</f>
        <v>46212.5579976851</v>
      </c>
      <c r="AH486" s="5" t="str">
        <f ca="1">IFERROR(__xludf.DUMMYFUNCTION("""COMPUTED_VALUE"""),"aleksandar.trajkovic@fazi.rs")</f>
        <v>aleksandar.trajkovic@fazi.rs</v>
      </c>
      <c r="AI486" s="5"/>
      <c r="AJ486" s="5"/>
      <c r="AK486" s="5">
        <f ca="1">IFERROR(__xludf.DUMMYFUNCTION("""COMPUTED_VALUE"""),4)</f>
        <v>4</v>
      </c>
      <c r="AL486" s="5" t="str">
        <f ca="1">IFERROR(__xludf.DUMMYFUNCTION("""COMPUTED_VALUE"""),"Yes")</f>
        <v>Yes</v>
      </c>
      <c r="AM486" s="5"/>
      <c r="AN486" s="5" t="str">
        <f ca="1">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AO486" s="5" t="str">
        <f ca="1">IFERROR(__xludf.DUMMYFUNCTION("""COMPUTED_VALUE"""),"Yes")</f>
        <v>Yes</v>
      </c>
      <c r="AP486" s="5" t="str">
        <f ca="1">IFERROR(__xludf.DUMMYFUNCTION("""COMPUTED_VALUE"""),"No")</f>
        <v>No</v>
      </c>
      <c r="AQ486" s="5" t="b">
        <f ca="1">IFERROR(__xludf.DUMMYFUNCTION("""COMPUTED_VALUE"""),TRUE)</f>
        <v>1</v>
      </c>
      <c r="AR486" s="5"/>
      <c r="AS486" s="5" t="str">
        <f ca="1">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AT486" s="5" t="str">
        <f ca="1">IFERROR(__xludf.DUMMYFUNCTION("""COMPUTED_VALUE"""),"Yes")</f>
        <v>Yes</v>
      </c>
      <c r="AU486" s="5" t="str">
        <f ca="1">IFERROR(__xludf.DUMMYFUNCTION("""COMPUTED_VALUE"""),"Fazi")</f>
        <v>Fazi</v>
      </c>
      <c r="AV486" s="5"/>
      <c r="AW486" s="5"/>
      <c r="AX486" s="5"/>
      <c r="AY486" s="5"/>
      <c r="AZ486" s="5"/>
      <c r="BA486" s="5" t="str">
        <f ca="1">IFERROR(__xludf.DUMMYFUNCTION("""COMPUTED_VALUE"""),"100, 285, 820")</f>
        <v>100, 285, 820</v>
      </c>
      <c r="BB486" s="5"/>
      <c r="BC486" s="5" t="str">
        <f ca="1">IFERROR(__xludf.DUMMYFUNCTION("""COMPUTED_VALUE"""),"Foxi")</f>
        <v>Foxi</v>
      </c>
      <c r="BD486" s="7" t="str">
        <f ca="1">IFERROR(__xludf.DUMMYFUNCTION("""COMPUTED_VALUE"""),"https://gameserver-store-client-area.orbionlimited.com/Home/IntegrationGameLaunch/client-area?moneyType=0&amp;gameName=WildStickyClover&amp;platform=desktop&amp;languageCode=eng&amp;currency=EUR")</f>
        <v>https://gameserver-store-client-area.orbionlimited.com/Home/IntegrationGameLaunch/client-area?moneyType=0&amp;gameName=WildStickyClover&amp;platform=desktop&amp;languageCode=eng&amp;currency=EUR</v>
      </c>
      <c r="BE486" s="5" t="b">
        <f ca="1">IFERROR(__xludf.DUMMYFUNCTION("""COMPUTED_VALUE"""),TRUE)</f>
        <v>1</v>
      </c>
    </row>
    <row r="487" spans="1:57" x14ac:dyDescent="0.25">
      <c r="A487" s="5">
        <f ca="1">IFERROR(__xludf.DUMMYFUNCTION("""COMPUTED_VALUE"""),516)</f>
        <v>516</v>
      </c>
      <c r="B487" s="5">
        <f ca="1">IFERROR(__xludf.DUMMYFUNCTION("""COMPUTED_VALUE"""),2013)</f>
        <v>2013</v>
      </c>
      <c r="C487" s="5" t="str">
        <f ca="1">IFERROR(__xludf.DUMMYFUNCTION("""COMPUTED_VALUE"""),"Fazi")</f>
        <v>Fazi</v>
      </c>
      <c r="D487" s="5" t="str">
        <f ca="1">IFERROR(__xludf.DUMMYFUNCTION("""COMPUTED_VALUE"""),"XSpins")</f>
        <v>XSpins</v>
      </c>
      <c r="E487" s="5" t="str">
        <f ca="1">IFERROR(__xludf.DUMMYFUNCTION("""COMPUTED_VALUE"""),"V4-2")</f>
        <v>V4-2</v>
      </c>
      <c r="F487" s="5" t="str">
        <f ca="1">IFERROR(__xludf.DUMMYFUNCTION("""COMPUTED_VALUE"""),"XSpins")</f>
        <v>XSpins</v>
      </c>
      <c r="G487" s="5" t="str">
        <f ca="1">IFERROR(__xludf.DUMMYFUNCTION("""COMPUTED_VALUE"""),"Live")</f>
        <v>Live</v>
      </c>
      <c r="H487" s="5"/>
      <c r="I487" s="5" t="str">
        <f ca="1">IFERROR(__xludf.DUMMYFUNCTION("""COMPUTED_VALUE"""),"V4")</f>
        <v>V4</v>
      </c>
      <c r="J487" s="5" t="str">
        <f ca="1">IFERROR(__xludf.DUMMYFUNCTION("""COMPUTED_VALUE"""),"JSON")</f>
        <v>JSON</v>
      </c>
      <c r="K487" s="5" t="str">
        <f ca="1">IFERROR(__xludf.DUMMYFUNCTION("""COMPUTED_VALUE"""),"Slot")</f>
        <v>Slot</v>
      </c>
      <c r="L487" s="5" t="str">
        <f ca="1">IFERROR(__xludf.DUMMYFUNCTION("""COMPUTED_VALUE"""),"Master")</f>
        <v>Master</v>
      </c>
      <c r="M487" s="5"/>
      <c r="N487" s="7" t="str">
        <f ca="1">IFERROR(__xludf.DUMMYFUNCTION("""COMPUTED_VALUE"""),"https://drive.google.com/drive/folders/1K0XeNmIwEJ7Qvyb5qEjhBQGruLxRdiMG?usp=drive_link")</f>
        <v>https://drive.google.com/drive/folders/1K0XeNmIwEJ7Qvyb5qEjhBQGruLxRdiMG?usp=drive_link</v>
      </c>
      <c r="O487" s="7" t="str">
        <f ca="1">IFERROR(__xludf.DUMMYFUNCTION("""COMPUTED_VALUE"""),"https://drive.google.com/drive/folders/1K0XeNmIwEJ7Qvyb5qEjhBQGruLxRdiMG?usp=drive_link")</f>
        <v>https://drive.google.com/drive/folders/1K0XeNmIwEJ7Qvyb5qEjhBQGruLxRdiMG?usp=drive_link</v>
      </c>
      <c r="P487" s="14">
        <f ca="1">IFERROR(__xludf.DUMMYFUNCTION("""COMPUTED_VALUE"""),14.8)</f>
        <v>14.8</v>
      </c>
      <c r="Q487" s="15">
        <f ca="1">IFERROR(__xludf.DUMMYFUNCTION("""COMPUTED_VALUE"""),46125)</f>
        <v>46125</v>
      </c>
      <c r="R487" s="15">
        <f ca="1">IFERROR(__xludf.DUMMYFUNCTION("""COMPUTED_VALUE"""),46168)</f>
        <v>46168</v>
      </c>
      <c r="S487" s="15">
        <f ca="1">IFERROR(__xludf.DUMMYFUNCTION("""COMPUTED_VALUE"""),46175)</f>
        <v>46175</v>
      </c>
      <c r="T487" s="5" t="b">
        <f ca="1">IFERROR(__xludf.DUMMYFUNCTION("""COMPUTED_VALUE"""),TRUE)</f>
        <v>1</v>
      </c>
      <c r="U487" s="5" t="str">
        <f ca="1">IFERROR(__xludf.DUMMYFUNCTION("""COMPUTED_VALUE"""),"/")</f>
        <v>/</v>
      </c>
      <c r="V487" s="5">
        <f ca="1">IFERROR(__xludf.DUMMYFUNCTION("""COMPUTED_VALUE"""),10)</f>
        <v>10</v>
      </c>
      <c r="W487" s="5"/>
      <c r="X487" s="5">
        <f ca="1">IFERROR(__xludf.DUMMYFUNCTION("""COMPUTED_VALUE"""),96)</f>
        <v>96</v>
      </c>
      <c r="Y487" s="5" t="str">
        <f ca="1">IFERROR(__xludf.DUMMYFUNCTION("""COMPUTED_VALUE"""),"High")</f>
        <v>High</v>
      </c>
      <c r="Z487" s="5">
        <f ca="1">IFERROR(__xludf.DUMMYFUNCTION("""COMPUTED_VALUE"""),87.272)</f>
        <v>87.272000000000006</v>
      </c>
      <c r="AA487" s="5">
        <f ca="1">IFERROR(__xludf.DUMMYFUNCTION("""COMPUTED_VALUE"""),15000)</f>
        <v>15000</v>
      </c>
      <c r="AB487" s="5"/>
      <c r="AC487" s="5" t="str">
        <f ca="1">IFERROR(__xludf.DUMMYFUNCTION("""COMPUTED_VALUE"""),"Win Multiplier")</f>
        <v>Win Multiplier</v>
      </c>
      <c r="AD487" s="5" t="str">
        <f ca="1">IFERROR(__xludf.DUMMYFUNCTION("""COMPUTED_VALUE"""),"0.05/40")</f>
        <v>0.05/40</v>
      </c>
      <c r="AE487" s="5"/>
      <c r="AF487" s="5"/>
      <c r="AG487" s="10">
        <f ca="1">IFERROR(__xludf.DUMMYFUNCTION("""COMPUTED_VALUE"""),46185.5696064814)</f>
        <v>46185.569606481396</v>
      </c>
      <c r="AH487" s="5" t="str">
        <f ca="1">IFERROR(__xludf.DUMMYFUNCTION("""COMPUTED_VALUE"""),"selena.mihajlovic@fazi.rs")</f>
        <v>selena.mihajlovic@fazi.rs</v>
      </c>
      <c r="AI487" s="15">
        <f ca="1">IFERROR(__xludf.DUMMYFUNCTION("""COMPUTED_VALUE"""),46150)</f>
        <v>46150</v>
      </c>
      <c r="AJ487" s="5" t="str">
        <f ca="1">IFERROR(__xludf.DUMMYFUNCTION("""COMPUTED_VALUE"""),"08.05. Venezuela Triumfobet
08.05. VolcanoBet MNE
11.05. Bonmoja
12.05. EVA India + Chile + Argentina
12.05. BtoBet
13.05. Mozzartbet RS
")</f>
        <v xml:space="preserve">08.05. Venezuela Triumfobet
08.05. VolcanoBet MNE
11.05. Bonmoja
12.05. EVA India + Chile + Argentina
12.05. BtoBet
13.05. Mozzartbet RS
</v>
      </c>
      <c r="AK487" s="5">
        <f ca="1">IFERROR(__xludf.DUMMYFUNCTION("""COMPUTED_VALUE"""),10)</f>
        <v>10</v>
      </c>
      <c r="AL487" s="5" t="str">
        <f ca="1">IFERROR(__xludf.DUMMYFUNCTION("""COMPUTED_VALUE"""),"No")</f>
        <v>No</v>
      </c>
      <c r="AM487" s="5" t="str">
        <f ca="1">IFERROR(__xludf.DUMMYFUNCTION("""COMPUTED_VALUE"""),"No")</f>
        <v>No</v>
      </c>
      <c r="AN487" s="7" t="str">
        <f ca="1">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AO487" s="5" t="str">
        <f ca="1">IFERROR(__xludf.DUMMYFUNCTION("""COMPUTED_VALUE"""),"Yes")</f>
        <v>Yes</v>
      </c>
      <c r="AP487" s="5" t="str">
        <f ca="1">IFERROR(__xludf.DUMMYFUNCTION("""COMPUTED_VALUE"""),"No")</f>
        <v>No</v>
      </c>
      <c r="AQ487" s="5" t="b">
        <f ca="1">IFERROR(__xludf.DUMMYFUNCTION("""COMPUTED_VALUE"""),TRUE)</f>
        <v>1</v>
      </c>
      <c r="AR487" s="5"/>
      <c r="AS487" s="5" t="str">
        <f ca="1">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AT487" s="5"/>
      <c r="AU487" s="5" t="str">
        <f ca="1">IFERROR(__xludf.DUMMYFUNCTION("""COMPUTED_VALUE"""),"Fazi")</f>
        <v>Fazi</v>
      </c>
      <c r="AV487" s="5">
        <f ca="1">IFERROR(__xludf.DUMMYFUNCTION("""COMPUTED_VALUE"""),10)</f>
        <v>10</v>
      </c>
      <c r="AW487" s="5"/>
      <c r="AX487" s="15">
        <f ca="1">IFERROR(__xludf.DUMMYFUNCTION("""COMPUTED_VALUE"""),46119)</f>
        <v>46119</v>
      </c>
      <c r="AY487" s="5" t="str">
        <f ca="1">IFERROR(__xludf.DUMMYFUNCTION("""COMPUTED_VALUE"""),"Da, igra ima mogucnost kofiguracije RTP za razlicite vrednosti. ")</f>
        <v xml:space="preserve">Da, igra ima mogucnost kofiguracije RTP za razlicite vrednosti. </v>
      </c>
      <c r="AZ487" s="7" t="str">
        <f ca="1">IFERROR(__xludf.DUMMYFUNCTION("""COMPUTED_VALUE"""),"https://drive.google.com/drive/folders/19YB-AjLXFU0pCCykpndBLg1UN-7aTI1K")</f>
        <v>https://drive.google.com/drive/folders/19YB-AjLXFU0pCCykpndBLg1UN-7aTI1K</v>
      </c>
      <c r="BA487" s="5"/>
      <c r="BB487" s="5" t="b">
        <f ca="1">IFERROR(__xludf.DUMMYFUNCTION("""COMPUTED_VALUE"""),TRUE)</f>
        <v>1</v>
      </c>
      <c r="BC487" s="5" t="str">
        <f ca="1">IFERROR(__xludf.DUMMYFUNCTION("""COMPUTED_VALUE"""),"Foxi")</f>
        <v>Foxi</v>
      </c>
      <c r="BD487" s="7" t="str">
        <f ca="1">IFERROR(__xludf.DUMMYFUNCTION("""COMPUTED_VALUE"""),"https://gameserver-store-client-area.orbionlimited.com/Home/IntegrationGameLaunch/client-area?moneyType=0&amp;gameName=XSpins&amp;platform=desktop&amp;languageCode=eng&amp;currency=EUR")</f>
        <v>https://gameserver-store-client-area.orbionlimited.com/Home/IntegrationGameLaunch/client-area?moneyType=0&amp;gameName=XSpins&amp;platform=desktop&amp;languageCode=eng&amp;currency=EUR</v>
      </c>
      <c r="BE487" s="5" t="b">
        <f ca="1">IFERROR(__xludf.DUMMYFUNCTION("""COMPUTED_VALUE"""),TRUE)</f>
        <v>1</v>
      </c>
    </row>
    <row r="488" spans="1:57" x14ac:dyDescent="0.25">
      <c r="A488" s="5">
        <f ca="1">IFERROR(__xludf.DUMMYFUNCTION("""COMPUTED_VALUE"""),517)</f>
        <v>517</v>
      </c>
      <c r="B488" s="5">
        <f ca="1">IFERROR(__xludf.DUMMYFUNCTION("""COMPUTED_VALUE"""),3019)</f>
        <v>3019</v>
      </c>
      <c r="C488" s="5" t="str">
        <f ca="1">IFERROR(__xludf.DUMMYFUNCTION("""COMPUTED_VALUE"""),"Fazi")</f>
        <v>Fazi</v>
      </c>
      <c r="D488" s="5" t="str">
        <f ca="1">IFERROR(__xludf.DUMMYFUNCTION("""COMPUTED_VALUE"""),"Epic Crown 5 Booster")</f>
        <v>Epic Crown 5 Booster</v>
      </c>
      <c r="E488" s="5" t="str">
        <f ca="1">IFERROR(__xludf.DUMMYFUNCTION("""COMPUTED_VALUE"""),"V2")</f>
        <v>V2</v>
      </c>
      <c r="F488" s="5" t="str">
        <f ca="1">IFERROR(__xludf.DUMMYFUNCTION("""COMPUTED_VALUE"""),"EpicCrown5Booster")</f>
        <v>EpicCrown5Booster</v>
      </c>
      <c r="G488" s="5" t="str">
        <f ca="1">IFERROR(__xludf.DUMMYFUNCTION("""COMPUTED_VALUE"""),"Live")</f>
        <v>Live</v>
      </c>
      <c r="H488" s="5"/>
      <c r="I488" s="5"/>
      <c r="J488" s="5" t="str">
        <f ca="1">IFERROR(__xludf.DUMMYFUNCTION("""COMPUTED_VALUE"""),"JSON")</f>
        <v>JSON</v>
      </c>
      <c r="K488" s="5" t="str">
        <f ca="1">IFERROR(__xludf.DUMMYFUNCTION("""COMPUTED_VALUE"""),"Slot")</f>
        <v>Slot</v>
      </c>
      <c r="L488" s="5" t="str">
        <f ca="1">IFERROR(__xludf.DUMMYFUNCTION("""COMPUTED_VALUE""")," Clone")</f>
        <v xml:space="preserve"> Clone</v>
      </c>
      <c r="M488" s="5" t="str">
        <f ca="1">IFERROR(__xludf.DUMMYFUNCTION("""COMPUTED_VALUE"""),"Epic Crown 5")</f>
        <v>Epic Crown 5</v>
      </c>
      <c r="N488" s="5"/>
      <c r="O488" s="5"/>
      <c r="P488" s="14">
        <f ca="1">IFERROR(__xludf.DUMMYFUNCTION("""COMPUTED_VALUE"""),24.8)</f>
        <v>24.8</v>
      </c>
      <c r="Q488" s="15">
        <f ca="1">IFERROR(__xludf.DUMMYFUNCTION("""COMPUTED_VALUE"""),45811)</f>
        <v>45811</v>
      </c>
      <c r="R488" s="15">
        <f ca="1">IFERROR(__xludf.DUMMYFUNCTION("""COMPUTED_VALUE"""),45820)</f>
        <v>45820</v>
      </c>
      <c r="S488" s="15">
        <f ca="1">IFERROR(__xludf.DUMMYFUNCTION("""COMPUTED_VALUE"""),45827)</f>
        <v>45827</v>
      </c>
      <c r="T488" s="5" t="b">
        <f ca="1">IFERROR(__xludf.DUMMYFUNCTION("""COMPUTED_VALUE"""),TRUE)</f>
        <v>1</v>
      </c>
      <c r="U488" s="5" t="str">
        <f ca="1">IFERROR(__xludf.DUMMYFUNCTION("""COMPUTED_VALUE"""),"5x3")</f>
        <v>5x3</v>
      </c>
      <c r="V488" s="5">
        <f ca="1">IFERROR(__xludf.DUMMYFUNCTION("""COMPUTED_VALUE"""),5)</f>
        <v>5</v>
      </c>
      <c r="W488" s="5">
        <f ca="1">IFERROR(__xludf.DUMMYFUNCTION("""COMPUTED_VALUE"""),5)</f>
        <v>5</v>
      </c>
      <c r="X488" s="5">
        <f ca="1">IFERROR(__xludf.DUMMYFUNCTION("""COMPUTED_VALUE"""),95.962)</f>
        <v>95.962000000000003</v>
      </c>
      <c r="Y488" s="5" t="str">
        <f ca="1">IFERROR(__xludf.DUMMYFUNCTION("""COMPUTED_VALUE"""),"Medium")</f>
        <v>Medium</v>
      </c>
      <c r="Z488" s="5">
        <f ca="1">IFERROR(__xludf.DUMMYFUNCTION("""COMPUTED_VALUE"""),12.26)</f>
        <v>12.26</v>
      </c>
      <c r="AA488" s="5">
        <f ca="1">IFERROR(__xludf.DUMMYFUNCTION("""COMPUTED_VALUE"""),2018)</f>
        <v>2018</v>
      </c>
      <c r="AB488" s="5"/>
      <c r="AC488" s="5" t="str">
        <f ca="1">IFERROR(__xludf.DUMMYFUNCTION("""COMPUTED_VALUE"""),"Scatter, Expanding Wild, Buy Feature")</f>
        <v>Scatter, Expanding Wild, Buy Feature</v>
      </c>
      <c r="AD488" s="5" t="str">
        <f ca="1">IFERROR(__xludf.DUMMYFUNCTION("""COMPUTED_VALUE"""),"0.1/50")</f>
        <v>0.1/50</v>
      </c>
      <c r="AE488" s="5"/>
      <c r="AF488" s="5"/>
      <c r="AG488" s="10">
        <f ca="1">IFERROR(__xludf.DUMMYFUNCTION("""COMPUTED_VALUE"""),46198.5199189814)</f>
        <v>46198.519918981401</v>
      </c>
      <c r="AH488" s="5" t="str">
        <f ca="1">IFERROR(__xludf.DUMMYFUNCTION("""COMPUTED_VALUE"""),"selena.mihajlovic@fazi.rs")</f>
        <v>selena.mihajlovic@fazi.rs</v>
      </c>
      <c r="AI488" s="5"/>
      <c r="AJ488" s="5"/>
      <c r="AK488" s="5">
        <f ca="1">IFERROR(__xludf.DUMMYFUNCTION("""COMPUTED_VALUE"""),5)</f>
        <v>5</v>
      </c>
      <c r="AL488" s="5" t="str">
        <f ca="1">IFERROR(__xludf.DUMMYFUNCTION("""COMPUTED_VALUE"""),"Yes")</f>
        <v>Yes</v>
      </c>
      <c r="AM488" s="5"/>
      <c r="AN488" s="7" t="str">
        <f ca="1">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8" s="5" t="str">
        <f ca="1">IFERROR(__xludf.DUMMYFUNCTION("""COMPUTED_VALUE"""),"Yes")</f>
        <v>Yes</v>
      </c>
      <c r="AP488" s="5" t="str">
        <f ca="1">IFERROR(__xludf.DUMMYFUNCTION("""COMPUTED_VALUE"""),"No")</f>
        <v>No</v>
      </c>
      <c r="AQ488" s="5" t="b">
        <f ca="1">IFERROR(__xludf.DUMMYFUNCTION("""COMPUTED_VALUE"""),TRUE)</f>
        <v>1</v>
      </c>
      <c r="AR488" s="5"/>
      <c r="AS488" s="5" t="str">
        <f ca="1">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AT488" s="5"/>
      <c r="AU488" s="5" t="str">
        <f ca="1">IFERROR(__xludf.DUMMYFUNCTION("""COMPUTED_VALUE"""),"Fazi")</f>
        <v>Fazi</v>
      </c>
      <c r="AV488" s="5"/>
      <c r="AW488" s="5"/>
      <c r="AX488" s="5"/>
      <c r="AY488" s="5"/>
      <c r="AZ488" s="5"/>
      <c r="BA488" s="5">
        <f ca="1">IFERROR(__xludf.DUMMYFUNCTION("""COMPUTED_VALUE"""),5)</f>
        <v>5</v>
      </c>
      <c r="BB488" s="5"/>
      <c r="BC488" s="5" t="str">
        <f ca="1">IFERROR(__xludf.DUMMYFUNCTION("""COMPUTED_VALUE"""),"Foxi")</f>
        <v>Foxi</v>
      </c>
      <c r="BD488" s="7" t="str">
        <f ca="1">IFERROR(__xludf.DUMMYFUNCTION("""COMPUTED_VALUE"""),"https://gameserver-store-client-area.orbionlimited.com/Home/IntegrationGameLaunch/client-area?moneyType=0&amp;gameName=EpicCrown5Booster&amp;platform=desktop&amp;languageCode=eng&amp;currency=EUR")</f>
        <v>https://gameserver-store-client-area.orbionlimited.com/Home/IntegrationGameLaunch/client-area?moneyType=0&amp;gameName=EpicCrown5Booster&amp;platform=desktop&amp;languageCode=eng&amp;currency=EUR</v>
      </c>
      <c r="BE488" s="5" t="b">
        <f ca="1">IFERROR(__xludf.DUMMYFUNCTION("""COMPUTED_VALUE"""),TRUE)</f>
        <v>1</v>
      </c>
    </row>
    <row r="489" spans="1:57" x14ac:dyDescent="0.25">
      <c r="A489" s="5">
        <f ca="1">IFERROR(__xludf.DUMMYFUNCTION("""COMPUTED_VALUE"""),518)</f>
        <v>518</v>
      </c>
      <c r="B489" s="5">
        <f ca="1">IFERROR(__xludf.DUMMYFUNCTION("""COMPUTED_VALUE"""),3017)</f>
        <v>3017</v>
      </c>
      <c r="C489" s="5" t="str">
        <f ca="1">IFERROR(__xludf.DUMMYFUNCTION("""COMPUTED_VALUE"""),"Fazi")</f>
        <v>Fazi</v>
      </c>
      <c r="D489" s="5" t="str">
        <f ca="1">IFERROR(__xludf.DUMMYFUNCTION("""COMPUTED_VALUE"""),"Epic Crown 10 Booster")</f>
        <v>Epic Crown 10 Booster</v>
      </c>
      <c r="E489" s="5" t="str">
        <f ca="1">IFERROR(__xludf.DUMMYFUNCTION("""COMPUTED_VALUE"""),"V2")</f>
        <v>V2</v>
      </c>
      <c r="F489" s="5" t="str">
        <f ca="1">IFERROR(__xludf.DUMMYFUNCTION("""COMPUTED_VALUE"""),"EpicCrown10Booster")</f>
        <v>EpicCrown10Booster</v>
      </c>
      <c r="G489" s="5" t="str">
        <f ca="1">IFERROR(__xludf.DUMMYFUNCTION("""COMPUTED_VALUE"""),"Live")</f>
        <v>Live</v>
      </c>
      <c r="H489" s="5"/>
      <c r="I489" s="5"/>
      <c r="J489" s="5" t="str">
        <f ca="1">IFERROR(__xludf.DUMMYFUNCTION("""COMPUTED_VALUE"""),"JSON")</f>
        <v>JSON</v>
      </c>
      <c r="K489" s="5" t="str">
        <f ca="1">IFERROR(__xludf.DUMMYFUNCTION("""COMPUTED_VALUE"""),"Slot")</f>
        <v>Slot</v>
      </c>
      <c r="L489" s="5" t="str">
        <f ca="1">IFERROR(__xludf.DUMMYFUNCTION("""COMPUTED_VALUE""")," Clone")</f>
        <v xml:space="preserve"> Clone</v>
      </c>
      <c r="M489" s="5" t="str">
        <f ca="1">IFERROR(__xludf.DUMMYFUNCTION("""COMPUTED_VALUE"""),"Epic Crown 10")</f>
        <v>Epic Crown 10</v>
      </c>
      <c r="N489" s="5"/>
      <c r="O489" s="5"/>
      <c r="P489" s="14">
        <f ca="1">IFERROR(__xludf.DUMMYFUNCTION("""COMPUTED_VALUE"""),24.5)</f>
        <v>24.5</v>
      </c>
      <c r="Q489" s="15">
        <f ca="1">IFERROR(__xludf.DUMMYFUNCTION("""COMPUTED_VALUE"""),45811)</f>
        <v>45811</v>
      </c>
      <c r="R489" s="15">
        <f ca="1">IFERROR(__xludf.DUMMYFUNCTION("""COMPUTED_VALUE"""),45812)</f>
        <v>45812</v>
      </c>
      <c r="S489" s="15">
        <f ca="1">IFERROR(__xludf.DUMMYFUNCTION("""COMPUTED_VALUE"""),45819)</f>
        <v>45819</v>
      </c>
      <c r="T489" s="5" t="b">
        <f ca="1">IFERROR(__xludf.DUMMYFUNCTION("""COMPUTED_VALUE"""),TRUE)</f>
        <v>1</v>
      </c>
      <c r="U489" s="5" t="str">
        <f ca="1">IFERROR(__xludf.DUMMYFUNCTION("""COMPUTED_VALUE"""),"5x3")</f>
        <v>5x3</v>
      </c>
      <c r="V489" s="5">
        <f ca="1">IFERROR(__xludf.DUMMYFUNCTION("""COMPUTED_VALUE"""),10)</f>
        <v>10</v>
      </c>
      <c r="W489" s="5">
        <f ca="1">IFERROR(__xludf.DUMMYFUNCTION("""COMPUTED_VALUE"""),10)</f>
        <v>10</v>
      </c>
      <c r="X489" s="5">
        <f ca="1">IFERROR(__xludf.DUMMYFUNCTION("""COMPUTED_VALUE"""),95.96)</f>
        <v>95.96</v>
      </c>
      <c r="Y489" s="5" t="str">
        <f ca="1">IFERROR(__xludf.DUMMYFUNCTION("""COMPUTED_VALUE"""),"Medium")</f>
        <v>Medium</v>
      </c>
      <c r="Z489" s="5">
        <f ca="1">IFERROR(__xludf.DUMMYFUNCTION("""COMPUTED_VALUE"""),14.63)</f>
        <v>14.63</v>
      </c>
      <c r="AA489" s="5">
        <f ca="1">IFERROR(__xludf.DUMMYFUNCTION("""COMPUTED_VALUE"""),1538)</f>
        <v>1538</v>
      </c>
      <c r="AB489" s="5"/>
      <c r="AC489" s="5" t="str">
        <f ca="1">IFERROR(__xludf.DUMMYFUNCTION("""COMPUTED_VALUE"""),"Buy Feature")</f>
        <v>Buy Feature</v>
      </c>
      <c r="AD489" s="5" t="str">
        <f ca="1">IFERROR(__xludf.DUMMYFUNCTION("""COMPUTED_VALUE"""),"01/50")</f>
        <v>01/50</v>
      </c>
      <c r="AE489" s="5"/>
      <c r="AF489" s="5"/>
      <c r="AG489" s="10">
        <f ca="1">IFERROR(__xludf.DUMMYFUNCTION("""COMPUTED_VALUE"""),46198.5200462963)</f>
        <v>46198.520046296297</v>
      </c>
      <c r="AH489" s="5" t="str">
        <f ca="1">IFERROR(__xludf.DUMMYFUNCTION("""COMPUTED_VALUE"""),"selena.mihajlovic@fazi.rs")</f>
        <v>selena.mihajlovic@fazi.rs</v>
      </c>
      <c r="AI489" s="5"/>
      <c r="AJ489" s="5"/>
      <c r="AK489" s="5">
        <f ca="1">IFERROR(__xludf.DUMMYFUNCTION("""COMPUTED_VALUE"""),10)</f>
        <v>10</v>
      </c>
      <c r="AL489" s="5" t="str">
        <f ca="1">IFERROR(__xludf.DUMMYFUNCTION("""COMPUTED_VALUE"""),"Yes")</f>
        <v>Yes</v>
      </c>
      <c r="AM489" s="5"/>
      <c r="AN489" s="7" t="str">
        <f ca="1">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9" s="5" t="str">
        <f ca="1">IFERROR(__xludf.DUMMYFUNCTION("""COMPUTED_VALUE"""),"Yes")</f>
        <v>Yes</v>
      </c>
      <c r="AP489" s="5" t="str">
        <f ca="1">IFERROR(__xludf.DUMMYFUNCTION("""COMPUTED_VALUE"""),"Yes")</f>
        <v>Yes</v>
      </c>
      <c r="AQ489" s="5" t="b">
        <f ca="1">IFERROR(__xludf.DUMMYFUNCTION("""COMPUTED_VALUE"""),TRUE)</f>
        <v>1</v>
      </c>
      <c r="AR489" s="5"/>
      <c r="AS489" s="5" t="str">
        <f ca="1">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AT489" s="5" t="str">
        <f ca="1">IFERROR(__xludf.DUMMYFUNCTION("""COMPUTED_VALUE"""),"No")</f>
        <v>No</v>
      </c>
      <c r="AU489" s="5" t="str">
        <f ca="1">IFERROR(__xludf.DUMMYFUNCTION("""COMPUTED_VALUE"""),"Fazi")</f>
        <v>Fazi</v>
      </c>
      <c r="AV489" s="5"/>
      <c r="AW489" s="5"/>
      <c r="AX489" s="5"/>
      <c r="AY489" s="5"/>
      <c r="AZ489" s="5"/>
      <c r="BA489" s="5">
        <f ca="1">IFERROR(__xludf.DUMMYFUNCTION("""COMPUTED_VALUE"""),5)</f>
        <v>5</v>
      </c>
      <c r="BB489" s="5"/>
      <c r="BC489" s="5" t="str">
        <f ca="1">IFERROR(__xludf.DUMMYFUNCTION("""COMPUTED_VALUE"""),"Foxi")</f>
        <v>Foxi</v>
      </c>
      <c r="BD489" s="7" t="str">
        <f ca="1">IFERROR(__xludf.DUMMYFUNCTION("""COMPUTED_VALUE"""),"https://gameserver-store-client-area.orbionlimited.com/Home/IntegrationGameLaunch/client-area?moneyType=0&amp;gameName=EpicCrown10Booster&amp;platform=desktop&amp;languageCode=eng&amp;currency=EUR")</f>
        <v>https://gameserver-store-client-area.orbionlimited.com/Home/IntegrationGameLaunch/client-area?moneyType=0&amp;gameName=EpicCrown10Booster&amp;platform=desktop&amp;languageCode=eng&amp;currency=EUR</v>
      </c>
      <c r="BE489" s="5" t="b">
        <f ca="1">IFERROR(__xludf.DUMMYFUNCTION("""COMPUTED_VALUE"""),TRUE)</f>
        <v>1</v>
      </c>
    </row>
    <row r="490" spans="1:57" x14ac:dyDescent="0.25">
      <c r="A490" s="5">
        <f ca="1">IFERROR(__xludf.DUMMYFUNCTION("""COMPUTED_VALUE"""),519)</f>
        <v>519</v>
      </c>
      <c r="B490" s="5">
        <f ca="1">IFERROR(__xludf.DUMMYFUNCTION("""COMPUTED_VALUE"""),180020)</f>
        <v>180020</v>
      </c>
      <c r="C490" s="5" t="str">
        <f ca="1">IFERROR(__xludf.DUMMYFUNCTION("""COMPUTED_VALUE"""),"Redstone")</f>
        <v>Redstone</v>
      </c>
      <c r="D490" s="5" t="str">
        <f ca="1">IFERROR(__xludf.DUMMYFUNCTION("""COMPUTED_VALUE"""),"777: Expand")</f>
        <v>777: Expand</v>
      </c>
      <c r="E490" s="5" t="str">
        <f ca="1">IFERROR(__xludf.DUMMYFUNCTION("""COMPUTED_VALUE"""),"Redstone")</f>
        <v>Redstone</v>
      </c>
      <c r="F490" s="5" t="str">
        <f ca="1">IFERROR(__xludf.DUMMYFUNCTION("""COMPUTED_VALUE"""),"Redstone777Expand")</f>
        <v>Redstone777Expand</v>
      </c>
      <c r="G490" s="5" t="str">
        <f ca="1">IFERROR(__xludf.DUMMYFUNCTION("""COMPUTED_VALUE"""),"Live")</f>
        <v>Live</v>
      </c>
      <c r="H490" s="5"/>
      <c r="I490" s="5" t="str">
        <f ca="1">IFERROR(__xludf.DUMMYFUNCTION("""COMPUTED_VALUE"""),"Redstone")</f>
        <v>Redstone</v>
      </c>
      <c r="J490" s="5" t="str">
        <f ca="1">IFERROR(__xludf.DUMMYFUNCTION("""COMPUTED_VALUE"""),"JSON")</f>
        <v>JSON</v>
      </c>
      <c r="K490" s="5" t="str">
        <f ca="1">IFERROR(__xludf.DUMMYFUNCTION("""COMPUTED_VALUE"""),"Slot")</f>
        <v>Slot</v>
      </c>
      <c r="L490" s="5" t="str">
        <f ca="1">IFERROR(__xludf.DUMMYFUNCTION("""COMPUTED_VALUE""")," Clone")</f>
        <v xml:space="preserve"> Clone</v>
      </c>
      <c r="M490" s="5" t="str">
        <f ca="1">IFERROR(__xludf.DUMMYFUNCTION("""COMPUTED_VALUE"""),"Cosmic Sevens")</f>
        <v>Cosmic Sevens</v>
      </c>
      <c r="N490" s="7" t="str">
        <f ca="1">IFERROR(__xludf.DUMMYFUNCTION("""COMPUTED_VALUE"""),"https://drive.google.com/file/d/1f4lhNBlzwu96nXqSardoriE05sNVeNbC/view?usp=drive_link")</f>
        <v>https://drive.google.com/file/d/1f4lhNBlzwu96nXqSardoriE05sNVeNbC/view?usp=drive_link</v>
      </c>
      <c r="O490" s="7" t="str">
        <f ca="1">IFERROR(__xludf.DUMMYFUNCTION("""COMPUTED_VALUE"""),"https://drive.google.com/file/d/1TcFXfNxWA4OqQvlxID9tuaaRrNrBPlyn/view?usp=drive_link")</f>
        <v>https://drive.google.com/file/d/1TcFXfNxWA4OqQvlxID9tuaaRrNrBPlyn/view?usp=drive_link</v>
      </c>
      <c r="P490" s="14">
        <f ca="1">IFERROR(__xludf.DUMMYFUNCTION("""COMPUTED_VALUE"""),6.5)</f>
        <v>6.5</v>
      </c>
      <c r="Q490" s="15">
        <f ca="1">IFERROR(__xludf.DUMMYFUNCTION("""COMPUTED_VALUE"""),45803)</f>
        <v>45803</v>
      </c>
      <c r="R490" s="15">
        <f ca="1">IFERROR(__xludf.DUMMYFUNCTION("""COMPUTED_VALUE"""),45811)</f>
        <v>45811</v>
      </c>
      <c r="S490" s="15">
        <f ca="1">IFERROR(__xludf.DUMMYFUNCTION("""COMPUTED_VALUE"""),45818)</f>
        <v>45818</v>
      </c>
      <c r="T490" s="5" t="b">
        <f ca="1">IFERROR(__xludf.DUMMYFUNCTION("""COMPUTED_VALUE"""),TRUE)</f>
        <v>1</v>
      </c>
      <c r="U490" s="5" t="str">
        <f ca="1">IFERROR(__xludf.DUMMYFUNCTION("""COMPUTED_VALUE"""),"5x3")</f>
        <v>5x3</v>
      </c>
      <c r="V490" s="5">
        <f ca="1">IFERROR(__xludf.DUMMYFUNCTION("""COMPUTED_VALUE"""),10)</f>
        <v>10</v>
      </c>
      <c r="W490" s="5">
        <f ca="1">IFERROR(__xludf.DUMMYFUNCTION("""COMPUTED_VALUE"""),10)</f>
        <v>10</v>
      </c>
      <c r="X490" s="5">
        <f ca="1">IFERROR(__xludf.DUMMYFUNCTION("""COMPUTED_VALUE"""),96.03)</f>
        <v>96.03</v>
      </c>
      <c r="Y490" s="5" t="str">
        <f ca="1">IFERROR(__xludf.DUMMYFUNCTION("""COMPUTED_VALUE"""),"Medium")</f>
        <v>Medium</v>
      </c>
      <c r="Z490" s="5">
        <f ca="1">IFERROR(__xludf.DUMMYFUNCTION("""COMPUTED_VALUE"""),18.71)</f>
        <v>18.71</v>
      </c>
      <c r="AA490" s="5">
        <f ca="1">IFERROR(__xludf.DUMMYFUNCTION("""COMPUTED_VALUE"""),3000)</f>
        <v>3000</v>
      </c>
      <c r="AB490" s="5"/>
      <c r="AC490" s="5" t="str">
        <f ca="1">IFERROR(__xludf.DUMMYFUNCTION("""COMPUTED_VALUE"""),"Expanding Wild, Scatter")</f>
        <v>Expanding Wild, Scatter</v>
      </c>
      <c r="AD490" s="5" t="str">
        <f ca="1">IFERROR(__xludf.DUMMYFUNCTION("""COMPUTED_VALUE"""),"0.1/100")</f>
        <v>0.1/100</v>
      </c>
      <c r="AE490" s="5"/>
      <c r="AF490" s="5"/>
      <c r="AG490" s="10">
        <f ca="1">IFERROR(__xludf.DUMMYFUNCTION("""COMPUTED_VALUE"""),46157.5291435185)</f>
        <v>46157.529143518499</v>
      </c>
      <c r="AH490" s="5"/>
      <c r="AI490" s="5"/>
      <c r="AJ490" s="5"/>
      <c r="AK490" s="5">
        <f ca="1">IFERROR(__xludf.DUMMYFUNCTION("""COMPUTED_VALUE"""),1)</f>
        <v>1</v>
      </c>
      <c r="AL490" s="5" t="str">
        <f ca="1">IFERROR(__xludf.DUMMYFUNCTION("""COMPUTED_VALUE"""),"No")</f>
        <v>No</v>
      </c>
      <c r="AM490" s="5" t="str">
        <f ca="1">IFERROR(__xludf.DUMMYFUNCTION("""COMPUTED_VALUE"""),"No")</f>
        <v>No</v>
      </c>
      <c r="AN490" s="7" t="str">
        <f ca="1">IFERROR(__xludf.DUMMYFUNCTION("""COMPUTED_VALUE"""),"https://static.redstone.rs/games/777-expand/")</f>
        <v>https://static.redstone.rs/games/777-expand/</v>
      </c>
      <c r="AO490" s="5" t="str">
        <f ca="1">IFERROR(__xludf.DUMMYFUNCTION("""COMPUTED_VALUE"""),"No")</f>
        <v>No</v>
      </c>
      <c r="AP490" s="5" t="str">
        <f ca="1">IFERROR(__xludf.DUMMYFUNCTION("""COMPUTED_VALUE"""),"No")</f>
        <v>No</v>
      </c>
      <c r="AQ490" s="5" t="b">
        <f ca="1">IFERROR(__xludf.DUMMYFUNCTION("""COMPUTED_VALUE"""),TRUE)</f>
        <v>1</v>
      </c>
      <c r="AR490" s="5"/>
      <c r="AS490" s="5" t="str">
        <f ca="1">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AT490" s="5"/>
      <c r="AU490" s="5" t="str">
        <f ca="1">IFERROR(__xludf.DUMMYFUNCTION("""COMPUTED_VALUE"""),"Redstone")</f>
        <v>Redstone</v>
      </c>
      <c r="AV490" s="5"/>
      <c r="AW490" s="5"/>
      <c r="AX490" s="5"/>
      <c r="AY490" s="5"/>
      <c r="AZ490" s="5"/>
      <c r="BA490" s="5"/>
      <c r="BB490" s="5" t="b">
        <f ca="1">IFERROR(__xludf.DUMMYFUNCTION("""COMPUTED_VALUE"""),TRUE)</f>
        <v>1</v>
      </c>
      <c r="BC490" s="5" t="str">
        <f ca="1">IFERROR(__xludf.DUMMYFUNCTION("""COMPUTED_VALUE"""),"Redstone")</f>
        <v>Redstone</v>
      </c>
      <c r="BD490" s="7" t="str">
        <f ca="1">IFERROR(__xludf.DUMMYFUNCTION("""COMPUTED_VALUE"""),"https://static.redstone.rs/games/777-expand/")</f>
        <v>https://static.redstone.rs/games/777-expand/</v>
      </c>
      <c r="BE490" s="5" t="b">
        <f ca="1">IFERROR(__xludf.DUMMYFUNCTION("""COMPUTED_VALUE"""),TRUE)</f>
        <v>1</v>
      </c>
    </row>
    <row r="491" spans="1:57" x14ac:dyDescent="0.25">
      <c r="A491" s="5">
        <f ca="1">IFERROR(__xludf.DUMMYFUNCTION("""COMPUTED_VALUE"""),520)</f>
        <v>520</v>
      </c>
      <c r="B491" s="5">
        <f ca="1">IFERROR(__xludf.DUMMYFUNCTION("""COMPUTED_VALUE"""),180019)</f>
        <v>180019</v>
      </c>
      <c r="C491" s="5" t="str">
        <f ca="1">IFERROR(__xludf.DUMMYFUNCTION("""COMPUTED_VALUE"""),"Redstone")</f>
        <v>Redstone</v>
      </c>
      <c r="D491" s="5" t="str">
        <f ca="1">IFERROR(__xludf.DUMMYFUNCTION("""COMPUTED_VALUE"""),"Double Wild Crown")</f>
        <v>Double Wild Crown</v>
      </c>
      <c r="E491" s="5" t="str">
        <f ca="1">IFERROR(__xludf.DUMMYFUNCTION("""COMPUTED_VALUE"""),"Redstone")</f>
        <v>Redstone</v>
      </c>
      <c r="F491" s="5" t="str">
        <f ca="1">IFERROR(__xludf.DUMMYFUNCTION("""COMPUTED_VALUE"""),"RedstoneDoubleWildCrown")</f>
        <v>RedstoneDoubleWildCrown</v>
      </c>
      <c r="G491" s="5" t="str">
        <f ca="1">IFERROR(__xludf.DUMMYFUNCTION("""COMPUTED_VALUE"""),"Live")</f>
        <v>Live</v>
      </c>
      <c r="H491" s="5"/>
      <c r="I491" s="5" t="str">
        <f ca="1">IFERROR(__xludf.DUMMYFUNCTION("""COMPUTED_VALUE"""),"Redstone")</f>
        <v>Redstone</v>
      </c>
      <c r="J491" s="5" t="str">
        <f ca="1">IFERROR(__xludf.DUMMYFUNCTION("""COMPUTED_VALUE"""),"JSON")</f>
        <v>JSON</v>
      </c>
      <c r="K491" s="5" t="str">
        <f ca="1">IFERROR(__xludf.DUMMYFUNCTION("""COMPUTED_VALUE"""),"Slot")</f>
        <v>Slot</v>
      </c>
      <c r="L491" s="5" t="str">
        <f ca="1">IFERROR(__xludf.DUMMYFUNCTION("""COMPUTED_VALUE""")," Clone")</f>
        <v xml:space="preserve"> Clone</v>
      </c>
      <c r="M491" s="5" t="str">
        <f ca="1">IFERROR(__xludf.DUMMYFUNCTION("""COMPUTED_VALUE"""),"Redstone Double Clover Fire")</f>
        <v>Redstone Double Clover Fire</v>
      </c>
      <c r="N491" s="7" t="str">
        <f ca="1">IFERROR(__xludf.DUMMYFUNCTION("""COMPUTED_VALUE"""),"https://drive.google.com/file/d/1aJouosXBdyj2Wk9aS-0qVDymlWZQ5Mb_/view?usp=drive_link")</f>
        <v>https://drive.google.com/file/d/1aJouosXBdyj2Wk9aS-0qVDymlWZQ5Mb_/view?usp=drive_link</v>
      </c>
      <c r="O491" s="7" t="str">
        <f ca="1">IFERROR(__xludf.DUMMYFUNCTION("""COMPUTED_VALUE"""),"https://drive.google.com/file/d/1zIRHFJQ_rufNyGH5m48RMyBrcv6KJEfn/view?usp=drive_link")</f>
        <v>https://drive.google.com/file/d/1zIRHFJQ_rufNyGH5m48RMyBrcv6KJEfn/view?usp=drive_link</v>
      </c>
      <c r="P491" s="14">
        <f ca="1">IFERROR(__xludf.DUMMYFUNCTION("""COMPUTED_VALUE"""),6.2)</f>
        <v>6.2</v>
      </c>
      <c r="Q491" s="15">
        <f ca="1">IFERROR(__xludf.DUMMYFUNCTION("""COMPUTED_VALUE"""),45803)</f>
        <v>45803</v>
      </c>
      <c r="R491" s="15">
        <f ca="1">IFERROR(__xludf.DUMMYFUNCTION("""COMPUTED_VALUE"""),45805)</f>
        <v>45805</v>
      </c>
      <c r="S491" s="15">
        <f ca="1">IFERROR(__xludf.DUMMYFUNCTION("""COMPUTED_VALUE"""),45812)</f>
        <v>45812</v>
      </c>
      <c r="T491" s="5" t="b">
        <f ca="1">IFERROR(__xludf.DUMMYFUNCTION("""COMPUTED_VALUE"""),TRUE)</f>
        <v>1</v>
      </c>
      <c r="U491" s="5" t="str">
        <f ca="1">IFERROR(__xludf.DUMMYFUNCTION("""COMPUTED_VALUE"""),"5x3")</f>
        <v>5x3</v>
      </c>
      <c r="V491" s="5">
        <f ca="1">IFERROR(__xludf.DUMMYFUNCTION("""COMPUTED_VALUE"""),5)</f>
        <v>5</v>
      </c>
      <c r="W491" s="5">
        <f ca="1">IFERROR(__xludf.DUMMYFUNCTION("""COMPUTED_VALUE"""),5)</f>
        <v>5</v>
      </c>
      <c r="X491" s="5">
        <f ca="1">IFERROR(__xludf.DUMMYFUNCTION("""COMPUTED_VALUE"""),96.45)</f>
        <v>96.45</v>
      </c>
      <c r="Y491" s="5" t="str">
        <f ca="1">IFERROR(__xludf.DUMMYFUNCTION("""COMPUTED_VALUE"""),"Medium")</f>
        <v>Medium</v>
      </c>
      <c r="Z491" s="5">
        <f ca="1">IFERROR(__xludf.DUMMYFUNCTION("""COMPUTED_VALUE"""),14.23)</f>
        <v>14.23</v>
      </c>
      <c r="AA491" s="5">
        <f ca="1">IFERROR(__xludf.DUMMYFUNCTION("""COMPUTED_VALUE"""),2600)</f>
        <v>2600</v>
      </c>
      <c r="AB491" s="5"/>
      <c r="AC491" s="5" t="str">
        <f ca="1">IFERROR(__xludf.DUMMYFUNCTION("""COMPUTED_VALUE"""),"Expanding Wild, Scatter")</f>
        <v>Expanding Wild, Scatter</v>
      </c>
      <c r="AD491" s="5" t="str">
        <f ca="1">IFERROR(__xludf.DUMMYFUNCTION("""COMPUTED_VALUE"""),"0.05/100")</f>
        <v>0.05/100</v>
      </c>
      <c r="AE491" s="5"/>
      <c r="AF491" s="5"/>
      <c r="AG491" s="10">
        <f ca="1">IFERROR(__xludf.DUMMYFUNCTION("""COMPUTED_VALUE"""),46157.5291666666)</f>
        <v>46157.529166666602</v>
      </c>
      <c r="AH491" s="5"/>
      <c r="AI491" s="5"/>
      <c r="AJ491" s="5"/>
      <c r="AK491" s="5">
        <f ca="1">IFERROR(__xludf.DUMMYFUNCTION("""COMPUTED_VALUE"""),1)</f>
        <v>1</v>
      </c>
      <c r="AL491" s="5" t="str">
        <f ca="1">IFERROR(__xludf.DUMMYFUNCTION("""COMPUTED_VALUE"""),"No")</f>
        <v>No</v>
      </c>
      <c r="AM491" s="5" t="str">
        <f ca="1">IFERROR(__xludf.DUMMYFUNCTION("""COMPUTED_VALUE"""),"No")</f>
        <v>No</v>
      </c>
      <c r="AN491" s="7" t="str">
        <f ca="1">IFERROR(__xludf.DUMMYFUNCTION("""COMPUTED_VALUE"""),"https://static.redstone.rs/games/double-wild-crown/")</f>
        <v>https://static.redstone.rs/games/double-wild-crown/</v>
      </c>
      <c r="AO491" s="5" t="str">
        <f ca="1">IFERROR(__xludf.DUMMYFUNCTION("""COMPUTED_VALUE"""),"No")</f>
        <v>No</v>
      </c>
      <c r="AP491" s="5" t="str">
        <f ca="1">IFERROR(__xludf.DUMMYFUNCTION("""COMPUTED_VALUE"""),"No")</f>
        <v>No</v>
      </c>
      <c r="AQ491" s="5" t="b">
        <f ca="1">IFERROR(__xludf.DUMMYFUNCTION("""COMPUTED_VALUE"""),TRUE)</f>
        <v>1</v>
      </c>
      <c r="AR491" s="5"/>
      <c r="AS491" s="5" t="str">
        <f ca="1">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1" s="5"/>
      <c r="AU491" s="5" t="str">
        <f ca="1">IFERROR(__xludf.DUMMYFUNCTION("""COMPUTED_VALUE"""),"Redstone")</f>
        <v>Redstone</v>
      </c>
      <c r="AV491" s="5"/>
      <c r="AW491" s="5"/>
      <c r="AX491" s="5"/>
      <c r="AY491" s="5"/>
      <c r="AZ491" s="5"/>
      <c r="BA491" s="5"/>
      <c r="BB491" s="5" t="b">
        <f ca="1">IFERROR(__xludf.DUMMYFUNCTION("""COMPUTED_VALUE"""),TRUE)</f>
        <v>1</v>
      </c>
      <c r="BC491" s="5" t="str">
        <f ca="1">IFERROR(__xludf.DUMMYFUNCTION("""COMPUTED_VALUE"""),"Redstone")</f>
        <v>Redstone</v>
      </c>
      <c r="BD491" s="7" t="str">
        <f ca="1">IFERROR(__xludf.DUMMYFUNCTION("""COMPUTED_VALUE"""),"https://static.redstone.rs/games/double-wild-crown/")</f>
        <v>https://static.redstone.rs/games/double-wild-crown/</v>
      </c>
      <c r="BE491" s="5" t="b">
        <f ca="1">IFERROR(__xludf.DUMMYFUNCTION("""COMPUTED_VALUE"""),TRUE)</f>
        <v>1</v>
      </c>
    </row>
    <row r="492" spans="1:57" x14ac:dyDescent="0.25">
      <c r="A492" s="5">
        <f ca="1">IFERROR(__xludf.DUMMYFUNCTION("""COMPUTED_VALUE"""),521)</f>
        <v>521</v>
      </c>
      <c r="B492" s="5">
        <f ca="1">IFERROR(__xludf.DUMMYFUNCTION("""COMPUTED_VALUE"""),180021)</f>
        <v>180021</v>
      </c>
      <c r="C492" s="5" t="str">
        <f ca="1">IFERROR(__xludf.DUMMYFUNCTION("""COMPUTED_VALUE"""),"Redstone")</f>
        <v>Redstone</v>
      </c>
      <c r="D492" s="5" t="str">
        <f ca="1">IFERROR(__xludf.DUMMYFUNCTION("""COMPUTED_VALUE"""),"Double Wild Heart")</f>
        <v>Double Wild Heart</v>
      </c>
      <c r="E492" s="5" t="str">
        <f ca="1">IFERROR(__xludf.DUMMYFUNCTION("""COMPUTED_VALUE"""),"Redstone")</f>
        <v>Redstone</v>
      </c>
      <c r="F492" s="5" t="str">
        <f ca="1">IFERROR(__xludf.DUMMYFUNCTION("""COMPUTED_VALUE"""),"RedstoneDoubleWildHeart")</f>
        <v>RedstoneDoubleWildHeart</v>
      </c>
      <c r="G492" s="5" t="str">
        <f ca="1">IFERROR(__xludf.DUMMYFUNCTION("""COMPUTED_VALUE"""),"Live")</f>
        <v>Live</v>
      </c>
      <c r="H492" s="5"/>
      <c r="I492" s="5" t="str">
        <f ca="1">IFERROR(__xludf.DUMMYFUNCTION("""COMPUTED_VALUE"""),"Redstone")</f>
        <v>Redstone</v>
      </c>
      <c r="J492" s="5" t="str">
        <f ca="1">IFERROR(__xludf.DUMMYFUNCTION("""COMPUTED_VALUE"""),"JSON")</f>
        <v>JSON</v>
      </c>
      <c r="K492" s="5" t="str">
        <f ca="1">IFERROR(__xludf.DUMMYFUNCTION("""COMPUTED_VALUE"""),"Slot")</f>
        <v>Slot</v>
      </c>
      <c r="L492" s="5" t="str">
        <f ca="1">IFERROR(__xludf.DUMMYFUNCTION("""COMPUTED_VALUE""")," Clone")</f>
        <v xml:space="preserve"> Clone</v>
      </c>
      <c r="M492" s="5" t="str">
        <f ca="1">IFERROR(__xludf.DUMMYFUNCTION("""COMPUTED_VALUE"""),"Redstone Double Clover Fire")</f>
        <v>Redstone Double Clover Fire</v>
      </c>
      <c r="N492" s="7" t="str">
        <f ca="1">IFERROR(__xludf.DUMMYFUNCTION("""COMPUTED_VALUE"""),"https://drive.google.com/file/d/1aJouosXBdyj2Wk9aS-0qVDymlWZQ5Mb_/view?usp=drive_link")</f>
        <v>https://drive.google.com/file/d/1aJouosXBdyj2Wk9aS-0qVDymlWZQ5Mb_/view?usp=drive_link</v>
      </c>
      <c r="O492" s="7" t="str">
        <f ca="1">IFERROR(__xludf.DUMMYFUNCTION("""COMPUTED_VALUE"""),"https://drive.google.com/file/d/1zIRHFJQ_rufNyGH5m48RMyBrcv6KJEfn/view?usp=drive_link")</f>
        <v>https://drive.google.com/file/d/1zIRHFJQ_rufNyGH5m48RMyBrcv6KJEfn/view?usp=drive_link</v>
      </c>
      <c r="P492" s="14">
        <f ca="1">IFERROR(__xludf.DUMMYFUNCTION("""COMPUTED_VALUE"""),6.2)</f>
        <v>6.2</v>
      </c>
      <c r="Q492" s="15">
        <f ca="1">IFERROR(__xludf.DUMMYFUNCTION("""COMPUTED_VALUE"""),45803)</f>
        <v>45803</v>
      </c>
      <c r="R492" s="15">
        <f ca="1">IFERROR(__xludf.DUMMYFUNCTION("""COMPUTED_VALUE"""),45895)</f>
        <v>45895</v>
      </c>
      <c r="S492" s="15">
        <f ca="1">IFERROR(__xludf.DUMMYFUNCTION("""COMPUTED_VALUE"""),45903)</f>
        <v>45903</v>
      </c>
      <c r="T492" s="5" t="b">
        <f ca="1">IFERROR(__xludf.DUMMYFUNCTION("""COMPUTED_VALUE"""),TRUE)</f>
        <v>1</v>
      </c>
      <c r="U492" s="5" t="str">
        <f ca="1">IFERROR(__xludf.DUMMYFUNCTION("""COMPUTED_VALUE"""),"5x3")</f>
        <v>5x3</v>
      </c>
      <c r="V492" s="5">
        <f ca="1">IFERROR(__xludf.DUMMYFUNCTION("""COMPUTED_VALUE"""),5)</f>
        <v>5</v>
      </c>
      <c r="W492" s="5">
        <f ca="1">IFERROR(__xludf.DUMMYFUNCTION("""COMPUTED_VALUE"""),5)</f>
        <v>5</v>
      </c>
      <c r="X492" s="5">
        <f ca="1">IFERROR(__xludf.DUMMYFUNCTION("""COMPUTED_VALUE"""),96.45)</f>
        <v>96.45</v>
      </c>
      <c r="Y492" s="5" t="str">
        <f ca="1">IFERROR(__xludf.DUMMYFUNCTION("""COMPUTED_VALUE"""),"Medium")</f>
        <v>Medium</v>
      </c>
      <c r="Z492" s="5">
        <f ca="1">IFERROR(__xludf.DUMMYFUNCTION("""COMPUTED_VALUE"""),14.23)</f>
        <v>14.23</v>
      </c>
      <c r="AA492" s="5">
        <f ca="1">IFERROR(__xludf.DUMMYFUNCTION("""COMPUTED_VALUE"""),2600)</f>
        <v>2600</v>
      </c>
      <c r="AB492" s="5"/>
      <c r="AC492" s="5" t="str">
        <f ca="1">IFERROR(__xludf.DUMMYFUNCTION("""COMPUTED_VALUE"""),"Expanding Wild, Scatter")</f>
        <v>Expanding Wild, Scatter</v>
      </c>
      <c r="AD492" s="5" t="str">
        <f ca="1">IFERROR(__xludf.DUMMYFUNCTION("""COMPUTED_VALUE"""),"0.05/100")</f>
        <v>0.05/100</v>
      </c>
      <c r="AE492" s="5"/>
      <c r="AF492" s="5"/>
      <c r="AG492" s="10">
        <f ca="1">IFERROR(__xludf.DUMMYFUNCTION("""COMPUTED_VALUE"""),46157.5294675925)</f>
        <v>46157.529467592503</v>
      </c>
      <c r="AH492" s="5"/>
      <c r="AI492" s="5"/>
      <c r="AJ492" s="5"/>
      <c r="AK492" s="5">
        <f ca="1">IFERROR(__xludf.DUMMYFUNCTION("""COMPUTED_VALUE"""),1)</f>
        <v>1</v>
      </c>
      <c r="AL492" s="5" t="str">
        <f ca="1">IFERROR(__xludf.DUMMYFUNCTION("""COMPUTED_VALUE"""),"No")</f>
        <v>No</v>
      </c>
      <c r="AM492" s="5" t="str">
        <f ca="1">IFERROR(__xludf.DUMMYFUNCTION("""COMPUTED_VALUE"""),"No")</f>
        <v>No</v>
      </c>
      <c r="AN492" s="7" t="str">
        <f ca="1">IFERROR(__xludf.DUMMYFUNCTION("""COMPUTED_VALUE"""),"https://static.redstone.rs/games/double-wild-crown/")</f>
        <v>https://static.redstone.rs/games/double-wild-crown/</v>
      </c>
      <c r="AO492" s="5" t="str">
        <f ca="1">IFERROR(__xludf.DUMMYFUNCTION("""COMPUTED_VALUE"""),"No")</f>
        <v>No</v>
      </c>
      <c r="AP492" s="5" t="str">
        <f ca="1">IFERROR(__xludf.DUMMYFUNCTION("""COMPUTED_VALUE"""),"No")</f>
        <v>No</v>
      </c>
      <c r="AQ492" s="5" t="b">
        <f ca="1">IFERROR(__xludf.DUMMYFUNCTION("""COMPUTED_VALUE"""),TRUE)</f>
        <v>1</v>
      </c>
      <c r="AR492" s="5"/>
      <c r="AS492" s="5" t="str">
        <f ca="1">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2" s="5"/>
      <c r="AU492" s="5" t="str">
        <f ca="1">IFERROR(__xludf.DUMMYFUNCTION("""COMPUTED_VALUE"""),"Redstone")</f>
        <v>Redstone</v>
      </c>
      <c r="AV492" s="5"/>
      <c r="AW492" s="5"/>
      <c r="AX492" s="5"/>
      <c r="AY492" s="5"/>
      <c r="AZ492" s="5"/>
      <c r="BA492" s="5"/>
      <c r="BB492" s="5" t="b">
        <f ca="1">IFERROR(__xludf.DUMMYFUNCTION("""COMPUTED_VALUE"""),TRUE)</f>
        <v>1</v>
      </c>
      <c r="BC492" s="5" t="str">
        <f ca="1">IFERROR(__xludf.DUMMYFUNCTION("""COMPUTED_VALUE"""),"Redstone")</f>
        <v>Redstone</v>
      </c>
      <c r="BD492" s="7" t="str">
        <f ca="1">IFERROR(__xludf.DUMMYFUNCTION("""COMPUTED_VALUE"""),"https://static.redstone.rs/games/double-wild-crown/")</f>
        <v>https://static.redstone.rs/games/double-wild-crown/</v>
      </c>
      <c r="BE492" s="5" t="b">
        <f ca="1">IFERROR(__xludf.DUMMYFUNCTION("""COMPUTED_VALUE"""),TRUE)</f>
        <v>1</v>
      </c>
    </row>
    <row r="493" spans="1:57" x14ac:dyDescent="0.25">
      <c r="A493" s="5">
        <f ca="1">IFERROR(__xludf.DUMMYFUNCTION("""COMPUTED_VALUE"""),522)</f>
        <v>522</v>
      </c>
      <c r="B493" s="5">
        <f ca="1">IFERROR(__xludf.DUMMYFUNCTION("""COMPUTED_VALUE"""),2000004)</f>
        <v>2000004</v>
      </c>
      <c r="C493" s="5" t="str">
        <f ca="1">IFERROR(__xludf.DUMMYFUNCTION("""COMPUTED_VALUE"""),"Playnet")</f>
        <v>Playnet</v>
      </c>
      <c r="D493" s="5" t="str">
        <f ca="1">IFERROR(__xludf.DUMMYFUNCTION("""COMPUTED_VALUE"""),"NOVAPIXEL - Wheel of Joker")</f>
        <v>NOVAPIXEL - Wheel of Joker</v>
      </c>
      <c r="E493" s="5" t="str">
        <f ca="1">IFERROR(__xludf.DUMMYFUNCTION("""COMPUTED_VALUE"""),"NovaPixel")</f>
        <v>NovaPixel</v>
      </c>
      <c r="F493" s="5" t="str">
        <f ca="1">IFERROR(__xludf.DUMMYFUNCTION("""COMPUTED_VALUE"""),"NovaPixelWheelOfJoker")</f>
        <v>NovaPixelWheelOfJoker</v>
      </c>
      <c r="G493" s="5" t="str">
        <f ca="1">IFERROR(__xludf.DUMMYFUNCTION("""COMPUTED_VALUE"""),"Live")</f>
        <v>Live</v>
      </c>
      <c r="H493" s="5"/>
      <c r="I493" s="5" t="str">
        <f ca="1">IFERROR(__xludf.DUMMYFUNCTION("""COMPUTED_VALUE"""),"NovaPixel")</f>
        <v>NovaPixel</v>
      </c>
      <c r="J493" s="5" t="str">
        <f ca="1">IFERROR(__xludf.DUMMYFUNCTION("""COMPUTED_VALUE"""),"JSON")</f>
        <v>JSON</v>
      </c>
      <c r="K493" s="5" t="str">
        <f ca="1">IFERROR(__xludf.DUMMYFUNCTION("""COMPUTED_VALUE"""),"Slot")</f>
        <v>Slot</v>
      </c>
      <c r="L493" s="5" t="str">
        <f ca="1">IFERROR(__xludf.DUMMYFUNCTION("""COMPUTED_VALUE"""),"Master")</f>
        <v>Master</v>
      </c>
      <c r="M493" s="5"/>
      <c r="N493" s="5"/>
      <c r="O493" s="5"/>
      <c r="P493" s="14">
        <f ca="1">IFERROR(__xludf.DUMMYFUNCTION("""COMPUTED_VALUE"""),26.4)</f>
        <v>26.4</v>
      </c>
      <c r="Q493" s="15">
        <f ca="1">IFERROR(__xludf.DUMMYFUNCTION("""COMPUTED_VALUE"""),45855)</f>
        <v>45855</v>
      </c>
      <c r="R493" s="5"/>
      <c r="S493" s="15">
        <f ca="1">IFERROR(__xludf.DUMMYFUNCTION("""COMPUTED_VALUE"""),45894)</f>
        <v>45894</v>
      </c>
      <c r="T493" s="5" t="b">
        <f ca="1">IFERROR(__xludf.DUMMYFUNCTION("""COMPUTED_VALUE"""),TRUE)</f>
        <v>1</v>
      </c>
      <c r="U493" s="5" t="str">
        <f ca="1">IFERROR(__xludf.DUMMYFUNCTION("""COMPUTED_VALUE"""),"3x3")</f>
        <v>3x3</v>
      </c>
      <c r="V493" s="5">
        <f ca="1">IFERROR(__xludf.DUMMYFUNCTION("""COMPUTED_VALUE"""),5)</f>
        <v>5</v>
      </c>
      <c r="W493" s="5">
        <f ca="1">IFERROR(__xludf.DUMMYFUNCTION("""COMPUTED_VALUE"""),5)</f>
        <v>5</v>
      </c>
      <c r="X493" s="5">
        <f ca="1">IFERROR(__xludf.DUMMYFUNCTION("""COMPUTED_VALUE"""),96.23)</f>
        <v>96.23</v>
      </c>
      <c r="Y493" s="5" t="str">
        <f ca="1">IFERROR(__xludf.DUMMYFUNCTION("""COMPUTED_VALUE"""),"Medium")</f>
        <v>Medium</v>
      </c>
      <c r="Z493" s="5">
        <f ca="1">IFERROR(__xludf.DUMMYFUNCTION("""COMPUTED_VALUE"""),20.12)</f>
        <v>20.12</v>
      </c>
      <c r="AA493" s="5">
        <f ca="1">IFERROR(__xludf.DUMMYFUNCTION("""COMPUTED_VALUE"""),800)</f>
        <v>800</v>
      </c>
      <c r="AB493" s="5"/>
      <c r="AC493" s="5" t="str">
        <f ca="1">IFERROR(__xludf.DUMMYFUNCTION("""COMPUTED_VALUE"""),"Wild Symbol, Win Multiplier")</f>
        <v>Wild Symbol, Win Multiplier</v>
      </c>
      <c r="AD493" s="5" t="str">
        <f ca="1">IFERROR(__xludf.DUMMYFUNCTION("""COMPUTED_VALUE"""),"0.10/50")</f>
        <v>0.10/50</v>
      </c>
      <c r="AE493" s="5"/>
      <c r="AF493" s="5"/>
      <c r="AG493" s="10">
        <f ca="1">IFERROR(__xludf.DUMMYFUNCTION("""COMPUTED_VALUE"""),46220.4027893518)</f>
        <v>46220.4027893518</v>
      </c>
      <c r="AH493" s="5"/>
      <c r="AI493" s="15">
        <f ca="1">IFERROR(__xludf.DUMMYFUNCTION("""COMPUTED_VALUE"""),45855)</f>
        <v>45855</v>
      </c>
      <c r="AJ493" s="5" t="str">
        <f ca="1">IFERROR(__xludf.DUMMYFUNCTION("""COMPUTED_VALUE"""),"AdmiralMne TEST - NOVAPIXEL STUDIO - WHEEL OF JOKER")</f>
        <v>AdmiralMne TEST - NOVAPIXEL STUDIO - WHEEL OF JOKER</v>
      </c>
      <c r="AK493" s="5">
        <f ca="1">IFERROR(__xludf.DUMMYFUNCTION("""COMPUTED_VALUE"""),5)</f>
        <v>5</v>
      </c>
      <c r="AL493" s="5" t="str">
        <f ca="1">IFERROR(__xludf.DUMMYFUNCTION("""COMPUTED_VALUE"""),"No")</f>
        <v>No</v>
      </c>
      <c r="AM493" s="5" t="str">
        <f ca="1">IFERROR(__xludf.DUMMYFUNCTION("""COMPUTED_VALUE"""),"Yes")</f>
        <v>Yes</v>
      </c>
      <c r="AN493" s="7" t="str">
        <f ca="1">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AO493" s="5" t="str">
        <f ca="1">IFERROR(__xludf.DUMMYFUNCTION("""COMPUTED_VALUE"""),"No")</f>
        <v>No</v>
      </c>
      <c r="AP493" s="5" t="str">
        <f ca="1">IFERROR(__xludf.DUMMYFUNCTION("""COMPUTED_VALUE"""),"No")</f>
        <v>No</v>
      </c>
      <c r="AQ493" s="5" t="b">
        <f ca="1">IFERROR(__xludf.DUMMYFUNCTION("""COMPUTED_VALUE"""),TRUE)</f>
        <v>1</v>
      </c>
      <c r="AR493" s="5"/>
      <c r="AS493" s="5" t="str">
        <f ca="1">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AT493" s="5"/>
      <c r="AU493" s="5" t="str">
        <f ca="1">IFERROR(__xludf.DUMMYFUNCTION("""COMPUTED_VALUE"""),"NovaPixel")</f>
        <v>NovaPixel</v>
      </c>
      <c r="AV493" s="5"/>
      <c r="AW493" s="5"/>
      <c r="AX493" s="5"/>
      <c r="AY493" s="5"/>
      <c r="AZ493" s="5"/>
      <c r="BA493" s="5"/>
      <c r="BB493" s="5" t="b">
        <f ca="1">IFERROR(__xludf.DUMMYFUNCTION("""COMPUTED_VALUE"""),TRUE)</f>
        <v>1</v>
      </c>
      <c r="BC493" s="5" t="str">
        <f ca="1">IFERROR(__xludf.DUMMYFUNCTION("""COMPUTED_VALUE"""),"Playnet")</f>
        <v>Playnet</v>
      </c>
      <c r="BD493" s="7" t="str">
        <f ca="1">IFERROR(__xludf.DUMMYFUNCTION("""COMPUTED_VALUE"""),"https://gameserver-store-client-area.orbionlimited.com/Home/IntegrationGameLaunch/client-area?moneyType=0&amp;gameName=NovaPixelWheelOfJoker&amp;platform=desktop&amp;languageCode=eng&amp;currency=EUR")</f>
        <v>https://gameserver-store-client-area.orbionlimited.com/Home/IntegrationGameLaunch/client-area?moneyType=0&amp;gameName=NovaPixelWheelOfJoker&amp;platform=desktop&amp;languageCode=eng&amp;currency=EUR</v>
      </c>
      <c r="BE493" s="5" t="b">
        <f ca="1">IFERROR(__xludf.DUMMYFUNCTION("""COMPUTED_VALUE"""),TRUE)</f>
        <v>1</v>
      </c>
    </row>
    <row r="494" spans="1:57" x14ac:dyDescent="0.25">
      <c r="A494" s="5">
        <f ca="1">IFERROR(__xludf.DUMMYFUNCTION("""COMPUTED_VALUE"""),523)</f>
        <v>523</v>
      </c>
      <c r="B494" s="5">
        <f ca="1">IFERROR(__xludf.DUMMYFUNCTION("""COMPUTED_VALUE"""),999988)</f>
        <v>999988</v>
      </c>
      <c r="C494" s="5" t="str">
        <f ca="1">IFERROR(__xludf.DUMMYFUNCTION("""COMPUTED_VALUE"""),"Fazi")</f>
        <v>Fazi</v>
      </c>
      <c r="D494" s="5" t="str">
        <f ca="1">IFERROR(__xludf.DUMMYFUNCTION("""COMPUTED_VALUE"""),"Fazi Game")</f>
        <v>Fazi Game</v>
      </c>
      <c r="E494" s="5"/>
      <c r="F494" s="5" t="str">
        <f ca="1">IFERROR(__xludf.DUMMYFUNCTION("""COMPUTED_VALUE"""),"TBD-F2")</f>
        <v>TBD-F2</v>
      </c>
      <c r="G494" s="5" t="str">
        <f ca="1">IFERROR(__xludf.DUMMYFUNCTION("""COMPUTED_VALUE"""),"Planned")</f>
        <v>Planned</v>
      </c>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10">
        <f ca="1">IFERROR(__xludf.DUMMYFUNCTION("""COMPUTED_VALUE"""),45817.5692361111)</f>
        <v>45817.5692361111</v>
      </c>
      <c r="AH494" s="5" t="str">
        <f ca="1">IFERROR(__xludf.DUMMYFUNCTION("""COMPUTED_VALUE"""),"aleksandra.pesic@fazi.rs")</f>
        <v>aleksandra.pesic@fazi.rs</v>
      </c>
      <c r="AI494" s="5"/>
      <c r="AJ494" s="5"/>
      <c r="AK494" s="5"/>
      <c r="AL494" s="5"/>
      <c r="AM494" s="5"/>
      <c r="AN494" s="5"/>
      <c r="AO494" s="5"/>
      <c r="AP494" s="5"/>
      <c r="AQ494" s="5"/>
      <c r="AR494" s="5"/>
      <c r="AS494" s="5"/>
      <c r="AT494" s="5"/>
      <c r="AU494" s="5" t="str">
        <f ca="1">IFERROR(__xludf.DUMMYFUNCTION("""COMPUTED_VALUE"""),"Fazi")</f>
        <v>Fazi</v>
      </c>
      <c r="AV494" s="5"/>
      <c r="AW494" s="5"/>
      <c r="AX494" s="5"/>
      <c r="AY494" s="5"/>
      <c r="AZ494" s="5"/>
      <c r="BA494" s="5" t="str">
        <f ca="1">IFERROR(__xludf.DUMMYFUNCTION("""COMPUTED_VALUE"""),"")</f>
        <v/>
      </c>
      <c r="BB494" s="5"/>
      <c r="BC494" s="5" t="str">
        <f ca="1">IFERROR(__xludf.DUMMYFUNCTION("""COMPUTED_VALUE"""),"Foxi")</f>
        <v>Foxi</v>
      </c>
      <c r="BD494" s="5" t="str">
        <f ca="1">IFERROR(__xludf.DUMMYFUNCTION("""COMPUTED_VALUE"""),"")</f>
        <v/>
      </c>
      <c r="BE494" s="5"/>
    </row>
    <row r="495" spans="1:57" x14ac:dyDescent="0.25">
      <c r="A495" s="5">
        <f ca="1">IFERROR(__xludf.DUMMYFUNCTION("""COMPUTED_VALUE"""),524)</f>
        <v>524</v>
      </c>
      <c r="B495" s="5">
        <f ca="1">IFERROR(__xludf.DUMMYFUNCTION("""COMPUTED_VALUE"""),999985)</f>
        <v>999985</v>
      </c>
      <c r="C495" s="5" t="str">
        <f ca="1">IFERROR(__xludf.DUMMYFUNCTION("""COMPUTED_VALUE"""),"Fazi")</f>
        <v>Fazi</v>
      </c>
      <c r="D495" s="5" t="str">
        <f ca="1">IFERROR(__xludf.DUMMYFUNCTION("""COMPUTED_VALUE"""),"Fazi Game")</f>
        <v>Fazi Game</v>
      </c>
      <c r="E495" s="5"/>
      <c r="F495" s="5" t="str">
        <f ca="1">IFERROR(__xludf.DUMMYFUNCTION("""COMPUTED_VALUE"""),"TBD-F3")</f>
        <v>TBD-F3</v>
      </c>
      <c r="G495" s="5" t="str">
        <f ca="1">IFERROR(__xludf.DUMMYFUNCTION("""COMPUTED_VALUE"""),"Planned")</f>
        <v>Planned</v>
      </c>
      <c r="H495" s="5"/>
      <c r="I495" s="5"/>
      <c r="J495" s="5"/>
      <c r="K495" s="5"/>
      <c r="L495" s="5"/>
      <c r="M495" s="5"/>
      <c r="N495" s="5"/>
      <c r="O495" s="5"/>
      <c r="P495" s="5"/>
      <c r="Q495" s="5"/>
      <c r="R495" s="5"/>
      <c r="S495" s="5"/>
      <c r="T495" s="5" t="b">
        <f ca="1">IFERROR(__xludf.DUMMYFUNCTION("""COMPUTED_VALUE"""),FALSE)</f>
        <v>0</v>
      </c>
      <c r="U495" s="5"/>
      <c r="V495" s="5"/>
      <c r="W495" s="5"/>
      <c r="X495" s="5"/>
      <c r="Y495" s="5"/>
      <c r="Z495" s="5"/>
      <c r="AA495" s="5"/>
      <c r="AB495" s="5"/>
      <c r="AC495" s="5"/>
      <c r="AD495" s="5"/>
      <c r="AE495" s="5"/>
      <c r="AF495" s="5"/>
      <c r="AG495" s="10">
        <f ca="1">IFERROR(__xludf.DUMMYFUNCTION("""COMPUTED_VALUE"""),45847.5621296296)</f>
        <v>45847.562129629601</v>
      </c>
      <c r="AH495" s="5" t="str">
        <f ca="1">IFERROR(__xludf.DUMMYFUNCTION("""COMPUTED_VALUE"""),"aleksandra.pesic@fazi.rs")</f>
        <v>aleksandra.pesic@fazi.rs</v>
      </c>
      <c r="AI495" s="5"/>
      <c r="AJ495" s="5"/>
      <c r="AK495" s="5"/>
      <c r="AL495" s="5"/>
      <c r="AM495" s="5"/>
      <c r="AN495" s="5"/>
      <c r="AO495" s="5"/>
      <c r="AP495" s="5"/>
      <c r="AQ495" s="5"/>
      <c r="AR495" s="5"/>
      <c r="AS495" s="5"/>
      <c r="AT495" s="5"/>
      <c r="AU495" s="5" t="str">
        <f ca="1">IFERROR(__xludf.DUMMYFUNCTION("""COMPUTED_VALUE"""),"Fazi")</f>
        <v>Fazi</v>
      </c>
      <c r="AV495" s="5"/>
      <c r="AW495" s="5"/>
      <c r="AX495" s="5"/>
      <c r="AY495" s="5"/>
      <c r="AZ495" s="5"/>
      <c r="BA495" s="5" t="str">
        <f ca="1">IFERROR(__xludf.DUMMYFUNCTION("""COMPUTED_VALUE"""),"")</f>
        <v/>
      </c>
      <c r="BB495" s="5"/>
      <c r="BC495" s="5" t="str">
        <f ca="1">IFERROR(__xludf.DUMMYFUNCTION("""COMPUTED_VALUE"""),"Foxi")</f>
        <v>Foxi</v>
      </c>
      <c r="BD495" s="5" t="str">
        <f ca="1">IFERROR(__xludf.DUMMYFUNCTION("""COMPUTED_VALUE"""),"")</f>
        <v/>
      </c>
      <c r="BE495" s="5"/>
    </row>
    <row r="496" spans="1:57" x14ac:dyDescent="0.25">
      <c r="A496" s="5">
        <f ca="1">IFERROR(__xludf.DUMMYFUNCTION("""COMPUTED_VALUE"""),525)</f>
        <v>525</v>
      </c>
      <c r="B496" s="5">
        <f ca="1">IFERROR(__xludf.DUMMYFUNCTION("""COMPUTED_VALUE"""),999982)</f>
        <v>999982</v>
      </c>
      <c r="C496" s="5" t="str">
        <f ca="1">IFERROR(__xludf.DUMMYFUNCTION("""COMPUTED_VALUE"""),"Fazi")</f>
        <v>Fazi</v>
      </c>
      <c r="D496" s="5" t="str">
        <f ca="1">IFERROR(__xludf.DUMMYFUNCTION("""COMPUTED_VALUE"""),"Fazi Game")</f>
        <v>Fazi Game</v>
      </c>
      <c r="E496" s="5"/>
      <c r="F496" s="5" t="str">
        <f ca="1">IFERROR(__xludf.DUMMYFUNCTION("""COMPUTED_VALUE"""),"TBD-F4")</f>
        <v>TBD-F4</v>
      </c>
      <c r="G496" s="5" t="str">
        <f ca="1">IFERROR(__xludf.DUMMYFUNCTION("""COMPUTED_VALUE"""),"Planned")</f>
        <v>Planned</v>
      </c>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10">
        <f ca="1">IFERROR(__xludf.DUMMYFUNCTION("""COMPUTED_VALUE"""),45817.5684606481)</f>
        <v>45817.568460648101</v>
      </c>
      <c r="AH496" s="5" t="str">
        <f ca="1">IFERROR(__xludf.DUMMYFUNCTION("""COMPUTED_VALUE"""),"aleksandra.pesic@fazi.rs")</f>
        <v>aleksandra.pesic@fazi.rs</v>
      </c>
      <c r="AI496" s="5"/>
      <c r="AJ496" s="5"/>
      <c r="AK496" s="5"/>
      <c r="AL496" s="5"/>
      <c r="AM496" s="5"/>
      <c r="AN496" s="5"/>
      <c r="AO496" s="5"/>
      <c r="AP496" s="5"/>
      <c r="AQ496" s="5"/>
      <c r="AR496" s="5"/>
      <c r="AS496" s="5"/>
      <c r="AT496" s="5"/>
      <c r="AU496" s="5" t="str">
        <f ca="1">IFERROR(__xludf.DUMMYFUNCTION("""COMPUTED_VALUE"""),"Fazi")</f>
        <v>Fazi</v>
      </c>
      <c r="AV496" s="5"/>
      <c r="AW496" s="5"/>
      <c r="AX496" s="5"/>
      <c r="AY496" s="5"/>
      <c r="AZ496" s="5"/>
      <c r="BA496" s="5" t="str">
        <f ca="1">IFERROR(__xludf.DUMMYFUNCTION("""COMPUTED_VALUE"""),"")</f>
        <v/>
      </c>
      <c r="BB496" s="5"/>
      <c r="BC496" s="5" t="str">
        <f ca="1">IFERROR(__xludf.DUMMYFUNCTION("""COMPUTED_VALUE"""),"Foxi")</f>
        <v>Foxi</v>
      </c>
      <c r="BD496" s="5" t="str">
        <f ca="1">IFERROR(__xludf.DUMMYFUNCTION("""COMPUTED_VALUE"""),"")</f>
        <v/>
      </c>
      <c r="BE496" s="5"/>
    </row>
    <row r="497" spans="1:57" x14ac:dyDescent="0.25">
      <c r="A497" s="5">
        <f ca="1">IFERROR(__xludf.DUMMYFUNCTION("""COMPUTED_VALUE"""),526)</f>
        <v>526</v>
      </c>
      <c r="B497" s="5">
        <f ca="1">IFERROR(__xludf.DUMMYFUNCTION("""COMPUTED_VALUE"""),999981)</f>
        <v>999981</v>
      </c>
      <c r="C497" s="5" t="str">
        <f ca="1">IFERROR(__xludf.DUMMYFUNCTION("""COMPUTED_VALUE"""),"Fazi")</f>
        <v>Fazi</v>
      </c>
      <c r="D497" s="5" t="str">
        <f ca="1">IFERROR(__xludf.DUMMYFUNCTION("""COMPUTED_VALUE"""),"Fazi Game")</f>
        <v>Fazi Game</v>
      </c>
      <c r="E497" s="5"/>
      <c r="F497" s="5" t="str">
        <f ca="1">IFERROR(__xludf.DUMMYFUNCTION("""COMPUTED_VALUE"""),"TBD-F5")</f>
        <v>TBD-F5</v>
      </c>
      <c r="G497" s="5" t="str">
        <f ca="1">IFERROR(__xludf.DUMMYFUNCTION("""COMPUTED_VALUE"""),"Planned")</f>
        <v>Planned</v>
      </c>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10">
        <f ca="1">IFERROR(__xludf.DUMMYFUNCTION("""COMPUTED_VALUE"""),45817.5558796296)</f>
        <v>45817.555879629603</v>
      </c>
      <c r="AH497" s="5" t="str">
        <f ca="1">IFERROR(__xludf.DUMMYFUNCTION("""COMPUTED_VALUE"""),"aleksandra.pesic@fazi.rs")</f>
        <v>aleksandra.pesic@fazi.rs</v>
      </c>
      <c r="AI497" s="5"/>
      <c r="AJ497" s="5"/>
      <c r="AK497" s="5"/>
      <c r="AL497" s="5"/>
      <c r="AM497" s="5"/>
      <c r="AN497" s="5"/>
      <c r="AO497" s="5"/>
      <c r="AP497" s="5"/>
      <c r="AQ497" s="5"/>
      <c r="AR497" s="5"/>
      <c r="AS497" s="5"/>
      <c r="AT497" s="5"/>
      <c r="AU497" s="5" t="str">
        <f ca="1">IFERROR(__xludf.DUMMYFUNCTION("""COMPUTED_VALUE"""),"Fazi")</f>
        <v>Fazi</v>
      </c>
      <c r="AV497" s="5"/>
      <c r="AW497" s="5"/>
      <c r="AX497" s="5"/>
      <c r="AY497" s="5"/>
      <c r="AZ497" s="5"/>
      <c r="BA497" s="5" t="str">
        <f ca="1">IFERROR(__xludf.DUMMYFUNCTION("""COMPUTED_VALUE"""),"")</f>
        <v/>
      </c>
      <c r="BB497" s="5"/>
      <c r="BC497" s="5" t="str">
        <f ca="1">IFERROR(__xludf.DUMMYFUNCTION("""COMPUTED_VALUE"""),"Foxi")</f>
        <v>Foxi</v>
      </c>
      <c r="BD497" s="5" t="str">
        <f ca="1">IFERROR(__xludf.DUMMYFUNCTION("""COMPUTED_VALUE"""),"")</f>
        <v/>
      </c>
      <c r="BE497" s="5"/>
    </row>
    <row r="498" spans="1:57" x14ac:dyDescent="0.25">
      <c r="A498" s="5">
        <f ca="1">IFERROR(__xludf.DUMMYFUNCTION("""COMPUTED_VALUE"""),527)</f>
        <v>527</v>
      </c>
      <c r="B498" s="5">
        <f ca="1">IFERROR(__xludf.DUMMYFUNCTION("""COMPUTED_VALUE"""),999980)</f>
        <v>999980</v>
      </c>
      <c r="C498" s="5" t="str">
        <f ca="1">IFERROR(__xludf.DUMMYFUNCTION("""COMPUTED_VALUE"""),"Fazi")</f>
        <v>Fazi</v>
      </c>
      <c r="D498" s="5" t="str">
        <f ca="1">IFERROR(__xludf.DUMMYFUNCTION("""COMPUTED_VALUE"""),"Fazi Game")</f>
        <v>Fazi Game</v>
      </c>
      <c r="E498" s="5"/>
      <c r="F498" s="5" t="str">
        <f ca="1">IFERROR(__xludf.DUMMYFUNCTION("""COMPUTED_VALUE"""),"TBD-F6")</f>
        <v>TBD-F6</v>
      </c>
      <c r="G498" s="5" t="str">
        <f ca="1">IFERROR(__xludf.DUMMYFUNCTION("""COMPUTED_VALUE"""),"Planned")</f>
        <v>Planned</v>
      </c>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10">
        <f ca="1">IFERROR(__xludf.DUMMYFUNCTION("""COMPUTED_VALUE"""),45847.5613078703)</f>
        <v>45847.561307870303</v>
      </c>
      <c r="AH498" s="5" t="str">
        <f ca="1">IFERROR(__xludf.DUMMYFUNCTION("""COMPUTED_VALUE"""),"aleksandra.pesic@fazi.rs")</f>
        <v>aleksandra.pesic@fazi.rs</v>
      </c>
      <c r="AI498" s="5"/>
      <c r="AJ498" s="5"/>
      <c r="AK498" s="5"/>
      <c r="AL498" s="5"/>
      <c r="AM498" s="5"/>
      <c r="AN498" s="5"/>
      <c r="AO498" s="5"/>
      <c r="AP498" s="5"/>
      <c r="AQ498" s="5"/>
      <c r="AR498" s="5"/>
      <c r="AS498" s="5"/>
      <c r="AT498" s="5"/>
      <c r="AU498" s="5" t="str">
        <f ca="1">IFERROR(__xludf.DUMMYFUNCTION("""COMPUTED_VALUE"""),"Fazi")</f>
        <v>Fazi</v>
      </c>
      <c r="AV498" s="5"/>
      <c r="AW498" s="5"/>
      <c r="AX498" s="5"/>
      <c r="AY498" s="5"/>
      <c r="AZ498" s="5"/>
      <c r="BA498" s="5" t="str">
        <f ca="1">IFERROR(__xludf.DUMMYFUNCTION("""COMPUTED_VALUE"""),"")</f>
        <v/>
      </c>
      <c r="BB498" s="5"/>
      <c r="BC498" s="5" t="str">
        <f ca="1">IFERROR(__xludf.DUMMYFUNCTION("""COMPUTED_VALUE"""),"Foxi")</f>
        <v>Foxi</v>
      </c>
      <c r="BD498" s="5" t="str">
        <f ca="1">IFERROR(__xludf.DUMMYFUNCTION("""COMPUTED_VALUE"""),"")</f>
        <v/>
      </c>
      <c r="BE498" s="5"/>
    </row>
    <row r="499" spans="1:57" x14ac:dyDescent="0.25">
      <c r="A499" s="5">
        <f ca="1">IFERROR(__xludf.DUMMYFUNCTION("""COMPUTED_VALUE"""),528)</f>
        <v>528</v>
      </c>
      <c r="B499" s="5">
        <f ca="1">IFERROR(__xludf.DUMMYFUNCTION("""COMPUTED_VALUE"""),999979)</f>
        <v>999979</v>
      </c>
      <c r="C499" s="5" t="str">
        <f ca="1">IFERROR(__xludf.DUMMYFUNCTION("""COMPUTED_VALUE"""),"Fazi")</f>
        <v>Fazi</v>
      </c>
      <c r="D499" s="5" t="str">
        <f ca="1">IFERROR(__xludf.DUMMYFUNCTION("""COMPUTED_VALUE"""),"Fazi Game")</f>
        <v>Fazi Game</v>
      </c>
      <c r="E499" s="5"/>
      <c r="F499" s="5" t="str">
        <f ca="1">IFERROR(__xludf.DUMMYFUNCTION("""COMPUTED_VALUE"""),"TBD-F7")</f>
        <v>TBD-F7</v>
      </c>
      <c r="G499" s="5" t="str">
        <f ca="1">IFERROR(__xludf.DUMMYFUNCTION("""COMPUTED_VALUE"""),"Planned")</f>
        <v>Planned</v>
      </c>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10">
        <f ca="1">IFERROR(__xludf.DUMMYFUNCTION("""COMPUTED_VALUE"""),45847.5637268518)</f>
        <v>45847.563726851797</v>
      </c>
      <c r="AH499" s="5" t="str">
        <f ca="1">IFERROR(__xludf.DUMMYFUNCTION("""COMPUTED_VALUE"""),"aleksandra.pesic@fazi.rs")</f>
        <v>aleksandra.pesic@fazi.rs</v>
      </c>
      <c r="AI499" s="5"/>
      <c r="AJ499" s="5"/>
      <c r="AK499" s="5"/>
      <c r="AL499" s="5"/>
      <c r="AM499" s="5"/>
      <c r="AN499" s="5"/>
      <c r="AO499" s="5"/>
      <c r="AP499" s="5"/>
      <c r="AQ499" s="5"/>
      <c r="AR499" s="5"/>
      <c r="AS499" s="5"/>
      <c r="AT499" s="5"/>
      <c r="AU499" s="5" t="str">
        <f ca="1">IFERROR(__xludf.DUMMYFUNCTION("""COMPUTED_VALUE"""),"Fazi")</f>
        <v>Fazi</v>
      </c>
      <c r="AV499" s="5"/>
      <c r="AW499" s="5"/>
      <c r="AX499" s="5"/>
      <c r="AY499" s="5"/>
      <c r="AZ499" s="5"/>
      <c r="BA499" s="5" t="str">
        <f ca="1">IFERROR(__xludf.DUMMYFUNCTION("""COMPUTED_VALUE"""),"")</f>
        <v/>
      </c>
      <c r="BB499" s="5"/>
      <c r="BC499" s="5" t="str">
        <f ca="1">IFERROR(__xludf.DUMMYFUNCTION("""COMPUTED_VALUE"""),"Foxi")</f>
        <v>Foxi</v>
      </c>
      <c r="BD499" s="5" t="str">
        <f ca="1">IFERROR(__xludf.DUMMYFUNCTION("""COMPUTED_VALUE"""),"")</f>
        <v/>
      </c>
      <c r="BE499" s="5"/>
    </row>
    <row r="500" spans="1:57" x14ac:dyDescent="0.25">
      <c r="A500" s="5">
        <f ca="1">IFERROR(__xludf.DUMMYFUNCTION("""COMPUTED_VALUE"""),529)</f>
        <v>529</v>
      </c>
      <c r="B500" s="5">
        <f ca="1">IFERROR(__xludf.DUMMYFUNCTION("""COMPUTED_VALUE"""),999978)</f>
        <v>999978</v>
      </c>
      <c r="C500" s="5" t="str">
        <f ca="1">IFERROR(__xludf.DUMMYFUNCTION("""COMPUTED_VALUE"""),"Fazi")</f>
        <v>Fazi</v>
      </c>
      <c r="D500" s="5" t="str">
        <f ca="1">IFERROR(__xludf.DUMMYFUNCTION("""COMPUTED_VALUE"""),"Fazi Game")</f>
        <v>Fazi Game</v>
      </c>
      <c r="E500" s="5"/>
      <c r="F500" s="5" t="str">
        <f ca="1">IFERROR(__xludf.DUMMYFUNCTION("""COMPUTED_VALUE"""),"TBD-F8")</f>
        <v>TBD-F8</v>
      </c>
      <c r="G500" s="5" t="str">
        <f ca="1">IFERROR(__xludf.DUMMYFUNCTION("""COMPUTED_VALUE"""),"Planned")</f>
        <v>Planned</v>
      </c>
      <c r="H500" s="5"/>
      <c r="I500" s="5"/>
      <c r="J500" s="5"/>
      <c r="K500" s="5"/>
      <c r="L500" s="5"/>
      <c r="M500" s="5"/>
      <c r="N500" s="5"/>
      <c r="O500" s="5"/>
      <c r="P500" s="5"/>
      <c r="Q500" s="5"/>
      <c r="R500" s="5"/>
      <c r="S500" s="5"/>
      <c r="T500" s="5" t="b">
        <f ca="1">IFERROR(__xludf.DUMMYFUNCTION("""COMPUTED_VALUE"""),FALSE)</f>
        <v>0</v>
      </c>
      <c r="U500" s="5"/>
      <c r="V500" s="5"/>
      <c r="W500" s="5"/>
      <c r="X500" s="5"/>
      <c r="Y500" s="5"/>
      <c r="Z500" s="5"/>
      <c r="AA500" s="5"/>
      <c r="AB500" s="5"/>
      <c r="AC500" s="5"/>
      <c r="AD500" s="5"/>
      <c r="AE500" s="5"/>
      <c r="AF500" s="5"/>
      <c r="AG500" s="10">
        <f ca="1">IFERROR(__xludf.DUMMYFUNCTION("""COMPUTED_VALUE"""),45847.5640393518)</f>
        <v>45847.564039351797</v>
      </c>
      <c r="AH500" s="5" t="str">
        <f ca="1">IFERROR(__xludf.DUMMYFUNCTION("""COMPUTED_VALUE"""),"aleksandra.pesic@fazi.rs")</f>
        <v>aleksandra.pesic@fazi.rs</v>
      </c>
      <c r="AI500" s="5"/>
      <c r="AJ500" s="5"/>
      <c r="AK500" s="5"/>
      <c r="AL500" s="5"/>
      <c r="AM500" s="5"/>
      <c r="AN500" s="5"/>
      <c r="AO500" s="5"/>
      <c r="AP500" s="5"/>
      <c r="AQ500" s="5"/>
      <c r="AR500" s="5"/>
      <c r="AS500" s="5"/>
      <c r="AT500" s="5"/>
      <c r="AU500" s="5" t="str">
        <f ca="1">IFERROR(__xludf.DUMMYFUNCTION("""COMPUTED_VALUE"""),"Fazi")</f>
        <v>Fazi</v>
      </c>
      <c r="AV500" s="5"/>
      <c r="AW500" s="5"/>
      <c r="AX500" s="5"/>
      <c r="AY500" s="5"/>
      <c r="AZ500" s="5"/>
      <c r="BA500" s="5" t="str">
        <f ca="1">IFERROR(__xludf.DUMMYFUNCTION("""COMPUTED_VALUE"""),"")</f>
        <v/>
      </c>
      <c r="BB500" s="5"/>
      <c r="BC500" s="5" t="str">
        <f ca="1">IFERROR(__xludf.DUMMYFUNCTION("""COMPUTED_VALUE"""),"Foxi")</f>
        <v>Foxi</v>
      </c>
      <c r="BD500" s="5" t="str">
        <f ca="1">IFERROR(__xludf.DUMMYFUNCTION("""COMPUTED_VALUE"""),"")</f>
        <v/>
      </c>
      <c r="BE500" s="5"/>
    </row>
    <row r="501" spans="1:57" x14ac:dyDescent="0.25">
      <c r="A501" s="5">
        <f ca="1">IFERROR(__xludf.DUMMYFUNCTION("""COMPUTED_VALUE"""),530)</f>
        <v>530</v>
      </c>
      <c r="B501" s="5">
        <f ca="1">IFERROR(__xludf.DUMMYFUNCTION("""COMPUTED_VALUE"""),999975)</f>
        <v>999975</v>
      </c>
      <c r="C501" s="5" t="str">
        <f ca="1">IFERROR(__xludf.DUMMYFUNCTION("""COMPUTED_VALUE"""),"Fazi")</f>
        <v>Fazi</v>
      </c>
      <c r="D501" s="5" t="str">
        <f ca="1">IFERROR(__xludf.DUMMYFUNCTION("""COMPUTED_VALUE"""),"Fazi Game")</f>
        <v>Fazi Game</v>
      </c>
      <c r="E501" s="5"/>
      <c r="F501" s="5" t="str">
        <f ca="1">IFERROR(__xludf.DUMMYFUNCTION("""COMPUTED_VALUE"""),"TBD-F9")</f>
        <v>TBD-F9</v>
      </c>
      <c r="G501" s="5" t="str">
        <f ca="1">IFERROR(__xludf.DUMMYFUNCTION("""COMPUTED_VALUE"""),"Planned")</f>
        <v>Planned</v>
      </c>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10">
        <f ca="1">IFERROR(__xludf.DUMMYFUNCTION("""COMPUTED_VALUE"""),45847.5653009259)</f>
        <v>45847.565300925897</v>
      </c>
      <c r="AH501" s="5" t="str">
        <f ca="1">IFERROR(__xludf.DUMMYFUNCTION("""COMPUTED_VALUE"""),"aleksandra.pesic@fazi.rs")</f>
        <v>aleksandra.pesic@fazi.rs</v>
      </c>
      <c r="AI501" s="5"/>
      <c r="AJ501" s="5"/>
      <c r="AK501" s="5"/>
      <c r="AL501" s="5"/>
      <c r="AM501" s="5"/>
      <c r="AN501" s="5"/>
      <c r="AO501" s="5"/>
      <c r="AP501" s="5"/>
      <c r="AQ501" s="5"/>
      <c r="AR501" s="5"/>
      <c r="AS501" s="5"/>
      <c r="AT501" s="5"/>
      <c r="AU501" s="5" t="str">
        <f ca="1">IFERROR(__xludf.DUMMYFUNCTION("""COMPUTED_VALUE"""),"Fazi")</f>
        <v>Fazi</v>
      </c>
      <c r="AV501" s="5"/>
      <c r="AW501" s="5"/>
      <c r="AX501" s="5"/>
      <c r="AY501" s="5"/>
      <c r="AZ501" s="5"/>
      <c r="BA501" s="5" t="str">
        <f ca="1">IFERROR(__xludf.DUMMYFUNCTION("""COMPUTED_VALUE"""),"")</f>
        <v/>
      </c>
      <c r="BB501" s="5"/>
      <c r="BC501" s="5" t="str">
        <f ca="1">IFERROR(__xludf.DUMMYFUNCTION("""COMPUTED_VALUE"""),"Foxi")</f>
        <v>Foxi</v>
      </c>
      <c r="BD501" s="5" t="str">
        <f ca="1">IFERROR(__xludf.DUMMYFUNCTION("""COMPUTED_VALUE"""),"")</f>
        <v/>
      </c>
      <c r="BE501" s="5"/>
    </row>
    <row r="502" spans="1:57" x14ac:dyDescent="0.25">
      <c r="A502" s="5">
        <f ca="1">IFERROR(__xludf.DUMMYFUNCTION("""COMPUTED_VALUE"""),531)</f>
        <v>531</v>
      </c>
      <c r="B502" s="5">
        <f ca="1">IFERROR(__xludf.DUMMYFUNCTION("""COMPUTED_VALUE"""),999974)</f>
        <v>999974</v>
      </c>
      <c r="C502" s="5" t="str">
        <f ca="1">IFERROR(__xludf.DUMMYFUNCTION("""COMPUTED_VALUE"""),"Fazi")</f>
        <v>Fazi</v>
      </c>
      <c r="D502" s="5" t="str">
        <f ca="1">IFERROR(__xludf.DUMMYFUNCTION("""COMPUTED_VALUE"""),"Fazi Game")</f>
        <v>Fazi Game</v>
      </c>
      <c r="E502" s="5"/>
      <c r="F502" s="5" t="str">
        <f ca="1">IFERROR(__xludf.DUMMYFUNCTION("""COMPUTED_VALUE"""),"TBD-F10")</f>
        <v>TBD-F10</v>
      </c>
      <c r="G502" s="5" t="str">
        <f ca="1">IFERROR(__xludf.DUMMYFUNCTION("""COMPUTED_VALUE"""),"Planned")</f>
        <v>Planned</v>
      </c>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10">
        <f ca="1">IFERROR(__xludf.DUMMYFUNCTION("""COMPUTED_VALUE"""),45847.5643981481)</f>
        <v>45847.564398148097</v>
      </c>
      <c r="AH502" s="5" t="str">
        <f ca="1">IFERROR(__xludf.DUMMYFUNCTION("""COMPUTED_VALUE"""),"aleksandra.pesic@fazi.rs")</f>
        <v>aleksandra.pesic@fazi.rs</v>
      </c>
      <c r="AI502" s="5"/>
      <c r="AJ502" s="5"/>
      <c r="AK502" s="5"/>
      <c r="AL502" s="5"/>
      <c r="AM502" s="5"/>
      <c r="AN502" s="5"/>
      <c r="AO502" s="5"/>
      <c r="AP502" s="5"/>
      <c r="AQ502" s="5"/>
      <c r="AR502" s="5"/>
      <c r="AS502" s="5"/>
      <c r="AT502" s="5"/>
      <c r="AU502" s="5" t="str">
        <f ca="1">IFERROR(__xludf.DUMMYFUNCTION("""COMPUTED_VALUE"""),"Fazi")</f>
        <v>Fazi</v>
      </c>
      <c r="AV502" s="5"/>
      <c r="AW502" s="5"/>
      <c r="AX502" s="5"/>
      <c r="AY502" s="5"/>
      <c r="AZ502" s="5"/>
      <c r="BA502" s="5" t="str">
        <f ca="1">IFERROR(__xludf.DUMMYFUNCTION("""COMPUTED_VALUE"""),"")</f>
        <v/>
      </c>
      <c r="BB502" s="5"/>
      <c r="BC502" s="5" t="str">
        <f ca="1">IFERROR(__xludf.DUMMYFUNCTION("""COMPUTED_VALUE"""),"Foxi")</f>
        <v>Foxi</v>
      </c>
      <c r="BD502" s="5" t="str">
        <f ca="1">IFERROR(__xludf.DUMMYFUNCTION("""COMPUTED_VALUE"""),"")</f>
        <v/>
      </c>
      <c r="BE502" s="5"/>
    </row>
    <row r="503" spans="1:57" x14ac:dyDescent="0.25">
      <c r="A503" s="5">
        <f ca="1">IFERROR(__xludf.DUMMYFUNCTION("""COMPUTED_VALUE"""),532)</f>
        <v>532</v>
      </c>
      <c r="B503" s="5">
        <f ca="1">IFERROR(__xludf.DUMMYFUNCTION("""COMPUTED_VALUE"""),999973)</f>
        <v>999973</v>
      </c>
      <c r="C503" s="5" t="str">
        <f ca="1">IFERROR(__xludf.DUMMYFUNCTION("""COMPUTED_VALUE"""),"Fazi")</f>
        <v>Fazi</v>
      </c>
      <c r="D503" s="5" t="str">
        <f ca="1">IFERROR(__xludf.DUMMYFUNCTION("""COMPUTED_VALUE"""),"Fazi Game")</f>
        <v>Fazi Game</v>
      </c>
      <c r="E503" s="5"/>
      <c r="F503" s="5" t="str">
        <f ca="1">IFERROR(__xludf.DUMMYFUNCTION("""COMPUTED_VALUE"""),"TBD-F11")</f>
        <v>TBD-F11</v>
      </c>
      <c r="G503" s="5" t="str">
        <f ca="1">IFERROR(__xludf.DUMMYFUNCTION("""COMPUTED_VALUE"""),"Planned")</f>
        <v>Planned</v>
      </c>
      <c r="H503" s="5"/>
      <c r="I503" s="5"/>
      <c r="J503" s="5"/>
      <c r="K503" s="5" t="str">
        <f ca="1">IFERROR(__xludf.DUMMYFUNCTION("""COMPUTED_VALUE"""),"Slot")</f>
        <v>Slot</v>
      </c>
      <c r="L503" s="5"/>
      <c r="M503" s="5"/>
      <c r="N503" s="5"/>
      <c r="O503" s="5"/>
      <c r="P503" s="5"/>
      <c r="Q503" s="5"/>
      <c r="R503" s="5"/>
      <c r="S503" s="5"/>
      <c r="T503" s="5"/>
      <c r="U503" s="5"/>
      <c r="V503" s="5"/>
      <c r="W503" s="5"/>
      <c r="X503" s="5"/>
      <c r="Y503" s="5"/>
      <c r="Z503" s="5"/>
      <c r="AA503" s="5"/>
      <c r="AB503" s="5"/>
      <c r="AC503" s="5"/>
      <c r="AD503" s="5"/>
      <c r="AE503" s="5"/>
      <c r="AF503" s="5"/>
      <c r="AG503" s="10">
        <f ca="1">IFERROR(__xludf.DUMMYFUNCTION("""COMPUTED_VALUE"""),45866.517662037)</f>
        <v>45866.517662036997</v>
      </c>
      <c r="AH503" s="5" t="str">
        <f ca="1">IFERROR(__xludf.DUMMYFUNCTION("""COMPUTED_VALUE"""),"iva.cirkovic@fazi.rs")</f>
        <v>iva.cirkovic@fazi.rs</v>
      </c>
      <c r="AI503" s="5"/>
      <c r="AJ503" s="5"/>
      <c r="AK503" s="5"/>
      <c r="AL503" s="5"/>
      <c r="AM503" s="5"/>
      <c r="AN503" s="5"/>
      <c r="AO503" s="5"/>
      <c r="AP503" s="5"/>
      <c r="AQ503" s="5"/>
      <c r="AR503" s="5"/>
      <c r="AS503" s="5"/>
      <c r="AT503" s="5"/>
      <c r="AU503" s="5" t="str">
        <f ca="1">IFERROR(__xludf.DUMMYFUNCTION("""COMPUTED_VALUE"""),"Fazi")</f>
        <v>Fazi</v>
      </c>
      <c r="AV503" s="5"/>
      <c r="AW503" s="5"/>
      <c r="AX503" s="5"/>
      <c r="AY503" s="5"/>
      <c r="AZ503" s="5"/>
      <c r="BA503" s="5" t="str">
        <f ca="1">IFERROR(__xludf.DUMMYFUNCTION("""COMPUTED_VALUE"""),"")</f>
        <v/>
      </c>
      <c r="BB503" s="5"/>
      <c r="BC503" s="5" t="str">
        <f ca="1">IFERROR(__xludf.DUMMYFUNCTION("""COMPUTED_VALUE"""),"Foxi")</f>
        <v>Foxi</v>
      </c>
      <c r="BD503" s="5" t="str">
        <f ca="1">IFERROR(__xludf.DUMMYFUNCTION("""COMPUTED_VALUE"""),"")</f>
        <v/>
      </c>
      <c r="BE503" s="5"/>
    </row>
    <row r="504" spans="1:57" x14ac:dyDescent="0.25">
      <c r="A504" s="5">
        <f ca="1">IFERROR(__xludf.DUMMYFUNCTION("""COMPUTED_VALUE"""),533)</f>
        <v>533</v>
      </c>
      <c r="B504" s="5">
        <f ca="1">IFERROR(__xludf.DUMMYFUNCTION("""COMPUTED_VALUE"""),999972)</f>
        <v>999972</v>
      </c>
      <c r="C504" s="5" t="str">
        <f ca="1">IFERROR(__xludf.DUMMYFUNCTION("""COMPUTED_VALUE"""),"Fazi")</f>
        <v>Fazi</v>
      </c>
      <c r="D504" s="5" t="str">
        <f ca="1">IFERROR(__xludf.DUMMYFUNCTION("""COMPUTED_VALUE"""),"Fazi Game")</f>
        <v>Fazi Game</v>
      </c>
      <c r="E504" s="5"/>
      <c r="F504" s="5" t="str">
        <f ca="1">IFERROR(__xludf.DUMMYFUNCTION("""COMPUTED_VALUE"""),"TBD-F12")</f>
        <v>TBD-F12</v>
      </c>
      <c r="G504" s="5" t="str">
        <f ca="1">IFERROR(__xludf.DUMMYFUNCTION("""COMPUTED_VALUE"""),"Planned")</f>
        <v>Planned</v>
      </c>
      <c r="H504" s="5"/>
      <c r="I504" s="5"/>
      <c r="J504" s="5"/>
      <c r="K504" s="5" t="str">
        <f ca="1">IFERROR(__xludf.DUMMYFUNCTION("""COMPUTED_VALUE"""),"Slot")</f>
        <v>Slot</v>
      </c>
      <c r="L504" s="5"/>
      <c r="M504" s="5"/>
      <c r="N504" s="5"/>
      <c r="O504" s="5"/>
      <c r="P504" s="5"/>
      <c r="Q504" s="5"/>
      <c r="R504" s="5"/>
      <c r="S504" s="5"/>
      <c r="T504" s="5"/>
      <c r="U504" s="5"/>
      <c r="V504" s="5"/>
      <c r="W504" s="5"/>
      <c r="X504" s="5"/>
      <c r="Y504" s="5"/>
      <c r="Z504" s="5"/>
      <c r="AA504" s="5"/>
      <c r="AB504" s="5"/>
      <c r="AC504" s="5"/>
      <c r="AD504" s="5"/>
      <c r="AE504" s="5"/>
      <c r="AF504" s="5"/>
      <c r="AG504" s="10">
        <f ca="1">IFERROR(__xludf.DUMMYFUNCTION("""COMPUTED_VALUE"""),45873.5386226851)</f>
        <v>45873.538622685097</v>
      </c>
      <c r="AH504" s="5" t="str">
        <f ca="1">IFERROR(__xludf.DUMMYFUNCTION("""COMPUTED_VALUE"""),"aleksandra.pesic@fazi.rs")</f>
        <v>aleksandra.pesic@fazi.rs</v>
      </c>
      <c r="AI504" s="5"/>
      <c r="AJ504" s="5"/>
      <c r="AK504" s="5"/>
      <c r="AL504" s="5"/>
      <c r="AM504" s="5"/>
      <c r="AN504" s="5"/>
      <c r="AO504" s="5"/>
      <c r="AP504" s="5"/>
      <c r="AQ504" s="5"/>
      <c r="AR504" s="5"/>
      <c r="AS504" s="5"/>
      <c r="AT504" s="5"/>
      <c r="AU504" s="5" t="str">
        <f ca="1">IFERROR(__xludf.DUMMYFUNCTION("""COMPUTED_VALUE"""),"Fazi")</f>
        <v>Fazi</v>
      </c>
      <c r="AV504" s="5"/>
      <c r="AW504" s="5"/>
      <c r="AX504" s="5"/>
      <c r="AY504" s="5"/>
      <c r="AZ504" s="5"/>
      <c r="BA504" s="5" t="str">
        <f ca="1">IFERROR(__xludf.DUMMYFUNCTION("""COMPUTED_VALUE"""),"")</f>
        <v/>
      </c>
      <c r="BB504" s="5"/>
      <c r="BC504" s="5" t="str">
        <f ca="1">IFERROR(__xludf.DUMMYFUNCTION("""COMPUTED_VALUE"""),"Foxi")</f>
        <v>Foxi</v>
      </c>
      <c r="BD504" s="5" t="str">
        <f ca="1">IFERROR(__xludf.DUMMYFUNCTION("""COMPUTED_VALUE"""),"")</f>
        <v/>
      </c>
      <c r="BE504" s="5"/>
    </row>
    <row r="505" spans="1:57" x14ac:dyDescent="0.25">
      <c r="A505" s="5">
        <f ca="1">IFERROR(__xludf.DUMMYFUNCTION("""COMPUTED_VALUE"""),534)</f>
        <v>534</v>
      </c>
      <c r="B505" s="5">
        <f ca="1">IFERROR(__xludf.DUMMYFUNCTION("""COMPUTED_VALUE"""),999971)</f>
        <v>999971</v>
      </c>
      <c r="C505" s="5" t="str">
        <f ca="1">IFERROR(__xludf.DUMMYFUNCTION("""COMPUTED_VALUE"""),"Fazi")</f>
        <v>Fazi</v>
      </c>
      <c r="D505" s="5" t="str">
        <f ca="1">IFERROR(__xludf.DUMMYFUNCTION("""COMPUTED_VALUE"""),"Fazi Game")</f>
        <v>Fazi Game</v>
      </c>
      <c r="E505" s="5"/>
      <c r="F505" s="5" t="str">
        <f ca="1">IFERROR(__xludf.DUMMYFUNCTION("""COMPUTED_VALUE"""),"TBD-F13")</f>
        <v>TBD-F13</v>
      </c>
      <c r="G505" s="5" t="str">
        <f ca="1">IFERROR(__xludf.DUMMYFUNCTION("""COMPUTED_VALUE"""),"Planned")</f>
        <v>Planned</v>
      </c>
      <c r="H505" s="5"/>
      <c r="I505" s="5"/>
      <c r="J505" s="5"/>
      <c r="K505" s="5" t="str">
        <f ca="1">IFERROR(__xludf.DUMMYFUNCTION("""COMPUTED_VALUE"""),"Slot")</f>
        <v>Slot</v>
      </c>
      <c r="L505" s="5"/>
      <c r="M505" s="5"/>
      <c r="N505" s="5"/>
      <c r="O505" s="5"/>
      <c r="P505" s="5"/>
      <c r="Q505" s="5"/>
      <c r="R505" s="5"/>
      <c r="S505" s="5"/>
      <c r="T505" s="5"/>
      <c r="U505" s="5"/>
      <c r="V505" s="5"/>
      <c r="W505" s="5"/>
      <c r="X505" s="5"/>
      <c r="Y505" s="5"/>
      <c r="Z505" s="5"/>
      <c r="AA505" s="5"/>
      <c r="AB505" s="5"/>
      <c r="AC505" s="5"/>
      <c r="AD505" s="5"/>
      <c r="AE505" s="5"/>
      <c r="AF505" s="5"/>
      <c r="AG505" s="10">
        <f ca="1">IFERROR(__xludf.DUMMYFUNCTION("""COMPUTED_VALUE"""),45873.5378703703)</f>
        <v>45873.537870370303</v>
      </c>
      <c r="AH505" s="5" t="str">
        <f ca="1">IFERROR(__xludf.DUMMYFUNCTION("""COMPUTED_VALUE"""),"aleksandra.pesic@fazi.rs")</f>
        <v>aleksandra.pesic@fazi.rs</v>
      </c>
      <c r="AI505" s="5"/>
      <c r="AJ505" s="5"/>
      <c r="AK505" s="5"/>
      <c r="AL505" s="5"/>
      <c r="AM505" s="5"/>
      <c r="AN505" s="5"/>
      <c r="AO505" s="5"/>
      <c r="AP505" s="5"/>
      <c r="AQ505" s="5"/>
      <c r="AR505" s="5"/>
      <c r="AS505" s="5"/>
      <c r="AT505" s="5"/>
      <c r="AU505" s="5" t="str">
        <f ca="1">IFERROR(__xludf.DUMMYFUNCTION("""COMPUTED_VALUE"""),"Fazi")</f>
        <v>Fazi</v>
      </c>
      <c r="AV505" s="5"/>
      <c r="AW505" s="5"/>
      <c r="AX505" s="5"/>
      <c r="AY505" s="5"/>
      <c r="AZ505" s="5"/>
      <c r="BA505" s="5" t="str">
        <f ca="1">IFERROR(__xludf.DUMMYFUNCTION("""COMPUTED_VALUE"""),"")</f>
        <v/>
      </c>
      <c r="BB505" s="5"/>
      <c r="BC505" s="5" t="str">
        <f ca="1">IFERROR(__xludf.DUMMYFUNCTION("""COMPUTED_VALUE"""),"Foxi")</f>
        <v>Foxi</v>
      </c>
      <c r="BD505" s="5" t="str">
        <f ca="1">IFERROR(__xludf.DUMMYFUNCTION("""COMPUTED_VALUE"""),"")</f>
        <v/>
      </c>
      <c r="BE505" s="5"/>
    </row>
    <row r="506" spans="1:57" x14ac:dyDescent="0.25">
      <c r="A506" s="5">
        <f ca="1">IFERROR(__xludf.DUMMYFUNCTION("""COMPUTED_VALUE"""),536)</f>
        <v>536</v>
      </c>
      <c r="B506" s="5">
        <f ca="1">IFERROR(__xludf.DUMMYFUNCTION("""COMPUTED_VALUE"""),180023)</f>
        <v>180023</v>
      </c>
      <c r="C506" s="5" t="str">
        <f ca="1">IFERROR(__xludf.DUMMYFUNCTION("""COMPUTED_VALUE"""),"Redstone")</f>
        <v>Redstone</v>
      </c>
      <c r="D506" s="5" t="str">
        <f ca="1">IFERROR(__xludf.DUMMYFUNCTION("""COMPUTED_VALUE"""),"40 Wild Crown")</f>
        <v>40 Wild Crown</v>
      </c>
      <c r="E506" s="5" t="str">
        <f ca="1">IFERROR(__xludf.DUMMYFUNCTION("""COMPUTED_VALUE"""),"Redstone")</f>
        <v>Redstone</v>
      </c>
      <c r="F506" s="5" t="str">
        <f ca="1">IFERROR(__xludf.DUMMYFUNCTION("""COMPUTED_VALUE"""),"Redstone40WildCrown")</f>
        <v>Redstone40WildCrown</v>
      </c>
      <c r="G506" s="5" t="str">
        <f ca="1">IFERROR(__xludf.DUMMYFUNCTION("""COMPUTED_VALUE"""),"Live")</f>
        <v>Live</v>
      </c>
      <c r="H506" s="5"/>
      <c r="I506" s="5" t="str">
        <f ca="1">IFERROR(__xludf.DUMMYFUNCTION("""COMPUTED_VALUE"""),"Redstone")</f>
        <v>Redstone</v>
      </c>
      <c r="J506" s="5" t="str">
        <f ca="1">IFERROR(__xludf.DUMMYFUNCTION("""COMPUTED_VALUE"""),"JSON")</f>
        <v>JSON</v>
      </c>
      <c r="K506" s="5" t="str">
        <f ca="1">IFERROR(__xludf.DUMMYFUNCTION("""COMPUTED_VALUE"""),"Slot")</f>
        <v>Slot</v>
      </c>
      <c r="L506" s="5" t="str">
        <f ca="1">IFERROR(__xludf.DUMMYFUNCTION("""COMPUTED_VALUE"""),"Master")</f>
        <v>Master</v>
      </c>
      <c r="M506" s="5"/>
      <c r="N506" s="7" t="str">
        <f ca="1">IFERROR(__xludf.DUMMYFUNCTION("""COMPUTED_VALUE"""),"https://drive.google.com/file/d/1ChDrkhCI27hZry0ILWOPTx_uPeueAvMZ/view?usp=drive_link")</f>
        <v>https://drive.google.com/file/d/1ChDrkhCI27hZry0ILWOPTx_uPeueAvMZ/view?usp=drive_link</v>
      </c>
      <c r="O506" s="7" t="str">
        <f ca="1">IFERROR(__xludf.DUMMYFUNCTION("""COMPUTED_VALUE"""),"https://drive.google.com/file/d/1ztU0U7_kgwbIaRZ_UCS6mO_iZYclWO1A/view?usp=drive_link")</f>
        <v>https://drive.google.com/file/d/1ztU0U7_kgwbIaRZ_UCS6mO_iZYclWO1A/view?usp=drive_link</v>
      </c>
      <c r="P506" s="14">
        <f ca="1">IFERROR(__xludf.DUMMYFUNCTION("""COMPUTED_VALUE"""),8)</f>
        <v>8</v>
      </c>
      <c r="Q506" s="5"/>
      <c r="R506" s="15">
        <f ca="1">IFERROR(__xludf.DUMMYFUNCTION("""COMPUTED_VALUE"""),45833)</f>
        <v>45833</v>
      </c>
      <c r="S506" s="15">
        <f ca="1">IFERROR(__xludf.DUMMYFUNCTION("""COMPUTED_VALUE"""),45840)</f>
        <v>45840</v>
      </c>
      <c r="T506" s="5" t="b">
        <f ca="1">IFERROR(__xludf.DUMMYFUNCTION("""COMPUTED_VALUE"""),TRUE)</f>
        <v>1</v>
      </c>
      <c r="U506" s="5" t="str">
        <f ca="1">IFERROR(__xludf.DUMMYFUNCTION("""COMPUTED_VALUE"""),"5x4")</f>
        <v>5x4</v>
      </c>
      <c r="V506" s="5">
        <f ca="1">IFERROR(__xludf.DUMMYFUNCTION("""COMPUTED_VALUE"""),40)</f>
        <v>40</v>
      </c>
      <c r="W506" s="5">
        <f ca="1">IFERROR(__xludf.DUMMYFUNCTION("""COMPUTED_VALUE"""),40)</f>
        <v>40</v>
      </c>
      <c r="X506" s="5">
        <f ca="1">IFERROR(__xludf.DUMMYFUNCTION("""COMPUTED_VALUE"""),95.98)</f>
        <v>95.98</v>
      </c>
      <c r="Y506" s="5" t="str">
        <f ca="1">IFERROR(__xludf.DUMMYFUNCTION("""COMPUTED_VALUE"""),"Medium")</f>
        <v>Medium</v>
      </c>
      <c r="Z506" s="5">
        <f ca="1">IFERROR(__xludf.DUMMYFUNCTION("""COMPUTED_VALUE"""),22.12)</f>
        <v>22.12</v>
      </c>
      <c r="AA506" s="5">
        <f ca="1">IFERROR(__xludf.DUMMYFUNCTION("""COMPUTED_VALUE"""),727.5)</f>
        <v>727.5</v>
      </c>
      <c r="AB506" s="5"/>
      <c r="AC506" s="5" t="str">
        <f ca="1">IFERROR(__xludf.DUMMYFUNCTION("""COMPUTED_VALUE"""),"Expanding Wild, Scatter")</f>
        <v>Expanding Wild, Scatter</v>
      </c>
      <c r="AD506" s="5" t="str">
        <f ca="1">IFERROR(__xludf.DUMMYFUNCTION("""COMPUTED_VALUE"""),"0.04/50")</f>
        <v>0.04/50</v>
      </c>
      <c r="AE506" s="5"/>
      <c r="AF506" s="5"/>
      <c r="AG506" s="10">
        <f ca="1">IFERROR(__xludf.DUMMYFUNCTION("""COMPUTED_VALUE"""),46227.3655439814)</f>
        <v>46227.365543981403</v>
      </c>
      <c r="AH506" s="5"/>
      <c r="AI506" s="5"/>
      <c r="AJ506" s="5"/>
      <c r="AK506" s="5">
        <f ca="1">IFERROR(__xludf.DUMMYFUNCTION("""COMPUTED_VALUE"""),1)</f>
        <v>1</v>
      </c>
      <c r="AL506" s="5" t="str">
        <f ca="1">IFERROR(__xludf.DUMMYFUNCTION("""COMPUTED_VALUE"""),"No")</f>
        <v>No</v>
      </c>
      <c r="AM506" s="5" t="str">
        <f ca="1">IFERROR(__xludf.DUMMYFUNCTION("""COMPUTED_VALUE"""),"No")</f>
        <v>No</v>
      </c>
      <c r="AN506" s="7" t="str">
        <f ca="1">IFERROR(__xludf.DUMMYFUNCTION("""COMPUTED_VALUE"""),"https://static.redstone.rs/games/40-wild-crown/")</f>
        <v>https://static.redstone.rs/games/40-wild-crown/</v>
      </c>
      <c r="AO506" s="5" t="str">
        <f ca="1">IFERROR(__xludf.DUMMYFUNCTION("""COMPUTED_VALUE"""),"No")</f>
        <v>No</v>
      </c>
      <c r="AP506" s="5" t="str">
        <f ca="1">IFERROR(__xludf.DUMMYFUNCTION("""COMPUTED_VALUE"""),"No")</f>
        <v>No</v>
      </c>
      <c r="AQ506" s="5" t="b">
        <f ca="1">IFERROR(__xludf.DUMMYFUNCTION("""COMPUTED_VALUE"""),TRUE)</f>
        <v>1</v>
      </c>
      <c r="AR506" s="5"/>
      <c r="AS506" s="5" t="str">
        <f ca="1">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AT506" s="5"/>
      <c r="AU506" s="5" t="str">
        <f ca="1">IFERROR(__xludf.DUMMYFUNCTION("""COMPUTED_VALUE"""),"Redstone")</f>
        <v>Redstone</v>
      </c>
      <c r="AV506" s="5"/>
      <c r="AW506" s="5"/>
      <c r="AX506" s="5"/>
      <c r="AY506" s="5"/>
      <c r="AZ506" s="5"/>
      <c r="BA506" s="5"/>
      <c r="BB506" s="5" t="b">
        <f ca="1">IFERROR(__xludf.DUMMYFUNCTION("""COMPUTED_VALUE"""),TRUE)</f>
        <v>1</v>
      </c>
      <c r="BC506" s="5" t="str">
        <f ca="1">IFERROR(__xludf.DUMMYFUNCTION("""COMPUTED_VALUE"""),"Redstone")</f>
        <v>Redstone</v>
      </c>
      <c r="BD506" s="7" t="str">
        <f ca="1">IFERROR(__xludf.DUMMYFUNCTION("""COMPUTED_VALUE"""),"https://static.redstone.rs/games/40-wild-crown/")</f>
        <v>https://static.redstone.rs/games/40-wild-crown/</v>
      </c>
      <c r="BE506" s="5" t="b">
        <f ca="1">IFERROR(__xludf.DUMMYFUNCTION("""COMPUTED_VALUE"""),TRUE)</f>
        <v>1</v>
      </c>
    </row>
    <row r="507" spans="1:57" x14ac:dyDescent="0.25">
      <c r="A507" s="5">
        <f ca="1">IFERROR(__xludf.DUMMYFUNCTION("""COMPUTED_VALUE"""),537)</f>
        <v>537</v>
      </c>
      <c r="B507" s="5">
        <f ca="1">IFERROR(__xludf.DUMMYFUNCTION("""COMPUTED_VALUE"""),180024)</f>
        <v>180024</v>
      </c>
      <c r="C507" s="5" t="str">
        <f ca="1">IFERROR(__xludf.DUMMYFUNCTION("""COMPUTED_VALUE"""),"Redstone")</f>
        <v>Redstone</v>
      </c>
      <c r="D507" s="5" t="str">
        <f ca="1">IFERROR(__xludf.DUMMYFUNCTION("""COMPUTED_VALUE"""),"Double Crown 5")</f>
        <v>Double Crown 5</v>
      </c>
      <c r="E507" s="5" t="str">
        <f ca="1">IFERROR(__xludf.DUMMYFUNCTION("""COMPUTED_VALUE"""),"Redstone")</f>
        <v>Redstone</v>
      </c>
      <c r="F507" s="5" t="str">
        <f ca="1">IFERROR(__xludf.DUMMYFUNCTION("""COMPUTED_VALUE"""),"RedstoneDoubleCrown5")</f>
        <v>RedstoneDoubleCrown5</v>
      </c>
      <c r="G507" s="5" t="str">
        <f ca="1">IFERROR(__xludf.DUMMYFUNCTION("""COMPUTED_VALUE"""),"Live")</f>
        <v>Live</v>
      </c>
      <c r="H507" s="5"/>
      <c r="I507" s="5" t="str">
        <f ca="1">IFERROR(__xludf.DUMMYFUNCTION("""COMPUTED_VALUE"""),"Redstone")</f>
        <v>Redstone</v>
      </c>
      <c r="J507" s="5" t="str">
        <f ca="1">IFERROR(__xludf.DUMMYFUNCTION("""COMPUTED_VALUE"""),"JSON")</f>
        <v>JSON</v>
      </c>
      <c r="K507" s="5" t="str">
        <f ca="1">IFERROR(__xludf.DUMMYFUNCTION("""COMPUTED_VALUE"""),"Slot")</f>
        <v>Slot</v>
      </c>
      <c r="L507" s="5" t="str">
        <f ca="1">IFERROR(__xludf.DUMMYFUNCTION("""COMPUTED_VALUE"""),"Master")</f>
        <v>Master</v>
      </c>
      <c r="M507" s="5"/>
      <c r="N507" s="7" t="str">
        <f ca="1">IFERROR(__xludf.DUMMYFUNCTION("""COMPUTED_VALUE"""),"https://drive.google.com/file/d/1-amw2f6rGQxPdLmoRqPQ4B4OnBMCaUiT/view?usp=drive_link")</f>
        <v>https://drive.google.com/file/d/1-amw2f6rGQxPdLmoRqPQ4B4OnBMCaUiT/view?usp=drive_link</v>
      </c>
      <c r="O507" s="7" t="str">
        <f ca="1">IFERROR(__xludf.DUMMYFUNCTION("""COMPUTED_VALUE"""),"https://drive.google.com/file/d/1YcfrIj3IZ2DKPIWzXEqRg38PA6964GYy/view?usp=drive_link")</f>
        <v>https://drive.google.com/file/d/1YcfrIj3IZ2DKPIWzXEqRg38PA6964GYy/view?usp=drive_link</v>
      </c>
      <c r="P507" s="14">
        <f ca="1">IFERROR(__xludf.DUMMYFUNCTION("""COMPUTED_VALUE"""),10)</f>
        <v>10</v>
      </c>
      <c r="Q507" s="5"/>
      <c r="R507" s="15">
        <f ca="1">IFERROR(__xludf.DUMMYFUNCTION("""COMPUTED_VALUE"""),45839)</f>
        <v>45839</v>
      </c>
      <c r="S507" s="15">
        <f ca="1">IFERROR(__xludf.DUMMYFUNCTION("""COMPUTED_VALUE"""),45846)</f>
        <v>45846</v>
      </c>
      <c r="T507" s="5" t="b">
        <f ca="1">IFERROR(__xludf.DUMMYFUNCTION("""COMPUTED_VALUE"""),TRUE)</f>
        <v>1</v>
      </c>
      <c r="U507" s="5" t="str">
        <f ca="1">IFERROR(__xludf.DUMMYFUNCTION("""COMPUTED_VALUE"""),"3x3")</f>
        <v>3x3</v>
      </c>
      <c r="V507" s="5">
        <f ca="1">IFERROR(__xludf.DUMMYFUNCTION("""COMPUTED_VALUE"""),5)</f>
        <v>5</v>
      </c>
      <c r="W507" s="5">
        <f ca="1">IFERROR(__xludf.DUMMYFUNCTION("""COMPUTED_VALUE"""),5)</f>
        <v>5</v>
      </c>
      <c r="X507" s="5">
        <f ca="1">IFERROR(__xludf.DUMMYFUNCTION("""COMPUTED_VALUE"""),96.12)</f>
        <v>96.12</v>
      </c>
      <c r="Y507" s="5" t="str">
        <f ca="1">IFERROR(__xludf.DUMMYFUNCTION("""COMPUTED_VALUE"""),"Medium")</f>
        <v>Medium</v>
      </c>
      <c r="Z507" s="5">
        <f ca="1">IFERROR(__xludf.DUMMYFUNCTION("""COMPUTED_VALUE"""),12.28)</f>
        <v>12.28</v>
      </c>
      <c r="AA507" s="5">
        <f ca="1">IFERROR(__xludf.DUMMYFUNCTION("""COMPUTED_VALUE"""),180)</f>
        <v>180</v>
      </c>
      <c r="AB507" s="5"/>
      <c r="AC507" s="5" t="str">
        <f ca="1">IFERROR(__xludf.DUMMYFUNCTION("""COMPUTED_VALUE"""),"Wild Symbol, Win Multiplier")</f>
        <v>Wild Symbol, Win Multiplier</v>
      </c>
      <c r="AD507" s="5" t="str">
        <f ca="1">IFERROR(__xludf.DUMMYFUNCTION("""COMPUTED_VALUE"""),"0.10/50")</f>
        <v>0.10/50</v>
      </c>
      <c r="AE507" s="5"/>
      <c r="AF507" s="5"/>
      <c r="AG507" s="10">
        <f ca="1">IFERROR(__xludf.DUMMYFUNCTION("""COMPUTED_VALUE"""),46157.5295601851)</f>
        <v>46157.529560185103</v>
      </c>
      <c r="AH507" s="5"/>
      <c r="AI507" s="5"/>
      <c r="AJ507" s="5"/>
      <c r="AK507" s="5">
        <f ca="1">IFERROR(__xludf.DUMMYFUNCTION("""COMPUTED_VALUE"""),1)</f>
        <v>1</v>
      </c>
      <c r="AL507" s="5" t="str">
        <f ca="1">IFERROR(__xludf.DUMMYFUNCTION("""COMPUTED_VALUE"""),"No")</f>
        <v>No</v>
      </c>
      <c r="AM507" s="5" t="str">
        <f ca="1">IFERROR(__xludf.DUMMYFUNCTION("""COMPUTED_VALUE"""),"No")</f>
        <v>No</v>
      </c>
      <c r="AN507" s="7" t="str">
        <f ca="1">IFERROR(__xludf.DUMMYFUNCTION("""COMPUTED_VALUE"""),"https://static.redstone.rs/games/double-crown-5/")</f>
        <v>https://static.redstone.rs/games/double-crown-5/</v>
      </c>
      <c r="AO507" s="5" t="str">
        <f ca="1">IFERROR(__xludf.DUMMYFUNCTION("""COMPUTED_VALUE"""),"No")</f>
        <v>No</v>
      </c>
      <c r="AP507" s="5" t="str">
        <f ca="1">IFERROR(__xludf.DUMMYFUNCTION("""COMPUTED_VALUE"""),"No")</f>
        <v>No</v>
      </c>
      <c r="AQ507" s="5" t="b">
        <f ca="1">IFERROR(__xludf.DUMMYFUNCTION("""COMPUTED_VALUE"""),TRUE)</f>
        <v>1</v>
      </c>
      <c r="AR507" s="5"/>
      <c r="AS507" s="5" t="str">
        <f ca="1">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AT507" s="5"/>
      <c r="AU507" s="5" t="str">
        <f ca="1">IFERROR(__xludf.DUMMYFUNCTION("""COMPUTED_VALUE"""),"Redstone")</f>
        <v>Redstone</v>
      </c>
      <c r="AV507" s="5"/>
      <c r="AW507" s="5"/>
      <c r="AX507" s="5"/>
      <c r="AY507" s="5"/>
      <c r="AZ507" s="5"/>
      <c r="BA507" s="5"/>
      <c r="BB507" s="5" t="b">
        <f ca="1">IFERROR(__xludf.DUMMYFUNCTION("""COMPUTED_VALUE"""),TRUE)</f>
        <v>1</v>
      </c>
      <c r="BC507" s="5" t="str">
        <f ca="1">IFERROR(__xludf.DUMMYFUNCTION("""COMPUTED_VALUE"""),"Redstone")</f>
        <v>Redstone</v>
      </c>
      <c r="BD507" s="7" t="str">
        <f ca="1">IFERROR(__xludf.DUMMYFUNCTION("""COMPUTED_VALUE"""),"https://static.redstone.rs/games/double-crown-5/")</f>
        <v>https://static.redstone.rs/games/double-crown-5/</v>
      </c>
      <c r="BE507" s="5" t="b">
        <f ca="1">IFERROR(__xludf.DUMMYFUNCTION("""COMPUTED_VALUE"""),TRUE)</f>
        <v>1</v>
      </c>
    </row>
    <row r="508" spans="1:57" x14ac:dyDescent="0.25">
      <c r="A508" s="5">
        <f ca="1">IFERROR(__xludf.DUMMYFUNCTION("""COMPUTED_VALUE"""),538)</f>
        <v>538</v>
      </c>
      <c r="B508" s="5">
        <f ca="1">IFERROR(__xludf.DUMMYFUNCTION("""COMPUTED_VALUE"""),180025)</f>
        <v>180025</v>
      </c>
      <c r="C508" s="5" t="str">
        <f ca="1">IFERROR(__xludf.DUMMYFUNCTION("""COMPUTED_VALUE"""),"Redstone")</f>
        <v>Redstone</v>
      </c>
      <c r="D508" s="5" t="str">
        <f ca="1">IFERROR(__xludf.DUMMYFUNCTION("""COMPUTED_VALUE"""),"Heart Royale ")</f>
        <v xml:space="preserve">Heart Royale </v>
      </c>
      <c r="E508" s="5" t="str">
        <f ca="1">IFERROR(__xludf.DUMMYFUNCTION("""COMPUTED_VALUE"""),"Redstone")</f>
        <v>Redstone</v>
      </c>
      <c r="F508" s="5" t="str">
        <f ca="1">IFERROR(__xludf.DUMMYFUNCTION("""COMPUTED_VALUE"""),"RedstoneHeartRoyale")</f>
        <v>RedstoneHeartRoyale</v>
      </c>
      <c r="G508" s="5" t="str">
        <f ca="1">IFERROR(__xludf.DUMMYFUNCTION("""COMPUTED_VALUE"""),"Live")</f>
        <v>Live</v>
      </c>
      <c r="H508" s="5"/>
      <c r="I508" s="5" t="str">
        <f ca="1">IFERROR(__xludf.DUMMYFUNCTION("""COMPUTED_VALUE"""),"Redstone")</f>
        <v>Redstone</v>
      </c>
      <c r="J508" s="5" t="str">
        <f ca="1">IFERROR(__xludf.DUMMYFUNCTION("""COMPUTED_VALUE"""),"JSON")</f>
        <v>JSON</v>
      </c>
      <c r="K508" s="5" t="str">
        <f ca="1">IFERROR(__xludf.DUMMYFUNCTION("""COMPUTED_VALUE"""),"Slot")</f>
        <v>Slot</v>
      </c>
      <c r="L508" s="5" t="str">
        <f ca="1">IFERROR(__xludf.DUMMYFUNCTION("""COMPUTED_VALUE"""),"Master")</f>
        <v>Master</v>
      </c>
      <c r="M508" s="5"/>
      <c r="N508" s="7" t="str">
        <f ca="1">IFERROR(__xludf.DUMMYFUNCTION("""COMPUTED_VALUE"""),"https://drive.google.com/file/d/1oz6yW5qnOMRoaFkZSgqtFto3q_2PdbZ6/view?usp=drive_link")</f>
        <v>https://drive.google.com/file/d/1oz6yW5qnOMRoaFkZSgqtFto3q_2PdbZ6/view?usp=drive_link</v>
      </c>
      <c r="O508" s="7" t="str">
        <f ca="1">IFERROR(__xludf.DUMMYFUNCTION("""COMPUTED_VALUE"""),"https://drive.google.com/file/d/1LZlXE5diYEEbyW4iyCuBT6KsdLU41E_9/view?usp=drive_link")</f>
        <v>https://drive.google.com/file/d/1LZlXE5diYEEbyW4iyCuBT6KsdLU41E_9/view?usp=drive_link</v>
      </c>
      <c r="P508" s="14">
        <f ca="1">IFERROR(__xludf.DUMMYFUNCTION("""COMPUTED_VALUE"""),9.3)</f>
        <v>9.3000000000000007</v>
      </c>
      <c r="Q508" s="5"/>
      <c r="R508" s="15">
        <f ca="1">IFERROR(__xludf.DUMMYFUNCTION("""COMPUTED_VALUE"""),45847)</f>
        <v>45847</v>
      </c>
      <c r="S508" s="15">
        <f ca="1">IFERROR(__xludf.DUMMYFUNCTION("""COMPUTED_VALUE"""),45854)</f>
        <v>45854</v>
      </c>
      <c r="T508" s="5" t="b">
        <f ca="1">IFERROR(__xludf.DUMMYFUNCTION("""COMPUTED_VALUE"""),TRUE)</f>
        <v>1</v>
      </c>
      <c r="U508" s="5" t="str">
        <f ca="1">IFERROR(__xludf.DUMMYFUNCTION("""COMPUTED_VALUE"""),"5x3")</f>
        <v>5x3</v>
      </c>
      <c r="V508" s="5">
        <f ca="1">IFERROR(__xludf.DUMMYFUNCTION("""COMPUTED_VALUE"""),5)</f>
        <v>5</v>
      </c>
      <c r="W508" s="5">
        <f ca="1">IFERROR(__xludf.DUMMYFUNCTION("""COMPUTED_VALUE"""),5)</f>
        <v>5</v>
      </c>
      <c r="X508" s="5">
        <f ca="1">IFERROR(__xludf.DUMMYFUNCTION("""COMPUTED_VALUE"""),95.99)</f>
        <v>95.99</v>
      </c>
      <c r="Y508" s="5" t="str">
        <f ca="1">IFERROR(__xludf.DUMMYFUNCTION("""COMPUTED_VALUE"""),"Medium")</f>
        <v>Medium</v>
      </c>
      <c r="Z508" s="5">
        <f ca="1">IFERROR(__xludf.DUMMYFUNCTION("""COMPUTED_VALUE"""),10.37)</f>
        <v>10.37</v>
      </c>
      <c r="AA508" s="5">
        <f ca="1">IFERROR(__xludf.DUMMYFUNCTION("""COMPUTED_VALUE"""),6150)</f>
        <v>6150</v>
      </c>
      <c r="AB508" s="5"/>
      <c r="AC508" s="5" t="str">
        <f ca="1">IFERROR(__xludf.DUMMYFUNCTION("""COMPUTED_VALUE"""),"Wild Multiplier, Expanding Wild")</f>
        <v>Wild Multiplier, Expanding Wild</v>
      </c>
      <c r="AD508" s="5" t="str">
        <f ca="1">IFERROR(__xludf.DUMMYFUNCTION("""COMPUTED_VALUE"""),"0.01/50")</f>
        <v>0.01/50</v>
      </c>
      <c r="AE508" s="5"/>
      <c r="AF508" s="5"/>
      <c r="AG508" s="10">
        <f ca="1">IFERROR(__xludf.DUMMYFUNCTION("""COMPUTED_VALUE"""),46157.5302199074)</f>
        <v>46157.530219907399</v>
      </c>
      <c r="AH508" s="5"/>
      <c r="AI508" s="5"/>
      <c r="AJ508" s="5"/>
      <c r="AK508" s="5">
        <f ca="1">IFERROR(__xludf.DUMMYFUNCTION("""COMPUTED_VALUE"""),1)</f>
        <v>1</v>
      </c>
      <c r="AL508" s="5" t="str">
        <f ca="1">IFERROR(__xludf.DUMMYFUNCTION("""COMPUTED_VALUE"""),"No")</f>
        <v>No</v>
      </c>
      <c r="AM508" s="5" t="str">
        <f ca="1">IFERROR(__xludf.DUMMYFUNCTION("""COMPUTED_VALUE"""),"No")</f>
        <v>No</v>
      </c>
      <c r="AN508" s="7" t="str">
        <f ca="1">IFERROR(__xludf.DUMMYFUNCTION("""COMPUTED_VALUE"""),"https://static.redstone.rs/games/heart-royale/")</f>
        <v>https://static.redstone.rs/games/heart-royale/</v>
      </c>
      <c r="AO508" s="5" t="str">
        <f ca="1">IFERROR(__xludf.DUMMYFUNCTION("""COMPUTED_VALUE"""),"No")</f>
        <v>No</v>
      </c>
      <c r="AP508" s="5" t="str">
        <f ca="1">IFERROR(__xludf.DUMMYFUNCTION("""COMPUTED_VALUE"""),"No")</f>
        <v>No</v>
      </c>
      <c r="AQ508" s="5" t="b">
        <f ca="1">IFERROR(__xludf.DUMMYFUNCTION("""COMPUTED_VALUE"""),TRUE)</f>
        <v>1</v>
      </c>
      <c r="AR508" s="5"/>
      <c r="AS508" s="5" t="str">
        <f ca="1">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AT508" s="5"/>
      <c r="AU508" s="5" t="str">
        <f ca="1">IFERROR(__xludf.DUMMYFUNCTION("""COMPUTED_VALUE"""),"Redstone")</f>
        <v>Redstone</v>
      </c>
      <c r="AV508" s="5"/>
      <c r="AW508" s="5"/>
      <c r="AX508" s="5"/>
      <c r="AY508" s="5"/>
      <c r="AZ508" s="5"/>
      <c r="BA508" s="5"/>
      <c r="BB508" s="5" t="b">
        <f ca="1">IFERROR(__xludf.DUMMYFUNCTION("""COMPUTED_VALUE"""),TRUE)</f>
        <v>1</v>
      </c>
      <c r="BC508" s="5" t="str">
        <f ca="1">IFERROR(__xludf.DUMMYFUNCTION("""COMPUTED_VALUE"""),"Redstone")</f>
        <v>Redstone</v>
      </c>
      <c r="BD508" s="7" t="str">
        <f ca="1">IFERROR(__xludf.DUMMYFUNCTION("""COMPUTED_VALUE"""),"https://static.redstone.rs/games/heart-royale/")</f>
        <v>https://static.redstone.rs/games/heart-royale/</v>
      </c>
      <c r="BE508" s="5" t="b">
        <f ca="1">IFERROR(__xludf.DUMMYFUNCTION("""COMPUTED_VALUE"""),TRUE)</f>
        <v>1</v>
      </c>
    </row>
    <row r="509" spans="1:57" x14ac:dyDescent="0.25">
      <c r="A509" s="5">
        <f ca="1">IFERROR(__xludf.DUMMYFUNCTION("""COMPUTED_VALUE"""),539)</f>
        <v>539</v>
      </c>
      <c r="B509" s="5">
        <f ca="1">IFERROR(__xludf.DUMMYFUNCTION("""COMPUTED_VALUE"""),180026)</f>
        <v>180026</v>
      </c>
      <c r="C509" s="5" t="str">
        <f ca="1">IFERROR(__xludf.DUMMYFUNCTION("""COMPUTED_VALUE"""),"Redstone")</f>
        <v>Redstone</v>
      </c>
      <c r="D509" s="5" t="str">
        <f ca="1">IFERROR(__xludf.DUMMYFUNCTION("""COMPUTED_VALUE"""),"Reel X5: 27 Ways")</f>
        <v>Reel X5: 27 Ways</v>
      </c>
      <c r="E509" s="5" t="str">
        <f ca="1">IFERROR(__xludf.DUMMYFUNCTION("""COMPUTED_VALUE"""),"Redstone")</f>
        <v>Redstone</v>
      </c>
      <c r="F509" s="5" t="str">
        <f ca="1">IFERROR(__xludf.DUMMYFUNCTION("""COMPUTED_VALUE"""),"RedstoneReelX527Ways")</f>
        <v>RedstoneReelX527Ways</v>
      </c>
      <c r="G509" s="5" t="str">
        <f ca="1">IFERROR(__xludf.DUMMYFUNCTION("""COMPUTED_VALUE"""),"Live")</f>
        <v>Live</v>
      </c>
      <c r="H509" s="5"/>
      <c r="I509" s="5" t="str">
        <f ca="1">IFERROR(__xludf.DUMMYFUNCTION("""COMPUTED_VALUE"""),"Redstone")</f>
        <v>Redstone</v>
      </c>
      <c r="J509" s="5" t="str">
        <f ca="1">IFERROR(__xludf.DUMMYFUNCTION("""COMPUTED_VALUE"""),"JSON")</f>
        <v>JSON</v>
      </c>
      <c r="K509" s="5" t="str">
        <f ca="1">IFERROR(__xludf.DUMMYFUNCTION("""COMPUTED_VALUE"""),"Slot")</f>
        <v>Slot</v>
      </c>
      <c r="L509" s="5" t="str">
        <f ca="1">IFERROR(__xludf.DUMMYFUNCTION("""COMPUTED_VALUE"""),"Master")</f>
        <v>Master</v>
      </c>
      <c r="M509" s="5"/>
      <c r="N509" s="7" t="str">
        <f ca="1">IFERROR(__xludf.DUMMYFUNCTION("""COMPUTED_VALUE"""),"https://drive.google.com/file/d/1aQMoqx1Q0PxgTRx-QfcLaCK7eHBA4cDj/view?usp=drive_link")</f>
        <v>https://drive.google.com/file/d/1aQMoqx1Q0PxgTRx-QfcLaCK7eHBA4cDj/view?usp=drive_link</v>
      </c>
      <c r="O509" s="7" t="str">
        <f ca="1">IFERROR(__xludf.DUMMYFUNCTION("""COMPUTED_VALUE"""),"https://drive.google.com/file/d/1ezyMekXOVMpheGJbphiWWp4EOr-96GWP/view?usp=drive_link")</f>
        <v>https://drive.google.com/file/d/1ezyMekXOVMpheGJbphiWWp4EOr-96GWP/view?usp=drive_link</v>
      </c>
      <c r="P509" s="14">
        <f ca="1">IFERROR(__xludf.DUMMYFUNCTION("""COMPUTED_VALUE"""),6.7)</f>
        <v>6.7</v>
      </c>
      <c r="Q509" s="5"/>
      <c r="R509" s="15">
        <f ca="1">IFERROR(__xludf.DUMMYFUNCTION("""COMPUTED_VALUE"""),45853)</f>
        <v>45853</v>
      </c>
      <c r="S509" s="15">
        <f ca="1">IFERROR(__xludf.DUMMYFUNCTION("""COMPUTED_VALUE"""),45860)</f>
        <v>45860</v>
      </c>
      <c r="T509" s="5" t="b">
        <f ca="1">IFERROR(__xludf.DUMMYFUNCTION("""COMPUTED_VALUE"""),TRUE)</f>
        <v>1</v>
      </c>
      <c r="U509" s="5" t="str">
        <f ca="1">IFERROR(__xludf.DUMMYFUNCTION("""COMPUTED_VALUE"""),"3x3")</f>
        <v>3x3</v>
      </c>
      <c r="V509" s="5">
        <f ca="1">IFERROR(__xludf.DUMMYFUNCTION("""COMPUTED_VALUE"""),27)</f>
        <v>27</v>
      </c>
      <c r="W509" s="5">
        <f ca="1">IFERROR(__xludf.DUMMYFUNCTION("""COMPUTED_VALUE"""),27)</f>
        <v>27</v>
      </c>
      <c r="X509" s="5">
        <f ca="1">IFERROR(__xludf.DUMMYFUNCTION("""COMPUTED_VALUE"""),96)</f>
        <v>96</v>
      </c>
      <c r="Y509" s="5" t="str">
        <f ca="1">IFERROR(__xludf.DUMMYFUNCTION("""COMPUTED_VALUE"""),"Low")</f>
        <v>Low</v>
      </c>
      <c r="Z509" s="5">
        <f ca="1">IFERROR(__xludf.DUMMYFUNCTION("""COMPUTED_VALUE"""),11.92)</f>
        <v>11.92</v>
      </c>
      <c r="AA509" s="5">
        <f ca="1">IFERROR(__xludf.DUMMYFUNCTION("""COMPUTED_VALUE"""),450)</f>
        <v>450</v>
      </c>
      <c r="AB509" s="5"/>
      <c r="AC509" s="5" t="str">
        <f ca="1">IFERROR(__xludf.DUMMYFUNCTION("""COMPUTED_VALUE"""),"Win Multiplier")</f>
        <v>Win Multiplier</v>
      </c>
      <c r="AD509" s="5" t="str">
        <f ca="1">IFERROR(__xludf.DUMMYFUNCTION("""COMPUTED_VALUE"""),"0.10/50")</f>
        <v>0.10/50</v>
      </c>
      <c r="AE509" s="5"/>
      <c r="AF509" s="5"/>
      <c r="AG509" s="10">
        <f ca="1">IFERROR(__xludf.DUMMYFUNCTION("""COMPUTED_VALUE"""),46157.5304398148)</f>
        <v>46157.5304398148</v>
      </c>
      <c r="AH509" s="5"/>
      <c r="AI509" s="5"/>
      <c r="AJ509" s="5"/>
      <c r="AK509" s="5">
        <f ca="1">IFERROR(__xludf.DUMMYFUNCTION("""COMPUTED_VALUE"""),1)</f>
        <v>1</v>
      </c>
      <c r="AL509" s="5" t="str">
        <f ca="1">IFERROR(__xludf.DUMMYFUNCTION("""COMPUTED_VALUE"""),"No")</f>
        <v>No</v>
      </c>
      <c r="AM509" s="5" t="str">
        <f ca="1">IFERROR(__xludf.DUMMYFUNCTION("""COMPUTED_VALUE"""),"No")</f>
        <v>No</v>
      </c>
      <c r="AN509" s="7" t="str">
        <f ca="1">IFERROR(__xludf.DUMMYFUNCTION("""COMPUTED_VALUE"""),"https://static.redstone.rs/games/reel-x5-27-ways/")</f>
        <v>https://static.redstone.rs/games/reel-x5-27-ways/</v>
      </c>
      <c r="AO509" s="5" t="str">
        <f ca="1">IFERROR(__xludf.DUMMYFUNCTION("""COMPUTED_VALUE"""),"No")</f>
        <v>No</v>
      </c>
      <c r="AP509" s="5" t="str">
        <f ca="1">IFERROR(__xludf.DUMMYFUNCTION("""COMPUTED_VALUE"""),"No")</f>
        <v>No</v>
      </c>
      <c r="AQ509" s="5" t="b">
        <f ca="1">IFERROR(__xludf.DUMMYFUNCTION("""COMPUTED_VALUE"""),TRUE)</f>
        <v>1</v>
      </c>
      <c r="AR509" s="5"/>
      <c r="AS509" s="5" t="str">
        <f ca="1">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AT509" s="5"/>
      <c r="AU509" s="5" t="str">
        <f ca="1">IFERROR(__xludf.DUMMYFUNCTION("""COMPUTED_VALUE"""),"Redstone")</f>
        <v>Redstone</v>
      </c>
      <c r="AV509" s="5"/>
      <c r="AW509" s="5"/>
      <c r="AX509" s="5"/>
      <c r="AY509" s="5"/>
      <c r="AZ509" s="5"/>
      <c r="BA509" s="5"/>
      <c r="BB509" s="5" t="b">
        <f ca="1">IFERROR(__xludf.DUMMYFUNCTION("""COMPUTED_VALUE"""),TRUE)</f>
        <v>1</v>
      </c>
      <c r="BC509" s="5" t="str">
        <f ca="1">IFERROR(__xludf.DUMMYFUNCTION("""COMPUTED_VALUE"""),"Redstone")</f>
        <v>Redstone</v>
      </c>
      <c r="BD509" s="7" t="str">
        <f ca="1">IFERROR(__xludf.DUMMYFUNCTION("""COMPUTED_VALUE"""),"https://static.redstone.rs/games/reel-x5-27-ways/")</f>
        <v>https://static.redstone.rs/games/reel-x5-27-ways/</v>
      </c>
      <c r="BE509" s="5" t="b">
        <f ca="1">IFERROR(__xludf.DUMMYFUNCTION("""COMPUTED_VALUE"""),TRUE)</f>
        <v>1</v>
      </c>
    </row>
    <row r="510" spans="1:57" x14ac:dyDescent="0.25">
      <c r="A510" s="5">
        <f ca="1">IFERROR(__xludf.DUMMYFUNCTION("""COMPUTED_VALUE"""),540)</f>
        <v>540</v>
      </c>
      <c r="B510" s="5">
        <f ca="1">IFERROR(__xludf.DUMMYFUNCTION("""COMPUTED_VALUE"""),180027)</f>
        <v>180027</v>
      </c>
      <c r="C510" s="5" t="str">
        <f ca="1">IFERROR(__xludf.DUMMYFUNCTION("""COMPUTED_VALUE"""),"Redstone")</f>
        <v>Redstone</v>
      </c>
      <c r="D510" s="5" t="str">
        <f ca="1">IFERROR(__xludf.DUMMYFUNCTION("""COMPUTED_VALUE"""),"Crown Drop")</f>
        <v>Crown Drop</v>
      </c>
      <c r="E510" s="5" t="str">
        <f ca="1">IFERROR(__xludf.DUMMYFUNCTION("""COMPUTED_VALUE"""),"Redstone")</f>
        <v>Redstone</v>
      </c>
      <c r="F510" s="5" t="str">
        <f ca="1">IFERROR(__xludf.DUMMYFUNCTION("""COMPUTED_VALUE"""),"RedstoneCrownDrop")</f>
        <v>RedstoneCrownDrop</v>
      </c>
      <c r="G510" s="5" t="str">
        <f ca="1">IFERROR(__xludf.DUMMYFUNCTION("""COMPUTED_VALUE"""),"Live")</f>
        <v>Live</v>
      </c>
      <c r="H510" s="5"/>
      <c r="I510" s="5" t="str">
        <f ca="1">IFERROR(__xludf.DUMMYFUNCTION("""COMPUTED_VALUE"""),"Redstone")</f>
        <v>Redstone</v>
      </c>
      <c r="J510" s="5" t="str">
        <f ca="1">IFERROR(__xludf.DUMMYFUNCTION("""COMPUTED_VALUE"""),"JSON")</f>
        <v>JSON</v>
      </c>
      <c r="K510" s="5" t="str">
        <f ca="1">IFERROR(__xludf.DUMMYFUNCTION("""COMPUTED_VALUE"""),"Slot")</f>
        <v>Slot</v>
      </c>
      <c r="L510" s="5" t="str">
        <f ca="1">IFERROR(__xludf.DUMMYFUNCTION("""COMPUTED_VALUE"""),"Master")</f>
        <v>Master</v>
      </c>
      <c r="M510" s="5"/>
      <c r="N510" s="7" t="str">
        <f ca="1">IFERROR(__xludf.DUMMYFUNCTION("""COMPUTED_VALUE"""),"https://drive.google.com/file/d/12E3WH7zMmakKE9xQtqyckajMvhnbC-Hr/view?usp=drive_link")</f>
        <v>https://drive.google.com/file/d/12E3WH7zMmakKE9xQtqyckajMvhnbC-Hr/view?usp=drive_link</v>
      </c>
      <c r="O510" s="7" t="str">
        <f ca="1">IFERROR(__xludf.DUMMYFUNCTION("""COMPUTED_VALUE"""),"https://drive.google.com/file/d/19ze_Zg77kWqTu22_FVM6AbHjo7vnCW-j/view?usp=drive_link")</f>
        <v>https://drive.google.com/file/d/19ze_Zg77kWqTu22_FVM6AbHjo7vnCW-j/view?usp=drive_link</v>
      </c>
      <c r="P510" s="14">
        <f ca="1">IFERROR(__xludf.DUMMYFUNCTION("""COMPUTED_VALUE"""),7.8)</f>
        <v>7.8</v>
      </c>
      <c r="Q510" s="5"/>
      <c r="R510" s="15">
        <f ca="1">IFERROR(__xludf.DUMMYFUNCTION("""COMPUTED_VALUE"""),45859)</f>
        <v>45859</v>
      </c>
      <c r="S510" s="15">
        <f ca="1">IFERROR(__xludf.DUMMYFUNCTION("""COMPUTED_VALUE"""),45866)</f>
        <v>45866</v>
      </c>
      <c r="T510" s="5" t="b">
        <f ca="1">IFERROR(__xludf.DUMMYFUNCTION("""COMPUTED_VALUE"""),TRUE)</f>
        <v>1</v>
      </c>
      <c r="U510" s="5" t="str">
        <f ca="1">IFERROR(__xludf.DUMMYFUNCTION("""COMPUTED_VALUE"""),"5x5")</f>
        <v>5x5</v>
      </c>
      <c r="V510" s="5">
        <f ca="1">IFERROR(__xludf.DUMMYFUNCTION("""COMPUTED_VALUE"""),20)</f>
        <v>20</v>
      </c>
      <c r="W510" s="5">
        <f ca="1">IFERROR(__xludf.DUMMYFUNCTION("""COMPUTED_VALUE"""),20)</f>
        <v>20</v>
      </c>
      <c r="X510" s="5">
        <f ca="1">IFERROR(__xludf.DUMMYFUNCTION("""COMPUTED_VALUE"""),96.02)</f>
        <v>96.02</v>
      </c>
      <c r="Y510" s="5" t="str">
        <f ca="1">IFERROR(__xludf.DUMMYFUNCTION("""COMPUTED_VALUE"""),"Medium")</f>
        <v>Medium</v>
      </c>
      <c r="Z510" s="5">
        <f ca="1">IFERROR(__xludf.DUMMYFUNCTION("""COMPUTED_VALUE"""),19.8)</f>
        <v>19.8</v>
      </c>
      <c r="AA510" s="5">
        <f ca="1">IFERROR(__xludf.DUMMYFUNCTION("""COMPUTED_VALUE"""),916.5)</f>
        <v>916.5</v>
      </c>
      <c r="AB510" s="5"/>
      <c r="AC510" s="5" t="str">
        <f ca="1">IFERROR(__xludf.DUMMYFUNCTION("""COMPUTED_VALUE"""),"Expanding Wild, Scatter")</f>
        <v>Expanding Wild, Scatter</v>
      </c>
      <c r="AD510" s="5" t="str">
        <f ca="1">IFERROR(__xludf.DUMMYFUNCTION("""COMPUTED_VALUE"""),"0.02/50")</f>
        <v>0.02/50</v>
      </c>
      <c r="AE510" s="5"/>
      <c r="AF510" s="5"/>
      <c r="AG510" s="10">
        <f ca="1">IFERROR(__xludf.DUMMYFUNCTION("""COMPUTED_VALUE"""),46157.5307060185)</f>
        <v>46157.5307060185</v>
      </c>
      <c r="AH510" s="5"/>
      <c r="AI510" s="5"/>
      <c r="AJ510" s="5"/>
      <c r="AK510" s="5">
        <f ca="1">IFERROR(__xludf.DUMMYFUNCTION("""COMPUTED_VALUE"""),1)</f>
        <v>1</v>
      </c>
      <c r="AL510" s="5" t="str">
        <f ca="1">IFERROR(__xludf.DUMMYFUNCTION("""COMPUTED_VALUE"""),"No")</f>
        <v>No</v>
      </c>
      <c r="AM510" s="5" t="str">
        <f ca="1">IFERROR(__xludf.DUMMYFUNCTION("""COMPUTED_VALUE"""),"No")</f>
        <v>No</v>
      </c>
      <c r="AN510" s="7" t="str">
        <f ca="1">IFERROR(__xludf.DUMMYFUNCTION("""COMPUTED_VALUE"""),"https://static.redstone.rs/games/crown-drop/")</f>
        <v>https://static.redstone.rs/games/crown-drop/</v>
      </c>
      <c r="AO510" s="5" t="str">
        <f ca="1">IFERROR(__xludf.DUMMYFUNCTION("""COMPUTED_VALUE"""),"No")</f>
        <v>No</v>
      </c>
      <c r="AP510" s="5" t="str">
        <f ca="1">IFERROR(__xludf.DUMMYFUNCTION("""COMPUTED_VALUE"""),"No")</f>
        <v>No</v>
      </c>
      <c r="AQ510" s="5" t="b">
        <f ca="1">IFERROR(__xludf.DUMMYFUNCTION("""COMPUTED_VALUE"""),TRUE)</f>
        <v>1</v>
      </c>
      <c r="AR510" s="5"/>
      <c r="AS510" s="5" t="str">
        <f ca="1">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AT510" s="5"/>
      <c r="AU510" s="5" t="str">
        <f ca="1">IFERROR(__xludf.DUMMYFUNCTION("""COMPUTED_VALUE"""),"Redstone")</f>
        <v>Redstone</v>
      </c>
      <c r="AV510" s="5"/>
      <c r="AW510" s="5"/>
      <c r="AX510" s="5"/>
      <c r="AY510" s="5"/>
      <c r="AZ510" s="5"/>
      <c r="BA510" s="5"/>
      <c r="BB510" s="5" t="b">
        <f ca="1">IFERROR(__xludf.DUMMYFUNCTION("""COMPUTED_VALUE"""),TRUE)</f>
        <v>1</v>
      </c>
      <c r="BC510" s="5" t="str">
        <f ca="1">IFERROR(__xludf.DUMMYFUNCTION("""COMPUTED_VALUE"""),"Redstone")</f>
        <v>Redstone</v>
      </c>
      <c r="BD510" s="7" t="str">
        <f ca="1">IFERROR(__xludf.DUMMYFUNCTION("""COMPUTED_VALUE"""),"https://static.redstone.rs/games/crown-drop/")</f>
        <v>https://static.redstone.rs/games/crown-drop/</v>
      </c>
      <c r="BE510" s="5" t="b">
        <f ca="1">IFERROR(__xludf.DUMMYFUNCTION("""COMPUTED_VALUE"""),TRUE)</f>
        <v>1</v>
      </c>
    </row>
    <row r="511" spans="1:57" x14ac:dyDescent="0.25">
      <c r="A511" s="5">
        <f ca="1">IFERROR(__xludf.DUMMYFUNCTION("""COMPUTED_VALUE"""),541)</f>
        <v>541</v>
      </c>
      <c r="B511" s="5">
        <f ca="1">IFERROR(__xludf.DUMMYFUNCTION("""COMPUTED_VALUE"""),180028)</f>
        <v>180028</v>
      </c>
      <c r="C511" s="5" t="str">
        <f ca="1">IFERROR(__xludf.DUMMYFUNCTION("""COMPUTED_VALUE"""),"Redstone")</f>
        <v>Redstone</v>
      </c>
      <c r="D511" s="5" t="str">
        <f ca="1">IFERROR(__xludf.DUMMYFUNCTION("""COMPUTED_VALUE"""),"5 Clover Fire 6 Reels")</f>
        <v>5 Clover Fire 6 Reels</v>
      </c>
      <c r="E511" s="5" t="str">
        <f ca="1">IFERROR(__xludf.DUMMYFUNCTION("""COMPUTED_VALUE"""),"Redstone")</f>
        <v>Redstone</v>
      </c>
      <c r="F511" s="5" t="str">
        <f ca="1">IFERROR(__xludf.DUMMYFUNCTION("""COMPUTED_VALUE"""),"Redstone5CloverFire6Reels")</f>
        <v>Redstone5CloverFire6Reels</v>
      </c>
      <c r="G511" s="5" t="str">
        <f ca="1">IFERROR(__xludf.DUMMYFUNCTION("""COMPUTED_VALUE"""),"Live")</f>
        <v>Live</v>
      </c>
      <c r="H511" s="5"/>
      <c r="I511" s="5" t="str">
        <f ca="1">IFERROR(__xludf.DUMMYFUNCTION("""COMPUTED_VALUE"""),"Redstone")</f>
        <v>Redstone</v>
      </c>
      <c r="J511" s="5" t="str">
        <f ca="1">IFERROR(__xludf.DUMMYFUNCTION("""COMPUTED_VALUE"""),"JSON")</f>
        <v>JSON</v>
      </c>
      <c r="K511" s="5" t="str">
        <f ca="1">IFERROR(__xludf.DUMMYFUNCTION("""COMPUTED_VALUE"""),"Slot")</f>
        <v>Slot</v>
      </c>
      <c r="L511" s="5" t="str">
        <f ca="1">IFERROR(__xludf.DUMMYFUNCTION("""COMPUTED_VALUE"""),"Master")</f>
        <v>Master</v>
      </c>
      <c r="M511" s="5"/>
      <c r="N511" s="7" t="str">
        <f ca="1">IFERROR(__xludf.DUMMYFUNCTION("""COMPUTED_VALUE"""),"https://drive.google.com/file/d/12E3WH7zMmakKE9xQtqyckajMvhnbC-Hr/view?usp=drive_link")</f>
        <v>https://drive.google.com/file/d/12E3WH7zMmakKE9xQtqyckajMvhnbC-Hr/view?usp=drive_link</v>
      </c>
      <c r="O511" s="7" t="str">
        <f ca="1">IFERROR(__xludf.DUMMYFUNCTION("""COMPUTED_VALUE"""),"https://drive.google.com/file/d/19ze_Zg77kWqTu22_FVM6AbHjo7vnCW-j/view?usp=drive_link")</f>
        <v>https://drive.google.com/file/d/19ze_Zg77kWqTu22_FVM6AbHjo7vnCW-j/view?usp=drive_link</v>
      </c>
      <c r="P511" s="14">
        <f ca="1">IFERROR(__xludf.DUMMYFUNCTION("""COMPUTED_VALUE"""),7.6)</f>
        <v>7.6</v>
      </c>
      <c r="Q511" s="5"/>
      <c r="R511" s="15">
        <f ca="1">IFERROR(__xludf.DUMMYFUNCTION("""COMPUTED_VALUE"""),45868)</f>
        <v>45868</v>
      </c>
      <c r="S511" s="15">
        <f ca="1">IFERROR(__xludf.DUMMYFUNCTION("""COMPUTED_VALUE"""),45875)</f>
        <v>45875</v>
      </c>
      <c r="T511" s="5" t="b">
        <f ca="1">IFERROR(__xludf.DUMMYFUNCTION("""COMPUTED_VALUE"""),TRUE)</f>
        <v>1</v>
      </c>
      <c r="U511" s="5" t="str">
        <f ca="1">IFERROR(__xludf.DUMMYFUNCTION("""COMPUTED_VALUE"""),"6x3")</f>
        <v>6x3</v>
      </c>
      <c r="V511" s="5">
        <f ca="1">IFERROR(__xludf.DUMMYFUNCTION("""COMPUTED_VALUE"""),5)</f>
        <v>5</v>
      </c>
      <c r="W511" s="5">
        <f ca="1">IFERROR(__xludf.DUMMYFUNCTION("""COMPUTED_VALUE"""),5)</f>
        <v>5</v>
      </c>
      <c r="X511" s="5">
        <f ca="1">IFERROR(__xludf.DUMMYFUNCTION("""COMPUTED_VALUE"""),95.95)</f>
        <v>95.95</v>
      </c>
      <c r="Y511" s="5" t="str">
        <f ca="1">IFERROR(__xludf.DUMMYFUNCTION("""COMPUTED_VALUE"""),"Medium")</f>
        <v>Medium</v>
      </c>
      <c r="Z511" s="5">
        <f ca="1">IFERROR(__xludf.DUMMYFUNCTION("""COMPUTED_VALUE"""),19.58)</f>
        <v>19.579999999999998</v>
      </c>
      <c r="AA511" s="5">
        <f ca="1">IFERROR(__xludf.DUMMYFUNCTION("""COMPUTED_VALUE"""),1245)</f>
        <v>1245</v>
      </c>
      <c r="AB511" s="5"/>
      <c r="AC511" s="5" t="str">
        <f ca="1">IFERROR(__xludf.DUMMYFUNCTION("""COMPUTED_VALUE"""),"Expanding Wild, Scatter")</f>
        <v>Expanding Wild, Scatter</v>
      </c>
      <c r="AD511" s="5" t="str">
        <f ca="1">IFERROR(__xludf.DUMMYFUNCTION("""COMPUTED_VALUE"""),"0.02/50")</f>
        <v>0.02/50</v>
      </c>
      <c r="AE511" s="5"/>
      <c r="AF511" s="5"/>
      <c r="AG511" s="10">
        <f ca="1">IFERROR(__xludf.DUMMYFUNCTION("""COMPUTED_VALUE"""),46157.5308912037)</f>
        <v>46157.5308912037</v>
      </c>
      <c r="AH511" s="5"/>
      <c r="AI511" s="5"/>
      <c r="AJ511" s="5"/>
      <c r="AK511" s="5">
        <f ca="1">IFERROR(__xludf.DUMMYFUNCTION("""COMPUTED_VALUE"""),1)</f>
        <v>1</v>
      </c>
      <c r="AL511" s="5" t="str">
        <f ca="1">IFERROR(__xludf.DUMMYFUNCTION("""COMPUTED_VALUE"""),"No")</f>
        <v>No</v>
      </c>
      <c r="AM511" s="5" t="str">
        <f ca="1">IFERROR(__xludf.DUMMYFUNCTION("""COMPUTED_VALUE"""),"No")</f>
        <v>No</v>
      </c>
      <c r="AN511" s="7" t="str">
        <f ca="1">IFERROR(__xludf.DUMMYFUNCTION("""COMPUTED_VALUE"""),"https://static.redstone.rs/games/5-clover-fire-6-reels/")</f>
        <v>https://static.redstone.rs/games/5-clover-fire-6-reels/</v>
      </c>
      <c r="AO511" s="5" t="str">
        <f ca="1">IFERROR(__xludf.DUMMYFUNCTION("""COMPUTED_VALUE"""),"No")</f>
        <v>No</v>
      </c>
      <c r="AP511" s="5" t="str">
        <f ca="1">IFERROR(__xludf.DUMMYFUNCTION("""COMPUTED_VALUE"""),"No")</f>
        <v>No</v>
      </c>
      <c r="AQ511" s="5" t="b">
        <f ca="1">IFERROR(__xludf.DUMMYFUNCTION("""COMPUTED_VALUE"""),TRUE)</f>
        <v>1</v>
      </c>
      <c r="AR511" s="5"/>
      <c r="AS511" s="5" t="str">
        <f ca="1">IFERROR(__xludf.DUMMYFUNCTION("""COMPUTED_VALUE"""),"More clovers, more fire, more ways to win! 5 Clover Fire 6 Reels delivers even more thrills on every spin.")</f>
        <v>More clovers, more fire, more ways to win! 5 Clover Fire 6 Reels delivers even more thrills on every spin.</v>
      </c>
      <c r="AT511" s="5"/>
      <c r="AU511" s="5" t="str">
        <f ca="1">IFERROR(__xludf.DUMMYFUNCTION("""COMPUTED_VALUE"""),"Redstone")</f>
        <v>Redstone</v>
      </c>
      <c r="AV511" s="5"/>
      <c r="AW511" s="5"/>
      <c r="AX511" s="5"/>
      <c r="AY511" s="5"/>
      <c r="AZ511" s="5"/>
      <c r="BA511" s="5"/>
      <c r="BB511" s="5" t="b">
        <f ca="1">IFERROR(__xludf.DUMMYFUNCTION("""COMPUTED_VALUE"""),TRUE)</f>
        <v>1</v>
      </c>
      <c r="BC511" s="5" t="str">
        <f ca="1">IFERROR(__xludf.DUMMYFUNCTION("""COMPUTED_VALUE"""),"Redstone")</f>
        <v>Redstone</v>
      </c>
      <c r="BD511" s="7" t="str">
        <f ca="1">IFERROR(__xludf.DUMMYFUNCTION("""COMPUTED_VALUE"""),"https://static.redstone.rs/games/5-clover-fire-6-reels/")</f>
        <v>https://static.redstone.rs/games/5-clover-fire-6-reels/</v>
      </c>
      <c r="BE511" s="5" t="b">
        <f ca="1">IFERROR(__xludf.DUMMYFUNCTION("""COMPUTED_VALUE"""),TRUE)</f>
        <v>1</v>
      </c>
    </row>
    <row r="512" spans="1:57" x14ac:dyDescent="0.25">
      <c r="A512" s="5">
        <f ca="1">IFERROR(__xludf.DUMMYFUNCTION("""COMPUTED_VALUE"""),542)</f>
        <v>542</v>
      </c>
      <c r="B512" s="5">
        <f ca="1">IFERROR(__xludf.DUMMYFUNCTION("""COMPUTED_VALUE"""),180029)</f>
        <v>180029</v>
      </c>
      <c r="C512" s="5" t="str">
        <f ca="1">IFERROR(__xludf.DUMMYFUNCTION("""COMPUTED_VALUE"""),"Redstone")</f>
        <v>Redstone</v>
      </c>
      <c r="D512" s="5" t="str">
        <f ca="1">IFERROR(__xludf.DUMMYFUNCTION("""COMPUTED_VALUE"""),"10 Extra Bank")</f>
        <v>10 Extra Bank</v>
      </c>
      <c r="E512" s="5" t="str">
        <f ca="1">IFERROR(__xludf.DUMMYFUNCTION("""COMPUTED_VALUE"""),"Redstone")</f>
        <v>Redstone</v>
      </c>
      <c r="F512" s="5" t="str">
        <f ca="1">IFERROR(__xludf.DUMMYFUNCTION("""COMPUTED_VALUE"""),"Redstone10ExtraBank")</f>
        <v>Redstone10ExtraBank</v>
      </c>
      <c r="G512" s="5" t="str">
        <f ca="1">IFERROR(__xludf.DUMMYFUNCTION("""COMPUTED_VALUE"""),"Live")</f>
        <v>Live</v>
      </c>
      <c r="H512" s="5"/>
      <c r="I512" s="5" t="str">
        <f ca="1">IFERROR(__xludf.DUMMYFUNCTION("""COMPUTED_VALUE"""),"Redstone")</f>
        <v>Redstone</v>
      </c>
      <c r="J512" s="5" t="str">
        <f ca="1">IFERROR(__xludf.DUMMYFUNCTION("""COMPUTED_VALUE"""),"JSON")</f>
        <v>JSON</v>
      </c>
      <c r="K512" s="5" t="str">
        <f ca="1">IFERROR(__xludf.DUMMYFUNCTION("""COMPUTED_VALUE"""),"Slot")</f>
        <v>Slot</v>
      </c>
      <c r="L512" s="5" t="str">
        <f ca="1">IFERROR(__xludf.DUMMYFUNCTION("""COMPUTED_VALUE"""),"Master")</f>
        <v>Master</v>
      </c>
      <c r="M512" s="5"/>
      <c r="N512" s="7" t="str">
        <f ca="1">IFERROR(__xludf.DUMMYFUNCTION("""COMPUTED_VALUE"""),"https://drive.google.com/file/d/1VacTNVGL_aAgcRqDK1PiGT2sJWAclThw/view?usp=drive_link")</f>
        <v>https://drive.google.com/file/d/1VacTNVGL_aAgcRqDK1PiGT2sJWAclThw/view?usp=drive_link</v>
      </c>
      <c r="O512" s="7" t="str">
        <f ca="1">IFERROR(__xludf.DUMMYFUNCTION("""COMPUTED_VALUE"""),"https://drive.google.com/file/d/1o6AJewj4icCYI4peF3C-aGmSVPa12E4c/view?usp=drive_link")</f>
        <v>https://drive.google.com/file/d/1o6AJewj4icCYI4peF3C-aGmSVPa12E4c/view?usp=drive_link</v>
      </c>
      <c r="P512" s="14">
        <f ca="1">IFERROR(__xludf.DUMMYFUNCTION("""COMPUTED_VALUE"""),6.3)</f>
        <v>6.3</v>
      </c>
      <c r="Q512" s="5"/>
      <c r="R512" s="15">
        <f ca="1">IFERROR(__xludf.DUMMYFUNCTION("""COMPUTED_VALUE"""),45873)</f>
        <v>45873</v>
      </c>
      <c r="S512" s="15">
        <f ca="1">IFERROR(__xludf.DUMMYFUNCTION("""COMPUTED_VALUE"""),45880)</f>
        <v>45880</v>
      </c>
      <c r="T512" s="5" t="b">
        <f ca="1">IFERROR(__xludf.DUMMYFUNCTION("""COMPUTED_VALUE"""),TRUE)</f>
        <v>1</v>
      </c>
      <c r="U512" s="5" t="str">
        <f ca="1">IFERROR(__xludf.DUMMYFUNCTION("""COMPUTED_VALUE"""),"5x3")</f>
        <v>5x3</v>
      </c>
      <c r="V512" s="5">
        <f ca="1">IFERROR(__xludf.DUMMYFUNCTION("""COMPUTED_VALUE"""),10)</f>
        <v>10</v>
      </c>
      <c r="W512" s="5">
        <f ca="1">IFERROR(__xludf.DUMMYFUNCTION("""COMPUTED_VALUE"""),10)</f>
        <v>10</v>
      </c>
      <c r="X512" s="5">
        <f ca="1">IFERROR(__xludf.DUMMYFUNCTION("""COMPUTED_VALUE"""),96.25)</f>
        <v>96.25</v>
      </c>
      <c r="Y512" s="5" t="str">
        <f ca="1">IFERROR(__xludf.DUMMYFUNCTION("""COMPUTED_VALUE"""),"High")</f>
        <v>High</v>
      </c>
      <c r="Z512" s="5">
        <f ca="1">IFERROR(__xludf.DUMMYFUNCTION("""COMPUTED_VALUE"""),14.44)</f>
        <v>14.44</v>
      </c>
      <c r="AA512" s="5">
        <f ca="1">IFERROR(__xludf.DUMMYFUNCTION("""COMPUTED_VALUE"""),17500)</f>
        <v>17500</v>
      </c>
      <c r="AB512" s="5"/>
      <c r="AC512" s="5" t="str">
        <f ca="1">IFERROR(__xludf.DUMMYFUNCTION("""COMPUTED_VALUE"""),"Scatter, Wild Symbol, Win Multiplier")</f>
        <v>Scatter, Wild Symbol, Win Multiplier</v>
      </c>
      <c r="AD512" s="5" t="str">
        <f ca="1">IFERROR(__xludf.DUMMYFUNCTION("""COMPUTED_VALUE"""),"0.01/50")</f>
        <v>0.01/50</v>
      </c>
      <c r="AE512" s="5"/>
      <c r="AF512" s="5"/>
      <c r="AG512" s="10">
        <f ca="1">IFERROR(__xludf.DUMMYFUNCTION("""COMPUTED_VALUE"""),46157.5309143518)</f>
        <v>46157.530914351802</v>
      </c>
      <c r="AH512" s="5"/>
      <c r="AI512" s="5"/>
      <c r="AJ512" s="5"/>
      <c r="AK512" s="5">
        <f ca="1">IFERROR(__xludf.DUMMYFUNCTION("""COMPUTED_VALUE"""),1)</f>
        <v>1</v>
      </c>
      <c r="AL512" s="5" t="str">
        <f ca="1">IFERROR(__xludf.DUMMYFUNCTION("""COMPUTED_VALUE"""),"No")</f>
        <v>No</v>
      </c>
      <c r="AM512" s="5" t="str">
        <f ca="1">IFERROR(__xludf.DUMMYFUNCTION("""COMPUTED_VALUE"""),"No")</f>
        <v>No</v>
      </c>
      <c r="AN512" s="7" t="str">
        <f ca="1">IFERROR(__xludf.DUMMYFUNCTION("""COMPUTED_VALUE"""),"https://static.redstone.rs/games/10-extra-bank/")</f>
        <v>https://static.redstone.rs/games/10-extra-bank/</v>
      </c>
      <c r="AO512" s="5" t="str">
        <f ca="1">IFERROR(__xludf.DUMMYFUNCTION("""COMPUTED_VALUE"""),"No")</f>
        <v>No</v>
      </c>
      <c r="AP512" s="5" t="str">
        <f ca="1">IFERROR(__xludf.DUMMYFUNCTION("""COMPUTED_VALUE"""),"No")</f>
        <v>No</v>
      </c>
      <c r="AQ512" s="5" t="b">
        <f ca="1">IFERROR(__xludf.DUMMYFUNCTION("""COMPUTED_VALUE"""),TRUE)</f>
        <v>1</v>
      </c>
      <c r="AR512" s="5"/>
      <c r="AS512" s="5" t="str">
        <f ca="1">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AT512" s="5"/>
      <c r="AU512" s="5" t="str">
        <f ca="1">IFERROR(__xludf.DUMMYFUNCTION("""COMPUTED_VALUE"""),"Redstone")</f>
        <v>Redstone</v>
      </c>
      <c r="AV512" s="5"/>
      <c r="AW512" s="5"/>
      <c r="AX512" s="5"/>
      <c r="AY512" s="5"/>
      <c r="AZ512" s="5"/>
      <c r="BA512" s="5"/>
      <c r="BB512" s="5" t="b">
        <f ca="1">IFERROR(__xludf.DUMMYFUNCTION("""COMPUTED_VALUE"""),TRUE)</f>
        <v>1</v>
      </c>
      <c r="BC512" s="5" t="str">
        <f ca="1">IFERROR(__xludf.DUMMYFUNCTION("""COMPUTED_VALUE"""),"Redstone")</f>
        <v>Redstone</v>
      </c>
      <c r="BD512" s="7" t="str">
        <f ca="1">IFERROR(__xludf.DUMMYFUNCTION("""COMPUTED_VALUE"""),"https://static.redstone.rs/games/10-extra-bank/")</f>
        <v>https://static.redstone.rs/games/10-extra-bank/</v>
      </c>
      <c r="BE512" s="5" t="b">
        <f ca="1">IFERROR(__xludf.DUMMYFUNCTION("""COMPUTED_VALUE"""),TRUE)</f>
        <v>1</v>
      </c>
    </row>
    <row r="513" spans="1:57" x14ac:dyDescent="0.25">
      <c r="A513" s="5">
        <f ca="1">IFERROR(__xludf.DUMMYFUNCTION("""COMPUTED_VALUE"""),543)</f>
        <v>543</v>
      </c>
      <c r="B513" s="5">
        <f ca="1">IFERROR(__xludf.DUMMYFUNCTION("""COMPUTED_VALUE"""),180030)</f>
        <v>180030</v>
      </c>
      <c r="C513" s="5" t="str">
        <f ca="1">IFERROR(__xludf.DUMMYFUNCTION("""COMPUTED_VALUE"""),"Redstone")</f>
        <v>Redstone</v>
      </c>
      <c r="D513" s="5" t="str">
        <f ca="1">IFERROR(__xludf.DUMMYFUNCTION("""COMPUTED_VALUE"""),"Sevens Heaven")</f>
        <v>Sevens Heaven</v>
      </c>
      <c r="E513" s="5" t="str">
        <f ca="1">IFERROR(__xludf.DUMMYFUNCTION("""COMPUTED_VALUE"""),"Redstone")</f>
        <v>Redstone</v>
      </c>
      <c r="F513" s="5" t="str">
        <f ca="1">IFERROR(__xludf.DUMMYFUNCTION("""COMPUTED_VALUE"""),"RedstoneSevensHeaven")</f>
        <v>RedstoneSevensHeaven</v>
      </c>
      <c r="G513" s="5" t="str">
        <f ca="1">IFERROR(__xludf.DUMMYFUNCTION("""COMPUTED_VALUE"""),"Live")</f>
        <v>Live</v>
      </c>
      <c r="H513" s="5"/>
      <c r="I513" s="5" t="str">
        <f ca="1">IFERROR(__xludf.DUMMYFUNCTION("""COMPUTED_VALUE"""),"Redstone")</f>
        <v>Redstone</v>
      </c>
      <c r="J513" s="5" t="str">
        <f ca="1">IFERROR(__xludf.DUMMYFUNCTION("""COMPUTED_VALUE"""),"JSON")</f>
        <v>JSON</v>
      </c>
      <c r="K513" s="5" t="str">
        <f ca="1">IFERROR(__xludf.DUMMYFUNCTION("""COMPUTED_VALUE"""),"Slot")</f>
        <v>Slot</v>
      </c>
      <c r="L513" s="5" t="str">
        <f ca="1">IFERROR(__xludf.DUMMYFUNCTION("""COMPUTED_VALUE"""),"Master")</f>
        <v>Master</v>
      </c>
      <c r="M513" s="5"/>
      <c r="N513" s="7" t="str">
        <f ca="1">IFERROR(__xludf.DUMMYFUNCTION("""COMPUTED_VALUE"""),"https://drive.google.com/file/d/1Lm3CxFfwVfVgcvTRH5RvbJ6oclwLuqtI/view?usp=drive_link")</f>
        <v>https://drive.google.com/file/d/1Lm3CxFfwVfVgcvTRH5RvbJ6oclwLuqtI/view?usp=drive_link</v>
      </c>
      <c r="O513" s="7" t="str">
        <f ca="1">IFERROR(__xludf.DUMMYFUNCTION("""COMPUTED_VALUE"""),"https://drive.google.com/file/d/1PNTSXbNOv7IUVWEaPyuY1S9I2kNKYxok/view?usp=drive_link")</f>
        <v>https://drive.google.com/file/d/1PNTSXbNOv7IUVWEaPyuY1S9I2kNKYxok/view?usp=drive_link</v>
      </c>
      <c r="P513" s="14">
        <f ca="1">IFERROR(__xludf.DUMMYFUNCTION("""COMPUTED_VALUE"""),9.3)</f>
        <v>9.3000000000000007</v>
      </c>
      <c r="Q513" s="5"/>
      <c r="R513" s="15">
        <f ca="1">IFERROR(__xludf.DUMMYFUNCTION("""COMPUTED_VALUE"""),45882)</f>
        <v>45882</v>
      </c>
      <c r="S513" s="15">
        <f ca="1">IFERROR(__xludf.DUMMYFUNCTION("""COMPUTED_VALUE"""),45889)</f>
        <v>45889</v>
      </c>
      <c r="T513" s="5" t="b">
        <f ca="1">IFERROR(__xludf.DUMMYFUNCTION("""COMPUTED_VALUE"""),TRUE)</f>
        <v>1</v>
      </c>
      <c r="U513" s="5"/>
      <c r="V513" s="5">
        <f ca="1">IFERROR(__xludf.DUMMYFUNCTION("""COMPUTED_VALUE"""),5)</f>
        <v>5</v>
      </c>
      <c r="W513" s="5">
        <f ca="1">IFERROR(__xludf.DUMMYFUNCTION("""COMPUTED_VALUE"""),5)</f>
        <v>5</v>
      </c>
      <c r="X513" s="5">
        <f ca="1">IFERROR(__xludf.DUMMYFUNCTION("""COMPUTED_VALUE"""),95.99)</f>
        <v>95.99</v>
      </c>
      <c r="Y513" s="5" t="str">
        <f ca="1">IFERROR(__xludf.DUMMYFUNCTION("""COMPUTED_VALUE"""),"Medium")</f>
        <v>Medium</v>
      </c>
      <c r="Z513" s="5">
        <f ca="1">IFERROR(__xludf.DUMMYFUNCTION("""COMPUTED_VALUE"""),8.61)</f>
        <v>8.61</v>
      </c>
      <c r="AA513" s="5">
        <f ca="1">IFERROR(__xludf.DUMMYFUNCTION("""COMPUTED_VALUE"""),1202)</f>
        <v>1202</v>
      </c>
      <c r="AB513" s="5"/>
      <c r="AC513" s="5" t="str">
        <f ca="1">IFERROR(__xludf.DUMMYFUNCTION("""COMPUTED_VALUE"""),"Bonus Game with Free Spins, Buy Bonus, Wild Symbol, Special Wild")</f>
        <v>Bonus Game with Free Spins, Buy Bonus, Wild Symbol, Special Wild</v>
      </c>
      <c r="AD513" s="5" t="str">
        <f ca="1">IFERROR(__xludf.DUMMYFUNCTION("""COMPUTED_VALUE"""),"0.01/50")</f>
        <v>0.01/50</v>
      </c>
      <c r="AE513" s="5"/>
      <c r="AF513" s="5"/>
      <c r="AG513" s="10">
        <f ca="1">IFERROR(__xludf.DUMMYFUNCTION("""COMPUTED_VALUE"""),46157.5311226851)</f>
        <v>46157.531122685097</v>
      </c>
      <c r="AH513" s="5"/>
      <c r="AI513" s="5"/>
      <c r="AJ513" s="5"/>
      <c r="AK513" s="5">
        <f ca="1">IFERROR(__xludf.DUMMYFUNCTION("""COMPUTED_VALUE"""),1)</f>
        <v>1</v>
      </c>
      <c r="AL513" s="5" t="str">
        <f ca="1">IFERROR(__xludf.DUMMYFUNCTION("""COMPUTED_VALUE"""),"No")</f>
        <v>No</v>
      </c>
      <c r="AM513" s="5" t="str">
        <f ca="1">IFERROR(__xludf.DUMMYFUNCTION("""COMPUTED_VALUE"""),"No")</f>
        <v>No</v>
      </c>
      <c r="AN513" s="7" t="str">
        <f ca="1">IFERROR(__xludf.DUMMYFUNCTION("""COMPUTED_VALUE"""),"https://static.redstone.rs/games/sevens-heaven/")</f>
        <v>https://static.redstone.rs/games/sevens-heaven/</v>
      </c>
      <c r="AO513" s="5" t="str">
        <f ca="1">IFERROR(__xludf.DUMMYFUNCTION("""COMPUTED_VALUE"""),"No")</f>
        <v>No</v>
      </c>
      <c r="AP513" s="5" t="str">
        <f ca="1">IFERROR(__xludf.DUMMYFUNCTION("""COMPUTED_VALUE"""),"No")</f>
        <v>No</v>
      </c>
      <c r="AQ513" s="5" t="b">
        <f ca="1">IFERROR(__xludf.DUMMYFUNCTION("""COMPUTED_VALUE"""),TRUE)</f>
        <v>1</v>
      </c>
      <c r="AR513" s="5"/>
      <c r="AS513" s="5" t="str">
        <f ca="1">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AT513" s="5"/>
      <c r="AU513" s="5" t="str">
        <f ca="1">IFERROR(__xludf.DUMMYFUNCTION("""COMPUTED_VALUE"""),"Redstone")</f>
        <v>Redstone</v>
      </c>
      <c r="AV513" s="5"/>
      <c r="AW513" s="5"/>
      <c r="AX513" s="5"/>
      <c r="AY513" s="5"/>
      <c r="AZ513" s="5"/>
      <c r="BA513" s="5"/>
      <c r="BB513" s="5" t="b">
        <f ca="1">IFERROR(__xludf.DUMMYFUNCTION("""COMPUTED_VALUE"""),TRUE)</f>
        <v>1</v>
      </c>
      <c r="BC513" s="5" t="str">
        <f ca="1">IFERROR(__xludf.DUMMYFUNCTION("""COMPUTED_VALUE"""),"Redstone")</f>
        <v>Redstone</v>
      </c>
      <c r="BD513" s="7" t="str">
        <f ca="1">IFERROR(__xludf.DUMMYFUNCTION("""COMPUTED_VALUE"""),"https://static.redstone.rs/games/sevens-heaven/")</f>
        <v>https://static.redstone.rs/games/sevens-heaven/</v>
      </c>
      <c r="BE513" s="5" t="b">
        <f ca="1">IFERROR(__xludf.DUMMYFUNCTION("""COMPUTED_VALUE"""),TRUE)</f>
        <v>1</v>
      </c>
    </row>
    <row r="514" spans="1:57" x14ac:dyDescent="0.25">
      <c r="A514" s="5">
        <f ca="1">IFERROR(__xludf.DUMMYFUNCTION("""COMPUTED_VALUE"""),544)</f>
        <v>544</v>
      </c>
      <c r="B514" s="5">
        <f ca="1">IFERROR(__xludf.DUMMYFUNCTION("""COMPUTED_VALUE"""),180032)</f>
        <v>180032</v>
      </c>
      <c r="C514" s="5" t="str">
        <f ca="1">IFERROR(__xludf.DUMMYFUNCTION("""COMPUTED_VALUE"""),"Redstone")</f>
        <v>Redstone</v>
      </c>
      <c r="D514" s="5" t="str">
        <f ca="1">IFERROR(__xludf.DUMMYFUNCTION("""COMPUTED_VALUE"""),"777: Extra Chance")</f>
        <v>777: Extra Chance</v>
      </c>
      <c r="E514" s="5" t="str">
        <f ca="1">IFERROR(__xludf.DUMMYFUNCTION("""COMPUTED_VALUE"""),"Redstone")</f>
        <v>Redstone</v>
      </c>
      <c r="F514" s="5" t="str">
        <f ca="1">IFERROR(__xludf.DUMMYFUNCTION("""COMPUTED_VALUE"""),"Redstone777ExtraChance")</f>
        <v>Redstone777ExtraChance</v>
      </c>
      <c r="G514" s="5" t="str">
        <f ca="1">IFERROR(__xludf.DUMMYFUNCTION("""COMPUTED_VALUE"""),"Live")</f>
        <v>Live</v>
      </c>
      <c r="H514" s="5"/>
      <c r="I514" s="5" t="str">
        <f ca="1">IFERROR(__xludf.DUMMYFUNCTION("""COMPUTED_VALUE"""),"Redstone")</f>
        <v>Redstone</v>
      </c>
      <c r="J514" s="5" t="str">
        <f ca="1">IFERROR(__xludf.DUMMYFUNCTION("""COMPUTED_VALUE"""),"JSON")</f>
        <v>JSON</v>
      </c>
      <c r="K514" s="5" t="str">
        <f ca="1">IFERROR(__xludf.DUMMYFUNCTION("""COMPUTED_VALUE"""),"Slot")</f>
        <v>Slot</v>
      </c>
      <c r="L514" s="5" t="str">
        <f ca="1">IFERROR(__xludf.DUMMYFUNCTION("""COMPUTED_VALUE"""),"Master")</f>
        <v>Master</v>
      </c>
      <c r="M514" s="5"/>
      <c r="N514" s="7" t="str">
        <f ca="1">IFERROR(__xludf.DUMMYFUNCTION("""COMPUTED_VALUE"""),"https://drive.google.com/file/d/14aIlIqcZg1Skq3bwzv1xwbhfZKAM3Afg/view?usp=drive_link")</f>
        <v>https://drive.google.com/file/d/14aIlIqcZg1Skq3bwzv1xwbhfZKAM3Afg/view?usp=drive_link</v>
      </c>
      <c r="O514" s="7" t="str">
        <f ca="1">IFERROR(__xludf.DUMMYFUNCTION("""COMPUTED_VALUE"""),"https://drive.google.com/file/d/1yBoSRTbPDKFVw5zsHcyLBdPtQIqkS0QY/view?usp=drive_link")</f>
        <v>https://drive.google.com/file/d/1yBoSRTbPDKFVw5zsHcyLBdPtQIqkS0QY/view?usp=drive_link</v>
      </c>
      <c r="P514" s="14">
        <f ca="1">IFERROR(__xludf.DUMMYFUNCTION("""COMPUTED_VALUE"""),10)</f>
        <v>10</v>
      </c>
      <c r="Q514" s="5"/>
      <c r="R514" s="15">
        <f ca="1">IFERROR(__xludf.DUMMYFUNCTION("""COMPUTED_VALUE"""),45888)</f>
        <v>45888</v>
      </c>
      <c r="S514" s="15">
        <f ca="1">IFERROR(__xludf.DUMMYFUNCTION("""COMPUTED_VALUE"""),45895)</f>
        <v>45895</v>
      </c>
      <c r="T514" s="5" t="b">
        <f ca="1">IFERROR(__xludf.DUMMYFUNCTION("""COMPUTED_VALUE"""),TRUE)</f>
        <v>1</v>
      </c>
      <c r="U514" s="5" t="str">
        <f ca="1">IFERROR(__xludf.DUMMYFUNCTION("""COMPUTED_VALUE"""),"5x3")</f>
        <v>5x3</v>
      </c>
      <c r="V514" s="5">
        <f ca="1">IFERROR(__xludf.DUMMYFUNCTION("""COMPUTED_VALUE"""),5)</f>
        <v>5</v>
      </c>
      <c r="W514" s="5">
        <f ca="1">IFERROR(__xludf.DUMMYFUNCTION("""COMPUTED_VALUE"""),5)</f>
        <v>5</v>
      </c>
      <c r="X514" s="5">
        <f ca="1">IFERROR(__xludf.DUMMYFUNCTION("""COMPUTED_VALUE"""),96)</f>
        <v>96</v>
      </c>
      <c r="Y514" s="5" t="str">
        <f ca="1">IFERROR(__xludf.DUMMYFUNCTION("""COMPUTED_VALUE"""),"Medium")</f>
        <v>Medium</v>
      </c>
      <c r="Z514" s="5">
        <f ca="1">IFERROR(__xludf.DUMMYFUNCTION("""COMPUTED_VALUE"""),9.07)</f>
        <v>9.07</v>
      </c>
      <c r="AA514" s="5">
        <f ca="1">IFERROR(__xludf.DUMMYFUNCTION("""COMPUTED_VALUE"""),1000)</f>
        <v>1000</v>
      </c>
      <c r="AB514" s="5"/>
      <c r="AC514" s="5" t="str">
        <f ca="1">IFERROR(__xludf.DUMMYFUNCTION("""COMPUTED_VALUE"""),"Respin")</f>
        <v>Respin</v>
      </c>
      <c r="AD514" s="5" t="str">
        <f ca="1">IFERROR(__xludf.DUMMYFUNCTION("""COMPUTED_VALUE"""),"0.01/50")</f>
        <v>0.01/50</v>
      </c>
      <c r="AE514" s="5"/>
      <c r="AF514" s="5"/>
      <c r="AG514" s="10">
        <f ca="1">IFERROR(__xludf.DUMMYFUNCTION("""COMPUTED_VALUE"""),46157.5525347222)</f>
        <v>46157.552534722199</v>
      </c>
      <c r="AH514" s="5"/>
      <c r="AI514" s="5"/>
      <c r="AJ514" s="5"/>
      <c r="AK514" s="5">
        <f ca="1">IFERROR(__xludf.DUMMYFUNCTION("""COMPUTED_VALUE"""),1)</f>
        <v>1</v>
      </c>
      <c r="AL514" s="5" t="str">
        <f ca="1">IFERROR(__xludf.DUMMYFUNCTION("""COMPUTED_VALUE"""),"No")</f>
        <v>No</v>
      </c>
      <c r="AM514" s="5" t="str">
        <f ca="1">IFERROR(__xludf.DUMMYFUNCTION("""COMPUTED_VALUE"""),"Yes")</f>
        <v>Yes</v>
      </c>
      <c r="AN514" s="7" t="str">
        <f ca="1">IFERROR(__xludf.DUMMYFUNCTION("""COMPUTED_VALUE"""),"https://static.redstone.rs/games/777-extra-chance/")</f>
        <v>https://static.redstone.rs/games/777-extra-chance/</v>
      </c>
      <c r="AO514" s="5" t="str">
        <f ca="1">IFERROR(__xludf.DUMMYFUNCTION("""COMPUTED_VALUE"""),"No")</f>
        <v>No</v>
      </c>
      <c r="AP514" s="5" t="str">
        <f ca="1">IFERROR(__xludf.DUMMYFUNCTION("""COMPUTED_VALUE"""),"No")</f>
        <v>No</v>
      </c>
      <c r="AQ514" s="5" t="b">
        <f ca="1">IFERROR(__xludf.DUMMYFUNCTION("""COMPUTED_VALUE"""),TRUE)</f>
        <v>1</v>
      </c>
      <c r="AR514" s="5"/>
      <c r="AS514" s="5" t="str">
        <f ca="1">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AT514" s="5"/>
      <c r="AU514" s="5" t="str">
        <f ca="1">IFERROR(__xludf.DUMMYFUNCTION("""COMPUTED_VALUE"""),"Redstone")</f>
        <v>Redstone</v>
      </c>
      <c r="AV514" s="5"/>
      <c r="AW514" s="5"/>
      <c r="AX514" s="5"/>
      <c r="AY514" s="5"/>
      <c r="AZ514" s="5"/>
      <c r="BA514" s="5"/>
      <c r="BB514" s="5" t="b">
        <f ca="1">IFERROR(__xludf.DUMMYFUNCTION("""COMPUTED_VALUE"""),TRUE)</f>
        <v>1</v>
      </c>
      <c r="BC514" s="5" t="str">
        <f ca="1">IFERROR(__xludf.DUMMYFUNCTION("""COMPUTED_VALUE"""),"Redstone")</f>
        <v>Redstone</v>
      </c>
      <c r="BD514" s="7" t="str">
        <f ca="1">IFERROR(__xludf.DUMMYFUNCTION("""COMPUTED_VALUE"""),"https://static.redstone.rs/games/777-extra-chance/")</f>
        <v>https://static.redstone.rs/games/777-extra-chance/</v>
      </c>
      <c r="BE514" s="5" t="b">
        <f ca="1">IFERROR(__xludf.DUMMYFUNCTION("""COMPUTED_VALUE"""),TRUE)</f>
        <v>1</v>
      </c>
    </row>
    <row r="515" spans="1:57" x14ac:dyDescent="0.25">
      <c r="A515" s="5">
        <f ca="1">IFERROR(__xludf.DUMMYFUNCTION("""COMPUTED_VALUE"""),546)</f>
        <v>546</v>
      </c>
      <c r="B515" s="5">
        <f ca="1">IFERROR(__xludf.DUMMYFUNCTION("""COMPUTED_VALUE"""),180035)</f>
        <v>180035</v>
      </c>
      <c r="C515" s="5" t="str">
        <f ca="1">IFERROR(__xludf.DUMMYFUNCTION("""COMPUTED_VALUE"""),"Redstone")</f>
        <v>Redstone</v>
      </c>
      <c r="D515" s="5" t="str">
        <f ca="1">IFERROR(__xludf.DUMMYFUNCTION("""COMPUTED_VALUE"""),"81 Respin Fire")</f>
        <v>81 Respin Fire</v>
      </c>
      <c r="E515" s="5" t="str">
        <f ca="1">IFERROR(__xludf.DUMMYFUNCTION("""COMPUTED_VALUE"""),"Redstone")</f>
        <v>Redstone</v>
      </c>
      <c r="F515" s="5" t="str">
        <f ca="1">IFERROR(__xludf.DUMMYFUNCTION("""COMPUTED_VALUE"""),"Redstone81RespinFire")</f>
        <v>Redstone81RespinFire</v>
      </c>
      <c r="G515" s="5" t="str">
        <f ca="1">IFERROR(__xludf.DUMMYFUNCTION("""COMPUTED_VALUE"""),"Planned")</f>
        <v>Planned</v>
      </c>
      <c r="H515" s="5"/>
      <c r="I515" s="5" t="str">
        <f ca="1">IFERROR(__xludf.DUMMYFUNCTION("""COMPUTED_VALUE"""),"Redstone")</f>
        <v>Redstone</v>
      </c>
      <c r="J515" s="5" t="str">
        <f ca="1">IFERROR(__xludf.DUMMYFUNCTION("""COMPUTED_VALUE"""),"JSON")</f>
        <v>JSON</v>
      </c>
      <c r="K515" s="5" t="str">
        <f ca="1">IFERROR(__xludf.DUMMYFUNCTION("""COMPUTED_VALUE"""),"Slot")</f>
        <v>Slot</v>
      </c>
      <c r="L515" s="5"/>
      <c r="M515" s="5"/>
      <c r="N515" s="5"/>
      <c r="O515" s="5"/>
      <c r="P515" s="5"/>
      <c r="Q515" s="5"/>
      <c r="R515" s="5"/>
      <c r="S515" s="5"/>
      <c r="T515" s="5" t="b">
        <f ca="1">IFERROR(__xludf.DUMMYFUNCTION("""COMPUTED_VALUE"""),FALSE)</f>
        <v>0</v>
      </c>
      <c r="U515" s="5"/>
      <c r="V515" s="5"/>
      <c r="W515" s="5"/>
      <c r="X515" s="5"/>
      <c r="Y515" s="5"/>
      <c r="Z515" s="5"/>
      <c r="AA515" s="5"/>
      <c r="AB515" s="5"/>
      <c r="AC515" s="5"/>
      <c r="AD515" s="5"/>
      <c r="AE515" s="5"/>
      <c r="AF515" s="5"/>
      <c r="AG515" s="10">
        <f ca="1">IFERROR(__xludf.DUMMYFUNCTION("""COMPUTED_VALUE"""),45859.4833912037)</f>
        <v>45859.483391203699</v>
      </c>
      <c r="AH515" s="5" t="str">
        <f ca="1">IFERROR(__xludf.DUMMYFUNCTION("""COMPUTED_VALUE"""),"iva.cirkovic@fazi.rs")</f>
        <v>iva.cirkovic@fazi.rs</v>
      </c>
      <c r="AI515" s="5"/>
      <c r="AJ515" s="5"/>
      <c r="AK515" s="5"/>
      <c r="AL515" s="5"/>
      <c r="AM515" s="5"/>
      <c r="AN515" s="5"/>
      <c r="AO515" s="5"/>
      <c r="AP515" s="5"/>
      <c r="AQ515" s="5"/>
      <c r="AR515" s="5"/>
      <c r="AS515" s="5"/>
      <c r="AT515" s="5"/>
      <c r="AU515" s="5"/>
      <c r="AV515" s="5"/>
      <c r="AW515" s="5"/>
      <c r="AX515" s="5"/>
      <c r="AY515" s="5"/>
      <c r="AZ515" s="5"/>
      <c r="BA515" s="5" t="str">
        <f ca="1">IFERROR(__xludf.DUMMYFUNCTION("""COMPUTED_VALUE"""),"")</f>
        <v/>
      </c>
      <c r="BB515" s="5"/>
      <c r="BC515" s="5" t="str">
        <f ca="1">IFERROR(__xludf.DUMMYFUNCTION("""COMPUTED_VALUE"""),"Redstone")</f>
        <v>Redstone</v>
      </c>
      <c r="BD515" s="5"/>
      <c r="BE515" s="5"/>
    </row>
    <row r="516" spans="1:57" x14ac:dyDescent="0.25">
      <c r="A516" s="5">
        <f ca="1">IFERROR(__xludf.DUMMYFUNCTION("""COMPUTED_VALUE"""),547)</f>
        <v>547</v>
      </c>
      <c r="B516" s="5">
        <f ca="1">IFERROR(__xludf.DUMMYFUNCTION("""COMPUTED_VALUE"""),180036)</f>
        <v>180036</v>
      </c>
      <c r="C516" s="5" t="str">
        <f ca="1">IFERROR(__xludf.DUMMYFUNCTION("""COMPUTED_VALUE"""),"Redstone")</f>
        <v>Redstone</v>
      </c>
      <c r="D516" s="5" t="str">
        <f ca="1">IFERROR(__xludf.DUMMYFUNCTION("""COMPUTED_VALUE"""),"Hang That Witch")</f>
        <v>Hang That Witch</v>
      </c>
      <c r="E516" s="5" t="str">
        <f ca="1">IFERROR(__xludf.DUMMYFUNCTION("""COMPUTED_VALUE"""),"Redstone")</f>
        <v>Redstone</v>
      </c>
      <c r="F516" s="5" t="str">
        <f ca="1">IFERROR(__xludf.DUMMYFUNCTION("""COMPUTED_VALUE"""),"RedstoneHangThatWitch")</f>
        <v>RedstoneHangThatWitch</v>
      </c>
      <c r="G516" s="5" t="str">
        <f ca="1">IFERROR(__xludf.DUMMYFUNCTION("""COMPUTED_VALUE"""),"Planned")</f>
        <v>Planned</v>
      </c>
      <c r="H516" s="5"/>
      <c r="I516" s="5" t="str">
        <f ca="1">IFERROR(__xludf.DUMMYFUNCTION("""COMPUTED_VALUE"""),"Redstone")</f>
        <v>Redstone</v>
      </c>
      <c r="J516" s="5" t="str">
        <f ca="1">IFERROR(__xludf.DUMMYFUNCTION("""COMPUTED_VALUE"""),"JSON")</f>
        <v>JSON</v>
      </c>
      <c r="K516" s="5" t="str">
        <f ca="1">IFERROR(__xludf.DUMMYFUNCTION("""COMPUTED_VALUE"""),"Slot")</f>
        <v>Slot</v>
      </c>
      <c r="L516" s="5"/>
      <c r="M516" s="5"/>
      <c r="N516" s="5"/>
      <c r="O516" s="5"/>
      <c r="P516" s="5"/>
      <c r="Q516" s="5"/>
      <c r="R516" s="5"/>
      <c r="S516" s="5"/>
      <c r="T516" s="5" t="b">
        <f ca="1">IFERROR(__xludf.DUMMYFUNCTION("""COMPUTED_VALUE"""),FALSE)</f>
        <v>0</v>
      </c>
      <c r="U516" s="5"/>
      <c r="V516" s="5"/>
      <c r="W516" s="5"/>
      <c r="X516" s="5"/>
      <c r="Y516" s="5"/>
      <c r="Z516" s="5"/>
      <c r="AA516" s="5"/>
      <c r="AB516" s="5"/>
      <c r="AC516" s="5"/>
      <c r="AD516" s="5"/>
      <c r="AE516" s="5"/>
      <c r="AF516" s="5"/>
      <c r="AG516" s="10">
        <f ca="1">IFERROR(__xludf.DUMMYFUNCTION("""COMPUTED_VALUE"""),45859.4838541666)</f>
        <v>45859.483854166603</v>
      </c>
      <c r="AH516" s="5" t="str">
        <f ca="1">IFERROR(__xludf.DUMMYFUNCTION("""COMPUTED_VALUE"""),"iva.cirkovic@fazi.rs")</f>
        <v>iva.cirkovic@fazi.rs</v>
      </c>
      <c r="AI516" s="5"/>
      <c r="AJ516" s="5"/>
      <c r="AK516" s="5"/>
      <c r="AL516" s="5"/>
      <c r="AM516" s="5"/>
      <c r="AN516" s="5"/>
      <c r="AO516" s="5"/>
      <c r="AP516" s="5"/>
      <c r="AQ516" s="5"/>
      <c r="AR516" s="5"/>
      <c r="AS516" s="5"/>
      <c r="AT516" s="5"/>
      <c r="AU516" s="5"/>
      <c r="AV516" s="5"/>
      <c r="AW516" s="5"/>
      <c r="AX516" s="5"/>
      <c r="AY516" s="5"/>
      <c r="AZ516" s="5"/>
      <c r="BA516" s="5" t="str">
        <f ca="1">IFERROR(__xludf.DUMMYFUNCTION("""COMPUTED_VALUE"""),"")</f>
        <v/>
      </c>
      <c r="BB516" s="5"/>
      <c r="BC516" s="5" t="str">
        <f ca="1">IFERROR(__xludf.DUMMYFUNCTION("""COMPUTED_VALUE"""),"Redstone")</f>
        <v>Redstone</v>
      </c>
      <c r="BD516" s="5"/>
      <c r="BE516" s="5"/>
    </row>
    <row r="517" spans="1:57" x14ac:dyDescent="0.25">
      <c r="A517" s="5">
        <f ca="1">IFERROR(__xludf.DUMMYFUNCTION("""COMPUTED_VALUE"""),548)</f>
        <v>548</v>
      </c>
      <c r="B517" s="5">
        <f ca="1">IFERROR(__xludf.DUMMYFUNCTION("""COMPUTED_VALUE"""),180003)</f>
        <v>180003</v>
      </c>
      <c r="C517" s="5" t="str">
        <f ca="1">IFERROR(__xludf.DUMMYFUNCTION("""COMPUTED_VALUE"""),"Redstone")</f>
        <v>Redstone</v>
      </c>
      <c r="D517" s="5" t="str">
        <f ca="1">IFERROR(__xludf.DUMMYFUNCTION("""COMPUTED_VALUE"""),"Divine Strike")</f>
        <v>Divine Strike</v>
      </c>
      <c r="E517" s="5" t="str">
        <f ca="1">IFERROR(__xludf.DUMMYFUNCTION("""COMPUTED_VALUE"""),"Redstone")</f>
        <v>Redstone</v>
      </c>
      <c r="F517" s="5" t="str">
        <f ca="1">IFERROR(__xludf.DUMMYFUNCTION("""COMPUTED_VALUE"""),"RedstoneDivineStrike")</f>
        <v>RedstoneDivineStrike</v>
      </c>
      <c r="G517" s="5" t="str">
        <f ca="1">IFERROR(__xludf.DUMMYFUNCTION("""COMPUTED_VALUE"""),"Live")</f>
        <v>Live</v>
      </c>
      <c r="H517" s="5"/>
      <c r="I517" s="5" t="str">
        <f ca="1">IFERROR(__xludf.DUMMYFUNCTION("""COMPUTED_VALUE"""),"Redstone")</f>
        <v>Redstone</v>
      </c>
      <c r="J517" s="5" t="str">
        <f ca="1">IFERROR(__xludf.DUMMYFUNCTION("""COMPUTED_VALUE"""),"JSON")</f>
        <v>JSON</v>
      </c>
      <c r="K517" s="5" t="str">
        <f ca="1">IFERROR(__xludf.DUMMYFUNCTION("""COMPUTED_VALUE"""),"Slot")</f>
        <v>Slot</v>
      </c>
      <c r="L517" s="5" t="str">
        <f ca="1">IFERROR(__xludf.DUMMYFUNCTION("""COMPUTED_VALUE"""),"Master")</f>
        <v>Master</v>
      </c>
      <c r="M517" s="5"/>
      <c r="N517" s="7" t="str">
        <f ca="1">IFERROR(__xludf.DUMMYFUNCTION("""COMPUTED_VALUE"""),"https://drive.google.com/file/d/1sozgxAOMJhmouetXB1qT8TA_QKMRoOeC/view?usp=drive_link")</f>
        <v>https://drive.google.com/file/d/1sozgxAOMJhmouetXB1qT8TA_QKMRoOeC/view?usp=drive_link</v>
      </c>
      <c r="O517" s="7" t="str">
        <f ca="1">IFERROR(__xludf.DUMMYFUNCTION("""COMPUTED_VALUE"""),"https://drive.google.com/file/d/1wVT1F3jhJ2gCAvE-C8Xt1INuqdOIXZPh/view?usp=drive_link")</f>
        <v>https://drive.google.com/file/d/1wVT1F3jhJ2gCAvE-C8Xt1INuqdOIXZPh/view?usp=drive_link</v>
      </c>
      <c r="P517" s="14">
        <f ca="1">IFERROR(__xludf.DUMMYFUNCTION("""COMPUTED_VALUE"""),13.9)</f>
        <v>13.9</v>
      </c>
      <c r="Q517" s="5"/>
      <c r="R517" s="17">
        <f ca="1">IFERROR(__xludf.DUMMYFUNCTION("""COMPUTED_VALUE"""),45715)</f>
        <v>45715</v>
      </c>
      <c r="S517" s="15">
        <f ca="1">IFERROR(__xludf.DUMMYFUNCTION("""COMPUTED_VALUE"""),45721)</f>
        <v>45721</v>
      </c>
      <c r="T517" s="5" t="b">
        <f ca="1">IFERROR(__xludf.DUMMYFUNCTION("""COMPUTED_VALUE"""),TRUE)</f>
        <v>1</v>
      </c>
      <c r="U517" s="5" t="str">
        <f ca="1">IFERROR(__xludf.DUMMYFUNCTION("""COMPUTED_VALUE"""),"5x4")</f>
        <v>5x4</v>
      </c>
      <c r="V517" s="5">
        <f ca="1">IFERROR(__xludf.DUMMYFUNCTION("""COMPUTED_VALUE"""),40)</f>
        <v>40</v>
      </c>
      <c r="W517" s="5">
        <f ca="1">IFERROR(__xludf.DUMMYFUNCTION("""COMPUTED_VALUE"""),40)</f>
        <v>40</v>
      </c>
      <c r="X517" s="13">
        <f ca="1">IFERROR(__xludf.DUMMYFUNCTION("""COMPUTED_VALUE"""),95.32)</f>
        <v>95.32</v>
      </c>
      <c r="Y517" s="5" t="str">
        <f ca="1">IFERROR(__xludf.DUMMYFUNCTION("""COMPUTED_VALUE"""),"Medium")</f>
        <v>Medium</v>
      </c>
      <c r="Z517" s="5">
        <f ca="1">IFERROR(__xludf.DUMMYFUNCTION("""COMPUTED_VALUE"""),12.34)</f>
        <v>12.34</v>
      </c>
      <c r="AA517" s="5">
        <f ca="1">IFERROR(__xludf.DUMMYFUNCTION("""COMPUTED_VALUE"""),2000)</f>
        <v>2000</v>
      </c>
      <c r="AB517" s="5"/>
      <c r="AC517" s="5" t="str">
        <f ca="1">IFERROR(__xludf.DUMMYFUNCTION("""COMPUTED_VALUE"""),"Buy Bonus, Ante Bet, Bonus Game with Free Spins, Special Wild")</f>
        <v>Buy Bonus, Ante Bet, Bonus Game with Free Spins, Special Wild</v>
      </c>
      <c r="AD517" s="5" t="str">
        <f ca="1">IFERROR(__xludf.DUMMYFUNCTION("""COMPUTED_VALUE"""),"0.40/60")</f>
        <v>0.40/60</v>
      </c>
      <c r="AE517" s="5"/>
      <c r="AF517" s="5"/>
      <c r="AG517" s="10">
        <f ca="1">IFERROR(__xludf.DUMMYFUNCTION("""COMPUTED_VALUE"""),46157.5313194444)</f>
        <v>46157.531319444402</v>
      </c>
      <c r="AH517" s="5"/>
      <c r="AI517" s="15">
        <f ca="1">IFERROR(__xludf.DUMMYFUNCTION("""COMPUTED_VALUE"""),45704)</f>
        <v>45704</v>
      </c>
      <c r="AJ517" s="5" t="str">
        <f ca="1">IFERROR(__xludf.DUMMYFUNCTION("""COMPUTED_VALUE"""),"BetB2B agregacija")</f>
        <v>BetB2B agregacija</v>
      </c>
      <c r="AK517" s="5">
        <f ca="1">IFERROR(__xludf.DUMMYFUNCTION("""COMPUTED_VALUE"""),1)</f>
        <v>1</v>
      </c>
      <c r="AL517" s="5" t="str">
        <f ca="1">IFERROR(__xludf.DUMMYFUNCTION("""COMPUTED_VALUE"""),"No")</f>
        <v>No</v>
      </c>
      <c r="AM517" s="5" t="str">
        <f ca="1">IFERROR(__xludf.DUMMYFUNCTION("""COMPUTED_VALUE"""),"No")</f>
        <v>No</v>
      </c>
      <c r="AN517" s="7" t="str">
        <f ca="1">IFERROR(__xludf.DUMMYFUNCTION("""COMPUTED_VALUE"""),"https://static.redstone.rs/games/divine-strike/")</f>
        <v>https://static.redstone.rs/games/divine-strike/</v>
      </c>
      <c r="AO517" s="5" t="str">
        <f ca="1">IFERROR(__xludf.DUMMYFUNCTION("""COMPUTED_VALUE"""),"No")</f>
        <v>No</v>
      </c>
      <c r="AP517" s="5" t="str">
        <f ca="1">IFERROR(__xludf.DUMMYFUNCTION("""COMPUTED_VALUE"""),"No")</f>
        <v>No</v>
      </c>
      <c r="AQ517" s="5" t="b">
        <f ca="1">IFERROR(__xludf.DUMMYFUNCTION("""COMPUTED_VALUE"""),TRUE)</f>
        <v>1</v>
      </c>
      <c r="AR517" s="5"/>
      <c r="AS517" s="5" t="str">
        <f ca="1">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AT517" s="5"/>
      <c r="AU517" s="5" t="str">
        <f ca="1">IFERROR(__xludf.DUMMYFUNCTION("""COMPUTED_VALUE"""),"Redstone")</f>
        <v>Redstone</v>
      </c>
      <c r="AV517" s="5"/>
      <c r="AW517" s="5"/>
      <c r="AX517" s="5"/>
      <c r="AY517" s="5"/>
      <c r="AZ517" s="5"/>
      <c r="BA517" s="5"/>
      <c r="BB517" s="5" t="b">
        <f ca="1">IFERROR(__xludf.DUMMYFUNCTION("""COMPUTED_VALUE"""),TRUE)</f>
        <v>1</v>
      </c>
      <c r="BC517" s="5" t="str">
        <f ca="1">IFERROR(__xludf.DUMMYFUNCTION("""COMPUTED_VALUE"""),"Redstone")</f>
        <v>Redstone</v>
      </c>
      <c r="BD517" s="7" t="str">
        <f ca="1">IFERROR(__xludf.DUMMYFUNCTION("""COMPUTED_VALUE"""),"https://static.redstone.rs/games/divine-strike/")</f>
        <v>https://static.redstone.rs/games/divine-strike/</v>
      </c>
      <c r="BE517" s="5" t="b">
        <f ca="1">IFERROR(__xludf.DUMMYFUNCTION("""COMPUTED_VALUE"""),TRUE)</f>
        <v>1</v>
      </c>
    </row>
    <row r="518" spans="1:57" x14ac:dyDescent="0.25">
      <c r="A518" s="5">
        <f ca="1">IFERROR(__xludf.DUMMYFUNCTION("""COMPUTED_VALUE"""),549)</f>
        <v>549</v>
      </c>
      <c r="B518" s="5">
        <f ca="1">IFERROR(__xludf.DUMMYFUNCTION("""COMPUTED_VALUE"""),4007)</f>
        <v>4007</v>
      </c>
      <c r="C518" s="5" t="str">
        <f ca="1">IFERROR(__xludf.DUMMYFUNCTION("""COMPUTED_VALUE"""),"Fazi")</f>
        <v>Fazi</v>
      </c>
      <c r="D518" s="5" t="str">
        <f ca="1">IFERROR(__xludf.DUMMYFUNCTION("""COMPUTED_VALUE"""),"Toto Wild Hot 40")</f>
        <v>Toto Wild Hot 40</v>
      </c>
      <c r="E518" s="5" t="str">
        <f ca="1">IFERROR(__xludf.DUMMYFUNCTION("""COMPUTED_VALUE"""),"Sertifikacioni")</f>
        <v>Sertifikacioni</v>
      </c>
      <c r="F518" s="5" t="str">
        <f ca="1">IFERROR(__xludf.DUMMYFUNCTION("""COMPUTED_VALUE"""),"TotoWildHot40")</f>
        <v>TotoWildHot40</v>
      </c>
      <c r="G518" s="5" t="str">
        <f ca="1">IFERROR(__xludf.DUMMYFUNCTION("""COMPUTED_VALUE"""),"Live")</f>
        <v>Live</v>
      </c>
      <c r="H518" s="5"/>
      <c r="I518" s="5" t="str">
        <f ca="1">IFERROR(__xludf.DUMMYFUNCTION("""COMPUTED_VALUE"""),"V2")</f>
        <v>V2</v>
      </c>
      <c r="J518" s="5" t="str">
        <f ca="1">IFERROR(__xludf.DUMMYFUNCTION("""COMPUTED_VALUE"""),"Binary")</f>
        <v>Binary</v>
      </c>
      <c r="K518" s="5" t="str">
        <f ca="1">IFERROR(__xludf.DUMMYFUNCTION("""COMPUTED_VALUE"""),"Slot")</f>
        <v>Slot</v>
      </c>
      <c r="L518" s="5" t="str">
        <f ca="1">IFERROR(__xludf.DUMMYFUNCTION("""COMPUTED_VALUE""")," Reskin")</f>
        <v xml:space="preserve"> Reskin</v>
      </c>
      <c r="M518" s="5" t="str">
        <f ca="1">IFERROR(__xludf.DUMMYFUNCTION("""COMPUTED_VALUE"""),"Wild Hot 40")</f>
        <v>Wild Hot 40</v>
      </c>
      <c r="N518" s="5"/>
      <c r="O518" s="5"/>
      <c r="P518" s="5"/>
      <c r="Q518" s="15">
        <f ca="1">IFERROR(__xludf.DUMMYFUNCTION("""COMPUTED_VALUE"""),45797)</f>
        <v>45797</v>
      </c>
      <c r="R518" s="5"/>
      <c r="S518" s="5"/>
      <c r="T518" s="5"/>
      <c r="U518" s="5" t="str">
        <f ca="1">IFERROR(__xludf.DUMMYFUNCTION("""COMPUTED_VALUE"""),"5x4")</f>
        <v>5x4</v>
      </c>
      <c r="V518" s="5">
        <f ca="1">IFERROR(__xludf.DUMMYFUNCTION("""COMPUTED_VALUE"""),40)</f>
        <v>40</v>
      </c>
      <c r="W518" s="5">
        <f ca="1">IFERROR(__xludf.DUMMYFUNCTION("""COMPUTED_VALUE"""),40)</f>
        <v>40</v>
      </c>
      <c r="X518" s="5">
        <f ca="1">IFERROR(__xludf.DUMMYFUNCTION("""COMPUTED_VALUE"""),96.584)</f>
        <v>96.584000000000003</v>
      </c>
      <c r="Y518" s="5" t="str">
        <f ca="1">IFERROR(__xludf.DUMMYFUNCTION("""COMPUTED_VALUE"""),"Low")</f>
        <v>Low</v>
      </c>
      <c r="Z518" s="5">
        <f ca="1">IFERROR(__xludf.DUMMYFUNCTION("""COMPUTED_VALUE"""),16.73)</f>
        <v>16.73</v>
      </c>
      <c r="AA518" s="5">
        <f ca="1">IFERROR(__xludf.DUMMYFUNCTION("""COMPUTED_VALUE"""),1000)</f>
        <v>1000</v>
      </c>
      <c r="AB518" s="5"/>
      <c r="AC518" s="5" t="str">
        <f ca="1">IFERROR(__xludf.DUMMYFUNCTION("""COMPUTED_VALUE"""),"Wild Symbol, Scatter")</f>
        <v>Wild Symbol, Scatter</v>
      </c>
      <c r="AD518" s="5"/>
      <c r="AE518" s="5"/>
      <c r="AF518" s="5"/>
      <c r="AG518" s="10">
        <f ca="1">IFERROR(__xludf.DUMMYFUNCTION("""COMPUTED_VALUE"""),46020.5131134259)</f>
        <v>46020.513113425899</v>
      </c>
      <c r="AH518" s="5" t="str">
        <f ca="1">IFERROR(__xludf.DUMMYFUNCTION("""COMPUTED_VALUE"""),"djordje.jankovic@fazi.rs")</f>
        <v>djordje.jankovic@fazi.rs</v>
      </c>
      <c r="AI518" s="15">
        <f ca="1">IFERROR(__xludf.DUMMYFUNCTION("""COMPUTED_VALUE"""),45803)</f>
        <v>45803</v>
      </c>
      <c r="AJ518" s="5"/>
      <c r="AK518" s="5">
        <f ca="1">IFERROR(__xludf.DUMMYFUNCTION("""COMPUTED_VALUE"""),40)</f>
        <v>40</v>
      </c>
      <c r="AL518" s="5" t="str">
        <f ca="1">IFERROR(__xludf.DUMMYFUNCTION("""COMPUTED_VALUE"""),"Yes")</f>
        <v>Yes</v>
      </c>
      <c r="AM518" s="5"/>
      <c r="AN518" s="5"/>
      <c r="AO518" s="5"/>
      <c r="AP518" s="5"/>
      <c r="AQ518" s="5"/>
      <c r="AR518" s="5" t="b">
        <f ca="1">IFERROR(__xludf.DUMMYFUNCTION("""COMPUTED_VALUE"""),TRUE)</f>
        <v>1</v>
      </c>
      <c r="AS518" s="5"/>
      <c r="AT518" s="5"/>
      <c r="AU518" s="5" t="str">
        <f ca="1">IFERROR(__xludf.DUMMYFUNCTION("""COMPUTED_VALUE"""),"Fazi")</f>
        <v>Fazi</v>
      </c>
      <c r="AV518" s="5"/>
      <c r="AW518" s="5"/>
      <c r="AX518" s="5"/>
      <c r="AY518" s="5"/>
      <c r="AZ518" s="5"/>
      <c r="BA518" s="5" t="str">
        <f ca="1">IFERROR(__xludf.DUMMYFUNCTION("""COMPUTED_VALUE"""),"")</f>
        <v/>
      </c>
      <c r="BB518" s="5"/>
      <c r="BC518" s="5" t="str">
        <f ca="1">IFERROR(__xludf.DUMMYFUNCTION("""COMPUTED_VALUE"""),"Foxi")</f>
        <v>Foxi</v>
      </c>
      <c r="BD518" s="5" t="str">
        <f ca="1">IFERROR(__xludf.DUMMYFUNCTION("""COMPUTED_VALUE"""),"")</f>
        <v/>
      </c>
      <c r="BE518" s="5"/>
    </row>
    <row r="519" spans="1:57" x14ac:dyDescent="0.25">
      <c r="A519" s="5">
        <f ca="1">IFERROR(__xludf.DUMMYFUNCTION("""COMPUTED_VALUE"""),550)</f>
        <v>550</v>
      </c>
      <c r="B519" s="5">
        <f ca="1">IFERROR(__xludf.DUMMYFUNCTION("""COMPUTED_VALUE"""),4008)</f>
        <v>4008</v>
      </c>
      <c r="C519" s="5" t="str">
        <f ca="1">IFERROR(__xludf.DUMMYFUNCTION("""COMPUTED_VALUE"""),"Fazi")</f>
        <v>Fazi</v>
      </c>
      <c r="D519" s="5" t="str">
        <f ca="1">IFERROR(__xludf.DUMMYFUNCTION("""COMPUTED_VALUE"""),"Toto Fruity Win 40")</f>
        <v>Toto Fruity Win 40</v>
      </c>
      <c r="E519" s="5" t="str">
        <f ca="1">IFERROR(__xludf.DUMMYFUNCTION("""COMPUTED_VALUE"""),"Sertifikacioni")</f>
        <v>Sertifikacioni</v>
      </c>
      <c r="F519" s="5" t="str">
        <f ca="1">IFERROR(__xludf.DUMMYFUNCTION("""COMPUTED_VALUE"""),"TotoFruityWin40")</f>
        <v>TotoFruityWin40</v>
      </c>
      <c r="G519" s="5" t="str">
        <f ca="1">IFERROR(__xludf.DUMMYFUNCTION("""COMPUTED_VALUE"""),"Live")</f>
        <v>Live</v>
      </c>
      <c r="H519" s="5"/>
      <c r="I519" s="5" t="str">
        <f ca="1">IFERROR(__xludf.DUMMYFUNCTION("""COMPUTED_VALUE"""),"V2")</f>
        <v>V2</v>
      </c>
      <c r="J519" s="5" t="str">
        <f ca="1">IFERROR(__xludf.DUMMYFUNCTION("""COMPUTED_VALUE"""),"Binary")</f>
        <v>Binary</v>
      </c>
      <c r="K519" s="5" t="str">
        <f ca="1">IFERROR(__xludf.DUMMYFUNCTION("""COMPUTED_VALUE"""),"Slot")</f>
        <v>Slot</v>
      </c>
      <c r="L519" s="5" t="str">
        <f ca="1">IFERROR(__xludf.DUMMYFUNCTION("""COMPUTED_VALUE""")," Reskin")</f>
        <v xml:space="preserve"> Reskin</v>
      </c>
      <c r="M519" s="5" t="str">
        <f ca="1">IFERROR(__xludf.DUMMYFUNCTION("""COMPUTED_VALUE"""),"Fruity Win 40")</f>
        <v>Fruity Win 40</v>
      </c>
      <c r="N519" s="5"/>
      <c r="O519" s="5"/>
      <c r="P519" s="5"/>
      <c r="Q519" s="15">
        <f ca="1">IFERROR(__xludf.DUMMYFUNCTION("""COMPUTED_VALUE"""),45797)</f>
        <v>45797</v>
      </c>
      <c r="R519" s="5"/>
      <c r="S519" s="5"/>
      <c r="T519" s="5"/>
      <c r="U519" s="5" t="str">
        <f ca="1">IFERROR(__xludf.DUMMYFUNCTION("""COMPUTED_VALUE"""),"5x4")</f>
        <v>5x4</v>
      </c>
      <c r="V519" s="5">
        <f ca="1">IFERROR(__xludf.DUMMYFUNCTION("""COMPUTED_VALUE"""),40)</f>
        <v>40</v>
      </c>
      <c r="W519" s="5">
        <f ca="1">IFERROR(__xludf.DUMMYFUNCTION("""COMPUTED_VALUE"""),40)</f>
        <v>40</v>
      </c>
      <c r="X519" s="5">
        <f ca="1">IFERROR(__xludf.DUMMYFUNCTION("""COMPUTED_VALUE"""),96.584)</f>
        <v>96.584000000000003</v>
      </c>
      <c r="Y519" s="5" t="str">
        <f ca="1">IFERROR(__xludf.DUMMYFUNCTION("""COMPUTED_VALUE"""),"Low")</f>
        <v>Low</v>
      </c>
      <c r="Z519" s="5">
        <f ca="1">IFERROR(__xludf.DUMMYFUNCTION("""COMPUTED_VALUE"""),16.73)</f>
        <v>16.73</v>
      </c>
      <c r="AA519" s="5">
        <f ca="1">IFERROR(__xludf.DUMMYFUNCTION("""COMPUTED_VALUE"""),1000)</f>
        <v>1000</v>
      </c>
      <c r="AB519" s="5"/>
      <c r="AC519" s="5" t="str">
        <f ca="1">IFERROR(__xludf.DUMMYFUNCTION("""COMPUTED_VALUE"""),"Wild Symbol, Scatter")</f>
        <v>Wild Symbol, Scatter</v>
      </c>
      <c r="AD519" s="5" t="str">
        <f ca="1">IFERROR(__xludf.DUMMYFUNCTION("""COMPUTED_VALUE"""),"0.4/60")</f>
        <v>0.4/60</v>
      </c>
      <c r="AE519" s="5"/>
      <c r="AF519" s="5"/>
      <c r="AG519" s="10">
        <f ca="1">IFERROR(__xludf.DUMMYFUNCTION("""COMPUTED_VALUE"""),46020.5124074074)</f>
        <v>46020.512407407397</v>
      </c>
      <c r="AH519" s="5" t="str">
        <f ca="1">IFERROR(__xludf.DUMMYFUNCTION("""COMPUTED_VALUE"""),"djordje.jankovic@fazi.rs")</f>
        <v>djordje.jankovic@fazi.rs</v>
      </c>
      <c r="AI519" s="15">
        <f ca="1">IFERROR(__xludf.DUMMYFUNCTION("""COMPUTED_VALUE"""),45803)</f>
        <v>45803</v>
      </c>
      <c r="AJ519" s="5"/>
      <c r="AK519" s="5">
        <f ca="1">IFERROR(__xludf.DUMMYFUNCTION("""COMPUTED_VALUE"""),40)</f>
        <v>40</v>
      </c>
      <c r="AL519" s="5" t="str">
        <f ca="1">IFERROR(__xludf.DUMMYFUNCTION("""COMPUTED_VALUE"""),"Yes")</f>
        <v>Yes</v>
      </c>
      <c r="AM519" s="5"/>
      <c r="AN519" s="5"/>
      <c r="AO519" s="5"/>
      <c r="AP519" s="5"/>
      <c r="AQ519" s="5"/>
      <c r="AR519" s="5" t="b">
        <f ca="1">IFERROR(__xludf.DUMMYFUNCTION("""COMPUTED_VALUE"""),TRUE)</f>
        <v>1</v>
      </c>
      <c r="AS519" s="5"/>
      <c r="AT519" s="5"/>
      <c r="AU519" s="5" t="str">
        <f ca="1">IFERROR(__xludf.DUMMYFUNCTION("""COMPUTED_VALUE"""),"Fazi")</f>
        <v>Fazi</v>
      </c>
      <c r="AV519" s="5"/>
      <c r="AW519" s="5"/>
      <c r="AX519" s="5"/>
      <c r="AY519" s="5"/>
      <c r="AZ519" s="5"/>
      <c r="BA519" s="5" t="str">
        <f ca="1">IFERROR(__xludf.DUMMYFUNCTION("""COMPUTED_VALUE"""),"")</f>
        <v/>
      </c>
      <c r="BB519" s="5"/>
      <c r="BC519" s="5" t="str">
        <f ca="1">IFERROR(__xludf.DUMMYFUNCTION("""COMPUTED_VALUE"""),"Foxi")</f>
        <v>Foxi</v>
      </c>
      <c r="BD519" s="5" t="str">
        <f ca="1">IFERROR(__xludf.DUMMYFUNCTION("""COMPUTED_VALUE"""),"")</f>
        <v/>
      </c>
      <c r="BE519" s="5"/>
    </row>
    <row r="520" spans="1:57" x14ac:dyDescent="0.25">
      <c r="A520" s="5">
        <f ca="1">IFERROR(__xludf.DUMMYFUNCTION("""COMPUTED_VALUE"""),551)</f>
        <v>551</v>
      </c>
      <c r="B520" s="5">
        <f ca="1">IFERROR(__xludf.DUMMYFUNCTION("""COMPUTED_VALUE"""),4009)</f>
        <v>4009</v>
      </c>
      <c r="C520" s="5" t="str">
        <f ca="1">IFERROR(__xludf.DUMMYFUNCTION("""COMPUTED_VALUE"""),"Fazi")</f>
        <v>Fazi</v>
      </c>
      <c r="D520" s="5" t="str">
        <f ca="1">IFERROR(__xludf.DUMMYFUNCTION("""COMPUTED_VALUE"""),"Bet Andreas Wild")</f>
        <v>Bet Andreas Wild</v>
      </c>
      <c r="E520" s="5" t="str">
        <f ca="1">IFERROR(__xludf.DUMMYFUNCTION("""COMPUTED_VALUE"""),"Sertifikacioni")</f>
        <v>Sertifikacioni</v>
      </c>
      <c r="F520" s="5" t="str">
        <f ca="1">IFERROR(__xludf.DUMMYFUNCTION("""COMPUTED_VALUE"""),"BetAndreasWild")</f>
        <v>BetAndreasWild</v>
      </c>
      <c r="G520" s="5" t="str">
        <f ca="1">IFERROR(__xludf.DUMMYFUNCTION("""COMPUTED_VALUE"""),"Live")</f>
        <v>Live</v>
      </c>
      <c r="H520" s="5"/>
      <c r="I520" s="5" t="str">
        <f ca="1">IFERROR(__xludf.DUMMYFUNCTION("""COMPUTED_VALUE"""),"V4")</f>
        <v>V4</v>
      </c>
      <c r="J520" s="5" t="str">
        <f ca="1">IFERROR(__xludf.DUMMYFUNCTION("""COMPUTED_VALUE"""),"JSON")</f>
        <v>JSON</v>
      </c>
      <c r="K520" s="5" t="str">
        <f ca="1">IFERROR(__xludf.DUMMYFUNCTION("""COMPUTED_VALUE"""),"Slot")</f>
        <v>Slot</v>
      </c>
      <c r="L520" s="5" t="str">
        <f ca="1">IFERROR(__xludf.DUMMYFUNCTION("""COMPUTED_VALUE""")," Reskin")</f>
        <v xml:space="preserve"> Reskin</v>
      </c>
      <c r="M520" s="5" t="str">
        <f ca="1">IFERROR(__xludf.DUMMYFUNCTION("""COMPUTED_VALUE"""),"Wild 27")</f>
        <v>Wild 27</v>
      </c>
      <c r="N520" s="5"/>
      <c r="O520" s="5"/>
      <c r="P520" s="5"/>
      <c r="Q520" s="15">
        <f ca="1">IFERROR(__xludf.DUMMYFUNCTION("""COMPUTED_VALUE"""),45684)</f>
        <v>45684</v>
      </c>
      <c r="R520" s="5"/>
      <c r="S520" s="5"/>
      <c r="T520" s="5"/>
      <c r="U520" s="5" t="str">
        <f ca="1">IFERROR(__xludf.DUMMYFUNCTION("""COMPUTED_VALUE"""),"3x3")</f>
        <v>3x3</v>
      </c>
      <c r="V520" s="5">
        <f ca="1">IFERROR(__xludf.DUMMYFUNCTION("""COMPUTED_VALUE"""),27)</f>
        <v>27</v>
      </c>
      <c r="W520" s="5">
        <f ca="1">IFERROR(__xludf.DUMMYFUNCTION("""COMPUTED_VALUE"""),27)</f>
        <v>27</v>
      </c>
      <c r="X520" s="5">
        <f ca="1">IFERROR(__xludf.DUMMYFUNCTION("""COMPUTED_VALUE"""),96.24)</f>
        <v>96.24</v>
      </c>
      <c r="Y520" s="5" t="str">
        <f ca="1">IFERROR(__xludf.DUMMYFUNCTION("""COMPUTED_VALUE"""),"Low")</f>
        <v>Low</v>
      </c>
      <c r="Z520" s="5">
        <f ca="1">IFERROR(__xludf.DUMMYFUNCTION("""COMPUTED_VALUE"""),6.58)</f>
        <v>6.58</v>
      </c>
      <c r="AA520" s="5">
        <f ca="1">IFERROR(__xludf.DUMMYFUNCTION("""COMPUTED_VALUE"""),108)</f>
        <v>108</v>
      </c>
      <c r="AB520" s="5"/>
      <c r="AC520" s="5" t="str">
        <f ca="1">IFERROR(__xludf.DUMMYFUNCTION("""COMPUTED_VALUE"""),"Win Multiplier")</f>
        <v>Win Multiplier</v>
      </c>
      <c r="AD520" s="5" t="str">
        <f ca="1">IFERROR(__xludf.DUMMYFUNCTION("""COMPUTED_VALUE"""),"0.1/40")</f>
        <v>0.1/40</v>
      </c>
      <c r="AE520" s="5"/>
      <c r="AF520" s="5"/>
      <c r="AG520" s="10">
        <f ca="1">IFERROR(__xludf.DUMMYFUNCTION("""COMPUTED_VALUE"""),46213.4464004629)</f>
        <v>46213.446400462897</v>
      </c>
      <c r="AH520" s="5" t="str">
        <f ca="1">IFERROR(__xludf.DUMMYFUNCTION("""COMPUTED_VALUE"""),"djordje.petrovic@fazi.rs")</f>
        <v>djordje.petrovic@fazi.rs</v>
      </c>
      <c r="AI520" s="15">
        <f ca="1">IFERROR(__xludf.DUMMYFUNCTION("""COMPUTED_VALUE"""),45691)</f>
        <v>45691</v>
      </c>
      <c r="AJ520" s="5"/>
      <c r="AK520" s="5">
        <f ca="1">IFERROR(__xludf.DUMMYFUNCTION("""COMPUTED_VALUE"""),1)</f>
        <v>1</v>
      </c>
      <c r="AL520" s="5" t="str">
        <f ca="1">IFERROR(__xludf.DUMMYFUNCTION("""COMPUTED_VALUE"""),"Yes")</f>
        <v>Yes</v>
      </c>
      <c r="AM520" s="5"/>
      <c r="AN520" s="5"/>
      <c r="AO520" s="5"/>
      <c r="AP520" s="5" t="str">
        <f ca="1">IFERROR(__xludf.DUMMYFUNCTION("""COMPUTED_VALUE"""),"No")</f>
        <v>No</v>
      </c>
      <c r="AQ520" s="5"/>
      <c r="AR520" s="5" t="b">
        <f ca="1">IFERROR(__xludf.DUMMYFUNCTION("""COMPUTED_VALUE"""),TRUE)</f>
        <v>1</v>
      </c>
      <c r="AS520" s="5"/>
      <c r="AT520" s="5"/>
      <c r="AU520" s="5" t="str">
        <f ca="1">IFERROR(__xludf.DUMMYFUNCTION("""COMPUTED_VALUE"""),"Fazi")</f>
        <v>Fazi</v>
      </c>
      <c r="AV520" s="5"/>
      <c r="AW520" s="5"/>
      <c r="AX520" s="5"/>
      <c r="AY520" s="5"/>
      <c r="AZ520" s="5"/>
      <c r="BA520" s="5"/>
      <c r="BB520" s="5"/>
      <c r="BC520" s="5" t="str">
        <f ca="1">IFERROR(__xludf.DUMMYFUNCTION("""COMPUTED_VALUE"""),"Foxi")</f>
        <v>Foxi</v>
      </c>
      <c r="BD520" s="5"/>
      <c r="BE520" s="5"/>
    </row>
    <row r="521" spans="1:57" x14ac:dyDescent="0.25">
      <c r="A521" s="5">
        <f ca="1">IFERROR(__xludf.DUMMYFUNCTION("""COMPUTED_VALUE"""),552)</f>
        <v>552</v>
      </c>
      <c r="B521" s="5">
        <f ca="1">IFERROR(__xludf.DUMMYFUNCTION("""COMPUTED_VALUE"""),4013)</f>
        <v>4013</v>
      </c>
      <c r="C521" s="5" t="str">
        <f ca="1">IFERROR(__xludf.DUMMYFUNCTION("""COMPUTED_VALUE"""),"Fazi")</f>
        <v>Fazi</v>
      </c>
      <c r="D521" s="5" t="str">
        <f ca="1">IFERROR(__xludf.DUMMYFUNCTION("""COMPUTED_VALUE"""),"Max Bet Hot 40 Blow")</f>
        <v>Max Bet Hot 40 Blow</v>
      </c>
      <c r="E521" s="5" t="str">
        <f ca="1">IFERROR(__xludf.DUMMYFUNCTION("""COMPUTED_VALUE"""),"Sertifikacioni")</f>
        <v>Sertifikacioni</v>
      </c>
      <c r="F521" s="5" t="str">
        <f ca="1">IFERROR(__xludf.DUMMYFUNCTION("""COMPUTED_VALUE"""),"MaxBetHot40Blow")</f>
        <v>MaxBetHot40Blow</v>
      </c>
      <c r="G521" s="5" t="str">
        <f ca="1">IFERROR(__xludf.DUMMYFUNCTION("""COMPUTED_VALUE"""),"Live")</f>
        <v>Live</v>
      </c>
      <c r="H521" s="5"/>
      <c r="I521" s="5" t="str">
        <f ca="1">IFERROR(__xludf.DUMMYFUNCTION("""COMPUTED_VALUE"""),"V2")</f>
        <v>V2</v>
      </c>
      <c r="J521" s="5" t="str">
        <f ca="1">IFERROR(__xludf.DUMMYFUNCTION("""COMPUTED_VALUE"""),"Binary")</f>
        <v>Binary</v>
      </c>
      <c r="K521" s="5" t="str">
        <f ca="1">IFERROR(__xludf.DUMMYFUNCTION("""COMPUTED_VALUE"""),"Slot")</f>
        <v>Slot</v>
      </c>
      <c r="L521" s="5" t="str">
        <f ca="1">IFERROR(__xludf.DUMMYFUNCTION("""COMPUTED_VALUE""")," Reskin")</f>
        <v xml:space="preserve"> Reskin</v>
      </c>
      <c r="M521" s="5" t="str">
        <f ca="1">IFERROR(__xludf.DUMMYFUNCTION("""COMPUTED_VALUE"""),"Wild Hot 40 Blow")</f>
        <v>Wild Hot 40 Blow</v>
      </c>
      <c r="N521" s="5"/>
      <c r="O521" s="5"/>
      <c r="P521" s="5"/>
      <c r="Q521" s="15">
        <f ca="1">IFERROR(__xludf.DUMMYFUNCTION("""COMPUTED_VALUE"""),45741)</f>
        <v>45741</v>
      </c>
      <c r="R521" s="5"/>
      <c r="S521" s="5"/>
      <c r="T521" s="5"/>
      <c r="U521" s="5" t="str">
        <f ca="1">IFERROR(__xludf.DUMMYFUNCTION("""COMPUTED_VALUE"""),"5x4")</f>
        <v>5x4</v>
      </c>
      <c r="V521" s="5">
        <f ca="1">IFERROR(__xludf.DUMMYFUNCTION("""COMPUTED_VALUE"""),40)</f>
        <v>40</v>
      </c>
      <c r="W521" s="5">
        <f ca="1">IFERROR(__xludf.DUMMYFUNCTION("""COMPUTED_VALUE"""),40)</f>
        <v>40</v>
      </c>
      <c r="X521" s="5">
        <f ca="1">IFERROR(__xludf.DUMMYFUNCTION("""COMPUTED_VALUE"""),96.269)</f>
        <v>96.269000000000005</v>
      </c>
      <c r="Y521" s="5" t="str">
        <f ca="1">IFERROR(__xludf.DUMMYFUNCTION("""COMPUTED_VALUE"""),"Medium")</f>
        <v>Medium</v>
      </c>
      <c r="Z521" s="5">
        <f ca="1">IFERROR(__xludf.DUMMYFUNCTION("""COMPUTED_VALUE"""),13.88)</f>
        <v>13.88</v>
      </c>
      <c r="AA521" s="5">
        <f ca="1">IFERROR(__xludf.DUMMYFUNCTION("""COMPUTED_VALUE"""),1000)</f>
        <v>1000</v>
      </c>
      <c r="AB521" s="5">
        <f ca="1">IFERROR(__xludf.DUMMYFUNCTION("""COMPUTED_VALUE"""),35)</f>
        <v>35</v>
      </c>
      <c r="AC521" s="5" t="str">
        <f ca="1">IFERROR(__xludf.DUMMYFUNCTION("""COMPUTED_VALUE"""),"Wild Symbol, Scatter, Exploding Wild")</f>
        <v>Wild Symbol, Scatter, Exploding Wild</v>
      </c>
      <c r="AD521" s="5" t="str">
        <f ca="1">IFERROR(__xludf.DUMMYFUNCTION("""COMPUTED_VALUE"""),"0.40/60")</f>
        <v>0.40/60</v>
      </c>
      <c r="AE521" s="5"/>
      <c r="AF521" s="5"/>
      <c r="AG521" s="10">
        <f ca="1">IFERROR(__xludf.DUMMYFUNCTION("""COMPUTED_VALUE"""),46020.5117013888)</f>
        <v>46020.511701388801</v>
      </c>
      <c r="AH521" s="5" t="str">
        <f ca="1">IFERROR(__xludf.DUMMYFUNCTION("""COMPUTED_VALUE"""),"djordje.jankovic@fazi.rs")</f>
        <v>djordje.jankovic@fazi.rs</v>
      </c>
      <c r="AI521" s="15">
        <f ca="1">IFERROR(__xludf.DUMMYFUNCTION("""COMPUTED_VALUE"""),45747)</f>
        <v>45747</v>
      </c>
      <c r="AJ521" s="5"/>
      <c r="AK521" s="5">
        <f ca="1">IFERROR(__xludf.DUMMYFUNCTION("""COMPUTED_VALUE"""),40)</f>
        <v>40</v>
      </c>
      <c r="AL521" s="5" t="str">
        <f ca="1">IFERROR(__xludf.DUMMYFUNCTION("""COMPUTED_VALUE"""),"Yes")</f>
        <v>Yes</v>
      </c>
      <c r="AM521" s="5"/>
      <c r="AN521" s="5"/>
      <c r="AO521" s="5"/>
      <c r="AP521" s="5"/>
      <c r="AQ521" s="5"/>
      <c r="AR521" s="5" t="b">
        <f ca="1">IFERROR(__xludf.DUMMYFUNCTION("""COMPUTED_VALUE"""),TRUE)</f>
        <v>1</v>
      </c>
      <c r="AS521" s="5"/>
      <c r="AT521" s="5"/>
      <c r="AU521" s="5" t="str">
        <f ca="1">IFERROR(__xludf.DUMMYFUNCTION("""COMPUTED_VALUE"""),"Fazi")</f>
        <v>Fazi</v>
      </c>
      <c r="AV521" s="5"/>
      <c r="AW521" s="5"/>
      <c r="AX521" s="5"/>
      <c r="AY521" s="5"/>
      <c r="AZ521" s="5"/>
      <c r="BA521" s="5" t="str">
        <f ca="1">IFERROR(__xludf.DUMMYFUNCTION("""COMPUTED_VALUE"""),"")</f>
        <v/>
      </c>
      <c r="BB521" s="5"/>
      <c r="BC521" s="5" t="str">
        <f ca="1">IFERROR(__xludf.DUMMYFUNCTION("""COMPUTED_VALUE"""),"Foxi")</f>
        <v>Foxi</v>
      </c>
      <c r="BD521" s="5" t="str">
        <f ca="1">IFERROR(__xludf.DUMMYFUNCTION("""COMPUTED_VALUE"""),"")</f>
        <v/>
      </c>
      <c r="BE521" s="5"/>
    </row>
    <row r="522" spans="1:57" x14ac:dyDescent="0.25">
      <c r="A522" s="5">
        <f ca="1">IFERROR(__xludf.DUMMYFUNCTION("""COMPUTED_VALUE"""),553)</f>
        <v>553</v>
      </c>
      <c r="B522" s="5">
        <f ca="1">IFERROR(__xludf.DUMMYFUNCTION("""COMPUTED_VALUE"""),4014)</f>
        <v>4014</v>
      </c>
      <c r="C522" s="5" t="str">
        <f ca="1">IFERROR(__xludf.DUMMYFUNCTION("""COMPUTED_VALUE"""),"Fazi")</f>
        <v>Fazi</v>
      </c>
      <c r="D522" s="5" t="str">
        <f ca="1">IFERROR(__xludf.DUMMYFUNCTION("""COMPUTED_VALUE"""),"Max Bet Clover 2")</f>
        <v>Max Bet Clover 2</v>
      </c>
      <c r="E522" s="5" t="str">
        <f ca="1">IFERROR(__xludf.DUMMYFUNCTION("""COMPUTED_VALUE"""),"Sertifikacioni")</f>
        <v>Sertifikacioni</v>
      </c>
      <c r="F522" s="5" t="str">
        <f ca="1">IFERROR(__xludf.DUMMYFUNCTION("""COMPUTED_VALUE"""),"MaxBetClover2")</f>
        <v>MaxBetClover2</v>
      </c>
      <c r="G522" s="5" t="str">
        <f ca="1">IFERROR(__xludf.DUMMYFUNCTION("""COMPUTED_VALUE"""),"Live")</f>
        <v>Live</v>
      </c>
      <c r="H522" s="5" t="str">
        <f ca="1">IFERROR(__xludf.DUMMYFUNCTION("""COMPUTED_VALUE"""),"MaxBet")</f>
        <v>MaxBet</v>
      </c>
      <c r="I522" s="5" t="str">
        <f ca="1">IFERROR(__xludf.DUMMYFUNCTION("""COMPUTED_VALUE"""),"V2")</f>
        <v>V2</v>
      </c>
      <c r="J522" s="5" t="str">
        <f ca="1">IFERROR(__xludf.DUMMYFUNCTION("""COMPUTED_VALUE"""),"Binary")</f>
        <v>Binary</v>
      </c>
      <c r="K522" s="5" t="str">
        <f ca="1">IFERROR(__xludf.DUMMYFUNCTION("""COMPUTED_VALUE"""),"Slot")</f>
        <v>Slot</v>
      </c>
      <c r="L522" s="5" t="str">
        <f ca="1">IFERROR(__xludf.DUMMYFUNCTION("""COMPUTED_VALUE""")," Reskin")</f>
        <v xml:space="preserve"> Reskin</v>
      </c>
      <c r="M522" s="5" t="str">
        <f ca="1">IFERROR(__xludf.DUMMYFUNCTION("""COMPUTED_VALUE"""),"Wild Lucky Clover 2")</f>
        <v>Wild Lucky Clover 2</v>
      </c>
      <c r="N522" s="5"/>
      <c r="O522" s="5"/>
      <c r="P522" s="5"/>
      <c r="Q522" s="15">
        <f ca="1">IFERROR(__xludf.DUMMYFUNCTION("""COMPUTED_VALUE"""),45741)</f>
        <v>45741</v>
      </c>
      <c r="R522" s="5"/>
      <c r="S522" s="5"/>
      <c r="T522" s="5"/>
      <c r="U522" s="5" t="str">
        <f ca="1">IFERROR(__xludf.DUMMYFUNCTION("""COMPUTED_VALUE"""),"5x4")</f>
        <v>5x4</v>
      </c>
      <c r="V522" s="5">
        <f ca="1">IFERROR(__xludf.DUMMYFUNCTION("""COMPUTED_VALUE"""),40)</f>
        <v>40</v>
      </c>
      <c r="W522" s="5">
        <f ca="1">IFERROR(__xludf.DUMMYFUNCTION("""COMPUTED_VALUE"""),40)</f>
        <v>40</v>
      </c>
      <c r="X522" s="5">
        <f ca="1">IFERROR(__xludf.DUMMYFUNCTION("""COMPUTED_VALUE"""),96.395)</f>
        <v>96.394999999999996</v>
      </c>
      <c r="Y522" s="5" t="str">
        <f ca="1">IFERROR(__xludf.DUMMYFUNCTION("""COMPUTED_VALUE"""),"Medium")</f>
        <v>Medium</v>
      </c>
      <c r="Z522" s="5">
        <f ca="1">IFERROR(__xludf.DUMMYFUNCTION("""COMPUTED_VALUE"""),12.6299999999999)</f>
        <v>12.6299999999999</v>
      </c>
      <c r="AA522" s="5">
        <f ca="1">IFERROR(__xludf.DUMMYFUNCTION("""COMPUTED_VALUE"""),2501)</f>
        <v>2501</v>
      </c>
      <c r="AB522" s="5">
        <f ca="1">IFERROR(__xludf.DUMMYFUNCTION("""COMPUTED_VALUE"""),210)</f>
        <v>210</v>
      </c>
      <c r="AC522" s="5" t="str">
        <f ca="1">IFERROR(__xludf.DUMMYFUNCTION("""COMPUTED_VALUE"""),"Bonus Game with Free Spins, Converting Wild, Wild Symbol, Wild Multiplier")</f>
        <v>Bonus Game with Free Spins, Converting Wild, Wild Symbol, Wild Multiplier</v>
      </c>
      <c r="AD522" s="5"/>
      <c r="AE522" s="5"/>
      <c r="AF522" s="5"/>
      <c r="AG522" s="10">
        <f ca="1">IFERROR(__xludf.DUMMYFUNCTION("""COMPUTED_VALUE"""),46065.6225925925)</f>
        <v>46065.622592592503</v>
      </c>
      <c r="AH522" s="5" t="str">
        <f ca="1">IFERROR(__xludf.DUMMYFUNCTION("""COMPUTED_VALUE"""),"petra.ilic@fazi.rs")</f>
        <v>petra.ilic@fazi.rs</v>
      </c>
      <c r="AI522" s="15">
        <f ca="1">IFERROR(__xludf.DUMMYFUNCTION("""COMPUTED_VALUE"""),45747)</f>
        <v>45747</v>
      </c>
      <c r="AJ522" s="5"/>
      <c r="AK522" s="5">
        <f ca="1">IFERROR(__xludf.DUMMYFUNCTION("""COMPUTED_VALUE"""),40)</f>
        <v>40</v>
      </c>
      <c r="AL522" s="5" t="str">
        <f ca="1">IFERROR(__xludf.DUMMYFUNCTION("""COMPUTED_VALUE"""),"Yes")</f>
        <v>Yes</v>
      </c>
      <c r="AM522" s="5"/>
      <c r="AN522" s="5"/>
      <c r="AO522" s="5"/>
      <c r="AP522" s="5"/>
      <c r="AQ522" s="5"/>
      <c r="AR522" s="5" t="b">
        <f ca="1">IFERROR(__xludf.DUMMYFUNCTION("""COMPUTED_VALUE"""),TRUE)</f>
        <v>1</v>
      </c>
      <c r="AS522" s="5"/>
      <c r="AT522" s="5"/>
      <c r="AU522" s="5" t="str">
        <f ca="1">IFERROR(__xludf.DUMMYFUNCTION("""COMPUTED_VALUE"""),"Fazi")</f>
        <v>Fazi</v>
      </c>
      <c r="AV522" s="5"/>
      <c r="AW522" s="5"/>
      <c r="AX522" s="5"/>
      <c r="AY522" s="5"/>
      <c r="AZ522" s="5"/>
      <c r="BA522" s="5" t="str">
        <f ca="1">IFERROR(__xludf.DUMMYFUNCTION("""COMPUTED_VALUE"""),"")</f>
        <v/>
      </c>
      <c r="BB522" s="5"/>
      <c r="BC522" s="5" t="str">
        <f ca="1">IFERROR(__xludf.DUMMYFUNCTION("""COMPUTED_VALUE"""),"Foxi")</f>
        <v>Foxi</v>
      </c>
      <c r="BD522" s="5" t="str">
        <f ca="1">IFERROR(__xludf.DUMMYFUNCTION("""COMPUTED_VALUE"""),"")</f>
        <v/>
      </c>
      <c r="BE522" s="5"/>
    </row>
    <row r="523" spans="1:57" x14ac:dyDescent="0.25">
      <c r="A523" s="5">
        <f ca="1">IFERROR(__xludf.DUMMYFUNCTION("""COMPUTED_VALUE"""),554)</f>
        <v>554</v>
      </c>
      <c r="B523" s="5">
        <f ca="1">IFERROR(__xludf.DUMMYFUNCTION("""COMPUTED_VALUE"""),4015)</f>
        <v>4015</v>
      </c>
      <c r="C523" s="5" t="str">
        <f ca="1">IFERROR(__xludf.DUMMYFUNCTION("""COMPUTED_VALUE"""),"Fazi")</f>
        <v>Fazi</v>
      </c>
      <c r="D523" s="5" t="str">
        <f ca="1">IFERROR(__xludf.DUMMYFUNCTION("""COMPUTED_VALUE"""),"Max Bet Hot 40")</f>
        <v>Max Bet Hot 40</v>
      </c>
      <c r="E523" s="5" t="str">
        <f ca="1">IFERROR(__xludf.DUMMYFUNCTION("""COMPUTED_VALUE"""),"Sertifikacioni")</f>
        <v>Sertifikacioni</v>
      </c>
      <c r="F523" s="5" t="str">
        <f ca="1">IFERROR(__xludf.DUMMYFUNCTION("""COMPUTED_VALUE"""),"MaxBetHot40")</f>
        <v>MaxBetHot40</v>
      </c>
      <c r="G523" s="5" t="str">
        <f ca="1">IFERROR(__xludf.DUMMYFUNCTION("""COMPUTED_VALUE"""),"Live")</f>
        <v>Live</v>
      </c>
      <c r="H523" s="5" t="str">
        <f ca="1">IFERROR(__xludf.DUMMYFUNCTION("""COMPUTED_VALUE"""),"MaxBet")</f>
        <v>MaxBet</v>
      </c>
      <c r="I523" s="5" t="str">
        <f ca="1">IFERROR(__xludf.DUMMYFUNCTION("""COMPUTED_VALUE"""),"V2")</f>
        <v>V2</v>
      </c>
      <c r="J523" s="5" t="str">
        <f ca="1">IFERROR(__xludf.DUMMYFUNCTION("""COMPUTED_VALUE"""),"JSON")</f>
        <v>JSON</v>
      </c>
      <c r="K523" s="5" t="str">
        <f ca="1">IFERROR(__xludf.DUMMYFUNCTION("""COMPUTED_VALUE"""),"Slot")</f>
        <v>Slot</v>
      </c>
      <c r="L523" s="5" t="str">
        <f ca="1">IFERROR(__xludf.DUMMYFUNCTION("""COMPUTED_VALUE""")," Reskin")</f>
        <v xml:space="preserve"> Reskin</v>
      </c>
      <c r="M523" s="5" t="str">
        <f ca="1">IFERROR(__xludf.DUMMYFUNCTION("""COMPUTED_VALUE"""),"Wild Hot 40")</f>
        <v>Wild Hot 40</v>
      </c>
      <c r="N523" s="5"/>
      <c r="O523" s="5"/>
      <c r="P523" s="5"/>
      <c r="Q523" s="15">
        <f ca="1">IFERROR(__xludf.DUMMYFUNCTION("""COMPUTED_VALUE"""),45741)</f>
        <v>45741</v>
      </c>
      <c r="R523" s="5"/>
      <c r="S523" s="5"/>
      <c r="T523" s="5"/>
      <c r="U523" s="5" t="str">
        <f ca="1">IFERROR(__xludf.DUMMYFUNCTION("""COMPUTED_VALUE"""),"5x4")</f>
        <v>5x4</v>
      </c>
      <c r="V523" s="5">
        <f ca="1">IFERROR(__xludf.DUMMYFUNCTION("""COMPUTED_VALUE"""),40)</f>
        <v>40</v>
      </c>
      <c r="W523" s="5">
        <f ca="1">IFERROR(__xludf.DUMMYFUNCTION("""COMPUTED_VALUE"""),40)</f>
        <v>40</v>
      </c>
      <c r="X523" s="5">
        <f ca="1">IFERROR(__xludf.DUMMYFUNCTION("""COMPUTED_VALUE"""),96.584)</f>
        <v>96.584000000000003</v>
      </c>
      <c r="Y523" s="5" t="str">
        <f ca="1">IFERROR(__xludf.DUMMYFUNCTION("""COMPUTED_VALUE"""),"Low")</f>
        <v>Low</v>
      </c>
      <c r="Z523" s="5">
        <f ca="1">IFERROR(__xludf.DUMMYFUNCTION("""COMPUTED_VALUE"""),16.73)</f>
        <v>16.73</v>
      </c>
      <c r="AA523" s="5">
        <f ca="1">IFERROR(__xludf.DUMMYFUNCTION("""COMPUTED_VALUE"""),1000)</f>
        <v>1000</v>
      </c>
      <c r="AB523" s="5"/>
      <c r="AC523" s="5" t="str">
        <f ca="1">IFERROR(__xludf.DUMMYFUNCTION("""COMPUTED_VALUE"""),"Wild Symbol, Scatter")</f>
        <v>Wild Symbol, Scatter</v>
      </c>
      <c r="AD523" s="5" t="str">
        <f ca="1">IFERROR(__xludf.DUMMYFUNCTION("""COMPUTED_VALUE"""),"0.40/60")</f>
        <v>0.40/60</v>
      </c>
      <c r="AE523" s="5"/>
      <c r="AF523" s="5"/>
      <c r="AG523" s="10">
        <f ca="1">IFERROR(__xludf.DUMMYFUNCTION("""COMPUTED_VALUE"""),46161.448912037)</f>
        <v>46161.448912036998</v>
      </c>
      <c r="AH523" s="5" t="str">
        <f ca="1">IFERROR(__xludf.DUMMYFUNCTION("""COMPUTED_VALUE"""),"danilo.subic@fazi.rs")</f>
        <v>danilo.subic@fazi.rs</v>
      </c>
      <c r="AI523" s="15">
        <f ca="1">IFERROR(__xludf.DUMMYFUNCTION("""COMPUTED_VALUE"""),45747)</f>
        <v>45747</v>
      </c>
      <c r="AJ523" s="5"/>
      <c r="AK523" s="5">
        <f ca="1">IFERROR(__xludf.DUMMYFUNCTION("""COMPUTED_VALUE"""),40)</f>
        <v>40</v>
      </c>
      <c r="AL523" s="5" t="str">
        <f ca="1">IFERROR(__xludf.DUMMYFUNCTION("""COMPUTED_VALUE"""),"Yes")</f>
        <v>Yes</v>
      </c>
      <c r="AM523" s="5"/>
      <c r="AN523" s="5"/>
      <c r="AO523" s="5"/>
      <c r="AP523" s="5" t="str">
        <f ca="1">IFERROR(__xludf.DUMMYFUNCTION("""COMPUTED_VALUE"""),"Yes")</f>
        <v>Yes</v>
      </c>
      <c r="AQ523" s="5"/>
      <c r="AR523" s="5" t="b">
        <f ca="1">IFERROR(__xludf.DUMMYFUNCTION("""COMPUTED_VALUE"""),TRUE)</f>
        <v>1</v>
      </c>
      <c r="AS523" s="5"/>
      <c r="AT523" s="5"/>
      <c r="AU523" s="5" t="str">
        <f ca="1">IFERROR(__xludf.DUMMYFUNCTION("""COMPUTED_VALUE"""),"Fazi")</f>
        <v>Fazi</v>
      </c>
      <c r="AV523" s="5"/>
      <c r="AW523" s="5"/>
      <c r="AX523" s="5"/>
      <c r="AY523" s="5"/>
      <c r="AZ523" s="5"/>
      <c r="BA523" s="5"/>
      <c r="BB523" s="5"/>
      <c r="BC523" s="5" t="str">
        <f ca="1">IFERROR(__xludf.DUMMYFUNCTION("""COMPUTED_VALUE"""),"Foxi")</f>
        <v>Foxi</v>
      </c>
      <c r="BD523" s="5" t="str">
        <f ca="1">IFERROR(__xludf.DUMMYFUNCTION("""COMPUTED_VALUE"""),"")</f>
        <v/>
      </c>
      <c r="BE523" s="5"/>
    </row>
    <row r="524" spans="1:57" x14ac:dyDescent="0.25">
      <c r="A524" s="5">
        <f ca="1">IFERROR(__xludf.DUMMYFUNCTION("""COMPUTED_VALUE"""),555)</f>
        <v>555</v>
      </c>
      <c r="B524" s="5">
        <f ca="1">IFERROR(__xludf.DUMMYFUNCTION("""COMPUTED_VALUE"""),4012)</f>
        <v>4012</v>
      </c>
      <c r="C524" s="5" t="str">
        <f ca="1">IFERROR(__xludf.DUMMYFUNCTION("""COMPUTED_VALUE"""),"Fazi")</f>
        <v>Fazi</v>
      </c>
      <c r="D524" s="5" t="str">
        <f ca="1">IFERROR(__xludf.DUMMYFUNCTION("""COMPUTED_VALUE"""),"Senator Hot 5")</f>
        <v>Senator Hot 5</v>
      </c>
      <c r="E524" s="5" t="str">
        <f ca="1">IFERROR(__xludf.DUMMYFUNCTION("""COMPUTED_VALUE"""),"Sertifikacioni")</f>
        <v>Sertifikacioni</v>
      </c>
      <c r="F524" s="5" t="str">
        <f ca="1">IFERROR(__xludf.DUMMYFUNCTION("""COMPUTED_VALUE"""),"SenatorHot5")</f>
        <v>SenatorHot5</v>
      </c>
      <c r="G524" s="5" t="str">
        <f ca="1">IFERROR(__xludf.DUMMYFUNCTION("""COMPUTED_VALUE"""),"Live")</f>
        <v>Live</v>
      </c>
      <c r="H524" s="5"/>
      <c r="I524" s="5" t="str">
        <f ca="1">IFERROR(__xludf.DUMMYFUNCTION("""COMPUTED_VALUE"""),"V2")</f>
        <v>V2</v>
      </c>
      <c r="J524" s="5" t="str">
        <f ca="1">IFERROR(__xludf.DUMMYFUNCTION("""COMPUTED_VALUE"""),"Binary")</f>
        <v>Binary</v>
      </c>
      <c r="K524" s="5" t="str">
        <f ca="1">IFERROR(__xludf.DUMMYFUNCTION("""COMPUTED_VALUE"""),"Slot")</f>
        <v>Slot</v>
      </c>
      <c r="L524" s="5" t="str">
        <f ca="1">IFERROR(__xludf.DUMMYFUNCTION("""COMPUTED_VALUE""")," Reskin")</f>
        <v xml:space="preserve"> Reskin</v>
      </c>
      <c r="M524" s="5" t="str">
        <f ca="1">IFERROR(__xludf.DUMMYFUNCTION("""COMPUTED_VALUE"""),"Very Hot 5")</f>
        <v>Very Hot 5</v>
      </c>
      <c r="N524" s="5"/>
      <c r="O524" s="5"/>
      <c r="P524" s="5"/>
      <c r="Q524" s="15">
        <f ca="1">IFERROR(__xludf.DUMMYFUNCTION("""COMPUTED_VALUE"""),45741)</f>
        <v>45741</v>
      </c>
      <c r="R524" s="5"/>
      <c r="S524" s="5"/>
      <c r="T524" s="5"/>
      <c r="U524" s="5" t="str">
        <f ca="1">IFERROR(__xludf.DUMMYFUNCTION("""COMPUTED_VALUE"""),"5x3")</f>
        <v>5x3</v>
      </c>
      <c r="V524" s="5">
        <f ca="1">IFERROR(__xludf.DUMMYFUNCTION("""COMPUTED_VALUE"""),5)</f>
        <v>5</v>
      </c>
      <c r="W524" s="5">
        <f ca="1">IFERROR(__xludf.DUMMYFUNCTION("""COMPUTED_VALUE"""),5)</f>
        <v>5</v>
      </c>
      <c r="X524" s="5">
        <f ca="1">IFERROR(__xludf.DUMMYFUNCTION("""COMPUTED_VALUE"""),96.447)</f>
        <v>96.447000000000003</v>
      </c>
      <c r="Y524" s="5" t="str">
        <f ca="1">IFERROR(__xludf.DUMMYFUNCTION("""COMPUTED_VALUE"""),"Medium")</f>
        <v>Medium</v>
      </c>
      <c r="Z524" s="5">
        <f ca="1">IFERROR(__xludf.DUMMYFUNCTION("""COMPUTED_VALUE"""),14.51)</f>
        <v>14.51</v>
      </c>
      <c r="AA524" s="5">
        <f ca="1">IFERROR(__xludf.DUMMYFUNCTION("""COMPUTED_VALUE"""),1222)</f>
        <v>1222</v>
      </c>
      <c r="AB524" s="5">
        <f ca="1">IFERROR(__xludf.DUMMYFUNCTION("""COMPUTED_VALUE"""),4)</f>
        <v>4</v>
      </c>
      <c r="AC524" s="5" t="str">
        <f ca="1">IFERROR(__xludf.DUMMYFUNCTION("""COMPUTED_VALUE"""),"Scatter, Expanding Wild")</f>
        <v>Scatter, Expanding Wild</v>
      </c>
      <c r="AD524" s="5"/>
      <c r="AE524" s="5"/>
      <c r="AF524" s="5"/>
      <c r="AG524" s="10">
        <f ca="1">IFERROR(__xludf.DUMMYFUNCTION("""COMPUTED_VALUE"""),45995.5763310185)</f>
        <v>45995.576331018499</v>
      </c>
      <c r="AH524" s="5" t="str">
        <f ca="1">IFERROR(__xludf.DUMMYFUNCTION("""COMPUTED_VALUE"""),"djordje.jankovic@fazi.rs")</f>
        <v>djordje.jankovic@fazi.rs</v>
      </c>
      <c r="AI524" s="15">
        <f ca="1">IFERROR(__xludf.DUMMYFUNCTION("""COMPUTED_VALUE"""),45747)</f>
        <v>45747</v>
      </c>
      <c r="AJ524" s="5"/>
      <c r="AK524" s="5">
        <f ca="1">IFERROR(__xludf.DUMMYFUNCTION("""COMPUTED_VALUE"""),5)</f>
        <v>5</v>
      </c>
      <c r="AL524" s="5" t="str">
        <f ca="1">IFERROR(__xludf.DUMMYFUNCTION("""COMPUTED_VALUE"""),"Yes")</f>
        <v>Yes</v>
      </c>
      <c r="AM524" s="5"/>
      <c r="AN524" s="5"/>
      <c r="AO524" s="5"/>
      <c r="AP524" s="5"/>
      <c r="AQ524" s="5"/>
      <c r="AR524" s="5" t="b">
        <f ca="1">IFERROR(__xludf.DUMMYFUNCTION("""COMPUTED_VALUE"""),TRUE)</f>
        <v>1</v>
      </c>
      <c r="AS524" s="5"/>
      <c r="AT524" s="5"/>
      <c r="AU524" s="5" t="str">
        <f ca="1">IFERROR(__xludf.DUMMYFUNCTION("""COMPUTED_VALUE"""),"Fazi")</f>
        <v>Fazi</v>
      </c>
      <c r="AV524" s="5"/>
      <c r="AW524" s="5"/>
      <c r="AX524" s="5"/>
      <c r="AY524" s="5"/>
      <c r="AZ524" s="5"/>
      <c r="BA524" s="5" t="str">
        <f ca="1">IFERROR(__xludf.DUMMYFUNCTION("""COMPUTED_VALUE"""),"")</f>
        <v/>
      </c>
      <c r="BB524" s="5"/>
      <c r="BC524" s="5" t="str">
        <f ca="1">IFERROR(__xludf.DUMMYFUNCTION("""COMPUTED_VALUE"""),"Foxi")</f>
        <v>Foxi</v>
      </c>
      <c r="BD524" s="5" t="str">
        <f ca="1">IFERROR(__xludf.DUMMYFUNCTION("""COMPUTED_VALUE"""),"")</f>
        <v/>
      </c>
      <c r="BE524" s="5"/>
    </row>
    <row r="525" spans="1:57" x14ac:dyDescent="0.25">
      <c r="A525" s="5">
        <f ca="1">IFERROR(__xludf.DUMMYFUNCTION("""COMPUTED_VALUE"""),556)</f>
        <v>556</v>
      </c>
      <c r="B525" s="5">
        <f ca="1">IFERROR(__xludf.DUMMYFUNCTION("""COMPUTED_VALUE"""),4016)</f>
        <v>4016</v>
      </c>
      <c r="C525" s="5" t="str">
        <f ca="1">IFERROR(__xludf.DUMMYFUNCTION("""COMPUTED_VALUE"""),"Fazi")</f>
        <v>Fazi</v>
      </c>
      <c r="D525" s="5" t="str">
        <f ca="1">IFERROR(__xludf.DUMMYFUNCTION("""COMPUTED_VALUE"""),"Most Bet 27")</f>
        <v>Most Bet 27</v>
      </c>
      <c r="E525" s="5" t="str">
        <f ca="1">IFERROR(__xludf.DUMMYFUNCTION("""COMPUTED_VALUE"""),"Sertifikacioni")</f>
        <v>Sertifikacioni</v>
      </c>
      <c r="F525" s="5" t="str">
        <f ca="1">IFERROR(__xludf.DUMMYFUNCTION("""COMPUTED_VALUE"""),"MostBet27")</f>
        <v>MostBet27</v>
      </c>
      <c r="G525" s="5" t="str">
        <f ca="1">IFERROR(__xludf.DUMMYFUNCTION("""COMPUTED_VALUE"""),"Live")</f>
        <v>Live</v>
      </c>
      <c r="H525" s="5"/>
      <c r="I525" s="5" t="str">
        <f ca="1">IFERROR(__xludf.DUMMYFUNCTION("""COMPUTED_VALUE"""),"V4")</f>
        <v>V4</v>
      </c>
      <c r="J525" s="5" t="str">
        <f ca="1">IFERROR(__xludf.DUMMYFUNCTION("""COMPUTED_VALUE"""),"JSON")</f>
        <v>JSON</v>
      </c>
      <c r="K525" s="5" t="str">
        <f ca="1">IFERROR(__xludf.DUMMYFUNCTION("""COMPUTED_VALUE"""),"Slot")</f>
        <v>Slot</v>
      </c>
      <c r="L525" s="5" t="str">
        <f ca="1">IFERROR(__xludf.DUMMYFUNCTION("""COMPUTED_VALUE""")," Reskin")</f>
        <v xml:space="preserve"> Reskin</v>
      </c>
      <c r="M525" s="5" t="str">
        <f ca="1">IFERROR(__xludf.DUMMYFUNCTION("""COMPUTED_VALUE"""),"Wild 27")</f>
        <v>Wild 27</v>
      </c>
      <c r="N525" s="5"/>
      <c r="O525" s="5"/>
      <c r="P525" s="5"/>
      <c r="Q525" s="15">
        <f ca="1">IFERROR(__xludf.DUMMYFUNCTION("""COMPUTED_VALUE"""),45741)</f>
        <v>45741</v>
      </c>
      <c r="R525" s="5"/>
      <c r="S525" s="5"/>
      <c r="T525" s="5"/>
      <c r="U525" s="5" t="str">
        <f ca="1">IFERROR(__xludf.DUMMYFUNCTION("""COMPUTED_VALUE"""),"3x3")</f>
        <v>3x3</v>
      </c>
      <c r="V525" s="5">
        <f ca="1">IFERROR(__xludf.DUMMYFUNCTION("""COMPUTED_VALUE"""),27)</f>
        <v>27</v>
      </c>
      <c r="W525" s="5">
        <f ca="1">IFERROR(__xludf.DUMMYFUNCTION("""COMPUTED_VALUE"""),27)</f>
        <v>27</v>
      </c>
      <c r="X525" s="5">
        <f ca="1">IFERROR(__xludf.DUMMYFUNCTION("""COMPUTED_VALUE"""),96.24)</f>
        <v>96.24</v>
      </c>
      <c r="Y525" s="5" t="str">
        <f ca="1">IFERROR(__xludf.DUMMYFUNCTION("""COMPUTED_VALUE"""),"Low")</f>
        <v>Low</v>
      </c>
      <c r="Z525" s="5">
        <f ca="1">IFERROR(__xludf.DUMMYFUNCTION("""COMPUTED_VALUE"""),6.58)</f>
        <v>6.58</v>
      </c>
      <c r="AA525" s="5">
        <f ca="1">IFERROR(__xludf.DUMMYFUNCTION("""COMPUTED_VALUE"""),108)</f>
        <v>108</v>
      </c>
      <c r="AB525" s="5"/>
      <c r="AC525" s="5" t="str">
        <f ca="1">IFERROR(__xludf.DUMMYFUNCTION("""COMPUTED_VALUE"""),"Win Multiplier")</f>
        <v>Win Multiplier</v>
      </c>
      <c r="AD525" s="5" t="str">
        <f ca="1">IFERROR(__xludf.DUMMYFUNCTION("""COMPUTED_VALUE"""),"0.1/40")</f>
        <v>0.1/40</v>
      </c>
      <c r="AE525" s="5"/>
      <c r="AF525" s="5"/>
      <c r="AG525" s="10">
        <f ca="1">IFERROR(__xludf.DUMMYFUNCTION("""COMPUTED_VALUE"""),46213.4465393518)</f>
        <v>46213.446539351797</v>
      </c>
      <c r="AH525" s="5" t="str">
        <f ca="1">IFERROR(__xludf.DUMMYFUNCTION("""COMPUTED_VALUE"""),"djordje.petrovic@fazi.rs")</f>
        <v>djordje.petrovic@fazi.rs</v>
      </c>
      <c r="AI525" s="15">
        <f ca="1">IFERROR(__xludf.DUMMYFUNCTION("""COMPUTED_VALUE"""),45747)</f>
        <v>45747</v>
      </c>
      <c r="AJ525" s="5"/>
      <c r="AK525" s="5">
        <f ca="1">IFERROR(__xludf.DUMMYFUNCTION("""COMPUTED_VALUE"""),1)</f>
        <v>1</v>
      </c>
      <c r="AL525" s="5" t="str">
        <f ca="1">IFERROR(__xludf.DUMMYFUNCTION("""COMPUTED_VALUE"""),"Yes")</f>
        <v>Yes</v>
      </c>
      <c r="AM525" s="5"/>
      <c r="AN525" s="5"/>
      <c r="AO525" s="5"/>
      <c r="AP525" s="5" t="str">
        <f ca="1">IFERROR(__xludf.DUMMYFUNCTION("""COMPUTED_VALUE"""),"No")</f>
        <v>No</v>
      </c>
      <c r="AQ525" s="5"/>
      <c r="AR525" s="5" t="b">
        <f ca="1">IFERROR(__xludf.DUMMYFUNCTION("""COMPUTED_VALUE"""),TRUE)</f>
        <v>1</v>
      </c>
      <c r="AS525" s="5"/>
      <c r="AT525" s="5"/>
      <c r="AU525" s="5" t="str">
        <f ca="1">IFERROR(__xludf.DUMMYFUNCTION("""COMPUTED_VALUE"""),"Fazi")</f>
        <v>Fazi</v>
      </c>
      <c r="AV525" s="5"/>
      <c r="AW525" s="5"/>
      <c r="AX525" s="5"/>
      <c r="AY525" s="5"/>
      <c r="AZ525" s="5"/>
      <c r="BA525" s="5"/>
      <c r="BB525" s="5"/>
      <c r="BC525" s="5" t="str">
        <f ca="1">IFERROR(__xludf.DUMMYFUNCTION("""COMPUTED_VALUE"""),"Foxi")</f>
        <v>Foxi</v>
      </c>
      <c r="BD525" s="5"/>
      <c r="BE525" s="5"/>
    </row>
    <row r="526" spans="1:57" x14ac:dyDescent="0.25">
      <c r="A526" s="5">
        <f ca="1">IFERROR(__xludf.DUMMYFUNCTION("""COMPUTED_VALUE"""),557)</f>
        <v>557</v>
      </c>
      <c r="B526" s="5">
        <f ca="1">IFERROR(__xludf.DUMMYFUNCTION("""COMPUTED_VALUE"""),501)</f>
        <v>501</v>
      </c>
      <c r="C526" s="5" t="str">
        <f ca="1">IFERROR(__xludf.DUMMYFUNCTION("""COMPUTED_VALUE"""),"Tiptop")</f>
        <v>Tiptop</v>
      </c>
      <c r="D526" s="5" t="str">
        <f ca="1">IFERROR(__xludf.DUMMYFUNCTION("""COMPUTED_VALUE"""),"Enchanted Gems")</f>
        <v>Enchanted Gems</v>
      </c>
      <c r="E526" s="5" t="str">
        <f ca="1">IFERROR(__xludf.DUMMYFUNCTION("""COMPUTED_VALUE"""),"Sertifikacioni")</f>
        <v>Sertifikacioni</v>
      </c>
      <c r="F526" s="5" t="str">
        <f ca="1">IFERROR(__xludf.DUMMYFUNCTION("""COMPUTED_VALUE"""),"UnicornEnchantedGems")</f>
        <v>UnicornEnchantedGems</v>
      </c>
      <c r="G526" s="5" t="str">
        <f ca="1">IFERROR(__xludf.DUMMYFUNCTION("""COMPUTED_VALUE"""),"Live")</f>
        <v>Live</v>
      </c>
      <c r="H526" s="5"/>
      <c r="I526" s="5" t="str">
        <f ca="1">IFERROR(__xludf.DUMMYFUNCTION("""COMPUTED_VALUE"""),"TipTop")</f>
        <v>TipTop</v>
      </c>
      <c r="J526" s="5" t="str">
        <f ca="1">IFERROR(__xludf.DUMMYFUNCTION("""COMPUTED_VALUE"""),"JSON")</f>
        <v>JSON</v>
      </c>
      <c r="K526" s="5" t="str">
        <f ca="1">IFERROR(__xludf.DUMMYFUNCTION("""COMPUTED_VALUE"""),"Slot")</f>
        <v>Slot</v>
      </c>
      <c r="L526" s="5" t="str">
        <f ca="1">IFERROR(__xludf.DUMMYFUNCTION("""COMPUTED_VALUE""")," Clone")</f>
        <v xml:space="preserve"> Clone</v>
      </c>
      <c r="M526" s="5" t="str">
        <f ca="1">IFERROR(__xludf.DUMMYFUNCTION("""COMPUTED_VALUE"""),"Simply Sevens")</f>
        <v>Simply Sevens</v>
      </c>
      <c r="N526" s="5"/>
      <c r="O526" s="5"/>
      <c r="P526" s="14">
        <f ca="1">IFERROR(__xludf.DUMMYFUNCTION("""COMPUTED_VALUE"""),13.6)</f>
        <v>13.6</v>
      </c>
      <c r="Q526" s="5"/>
      <c r="R526" s="15">
        <f ca="1">IFERROR(__xludf.DUMMYFUNCTION("""COMPUTED_VALUE"""),45835)</f>
        <v>45835</v>
      </c>
      <c r="S526" s="15">
        <f ca="1">IFERROR(__xludf.DUMMYFUNCTION("""COMPUTED_VALUE"""),45841)</f>
        <v>45841</v>
      </c>
      <c r="T526" s="5" t="b">
        <f ca="1">IFERROR(__xludf.DUMMYFUNCTION("""COMPUTED_VALUE"""),TRUE)</f>
        <v>1</v>
      </c>
      <c r="U526" s="5" t="str">
        <f ca="1">IFERROR(__xludf.DUMMYFUNCTION("""COMPUTED_VALUE"""),"5x3")</f>
        <v>5x3</v>
      </c>
      <c r="V526" s="5">
        <f ca="1">IFERROR(__xludf.DUMMYFUNCTION("""COMPUTED_VALUE"""),10)</f>
        <v>10</v>
      </c>
      <c r="W526" s="5">
        <f ca="1">IFERROR(__xludf.DUMMYFUNCTION("""COMPUTED_VALUE"""),10)</f>
        <v>10</v>
      </c>
      <c r="X526" s="5">
        <f ca="1">IFERROR(__xludf.DUMMYFUNCTION("""COMPUTED_VALUE"""),96)</f>
        <v>96</v>
      </c>
      <c r="Y526" s="5" t="str">
        <f ca="1">IFERROR(__xludf.DUMMYFUNCTION("""COMPUTED_VALUE"""),"Low")</f>
        <v>Low</v>
      </c>
      <c r="Z526" s="5">
        <f ca="1">IFERROR(__xludf.DUMMYFUNCTION("""COMPUTED_VALUE"""),24.14)</f>
        <v>24.14</v>
      </c>
      <c r="AA526" s="5">
        <f ca="1">IFERROR(__xludf.DUMMYFUNCTION("""COMPUTED_VALUE"""),10000)</f>
        <v>10000</v>
      </c>
      <c r="AB526" s="5"/>
      <c r="AC526" s="5"/>
      <c r="AD526" s="5" t="str">
        <f ca="1">IFERROR(__xludf.DUMMYFUNCTION("""COMPUTED_VALUE"""),"0.1/100")</f>
        <v>0.1/100</v>
      </c>
      <c r="AE526" s="5"/>
      <c r="AF526" s="5"/>
      <c r="AG526" s="10">
        <f ca="1">IFERROR(__xludf.DUMMYFUNCTION("""COMPUTED_VALUE"""),46197.4991435185)</f>
        <v>46197.4991435185</v>
      </c>
      <c r="AH526" s="5" t="str">
        <f ca="1">IFERROR(__xludf.DUMMYFUNCTION("""COMPUTED_VALUE"""),"selena.mihajlovic@fazi.rs")</f>
        <v>selena.mihajlovic@fazi.rs</v>
      </c>
      <c r="AI526" s="5"/>
      <c r="AJ526" s="5"/>
      <c r="AK526" s="5">
        <f ca="1">IFERROR(__xludf.DUMMYFUNCTION("""COMPUTED_VALUE"""),10)</f>
        <v>10</v>
      </c>
      <c r="AL526" s="5" t="str">
        <f ca="1">IFERROR(__xludf.DUMMYFUNCTION("""COMPUTED_VALUE"""),"No")</f>
        <v>No</v>
      </c>
      <c r="AM526" s="5"/>
      <c r="AN526" s="7" t="str">
        <f ca="1">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AO526" s="5"/>
      <c r="AP526" s="5"/>
      <c r="AQ526" s="5" t="b">
        <f ca="1">IFERROR(__xludf.DUMMYFUNCTION("""COMPUTED_VALUE"""),TRUE)</f>
        <v>1</v>
      </c>
      <c r="AR526" s="5"/>
      <c r="AS526" s="5" t="str">
        <f ca="1">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AT526" s="5"/>
      <c r="AU526" s="5" t="str">
        <f ca="1">IFERROR(__xludf.DUMMYFUNCTION("""COMPUTED_VALUE"""),"Fazi")</f>
        <v>Fazi</v>
      </c>
      <c r="AV526" s="5"/>
      <c r="AW526" s="5"/>
      <c r="AX526" s="5"/>
      <c r="AY526" s="5"/>
      <c r="AZ526" s="5"/>
      <c r="BA526" s="5"/>
      <c r="BB526" s="5" t="b">
        <f ca="1">IFERROR(__xludf.DUMMYFUNCTION("""COMPUTED_VALUE"""),TRUE)</f>
        <v>1</v>
      </c>
      <c r="BC526" s="5" t="str">
        <f ca="1">IFERROR(__xludf.DUMMYFUNCTION("""COMPUTED_VALUE"""),"Tiptop")</f>
        <v>Tiptop</v>
      </c>
      <c r="BD526" s="7" t="str">
        <f ca="1">IFERROR(__xludf.DUMMYFUNCTION("""COMPUTED_VALUE"""),"https://gameserver-store-client-area.orbionlimited.com/Home/IntegrationGameLaunch/client-area?moneyType=0&amp;gameName=UnicornEnchantedGems&amp;platform=desktop&amp;languageCode=eng&amp;currency=EUR")</f>
        <v>https://gameserver-store-client-area.orbionlimited.com/Home/IntegrationGameLaunch/client-area?moneyType=0&amp;gameName=UnicornEnchantedGems&amp;platform=desktop&amp;languageCode=eng&amp;currency=EUR</v>
      </c>
      <c r="BE526" s="5" t="b">
        <f ca="1">IFERROR(__xludf.DUMMYFUNCTION("""COMPUTED_VALUE"""),TRUE)</f>
        <v>1</v>
      </c>
    </row>
    <row r="527" spans="1:57" x14ac:dyDescent="0.25">
      <c r="A527" s="5">
        <f ca="1">IFERROR(__xludf.DUMMYFUNCTION("""COMPUTED_VALUE"""),558)</f>
        <v>558</v>
      </c>
      <c r="B527" s="5">
        <f ca="1">IFERROR(__xludf.DUMMYFUNCTION("""COMPUTED_VALUE"""),502)</f>
        <v>502</v>
      </c>
      <c r="C527" s="5" t="str">
        <f ca="1">IFERROR(__xludf.DUMMYFUNCTION("""COMPUTED_VALUE"""),"Tiptop")</f>
        <v>Tiptop</v>
      </c>
      <c r="D527" s="5" t="str">
        <f ca="1">IFERROR(__xludf.DUMMYFUNCTION("""COMPUTED_VALUE"""),"Supreme Sevens Dice")</f>
        <v>Supreme Sevens Dice</v>
      </c>
      <c r="E527" s="5" t="str">
        <f ca="1">IFERROR(__xludf.DUMMYFUNCTION("""COMPUTED_VALUE"""),"Sertifikacioni")</f>
        <v>Sertifikacioni</v>
      </c>
      <c r="F527" s="5" t="str">
        <f ca="1">IFERROR(__xludf.DUMMYFUNCTION("""COMPUTED_VALUE"""),"UnicornSupremeSevensDice")</f>
        <v>UnicornSupremeSevensDice</v>
      </c>
      <c r="G527" s="5" t="str">
        <f ca="1">IFERROR(__xludf.DUMMYFUNCTION("""COMPUTED_VALUE"""),"Live")</f>
        <v>Live</v>
      </c>
      <c r="H527" s="5"/>
      <c r="I527" s="5" t="str">
        <f ca="1">IFERROR(__xludf.DUMMYFUNCTION("""COMPUTED_VALUE"""),"TipTop")</f>
        <v>TipTop</v>
      </c>
      <c r="J527" s="5" t="str">
        <f ca="1">IFERROR(__xludf.DUMMYFUNCTION("""COMPUTED_VALUE"""),"JSON")</f>
        <v>JSON</v>
      </c>
      <c r="K527" s="5" t="str">
        <f ca="1">IFERROR(__xludf.DUMMYFUNCTION("""COMPUTED_VALUE"""),"Dice Slots")</f>
        <v>Dice Slots</v>
      </c>
      <c r="L527" s="5" t="str">
        <f ca="1">IFERROR(__xludf.DUMMYFUNCTION("""COMPUTED_VALUE""")," Clone")</f>
        <v xml:space="preserve"> Clone</v>
      </c>
      <c r="M527" s="5" t="str">
        <f ca="1">IFERROR(__xludf.DUMMYFUNCTION("""COMPUTED_VALUE"""),"Fruit Island")</f>
        <v>Fruit Island</v>
      </c>
      <c r="N527" s="5"/>
      <c r="O527" s="5"/>
      <c r="P527" s="14">
        <f ca="1">IFERROR(__xludf.DUMMYFUNCTION("""COMPUTED_VALUE"""),10.4)</f>
        <v>10.4</v>
      </c>
      <c r="Q527" s="5"/>
      <c r="R527" s="15">
        <f ca="1">IFERROR(__xludf.DUMMYFUNCTION("""COMPUTED_VALUE"""),45840)</f>
        <v>45840</v>
      </c>
      <c r="S527" s="15">
        <f ca="1">IFERROR(__xludf.DUMMYFUNCTION("""COMPUTED_VALUE"""),45847)</f>
        <v>45847</v>
      </c>
      <c r="T527" s="5" t="b">
        <f ca="1">IFERROR(__xludf.DUMMYFUNCTION("""COMPUTED_VALUE"""),TRUE)</f>
        <v>1</v>
      </c>
      <c r="U527" s="5" t="str">
        <f ca="1">IFERROR(__xludf.DUMMYFUNCTION("""COMPUTED_VALUE"""),"5x3")</f>
        <v>5x3</v>
      </c>
      <c r="V527" s="5">
        <f ca="1">IFERROR(__xludf.DUMMYFUNCTION("""COMPUTED_VALUE"""),5)</f>
        <v>5</v>
      </c>
      <c r="W527" s="5">
        <f ca="1">IFERROR(__xludf.DUMMYFUNCTION("""COMPUTED_VALUE"""),5)</f>
        <v>5</v>
      </c>
      <c r="X527" s="5">
        <f ca="1">IFERROR(__xludf.DUMMYFUNCTION("""COMPUTED_VALUE"""),96)</f>
        <v>96</v>
      </c>
      <c r="Y527" s="5" t="str">
        <f ca="1">IFERROR(__xludf.DUMMYFUNCTION("""COMPUTED_VALUE"""),"Low")</f>
        <v>Low</v>
      </c>
      <c r="Z527" s="5">
        <f ca="1">IFERROR(__xludf.DUMMYFUNCTION("""COMPUTED_VALUE"""),10.5)</f>
        <v>10.5</v>
      </c>
      <c r="AA527" s="5">
        <f ca="1">IFERROR(__xludf.DUMMYFUNCTION("""COMPUTED_VALUE"""),1000)</f>
        <v>1000</v>
      </c>
      <c r="AB527" s="5"/>
      <c r="AC527" s="5"/>
      <c r="AD527" s="5" t="str">
        <f ca="1">IFERROR(__xludf.DUMMYFUNCTION("""COMPUTED_VALUE"""),"0.05/100")</f>
        <v>0.05/100</v>
      </c>
      <c r="AE527" s="5"/>
      <c r="AF527" s="5"/>
      <c r="AG527" s="10">
        <f ca="1">IFERROR(__xludf.DUMMYFUNCTION("""COMPUTED_VALUE"""),46197.4993055555)</f>
        <v>46197.499305555502</v>
      </c>
      <c r="AH527" s="5" t="str">
        <f ca="1">IFERROR(__xludf.DUMMYFUNCTION("""COMPUTED_VALUE"""),"selena.mihajlovic@fazi.rs")</f>
        <v>selena.mihajlovic@fazi.rs</v>
      </c>
      <c r="AI527" s="5"/>
      <c r="AJ527" s="5"/>
      <c r="AK527" s="5">
        <f ca="1">IFERROR(__xludf.DUMMYFUNCTION("""COMPUTED_VALUE"""),5)</f>
        <v>5</v>
      </c>
      <c r="AL527" s="5" t="str">
        <f ca="1">IFERROR(__xludf.DUMMYFUNCTION("""COMPUTED_VALUE"""),"No")</f>
        <v>No</v>
      </c>
      <c r="AM527" s="5"/>
      <c r="AN527" s="7" t="str">
        <f ca="1">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AO527" s="5"/>
      <c r="AP527" s="5"/>
      <c r="AQ527" s="5" t="b">
        <f ca="1">IFERROR(__xludf.DUMMYFUNCTION("""COMPUTED_VALUE"""),TRUE)</f>
        <v>1</v>
      </c>
      <c r="AR527" s="5"/>
      <c r="AS527" s="5" t="str">
        <f ca="1">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27" s="5"/>
      <c r="AU527" s="5" t="str">
        <f ca="1">IFERROR(__xludf.DUMMYFUNCTION("""COMPUTED_VALUE"""),"Fazi")</f>
        <v>Fazi</v>
      </c>
      <c r="AV527" s="5"/>
      <c r="AW527" s="5"/>
      <c r="AX527" s="5"/>
      <c r="AY527" s="5"/>
      <c r="AZ527" s="5"/>
      <c r="BA527" s="5"/>
      <c r="BB527" s="5" t="b">
        <f ca="1">IFERROR(__xludf.DUMMYFUNCTION("""COMPUTED_VALUE"""),TRUE)</f>
        <v>1</v>
      </c>
      <c r="BC527" s="5" t="str">
        <f ca="1">IFERROR(__xludf.DUMMYFUNCTION("""COMPUTED_VALUE"""),"Tiptop")</f>
        <v>Tiptop</v>
      </c>
      <c r="BD527" s="7" t="str">
        <f ca="1">IFERROR(__xludf.DUMMYFUNCTION("""COMPUTED_VALUE"""),"https://gameserver-store-client-area.orbionlimited.com/Home/IntegrationGameLaunch/client-area?moneyType=0&amp;gameName=UnicornSupremeSevensDice&amp;platform=desktop&amp;languageCode=eng&amp;currency=EUR")</f>
        <v>https://gameserver-store-client-area.orbionlimited.com/Home/IntegrationGameLaunch/client-area?moneyType=0&amp;gameName=UnicornSupremeSevensDice&amp;platform=desktop&amp;languageCode=eng&amp;currency=EUR</v>
      </c>
      <c r="BE527" s="5" t="b">
        <f ca="1">IFERROR(__xludf.DUMMYFUNCTION("""COMPUTED_VALUE"""),TRUE)</f>
        <v>1</v>
      </c>
    </row>
    <row r="528" spans="1:57" x14ac:dyDescent="0.25">
      <c r="A528" s="5">
        <f ca="1">IFERROR(__xludf.DUMMYFUNCTION("""COMPUTED_VALUE"""),559)</f>
        <v>559</v>
      </c>
      <c r="B528" s="5">
        <f ca="1">IFERROR(__xludf.DUMMYFUNCTION("""COMPUTED_VALUE"""),373)</f>
        <v>373</v>
      </c>
      <c r="C528" s="5" t="str">
        <f ca="1">IFERROR(__xludf.DUMMYFUNCTION("""COMPUTED_VALUE"""),"Tiptop")</f>
        <v>Tiptop</v>
      </c>
      <c r="D528" s="5" t="str">
        <f ca="1">IFERROR(__xludf.DUMMYFUNCTION("""COMPUTED_VALUE"""),"Reely Wild Reels")</f>
        <v>Reely Wild Reels</v>
      </c>
      <c r="E528" s="5" t="str">
        <f ca="1">IFERROR(__xludf.DUMMYFUNCTION("""COMPUTED_VALUE"""),"V4-2")</f>
        <v>V4-2</v>
      </c>
      <c r="F528" s="5" t="str">
        <f ca="1">IFERROR(__xludf.DUMMYFUNCTION("""COMPUTED_VALUE"""),"UnicornReelyWildReels")</f>
        <v>UnicornReelyWildReels</v>
      </c>
      <c r="G528" s="5" t="str">
        <f ca="1">IFERROR(__xludf.DUMMYFUNCTION("""COMPUTED_VALUE"""),"Live")</f>
        <v>Live</v>
      </c>
      <c r="H528" s="5"/>
      <c r="I528" s="5" t="str">
        <f ca="1">IFERROR(__xludf.DUMMYFUNCTION("""COMPUTED_VALUE"""),"TipTop")</f>
        <v>TipTop</v>
      </c>
      <c r="J528" s="5" t="str">
        <f ca="1">IFERROR(__xludf.DUMMYFUNCTION("""COMPUTED_VALUE"""),"JSON")</f>
        <v>JSON</v>
      </c>
      <c r="K528" s="5" t="str">
        <f ca="1">IFERROR(__xludf.DUMMYFUNCTION("""COMPUTED_VALUE"""),"Slot")</f>
        <v>Slot</v>
      </c>
      <c r="L528" s="5" t="str">
        <f ca="1">IFERROR(__xludf.DUMMYFUNCTION("""COMPUTED_VALUE""")," Clone")</f>
        <v xml:space="preserve"> Clone</v>
      </c>
      <c r="M528" s="5" t="str">
        <f ca="1">IFERROR(__xludf.DUMMYFUNCTION("""COMPUTED_VALUE"""),"Casino Fruits")</f>
        <v>Casino Fruits</v>
      </c>
      <c r="N528" s="5"/>
      <c r="O528" s="5"/>
      <c r="P528" s="14">
        <f ca="1">IFERROR(__xludf.DUMMYFUNCTION("""COMPUTED_VALUE"""),10.5)</f>
        <v>10.5</v>
      </c>
      <c r="Q528" s="5"/>
      <c r="R528" s="15">
        <f ca="1">IFERROR(__xludf.DUMMYFUNCTION("""COMPUTED_VALUE"""),45846)</f>
        <v>45846</v>
      </c>
      <c r="S528" s="15">
        <f ca="1">IFERROR(__xludf.DUMMYFUNCTION("""COMPUTED_VALUE"""),45853)</f>
        <v>45853</v>
      </c>
      <c r="T528" s="5" t="b">
        <f ca="1">IFERROR(__xludf.DUMMYFUNCTION("""COMPUTED_VALUE"""),TRUE)</f>
        <v>1</v>
      </c>
      <c r="U528" s="5" t="str">
        <f ca="1">IFERROR(__xludf.DUMMYFUNCTION("""COMPUTED_VALUE"""),"5x3")</f>
        <v>5x3</v>
      </c>
      <c r="V528" s="5">
        <f ca="1">IFERROR(__xludf.DUMMYFUNCTION("""COMPUTED_VALUE"""),10)</f>
        <v>10</v>
      </c>
      <c r="W528" s="5">
        <f ca="1">IFERROR(__xludf.DUMMYFUNCTION("""COMPUTED_VALUE"""),10)</f>
        <v>10</v>
      </c>
      <c r="X528" s="5">
        <f ca="1">IFERROR(__xludf.DUMMYFUNCTION("""COMPUTED_VALUE"""),96)</f>
        <v>96</v>
      </c>
      <c r="Y528" s="5" t="str">
        <f ca="1">IFERROR(__xludf.DUMMYFUNCTION("""COMPUTED_VALUE"""),"Low")</f>
        <v>Low</v>
      </c>
      <c r="Z528" s="5">
        <f ca="1">IFERROR(__xludf.DUMMYFUNCTION("""COMPUTED_VALUE"""),12.79)</f>
        <v>12.79</v>
      </c>
      <c r="AA528" s="5">
        <f ca="1">IFERROR(__xludf.DUMMYFUNCTION("""COMPUTED_VALUE"""),2000)</f>
        <v>2000</v>
      </c>
      <c r="AB528" s="5"/>
      <c r="AC528" s="5"/>
      <c r="AD528" s="5" t="str">
        <f ca="1">IFERROR(__xludf.DUMMYFUNCTION("""COMPUTED_VALUE"""),"0.1/100")</f>
        <v>0.1/100</v>
      </c>
      <c r="AE528" s="5"/>
      <c r="AF528" s="5"/>
      <c r="AG528" s="10">
        <f ca="1">IFERROR(__xludf.DUMMYFUNCTION("""COMPUTED_VALUE"""),46197.495625)</f>
        <v>46197.495625000003</v>
      </c>
      <c r="AH528" s="5" t="str">
        <f ca="1">IFERROR(__xludf.DUMMYFUNCTION("""COMPUTED_VALUE"""),"selena.mihajlovic@fazi.rs")</f>
        <v>selena.mihajlovic@fazi.rs</v>
      </c>
      <c r="AI528" s="5"/>
      <c r="AJ528" s="5"/>
      <c r="AK528" s="5">
        <f ca="1">IFERROR(__xludf.DUMMYFUNCTION("""COMPUTED_VALUE"""),10)</f>
        <v>10</v>
      </c>
      <c r="AL528" s="5" t="str">
        <f ca="1">IFERROR(__xludf.DUMMYFUNCTION("""COMPUTED_VALUE"""),"No")</f>
        <v>No</v>
      </c>
      <c r="AM528" s="5"/>
      <c r="AN528" s="7" t="str">
        <f ca="1">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AO528" s="5"/>
      <c r="AP528" s="5"/>
      <c r="AQ528" s="5" t="b">
        <f ca="1">IFERROR(__xludf.DUMMYFUNCTION("""COMPUTED_VALUE"""),TRUE)</f>
        <v>1</v>
      </c>
      <c r="AR528" s="5"/>
      <c r="AS528" s="5" t="str">
        <f ca="1">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AT528" s="5"/>
      <c r="AU528" s="5" t="str">
        <f ca="1">IFERROR(__xludf.DUMMYFUNCTION("""COMPUTED_VALUE"""),"Fazi")</f>
        <v>Fazi</v>
      </c>
      <c r="AV528" s="5"/>
      <c r="AW528" s="5"/>
      <c r="AX528" s="5"/>
      <c r="AY528" s="5"/>
      <c r="AZ528" s="5"/>
      <c r="BA528" s="5"/>
      <c r="BB528" s="5" t="b">
        <f ca="1">IFERROR(__xludf.DUMMYFUNCTION("""COMPUTED_VALUE"""),TRUE)</f>
        <v>1</v>
      </c>
      <c r="BC528" s="5" t="str">
        <f ca="1">IFERROR(__xludf.DUMMYFUNCTION("""COMPUTED_VALUE"""),"Tiptop")</f>
        <v>Tiptop</v>
      </c>
      <c r="BD528" s="7" t="str">
        <f ca="1">IFERROR(__xludf.DUMMYFUNCTION("""COMPUTED_VALUE"""),"https://gameserver-store-client-area.orbionlimited.com/Home/IntegrationGameLaunch/client-area?moneyType=0&amp;gameName=UnicornReelyWildReels&amp;platform=desktop&amp;languageCode=eng&amp;currency=EUR")</f>
        <v>https://gameserver-store-client-area.orbionlimited.com/Home/IntegrationGameLaunch/client-area?moneyType=0&amp;gameName=UnicornReelyWildReels&amp;platform=desktop&amp;languageCode=eng&amp;currency=EUR</v>
      </c>
      <c r="BE528" s="5" t="b">
        <f ca="1">IFERROR(__xludf.DUMMYFUNCTION("""COMPUTED_VALUE"""),TRUE)</f>
        <v>1</v>
      </c>
    </row>
    <row r="529" spans="1:57" x14ac:dyDescent="0.25">
      <c r="A529" s="5">
        <f ca="1">IFERROR(__xludf.DUMMYFUNCTION("""COMPUTED_VALUE"""),560)</f>
        <v>560</v>
      </c>
      <c r="B529" s="5">
        <f ca="1">IFERROR(__xludf.DUMMYFUNCTION("""COMPUTED_VALUE"""),422)</f>
        <v>422</v>
      </c>
      <c r="C529" s="5" t="str">
        <f ca="1">IFERROR(__xludf.DUMMYFUNCTION("""COMPUTED_VALUE"""),"Tiptop")</f>
        <v>Tiptop</v>
      </c>
      <c r="D529" s="5" t="str">
        <f ca="1">IFERROR(__xludf.DUMMYFUNCTION("""COMPUTED_VALUE"""),"Dynamite Escape")</f>
        <v>Dynamite Escape</v>
      </c>
      <c r="E529" s="5" t="str">
        <f ca="1">IFERROR(__xludf.DUMMYFUNCTION("""COMPUTED_VALUE"""),"V4-2")</f>
        <v>V4-2</v>
      </c>
      <c r="F529" s="5" t="str">
        <f ca="1">IFERROR(__xludf.DUMMYFUNCTION("""COMPUTED_VALUE"""),"UnicornDynamiteEscape")</f>
        <v>UnicornDynamiteEscape</v>
      </c>
      <c r="G529" s="5" t="str">
        <f ca="1">IFERROR(__xludf.DUMMYFUNCTION("""COMPUTED_VALUE"""),"Live")</f>
        <v>Live</v>
      </c>
      <c r="H529" s="5"/>
      <c r="I529" s="5" t="str">
        <f ca="1">IFERROR(__xludf.DUMMYFUNCTION("""COMPUTED_VALUE"""),"TipTop")</f>
        <v>TipTop</v>
      </c>
      <c r="J529" s="5" t="str">
        <f ca="1">IFERROR(__xludf.DUMMYFUNCTION("""COMPUTED_VALUE"""),"JSON")</f>
        <v>JSON</v>
      </c>
      <c r="K529" s="5" t="str">
        <f ca="1">IFERROR(__xludf.DUMMYFUNCTION("""COMPUTED_VALUE"""),"Slot")</f>
        <v>Slot</v>
      </c>
      <c r="L529" s="5" t="str">
        <f ca="1">IFERROR(__xludf.DUMMYFUNCTION("""COMPUTED_VALUE"""),"Master")</f>
        <v>Master</v>
      </c>
      <c r="M529" s="5"/>
      <c r="N529" s="5"/>
      <c r="O529" s="5"/>
      <c r="P529" s="14">
        <f ca="1">IFERROR(__xludf.DUMMYFUNCTION("""COMPUTED_VALUE"""),13.7)</f>
        <v>13.7</v>
      </c>
      <c r="Q529" s="5"/>
      <c r="R529" s="15">
        <f ca="1">IFERROR(__xludf.DUMMYFUNCTION("""COMPUTED_VALUE"""),45855)</f>
        <v>45855</v>
      </c>
      <c r="S529" s="15">
        <f ca="1">IFERROR(__xludf.DUMMYFUNCTION("""COMPUTED_VALUE"""),45862)</f>
        <v>45862</v>
      </c>
      <c r="T529" s="5" t="b">
        <f ca="1">IFERROR(__xludf.DUMMYFUNCTION("""COMPUTED_VALUE"""),TRUE)</f>
        <v>1</v>
      </c>
      <c r="U529" s="5" t="str">
        <f ca="1">IFERROR(__xludf.DUMMYFUNCTION("""COMPUTED_VALUE"""),"5X3")</f>
        <v>5X3</v>
      </c>
      <c r="V529" s="5">
        <f ca="1">IFERROR(__xludf.DUMMYFUNCTION("""COMPUTED_VALUE"""),5)</f>
        <v>5</v>
      </c>
      <c r="W529" s="5">
        <f ca="1">IFERROR(__xludf.DUMMYFUNCTION("""COMPUTED_VALUE"""),5)</f>
        <v>5</v>
      </c>
      <c r="X529" s="5">
        <f ca="1">IFERROR(__xludf.DUMMYFUNCTION("""COMPUTED_VALUE"""),96)</f>
        <v>96</v>
      </c>
      <c r="Y529" s="5" t="str">
        <f ca="1">IFERROR(__xludf.DUMMYFUNCTION("""COMPUTED_VALUE"""),"Medium")</f>
        <v>Medium</v>
      </c>
      <c r="Z529" s="5">
        <f ca="1">IFERROR(__xludf.DUMMYFUNCTION("""COMPUTED_VALUE"""),19.17)</f>
        <v>19.170000000000002</v>
      </c>
      <c r="AA529" s="5">
        <f ca="1">IFERROR(__xludf.DUMMYFUNCTION("""COMPUTED_VALUE"""),4000)</f>
        <v>4000</v>
      </c>
      <c r="AB529" s="5"/>
      <c r="AC529" s="5"/>
      <c r="AD529" s="5" t="str">
        <f ca="1">IFERROR(__xludf.DUMMYFUNCTION("""COMPUTED_VALUE"""),"0.05/100")</f>
        <v>0.05/100</v>
      </c>
      <c r="AE529" s="5"/>
      <c r="AF529" s="5"/>
      <c r="AG529" s="10">
        <f ca="1">IFERROR(__xludf.DUMMYFUNCTION("""COMPUTED_VALUE"""),46197.4997222222)</f>
        <v>46197.499722222201</v>
      </c>
      <c r="AH529" s="5" t="str">
        <f ca="1">IFERROR(__xludf.DUMMYFUNCTION("""COMPUTED_VALUE"""),"selena.mihajlovic@fazi.rs")</f>
        <v>selena.mihajlovic@fazi.rs</v>
      </c>
      <c r="AI529" s="5"/>
      <c r="AJ529" s="5"/>
      <c r="AK529" s="5">
        <f ca="1">IFERROR(__xludf.DUMMYFUNCTION("""COMPUTED_VALUE"""),5)</f>
        <v>5</v>
      </c>
      <c r="AL529" s="5" t="str">
        <f ca="1">IFERROR(__xludf.DUMMYFUNCTION("""COMPUTED_VALUE"""),"No")</f>
        <v>No</v>
      </c>
      <c r="AM529" s="5"/>
      <c r="AN529" s="7" t="str">
        <f ca="1">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AO529" s="5"/>
      <c r="AP529" s="5"/>
      <c r="AQ529" s="5" t="b">
        <f ca="1">IFERROR(__xludf.DUMMYFUNCTION("""COMPUTED_VALUE"""),TRUE)</f>
        <v>1</v>
      </c>
      <c r="AR529" s="5"/>
      <c r="AS529" s="5" t="str">
        <f ca="1">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AT529" s="5"/>
      <c r="AU529" s="5" t="str">
        <f ca="1">IFERROR(__xludf.DUMMYFUNCTION("""COMPUTED_VALUE"""),"Fazi")</f>
        <v>Fazi</v>
      </c>
      <c r="AV529" s="5"/>
      <c r="AW529" s="5"/>
      <c r="AX529" s="5"/>
      <c r="AY529" s="5"/>
      <c r="AZ529" s="5"/>
      <c r="BA529" s="5"/>
      <c r="BB529" s="5" t="b">
        <f ca="1">IFERROR(__xludf.DUMMYFUNCTION("""COMPUTED_VALUE"""),TRUE)</f>
        <v>1</v>
      </c>
      <c r="BC529" s="5" t="str">
        <f ca="1">IFERROR(__xludf.DUMMYFUNCTION("""COMPUTED_VALUE"""),"Tiptop")</f>
        <v>Tiptop</v>
      </c>
      <c r="BD529" s="7" t="str">
        <f ca="1">IFERROR(__xludf.DUMMYFUNCTION("""COMPUTED_VALUE"""),"https://gameserver-store-client-area.orbionlimited.com/Home/IntegrationGameLaunch/client-area?moneyType=0&amp;gameName=UnicornDynamiteEscape&amp;platform=desktop&amp;languageCode=eng&amp;currency=EUR")</f>
        <v>https://gameserver-store-client-area.orbionlimited.com/Home/IntegrationGameLaunch/client-area?moneyType=0&amp;gameName=UnicornDynamiteEscape&amp;platform=desktop&amp;languageCode=eng&amp;currency=EUR</v>
      </c>
      <c r="BE529" s="5" t="b">
        <f ca="1">IFERROR(__xludf.DUMMYFUNCTION("""COMPUTED_VALUE"""),TRUE)</f>
        <v>1</v>
      </c>
    </row>
    <row r="530" spans="1:57" x14ac:dyDescent="0.25">
      <c r="A530" s="5">
        <f ca="1">IFERROR(__xludf.DUMMYFUNCTION("""COMPUTED_VALUE"""),561)</f>
        <v>561</v>
      </c>
      <c r="B530" s="5">
        <f ca="1">IFERROR(__xludf.DUMMYFUNCTION("""COMPUTED_VALUE"""),423)</f>
        <v>423</v>
      </c>
      <c r="C530" s="5" t="str">
        <f ca="1">IFERROR(__xludf.DUMMYFUNCTION("""COMPUTED_VALUE"""),"Tiptop")</f>
        <v>Tiptop</v>
      </c>
      <c r="D530" s="5" t="str">
        <f ca="1">IFERROR(__xludf.DUMMYFUNCTION("""COMPUTED_VALUE"""),"Buffalo Sevens Jackpot")</f>
        <v>Buffalo Sevens Jackpot</v>
      </c>
      <c r="E530" s="5" t="str">
        <f ca="1">IFERROR(__xludf.DUMMYFUNCTION("""COMPUTED_VALUE"""),"V4-2")</f>
        <v>V4-2</v>
      </c>
      <c r="F530" s="5" t="str">
        <f ca="1">IFERROR(__xludf.DUMMYFUNCTION("""COMPUTED_VALUE"""),"UnicornBuffaloSevensJackpot")</f>
        <v>UnicornBuffaloSevensJackpot</v>
      </c>
      <c r="G530" s="5" t="str">
        <f ca="1">IFERROR(__xludf.DUMMYFUNCTION("""COMPUTED_VALUE"""),"Live")</f>
        <v>Live</v>
      </c>
      <c r="H530" s="5"/>
      <c r="I530" s="5" t="str">
        <f ca="1">IFERROR(__xludf.DUMMYFUNCTION("""COMPUTED_VALUE"""),"TipTop")</f>
        <v>TipTop</v>
      </c>
      <c r="J530" s="5" t="str">
        <f ca="1">IFERROR(__xludf.DUMMYFUNCTION("""COMPUTED_VALUE"""),"JSON")</f>
        <v>JSON</v>
      </c>
      <c r="K530" s="5" t="str">
        <f ca="1">IFERROR(__xludf.DUMMYFUNCTION("""COMPUTED_VALUE"""),"Slot")</f>
        <v>Slot</v>
      </c>
      <c r="L530" s="5" t="str">
        <f ca="1">IFERROR(__xludf.DUMMYFUNCTION("""COMPUTED_VALUE"""),"Master")</f>
        <v>Master</v>
      </c>
      <c r="M530" s="5"/>
      <c r="N530" s="5"/>
      <c r="O530" s="5"/>
      <c r="P530" s="14">
        <f ca="1">IFERROR(__xludf.DUMMYFUNCTION("""COMPUTED_VALUE"""),11.8)</f>
        <v>11.8</v>
      </c>
      <c r="Q530" s="5"/>
      <c r="R530" s="15">
        <f ca="1">IFERROR(__xludf.DUMMYFUNCTION("""COMPUTED_VALUE"""),45862)</f>
        <v>45862</v>
      </c>
      <c r="S530" s="15">
        <f ca="1">IFERROR(__xludf.DUMMYFUNCTION("""COMPUTED_VALUE"""),45869)</f>
        <v>45869</v>
      </c>
      <c r="T530" s="5" t="b">
        <f ca="1">IFERROR(__xludf.DUMMYFUNCTION("""COMPUTED_VALUE"""),TRUE)</f>
        <v>1</v>
      </c>
      <c r="U530" s="5" t="str">
        <f ca="1">IFERROR(__xludf.DUMMYFUNCTION("""COMPUTED_VALUE"""),"5X3")</f>
        <v>5X3</v>
      </c>
      <c r="V530" s="5">
        <f ca="1">IFERROR(__xludf.DUMMYFUNCTION("""COMPUTED_VALUE"""),10)</f>
        <v>10</v>
      </c>
      <c r="W530" s="5">
        <f ca="1">IFERROR(__xludf.DUMMYFUNCTION("""COMPUTED_VALUE"""),10)</f>
        <v>10</v>
      </c>
      <c r="X530" s="5">
        <f ca="1">IFERROR(__xludf.DUMMYFUNCTION("""COMPUTED_VALUE"""),96)</f>
        <v>96</v>
      </c>
      <c r="Y530" s="5" t="str">
        <f ca="1">IFERROR(__xludf.DUMMYFUNCTION("""COMPUTED_VALUE"""),"Low")</f>
        <v>Low</v>
      </c>
      <c r="Z530" s="5">
        <f ca="1">IFERROR(__xludf.DUMMYFUNCTION("""COMPUTED_VALUE"""),9.08)</f>
        <v>9.08</v>
      </c>
      <c r="AA530" s="5">
        <f ca="1">IFERROR(__xludf.DUMMYFUNCTION("""COMPUTED_VALUE"""),10000)</f>
        <v>10000</v>
      </c>
      <c r="AB530" s="5"/>
      <c r="AC530" s="5"/>
      <c r="AD530" s="5" t="str">
        <f ca="1">IFERROR(__xludf.DUMMYFUNCTION("""COMPUTED_VALUE"""),"0.1/100")</f>
        <v>0.1/100</v>
      </c>
      <c r="AE530" s="5"/>
      <c r="AF530" s="5"/>
      <c r="AG530" s="10">
        <f ca="1">IFERROR(__xludf.DUMMYFUNCTION("""COMPUTED_VALUE"""),46197.5000231481)</f>
        <v>46197.500023148103</v>
      </c>
      <c r="AH530" s="5" t="str">
        <f ca="1">IFERROR(__xludf.DUMMYFUNCTION("""COMPUTED_VALUE"""),"selena.mihajlovic@fazi.rs")</f>
        <v>selena.mihajlovic@fazi.rs</v>
      </c>
      <c r="AI530" s="5"/>
      <c r="AJ530" s="5"/>
      <c r="AK530" s="5">
        <f ca="1">IFERROR(__xludf.DUMMYFUNCTION("""COMPUTED_VALUE"""),10)</f>
        <v>10</v>
      </c>
      <c r="AL530" s="5" t="str">
        <f ca="1">IFERROR(__xludf.DUMMYFUNCTION("""COMPUTED_VALUE"""),"No")</f>
        <v>No</v>
      </c>
      <c r="AM530" s="5"/>
      <c r="AN530" s="7" t="str">
        <f ca="1">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AO530" s="5"/>
      <c r="AP530" s="5"/>
      <c r="AQ530" s="5" t="b">
        <f ca="1">IFERROR(__xludf.DUMMYFUNCTION("""COMPUTED_VALUE"""),TRUE)</f>
        <v>1</v>
      </c>
      <c r="AR530" s="5"/>
      <c r="AS530" s="5" t="str">
        <f ca="1">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30" s="5"/>
      <c r="AU530" s="5" t="str">
        <f ca="1">IFERROR(__xludf.DUMMYFUNCTION("""COMPUTED_VALUE"""),"Fazi")</f>
        <v>Fazi</v>
      </c>
      <c r="AV530" s="5"/>
      <c r="AW530" s="5"/>
      <c r="AX530" s="5"/>
      <c r="AY530" s="5"/>
      <c r="AZ530" s="5"/>
      <c r="BA530" s="5"/>
      <c r="BB530" s="5" t="b">
        <f ca="1">IFERROR(__xludf.DUMMYFUNCTION("""COMPUTED_VALUE"""),TRUE)</f>
        <v>1</v>
      </c>
      <c r="BC530" s="5" t="str">
        <f ca="1">IFERROR(__xludf.DUMMYFUNCTION("""COMPUTED_VALUE"""),"Tiptop")</f>
        <v>Tiptop</v>
      </c>
      <c r="BD530" s="7" t="str">
        <f ca="1">IFERROR(__xludf.DUMMYFUNCTION("""COMPUTED_VALUE"""),"https://gameserver-store-client-area.orbionlimited.com/Home/IntegrationGameLaunch/client-area?moneyType=0&amp;gameName=UnicornBuffaloSevensJackpot&amp;platform=desktop&amp;languageCode=eng&amp;currency=EUR")</f>
        <v>https://gameserver-store-client-area.orbionlimited.com/Home/IntegrationGameLaunch/client-area?moneyType=0&amp;gameName=UnicornBuffaloSevensJackpot&amp;platform=desktop&amp;languageCode=eng&amp;currency=EUR</v>
      </c>
      <c r="BE530" s="5" t="b">
        <f ca="1">IFERROR(__xludf.DUMMYFUNCTION("""COMPUTED_VALUE"""),TRUE)</f>
        <v>1</v>
      </c>
    </row>
    <row r="531" spans="1:57" x14ac:dyDescent="0.25">
      <c r="A531" s="5">
        <f ca="1">IFERROR(__xludf.DUMMYFUNCTION("""COMPUTED_VALUE"""),562)</f>
        <v>562</v>
      </c>
      <c r="B531" s="5">
        <f ca="1">IFERROR(__xludf.DUMMYFUNCTION("""COMPUTED_VALUE"""),425)</f>
        <v>425</v>
      </c>
      <c r="C531" s="5" t="str">
        <f ca="1">IFERROR(__xludf.DUMMYFUNCTION("""COMPUTED_VALUE"""),"Tiptop")</f>
        <v>Tiptop</v>
      </c>
      <c r="D531" s="5" t="str">
        <f ca="1">IFERROR(__xludf.DUMMYFUNCTION("""COMPUTED_VALUE"""),"Scatter Kaching")</f>
        <v>Scatter Kaching</v>
      </c>
      <c r="E531" s="5" t="str">
        <f ca="1">IFERROR(__xludf.DUMMYFUNCTION("""COMPUTED_VALUE"""),"V4-2")</f>
        <v>V4-2</v>
      </c>
      <c r="F531" s="5" t="str">
        <f ca="1">IFERROR(__xludf.DUMMYFUNCTION("""COMPUTED_VALUE"""),"UnicornScatterKaChing")</f>
        <v>UnicornScatterKaChing</v>
      </c>
      <c r="G531" s="5" t="str">
        <f ca="1">IFERROR(__xludf.DUMMYFUNCTION("""COMPUTED_VALUE"""),"Live")</f>
        <v>Live</v>
      </c>
      <c r="H531" s="5"/>
      <c r="I531" s="5" t="str">
        <f ca="1">IFERROR(__xludf.DUMMYFUNCTION("""COMPUTED_VALUE"""),"TipTop")</f>
        <v>TipTop</v>
      </c>
      <c r="J531" s="5" t="str">
        <f ca="1">IFERROR(__xludf.DUMMYFUNCTION("""COMPUTED_VALUE"""),"JSON")</f>
        <v>JSON</v>
      </c>
      <c r="K531" s="5" t="str">
        <f ca="1">IFERROR(__xludf.DUMMYFUNCTION("""COMPUTED_VALUE"""),"Slot")</f>
        <v>Slot</v>
      </c>
      <c r="L531" s="5" t="str">
        <f ca="1">IFERROR(__xludf.DUMMYFUNCTION("""COMPUTED_VALUE"""),"Master")</f>
        <v>Master</v>
      </c>
      <c r="M531" s="5"/>
      <c r="N531" s="5"/>
      <c r="O531" s="5"/>
      <c r="P531" s="14">
        <f ca="1">IFERROR(__xludf.DUMMYFUNCTION("""COMPUTED_VALUE"""),11.9)</f>
        <v>11.9</v>
      </c>
      <c r="Q531" s="5"/>
      <c r="R531" s="15">
        <f ca="1">IFERROR(__xludf.DUMMYFUNCTION("""COMPUTED_VALUE"""),45875)</f>
        <v>45875</v>
      </c>
      <c r="S531" s="15">
        <f ca="1">IFERROR(__xludf.DUMMYFUNCTION("""COMPUTED_VALUE"""),45882)</f>
        <v>45882</v>
      </c>
      <c r="T531" s="5" t="b">
        <f ca="1">IFERROR(__xludf.DUMMYFUNCTION("""COMPUTED_VALUE"""),TRUE)</f>
        <v>1</v>
      </c>
      <c r="U531" s="5" t="str">
        <f ca="1">IFERROR(__xludf.DUMMYFUNCTION("""COMPUTED_VALUE"""),"5X3")</f>
        <v>5X3</v>
      </c>
      <c r="V531" s="5">
        <f ca="1">IFERROR(__xludf.DUMMYFUNCTION("""COMPUTED_VALUE"""),10)</f>
        <v>10</v>
      </c>
      <c r="W531" s="5">
        <f ca="1">IFERROR(__xludf.DUMMYFUNCTION("""COMPUTED_VALUE"""),10)</f>
        <v>10</v>
      </c>
      <c r="X531" s="5">
        <f ca="1">IFERROR(__xludf.DUMMYFUNCTION("""COMPUTED_VALUE"""),96)</f>
        <v>96</v>
      </c>
      <c r="Y531" s="5" t="str">
        <f ca="1">IFERROR(__xludf.DUMMYFUNCTION("""COMPUTED_VALUE"""),"Low")</f>
        <v>Low</v>
      </c>
      <c r="Z531" s="5">
        <f ca="1">IFERROR(__xludf.DUMMYFUNCTION("""COMPUTED_VALUE"""),27.38)</f>
        <v>27.38</v>
      </c>
      <c r="AA531" s="5">
        <f ca="1">IFERROR(__xludf.DUMMYFUNCTION("""COMPUTED_VALUE"""),10000)</f>
        <v>10000</v>
      </c>
      <c r="AB531" s="5"/>
      <c r="AC531" s="5"/>
      <c r="AD531" s="5" t="str">
        <f ca="1">IFERROR(__xludf.DUMMYFUNCTION("""COMPUTED_VALUE"""),"0.1/100")</f>
        <v>0.1/100</v>
      </c>
      <c r="AE531" s="5"/>
      <c r="AF531" s="5"/>
      <c r="AG531" s="10">
        <f ca="1">IFERROR(__xludf.DUMMYFUNCTION("""COMPUTED_VALUE"""),46197.5001736111)</f>
        <v>46197.500173611101</v>
      </c>
      <c r="AH531" s="5" t="str">
        <f ca="1">IFERROR(__xludf.DUMMYFUNCTION("""COMPUTED_VALUE"""),"selena.mihajlovic@fazi.rs")</f>
        <v>selena.mihajlovic@fazi.rs</v>
      </c>
      <c r="AI531" s="5"/>
      <c r="AJ531" s="5"/>
      <c r="AK531" s="5">
        <f ca="1">IFERROR(__xludf.DUMMYFUNCTION("""COMPUTED_VALUE"""),10)</f>
        <v>10</v>
      </c>
      <c r="AL531" s="5" t="str">
        <f ca="1">IFERROR(__xludf.DUMMYFUNCTION("""COMPUTED_VALUE"""),"No")</f>
        <v>No</v>
      </c>
      <c r="AM531" s="5"/>
      <c r="AN531" s="7" t="str">
        <f ca="1">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AO531" s="5"/>
      <c r="AP531" s="5"/>
      <c r="AQ531" s="5" t="b">
        <f ca="1">IFERROR(__xludf.DUMMYFUNCTION("""COMPUTED_VALUE"""),TRUE)</f>
        <v>1</v>
      </c>
      <c r="AR531" s="5"/>
      <c r="AS531" s="5" t="str">
        <f ca="1">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AT531" s="5"/>
      <c r="AU531" s="5" t="str">
        <f ca="1">IFERROR(__xludf.DUMMYFUNCTION("""COMPUTED_VALUE"""),"Fazi")</f>
        <v>Fazi</v>
      </c>
      <c r="AV531" s="5"/>
      <c r="AW531" s="5"/>
      <c r="AX531" s="5"/>
      <c r="AY531" s="5"/>
      <c r="AZ531" s="5"/>
      <c r="BA531" s="5"/>
      <c r="BB531" s="5" t="b">
        <f ca="1">IFERROR(__xludf.DUMMYFUNCTION("""COMPUTED_VALUE"""),TRUE)</f>
        <v>1</v>
      </c>
      <c r="BC531" s="5" t="str">
        <f ca="1">IFERROR(__xludf.DUMMYFUNCTION("""COMPUTED_VALUE"""),"Tiptop")</f>
        <v>Tiptop</v>
      </c>
      <c r="BD531" s="7" t="str">
        <f ca="1">IFERROR(__xludf.DUMMYFUNCTION("""COMPUTED_VALUE"""),"https://gameserver-store-client-area.orbionlimited.com/Home/IntegrationGameLaunch/client-area?moneyType=0&amp;gameName=UnicornScatterKaChing&amp;platform=desktop&amp;languageCode=eng&amp;currency=EUR")</f>
        <v>https://gameserver-store-client-area.orbionlimited.com/Home/IntegrationGameLaunch/client-area?moneyType=0&amp;gameName=UnicornScatterKaChing&amp;platform=desktop&amp;languageCode=eng&amp;currency=EUR</v>
      </c>
      <c r="BE531" s="5" t="b">
        <f ca="1">IFERROR(__xludf.DUMMYFUNCTION("""COMPUTED_VALUE"""),TRUE)</f>
        <v>1</v>
      </c>
    </row>
    <row r="532" spans="1:57" x14ac:dyDescent="0.25">
      <c r="A532" s="5">
        <f ca="1">IFERROR(__xludf.DUMMYFUNCTION("""COMPUTED_VALUE"""),563)</f>
        <v>563</v>
      </c>
      <c r="B532" s="5">
        <f ca="1">IFERROR(__xludf.DUMMYFUNCTION("""COMPUTED_VALUE"""),426)</f>
        <v>426</v>
      </c>
      <c r="C532" s="5" t="str">
        <f ca="1">IFERROR(__xludf.DUMMYFUNCTION("""COMPUTED_VALUE"""),"Tiptop")</f>
        <v>Tiptop</v>
      </c>
      <c r="D532" s="5" t="str">
        <f ca="1">IFERROR(__xludf.DUMMYFUNCTION("""COMPUTED_VALUE"""),"Fruit Play")</f>
        <v>Fruit Play</v>
      </c>
      <c r="E532" s="5" t="str">
        <f ca="1">IFERROR(__xludf.DUMMYFUNCTION("""COMPUTED_VALUE"""),"V4-2")</f>
        <v>V4-2</v>
      </c>
      <c r="F532" s="5" t="str">
        <f ca="1">IFERROR(__xludf.DUMMYFUNCTION("""COMPUTED_VALUE"""),"UnicornFruitPlay")</f>
        <v>UnicornFruitPlay</v>
      </c>
      <c r="G532" s="5" t="str">
        <f ca="1">IFERROR(__xludf.DUMMYFUNCTION("""COMPUTED_VALUE"""),"Live")</f>
        <v>Live</v>
      </c>
      <c r="H532" s="5"/>
      <c r="I532" s="5" t="str">
        <f ca="1">IFERROR(__xludf.DUMMYFUNCTION("""COMPUTED_VALUE"""),"TipTop")</f>
        <v>TipTop</v>
      </c>
      <c r="J532" s="5" t="str">
        <f ca="1">IFERROR(__xludf.DUMMYFUNCTION("""COMPUTED_VALUE"""),"JSON")</f>
        <v>JSON</v>
      </c>
      <c r="K532" s="5" t="str">
        <f ca="1">IFERROR(__xludf.DUMMYFUNCTION("""COMPUTED_VALUE"""),"Slot")</f>
        <v>Slot</v>
      </c>
      <c r="L532" s="5" t="str">
        <f ca="1">IFERROR(__xludf.DUMMYFUNCTION("""COMPUTED_VALUE"""),"Master")</f>
        <v>Master</v>
      </c>
      <c r="M532" s="5"/>
      <c r="N532" s="5"/>
      <c r="O532" s="5"/>
      <c r="P532" s="14">
        <f ca="1">IFERROR(__xludf.DUMMYFUNCTION("""COMPUTED_VALUE"""),11.9)</f>
        <v>11.9</v>
      </c>
      <c r="Q532" s="15">
        <f ca="1">IFERROR(__xludf.DUMMYFUNCTION("""COMPUTED_VALUE"""),45909)</f>
        <v>45909</v>
      </c>
      <c r="R532" s="15">
        <f ca="1">IFERROR(__xludf.DUMMYFUNCTION("""COMPUTED_VALUE"""),45903)</f>
        <v>45903</v>
      </c>
      <c r="S532" s="15">
        <f ca="1">IFERROR(__xludf.DUMMYFUNCTION("""COMPUTED_VALUE"""),45910)</f>
        <v>45910</v>
      </c>
      <c r="T532" s="5" t="b">
        <f ca="1">IFERROR(__xludf.DUMMYFUNCTION("""COMPUTED_VALUE"""),TRUE)</f>
        <v>1</v>
      </c>
      <c r="U532" s="5" t="str">
        <f ca="1">IFERROR(__xludf.DUMMYFUNCTION("""COMPUTED_VALUE"""),"5X3")</f>
        <v>5X3</v>
      </c>
      <c r="V532" s="5">
        <f ca="1">IFERROR(__xludf.DUMMYFUNCTION("""COMPUTED_VALUE"""),10)</f>
        <v>10</v>
      </c>
      <c r="W532" s="5">
        <f ca="1">IFERROR(__xludf.DUMMYFUNCTION("""COMPUTED_VALUE"""),10)</f>
        <v>10</v>
      </c>
      <c r="X532" s="5">
        <f ca="1">IFERROR(__xludf.DUMMYFUNCTION("""COMPUTED_VALUE"""),96)</f>
        <v>96</v>
      </c>
      <c r="Y532" s="5" t="str">
        <f ca="1">IFERROR(__xludf.DUMMYFUNCTION("""COMPUTED_VALUE"""),"Low")</f>
        <v>Low</v>
      </c>
      <c r="Z532" s="5">
        <f ca="1">IFERROR(__xludf.DUMMYFUNCTION("""COMPUTED_VALUE"""),15.07)</f>
        <v>15.07</v>
      </c>
      <c r="AA532" s="5">
        <f ca="1">IFERROR(__xludf.DUMMYFUNCTION("""COMPUTED_VALUE"""),10000)</f>
        <v>10000</v>
      </c>
      <c r="AB532" s="5"/>
      <c r="AC532" s="5"/>
      <c r="AD532" s="5" t="str">
        <f ca="1">IFERROR(__xludf.DUMMYFUNCTION("""COMPUTED_VALUE"""),"0.1/100")</f>
        <v>0.1/100</v>
      </c>
      <c r="AE532" s="5"/>
      <c r="AF532" s="5"/>
      <c r="AG532" s="10">
        <f ca="1">IFERROR(__xludf.DUMMYFUNCTION("""COMPUTED_VALUE"""),46197.5006712962)</f>
        <v>46197.500671296199</v>
      </c>
      <c r="AH532" s="5" t="str">
        <f ca="1">IFERROR(__xludf.DUMMYFUNCTION("""COMPUTED_VALUE"""),"selena.mihajlovic@fazi.rs")</f>
        <v>selena.mihajlovic@fazi.rs</v>
      </c>
      <c r="AI532" s="5"/>
      <c r="AJ532" s="5"/>
      <c r="AK532" s="5">
        <f ca="1">IFERROR(__xludf.DUMMYFUNCTION("""COMPUTED_VALUE"""),10)</f>
        <v>10</v>
      </c>
      <c r="AL532" s="5" t="str">
        <f ca="1">IFERROR(__xludf.DUMMYFUNCTION("""COMPUTED_VALUE"""),"No")</f>
        <v>No</v>
      </c>
      <c r="AM532" s="5"/>
      <c r="AN532" s="7" t="str">
        <f ca="1">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AO532" s="5"/>
      <c r="AP532" s="5"/>
      <c r="AQ532" s="5" t="b">
        <f ca="1">IFERROR(__xludf.DUMMYFUNCTION("""COMPUTED_VALUE"""),TRUE)</f>
        <v>1</v>
      </c>
      <c r="AR532" s="5"/>
      <c r="AS532" s="5" t="str">
        <f ca="1">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AT532" s="5"/>
      <c r="AU532" s="5" t="str">
        <f ca="1">IFERROR(__xludf.DUMMYFUNCTION("""COMPUTED_VALUE"""),"Fazi")</f>
        <v>Fazi</v>
      </c>
      <c r="AV532" s="5"/>
      <c r="AW532" s="5"/>
      <c r="AX532" s="15">
        <f ca="1">IFERROR(__xludf.DUMMYFUNCTION("""COMPUTED_VALUE"""),45902)</f>
        <v>45902</v>
      </c>
      <c r="AY532" s="5"/>
      <c r="AZ532" s="5"/>
      <c r="BA532" s="5"/>
      <c r="BB532" s="5" t="b">
        <f ca="1">IFERROR(__xludf.DUMMYFUNCTION("""COMPUTED_VALUE"""),TRUE)</f>
        <v>1</v>
      </c>
      <c r="BC532" s="5" t="str">
        <f ca="1">IFERROR(__xludf.DUMMYFUNCTION("""COMPUTED_VALUE"""),"Tiptop")</f>
        <v>Tiptop</v>
      </c>
      <c r="BD532" s="7" t="str">
        <f ca="1">IFERROR(__xludf.DUMMYFUNCTION("""COMPUTED_VALUE"""),"https://gameserver-store-client-area.orbionlimited.com/Home/IntegrationGameLaunch/client-area?moneyType=0&amp;gameName=UnicornFruitPlay&amp;platform=desktop&amp;languageCode=eng&amp;currency=EUR")</f>
        <v>https://gameserver-store-client-area.orbionlimited.com/Home/IntegrationGameLaunch/client-area?moneyType=0&amp;gameName=UnicornFruitPlay&amp;platform=desktop&amp;languageCode=eng&amp;currency=EUR</v>
      </c>
      <c r="BE532" s="5" t="b">
        <f ca="1">IFERROR(__xludf.DUMMYFUNCTION("""COMPUTED_VALUE"""),TRUE)</f>
        <v>1</v>
      </c>
    </row>
    <row r="533" spans="1:57" x14ac:dyDescent="0.25">
      <c r="A533" s="5">
        <f ca="1">IFERROR(__xludf.DUMMYFUNCTION("""COMPUTED_VALUE"""),564)</f>
        <v>564</v>
      </c>
      <c r="B533" s="5">
        <f ca="1">IFERROR(__xludf.DUMMYFUNCTION("""COMPUTED_VALUE"""),424)</f>
        <v>424</v>
      </c>
      <c r="C533" s="5" t="str">
        <f ca="1">IFERROR(__xludf.DUMMYFUNCTION("""COMPUTED_VALUE"""),"Tiptop")</f>
        <v>Tiptop</v>
      </c>
      <c r="D533" s="5" t="str">
        <f ca="1">IFERROR(__xludf.DUMMYFUNCTION("""COMPUTED_VALUE"""),"Fruit Island Jackpot")</f>
        <v>Fruit Island Jackpot</v>
      </c>
      <c r="E533" s="5" t="str">
        <f ca="1">IFERROR(__xludf.DUMMYFUNCTION("""COMPUTED_VALUE"""),"V4-2")</f>
        <v>V4-2</v>
      </c>
      <c r="F533" s="5" t="str">
        <f ca="1">IFERROR(__xludf.DUMMYFUNCTION("""COMPUTED_VALUE"""),"UnicornFruitIslandJackpot")</f>
        <v>UnicornFruitIslandJackpot</v>
      </c>
      <c r="G533" s="5" t="str">
        <f ca="1">IFERROR(__xludf.DUMMYFUNCTION("""COMPUTED_VALUE"""),"Live")</f>
        <v>Live</v>
      </c>
      <c r="H533" s="5"/>
      <c r="I533" s="5" t="str">
        <f ca="1">IFERROR(__xludf.DUMMYFUNCTION("""COMPUTED_VALUE"""),"TipTop")</f>
        <v>TipTop</v>
      </c>
      <c r="J533" s="5" t="str">
        <f ca="1">IFERROR(__xludf.DUMMYFUNCTION("""COMPUTED_VALUE"""),"JSON")</f>
        <v>JSON</v>
      </c>
      <c r="K533" s="5" t="str">
        <f ca="1">IFERROR(__xludf.DUMMYFUNCTION("""COMPUTED_VALUE"""),"Slot")</f>
        <v>Slot</v>
      </c>
      <c r="L533" s="5" t="str">
        <f ca="1">IFERROR(__xludf.DUMMYFUNCTION("""COMPUTED_VALUE"""),"Master")</f>
        <v>Master</v>
      </c>
      <c r="M533" s="5"/>
      <c r="N533" s="5"/>
      <c r="O533" s="5"/>
      <c r="P533" s="14">
        <f ca="1">IFERROR(__xludf.DUMMYFUNCTION("""COMPUTED_VALUE"""),10.8)</f>
        <v>10.8</v>
      </c>
      <c r="Q533" s="15">
        <f ca="1">IFERROR(__xludf.DUMMYFUNCTION("""COMPUTED_VALUE"""),45859)</f>
        <v>45859</v>
      </c>
      <c r="R533" s="15">
        <f ca="1">IFERROR(__xludf.DUMMYFUNCTION("""COMPUTED_VALUE"""),45889)</f>
        <v>45889</v>
      </c>
      <c r="S533" s="15">
        <f ca="1">IFERROR(__xludf.DUMMYFUNCTION("""COMPUTED_VALUE"""),45896)</f>
        <v>45896</v>
      </c>
      <c r="T533" s="5" t="b">
        <f ca="1">IFERROR(__xludf.DUMMYFUNCTION("""COMPUTED_VALUE"""),TRUE)</f>
        <v>1</v>
      </c>
      <c r="U533" s="5" t="str">
        <f ca="1">IFERROR(__xludf.DUMMYFUNCTION("""COMPUTED_VALUE"""),"5X3")</f>
        <v>5X3</v>
      </c>
      <c r="V533" s="5">
        <f ca="1">IFERROR(__xludf.DUMMYFUNCTION("""COMPUTED_VALUE"""),5)</f>
        <v>5</v>
      </c>
      <c r="W533" s="5">
        <f ca="1">IFERROR(__xludf.DUMMYFUNCTION("""COMPUTED_VALUE"""),5)</f>
        <v>5</v>
      </c>
      <c r="X533" s="5">
        <f ca="1">IFERROR(__xludf.DUMMYFUNCTION("""COMPUTED_VALUE"""),96)</f>
        <v>96</v>
      </c>
      <c r="Y533" s="5" t="str">
        <f ca="1">IFERROR(__xludf.DUMMYFUNCTION("""COMPUTED_VALUE"""),"Low")</f>
        <v>Low</v>
      </c>
      <c r="Z533" s="5">
        <f ca="1">IFERROR(__xludf.DUMMYFUNCTION("""COMPUTED_VALUE"""),10.39)</f>
        <v>10.39</v>
      </c>
      <c r="AA533" s="5">
        <f ca="1">IFERROR(__xludf.DUMMYFUNCTION("""COMPUTED_VALUE"""),10000)</f>
        <v>10000</v>
      </c>
      <c r="AB533" s="5"/>
      <c r="AC533" s="5"/>
      <c r="AD533" s="5" t="str">
        <f ca="1">IFERROR(__xludf.DUMMYFUNCTION("""COMPUTED_VALUE"""),"0.05/100")</f>
        <v>0.05/100</v>
      </c>
      <c r="AE533" s="5"/>
      <c r="AF533" s="5"/>
      <c r="AG533" s="10">
        <f ca="1">IFERROR(__xludf.DUMMYFUNCTION("""COMPUTED_VALUE"""),46197.5004976851)</f>
        <v>46197.500497685098</v>
      </c>
      <c r="AH533" s="5" t="str">
        <f ca="1">IFERROR(__xludf.DUMMYFUNCTION("""COMPUTED_VALUE"""),"selena.mihajlovic@fazi.rs")</f>
        <v>selena.mihajlovic@fazi.rs</v>
      </c>
      <c r="AI533" s="15">
        <f ca="1">IFERROR(__xludf.DUMMYFUNCTION("""COMPUTED_VALUE"""),45865)</f>
        <v>45865</v>
      </c>
      <c r="AJ533" s="5" t="str">
        <f ca="1">IFERROR(__xludf.DUMMYFUNCTION("""COMPUTED_VALUE"""),"BtoBet - cela grupacija ")</f>
        <v xml:space="preserve">BtoBet - cela grupacija </v>
      </c>
      <c r="AK533" s="5">
        <f ca="1">IFERROR(__xludf.DUMMYFUNCTION("""COMPUTED_VALUE"""),5)</f>
        <v>5</v>
      </c>
      <c r="AL533" s="5" t="str">
        <f ca="1">IFERROR(__xludf.DUMMYFUNCTION("""COMPUTED_VALUE"""),"No")</f>
        <v>No</v>
      </c>
      <c r="AM533" s="5"/>
      <c r="AN533" s="7" t="str">
        <f ca="1">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AO533" s="5"/>
      <c r="AP533" s="5"/>
      <c r="AQ533" s="5" t="b">
        <f ca="1">IFERROR(__xludf.DUMMYFUNCTION("""COMPUTED_VALUE"""),TRUE)</f>
        <v>1</v>
      </c>
      <c r="AR533" s="5"/>
      <c r="AS533" s="5" t="str">
        <f ca="1">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AT533" s="5"/>
      <c r="AU533" s="5" t="str">
        <f ca="1">IFERROR(__xludf.DUMMYFUNCTION("""COMPUTED_VALUE"""),"Fazi")</f>
        <v>Fazi</v>
      </c>
      <c r="AV533" s="5"/>
      <c r="AW533" s="5"/>
      <c r="AX533" s="5"/>
      <c r="AY533" s="5"/>
      <c r="AZ533" s="5"/>
      <c r="BA533" s="5"/>
      <c r="BB533" s="5" t="b">
        <f ca="1">IFERROR(__xludf.DUMMYFUNCTION("""COMPUTED_VALUE"""),TRUE)</f>
        <v>1</v>
      </c>
      <c r="BC533" s="5" t="str">
        <f ca="1">IFERROR(__xludf.DUMMYFUNCTION("""COMPUTED_VALUE"""),"Tiptop")</f>
        <v>Tiptop</v>
      </c>
      <c r="BD533" s="7" t="str">
        <f ca="1">IFERROR(__xludf.DUMMYFUNCTION("""COMPUTED_VALUE"""),"https://gameserver-store-client-area.orbionlimited.com/Home/IntegrationGameLaunch/client-area?moneyType=0&amp;gameName=UnicornFruitIslandJackpot&amp;platform=desktop&amp;languageCode=eng&amp;currency=EUR")</f>
        <v>https://gameserver-store-client-area.orbionlimited.com/Home/IntegrationGameLaunch/client-area?moneyType=0&amp;gameName=UnicornFruitIslandJackpot&amp;platform=desktop&amp;languageCode=eng&amp;currency=EUR</v>
      </c>
      <c r="BE533" s="5" t="b">
        <f ca="1">IFERROR(__xludf.DUMMYFUNCTION("""COMPUTED_VALUE"""),TRUE)</f>
        <v>1</v>
      </c>
    </row>
    <row r="534" spans="1:57" x14ac:dyDescent="0.25">
      <c r="A534" s="5">
        <f ca="1">IFERROR(__xludf.DUMMYFUNCTION("""COMPUTED_VALUE"""),565)</f>
        <v>565</v>
      </c>
      <c r="B534" s="5">
        <f ca="1">IFERROR(__xludf.DUMMYFUNCTION("""COMPUTED_VALUE"""),427)</f>
        <v>427</v>
      </c>
      <c r="C534" s="5" t="str">
        <f ca="1">IFERROR(__xludf.DUMMYFUNCTION("""COMPUTED_VALUE"""),"Tiptop")</f>
        <v>Tiptop</v>
      </c>
      <c r="D534" s="5" t="str">
        <f ca="1">IFERROR(__xludf.DUMMYFUNCTION("""COMPUTED_VALUE"""),"Collect Call")</f>
        <v>Collect Call</v>
      </c>
      <c r="E534" s="5" t="str">
        <f ca="1">IFERROR(__xludf.DUMMYFUNCTION("""COMPUTED_VALUE"""),"V4-2")</f>
        <v>V4-2</v>
      </c>
      <c r="F534" s="5" t="str">
        <f ca="1">IFERROR(__xludf.DUMMYFUNCTION("""COMPUTED_VALUE"""),"UnicornCollectCall")</f>
        <v>UnicornCollectCall</v>
      </c>
      <c r="G534" s="5" t="str">
        <f ca="1">IFERROR(__xludf.DUMMYFUNCTION("""COMPUTED_VALUE"""),"Live")</f>
        <v>Live</v>
      </c>
      <c r="H534" s="5"/>
      <c r="I534" s="5" t="str">
        <f ca="1">IFERROR(__xludf.DUMMYFUNCTION("""COMPUTED_VALUE"""),"TipTop")</f>
        <v>TipTop</v>
      </c>
      <c r="J534" s="5" t="str">
        <f ca="1">IFERROR(__xludf.DUMMYFUNCTION("""COMPUTED_VALUE"""),"JSON")</f>
        <v>JSON</v>
      </c>
      <c r="K534" s="5" t="str">
        <f ca="1">IFERROR(__xludf.DUMMYFUNCTION("""COMPUTED_VALUE"""),"Slot")</f>
        <v>Slot</v>
      </c>
      <c r="L534" s="5" t="str">
        <f ca="1">IFERROR(__xludf.DUMMYFUNCTION("""COMPUTED_VALUE"""),"Master")</f>
        <v>Master</v>
      </c>
      <c r="M534" s="5"/>
      <c r="N534" s="5"/>
      <c r="O534" s="5"/>
      <c r="P534" s="14">
        <f ca="1">IFERROR(__xludf.DUMMYFUNCTION("""COMPUTED_VALUE"""),13)</f>
        <v>13</v>
      </c>
      <c r="Q534" s="15">
        <f ca="1">IFERROR(__xludf.DUMMYFUNCTION("""COMPUTED_VALUE"""),45915)</f>
        <v>45915</v>
      </c>
      <c r="R534" s="15">
        <f ca="1">IFERROR(__xludf.DUMMYFUNCTION("""COMPUTED_VALUE"""),45916)</f>
        <v>45916</v>
      </c>
      <c r="S534" s="15">
        <f ca="1">IFERROR(__xludf.DUMMYFUNCTION("""COMPUTED_VALUE"""),45923)</f>
        <v>45923</v>
      </c>
      <c r="T534" s="5" t="b">
        <f ca="1">IFERROR(__xludf.DUMMYFUNCTION("""COMPUTED_VALUE"""),TRUE)</f>
        <v>1</v>
      </c>
      <c r="U534" s="5" t="str">
        <f ca="1">IFERROR(__xludf.DUMMYFUNCTION("""COMPUTED_VALUE"""),"5X4")</f>
        <v>5X4</v>
      </c>
      <c r="V534" s="5">
        <f ca="1">IFERROR(__xludf.DUMMYFUNCTION("""COMPUTED_VALUE"""),40)</f>
        <v>40</v>
      </c>
      <c r="W534" s="5">
        <f ca="1">IFERROR(__xludf.DUMMYFUNCTION("""COMPUTED_VALUE"""),40)</f>
        <v>40</v>
      </c>
      <c r="X534" s="5">
        <f ca="1">IFERROR(__xludf.DUMMYFUNCTION("""COMPUTED_VALUE"""),96)</f>
        <v>96</v>
      </c>
      <c r="Y534" s="5" t="str">
        <f ca="1">IFERROR(__xludf.DUMMYFUNCTION("""COMPUTED_VALUE"""),"Low")</f>
        <v>Low</v>
      </c>
      <c r="Z534" s="5">
        <f ca="1">IFERROR(__xludf.DUMMYFUNCTION("""COMPUTED_VALUE"""),13.69)</f>
        <v>13.69</v>
      </c>
      <c r="AA534" s="5">
        <f ca="1">IFERROR(__xludf.DUMMYFUNCTION("""COMPUTED_VALUE"""),1000)</f>
        <v>1000</v>
      </c>
      <c r="AB534" s="5"/>
      <c r="AC534" s="5"/>
      <c r="AD534" s="5" t="str">
        <f ca="1">IFERROR(__xludf.DUMMYFUNCTION("""COMPUTED_VALUE"""),"0.4/100")</f>
        <v>0.4/100</v>
      </c>
      <c r="AE534" s="5"/>
      <c r="AF534" s="5"/>
      <c r="AG534" s="10">
        <f ca="1">IFERROR(__xludf.DUMMYFUNCTION("""COMPUTED_VALUE"""),46197.5011226851)</f>
        <v>46197.501122685098</v>
      </c>
      <c r="AH534" s="5" t="str">
        <f ca="1">IFERROR(__xludf.DUMMYFUNCTION("""COMPUTED_VALUE"""),"selena.mihajlovic@fazi.rs")</f>
        <v>selena.mihajlovic@fazi.rs</v>
      </c>
      <c r="AI534" s="5"/>
      <c r="AJ534" s="5"/>
      <c r="AK534" s="5">
        <f ca="1">IFERROR(__xludf.DUMMYFUNCTION("""COMPUTED_VALUE"""),40)</f>
        <v>40</v>
      </c>
      <c r="AL534" s="5" t="str">
        <f ca="1">IFERROR(__xludf.DUMMYFUNCTION("""COMPUTED_VALUE"""),"No")</f>
        <v>No</v>
      </c>
      <c r="AM534" s="5"/>
      <c r="AN534" s="7" t="str">
        <f ca="1">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AO534" s="5"/>
      <c r="AP534" s="5"/>
      <c r="AQ534" s="5" t="b">
        <f ca="1">IFERROR(__xludf.DUMMYFUNCTION("""COMPUTED_VALUE"""),TRUE)</f>
        <v>1</v>
      </c>
      <c r="AR534" s="5"/>
      <c r="AS534" s="5" t="str">
        <f ca="1">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AT534" s="5"/>
      <c r="AU534" s="5" t="str">
        <f ca="1">IFERROR(__xludf.DUMMYFUNCTION("""COMPUTED_VALUE"""),"Fazi")</f>
        <v>Fazi</v>
      </c>
      <c r="AV534" s="5"/>
      <c r="AW534" s="5"/>
      <c r="AX534" s="15">
        <f ca="1">IFERROR(__xludf.DUMMYFUNCTION("""COMPUTED_VALUE"""),45909)</f>
        <v>45909</v>
      </c>
      <c r="AY534" s="5"/>
      <c r="AZ534" s="5"/>
      <c r="BA534" s="5"/>
      <c r="BB534" s="5" t="b">
        <f ca="1">IFERROR(__xludf.DUMMYFUNCTION("""COMPUTED_VALUE"""),TRUE)</f>
        <v>1</v>
      </c>
      <c r="BC534" s="5" t="str">
        <f ca="1">IFERROR(__xludf.DUMMYFUNCTION("""COMPUTED_VALUE"""),"Tiptop")</f>
        <v>Tiptop</v>
      </c>
      <c r="BD534" s="7" t="str">
        <f ca="1">IFERROR(__xludf.DUMMYFUNCTION("""COMPUTED_VALUE"""),"https://gameserver-store-client-area.orbionlimited.com/Home/IntegrationGameLaunch/client-area?moneyType=0&amp;gameName=UnicornCollectCall&amp;platform=desktop&amp;languageCode=eng&amp;currency=EUR")</f>
        <v>https://gameserver-store-client-area.orbionlimited.com/Home/IntegrationGameLaunch/client-area?moneyType=0&amp;gameName=UnicornCollectCall&amp;platform=desktop&amp;languageCode=eng&amp;currency=EUR</v>
      </c>
      <c r="BE534" s="5" t="b">
        <f ca="1">IFERROR(__xludf.DUMMYFUNCTION("""COMPUTED_VALUE"""),TRUE)</f>
        <v>1</v>
      </c>
    </row>
    <row r="535" spans="1:57" x14ac:dyDescent="0.25">
      <c r="A535" s="5">
        <f ca="1">IFERROR(__xludf.DUMMYFUNCTION("""COMPUTED_VALUE"""),566)</f>
        <v>566</v>
      </c>
      <c r="B535" s="5">
        <f ca="1">IFERROR(__xludf.DUMMYFUNCTION("""COMPUTED_VALUE"""),508)</f>
        <v>508</v>
      </c>
      <c r="C535" s="5" t="str">
        <f ca="1">IFERROR(__xludf.DUMMYFUNCTION("""COMPUTED_VALUE"""),"Tiptop")</f>
        <v>Tiptop</v>
      </c>
      <c r="D535" s="5" t="str">
        <f ca="1">IFERROR(__xludf.DUMMYFUNCTION("""COMPUTED_VALUE"""),"Coyote Sevens Halloween")</f>
        <v>Coyote Sevens Halloween</v>
      </c>
      <c r="E535" s="5" t="str">
        <f ca="1">IFERROR(__xludf.DUMMYFUNCTION("""COMPUTED_VALUE"""),"Sertifikacioni")</f>
        <v>Sertifikacioni</v>
      </c>
      <c r="F535" s="5" t="str">
        <f ca="1">IFERROR(__xludf.DUMMYFUNCTION("""COMPUTED_VALUE"""),"UnicornCoyoteSevensHalloween")</f>
        <v>UnicornCoyoteSevensHalloween</v>
      </c>
      <c r="G535" s="5" t="str">
        <f ca="1">IFERROR(__xludf.DUMMYFUNCTION("""COMPUTED_VALUE"""),"Live")</f>
        <v>Live</v>
      </c>
      <c r="H535" s="5"/>
      <c r="I535" s="5" t="str">
        <f ca="1">IFERROR(__xludf.DUMMYFUNCTION("""COMPUTED_VALUE"""),"TipTop")</f>
        <v>TipTop</v>
      </c>
      <c r="J535" s="5" t="str">
        <f ca="1">IFERROR(__xludf.DUMMYFUNCTION("""COMPUTED_VALUE"""),"JSON")</f>
        <v>JSON</v>
      </c>
      <c r="K535" s="5" t="str">
        <f ca="1">IFERROR(__xludf.DUMMYFUNCTION("""COMPUTED_VALUE"""),"Slot")</f>
        <v>Slot</v>
      </c>
      <c r="L535" s="5" t="str">
        <f ca="1">IFERROR(__xludf.DUMMYFUNCTION("""COMPUTED_VALUE""")," Clone")</f>
        <v xml:space="preserve"> Clone</v>
      </c>
      <c r="M535" s="5" t="str">
        <f ca="1">IFERROR(__xludf.DUMMYFUNCTION("""COMPUTED_VALUE"""),"Coyote Sevens")</f>
        <v>Coyote Sevens</v>
      </c>
      <c r="N535" s="5"/>
      <c r="O535" s="5"/>
      <c r="P535" s="14">
        <f ca="1">IFERROR(__xludf.DUMMYFUNCTION("""COMPUTED_VALUE"""),11.8)</f>
        <v>11.8</v>
      </c>
      <c r="Q535" s="15">
        <f ca="1">IFERROR(__xludf.DUMMYFUNCTION("""COMPUTED_VALUE"""),45915)</f>
        <v>45915</v>
      </c>
      <c r="R535" s="15">
        <f ca="1">IFERROR(__xludf.DUMMYFUNCTION("""COMPUTED_VALUE"""),45909)</f>
        <v>45909</v>
      </c>
      <c r="S535" s="15">
        <f ca="1">IFERROR(__xludf.DUMMYFUNCTION("""COMPUTED_VALUE"""),45916)</f>
        <v>45916</v>
      </c>
      <c r="T535" s="5" t="b">
        <f ca="1">IFERROR(__xludf.DUMMYFUNCTION("""COMPUTED_VALUE"""),TRUE)</f>
        <v>1</v>
      </c>
      <c r="U535" s="5" t="str">
        <f ca="1">IFERROR(__xludf.DUMMYFUNCTION("""COMPUTED_VALUE"""),"5X3")</f>
        <v>5X3</v>
      </c>
      <c r="V535" s="5">
        <f ca="1">IFERROR(__xludf.DUMMYFUNCTION("""COMPUTED_VALUE"""),5)</f>
        <v>5</v>
      </c>
      <c r="W535" s="5">
        <f ca="1">IFERROR(__xludf.DUMMYFUNCTION("""COMPUTED_VALUE"""),5)</f>
        <v>5</v>
      </c>
      <c r="X535" s="5">
        <f ca="1">IFERROR(__xludf.DUMMYFUNCTION("""COMPUTED_VALUE"""),96)</f>
        <v>96</v>
      </c>
      <c r="Y535" s="5" t="str">
        <f ca="1">IFERROR(__xludf.DUMMYFUNCTION("""COMPUTED_VALUE"""),"Medium")</f>
        <v>Medium</v>
      </c>
      <c r="Z535" s="5">
        <f ca="1">IFERROR(__xludf.DUMMYFUNCTION("""COMPUTED_VALUE"""),10.1)</f>
        <v>10.1</v>
      </c>
      <c r="AA535" s="5">
        <f ca="1">IFERROR(__xludf.DUMMYFUNCTION("""COMPUTED_VALUE"""),1000)</f>
        <v>1000</v>
      </c>
      <c r="AB535" s="5"/>
      <c r="AC535" s="5"/>
      <c r="AD535" s="5" t="str">
        <f ca="1">IFERROR(__xludf.DUMMYFUNCTION("""COMPUTED_VALUE"""),"0.05/100")</f>
        <v>0.05/100</v>
      </c>
      <c r="AE535" s="5"/>
      <c r="AF535" s="5"/>
      <c r="AG535" s="10">
        <f ca="1">IFERROR(__xludf.DUMMYFUNCTION("""COMPUTED_VALUE"""),46197.5013888888)</f>
        <v>46197.501388888799</v>
      </c>
      <c r="AH535" s="5" t="str">
        <f ca="1">IFERROR(__xludf.DUMMYFUNCTION("""COMPUTED_VALUE"""),"selena.mihajlovic@fazi.rs")</f>
        <v>selena.mihajlovic@fazi.rs</v>
      </c>
      <c r="AI535" s="5"/>
      <c r="AJ535" s="5"/>
      <c r="AK535" s="5">
        <f ca="1">IFERROR(__xludf.DUMMYFUNCTION("""COMPUTED_VALUE"""),5)</f>
        <v>5</v>
      </c>
      <c r="AL535" s="5" t="str">
        <f ca="1">IFERROR(__xludf.DUMMYFUNCTION("""COMPUTED_VALUE"""),"No")</f>
        <v>No</v>
      </c>
      <c r="AM535" s="5"/>
      <c r="AN535" s="7" t="str">
        <f ca="1">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AO535" s="5"/>
      <c r="AP535" s="5"/>
      <c r="AQ535" s="5" t="b">
        <f ca="1">IFERROR(__xludf.DUMMYFUNCTION("""COMPUTED_VALUE"""),TRUE)</f>
        <v>1</v>
      </c>
      <c r="AR535" s="5"/>
      <c r="AS535" s="5" t="str">
        <f ca="1">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AT535" s="5"/>
      <c r="AU535" s="5" t="str">
        <f ca="1">IFERROR(__xludf.DUMMYFUNCTION("""COMPUTED_VALUE"""),"Fazi")</f>
        <v>Fazi</v>
      </c>
      <c r="AV535" s="5"/>
      <c r="AW535" s="5"/>
      <c r="AX535" s="15">
        <f ca="1">IFERROR(__xludf.DUMMYFUNCTION("""COMPUTED_VALUE"""),45909)</f>
        <v>45909</v>
      </c>
      <c r="AY535" s="5"/>
      <c r="AZ535" s="5"/>
      <c r="BA535" s="5"/>
      <c r="BB535" s="5" t="b">
        <f ca="1">IFERROR(__xludf.DUMMYFUNCTION("""COMPUTED_VALUE"""),TRUE)</f>
        <v>1</v>
      </c>
      <c r="BC535" s="5" t="str">
        <f ca="1">IFERROR(__xludf.DUMMYFUNCTION("""COMPUTED_VALUE"""),"Tiptop")</f>
        <v>Tiptop</v>
      </c>
      <c r="BD535" s="7" t="str">
        <f ca="1">IFERROR(__xludf.DUMMYFUNCTION("""COMPUTED_VALUE"""),"https://gameserver-store-client-area.orbionlimited.com/Home/IntegrationGameLaunch/client-area?moneyType=0&amp;gameName=UnicornCoyoteSevensHalloween&amp;platform=desktop&amp;languageCode=eng&amp;currency=EUR")</f>
        <v>https://gameserver-store-client-area.orbionlimited.com/Home/IntegrationGameLaunch/client-area?moneyType=0&amp;gameName=UnicornCoyoteSevensHalloween&amp;platform=desktop&amp;languageCode=eng&amp;currency=EUR</v>
      </c>
      <c r="BE535" s="5" t="b">
        <f ca="1">IFERROR(__xludf.DUMMYFUNCTION("""COMPUTED_VALUE"""),TRUE)</f>
        <v>1</v>
      </c>
    </row>
    <row r="536" spans="1:57" x14ac:dyDescent="0.25">
      <c r="A536" s="5">
        <f ca="1">IFERROR(__xludf.DUMMYFUNCTION("""COMPUTED_VALUE"""),567)</f>
        <v>567</v>
      </c>
      <c r="B536" s="5">
        <f ca="1">IFERROR(__xludf.DUMMYFUNCTION("""COMPUTED_VALUE"""),510)</f>
        <v>510</v>
      </c>
      <c r="C536" s="5" t="str">
        <f ca="1">IFERROR(__xludf.DUMMYFUNCTION("""COMPUTED_VALUE"""),"Tiptop")</f>
        <v>Tiptop</v>
      </c>
      <c r="D536" s="5" t="str">
        <f ca="1">IFERROR(__xludf.DUMMYFUNCTION("""COMPUTED_VALUE"""),"Lava Gems")</f>
        <v>Lava Gems</v>
      </c>
      <c r="E536" s="5" t="str">
        <f ca="1">IFERROR(__xludf.DUMMYFUNCTION("""COMPUTED_VALUE"""),"Sertifikacioni")</f>
        <v>Sertifikacioni</v>
      </c>
      <c r="F536" s="5" t="str">
        <f ca="1">IFERROR(__xludf.DUMMYFUNCTION("""COMPUTED_VALUE"""),"UnicornLavaGems")</f>
        <v>UnicornLavaGems</v>
      </c>
      <c r="G536" s="5" t="str">
        <f ca="1">IFERROR(__xludf.DUMMYFUNCTION("""COMPUTED_VALUE"""),"Live")</f>
        <v>Live</v>
      </c>
      <c r="H536" s="5"/>
      <c r="I536" s="5" t="str">
        <f ca="1">IFERROR(__xludf.DUMMYFUNCTION("""COMPUTED_VALUE"""),"TipTop")</f>
        <v>TipTop</v>
      </c>
      <c r="J536" s="5" t="str">
        <f ca="1">IFERROR(__xludf.DUMMYFUNCTION("""COMPUTED_VALUE"""),"JSON")</f>
        <v>JSON</v>
      </c>
      <c r="K536" s="5" t="str">
        <f ca="1">IFERROR(__xludf.DUMMYFUNCTION("""COMPUTED_VALUE"""),"Slot")</f>
        <v>Slot</v>
      </c>
      <c r="L536" s="5" t="str">
        <f ca="1">IFERROR(__xludf.DUMMYFUNCTION("""COMPUTED_VALUE""")," Clone")</f>
        <v xml:space="preserve"> Clone</v>
      </c>
      <c r="M536" s="5" t="str">
        <f ca="1">IFERROR(__xludf.DUMMYFUNCTION("""COMPUTED_VALUE"""),"Lava Diamonds")</f>
        <v>Lava Diamonds</v>
      </c>
      <c r="N536" s="5"/>
      <c r="O536" s="5"/>
      <c r="P536" s="14">
        <f ca="1">IFERROR(__xludf.DUMMYFUNCTION("""COMPUTED_VALUE"""),11)</f>
        <v>11</v>
      </c>
      <c r="Q536" s="15">
        <f ca="1">IFERROR(__xludf.DUMMYFUNCTION("""COMPUTED_VALUE"""),45929)</f>
        <v>45929</v>
      </c>
      <c r="R536" s="15">
        <f ca="1">IFERROR(__xludf.DUMMYFUNCTION("""COMPUTED_VALUE"""),45931)</f>
        <v>45931</v>
      </c>
      <c r="S536" s="15">
        <f ca="1">IFERROR(__xludf.DUMMYFUNCTION("""COMPUTED_VALUE"""),45938)</f>
        <v>45938</v>
      </c>
      <c r="T536" s="5" t="b">
        <f ca="1">IFERROR(__xludf.DUMMYFUNCTION("""COMPUTED_VALUE"""),TRUE)</f>
        <v>1</v>
      </c>
      <c r="U536" s="5" t="str">
        <f ca="1">IFERROR(__xludf.DUMMYFUNCTION("""COMPUTED_VALUE"""),"5X3")</f>
        <v>5X3</v>
      </c>
      <c r="V536" s="5">
        <f ca="1">IFERROR(__xludf.DUMMYFUNCTION("""COMPUTED_VALUE"""),10)</f>
        <v>10</v>
      </c>
      <c r="W536" s="5">
        <f ca="1">IFERROR(__xludf.DUMMYFUNCTION("""COMPUTED_VALUE"""),10)</f>
        <v>10</v>
      </c>
      <c r="X536" s="5">
        <f ca="1">IFERROR(__xludf.DUMMYFUNCTION("""COMPUTED_VALUE"""),96)</f>
        <v>96</v>
      </c>
      <c r="Y536" s="5" t="str">
        <f ca="1">IFERROR(__xludf.DUMMYFUNCTION("""COMPUTED_VALUE"""),"Low")</f>
        <v>Low</v>
      </c>
      <c r="Z536" s="5">
        <f ca="1">IFERROR(__xludf.DUMMYFUNCTION("""COMPUTED_VALUE"""),24.14)</f>
        <v>24.14</v>
      </c>
      <c r="AA536" s="5">
        <f ca="1">IFERROR(__xludf.DUMMYFUNCTION("""COMPUTED_VALUE"""),10000)</f>
        <v>10000</v>
      </c>
      <c r="AB536" s="5"/>
      <c r="AC536" s="5"/>
      <c r="AD536" s="5" t="str">
        <f ca="1">IFERROR(__xludf.DUMMYFUNCTION("""COMPUTED_VALUE"""),"0.1/100")</f>
        <v>0.1/100</v>
      </c>
      <c r="AE536" s="5"/>
      <c r="AF536" s="5"/>
      <c r="AG536" s="10">
        <f ca="1">IFERROR(__xludf.DUMMYFUNCTION("""COMPUTED_VALUE"""),46197.5015393518)</f>
        <v>46197.501539351797</v>
      </c>
      <c r="AH536" s="5" t="str">
        <f ca="1">IFERROR(__xludf.DUMMYFUNCTION("""COMPUTED_VALUE"""),"selena.mihajlovic@fazi.rs")</f>
        <v>selena.mihajlovic@fazi.rs</v>
      </c>
      <c r="AI536" s="5"/>
      <c r="AJ536" s="5"/>
      <c r="AK536" s="5">
        <f ca="1">IFERROR(__xludf.DUMMYFUNCTION("""COMPUTED_VALUE"""),10)</f>
        <v>10</v>
      </c>
      <c r="AL536" s="5" t="str">
        <f ca="1">IFERROR(__xludf.DUMMYFUNCTION("""COMPUTED_VALUE"""),"No")</f>
        <v>No</v>
      </c>
      <c r="AM536" s="5"/>
      <c r="AN536" s="7" t="str">
        <f ca="1">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AO536" s="5"/>
      <c r="AP536" s="5"/>
      <c r="AQ536" s="5" t="b">
        <f ca="1">IFERROR(__xludf.DUMMYFUNCTION("""COMPUTED_VALUE"""),TRUE)</f>
        <v>1</v>
      </c>
      <c r="AR536" s="5" t="b">
        <f ca="1">IFERROR(__xludf.DUMMYFUNCTION("""COMPUTED_VALUE"""),FALSE)</f>
        <v>0</v>
      </c>
      <c r="AS536" s="5" t="str">
        <f ca="1">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AT536" s="5"/>
      <c r="AU536" s="5" t="str">
        <f ca="1">IFERROR(__xludf.DUMMYFUNCTION("""COMPUTED_VALUE"""),"Fazi")</f>
        <v>Fazi</v>
      </c>
      <c r="AV536" s="5"/>
      <c r="AW536" s="5"/>
      <c r="AX536" s="15">
        <f ca="1">IFERROR(__xludf.DUMMYFUNCTION("""COMPUTED_VALUE"""),45923)</f>
        <v>45923</v>
      </c>
      <c r="AY536" s="5"/>
      <c r="AZ536" s="5"/>
      <c r="BA536" s="5"/>
      <c r="BB536" s="5" t="b">
        <f ca="1">IFERROR(__xludf.DUMMYFUNCTION("""COMPUTED_VALUE"""),TRUE)</f>
        <v>1</v>
      </c>
      <c r="BC536" s="5" t="str">
        <f ca="1">IFERROR(__xludf.DUMMYFUNCTION("""COMPUTED_VALUE"""),"Tiptop")</f>
        <v>Tiptop</v>
      </c>
      <c r="BD536" s="7" t="str">
        <f ca="1">IFERROR(__xludf.DUMMYFUNCTION("""COMPUTED_VALUE"""),"https://gameserver-store-client-area.orbionlimited.com/Home/IntegrationGameLaunch/client-area?moneyType=0&amp;gameName=UnicornLavaGems&amp;platform=desktop&amp;languageCode=eng&amp;currency=EUR")</f>
        <v>https://gameserver-store-client-area.orbionlimited.com/Home/IntegrationGameLaunch/client-area?moneyType=0&amp;gameName=UnicornLavaGems&amp;platform=desktop&amp;languageCode=eng&amp;currency=EUR</v>
      </c>
      <c r="BE536" s="5" t="b">
        <f ca="1">IFERROR(__xludf.DUMMYFUNCTION("""COMPUTED_VALUE"""),TRUE)</f>
        <v>1</v>
      </c>
    </row>
    <row r="537" spans="1:57" x14ac:dyDescent="0.25">
      <c r="A537" s="5">
        <f ca="1">IFERROR(__xludf.DUMMYFUNCTION("""COMPUTED_VALUE"""),568)</f>
        <v>568</v>
      </c>
      <c r="B537" s="5">
        <f ca="1">IFERROR(__xludf.DUMMYFUNCTION("""COMPUTED_VALUE"""),4000000)</f>
        <v>4000000</v>
      </c>
      <c r="C537" s="5" t="str">
        <f ca="1">IFERROR(__xludf.DUMMYFUNCTION("""COMPUTED_VALUE"""),"Tiptop")</f>
        <v>Tiptop</v>
      </c>
      <c r="D537" s="5" t="str">
        <f ca="1">IFERROR(__xludf.DUMMYFUNCTION("""COMPUTED_VALUE"""),"The Kings Halloween")</f>
        <v>The Kings Halloween</v>
      </c>
      <c r="E537" s="5" t="str">
        <f ca="1">IFERROR(__xludf.DUMMYFUNCTION("""COMPUTED_VALUE"""),"TipTop")</f>
        <v>TipTop</v>
      </c>
      <c r="F537" s="5" t="str">
        <f ca="1">IFERROR(__xludf.DUMMYFUNCTION("""COMPUTED_VALUE"""),"UnicornTheKingsHalloween")</f>
        <v>UnicornTheKingsHalloween</v>
      </c>
      <c r="G537" s="5" t="str">
        <f ca="1">IFERROR(__xludf.DUMMYFUNCTION("""COMPUTED_VALUE"""),"Live")</f>
        <v>Live</v>
      </c>
      <c r="H537" s="5"/>
      <c r="I537" s="5"/>
      <c r="J537" s="5" t="str">
        <f ca="1">IFERROR(__xludf.DUMMYFUNCTION("""COMPUTED_VALUE"""),"JSON")</f>
        <v>JSON</v>
      </c>
      <c r="K537" s="5" t="str">
        <f ca="1">IFERROR(__xludf.DUMMYFUNCTION("""COMPUTED_VALUE"""),"Slot")</f>
        <v>Slot</v>
      </c>
      <c r="L537" s="5" t="str">
        <f ca="1">IFERROR(__xludf.DUMMYFUNCTION("""COMPUTED_VALUE"""),"Master")</f>
        <v>Master</v>
      </c>
      <c r="M537" s="5"/>
      <c r="N537" s="5"/>
      <c r="O537" s="5"/>
      <c r="P537" s="14">
        <f ca="1">IFERROR(__xludf.DUMMYFUNCTION("""COMPUTED_VALUE"""),11.8)</f>
        <v>11.8</v>
      </c>
      <c r="Q537" s="15">
        <f ca="1">IFERROR(__xludf.DUMMYFUNCTION("""COMPUTED_VALUE"""),45929)</f>
        <v>45929</v>
      </c>
      <c r="R537" s="15">
        <f ca="1">IFERROR(__xludf.DUMMYFUNCTION("""COMPUTED_VALUE"""),45924)</f>
        <v>45924</v>
      </c>
      <c r="S537" s="15">
        <f ca="1">IFERROR(__xludf.DUMMYFUNCTION("""COMPUTED_VALUE"""),45931)</f>
        <v>45931</v>
      </c>
      <c r="T537" s="5" t="b">
        <f ca="1">IFERROR(__xludf.DUMMYFUNCTION("""COMPUTED_VALUE"""),TRUE)</f>
        <v>1</v>
      </c>
      <c r="U537" s="5" t="str">
        <f ca="1">IFERROR(__xludf.DUMMYFUNCTION("""COMPUTED_VALUE"""),"5X3")</f>
        <v>5X3</v>
      </c>
      <c r="V537" s="5">
        <f ca="1">IFERROR(__xludf.DUMMYFUNCTION("""COMPUTED_VALUE"""),5)</f>
        <v>5</v>
      </c>
      <c r="W537" s="5">
        <f ca="1">IFERROR(__xludf.DUMMYFUNCTION("""COMPUTED_VALUE"""),5)</f>
        <v>5</v>
      </c>
      <c r="X537" s="5">
        <f ca="1">IFERROR(__xludf.DUMMYFUNCTION("""COMPUTED_VALUE"""),96)</f>
        <v>96</v>
      </c>
      <c r="Y537" s="5" t="str">
        <f ca="1">IFERROR(__xludf.DUMMYFUNCTION("""COMPUTED_VALUE"""),"Low")</f>
        <v>Low</v>
      </c>
      <c r="Z537" s="5">
        <f ca="1">IFERROR(__xludf.DUMMYFUNCTION("""COMPUTED_VALUE"""),17.5)</f>
        <v>17.5</v>
      </c>
      <c r="AA537" s="5">
        <f ca="1">IFERROR(__xludf.DUMMYFUNCTION("""COMPUTED_VALUE"""),1100)</f>
        <v>1100</v>
      </c>
      <c r="AB537" s="5"/>
      <c r="AC537" s="5"/>
      <c r="AD537" s="5" t="str">
        <f ca="1">IFERROR(__xludf.DUMMYFUNCTION("""COMPUTED_VALUE"""),"0.05/100")</f>
        <v>0.05/100</v>
      </c>
      <c r="AE537" s="5"/>
      <c r="AF537" s="5"/>
      <c r="AG537" s="10">
        <f ca="1">IFERROR(__xludf.DUMMYFUNCTION("""COMPUTED_VALUE"""),46197.5017013888)</f>
        <v>46197.501701388799</v>
      </c>
      <c r="AH537" s="5" t="str">
        <f ca="1">IFERROR(__xludf.DUMMYFUNCTION("""COMPUTED_VALUE"""),"selena.mihajlovic@fazi.rs")</f>
        <v>selena.mihajlovic@fazi.rs</v>
      </c>
      <c r="AI537" s="5"/>
      <c r="AJ537" s="5"/>
      <c r="AK537" s="5">
        <f ca="1">IFERROR(__xludf.DUMMYFUNCTION("""COMPUTED_VALUE"""),5)</f>
        <v>5</v>
      </c>
      <c r="AL537" s="5" t="str">
        <f ca="1">IFERROR(__xludf.DUMMYFUNCTION("""COMPUTED_VALUE"""),"No")</f>
        <v>No</v>
      </c>
      <c r="AM537" s="5"/>
      <c r="AN537" s="7" t="str">
        <f ca="1">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AO537" s="5"/>
      <c r="AP537" s="5"/>
      <c r="AQ537" s="5" t="b">
        <f ca="1">IFERROR(__xludf.DUMMYFUNCTION("""COMPUTED_VALUE"""),TRUE)</f>
        <v>1</v>
      </c>
      <c r="AR537" s="5"/>
      <c r="AS537" s="5" t="str">
        <f ca="1">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AT537" s="5"/>
      <c r="AU537" s="5" t="str">
        <f ca="1">IFERROR(__xludf.DUMMYFUNCTION("""COMPUTED_VALUE"""),"Tiptop")</f>
        <v>Tiptop</v>
      </c>
      <c r="AV537" s="5"/>
      <c r="AW537" s="5"/>
      <c r="AX537" s="15">
        <f ca="1">IFERROR(__xludf.DUMMYFUNCTION("""COMPUTED_VALUE"""),45923)</f>
        <v>45923</v>
      </c>
      <c r="AY537" s="5"/>
      <c r="AZ537" s="5"/>
      <c r="BA537" s="5"/>
      <c r="BB537" s="5" t="b">
        <f ca="1">IFERROR(__xludf.DUMMYFUNCTION("""COMPUTED_VALUE"""),TRUE)</f>
        <v>1</v>
      </c>
      <c r="BC537" s="5" t="str">
        <f ca="1">IFERROR(__xludf.DUMMYFUNCTION("""COMPUTED_VALUE"""),"Tiptop")</f>
        <v>Tiptop</v>
      </c>
      <c r="BD537" s="7" t="str">
        <f ca="1">IFERROR(__xludf.DUMMYFUNCTION("""COMPUTED_VALUE"""),"https://gameserver-store-client-area.orbionlimited.com/Home/IntegrationGameLaunch/client-area?moneyType=0&amp;gameName=UnicornTheKingsHalloween&amp;platform=desktop&amp;languageCode=eng&amp;currency=EUR")</f>
        <v>https://gameserver-store-client-area.orbionlimited.com/Home/IntegrationGameLaunch/client-area?moneyType=0&amp;gameName=UnicornTheKingsHalloween&amp;platform=desktop&amp;languageCode=eng&amp;currency=EUR</v>
      </c>
      <c r="BE537" s="5" t="b">
        <f ca="1">IFERROR(__xludf.DUMMYFUNCTION("""COMPUTED_VALUE"""),TRUE)</f>
        <v>1</v>
      </c>
    </row>
    <row r="538" spans="1:57" x14ac:dyDescent="0.25">
      <c r="A538" s="5">
        <f ca="1">IFERROR(__xludf.DUMMYFUNCTION("""COMPUTED_VALUE"""),571)</f>
        <v>571</v>
      </c>
      <c r="B538" s="5">
        <f ca="1">IFERROR(__xludf.DUMMYFUNCTION("""COMPUTED_VALUE"""),3010)</f>
        <v>3010</v>
      </c>
      <c r="C538" s="5" t="str">
        <f ca="1">IFERROR(__xludf.DUMMYFUNCTION("""COMPUTED_VALUE"""),"Fazi")</f>
        <v>Fazi</v>
      </c>
      <c r="D538" s="5" t="str">
        <f ca="1">IFERROR(__xludf.DUMMYFUNCTION("""COMPUTED_VALUE"""),"Wild Sunflower")</f>
        <v>Wild Sunflower</v>
      </c>
      <c r="E538" s="5" t="str">
        <f ca="1">IFERROR(__xludf.DUMMYFUNCTION("""COMPUTED_VALUE"""),"V2")</f>
        <v>V2</v>
      </c>
      <c r="F538" s="5" t="str">
        <f ca="1">IFERROR(__xludf.DUMMYFUNCTION("""COMPUTED_VALUE"""),"WildSunflower")</f>
        <v>WildSunflower</v>
      </c>
      <c r="G538" s="5" t="str">
        <f ca="1">IFERROR(__xludf.DUMMYFUNCTION("""COMPUTED_VALUE"""),"Live")</f>
        <v>Live</v>
      </c>
      <c r="H538" s="5"/>
      <c r="I538" s="5" t="str">
        <f ca="1">IFERROR(__xludf.DUMMYFUNCTION("""COMPUTED_VALUE"""),"V4")</f>
        <v>V4</v>
      </c>
      <c r="J538" s="5" t="str">
        <f ca="1">IFERROR(__xludf.DUMMYFUNCTION("""COMPUTED_VALUE"""),"JSON")</f>
        <v>JSON</v>
      </c>
      <c r="K538" s="5" t="str">
        <f ca="1">IFERROR(__xludf.DUMMYFUNCTION("""COMPUTED_VALUE"""),"Slot")</f>
        <v>Slot</v>
      </c>
      <c r="L538" s="5" t="str">
        <f ca="1">IFERROR(__xludf.DUMMYFUNCTION("""COMPUTED_VALUE"""),"Master")</f>
        <v>Master</v>
      </c>
      <c r="M538" s="5"/>
      <c r="N538" s="5"/>
      <c r="O538" s="5"/>
      <c r="P538" s="14">
        <f ca="1">IFERROR(__xludf.DUMMYFUNCTION("""COMPUTED_VALUE"""),50)</f>
        <v>50</v>
      </c>
      <c r="Q538" s="15">
        <f ca="1">IFERROR(__xludf.DUMMYFUNCTION("""COMPUTED_VALUE"""),45881)</f>
        <v>45881</v>
      </c>
      <c r="R538" s="15">
        <f ca="1">IFERROR(__xludf.DUMMYFUNCTION("""COMPUTED_VALUE"""),45904)</f>
        <v>45904</v>
      </c>
      <c r="S538" s="15">
        <f ca="1">IFERROR(__xludf.DUMMYFUNCTION("""COMPUTED_VALUE"""),45911)</f>
        <v>45911</v>
      </c>
      <c r="T538" s="5" t="b">
        <f ca="1">IFERROR(__xludf.DUMMYFUNCTION("""COMPUTED_VALUE"""),TRUE)</f>
        <v>1</v>
      </c>
      <c r="U538" s="5" t="str">
        <f ca="1">IFERROR(__xludf.DUMMYFUNCTION("""COMPUTED_VALUE"""),"5x4")</f>
        <v>5x4</v>
      </c>
      <c r="V538" s="5">
        <f ca="1">IFERROR(__xludf.DUMMYFUNCTION("""COMPUTED_VALUE"""),40)</f>
        <v>40</v>
      </c>
      <c r="W538" s="5">
        <f ca="1">IFERROR(__xludf.DUMMYFUNCTION("""COMPUTED_VALUE"""),40)</f>
        <v>40</v>
      </c>
      <c r="X538" s="5">
        <f ca="1">IFERROR(__xludf.DUMMYFUNCTION("""COMPUTED_VALUE"""),96.621)</f>
        <v>96.620999999999995</v>
      </c>
      <c r="Y538" s="5" t="str">
        <f ca="1">IFERROR(__xludf.DUMMYFUNCTION("""COMPUTED_VALUE"""),"Medium")</f>
        <v>Medium</v>
      </c>
      <c r="Z538" s="5">
        <f ca="1">IFERROR(__xludf.DUMMYFUNCTION("""COMPUTED_VALUE"""),11.144)</f>
        <v>11.144</v>
      </c>
      <c r="AA538" s="5">
        <f ca="1">IFERROR(__xludf.DUMMYFUNCTION("""COMPUTED_VALUE"""),6000)</f>
        <v>6000</v>
      </c>
      <c r="AB538" s="5"/>
      <c r="AC538" s="5" t="str">
        <f ca="1">IFERROR(__xludf.DUMMYFUNCTION("""COMPUTED_VALUE"""),"Buy Bonus")</f>
        <v>Buy Bonus</v>
      </c>
      <c r="AD538" s="5" t="str">
        <f ca="1">IFERROR(__xludf.DUMMYFUNCTION("""COMPUTED_VALUE"""),"0.4/40")</f>
        <v>0.4/40</v>
      </c>
      <c r="AE538" s="5"/>
      <c r="AF538" s="5"/>
      <c r="AG538" s="10">
        <f ca="1">IFERROR(__xludf.DUMMYFUNCTION("""COMPUTED_VALUE"""),46213.446875)</f>
        <v>46213.446875000001</v>
      </c>
      <c r="AH538" s="5" t="str">
        <f ca="1">IFERROR(__xludf.DUMMYFUNCTION("""COMPUTED_VALUE"""),"djordje.petrovic@fazi.rs")</f>
        <v>djordje.petrovic@fazi.rs</v>
      </c>
      <c r="AI538" s="5"/>
      <c r="AJ538" s="5"/>
      <c r="AK538" s="5">
        <f ca="1">IFERROR(__xludf.DUMMYFUNCTION("""COMPUTED_VALUE"""),4)</f>
        <v>4</v>
      </c>
      <c r="AL538" s="5" t="str">
        <f ca="1">IFERROR(__xludf.DUMMYFUNCTION("""COMPUTED_VALUE"""),"Yes")</f>
        <v>Yes</v>
      </c>
      <c r="AM538" s="5"/>
      <c r="AN538" s="7" t="str">
        <f ca="1">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AO538" s="5" t="str">
        <f ca="1">IFERROR(__xludf.DUMMYFUNCTION("""COMPUTED_VALUE"""),"Yes")</f>
        <v>Yes</v>
      </c>
      <c r="AP538" s="5" t="str">
        <f ca="1">IFERROR(__xludf.DUMMYFUNCTION("""COMPUTED_VALUE"""),"No")</f>
        <v>No</v>
      </c>
      <c r="AQ538" s="5" t="b">
        <f ca="1">IFERROR(__xludf.DUMMYFUNCTION("""COMPUTED_VALUE"""),TRUE)</f>
        <v>1</v>
      </c>
      <c r="AR538" s="5"/>
      <c r="AS538" s="5" t="str">
        <f ca="1">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AT538" s="5"/>
      <c r="AU538" s="5" t="str">
        <f ca="1">IFERROR(__xludf.DUMMYFUNCTION("""COMPUTED_VALUE"""),"Fazi")</f>
        <v>Fazi</v>
      </c>
      <c r="AV538" s="5"/>
      <c r="AW538" s="5"/>
      <c r="AX538" s="5"/>
      <c r="AY538" s="5"/>
      <c r="AZ538" s="5"/>
      <c r="BA538" s="5" t="str">
        <f ca="1">IFERROR(__xludf.DUMMYFUNCTION("""COMPUTED_VALUE"""),"25, 40, 100")</f>
        <v>25, 40, 100</v>
      </c>
      <c r="BB538" s="5"/>
      <c r="BC538" s="5" t="str">
        <f ca="1">IFERROR(__xludf.DUMMYFUNCTION("""COMPUTED_VALUE"""),"Foxi")</f>
        <v>Foxi</v>
      </c>
      <c r="BD538" s="7" t="str">
        <f ca="1">IFERROR(__xludf.DUMMYFUNCTION("""COMPUTED_VALUE"""),"https://gameserver-store-client-area.orbionlimited.com/Home/IntegrationGameLaunch/client-area?moneyType=0&amp;gameName=WildSunflower&amp;platform=desktop&amp;languageCode=eng&amp;currency=EUR")</f>
        <v>https://gameserver-store-client-area.orbionlimited.com/Home/IntegrationGameLaunch/client-area?moneyType=0&amp;gameName=WildSunflower&amp;platform=desktop&amp;languageCode=eng&amp;currency=EUR</v>
      </c>
      <c r="BE538" s="5" t="b">
        <f ca="1">IFERROR(__xludf.DUMMYFUNCTION("""COMPUTED_VALUE"""),TRUE)</f>
        <v>1</v>
      </c>
    </row>
    <row r="539" spans="1:57" x14ac:dyDescent="0.25">
      <c r="A539" s="5">
        <f ca="1">IFERROR(__xludf.DUMMYFUNCTION("""COMPUTED_VALUE"""),572)</f>
        <v>572</v>
      </c>
      <c r="B539" s="5">
        <f ca="1">IFERROR(__xludf.DUMMYFUNCTION("""COMPUTED_VALUE"""),3013)</f>
        <v>3013</v>
      </c>
      <c r="C539" s="5" t="str">
        <f ca="1">IFERROR(__xludf.DUMMYFUNCTION("""COMPUTED_VALUE"""),"Fazi")</f>
        <v>Fazi</v>
      </c>
      <c r="D539" s="5" t="str">
        <f ca="1">IFERROR(__xludf.DUMMYFUNCTION("""COMPUTED_VALUE"""),"Golden Crown Max Booster")</f>
        <v>Golden Crown Max Booster</v>
      </c>
      <c r="E539" s="5" t="str">
        <f ca="1">IFERROR(__xludf.DUMMYFUNCTION("""COMPUTED_VALUE"""),"V2")</f>
        <v>V2</v>
      </c>
      <c r="F539" s="5" t="str">
        <f ca="1">IFERROR(__xludf.DUMMYFUNCTION("""COMPUTED_VALUE"""),"GoldenCrownMaxBooster")</f>
        <v>GoldenCrownMaxBooster</v>
      </c>
      <c r="G539" s="5" t="str">
        <f ca="1">IFERROR(__xludf.DUMMYFUNCTION("""COMPUTED_VALUE"""),"Live")</f>
        <v>Live</v>
      </c>
      <c r="H539" s="5"/>
      <c r="I539" s="5" t="str">
        <f ca="1">IFERROR(__xludf.DUMMYFUNCTION("""COMPUTED_VALUE"""),"V2")</f>
        <v>V2</v>
      </c>
      <c r="J539" s="5" t="str">
        <f ca="1">IFERROR(__xludf.DUMMYFUNCTION("""COMPUTED_VALUE"""),"JSON")</f>
        <v>JSON</v>
      </c>
      <c r="K539" s="5" t="str">
        <f ca="1">IFERROR(__xludf.DUMMYFUNCTION("""COMPUTED_VALUE"""),"Slot")</f>
        <v>Slot</v>
      </c>
      <c r="L539" s="5" t="str">
        <f ca="1">IFERROR(__xludf.DUMMYFUNCTION("""COMPUTED_VALUE""")," Clone")</f>
        <v xml:space="preserve"> Clone</v>
      </c>
      <c r="M539" s="5" t="str">
        <f ca="1">IFERROR(__xludf.DUMMYFUNCTION("""COMPUTED_VALUE"""),"Golden Crown Max")</f>
        <v>Golden Crown Max</v>
      </c>
      <c r="N539" s="5"/>
      <c r="O539" s="5"/>
      <c r="P539" s="14">
        <f ca="1">IFERROR(__xludf.DUMMYFUNCTION("""COMPUTED_VALUE"""),19)</f>
        <v>19</v>
      </c>
      <c r="Q539" s="5"/>
      <c r="R539" s="15">
        <f ca="1">IFERROR(__xludf.DUMMYFUNCTION("""COMPUTED_VALUE"""),45848)</f>
        <v>45848</v>
      </c>
      <c r="S539" s="15">
        <f ca="1">IFERROR(__xludf.DUMMYFUNCTION("""COMPUTED_VALUE"""),45855)</f>
        <v>45855</v>
      </c>
      <c r="T539" s="5" t="b">
        <f ca="1">IFERROR(__xludf.DUMMYFUNCTION("""COMPUTED_VALUE"""),TRUE)</f>
        <v>1</v>
      </c>
      <c r="U539" s="5" t="str">
        <f ca="1">IFERROR(__xludf.DUMMYFUNCTION("""COMPUTED_VALUE"""),"5x4")</f>
        <v>5x4</v>
      </c>
      <c r="V539" s="5">
        <f ca="1">IFERROR(__xludf.DUMMYFUNCTION("""COMPUTED_VALUE"""),40)</f>
        <v>40</v>
      </c>
      <c r="W539" s="5">
        <f ca="1">IFERROR(__xludf.DUMMYFUNCTION("""COMPUTED_VALUE"""),40)</f>
        <v>40</v>
      </c>
      <c r="X539" s="5">
        <f ca="1">IFERROR(__xludf.DUMMYFUNCTION("""COMPUTED_VALUE"""),96.483)</f>
        <v>96.483000000000004</v>
      </c>
      <c r="Y539" s="5" t="str">
        <f ca="1">IFERROR(__xludf.DUMMYFUNCTION("""COMPUTED_VALUE"""),"High")</f>
        <v>High</v>
      </c>
      <c r="Z539" s="5">
        <f ca="1">IFERROR(__xludf.DUMMYFUNCTION("""COMPUTED_VALUE"""),12.5)</f>
        <v>12.5</v>
      </c>
      <c r="AA539" s="5">
        <f ca="1">IFERROR(__xludf.DUMMYFUNCTION("""COMPUTED_VALUE"""),5000)</f>
        <v>5000</v>
      </c>
      <c r="AB539" s="5"/>
      <c r="AC539" s="5" t="str">
        <f ca="1">IFERROR(__xludf.DUMMYFUNCTION("""COMPUTED_VALUE"""),"Buy Feature, Expanding Wild, Scatter")</f>
        <v>Buy Feature, Expanding Wild, Scatter</v>
      </c>
      <c r="AD539" s="5" t="str">
        <f ca="1">IFERROR(__xludf.DUMMYFUNCTION("""COMPUTED_VALUE"""),"0.4/40")</f>
        <v>0.4/40</v>
      </c>
      <c r="AE539" s="5"/>
      <c r="AF539" s="5"/>
      <c r="AG539" s="10">
        <f ca="1">IFERROR(__xludf.DUMMYFUNCTION("""COMPUTED_VALUE"""),46073.5678587963)</f>
        <v>46073.567858796298</v>
      </c>
      <c r="AH539" s="5" t="str">
        <f ca="1">IFERROR(__xludf.DUMMYFUNCTION("""COMPUTED_VALUE"""),"milutin.toskic@fazi.rs")</f>
        <v>milutin.toskic@fazi.rs</v>
      </c>
      <c r="AI539" s="5"/>
      <c r="AJ539" s="5"/>
      <c r="AK539" s="5">
        <f ca="1">IFERROR(__xludf.DUMMYFUNCTION("""COMPUTED_VALUE"""),40)</f>
        <v>40</v>
      </c>
      <c r="AL539" s="5" t="str">
        <f ca="1">IFERROR(__xludf.DUMMYFUNCTION("""COMPUTED_VALUE"""),"Yes")</f>
        <v>Yes</v>
      </c>
      <c r="AM539" s="5"/>
      <c r="AN539" s="7" t="str">
        <f ca="1">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AO539" s="5" t="str">
        <f ca="1">IFERROR(__xludf.DUMMYFUNCTION("""COMPUTED_VALUE"""),"Yes")</f>
        <v>Yes</v>
      </c>
      <c r="AP539" s="5" t="str">
        <f ca="1">IFERROR(__xludf.DUMMYFUNCTION("""COMPUTED_VALUE"""),"Yes")</f>
        <v>Yes</v>
      </c>
      <c r="AQ539" s="5" t="b">
        <f ca="1">IFERROR(__xludf.DUMMYFUNCTION("""COMPUTED_VALUE"""),TRUE)</f>
        <v>1</v>
      </c>
      <c r="AR539" s="5"/>
      <c r="AS539" s="5" t="str">
        <f ca="1">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AT539" s="5" t="str">
        <f ca="1">IFERROR(__xludf.DUMMYFUNCTION("""COMPUTED_VALUE"""),"No")</f>
        <v>No</v>
      </c>
      <c r="AU539" s="5" t="str">
        <f ca="1">IFERROR(__xludf.DUMMYFUNCTION("""COMPUTED_VALUE"""),"Fazi")</f>
        <v>Fazi</v>
      </c>
      <c r="AV539" s="5"/>
      <c r="AW539" s="5"/>
      <c r="AX539" s="5"/>
      <c r="AY539" s="5"/>
      <c r="AZ539" s="5"/>
      <c r="BA539" s="5">
        <f ca="1">IFERROR(__xludf.DUMMYFUNCTION("""COMPUTED_VALUE"""),7)</f>
        <v>7</v>
      </c>
      <c r="BB539" s="5"/>
      <c r="BC539" s="5" t="str">
        <f ca="1">IFERROR(__xludf.DUMMYFUNCTION("""COMPUTED_VALUE"""),"Foxi")</f>
        <v>Foxi</v>
      </c>
      <c r="BD539" s="7" t="str">
        <f ca="1">IFERROR(__xludf.DUMMYFUNCTION("""COMPUTED_VALUE"""),"https://gameserver-store-client-area.orbionlimited.com/Home/IntegrationGameLaunch/client-area?moneyType=0&amp;gameName=GoldenCrownMaxBooster&amp;platform=desktop&amp;languageCode=eng&amp;currency=EUR")</f>
        <v>https://gameserver-store-client-area.orbionlimited.com/Home/IntegrationGameLaunch/client-area?moneyType=0&amp;gameName=GoldenCrownMaxBooster&amp;platform=desktop&amp;languageCode=eng&amp;currency=EUR</v>
      </c>
      <c r="BE539" s="5" t="b">
        <f ca="1">IFERROR(__xludf.DUMMYFUNCTION("""COMPUTED_VALUE"""),TRUE)</f>
        <v>1</v>
      </c>
    </row>
    <row r="540" spans="1:57" x14ac:dyDescent="0.25">
      <c r="A540" s="5">
        <f ca="1">IFERROR(__xludf.DUMMYFUNCTION("""COMPUTED_VALUE"""),573)</f>
        <v>573</v>
      </c>
      <c r="B540" s="5">
        <f ca="1">IFERROR(__xludf.DUMMYFUNCTION("""COMPUTED_VALUE"""),3014)</f>
        <v>3014</v>
      </c>
      <c r="C540" s="5" t="str">
        <f ca="1">IFERROR(__xludf.DUMMYFUNCTION("""COMPUTED_VALUE"""),"Fazi")</f>
        <v>Fazi</v>
      </c>
      <c r="D540" s="5" t="str">
        <f ca="1">IFERROR(__xludf.DUMMYFUNCTION("""COMPUTED_VALUE"""),"Very Hot 40 Booster")</f>
        <v>Very Hot 40 Booster</v>
      </c>
      <c r="E540" s="5" t="str">
        <f ca="1">IFERROR(__xludf.DUMMYFUNCTION("""COMPUTED_VALUE"""),"V2")</f>
        <v>V2</v>
      </c>
      <c r="F540" s="5" t="str">
        <f ca="1">IFERROR(__xludf.DUMMYFUNCTION("""COMPUTED_VALUE"""),"VeryHot40Booster")</f>
        <v>VeryHot40Booster</v>
      </c>
      <c r="G540" s="5" t="str">
        <f ca="1">IFERROR(__xludf.DUMMYFUNCTION("""COMPUTED_VALUE"""),"Live")</f>
        <v>Live</v>
      </c>
      <c r="H540" s="5"/>
      <c r="I540" s="5" t="str">
        <f ca="1">IFERROR(__xludf.DUMMYFUNCTION("""COMPUTED_VALUE"""),"V2")</f>
        <v>V2</v>
      </c>
      <c r="J540" s="5" t="str">
        <f ca="1">IFERROR(__xludf.DUMMYFUNCTION("""COMPUTED_VALUE"""),"JSON")</f>
        <v>JSON</v>
      </c>
      <c r="K540" s="5" t="str">
        <f ca="1">IFERROR(__xludf.DUMMYFUNCTION("""COMPUTED_VALUE"""),"Slot")</f>
        <v>Slot</v>
      </c>
      <c r="L540" s="5" t="str">
        <f ca="1">IFERROR(__xludf.DUMMYFUNCTION("""COMPUTED_VALUE""")," Clone")</f>
        <v xml:space="preserve"> Clone</v>
      </c>
      <c r="M540" s="5" t="str">
        <f ca="1">IFERROR(__xludf.DUMMYFUNCTION("""COMPUTED_VALUE"""),"Very Hot 40")</f>
        <v>Very Hot 40</v>
      </c>
      <c r="N540" s="5"/>
      <c r="O540" s="5"/>
      <c r="P540" s="14">
        <f ca="1">IFERROR(__xludf.DUMMYFUNCTION("""COMPUTED_VALUE"""),18.5)</f>
        <v>18.5</v>
      </c>
      <c r="Q540" s="5"/>
      <c r="R540" s="15">
        <f ca="1">IFERROR(__xludf.DUMMYFUNCTION("""COMPUTED_VALUE"""),45841)</f>
        <v>45841</v>
      </c>
      <c r="S540" s="15">
        <f ca="1">IFERROR(__xludf.DUMMYFUNCTION("""COMPUTED_VALUE"""),45848)</f>
        <v>45848</v>
      </c>
      <c r="T540" s="5" t="b">
        <f ca="1">IFERROR(__xludf.DUMMYFUNCTION("""COMPUTED_VALUE"""),TRUE)</f>
        <v>1</v>
      </c>
      <c r="U540" s="5" t="str">
        <f ca="1">IFERROR(__xludf.DUMMYFUNCTION("""COMPUTED_VALUE"""),"5x3")</f>
        <v>5x3</v>
      </c>
      <c r="V540" s="5">
        <f ca="1">IFERROR(__xludf.DUMMYFUNCTION("""COMPUTED_VALUE"""),40)</f>
        <v>40</v>
      </c>
      <c r="W540" s="5">
        <f ca="1">IFERROR(__xludf.DUMMYFUNCTION("""COMPUTED_VALUE"""),40)</f>
        <v>40</v>
      </c>
      <c r="X540" s="5">
        <f ca="1">IFERROR(__xludf.DUMMYFUNCTION("""COMPUTED_VALUE"""),96.53)</f>
        <v>96.53</v>
      </c>
      <c r="Y540" s="5" t="str">
        <f ca="1">IFERROR(__xludf.DUMMYFUNCTION("""COMPUTED_VALUE"""),"Low")</f>
        <v>Low</v>
      </c>
      <c r="Z540" s="5">
        <f ca="1">IFERROR(__xludf.DUMMYFUNCTION("""COMPUTED_VALUE"""),23.38)</f>
        <v>23.38</v>
      </c>
      <c r="AA540" s="5">
        <f ca="1">IFERROR(__xludf.DUMMYFUNCTION("""COMPUTED_VALUE"""),876.75)</f>
        <v>876.75</v>
      </c>
      <c r="AB540" s="5">
        <f ca="1">IFERROR(__xludf.DUMMYFUNCTION("""COMPUTED_VALUE"""),4)</f>
        <v>4</v>
      </c>
      <c r="AC540" s="5" t="str">
        <f ca="1">IFERROR(__xludf.DUMMYFUNCTION("""COMPUTED_VALUE"""),"Buy Feature")</f>
        <v>Buy Feature</v>
      </c>
      <c r="AD540" s="5" t="str">
        <f ca="1">IFERROR(__xludf.DUMMYFUNCTION("""COMPUTED_VALUE"""),"0.4/40")</f>
        <v>0.4/40</v>
      </c>
      <c r="AE540" s="5"/>
      <c r="AF540" s="5"/>
      <c r="AG540" s="10">
        <f ca="1">IFERROR(__xludf.DUMMYFUNCTION("""COMPUTED_VALUE"""),46231.4922685185)</f>
        <v>46231.492268518501</v>
      </c>
      <c r="AH540" s="5" t="str">
        <f ca="1">IFERROR(__xludf.DUMMYFUNCTION("""COMPUTED_VALUE"""),"selena.mihajlovic@fazi.rs")</f>
        <v>selena.mihajlovic@fazi.rs</v>
      </c>
      <c r="AI540" s="5"/>
      <c r="AJ540" s="5"/>
      <c r="AK540" s="5">
        <f ca="1">IFERROR(__xludf.DUMMYFUNCTION("""COMPUTED_VALUE"""),40)</f>
        <v>40</v>
      </c>
      <c r="AL540" s="5" t="str">
        <f ca="1">IFERROR(__xludf.DUMMYFUNCTION("""COMPUTED_VALUE"""),"Yes")</f>
        <v>Yes</v>
      </c>
      <c r="AM540" s="5"/>
      <c r="AN540" s="7" t="str">
        <f ca="1">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AO540" s="5" t="str">
        <f ca="1">IFERROR(__xludf.DUMMYFUNCTION("""COMPUTED_VALUE"""),"Yes")</f>
        <v>Yes</v>
      </c>
      <c r="AP540" s="5" t="str">
        <f ca="1">IFERROR(__xludf.DUMMYFUNCTION("""COMPUTED_VALUE"""),"No")</f>
        <v>No</v>
      </c>
      <c r="AQ540" s="5" t="b">
        <f ca="1">IFERROR(__xludf.DUMMYFUNCTION("""COMPUTED_VALUE"""),TRUE)</f>
        <v>1</v>
      </c>
      <c r="AR540" s="5"/>
      <c r="AS540" s="5" t="str">
        <f ca="1">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AT540" s="5"/>
      <c r="AU540" s="5" t="str">
        <f ca="1">IFERROR(__xludf.DUMMYFUNCTION("""COMPUTED_VALUE"""),"Fazi")</f>
        <v>Fazi</v>
      </c>
      <c r="AV540" s="5"/>
      <c r="AW540" s="5"/>
      <c r="AX540" s="5"/>
      <c r="AY540" s="5"/>
      <c r="AZ540" s="5"/>
      <c r="BA540" s="5">
        <f ca="1">IFERROR(__xludf.DUMMYFUNCTION("""COMPUTED_VALUE"""),5)</f>
        <v>5</v>
      </c>
      <c r="BB540" s="5" t="b">
        <f ca="1">IFERROR(__xludf.DUMMYFUNCTION("""COMPUTED_VALUE"""),TRUE)</f>
        <v>1</v>
      </c>
      <c r="BC540" s="5" t="str">
        <f ca="1">IFERROR(__xludf.DUMMYFUNCTION("""COMPUTED_VALUE"""),"Foxi")</f>
        <v>Foxi</v>
      </c>
      <c r="BD540" s="7" t="str">
        <f ca="1">IFERROR(__xludf.DUMMYFUNCTION("""COMPUTED_VALUE"""),"https://gameserver-store-client-area.orbionlimited.com/Home/IntegrationGameLaunch/client-area?moneyType=0&amp;gameName=VeryHot40Booster&amp;platform=desktop&amp;languageCode=eng&amp;currency=EUR")</f>
        <v>https://gameserver-store-client-area.orbionlimited.com/Home/IntegrationGameLaunch/client-area?moneyType=0&amp;gameName=VeryHot40Booster&amp;platform=desktop&amp;languageCode=eng&amp;currency=EUR</v>
      </c>
      <c r="BE540" s="5" t="b">
        <f ca="1">IFERROR(__xludf.DUMMYFUNCTION("""COMPUTED_VALUE"""),TRUE)</f>
        <v>1</v>
      </c>
    </row>
    <row r="541" spans="1:57" x14ac:dyDescent="0.25">
      <c r="A541" s="5">
        <f ca="1">IFERROR(__xludf.DUMMYFUNCTION("""COMPUTED_VALUE"""),574)</f>
        <v>574</v>
      </c>
      <c r="B541" s="5">
        <f ca="1">IFERROR(__xludf.DUMMYFUNCTION("""COMPUTED_VALUE"""),3015)</f>
        <v>3015</v>
      </c>
      <c r="C541" s="5" t="str">
        <f ca="1">IFERROR(__xludf.DUMMYFUNCTION("""COMPUTED_VALUE"""),"Fazi")</f>
        <v>Fazi</v>
      </c>
      <c r="D541" s="5" t="str">
        <f ca="1">IFERROR(__xludf.DUMMYFUNCTION("""COMPUTED_VALUE"""),"Golden Crown 40 Booster")</f>
        <v>Golden Crown 40 Booster</v>
      </c>
      <c r="E541" s="5" t="str">
        <f ca="1">IFERROR(__xludf.DUMMYFUNCTION("""COMPUTED_VALUE"""),"V2")</f>
        <v>V2</v>
      </c>
      <c r="F541" s="5" t="str">
        <f ca="1">IFERROR(__xludf.DUMMYFUNCTION("""COMPUTED_VALUE"""),"GoldenCrown40Booster")</f>
        <v>GoldenCrown40Booster</v>
      </c>
      <c r="G541" s="5" t="str">
        <f ca="1">IFERROR(__xludf.DUMMYFUNCTION("""COMPUTED_VALUE"""),"Live")</f>
        <v>Live</v>
      </c>
      <c r="H541" s="5"/>
      <c r="I541" s="5" t="str">
        <f ca="1">IFERROR(__xludf.DUMMYFUNCTION("""COMPUTED_VALUE"""),"V2")</f>
        <v>V2</v>
      </c>
      <c r="J541" s="5" t="str">
        <f ca="1">IFERROR(__xludf.DUMMYFUNCTION("""COMPUTED_VALUE"""),"JSON")</f>
        <v>JSON</v>
      </c>
      <c r="K541" s="5" t="str">
        <f ca="1">IFERROR(__xludf.DUMMYFUNCTION("""COMPUTED_VALUE"""),"Slot")</f>
        <v>Slot</v>
      </c>
      <c r="L541" s="5" t="str">
        <f ca="1">IFERROR(__xludf.DUMMYFUNCTION("""COMPUTED_VALUE""")," Clone")</f>
        <v xml:space="preserve"> Clone</v>
      </c>
      <c r="M541" s="5" t="str">
        <f ca="1">IFERROR(__xludf.DUMMYFUNCTION("""COMPUTED_VALUE"""),"Golden Crown 40")</f>
        <v>Golden Crown 40</v>
      </c>
      <c r="N541" s="5"/>
      <c r="O541" s="5"/>
      <c r="P541" s="14">
        <f ca="1">IFERROR(__xludf.DUMMYFUNCTION("""COMPUTED_VALUE"""),17.4)</f>
        <v>17.399999999999999</v>
      </c>
      <c r="Q541" s="15">
        <f ca="1">IFERROR(__xludf.DUMMYFUNCTION("""COMPUTED_VALUE"""),45839)</f>
        <v>45839</v>
      </c>
      <c r="R541" s="15">
        <f ca="1">IFERROR(__xludf.DUMMYFUNCTION("""COMPUTED_VALUE"""),45876)</f>
        <v>45876</v>
      </c>
      <c r="S541" s="15">
        <f ca="1">IFERROR(__xludf.DUMMYFUNCTION("""COMPUTED_VALUE"""),45883)</f>
        <v>45883</v>
      </c>
      <c r="T541" s="5" t="b">
        <f ca="1">IFERROR(__xludf.DUMMYFUNCTION("""COMPUTED_VALUE"""),TRUE)</f>
        <v>1</v>
      </c>
      <c r="U541" s="5" t="str">
        <f ca="1">IFERROR(__xludf.DUMMYFUNCTION("""COMPUTED_VALUE"""),"5x3")</f>
        <v>5x3</v>
      </c>
      <c r="V541" s="5">
        <f ca="1">IFERROR(__xludf.DUMMYFUNCTION("""COMPUTED_VALUE"""),40)</f>
        <v>40</v>
      </c>
      <c r="W541" s="5">
        <f ca="1">IFERROR(__xludf.DUMMYFUNCTION("""COMPUTED_VALUE"""),40)</f>
        <v>40</v>
      </c>
      <c r="X541" s="5">
        <f ca="1">IFERROR(__xludf.DUMMYFUNCTION("""COMPUTED_VALUE"""),95.962)</f>
        <v>95.962000000000003</v>
      </c>
      <c r="Y541" s="5" t="str">
        <f ca="1">IFERROR(__xludf.DUMMYFUNCTION("""COMPUTED_VALUE"""),"Medium")</f>
        <v>Medium</v>
      </c>
      <c r="Z541" s="5">
        <f ca="1">IFERROR(__xludf.DUMMYFUNCTION("""COMPUTED_VALUE"""),18.35)</f>
        <v>18.350000000000001</v>
      </c>
      <c r="AA541" s="5">
        <f ca="1">IFERROR(__xludf.DUMMYFUNCTION("""COMPUTED_VALUE"""),1420.25)</f>
        <v>1420.25</v>
      </c>
      <c r="AB541" s="5"/>
      <c r="AC541" s="5" t="str">
        <f ca="1">IFERROR(__xludf.DUMMYFUNCTION("""COMPUTED_VALUE"""),"Expanding Wild, Scatter, Buy Feature")</f>
        <v>Expanding Wild, Scatter, Buy Feature</v>
      </c>
      <c r="AD541" s="5" t="str">
        <f ca="1">IFERROR(__xludf.DUMMYFUNCTION("""COMPUTED_VALUE"""),"0.4/50")</f>
        <v>0.4/50</v>
      </c>
      <c r="AE541" s="5"/>
      <c r="AF541" s="5"/>
      <c r="AG541" s="10">
        <f ca="1">IFERROR(__xludf.DUMMYFUNCTION("""COMPUTED_VALUE"""),46176.4961342592)</f>
        <v>46176.4961342592</v>
      </c>
      <c r="AH541" s="5" t="str">
        <f ca="1">IFERROR(__xludf.DUMMYFUNCTION("""COMPUTED_VALUE"""),"aleksandar.trajkovic@fazi.rs")</f>
        <v>aleksandar.trajkovic@fazi.rs</v>
      </c>
      <c r="AI541" s="15">
        <f ca="1">IFERROR(__xludf.DUMMYFUNCTION("""COMPUTED_VALUE"""),45870)</f>
        <v>45870</v>
      </c>
      <c r="AJ541" s="5" t="str">
        <f ca="1">IFERROR(__xludf.DUMMYFUNCTION("""COMPUTED_VALUE"""),"Betb2b - 1xbet ")</f>
        <v xml:space="preserve">Betb2b - 1xbet </v>
      </c>
      <c r="AK541" s="5">
        <f ca="1">IFERROR(__xludf.DUMMYFUNCTION("""COMPUTED_VALUE"""),40)</f>
        <v>40</v>
      </c>
      <c r="AL541" s="5" t="str">
        <f ca="1">IFERROR(__xludf.DUMMYFUNCTION("""COMPUTED_VALUE"""),"Yes")</f>
        <v>Yes</v>
      </c>
      <c r="AM541" s="5"/>
      <c r="AN541" s="7" t="str">
        <f ca="1">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541" s="5" t="str">
        <f ca="1">IFERROR(__xludf.DUMMYFUNCTION("""COMPUTED_VALUE"""),"Yes")</f>
        <v>Yes</v>
      </c>
      <c r="AP541" s="5" t="str">
        <f ca="1">IFERROR(__xludf.DUMMYFUNCTION("""COMPUTED_VALUE"""),"No")</f>
        <v>No</v>
      </c>
      <c r="AQ541" s="5" t="b">
        <f ca="1">IFERROR(__xludf.DUMMYFUNCTION("""COMPUTED_VALUE"""),TRUE)</f>
        <v>1</v>
      </c>
      <c r="AR541" s="5"/>
      <c r="AS541" s="5" t="str">
        <f ca="1">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AT541" s="5"/>
      <c r="AU541" s="5" t="str">
        <f ca="1">IFERROR(__xludf.DUMMYFUNCTION("""COMPUTED_VALUE"""),"Fazi")</f>
        <v>Fazi</v>
      </c>
      <c r="AV541" s="5"/>
      <c r="AW541" s="5"/>
      <c r="AX541" s="5"/>
      <c r="AY541" s="5"/>
      <c r="AZ541" s="5"/>
      <c r="BA541" s="5">
        <f ca="1">IFERROR(__xludf.DUMMYFUNCTION("""COMPUTED_VALUE"""),5)</f>
        <v>5</v>
      </c>
      <c r="BB541" s="5"/>
      <c r="BC541" s="5" t="str">
        <f ca="1">IFERROR(__xludf.DUMMYFUNCTION("""COMPUTED_VALUE"""),"Foxi")</f>
        <v>Foxi</v>
      </c>
      <c r="BD541" s="7" t="str">
        <f ca="1">IFERROR(__xludf.DUMMYFUNCTION("""COMPUTED_VALUE"""),"https://gameserver-store-client-area.orbionlimited.com/Home/IntegrationGameLaunch/client-area?moneyType=0&amp;gameName=GoldenCrown40Booster&amp;platform=desktop&amp;languageCode=eng&amp;currency=EUR")</f>
        <v>https://gameserver-store-client-area.orbionlimited.com/Home/IntegrationGameLaunch/client-area?moneyType=0&amp;gameName=GoldenCrown40Booster&amp;platform=desktop&amp;languageCode=eng&amp;currency=EUR</v>
      </c>
      <c r="BE541" s="5" t="b">
        <f ca="1">IFERROR(__xludf.DUMMYFUNCTION("""COMPUTED_VALUE"""),TRUE)</f>
        <v>1</v>
      </c>
    </row>
    <row r="542" spans="1:57" x14ac:dyDescent="0.25">
      <c r="A542" s="5">
        <f ca="1">IFERROR(__xludf.DUMMYFUNCTION("""COMPUTED_VALUE"""),575)</f>
        <v>575</v>
      </c>
      <c r="B542" s="5">
        <f ca="1">IFERROR(__xludf.DUMMYFUNCTION("""COMPUTED_VALUE"""),3020)</f>
        <v>3020</v>
      </c>
      <c r="C542" s="5" t="str">
        <f ca="1">IFERROR(__xludf.DUMMYFUNCTION("""COMPUTED_VALUE"""),"Fazi")</f>
        <v>Fazi</v>
      </c>
      <c r="D542" s="5" t="str">
        <f ca="1">IFERROR(__xludf.DUMMYFUNCTION("""COMPUTED_VALUE"""),"Brilliant Heart Booster")</f>
        <v>Brilliant Heart Booster</v>
      </c>
      <c r="E542" s="5" t="str">
        <f ca="1">IFERROR(__xludf.DUMMYFUNCTION("""COMPUTED_VALUE"""),"V2")</f>
        <v>V2</v>
      </c>
      <c r="F542" s="5" t="str">
        <f ca="1">IFERROR(__xludf.DUMMYFUNCTION("""COMPUTED_VALUE"""),"BrilliantHeartBooster")</f>
        <v>BrilliantHeartBooster</v>
      </c>
      <c r="G542" s="5" t="str">
        <f ca="1">IFERROR(__xludf.DUMMYFUNCTION("""COMPUTED_VALUE"""),"Live")</f>
        <v>Live</v>
      </c>
      <c r="H542" s="5"/>
      <c r="I542" s="5" t="str">
        <f ca="1">IFERROR(__xludf.DUMMYFUNCTION("""COMPUTED_VALUE"""),"V2")</f>
        <v>V2</v>
      </c>
      <c r="J542" s="5" t="str">
        <f ca="1">IFERROR(__xludf.DUMMYFUNCTION("""COMPUTED_VALUE"""),"JSON")</f>
        <v>JSON</v>
      </c>
      <c r="K542" s="5" t="str">
        <f ca="1">IFERROR(__xludf.DUMMYFUNCTION("""COMPUTED_VALUE"""),"Slot")</f>
        <v>Slot</v>
      </c>
      <c r="L542" s="5" t="str">
        <f ca="1">IFERROR(__xludf.DUMMYFUNCTION("""COMPUTED_VALUE""")," Clone")</f>
        <v xml:space="preserve"> Clone</v>
      </c>
      <c r="M542" s="5" t="str">
        <f ca="1">IFERROR(__xludf.DUMMYFUNCTION("""COMPUTED_VALUE"""),"Brilliant Heart")</f>
        <v>Brilliant Heart</v>
      </c>
      <c r="N542" s="5"/>
      <c r="O542" s="5"/>
      <c r="P542" s="14">
        <f ca="1">IFERROR(__xludf.DUMMYFUNCTION("""COMPUTED_VALUE"""),25.3)</f>
        <v>25.3</v>
      </c>
      <c r="Q542" s="15">
        <f ca="1">IFERROR(__xludf.DUMMYFUNCTION("""COMPUTED_VALUE"""),45839)</f>
        <v>45839</v>
      </c>
      <c r="R542" s="15">
        <f ca="1">IFERROR(__xludf.DUMMYFUNCTION("""COMPUTED_VALUE"""),45897)</f>
        <v>45897</v>
      </c>
      <c r="S542" s="15">
        <f ca="1">IFERROR(__xludf.DUMMYFUNCTION("""COMPUTED_VALUE"""),45904)</f>
        <v>45904</v>
      </c>
      <c r="T542" s="5" t="b">
        <f ca="1">IFERROR(__xludf.DUMMYFUNCTION("""COMPUTED_VALUE"""),TRUE)</f>
        <v>1</v>
      </c>
      <c r="U542" s="5" t="str">
        <f ca="1">IFERROR(__xludf.DUMMYFUNCTION("""COMPUTED_VALUE"""),"5x4")</f>
        <v>5x4</v>
      </c>
      <c r="V542" s="5">
        <f ca="1">IFERROR(__xludf.DUMMYFUNCTION("""COMPUTED_VALUE"""),40)</f>
        <v>40</v>
      </c>
      <c r="W542" s="5">
        <f ca="1">IFERROR(__xludf.DUMMYFUNCTION("""COMPUTED_VALUE"""),40)</f>
        <v>40</v>
      </c>
      <c r="X542" s="5">
        <f ca="1">IFERROR(__xludf.DUMMYFUNCTION("""COMPUTED_VALUE"""),96.483)</f>
        <v>96.483000000000004</v>
      </c>
      <c r="Y542" s="5" t="str">
        <f ca="1">IFERROR(__xludf.DUMMYFUNCTION("""COMPUTED_VALUE"""),"High")</f>
        <v>High</v>
      </c>
      <c r="Z542" s="5">
        <f ca="1">IFERROR(__xludf.DUMMYFUNCTION("""COMPUTED_VALUE"""),12.5)</f>
        <v>12.5</v>
      </c>
      <c r="AA542" s="5">
        <f ca="1">IFERROR(__xludf.DUMMYFUNCTION("""COMPUTED_VALUE"""),5000)</f>
        <v>5000</v>
      </c>
      <c r="AB542" s="5"/>
      <c r="AC542" s="5" t="str">
        <f ca="1">IFERROR(__xludf.DUMMYFUNCTION("""COMPUTED_VALUE"""),"Buy Feature")</f>
        <v>Buy Feature</v>
      </c>
      <c r="AD542" s="5" t="str">
        <f ca="1">IFERROR(__xludf.DUMMYFUNCTION("""COMPUTED_VALUE"""),"0.4/60")</f>
        <v>0.4/60</v>
      </c>
      <c r="AE542" s="5"/>
      <c r="AF542" s="5"/>
      <c r="AG542" s="10">
        <f ca="1">IFERROR(__xludf.DUMMYFUNCTION("""COMPUTED_VALUE"""),46176.5006597222)</f>
        <v>46176.500659722202</v>
      </c>
      <c r="AH542" s="5" t="str">
        <f ca="1">IFERROR(__xludf.DUMMYFUNCTION("""COMPUTED_VALUE"""),"aleksandar.trajkovic@fazi.rs")</f>
        <v>aleksandar.trajkovic@fazi.rs</v>
      </c>
      <c r="AI542" s="15">
        <f ca="1">IFERROR(__xludf.DUMMYFUNCTION("""COMPUTED_VALUE"""),45870)</f>
        <v>45870</v>
      </c>
      <c r="AJ542" s="5" t="str">
        <f ca="1">IFERROR(__xludf.DUMMYFUNCTION("""COMPUTED_VALUE"""),"4RABET - Pre-release je 01. avgusta
Casino770 (Integracija Reevo) - 6. avgusta 
Totogaming.am (Digitain) - 1. avgust")</f>
        <v>4RABET - Pre-release je 01. avgusta
Casino770 (Integracija Reevo) - 6. avgusta 
Totogaming.am (Digitain) - 1. avgust</v>
      </c>
      <c r="AK542" s="5">
        <f ca="1">IFERROR(__xludf.DUMMYFUNCTION("""COMPUTED_VALUE"""),40)</f>
        <v>40</v>
      </c>
      <c r="AL542" s="5" t="str">
        <f ca="1">IFERROR(__xludf.DUMMYFUNCTION("""COMPUTED_VALUE"""),"Yes")</f>
        <v>Yes</v>
      </c>
      <c r="AM542" s="5"/>
      <c r="AN542" s="7" t="str">
        <f ca="1">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542" s="5" t="str">
        <f ca="1">IFERROR(__xludf.DUMMYFUNCTION("""COMPUTED_VALUE"""),"Yes")</f>
        <v>Yes</v>
      </c>
      <c r="AP542" s="5" t="str">
        <f ca="1">IFERROR(__xludf.DUMMYFUNCTION("""COMPUTED_VALUE"""),"No")</f>
        <v>No</v>
      </c>
      <c r="AQ542" s="5" t="b">
        <f ca="1">IFERROR(__xludf.DUMMYFUNCTION("""COMPUTED_VALUE"""),TRUE)</f>
        <v>1</v>
      </c>
      <c r="AR542" s="5"/>
      <c r="AS542" s="5" t="str">
        <f ca="1">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AT542" s="5"/>
      <c r="AU542" s="5" t="str">
        <f ca="1">IFERROR(__xludf.DUMMYFUNCTION("""COMPUTED_VALUE"""),"Fazi")</f>
        <v>Fazi</v>
      </c>
      <c r="AV542" s="5"/>
      <c r="AW542" s="5"/>
      <c r="AX542" s="5"/>
      <c r="AY542" s="5"/>
      <c r="AZ542" s="5"/>
      <c r="BA542" s="5">
        <f ca="1">IFERROR(__xludf.DUMMYFUNCTION("""COMPUTED_VALUE"""),7)</f>
        <v>7</v>
      </c>
      <c r="BB542" s="5"/>
      <c r="BC542" s="5" t="str">
        <f ca="1">IFERROR(__xludf.DUMMYFUNCTION("""COMPUTED_VALUE"""),"Foxi")</f>
        <v>Foxi</v>
      </c>
      <c r="BD542" s="7" t="str">
        <f ca="1">IFERROR(__xludf.DUMMYFUNCTION("""COMPUTED_VALUE"""),"https://gameserver-store-client-area.orbionlimited.com/Home/IntegrationGameLaunch/client-area?moneyType=0&amp;gameName=BrilliantHeartBooster&amp;platform=desktop&amp;languageCode=eng&amp;currency=EUR")</f>
        <v>https://gameserver-store-client-area.orbionlimited.com/Home/IntegrationGameLaunch/client-area?moneyType=0&amp;gameName=BrilliantHeartBooster&amp;platform=desktop&amp;languageCode=eng&amp;currency=EUR</v>
      </c>
      <c r="BE542" s="5" t="b">
        <f ca="1">IFERROR(__xludf.DUMMYFUNCTION("""COMPUTED_VALUE"""),TRUE)</f>
        <v>1</v>
      </c>
    </row>
    <row r="543" spans="1:57" x14ac:dyDescent="0.25">
      <c r="A543" s="5">
        <f ca="1">IFERROR(__xludf.DUMMYFUNCTION("""COMPUTED_VALUE"""),576)</f>
        <v>576</v>
      </c>
      <c r="B543" s="5">
        <f ca="1">IFERROR(__xludf.DUMMYFUNCTION("""COMPUTED_VALUE"""),3018)</f>
        <v>3018</v>
      </c>
      <c r="C543" s="5" t="str">
        <f ca="1">IFERROR(__xludf.DUMMYFUNCTION("""COMPUTED_VALUE"""),"Fazi")</f>
        <v>Fazi</v>
      </c>
      <c r="D543" s="5" t="str">
        <f ca="1">IFERROR(__xludf.DUMMYFUNCTION("""COMPUTED_VALUE"""),"Epic Clover 100 Booster")</f>
        <v>Epic Clover 100 Booster</v>
      </c>
      <c r="E543" s="5" t="str">
        <f ca="1">IFERROR(__xludf.DUMMYFUNCTION("""COMPUTED_VALUE"""),"V2")</f>
        <v>V2</v>
      </c>
      <c r="F543" s="5" t="str">
        <f ca="1">IFERROR(__xludf.DUMMYFUNCTION("""COMPUTED_VALUE"""),"EpicClover100Booster")</f>
        <v>EpicClover100Booster</v>
      </c>
      <c r="G543" s="5" t="str">
        <f ca="1">IFERROR(__xludf.DUMMYFUNCTION("""COMPUTED_VALUE"""),"Live")</f>
        <v>Live</v>
      </c>
      <c r="H543" s="5"/>
      <c r="I543" s="5" t="str">
        <f ca="1">IFERROR(__xludf.DUMMYFUNCTION("""COMPUTED_VALUE"""),"V2")</f>
        <v>V2</v>
      </c>
      <c r="J543" s="5" t="str">
        <f ca="1">IFERROR(__xludf.DUMMYFUNCTION("""COMPUTED_VALUE"""),"JSON")</f>
        <v>JSON</v>
      </c>
      <c r="K543" s="5" t="str">
        <f ca="1">IFERROR(__xludf.DUMMYFUNCTION("""COMPUTED_VALUE"""),"Slot")</f>
        <v>Slot</v>
      </c>
      <c r="L543" s="5" t="str">
        <f ca="1">IFERROR(__xludf.DUMMYFUNCTION("""COMPUTED_VALUE""")," Clone")</f>
        <v xml:space="preserve"> Clone</v>
      </c>
      <c r="M543" s="5" t="str">
        <f ca="1">IFERROR(__xludf.DUMMYFUNCTION("""COMPUTED_VALUE"""),"Epic Clover 100")</f>
        <v>Epic Clover 100</v>
      </c>
      <c r="N543" s="5"/>
      <c r="O543" s="5"/>
      <c r="P543" s="14">
        <f ca="1">IFERROR(__xludf.DUMMYFUNCTION("""COMPUTED_VALUE"""),25.3)</f>
        <v>25.3</v>
      </c>
      <c r="Q543" s="15">
        <f ca="1">IFERROR(__xludf.DUMMYFUNCTION("""COMPUTED_VALUE"""),45839)</f>
        <v>45839</v>
      </c>
      <c r="R543" s="15">
        <f ca="1">IFERROR(__xludf.DUMMYFUNCTION("""COMPUTED_VALUE"""),45869)</f>
        <v>45869</v>
      </c>
      <c r="S543" s="15">
        <f ca="1">IFERROR(__xludf.DUMMYFUNCTION("""COMPUTED_VALUE"""),45876)</f>
        <v>45876</v>
      </c>
      <c r="T543" s="5" t="b">
        <f ca="1">IFERROR(__xludf.DUMMYFUNCTION("""COMPUTED_VALUE"""),TRUE)</f>
        <v>1</v>
      </c>
      <c r="U543" s="5" t="str">
        <f ca="1">IFERROR(__xludf.DUMMYFUNCTION("""COMPUTED_VALUE"""),"5x4")</f>
        <v>5x4</v>
      </c>
      <c r="V543" s="5">
        <f ca="1">IFERROR(__xludf.DUMMYFUNCTION("""COMPUTED_VALUE"""),100)</f>
        <v>100</v>
      </c>
      <c r="W543" s="5">
        <f ca="1">IFERROR(__xludf.DUMMYFUNCTION("""COMPUTED_VALUE"""),100)</f>
        <v>100</v>
      </c>
      <c r="X543" s="5">
        <f ca="1">IFERROR(__xludf.DUMMYFUNCTION("""COMPUTED_VALUE"""),96.502)</f>
        <v>96.501999999999995</v>
      </c>
      <c r="Y543" s="5" t="str">
        <f ca="1">IFERROR(__xludf.DUMMYFUNCTION("""COMPUTED_VALUE"""),"Medium")</f>
        <v>Medium</v>
      </c>
      <c r="Z543" s="5">
        <f ca="1">IFERROR(__xludf.DUMMYFUNCTION("""COMPUTED_VALUE"""),13.309)</f>
        <v>13.308999999999999</v>
      </c>
      <c r="AA543" s="5">
        <f ca="1">IFERROR(__xludf.DUMMYFUNCTION("""COMPUTED_VALUE"""),3000)</f>
        <v>3000</v>
      </c>
      <c r="AB543" s="5"/>
      <c r="AC543" s="5" t="str">
        <f ca="1">IFERROR(__xludf.DUMMYFUNCTION("""COMPUTED_VALUE"""),"Expanding Wild, Scatter")</f>
        <v>Expanding Wild, Scatter</v>
      </c>
      <c r="AD543" s="5" t="str">
        <f ca="1">IFERROR(__xludf.DUMMYFUNCTION("""COMPUTED_VALUE"""),"1/100")</f>
        <v>1/100</v>
      </c>
      <c r="AE543" s="5"/>
      <c r="AF543" s="5"/>
      <c r="AG543" s="10">
        <f ca="1">IFERROR(__xludf.DUMMYFUNCTION("""COMPUTED_VALUE"""),46176.5008101851)</f>
        <v>46176.500810185098</v>
      </c>
      <c r="AH543" s="5" t="str">
        <f ca="1">IFERROR(__xludf.DUMMYFUNCTION("""COMPUTED_VALUE"""),"aleksandar.trajkovic@fazi.rs")</f>
        <v>aleksandar.trajkovic@fazi.rs</v>
      </c>
      <c r="AI543" s="15">
        <f ca="1">IFERROR(__xludf.DUMMYFUNCTION("""COMPUTED_VALUE"""),45846)</f>
        <v>45846</v>
      </c>
      <c r="AJ543" s="5" t="str">
        <f ca="1">IFERROR(__xludf.DUMMYFUNCTION("""COMPUTED_VALUE"""),"1. Volcano Mne
2. Hub 88")</f>
        <v>1. Volcano Mne
2. Hub 88</v>
      </c>
      <c r="AK543" s="5">
        <f ca="1">IFERROR(__xludf.DUMMYFUNCTION("""COMPUTED_VALUE"""),100)</f>
        <v>100</v>
      </c>
      <c r="AL543" s="5" t="str">
        <f ca="1">IFERROR(__xludf.DUMMYFUNCTION("""COMPUTED_VALUE"""),"Yes")</f>
        <v>Yes</v>
      </c>
      <c r="AM543" s="5"/>
      <c r="AN543" s="7" t="str">
        <f ca="1">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AO543" s="5" t="str">
        <f ca="1">IFERROR(__xludf.DUMMYFUNCTION("""COMPUTED_VALUE"""),"Yes")</f>
        <v>Yes</v>
      </c>
      <c r="AP543" s="5" t="str">
        <f ca="1">IFERROR(__xludf.DUMMYFUNCTION("""COMPUTED_VALUE"""),"No")</f>
        <v>No</v>
      </c>
      <c r="AQ543" s="5" t="b">
        <f ca="1">IFERROR(__xludf.DUMMYFUNCTION("""COMPUTED_VALUE"""),TRUE)</f>
        <v>1</v>
      </c>
      <c r="AR543" s="5"/>
      <c r="AS543" s="5" t="str">
        <f ca="1">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AT543" s="5"/>
      <c r="AU543" s="5" t="str">
        <f ca="1">IFERROR(__xludf.DUMMYFUNCTION("""COMPUTED_VALUE"""),"Fazi")</f>
        <v>Fazi</v>
      </c>
      <c r="AV543" s="5"/>
      <c r="AW543" s="5"/>
      <c r="AX543" s="5"/>
      <c r="AY543" s="5"/>
      <c r="AZ543" s="5"/>
      <c r="BA543" s="5">
        <f ca="1">IFERROR(__xludf.DUMMYFUNCTION("""COMPUTED_VALUE"""),7)</f>
        <v>7</v>
      </c>
      <c r="BB543" s="5"/>
      <c r="BC543" s="5" t="str">
        <f ca="1">IFERROR(__xludf.DUMMYFUNCTION("""COMPUTED_VALUE"""),"Foxi")</f>
        <v>Foxi</v>
      </c>
      <c r="BD543" s="7" t="str">
        <f ca="1">IFERROR(__xludf.DUMMYFUNCTION("""COMPUTED_VALUE"""),"https://gameserver-store-client-area.orbionlimited.com/Home/IntegrationGameLaunch/client-area?moneyType=0&amp;gameName=EpicClover100Booster&amp;platform=desktop&amp;languageCode=eng&amp;currency=EUR")</f>
        <v>https://gameserver-store-client-area.orbionlimited.com/Home/IntegrationGameLaunch/client-area?moneyType=0&amp;gameName=EpicClover100Booster&amp;platform=desktop&amp;languageCode=eng&amp;currency=EUR</v>
      </c>
      <c r="BE543" s="5" t="b">
        <f ca="1">IFERROR(__xludf.DUMMYFUNCTION("""COMPUTED_VALUE"""),TRUE)</f>
        <v>1</v>
      </c>
    </row>
    <row r="544" spans="1:57" x14ac:dyDescent="0.25">
      <c r="A544" s="5">
        <f ca="1">IFERROR(__xludf.DUMMYFUNCTION("""COMPUTED_VALUE"""),578)</f>
        <v>578</v>
      </c>
      <c r="B544" s="5">
        <f ca="1">IFERROR(__xludf.DUMMYFUNCTION("""COMPUTED_VALUE"""),4019)</f>
        <v>4019</v>
      </c>
      <c r="C544" s="5" t="str">
        <f ca="1">IFERROR(__xludf.DUMMYFUNCTION("""COMPUTED_VALUE"""),"Fazi")</f>
        <v>Fazi</v>
      </c>
      <c r="D544" s="5" t="str">
        <f ca="1">IFERROR(__xludf.DUMMYFUNCTION("""COMPUTED_VALUE"""),"AdmiralBet 40 Free Spins")</f>
        <v>AdmiralBet 40 Free Spins</v>
      </c>
      <c r="E544" s="5" t="str">
        <f ca="1">IFERROR(__xludf.DUMMYFUNCTION("""COMPUTED_VALUE"""),"Sertifikacioni")</f>
        <v>Sertifikacioni</v>
      </c>
      <c r="F544" s="5" t="str">
        <f ca="1">IFERROR(__xludf.DUMMYFUNCTION("""COMPUTED_VALUE"""),"AdmiralBetWildHot40FreeSpins")</f>
        <v>AdmiralBetWildHot40FreeSpins</v>
      </c>
      <c r="G544" s="5" t="str">
        <f ca="1">IFERROR(__xludf.DUMMYFUNCTION("""COMPUTED_VALUE"""),"Live")</f>
        <v>Live</v>
      </c>
      <c r="H544" s="5" t="str">
        <f ca="1">IFERROR(__xludf.DUMMYFUNCTION("""COMPUTED_VALUE"""),"AmiralBet brendirana igra")</f>
        <v>AmiralBet brendirana igra</v>
      </c>
      <c r="I544" s="5" t="str">
        <f ca="1">IFERROR(__xludf.DUMMYFUNCTION("""COMPUTED_VALUE"""),"V2")</f>
        <v>V2</v>
      </c>
      <c r="J544" s="5" t="str">
        <f ca="1">IFERROR(__xludf.DUMMYFUNCTION("""COMPUTED_VALUE"""),"JSON")</f>
        <v>JSON</v>
      </c>
      <c r="K544" s="5" t="str">
        <f ca="1">IFERROR(__xludf.DUMMYFUNCTION("""COMPUTED_VALUE"""),"Slot")</f>
        <v>Slot</v>
      </c>
      <c r="L544" s="5" t="str">
        <f ca="1">IFERROR(__xludf.DUMMYFUNCTION("""COMPUTED_VALUE""")," Clone")</f>
        <v xml:space="preserve"> Clone</v>
      </c>
      <c r="M544" s="5" t="str">
        <f ca="1">IFERROR(__xludf.DUMMYFUNCTION("""COMPUTED_VALUE"""),"Wild Hot 40 Free Spins")</f>
        <v>Wild Hot 40 Free Spins</v>
      </c>
      <c r="N544" s="5"/>
      <c r="O544" s="5"/>
      <c r="P544" s="5"/>
      <c r="Q544" s="15">
        <f ca="1">IFERROR(__xludf.DUMMYFUNCTION("""COMPUTED_VALUE"""),45845)</f>
        <v>45845</v>
      </c>
      <c r="R544" s="5"/>
      <c r="S544" s="5"/>
      <c r="T544" s="5"/>
      <c r="U544" s="5" t="str">
        <f ca="1">IFERROR(__xludf.DUMMYFUNCTION("""COMPUTED_VALUE"""),"5x4")</f>
        <v>5x4</v>
      </c>
      <c r="V544" s="5">
        <f ca="1">IFERROR(__xludf.DUMMYFUNCTION("""COMPUTED_VALUE"""),40)</f>
        <v>40</v>
      </c>
      <c r="W544" s="5">
        <f ca="1">IFERROR(__xludf.DUMMYFUNCTION("""COMPUTED_VALUE"""),40)</f>
        <v>40</v>
      </c>
      <c r="X544" s="5">
        <f ca="1">IFERROR(__xludf.DUMMYFUNCTION("""COMPUTED_VALUE"""),96.024)</f>
        <v>96.024000000000001</v>
      </c>
      <c r="Y544" s="5" t="str">
        <f ca="1">IFERROR(__xludf.DUMMYFUNCTION("""COMPUTED_VALUE"""),"Low")</f>
        <v>Low</v>
      </c>
      <c r="Z544" s="5">
        <f ca="1">IFERROR(__xludf.DUMMYFUNCTION("""COMPUTED_VALUE"""),17.23)</f>
        <v>17.23</v>
      </c>
      <c r="AA544" s="5">
        <f ca="1">IFERROR(__xludf.DUMMYFUNCTION("""COMPUTED_VALUE"""),1046)</f>
        <v>1046</v>
      </c>
      <c r="AB544" s="5"/>
      <c r="AC544" s="5"/>
      <c r="AD544" s="5"/>
      <c r="AE544" s="5"/>
      <c r="AF544" s="5"/>
      <c r="AG544" s="10">
        <f ca="1">IFERROR(__xludf.DUMMYFUNCTION("""COMPUTED_VALUE"""),46160.4179861111)</f>
        <v>46160.417986111097</v>
      </c>
      <c r="AH544" s="5" t="str">
        <f ca="1">IFERROR(__xludf.DUMMYFUNCTION("""COMPUTED_VALUE"""),"danilo.subic@fazi.rs")</f>
        <v>danilo.subic@fazi.rs</v>
      </c>
      <c r="AI544" s="5"/>
      <c r="AJ544" s="5"/>
      <c r="AK544" s="5">
        <f ca="1">IFERROR(__xludf.DUMMYFUNCTION("""COMPUTED_VALUE"""),40)</f>
        <v>40</v>
      </c>
      <c r="AL544" s="5" t="str">
        <f ca="1">IFERROR(__xludf.DUMMYFUNCTION("""COMPUTED_VALUE"""),"Yes")</f>
        <v>Yes</v>
      </c>
      <c r="AM544" s="5"/>
      <c r="AN544" s="5"/>
      <c r="AO544" s="5"/>
      <c r="AP544" s="5"/>
      <c r="AQ544" s="5"/>
      <c r="AR544" s="5" t="b">
        <f ca="1">IFERROR(__xludf.DUMMYFUNCTION("""COMPUTED_VALUE"""),TRUE)</f>
        <v>1</v>
      </c>
      <c r="AS544" s="5"/>
      <c r="AT544" s="5"/>
      <c r="AU544" s="5" t="str">
        <f ca="1">IFERROR(__xludf.DUMMYFUNCTION("""COMPUTED_VALUE"""),"Fazi")</f>
        <v>Fazi</v>
      </c>
      <c r="AV544" s="5"/>
      <c r="AW544" s="5"/>
      <c r="AX544" s="5"/>
      <c r="AY544" s="5"/>
      <c r="AZ544" s="5"/>
      <c r="BA544" s="5"/>
      <c r="BB544" s="5"/>
      <c r="BC544" s="5" t="str">
        <f ca="1">IFERROR(__xludf.DUMMYFUNCTION("""COMPUTED_VALUE"""),"Foxi")</f>
        <v>Foxi</v>
      </c>
      <c r="BD544" s="5" t="str">
        <f ca="1">IFERROR(__xludf.DUMMYFUNCTION("""COMPUTED_VALUE"""),"")</f>
        <v/>
      </c>
      <c r="BE544" s="5"/>
    </row>
    <row r="545" spans="1:57" x14ac:dyDescent="0.25">
      <c r="A545" s="5">
        <f ca="1">IFERROR(__xludf.DUMMYFUNCTION("""COMPUTED_VALUE"""),579)</f>
        <v>579</v>
      </c>
      <c r="B545" s="5">
        <f ca="1">IFERROR(__xludf.DUMMYFUNCTION("""COMPUTED_VALUE"""),1008)</f>
        <v>1008</v>
      </c>
      <c r="C545" s="5" t="str">
        <f ca="1">IFERROR(__xludf.DUMMYFUNCTION("""COMPUTED_VALUE"""),"Fazi")</f>
        <v>Fazi</v>
      </c>
      <c r="D545" s="5" t="str">
        <f ca="1">IFERROR(__xludf.DUMMYFUNCTION("""COMPUTED_VALUE"""),"Coin Splash Extreme ")</f>
        <v xml:space="preserve">Coin Splash Extreme </v>
      </c>
      <c r="E545" s="5" t="str">
        <f ca="1">IFERROR(__xludf.DUMMYFUNCTION("""COMPUTED_VALUE"""),"V4-1")</f>
        <v>V4-1</v>
      </c>
      <c r="F545" s="5" t="str">
        <f ca="1">IFERROR(__xludf.DUMMYFUNCTION("""COMPUTED_VALUE"""),"CoinSplashExtreme")</f>
        <v>CoinSplashExtreme</v>
      </c>
      <c r="G545" s="5" t="str">
        <f ca="1">IFERROR(__xludf.DUMMYFUNCTION("""COMPUTED_VALUE"""),"Live")</f>
        <v>Live</v>
      </c>
      <c r="H545" s="5"/>
      <c r="I545" s="5" t="str">
        <f ca="1">IFERROR(__xludf.DUMMYFUNCTION("""COMPUTED_VALUE"""),"V4")</f>
        <v>V4</v>
      </c>
      <c r="J545" s="5" t="str">
        <f ca="1">IFERROR(__xludf.DUMMYFUNCTION("""COMPUTED_VALUE"""),"JSON")</f>
        <v>JSON</v>
      </c>
      <c r="K545" s="5" t="str">
        <f ca="1">IFERROR(__xludf.DUMMYFUNCTION("""COMPUTED_VALUE"""),"Slot")</f>
        <v>Slot</v>
      </c>
      <c r="L545" s="5" t="str">
        <f ca="1">IFERROR(__xludf.DUMMYFUNCTION("""COMPUTED_VALUE""")," Reskin")</f>
        <v xml:space="preserve"> Reskin</v>
      </c>
      <c r="M545" s="5" t="str">
        <f ca="1">IFERROR(__xludf.DUMMYFUNCTION("""COMPUTED_VALUE"""),"Coin Splash")</f>
        <v>Coin Splash</v>
      </c>
      <c r="N545" s="7" t="str">
        <f ca="1">IFERROR(__xludf.DUMMYFUNCTION("""COMPUTED_VALUE"""),"https://docs.google.com/document/d/1z_oBmRrusRG8QoBsKB7r1hO9I9nEW2i3/edit?usp=drive_link&amp;ouid=114298052477200652286&amp;rtpof=true&amp;sd=true")</f>
        <v>https://docs.google.com/document/d/1z_oBmRrusRG8QoBsKB7r1hO9I9nEW2i3/edit?usp=drive_link&amp;ouid=114298052477200652286&amp;rtpof=true&amp;sd=true</v>
      </c>
      <c r="O545" s="7" t="str">
        <f ca="1">IFERROR(__xludf.DUMMYFUNCTION("""COMPUTED_VALUE"""),"https://docs.google.com/document/d/1rFw9hKKp68GvTh-Nl3jKCE82IHC5AboA/edit?usp=drive_link&amp;ouid=114298052477200652286&amp;rtpof=true&amp;sd=true")</f>
        <v>https://docs.google.com/document/d/1rFw9hKKp68GvTh-Nl3jKCE82IHC5AboA/edit?usp=drive_link&amp;ouid=114298052477200652286&amp;rtpof=true&amp;sd=true</v>
      </c>
      <c r="P545" s="14">
        <f ca="1">IFERROR(__xludf.DUMMYFUNCTION("""COMPUTED_VALUE"""),16.2)</f>
        <v>16.2</v>
      </c>
      <c r="Q545" s="15">
        <f ca="1">IFERROR(__xludf.DUMMYFUNCTION("""COMPUTED_VALUE"""),45929)</f>
        <v>45929</v>
      </c>
      <c r="R545" s="15">
        <f ca="1">IFERROR(__xludf.DUMMYFUNCTION("""COMPUTED_VALUE"""),45932)</f>
        <v>45932</v>
      </c>
      <c r="S545" s="15">
        <f ca="1">IFERROR(__xludf.DUMMYFUNCTION("""COMPUTED_VALUE"""),45939)</f>
        <v>45939</v>
      </c>
      <c r="T545" s="5" t="b">
        <f ca="1">IFERROR(__xludf.DUMMYFUNCTION("""COMPUTED_VALUE"""),TRUE)</f>
        <v>1</v>
      </c>
      <c r="U545" s="5" t="str">
        <f ca="1">IFERROR(__xludf.DUMMYFUNCTION("""COMPUTED_VALUE"""),"5x4")</f>
        <v>5x4</v>
      </c>
      <c r="V545" s="5">
        <f ca="1">IFERROR(__xludf.DUMMYFUNCTION("""COMPUTED_VALUE"""),40)</f>
        <v>40</v>
      </c>
      <c r="W545" s="5">
        <f ca="1">IFERROR(__xludf.DUMMYFUNCTION("""COMPUTED_VALUE"""),40)</f>
        <v>40</v>
      </c>
      <c r="X545" s="5">
        <f ca="1">IFERROR(__xludf.DUMMYFUNCTION("""COMPUTED_VALUE"""),96.558)</f>
        <v>96.558000000000007</v>
      </c>
      <c r="Y545" s="5" t="str">
        <f ca="1">IFERROR(__xludf.DUMMYFUNCTION("""COMPUTED_VALUE"""),"High")</f>
        <v>High</v>
      </c>
      <c r="Z545" s="5">
        <f ca="1">IFERROR(__xludf.DUMMYFUNCTION("""COMPUTED_VALUE"""),9.965)</f>
        <v>9.9649999999999999</v>
      </c>
      <c r="AA545" s="5">
        <f ca="1">IFERROR(__xludf.DUMMYFUNCTION("""COMPUTED_VALUE"""),2000)</f>
        <v>2000</v>
      </c>
      <c r="AB545" s="5">
        <f ca="1">IFERROR(__xludf.DUMMYFUNCTION("""COMPUTED_VALUE"""),9.965)</f>
        <v>9.9649999999999999</v>
      </c>
      <c r="AC545" s="5" t="str">
        <f ca="1">IFERROR(__xludf.DUMMYFUNCTION("""COMPUTED_VALUE"""),"Exploding Wild")</f>
        <v>Exploding Wild</v>
      </c>
      <c r="AD545" s="5" t="str">
        <f ca="1">IFERROR(__xludf.DUMMYFUNCTION("""COMPUTED_VALUE"""),"0.04/40")</f>
        <v>0.04/40</v>
      </c>
      <c r="AE545" s="5"/>
      <c r="AF545" s="5"/>
      <c r="AG545" s="10">
        <f ca="1">IFERROR(__xludf.DUMMYFUNCTION("""COMPUTED_VALUE"""),46198.5203356481)</f>
        <v>46198.5203356481</v>
      </c>
      <c r="AH545" s="5" t="str">
        <f ca="1">IFERROR(__xludf.DUMMYFUNCTION("""COMPUTED_VALUE"""),"selena.mihajlovic@fazi.rs")</f>
        <v>selena.mihajlovic@fazi.rs</v>
      </c>
      <c r="AI545" s="5"/>
      <c r="AJ545" s="5"/>
      <c r="AK545" s="5">
        <f ca="1">IFERROR(__xludf.DUMMYFUNCTION("""COMPUTED_VALUE"""),4)</f>
        <v>4</v>
      </c>
      <c r="AL545" s="5" t="str">
        <f ca="1">IFERROR(__xludf.DUMMYFUNCTION("""COMPUTED_VALUE"""),"Yes")</f>
        <v>Yes</v>
      </c>
      <c r="AM545" s="5"/>
      <c r="AN545" s="7" t="str">
        <f ca="1">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AO545" s="5" t="str">
        <f ca="1">IFERROR(__xludf.DUMMYFUNCTION("""COMPUTED_VALUE"""),"Yes")</f>
        <v>Yes</v>
      </c>
      <c r="AP545" s="5" t="str">
        <f ca="1">IFERROR(__xludf.DUMMYFUNCTION("""COMPUTED_VALUE"""),"Yes")</f>
        <v>Yes</v>
      </c>
      <c r="AQ545" s="5" t="b">
        <f ca="1">IFERROR(__xludf.DUMMYFUNCTION("""COMPUTED_VALUE"""),TRUE)</f>
        <v>1</v>
      </c>
      <c r="AR545" s="5"/>
      <c r="AS545" s="5" t="str">
        <f ca="1">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AT545" s="5" t="str">
        <f ca="1">IFERROR(__xludf.DUMMYFUNCTION("""COMPUTED_VALUE"""),"Yes")</f>
        <v>Yes</v>
      </c>
      <c r="AU545" s="5" t="str">
        <f ca="1">IFERROR(__xludf.DUMMYFUNCTION("""COMPUTED_VALUE"""),"Fazi")</f>
        <v>Fazi</v>
      </c>
      <c r="AV545" s="5"/>
      <c r="AW545" s="5"/>
      <c r="AX545" s="15">
        <f ca="1">IFERROR(__xludf.DUMMYFUNCTION("""COMPUTED_VALUE"""),45923)</f>
        <v>45923</v>
      </c>
      <c r="AY545" s="5"/>
      <c r="AZ545" s="5"/>
      <c r="BA545" s="5"/>
      <c r="BB545" s="5"/>
      <c r="BC545" s="5" t="str">
        <f ca="1">IFERROR(__xludf.DUMMYFUNCTION("""COMPUTED_VALUE"""),"Foxi")</f>
        <v>Foxi</v>
      </c>
      <c r="BD545" s="7" t="str">
        <f ca="1">IFERROR(__xludf.DUMMYFUNCTION("""COMPUTED_VALUE"""),"https://gameserver-store-client-area.orbionlimited.com/Home/IntegrationGameLaunch/client-area?moneyType=0&amp;gameName=CoinSplashExtreme&amp;platform=desktop&amp;languageCode=eng&amp;currency=EUR")</f>
        <v>https://gameserver-store-client-area.orbionlimited.com/Home/IntegrationGameLaunch/client-area?moneyType=0&amp;gameName=CoinSplashExtreme&amp;platform=desktop&amp;languageCode=eng&amp;currency=EUR</v>
      </c>
      <c r="BE545" s="5" t="b">
        <f ca="1">IFERROR(__xludf.DUMMYFUNCTION("""COMPUTED_VALUE"""),TRUE)</f>
        <v>1</v>
      </c>
    </row>
    <row r="546" spans="1:57" x14ac:dyDescent="0.25">
      <c r="A546" s="5">
        <f ca="1">IFERROR(__xludf.DUMMYFUNCTION("""COMPUTED_VALUE"""),580)</f>
        <v>580</v>
      </c>
      <c r="B546" s="5">
        <f ca="1">IFERROR(__xludf.DUMMYFUNCTION("""COMPUTED_VALUE"""),2008)</f>
        <v>2008</v>
      </c>
      <c r="C546" s="5" t="str">
        <f ca="1">IFERROR(__xludf.DUMMYFUNCTION("""COMPUTED_VALUE"""),"Fazi")</f>
        <v>Fazi</v>
      </c>
      <c r="D546" s="5" t="str">
        <f ca="1">IFERROR(__xludf.DUMMYFUNCTION("""COMPUTED_VALUE"""),"Hot Clock")</f>
        <v>Hot Clock</v>
      </c>
      <c r="E546" s="5" t="str">
        <f ca="1">IFERROR(__xludf.DUMMYFUNCTION("""COMPUTED_VALUE"""),"V4-2")</f>
        <v>V4-2</v>
      </c>
      <c r="F546" s="5" t="str">
        <f ca="1">IFERROR(__xludf.DUMMYFUNCTION("""COMPUTED_VALUE"""),"HotClock")</f>
        <v>HotClock</v>
      </c>
      <c r="G546" s="5" t="str">
        <f ca="1">IFERROR(__xludf.DUMMYFUNCTION("""COMPUTED_VALUE"""),"Live")</f>
        <v>Live</v>
      </c>
      <c r="H546" s="5"/>
      <c r="I546" s="5" t="str">
        <f ca="1">IFERROR(__xludf.DUMMYFUNCTION("""COMPUTED_VALUE"""),"V4")</f>
        <v>V4</v>
      </c>
      <c r="J546" s="5" t="str">
        <f ca="1">IFERROR(__xludf.DUMMYFUNCTION("""COMPUTED_VALUE"""),"JSON")</f>
        <v>JSON</v>
      </c>
      <c r="K546" s="5" t="str">
        <f ca="1">IFERROR(__xludf.DUMMYFUNCTION("""COMPUTED_VALUE"""),"Slot")</f>
        <v>Slot</v>
      </c>
      <c r="L546" s="5" t="str">
        <f ca="1">IFERROR(__xludf.DUMMYFUNCTION("""COMPUTED_VALUE"""),"Master")</f>
        <v>Master</v>
      </c>
      <c r="M546" s="5"/>
      <c r="N546" s="7" t="str">
        <f ca="1">IFERROR(__xludf.DUMMYFUNCTION("""COMPUTED_VALUE"""),"https://drive.google.com/drive/folders/15If-w8kO7AuO2xHYBS8w2z47YmBhdYIa?usp=drive_link")</f>
        <v>https://drive.google.com/drive/folders/15If-w8kO7AuO2xHYBS8w2z47YmBhdYIa?usp=drive_link</v>
      </c>
      <c r="O546" s="7" t="str">
        <f ca="1">IFERROR(__xludf.DUMMYFUNCTION("""COMPUTED_VALUE"""),"https://drive.google.com/drive/folders/15If-w8kO7AuO2xHYBS8w2z47YmBhdYIa?usp=drive_link")</f>
        <v>https://drive.google.com/drive/folders/15If-w8kO7AuO2xHYBS8w2z47YmBhdYIa?usp=drive_link</v>
      </c>
      <c r="P546" s="14">
        <f ca="1">IFERROR(__xludf.DUMMYFUNCTION("""COMPUTED_VALUE"""),19.8)</f>
        <v>19.8</v>
      </c>
      <c r="Q546" s="15">
        <f ca="1">IFERROR(__xludf.DUMMYFUNCTION("""COMPUTED_VALUE"""),46013)</f>
        <v>46013</v>
      </c>
      <c r="R546" s="15">
        <f ca="1">IFERROR(__xludf.DUMMYFUNCTION("""COMPUTED_VALUE"""),46023)</f>
        <v>46023</v>
      </c>
      <c r="S546" s="15">
        <f ca="1">IFERROR(__xludf.DUMMYFUNCTION("""COMPUTED_VALUE"""),46030)</f>
        <v>46030</v>
      </c>
      <c r="T546" s="5" t="b">
        <f ca="1">IFERROR(__xludf.DUMMYFUNCTION("""COMPUTED_VALUE"""),TRUE)</f>
        <v>1</v>
      </c>
      <c r="U546" s="5" t="str">
        <f ca="1">IFERROR(__xludf.DUMMYFUNCTION("""COMPUTED_VALUE"""),"5x3")</f>
        <v>5x3</v>
      </c>
      <c r="V546" s="5">
        <f ca="1">IFERROR(__xludf.DUMMYFUNCTION("""COMPUTED_VALUE"""),10)</f>
        <v>10</v>
      </c>
      <c r="W546" s="5">
        <f ca="1">IFERROR(__xludf.DUMMYFUNCTION("""COMPUTED_VALUE"""),10)</f>
        <v>10</v>
      </c>
      <c r="X546" s="5">
        <f ca="1">IFERROR(__xludf.DUMMYFUNCTION("""COMPUTED_VALUE"""),96.5)</f>
        <v>96.5</v>
      </c>
      <c r="Y546" s="5" t="str">
        <f ca="1">IFERROR(__xludf.DUMMYFUNCTION("""COMPUTED_VALUE"""),"Medium")</f>
        <v>Medium</v>
      </c>
      <c r="Z546" s="5">
        <f ca="1">IFERROR(__xludf.DUMMYFUNCTION("""COMPUTED_VALUE"""),19.232)</f>
        <v>19.231999999999999</v>
      </c>
      <c r="AA546" s="5">
        <f ca="1">IFERROR(__xludf.DUMMYFUNCTION("""COMPUTED_VALUE"""),4076)</f>
        <v>4076</v>
      </c>
      <c r="AB546" s="5"/>
      <c r="AC546" s="5"/>
      <c r="AD546" s="5" t="str">
        <f ca="1">IFERROR(__xludf.DUMMYFUNCTION("""COMPUTED_VALUE"""),"0.1/50")</f>
        <v>0.1/50</v>
      </c>
      <c r="AE546" s="5"/>
      <c r="AF546" s="5"/>
      <c r="AG546" s="10">
        <f ca="1">IFERROR(__xludf.DUMMYFUNCTION("""COMPUTED_VALUE"""),46198.5205902777)</f>
        <v>46198.520590277702</v>
      </c>
      <c r="AH546" s="5" t="str">
        <f ca="1">IFERROR(__xludf.DUMMYFUNCTION("""COMPUTED_VALUE"""),"selena.mihajlovic@fazi.rs")</f>
        <v>selena.mihajlovic@fazi.rs</v>
      </c>
      <c r="AI546" s="15">
        <f ca="1">IFERROR(__xludf.DUMMYFUNCTION("""COMPUTED_VALUE"""),45992)</f>
        <v>45992</v>
      </c>
      <c r="AJ546" s="5" t="str">
        <f ca="1">IFERROR(__xludf.DUMMYFUNCTION("""COMPUTED_VALUE"""),"MozzartBet SRB i KE, Pinco i KoralPlay")</f>
        <v>MozzartBet SRB i KE, Pinco i KoralPlay</v>
      </c>
      <c r="AK546" s="5">
        <f ca="1">IFERROR(__xludf.DUMMYFUNCTION("""COMPUTED_VALUE"""),1)</f>
        <v>1</v>
      </c>
      <c r="AL546" s="5" t="str">
        <f ca="1">IFERROR(__xludf.DUMMYFUNCTION("""COMPUTED_VALUE"""),"Yes")</f>
        <v>Yes</v>
      </c>
      <c r="AM546" s="5" t="str">
        <f ca="1">IFERROR(__xludf.DUMMYFUNCTION("""COMPUTED_VALUE"""),"Yes")</f>
        <v>Yes</v>
      </c>
      <c r="AN546" s="7" t="str">
        <f ca="1">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AO546" s="5" t="str">
        <f ca="1">IFERROR(__xludf.DUMMYFUNCTION("""COMPUTED_VALUE"""),"Yes")</f>
        <v>Yes</v>
      </c>
      <c r="AP546" s="5" t="str">
        <f ca="1">IFERROR(__xludf.DUMMYFUNCTION("""COMPUTED_VALUE"""),"Yes")</f>
        <v>Yes</v>
      </c>
      <c r="AQ546" s="5" t="b">
        <f ca="1">IFERROR(__xludf.DUMMYFUNCTION("""COMPUTED_VALUE"""),TRUE)</f>
        <v>1</v>
      </c>
      <c r="AR546" s="5"/>
      <c r="AS546" s="5" t="str">
        <f ca="1">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AT546" s="5" t="str">
        <f ca="1">IFERROR(__xludf.DUMMYFUNCTION("""COMPUTED_VALUE"""),"Yes")</f>
        <v>Yes</v>
      </c>
      <c r="AU546" s="5" t="str">
        <f ca="1">IFERROR(__xludf.DUMMYFUNCTION("""COMPUTED_VALUE"""),"Fazi")</f>
        <v>Fazi</v>
      </c>
      <c r="AV546" s="5"/>
      <c r="AW546" s="5"/>
      <c r="AX546" s="15">
        <f ca="1">IFERROR(__xludf.DUMMYFUNCTION("""COMPUTED_VALUE"""),46007)</f>
        <v>46007</v>
      </c>
      <c r="AY546" s="5"/>
      <c r="AZ546" s="5"/>
      <c r="BA546" s="5"/>
      <c r="BB546" s="5"/>
      <c r="BC546" s="5" t="str">
        <f ca="1">IFERROR(__xludf.DUMMYFUNCTION("""COMPUTED_VALUE"""),"Foxi")</f>
        <v>Foxi</v>
      </c>
      <c r="BD546" s="7" t="str">
        <f ca="1">IFERROR(__xludf.DUMMYFUNCTION("""COMPUTED_VALUE"""),"https://gameserver-store-client-area.orbionlimited.com/Home/IntegrationGameLaunch/client-area?moneyType=0&amp;gameName=HotClock&amp;platform=desktop&amp;languageCode=eng&amp;currency=EUR")</f>
        <v>https://gameserver-store-client-area.orbionlimited.com/Home/IntegrationGameLaunch/client-area?moneyType=0&amp;gameName=HotClock&amp;platform=desktop&amp;languageCode=eng&amp;currency=EUR</v>
      </c>
      <c r="BE546" s="5" t="b">
        <f ca="1">IFERROR(__xludf.DUMMYFUNCTION("""COMPUTED_VALUE"""),TRUE)</f>
        <v>1</v>
      </c>
    </row>
    <row r="547" spans="1:57" x14ac:dyDescent="0.25">
      <c r="A547" s="5">
        <f ca="1">IFERROR(__xludf.DUMMYFUNCTION("""COMPUTED_VALUE"""),581)</f>
        <v>581</v>
      </c>
      <c r="B547" s="5">
        <f ca="1">IFERROR(__xludf.DUMMYFUNCTION("""COMPUTED_VALUE"""),180038)</f>
        <v>180038</v>
      </c>
      <c r="C547" s="5" t="str">
        <f ca="1">IFERROR(__xludf.DUMMYFUNCTION("""COMPUTED_VALUE"""),"Redstone")</f>
        <v>Redstone</v>
      </c>
      <c r="D547" s="5" t="str">
        <f ca="1">IFERROR(__xludf.DUMMYFUNCTION("""COMPUTED_VALUE"""),"10 Wild Crown Halloween")</f>
        <v>10 Wild Crown Halloween</v>
      </c>
      <c r="E547" s="5" t="str">
        <f ca="1">IFERROR(__xludf.DUMMYFUNCTION("""COMPUTED_VALUE"""),"Redstone")</f>
        <v>Redstone</v>
      </c>
      <c r="F547" s="5" t="str">
        <f ca="1">IFERROR(__xludf.DUMMYFUNCTION("""COMPUTED_VALUE"""),"Redstone10WildCrownHalloween")</f>
        <v>Redstone10WildCrownHalloween</v>
      </c>
      <c r="G547" s="5" t="str">
        <f ca="1">IFERROR(__xludf.DUMMYFUNCTION("""COMPUTED_VALUE"""),"Live")</f>
        <v>Live</v>
      </c>
      <c r="H547" s="5"/>
      <c r="I547" s="5" t="str">
        <f ca="1">IFERROR(__xludf.DUMMYFUNCTION("""COMPUTED_VALUE"""),"Redstone")</f>
        <v>Redstone</v>
      </c>
      <c r="J547" s="5" t="str">
        <f ca="1">IFERROR(__xludf.DUMMYFUNCTION("""COMPUTED_VALUE"""),"JSON")</f>
        <v>JSON</v>
      </c>
      <c r="K547" s="5" t="str">
        <f ca="1">IFERROR(__xludf.DUMMYFUNCTION("""COMPUTED_VALUE"""),"Slot")</f>
        <v>Slot</v>
      </c>
      <c r="L547" s="5" t="str">
        <f ca="1">IFERROR(__xludf.DUMMYFUNCTION("""COMPUTED_VALUE""")," Reskin")</f>
        <v xml:space="preserve"> Reskin</v>
      </c>
      <c r="M547" s="5" t="str">
        <f ca="1">IFERROR(__xludf.DUMMYFUNCTION("""COMPUTED_VALUE"""),"10 Wild Crown")</f>
        <v>10 Wild Crown</v>
      </c>
      <c r="N547" s="7" t="str">
        <f ca="1">IFERROR(__xludf.DUMMYFUNCTION("""COMPUTED_VALUE"""),"https://docs.google.com/document/d/1wQKvroH717U3Tz5iLDLHctfsGMzwXNTX/edit?usp=drive_link&amp;ouid=107596163405648766688&amp;rtpof=true&amp;sd=true")</f>
        <v>https://docs.google.com/document/d/1wQKvroH717U3Tz5iLDLHctfsGMzwXNTX/edit?usp=drive_link&amp;ouid=107596163405648766688&amp;rtpof=true&amp;sd=true</v>
      </c>
      <c r="O547" s="7" t="str">
        <f ca="1">IFERROR(__xludf.DUMMYFUNCTION("""COMPUTED_VALUE"""),"https://docs.google.com/document/d/1IwYx_XrjmbWMYmCnxTslCwFx2GC9xycX/edit?usp=drive_link&amp;ouid=107596163405648766688&amp;rtpof=true&amp;sd=true")</f>
        <v>https://docs.google.com/document/d/1IwYx_XrjmbWMYmCnxTslCwFx2GC9xycX/edit?usp=drive_link&amp;ouid=107596163405648766688&amp;rtpof=true&amp;sd=true</v>
      </c>
      <c r="P547" s="14">
        <f ca="1">IFERROR(__xludf.DUMMYFUNCTION("""COMPUTED_VALUE"""),6.5)</f>
        <v>6.5</v>
      </c>
      <c r="Q547" s="15">
        <f ca="1">IFERROR(__xludf.DUMMYFUNCTION("""COMPUTED_VALUE"""),45873)</f>
        <v>45873</v>
      </c>
      <c r="R547" s="15">
        <f ca="1">IFERROR(__xludf.DUMMYFUNCTION("""COMPUTED_VALUE"""),45917)</f>
        <v>45917</v>
      </c>
      <c r="S547" s="15">
        <f ca="1">IFERROR(__xludf.DUMMYFUNCTION("""COMPUTED_VALUE"""),45924)</f>
        <v>45924</v>
      </c>
      <c r="T547" s="5" t="b">
        <f ca="1">IFERROR(__xludf.DUMMYFUNCTION("""COMPUTED_VALUE"""),TRUE)</f>
        <v>1</v>
      </c>
      <c r="U547" s="5" t="str">
        <f ca="1">IFERROR(__xludf.DUMMYFUNCTION("""COMPUTED_VALUE"""),"5x3")</f>
        <v>5x3</v>
      </c>
      <c r="V547" s="5">
        <f ca="1">IFERROR(__xludf.DUMMYFUNCTION("""COMPUTED_VALUE"""),10)</f>
        <v>10</v>
      </c>
      <c r="W547" s="5">
        <f ca="1">IFERROR(__xludf.DUMMYFUNCTION("""COMPUTED_VALUE"""),10)</f>
        <v>10</v>
      </c>
      <c r="X547" s="5">
        <f ca="1">IFERROR(__xludf.DUMMYFUNCTION("""COMPUTED_VALUE"""),95.96)</f>
        <v>95.96</v>
      </c>
      <c r="Y547" s="5" t="str">
        <f ca="1">IFERROR(__xludf.DUMMYFUNCTION("""COMPUTED_VALUE"""),"Medium")</f>
        <v>Medium</v>
      </c>
      <c r="Z547" s="5">
        <f ca="1">IFERROR(__xludf.DUMMYFUNCTION("""COMPUTED_VALUE"""),14.63)</f>
        <v>14.63</v>
      </c>
      <c r="AA547" s="5">
        <f ca="1">IFERROR(__xludf.DUMMYFUNCTION("""COMPUTED_VALUE"""),1538)</f>
        <v>1538</v>
      </c>
      <c r="AB547" s="5"/>
      <c r="AC547" s="5" t="str">
        <f ca="1">IFERROR(__xludf.DUMMYFUNCTION("""COMPUTED_VALUE"""),"Expanding Wild, Scatter")</f>
        <v>Expanding Wild, Scatter</v>
      </c>
      <c r="AD547" s="5" t="str">
        <f ca="1">IFERROR(__xludf.DUMMYFUNCTION("""COMPUTED_VALUE"""),"0.10/40")</f>
        <v>0.10/40</v>
      </c>
      <c r="AE547" s="5"/>
      <c r="AF547" s="5"/>
      <c r="AG547" s="10">
        <f ca="1">IFERROR(__xludf.DUMMYFUNCTION("""COMPUTED_VALUE"""),46212.558912037)</f>
        <v>46212.558912036999</v>
      </c>
      <c r="AH547" s="5" t="str">
        <f ca="1">IFERROR(__xludf.DUMMYFUNCTION("""COMPUTED_VALUE"""),"selena.mihajlovic@fazi.rs")</f>
        <v>selena.mihajlovic@fazi.rs</v>
      </c>
      <c r="AI547" s="5"/>
      <c r="AJ547" s="5"/>
      <c r="AK547" s="5">
        <f ca="1">IFERROR(__xludf.DUMMYFUNCTION("""COMPUTED_VALUE"""),1)</f>
        <v>1</v>
      </c>
      <c r="AL547" s="5" t="str">
        <f ca="1">IFERROR(__xludf.DUMMYFUNCTION("""COMPUTED_VALUE"""),"No")</f>
        <v>No</v>
      </c>
      <c r="AM547" s="5" t="str">
        <f ca="1">IFERROR(__xludf.DUMMYFUNCTION("""COMPUTED_VALUE"""),"No")</f>
        <v>No</v>
      </c>
      <c r="AN547" s="7" t="str">
        <f ca="1">IFERROR(__xludf.DUMMYFUNCTION("""COMPUTED_VALUE"""),"https://static.redstone.rs/games/10-wild-crown-halloween/")</f>
        <v>https://static.redstone.rs/games/10-wild-crown-halloween/</v>
      </c>
      <c r="AO547" s="5" t="str">
        <f ca="1">IFERROR(__xludf.DUMMYFUNCTION("""COMPUTED_VALUE"""),"No")</f>
        <v>No</v>
      </c>
      <c r="AP547" s="5" t="str">
        <f ca="1">IFERROR(__xludf.DUMMYFUNCTION("""COMPUTED_VALUE"""),"No")</f>
        <v>No</v>
      </c>
      <c r="AQ547" s="5" t="b">
        <f ca="1">IFERROR(__xludf.DUMMYFUNCTION("""COMPUTED_VALUE"""),TRUE)</f>
        <v>1</v>
      </c>
      <c r="AR547" s="5"/>
      <c r="AS547" s="5" t="str">
        <f ca="1">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AT547" s="5"/>
      <c r="AU547" s="5" t="str">
        <f ca="1">IFERROR(__xludf.DUMMYFUNCTION("""COMPUTED_VALUE"""),"Redstone")</f>
        <v>Redstone</v>
      </c>
      <c r="AV547" s="5"/>
      <c r="AW547" s="5"/>
      <c r="AX547" s="5"/>
      <c r="AY547" s="5"/>
      <c r="AZ547" s="5"/>
      <c r="BA547" s="5"/>
      <c r="BB547" s="5" t="b">
        <f ca="1">IFERROR(__xludf.DUMMYFUNCTION("""COMPUTED_VALUE"""),TRUE)</f>
        <v>1</v>
      </c>
      <c r="BC547" s="5" t="str">
        <f ca="1">IFERROR(__xludf.DUMMYFUNCTION("""COMPUTED_VALUE"""),"Redstone")</f>
        <v>Redstone</v>
      </c>
      <c r="BD547" s="7" t="str">
        <f ca="1">IFERROR(__xludf.DUMMYFUNCTION("""COMPUTED_VALUE"""),"https://static.redstone.rs/games/10-wild-crown-halloween/")</f>
        <v>https://static.redstone.rs/games/10-wild-crown-halloween/</v>
      </c>
      <c r="BE547" s="5" t="b">
        <f ca="1">IFERROR(__xludf.DUMMYFUNCTION("""COMPUTED_VALUE"""),TRUE)</f>
        <v>1</v>
      </c>
    </row>
    <row r="548" spans="1:57" x14ac:dyDescent="0.25">
      <c r="A548" s="5">
        <f ca="1">IFERROR(__xludf.DUMMYFUNCTION("""COMPUTED_VALUE"""),582)</f>
        <v>582</v>
      </c>
      <c r="B548" s="5">
        <f ca="1">IFERROR(__xludf.DUMMYFUNCTION("""COMPUTED_VALUE"""),180037)</f>
        <v>180037</v>
      </c>
      <c r="C548" s="5" t="str">
        <f ca="1">IFERROR(__xludf.DUMMYFUNCTION("""COMPUTED_VALUE"""),"Redstone")</f>
        <v>Redstone</v>
      </c>
      <c r="D548" s="5" t="str">
        <f ca="1">IFERROR(__xludf.DUMMYFUNCTION("""COMPUTED_VALUE"""),"5 Clover Fire Halloween")</f>
        <v>5 Clover Fire Halloween</v>
      </c>
      <c r="E548" s="5" t="str">
        <f ca="1">IFERROR(__xludf.DUMMYFUNCTION("""COMPUTED_VALUE"""),"Redstone")</f>
        <v>Redstone</v>
      </c>
      <c r="F548" s="5" t="str">
        <f ca="1">IFERROR(__xludf.DUMMYFUNCTION("""COMPUTED_VALUE"""),"Redstone5CloverFireHalloween")</f>
        <v>Redstone5CloverFireHalloween</v>
      </c>
      <c r="G548" s="5" t="str">
        <f ca="1">IFERROR(__xludf.DUMMYFUNCTION("""COMPUTED_VALUE"""),"Live")</f>
        <v>Live</v>
      </c>
      <c r="H548" s="5"/>
      <c r="I548" s="5" t="str">
        <f ca="1">IFERROR(__xludf.DUMMYFUNCTION("""COMPUTED_VALUE"""),"Redstone")</f>
        <v>Redstone</v>
      </c>
      <c r="J548" s="5" t="str">
        <f ca="1">IFERROR(__xludf.DUMMYFUNCTION("""COMPUTED_VALUE"""),"JSON")</f>
        <v>JSON</v>
      </c>
      <c r="K548" s="5" t="str">
        <f ca="1">IFERROR(__xludf.DUMMYFUNCTION("""COMPUTED_VALUE"""),"Slot")</f>
        <v>Slot</v>
      </c>
      <c r="L548" s="5" t="str">
        <f ca="1">IFERROR(__xludf.DUMMYFUNCTION("""COMPUTED_VALUE""")," Reskin")</f>
        <v xml:space="preserve"> Reskin</v>
      </c>
      <c r="M548" s="5" t="str">
        <f ca="1">IFERROR(__xludf.DUMMYFUNCTION("""COMPUTED_VALUE"""),"5 Clover Fire")</f>
        <v>5 Clover Fire</v>
      </c>
      <c r="N548" s="7" t="str">
        <f ca="1">IFERROR(__xludf.DUMMYFUNCTION("""COMPUTED_VALUE"""),"https://docs.google.com/document/d/1JUWW4nQltXBbyiLWnANAsePI56Gc7bx6/edit?usp=drive_link&amp;ouid=107596163405648766688&amp;rtpof=true&amp;sd=true")</f>
        <v>https://docs.google.com/document/d/1JUWW4nQltXBbyiLWnANAsePI56Gc7bx6/edit?usp=drive_link&amp;ouid=107596163405648766688&amp;rtpof=true&amp;sd=true</v>
      </c>
      <c r="O548" s="7" t="str">
        <f ca="1">IFERROR(__xludf.DUMMYFUNCTION("""COMPUTED_VALUE"""),"https://docs.google.com/document/d/1s_5ZB5oz6OlIkYiPyUg17u852A4cHd_l/edit?usp=drive_link&amp;ouid=107596163405648766688&amp;rtpof=true&amp;sd=true")</f>
        <v>https://docs.google.com/document/d/1s_5ZB5oz6OlIkYiPyUg17u852A4cHd_l/edit?usp=drive_link&amp;ouid=107596163405648766688&amp;rtpof=true&amp;sd=true</v>
      </c>
      <c r="P548" s="14">
        <f ca="1">IFERROR(__xludf.DUMMYFUNCTION("""COMPUTED_VALUE"""),6.6)</f>
        <v>6.6</v>
      </c>
      <c r="Q548" s="15">
        <f ca="1">IFERROR(__xludf.DUMMYFUNCTION("""COMPUTED_VALUE"""),45859)</f>
        <v>45859</v>
      </c>
      <c r="R548" s="15">
        <f ca="1">IFERROR(__xludf.DUMMYFUNCTION("""COMPUTED_VALUE"""),45910)</f>
        <v>45910</v>
      </c>
      <c r="S548" s="15">
        <f ca="1">IFERROR(__xludf.DUMMYFUNCTION("""COMPUTED_VALUE"""),45917)</f>
        <v>45917</v>
      </c>
      <c r="T548" s="5" t="b">
        <f ca="1">IFERROR(__xludf.DUMMYFUNCTION("""COMPUTED_VALUE"""),TRUE)</f>
        <v>1</v>
      </c>
      <c r="U548" s="5" t="str">
        <f ca="1">IFERROR(__xludf.DUMMYFUNCTION("""COMPUTED_VALUE"""),"5x3")</f>
        <v>5x3</v>
      </c>
      <c r="V548" s="5">
        <f ca="1">IFERROR(__xludf.DUMMYFUNCTION("""COMPUTED_VALUE"""),5)</f>
        <v>5</v>
      </c>
      <c r="W548" s="5">
        <f ca="1">IFERROR(__xludf.DUMMYFUNCTION("""COMPUTED_VALUE"""),5)</f>
        <v>5</v>
      </c>
      <c r="X548" s="5">
        <f ca="1">IFERROR(__xludf.DUMMYFUNCTION("""COMPUTED_VALUE"""),96.45)</f>
        <v>96.45</v>
      </c>
      <c r="Y548" s="5" t="str">
        <f ca="1">IFERROR(__xludf.DUMMYFUNCTION("""COMPUTED_VALUE"""),"Medium")</f>
        <v>Medium</v>
      </c>
      <c r="Z548" s="5">
        <f ca="1">IFERROR(__xludf.DUMMYFUNCTION("""COMPUTED_VALUE"""),14.5)</f>
        <v>14.5</v>
      </c>
      <c r="AA548" s="5">
        <f ca="1">IFERROR(__xludf.DUMMYFUNCTION("""COMPUTED_VALUE"""),1222)</f>
        <v>1222</v>
      </c>
      <c r="AB548" s="5"/>
      <c r="AC548" s="5" t="str">
        <f ca="1">IFERROR(__xludf.DUMMYFUNCTION("""COMPUTED_VALUE"""),"Expanding Wild, Scatter")</f>
        <v>Expanding Wild, Scatter</v>
      </c>
      <c r="AD548" s="5" t="str">
        <f ca="1">IFERROR(__xludf.DUMMYFUNCTION("""COMPUTED_VALUE"""),"0.05/30")</f>
        <v>0.05/30</v>
      </c>
      <c r="AE548" s="5"/>
      <c r="AF548" s="5"/>
      <c r="AG548" s="10">
        <f ca="1">IFERROR(__xludf.DUMMYFUNCTION("""COMPUTED_VALUE"""),46157.5313888888)</f>
        <v>46157.531388888798</v>
      </c>
      <c r="AH548" s="5"/>
      <c r="AI548" s="5"/>
      <c r="AJ548" s="5"/>
      <c r="AK548" s="5">
        <f ca="1">IFERROR(__xludf.DUMMYFUNCTION("""COMPUTED_VALUE"""),1)</f>
        <v>1</v>
      </c>
      <c r="AL548" s="5" t="str">
        <f ca="1">IFERROR(__xludf.DUMMYFUNCTION("""COMPUTED_VALUE"""),"No")</f>
        <v>No</v>
      </c>
      <c r="AM548" s="5" t="str">
        <f ca="1">IFERROR(__xludf.DUMMYFUNCTION("""COMPUTED_VALUE"""),"No")</f>
        <v>No</v>
      </c>
      <c r="AN548" s="7" t="str">
        <f ca="1">IFERROR(__xludf.DUMMYFUNCTION("""COMPUTED_VALUE"""),"https://static.redstone.rs/games/5-clover-fire-halloween/")</f>
        <v>https://static.redstone.rs/games/5-clover-fire-halloween/</v>
      </c>
      <c r="AO548" s="5" t="str">
        <f ca="1">IFERROR(__xludf.DUMMYFUNCTION("""COMPUTED_VALUE"""),"No")</f>
        <v>No</v>
      </c>
      <c r="AP548" s="5" t="str">
        <f ca="1">IFERROR(__xludf.DUMMYFUNCTION("""COMPUTED_VALUE"""),"No")</f>
        <v>No</v>
      </c>
      <c r="AQ548" s="5" t="b">
        <f ca="1">IFERROR(__xludf.DUMMYFUNCTION("""COMPUTED_VALUE"""),TRUE)</f>
        <v>1</v>
      </c>
      <c r="AR548" s="5"/>
      <c r="AS548" s="5" t="str">
        <f ca="1">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AT548" s="5"/>
      <c r="AU548" s="5" t="str">
        <f ca="1">IFERROR(__xludf.DUMMYFUNCTION("""COMPUTED_VALUE"""),"Redstone")</f>
        <v>Redstone</v>
      </c>
      <c r="AV548" s="5"/>
      <c r="AW548" s="5"/>
      <c r="AX548" s="5"/>
      <c r="AY548" s="5"/>
      <c r="AZ548" s="5"/>
      <c r="BA548" s="5"/>
      <c r="BB548" s="5" t="b">
        <f ca="1">IFERROR(__xludf.DUMMYFUNCTION("""COMPUTED_VALUE"""),TRUE)</f>
        <v>1</v>
      </c>
      <c r="BC548" s="5" t="str">
        <f ca="1">IFERROR(__xludf.DUMMYFUNCTION("""COMPUTED_VALUE"""),"Redstone")</f>
        <v>Redstone</v>
      </c>
      <c r="BD548" s="7" t="str">
        <f ca="1">IFERROR(__xludf.DUMMYFUNCTION("""COMPUTED_VALUE"""),"https://static.redstone.rs/games/5-clover-fire-halloween/")</f>
        <v>https://static.redstone.rs/games/5-clover-fire-halloween/</v>
      </c>
      <c r="BE548" s="5" t="b">
        <f ca="1">IFERROR(__xludf.DUMMYFUNCTION("""COMPUTED_VALUE"""),TRUE)</f>
        <v>1</v>
      </c>
    </row>
    <row r="549" spans="1:57" x14ac:dyDescent="0.25">
      <c r="A549" s="5">
        <f ca="1">IFERROR(__xludf.DUMMYFUNCTION("""COMPUTED_VALUE"""),583)</f>
        <v>583</v>
      </c>
      <c r="B549" s="5">
        <f ca="1">IFERROR(__xludf.DUMMYFUNCTION("""COMPUTED_VALUE"""),5001)</f>
        <v>5001</v>
      </c>
      <c r="C549" s="5" t="str">
        <f ca="1">IFERROR(__xludf.DUMMYFUNCTION("""COMPUTED_VALUE"""),"Fazi")</f>
        <v>Fazi</v>
      </c>
      <c r="D549" s="5" t="str">
        <f ca="1">IFERROR(__xludf.DUMMYFUNCTION("""COMPUTED_VALUE"""),"Fruit Lock 7")</f>
        <v>Fruit Lock 7</v>
      </c>
      <c r="E549" s="5" t="str">
        <f ca="1">IFERROR(__xludf.DUMMYFUNCTION("""COMPUTED_VALUE"""),"V4-3")</f>
        <v>V4-3</v>
      </c>
      <c r="F549" s="5" t="str">
        <f ca="1">IFERROR(__xludf.DUMMYFUNCTION("""COMPUTED_VALUE"""),"FruitLock7")</f>
        <v>FruitLock7</v>
      </c>
      <c r="G549" s="5" t="str">
        <f ca="1">IFERROR(__xludf.DUMMYFUNCTION("""COMPUTED_VALUE"""),"Live")</f>
        <v>Live</v>
      </c>
      <c r="H549" s="5"/>
      <c r="I549" s="5" t="str">
        <f ca="1">IFERROR(__xludf.DUMMYFUNCTION("""COMPUTED_VALUE"""),"V4")</f>
        <v>V4</v>
      </c>
      <c r="J549" s="5" t="str">
        <f ca="1">IFERROR(__xludf.DUMMYFUNCTION("""COMPUTED_VALUE"""),"JSON")</f>
        <v>JSON</v>
      </c>
      <c r="K549" s="5" t="str">
        <f ca="1">IFERROR(__xludf.DUMMYFUNCTION("""COMPUTED_VALUE"""),"Slot")</f>
        <v>Slot</v>
      </c>
      <c r="L549" s="5" t="str">
        <f ca="1">IFERROR(__xludf.DUMMYFUNCTION("""COMPUTED_VALUE"""),"Master")</f>
        <v>Master</v>
      </c>
      <c r="M549" s="5"/>
      <c r="N549" s="5"/>
      <c r="O549" s="5"/>
      <c r="P549" s="14">
        <f ca="1">IFERROR(__xludf.DUMMYFUNCTION("""COMPUTED_VALUE"""),16)</f>
        <v>16</v>
      </c>
      <c r="Q549" s="15">
        <f ca="1">IFERROR(__xludf.DUMMYFUNCTION("""COMPUTED_VALUE"""),46013)</f>
        <v>46013</v>
      </c>
      <c r="R549" s="15">
        <f ca="1">IFERROR(__xludf.DUMMYFUNCTION("""COMPUTED_VALUE"""),46030)</f>
        <v>46030</v>
      </c>
      <c r="S549" s="15">
        <f ca="1">IFERROR(__xludf.DUMMYFUNCTION("""COMPUTED_VALUE"""),46037)</f>
        <v>46037</v>
      </c>
      <c r="T549" s="5" t="b">
        <f ca="1">IFERROR(__xludf.DUMMYFUNCTION("""COMPUTED_VALUE"""),TRUE)</f>
        <v>1</v>
      </c>
      <c r="U549" s="5" t="str">
        <f ca="1">IFERROR(__xludf.DUMMYFUNCTION("""COMPUTED_VALUE"""),"5x3")</f>
        <v>5x3</v>
      </c>
      <c r="V549" s="5">
        <f ca="1">IFERROR(__xludf.DUMMYFUNCTION("""COMPUTED_VALUE"""),20)</f>
        <v>20</v>
      </c>
      <c r="W549" s="5">
        <f ca="1">IFERROR(__xludf.DUMMYFUNCTION("""COMPUTED_VALUE"""),20)</f>
        <v>20</v>
      </c>
      <c r="X549" s="5">
        <f ca="1">IFERROR(__xludf.DUMMYFUNCTION("""COMPUTED_VALUE"""),96.542)</f>
        <v>96.542000000000002</v>
      </c>
      <c r="Y549" s="5" t="str">
        <f ca="1">IFERROR(__xludf.DUMMYFUNCTION("""COMPUTED_VALUE"""),"High")</f>
        <v>High</v>
      </c>
      <c r="Z549" s="5">
        <f ca="1">IFERROR(__xludf.DUMMYFUNCTION("""COMPUTED_VALUE"""),9.941)</f>
        <v>9.9410000000000007</v>
      </c>
      <c r="AA549" s="5">
        <f ca="1">IFERROR(__xludf.DUMMYFUNCTION("""COMPUTED_VALUE"""),3000)</f>
        <v>3000</v>
      </c>
      <c r="AB549" s="5"/>
      <c r="AC549" s="5"/>
      <c r="AD549" s="5" t="str">
        <f ca="1">IFERROR(__xludf.DUMMYFUNCTION("""COMPUTED_VALUE"""),"0.2/50")</f>
        <v>0.2/50</v>
      </c>
      <c r="AE549" s="5"/>
      <c r="AF549" s="5"/>
      <c r="AG549" s="10">
        <f ca="1">IFERROR(__xludf.DUMMYFUNCTION("""COMPUTED_VALUE"""),46213.5249074074)</f>
        <v>46213.524907407402</v>
      </c>
      <c r="AH549" s="5" t="str">
        <f ca="1">IFERROR(__xludf.DUMMYFUNCTION("""COMPUTED_VALUE"""),"zdravkovic.predrag@fazi.rs")</f>
        <v>zdravkovic.predrag@fazi.rs</v>
      </c>
      <c r="AI549" s="5"/>
      <c r="AJ549" s="5" t="str">
        <f ca="1">IFERROR(__xludf.DUMMYFUNCTION("""COMPUTED_VALUE"""),"AGREGACIONA PLATFROMA")</f>
        <v>AGREGACIONA PLATFROMA</v>
      </c>
      <c r="AK549" s="5">
        <f ca="1">IFERROR(__xludf.DUMMYFUNCTION("""COMPUTED_VALUE"""),20)</f>
        <v>20</v>
      </c>
      <c r="AL549" s="5" t="str">
        <f ca="1">IFERROR(__xludf.DUMMYFUNCTION("""COMPUTED_VALUE"""),"Yes")</f>
        <v>Yes</v>
      </c>
      <c r="AM549" s="5"/>
      <c r="AN549" s="7" t="str">
        <f ca="1">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AO549" s="5" t="str">
        <f ca="1">IFERROR(__xludf.DUMMYFUNCTION("""COMPUTED_VALUE"""),"Yes")</f>
        <v>Yes</v>
      </c>
      <c r="AP549" s="5" t="str">
        <f ca="1">IFERROR(__xludf.DUMMYFUNCTION("""COMPUTED_VALUE"""),"No")</f>
        <v>No</v>
      </c>
      <c r="AQ549" s="5" t="b">
        <f ca="1">IFERROR(__xludf.DUMMYFUNCTION("""COMPUTED_VALUE"""),TRUE)</f>
        <v>1</v>
      </c>
      <c r="AR549" s="5"/>
      <c r="AS549" s="5"/>
      <c r="AT549" s="5"/>
      <c r="AU549" s="5" t="str">
        <f ca="1">IFERROR(__xludf.DUMMYFUNCTION("""COMPUTED_VALUE"""),"Fazi")</f>
        <v>Fazi</v>
      </c>
      <c r="AV549" s="5">
        <f ca="1">IFERROR(__xludf.DUMMYFUNCTION("""COMPUTED_VALUE"""),1)</f>
        <v>1</v>
      </c>
      <c r="AW549" s="5"/>
      <c r="AX549" s="15">
        <f ca="1">IFERROR(__xludf.DUMMYFUNCTION("""COMPUTED_VALUE"""),46007)</f>
        <v>46007</v>
      </c>
      <c r="AY549" s="5"/>
      <c r="AZ549" s="5"/>
      <c r="BA549" s="5"/>
      <c r="BB549" s="5"/>
      <c r="BC549" s="5" t="str">
        <f ca="1">IFERROR(__xludf.DUMMYFUNCTION("""COMPUTED_VALUE"""),"Foxi")</f>
        <v>Foxi</v>
      </c>
      <c r="BD549" s="7" t="str">
        <f ca="1">IFERROR(__xludf.DUMMYFUNCTION("""COMPUTED_VALUE"""),"https://gameserver-store-client-area.orbionlimited.com/Home/IntegrationGameLaunch/client-area?moneyType=0&amp;gameName=FruitLock7&amp;platform=desktop&amp;languageCode=eng&amp;currency=EUR")</f>
        <v>https://gameserver-store-client-area.orbionlimited.com/Home/IntegrationGameLaunch/client-area?moneyType=0&amp;gameName=FruitLock7&amp;platform=desktop&amp;languageCode=eng&amp;currency=EUR</v>
      </c>
      <c r="BE549" s="5" t="b">
        <f ca="1">IFERROR(__xludf.DUMMYFUNCTION("""COMPUTED_VALUE"""),TRUE)</f>
        <v>1</v>
      </c>
    </row>
    <row r="550" spans="1:57" x14ac:dyDescent="0.25">
      <c r="A550" s="5">
        <f ca="1">IFERROR(__xludf.DUMMYFUNCTION("""COMPUTED_VALUE"""),584)</f>
        <v>584</v>
      </c>
      <c r="B550" s="5">
        <f ca="1">IFERROR(__xludf.DUMMYFUNCTION("""COMPUTED_VALUE"""),4023)</f>
        <v>4023</v>
      </c>
      <c r="C550" s="5" t="str">
        <f ca="1">IFERROR(__xludf.DUMMYFUNCTION("""COMPUTED_VALUE"""),"Fazi")</f>
        <v>Fazi</v>
      </c>
      <c r="D550" s="5" t="str">
        <f ca="1">IFERROR(__xludf.DUMMYFUNCTION("""COMPUTED_VALUE"""),"Golden Crown Halloween")</f>
        <v>Golden Crown Halloween</v>
      </c>
      <c r="E550" s="5" t="str">
        <f ca="1">IFERROR(__xludf.DUMMYFUNCTION("""COMPUTED_VALUE"""),"Sertifikacioni")</f>
        <v>Sertifikacioni</v>
      </c>
      <c r="F550" s="5" t="str">
        <f ca="1">IFERROR(__xludf.DUMMYFUNCTION("""COMPUTED_VALUE"""),"GoldenCrownHalloween")</f>
        <v>GoldenCrownHalloween</v>
      </c>
      <c r="G550" s="5" t="str">
        <f ca="1">IFERROR(__xludf.DUMMYFUNCTION("""COMPUTED_VALUE"""),"Live")</f>
        <v>Live</v>
      </c>
      <c r="H550" s="5"/>
      <c r="I550" s="5" t="str">
        <f ca="1">IFERROR(__xludf.DUMMYFUNCTION("""COMPUTED_VALUE"""),"V2")</f>
        <v>V2</v>
      </c>
      <c r="J550" s="5" t="str">
        <f ca="1">IFERROR(__xludf.DUMMYFUNCTION("""COMPUTED_VALUE"""),"JSON")</f>
        <v>JSON</v>
      </c>
      <c r="K550" s="5" t="str">
        <f ca="1">IFERROR(__xludf.DUMMYFUNCTION("""COMPUTED_VALUE"""),"Slot")</f>
        <v>Slot</v>
      </c>
      <c r="L550" s="5" t="str">
        <f ca="1">IFERROR(__xludf.DUMMYFUNCTION("""COMPUTED_VALUE""")," Clone")</f>
        <v xml:space="preserve"> Clone</v>
      </c>
      <c r="M550" s="5" t="str">
        <f ca="1">IFERROR(__xludf.DUMMYFUNCTION("""COMPUTED_VALUE"""),"Golden Crown")</f>
        <v>Golden Crown</v>
      </c>
      <c r="N550" s="5"/>
      <c r="O550" s="5"/>
      <c r="P550" s="14">
        <f ca="1">IFERROR(__xludf.DUMMYFUNCTION("""COMPUTED_VALUE"""),21.2)</f>
        <v>21.2</v>
      </c>
      <c r="Q550" s="15">
        <f ca="1">IFERROR(__xludf.DUMMYFUNCTION("""COMPUTED_VALUE"""),45915)</f>
        <v>45915</v>
      </c>
      <c r="R550" s="15">
        <f ca="1">IFERROR(__xludf.DUMMYFUNCTION("""COMPUTED_VALUE"""),45911)</f>
        <v>45911</v>
      </c>
      <c r="S550" s="15">
        <f ca="1">IFERROR(__xludf.DUMMYFUNCTION("""COMPUTED_VALUE"""),45918)</f>
        <v>45918</v>
      </c>
      <c r="T550" s="5" t="b">
        <f ca="1">IFERROR(__xludf.DUMMYFUNCTION("""COMPUTED_VALUE"""),FALSE)</f>
        <v>0</v>
      </c>
      <c r="U550" s="5" t="str">
        <f ca="1">IFERROR(__xludf.DUMMYFUNCTION("""COMPUTED_VALUE"""),"5x3")</f>
        <v>5x3</v>
      </c>
      <c r="V550" s="5">
        <f ca="1">IFERROR(__xludf.DUMMYFUNCTION("""COMPUTED_VALUE"""),10)</f>
        <v>10</v>
      </c>
      <c r="W550" s="5">
        <f ca="1">IFERROR(__xludf.DUMMYFUNCTION("""COMPUTED_VALUE"""),10)</f>
        <v>10</v>
      </c>
      <c r="X550" s="5">
        <f ca="1">IFERROR(__xludf.DUMMYFUNCTION("""COMPUTED_VALUE"""),95.962)</f>
        <v>95.962000000000003</v>
      </c>
      <c r="Y550" s="5" t="str">
        <f ca="1">IFERROR(__xludf.DUMMYFUNCTION("""COMPUTED_VALUE"""),"Medium")</f>
        <v>Medium</v>
      </c>
      <c r="Z550" s="5">
        <f ca="1">IFERROR(__xludf.DUMMYFUNCTION("""COMPUTED_VALUE"""),14.63)</f>
        <v>14.63</v>
      </c>
      <c r="AA550" s="5">
        <f ca="1">IFERROR(__xludf.DUMMYFUNCTION("""COMPUTED_VALUE"""),1538)</f>
        <v>1538</v>
      </c>
      <c r="AB550" s="5"/>
      <c r="AC550" s="5" t="str">
        <f ca="1">IFERROR(__xludf.DUMMYFUNCTION("""COMPUTED_VALUE"""),"Expanding Wild, Scatter")</f>
        <v>Expanding Wild, Scatter</v>
      </c>
      <c r="AD550" s="5" t="str">
        <f ca="1">IFERROR(__xludf.DUMMYFUNCTION("""COMPUTED_VALUE"""),"0.1/40")</f>
        <v>0.1/40</v>
      </c>
      <c r="AE550" s="5"/>
      <c r="AF550" s="5"/>
      <c r="AG550" s="10">
        <f ca="1">IFERROR(__xludf.DUMMYFUNCTION("""COMPUTED_VALUE"""),46160.4232407407)</f>
        <v>46160.423240740703</v>
      </c>
      <c r="AH550" s="5" t="str">
        <f ca="1">IFERROR(__xludf.DUMMYFUNCTION("""COMPUTED_VALUE"""),"danilo.subic@fazi.rs")</f>
        <v>danilo.subic@fazi.rs</v>
      </c>
      <c r="AI550" s="5"/>
      <c r="AJ550" s="5"/>
      <c r="AK550" s="5">
        <f ca="1">IFERROR(__xludf.DUMMYFUNCTION("""COMPUTED_VALUE"""),10)</f>
        <v>10</v>
      </c>
      <c r="AL550" s="5" t="str">
        <f ca="1">IFERROR(__xludf.DUMMYFUNCTION("""COMPUTED_VALUE"""),"Yes")</f>
        <v>Yes</v>
      </c>
      <c r="AM550" s="5"/>
      <c r="AN550" s="7" t="str">
        <f ca="1">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550" s="5"/>
      <c r="AP550" s="5" t="str">
        <f ca="1">IFERROR(__xludf.DUMMYFUNCTION("""COMPUTED_VALUE"""),"Yes")</f>
        <v>Yes</v>
      </c>
      <c r="AQ550" s="5" t="b">
        <f ca="1">IFERROR(__xludf.DUMMYFUNCTION("""COMPUTED_VALUE"""),TRUE)</f>
        <v>1</v>
      </c>
      <c r="AR550" s="5"/>
      <c r="AS550" s="5" t="str">
        <f ca="1">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AT550" s="5"/>
      <c r="AU550" s="5" t="str">
        <f ca="1">IFERROR(__xludf.DUMMYFUNCTION("""COMPUTED_VALUE"""),"Fazi")</f>
        <v>Fazi</v>
      </c>
      <c r="AV550" s="5"/>
      <c r="AW550" s="5"/>
      <c r="AX550" s="15">
        <f ca="1">IFERROR(__xludf.DUMMYFUNCTION("""COMPUTED_VALUE"""),45909)</f>
        <v>45909</v>
      </c>
      <c r="AY550" s="5"/>
      <c r="AZ550" s="5"/>
      <c r="BA550" s="5"/>
      <c r="BB550" s="5"/>
      <c r="BC550" s="5" t="str">
        <f ca="1">IFERROR(__xludf.DUMMYFUNCTION("""COMPUTED_VALUE"""),"Foxi")</f>
        <v>Foxi</v>
      </c>
      <c r="BD550" s="7" t="str">
        <f ca="1">IFERROR(__xludf.DUMMYFUNCTION("""COMPUTED_VALUE"""),"https://gameserver-store-client-area.orbionlimited.com/Home/IntegrationGameLaunch/client-area?moneyType=0&amp;gameName=GoldenCrownHalloween&amp;platform=desktop&amp;languageCode=eng&amp;currency=EUR")</f>
        <v>https://gameserver-store-client-area.orbionlimited.com/Home/IntegrationGameLaunch/client-area?moneyType=0&amp;gameName=GoldenCrownHalloween&amp;platform=desktop&amp;languageCode=eng&amp;currency=EUR</v>
      </c>
      <c r="BE550" s="5" t="b">
        <f ca="1">IFERROR(__xludf.DUMMYFUNCTION("""COMPUTED_VALUE"""),TRUE)</f>
        <v>1</v>
      </c>
    </row>
    <row r="551" spans="1:57" x14ac:dyDescent="0.25">
      <c r="A551" s="5">
        <f ca="1">IFERROR(__xludf.DUMMYFUNCTION("""COMPUTED_VALUE"""),585)</f>
        <v>585</v>
      </c>
      <c r="B551" s="5">
        <f ca="1">IFERROR(__xludf.DUMMYFUNCTION("""COMPUTED_VALUE"""),4024)</f>
        <v>4024</v>
      </c>
      <c r="C551" s="5" t="str">
        <f ca="1">IFERROR(__xludf.DUMMYFUNCTION("""COMPUTED_VALUE"""),"Fazi")</f>
        <v>Fazi</v>
      </c>
      <c r="D551" s="5" t="str">
        <f ca="1">IFERROR(__xludf.DUMMYFUNCTION("""COMPUTED_VALUE""")," Wild 27 Halloween")</f>
        <v xml:space="preserve"> Wild 27 Halloween</v>
      </c>
      <c r="E551" s="5" t="str">
        <f ca="1">IFERROR(__xludf.DUMMYFUNCTION("""COMPUTED_VALUE"""),"Sertifikacioni")</f>
        <v>Sertifikacioni</v>
      </c>
      <c r="F551" s="5" t="str">
        <f ca="1">IFERROR(__xludf.DUMMYFUNCTION("""COMPUTED_VALUE"""),"Wild27Halloween")</f>
        <v>Wild27Halloween</v>
      </c>
      <c r="G551" s="5" t="str">
        <f ca="1">IFERROR(__xludf.DUMMYFUNCTION("""COMPUTED_VALUE"""),"Live")</f>
        <v>Live</v>
      </c>
      <c r="H551" s="5"/>
      <c r="I551" s="5" t="str">
        <f ca="1">IFERROR(__xludf.DUMMYFUNCTION("""COMPUTED_VALUE"""),"V4")</f>
        <v>V4</v>
      </c>
      <c r="J551" s="5" t="str">
        <f ca="1">IFERROR(__xludf.DUMMYFUNCTION("""COMPUTED_VALUE"""),"JSON")</f>
        <v>JSON</v>
      </c>
      <c r="K551" s="5" t="str">
        <f ca="1">IFERROR(__xludf.DUMMYFUNCTION("""COMPUTED_VALUE"""),"Slot")</f>
        <v>Slot</v>
      </c>
      <c r="L551" s="5" t="str">
        <f ca="1">IFERROR(__xludf.DUMMYFUNCTION("""COMPUTED_VALUE""")," Clone")</f>
        <v xml:space="preserve"> Clone</v>
      </c>
      <c r="M551" s="5" t="str">
        <f ca="1">IFERROR(__xludf.DUMMYFUNCTION("""COMPUTED_VALUE"""),"Wild 27")</f>
        <v>Wild 27</v>
      </c>
      <c r="N551" s="5"/>
      <c r="O551" s="5"/>
      <c r="P551" s="14">
        <f ca="1">IFERROR(__xludf.DUMMYFUNCTION("""COMPUTED_VALUE"""),8.5)</f>
        <v>8.5</v>
      </c>
      <c r="Q551" s="15">
        <f ca="1">IFERROR(__xludf.DUMMYFUNCTION("""COMPUTED_VALUE"""),45915)</f>
        <v>45915</v>
      </c>
      <c r="R551" s="15">
        <f ca="1">IFERROR(__xludf.DUMMYFUNCTION("""COMPUTED_VALUE"""),45918)</f>
        <v>45918</v>
      </c>
      <c r="S551" s="15">
        <f ca="1">IFERROR(__xludf.DUMMYFUNCTION("""COMPUTED_VALUE"""),45925)</f>
        <v>45925</v>
      </c>
      <c r="T551" s="5" t="b">
        <f ca="1">IFERROR(__xludf.DUMMYFUNCTION("""COMPUTED_VALUE"""),TRUE)</f>
        <v>1</v>
      </c>
      <c r="U551" s="5" t="str">
        <f ca="1">IFERROR(__xludf.DUMMYFUNCTION("""COMPUTED_VALUE"""),"3x3")</f>
        <v>3x3</v>
      </c>
      <c r="V551" s="5">
        <f ca="1">IFERROR(__xludf.DUMMYFUNCTION("""COMPUTED_VALUE"""),27)</f>
        <v>27</v>
      </c>
      <c r="W551" s="5">
        <f ca="1">IFERROR(__xludf.DUMMYFUNCTION("""COMPUTED_VALUE"""),27)</f>
        <v>27</v>
      </c>
      <c r="X551" s="5">
        <f ca="1">IFERROR(__xludf.DUMMYFUNCTION("""COMPUTED_VALUE"""),96.24)</f>
        <v>96.24</v>
      </c>
      <c r="Y551" s="5" t="str">
        <f ca="1">IFERROR(__xludf.DUMMYFUNCTION("""COMPUTED_VALUE"""),"Low")</f>
        <v>Low</v>
      </c>
      <c r="Z551" s="5">
        <f ca="1">IFERROR(__xludf.DUMMYFUNCTION("""COMPUTED_VALUE"""),6.58)</f>
        <v>6.58</v>
      </c>
      <c r="AA551" s="5">
        <f ca="1">IFERROR(__xludf.DUMMYFUNCTION("""COMPUTED_VALUE"""),108)</f>
        <v>108</v>
      </c>
      <c r="AB551" s="5"/>
      <c r="AC551" s="5"/>
      <c r="AD551" s="5" t="str">
        <f ca="1">IFERROR(__xludf.DUMMYFUNCTION("""COMPUTED_VALUE"""),"0.1/40	")</f>
        <v xml:space="preserve">0.1/40	</v>
      </c>
      <c r="AE551" s="5"/>
      <c r="AF551" s="5"/>
      <c r="AG551" s="10">
        <f ca="1">IFERROR(__xludf.DUMMYFUNCTION("""COMPUTED_VALUE"""),46176.7387268518)</f>
        <v>46176.7387268518</v>
      </c>
      <c r="AH551" s="5" t="str">
        <f ca="1">IFERROR(__xludf.DUMMYFUNCTION("""COMPUTED_VALUE"""),"petra.ilic@fazi.rs")</f>
        <v>petra.ilic@fazi.rs</v>
      </c>
      <c r="AI551" s="5"/>
      <c r="AJ551" s="5"/>
      <c r="AK551" s="5">
        <f ca="1">IFERROR(__xludf.DUMMYFUNCTION("""COMPUTED_VALUE"""),1)</f>
        <v>1</v>
      </c>
      <c r="AL551" s="5" t="str">
        <f ca="1">IFERROR(__xludf.DUMMYFUNCTION("""COMPUTED_VALUE"""),"Yes")</f>
        <v>Yes</v>
      </c>
      <c r="AM551" s="5"/>
      <c r="AN551" s="7" t="str">
        <f ca="1">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AO551" s="5"/>
      <c r="AP551" s="5" t="str">
        <f ca="1">IFERROR(__xludf.DUMMYFUNCTION("""COMPUTED_VALUE"""),"Yes")</f>
        <v>Yes</v>
      </c>
      <c r="AQ551" s="5" t="b">
        <f ca="1">IFERROR(__xludf.DUMMYFUNCTION("""COMPUTED_VALUE"""),TRUE)</f>
        <v>1</v>
      </c>
      <c r="AR551" s="5"/>
      <c r="AS551" s="5" t="str">
        <f ca="1">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AT551" s="5"/>
      <c r="AU551" s="5" t="str">
        <f ca="1">IFERROR(__xludf.DUMMYFUNCTION("""COMPUTED_VALUE"""),"Fazi")</f>
        <v>Fazi</v>
      </c>
      <c r="AV551" s="5"/>
      <c r="AW551" s="5"/>
      <c r="AX551" s="15">
        <f ca="1">IFERROR(__xludf.DUMMYFUNCTION("""COMPUTED_VALUE"""),45909)</f>
        <v>45909</v>
      </c>
      <c r="AY551" s="5"/>
      <c r="AZ551" s="5"/>
      <c r="BA551" s="5"/>
      <c r="BB551" s="5"/>
      <c r="BC551" s="5" t="str">
        <f ca="1">IFERROR(__xludf.DUMMYFUNCTION("""COMPUTED_VALUE"""),"Foxi")</f>
        <v>Foxi</v>
      </c>
      <c r="BD551" s="7" t="str">
        <f ca="1">IFERROR(__xludf.DUMMYFUNCTION("""COMPUTED_VALUE"""),"https://gameserver-store-client-area.orbionlimited.com/Home/IntegrationGameLaunch/client-area?moneyType=0&amp;gameName=Wild27Halloween&amp;platform=desktop&amp;languageCode=eng&amp;currency=EUR")</f>
        <v>https://gameserver-store-client-area.orbionlimited.com/Home/IntegrationGameLaunch/client-area?moneyType=0&amp;gameName=Wild27Halloween&amp;platform=desktop&amp;languageCode=eng&amp;currency=EUR</v>
      </c>
      <c r="BE551" s="5" t="b">
        <f ca="1">IFERROR(__xludf.DUMMYFUNCTION("""COMPUTED_VALUE"""),TRUE)</f>
        <v>1</v>
      </c>
    </row>
    <row r="552" spans="1:57" x14ac:dyDescent="0.25">
      <c r="A552" s="5">
        <f ca="1">IFERROR(__xludf.DUMMYFUNCTION("""COMPUTED_VALUE"""),586)</f>
        <v>586</v>
      </c>
      <c r="B552" s="5">
        <f ca="1">IFERROR(__xludf.DUMMYFUNCTION("""COMPUTED_VALUE"""),4021)</f>
        <v>4021</v>
      </c>
      <c r="C552" s="5" t="str">
        <f ca="1">IFERROR(__xludf.DUMMYFUNCTION("""COMPUTED_VALUE"""),"Fazi")</f>
        <v>Fazi</v>
      </c>
      <c r="D552" s="5" t="str">
        <f ca="1">IFERROR(__xludf.DUMMYFUNCTION("""COMPUTED_VALUE"""),"Wild Wins 40")</f>
        <v>Wild Wins 40</v>
      </c>
      <c r="E552" s="5" t="str">
        <f ca="1">IFERROR(__xludf.DUMMYFUNCTION("""COMPUTED_VALUE"""),"Sertifikacioni")</f>
        <v>Sertifikacioni</v>
      </c>
      <c r="F552" s="5" t="str">
        <f ca="1">IFERROR(__xludf.DUMMYFUNCTION("""COMPUTED_VALUE"""),"WildWins40")</f>
        <v>WildWins40</v>
      </c>
      <c r="G552" s="5" t="str">
        <f ca="1">IFERROR(__xludf.DUMMYFUNCTION("""COMPUTED_VALUE"""),"Live")</f>
        <v>Live</v>
      </c>
      <c r="H552" s="5" t="str">
        <f ca="1">IFERROR(__xludf.DUMMYFUNCTION("""COMPUTED_VALUE"""),"WildWins40 - Soft2Bet")</f>
        <v>WildWins40 - Soft2Bet</v>
      </c>
      <c r="I552" s="5" t="str">
        <f ca="1">IFERROR(__xludf.DUMMYFUNCTION("""COMPUTED_VALUE"""),"V2")</f>
        <v>V2</v>
      </c>
      <c r="J552" s="5" t="str">
        <f ca="1">IFERROR(__xludf.DUMMYFUNCTION("""COMPUTED_VALUE"""),"JSON")</f>
        <v>JSON</v>
      </c>
      <c r="K552" s="5" t="str">
        <f ca="1">IFERROR(__xludf.DUMMYFUNCTION("""COMPUTED_VALUE"""),"Slot")</f>
        <v>Slot</v>
      </c>
      <c r="L552" s="5" t="str">
        <f ca="1">IFERROR(__xludf.DUMMYFUNCTION("""COMPUTED_VALUE""")," Clone")</f>
        <v xml:space="preserve"> Clone</v>
      </c>
      <c r="M552" s="5" t="str">
        <f ca="1">IFERROR(__xludf.DUMMYFUNCTION("""COMPUTED_VALUE"""),"Wild Hot 40")</f>
        <v>Wild Hot 40</v>
      </c>
      <c r="N552" s="5"/>
      <c r="O552" s="5"/>
      <c r="P552" s="5"/>
      <c r="Q552" s="15">
        <f ca="1">IFERROR(__xludf.DUMMYFUNCTION("""COMPUTED_VALUE"""),45915)</f>
        <v>45915</v>
      </c>
      <c r="R552" s="5"/>
      <c r="S552" s="15">
        <f ca="1">IFERROR(__xludf.DUMMYFUNCTION("""COMPUTED_VALUE"""),45945)</f>
        <v>45945</v>
      </c>
      <c r="T552" s="5"/>
      <c r="U552" s="5" t="str">
        <f ca="1">IFERROR(__xludf.DUMMYFUNCTION("""COMPUTED_VALUE"""),"5x4")</f>
        <v>5x4</v>
      </c>
      <c r="V552" s="5">
        <f ca="1">IFERROR(__xludf.DUMMYFUNCTION("""COMPUTED_VALUE"""),40)</f>
        <v>40</v>
      </c>
      <c r="W552" s="5">
        <f ca="1">IFERROR(__xludf.DUMMYFUNCTION("""COMPUTED_VALUE"""),40)</f>
        <v>40</v>
      </c>
      <c r="X552" s="5">
        <f ca="1">IFERROR(__xludf.DUMMYFUNCTION("""COMPUTED_VALUE"""),96.584)</f>
        <v>96.584000000000003</v>
      </c>
      <c r="Y552" s="5" t="str">
        <f ca="1">IFERROR(__xludf.DUMMYFUNCTION("""COMPUTED_VALUE"""),"Low")</f>
        <v>Low</v>
      </c>
      <c r="Z552" s="5">
        <f ca="1">IFERROR(__xludf.DUMMYFUNCTION("""COMPUTED_VALUE"""),16.73)</f>
        <v>16.73</v>
      </c>
      <c r="AA552" s="5">
        <f ca="1">IFERROR(__xludf.DUMMYFUNCTION("""COMPUTED_VALUE"""),1000)</f>
        <v>1000</v>
      </c>
      <c r="AB552" s="5"/>
      <c r="AC552" s="5"/>
      <c r="AD552" s="5" t="str">
        <f ca="1">IFERROR(__xludf.DUMMYFUNCTION("""COMPUTED_VALUE"""),"0.40/60")</f>
        <v>0.40/60</v>
      </c>
      <c r="AE552" s="5"/>
      <c r="AF552" s="5"/>
      <c r="AG552" s="10">
        <f ca="1">IFERROR(__xludf.DUMMYFUNCTION("""COMPUTED_VALUE"""),46160.4193287037)</f>
        <v>46160.419328703698</v>
      </c>
      <c r="AH552" s="5" t="str">
        <f ca="1">IFERROR(__xludf.DUMMYFUNCTION("""COMPUTED_VALUE"""),"danilo.subic@fazi.rs")</f>
        <v>danilo.subic@fazi.rs</v>
      </c>
      <c r="AI552" s="5"/>
      <c r="AJ552" s="5"/>
      <c r="AK552" s="5">
        <f ca="1">IFERROR(__xludf.DUMMYFUNCTION("""COMPUTED_VALUE"""),40)</f>
        <v>40</v>
      </c>
      <c r="AL552" s="5" t="str">
        <f ca="1">IFERROR(__xludf.DUMMYFUNCTION("""COMPUTED_VALUE"""),"Yes")</f>
        <v>Yes</v>
      </c>
      <c r="AM552" s="5"/>
      <c r="AN552" s="5"/>
      <c r="AO552" s="5"/>
      <c r="AP552" s="5" t="str">
        <f ca="1">IFERROR(__xludf.DUMMYFUNCTION("""COMPUTED_VALUE"""),"Yes")</f>
        <v>Yes</v>
      </c>
      <c r="AQ552" s="5"/>
      <c r="AR552" s="5" t="b">
        <f ca="1">IFERROR(__xludf.DUMMYFUNCTION("""COMPUTED_VALUE"""),TRUE)</f>
        <v>1</v>
      </c>
      <c r="AS552" s="5"/>
      <c r="AT552" s="5"/>
      <c r="AU552" s="5" t="str">
        <f ca="1">IFERROR(__xludf.DUMMYFUNCTION("""COMPUTED_VALUE"""),"Fazi")</f>
        <v>Fazi</v>
      </c>
      <c r="AV552" s="5"/>
      <c r="AW552" s="5"/>
      <c r="AX552" s="15">
        <f ca="1">IFERROR(__xludf.DUMMYFUNCTION("""COMPUTED_VALUE"""),45909)</f>
        <v>45909</v>
      </c>
      <c r="AY552" s="5"/>
      <c r="AZ552" s="5"/>
      <c r="BA552" s="5"/>
      <c r="BB552" s="5"/>
      <c r="BC552" s="5" t="str">
        <f ca="1">IFERROR(__xludf.DUMMYFUNCTION("""COMPUTED_VALUE"""),"Foxi")</f>
        <v>Foxi</v>
      </c>
      <c r="BD552" s="5" t="str">
        <f ca="1">IFERROR(__xludf.DUMMYFUNCTION("""COMPUTED_VALUE"""),"")</f>
        <v/>
      </c>
      <c r="BE552" s="5"/>
    </row>
    <row r="553" spans="1:57" x14ac:dyDescent="0.25">
      <c r="A553" s="5">
        <f ca="1">IFERROR(__xludf.DUMMYFUNCTION("""COMPUTED_VALUE"""),587)</f>
        <v>587</v>
      </c>
      <c r="B553" s="5">
        <f ca="1">IFERROR(__xludf.DUMMYFUNCTION("""COMPUTED_VALUE"""),3000005)</f>
        <v>3000005</v>
      </c>
      <c r="C553" s="5" t="str">
        <f ca="1">IFERROR(__xludf.DUMMYFUNCTION("""COMPUTED_VALUE"""),"SOKO studio")</f>
        <v>SOKO studio</v>
      </c>
      <c r="D553" s="5" t="str">
        <f ca="1">IFERROR(__xludf.DUMMYFUNCTION("""COMPUTED_VALUE"""),"Sugar Luck")</f>
        <v>Sugar Luck</v>
      </c>
      <c r="E553" s="5" t="str">
        <f ca="1">IFERROR(__xludf.DUMMYFUNCTION("""COMPUTED_VALUE"""),"SOKO studio")</f>
        <v>SOKO studio</v>
      </c>
      <c r="F553" s="5" t="str">
        <f ca="1">IFERROR(__xludf.DUMMYFUNCTION("""COMPUTED_VALUE"""),"sugar-luck")</f>
        <v>sugar-luck</v>
      </c>
      <c r="G553" s="5" t="str">
        <f ca="1">IFERROR(__xludf.DUMMYFUNCTION("""COMPUTED_VALUE"""),"Live")</f>
        <v>Live</v>
      </c>
      <c r="H553" s="5"/>
      <c r="I553" s="5" t="str">
        <f ca="1">IFERROR(__xludf.DUMMYFUNCTION("""COMPUTED_VALUE"""),"SOKO studio")</f>
        <v>SOKO studio</v>
      </c>
      <c r="J553" s="5" t="str">
        <f ca="1">IFERROR(__xludf.DUMMYFUNCTION("""COMPUTED_VALUE"""),"Aggregation platform")</f>
        <v>Aggregation platform</v>
      </c>
      <c r="K553" s="5" t="str">
        <f ca="1">IFERROR(__xludf.DUMMYFUNCTION("""COMPUTED_VALUE"""),"Slot")</f>
        <v>Slot</v>
      </c>
      <c r="L553" s="5"/>
      <c r="M553" s="5"/>
      <c r="N553" s="5"/>
      <c r="O553" s="5"/>
      <c r="P553" s="5"/>
      <c r="Q553" s="15">
        <f ca="1">IFERROR(__xludf.DUMMYFUNCTION("""COMPUTED_VALUE"""),45876)</f>
        <v>45876</v>
      </c>
      <c r="R553" s="5"/>
      <c r="S553" s="15">
        <f ca="1">IFERROR(__xludf.DUMMYFUNCTION("""COMPUTED_VALUE"""),45908)</f>
        <v>45908</v>
      </c>
      <c r="T553" s="5"/>
      <c r="U553" s="5"/>
      <c r="V553" s="5"/>
      <c r="W553" s="5"/>
      <c r="X553" s="5"/>
      <c r="Y553" s="5"/>
      <c r="Z553" s="5"/>
      <c r="AA553" s="5"/>
      <c r="AB553" s="5"/>
      <c r="AC553" s="5"/>
      <c r="AD553" s="5"/>
      <c r="AE553" s="5"/>
      <c r="AF553" s="5"/>
      <c r="AG553" s="10">
        <f ca="1">IFERROR(__xludf.DUMMYFUNCTION("""COMPUTED_VALUE"""),46083.6975347222)</f>
        <v>46083.697534722203</v>
      </c>
      <c r="AH553" s="5" t="str">
        <f ca="1">IFERROR(__xludf.DUMMYFUNCTION("""COMPUTED_VALUE"""),"vanja.svetska@fazi.rs")</f>
        <v>vanja.svetska@fazi.rs</v>
      </c>
      <c r="AI553" s="5"/>
      <c r="AJ553" s="5" t="str">
        <f ca="1">IFERROR(__xludf.DUMMYFUNCTION("""COMPUTED_VALUE"""),"AGREGACIONA PLATFORMA")</f>
        <v>AGREGACIONA PLATFORMA</v>
      </c>
      <c r="AK553" s="5"/>
      <c r="AL553" s="5"/>
      <c r="AM553" s="5"/>
      <c r="AN553" s="5"/>
      <c r="AO553" s="5"/>
      <c r="AP553" s="5"/>
      <c r="AQ553" s="5"/>
      <c r="AR553" s="5"/>
      <c r="AS553" s="5"/>
      <c r="AT553" s="5"/>
      <c r="AU553" s="5" t="str">
        <f ca="1">IFERROR(__xludf.DUMMYFUNCTION("""COMPUTED_VALUE"""),"SOKO studio")</f>
        <v>SOKO studio</v>
      </c>
      <c r="AV553" s="5"/>
      <c r="AW553" s="5"/>
      <c r="AX553" s="5"/>
      <c r="AY553" s="5"/>
      <c r="AZ553" s="5"/>
      <c r="BA553" s="5" t="str">
        <f ca="1">IFERROR(__xludf.DUMMYFUNCTION("""COMPUTED_VALUE"""),"")</f>
        <v/>
      </c>
      <c r="BB553" s="5"/>
      <c r="BC553" s="5" t="str">
        <f ca="1">IFERROR(__xludf.DUMMYFUNCTION("""COMPUTED_VALUE"""),"SOKO studio")</f>
        <v>SOKO studio</v>
      </c>
      <c r="BD553" s="5"/>
      <c r="BE553" s="5"/>
    </row>
    <row r="554" spans="1:57" x14ac:dyDescent="0.25">
      <c r="A554" s="5">
        <f ca="1">IFERROR(__xludf.DUMMYFUNCTION("""COMPUTED_VALUE"""),588)</f>
        <v>588</v>
      </c>
      <c r="B554" s="5">
        <f ca="1">IFERROR(__xludf.DUMMYFUNCTION("""COMPUTED_VALUE"""),3000006)</f>
        <v>3000006</v>
      </c>
      <c r="C554" s="5" t="str">
        <f ca="1">IFERROR(__xludf.DUMMYFUNCTION("""COMPUTED_VALUE"""),"SOKO studio")</f>
        <v>SOKO studio</v>
      </c>
      <c r="D554" s="5" t="str">
        <f ca="1">IFERROR(__xludf.DUMMYFUNCTION("""COMPUTED_VALUE"""),"Fruity Luck")</f>
        <v>Fruity Luck</v>
      </c>
      <c r="E554" s="5" t="str">
        <f ca="1">IFERROR(__xludf.DUMMYFUNCTION("""COMPUTED_VALUE"""),"SOKO studio")</f>
        <v>SOKO studio</v>
      </c>
      <c r="F554" s="5" t="str">
        <f ca="1">IFERROR(__xludf.DUMMYFUNCTION("""COMPUTED_VALUE"""),"fruity-luck")</f>
        <v>fruity-luck</v>
      </c>
      <c r="G554" s="5" t="str">
        <f ca="1">IFERROR(__xludf.DUMMYFUNCTION("""COMPUTED_VALUE"""),"Live")</f>
        <v>Live</v>
      </c>
      <c r="H554" s="5"/>
      <c r="I554" s="5" t="str">
        <f ca="1">IFERROR(__xludf.DUMMYFUNCTION("""COMPUTED_VALUE"""),"SOKO studio")</f>
        <v>SOKO studio</v>
      </c>
      <c r="J554" s="5" t="str">
        <f ca="1">IFERROR(__xludf.DUMMYFUNCTION("""COMPUTED_VALUE"""),"Aggregation platform")</f>
        <v>Aggregation platform</v>
      </c>
      <c r="K554" s="5" t="str">
        <f ca="1">IFERROR(__xludf.DUMMYFUNCTION("""COMPUTED_VALUE"""),"Slot")</f>
        <v>Slot</v>
      </c>
      <c r="L554" s="5"/>
      <c r="M554" s="5"/>
      <c r="N554" s="5"/>
      <c r="O554" s="5"/>
      <c r="P554" s="5"/>
      <c r="Q554" s="15">
        <f ca="1">IFERROR(__xludf.DUMMYFUNCTION("""COMPUTED_VALUE"""),45876)</f>
        <v>45876</v>
      </c>
      <c r="R554" s="5"/>
      <c r="S554" s="15">
        <f ca="1">IFERROR(__xludf.DUMMYFUNCTION("""COMPUTED_VALUE"""),45915)</f>
        <v>45915</v>
      </c>
      <c r="T554" s="5" t="b">
        <f ca="1">IFERROR(__xludf.DUMMYFUNCTION("""COMPUTED_VALUE"""),TRUE)</f>
        <v>1</v>
      </c>
      <c r="U554" s="5"/>
      <c r="V554" s="5"/>
      <c r="W554" s="5"/>
      <c r="X554" s="5"/>
      <c r="Y554" s="5"/>
      <c r="Z554" s="5"/>
      <c r="AA554" s="5"/>
      <c r="AB554" s="5"/>
      <c r="AC554" s="5"/>
      <c r="AD554" s="5"/>
      <c r="AE554" s="5"/>
      <c r="AF554" s="5"/>
      <c r="AG554" s="10">
        <f ca="1">IFERROR(__xludf.DUMMYFUNCTION("""COMPUTED_VALUE"""),46083.6969675925)</f>
        <v>46083.696967592499</v>
      </c>
      <c r="AH554" s="5" t="str">
        <f ca="1">IFERROR(__xludf.DUMMYFUNCTION("""COMPUTED_VALUE"""),"vanja.svetska@fazi.rs")</f>
        <v>vanja.svetska@fazi.rs</v>
      </c>
      <c r="AI554" s="5"/>
      <c r="AJ554" s="5"/>
      <c r="AK554" s="5"/>
      <c r="AL554" s="5"/>
      <c r="AM554" s="5"/>
      <c r="AN554" s="5"/>
      <c r="AO554" s="5"/>
      <c r="AP554" s="5"/>
      <c r="AQ554" s="5"/>
      <c r="AR554" s="5"/>
      <c r="AS554" s="5"/>
      <c r="AT554" s="5"/>
      <c r="AU554" s="5" t="str">
        <f ca="1">IFERROR(__xludf.DUMMYFUNCTION("""COMPUTED_VALUE"""),"SOKO studio")</f>
        <v>SOKO studio</v>
      </c>
      <c r="AV554" s="5"/>
      <c r="AW554" s="5"/>
      <c r="AX554" s="5"/>
      <c r="AY554" s="5"/>
      <c r="AZ554" s="5"/>
      <c r="BA554" s="5" t="str">
        <f ca="1">IFERROR(__xludf.DUMMYFUNCTION("""COMPUTED_VALUE"""),"")</f>
        <v/>
      </c>
      <c r="BB554" s="5"/>
      <c r="BC554" s="5" t="str">
        <f ca="1">IFERROR(__xludf.DUMMYFUNCTION("""COMPUTED_VALUE"""),"SOKO studio")</f>
        <v>SOKO studio</v>
      </c>
      <c r="BD554" s="5"/>
      <c r="BE554" s="5"/>
    </row>
    <row r="555" spans="1:57" x14ac:dyDescent="0.25">
      <c r="A555" s="5">
        <f ca="1">IFERROR(__xludf.DUMMYFUNCTION("""COMPUTED_VALUE"""),589)</f>
        <v>589</v>
      </c>
      <c r="B555" s="5">
        <f ca="1">IFERROR(__xludf.DUMMYFUNCTION("""COMPUTED_VALUE"""),4020)</f>
        <v>4020</v>
      </c>
      <c r="C555" s="5" t="str">
        <f ca="1">IFERROR(__xludf.DUMMYFUNCTION("""COMPUTED_VALUE"""),"Fazi")</f>
        <v>Fazi</v>
      </c>
      <c r="D555" s="5" t="str">
        <f ca="1">IFERROR(__xludf.DUMMYFUNCTION("""COMPUTED_VALUE"""),"BongoBongo Hot 40")</f>
        <v>BongoBongo Hot 40</v>
      </c>
      <c r="E555" s="5" t="str">
        <f ca="1">IFERROR(__xludf.DUMMYFUNCTION("""COMPUTED_VALUE"""),"Sertifikacioni")</f>
        <v>Sertifikacioni</v>
      </c>
      <c r="F555" s="5" t="str">
        <f ca="1">IFERROR(__xludf.DUMMYFUNCTION("""COMPUTED_VALUE"""),"BongoBongoHot40")</f>
        <v>BongoBongoHot40</v>
      </c>
      <c r="G555" s="5" t="str">
        <f ca="1">IFERROR(__xludf.DUMMYFUNCTION("""COMPUTED_VALUE"""),"Live")</f>
        <v>Live</v>
      </c>
      <c r="H555" s="5"/>
      <c r="I555" s="5" t="str">
        <f ca="1">IFERROR(__xludf.DUMMYFUNCTION("""COMPUTED_VALUE"""),"V2")</f>
        <v>V2</v>
      </c>
      <c r="J555" s="5" t="str">
        <f ca="1">IFERROR(__xludf.DUMMYFUNCTION("""COMPUTED_VALUE"""),"JSON")</f>
        <v>JSON</v>
      </c>
      <c r="K555" s="5" t="str">
        <f ca="1">IFERROR(__xludf.DUMMYFUNCTION("""COMPUTED_VALUE"""),"Slot")</f>
        <v>Slot</v>
      </c>
      <c r="L555" s="5" t="str">
        <f ca="1">IFERROR(__xludf.DUMMYFUNCTION("""COMPUTED_VALUE""")," Reskin")</f>
        <v xml:space="preserve"> Reskin</v>
      </c>
      <c r="M555" s="5" t="str">
        <f ca="1">IFERROR(__xludf.DUMMYFUNCTION("""COMPUTED_VALUE"""),"Wild Hot 40")</f>
        <v>Wild Hot 40</v>
      </c>
      <c r="N555" s="5"/>
      <c r="O555" s="5"/>
      <c r="P555" s="5"/>
      <c r="Q555" s="5"/>
      <c r="R555" s="5"/>
      <c r="S555" s="5"/>
      <c r="T555" s="5"/>
      <c r="U555" s="5" t="str">
        <f ca="1">IFERROR(__xludf.DUMMYFUNCTION("""COMPUTED_VALUE"""),"5x4")</f>
        <v>5x4</v>
      </c>
      <c r="V555" s="5">
        <f ca="1">IFERROR(__xludf.DUMMYFUNCTION("""COMPUTED_VALUE"""),40)</f>
        <v>40</v>
      </c>
      <c r="W555" s="5">
        <f ca="1">IFERROR(__xludf.DUMMYFUNCTION("""COMPUTED_VALUE"""),40)</f>
        <v>40</v>
      </c>
      <c r="X555" s="5">
        <f ca="1">IFERROR(__xludf.DUMMYFUNCTION("""COMPUTED_VALUE"""),96.584)</f>
        <v>96.584000000000003</v>
      </c>
      <c r="Y555" s="5" t="str">
        <f ca="1">IFERROR(__xludf.DUMMYFUNCTION("""COMPUTED_VALUE"""),"Low")</f>
        <v>Low</v>
      </c>
      <c r="Z555" s="5">
        <f ca="1">IFERROR(__xludf.DUMMYFUNCTION("""COMPUTED_VALUE"""),16.73)</f>
        <v>16.73</v>
      </c>
      <c r="AA555" s="5">
        <f ca="1">IFERROR(__xludf.DUMMYFUNCTION("""COMPUTED_VALUE"""),1000)</f>
        <v>1000</v>
      </c>
      <c r="AB555" s="5"/>
      <c r="AC555" s="5"/>
      <c r="AD555" s="5" t="str">
        <f ca="1">IFERROR(__xludf.DUMMYFUNCTION("""COMPUTED_VALUE"""),"0.40/60")</f>
        <v>0.40/60</v>
      </c>
      <c r="AE555" s="5"/>
      <c r="AF555" s="5"/>
      <c r="AG555" s="10">
        <f ca="1">IFERROR(__xludf.DUMMYFUNCTION("""COMPUTED_VALUE"""),46160.4190625)</f>
        <v>46160.419062499997</v>
      </c>
      <c r="AH555" s="5" t="str">
        <f ca="1">IFERROR(__xludf.DUMMYFUNCTION("""COMPUTED_VALUE"""),"danilo.subic@fazi.rs")</f>
        <v>danilo.subic@fazi.rs</v>
      </c>
      <c r="AI555" s="5"/>
      <c r="AJ555" s="5"/>
      <c r="AK555" s="5">
        <f ca="1">IFERROR(__xludf.DUMMYFUNCTION("""COMPUTED_VALUE"""),40)</f>
        <v>40</v>
      </c>
      <c r="AL555" s="5" t="str">
        <f ca="1">IFERROR(__xludf.DUMMYFUNCTION("""COMPUTED_VALUE"""),"Yes")</f>
        <v>Yes</v>
      </c>
      <c r="AM555" s="5"/>
      <c r="AN555" s="5"/>
      <c r="AO555" s="5"/>
      <c r="AP555" s="5"/>
      <c r="AQ555" s="5"/>
      <c r="AR555" s="5" t="b">
        <f ca="1">IFERROR(__xludf.DUMMYFUNCTION("""COMPUTED_VALUE"""),TRUE)</f>
        <v>1</v>
      </c>
      <c r="AS555" s="5"/>
      <c r="AT555" s="5"/>
      <c r="AU555" s="5" t="str">
        <f ca="1">IFERROR(__xludf.DUMMYFUNCTION("""COMPUTED_VALUE"""),"Fazi")</f>
        <v>Fazi</v>
      </c>
      <c r="AV555" s="5">
        <f ca="1">IFERROR(__xludf.DUMMYFUNCTION("""COMPUTED_VALUE"""),40)</f>
        <v>40</v>
      </c>
      <c r="AW555" s="5"/>
      <c r="AX555" s="5"/>
      <c r="AY555" s="5"/>
      <c r="AZ555" s="5"/>
      <c r="BA555" s="5"/>
      <c r="BB555" s="5"/>
      <c r="BC555" s="5" t="str">
        <f ca="1">IFERROR(__xludf.DUMMYFUNCTION("""COMPUTED_VALUE"""),"Foxi")</f>
        <v>Foxi</v>
      </c>
      <c r="BD555" s="5" t="str">
        <f ca="1">IFERROR(__xludf.DUMMYFUNCTION("""COMPUTED_VALUE"""),"")</f>
        <v/>
      </c>
      <c r="BE555" s="5"/>
    </row>
    <row r="556" spans="1:57" x14ac:dyDescent="0.25">
      <c r="A556" s="5">
        <f ca="1">IFERROR(__xludf.DUMMYFUNCTION("""COMPUTED_VALUE"""),590)</f>
        <v>590</v>
      </c>
      <c r="B556" s="5">
        <f ca="1">IFERROR(__xludf.DUMMYFUNCTION("""COMPUTED_VALUE"""),4018)</f>
        <v>4018</v>
      </c>
      <c r="C556" s="5" t="str">
        <f ca="1">IFERROR(__xludf.DUMMYFUNCTION("""COMPUTED_VALUE"""),"Fazi")</f>
        <v>Fazi</v>
      </c>
      <c r="D556" s="5" t="str">
        <f ca="1">IFERROR(__xludf.DUMMYFUNCTION("""COMPUTED_VALUE"""),"Bet Arabia Free Spins")</f>
        <v>Bet Arabia Free Spins</v>
      </c>
      <c r="E556" s="5" t="str">
        <f ca="1">IFERROR(__xludf.DUMMYFUNCTION("""COMPUTED_VALUE"""),"Sertifikacioni")</f>
        <v>Sertifikacioni</v>
      </c>
      <c r="F556" s="5" t="str">
        <f ca="1">IFERROR(__xludf.DUMMYFUNCTION("""COMPUTED_VALUE"""),"BetArabiaFreeSpins")</f>
        <v>BetArabiaFreeSpins</v>
      </c>
      <c r="G556" s="5" t="str">
        <f ca="1">IFERROR(__xludf.DUMMYFUNCTION("""COMPUTED_VALUE"""),"Live")</f>
        <v>Live</v>
      </c>
      <c r="H556" s="5"/>
      <c r="I556" s="5" t="str">
        <f ca="1">IFERROR(__xludf.DUMMYFUNCTION("""COMPUTED_VALUE"""),"V2")</f>
        <v>V2</v>
      </c>
      <c r="J556" s="5" t="str">
        <f ca="1">IFERROR(__xludf.DUMMYFUNCTION("""COMPUTED_VALUE"""),"JSON")</f>
        <v>JSON</v>
      </c>
      <c r="K556" s="5" t="str">
        <f ca="1">IFERROR(__xludf.DUMMYFUNCTION("""COMPUTED_VALUE"""),"Slot")</f>
        <v>Slot</v>
      </c>
      <c r="L556" s="5" t="str">
        <f ca="1">IFERROR(__xludf.DUMMYFUNCTION("""COMPUTED_VALUE""")," Reskin")</f>
        <v xml:space="preserve"> Reskin</v>
      </c>
      <c r="M556" s="5" t="str">
        <f ca="1">IFERROR(__xludf.DUMMYFUNCTION("""COMPUTED_VALUE"""),"Crystal Hot 40 Free")</f>
        <v>Crystal Hot 40 Free</v>
      </c>
      <c r="N556" s="5"/>
      <c r="O556" s="5"/>
      <c r="P556" s="5"/>
      <c r="Q556" s="5"/>
      <c r="R556" s="5"/>
      <c r="S556" s="5"/>
      <c r="T556" s="5"/>
      <c r="U556" s="5" t="str">
        <f ca="1">IFERROR(__xludf.DUMMYFUNCTION("""COMPUTED_VALUE"""),"5x4")</f>
        <v>5x4</v>
      </c>
      <c r="V556" s="5">
        <f ca="1">IFERROR(__xludf.DUMMYFUNCTION("""COMPUTED_VALUE"""),40)</f>
        <v>40</v>
      </c>
      <c r="W556" s="5">
        <f ca="1">IFERROR(__xludf.DUMMYFUNCTION("""COMPUTED_VALUE"""),40)</f>
        <v>40</v>
      </c>
      <c r="X556" s="5">
        <f ca="1">IFERROR(__xludf.DUMMYFUNCTION("""COMPUTED_VALUE"""),96.024)</f>
        <v>96.024000000000001</v>
      </c>
      <c r="Y556" s="5" t="str">
        <f ca="1">IFERROR(__xludf.DUMMYFUNCTION("""COMPUTED_VALUE"""),"Low")</f>
        <v>Low</v>
      </c>
      <c r="Z556" s="5">
        <f ca="1">IFERROR(__xludf.DUMMYFUNCTION("""COMPUTED_VALUE"""),17.23)</f>
        <v>17.23</v>
      </c>
      <c r="AA556" s="5">
        <f ca="1">IFERROR(__xludf.DUMMYFUNCTION("""COMPUTED_VALUE"""),1046)</f>
        <v>1046</v>
      </c>
      <c r="AB556" s="5"/>
      <c r="AC556" s="5"/>
      <c r="AD556" s="5"/>
      <c r="AE556" s="5"/>
      <c r="AF556" s="5"/>
      <c r="AG556" s="10">
        <f ca="1">IFERROR(__xludf.DUMMYFUNCTION("""COMPUTED_VALUE"""),46080.4417824074)</f>
        <v>46080.441782407397</v>
      </c>
      <c r="AH556" s="5" t="str">
        <f ca="1">IFERROR(__xludf.DUMMYFUNCTION("""COMPUTED_VALUE"""),"danilo.subic@fazi.rs")</f>
        <v>danilo.subic@fazi.rs</v>
      </c>
      <c r="AI556" s="5"/>
      <c r="AJ556" s="5"/>
      <c r="AK556" s="5">
        <f ca="1">IFERROR(__xludf.DUMMYFUNCTION("""COMPUTED_VALUE"""),40)</f>
        <v>40</v>
      </c>
      <c r="AL556" s="5" t="str">
        <f ca="1">IFERROR(__xludf.DUMMYFUNCTION("""COMPUTED_VALUE"""),"Yes")</f>
        <v>Yes</v>
      </c>
      <c r="AM556" s="5"/>
      <c r="AN556" s="5"/>
      <c r="AO556" s="5" t="str">
        <f ca="1">IFERROR(__xludf.DUMMYFUNCTION("""COMPUTED_VALUE"""),"Yes")</f>
        <v>Yes</v>
      </c>
      <c r="AP556" s="5"/>
      <c r="AQ556" s="5"/>
      <c r="AR556" s="5" t="b">
        <f ca="1">IFERROR(__xludf.DUMMYFUNCTION("""COMPUTED_VALUE"""),TRUE)</f>
        <v>1</v>
      </c>
      <c r="AS556" s="5"/>
      <c r="AT556" s="5"/>
      <c r="AU556" s="5" t="str">
        <f ca="1">IFERROR(__xludf.DUMMYFUNCTION("""COMPUTED_VALUE"""),"Fazi")</f>
        <v>Fazi</v>
      </c>
      <c r="AV556" s="5">
        <f ca="1">IFERROR(__xludf.DUMMYFUNCTION("""COMPUTED_VALUE"""),40)</f>
        <v>40</v>
      </c>
      <c r="AW556" s="5"/>
      <c r="AX556" s="5"/>
      <c r="AY556" s="5"/>
      <c r="AZ556" s="5"/>
      <c r="BA556" s="5" t="str">
        <f ca="1">IFERROR(__xludf.DUMMYFUNCTION("""COMPUTED_VALUE"""),"")</f>
        <v/>
      </c>
      <c r="BB556" s="5"/>
      <c r="BC556" s="5" t="str">
        <f ca="1">IFERROR(__xludf.DUMMYFUNCTION("""COMPUTED_VALUE"""),"Foxi")</f>
        <v>Foxi</v>
      </c>
      <c r="BD556" s="5" t="str">
        <f ca="1">IFERROR(__xludf.DUMMYFUNCTION("""COMPUTED_VALUE"""),"")</f>
        <v/>
      </c>
      <c r="BE556" s="5"/>
    </row>
    <row r="557" spans="1:57" x14ac:dyDescent="0.25">
      <c r="A557" s="5">
        <f ca="1">IFERROR(__xludf.DUMMYFUNCTION("""COMPUTED_VALUE"""),591)</f>
        <v>591</v>
      </c>
      <c r="B557" s="5">
        <f ca="1">IFERROR(__xludf.DUMMYFUNCTION("""COMPUTED_VALUE"""),3000000)</f>
        <v>3000000</v>
      </c>
      <c r="C557" s="5" t="str">
        <f ca="1">IFERROR(__xludf.DUMMYFUNCTION("""COMPUTED_VALUE"""),"Tiptop")</f>
        <v>Tiptop</v>
      </c>
      <c r="D557" s="5" t="str">
        <f ca="1">IFERROR(__xludf.DUMMYFUNCTION("""COMPUTED_VALUE"""),"Super High Runner")</f>
        <v>Super High Runner</v>
      </c>
      <c r="E557" s="5" t="str">
        <f ca="1">IFERROR(__xludf.DUMMYFUNCTION("""COMPUTED_VALUE"""),"TipTop")</f>
        <v>TipTop</v>
      </c>
      <c r="F557" s="5" t="str">
        <f ca="1">IFERROR(__xludf.DUMMYFUNCTION("""COMPUTED_VALUE"""),"UnicornSuperHighRunner")</f>
        <v>UnicornSuperHighRunner</v>
      </c>
      <c r="G557" s="5" t="str">
        <f ca="1">IFERROR(__xludf.DUMMYFUNCTION("""COMPUTED_VALUE"""),"Live")</f>
        <v>Live</v>
      </c>
      <c r="H557" s="5"/>
      <c r="I557" s="5"/>
      <c r="J557" s="5" t="str">
        <f ca="1">IFERROR(__xludf.DUMMYFUNCTION("""COMPUTED_VALUE"""),"JSON")</f>
        <v>JSON</v>
      </c>
      <c r="K557" s="5" t="str">
        <f ca="1">IFERROR(__xludf.DUMMYFUNCTION("""COMPUTED_VALUE"""),"Slot")</f>
        <v>Slot</v>
      </c>
      <c r="L557" s="5" t="str">
        <f ca="1">IFERROR(__xludf.DUMMYFUNCTION("""COMPUTED_VALUE"""),"Master")</f>
        <v>Master</v>
      </c>
      <c r="M557" s="5"/>
      <c r="N557" s="5"/>
      <c r="O557" s="5"/>
      <c r="P557" s="14">
        <f ca="1">IFERROR(__xludf.DUMMYFUNCTION("""COMPUTED_VALUE"""),10.3)</f>
        <v>10.3</v>
      </c>
      <c r="Q557" s="15">
        <f ca="1">IFERROR(__xludf.DUMMYFUNCTION("""COMPUTED_VALUE"""),45915)</f>
        <v>45915</v>
      </c>
      <c r="R557" s="15">
        <f ca="1">IFERROR(__xludf.DUMMYFUNCTION("""COMPUTED_VALUE"""),45938)</f>
        <v>45938</v>
      </c>
      <c r="S557" s="15">
        <f ca="1">IFERROR(__xludf.DUMMYFUNCTION("""COMPUTED_VALUE"""),45945)</f>
        <v>45945</v>
      </c>
      <c r="T557" s="5" t="b">
        <f ca="1">IFERROR(__xludf.DUMMYFUNCTION("""COMPUTED_VALUE"""),TRUE)</f>
        <v>1</v>
      </c>
      <c r="U557" s="5" t="str">
        <f ca="1">IFERROR(__xludf.DUMMYFUNCTION("""COMPUTED_VALUE"""),"5X3")</f>
        <v>5X3</v>
      </c>
      <c r="V557" s="5">
        <f ca="1">IFERROR(__xludf.DUMMYFUNCTION("""COMPUTED_VALUE"""),5)</f>
        <v>5</v>
      </c>
      <c r="W557" s="5">
        <f ca="1">IFERROR(__xludf.DUMMYFUNCTION("""COMPUTED_VALUE"""),5)</f>
        <v>5</v>
      </c>
      <c r="X557" s="5">
        <f ca="1">IFERROR(__xludf.DUMMYFUNCTION("""COMPUTED_VALUE"""),96)</f>
        <v>96</v>
      </c>
      <c r="Y557" s="5" t="str">
        <f ca="1">IFERROR(__xludf.DUMMYFUNCTION("""COMPUTED_VALUE"""),"Low")</f>
        <v>Low</v>
      </c>
      <c r="Z557" s="5">
        <f ca="1">IFERROR(__xludf.DUMMYFUNCTION("""COMPUTED_VALUE"""),10.9)</f>
        <v>10.9</v>
      </c>
      <c r="AA557" s="5">
        <f ca="1">IFERROR(__xludf.DUMMYFUNCTION("""COMPUTED_VALUE"""),1030)</f>
        <v>1030</v>
      </c>
      <c r="AB557" s="5"/>
      <c r="AC557" s="5"/>
      <c r="AD557" s="5" t="str">
        <f ca="1">IFERROR(__xludf.DUMMYFUNCTION("""COMPUTED_VALUE"""),"0.05/100")</f>
        <v>0.05/100</v>
      </c>
      <c r="AE557" s="5"/>
      <c r="AF557" s="5"/>
      <c r="AG557" s="10">
        <f ca="1">IFERROR(__xludf.DUMMYFUNCTION("""COMPUTED_VALUE"""),46197.5018287037)</f>
        <v>46197.501828703702</v>
      </c>
      <c r="AH557" s="5" t="str">
        <f ca="1">IFERROR(__xludf.DUMMYFUNCTION("""COMPUTED_VALUE"""),"selena.mihajlovic@fazi.rs")</f>
        <v>selena.mihajlovic@fazi.rs</v>
      </c>
      <c r="AI557" s="15">
        <f ca="1">IFERROR(__xludf.DUMMYFUNCTION("""COMPUTED_VALUE"""),45917)</f>
        <v>45917</v>
      </c>
      <c r="AJ557" s="5" t="str">
        <f ca="1">IFERROR(__xludf.DUMMYFUNCTION("""COMPUTED_VALUE"""),"Volcano Montenegro")</f>
        <v>Volcano Montenegro</v>
      </c>
      <c r="AK557" s="5">
        <f ca="1">IFERROR(__xludf.DUMMYFUNCTION("""COMPUTED_VALUE"""),5)</f>
        <v>5</v>
      </c>
      <c r="AL557" s="5" t="str">
        <f ca="1">IFERROR(__xludf.DUMMYFUNCTION("""COMPUTED_VALUE"""),"No")</f>
        <v>No</v>
      </c>
      <c r="AM557" s="5"/>
      <c r="AN557" s="7" t="str">
        <f ca="1">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AO557" s="5"/>
      <c r="AP557" s="5"/>
      <c r="AQ557" s="5" t="b">
        <f ca="1">IFERROR(__xludf.DUMMYFUNCTION("""COMPUTED_VALUE"""),TRUE)</f>
        <v>1</v>
      </c>
      <c r="AR557" s="5"/>
      <c r="AS557" s="5" t="str">
        <f ca="1">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AT557" s="5"/>
      <c r="AU557" s="5" t="str">
        <f ca="1">IFERROR(__xludf.DUMMYFUNCTION("""COMPUTED_VALUE"""),"Tiptop")</f>
        <v>Tiptop</v>
      </c>
      <c r="AV557" s="5"/>
      <c r="AW557" s="5"/>
      <c r="AX557" s="15">
        <f ca="1">IFERROR(__xludf.DUMMYFUNCTION("""COMPUTED_VALUE"""),45902)</f>
        <v>45902</v>
      </c>
      <c r="AY557" s="5"/>
      <c r="AZ557" s="5"/>
      <c r="BA557" s="5"/>
      <c r="BB557" s="5" t="b">
        <f ca="1">IFERROR(__xludf.DUMMYFUNCTION("""COMPUTED_VALUE"""),TRUE)</f>
        <v>1</v>
      </c>
      <c r="BC557" s="5" t="str">
        <f ca="1">IFERROR(__xludf.DUMMYFUNCTION("""COMPUTED_VALUE"""),"Tiptop")</f>
        <v>Tiptop</v>
      </c>
      <c r="BD557" s="7" t="str">
        <f ca="1">IFERROR(__xludf.DUMMYFUNCTION("""COMPUTED_VALUE"""),"https://gameserver-store-client-area.orbionlimited.com/Home/IntegrationGameLaunch/client-area?moneyType=0&amp;gameName=UnicornSuperHighRunner&amp;platform=desktop&amp;languageCode=eng&amp;currency=EUR")</f>
        <v>https://gameserver-store-client-area.orbionlimited.com/Home/IntegrationGameLaunch/client-area?moneyType=0&amp;gameName=UnicornSuperHighRunner&amp;platform=desktop&amp;languageCode=eng&amp;currency=EUR</v>
      </c>
      <c r="BE557" s="5" t="b">
        <f ca="1">IFERROR(__xludf.DUMMYFUNCTION("""COMPUTED_VALUE"""),TRUE)</f>
        <v>1</v>
      </c>
    </row>
    <row r="558" spans="1:57" x14ac:dyDescent="0.25">
      <c r="A558" s="5">
        <f ca="1">IFERROR(__xludf.DUMMYFUNCTION("""COMPUTED_VALUE"""),592)</f>
        <v>592</v>
      </c>
      <c r="B558" s="5">
        <f ca="1">IFERROR(__xludf.DUMMYFUNCTION("""COMPUTED_VALUE"""),511)</f>
        <v>511</v>
      </c>
      <c r="C558" s="5" t="str">
        <f ca="1">IFERROR(__xludf.DUMMYFUNCTION("""COMPUTED_VALUE"""),"Playnet")</f>
        <v>Playnet</v>
      </c>
      <c r="D558" s="5" t="str">
        <f ca="1">IFERROR(__xludf.DUMMYFUNCTION("""COMPUTED_VALUE"""),"Brewmaster's Bank")</f>
        <v>Brewmaster's Bank</v>
      </c>
      <c r="E558" s="5" t="str">
        <f ca="1">IFERROR(__xludf.DUMMYFUNCTION("""COMPUTED_VALUE"""),"Sertifikacioni")</f>
        <v>Sertifikacioni</v>
      </c>
      <c r="F558" s="5" t="str">
        <f ca="1">IFERROR(__xludf.DUMMYFUNCTION("""COMPUTED_VALUE"""),"PlayNetBrewmastersBank")</f>
        <v>PlayNetBrewmastersBank</v>
      </c>
      <c r="G558" s="5" t="str">
        <f ca="1">IFERROR(__xludf.DUMMYFUNCTION("""COMPUTED_VALUE"""),"Live")</f>
        <v>Live</v>
      </c>
      <c r="H558" s="5"/>
      <c r="I558" s="5"/>
      <c r="J558" s="5" t="str">
        <f ca="1">IFERROR(__xludf.DUMMYFUNCTION("""COMPUTED_VALUE"""),"JSON")</f>
        <v>JSON</v>
      </c>
      <c r="K558" s="5" t="str">
        <f ca="1">IFERROR(__xludf.DUMMYFUNCTION("""COMPUTED_VALUE"""),"Slot")</f>
        <v>Slot</v>
      </c>
      <c r="L558" s="5" t="str">
        <f ca="1">IFERROR(__xludf.DUMMYFUNCTION("""COMPUTED_VALUE""")," Clone")</f>
        <v xml:space="preserve"> Clone</v>
      </c>
      <c r="M558" s="5" t="str">
        <f ca="1">IFERROR(__xludf.DUMMYFUNCTION("""COMPUTED_VALUE"""),"Very Hot 5")</f>
        <v>Very Hot 5</v>
      </c>
      <c r="N558" s="5"/>
      <c r="O558" s="5"/>
      <c r="P558" s="14">
        <f ca="1">IFERROR(__xludf.DUMMYFUNCTION("""COMPUTED_VALUE"""),7.3)</f>
        <v>7.3</v>
      </c>
      <c r="Q558" s="15">
        <f ca="1">IFERROR(__xludf.DUMMYFUNCTION("""COMPUTED_VALUE"""),45915)</f>
        <v>45915</v>
      </c>
      <c r="R558" s="15">
        <f ca="1">IFERROR(__xludf.DUMMYFUNCTION("""COMPUTED_VALUE"""),45912)</f>
        <v>45912</v>
      </c>
      <c r="S558" s="15">
        <f ca="1">IFERROR(__xludf.DUMMYFUNCTION("""COMPUTED_VALUE"""),45919)</f>
        <v>45919</v>
      </c>
      <c r="T558" s="5" t="b">
        <f ca="1">IFERROR(__xludf.DUMMYFUNCTION("""COMPUTED_VALUE"""),TRUE)</f>
        <v>1</v>
      </c>
      <c r="U558" s="5" t="str">
        <f ca="1">IFERROR(__xludf.DUMMYFUNCTION("""COMPUTED_VALUE"""),"5x3")</f>
        <v>5x3</v>
      </c>
      <c r="V558" s="5">
        <f ca="1">IFERROR(__xludf.DUMMYFUNCTION("""COMPUTED_VALUE"""),5)</f>
        <v>5</v>
      </c>
      <c r="W558" s="5">
        <f ca="1">IFERROR(__xludf.DUMMYFUNCTION("""COMPUTED_VALUE"""),5)</f>
        <v>5</v>
      </c>
      <c r="X558" s="5">
        <f ca="1">IFERROR(__xludf.DUMMYFUNCTION("""COMPUTED_VALUE"""),96.447)</f>
        <v>96.447000000000003</v>
      </c>
      <c r="Y558" s="5" t="str">
        <f ca="1">IFERROR(__xludf.DUMMYFUNCTION("""COMPUTED_VALUE"""),"Medium")</f>
        <v>Medium</v>
      </c>
      <c r="Z558" s="5">
        <f ca="1">IFERROR(__xludf.DUMMYFUNCTION("""COMPUTED_VALUE"""),14.505)</f>
        <v>14.505000000000001</v>
      </c>
      <c r="AA558" s="5">
        <f ca="1">IFERROR(__xludf.DUMMYFUNCTION("""COMPUTED_VALUE"""),1222)</f>
        <v>1222</v>
      </c>
      <c r="AB558" s="5"/>
      <c r="AC558" s="5" t="str">
        <f ca="1">IFERROR(__xludf.DUMMYFUNCTION("""COMPUTED_VALUE"""),"Expanding Wild, Scatter")</f>
        <v>Expanding Wild, Scatter</v>
      </c>
      <c r="AD558" s="5" t="str">
        <f ca="1">IFERROR(__xludf.DUMMYFUNCTION("""COMPUTED_VALUE"""),"0.05/30")</f>
        <v>0.05/30</v>
      </c>
      <c r="AE558" s="5"/>
      <c r="AF558" s="5"/>
      <c r="AG558" s="10">
        <f ca="1">IFERROR(__xludf.DUMMYFUNCTION("""COMPUTED_VALUE"""),46220.5045717592)</f>
        <v>46220.5045717592</v>
      </c>
      <c r="AH558" s="5" t="str">
        <f ca="1">IFERROR(__xludf.DUMMYFUNCTION("""COMPUTED_VALUE"""),"selena.mihajlovic@fazi.rs")</f>
        <v>selena.mihajlovic@fazi.rs</v>
      </c>
      <c r="AI558" s="5"/>
      <c r="AJ558" s="5"/>
      <c r="AK558" s="5"/>
      <c r="AL558" s="5" t="str">
        <f ca="1">IFERROR(__xludf.DUMMYFUNCTION("""COMPUTED_VALUE"""),"No")</f>
        <v>No</v>
      </c>
      <c r="AM558" s="5" t="str">
        <f ca="1">IFERROR(__xludf.DUMMYFUNCTION("""COMPUTED_VALUE"""),"No")</f>
        <v>No</v>
      </c>
      <c r="AN558" s="7" t="str">
        <f ca="1">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AO558" s="5" t="str">
        <f ca="1">IFERROR(__xludf.DUMMYFUNCTION("""COMPUTED_VALUE"""),"No")</f>
        <v>No</v>
      </c>
      <c r="AP558" s="5" t="str">
        <f ca="1">IFERROR(__xludf.DUMMYFUNCTION("""COMPUTED_VALUE"""),"No")</f>
        <v>No</v>
      </c>
      <c r="AQ558" s="5" t="b">
        <f ca="1">IFERROR(__xludf.DUMMYFUNCTION("""COMPUTED_VALUE"""),TRUE)</f>
        <v>1</v>
      </c>
      <c r="AR558" s="5"/>
      <c r="AS558" s="5" t="str">
        <f ca="1">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AT558" s="5"/>
      <c r="AU558" s="5" t="str">
        <f ca="1">IFERROR(__xludf.DUMMYFUNCTION("""COMPUTED_VALUE"""),"Fazi")</f>
        <v>Fazi</v>
      </c>
      <c r="AV558" s="5"/>
      <c r="AW558" s="5"/>
      <c r="AX558" s="15">
        <f ca="1">IFERROR(__xludf.DUMMYFUNCTION("""COMPUTED_VALUE"""),45909)</f>
        <v>45909</v>
      </c>
      <c r="AY558" s="5"/>
      <c r="AZ558" s="5"/>
      <c r="BA558" s="5"/>
      <c r="BB558" s="5" t="b">
        <f ca="1">IFERROR(__xludf.DUMMYFUNCTION("""COMPUTED_VALUE"""),TRUE)</f>
        <v>1</v>
      </c>
      <c r="BC558" s="5" t="str">
        <f ca="1">IFERROR(__xludf.DUMMYFUNCTION("""COMPUTED_VALUE"""),"Playnet")</f>
        <v>Playnet</v>
      </c>
      <c r="BD558" s="7" t="str">
        <f ca="1">IFERROR(__xludf.DUMMYFUNCTION("""COMPUTED_VALUE"""),"https://gameserver-store-client-area.orbionlimited.com/Home/IntegrationGameLaunch/client-area?moneyType=0&amp;gameName=PlayNetBrewmastersBank&amp;platform=desktop&amp;languageCode=eng&amp;currency=EUR")</f>
        <v>https://gameserver-store-client-area.orbionlimited.com/Home/IntegrationGameLaunch/client-area?moneyType=0&amp;gameName=PlayNetBrewmastersBank&amp;platform=desktop&amp;languageCode=eng&amp;currency=EUR</v>
      </c>
      <c r="BE558" s="5" t="b">
        <f ca="1">IFERROR(__xludf.DUMMYFUNCTION("""COMPUTED_VALUE"""),TRUE)</f>
        <v>1</v>
      </c>
    </row>
    <row r="559" spans="1:57" x14ac:dyDescent="0.25">
      <c r="A559" s="5">
        <f ca="1">IFERROR(__xludf.DUMMYFUNCTION("""COMPUTED_VALUE"""),593)</f>
        <v>593</v>
      </c>
      <c r="B559" s="5">
        <f ca="1">IFERROR(__xludf.DUMMYFUNCTION("""COMPUTED_VALUE"""),512)</f>
        <v>512</v>
      </c>
      <c r="C559" s="5" t="str">
        <f ca="1">IFERROR(__xludf.DUMMYFUNCTION("""COMPUTED_VALUE"""),"Tiptop")</f>
        <v>Tiptop</v>
      </c>
      <c r="D559" s="5" t="str">
        <f ca="1">IFERROR(__xludf.DUMMYFUNCTION("""COMPUTED_VALUE"""),"Big Spin Dice")</f>
        <v>Big Spin Dice</v>
      </c>
      <c r="E559" s="5" t="str">
        <f ca="1">IFERROR(__xludf.DUMMYFUNCTION("""COMPUTED_VALUE"""),"Sertifikacioni")</f>
        <v>Sertifikacioni</v>
      </c>
      <c r="F559" s="5" t="str">
        <f ca="1">IFERROR(__xludf.DUMMYFUNCTION("""COMPUTED_VALUE"""),"UnicornBigSpinDice")</f>
        <v>UnicornBigSpinDice</v>
      </c>
      <c r="G559" s="5" t="str">
        <f ca="1">IFERROR(__xludf.DUMMYFUNCTION("""COMPUTED_VALUE"""),"Live")</f>
        <v>Live</v>
      </c>
      <c r="H559" s="5"/>
      <c r="I559" s="5"/>
      <c r="J559" s="5" t="str">
        <f ca="1">IFERROR(__xludf.DUMMYFUNCTION("""COMPUTED_VALUE"""),"JSON")</f>
        <v>JSON</v>
      </c>
      <c r="K559" s="5" t="str">
        <f ca="1">IFERROR(__xludf.DUMMYFUNCTION("""COMPUTED_VALUE"""),"Dice Slots")</f>
        <v>Dice Slots</v>
      </c>
      <c r="L559" s="5" t="str">
        <f ca="1">IFERROR(__xludf.DUMMYFUNCTION("""COMPUTED_VALUE""")," Clone")</f>
        <v xml:space="preserve"> Clone</v>
      </c>
      <c r="M559" s="5" t="str">
        <f ca="1">IFERROR(__xludf.DUMMYFUNCTION("""COMPUTED_VALUE"""),"Big Spin Dragons")</f>
        <v>Big Spin Dragons</v>
      </c>
      <c r="N559" s="5"/>
      <c r="O559" s="5"/>
      <c r="P559" s="14">
        <f ca="1">IFERROR(__xludf.DUMMYFUNCTION("""COMPUTED_VALUE"""),10.8)</f>
        <v>10.8</v>
      </c>
      <c r="Q559" s="15">
        <f ca="1">IFERROR(__xludf.DUMMYFUNCTION("""COMPUTED_VALUE"""),45943)</f>
        <v>45943</v>
      </c>
      <c r="R559" s="15">
        <f ca="1">IFERROR(__xludf.DUMMYFUNCTION("""COMPUTED_VALUE"""),45945)</f>
        <v>45945</v>
      </c>
      <c r="S559" s="15">
        <f ca="1">IFERROR(__xludf.DUMMYFUNCTION("""COMPUTED_VALUE"""),45952)</f>
        <v>45952</v>
      </c>
      <c r="T559" s="5" t="b">
        <f ca="1">IFERROR(__xludf.DUMMYFUNCTION("""COMPUTED_VALUE"""),TRUE)</f>
        <v>1</v>
      </c>
      <c r="U559" s="5" t="str">
        <f ca="1">IFERROR(__xludf.DUMMYFUNCTION("""COMPUTED_VALUE"""),"5X3")</f>
        <v>5X3</v>
      </c>
      <c r="V559" s="5">
        <f ca="1">IFERROR(__xludf.DUMMYFUNCTION("""COMPUTED_VALUE"""),5)</f>
        <v>5</v>
      </c>
      <c r="W559" s="5">
        <f ca="1">IFERROR(__xludf.DUMMYFUNCTION("""COMPUTED_VALUE"""),5)</f>
        <v>5</v>
      </c>
      <c r="X559" s="5">
        <f ca="1">IFERROR(__xludf.DUMMYFUNCTION("""COMPUTED_VALUE"""),96)</f>
        <v>96</v>
      </c>
      <c r="Y559" s="5" t="str">
        <f ca="1">IFERROR(__xludf.DUMMYFUNCTION("""COMPUTED_VALUE"""),"Low")</f>
        <v>Low</v>
      </c>
      <c r="Z559" s="5">
        <f ca="1">IFERROR(__xludf.DUMMYFUNCTION("""COMPUTED_VALUE"""),14.4)</f>
        <v>14.4</v>
      </c>
      <c r="AA559" s="5">
        <f ca="1">IFERROR(__xludf.DUMMYFUNCTION("""COMPUTED_VALUE"""),10000)</f>
        <v>10000</v>
      </c>
      <c r="AB559" s="5"/>
      <c r="AC559" s="5"/>
      <c r="AD559" s="5" t="str">
        <f ca="1">IFERROR(__xludf.DUMMYFUNCTION("""COMPUTED_VALUE"""),"0.05/100")</f>
        <v>0.05/100</v>
      </c>
      <c r="AE559" s="5"/>
      <c r="AF559" s="5"/>
      <c r="AG559" s="10">
        <f ca="1">IFERROR(__xludf.DUMMYFUNCTION("""COMPUTED_VALUE"""),46197.5019791666)</f>
        <v>46197.501979166598</v>
      </c>
      <c r="AH559" s="5" t="str">
        <f ca="1">IFERROR(__xludf.DUMMYFUNCTION("""COMPUTED_VALUE"""),"selena.mihajlovic@fazi.rs")</f>
        <v>selena.mihajlovic@fazi.rs</v>
      </c>
      <c r="AI559" s="5"/>
      <c r="AJ559" s="5"/>
      <c r="AK559" s="5">
        <f ca="1">IFERROR(__xludf.DUMMYFUNCTION("""COMPUTED_VALUE"""),5)</f>
        <v>5</v>
      </c>
      <c r="AL559" s="5" t="str">
        <f ca="1">IFERROR(__xludf.DUMMYFUNCTION("""COMPUTED_VALUE"""),"No")</f>
        <v>No</v>
      </c>
      <c r="AM559" s="5"/>
      <c r="AN559" s="7" t="str">
        <f ca="1">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AO559" s="5"/>
      <c r="AP559" s="5"/>
      <c r="AQ559" s="5" t="b">
        <f ca="1">IFERROR(__xludf.DUMMYFUNCTION("""COMPUTED_VALUE"""),TRUE)</f>
        <v>1</v>
      </c>
      <c r="AR559" s="5"/>
      <c r="AS559" s="5" t="str">
        <f ca="1">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AT559" s="5"/>
      <c r="AU559" s="5" t="str">
        <f ca="1">IFERROR(__xludf.DUMMYFUNCTION("""COMPUTED_VALUE"""),"Fazi")</f>
        <v>Fazi</v>
      </c>
      <c r="AV559" s="5"/>
      <c r="AW559" s="5"/>
      <c r="AX559" s="15">
        <f ca="1">IFERROR(__xludf.DUMMYFUNCTION("""COMPUTED_VALUE"""),45937)</f>
        <v>45937</v>
      </c>
      <c r="AY559" s="5"/>
      <c r="AZ559" s="5"/>
      <c r="BA559" s="5"/>
      <c r="BB559" s="5" t="b">
        <f ca="1">IFERROR(__xludf.DUMMYFUNCTION("""COMPUTED_VALUE"""),TRUE)</f>
        <v>1</v>
      </c>
      <c r="BC559" s="5" t="str">
        <f ca="1">IFERROR(__xludf.DUMMYFUNCTION("""COMPUTED_VALUE"""),"Tiptop")</f>
        <v>Tiptop</v>
      </c>
      <c r="BD559" s="7" t="str">
        <f ca="1">IFERROR(__xludf.DUMMYFUNCTION("""COMPUTED_VALUE"""),"https://gameserver-store-client-area.orbionlimited.com/Home/IntegrationGameLaunch/client-area?moneyType=0&amp;gameName=UnicornBigSpinDice&amp;platform=desktop&amp;languageCode=eng&amp;currency=EUR")</f>
        <v>https://gameserver-store-client-area.orbionlimited.com/Home/IntegrationGameLaunch/client-area?moneyType=0&amp;gameName=UnicornBigSpinDice&amp;platform=desktop&amp;languageCode=eng&amp;currency=EUR</v>
      </c>
      <c r="BE559" s="5" t="b">
        <f ca="1">IFERROR(__xludf.DUMMYFUNCTION("""COMPUTED_VALUE"""),TRUE)</f>
        <v>1</v>
      </c>
    </row>
    <row r="560" spans="1:57" x14ac:dyDescent="0.25">
      <c r="A560" s="5">
        <f ca="1">IFERROR(__xludf.DUMMYFUNCTION("""COMPUTED_VALUE"""),594)</f>
        <v>594</v>
      </c>
      <c r="B560" s="5">
        <f ca="1">IFERROR(__xludf.DUMMYFUNCTION("""COMPUTED_VALUE"""),513)</f>
        <v>513</v>
      </c>
      <c r="C560" s="5" t="str">
        <f ca="1">IFERROR(__xludf.DUMMYFUNCTION("""COMPUTED_VALUE"""),"Tiptop")</f>
        <v>Tiptop</v>
      </c>
      <c r="D560" s="5" t="str">
        <f ca="1">IFERROR(__xludf.DUMMYFUNCTION("""COMPUTED_VALUE"""),"Fruit Island Dice")</f>
        <v>Fruit Island Dice</v>
      </c>
      <c r="E560" s="5" t="str">
        <f ca="1">IFERROR(__xludf.DUMMYFUNCTION("""COMPUTED_VALUE"""),"Sertifikacioni")</f>
        <v>Sertifikacioni</v>
      </c>
      <c r="F560" s="5" t="str">
        <f ca="1">IFERROR(__xludf.DUMMYFUNCTION("""COMPUTED_VALUE"""),"UnicornFruitIslandDice")</f>
        <v>UnicornFruitIslandDice</v>
      </c>
      <c r="G560" s="5" t="str">
        <f ca="1">IFERROR(__xludf.DUMMYFUNCTION("""COMPUTED_VALUE"""),"Live")</f>
        <v>Live</v>
      </c>
      <c r="H560" s="5"/>
      <c r="I560" s="5"/>
      <c r="J560" s="5" t="str">
        <f ca="1">IFERROR(__xludf.DUMMYFUNCTION("""COMPUTED_VALUE"""),"JSON")</f>
        <v>JSON</v>
      </c>
      <c r="K560" s="5" t="str">
        <f ca="1">IFERROR(__xludf.DUMMYFUNCTION("""COMPUTED_VALUE"""),"Dice Slots")</f>
        <v>Dice Slots</v>
      </c>
      <c r="L560" s="5" t="str">
        <f ca="1">IFERROR(__xludf.DUMMYFUNCTION("""COMPUTED_VALUE""")," Clone")</f>
        <v xml:space="preserve"> Clone</v>
      </c>
      <c r="M560" s="5" t="str">
        <f ca="1">IFERROR(__xludf.DUMMYFUNCTION("""COMPUTED_VALUE"""),"Fruit Island")</f>
        <v>Fruit Island</v>
      </c>
      <c r="N560" s="5"/>
      <c r="O560" s="5"/>
      <c r="P560" s="14">
        <f ca="1">IFERROR(__xludf.DUMMYFUNCTION("""COMPUTED_VALUE"""),10.2)</f>
        <v>10.199999999999999</v>
      </c>
      <c r="Q560" s="15">
        <f ca="1">IFERROR(__xludf.DUMMYFUNCTION("""COMPUTED_VALUE"""),45943)</f>
        <v>45943</v>
      </c>
      <c r="R560" s="15">
        <f ca="1">IFERROR(__xludf.DUMMYFUNCTION("""COMPUTED_VALUE"""),45952)</f>
        <v>45952</v>
      </c>
      <c r="S560" s="15">
        <f ca="1">IFERROR(__xludf.DUMMYFUNCTION("""COMPUTED_VALUE"""),45959)</f>
        <v>45959</v>
      </c>
      <c r="T560" s="5" t="b">
        <f ca="1">IFERROR(__xludf.DUMMYFUNCTION("""COMPUTED_VALUE"""),TRUE)</f>
        <v>1</v>
      </c>
      <c r="U560" s="5" t="str">
        <f ca="1">IFERROR(__xludf.DUMMYFUNCTION("""COMPUTED_VALUE"""),"5X3")</f>
        <v>5X3</v>
      </c>
      <c r="V560" s="5">
        <f ca="1">IFERROR(__xludf.DUMMYFUNCTION("""COMPUTED_VALUE"""),5)</f>
        <v>5</v>
      </c>
      <c r="W560" s="5">
        <f ca="1">IFERROR(__xludf.DUMMYFUNCTION("""COMPUTED_VALUE"""),5)</f>
        <v>5</v>
      </c>
      <c r="X560" s="5">
        <f ca="1">IFERROR(__xludf.DUMMYFUNCTION("""COMPUTED_VALUE"""),96)</f>
        <v>96</v>
      </c>
      <c r="Y560" s="5" t="str">
        <f ca="1">IFERROR(__xludf.DUMMYFUNCTION("""COMPUTED_VALUE"""),"Low")</f>
        <v>Low</v>
      </c>
      <c r="Z560" s="5">
        <f ca="1">IFERROR(__xludf.DUMMYFUNCTION("""COMPUTED_VALUE"""),10.5)</f>
        <v>10.5</v>
      </c>
      <c r="AA560" s="5">
        <f ca="1">IFERROR(__xludf.DUMMYFUNCTION("""COMPUTED_VALUE"""),1000)</f>
        <v>1000</v>
      </c>
      <c r="AB560" s="5"/>
      <c r="AC560" s="5"/>
      <c r="AD560" s="5" t="str">
        <f ca="1">IFERROR(__xludf.DUMMYFUNCTION("""COMPUTED_VALUE"""),"0.05/100")</f>
        <v>0.05/100</v>
      </c>
      <c r="AE560" s="5"/>
      <c r="AF560" s="5"/>
      <c r="AG560" s="10">
        <f ca="1">IFERROR(__xludf.DUMMYFUNCTION("""COMPUTED_VALUE"""),46197.5021527777)</f>
        <v>46197.502152777699</v>
      </c>
      <c r="AH560" s="5" t="str">
        <f ca="1">IFERROR(__xludf.DUMMYFUNCTION("""COMPUTED_VALUE"""),"selena.mihajlovic@fazi.rs")</f>
        <v>selena.mihajlovic@fazi.rs</v>
      </c>
      <c r="AI560" s="15">
        <f ca="1">IFERROR(__xludf.DUMMYFUNCTION("""COMPUTED_VALUE"""),45944)</f>
        <v>45944</v>
      </c>
      <c r="AJ560" s="5" t="str">
        <f ca="1">IFERROR(__xludf.DUMMYFUNCTION("""COMPUTED_VALUE"""),"KoralPlay")</f>
        <v>KoralPlay</v>
      </c>
      <c r="AK560" s="5">
        <f ca="1">IFERROR(__xludf.DUMMYFUNCTION("""COMPUTED_VALUE"""),5)</f>
        <v>5</v>
      </c>
      <c r="AL560" s="5" t="str">
        <f ca="1">IFERROR(__xludf.DUMMYFUNCTION("""COMPUTED_VALUE"""),"No")</f>
        <v>No</v>
      </c>
      <c r="AM560" s="5"/>
      <c r="AN560" s="7" t="str">
        <f ca="1">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AO560" s="5"/>
      <c r="AP560" s="5"/>
      <c r="AQ560" s="5" t="b">
        <f ca="1">IFERROR(__xludf.DUMMYFUNCTION("""COMPUTED_VALUE"""),TRUE)</f>
        <v>1</v>
      </c>
      <c r="AR560" s="5"/>
      <c r="AS560" s="5" t="str">
        <f ca="1">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AT560" s="5"/>
      <c r="AU560" s="5" t="str">
        <f ca="1">IFERROR(__xludf.DUMMYFUNCTION("""COMPUTED_VALUE"""),"Fazi")</f>
        <v>Fazi</v>
      </c>
      <c r="AV560" s="5"/>
      <c r="AW560" s="5"/>
      <c r="AX560" s="15">
        <f ca="1">IFERROR(__xludf.DUMMYFUNCTION("""COMPUTED_VALUE"""),45937)</f>
        <v>45937</v>
      </c>
      <c r="AY560" s="5"/>
      <c r="AZ560" s="5"/>
      <c r="BA560" s="5"/>
      <c r="BB560" s="5" t="b">
        <f ca="1">IFERROR(__xludf.DUMMYFUNCTION("""COMPUTED_VALUE"""),TRUE)</f>
        <v>1</v>
      </c>
      <c r="BC560" s="5" t="str">
        <f ca="1">IFERROR(__xludf.DUMMYFUNCTION("""COMPUTED_VALUE"""),"Tiptop")</f>
        <v>Tiptop</v>
      </c>
      <c r="BD560" s="7" t="str">
        <f ca="1">IFERROR(__xludf.DUMMYFUNCTION("""COMPUTED_VALUE"""),"https://gameserver-store-client-area.orbionlimited.com/Home/IntegrationGameLaunch/client-area?moneyType=0&amp;gameName=UnicornFruitIslandDice&amp;platform=desktop&amp;languageCode=eng&amp;currency=EUR")</f>
        <v>https://gameserver-store-client-area.orbionlimited.com/Home/IntegrationGameLaunch/client-area?moneyType=0&amp;gameName=UnicornFruitIslandDice&amp;platform=desktop&amp;languageCode=eng&amp;currency=EUR</v>
      </c>
      <c r="BE560" s="5" t="b">
        <f ca="1">IFERROR(__xludf.DUMMYFUNCTION("""COMPUTED_VALUE"""),TRUE)</f>
        <v>1</v>
      </c>
    </row>
    <row r="561" spans="1:57" x14ac:dyDescent="0.25">
      <c r="A561" s="5">
        <f ca="1">IFERROR(__xludf.DUMMYFUNCTION("""COMPUTED_VALUE"""),595)</f>
        <v>595</v>
      </c>
      <c r="B561" s="5">
        <f ca="1">IFERROR(__xludf.DUMMYFUNCTION("""COMPUTED_VALUE"""),515)</f>
        <v>515</v>
      </c>
      <c r="C561" s="5" t="str">
        <f ca="1">IFERROR(__xludf.DUMMYFUNCTION("""COMPUTED_VALUE"""),"Tiptop")</f>
        <v>Tiptop</v>
      </c>
      <c r="D561" s="5" t="str">
        <f ca="1">IFERROR(__xludf.DUMMYFUNCTION("""COMPUTED_VALUE"""),"Storm Dice")</f>
        <v>Storm Dice</v>
      </c>
      <c r="E561" s="5" t="str">
        <f ca="1">IFERROR(__xludf.DUMMYFUNCTION("""COMPUTED_VALUE"""),"Sertifikacioni")</f>
        <v>Sertifikacioni</v>
      </c>
      <c r="F561" s="5" t="str">
        <f ca="1">IFERROR(__xludf.DUMMYFUNCTION("""COMPUTED_VALUE"""),"UnicornStormDice")</f>
        <v>UnicornStormDice</v>
      </c>
      <c r="G561" s="5" t="str">
        <f ca="1">IFERROR(__xludf.DUMMYFUNCTION("""COMPUTED_VALUE"""),"Live")</f>
        <v>Live</v>
      </c>
      <c r="H561" s="5"/>
      <c r="I561" s="5"/>
      <c r="J561" s="5" t="str">
        <f ca="1">IFERROR(__xludf.DUMMYFUNCTION("""COMPUTED_VALUE"""),"JSON")</f>
        <v>JSON</v>
      </c>
      <c r="K561" s="5" t="str">
        <f ca="1">IFERROR(__xludf.DUMMYFUNCTION("""COMPUTED_VALUE"""),"Dice Slots")</f>
        <v>Dice Slots</v>
      </c>
      <c r="L561" s="5" t="str">
        <f ca="1">IFERROR(__xludf.DUMMYFUNCTION("""COMPUTED_VALUE""")," Clone")</f>
        <v xml:space="preserve"> Clone</v>
      </c>
      <c r="M561" s="5" t="str">
        <f ca="1">IFERROR(__xludf.DUMMYFUNCTION("""COMPUTED_VALUE"""),"Coyote Sevens")</f>
        <v>Coyote Sevens</v>
      </c>
      <c r="N561" s="5"/>
      <c r="O561" s="5"/>
      <c r="P561" s="14">
        <f ca="1">IFERROR(__xludf.DUMMYFUNCTION("""COMPUTED_VALUE"""),10.5)</f>
        <v>10.5</v>
      </c>
      <c r="Q561" s="15">
        <f ca="1">IFERROR(__xludf.DUMMYFUNCTION("""COMPUTED_VALUE"""),45957)</f>
        <v>45957</v>
      </c>
      <c r="R561" s="15">
        <f ca="1">IFERROR(__xludf.DUMMYFUNCTION("""COMPUTED_VALUE"""),45959)</f>
        <v>45959</v>
      </c>
      <c r="S561" s="15">
        <f ca="1">IFERROR(__xludf.DUMMYFUNCTION("""COMPUTED_VALUE"""),45966)</f>
        <v>45966</v>
      </c>
      <c r="T561" s="5" t="b">
        <f ca="1">IFERROR(__xludf.DUMMYFUNCTION("""COMPUTED_VALUE"""),TRUE)</f>
        <v>1</v>
      </c>
      <c r="U561" s="5" t="str">
        <f ca="1">IFERROR(__xludf.DUMMYFUNCTION("""COMPUTED_VALUE"""),"5X3")</f>
        <v>5X3</v>
      </c>
      <c r="V561" s="5">
        <f ca="1">IFERROR(__xludf.DUMMYFUNCTION("""COMPUTED_VALUE"""),5)</f>
        <v>5</v>
      </c>
      <c r="W561" s="5">
        <f ca="1">IFERROR(__xludf.DUMMYFUNCTION("""COMPUTED_VALUE"""),5)</f>
        <v>5</v>
      </c>
      <c r="X561" s="5">
        <f ca="1">IFERROR(__xludf.DUMMYFUNCTION("""COMPUTED_VALUE"""),96)</f>
        <v>96</v>
      </c>
      <c r="Y561" s="5" t="str">
        <f ca="1">IFERROR(__xludf.DUMMYFUNCTION("""COMPUTED_VALUE"""),"Medium")</f>
        <v>Medium</v>
      </c>
      <c r="Z561" s="5">
        <f ca="1">IFERROR(__xludf.DUMMYFUNCTION("""COMPUTED_VALUE"""),10.1)</f>
        <v>10.1</v>
      </c>
      <c r="AA561" s="5">
        <f ca="1">IFERROR(__xludf.DUMMYFUNCTION("""COMPUTED_VALUE"""),1000)</f>
        <v>1000</v>
      </c>
      <c r="AB561" s="5"/>
      <c r="AC561" s="5"/>
      <c r="AD561" s="5" t="str">
        <f ca="1">IFERROR(__xludf.DUMMYFUNCTION("""COMPUTED_VALUE"""),"0.05/100")</f>
        <v>0.05/100</v>
      </c>
      <c r="AE561" s="5"/>
      <c r="AF561" s="5"/>
      <c r="AG561" s="10">
        <f ca="1">IFERROR(__xludf.DUMMYFUNCTION("""COMPUTED_VALUE"""),46197.5023032407)</f>
        <v>46197.502303240697</v>
      </c>
      <c r="AH561" s="5" t="str">
        <f ca="1">IFERROR(__xludf.DUMMYFUNCTION("""COMPUTED_VALUE"""),"selena.mihajlovic@fazi.rs")</f>
        <v>selena.mihajlovic@fazi.rs</v>
      </c>
      <c r="AI561" s="5"/>
      <c r="AJ561" s="5"/>
      <c r="AK561" s="5">
        <f ca="1">IFERROR(__xludf.DUMMYFUNCTION("""COMPUTED_VALUE"""),5)</f>
        <v>5</v>
      </c>
      <c r="AL561" s="5" t="str">
        <f ca="1">IFERROR(__xludf.DUMMYFUNCTION("""COMPUTED_VALUE"""),"No")</f>
        <v>No</v>
      </c>
      <c r="AM561" s="5"/>
      <c r="AN561" s="7" t="str">
        <f ca="1">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AO561" s="5"/>
      <c r="AP561" s="5"/>
      <c r="AQ561" s="5" t="b">
        <f ca="1">IFERROR(__xludf.DUMMYFUNCTION("""COMPUTED_VALUE"""),TRUE)</f>
        <v>1</v>
      </c>
      <c r="AR561" s="5"/>
      <c r="AS561" s="5" t="str">
        <f ca="1">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AT561" s="5"/>
      <c r="AU561" s="5" t="str">
        <f ca="1">IFERROR(__xludf.DUMMYFUNCTION("""COMPUTED_VALUE"""),"Fazi")</f>
        <v>Fazi</v>
      </c>
      <c r="AV561" s="5"/>
      <c r="AW561" s="5"/>
      <c r="AX561" s="15">
        <f ca="1">IFERROR(__xludf.DUMMYFUNCTION("""COMPUTED_VALUE"""),45951)</f>
        <v>45951</v>
      </c>
      <c r="AY561" s="5"/>
      <c r="AZ561" s="5"/>
      <c r="BA561" s="5"/>
      <c r="BB561" s="5" t="b">
        <f ca="1">IFERROR(__xludf.DUMMYFUNCTION("""COMPUTED_VALUE"""),TRUE)</f>
        <v>1</v>
      </c>
      <c r="BC561" s="5" t="str">
        <f ca="1">IFERROR(__xludf.DUMMYFUNCTION("""COMPUTED_VALUE"""),"Tiptop")</f>
        <v>Tiptop</v>
      </c>
      <c r="BD561" s="7" t="str">
        <f ca="1">IFERROR(__xludf.DUMMYFUNCTION("""COMPUTED_VALUE"""),"https://gameserver-store-client-area.orbionlimited.com/Home/IntegrationGameLaunch/client-area?moneyType=0&amp;gameName=UnicornStormDice&amp;platform=desktop&amp;languageCode=eng&amp;currency=EUR")</f>
        <v>https://gameserver-store-client-area.orbionlimited.com/Home/IntegrationGameLaunch/client-area?moneyType=0&amp;gameName=UnicornStormDice&amp;platform=desktop&amp;languageCode=eng&amp;currency=EUR</v>
      </c>
      <c r="BE561" s="5" t="b">
        <f ca="1">IFERROR(__xludf.DUMMYFUNCTION("""COMPUTED_VALUE"""),TRUE)</f>
        <v>1</v>
      </c>
    </row>
    <row r="562" spans="1:57" x14ac:dyDescent="0.25">
      <c r="A562" s="5">
        <f ca="1">IFERROR(__xludf.DUMMYFUNCTION("""COMPUTED_VALUE"""),596)</f>
        <v>596</v>
      </c>
      <c r="B562" s="5">
        <f ca="1">IFERROR(__xludf.DUMMYFUNCTION("""COMPUTED_VALUE"""),519)</f>
        <v>519</v>
      </c>
      <c r="C562" s="5" t="str">
        <f ca="1">IFERROR(__xludf.DUMMYFUNCTION("""COMPUTED_VALUE"""),"Tiptop")</f>
        <v>Tiptop</v>
      </c>
      <c r="D562" s="5" t="str">
        <f ca="1">IFERROR(__xludf.DUMMYFUNCTION("""COMPUTED_VALUE"""),"Santas Rudolf")</f>
        <v>Santas Rudolf</v>
      </c>
      <c r="E562" s="5" t="str">
        <f ca="1">IFERROR(__xludf.DUMMYFUNCTION("""COMPUTED_VALUE"""),"Sertifikacioni")</f>
        <v>Sertifikacioni</v>
      </c>
      <c r="F562" s="5" t="str">
        <f ca="1">IFERROR(__xludf.DUMMYFUNCTION("""COMPUTED_VALUE"""),"UnicornSantasRudolf")</f>
        <v>UnicornSantasRudolf</v>
      </c>
      <c r="G562" s="5" t="str">
        <f ca="1">IFERROR(__xludf.DUMMYFUNCTION("""COMPUTED_VALUE"""),"Live")</f>
        <v>Live</v>
      </c>
      <c r="H562" s="5"/>
      <c r="I562" s="5"/>
      <c r="J562" s="5" t="str">
        <f ca="1">IFERROR(__xludf.DUMMYFUNCTION("""COMPUTED_VALUE"""),"JSON")</f>
        <v>JSON</v>
      </c>
      <c r="K562" s="5" t="str">
        <f ca="1">IFERROR(__xludf.DUMMYFUNCTION("""COMPUTED_VALUE"""),"Slot")</f>
        <v>Slot</v>
      </c>
      <c r="L562" s="5" t="str">
        <f ca="1">IFERROR(__xludf.DUMMYFUNCTION("""COMPUTED_VALUE""")," Clone")</f>
        <v xml:space="preserve"> Clone</v>
      </c>
      <c r="M562" s="5" t="str">
        <f ca="1">IFERROR(__xludf.DUMMYFUNCTION("""COMPUTED_VALUE"""),"Buffalo Sevens Jackpot")</f>
        <v>Buffalo Sevens Jackpot</v>
      </c>
      <c r="N562" s="5"/>
      <c r="O562" s="5"/>
      <c r="P562" s="14">
        <f ca="1">IFERROR(__xludf.DUMMYFUNCTION("""COMPUTED_VALUE"""),10.5)</f>
        <v>10.5</v>
      </c>
      <c r="Q562" s="15">
        <f ca="1">IFERROR(__xludf.DUMMYFUNCTION("""COMPUTED_VALUE"""),45973)</f>
        <v>45973</v>
      </c>
      <c r="R562" s="15">
        <f ca="1">IFERROR(__xludf.DUMMYFUNCTION("""COMPUTED_VALUE"""),45966)</f>
        <v>45966</v>
      </c>
      <c r="S562" s="15">
        <f ca="1">IFERROR(__xludf.DUMMYFUNCTION("""COMPUTED_VALUE"""),45973)</f>
        <v>45973</v>
      </c>
      <c r="T562" s="5" t="b">
        <f ca="1">IFERROR(__xludf.DUMMYFUNCTION("""COMPUTED_VALUE"""),TRUE)</f>
        <v>1</v>
      </c>
      <c r="U562" s="5" t="str">
        <f ca="1">IFERROR(__xludf.DUMMYFUNCTION("""COMPUTED_VALUE"""),"5X3")</f>
        <v>5X3</v>
      </c>
      <c r="V562" s="5">
        <f ca="1">IFERROR(__xludf.DUMMYFUNCTION("""COMPUTED_VALUE"""),10)</f>
        <v>10</v>
      </c>
      <c r="W562" s="5">
        <f ca="1">IFERROR(__xludf.DUMMYFUNCTION("""COMPUTED_VALUE"""),10)</f>
        <v>10</v>
      </c>
      <c r="X562" s="5">
        <f ca="1">IFERROR(__xludf.DUMMYFUNCTION("""COMPUTED_VALUE"""),96)</f>
        <v>96</v>
      </c>
      <c r="Y562" s="5" t="str">
        <f ca="1">IFERROR(__xludf.DUMMYFUNCTION("""COMPUTED_VALUE"""),"Low")</f>
        <v>Low</v>
      </c>
      <c r="Z562" s="5">
        <f ca="1">IFERROR(__xludf.DUMMYFUNCTION("""COMPUTED_VALUE"""),9.08)</f>
        <v>9.08</v>
      </c>
      <c r="AA562" s="5">
        <f ca="1">IFERROR(__xludf.DUMMYFUNCTION("""COMPUTED_VALUE"""),10000)</f>
        <v>10000</v>
      </c>
      <c r="AB562" s="5"/>
      <c r="AC562" s="5"/>
      <c r="AD562" s="5" t="str">
        <f ca="1">IFERROR(__xludf.DUMMYFUNCTION("""COMPUTED_VALUE"""),"0.1/100")</f>
        <v>0.1/100</v>
      </c>
      <c r="AE562" s="5"/>
      <c r="AF562" s="5"/>
      <c r="AG562" s="10">
        <f ca="1">IFERROR(__xludf.DUMMYFUNCTION("""COMPUTED_VALUE"""),46197.5024421296)</f>
        <v>46197.502442129597</v>
      </c>
      <c r="AH562" s="5" t="str">
        <f ca="1">IFERROR(__xludf.DUMMYFUNCTION("""COMPUTED_VALUE"""),"selena.mihajlovic@fazi.rs")</f>
        <v>selena.mihajlovic@fazi.rs</v>
      </c>
      <c r="AI562" s="5"/>
      <c r="AJ562" s="5"/>
      <c r="AK562" s="5">
        <f ca="1">IFERROR(__xludf.DUMMYFUNCTION("""COMPUTED_VALUE"""),10)</f>
        <v>10</v>
      </c>
      <c r="AL562" s="5" t="str">
        <f ca="1">IFERROR(__xludf.DUMMYFUNCTION("""COMPUTED_VALUE"""),"No")</f>
        <v>No</v>
      </c>
      <c r="AM562" s="5"/>
      <c r="AN562" s="7" t="str">
        <f ca="1">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AO562" s="5"/>
      <c r="AP562" s="5"/>
      <c r="AQ562" s="5" t="b">
        <f ca="1">IFERROR(__xludf.DUMMYFUNCTION("""COMPUTED_VALUE"""),TRUE)</f>
        <v>1</v>
      </c>
      <c r="AR562" s="5"/>
      <c r="AS562" s="5" t="str">
        <f ca="1">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AT562" s="5"/>
      <c r="AU562" s="5" t="str">
        <f ca="1">IFERROR(__xludf.DUMMYFUNCTION("""COMPUTED_VALUE"""),"Fazi")</f>
        <v>Fazi</v>
      </c>
      <c r="AV562" s="5"/>
      <c r="AW562" s="5"/>
      <c r="AX562" s="15">
        <f ca="1">IFERROR(__xludf.DUMMYFUNCTION("""COMPUTED_VALUE"""),45965)</f>
        <v>45965</v>
      </c>
      <c r="AY562" s="5"/>
      <c r="AZ562" s="5"/>
      <c r="BA562" s="5"/>
      <c r="BB562" s="5" t="b">
        <f ca="1">IFERROR(__xludf.DUMMYFUNCTION("""COMPUTED_VALUE"""),TRUE)</f>
        <v>1</v>
      </c>
      <c r="BC562" s="5" t="str">
        <f ca="1">IFERROR(__xludf.DUMMYFUNCTION("""COMPUTED_VALUE"""),"Tiptop")</f>
        <v>Tiptop</v>
      </c>
      <c r="BD562" s="7" t="str">
        <f ca="1">IFERROR(__xludf.DUMMYFUNCTION("""COMPUTED_VALUE"""),"https://gameserver-store-client-area.orbionlimited.com/Home/IntegrationGameLaunch/client-area?moneyType=0&amp;gameName=UnicornSantasRudolf&amp;platform=desktop&amp;languageCode=eng&amp;currency=EUR")</f>
        <v>https://gameserver-store-client-area.orbionlimited.com/Home/IntegrationGameLaunch/client-area?moneyType=0&amp;gameName=UnicornSantasRudolf&amp;platform=desktop&amp;languageCode=eng&amp;currency=EUR</v>
      </c>
      <c r="BE562" s="5" t="b">
        <f ca="1">IFERROR(__xludf.DUMMYFUNCTION("""COMPUTED_VALUE"""),TRUE)</f>
        <v>1</v>
      </c>
    </row>
    <row r="563" spans="1:57" x14ac:dyDescent="0.25">
      <c r="A563" s="5">
        <f ca="1">IFERROR(__xludf.DUMMYFUNCTION("""COMPUTED_VALUE"""),598)</f>
        <v>598</v>
      </c>
      <c r="B563" s="5">
        <f ca="1">IFERROR(__xludf.DUMMYFUNCTION("""COMPUTED_VALUE"""),520)</f>
        <v>520</v>
      </c>
      <c r="C563" s="5" t="str">
        <f ca="1">IFERROR(__xludf.DUMMYFUNCTION("""COMPUTED_VALUE"""),"Tiptop")</f>
        <v>Tiptop</v>
      </c>
      <c r="D563" s="5" t="str">
        <f ca="1">IFERROR(__xludf.DUMMYFUNCTION("""COMPUTED_VALUE"""),"Gold Line Gems")</f>
        <v>Gold Line Gems</v>
      </c>
      <c r="E563" s="5" t="str">
        <f ca="1">IFERROR(__xludf.DUMMYFUNCTION("""COMPUTED_VALUE"""),"Sertifikacioni")</f>
        <v>Sertifikacioni</v>
      </c>
      <c r="F563" s="5" t="str">
        <f ca="1">IFERROR(__xludf.DUMMYFUNCTION("""COMPUTED_VALUE"""),"UnicornGoldLineGems")</f>
        <v>UnicornGoldLineGems</v>
      </c>
      <c r="G563" s="5" t="str">
        <f ca="1">IFERROR(__xludf.DUMMYFUNCTION("""COMPUTED_VALUE"""),"Live")</f>
        <v>Live</v>
      </c>
      <c r="H563" s="5"/>
      <c r="I563" s="5"/>
      <c r="J563" s="5" t="str">
        <f ca="1">IFERROR(__xludf.DUMMYFUNCTION("""COMPUTED_VALUE"""),"JSON")</f>
        <v>JSON</v>
      </c>
      <c r="K563" s="5" t="str">
        <f ca="1">IFERROR(__xludf.DUMMYFUNCTION("""COMPUTED_VALUE"""),"Slot")</f>
        <v>Slot</v>
      </c>
      <c r="L563" s="5" t="str">
        <f ca="1">IFERROR(__xludf.DUMMYFUNCTION("""COMPUTED_VALUE""")," Clone")</f>
        <v xml:space="preserve"> Clone</v>
      </c>
      <c r="M563" s="5" t="str">
        <f ca="1">IFERROR(__xludf.DUMMYFUNCTION("""COMPUTED_VALUE"""),"Gold Line")</f>
        <v>Gold Line</v>
      </c>
      <c r="N563" s="5"/>
      <c r="O563" s="5"/>
      <c r="P563" s="14">
        <f ca="1">IFERROR(__xludf.DUMMYFUNCTION("""COMPUTED_VALUE"""),12.4)</f>
        <v>12.4</v>
      </c>
      <c r="Q563" s="15">
        <f ca="1">IFERROR(__xludf.DUMMYFUNCTION("""COMPUTED_VALUE"""),45973)</f>
        <v>45973</v>
      </c>
      <c r="R563" s="15">
        <f ca="1">IFERROR(__xludf.DUMMYFUNCTION("""COMPUTED_VALUE"""),45973)</f>
        <v>45973</v>
      </c>
      <c r="S563" s="15">
        <f ca="1">IFERROR(__xludf.DUMMYFUNCTION("""COMPUTED_VALUE"""),45980)</f>
        <v>45980</v>
      </c>
      <c r="T563" s="5" t="b">
        <f ca="1">IFERROR(__xludf.DUMMYFUNCTION("""COMPUTED_VALUE"""),TRUE)</f>
        <v>1</v>
      </c>
      <c r="U563" s="5" t="str">
        <f ca="1">IFERROR(__xludf.DUMMYFUNCTION("""COMPUTED_VALUE"""),"5X3")</f>
        <v>5X3</v>
      </c>
      <c r="V563" s="5">
        <f ca="1">IFERROR(__xludf.DUMMYFUNCTION("""COMPUTED_VALUE"""),20)</f>
        <v>20</v>
      </c>
      <c r="W563" s="5" t="str">
        <f ca="1">IFERROR(__xludf.DUMMYFUNCTION("""COMPUTED_VALUE"""),"10+1")</f>
        <v>10+1</v>
      </c>
      <c r="X563" s="5">
        <f ca="1">IFERROR(__xludf.DUMMYFUNCTION("""COMPUTED_VALUE"""),96)</f>
        <v>96</v>
      </c>
      <c r="Y563" s="5" t="str">
        <f ca="1">IFERROR(__xludf.DUMMYFUNCTION("""COMPUTED_VALUE"""),"Low")</f>
        <v>Low</v>
      </c>
      <c r="Z563" s="5">
        <f ca="1">IFERROR(__xludf.DUMMYFUNCTION("""COMPUTED_VALUE"""),17.39)</f>
        <v>17.39</v>
      </c>
      <c r="AA563" s="5">
        <f ca="1">IFERROR(__xludf.DUMMYFUNCTION("""COMPUTED_VALUE"""),10000)</f>
        <v>10000</v>
      </c>
      <c r="AB563" s="5"/>
      <c r="AC563" s="5"/>
      <c r="AD563" s="5" t="str">
        <f ca="1">IFERROR(__xludf.DUMMYFUNCTION("""COMPUTED_VALUE"""),"0.2/100")</f>
        <v>0.2/100</v>
      </c>
      <c r="AE563" s="5"/>
      <c r="AF563" s="5"/>
      <c r="AG563" s="10">
        <f ca="1">IFERROR(__xludf.DUMMYFUNCTION("""COMPUTED_VALUE"""),46197.5025925925)</f>
        <v>46197.5025925925</v>
      </c>
      <c r="AH563" s="5" t="str">
        <f ca="1">IFERROR(__xludf.DUMMYFUNCTION("""COMPUTED_VALUE"""),"selena.mihajlovic@fazi.rs")</f>
        <v>selena.mihajlovic@fazi.rs</v>
      </c>
      <c r="AI563" s="5"/>
      <c r="AJ563" s="5"/>
      <c r="AK563" s="5">
        <f ca="1">IFERROR(__xludf.DUMMYFUNCTION("""COMPUTED_VALUE"""),20)</f>
        <v>20</v>
      </c>
      <c r="AL563" s="5" t="str">
        <f ca="1">IFERROR(__xludf.DUMMYFUNCTION("""COMPUTED_VALUE"""),"No")</f>
        <v>No</v>
      </c>
      <c r="AM563" s="5"/>
      <c r="AN563" s="7" t="str">
        <f ca="1">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AO563" s="5"/>
      <c r="AP563" s="5"/>
      <c r="AQ563" s="5" t="b">
        <f ca="1">IFERROR(__xludf.DUMMYFUNCTION("""COMPUTED_VALUE"""),TRUE)</f>
        <v>1</v>
      </c>
      <c r="AR563" s="5"/>
      <c r="AS563" s="5" t="str">
        <f ca="1">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AT563" s="5"/>
      <c r="AU563" s="5" t="str">
        <f ca="1">IFERROR(__xludf.DUMMYFUNCTION("""COMPUTED_VALUE"""),"Fazi")</f>
        <v>Fazi</v>
      </c>
      <c r="AV563" s="5"/>
      <c r="AW563" s="5"/>
      <c r="AX563" s="15">
        <f ca="1">IFERROR(__xludf.DUMMYFUNCTION("""COMPUTED_VALUE"""),45965)</f>
        <v>45965</v>
      </c>
      <c r="AY563" s="5"/>
      <c r="AZ563" s="5"/>
      <c r="BA563" s="5"/>
      <c r="BB563" s="5" t="b">
        <f ca="1">IFERROR(__xludf.DUMMYFUNCTION("""COMPUTED_VALUE"""),TRUE)</f>
        <v>1</v>
      </c>
      <c r="BC563" s="5" t="str">
        <f ca="1">IFERROR(__xludf.DUMMYFUNCTION("""COMPUTED_VALUE"""),"Tiptop")</f>
        <v>Tiptop</v>
      </c>
      <c r="BD563" s="7" t="str">
        <f ca="1">IFERROR(__xludf.DUMMYFUNCTION("""COMPUTED_VALUE"""),"https://gameserver-store-client-area.orbionlimited.com/Home/IntegrationGameLaunch/client-area?moneyType=0&amp;gameName=UnicornGoldLineGems&amp;platform=desktop&amp;languageCode=eng&amp;currency=EUR")</f>
        <v>https://gameserver-store-client-area.orbionlimited.com/Home/IntegrationGameLaunch/client-area?moneyType=0&amp;gameName=UnicornGoldLineGems&amp;platform=desktop&amp;languageCode=eng&amp;currency=EUR</v>
      </c>
      <c r="BE563" s="5" t="b">
        <f ca="1">IFERROR(__xludf.DUMMYFUNCTION("""COMPUTED_VALUE"""),TRUE)</f>
        <v>1</v>
      </c>
    </row>
    <row r="564" spans="1:57" x14ac:dyDescent="0.25">
      <c r="A564" s="5">
        <f ca="1">IFERROR(__xludf.DUMMYFUNCTION("""COMPUTED_VALUE"""),599)</f>
        <v>599</v>
      </c>
      <c r="B564" s="5">
        <f ca="1">IFERROR(__xludf.DUMMYFUNCTION("""COMPUTED_VALUE"""),521)</f>
        <v>521</v>
      </c>
      <c r="C564" s="5" t="str">
        <f ca="1">IFERROR(__xludf.DUMMYFUNCTION("""COMPUTED_VALUE"""),"Tiptop")</f>
        <v>Tiptop</v>
      </c>
      <c r="D564" s="5" t="str">
        <f ca="1">IFERROR(__xludf.DUMMYFUNCTION("""COMPUTED_VALUE"""),"Christmas Presents 2025")</f>
        <v>Christmas Presents 2025</v>
      </c>
      <c r="E564" s="5" t="str">
        <f ca="1">IFERROR(__xludf.DUMMYFUNCTION("""COMPUTED_VALUE"""),"Sertifikacioni")</f>
        <v>Sertifikacioni</v>
      </c>
      <c r="F564" s="5" t="str">
        <f ca="1">IFERROR(__xludf.DUMMYFUNCTION("""COMPUTED_VALUE"""),"UnicornChristmasPresents2025")</f>
        <v>UnicornChristmasPresents2025</v>
      </c>
      <c r="G564" s="5" t="str">
        <f ca="1">IFERROR(__xludf.DUMMYFUNCTION("""COMPUTED_VALUE"""),"Live")</f>
        <v>Live</v>
      </c>
      <c r="H564" s="5"/>
      <c r="I564" s="5"/>
      <c r="J564" s="5" t="str">
        <f ca="1">IFERROR(__xludf.DUMMYFUNCTION("""COMPUTED_VALUE"""),"JSON")</f>
        <v>JSON</v>
      </c>
      <c r="K564" s="5" t="str">
        <f ca="1">IFERROR(__xludf.DUMMYFUNCTION("""COMPUTED_VALUE"""),"Slot")</f>
        <v>Slot</v>
      </c>
      <c r="L564" s="5" t="str">
        <f ca="1">IFERROR(__xludf.DUMMYFUNCTION("""COMPUTED_VALUE""")," Clone")</f>
        <v xml:space="preserve"> Clone</v>
      </c>
      <c r="M564" s="5" t="str">
        <f ca="1">IFERROR(__xludf.DUMMYFUNCTION("""COMPUTED_VALUE"""),"Christmas Presents")</f>
        <v>Christmas Presents</v>
      </c>
      <c r="N564" s="5"/>
      <c r="O564" s="5"/>
      <c r="P564" s="14">
        <f ca="1">IFERROR(__xludf.DUMMYFUNCTION("""COMPUTED_VALUE"""),16.7)</f>
        <v>16.7</v>
      </c>
      <c r="Q564" s="15">
        <f ca="1">IFERROR(__xludf.DUMMYFUNCTION("""COMPUTED_VALUE"""),45973)</f>
        <v>45973</v>
      </c>
      <c r="R564" s="15">
        <f ca="1">IFERROR(__xludf.DUMMYFUNCTION("""COMPUTED_VALUE"""),45980)</f>
        <v>45980</v>
      </c>
      <c r="S564" s="15">
        <f ca="1">IFERROR(__xludf.DUMMYFUNCTION("""COMPUTED_VALUE"""),45987)</f>
        <v>45987</v>
      </c>
      <c r="T564" s="5" t="b">
        <f ca="1">IFERROR(__xludf.DUMMYFUNCTION("""COMPUTED_VALUE"""),TRUE)</f>
        <v>1</v>
      </c>
      <c r="U564" s="5" t="str">
        <f ca="1">IFERROR(__xludf.DUMMYFUNCTION("""COMPUTED_VALUE"""),"5X3")</f>
        <v>5X3</v>
      </c>
      <c r="V564" s="5">
        <f ca="1">IFERROR(__xludf.DUMMYFUNCTION("""COMPUTED_VALUE"""),5)</f>
        <v>5</v>
      </c>
      <c r="W564" s="5">
        <f ca="1">IFERROR(__xludf.DUMMYFUNCTION("""COMPUTED_VALUE"""),5)</f>
        <v>5</v>
      </c>
      <c r="X564" s="5">
        <f ca="1">IFERROR(__xludf.DUMMYFUNCTION("""COMPUTED_VALUE"""),96)</f>
        <v>96</v>
      </c>
      <c r="Y564" s="5" t="str">
        <f ca="1">IFERROR(__xludf.DUMMYFUNCTION("""COMPUTED_VALUE"""),"Low")</f>
        <v>Low</v>
      </c>
      <c r="Z564" s="5">
        <f ca="1">IFERROR(__xludf.DUMMYFUNCTION("""COMPUTED_VALUE"""),13.64)</f>
        <v>13.64</v>
      </c>
      <c r="AA564" s="5">
        <f ca="1">IFERROR(__xludf.DUMMYFUNCTION("""COMPUTED_VALUE"""),10000)</f>
        <v>10000</v>
      </c>
      <c r="AB564" s="5"/>
      <c r="AC564" s="5"/>
      <c r="AD564" s="5" t="str">
        <f ca="1">IFERROR(__xludf.DUMMYFUNCTION("""COMPUTED_VALUE"""),"0.05/100")</f>
        <v>0.05/100</v>
      </c>
      <c r="AE564" s="5"/>
      <c r="AF564" s="5"/>
      <c r="AG564" s="10">
        <f ca="1">IFERROR(__xludf.DUMMYFUNCTION("""COMPUTED_VALUE"""),46197.5027314814)</f>
        <v>46197.5027314814</v>
      </c>
      <c r="AH564" s="5" t="str">
        <f ca="1">IFERROR(__xludf.DUMMYFUNCTION("""COMPUTED_VALUE"""),"selena.mihajlovic@fazi.rs")</f>
        <v>selena.mihajlovic@fazi.rs</v>
      </c>
      <c r="AI564" s="15">
        <f ca="1">IFERROR(__xludf.DUMMYFUNCTION("""COMPUTED_VALUE"""),45978)</f>
        <v>45978</v>
      </c>
      <c r="AJ564" s="5" t="str">
        <f ca="1">IFERROR(__xludf.DUMMYFUNCTION("""COMPUTED_VALUE"""),"PinUp")</f>
        <v>PinUp</v>
      </c>
      <c r="AK564" s="5">
        <f ca="1">IFERROR(__xludf.DUMMYFUNCTION("""COMPUTED_VALUE"""),5)</f>
        <v>5</v>
      </c>
      <c r="AL564" s="5" t="str">
        <f ca="1">IFERROR(__xludf.DUMMYFUNCTION("""COMPUTED_VALUE"""),"No")</f>
        <v>No</v>
      </c>
      <c r="AM564" s="5"/>
      <c r="AN564" s="7" t="str">
        <f ca="1">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AO564" s="5"/>
      <c r="AP564" s="5"/>
      <c r="AQ564" s="5" t="b">
        <f ca="1">IFERROR(__xludf.DUMMYFUNCTION("""COMPUTED_VALUE"""),TRUE)</f>
        <v>1</v>
      </c>
      <c r="AR564" s="5"/>
      <c r="AS564" s="5" t="str">
        <f ca="1">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AT564" s="5"/>
      <c r="AU564" s="5" t="str">
        <f ca="1">IFERROR(__xludf.DUMMYFUNCTION("""COMPUTED_VALUE"""),"Fazi")</f>
        <v>Fazi</v>
      </c>
      <c r="AV564" s="5"/>
      <c r="AW564" s="5"/>
      <c r="AX564" s="15">
        <f ca="1">IFERROR(__xludf.DUMMYFUNCTION("""COMPUTED_VALUE"""),45965)</f>
        <v>45965</v>
      </c>
      <c r="AY564" s="5"/>
      <c r="AZ564" s="5"/>
      <c r="BA564" s="5"/>
      <c r="BB564" s="5" t="b">
        <f ca="1">IFERROR(__xludf.DUMMYFUNCTION("""COMPUTED_VALUE"""),TRUE)</f>
        <v>1</v>
      </c>
      <c r="BC564" s="5" t="str">
        <f ca="1">IFERROR(__xludf.DUMMYFUNCTION("""COMPUTED_VALUE"""),"Tiptop")</f>
        <v>Tiptop</v>
      </c>
      <c r="BD564" s="7" t="str">
        <f ca="1">IFERROR(__xludf.DUMMYFUNCTION("""COMPUTED_VALUE"""),"https://gameserver-store-client-area.orbionlimited.com/Home/IntegrationGameLaunch/client-area?moneyType=0&amp;gameName=UnicornChristmasPresents2025&amp;platform=desktop&amp;languageCode=eng&amp;currency=EUR")</f>
        <v>https://gameserver-store-client-area.orbionlimited.com/Home/IntegrationGameLaunch/client-area?moneyType=0&amp;gameName=UnicornChristmasPresents2025&amp;platform=desktop&amp;languageCode=eng&amp;currency=EUR</v>
      </c>
      <c r="BE564" s="5" t="b">
        <f ca="1">IFERROR(__xludf.DUMMYFUNCTION("""COMPUTED_VALUE"""),TRUE)</f>
        <v>1</v>
      </c>
    </row>
    <row r="565" spans="1:57" x14ac:dyDescent="0.25">
      <c r="A565" s="5">
        <f ca="1">IFERROR(__xludf.DUMMYFUNCTION("""COMPUTED_VALUE"""),600)</f>
        <v>600</v>
      </c>
      <c r="B565" s="5">
        <f ca="1">IFERROR(__xludf.DUMMYFUNCTION("""COMPUTED_VALUE"""),522)</f>
        <v>522</v>
      </c>
      <c r="C565" s="5" t="str">
        <f ca="1">IFERROR(__xludf.DUMMYFUNCTION("""COMPUTED_VALUE"""),"Tiptop")</f>
        <v>Tiptop</v>
      </c>
      <c r="D565" s="5" t="str">
        <f ca="1">IFERROR(__xludf.DUMMYFUNCTION("""COMPUTED_VALUE"""),"Money Standard Platinum")</f>
        <v>Money Standard Platinum</v>
      </c>
      <c r="E565" s="5" t="str">
        <f ca="1">IFERROR(__xludf.DUMMYFUNCTION("""COMPUTED_VALUE"""),"Sertifikacioni")</f>
        <v>Sertifikacioni</v>
      </c>
      <c r="F565" s="5" t="str">
        <f ca="1">IFERROR(__xludf.DUMMYFUNCTION("""COMPUTED_VALUE"""),"UnicornMoneyStandardPlatinum")</f>
        <v>UnicornMoneyStandardPlatinum</v>
      </c>
      <c r="G565" s="5" t="str">
        <f ca="1">IFERROR(__xludf.DUMMYFUNCTION("""COMPUTED_VALUE"""),"Live")</f>
        <v>Live</v>
      </c>
      <c r="H565" s="5"/>
      <c r="I565" s="5" t="str">
        <f ca="1">IFERROR(__xludf.DUMMYFUNCTION("""COMPUTED_VALUE"""),"TipTop")</f>
        <v>TipTop</v>
      </c>
      <c r="J565" s="5" t="str">
        <f ca="1">IFERROR(__xludf.DUMMYFUNCTION("""COMPUTED_VALUE"""),"JSON")</f>
        <v>JSON</v>
      </c>
      <c r="K565" s="5" t="str">
        <f ca="1">IFERROR(__xludf.DUMMYFUNCTION("""COMPUTED_VALUE"""),"Slot")</f>
        <v>Slot</v>
      </c>
      <c r="L565" s="5" t="str">
        <f ca="1">IFERROR(__xludf.DUMMYFUNCTION("""COMPUTED_VALUE""")," Clone")</f>
        <v xml:space="preserve"> Clone</v>
      </c>
      <c r="M565" s="5" t="str">
        <f ca="1">IFERROR(__xludf.DUMMYFUNCTION("""COMPUTED_VALUE"""),"Money Standard")</f>
        <v>Money Standard</v>
      </c>
      <c r="N565" s="5"/>
      <c r="O565" s="5"/>
      <c r="P565" s="14">
        <f ca="1">IFERROR(__xludf.DUMMYFUNCTION("""COMPUTED_VALUE"""),10.1)</f>
        <v>10.1</v>
      </c>
      <c r="Q565" s="15">
        <f ca="1">IFERROR(__xludf.DUMMYFUNCTION("""COMPUTED_VALUE"""),45985)</f>
        <v>45985</v>
      </c>
      <c r="R565" s="15">
        <f ca="1">IFERROR(__xludf.DUMMYFUNCTION("""COMPUTED_VALUE"""),45987)</f>
        <v>45987</v>
      </c>
      <c r="S565" s="15">
        <f ca="1">IFERROR(__xludf.DUMMYFUNCTION("""COMPUTED_VALUE"""),45994)</f>
        <v>45994</v>
      </c>
      <c r="T565" s="5" t="b">
        <f ca="1">IFERROR(__xludf.DUMMYFUNCTION("""COMPUTED_VALUE"""),TRUE)</f>
        <v>1</v>
      </c>
      <c r="U565" s="5" t="str">
        <f ca="1">IFERROR(__xludf.DUMMYFUNCTION("""COMPUTED_VALUE"""),"5X4")</f>
        <v>5X4</v>
      </c>
      <c r="V565" s="5">
        <f ca="1">IFERROR(__xludf.DUMMYFUNCTION("""COMPUTED_VALUE"""),20)</f>
        <v>20</v>
      </c>
      <c r="W565" s="5">
        <f ca="1">IFERROR(__xludf.DUMMYFUNCTION("""COMPUTED_VALUE"""),20)</f>
        <v>20</v>
      </c>
      <c r="X565" s="5">
        <f ca="1">IFERROR(__xludf.DUMMYFUNCTION("""COMPUTED_VALUE"""),96)</f>
        <v>96</v>
      </c>
      <c r="Y565" s="5" t="str">
        <f ca="1">IFERROR(__xludf.DUMMYFUNCTION("""COMPUTED_VALUE"""),"Low")</f>
        <v>Low</v>
      </c>
      <c r="Z565" s="5">
        <f ca="1">IFERROR(__xludf.DUMMYFUNCTION("""COMPUTED_VALUE"""),11.7)</f>
        <v>11.7</v>
      </c>
      <c r="AA565" s="5">
        <f ca="1">IFERROR(__xludf.DUMMYFUNCTION("""COMPUTED_VALUE"""),5000)</f>
        <v>5000</v>
      </c>
      <c r="AB565" s="5"/>
      <c r="AC565" s="5"/>
      <c r="AD565" s="5" t="str">
        <f ca="1">IFERROR(__xludf.DUMMYFUNCTION("""COMPUTED_VALUE"""),"0.2/100")</f>
        <v>0.2/100</v>
      </c>
      <c r="AE565" s="5"/>
      <c r="AF565" s="5"/>
      <c r="AG565" s="10">
        <f ca="1">IFERROR(__xludf.DUMMYFUNCTION("""COMPUTED_VALUE"""),46197.5028703703)</f>
        <v>46197.502870370299</v>
      </c>
      <c r="AH565" s="5" t="str">
        <f ca="1">IFERROR(__xludf.DUMMYFUNCTION("""COMPUTED_VALUE"""),"selena.mihajlovic@fazi.rs")</f>
        <v>selena.mihajlovic@fazi.rs</v>
      </c>
      <c r="AI565" s="5"/>
      <c r="AJ565" s="5"/>
      <c r="AK565" s="5">
        <f ca="1">IFERROR(__xludf.DUMMYFUNCTION("""COMPUTED_VALUE"""),20)</f>
        <v>20</v>
      </c>
      <c r="AL565" s="5" t="str">
        <f ca="1">IFERROR(__xludf.DUMMYFUNCTION("""COMPUTED_VALUE"""),"No")</f>
        <v>No</v>
      </c>
      <c r="AM565" s="5"/>
      <c r="AN565" s="7" t="str">
        <f ca="1">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AO565" s="5"/>
      <c r="AP565" s="5"/>
      <c r="AQ565" s="5" t="b">
        <f ca="1">IFERROR(__xludf.DUMMYFUNCTION("""COMPUTED_VALUE"""),TRUE)</f>
        <v>1</v>
      </c>
      <c r="AR565" s="5"/>
      <c r="AS565" s="5" t="str">
        <f ca="1">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AT565" s="5"/>
      <c r="AU565" s="5" t="str">
        <f ca="1">IFERROR(__xludf.DUMMYFUNCTION("""COMPUTED_VALUE"""),"Fazi")</f>
        <v>Fazi</v>
      </c>
      <c r="AV565" s="5"/>
      <c r="AW565" s="5"/>
      <c r="AX565" s="15">
        <f ca="1">IFERROR(__xludf.DUMMYFUNCTION("""COMPUTED_VALUE"""),45979)</f>
        <v>45979</v>
      </c>
      <c r="AY565" s="5"/>
      <c r="AZ565" s="5"/>
      <c r="BA565" s="5"/>
      <c r="BB565" s="5" t="b">
        <f ca="1">IFERROR(__xludf.DUMMYFUNCTION("""COMPUTED_VALUE"""),TRUE)</f>
        <v>1</v>
      </c>
      <c r="BC565" s="5" t="str">
        <f ca="1">IFERROR(__xludf.DUMMYFUNCTION("""COMPUTED_VALUE"""),"Tiptop")</f>
        <v>Tiptop</v>
      </c>
      <c r="BD565" s="7" t="str">
        <f ca="1">IFERROR(__xludf.DUMMYFUNCTION("""COMPUTED_VALUE"""),"https://gameserver-store-client-area.orbionlimited.com/Home/IntegrationGameLaunch/client-area?moneyType=0&amp;gameName=UnicornMoneyStandardPlatinum&amp;platform=desktop&amp;languageCode=eng&amp;currency=EUR")</f>
        <v>https://gameserver-store-client-area.orbionlimited.com/Home/IntegrationGameLaunch/client-area?moneyType=0&amp;gameName=UnicornMoneyStandardPlatinum&amp;platform=desktop&amp;languageCode=eng&amp;currency=EUR</v>
      </c>
      <c r="BE565" s="5" t="b">
        <f ca="1">IFERROR(__xludf.DUMMYFUNCTION("""COMPUTED_VALUE"""),TRUE)</f>
        <v>1</v>
      </c>
    </row>
    <row r="566" spans="1:57" x14ac:dyDescent="0.25">
      <c r="A566" s="5">
        <f ca="1">IFERROR(__xludf.DUMMYFUNCTION("""COMPUTED_VALUE"""),601)</f>
        <v>601</v>
      </c>
      <c r="B566" s="5">
        <f ca="1">IFERROR(__xludf.DUMMYFUNCTION("""COMPUTED_VALUE"""),429)</f>
        <v>429</v>
      </c>
      <c r="C566" s="5" t="str">
        <f ca="1">IFERROR(__xludf.DUMMYFUNCTION("""COMPUTED_VALUE"""),"Tiptop")</f>
        <v>Tiptop</v>
      </c>
      <c r="D566" s="5" t="str">
        <f ca="1">IFERROR(__xludf.DUMMYFUNCTION("""COMPUTED_VALUE"""),"Fruit Multipliers")</f>
        <v>Fruit Multipliers</v>
      </c>
      <c r="E566" s="5" t="str">
        <f ca="1">IFERROR(__xludf.DUMMYFUNCTION("""COMPUTED_VALUE"""),"V4-2")</f>
        <v>V4-2</v>
      </c>
      <c r="F566" s="5" t="str">
        <f ca="1">IFERROR(__xludf.DUMMYFUNCTION("""COMPUTED_VALUE"""),"UnicornFruitMultipliers")</f>
        <v>UnicornFruitMultipliers</v>
      </c>
      <c r="G566" s="5" t="str">
        <f ca="1">IFERROR(__xludf.DUMMYFUNCTION("""COMPUTED_VALUE"""),"Live")</f>
        <v>Live</v>
      </c>
      <c r="H566" s="5"/>
      <c r="I566" s="5" t="str">
        <f ca="1">IFERROR(__xludf.DUMMYFUNCTION("""COMPUTED_VALUE"""),"TipTop")</f>
        <v>TipTop</v>
      </c>
      <c r="J566" s="5" t="str">
        <f ca="1">IFERROR(__xludf.DUMMYFUNCTION("""COMPUTED_VALUE"""),"JSON")</f>
        <v>JSON</v>
      </c>
      <c r="K566" s="5" t="str">
        <f ca="1">IFERROR(__xludf.DUMMYFUNCTION("""COMPUTED_VALUE"""),"Slot")</f>
        <v>Slot</v>
      </c>
      <c r="L566" s="5" t="str">
        <f ca="1">IFERROR(__xludf.DUMMYFUNCTION("""COMPUTED_VALUE"""),"Master")</f>
        <v>Master</v>
      </c>
      <c r="M566" s="5"/>
      <c r="N566" s="5"/>
      <c r="O566" s="5"/>
      <c r="P566" s="14">
        <f ca="1">IFERROR(__xludf.DUMMYFUNCTION("""COMPUTED_VALUE"""),11.3)</f>
        <v>11.3</v>
      </c>
      <c r="Q566" s="15">
        <f ca="1">IFERROR(__xludf.DUMMYFUNCTION("""COMPUTED_VALUE"""),45973)</f>
        <v>45973</v>
      </c>
      <c r="R566" s="15">
        <f ca="1">IFERROR(__xludf.DUMMYFUNCTION("""COMPUTED_VALUE"""),45994)</f>
        <v>45994</v>
      </c>
      <c r="S566" s="15">
        <f ca="1">IFERROR(__xludf.DUMMYFUNCTION("""COMPUTED_VALUE"""),46001)</f>
        <v>46001</v>
      </c>
      <c r="T566" s="5" t="b">
        <f ca="1">IFERROR(__xludf.DUMMYFUNCTION("""COMPUTED_VALUE"""),TRUE)</f>
        <v>1</v>
      </c>
      <c r="U566" s="5" t="str">
        <f ca="1">IFERROR(__xludf.DUMMYFUNCTION("""COMPUTED_VALUE"""),"5X3")</f>
        <v>5X3</v>
      </c>
      <c r="V566" s="5">
        <f ca="1">IFERROR(__xludf.DUMMYFUNCTION("""COMPUTED_VALUE"""),10)</f>
        <v>10</v>
      </c>
      <c r="W566" s="5">
        <f ca="1">IFERROR(__xludf.DUMMYFUNCTION("""COMPUTED_VALUE"""),10)</f>
        <v>10</v>
      </c>
      <c r="X566" s="5">
        <f ca="1">IFERROR(__xludf.DUMMYFUNCTION("""COMPUTED_VALUE"""),96)</f>
        <v>96</v>
      </c>
      <c r="Y566" s="5" t="str">
        <f ca="1">IFERROR(__xludf.DUMMYFUNCTION("""COMPUTED_VALUE"""),"Low")</f>
        <v>Low</v>
      </c>
      <c r="Z566" s="5">
        <f ca="1">IFERROR(__xludf.DUMMYFUNCTION("""COMPUTED_VALUE"""),22.81)</f>
        <v>22.81</v>
      </c>
      <c r="AA566" s="5">
        <f ca="1">IFERROR(__xludf.DUMMYFUNCTION("""COMPUTED_VALUE"""),10000)</f>
        <v>10000</v>
      </c>
      <c r="AB566" s="5"/>
      <c r="AC566" s="5"/>
      <c r="AD566" s="5" t="str">
        <f ca="1">IFERROR(__xludf.DUMMYFUNCTION("""COMPUTED_VALUE"""),"0.1/100")</f>
        <v>0.1/100</v>
      </c>
      <c r="AE566" s="5"/>
      <c r="AF566" s="5"/>
      <c r="AG566" s="10">
        <f ca="1">IFERROR(__xludf.DUMMYFUNCTION("""COMPUTED_VALUE"""),46197.5030439814)</f>
        <v>46197.5030439814</v>
      </c>
      <c r="AH566" s="5" t="str">
        <f ca="1">IFERROR(__xludf.DUMMYFUNCTION("""COMPUTED_VALUE"""),"selena.mihajlovic@fazi.rs")</f>
        <v>selena.mihajlovic@fazi.rs</v>
      </c>
      <c r="AI566" s="15">
        <f ca="1">IFERROR(__xludf.DUMMYFUNCTION("""COMPUTED_VALUE"""),45974)</f>
        <v>45974</v>
      </c>
      <c r="AJ566" s="5" t="str">
        <f ca="1">IFERROR(__xludf.DUMMYFUNCTION("""COMPUTED_VALUE"""),"Koral Play")</f>
        <v>Koral Play</v>
      </c>
      <c r="AK566" s="5">
        <f ca="1">IFERROR(__xludf.DUMMYFUNCTION("""COMPUTED_VALUE"""),10)</f>
        <v>10</v>
      </c>
      <c r="AL566" s="5" t="str">
        <f ca="1">IFERROR(__xludf.DUMMYFUNCTION("""COMPUTED_VALUE"""),"No")</f>
        <v>No</v>
      </c>
      <c r="AM566" s="5"/>
      <c r="AN566" s="7" t="str">
        <f ca="1">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AO566" s="5"/>
      <c r="AP566" s="5"/>
      <c r="AQ566" s="5" t="b">
        <f ca="1">IFERROR(__xludf.DUMMYFUNCTION("""COMPUTED_VALUE"""),TRUE)</f>
        <v>1</v>
      </c>
      <c r="AR566" s="5"/>
      <c r="AS566" s="5" t="str">
        <f ca="1">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AT566" s="5"/>
      <c r="AU566" s="5" t="str">
        <f ca="1">IFERROR(__xludf.DUMMYFUNCTION("""COMPUTED_VALUE"""),"Fazi")</f>
        <v>Fazi</v>
      </c>
      <c r="AV566" s="5"/>
      <c r="AW566" s="5"/>
      <c r="AX566" s="15">
        <f ca="1">IFERROR(__xludf.DUMMYFUNCTION("""COMPUTED_VALUE"""),45965)</f>
        <v>45965</v>
      </c>
      <c r="AY566" s="5"/>
      <c r="AZ566" s="5"/>
      <c r="BA566" s="5"/>
      <c r="BB566" s="5" t="b">
        <f ca="1">IFERROR(__xludf.DUMMYFUNCTION("""COMPUTED_VALUE"""),TRUE)</f>
        <v>1</v>
      </c>
      <c r="BC566" s="5" t="str">
        <f ca="1">IFERROR(__xludf.DUMMYFUNCTION("""COMPUTED_VALUE"""),"Tiptop")</f>
        <v>Tiptop</v>
      </c>
      <c r="BD566" s="7" t="str">
        <f ca="1">IFERROR(__xludf.DUMMYFUNCTION("""COMPUTED_VALUE"""),"https://gameserver-store-client-area.orbionlimited.com/Home/IntegrationGameLaunch/client-area?moneyType=0&amp;gameName=UnicornFruitMultipliers&amp;platform=desktop&amp;languageCode=eng&amp;currency=EUR")</f>
        <v>https://gameserver-store-client-area.orbionlimited.com/Home/IntegrationGameLaunch/client-area?moneyType=0&amp;gameName=UnicornFruitMultipliers&amp;platform=desktop&amp;languageCode=eng&amp;currency=EUR</v>
      </c>
      <c r="BE566" s="5" t="b">
        <f ca="1">IFERROR(__xludf.DUMMYFUNCTION("""COMPUTED_VALUE"""),TRUE)</f>
        <v>1</v>
      </c>
    </row>
    <row r="567" spans="1:57" x14ac:dyDescent="0.25">
      <c r="A567" s="5">
        <f ca="1">IFERROR(__xludf.DUMMYFUNCTION("""COMPUTED_VALUE"""),602)</f>
        <v>602</v>
      </c>
      <c r="B567" s="5">
        <f ca="1">IFERROR(__xludf.DUMMYFUNCTION("""COMPUTED_VALUE"""),428)</f>
        <v>428</v>
      </c>
      <c r="C567" s="5" t="str">
        <f ca="1">IFERROR(__xludf.DUMMYFUNCTION("""COMPUTED_VALUE"""),"Tiptop")</f>
        <v>Tiptop</v>
      </c>
      <c r="D567" s="5" t="str">
        <f ca="1">IFERROR(__xludf.DUMMYFUNCTION("""COMPUTED_VALUE"""),"Sevens Pay")</f>
        <v>Sevens Pay</v>
      </c>
      <c r="E567" s="5" t="str">
        <f ca="1">IFERROR(__xludf.DUMMYFUNCTION("""COMPUTED_VALUE"""),"V4-2")</f>
        <v>V4-2</v>
      </c>
      <c r="F567" s="5" t="str">
        <f ca="1">IFERROR(__xludf.DUMMYFUNCTION("""COMPUTED_VALUE"""),"UnicornSevensPay")</f>
        <v>UnicornSevensPay</v>
      </c>
      <c r="G567" s="5" t="str">
        <f ca="1">IFERROR(__xludf.DUMMYFUNCTION("""COMPUTED_VALUE"""),"Live")</f>
        <v>Live</v>
      </c>
      <c r="H567" s="5"/>
      <c r="I567" s="5" t="str">
        <f ca="1">IFERROR(__xludf.DUMMYFUNCTION("""COMPUTED_VALUE"""),"TipTop")</f>
        <v>TipTop</v>
      </c>
      <c r="J567" s="5" t="str">
        <f ca="1">IFERROR(__xludf.DUMMYFUNCTION("""COMPUTED_VALUE"""),"JSON")</f>
        <v>JSON</v>
      </c>
      <c r="K567" s="5" t="str">
        <f ca="1">IFERROR(__xludf.DUMMYFUNCTION("""COMPUTED_VALUE"""),"Slot")</f>
        <v>Slot</v>
      </c>
      <c r="L567" s="5" t="str">
        <f ca="1">IFERROR(__xludf.DUMMYFUNCTION("""COMPUTED_VALUE"""),"Master")</f>
        <v>Master</v>
      </c>
      <c r="M567" s="5"/>
      <c r="N567" s="5"/>
      <c r="O567" s="5"/>
      <c r="P567" s="14">
        <f ca="1">IFERROR(__xludf.DUMMYFUNCTION("""COMPUTED_VALUE"""),9.8)</f>
        <v>9.8000000000000007</v>
      </c>
      <c r="Q567" s="15">
        <f ca="1">IFERROR(__xludf.DUMMYFUNCTION("""COMPUTED_VALUE"""),45973)</f>
        <v>45973</v>
      </c>
      <c r="R567" s="15">
        <f ca="1">IFERROR(__xludf.DUMMYFUNCTION("""COMPUTED_VALUE"""),46001)</f>
        <v>46001</v>
      </c>
      <c r="S567" s="15">
        <f ca="1">IFERROR(__xludf.DUMMYFUNCTION("""COMPUTED_VALUE"""),46008)</f>
        <v>46008</v>
      </c>
      <c r="T567" s="5" t="b">
        <f ca="1">IFERROR(__xludf.DUMMYFUNCTION("""COMPUTED_VALUE"""),TRUE)</f>
        <v>1</v>
      </c>
      <c r="U567" s="5" t="str">
        <f ca="1">IFERROR(__xludf.DUMMYFUNCTION("""COMPUTED_VALUE"""),"5X3")</f>
        <v>5X3</v>
      </c>
      <c r="V567" s="5">
        <f ca="1">IFERROR(__xludf.DUMMYFUNCTION("""COMPUTED_VALUE"""),10)</f>
        <v>10</v>
      </c>
      <c r="W567" s="5">
        <f ca="1">IFERROR(__xludf.DUMMYFUNCTION("""COMPUTED_VALUE"""),10)</f>
        <v>10</v>
      </c>
      <c r="X567" s="5">
        <f ca="1">IFERROR(__xludf.DUMMYFUNCTION("""COMPUTED_VALUE"""),96)</f>
        <v>96</v>
      </c>
      <c r="Y567" s="5" t="str">
        <f ca="1">IFERROR(__xludf.DUMMYFUNCTION("""COMPUTED_VALUE"""),"Low")</f>
        <v>Low</v>
      </c>
      <c r="Z567" s="5">
        <f ca="1">IFERROR(__xludf.DUMMYFUNCTION("""COMPUTED_VALUE"""),9.85)</f>
        <v>9.85</v>
      </c>
      <c r="AA567" s="5">
        <f ca="1">IFERROR(__xludf.DUMMYFUNCTION("""COMPUTED_VALUE"""),1000)</f>
        <v>1000</v>
      </c>
      <c r="AB567" s="5"/>
      <c r="AC567" s="5"/>
      <c r="AD567" s="5" t="str">
        <f ca="1">IFERROR(__xludf.DUMMYFUNCTION("""COMPUTED_VALUE"""),"0.1/100")</f>
        <v>0.1/100</v>
      </c>
      <c r="AE567" s="5"/>
      <c r="AF567" s="5"/>
      <c r="AG567" s="10">
        <f ca="1">IFERROR(__xludf.DUMMYFUNCTION("""COMPUTED_VALUE"""),46197.5032291666)</f>
        <v>46197.503229166599</v>
      </c>
      <c r="AH567" s="5" t="str">
        <f ca="1">IFERROR(__xludf.DUMMYFUNCTION("""COMPUTED_VALUE"""),"selena.mihajlovic@fazi.rs")</f>
        <v>selena.mihajlovic@fazi.rs</v>
      </c>
      <c r="AI567" s="5"/>
      <c r="AJ567" s="5"/>
      <c r="AK567" s="5">
        <f ca="1">IFERROR(__xludf.DUMMYFUNCTION("""COMPUTED_VALUE"""),10)</f>
        <v>10</v>
      </c>
      <c r="AL567" s="5" t="str">
        <f ca="1">IFERROR(__xludf.DUMMYFUNCTION("""COMPUTED_VALUE"""),"No")</f>
        <v>No</v>
      </c>
      <c r="AM567" s="5"/>
      <c r="AN567" s="7" t="str">
        <f ca="1">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AO567" s="5"/>
      <c r="AP567" s="5"/>
      <c r="AQ567" s="5" t="b">
        <f ca="1">IFERROR(__xludf.DUMMYFUNCTION("""COMPUTED_VALUE"""),TRUE)</f>
        <v>1</v>
      </c>
      <c r="AR567" s="5"/>
      <c r="AS567" s="5" t="str">
        <f ca="1">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AT567" s="5"/>
      <c r="AU567" s="5" t="str">
        <f ca="1">IFERROR(__xludf.DUMMYFUNCTION("""COMPUTED_VALUE"""),"Fazi")</f>
        <v>Fazi</v>
      </c>
      <c r="AV567" s="5"/>
      <c r="AW567" s="5"/>
      <c r="AX567" s="15">
        <f ca="1">IFERROR(__xludf.DUMMYFUNCTION("""COMPUTED_VALUE"""),45965)</f>
        <v>45965</v>
      </c>
      <c r="AY567" s="5"/>
      <c r="AZ567" s="5"/>
      <c r="BA567" s="5"/>
      <c r="BB567" s="5" t="b">
        <f ca="1">IFERROR(__xludf.DUMMYFUNCTION("""COMPUTED_VALUE"""),TRUE)</f>
        <v>1</v>
      </c>
      <c r="BC567" s="5" t="str">
        <f ca="1">IFERROR(__xludf.DUMMYFUNCTION("""COMPUTED_VALUE"""),"Tiptop")</f>
        <v>Tiptop</v>
      </c>
      <c r="BD567" s="7" t="str">
        <f ca="1">IFERROR(__xludf.DUMMYFUNCTION("""COMPUTED_VALUE"""),"https://gameserver-store-client-area.orbionlimited.com/Home/IntegrationGameLaunch/client-area?moneyType=0&amp;gameName=UnicornSevensPay&amp;platform=desktop&amp;languageCode=eng&amp;currency=EUR")</f>
        <v>https://gameserver-store-client-area.orbionlimited.com/Home/IntegrationGameLaunch/client-area?moneyType=0&amp;gameName=UnicornSevensPay&amp;platform=desktop&amp;languageCode=eng&amp;currency=EUR</v>
      </c>
      <c r="BE567" s="5" t="b">
        <f ca="1">IFERROR(__xludf.DUMMYFUNCTION("""COMPUTED_VALUE"""),TRUE)</f>
        <v>1</v>
      </c>
    </row>
    <row r="568" spans="1:57" x14ac:dyDescent="0.25">
      <c r="A568" s="5">
        <f ca="1">IFERROR(__xludf.DUMMYFUNCTION("""COMPUTED_VALUE"""),603)</f>
        <v>603</v>
      </c>
      <c r="B568" s="5">
        <f ca="1">IFERROR(__xludf.DUMMYFUNCTION("""COMPUTED_VALUE"""),514)</f>
        <v>514</v>
      </c>
      <c r="C568" s="5" t="str">
        <f ca="1">IFERROR(__xludf.DUMMYFUNCTION("""COMPUTED_VALUE"""),"Playnet")</f>
        <v>Playnet</v>
      </c>
      <c r="D568" s="5" t="str">
        <f ca="1">IFERROR(__xludf.DUMMYFUNCTION("""COMPUTED_VALUE"""),"Majestic Crown 40")</f>
        <v>Majestic Crown 40</v>
      </c>
      <c r="E568" s="5" t="str">
        <f ca="1">IFERROR(__xludf.DUMMYFUNCTION("""COMPUTED_VALUE"""),"Sertifikacioni")</f>
        <v>Sertifikacioni</v>
      </c>
      <c r="F568" s="5" t="str">
        <f ca="1">IFERROR(__xludf.DUMMYFUNCTION("""COMPUTED_VALUE"""),"PlayNetMajesticCrown40")</f>
        <v>PlayNetMajesticCrown40</v>
      </c>
      <c r="G568" s="5" t="str">
        <f ca="1">IFERROR(__xludf.DUMMYFUNCTION("""COMPUTED_VALUE"""),"Live")</f>
        <v>Live</v>
      </c>
      <c r="H568" s="5"/>
      <c r="I568" s="5"/>
      <c r="J568" s="5" t="str">
        <f ca="1">IFERROR(__xludf.DUMMYFUNCTION("""COMPUTED_VALUE"""),"JSON")</f>
        <v>JSON</v>
      </c>
      <c r="K568" s="5" t="str">
        <f ca="1">IFERROR(__xludf.DUMMYFUNCTION("""COMPUTED_VALUE"""),"Slot")</f>
        <v>Slot</v>
      </c>
      <c r="L568" s="5" t="str">
        <f ca="1">IFERROR(__xludf.DUMMYFUNCTION("""COMPUTED_VALUE""")," Clone")</f>
        <v xml:space="preserve"> Clone</v>
      </c>
      <c r="M568" s="5" t="str">
        <f ca="1">IFERROR(__xludf.DUMMYFUNCTION("""COMPUTED_VALUE"""),"Golden Crown 40")</f>
        <v>Golden Crown 40</v>
      </c>
      <c r="N568" s="5"/>
      <c r="O568" s="5"/>
      <c r="P568" s="14">
        <f ca="1">IFERROR(__xludf.DUMMYFUNCTION("""COMPUTED_VALUE"""),7.2)</f>
        <v>7.2</v>
      </c>
      <c r="Q568" s="15">
        <f ca="1">IFERROR(__xludf.DUMMYFUNCTION("""COMPUTED_VALUE"""),45929)</f>
        <v>45929</v>
      </c>
      <c r="R568" s="15">
        <f ca="1">IFERROR(__xludf.DUMMYFUNCTION("""COMPUTED_VALUE"""),45929)</f>
        <v>45929</v>
      </c>
      <c r="S568" s="15">
        <f ca="1">IFERROR(__xludf.DUMMYFUNCTION("""COMPUTED_VALUE"""),45936)</f>
        <v>45936</v>
      </c>
      <c r="T568" s="5" t="b">
        <f ca="1">IFERROR(__xludf.DUMMYFUNCTION("""COMPUTED_VALUE"""),TRUE)</f>
        <v>1</v>
      </c>
      <c r="U568" s="5" t="str">
        <f ca="1">IFERROR(__xludf.DUMMYFUNCTION("""COMPUTED_VALUE"""),"5x3")</f>
        <v>5x3</v>
      </c>
      <c r="V568" s="5">
        <f ca="1">IFERROR(__xludf.DUMMYFUNCTION("""COMPUTED_VALUE"""),40)</f>
        <v>40</v>
      </c>
      <c r="W568" s="5">
        <f ca="1">IFERROR(__xludf.DUMMYFUNCTION("""COMPUTED_VALUE"""),40)</f>
        <v>40</v>
      </c>
      <c r="X568" s="5">
        <f ca="1">IFERROR(__xludf.DUMMYFUNCTION("""COMPUTED_VALUE"""),95.962)</f>
        <v>95.962000000000003</v>
      </c>
      <c r="Y568" s="5" t="str">
        <f ca="1">IFERROR(__xludf.DUMMYFUNCTION("""COMPUTED_VALUE"""),"Medium")</f>
        <v>Medium</v>
      </c>
      <c r="Z568" s="5">
        <f ca="1">IFERROR(__xludf.DUMMYFUNCTION("""COMPUTED_VALUE"""),18.351)</f>
        <v>18.350999999999999</v>
      </c>
      <c r="AA568" s="5">
        <f ca="1">IFERROR(__xludf.DUMMYFUNCTION("""COMPUTED_VALUE"""),1421)</f>
        <v>1421</v>
      </c>
      <c r="AB568" s="5"/>
      <c r="AC568" s="5" t="str">
        <f ca="1">IFERROR(__xludf.DUMMYFUNCTION("""COMPUTED_VALUE"""),"Scatter, Expanding Wild")</f>
        <v>Scatter, Expanding Wild</v>
      </c>
      <c r="AD568" s="5" t="str">
        <f ca="1">IFERROR(__xludf.DUMMYFUNCTION("""COMPUTED_VALUE"""),"0.2/50")</f>
        <v>0.2/50</v>
      </c>
      <c r="AE568" s="5"/>
      <c r="AF568" s="5"/>
      <c r="AG568" s="10">
        <f ca="1">IFERROR(__xludf.DUMMYFUNCTION("""COMPUTED_VALUE"""),46220.5047453703)</f>
        <v>46220.504745370301</v>
      </c>
      <c r="AH568" s="5" t="str">
        <f ca="1">IFERROR(__xludf.DUMMYFUNCTION("""COMPUTED_VALUE"""),"selena.mihajlovic@fazi.rs")</f>
        <v>selena.mihajlovic@fazi.rs</v>
      </c>
      <c r="AI568" s="5"/>
      <c r="AJ568" s="5"/>
      <c r="AK568" s="5"/>
      <c r="AL568" s="5" t="str">
        <f ca="1">IFERROR(__xludf.DUMMYFUNCTION("""COMPUTED_VALUE"""),"No")</f>
        <v>No</v>
      </c>
      <c r="AM568" s="5" t="str">
        <f ca="1">IFERROR(__xludf.DUMMYFUNCTION("""COMPUTED_VALUE"""),"No")</f>
        <v>No</v>
      </c>
      <c r="AN568" s="7" t="str">
        <f ca="1">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AO568" s="5"/>
      <c r="AP568" s="5" t="str">
        <f ca="1">IFERROR(__xludf.DUMMYFUNCTION("""COMPUTED_VALUE"""),"No")</f>
        <v>No</v>
      </c>
      <c r="AQ568" s="5" t="b">
        <f ca="1">IFERROR(__xludf.DUMMYFUNCTION("""COMPUTED_VALUE"""),TRUE)</f>
        <v>1</v>
      </c>
      <c r="AR568" s="5"/>
      <c r="AS568" s="5" t="str">
        <f ca="1">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AT568" s="5"/>
      <c r="AU568" s="5" t="str">
        <f ca="1">IFERROR(__xludf.DUMMYFUNCTION("""COMPUTED_VALUE"""),"Fazi")</f>
        <v>Fazi</v>
      </c>
      <c r="AV568" s="5"/>
      <c r="AW568" s="5"/>
      <c r="AX568" s="15">
        <f ca="1">IFERROR(__xludf.DUMMYFUNCTION("""COMPUTED_VALUE"""),45923)</f>
        <v>45923</v>
      </c>
      <c r="AY568" s="5"/>
      <c r="AZ568" s="5"/>
      <c r="BA568" s="5"/>
      <c r="BB568" s="5" t="b">
        <f ca="1">IFERROR(__xludf.DUMMYFUNCTION("""COMPUTED_VALUE"""),TRUE)</f>
        <v>1</v>
      </c>
      <c r="BC568" s="5" t="str">
        <f ca="1">IFERROR(__xludf.DUMMYFUNCTION("""COMPUTED_VALUE"""),"Playnet")</f>
        <v>Playnet</v>
      </c>
      <c r="BD568" s="7" t="str">
        <f ca="1">IFERROR(__xludf.DUMMYFUNCTION("""COMPUTED_VALUE"""),"https://gameserver-store-client-area.orbionlimited.com/Home/IntegrationGameLaunch/client-area?moneyType=0&amp;gameName=PlayNetMajesticCrown40&amp;platform=desktop&amp;languageCode=eng&amp;currency=EUR")</f>
        <v>https://gameserver-store-client-area.orbionlimited.com/Home/IntegrationGameLaunch/client-area?moneyType=0&amp;gameName=PlayNetMajesticCrown40&amp;platform=desktop&amp;languageCode=eng&amp;currency=EUR</v>
      </c>
      <c r="BE568" s="5" t="b">
        <f ca="1">IFERROR(__xludf.DUMMYFUNCTION("""COMPUTED_VALUE"""),TRUE)</f>
        <v>1</v>
      </c>
    </row>
    <row r="569" spans="1:57" x14ac:dyDescent="0.25">
      <c r="A569" s="5">
        <f ca="1">IFERROR(__xludf.DUMMYFUNCTION("""COMPUTED_VALUE"""),604)</f>
        <v>604</v>
      </c>
      <c r="B569" s="5">
        <f ca="1">IFERROR(__xludf.DUMMYFUNCTION("""COMPUTED_VALUE"""),518)</f>
        <v>518</v>
      </c>
      <c r="C569" s="5" t="str">
        <f ca="1">IFERROR(__xludf.DUMMYFUNCTION("""COMPUTED_VALUE"""),"Playnet")</f>
        <v>Playnet</v>
      </c>
      <c r="D569" s="5" t="str">
        <f ca="1">IFERROR(__xludf.DUMMYFUNCTION("""COMPUTED_VALUE"""),"Neptune's Jewels")</f>
        <v>Neptune's Jewels</v>
      </c>
      <c r="E569" s="5" t="str">
        <f ca="1">IFERROR(__xludf.DUMMYFUNCTION("""COMPUTED_VALUE"""),"Sertifikacioni")</f>
        <v>Sertifikacioni</v>
      </c>
      <c r="F569" s="5" t="str">
        <f ca="1">IFERROR(__xludf.DUMMYFUNCTION("""COMPUTED_VALUE"""),"PlayNetNeptunesJewels")</f>
        <v>PlayNetNeptunesJewels</v>
      </c>
      <c r="G569" s="5" t="str">
        <f ca="1">IFERROR(__xludf.DUMMYFUNCTION("""COMPUTED_VALUE"""),"Live")</f>
        <v>Live</v>
      </c>
      <c r="H569" s="5"/>
      <c r="I569" s="5"/>
      <c r="J569" s="5" t="str">
        <f ca="1">IFERROR(__xludf.DUMMYFUNCTION("""COMPUTED_VALUE"""),"JSON")</f>
        <v>JSON</v>
      </c>
      <c r="K569" s="5" t="str">
        <f ca="1">IFERROR(__xludf.DUMMYFUNCTION("""COMPUTED_VALUE"""),"Slot")</f>
        <v>Slot</v>
      </c>
      <c r="L569" s="5" t="str">
        <f ca="1">IFERROR(__xludf.DUMMYFUNCTION("""COMPUTED_VALUE""")," Clone")</f>
        <v xml:space="preserve"> Clone</v>
      </c>
      <c r="M569" s="5" t="str">
        <f ca="1">IFERROR(__xludf.DUMMYFUNCTION("""COMPUTED_VALUE"""),"Wild Lucky Clover")</f>
        <v>Wild Lucky Clover</v>
      </c>
      <c r="N569" s="5"/>
      <c r="O569" s="5"/>
      <c r="P569" s="14">
        <f ca="1">IFERROR(__xludf.DUMMYFUNCTION("""COMPUTED_VALUE"""),7.2)</f>
        <v>7.2</v>
      </c>
      <c r="Q569" s="15">
        <f ca="1">IFERROR(__xludf.DUMMYFUNCTION("""COMPUTED_VALUE"""),45973)</f>
        <v>45973</v>
      </c>
      <c r="R569" s="15">
        <f ca="1">IFERROR(__xludf.DUMMYFUNCTION("""COMPUTED_VALUE"""),46041)</f>
        <v>46041</v>
      </c>
      <c r="S569" s="15">
        <f ca="1">IFERROR(__xludf.DUMMYFUNCTION("""COMPUTED_VALUE"""),46048)</f>
        <v>46048</v>
      </c>
      <c r="T569" s="5" t="b">
        <f ca="1">IFERROR(__xludf.DUMMYFUNCTION("""COMPUTED_VALUE"""),TRUE)</f>
        <v>1</v>
      </c>
      <c r="U569" s="5" t="str">
        <f ca="1">IFERROR(__xludf.DUMMYFUNCTION("""COMPUTED_VALUE"""),"5x4")</f>
        <v>5x4</v>
      </c>
      <c r="V569" s="5">
        <f ca="1">IFERROR(__xludf.DUMMYFUNCTION("""COMPUTED_VALUE"""),40)</f>
        <v>40</v>
      </c>
      <c r="W569" s="5">
        <f ca="1">IFERROR(__xludf.DUMMYFUNCTION("""COMPUTED_VALUE"""),40)</f>
        <v>40</v>
      </c>
      <c r="X569" s="5">
        <f ca="1">IFERROR(__xludf.DUMMYFUNCTION("""COMPUTED_VALUE"""),96.291)</f>
        <v>96.290999999999997</v>
      </c>
      <c r="Y569" s="5" t="str">
        <f ca="1">IFERROR(__xludf.DUMMYFUNCTION("""COMPUTED_VALUE"""),"Medium")</f>
        <v>Medium</v>
      </c>
      <c r="Z569" s="5">
        <f ca="1">IFERROR(__xludf.DUMMYFUNCTION("""COMPUTED_VALUE"""),12.67)</f>
        <v>12.67</v>
      </c>
      <c r="AA569" s="5">
        <f ca="1">IFERROR(__xludf.DUMMYFUNCTION("""COMPUTED_VALUE"""),1043)</f>
        <v>1043</v>
      </c>
      <c r="AB569" s="5"/>
      <c r="AC569" s="5" t="str">
        <f ca="1">IFERROR(__xludf.DUMMYFUNCTION("""COMPUTED_VALUE"""),"Bonus Game with Free Spins, Wild Symbol, Scatter, Special Wild")</f>
        <v>Bonus Game with Free Spins, Wild Symbol, Scatter, Special Wild</v>
      </c>
      <c r="AD569" s="5" t="str">
        <f ca="1">IFERROR(__xludf.DUMMYFUNCTION("""COMPUTED_VALUE"""),"0.1/60")</f>
        <v>0.1/60</v>
      </c>
      <c r="AE569" s="5"/>
      <c r="AF569" s="5"/>
      <c r="AG569" s="10">
        <f ca="1">IFERROR(__xludf.DUMMYFUNCTION("""COMPUTED_VALUE"""),46220.5049074074)</f>
        <v>46220.504907407398</v>
      </c>
      <c r="AH569" s="5" t="str">
        <f ca="1">IFERROR(__xludf.DUMMYFUNCTION("""COMPUTED_VALUE"""),"selena.mihajlovic@fazi.rs")</f>
        <v>selena.mihajlovic@fazi.rs</v>
      </c>
      <c r="AI569" s="5"/>
      <c r="AJ569" s="5"/>
      <c r="AK569" s="5"/>
      <c r="AL569" s="5" t="str">
        <f ca="1">IFERROR(__xludf.DUMMYFUNCTION("""COMPUTED_VALUE"""),"No")</f>
        <v>No</v>
      </c>
      <c r="AM569" s="5" t="str">
        <f ca="1">IFERROR(__xludf.DUMMYFUNCTION("""COMPUTED_VALUE"""),"No")</f>
        <v>No</v>
      </c>
      <c r="AN569" s="7" t="str">
        <f ca="1">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AO569" s="5" t="str">
        <f ca="1">IFERROR(__xludf.DUMMYFUNCTION("""COMPUTED_VALUE"""),"No")</f>
        <v>No</v>
      </c>
      <c r="AP569" s="5" t="str">
        <f ca="1">IFERROR(__xludf.DUMMYFUNCTION("""COMPUTED_VALUE"""),"No")</f>
        <v>No</v>
      </c>
      <c r="AQ569" s="5" t="b">
        <f ca="1">IFERROR(__xludf.DUMMYFUNCTION("""COMPUTED_VALUE"""),TRUE)</f>
        <v>1</v>
      </c>
      <c r="AR569" s="5"/>
      <c r="AS569" s="5" t="str">
        <f ca="1">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AT569" s="5"/>
      <c r="AU569" s="5" t="str">
        <f ca="1">IFERROR(__xludf.DUMMYFUNCTION("""COMPUTED_VALUE"""),"Fazi")</f>
        <v>Fazi</v>
      </c>
      <c r="AV569" s="5"/>
      <c r="AW569" s="5"/>
      <c r="AX569" s="15">
        <f ca="1">IFERROR(__xludf.DUMMYFUNCTION("""COMPUTED_VALUE"""),45965)</f>
        <v>45965</v>
      </c>
      <c r="AY569" s="5"/>
      <c r="AZ569" s="5"/>
      <c r="BA569" s="5"/>
      <c r="BB569" s="5" t="b">
        <f ca="1">IFERROR(__xludf.DUMMYFUNCTION("""COMPUTED_VALUE"""),TRUE)</f>
        <v>1</v>
      </c>
      <c r="BC569" s="5" t="str">
        <f ca="1">IFERROR(__xludf.DUMMYFUNCTION("""COMPUTED_VALUE"""),"Playnet")</f>
        <v>Playnet</v>
      </c>
      <c r="BD569" s="7" t="str">
        <f ca="1">IFERROR(__xludf.DUMMYFUNCTION("""COMPUTED_VALUE"""),"https://gameserver-store-client-area.orbionlimited.com/Home/IntegrationGameLaunch/client-area?moneyType=0&amp;gameName=PlayNetNeptunesJewels&amp;platform=desktop&amp;languageCode=eng&amp;currency=EUR")</f>
        <v>https://gameserver-store-client-area.orbionlimited.com/Home/IntegrationGameLaunch/client-area?moneyType=0&amp;gameName=PlayNetNeptunesJewels&amp;platform=desktop&amp;languageCode=eng&amp;currency=EUR</v>
      </c>
      <c r="BE569" s="5" t="b">
        <f ca="1">IFERROR(__xludf.DUMMYFUNCTION("""COMPUTED_VALUE"""),TRUE)</f>
        <v>1</v>
      </c>
    </row>
    <row r="570" spans="1:57" x14ac:dyDescent="0.25">
      <c r="A570" s="5">
        <f ca="1">IFERROR(__xludf.DUMMYFUNCTION("""COMPUTED_VALUE"""),605)</f>
        <v>605</v>
      </c>
      <c r="B570" s="5">
        <f ca="1">IFERROR(__xludf.DUMMYFUNCTION("""COMPUTED_VALUE"""),516)</f>
        <v>516</v>
      </c>
      <c r="C570" s="5" t="str">
        <f ca="1">IFERROR(__xludf.DUMMYFUNCTION("""COMPUTED_VALUE"""),"Playnet")</f>
        <v>Playnet</v>
      </c>
      <c r="D570" s="5" t="str">
        <f ca="1">IFERROR(__xludf.DUMMYFUNCTION("""COMPUTED_VALUE"""),"81 Magic Stars")</f>
        <v>81 Magic Stars</v>
      </c>
      <c r="E570" s="5" t="str">
        <f ca="1">IFERROR(__xludf.DUMMYFUNCTION("""COMPUTED_VALUE"""),"Sertifikacioni")</f>
        <v>Sertifikacioni</v>
      </c>
      <c r="F570" s="5" t="str">
        <f ca="1">IFERROR(__xludf.DUMMYFUNCTION("""COMPUTED_VALUE"""),"PlayNet81MagicStars")</f>
        <v>PlayNet81MagicStars</v>
      </c>
      <c r="G570" s="5" t="str">
        <f ca="1">IFERROR(__xludf.DUMMYFUNCTION("""COMPUTED_VALUE"""),"Live")</f>
        <v>Live</v>
      </c>
      <c r="H570" s="5"/>
      <c r="I570" s="5"/>
      <c r="J570" s="5" t="str">
        <f ca="1">IFERROR(__xludf.DUMMYFUNCTION("""COMPUTED_VALUE"""),"JSON")</f>
        <v>JSON</v>
      </c>
      <c r="K570" s="5" t="str">
        <f ca="1">IFERROR(__xludf.DUMMYFUNCTION("""COMPUTED_VALUE"""),"Slot")</f>
        <v>Slot</v>
      </c>
      <c r="L570" s="5" t="str">
        <f ca="1">IFERROR(__xludf.DUMMYFUNCTION("""COMPUTED_VALUE""")," Clone")</f>
        <v xml:space="preserve"> Clone</v>
      </c>
      <c r="M570" s="5" t="str">
        <f ca="1">IFERROR(__xludf.DUMMYFUNCTION("""COMPUTED_VALUE"""),"Wild 81")</f>
        <v>Wild 81</v>
      </c>
      <c r="N570" s="5"/>
      <c r="O570" s="5"/>
      <c r="P570" s="14">
        <f ca="1">IFERROR(__xludf.DUMMYFUNCTION("""COMPUTED_VALUE"""),7.2)</f>
        <v>7.2</v>
      </c>
      <c r="Q570" s="15">
        <f ca="1">IFERROR(__xludf.DUMMYFUNCTION("""COMPUTED_VALUE"""),45957)</f>
        <v>45957</v>
      </c>
      <c r="R570" s="15">
        <f ca="1">IFERROR(__xludf.DUMMYFUNCTION("""COMPUTED_VALUE"""),45951)</f>
        <v>45951</v>
      </c>
      <c r="S570" s="15">
        <f ca="1">IFERROR(__xludf.DUMMYFUNCTION("""COMPUTED_VALUE"""),45958)</f>
        <v>45958</v>
      </c>
      <c r="T570" s="5" t="b">
        <f ca="1">IFERROR(__xludf.DUMMYFUNCTION("""COMPUTED_VALUE"""),TRUE)</f>
        <v>1</v>
      </c>
      <c r="U570" s="5" t="str">
        <f ca="1">IFERROR(__xludf.DUMMYFUNCTION("""COMPUTED_VALUE"""),"4x3")</f>
        <v>4x3</v>
      </c>
      <c r="V570" s="5">
        <f ca="1">IFERROR(__xludf.DUMMYFUNCTION("""COMPUTED_VALUE"""),81)</f>
        <v>81</v>
      </c>
      <c r="W570" s="5">
        <f ca="1">IFERROR(__xludf.DUMMYFUNCTION("""COMPUTED_VALUE"""),81)</f>
        <v>81</v>
      </c>
      <c r="X570" s="5">
        <f ca="1">IFERROR(__xludf.DUMMYFUNCTION("""COMPUTED_VALUE"""),96.55)</f>
        <v>96.55</v>
      </c>
      <c r="Y570" s="5" t="str">
        <f ca="1">IFERROR(__xludf.DUMMYFUNCTION("""COMPUTED_VALUE"""),"High")</f>
        <v>High</v>
      </c>
      <c r="Z570" s="5">
        <f ca="1">IFERROR(__xludf.DUMMYFUNCTION("""COMPUTED_VALUE"""),5.1)</f>
        <v>5.0999999999999996</v>
      </c>
      <c r="AA570" s="5">
        <f ca="1">IFERROR(__xludf.DUMMYFUNCTION("""COMPUTED_VALUE"""),3200)</f>
        <v>3200</v>
      </c>
      <c r="AB570" s="5"/>
      <c r="AC570" s="5" t="str">
        <f ca="1">IFERROR(__xludf.DUMMYFUNCTION("""COMPUTED_VALUE"""),"Wild Multiplier, Mystery symbol")</f>
        <v>Wild Multiplier, Mystery symbol</v>
      </c>
      <c r="AD570" s="5" t="str">
        <f ca="1">IFERROR(__xludf.DUMMYFUNCTION("""COMPUTED_VALUE"""),"0.1/50")</f>
        <v>0.1/50</v>
      </c>
      <c r="AE570" s="5"/>
      <c r="AF570" s="5"/>
      <c r="AG570" s="10">
        <f ca="1">IFERROR(__xludf.DUMMYFUNCTION("""COMPUTED_VALUE"""),46220.5050694444)</f>
        <v>46220.5050694444</v>
      </c>
      <c r="AH570" s="5" t="str">
        <f ca="1">IFERROR(__xludf.DUMMYFUNCTION("""COMPUTED_VALUE"""),"selena.mihajlovic@fazi.rs")</f>
        <v>selena.mihajlovic@fazi.rs</v>
      </c>
      <c r="AI570" s="5"/>
      <c r="AJ570" s="5"/>
      <c r="AK570" s="5"/>
      <c r="AL570" s="5" t="str">
        <f ca="1">IFERROR(__xludf.DUMMYFUNCTION("""COMPUTED_VALUE"""),"No")</f>
        <v>No</v>
      </c>
      <c r="AM570" s="5" t="str">
        <f ca="1">IFERROR(__xludf.DUMMYFUNCTION("""COMPUTED_VALUE"""),"No")</f>
        <v>No</v>
      </c>
      <c r="AN570" s="7" t="str">
        <f ca="1">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AO570" s="5" t="str">
        <f ca="1">IFERROR(__xludf.DUMMYFUNCTION("""COMPUTED_VALUE"""),"No")</f>
        <v>No</v>
      </c>
      <c r="AP570" s="5" t="str">
        <f ca="1">IFERROR(__xludf.DUMMYFUNCTION("""COMPUTED_VALUE"""),"No")</f>
        <v>No</v>
      </c>
      <c r="AQ570" s="5" t="b">
        <f ca="1">IFERROR(__xludf.DUMMYFUNCTION("""COMPUTED_VALUE"""),TRUE)</f>
        <v>1</v>
      </c>
      <c r="AR570" s="5"/>
      <c r="AS570" s="5" t="str">
        <f ca="1">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AT570" s="5"/>
      <c r="AU570" s="5" t="str">
        <f ca="1">IFERROR(__xludf.DUMMYFUNCTION("""COMPUTED_VALUE"""),"Fazi")</f>
        <v>Fazi</v>
      </c>
      <c r="AV570" s="5"/>
      <c r="AW570" s="5"/>
      <c r="AX570" s="15">
        <f ca="1">IFERROR(__xludf.DUMMYFUNCTION("""COMPUTED_VALUE"""),45951)</f>
        <v>45951</v>
      </c>
      <c r="AY570" s="5"/>
      <c r="AZ570" s="5"/>
      <c r="BA570" s="5"/>
      <c r="BB570" s="5" t="b">
        <f ca="1">IFERROR(__xludf.DUMMYFUNCTION("""COMPUTED_VALUE"""),TRUE)</f>
        <v>1</v>
      </c>
      <c r="BC570" s="5" t="str">
        <f ca="1">IFERROR(__xludf.DUMMYFUNCTION("""COMPUTED_VALUE"""),"Playnet")</f>
        <v>Playnet</v>
      </c>
      <c r="BD570" s="7" t="str">
        <f ca="1">IFERROR(__xludf.DUMMYFUNCTION("""COMPUTED_VALUE"""),"https://gameserver-store-client-area.orbionlimited.com/Home/IntegrationGameLaunch/client-area?moneyType=0&amp;gameName=PlayNet81MagicStars&amp;platform=desktop&amp;languageCode=eng&amp;currency=EUR")</f>
        <v>https://gameserver-store-client-area.orbionlimited.com/Home/IntegrationGameLaunch/client-area?moneyType=0&amp;gameName=PlayNet81MagicStars&amp;platform=desktop&amp;languageCode=eng&amp;currency=EUR</v>
      </c>
      <c r="BE570" s="5" t="b">
        <f ca="1">IFERROR(__xludf.DUMMYFUNCTION("""COMPUTED_VALUE"""),TRUE)</f>
        <v>1</v>
      </c>
    </row>
    <row r="571" spans="1:57" x14ac:dyDescent="0.25">
      <c r="A571" s="5">
        <f ca="1">IFERROR(__xludf.DUMMYFUNCTION("""COMPUTED_VALUE"""),606)</f>
        <v>606</v>
      </c>
      <c r="B571" s="5">
        <f ca="1">IFERROR(__xludf.DUMMYFUNCTION("""COMPUTED_VALUE"""),180039)</f>
        <v>180039</v>
      </c>
      <c r="C571" s="5" t="str">
        <f ca="1">IFERROR(__xludf.DUMMYFUNCTION("""COMPUTED_VALUE"""),"Redstone")</f>
        <v>Redstone</v>
      </c>
      <c r="D571" s="5" t="str">
        <f ca="1">IFERROR(__xludf.DUMMYFUNCTION("""COMPUTED_VALUE"""),"Clover Field 40")</f>
        <v>Clover Field 40</v>
      </c>
      <c r="E571" s="5" t="str">
        <f ca="1">IFERROR(__xludf.DUMMYFUNCTION("""COMPUTED_VALUE"""),"Redstone")</f>
        <v>Redstone</v>
      </c>
      <c r="F571" s="5" t="str">
        <f ca="1">IFERROR(__xludf.DUMMYFUNCTION("""COMPUTED_VALUE"""),"Redstone40CloverField")</f>
        <v>Redstone40CloverField</v>
      </c>
      <c r="G571" s="5" t="str">
        <f ca="1">IFERROR(__xludf.DUMMYFUNCTION("""COMPUTED_VALUE"""),"Live")</f>
        <v>Live</v>
      </c>
      <c r="H571" s="5"/>
      <c r="I571" s="5" t="str">
        <f ca="1">IFERROR(__xludf.DUMMYFUNCTION("""COMPUTED_VALUE"""),"Redstone")</f>
        <v>Redstone</v>
      </c>
      <c r="J571" s="5" t="str">
        <f ca="1">IFERROR(__xludf.DUMMYFUNCTION("""COMPUTED_VALUE"""),"JSON")</f>
        <v>JSON</v>
      </c>
      <c r="K571" s="5" t="str">
        <f ca="1">IFERROR(__xludf.DUMMYFUNCTION("""COMPUTED_VALUE"""),"Slot")</f>
        <v>Slot</v>
      </c>
      <c r="L571" s="5" t="str">
        <f ca="1">IFERROR(__xludf.DUMMYFUNCTION("""COMPUTED_VALUE""")," Reskin")</f>
        <v xml:space="preserve"> Reskin</v>
      </c>
      <c r="M571" s="5" t="str">
        <f ca="1">IFERROR(__xludf.DUMMYFUNCTION("""COMPUTED_VALUE"""),"Crown Blast 40")</f>
        <v>Crown Blast 40</v>
      </c>
      <c r="N571" s="7" t="str">
        <f ca="1">IFERROR(__xludf.DUMMYFUNCTION("""COMPUTED_VALUE"""),"https://docs.google.com/document/d/1sH6XUlpwEM0tyHiJJZHQSuyJNQCPan13/edit?usp=drive_link&amp;ouid=107596163405648766688&amp;rtpof=true&amp;sd=true")</f>
        <v>https://docs.google.com/document/d/1sH6XUlpwEM0tyHiJJZHQSuyJNQCPan13/edit?usp=drive_link&amp;ouid=107596163405648766688&amp;rtpof=true&amp;sd=true</v>
      </c>
      <c r="O571" s="7" t="str">
        <f ca="1">IFERROR(__xludf.DUMMYFUNCTION("""COMPUTED_VALUE"""),"https://docs.google.com/document/d/1JYKWuP-KVnSWFW5rQ1bh3IyFyT5Gyik5/edit?usp=drive_link&amp;ouid=107596163405648766688&amp;rtpof=true&amp;sd=true")</f>
        <v>https://docs.google.com/document/d/1JYKWuP-KVnSWFW5rQ1bh3IyFyT5Gyik5/edit?usp=drive_link&amp;ouid=107596163405648766688&amp;rtpof=true&amp;sd=true</v>
      </c>
      <c r="P571" s="14">
        <f ca="1">IFERROR(__xludf.DUMMYFUNCTION("""COMPUTED_VALUE"""),6.5)</f>
        <v>6.5</v>
      </c>
      <c r="Q571" s="15">
        <f ca="1">IFERROR(__xludf.DUMMYFUNCTION("""COMPUTED_VALUE"""),45929)</f>
        <v>45929</v>
      </c>
      <c r="R571" s="15">
        <f ca="1">IFERROR(__xludf.DUMMYFUNCTION("""COMPUTED_VALUE"""),45926)</f>
        <v>45926</v>
      </c>
      <c r="S571" s="15">
        <f ca="1">IFERROR(__xludf.DUMMYFUNCTION("""COMPUTED_VALUE"""),45933)</f>
        <v>45933</v>
      </c>
      <c r="T571" s="5" t="b">
        <f ca="1">IFERROR(__xludf.DUMMYFUNCTION("""COMPUTED_VALUE"""),TRUE)</f>
        <v>1</v>
      </c>
      <c r="U571" s="5" t="str">
        <f ca="1">IFERROR(__xludf.DUMMYFUNCTION("""COMPUTED_VALUE"""),"5x4")</f>
        <v>5x4</v>
      </c>
      <c r="V571" s="5">
        <f ca="1">IFERROR(__xludf.DUMMYFUNCTION("""COMPUTED_VALUE"""),40)</f>
        <v>40</v>
      </c>
      <c r="W571" s="5">
        <f ca="1">IFERROR(__xludf.DUMMYFUNCTION("""COMPUTED_VALUE"""),40)</f>
        <v>40</v>
      </c>
      <c r="X571" s="5">
        <f ca="1">IFERROR(__xludf.DUMMYFUNCTION("""COMPUTED_VALUE"""),96.27)</f>
        <v>96.27</v>
      </c>
      <c r="Y571" s="5" t="str">
        <f ca="1">IFERROR(__xludf.DUMMYFUNCTION("""COMPUTED_VALUE"""),"Medium")</f>
        <v>Medium</v>
      </c>
      <c r="Z571" s="5">
        <f ca="1">IFERROR(__xludf.DUMMYFUNCTION("""COMPUTED_VALUE"""),13.88)</f>
        <v>13.88</v>
      </c>
      <c r="AA571" s="5">
        <f ca="1">IFERROR(__xludf.DUMMYFUNCTION("""COMPUTED_VALUE"""),1000)</f>
        <v>1000</v>
      </c>
      <c r="AB571" s="5"/>
      <c r="AC571" s="5" t="str">
        <f ca="1">IFERROR(__xludf.DUMMYFUNCTION("""COMPUTED_VALUE"""),"Exploding Wild, Scatter")</f>
        <v>Exploding Wild, Scatter</v>
      </c>
      <c r="AD571" s="5" t="str">
        <f ca="1">IFERROR(__xludf.DUMMYFUNCTION("""COMPUTED_VALUE"""),"0.04/50")</f>
        <v>0.04/50</v>
      </c>
      <c r="AE571" s="5"/>
      <c r="AF571" s="5"/>
      <c r="AG571" s="10">
        <f ca="1">IFERROR(__xludf.DUMMYFUNCTION("""COMPUTED_VALUE"""),46227.3652893518)</f>
        <v>46227.365289351801</v>
      </c>
      <c r="AH571" s="5"/>
      <c r="AI571" s="5"/>
      <c r="AJ571" s="5"/>
      <c r="AK571" s="5">
        <f ca="1">IFERROR(__xludf.DUMMYFUNCTION("""COMPUTED_VALUE"""),1)</f>
        <v>1</v>
      </c>
      <c r="AL571" s="5" t="str">
        <f ca="1">IFERROR(__xludf.DUMMYFUNCTION("""COMPUTED_VALUE"""),"No")</f>
        <v>No</v>
      </c>
      <c r="AM571" s="5" t="str">
        <f ca="1">IFERROR(__xludf.DUMMYFUNCTION("""COMPUTED_VALUE"""),"No")</f>
        <v>No</v>
      </c>
      <c r="AN571" s="7" t="str">
        <f ca="1">IFERROR(__xludf.DUMMYFUNCTION("""COMPUTED_VALUE"""),"https://static.redstone.rs/games/clover-field-40/")</f>
        <v>https://static.redstone.rs/games/clover-field-40/</v>
      </c>
      <c r="AO571" s="5" t="str">
        <f ca="1">IFERROR(__xludf.DUMMYFUNCTION("""COMPUTED_VALUE"""),"No")</f>
        <v>No</v>
      </c>
      <c r="AP571" s="5" t="str">
        <f ca="1">IFERROR(__xludf.DUMMYFUNCTION("""COMPUTED_VALUE"""),"No")</f>
        <v>No</v>
      </c>
      <c r="AQ571" s="5" t="b">
        <f ca="1">IFERROR(__xludf.DUMMYFUNCTION("""COMPUTED_VALUE"""),TRUE)</f>
        <v>1</v>
      </c>
      <c r="AR571" s="5"/>
      <c r="AS571" s="5" t="str">
        <f ca="1">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AT571" s="5"/>
      <c r="AU571" s="5" t="str">
        <f ca="1">IFERROR(__xludf.DUMMYFUNCTION("""COMPUTED_VALUE"""),"Redstone")</f>
        <v>Redstone</v>
      </c>
      <c r="AV571" s="5"/>
      <c r="AW571" s="5"/>
      <c r="AX571" s="15">
        <f ca="1">IFERROR(__xludf.DUMMYFUNCTION("""COMPUTED_VALUE"""),45923)</f>
        <v>45923</v>
      </c>
      <c r="AY571" s="5"/>
      <c r="AZ571" s="5"/>
      <c r="BA571" s="5"/>
      <c r="BB571" s="5" t="b">
        <f ca="1">IFERROR(__xludf.DUMMYFUNCTION("""COMPUTED_VALUE"""),TRUE)</f>
        <v>1</v>
      </c>
      <c r="BC571" s="5" t="str">
        <f ca="1">IFERROR(__xludf.DUMMYFUNCTION("""COMPUTED_VALUE"""),"Redstone")</f>
        <v>Redstone</v>
      </c>
      <c r="BD571" s="7" t="str">
        <f ca="1">IFERROR(__xludf.DUMMYFUNCTION("""COMPUTED_VALUE"""),"https://static.redstone.rs/games/clover-field-40/")</f>
        <v>https://static.redstone.rs/games/clover-field-40/</v>
      </c>
      <c r="BE571" s="5" t="b">
        <f ca="1">IFERROR(__xludf.DUMMYFUNCTION("""COMPUTED_VALUE"""),TRUE)</f>
        <v>1</v>
      </c>
    </row>
    <row r="572" spans="1:57" x14ac:dyDescent="0.25">
      <c r="A572" s="5">
        <f ca="1">IFERROR(__xludf.DUMMYFUNCTION("""COMPUTED_VALUE"""),607)</f>
        <v>607</v>
      </c>
      <c r="B572" s="5">
        <f ca="1">IFERROR(__xludf.DUMMYFUNCTION("""COMPUTED_VALUE"""),517)</f>
        <v>517</v>
      </c>
      <c r="C572" s="5" t="str">
        <f ca="1">IFERROR(__xludf.DUMMYFUNCTION("""COMPUTED_VALUE"""),"Playnet")</f>
        <v>Playnet</v>
      </c>
      <c r="D572" s="5" t="str">
        <f ca="1">IFERROR(__xludf.DUMMYFUNCTION("""COMPUTED_VALUE"""),"Elf &amp; Roll")</f>
        <v>Elf &amp; Roll</v>
      </c>
      <c r="E572" s="5" t="str">
        <f ca="1">IFERROR(__xludf.DUMMYFUNCTION("""COMPUTED_VALUE"""),"Sertifikacioni")</f>
        <v>Sertifikacioni</v>
      </c>
      <c r="F572" s="5" t="str">
        <f ca="1">IFERROR(__xludf.DUMMYFUNCTION("""COMPUTED_VALUE"""),"PlayNetElfAndRoll")</f>
        <v>PlayNetElfAndRoll</v>
      </c>
      <c r="G572" s="5" t="str">
        <f ca="1">IFERROR(__xludf.DUMMYFUNCTION("""COMPUTED_VALUE"""),"Live")</f>
        <v>Live</v>
      </c>
      <c r="H572" s="5"/>
      <c r="I572" s="5"/>
      <c r="J572" s="5" t="str">
        <f ca="1">IFERROR(__xludf.DUMMYFUNCTION("""COMPUTED_VALUE"""),"JSON")</f>
        <v>JSON</v>
      </c>
      <c r="K572" s="5" t="str">
        <f ca="1">IFERROR(__xludf.DUMMYFUNCTION("""COMPUTED_VALUE"""),"Slot")</f>
        <v>Slot</v>
      </c>
      <c r="L572" s="5" t="str">
        <f ca="1">IFERROR(__xludf.DUMMYFUNCTION("""COMPUTED_VALUE""")," Clone")</f>
        <v xml:space="preserve"> Clone</v>
      </c>
      <c r="M572" s="5" t="str">
        <f ca="1">IFERROR(__xludf.DUMMYFUNCTION("""COMPUTED_VALUE"""),"Golden Crown")</f>
        <v>Golden Crown</v>
      </c>
      <c r="N572" s="5"/>
      <c r="O572" s="5"/>
      <c r="P572" s="14">
        <f ca="1">IFERROR(__xludf.DUMMYFUNCTION("""COMPUTED_VALUE"""),7.2)</f>
        <v>7.2</v>
      </c>
      <c r="Q572" s="15">
        <f ca="1">IFERROR(__xludf.DUMMYFUNCTION("""COMPUTED_VALUE"""),45964)</f>
        <v>45964</v>
      </c>
      <c r="R572" s="15">
        <f ca="1">IFERROR(__xludf.DUMMYFUNCTION("""COMPUTED_VALUE"""),45958)</f>
        <v>45958</v>
      </c>
      <c r="S572" s="15">
        <f ca="1">IFERROR(__xludf.DUMMYFUNCTION("""COMPUTED_VALUE"""),45965)</f>
        <v>45965</v>
      </c>
      <c r="T572" s="5" t="b">
        <f ca="1">IFERROR(__xludf.DUMMYFUNCTION("""COMPUTED_VALUE"""),TRUE)</f>
        <v>1</v>
      </c>
      <c r="U572" s="5" t="str">
        <f ca="1">IFERROR(__xludf.DUMMYFUNCTION("""COMPUTED_VALUE"""),"5x3")</f>
        <v>5x3</v>
      </c>
      <c r="V572" s="5">
        <f ca="1">IFERROR(__xludf.DUMMYFUNCTION("""COMPUTED_VALUE"""),10)</f>
        <v>10</v>
      </c>
      <c r="W572" s="5">
        <f ca="1">IFERROR(__xludf.DUMMYFUNCTION("""COMPUTED_VALUE"""),10)</f>
        <v>10</v>
      </c>
      <c r="X572" s="5">
        <f ca="1">IFERROR(__xludf.DUMMYFUNCTION("""COMPUTED_VALUE"""),95.962)</f>
        <v>95.962000000000003</v>
      </c>
      <c r="Y572" s="5" t="str">
        <f ca="1">IFERROR(__xludf.DUMMYFUNCTION("""COMPUTED_VALUE"""),"Medium")</f>
        <v>Medium</v>
      </c>
      <c r="Z572" s="5">
        <f ca="1">IFERROR(__xludf.DUMMYFUNCTION("""COMPUTED_VALUE"""),14.634)</f>
        <v>14.634</v>
      </c>
      <c r="AA572" s="5">
        <f ca="1">IFERROR(__xludf.DUMMYFUNCTION("""COMPUTED_VALUE"""),1538)</f>
        <v>1538</v>
      </c>
      <c r="AB572" s="5"/>
      <c r="AC572" s="5" t="str">
        <f ca="1">IFERROR(__xludf.DUMMYFUNCTION("""COMPUTED_VALUE"""),"Scatter, Expanding Wild")</f>
        <v>Scatter, Expanding Wild</v>
      </c>
      <c r="AD572" s="5" t="str">
        <f ca="1">IFERROR(__xludf.DUMMYFUNCTION("""COMPUTED_VALUE"""),"0.1/40")</f>
        <v>0.1/40</v>
      </c>
      <c r="AE572" s="5"/>
      <c r="AF572" s="5"/>
      <c r="AG572" s="10">
        <f ca="1">IFERROR(__xludf.DUMMYFUNCTION("""COMPUTED_VALUE"""),46220.5051851851)</f>
        <v>46220.505185185102</v>
      </c>
      <c r="AH572" s="5" t="str">
        <f ca="1">IFERROR(__xludf.DUMMYFUNCTION("""COMPUTED_VALUE"""),"selena.mihajlovic@fazi.rs")</f>
        <v>selena.mihajlovic@fazi.rs</v>
      </c>
      <c r="AI572" s="5"/>
      <c r="AJ572" s="5"/>
      <c r="AK572" s="5"/>
      <c r="AL572" s="5" t="str">
        <f ca="1">IFERROR(__xludf.DUMMYFUNCTION("""COMPUTED_VALUE"""),"No")</f>
        <v>No</v>
      </c>
      <c r="AM572" s="5" t="str">
        <f ca="1">IFERROR(__xludf.DUMMYFUNCTION("""COMPUTED_VALUE"""),"No")</f>
        <v>No</v>
      </c>
      <c r="AN572" s="7" t="str">
        <f ca="1">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AO572" s="5" t="str">
        <f ca="1">IFERROR(__xludf.DUMMYFUNCTION("""COMPUTED_VALUE"""),"No")</f>
        <v>No</v>
      </c>
      <c r="AP572" s="5" t="str">
        <f ca="1">IFERROR(__xludf.DUMMYFUNCTION("""COMPUTED_VALUE"""),"No")</f>
        <v>No</v>
      </c>
      <c r="AQ572" s="5" t="b">
        <f ca="1">IFERROR(__xludf.DUMMYFUNCTION("""COMPUTED_VALUE"""),TRUE)</f>
        <v>1</v>
      </c>
      <c r="AR572" s="5"/>
      <c r="AS572" s="5" t="str">
        <f ca="1">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AT572" s="5"/>
      <c r="AU572" s="5" t="str">
        <f ca="1">IFERROR(__xludf.DUMMYFUNCTION("""COMPUTED_VALUE"""),"Fazi")</f>
        <v>Fazi</v>
      </c>
      <c r="AV572" s="5"/>
      <c r="AW572" s="5"/>
      <c r="AX572" s="15">
        <f ca="1">IFERROR(__xludf.DUMMYFUNCTION("""COMPUTED_VALUE"""),45951)</f>
        <v>45951</v>
      </c>
      <c r="AY572" s="5"/>
      <c r="AZ572" s="5"/>
      <c r="BA572" s="5"/>
      <c r="BB572" s="5" t="b">
        <f ca="1">IFERROR(__xludf.DUMMYFUNCTION("""COMPUTED_VALUE"""),TRUE)</f>
        <v>1</v>
      </c>
      <c r="BC572" s="5" t="str">
        <f ca="1">IFERROR(__xludf.DUMMYFUNCTION("""COMPUTED_VALUE"""),"Playnet")</f>
        <v>Playnet</v>
      </c>
      <c r="BD572" s="7" t="str">
        <f ca="1">IFERROR(__xludf.DUMMYFUNCTION("""COMPUTED_VALUE"""),"https://gameserver-store-client-area.orbionlimited.com/Home/IntegrationGameLaunch/client-area?moneyType=0&amp;gameName=PlayNetElfAndRoll&amp;platform=desktop&amp;languageCode=eng&amp;currency=EUR")</f>
        <v>https://gameserver-store-client-area.orbionlimited.com/Home/IntegrationGameLaunch/client-area?moneyType=0&amp;gameName=PlayNetElfAndRoll&amp;platform=desktop&amp;languageCode=eng&amp;currency=EUR</v>
      </c>
      <c r="BE572" s="5" t="b">
        <f ca="1">IFERROR(__xludf.DUMMYFUNCTION("""COMPUTED_VALUE"""),TRUE)</f>
        <v>1</v>
      </c>
    </row>
    <row r="573" spans="1:57" x14ac:dyDescent="0.25">
      <c r="A573" s="5">
        <f ca="1">IFERROR(__xludf.DUMMYFUNCTION("""COMPUTED_VALUE"""),608)</f>
        <v>608</v>
      </c>
      <c r="B573" s="5">
        <f ca="1">IFERROR(__xludf.DUMMYFUNCTION("""COMPUTED_VALUE"""),180040)</f>
        <v>180040</v>
      </c>
      <c r="C573" s="5" t="str">
        <f ca="1">IFERROR(__xludf.DUMMYFUNCTION("""COMPUTED_VALUE"""),"Redstone")</f>
        <v>Redstone</v>
      </c>
      <c r="D573" s="5" t="str">
        <f ca="1">IFERROR(__xludf.DUMMYFUNCTION("""COMPUTED_VALUE"""),"Multi Heart 5")</f>
        <v>Multi Heart 5</v>
      </c>
      <c r="E573" s="5" t="str">
        <f ca="1">IFERROR(__xludf.DUMMYFUNCTION("""COMPUTED_VALUE"""),"Redstone")</f>
        <v>Redstone</v>
      </c>
      <c r="F573" s="5" t="str">
        <f ca="1">IFERROR(__xludf.DUMMYFUNCTION("""COMPUTED_VALUE"""),"RedstoneMultiHeart5")</f>
        <v>RedstoneMultiHeart5</v>
      </c>
      <c r="G573" s="5" t="str">
        <f ca="1">IFERROR(__xludf.DUMMYFUNCTION("""COMPUTED_VALUE"""),"Live")</f>
        <v>Live</v>
      </c>
      <c r="H573" s="5"/>
      <c r="I573" s="5" t="str">
        <f ca="1">IFERROR(__xludf.DUMMYFUNCTION("""COMPUTED_VALUE"""),"Redstone")</f>
        <v>Redstone</v>
      </c>
      <c r="J573" s="5" t="str">
        <f ca="1">IFERROR(__xludf.DUMMYFUNCTION("""COMPUTED_VALUE"""),"JSON")</f>
        <v>JSON</v>
      </c>
      <c r="K573" s="5" t="str">
        <f ca="1">IFERROR(__xludf.DUMMYFUNCTION("""COMPUTED_VALUE"""),"Slot")</f>
        <v>Slot</v>
      </c>
      <c r="L573" s="5" t="str">
        <f ca="1">IFERROR(__xludf.DUMMYFUNCTION("""COMPUTED_VALUE"""),"Master")</f>
        <v>Master</v>
      </c>
      <c r="M573" s="5"/>
      <c r="N573" s="7" t="str">
        <f ca="1">IFERROR(__xludf.DUMMYFUNCTION("""COMPUTED_VALUE"""),"https://docs.google.com/document/d/1xtsilRluhzm1KI6FDEQ7opNOnITAA9Tw/edit?usp=drive_link&amp;ouid=107596163405648766688&amp;rtpof=true&amp;sd=true")</f>
        <v>https://docs.google.com/document/d/1xtsilRluhzm1KI6FDEQ7opNOnITAA9Tw/edit?usp=drive_link&amp;ouid=107596163405648766688&amp;rtpof=true&amp;sd=true</v>
      </c>
      <c r="O573" s="7" t="str">
        <f ca="1">IFERROR(__xludf.DUMMYFUNCTION("""COMPUTED_VALUE"""),"https://docs.google.com/document/d/11FY-e__Z3N_KJDK2EjKnCASsruOiCOfn/edit?usp=drive_link&amp;ouid=107596163405648766688&amp;rtpof=true&amp;sd=true")</f>
        <v>https://docs.google.com/document/d/11FY-e__Z3N_KJDK2EjKnCASsruOiCOfn/edit?usp=drive_link&amp;ouid=107596163405648766688&amp;rtpof=true&amp;sd=true</v>
      </c>
      <c r="P573" s="14">
        <f ca="1">IFERROR(__xludf.DUMMYFUNCTION("""COMPUTED_VALUE"""),8.7)</f>
        <v>8.6999999999999993</v>
      </c>
      <c r="Q573" s="15">
        <f ca="1">IFERROR(__xludf.DUMMYFUNCTION("""COMPUTED_VALUE"""),45929)</f>
        <v>45929</v>
      </c>
      <c r="R573" s="15">
        <f ca="1">IFERROR(__xludf.DUMMYFUNCTION("""COMPUTED_VALUE"""),45930)</f>
        <v>45930</v>
      </c>
      <c r="S573" s="15">
        <f ca="1">IFERROR(__xludf.DUMMYFUNCTION("""COMPUTED_VALUE"""),45937)</f>
        <v>45937</v>
      </c>
      <c r="T573" s="5" t="b">
        <f ca="1">IFERROR(__xludf.DUMMYFUNCTION("""COMPUTED_VALUE"""),TRUE)</f>
        <v>1</v>
      </c>
      <c r="U573" s="5" t="str">
        <f ca="1">IFERROR(__xludf.DUMMYFUNCTION("""COMPUTED_VALUE"""),"5x3")</f>
        <v>5x3</v>
      </c>
      <c r="V573" s="5">
        <f ca="1">IFERROR(__xludf.DUMMYFUNCTION("""COMPUTED_VALUE"""),5)</f>
        <v>5</v>
      </c>
      <c r="W573" s="5">
        <f ca="1">IFERROR(__xludf.DUMMYFUNCTION("""COMPUTED_VALUE"""),5)</f>
        <v>5</v>
      </c>
      <c r="X573" s="5">
        <f ca="1">IFERROR(__xludf.DUMMYFUNCTION("""COMPUTED_VALUE"""),95.96)</f>
        <v>95.96</v>
      </c>
      <c r="Y573" s="5" t="str">
        <f ca="1">IFERROR(__xludf.DUMMYFUNCTION("""COMPUTED_VALUE"""),"Medium")</f>
        <v>Medium</v>
      </c>
      <c r="Z573" s="5">
        <f ca="1">IFERROR(__xludf.DUMMYFUNCTION("""COMPUTED_VALUE"""),10.7)</f>
        <v>10.7</v>
      </c>
      <c r="AA573" s="5">
        <f ca="1">IFERROR(__xludf.DUMMYFUNCTION("""COMPUTED_VALUE"""),2150)</f>
        <v>2150</v>
      </c>
      <c r="AB573" s="5"/>
      <c r="AC573" s="5" t="str">
        <f ca="1">IFERROR(__xludf.DUMMYFUNCTION("""COMPUTED_VALUE"""),"Expanding Wild, Wild Multiplier")</f>
        <v>Expanding Wild, Wild Multiplier</v>
      </c>
      <c r="AD573" s="5" t="str">
        <f ca="1">IFERROR(__xludf.DUMMYFUNCTION("""COMPUTED_VALUE"""),"0.05/30")</f>
        <v>0.05/30</v>
      </c>
      <c r="AE573" s="5"/>
      <c r="AF573" s="5"/>
      <c r="AG573" s="10">
        <f ca="1">IFERROR(__xludf.DUMMYFUNCTION("""COMPUTED_VALUE"""),46227.365)</f>
        <v>46227.364999999998</v>
      </c>
      <c r="AH573" s="5"/>
      <c r="AI573" s="5"/>
      <c r="AJ573" s="5"/>
      <c r="AK573" s="5">
        <f ca="1">IFERROR(__xludf.DUMMYFUNCTION("""COMPUTED_VALUE"""),1)</f>
        <v>1</v>
      </c>
      <c r="AL573" s="5" t="str">
        <f ca="1">IFERROR(__xludf.DUMMYFUNCTION("""COMPUTED_VALUE"""),"No")</f>
        <v>No</v>
      </c>
      <c r="AM573" s="5" t="str">
        <f ca="1">IFERROR(__xludf.DUMMYFUNCTION("""COMPUTED_VALUE"""),"No")</f>
        <v>No</v>
      </c>
      <c r="AN573" s="7" t="str">
        <f ca="1">IFERROR(__xludf.DUMMYFUNCTION("""COMPUTED_VALUE"""),"https://static.redstone.rs/games/multi-heart-5/")</f>
        <v>https://static.redstone.rs/games/multi-heart-5/</v>
      </c>
      <c r="AO573" s="5" t="str">
        <f ca="1">IFERROR(__xludf.DUMMYFUNCTION("""COMPUTED_VALUE"""),"No")</f>
        <v>No</v>
      </c>
      <c r="AP573" s="5" t="str">
        <f ca="1">IFERROR(__xludf.DUMMYFUNCTION("""COMPUTED_VALUE"""),"No")</f>
        <v>No</v>
      </c>
      <c r="AQ573" s="5" t="b">
        <f ca="1">IFERROR(__xludf.DUMMYFUNCTION("""COMPUTED_VALUE"""),TRUE)</f>
        <v>1</v>
      </c>
      <c r="AR573" s="5"/>
      <c r="AS573" s="5" t="str">
        <f ca="1">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AT573" s="5"/>
      <c r="AU573" s="5" t="str">
        <f ca="1">IFERROR(__xludf.DUMMYFUNCTION("""COMPUTED_VALUE"""),"Redstone")</f>
        <v>Redstone</v>
      </c>
      <c r="AV573" s="5"/>
      <c r="AW573" s="5"/>
      <c r="AX573" s="15">
        <f ca="1">IFERROR(__xludf.DUMMYFUNCTION("""COMPUTED_VALUE"""),45923)</f>
        <v>45923</v>
      </c>
      <c r="AY573" s="5"/>
      <c r="AZ573" s="5"/>
      <c r="BA573" s="5"/>
      <c r="BB573" s="5" t="b">
        <f ca="1">IFERROR(__xludf.DUMMYFUNCTION("""COMPUTED_VALUE"""),TRUE)</f>
        <v>1</v>
      </c>
      <c r="BC573" s="5" t="str">
        <f ca="1">IFERROR(__xludf.DUMMYFUNCTION("""COMPUTED_VALUE"""),"Redstone")</f>
        <v>Redstone</v>
      </c>
      <c r="BD573" s="7" t="str">
        <f ca="1">IFERROR(__xludf.DUMMYFUNCTION("""COMPUTED_VALUE"""),"https://static.redstone.rs/games/multi-heart-5/")</f>
        <v>https://static.redstone.rs/games/multi-heart-5/</v>
      </c>
      <c r="BE573" s="5" t="b">
        <f ca="1">IFERROR(__xludf.DUMMYFUNCTION("""COMPUTED_VALUE"""),TRUE)</f>
        <v>1</v>
      </c>
    </row>
    <row r="574" spans="1:57" x14ac:dyDescent="0.25">
      <c r="A574" s="5">
        <f ca="1">IFERROR(__xludf.DUMMYFUNCTION("""COMPUTED_VALUE"""),609)</f>
        <v>609</v>
      </c>
      <c r="B574" s="5">
        <f ca="1">IFERROR(__xludf.DUMMYFUNCTION("""COMPUTED_VALUE"""),180041)</f>
        <v>180041</v>
      </c>
      <c r="C574" s="5" t="str">
        <f ca="1">IFERROR(__xludf.DUMMYFUNCTION("""COMPUTED_VALUE"""),"Redstone")</f>
        <v>Redstone</v>
      </c>
      <c r="D574" s="5" t="str">
        <f ca="1">IFERROR(__xludf.DUMMYFUNCTION("""COMPUTED_VALUE"""),"20 Wild Heart")</f>
        <v>20 Wild Heart</v>
      </c>
      <c r="E574" s="5" t="str">
        <f ca="1">IFERROR(__xludf.DUMMYFUNCTION("""COMPUTED_VALUE"""),"Redstone")</f>
        <v>Redstone</v>
      </c>
      <c r="F574" s="5" t="str">
        <f ca="1">IFERROR(__xludf.DUMMYFUNCTION("""COMPUTED_VALUE"""),"Redstone20WildHeart")</f>
        <v>Redstone20WildHeart</v>
      </c>
      <c r="G574" s="5" t="str">
        <f ca="1">IFERROR(__xludf.DUMMYFUNCTION("""COMPUTED_VALUE"""),"Live")</f>
        <v>Live</v>
      </c>
      <c r="H574" s="5"/>
      <c r="I574" s="5" t="str">
        <f ca="1">IFERROR(__xludf.DUMMYFUNCTION("""COMPUTED_VALUE"""),"Redstone")</f>
        <v>Redstone</v>
      </c>
      <c r="J574" s="5" t="str">
        <f ca="1">IFERROR(__xludf.DUMMYFUNCTION("""COMPUTED_VALUE"""),"JSON")</f>
        <v>JSON</v>
      </c>
      <c r="K574" s="5" t="str">
        <f ca="1">IFERROR(__xludf.DUMMYFUNCTION("""COMPUTED_VALUE"""),"Slot")</f>
        <v>Slot</v>
      </c>
      <c r="L574" s="5"/>
      <c r="M574" s="5"/>
      <c r="N574" s="5"/>
      <c r="O574" s="5"/>
      <c r="P574" s="14">
        <f ca="1">IFERROR(__xludf.DUMMYFUNCTION("""COMPUTED_VALUE"""),4.4)</f>
        <v>4.4000000000000004</v>
      </c>
      <c r="Q574" s="15">
        <f ca="1">IFERROR(__xludf.DUMMYFUNCTION("""COMPUTED_VALUE"""),45929)</f>
        <v>45929</v>
      </c>
      <c r="R574" s="5"/>
      <c r="S574" s="15">
        <f ca="1">IFERROR(__xludf.DUMMYFUNCTION("""COMPUTED_VALUE"""),45943)</f>
        <v>45943</v>
      </c>
      <c r="T574" s="5" t="b">
        <f ca="1">IFERROR(__xludf.DUMMYFUNCTION("""COMPUTED_VALUE"""),TRUE)</f>
        <v>1</v>
      </c>
      <c r="U574" s="5" t="str">
        <f ca="1">IFERROR(__xludf.DUMMYFUNCTION("""COMPUTED_VALUE"""),"5x3")</f>
        <v>5x3</v>
      </c>
      <c r="V574" s="5">
        <f ca="1">IFERROR(__xludf.DUMMYFUNCTION("""COMPUTED_VALUE"""),20)</f>
        <v>20</v>
      </c>
      <c r="W574" s="5">
        <f ca="1">IFERROR(__xludf.DUMMYFUNCTION("""COMPUTED_VALUE"""),20)</f>
        <v>20</v>
      </c>
      <c r="X574" s="5">
        <f ca="1">IFERROR(__xludf.DUMMYFUNCTION("""COMPUTED_VALUE"""),96.5)</f>
        <v>96.5</v>
      </c>
      <c r="Y574" s="5" t="str">
        <f ca="1">IFERROR(__xludf.DUMMYFUNCTION("""COMPUTED_VALUE"""),"Medium")</f>
        <v>Medium</v>
      </c>
      <c r="Z574" s="5">
        <f ca="1">IFERROR(__xludf.DUMMYFUNCTION("""COMPUTED_VALUE"""),21.75)</f>
        <v>21.75</v>
      </c>
      <c r="AA574" s="5">
        <f ca="1">IFERROR(__xludf.DUMMYFUNCTION("""COMPUTED_VALUE"""),1200)</f>
        <v>1200</v>
      </c>
      <c r="AB574" s="5"/>
      <c r="AC574" s="5" t="str">
        <f ca="1">IFERROR(__xludf.DUMMYFUNCTION("""COMPUTED_VALUE"""),"Exploding Wild, Scatter")</f>
        <v>Exploding Wild, Scatter</v>
      </c>
      <c r="AD574" s="5" t="str">
        <f ca="1">IFERROR(__xludf.DUMMYFUNCTION("""COMPUTED_VALUE"""),"0.20/100")</f>
        <v>0.20/100</v>
      </c>
      <c r="AE574" s="5"/>
      <c r="AF574" s="5"/>
      <c r="AG574" s="10">
        <f ca="1">IFERROR(__xludf.DUMMYFUNCTION("""COMPUTED_VALUE"""),45902.5613310185)</f>
        <v>45902.5613310185</v>
      </c>
      <c r="AH574" s="5" t="str">
        <f ca="1">IFERROR(__xludf.DUMMYFUNCTION("""COMPUTED_VALUE"""),"danica.stojanovic@fazi.rs")</f>
        <v>danica.stojanovic@fazi.rs</v>
      </c>
      <c r="AI574" s="5"/>
      <c r="AJ574" s="5"/>
      <c r="AK574" s="5">
        <f ca="1">IFERROR(__xludf.DUMMYFUNCTION("""COMPUTED_VALUE"""),1)</f>
        <v>1</v>
      </c>
      <c r="AL574" s="5" t="str">
        <f ca="1">IFERROR(__xludf.DUMMYFUNCTION("""COMPUTED_VALUE"""),"No")</f>
        <v>No</v>
      </c>
      <c r="AM574" s="5"/>
      <c r="AN574" s="7" t="str">
        <f ca="1">IFERROR(__xludf.DUMMYFUNCTION("""COMPUTED_VALUE"""),"https://static.redstone.rs/games/20-wild-heart/")</f>
        <v>https://static.redstone.rs/games/20-wild-heart/</v>
      </c>
      <c r="AO574" s="5" t="str">
        <f ca="1">IFERROR(__xludf.DUMMYFUNCTION("""COMPUTED_VALUE"""),"No")</f>
        <v>No</v>
      </c>
      <c r="AP574" s="5" t="str">
        <f ca="1">IFERROR(__xludf.DUMMYFUNCTION("""COMPUTED_VALUE"""),"No")</f>
        <v>No</v>
      </c>
      <c r="AQ574" s="5"/>
      <c r="AR574" s="5"/>
      <c r="AS574" s="5" t="str">
        <f ca="1">IFERROR(__xludf.DUMMYFUNCTION("""COMPUTED_VALUE"""),"Every Wild Heart grows to cover the reels, bringing more chances for thrilling payouts!")</f>
        <v>Every Wild Heart grows to cover the reels, bringing more chances for thrilling payouts!</v>
      </c>
      <c r="AT574" s="5"/>
      <c r="AU574" s="5" t="str">
        <f ca="1">IFERROR(__xludf.DUMMYFUNCTION("""COMPUTED_VALUE"""),"Redstone")</f>
        <v>Redstone</v>
      </c>
      <c r="AV574" s="5">
        <f ca="1">IFERROR(__xludf.DUMMYFUNCTION("""COMPUTED_VALUE"""),2)</f>
        <v>2</v>
      </c>
      <c r="AW574" s="5"/>
      <c r="AX574" s="15">
        <f ca="1">IFERROR(__xludf.DUMMYFUNCTION("""COMPUTED_VALUE"""),45923)</f>
        <v>45923</v>
      </c>
      <c r="AY574" s="5"/>
      <c r="AZ574" s="5"/>
      <c r="BA574" s="5" t="str">
        <f ca="1">IFERROR(__xludf.DUMMYFUNCTION("""COMPUTED_VALUE"""),"")</f>
        <v/>
      </c>
      <c r="BB574" s="5" t="b">
        <f ca="1">IFERROR(__xludf.DUMMYFUNCTION("""COMPUTED_VALUE"""),TRUE)</f>
        <v>1</v>
      </c>
      <c r="BC574" s="5" t="str">
        <f ca="1">IFERROR(__xludf.DUMMYFUNCTION("""COMPUTED_VALUE"""),"Redstone")</f>
        <v>Redstone</v>
      </c>
      <c r="BD574" s="7" t="str">
        <f ca="1">IFERROR(__xludf.DUMMYFUNCTION("""COMPUTED_VALUE"""),"https://static.redstone.rs/games/20-wild-heart/")</f>
        <v>https://static.redstone.rs/games/20-wild-heart/</v>
      </c>
      <c r="BE574" s="5"/>
    </row>
    <row r="575" spans="1:57" x14ac:dyDescent="0.25">
      <c r="A575" s="5">
        <f ca="1">IFERROR(__xludf.DUMMYFUNCTION("""COMPUTED_VALUE"""),609)</f>
        <v>609</v>
      </c>
      <c r="B575" s="5">
        <f ca="1">IFERROR(__xludf.DUMMYFUNCTION("""COMPUTED_VALUE"""),523)</f>
        <v>523</v>
      </c>
      <c r="C575" s="5" t="str">
        <f ca="1">IFERROR(__xludf.DUMMYFUNCTION("""COMPUTED_VALUE"""),"Playnet")</f>
        <v>Playnet</v>
      </c>
      <c r="D575" s="5" t="str">
        <f ca="1">IFERROR(__xludf.DUMMYFUNCTION("""COMPUTED_VALUE"""),"Fortune Clover x2 Xmas")</f>
        <v>Fortune Clover x2 Xmas</v>
      </c>
      <c r="E575" s="5" t="str">
        <f ca="1">IFERROR(__xludf.DUMMYFUNCTION("""COMPUTED_VALUE"""),"Sertifikacioni")</f>
        <v>Sertifikacioni</v>
      </c>
      <c r="F575" s="5" t="str">
        <f ca="1">IFERROR(__xludf.DUMMYFUNCTION("""COMPUTED_VALUE"""),"PlayNetFortuneCloverX2Xmas")</f>
        <v>PlayNetFortuneCloverX2Xmas</v>
      </c>
      <c r="G575" s="5" t="str">
        <f ca="1">IFERROR(__xludf.DUMMYFUNCTION("""COMPUTED_VALUE"""),"Live")</f>
        <v>Live</v>
      </c>
      <c r="H575" s="5"/>
      <c r="I575" s="5"/>
      <c r="J575" s="5" t="str">
        <f ca="1">IFERROR(__xludf.DUMMYFUNCTION("""COMPUTED_VALUE"""),"JSON")</f>
        <v>JSON</v>
      </c>
      <c r="K575" s="5" t="str">
        <f ca="1">IFERROR(__xludf.DUMMYFUNCTION("""COMPUTED_VALUE"""),"Slot")</f>
        <v>Slot</v>
      </c>
      <c r="L575" s="5" t="str">
        <f ca="1">IFERROR(__xludf.DUMMYFUNCTION("""COMPUTED_VALUE""")," Clone")</f>
        <v xml:space="preserve"> Clone</v>
      </c>
      <c r="M575" s="5" t="str">
        <f ca="1">IFERROR(__xludf.DUMMYFUNCTION("""COMPUTED_VALUE"""),"Very Hot 5 Extreme")</f>
        <v>Very Hot 5 Extreme</v>
      </c>
      <c r="N575" s="5"/>
      <c r="O575" s="5"/>
      <c r="P575" s="14">
        <f ca="1">IFERROR(__xludf.DUMMYFUNCTION("""COMPUTED_VALUE"""),7.2)</f>
        <v>7.2</v>
      </c>
      <c r="Q575" s="15">
        <f ca="1">IFERROR(__xludf.DUMMYFUNCTION("""COMPUTED_VALUE"""),45999)</f>
        <v>45999</v>
      </c>
      <c r="R575" s="5"/>
      <c r="S575" s="15">
        <f ca="1">IFERROR(__xludf.DUMMYFUNCTION("""COMPUTED_VALUE"""),45999)</f>
        <v>45999</v>
      </c>
      <c r="T575" s="5" t="b">
        <f ca="1">IFERROR(__xludf.DUMMYFUNCTION("""COMPUTED_VALUE"""),TRUE)</f>
        <v>1</v>
      </c>
      <c r="U575" s="5" t="str">
        <f ca="1">IFERROR(__xludf.DUMMYFUNCTION("""COMPUTED_VALUE"""),"5x3")</f>
        <v>5x3</v>
      </c>
      <c r="V575" s="5">
        <f ca="1">IFERROR(__xludf.DUMMYFUNCTION("""COMPUTED_VALUE"""),5)</f>
        <v>5</v>
      </c>
      <c r="W575" s="5">
        <f ca="1">IFERROR(__xludf.DUMMYFUNCTION("""COMPUTED_VALUE"""),5)</f>
        <v>5</v>
      </c>
      <c r="X575" s="5">
        <f ca="1">IFERROR(__xludf.DUMMYFUNCTION("""COMPUTED_VALUE"""),96.453)</f>
        <v>96.453000000000003</v>
      </c>
      <c r="Y575" s="5" t="str">
        <f ca="1">IFERROR(__xludf.DUMMYFUNCTION("""COMPUTED_VALUE"""),"Medium")</f>
        <v>Medium</v>
      </c>
      <c r="Z575" s="5">
        <f ca="1">IFERROR(__xludf.DUMMYFUNCTION("""COMPUTED_VALUE"""),14.234)</f>
        <v>14.234</v>
      </c>
      <c r="AA575" s="5">
        <f ca="1">IFERROR(__xludf.DUMMYFUNCTION("""COMPUTED_VALUE"""),2624)</f>
        <v>2624</v>
      </c>
      <c r="AB575" s="5"/>
      <c r="AC575" s="5" t="str">
        <f ca="1">IFERROR(__xludf.DUMMYFUNCTION("""COMPUTED_VALUE"""),"Wild Multiplier Expanding Wild Scatter")</f>
        <v>Wild Multiplier Expanding Wild Scatter</v>
      </c>
      <c r="AD575" s="5" t="str">
        <f ca="1">IFERROR(__xludf.DUMMYFUNCTION("""COMPUTED_VALUE"""),"0.05/30")</f>
        <v>0.05/30</v>
      </c>
      <c r="AE575" s="5"/>
      <c r="AF575" s="5"/>
      <c r="AG575" s="10">
        <f ca="1">IFERROR(__xludf.DUMMYFUNCTION("""COMPUTED_VALUE"""),45902.5613310185)</f>
        <v>45902.5613310185</v>
      </c>
      <c r="AH575" s="5" t="str">
        <f ca="1">IFERROR(__xludf.DUMMYFUNCTION("""COMPUTED_VALUE"""),"sara.dimitrijevic@fazi.rs")</f>
        <v>sara.dimitrijevic@fazi.rs</v>
      </c>
      <c r="AI575" s="5"/>
      <c r="AJ575" s="5"/>
      <c r="AK575" s="5"/>
      <c r="AL575" s="5" t="str">
        <f ca="1">IFERROR(__xludf.DUMMYFUNCTION("""COMPUTED_VALUE"""),"NO")</f>
        <v>NO</v>
      </c>
      <c r="AM575" s="5"/>
      <c r="AN575" s="7" t="str">
        <f ca="1">IFERROR(__xludf.DUMMYFUNCTION("""COMPUTED_VALUE"""),"https://onlinegamespromo.fazi.rs/Home/IntegrationGameLaunch?moneyType=0&amp;gameName=PlayNetFortuneCloverX2Xmas&amp;platform=desktop&amp;languageCode=eng&amp;currency=EUR")</f>
        <v>https://onlinegamespromo.fazi.rs/Home/IntegrationGameLaunch?moneyType=0&amp;gameName=PlayNetFortuneCloverX2Xmas&amp;platform=desktop&amp;languageCode=eng&amp;currency=EUR</v>
      </c>
      <c r="AO575" s="5"/>
      <c r="AP575" s="5"/>
      <c r="AQ575" s="5"/>
      <c r="AR575" s="5"/>
      <c r="AS575" s="5" t="str">
        <f ca="1">IFERROR(__xludf.DUMMYFUNCTION("""COMPUTED_VALUE"""),"Fortune Clover x2 Xmas wraps the festive spirit in every spin! Land the special clover symbol and see how far your luck can take you. One expanding wild can make all the difference.")</f>
        <v>Fortune Clover x2 Xmas wraps the festive spirit in every spin! Land the special clover symbol and see how far your luck can take you. One expanding wild can make all the difference.</v>
      </c>
      <c r="AT575" s="5"/>
      <c r="AU575" s="5" t="str">
        <f ca="1">IFERROR(__xludf.DUMMYFUNCTION("""COMPUTED_VALUE"""),"Fazi")</f>
        <v>Fazi</v>
      </c>
      <c r="AV575" s="5"/>
      <c r="AW575" s="5"/>
      <c r="AX575" s="15">
        <f ca="1">IFERROR(__xludf.DUMMYFUNCTION("""COMPUTED_VALUE"""),45993)</f>
        <v>45993</v>
      </c>
      <c r="AY575" s="5"/>
      <c r="AZ575" s="5"/>
      <c r="BA575" s="5" t="str">
        <f ca="1">IFERROR(__xludf.DUMMYFUNCTION("""COMPUTED_VALUE"""),"")</f>
        <v/>
      </c>
      <c r="BB575" s="5"/>
      <c r="BC575" s="5" t="str">
        <f ca="1">IFERROR(__xludf.DUMMYFUNCTION("""COMPUTED_VALUE"""),"Playnet")</f>
        <v>Playnet</v>
      </c>
      <c r="BD575" s="5"/>
      <c r="BE575" s="5"/>
    </row>
    <row r="576" spans="1:57" x14ac:dyDescent="0.25">
      <c r="A576" s="5">
        <f ca="1">IFERROR(__xludf.DUMMYFUNCTION("""COMPUTED_VALUE"""),610)</f>
        <v>610</v>
      </c>
      <c r="B576" s="5">
        <f ca="1">IFERROR(__xludf.DUMMYFUNCTION("""COMPUTED_VALUE"""),180042)</f>
        <v>180042</v>
      </c>
      <c r="C576" s="5" t="str">
        <f ca="1">IFERROR(__xludf.DUMMYFUNCTION("""COMPUTED_VALUE"""),"Redstone")</f>
        <v>Redstone</v>
      </c>
      <c r="D576" s="5" t="str">
        <f ca="1">IFERROR(__xludf.DUMMYFUNCTION("""COMPUTED_VALUE"""),"Chilli Hot 40")</f>
        <v>Chilli Hot 40</v>
      </c>
      <c r="E576" s="5" t="str">
        <f ca="1">IFERROR(__xludf.DUMMYFUNCTION("""COMPUTED_VALUE"""),"Redstone")</f>
        <v>Redstone</v>
      </c>
      <c r="F576" s="5" t="str">
        <f ca="1">IFERROR(__xludf.DUMMYFUNCTION("""COMPUTED_VALUE"""),"RedstoneChilliHot40")</f>
        <v>RedstoneChilliHot40</v>
      </c>
      <c r="G576" s="5" t="str">
        <f ca="1">IFERROR(__xludf.DUMMYFUNCTION("""COMPUTED_VALUE"""),"Live")</f>
        <v>Live</v>
      </c>
      <c r="H576" s="5"/>
      <c r="I576" s="5" t="str">
        <f ca="1">IFERROR(__xludf.DUMMYFUNCTION("""COMPUTED_VALUE"""),"Redstone")</f>
        <v>Redstone</v>
      </c>
      <c r="J576" s="5" t="str">
        <f ca="1">IFERROR(__xludf.DUMMYFUNCTION("""COMPUTED_VALUE"""),"JSON")</f>
        <v>JSON</v>
      </c>
      <c r="K576" s="5" t="str">
        <f ca="1">IFERROR(__xludf.DUMMYFUNCTION("""COMPUTED_VALUE"""),"Slot")</f>
        <v>Slot</v>
      </c>
      <c r="L576" s="5" t="str">
        <f ca="1">IFERROR(__xludf.DUMMYFUNCTION("""COMPUTED_VALUE"""),"Master")</f>
        <v>Master</v>
      </c>
      <c r="M576" s="5"/>
      <c r="N576" s="7" t="str">
        <f ca="1">IFERROR(__xludf.DUMMYFUNCTION("""COMPUTED_VALUE"""),"https://docs.google.com/document/d/1VivZXUXDZhRUzt9BX4F04ZPfuh1BOlLX/edit?usp=drive_link&amp;ouid=107596163405648766688&amp;rtpof=true&amp;sd=true")</f>
        <v>https://docs.google.com/document/d/1VivZXUXDZhRUzt9BX4F04ZPfuh1BOlLX/edit?usp=drive_link&amp;ouid=107596163405648766688&amp;rtpof=true&amp;sd=true</v>
      </c>
      <c r="O576" s="7" t="str">
        <f ca="1">IFERROR(__xludf.DUMMYFUNCTION("""COMPUTED_VALUE"""),"https://docs.google.com/document/d/1LSKczJRKVsnUMYp-FOykWGNmy_rW_iFt/edit?usp=drive_link&amp;ouid=107596163405648766688&amp;rtpof=true&amp;sd=true")</f>
        <v>https://docs.google.com/document/d/1LSKczJRKVsnUMYp-FOykWGNmy_rW_iFt/edit?usp=drive_link&amp;ouid=107596163405648766688&amp;rtpof=true&amp;sd=true</v>
      </c>
      <c r="P576" s="14">
        <f ca="1">IFERROR(__xludf.DUMMYFUNCTION("""COMPUTED_VALUE"""),6.6)</f>
        <v>6.6</v>
      </c>
      <c r="Q576" s="15">
        <f ca="1">IFERROR(__xludf.DUMMYFUNCTION("""COMPUTED_VALUE"""),45929)</f>
        <v>45929</v>
      </c>
      <c r="R576" s="15">
        <f ca="1">IFERROR(__xludf.DUMMYFUNCTION("""COMPUTED_VALUE"""),45947)</f>
        <v>45947</v>
      </c>
      <c r="S576" s="15">
        <f ca="1">IFERROR(__xludf.DUMMYFUNCTION("""COMPUTED_VALUE"""),45954)</f>
        <v>45954</v>
      </c>
      <c r="T576" s="5" t="b">
        <f ca="1">IFERROR(__xludf.DUMMYFUNCTION("""COMPUTED_VALUE"""),TRUE)</f>
        <v>1</v>
      </c>
      <c r="U576" s="5" t="str">
        <f ca="1">IFERROR(__xludf.DUMMYFUNCTION("""COMPUTED_VALUE"""),"5x")</f>
        <v>5x</v>
      </c>
      <c r="V576" s="5">
        <f ca="1">IFERROR(__xludf.DUMMYFUNCTION("""COMPUTED_VALUE"""),40)</f>
        <v>40</v>
      </c>
      <c r="W576" s="5">
        <f ca="1">IFERROR(__xludf.DUMMYFUNCTION("""COMPUTED_VALUE"""),40)</f>
        <v>40</v>
      </c>
      <c r="X576" s="5">
        <f ca="1">IFERROR(__xludf.DUMMYFUNCTION("""COMPUTED_VALUE"""),95.98)</f>
        <v>95.98</v>
      </c>
      <c r="Y576" s="5" t="str">
        <f ca="1">IFERROR(__xludf.DUMMYFUNCTION("""COMPUTED_VALUE"""),"Medium")</f>
        <v>Medium</v>
      </c>
      <c r="Z576" s="5">
        <f ca="1">IFERROR(__xludf.DUMMYFUNCTION("""COMPUTED_VALUE"""),21.92)</f>
        <v>21.92</v>
      </c>
      <c r="AA576" s="5">
        <f ca="1">IFERROR(__xludf.DUMMYFUNCTION("""COMPUTED_VALUE"""),727.5)</f>
        <v>727.5</v>
      </c>
      <c r="AB576" s="5"/>
      <c r="AC576" s="5" t="str">
        <f ca="1">IFERROR(__xludf.DUMMYFUNCTION("""COMPUTED_VALUE"""),"Expanding Wild, Scatter")</f>
        <v>Expanding Wild, Scatter</v>
      </c>
      <c r="AD576" s="5" t="str">
        <f ca="1">IFERROR(__xludf.DUMMYFUNCTION("""COMPUTED_VALUE"""),"0.04/50")</f>
        <v>0.04/50</v>
      </c>
      <c r="AE576" s="5"/>
      <c r="AF576" s="5"/>
      <c r="AG576" s="10">
        <f ca="1">IFERROR(__xludf.DUMMYFUNCTION("""COMPUTED_VALUE"""),46157.5531712963)</f>
        <v>46157.553171296298</v>
      </c>
      <c r="AH576" s="5"/>
      <c r="AI576" s="5"/>
      <c r="AJ576" s="5"/>
      <c r="AK576" s="5">
        <f ca="1">IFERROR(__xludf.DUMMYFUNCTION("""COMPUTED_VALUE"""),1)</f>
        <v>1</v>
      </c>
      <c r="AL576" s="5" t="str">
        <f ca="1">IFERROR(__xludf.DUMMYFUNCTION("""COMPUTED_VALUE"""),"No")</f>
        <v>No</v>
      </c>
      <c r="AM576" s="5" t="str">
        <f ca="1">IFERROR(__xludf.DUMMYFUNCTION("""COMPUTED_VALUE"""),"No")</f>
        <v>No</v>
      </c>
      <c r="AN576" s="7" t="str">
        <f ca="1">IFERROR(__xludf.DUMMYFUNCTION("""COMPUTED_VALUE"""),"https://static.redstone.rs/games/chilli-hot-40/")</f>
        <v>https://static.redstone.rs/games/chilli-hot-40/</v>
      </c>
      <c r="AO576" s="5" t="str">
        <f ca="1">IFERROR(__xludf.DUMMYFUNCTION("""COMPUTED_VALUE"""),"No")</f>
        <v>No</v>
      </c>
      <c r="AP576" s="5" t="str">
        <f ca="1">IFERROR(__xludf.DUMMYFUNCTION("""COMPUTED_VALUE"""),"No")</f>
        <v>No</v>
      </c>
      <c r="AQ576" s="5" t="b">
        <f ca="1">IFERROR(__xludf.DUMMYFUNCTION("""COMPUTED_VALUE"""),TRUE)</f>
        <v>1</v>
      </c>
      <c r="AR576" s="5"/>
      <c r="AS576" s="5" t="str">
        <f ca="1">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AT576" s="5"/>
      <c r="AU576" s="5" t="str">
        <f ca="1">IFERROR(__xludf.DUMMYFUNCTION("""COMPUTED_VALUE"""),"Redstone")</f>
        <v>Redstone</v>
      </c>
      <c r="AV576" s="5"/>
      <c r="AW576" s="5"/>
      <c r="AX576" s="15">
        <f ca="1">IFERROR(__xludf.DUMMYFUNCTION("""COMPUTED_VALUE"""),45923)</f>
        <v>45923</v>
      </c>
      <c r="AY576" s="5"/>
      <c r="AZ576" s="5"/>
      <c r="BA576" s="5"/>
      <c r="BB576" s="5" t="b">
        <f ca="1">IFERROR(__xludf.DUMMYFUNCTION("""COMPUTED_VALUE"""),TRUE)</f>
        <v>1</v>
      </c>
      <c r="BC576" s="5" t="str">
        <f ca="1">IFERROR(__xludf.DUMMYFUNCTION("""COMPUTED_VALUE"""),"Redstone")</f>
        <v>Redstone</v>
      </c>
      <c r="BD576" s="7" t="str">
        <f ca="1">IFERROR(__xludf.DUMMYFUNCTION("""COMPUTED_VALUE"""),"https://static.redstone.rs/games/chilli-hot-40/")</f>
        <v>https://static.redstone.rs/games/chilli-hot-40/</v>
      </c>
      <c r="BE576" s="5" t="b">
        <f ca="1">IFERROR(__xludf.DUMMYFUNCTION("""COMPUTED_VALUE"""),TRUE)</f>
        <v>1</v>
      </c>
    </row>
    <row r="577" spans="1:57" x14ac:dyDescent="0.25">
      <c r="A577" s="5">
        <f ca="1">IFERROR(__xludf.DUMMYFUNCTION("""COMPUTED_VALUE"""),611)</f>
        <v>611</v>
      </c>
      <c r="B577" s="5">
        <f ca="1">IFERROR(__xludf.DUMMYFUNCTION("""COMPUTED_VALUE"""),524)</f>
        <v>524</v>
      </c>
      <c r="C577" s="5" t="str">
        <f ca="1">IFERROR(__xludf.DUMMYFUNCTION("""COMPUTED_VALUE"""),"Playnet")</f>
        <v>Playnet</v>
      </c>
      <c r="D577" s="5" t="str">
        <f ca="1">IFERROR(__xludf.DUMMYFUNCTION("""COMPUTED_VALUE"""),"Gears of Fortune")</f>
        <v>Gears of Fortune</v>
      </c>
      <c r="E577" s="5" t="str">
        <f ca="1">IFERROR(__xludf.DUMMYFUNCTION("""COMPUTED_VALUE"""),"Sertifikacioni")</f>
        <v>Sertifikacioni</v>
      </c>
      <c r="F577" s="5" t="str">
        <f ca="1">IFERROR(__xludf.DUMMYFUNCTION("""COMPUTED_VALUE""")," PlayNetGearsOfFortune")</f>
        <v xml:space="preserve"> PlayNetGearsOfFortune</v>
      </c>
      <c r="G577" s="5" t="str">
        <f ca="1">IFERROR(__xludf.DUMMYFUNCTION("""COMPUTED_VALUE"""),"Live")</f>
        <v>Live</v>
      </c>
      <c r="H577" s="5"/>
      <c r="I577" s="5"/>
      <c r="J577" s="5" t="str">
        <f ca="1">IFERROR(__xludf.DUMMYFUNCTION("""COMPUTED_VALUE"""),"JSON")</f>
        <v>JSON</v>
      </c>
      <c r="K577" s="5" t="str">
        <f ca="1">IFERROR(__xludf.DUMMYFUNCTION("""COMPUTED_VALUE"""),"Slot")</f>
        <v>Slot</v>
      </c>
      <c r="L577" s="5" t="str">
        <f ca="1">IFERROR(__xludf.DUMMYFUNCTION("""COMPUTED_VALUE""")," Clone")</f>
        <v xml:space="preserve"> Clone</v>
      </c>
      <c r="M577" s="5" t="str">
        <f ca="1">IFERROR(__xludf.DUMMYFUNCTION("""COMPUTED_VALUE"""),"Wild Hot 40")</f>
        <v>Wild Hot 40</v>
      </c>
      <c r="N577" s="7" t="str">
        <f ca="1">IFERROR(__xludf.DUMMYFUNCTION("""COMPUTED_VALUE"""),"https://drive.google.com/drive/u/1/folders/1xobLzwkTCpqNacZe9peJ5JCe2x1v25FW")</f>
        <v>https://drive.google.com/drive/u/1/folders/1xobLzwkTCpqNacZe9peJ5JCe2x1v25FW</v>
      </c>
      <c r="O577" s="7" t="str">
        <f ca="1">IFERROR(__xludf.DUMMYFUNCTION("""COMPUTED_VALUE"""),"https://drive.google.com/drive/u/1/folders/1xobLzwkTCpqNacZe9peJ5JCe2x1v25FW")</f>
        <v>https://drive.google.com/drive/u/1/folders/1xobLzwkTCpqNacZe9peJ5JCe2x1v25FW</v>
      </c>
      <c r="P577" s="14">
        <f ca="1">IFERROR(__xludf.DUMMYFUNCTION("""COMPUTED_VALUE"""),7.2)</f>
        <v>7.2</v>
      </c>
      <c r="Q577" s="15">
        <f ca="1">IFERROR(__xludf.DUMMYFUNCTION("""COMPUTED_VALUE"""),45999)</f>
        <v>45999</v>
      </c>
      <c r="R577" s="15">
        <f ca="1">IFERROR(__xludf.DUMMYFUNCTION("""COMPUTED_VALUE"""),45999)</f>
        <v>45999</v>
      </c>
      <c r="S577" s="15">
        <f ca="1">IFERROR(__xludf.DUMMYFUNCTION("""COMPUTED_VALUE"""),46006)</f>
        <v>46006</v>
      </c>
      <c r="T577" s="5" t="b">
        <f ca="1">IFERROR(__xludf.DUMMYFUNCTION("""COMPUTED_VALUE"""),TRUE)</f>
        <v>1</v>
      </c>
      <c r="U577" s="5" t="str">
        <f ca="1">IFERROR(__xludf.DUMMYFUNCTION("""COMPUTED_VALUE"""),"5x4")</f>
        <v>5x4</v>
      </c>
      <c r="V577" s="5">
        <f ca="1">IFERROR(__xludf.DUMMYFUNCTION("""COMPUTED_VALUE"""),40)</f>
        <v>40</v>
      </c>
      <c r="W577" s="5">
        <f ca="1">IFERROR(__xludf.DUMMYFUNCTION("""COMPUTED_VALUE"""),40)</f>
        <v>40</v>
      </c>
      <c r="X577" s="5">
        <f ca="1">IFERROR(__xludf.DUMMYFUNCTION("""COMPUTED_VALUE"""),96.584)</f>
        <v>96.584000000000003</v>
      </c>
      <c r="Y577" s="5" t="str">
        <f ca="1">IFERROR(__xludf.DUMMYFUNCTION("""COMPUTED_VALUE"""),"Low")</f>
        <v>Low</v>
      </c>
      <c r="Z577" s="5">
        <f ca="1">IFERROR(__xludf.DUMMYFUNCTION("""COMPUTED_VALUE"""),16.725)</f>
        <v>16.725000000000001</v>
      </c>
      <c r="AA577" s="5">
        <f ca="1">IFERROR(__xludf.DUMMYFUNCTION("""COMPUTED_VALUE"""),1000)</f>
        <v>1000</v>
      </c>
      <c r="AB577" s="5"/>
      <c r="AC577" s="5" t="str">
        <f ca="1">IFERROR(__xludf.DUMMYFUNCTION("""COMPUTED_VALUE"""),"Scatter, Wild Symbol")</f>
        <v>Scatter, Wild Symbol</v>
      </c>
      <c r="AD577" s="5" t="str">
        <f ca="1">IFERROR(__xludf.DUMMYFUNCTION("""COMPUTED_VALUE"""),"0.40/60")</f>
        <v>0.40/60</v>
      </c>
      <c r="AE577" s="5"/>
      <c r="AF577" s="5"/>
      <c r="AG577" s="10">
        <f ca="1">IFERROR(__xludf.DUMMYFUNCTION("""COMPUTED_VALUE"""),46220.5064351851)</f>
        <v>46220.506435185103</v>
      </c>
      <c r="AH577" s="5" t="str">
        <f ca="1">IFERROR(__xludf.DUMMYFUNCTION("""COMPUTED_VALUE"""),"selena.mihajlovic@fazi.rs")</f>
        <v>selena.mihajlovic@fazi.rs</v>
      </c>
      <c r="AI577" s="5"/>
      <c r="AJ577" s="5"/>
      <c r="AK577" s="5"/>
      <c r="AL577" s="5" t="str">
        <f ca="1">IFERROR(__xludf.DUMMYFUNCTION("""COMPUTED_VALUE"""),"No")</f>
        <v>No</v>
      </c>
      <c r="AM577" s="5" t="str">
        <f ca="1">IFERROR(__xludf.DUMMYFUNCTION("""COMPUTED_VALUE"""),"No")</f>
        <v>No</v>
      </c>
      <c r="AN577" s="5" t="str">
        <f ca="1">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AO577" s="5" t="str">
        <f ca="1">IFERROR(__xludf.DUMMYFUNCTION("""COMPUTED_VALUE"""),"No")</f>
        <v>No</v>
      </c>
      <c r="AP577" s="5" t="str">
        <f ca="1">IFERROR(__xludf.DUMMYFUNCTION("""COMPUTED_VALUE"""),"No")</f>
        <v>No</v>
      </c>
      <c r="AQ577" s="5" t="b">
        <f ca="1">IFERROR(__xludf.DUMMYFUNCTION("""COMPUTED_VALUE"""),TRUE)</f>
        <v>1</v>
      </c>
      <c r="AR577" s="5"/>
      <c r="AS577" s="5" t="str">
        <f ca="1">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AT577" s="5"/>
      <c r="AU577" s="5" t="str">
        <f ca="1">IFERROR(__xludf.DUMMYFUNCTION("""COMPUTED_VALUE"""),"Fazi")</f>
        <v>Fazi</v>
      </c>
      <c r="AV577" s="5"/>
      <c r="AW577" s="5"/>
      <c r="AX577" s="15">
        <f ca="1">IFERROR(__xludf.DUMMYFUNCTION("""COMPUTED_VALUE"""),45993)</f>
        <v>45993</v>
      </c>
      <c r="AY577" s="5"/>
      <c r="AZ577" s="5"/>
      <c r="BA577" s="5"/>
      <c r="BB577" s="5" t="b">
        <f ca="1">IFERROR(__xludf.DUMMYFUNCTION("""COMPUTED_VALUE"""),TRUE)</f>
        <v>1</v>
      </c>
      <c r="BC577" s="5" t="str">
        <f ca="1">IFERROR(__xludf.DUMMYFUNCTION("""COMPUTED_VALUE"""),"Playnet")</f>
        <v>Playnet</v>
      </c>
      <c r="BD577" s="5" t="str">
        <f ca="1">IFERROR(__xludf.DUMMYFUNCTION("""COMPUTED_VALUE"""),"https://gameserver-store-client-area.orbionlimited.com/Home/IntegrationGameLaunch/client-area?moneyType=0&amp;gameName= PlayNetGearsOfFortune&amp;platform=desktop&amp;languageCode=eng&amp;currency=EUR")</f>
        <v>https://gameserver-store-client-area.orbionlimited.com/Home/IntegrationGameLaunch/client-area?moneyType=0&amp;gameName= PlayNetGearsOfFortune&amp;platform=desktop&amp;languageCode=eng&amp;currency=EUR</v>
      </c>
      <c r="BE577" s="5" t="b">
        <f ca="1">IFERROR(__xludf.DUMMYFUNCTION("""COMPUTED_VALUE"""),TRUE)</f>
        <v>1</v>
      </c>
    </row>
    <row r="578" spans="1:57" x14ac:dyDescent="0.25">
      <c r="A578" s="5">
        <f ca="1">IFERROR(__xludf.DUMMYFUNCTION("""COMPUTED_VALUE"""),612)</f>
        <v>612</v>
      </c>
      <c r="B578" s="5">
        <f ca="1">IFERROR(__xludf.DUMMYFUNCTION("""COMPUTED_VALUE"""),180043)</f>
        <v>180043</v>
      </c>
      <c r="C578" s="5" t="str">
        <f ca="1">IFERROR(__xludf.DUMMYFUNCTION("""COMPUTED_VALUE"""),"Redstone")</f>
        <v>Redstone</v>
      </c>
      <c r="D578" s="5" t="str">
        <f ca="1">IFERROR(__xludf.DUMMYFUNCTION("""COMPUTED_VALUE"""),"Inferno Hot 20")</f>
        <v>Inferno Hot 20</v>
      </c>
      <c r="E578" s="5" t="str">
        <f ca="1">IFERROR(__xludf.DUMMYFUNCTION("""COMPUTED_VALUE"""),"Redstone")</f>
        <v>Redstone</v>
      </c>
      <c r="F578" s="5" t="str">
        <f ca="1">IFERROR(__xludf.DUMMYFUNCTION("""COMPUTED_VALUE"""),"RedstoneInfernoHot20")</f>
        <v>RedstoneInfernoHot20</v>
      </c>
      <c r="G578" s="5" t="str">
        <f ca="1">IFERROR(__xludf.DUMMYFUNCTION("""COMPUTED_VALUE"""),"Live")</f>
        <v>Live</v>
      </c>
      <c r="H578" s="5"/>
      <c r="I578" s="5" t="str">
        <f ca="1">IFERROR(__xludf.DUMMYFUNCTION("""COMPUTED_VALUE"""),"Redstone")</f>
        <v>Redstone</v>
      </c>
      <c r="J578" s="5" t="str">
        <f ca="1">IFERROR(__xludf.DUMMYFUNCTION("""COMPUTED_VALUE"""),"JSON")</f>
        <v>JSON</v>
      </c>
      <c r="K578" s="5" t="str">
        <f ca="1">IFERROR(__xludf.DUMMYFUNCTION("""COMPUTED_VALUE"""),"Slot")</f>
        <v>Slot</v>
      </c>
      <c r="L578" s="5" t="str">
        <f ca="1">IFERROR(__xludf.DUMMYFUNCTION("""COMPUTED_VALUE"""),"Master")</f>
        <v>Master</v>
      </c>
      <c r="M578" s="5"/>
      <c r="N578" s="7" t="str">
        <f ca="1">IFERROR(__xludf.DUMMYFUNCTION("""COMPUTED_VALUE"""),"https://docs.google.com/document/d/1eB8Zj8GpDRP7UX4wYyRxIQ6j_NzzOI15/edit?usp=drive_link&amp;ouid=107596163405648766688&amp;rtpof=true&amp;sd=true")</f>
        <v>https://docs.google.com/document/d/1eB8Zj8GpDRP7UX4wYyRxIQ6j_NzzOI15/edit?usp=drive_link&amp;ouid=107596163405648766688&amp;rtpof=true&amp;sd=true</v>
      </c>
      <c r="O578" s="7" t="str">
        <f ca="1">IFERROR(__xludf.DUMMYFUNCTION("""COMPUTED_VALUE"""),"https://docs.google.com/document/d/1lt4c7fu2mMR24TV6mjkpAD6uJd9uRARo/edit?usp=drive_link&amp;ouid=107596163405648766688&amp;rtpof=true&amp;sd=true")</f>
        <v>https://docs.google.com/document/d/1lt4c7fu2mMR24TV6mjkpAD6uJd9uRARo/edit?usp=drive_link&amp;ouid=107596163405648766688&amp;rtpof=true&amp;sd=true</v>
      </c>
      <c r="P578" s="14">
        <f ca="1">IFERROR(__xludf.DUMMYFUNCTION("""COMPUTED_VALUE"""),13.2)</f>
        <v>13.2</v>
      </c>
      <c r="Q578" s="15">
        <f ca="1">IFERROR(__xludf.DUMMYFUNCTION("""COMPUTED_VALUE"""),45943)</f>
        <v>45943</v>
      </c>
      <c r="R578" s="15">
        <f ca="1">IFERROR(__xludf.DUMMYFUNCTION("""COMPUTED_VALUE"""),45957)</f>
        <v>45957</v>
      </c>
      <c r="S578" s="15">
        <f ca="1">IFERROR(__xludf.DUMMYFUNCTION("""COMPUTED_VALUE"""),45964)</f>
        <v>45964</v>
      </c>
      <c r="T578" s="5" t="b">
        <f ca="1">IFERROR(__xludf.DUMMYFUNCTION("""COMPUTED_VALUE"""),TRUE)</f>
        <v>1</v>
      </c>
      <c r="U578" s="5" t="str">
        <f ca="1">IFERROR(__xludf.DUMMYFUNCTION("""COMPUTED_VALUE"""),"5x3")</f>
        <v>5x3</v>
      </c>
      <c r="V578" s="5">
        <f ca="1">IFERROR(__xludf.DUMMYFUNCTION("""COMPUTED_VALUE"""),20)</f>
        <v>20</v>
      </c>
      <c r="W578" s="5"/>
      <c r="X578" s="5">
        <f ca="1">IFERROR(__xludf.DUMMYFUNCTION("""COMPUTED_VALUE"""),95.98)</f>
        <v>95.98</v>
      </c>
      <c r="Y578" s="5" t="str">
        <f ca="1">IFERROR(__xludf.DUMMYFUNCTION("""COMPUTED_VALUE"""),"Medium")</f>
        <v>Medium</v>
      </c>
      <c r="Z578" s="5">
        <f ca="1">IFERROR(__xludf.DUMMYFUNCTION("""COMPUTED_VALUE"""),15.99)</f>
        <v>15.99</v>
      </c>
      <c r="AA578" s="5">
        <f ca="1">IFERROR(__xludf.DUMMYFUNCTION("""COMPUTED_VALUE"""),1000)</f>
        <v>1000</v>
      </c>
      <c r="AB578" s="5"/>
      <c r="AC578" s="5" t="str">
        <f ca="1">IFERROR(__xludf.DUMMYFUNCTION("""COMPUTED_VALUE"""),"Special Wild, Bonus Game with Free Spins, Scatter")</f>
        <v>Special Wild, Bonus Game with Free Spins, Scatter</v>
      </c>
      <c r="AD578" s="5" t="str">
        <f ca="1">IFERROR(__xludf.DUMMYFUNCTION("""COMPUTED_VALUE"""),"0.04/60")</f>
        <v>0.04/60</v>
      </c>
      <c r="AE578" s="5"/>
      <c r="AF578" s="5"/>
      <c r="AG578" s="10">
        <f ca="1">IFERROR(__xludf.DUMMYFUNCTION("""COMPUTED_VALUE"""),46227.3645138888)</f>
        <v>46227.364513888802</v>
      </c>
      <c r="AH578" s="5"/>
      <c r="AI578" s="5"/>
      <c r="AJ578" s="5"/>
      <c r="AK578" s="5">
        <f ca="1">IFERROR(__xludf.DUMMYFUNCTION("""COMPUTED_VALUE"""),1)</f>
        <v>1</v>
      </c>
      <c r="AL578" s="5" t="str">
        <f ca="1">IFERROR(__xludf.DUMMYFUNCTION("""COMPUTED_VALUE"""),"No")</f>
        <v>No</v>
      </c>
      <c r="AM578" s="5" t="str">
        <f ca="1">IFERROR(__xludf.DUMMYFUNCTION("""COMPUTED_VALUE"""),"No")</f>
        <v>No</v>
      </c>
      <c r="AN578" s="7" t="str">
        <f ca="1">IFERROR(__xludf.DUMMYFUNCTION("""COMPUTED_VALUE"""),"https://static.redstone.rs/games/inferno-hot-20/")</f>
        <v>https://static.redstone.rs/games/inferno-hot-20/</v>
      </c>
      <c r="AO578" s="5" t="str">
        <f ca="1">IFERROR(__xludf.DUMMYFUNCTION("""COMPUTED_VALUE"""),"No")</f>
        <v>No</v>
      </c>
      <c r="AP578" s="5" t="str">
        <f ca="1">IFERROR(__xludf.DUMMYFUNCTION("""COMPUTED_VALUE"""),"No")</f>
        <v>No</v>
      </c>
      <c r="AQ578" s="5" t="b">
        <f ca="1">IFERROR(__xludf.DUMMYFUNCTION("""COMPUTED_VALUE"""),TRUE)</f>
        <v>1</v>
      </c>
      <c r="AR578" s="5"/>
      <c r="AS578" s="5" t="str">
        <f ca="1">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AT578" s="5"/>
      <c r="AU578" s="5" t="str">
        <f ca="1">IFERROR(__xludf.DUMMYFUNCTION("""COMPUTED_VALUE"""),"Redstone")</f>
        <v>Redstone</v>
      </c>
      <c r="AV578" s="5"/>
      <c r="AW578" s="5"/>
      <c r="AX578" s="15">
        <f ca="1">IFERROR(__xludf.DUMMYFUNCTION("""COMPUTED_VALUE"""),45937)</f>
        <v>45937</v>
      </c>
      <c r="AY578" s="5"/>
      <c r="AZ578" s="5"/>
      <c r="BA578" s="5"/>
      <c r="BB578" s="5" t="b">
        <f ca="1">IFERROR(__xludf.DUMMYFUNCTION("""COMPUTED_VALUE"""),TRUE)</f>
        <v>1</v>
      </c>
      <c r="BC578" s="5" t="str">
        <f ca="1">IFERROR(__xludf.DUMMYFUNCTION("""COMPUTED_VALUE"""),"Redstone")</f>
        <v>Redstone</v>
      </c>
      <c r="BD578" s="7" t="str">
        <f ca="1">IFERROR(__xludf.DUMMYFUNCTION("""COMPUTED_VALUE"""),"https://static.redstone.rs/games/inferno-hot-20/")</f>
        <v>https://static.redstone.rs/games/inferno-hot-20/</v>
      </c>
      <c r="BE578" s="5" t="b">
        <f ca="1">IFERROR(__xludf.DUMMYFUNCTION("""COMPUTED_VALUE"""),TRUE)</f>
        <v>1</v>
      </c>
    </row>
    <row r="579" spans="1:57" x14ac:dyDescent="0.25">
      <c r="A579" s="5">
        <f ca="1">IFERROR(__xludf.DUMMYFUNCTION("""COMPUTED_VALUE"""),613)</f>
        <v>613</v>
      </c>
      <c r="B579" s="5">
        <f ca="1">IFERROR(__xludf.DUMMYFUNCTION("""COMPUTED_VALUE"""),180044)</f>
        <v>180044</v>
      </c>
      <c r="C579" s="5" t="str">
        <f ca="1">IFERROR(__xludf.DUMMYFUNCTION("""COMPUTED_VALUE"""),"Redstone")</f>
        <v>Redstone</v>
      </c>
      <c r="D579" s="5" t="str">
        <f ca="1">IFERROR(__xludf.DUMMYFUNCTION("""COMPUTED_VALUE"""),"Crown Blast 40")</f>
        <v>Crown Blast 40</v>
      </c>
      <c r="E579" s="5" t="str">
        <f ca="1">IFERROR(__xludf.DUMMYFUNCTION("""COMPUTED_VALUE"""),"Redstone")</f>
        <v>Redstone</v>
      </c>
      <c r="F579" s="5" t="str">
        <f ca="1">IFERROR(__xludf.DUMMYFUNCTION("""COMPUTED_VALUE"""),"RedstoneCrownBlast40")</f>
        <v>RedstoneCrownBlast40</v>
      </c>
      <c r="G579" s="5" t="str">
        <f ca="1">IFERROR(__xludf.DUMMYFUNCTION("""COMPUTED_VALUE"""),"Live")</f>
        <v>Live</v>
      </c>
      <c r="H579" s="5"/>
      <c r="I579" s="5" t="str">
        <f ca="1">IFERROR(__xludf.DUMMYFUNCTION("""COMPUTED_VALUE"""),"Redstone")</f>
        <v>Redstone</v>
      </c>
      <c r="J579" s="5" t="str">
        <f ca="1">IFERROR(__xludf.DUMMYFUNCTION("""COMPUTED_VALUE"""),"JSON")</f>
        <v>JSON</v>
      </c>
      <c r="K579" s="5" t="str">
        <f ca="1">IFERROR(__xludf.DUMMYFUNCTION("""COMPUTED_VALUE"""),"Slot")</f>
        <v>Slot</v>
      </c>
      <c r="L579" s="5" t="str">
        <f ca="1">IFERROR(__xludf.DUMMYFUNCTION("""COMPUTED_VALUE"""),"Master")</f>
        <v>Master</v>
      </c>
      <c r="M579" s="5"/>
      <c r="N579" s="7" t="str">
        <f ca="1">IFERROR(__xludf.DUMMYFUNCTION("""COMPUTED_VALUE"""),"https://docs.google.com/document/d/1qmAXqo_q_BkgcnoVk1ggWiCI9AKtUCcO/edit?usp=drive_link&amp;ouid=107596163405648766688&amp;rtpof=true&amp;sd=true")</f>
        <v>https://docs.google.com/document/d/1qmAXqo_q_BkgcnoVk1ggWiCI9AKtUCcO/edit?usp=drive_link&amp;ouid=107596163405648766688&amp;rtpof=true&amp;sd=true</v>
      </c>
      <c r="O579" s="7" t="str">
        <f ca="1">IFERROR(__xludf.DUMMYFUNCTION("""COMPUTED_VALUE"""),"https://docs.google.com/document/d/175yAHEGjGKnpzip5wEvUxeOsdQLpQ2kU/edit?usp=drive_link&amp;ouid=107596163405648766688&amp;rtpof=true&amp;sd=true")</f>
        <v>https://docs.google.com/document/d/175yAHEGjGKnpzip5wEvUxeOsdQLpQ2kU/edit?usp=drive_link&amp;ouid=107596163405648766688&amp;rtpof=true&amp;sd=true</v>
      </c>
      <c r="P579" s="14">
        <f ca="1">IFERROR(__xludf.DUMMYFUNCTION("""COMPUTED_VALUE"""),9)</f>
        <v>9</v>
      </c>
      <c r="Q579" s="15">
        <f ca="1">IFERROR(__xludf.DUMMYFUNCTION("""COMPUTED_VALUE"""),45929)</f>
        <v>45929</v>
      </c>
      <c r="R579" s="15">
        <f ca="1">IFERROR(__xludf.DUMMYFUNCTION("""COMPUTED_VALUE"""),45964)</f>
        <v>45964</v>
      </c>
      <c r="S579" s="15">
        <f ca="1">IFERROR(__xludf.DUMMYFUNCTION("""COMPUTED_VALUE"""),45971)</f>
        <v>45971</v>
      </c>
      <c r="T579" s="5" t="b">
        <f ca="1">IFERROR(__xludf.DUMMYFUNCTION("""COMPUTED_VALUE"""),TRUE)</f>
        <v>1</v>
      </c>
      <c r="U579" s="5" t="str">
        <f ca="1">IFERROR(__xludf.DUMMYFUNCTION("""COMPUTED_VALUE"""),"5x4")</f>
        <v>5x4</v>
      </c>
      <c r="V579" s="5">
        <f ca="1">IFERROR(__xludf.DUMMYFUNCTION("""COMPUTED_VALUE"""),40)</f>
        <v>40</v>
      </c>
      <c r="W579" s="5">
        <f ca="1">IFERROR(__xludf.DUMMYFUNCTION("""COMPUTED_VALUE"""),40)</f>
        <v>40</v>
      </c>
      <c r="X579" s="5">
        <f ca="1">IFERROR(__xludf.DUMMYFUNCTION("""COMPUTED_VALUE"""),96.27)</f>
        <v>96.27</v>
      </c>
      <c r="Y579" s="5" t="str">
        <f ca="1">IFERROR(__xludf.DUMMYFUNCTION("""COMPUTED_VALUE"""),"Medium")</f>
        <v>Medium</v>
      </c>
      <c r="Z579" s="5">
        <f ca="1">IFERROR(__xludf.DUMMYFUNCTION("""COMPUTED_VALUE"""),13.88)</f>
        <v>13.88</v>
      </c>
      <c r="AA579" s="5">
        <f ca="1">IFERROR(__xludf.DUMMYFUNCTION("""COMPUTED_VALUE"""),1000)</f>
        <v>1000</v>
      </c>
      <c r="AB579" s="5"/>
      <c r="AC579" s="5" t="str">
        <f ca="1">IFERROR(__xludf.DUMMYFUNCTION("""COMPUTED_VALUE"""),"Exploding Wild, Scatter")</f>
        <v>Exploding Wild, Scatter</v>
      </c>
      <c r="AD579" s="5" t="str">
        <f ca="1">IFERROR(__xludf.DUMMYFUNCTION("""COMPUTED_VALUE"""),"0.04/50")</f>
        <v>0.04/50</v>
      </c>
      <c r="AE579" s="5"/>
      <c r="AF579" s="5"/>
      <c r="AG579" s="10">
        <f ca="1">IFERROR(__xludf.DUMMYFUNCTION("""COMPUTED_VALUE"""),46191.41875)</f>
        <v>46191.418749999997</v>
      </c>
      <c r="AH579" s="5"/>
      <c r="AI579" s="5"/>
      <c r="AJ579" s="5"/>
      <c r="AK579" s="5">
        <f ca="1">IFERROR(__xludf.DUMMYFUNCTION("""COMPUTED_VALUE"""),1)</f>
        <v>1</v>
      </c>
      <c r="AL579" s="5" t="str">
        <f ca="1">IFERROR(__xludf.DUMMYFUNCTION("""COMPUTED_VALUE"""),"No")</f>
        <v>No</v>
      </c>
      <c r="AM579" s="5" t="str">
        <f ca="1">IFERROR(__xludf.DUMMYFUNCTION("""COMPUTED_VALUE"""),"No")</f>
        <v>No</v>
      </c>
      <c r="AN579" s="7" t="str">
        <f ca="1">IFERROR(__xludf.DUMMYFUNCTION("""COMPUTED_VALUE"""),"https://static.redstone.rs/games/crown-blast-40/")</f>
        <v>https://static.redstone.rs/games/crown-blast-40/</v>
      </c>
      <c r="AO579" s="5" t="str">
        <f ca="1">IFERROR(__xludf.DUMMYFUNCTION("""COMPUTED_VALUE"""),"No")</f>
        <v>No</v>
      </c>
      <c r="AP579" s="5" t="str">
        <f ca="1">IFERROR(__xludf.DUMMYFUNCTION("""COMPUTED_VALUE"""),"No")</f>
        <v>No</v>
      </c>
      <c r="AQ579" s="5" t="b">
        <f ca="1">IFERROR(__xludf.DUMMYFUNCTION("""COMPUTED_VALUE"""),TRUE)</f>
        <v>1</v>
      </c>
      <c r="AR579" s="5"/>
      <c r="AS579" s="5" t="str">
        <f ca="1">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AT579" s="5"/>
      <c r="AU579" s="5" t="str">
        <f ca="1">IFERROR(__xludf.DUMMYFUNCTION("""COMPUTED_VALUE"""),"Redstone")</f>
        <v>Redstone</v>
      </c>
      <c r="AV579" s="5"/>
      <c r="AW579" s="5"/>
      <c r="AX579" s="15">
        <f ca="1">IFERROR(__xludf.DUMMYFUNCTION("""COMPUTED_VALUE"""),45923)</f>
        <v>45923</v>
      </c>
      <c r="AY579" s="5"/>
      <c r="AZ579" s="5"/>
      <c r="BA579" s="5"/>
      <c r="BB579" s="5" t="b">
        <f ca="1">IFERROR(__xludf.DUMMYFUNCTION("""COMPUTED_VALUE"""),TRUE)</f>
        <v>1</v>
      </c>
      <c r="BC579" s="5" t="str">
        <f ca="1">IFERROR(__xludf.DUMMYFUNCTION("""COMPUTED_VALUE"""),"Redstone")</f>
        <v>Redstone</v>
      </c>
      <c r="BD579" s="7" t="str">
        <f ca="1">IFERROR(__xludf.DUMMYFUNCTION("""COMPUTED_VALUE"""),"https://static.redstone.rs/games/crown-blast-40/")</f>
        <v>https://static.redstone.rs/games/crown-blast-40/</v>
      </c>
      <c r="BE579" s="5" t="b">
        <f ca="1">IFERROR(__xludf.DUMMYFUNCTION("""COMPUTED_VALUE"""),TRUE)</f>
        <v>1</v>
      </c>
    </row>
    <row r="580" spans="1:57" x14ac:dyDescent="0.25">
      <c r="A580" s="5">
        <f ca="1">IFERROR(__xludf.DUMMYFUNCTION("""COMPUTED_VALUE"""),614)</f>
        <v>614</v>
      </c>
      <c r="B580" s="5">
        <f ca="1">IFERROR(__xludf.DUMMYFUNCTION("""COMPUTED_VALUE"""),180045)</f>
        <v>180045</v>
      </c>
      <c r="C580" s="5" t="str">
        <f ca="1">IFERROR(__xludf.DUMMYFUNCTION("""COMPUTED_VALUE"""),"Redstone")</f>
        <v>Redstone</v>
      </c>
      <c r="D580" s="5" t="str">
        <f ca="1">IFERROR(__xludf.DUMMYFUNCTION("""COMPUTED_VALUE"""),"Crown Royale")</f>
        <v>Crown Royale</v>
      </c>
      <c r="E580" s="5" t="str">
        <f ca="1">IFERROR(__xludf.DUMMYFUNCTION("""COMPUTED_VALUE"""),"Redstone")</f>
        <v>Redstone</v>
      </c>
      <c r="F580" s="5" t="str">
        <f ca="1">IFERROR(__xludf.DUMMYFUNCTION("""COMPUTED_VALUE"""),"RedstoneCrownRoyale")</f>
        <v>RedstoneCrownRoyale</v>
      </c>
      <c r="G580" s="5" t="str">
        <f ca="1">IFERROR(__xludf.DUMMYFUNCTION("""COMPUTED_VALUE"""),"Live")</f>
        <v>Live</v>
      </c>
      <c r="H580" s="5"/>
      <c r="I580" s="5" t="str">
        <f ca="1">IFERROR(__xludf.DUMMYFUNCTION("""COMPUTED_VALUE"""),"Redstone")</f>
        <v>Redstone</v>
      </c>
      <c r="J580" s="5" t="str">
        <f ca="1">IFERROR(__xludf.DUMMYFUNCTION("""COMPUTED_VALUE"""),"JSON")</f>
        <v>JSON</v>
      </c>
      <c r="K580" s="5" t="str">
        <f ca="1">IFERROR(__xludf.DUMMYFUNCTION("""COMPUTED_VALUE"""),"Slot")</f>
        <v>Slot</v>
      </c>
      <c r="L580" s="5"/>
      <c r="M580" s="5"/>
      <c r="N580" s="5"/>
      <c r="O580" s="5"/>
      <c r="P580" s="14">
        <f ca="1">IFERROR(__xludf.DUMMYFUNCTION("""COMPUTED_VALUE"""),7.7)</f>
        <v>7.7</v>
      </c>
      <c r="Q580" s="15">
        <f ca="1">IFERROR(__xludf.DUMMYFUNCTION("""COMPUTED_VALUE"""),45957)</f>
        <v>45957</v>
      </c>
      <c r="R580" s="5"/>
      <c r="S580" s="15">
        <f ca="1">IFERROR(__xludf.DUMMYFUNCTION("""COMPUTED_VALUE"""),45978)</f>
        <v>45978</v>
      </c>
      <c r="T580" s="5"/>
      <c r="U580" s="5" t="str">
        <f ca="1">IFERROR(__xludf.DUMMYFUNCTION("""COMPUTED_VALUE"""),"5x3")</f>
        <v>5x3</v>
      </c>
      <c r="V580" s="5">
        <f ca="1">IFERROR(__xludf.DUMMYFUNCTION("""COMPUTED_VALUE"""),5)</f>
        <v>5</v>
      </c>
      <c r="W580" s="5">
        <f ca="1">IFERROR(__xludf.DUMMYFUNCTION("""COMPUTED_VALUE"""),5)</f>
        <v>5</v>
      </c>
      <c r="X580" s="5">
        <f ca="1">IFERROR(__xludf.DUMMYFUNCTION("""COMPUTED_VALUE"""),96.03)</f>
        <v>96.03</v>
      </c>
      <c r="Y580" s="5" t="str">
        <f ca="1">IFERROR(__xludf.DUMMYFUNCTION("""COMPUTED_VALUE"""),"Medium")</f>
        <v>Medium</v>
      </c>
      <c r="Z580" s="5">
        <f ca="1">IFERROR(__xludf.DUMMYFUNCTION("""COMPUTED_VALUE"""),10.37)</f>
        <v>10.37</v>
      </c>
      <c r="AA580" s="5">
        <f ca="1">IFERROR(__xludf.DUMMYFUNCTION("""COMPUTED_VALUE"""),6150)</f>
        <v>6150</v>
      </c>
      <c r="AB580" s="5"/>
      <c r="AC580" s="5" t="str">
        <f ca="1">IFERROR(__xludf.DUMMYFUNCTION("""COMPUTED_VALUE"""),"Expanding Wild")</f>
        <v>Expanding Wild</v>
      </c>
      <c r="AD580" s="5" t="str">
        <f ca="1">IFERROR(__xludf.DUMMYFUNCTION("""COMPUTED_VALUE"""),"0.02/50")</f>
        <v>0.02/50</v>
      </c>
      <c r="AE580" s="5"/>
      <c r="AF580" s="5"/>
      <c r="AG580" s="10">
        <f ca="1">IFERROR(__xludf.DUMMYFUNCTION("""COMPUTED_VALUE"""),45902.5691666666)</f>
        <v>45902.569166666603</v>
      </c>
      <c r="AH580" s="5" t="str">
        <f ca="1">IFERROR(__xludf.DUMMYFUNCTION("""COMPUTED_VALUE"""),"danica.stojanovic@fazi.rs")</f>
        <v>danica.stojanovic@fazi.rs</v>
      </c>
      <c r="AI580" s="5"/>
      <c r="AJ580" s="5"/>
      <c r="AK580" s="5">
        <f ca="1">IFERROR(__xludf.DUMMYFUNCTION("""COMPUTED_VALUE"""),1)</f>
        <v>1</v>
      </c>
      <c r="AL580" s="5" t="str">
        <f ca="1">IFERROR(__xludf.DUMMYFUNCTION("""COMPUTED_VALUE"""),"No")</f>
        <v>No</v>
      </c>
      <c r="AM580" s="5"/>
      <c r="AN580" s="7" t="str">
        <f ca="1">IFERROR(__xludf.DUMMYFUNCTION("""COMPUTED_VALUE"""),"https://static.redstone.rs/games/crown-royale/")</f>
        <v>https://static.redstone.rs/games/crown-royale/</v>
      </c>
      <c r="AO580" s="5" t="str">
        <f ca="1">IFERROR(__xludf.DUMMYFUNCTION("""COMPUTED_VALUE"""),"No")</f>
        <v>No</v>
      </c>
      <c r="AP580" s="5" t="str">
        <f ca="1">IFERROR(__xludf.DUMMYFUNCTION("""COMPUTED_VALUE"""),"No")</f>
        <v>No</v>
      </c>
      <c r="AQ580" s="5"/>
      <c r="AR580" s="5"/>
      <c r="AS580" s="5" t="str">
        <f ca="1">IFERROR(__xludf.DUMMYFUNCTION("""COMPUTED_VALUE"""),"Step into the world of royal wins! In Crown Royale, every spin brings a chance to claim your crown. Wilds fit for a king!")</f>
        <v>Step into the world of royal wins! In Crown Royale, every spin brings a chance to claim your crown. Wilds fit for a king!</v>
      </c>
      <c r="AT580" s="5"/>
      <c r="AU580" s="5" t="str">
        <f ca="1">IFERROR(__xludf.DUMMYFUNCTION("""COMPUTED_VALUE"""),"Redstone")</f>
        <v>Redstone</v>
      </c>
      <c r="AV580" s="5">
        <f ca="1">IFERROR(__xludf.DUMMYFUNCTION("""COMPUTED_VALUE"""),2)</f>
        <v>2</v>
      </c>
      <c r="AW580" s="5"/>
      <c r="AX580" s="15">
        <f ca="1">IFERROR(__xludf.DUMMYFUNCTION("""COMPUTED_VALUE"""),45951)</f>
        <v>45951</v>
      </c>
      <c r="AY580" s="5"/>
      <c r="AZ580" s="5"/>
      <c r="BA580" s="5" t="str">
        <f ca="1">IFERROR(__xludf.DUMMYFUNCTION("""COMPUTED_VALUE"""),"")</f>
        <v/>
      </c>
      <c r="BB580" s="5"/>
      <c r="BC580" s="5" t="str">
        <f ca="1">IFERROR(__xludf.DUMMYFUNCTION("""COMPUTED_VALUE"""),"Redstone")</f>
        <v>Redstone</v>
      </c>
      <c r="BD580" s="7" t="str">
        <f ca="1">IFERROR(__xludf.DUMMYFUNCTION("""COMPUTED_VALUE"""),"https://static.redstone.rs/games/crown-royale/")</f>
        <v>https://static.redstone.rs/games/crown-royale/</v>
      </c>
      <c r="BE580" s="5"/>
    </row>
    <row r="581" spans="1:57" x14ac:dyDescent="0.25">
      <c r="A581" s="5">
        <f ca="1">IFERROR(__xludf.DUMMYFUNCTION("""COMPUTED_VALUE"""),614)</f>
        <v>614</v>
      </c>
      <c r="B581" s="5">
        <f ca="1">IFERROR(__xludf.DUMMYFUNCTION("""COMPUTED_VALUE"""),180051)</f>
        <v>180051</v>
      </c>
      <c r="C581" s="5" t="str">
        <f ca="1">IFERROR(__xludf.DUMMYFUNCTION("""COMPUTED_VALUE"""),"Redstone")</f>
        <v>Redstone</v>
      </c>
      <c r="D581" s="5" t="str">
        <f ca="1">IFERROR(__xludf.DUMMYFUNCTION("""COMPUTED_VALUE"""),"Double Clover Fire Christmas")</f>
        <v>Double Clover Fire Christmas</v>
      </c>
      <c r="E581" s="5" t="str">
        <f ca="1">IFERROR(__xludf.DUMMYFUNCTION("""COMPUTED_VALUE"""),"Redstone")</f>
        <v>Redstone</v>
      </c>
      <c r="F581" s="5" t="str">
        <f ca="1">IFERROR(__xludf.DUMMYFUNCTION("""COMPUTED_VALUE"""),"RedstoneDoubleCloverFireChristmas")</f>
        <v>RedstoneDoubleCloverFireChristmas</v>
      </c>
      <c r="G581" s="5" t="str">
        <f ca="1">IFERROR(__xludf.DUMMYFUNCTION("""COMPUTED_VALUE"""),"Live")</f>
        <v>Live</v>
      </c>
      <c r="H581" s="5"/>
      <c r="I581" s="5" t="str">
        <f ca="1">IFERROR(__xludf.DUMMYFUNCTION("""COMPUTED_VALUE"""),"Redstone")</f>
        <v>Redstone</v>
      </c>
      <c r="J581" s="5" t="str">
        <f ca="1">IFERROR(__xludf.DUMMYFUNCTION("""COMPUTED_VALUE"""),"JSON")</f>
        <v>JSON</v>
      </c>
      <c r="K581" s="5" t="str">
        <f ca="1">IFERROR(__xludf.DUMMYFUNCTION("""COMPUTED_VALUE"""),"Slot")</f>
        <v>Slot</v>
      </c>
      <c r="L581" s="5"/>
      <c r="M581" s="5"/>
      <c r="N581" s="5"/>
      <c r="O581" s="5"/>
      <c r="P581" s="14">
        <f ca="1">IFERROR(__xludf.DUMMYFUNCTION("""COMPUTED_VALUE"""),6.3)</f>
        <v>6.3</v>
      </c>
      <c r="Q581" s="15">
        <f ca="1">IFERROR(__xludf.DUMMYFUNCTION("""COMPUTED_VALUE"""),45973)</f>
        <v>45973</v>
      </c>
      <c r="R581" s="5"/>
      <c r="S581" s="15">
        <f ca="1">IFERROR(__xludf.DUMMYFUNCTION("""COMPUTED_VALUE"""),46013)</f>
        <v>46013</v>
      </c>
      <c r="T581" s="5" t="b">
        <f ca="1">IFERROR(__xludf.DUMMYFUNCTION("""COMPUTED_VALUE"""),TRUE)</f>
        <v>1</v>
      </c>
      <c r="U581" s="5" t="str">
        <f ca="1">IFERROR(__xludf.DUMMYFUNCTION("""COMPUTED_VALUE"""),"5x3")</f>
        <v>5x3</v>
      </c>
      <c r="V581" s="5">
        <f ca="1">IFERROR(__xludf.DUMMYFUNCTION("""COMPUTED_VALUE"""),5)</f>
        <v>5</v>
      </c>
      <c r="W581" s="5">
        <f ca="1">IFERROR(__xludf.DUMMYFUNCTION("""COMPUTED_VALUE"""),5)</f>
        <v>5</v>
      </c>
      <c r="X581" s="5">
        <f ca="1">IFERROR(__xludf.DUMMYFUNCTION("""COMPUTED_VALUE"""),96.45)</f>
        <v>96.45</v>
      </c>
      <c r="Y581" s="5" t="str">
        <f ca="1">IFERROR(__xludf.DUMMYFUNCTION("""COMPUTED_VALUE"""),"Medium")</f>
        <v>Medium</v>
      </c>
      <c r="Z581" s="5">
        <f ca="1">IFERROR(__xludf.DUMMYFUNCTION("""COMPUTED_VALUE"""),14.23)</f>
        <v>14.23</v>
      </c>
      <c r="AA581" s="5">
        <f ca="1">IFERROR(__xludf.DUMMYFUNCTION("""COMPUTED_VALUE"""),2600)</f>
        <v>2600</v>
      </c>
      <c r="AB581" s="5"/>
      <c r="AC581" s="5" t="str">
        <f ca="1">IFERROR(__xludf.DUMMYFUNCTION("""COMPUTED_VALUE"""),"Expanding Wild, Wild Multiplier")</f>
        <v>Expanding Wild, Wild Multiplier</v>
      </c>
      <c r="AD581" s="5" t="str">
        <f ca="1">IFERROR(__xludf.DUMMYFUNCTION("""COMPUTED_VALUE"""),"0.05/100")</f>
        <v>0.05/100</v>
      </c>
      <c r="AE581" s="5"/>
      <c r="AF581" s="5"/>
      <c r="AG581" s="10">
        <f ca="1">IFERROR(__xludf.DUMMYFUNCTION("""COMPUTED_VALUE"""),45902.5691666666)</f>
        <v>45902.569166666603</v>
      </c>
      <c r="AH581" s="5" t="str">
        <f ca="1">IFERROR(__xludf.DUMMYFUNCTION("""COMPUTED_VALUE"""),"sara.dimitrijevic@fazi.rs")</f>
        <v>sara.dimitrijevic@fazi.rs</v>
      </c>
      <c r="AI581" s="5"/>
      <c r="AJ581" s="5"/>
      <c r="AK581" s="5">
        <f ca="1">IFERROR(__xludf.DUMMYFUNCTION("""COMPUTED_VALUE"""),1)</f>
        <v>1</v>
      </c>
      <c r="AL581" s="5" t="str">
        <f ca="1">IFERROR(__xludf.DUMMYFUNCTION("""COMPUTED_VALUE"""),"No")</f>
        <v>No</v>
      </c>
      <c r="AM581" s="5"/>
      <c r="AN581" s="7" t="str">
        <f ca="1">IFERROR(__xludf.DUMMYFUNCTION("""COMPUTED_VALUE"""),"https://static.redstone.rs/games/double-clover-fire-christmas/")</f>
        <v>https://static.redstone.rs/games/double-clover-fire-christmas/</v>
      </c>
      <c r="AO581" s="5" t="str">
        <f ca="1">IFERROR(__xludf.DUMMYFUNCTION("""COMPUTED_VALUE"""),"No")</f>
        <v>No</v>
      </c>
      <c r="AP581" s="5" t="str">
        <f ca="1">IFERROR(__xludf.DUMMYFUNCTION("""COMPUTED_VALUE"""),"No")</f>
        <v>No</v>
      </c>
      <c r="AQ581" s="5"/>
      <c r="AR581" s="5"/>
      <c r="AS581" s="5" t="str">
        <f ca="1">IFERROR(__xludf.DUMMYFUNCTION("""COMPUTED_VALUE"""),"The central Wild lights up the reels with festive magic, expanding and delivering fiery wins with a dazzling x2 multiplier!")</f>
        <v>The central Wild lights up the reels with festive magic, expanding and delivering fiery wins with a dazzling x2 multiplier!</v>
      </c>
      <c r="AT581" s="5"/>
      <c r="AU581" s="5" t="str">
        <f ca="1">IFERROR(__xludf.DUMMYFUNCTION("""COMPUTED_VALUE"""),"Redstone")</f>
        <v>Redstone</v>
      </c>
      <c r="AV581" s="5">
        <f ca="1">IFERROR(__xludf.DUMMYFUNCTION("""COMPUTED_VALUE"""),1)</f>
        <v>1</v>
      </c>
      <c r="AW581" s="5"/>
      <c r="AX581" s="15">
        <f ca="1">IFERROR(__xludf.DUMMYFUNCTION("""COMPUTED_VALUE"""),45965)</f>
        <v>45965</v>
      </c>
      <c r="AY581" s="5"/>
      <c r="AZ581" s="5"/>
      <c r="BA581" s="5" t="str">
        <f ca="1">IFERROR(__xludf.DUMMYFUNCTION("""COMPUTED_VALUE"""),"")</f>
        <v/>
      </c>
      <c r="BB581" s="5"/>
      <c r="BC581" s="5" t="str">
        <f ca="1">IFERROR(__xludf.DUMMYFUNCTION("""COMPUTED_VALUE"""),"Redstone")</f>
        <v>Redstone</v>
      </c>
      <c r="BD581" s="7" t="str">
        <f ca="1">IFERROR(__xludf.DUMMYFUNCTION("""COMPUTED_VALUE"""),"https://static.redstone.rs/games/double-clover-fire-christmas/")</f>
        <v>https://static.redstone.rs/games/double-clover-fire-christmas/</v>
      </c>
      <c r="BE581" s="5"/>
    </row>
    <row r="582" spans="1:57" x14ac:dyDescent="0.25">
      <c r="A582" s="5">
        <f ca="1">IFERROR(__xludf.DUMMYFUNCTION("""COMPUTED_VALUE"""),615)</f>
        <v>615</v>
      </c>
      <c r="B582" s="5">
        <f ca="1">IFERROR(__xludf.DUMMYFUNCTION("""COMPUTED_VALUE"""),180046)</f>
        <v>180046</v>
      </c>
      <c r="C582" s="5" t="str">
        <f ca="1">IFERROR(__xludf.DUMMYFUNCTION("""COMPUTED_VALUE"""),"Redstone")</f>
        <v>Redstone</v>
      </c>
      <c r="D582" s="5" t="str">
        <f ca="1">IFERROR(__xludf.DUMMYFUNCTION("""COMPUTED_VALUE"""),"Chilli Double 40")</f>
        <v>Chilli Double 40</v>
      </c>
      <c r="E582" s="5" t="str">
        <f ca="1">IFERROR(__xludf.DUMMYFUNCTION("""COMPUTED_VALUE"""),"Redstone")</f>
        <v>Redstone</v>
      </c>
      <c r="F582" s="5" t="str">
        <f ca="1">IFERROR(__xludf.DUMMYFUNCTION("""COMPUTED_VALUE"""),"RedstoneChilliDouble40")</f>
        <v>RedstoneChilliDouble40</v>
      </c>
      <c r="G582" s="5" t="str">
        <f ca="1">IFERROR(__xludf.DUMMYFUNCTION("""COMPUTED_VALUE"""),"Live")</f>
        <v>Live</v>
      </c>
      <c r="H582" s="5"/>
      <c r="I582" s="5" t="str">
        <f ca="1">IFERROR(__xludf.DUMMYFUNCTION("""COMPUTED_VALUE"""),"Redstone")</f>
        <v>Redstone</v>
      </c>
      <c r="J582" s="5" t="str">
        <f ca="1">IFERROR(__xludf.DUMMYFUNCTION("""COMPUTED_VALUE"""),"JSON")</f>
        <v>JSON</v>
      </c>
      <c r="K582" s="5" t="str">
        <f ca="1">IFERROR(__xludf.DUMMYFUNCTION("""COMPUTED_VALUE"""),"Slot")</f>
        <v>Slot</v>
      </c>
      <c r="L582" s="5" t="str">
        <f ca="1">IFERROR(__xludf.DUMMYFUNCTION("""COMPUTED_VALUE"""),"Master")</f>
        <v>Master</v>
      </c>
      <c r="M582" s="5"/>
      <c r="N582" s="7" t="str">
        <f ca="1">IFERROR(__xludf.DUMMYFUNCTION("""COMPUTED_VALUE"""),"https://docs.google.com/document/d/1pGz8v4wEYOaOb3oRWonm64YBQQLWyukQ/edit?usp=drive_link&amp;ouid=107596163405648766688&amp;rtpof=true&amp;sd=true")</f>
        <v>https://docs.google.com/document/d/1pGz8v4wEYOaOb3oRWonm64YBQQLWyukQ/edit?usp=drive_link&amp;ouid=107596163405648766688&amp;rtpof=true&amp;sd=true</v>
      </c>
      <c r="O582" s="7" t="str">
        <f ca="1">IFERROR(__xludf.DUMMYFUNCTION("""COMPUTED_VALUE"""),"https://docs.google.com/document/d/1P0OLybWJSmCwl1aJINFLKqWmFR4_1TKT/edit?usp=drive_link&amp;ouid=107596163405648766688&amp;rtpof=true&amp;sd=true")</f>
        <v>https://docs.google.com/document/d/1P0OLybWJSmCwl1aJINFLKqWmFR4_1TKT/edit?usp=drive_link&amp;ouid=107596163405648766688&amp;rtpof=true&amp;sd=true</v>
      </c>
      <c r="P582" s="14">
        <f ca="1">IFERROR(__xludf.DUMMYFUNCTION("""COMPUTED_VALUE"""),7.4)</f>
        <v>7.4</v>
      </c>
      <c r="Q582" s="15">
        <f ca="1">IFERROR(__xludf.DUMMYFUNCTION("""COMPUTED_VALUE"""),45929)</f>
        <v>45929</v>
      </c>
      <c r="R582" s="15">
        <f ca="1">IFERROR(__xludf.DUMMYFUNCTION("""COMPUTED_VALUE"""),45979)</f>
        <v>45979</v>
      </c>
      <c r="S582" s="15">
        <f ca="1">IFERROR(__xludf.DUMMYFUNCTION("""COMPUTED_VALUE"""),45986)</f>
        <v>45986</v>
      </c>
      <c r="T582" s="5" t="b">
        <f ca="1">IFERROR(__xludf.DUMMYFUNCTION("""COMPUTED_VALUE"""),TRUE)</f>
        <v>1</v>
      </c>
      <c r="U582" s="5" t="str">
        <f ca="1">IFERROR(__xludf.DUMMYFUNCTION("""COMPUTED_VALUE"""),"5x3")</f>
        <v>5x3</v>
      </c>
      <c r="V582" s="5">
        <f ca="1">IFERROR(__xludf.DUMMYFUNCTION("""COMPUTED_VALUE"""),40)</f>
        <v>40</v>
      </c>
      <c r="W582" s="5">
        <f ca="1">IFERROR(__xludf.DUMMYFUNCTION("""COMPUTED_VALUE"""),40)</f>
        <v>40</v>
      </c>
      <c r="X582" s="5">
        <f ca="1">IFERROR(__xludf.DUMMYFUNCTION("""COMPUTED_VALUE"""),95.99)</f>
        <v>95.99</v>
      </c>
      <c r="Y582" s="5" t="str">
        <f ca="1">IFERROR(__xludf.DUMMYFUNCTION("""COMPUTED_VALUE"""),"Medium")</f>
        <v>Medium</v>
      </c>
      <c r="Z582" s="5">
        <f ca="1">IFERROR(__xludf.DUMMYFUNCTION("""COMPUTED_VALUE"""),19.73)</f>
        <v>19.73</v>
      </c>
      <c r="AA582" s="5">
        <f ca="1">IFERROR(__xludf.DUMMYFUNCTION("""COMPUTED_VALUE"""),1290)</f>
        <v>1290</v>
      </c>
      <c r="AB582" s="5"/>
      <c r="AC582" s="5" t="str">
        <f ca="1">IFERROR(__xludf.DUMMYFUNCTION("""COMPUTED_VALUE"""),"Expanding Wild, Scatter")</f>
        <v>Expanding Wild, Scatter</v>
      </c>
      <c r="AD582" s="5" t="str">
        <f ca="1">IFERROR(__xludf.DUMMYFUNCTION("""COMPUTED_VALUE"""),"0.04/50")</f>
        <v>0.04/50</v>
      </c>
      <c r="AE582" s="5"/>
      <c r="AF582" s="5"/>
      <c r="AG582" s="10">
        <f ca="1">IFERROR(__xludf.DUMMYFUNCTION("""COMPUTED_VALUE"""),46191.528136574)</f>
        <v>46191.528136574001</v>
      </c>
      <c r="AH582" s="5"/>
      <c r="AI582" s="5"/>
      <c r="AJ582" s="5"/>
      <c r="AK582" s="5">
        <f ca="1">IFERROR(__xludf.DUMMYFUNCTION("""COMPUTED_VALUE"""),1)</f>
        <v>1</v>
      </c>
      <c r="AL582" s="5" t="str">
        <f ca="1">IFERROR(__xludf.DUMMYFUNCTION("""COMPUTED_VALUE"""),"No")</f>
        <v>No</v>
      </c>
      <c r="AM582" s="5" t="str">
        <f ca="1">IFERROR(__xludf.DUMMYFUNCTION("""COMPUTED_VALUE"""),"No")</f>
        <v>No</v>
      </c>
      <c r="AN582" s="7" t="str">
        <f ca="1">IFERROR(__xludf.DUMMYFUNCTION("""COMPUTED_VALUE"""),"https://static.redstone.rs/games/chilli-double-40/")</f>
        <v>https://static.redstone.rs/games/chilli-double-40/</v>
      </c>
      <c r="AO582" s="5" t="str">
        <f ca="1">IFERROR(__xludf.DUMMYFUNCTION("""COMPUTED_VALUE"""),"No")</f>
        <v>No</v>
      </c>
      <c r="AP582" s="5" t="str">
        <f ca="1">IFERROR(__xludf.DUMMYFUNCTION("""COMPUTED_VALUE"""),"No")</f>
        <v>No</v>
      </c>
      <c r="AQ582" s="5" t="b">
        <f ca="1">IFERROR(__xludf.DUMMYFUNCTION("""COMPUTED_VALUE"""),TRUE)</f>
        <v>1</v>
      </c>
      <c r="AR582" s="5"/>
      <c r="AS582" s="5" t="str">
        <f ca="1">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AT582" s="5"/>
      <c r="AU582" s="5" t="str">
        <f ca="1">IFERROR(__xludf.DUMMYFUNCTION("""COMPUTED_VALUE"""),"Redstone")</f>
        <v>Redstone</v>
      </c>
      <c r="AV582" s="5"/>
      <c r="AW582" s="5"/>
      <c r="AX582" s="15">
        <f ca="1">IFERROR(__xludf.DUMMYFUNCTION("""COMPUTED_VALUE"""),45923)</f>
        <v>45923</v>
      </c>
      <c r="AY582" s="5"/>
      <c r="AZ582" s="5"/>
      <c r="BA582" s="5"/>
      <c r="BB582" s="5" t="b">
        <f ca="1">IFERROR(__xludf.DUMMYFUNCTION("""COMPUTED_VALUE"""),TRUE)</f>
        <v>1</v>
      </c>
      <c r="BC582" s="5" t="str">
        <f ca="1">IFERROR(__xludf.DUMMYFUNCTION("""COMPUTED_VALUE"""),"Redstone")</f>
        <v>Redstone</v>
      </c>
      <c r="BD582" s="7" t="str">
        <f ca="1">IFERROR(__xludf.DUMMYFUNCTION("""COMPUTED_VALUE"""),"https://static.redstone.rs/games/chilli-double-40/")</f>
        <v>https://static.redstone.rs/games/chilli-double-40/</v>
      </c>
      <c r="BE582" s="5" t="b">
        <f ca="1">IFERROR(__xludf.DUMMYFUNCTION("""COMPUTED_VALUE"""),TRUE)</f>
        <v>1</v>
      </c>
    </row>
    <row r="583" spans="1:57" x14ac:dyDescent="0.25">
      <c r="A583" s="5">
        <f ca="1">IFERROR(__xludf.DUMMYFUNCTION("""COMPUTED_VALUE"""),616)</f>
        <v>616</v>
      </c>
      <c r="B583" s="5">
        <f ca="1">IFERROR(__xludf.DUMMYFUNCTION("""COMPUTED_VALUE"""),180050)</f>
        <v>180050</v>
      </c>
      <c r="C583" s="5" t="str">
        <f ca="1">IFERROR(__xludf.DUMMYFUNCTION("""COMPUTED_VALUE"""),"Redstone")</f>
        <v>Redstone</v>
      </c>
      <c r="D583" s="5" t="str">
        <f ca="1">IFERROR(__xludf.DUMMYFUNCTION("""COMPUTED_VALUE"""),"20 Coin Collector")</f>
        <v>20 Coin Collector</v>
      </c>
      <c r="E583" s="5" t="str">
        <f ca="1">IFERROR(__xludf.DUMMYFUNCTION("""COMPUTED_VALUE"""),"Redstone")</f>
        <v>Redstone</v>
      </c>
      <c r="F583" s="5" t="str">
        <f ca="1">IFERROR(__xludf.DUMMYFUNCTION("""COMPUTED_VALUE"""),"Redstone20CoinCollector")</f>
        <v>Redstone20CoinCollector</v>
      </c>
      <c r="G583" s="5" t="str">
        <f ca="1">IFERROR(__xludf.DUMMYFUNCTION("""COMPUTED_VALUE"""),"Planned")</f>
        <v>Planned</v>
      </c>
      <c r="H583" s="5"/>
      <c r="I583" s="5"/>
      <c r="J583" s="5"/>
      <c r="K583" s="5" t="str">
        <f ca="1">IFERROR(__xludf.DUMMYFUNCTION("""COMPUTED_VALUE"""),"Slot")</f>
        <v>Slot</v>
      </c>
      <c r="L583" s="5"/>
      <c r="M583" s="5"/>
      <c r="N583" s="5"/>
      <c r="O583" s="5"/>
      <c r="P583" s="5"/>
      <c r="Q583" s="15">
        <f ca="1">IFERROR(__xludf.DUMMYFUNCTION("""COMPUTED_VALUE"""),45999)</f>
        <v>45999</v>
      </c>
      <c r="R583" s="15">
        <f ca="1">IFERROR(__xludf.DUMMYFUNCTION("""COMPUTED_VALUE"""),46000)</f>
        <v>46000</v>
      </c>
      <c r="S583" s="5"/>
      <c r="T583" s="5" t="b">
        <f ca="1">IFERROR(__xludf.DUMMYFUNCTION("""COMPUTED_VALUE"""),FALSE)</f>
        <v>0</v>
      </c>
      <c r="U583" s="5"/>
      <c r="V583" s="5"/>
      <c r="W583" s="5"/>
      <c r="X583" s="5"/>
      <c r="Y583" s="5"/>
      <c r="Z583" s="5"/>
      <c r="AA583" s="5"/>
      <c r="AB583" s="5"/>
      <c r="AC583" s="5"/>
      <c r="AD583" s="5"/>
      <c r="AE583" s="5"/>
      <c r="AF583" s="5"/>
      <c r="AG583" s="10">
        <f ca="1">IFERROR(__xludf.DUMMYFUNCTION("""COMPUTED_VALUE"""),45996.5947916666)</f>
        <v>45996.594791666597</v>
      </c>
      <c r="AH583" s="5" t="str">
        <f ca="1">IFERROR(__xludf.DUMMYFUNCTION("""COMPUTED_VALUE"""),"iva.cirkovic@fazi.rs")</f>
        <v>iva.cirkovic@fazi.rs</v>
      </c>
      <c r="AI583" s="5"/>
      <c r="AJ583" s="5"/>
      <c r="AK583" s="5"/>
      <c r="AL583" s="5"/>
      <c r="AM583" s="5"/>
      <c r="AN583" s="5"/>
      <c r="AO583" s="5"/>
      <c r="AP583" s="5"/>
      <c r="AQ583" s="5"/>
      <c r="AR583" s="5"/>
      <c r="AS583" s="5"/>
      <c r="AT583" s="5"/>
      <c r="AU583" s="5" t="str">
        <f ca="1">IFERROR(__xludf.DUMMYFUNCTION("""COMPUTED_VALUE"""),"Redstone")</f>
        <v>Redstone</v>
      </c>
      <c r="AV583" s="5"/>
      <c r="AW583" s="5"/>
      <c r="AX583" s="15">
        <f ca="1">IFERROR(__xludf.DUMMYFUNCTION("""COMPUTED_VALUE"""),45993)</f>
        <v>45993</v>
      </c>
      <c r="AY583" s="5"/>
      <c r="AZ583" s="5"/>
      <c r="BA583" s="5" t="str">
        <f ca="1">IFERROR(__xludf.DUMMYFUNCTION("""COMPUTED_VALUE"""),"")</f>
        <v/>
      </c>
      <c r="BB583" s="5"/>
      <c r="BC583" s="5" t="str">
        <f ca="1">IFERROR(__xludf.DUMMYFUNCTION("""COMPUTED_VALUE"""),"Redstone")</f>
        <v>Redstone</v>
      </c>
      <c r="BD583" s="5"/>
      <c r="BE583" s="5"/>
    </row>
    <row r="584" spans="1:57" x14ac:dyDescent="0.25">
      <c r="A584" s="5">
        <f ca="1">IFERROR(__xludf.DUMMYFUNCTION("""COMPUTED_VALUE"""),617)</f>
        <v>617</v>
      </c>
      <c r="B584" s="5">
        <f ca="1">IFERROR(__xludf.DUMMYFUNCTION("""COMPUTED_VALUE"""),180049)</f>
        <v>180049</v>
      </c>
      <c r="C584" s="5" t="str">
        <f ca="1">IFERROR(__xludf.DUMMYFUNCTION("""COMPUTED_VALUE"""),"Redstone")</f>
        <v>Redstone</v>
      </c>
      <c r="D584" s="5" t="str">
        <f ca="1">IFERROR(__xludf.DUMMYFUNCTION("""COMPUTED_VALUE"""),"5 Bomb Fire")</f>
        <v>5 Bomb Fire</v>
      </c>
      <c r="E584" s="5" t="str">
        <f ca="1">IFERROR(__xludf.DUMMYFUNCTION("""COMPUTED_VALUE"""),"Redstone")</f>
        <v>Redstone</v>
      </c>
      <c r="F584" s="5" t="str">
        <f ca="1">IFERROR(__xludf.DUMMYFUNCTION("""COMPUTED_VALUE"""),"Redstone5BombFire")</f>
        <v>Redstone5BombFire</v>
      </c>
      <c r="G584" s="5" t="str">
        <f ca="1">IFERROR(__xludf.DUMMYFUNCTION("""COMPUTED_VALUE"""),"In Development")</f>
        <v>In Development</v>
      </c>
      <c r="H584" s="5"/>
      <c r="I584" s="5"/>
      <c r="J584" s="5"/>
      <c r="K584" s="5" t="str">
        <f ca="1">IFERROR(__xludf.DUMMYFUNCTION("""COMPUTED_VALUE"""),"Slot")</f>
        <v>Slot</v>
      </c>
      <c r="L584" s="5"/>
      <c r="M584" s="5"/>
      <c r="N584" s="5"/>
      <c r="O584" s="5"/>
      <c r="P584" s="5"/>
      <c r="Q584" s="5"/>
      <c r="R584" s="5"/>
      <c r="S584" s="5"/>
      <c r="T584" s="5"/>
      <c r="U584" s="5"/>
      <c r="V584" s="5"/>
      <c r="W584" s="5"/>
      <c r="X584" s="5"/>
      <c r="Y584" s="5"/>
      <c r="Z584" s="5"/>
      <c r="AA584" s="5"/>
      <c r="AB584" s="5"/>
      <c r="AC584" s="5"/>
      <c r="AD584" s="5"/>
      <c r="AE584" s="5"/>
      <c r="AF584" s="5"/>
      <c r="AG584" s="10">
        <f ca="1">IFERROR(__xludf.DUMMYFUNCTION("""COMPUTED_VALUE"""),45958.4698263888)</f>
        <v>45958.469826388799</v>
      </c>
      <c r="AH584" s="5" t="str">
        <f ca="1">IFERROR(__xludf.DUMMYFUNCTION("""COMPUTED_VALUE"""),"danica.stojanovic@fazi.rs")</f>
        <v>danica.stojanovic@fazi.rs</v>
      </c>
      <c r="AI584" s="5"/>
      <c r="AJ584" s="5"/>
      <c r="AK584" s="5"/>
      <c r="AL584" s="5"/>
      <c r="AM584" s="5"/>
      <c r="AN584" s="5"/>
      <c r="AO584" s="5"/>
      <c r="AP584" s="5"/>
      <c r="AQ584" s="5"/>
      <c r="AR584" s="5"/>
      <c r="AS584" s="5"/>
      <c r="AT584" s="5"/>
      <c r="AU584" s="5" t="str">
        <f ca="1">IFERROR(__xludf.DUMMYFUNCTION("""COMPUTED_VALUE"""),"Redstone")</f>
        <v>Redstone</v>
      </c>
      <c r="AV584" s="5"/>
      <c r="AW584" s="5"/>
      <c r="AX584" s="5"/>
      <c r="AY584" s="5"/>
      <c r="AZ584" s="5"/>
      <c r="BA584" s="5" t="str">
        <f ca="1">IFERROR(__xludf.DUMMYFUNCTION("""COMPUTED_VALUE"""),"")</f>
        <v/>
      </c>
      <c r="BB584" s="5"/>
      <c r="BC584" s="5" t="str">
        <f ca="1">IFERROR(__xludf.DUMMYFUNCTION("""COMPUTED_VALUE"""),"Redstone")</f>
        <v>Redstone</v>
      </c>
      <c r="BD584" s="5"/>
      <c r="BE584" s="5"/>
    </row>
    <row r="585" spans="1:57" x14ac:dyDescent="0.25">
      <c r="A585" s="5">
        <f ca="1">IFERROR(__xludf.DUMMYFUNCTION("""COMPUTED_VALUE"""),618)</f>
        <v>618</v>
      </c>
      <c r="B585" s="5">
        <f ca="1">IFERROR(__xludf.DUMMYFUNCTION("""COMPUTED_VALUE"""),180047)</f>
        <v>180047</v>
      </c>
      <c r="C585" s="5" t="str">
        <f ca="1">IFERROR(__xludf.DUMMYFUNCTION("""COMPUTED_VALUE"""),"Redstone")</f>
        <v>Redstone</v>
      </c>
      <c r="D585" s="5" t="str">
        <f ca="1">IFERROR(__xludf.DUMMYFUNCTION("""COMPUTED_VALUE"""),"Respin Gems")</f>
        <v>Respin Gems</v>
      </c>
      <c r="E585" s="5" t="str">
        <f ca="1">IFERROR(__xludf.DUMMYFUNCTION("""COMPUTED_VALUE"""),"Redstone")</f>
        <v>Redstone</v>
      </c>
      <c r="F585" s="5" t="str">
        <f ca="1">IFERROR(__xludf.DUMMYFUNCTION("""COMPUTED_VALUE"""),"RedstoneRespinGems")</f>
        <v>RedstoneRespinGems</v>
      </c>
      <c r="G585" s="5" t="str">
        <f ca="1">IFERROR(__xludf.DUMMYFUNCTION("""COMPUTED_VALUE"""),"Live")</f>
        <v>Live</v>
      </c>
      <c r="H585" s="5"/>
      <c r="I585" s="5" t="str">
        <f ca="1">IFERROR(__xludf.DUMMYFUNCTION("""COMPUTED_VALUE"""),"Redstone")</f>
        <v>Redstone</v>
      </c>
      <c r="J585" s="5" t="str">
        <f ca="1">IFERROR(__xludf.DUMMYFUNCTION("""COMPUTED_VALUE"""),"JSON")</f>
        <v>JSON</v>
      </c>
      <c r="K585" s="5" t="str">
        <f ca="1">IFERROR(__xludf.DUMMYFUNCTION("""COMPUTED_VALUE"""),"Slot")</f>
        <v>Slot</v>
      </c>
      <c r="L585" s="5" t="str">
        <f ca="1">IFERROR(__xludf.DUMMYFUNCTION("""COMPUTED_VALUE"""),"Master")</f>
        <v>Master</v>
      </c>
      <c r="M585" s="5"/>
      <c r="N585" s="7" t="str">
        <f ca="1">IFERROR(__xludf.DUMMYFUNCTION("""COMPUTED_VALUE"""),"https://docs.google.com/document/d/14qfdOa4DH6f1LMLro6CIQl5qhYhqBTv_/edit?usp=drive_link&amp;ouid=107596163405648766688&amp;rtpof=true&amp;sd=true")</f>
        <v>https://docs.google.com/document/d/14qfdOa4DH6f1LMLro6CIQl5qhYhqBTv_/edit?usp=drive_link&amp;ouid=107596163405648766688&amp;rtpof=true&amp;sd=true</v>
      </c>
      <c r="O585" s="7" t="str">
        <f ca="1">IFERROR(__xludf.DUMMYFUNCTION("""COMPUTED_VALUE"""),"https://docs.google.com/document/d/1GX-x1OumJ4cDvfNLgsM7VpoBD-1Sp7L6/edit?usp=drive_link&amp;ouid=107596163405648766688&amp;rtpof=true&amp;sd=true")</f>
        <v>https://docs.google.com/document/d/1GX-x1OumJ4cDvfNLgsM7VpoBD-1Sp7L6/edit?usp=drive_link&amp;ouid=107596163405648766688&amp;rtpof=true&amp;sd=true</v>
      </c>
      <c r="P585" s="14">
        <f ca="1">IFERROR(__xludf.DUMMYFUNCTION("""COMPUTED_VALUE"""),9.8)</f>
        <v>9.8000000000000007</v>
      </c>
      <c r="Q585" s="15">
        <f ca="1">IFERROR(__xludf.DUMMYFUNCTION("""COMPUTED_VALUE"""),45957)</f>
        <v>45957</v>
      </c>
      <c r="R585" s="15">
        <f ca="1">IFERROR(__xludf.DUMMYFUNCTION("""COMPUTED_VALUE"""),45985)</f>
        <v>45985</v>
      </c>
      <c r="S585" s="15">
        <f ca="1">IFERROR(__xludf.DUMMYFUNCTION("""COMPUTED_VALUE"""),45992)</f>
        <v>45992</v>
      </c>
      <c r="T585" s="5" t="b">
        <f ca="1">IFERROR(__xludf.DUMMYFUNCTION("""COMPUTED_VALUE"""),TRUE)</f>
        <v>1</v>
      </c>
      <c r="U585" s="5" t="str">
        <f ca="1">IFERROR(__xludf.DUMMYFUNCTION("""COMPUTED_VALUE"""),"5x3")</f>
        <v>5x3</v>
      </c>
      <c r="V585" s="5">
        <f ca="1">IFERROR(__xludf.DUMMYFUNCTION("""COMPUTED_VALUE"""),5)</f>
        <v>5</v>
      </c>
      <c r="W585" s="5">
        <f ca="1">IFERROR(__xludf.DUMMYFUNCTION("""COMPUTED_VALUE"""),5)</f>
        <v>5</v>
      </c>
      <c r="X585" s="5">
        <f ca="1">IFERROR(__xludf.DUMMYFUNCTION("""COMPUTED_VALUE"""),95.96)</f>
        <v>95.96</v>
      </c>
      <c r="Y585" s="5" t="str">
        <f ca="1">IFERROR(__xludf.DUMMYFUNCTION("""COMPUTED_VALUE"""),"Medium")</f>
        <v>Medium</v>
      </c>
      <c r="Z585" s="5">
        <f ca="1">IFERROR(__xludf.DUMMYFUNCTION("""COMPUTED_VALUE"""),11.39)</f>
        <v>11.39</v>
      </c>
      <c r="AA585" s="5">
        <f ca="1">IFERROR(__xludf.DUMMYFUNCTION("""COMPUTED_VALUE"""),1222)</f>
        <v>1222</v>
      </c>
      <c r="AB585" s="5"/>
      <c r="AC585" s="5" t="str">
        <f ca="1">IFERROR(__xludf.DUMMYFUNCTION("""COMPUTED_VALUE"""),"Expanding Wild, Scatter, Sticky Wild")</f>
        <v>Expanding Wild, Scatter, Sticky Wild</v>
      </c>
      <c r="AD585" s="5" t="str">
        <f ca="1">IFERROR(__xludf.DUMMYFUNCTION("""COMPUTED_VALUE"""),"0.02/60")</f>
        <v>0.02/60</v>
      </c>
      <c r="AE585" s="5"/>
      <c r="AF585" s="5"/>
      <c r="AG585" s="10">
        <f ca="1">IFERROR(__xludf.DUMMYFUNCTION("""COMPUTED_VALUE"""),46212.5620138888)</f>
        <v>46212.562013888797</v>
      </c>
      <c r="AH585" s="5" t="str">
        <f ca="1">IFERROR(__xludf.DUMMYFUNCTION("""COMPUTED_VALUE"""),"selena.mihajlovic@fazi.rs")</f>
        <v>selena.mihajlovic@fazi.rs</v>
      </c>
      <c r="AI585" s="5"/>
      <c r="AJ585" s="5"/>
      <c r="AK585" s="5">
        <f ca="1">IFERROR(__xludf.DUMMYFUNCTION("""COMPUTED_VALUE"""),1)</f>
        <v>1</v>
      </c>
      <c r="AL585" s="5" t="str">
        <f ca="1">IFERROR(__xludf.DUMMYFUNCTION("""COMPUTED_VALUE"""),"No")</f>
        <v>No</v>
      </c>
      <c r="AM585" s="5" t="str">
        <f ca="1">IFERROR(__xludf.DUMMYFUNCTION("""COMPUTED_VALUE"""),"Yes")</f>
        <v>Yes</v>
      </c>
      <c r="AN585" s="7" t="str">
        <f ca="1">IFERROR(__xludf.DUMMYFUNCTION("""COMPUTED_VALUE"""),"https://static.redstone.rs/games/respin-gems/")</f>
        <v>https://static.redstone.rs/games/respin-gems/</v>
      </c>
      <c r="AO585" s="5" t="str">
        <f ca="1">IFERROR(__xludf.DUMMYFUNCTION("""COMPUTED_VALUE"""),"No")</f>
        <v>No</v>
      </c>
      <c r="AP585" s="5" t="str">
        <f ca="1">IFERROR(__xludf.DUMMYFUNCTION("""COMPUTED_VALUE"""),"No")</f>
        <v>No</v>
      </c>
      <c r="AQ585" s="5" t="b">
        <f ca="1">IFERROR(__xludf.DUMMYFUNCTION("""COMPUTED_VALUE"""),TRUE)</f>
        <v>1</v>
      </c>
      <c r="AR585" s="5"/>
      <c r="AS585" s="5" t="str">
        <f ca="1">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AT585" s="5"/>
      <c r="AU585" s="5" t="str">
        <f ca="1">IFERROR(__xludf.DUMMYFUNCTION("""COMPUTED_VALUE"""),"Redstone")</f>
        <v>Redstone</v>
      </c>
      <c r="AV585" s="5"/>
      <c r="AW585" s="5"/>
      <c r="AX585" s="15">
        <f ca="1">IFERROR(__xludf.DUMMYFUNCTION("""COMPUTED_VALUE"""),45951)</f>
        <v>45951</v>
      </c>
      <c r="AY585" s="5"/>
      <c r="AZ585" s="5"/>
      <c r="BA585" s="5"/>
      <c r="BB585" s="5" t="b">
        <f ca="1">IFERROR(__xludf.DUMMYFUNCTION("""COMPUTED_VALUE"""),TRUE)</f>
        <v>1</v>
      </c>
      <c r="BC585" s="5" t="str">
        <f ca="1">IFERROR(__xludf.DUMMYFUNCTION("""COMPUTED_VALUE"""),"Redstone")</f>
        <v>Redstone</v>
      </c>
      <c r="BD585" s="7" t="str">
        <f ca="1">IFERROR(__xludf.DUMMYFUNCTION("""COMPUTED_VALUE"""),"https://static.redstone.rs/games/respin-gems/")</f>
        <v>https://static.redstone.rs/games/respin-gems/</v>
      </c>
      <c r="BE585" s="5" t="b">
        <f ca="1">IFERROR(__xludf.DUMMYFUNCTION("""COMPUTED_VALUE"""),TRUE)</f>
        <v>1</v>
      </c>
    </row>
    <row r="586" spans="1:57" x14ac:dyDescent="0.25">
      <c r="A586" s="5">
        <f ca="1">IFERROR(__xludf.DUMMYFUNCTION("""COMPUTED_VALUE"""),619)</f>
        <v>619</v>
      </c>
      <c r="B586" s="5">
        <f ca="1">IFERROR(__xludf.DUMMYFUNCTION("""COMPUTED_VALUE"""),180048)</f>
        <v>180048</v>
      </c>
      <c r="C586" s="5" t="str">
        <f ca="1">IFERROR(__xludf.DUMMYFUNCTION("""COMPUTED_VALUE"""),"Redstone")</f>
        <v>Redstone</v>
      </c>
      <c r="D586" s="5" t="str">
        <f ca="1">IFERROR(__xludf.DUMMYFUNCTION("""COMPUTED_VALUE"""),"9 of a Kind")</f>
        <v>9 of a Kind</v>
      </c>
      <c r="E586" s="5" t="str">
        <f ca="1">IFERROR(__xludf.DUMMYFUNCTION("""COMPUTED_VALUE"""),"Redstone")</f>
        <v>Redstone</v>
      </c>
      <c r="F586" s="5" t="str">
        <f ca="1">IFERROR(__xludf.DUMMYFUNCTION("""COMPUTED_VALUE"""),"Redstone9ofaKind")</f>
        <v>Redstone9ofaKind</v>
      </c>
      <c r="G586" s="5" t="str">
        <f ca="1">IFERROR(__xludf.DUMMYFUNCTION("""COMPUTED_VALUE"""),"Live")</f>
        <v>Live</v>
      </c>
      <c r="H586" s="5"/>
      <c r="I586" s="5" t="str">
        <f ca="1">IFERROR(__xludf.DUMMYFUNCTION("""COMPUTED_VALUE"""),"Redstone")</f>
        <v>Redstone</v>
      </c>
      <c r="J586" s="5" t="str">
        <f ca="1">IFERROR(__xludf.DUMMYFUNCTION("""COMPUTED_VALUE"""),"JSON")</f>
        <v>JSON</v>
      </c>
      <c r="K586" s="5" t="str">
        <f ca="1">IFERROR(__xludf.DUMMYFUNCTION("""COMPUTED_VALUE"""),"Slot")</f>
        <v>Slot</v>
      </c>
      <c r="L586" s="5" t="str">
        <f ca="1">IFERROR(__xludf.DUMMYFUNCTION("""COMPUTED_VALUE"""),"Master")</f>
        <v>Master</v>
      </c>
      <c r="M586" s="5"/>
      <c r="N586" s="7" t="str">
        <f ca="1">IFERROR(__xludf.DUMMYFUNCTION("""COMPUTED_VALUE"""),"https://docs.google.com/document/d/16mVOqNDHj0YfOy86pbA6dbbJw00ix8XV/edit?usp=drive_link&amp;ouid=107596163405648766688&amp;rtpof=true&amp;sd=true")</f>
        <v>https://docs.google.com/document/d/16mVOqNDHj0YfOy86pbA6dbbJw00ix8XV/edit?usp=drive_link&amp;ouid=107596163405648766688&amp;rtpof=true&amp;sd=true</v>
      </c>
      <c r="O586" s="7" t="str">
        <f ca="1">IFERROR(__xludf.DUMMYFUNCTION("""COMPUTED_VALUE"""),"https://docs.google.com/document/d/1n3iagnwoNQgP7OEszAJZ7lrySjhjx3fU/edit?usp=drive_link&amp;ouid=107596163405648766688&amp;rtpof=true&amp;sd=true")</f>
        <v>https://docs.google.com/document/d/1n3iagnwoNQgP7OEszAJZ7lrySjhjx3fU/edit?usp=drive_link&amp;ouid=107596163405648766688&amp;rtpof=true&amp;sd=true</v>
      </c>
      <c r="P586" s="14">
        <f ca="1">IFERROR(__xludf.DUMMYFUNCTION("""COMPUTED_VALUE"""),13)</f>
        <v>13</v>
      </c>
      <c r="Q586" s="15">
        <f ca="1">IFERROR(__xludf.DUMMYFUNCTION("""COMPUTED_VALUE"""),45973)</f>
        <v>45973</v>
      </c>
      <c r="R586" s="15">
        <f ca="1">IFERROR(__xludf.DUMMYFUNCTION("""COMPUTED_VALUE"""),45986)</f>
        <v>45986</v>
      </c>
      <c r="S586" s="15">
        <f ca="1">IFERROR(__xludf.DUMMYFUNCTION("""COMPUTED_VALUE"""),45993)</f>
        <v>45993</v>
      </c>
      <c r="T586" s="5" t="b">
        <f ca="1">IFERROR(__xludf.DUMMYFUNCTION("""COMPUTED_VALUE"""),TRUE)</f>
        <v>1</v>
      </c>
      <c r="U586" s="5" t="str">
        <f ca="1">IFERROR(__xludf.DUMMYFUNCTION("""COMPUTED_VALUE"""),"3x3")</f>
        <v>3x3</v>
      </c>
      <c r="V586" s="5">
        <f ca="1">IFERROR(__xludf.DUMMYFUNCTION("""COMPUTED_VALUE"""),5)</f>
        <v>5</v>
      </c>
      <c r="W586" s="5">
        <f ca="1">IFERROR(__xludf.DUMMYFUNCTION("""COMPUTED_VALUE"""),5)</f>
        <v>5</v>
      </c>
      <c r="X586" s="5">
        <f ca="1">IFERROR(__xludf.DUMMYFUNCTION("""COMPUTED_VALUE"""),96.15)</f>
        <v>96.15</v>
      </c>
      <c r="Y586" s="5" t="str">
        <f ca="1">IFERROR(__xludf.DUMMYFUNCTION("""COMPUTED_VALUE"""),"Medium")</f>
        <v>Medium</v>
      </c>
      <c r="Z586" s="5">
        <f ca="1">IFERROR(__xludf.DUMMYFUNCTION("""COMPUTED_VALUE"""),6.86)</f>
        <v>6.86</v>
      </c>
      <c r="AA586" s="5">
        <f ca="1">IFERROR(__xludf.DUMMYFUNCTION("""COMPUTED_VALUE"""),500)</f>
        <v>500</v>
      </c>
      <c r="AB586" s="5"/>
      <c r="AC586" s="5" t="str">
        <f ca="1">IFERROR(__xludf.DUMMYFUNCTION("""COMPUTED_VALUE"""),"Wild Multiplier")</f>
        <v>Wild Multiplier</v>
      </c>
      <c r="AD586" s="5" t="str">
        <f ca="1">IFERROR(__xludf.DUMMYFUNCTION("""COMPUTED_VALUE"""),"0.04/50")</f>
        <v>0.04/50</v>
      </c>
      <c r="AE586" s="5"/>
      <c r="AF586" s="5"/>
      <c r="AG586" s="10">
        <f ca="1">IFERROR(__xludf.DUMMYFUNCTION("""COMPUTED_VALUE"""),46212.5622916666)</f>
        <v>46212.562291666603</v>
      </c>
      <c r="AH586" s="5" t="str">
        <f ca="1">IFERROR(__xludf.DUMMYFUNCTION("""COMPUTED_VALUE"""),"selena.mihajlovic@fazi.rs")</f>
        <v>selena.mihajlovic@fazi.rs</v>
      </c>
      <c r="AI586" s="5"/>
      <c r="AJ586" s="5"/>
      <c r="AK586" s="5">
        <f ca="1">IFERROR(__xludf.DUMMYFUNCTION("""COMPUTED_VALUE"""),1)</f>
        <v>1</v>
      </c>
      <c r="AL586" s="5" t="str">
        <f ca="1">IFERROR(__xludf.DUMMYFUNCTION("""COMPUTED_VALUE"""),"No")</f>
        <v>No</v>
      </c>
      <c r="AM586" s="5" t="str">
        <f ca="1">IFERROR(__xludf.DUMMYFUNCTION("""COMPUTED_VALUE"""),"No")</f>
        <v>No</v>
      </c>
      <c r="AN586" s="7" t="str">
        <f ca="1">IFERROR(__xludf.DUMMYFUNCTION("""COMPUTED_VALUE"""),"https://static.redstone.rs/games/9-of-a-kind/")</f>
        <v>https://static.redstone.rs/games/9-of-a-kind/</v>
      </c>
      <c r="AO586" s="5" t="str">
        <f ca="1">IFERROR(__xludf.DUMMYFUNCTION("""COMPUTED_VALUE"""),"No")</f>
        <v>No</v>
      </c>
      <c r="AP586" s="5" t="str">
        <f ca="1">IFERROR(__xludf.DUMMYFUNCTION("""COMPUTED_VALUE"""),"No")</f>
        <v>No</v>
      </c>
      <c r="AQ586" s="5" t="b">
        <f ca="1">IFERROR(__xludf.DUMMYFUNCTION("""COMPUTED_VALUE"""),TRUE)</f>
        <v>1</v>
      </c>
      <c r="AR586" s="5"/>
      <c r="AS586" s="5" t="str">
        <f ca="1">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AT586" s="5"/>
      <c r="AU586" s="5" t="str">
        <f ca="1">IFERROR(__xludf.DUMMYFUNCTION("""COMPUTED_VALUE"""),"Redstone")</f>
        <v>Redstone</v>
      </c>
      <c r="AV586" s="5"/>
      <c r="AW586" s="5"/>
      <c r="AX586" s="15">
        <f ca="1">IFERROR(__xludf.DUMMYFUNCTION("""COMPUTED_VALUE"""),45951)</f>
        <v>45951</v>
      </c>
      <c r="AY586" s="5"/>
      <c r="AZ586" s="5"/>
      <c r="BA586" s="5"/>
      <c r="BB586" s="5" t="b">
        <f ca="1">IFERROR(__xludf.DUMMYFUNCTION("""COMPUTED_VALUE"""),TRUE)</f>
        <v>1</v>
      </c>
      <c r="BC586" s="5" t="str">
        <f ca="1">IFERROR(__xludf.DUMMYFUNCTION("""COMPUTED_VALUE"""),"Redstone")</f>
        <v>Redstone</v>
      </c>
      <c r="BD586" s="7" t="str">
        <f ca="1">IFERROR(__xludf.DUMMYFUNCTION("""COMPUTED_VALUE"""),"https://static.redstone.rs/games/9-of-a-kind/")</f>
        <v>https://static.redstone.rs/games/9-of-a-kind/</v>
      </c>
      <c r="BE586" s="5" t="b">
        <f ca="1">IFERROR(__xludf.DUMMYFUNCTION("""COMPUTED_VALUE"""),TRUE)</f>
        <v>1</v>
      </c>
    </row>
    <row r="587" spans="1:57" x14ac:dyDescent="0.25">
      <c r="A587" s="5">
        <f ca="1">IFERROR(__xludf.DUMMYFUNCTION("""COMPUTED_VALUE"""),620)</f>
        <v>620</v>
      </c>
      <c r="B587" s="5">
        <f ca="1">IFERROR(__xludf.DUMMYFUNCTION("""COMPUTED_VALUE"""),3023)</f>
        <v>3023</v>
      </c>
      <c r="C587" s="5" t="str">
        <f ca="1">IFERROR(__xludf.DUMMYFUNCTION("""COMPUTED_VALUE"""),"Fazi")</f>
        <v>Fazi</v>
      </c>
      <c r="D587" s="5" t="str">
        <f ca="1">IFERROR(__xludf.DUMMYFUNCTION("""COMPUTED_VALUE"""),"Wild Joker Hot Booster")</f>
        <v>Wild Joker Hot Booster</v>
      </c>
      <c r="E587" s="5" t="str">
        <f ca="1">IFERROR(__xludf.DUMMYFUNCTION("""COMPUTED_VALUE"""),"V2")</f>
        <v>V2</v>
      </c>
      <c r="F587" s="5" t="str">
        <f ca="1">IFERROR(__xludf.DUMMYFUNCTION("""COMPUTED_VALUE"""),"WildJokerHotBooster")</f>
        <v>WildJokerHotBooster</v>
      </c>
      <c r="G587" s="5" t="str">
        <f ca="1">IFERROR(__xludf.DUMMYFUNCTION("""COMPUTED_VALUE"""),"Live")</f>
        <v>Live</v>
      </c>
      <c r="H587" s="5"/>
      <c r="I587" s="5" t="str">
        <f ca="1">IFERROR(__xludf.DUMMYFUNCTION("""COMPUTED_VALUE"""),"V2")</f>
        <v>V2</v>
      </c>
      <c r="J587" s="5" t="str">
        <f ca="1">IFERROR(__xludf.DUMMYFUNCTION("""COMPUTED_VALUE"""),"JSON")</f>
        <v>JSON</v>
      </c>
      <c r="K587" s="5" t="str">
        <f ca="1">IFERROR(__xludf.DUMMYFUNCTION("""COMPUTED_VALUE"""),"Slot")</f>
        <v>Slot</v>
      </c>
      <c r="L587" s="5" t="str">
        <f ca="1">IFERROR(__xludf.DUMMYFUNCTION("""COMPUTED_VALUE""")," Clone")</f>
        <v xml:space="preserve"> Clone</v>
      </c>
      <c r="M587" s="5" t="str">
        <f ca="1">IFERROR(__xludf.DUMMYFUNCTION("""COMPUTED_VALUE"""),"Wild Joker Hot")</f>
        <v>Wild Joker Hot</v>
      </c>
      <c r="N587" s="5"/>
      <c r="O587" s="5"/>
      <c r="P587" s="14">
        <f ca="1">IFERROR(__xludf.DUMMYFUNCTION("""COMPUTED_VALUE"""),29.2)</f>
        <v>29.2</v>
      </c>
      <c r="Q587" s="15">
        <f ca="1">IFERROR(__xludf.DUMMYFUNCTION("""COMPUTED_VALUE"""),45929)</f>
        <v>45929</v>
      </c>
      <c r="R587" s="15">
        <f ca="1">IFERROR(__xludf.DUMMYFUNCTION("""COMPUTED_VALUE"""),46002)</f>
        <v>46002</v>
      </c>
      <c r="S587" s="15">
        <f ca="1">IFERROR(__xludf.DUMMYFUNCTION("""COMPUTED_VALUE"""),46009)</f>
        <v>46009</v>
      </c>
      <c r="T587" s="5" t="b">
        <f ca="1">IFERROR(__xludf.DUMMYFUNCTION("""COMPUTED_VALUE"""),TRUE)</f>
        <v>1</v>
      </c>
      <c r="U587" s="5" t="str">
        <f ca="1">IFERROR(__xludf.DUMMYFUNCTION("""COMPUTED_VALUE"""),"5x3")</f>
        <v>5x3</v>
      </c>
      <c r="V587" s="5">
        <f ca="1">IFERROR(__xludf.DUMMYFUNCTION("""COMPUTED_VALUE"""),10)</f>
        <v>10</v>
      </c>
      <c r="W587" s="5">
        <f ca="1">IFERROR(__xludf.DUMMYFUNCTION("""COMPUTED_VALUE"""),10)</f>
        <v>10</v>
      </c>
      <c r="X587" s="5">
        <f ca="1">IFERROR(__xludf.DUMMYFUNCTION("""COMPUTED_VALUE"""),96.124)</f>
        <v>96.123999999999995</v>
      </c>
      <c r="Y587" s="5" t="str">
        <f ca="1">IFERROR(__xludf.DUMMYFUNCTION("""COMPUTED_VALUE"""),"Medium")</f>
        <v>Medium</v>
      </c>
      <c r="Z587" s="5">
        <f ca="1">IFERROR(__xludf.DUMMYFUNCTION("""COMPUTED_VALUE"""),17.809)</f>
        <v>17.809000000000001</v>
      </c>
      <c r="AA587" s="5">
        <f ca="1">IFERROR(__xludf.DUMMYFUNCTION("""COMPUTED_VALUE"""),3092)</f>
        <v>3092</v>
      </c>
      <c r="AB587" s="5"/>
      <c r="AC587" s="5" t="str">
        <f ca="1">IFERROR(__xludf.DUMMYFUNCTION("""COMPUTED_VALUE"""),"Buy Feature")</f>
        <v>Buy Feature</v>
      </c>
      <c r="AD587" s="5" t="str">
        <f ca="1">IFERROR(__xludf.DUMMYFUNCTION("""COMPUTED_VALUE"""),"0.10/40")</f>
        <v>0.10/40</v>
      </c>
      <c r="AE587" s="5"/>
      <c r="AF587" s="5"/>
      <c r="AG587" s="10">
        <f ca="1">IFERROR(__xludf.DUMMYFUNCTION("""COMPUTED_VALUE"""),46198.5210416666)</f>
        <v>46198.521041666601</v>
      </c>
      <c r="AH587" s="5" t="str">
        <f ca="1">IFERROR(__xludf.DUMMYFUNCTION("""COMPUTED_VALUE"""),"selena.mihajlovic@fazi.rs")</f>
        <v>selena.mihajlovic@fazi.rs</v>
      </c>
      <c r="AI587" s="15">
        <f ca="1">IFERROR(__xludf.DUMMYFUNCTION("""COMPUTED_VALUE"""),45989)</f>
        <v>45989</v>
      </c>
      <c r="AJ587" s="5" t="str">
        <f ca="1">IFERROR(__xludf.DUMMYFUNCTION("""COMPUTED_VALUE"""),"VOlcanoBet MNE
08.12.  - kod Atlantic Management ,Cerberlot, Magic 365, Spinado (SoftSwiss Integracija)
Premierbet 28.10 - 28.11")</f>
        <v>VOlcanoBet MNE
08.12.  - kod Atlantic Management ,Cerberlot, Magic 365, Spinado (SoftSwiss Integracija)
Premierbet 28.10 - 28.11</v>
      </c>
      <c r="AK587" s="5">
        <f ca="1">IFERROR(__xludf.DUMMYFUNCTION("""COMPUTED_VALUE"""),10)</f>
        <v>10</v>
      </c>
      <c r="AL587" s="5" t="str">
        <f ca="1">IFERROR(__xludf.DUMMYFUNCTION("""COMPUTED_VALUE"""),"Yes")</f>
        <v>Yes</v>
      </c>
      <c r="AM587" s="5"/>
      <c r="AN587" s="7" t="str">
        <f ca="1">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AO587" s="5" t="str">
        <f ca="1">IFERROR(__xludf.DUMMYFUNCTION("""COMPUTED_VALUE"""),"Yes")</f>
        <v>Yes</v>
      </c>
      <c r="AP587" s="5" t="str">
        <f ca="1">IFERROR(__xludf.DUMMYFUNCTION("""COMPUTED_VALUE"""),"No")</f>
        <v>No</v>
      </c>
      <c r="AQ587" s="5" t="b">
        <f ca="1">IFERROR(__xludf.DUMMYFUNCTION("""COMPUTED_VALUE"""),TRUE)</f>
        <v>1</v>
      </c>
      <c r="AR587" s="5"/>
      <c r="AS587" s="5"/>
      <c r="AT587" s="5"/>
      <c r="AU587" s="5" t="str">
        <f ca="1">IFERROR(__xludf.DUMMYFUNCTION("""COMPUTED_VALUE"""),"Fazi")</f>
        <v>Fazi</v>
      </c>
      <c r="AV587" s="5"/>
      <c r="AW587" s="5"/>
      <c r="AX587" s="15">
        <f ca="1">IFERROR(__xludf.DUMMYFUNCTION("""COMPUTED_VALUE"""),45923)</f>
        <v>45923</v>
      </c>
      <c r="AY587" s="5"/>
      <c r="AZ587" s="5"/>
      <c r="BA587" s="5">
        <f ca="1">IFERROR(__xludf.DUMMYFUNCTION("""COMPUTED_VALUE"""),5)</f>
        <v>5</v>
      </c>
      <c r="BB587" s="5"/>
      <c r="BC587" s="5" t="str">
        <f ca="1">IFERROR(__xludf.DUMMYFUNCTION("""COMPUTED_VALUE"""),"Foxi")</f>
        <v>Foxi</v>
      </c>
      <c r="BD587" s="7" t="str">
        <f ca="1">IFERROR(__xludf.DUMMYFUNCTION("""COMPUTED_VALUE"""),"https://gameserver-store-client-area.orbionlimited.com/Home/IntegrationGameLaunch/client-area?moneyType=0&amp;gameName=WildJokerHotBooster&amp;platform=desktop&amp;languageCode=eng&amp;currency=EUR")</f>
        <v>https://gameserver-store-client-area.orbionlimited.com/Home/IntegrationGameLaunch/client-area?moneyType=0&amp;gameName=WildJokerHotBooster&amp;platform=desktop&amp;languageCode=eng&amp;currency=EUR</v>
      </c>
      <c r="BE587" s="5" t="b">
        <f ca="1">IFERROR(__xludf.DUMMYFUNCTION("""COMPUTED_VALUE"""),TRUE)</f>
        <v>1</v>
      </c>
    </row>
    <row r="588" spans="1:57" x14ac:dyDescent="0.25">
      <c r="A588" s="5">
        <f ca="1">IFERROR(__xludf.DUMMYFUNCTION("""COMPUTED_VALUE"""),621)</f>
        <v>621</v>
      </c>
      <c r="B588" s="5">
        <f ca="1">IFERROR(__xludf.DUMMYFUNCTION("""COMPUTED_VALUE"""),3024)</f>
        <v>3024</v>
      </c>
      <c r="C588" s="5" t="str">
        <f ca="1">IFERROR(__xludf.DUMMYFUNCTION("""COMPUTED_VALUE"""),"Fazi")</f>
        <v>Fazi</v>
      </c>
      <c r="D588" s="5" t="str">
        <f ca="1">IFERROR(__xludf.DUMMYFUNCTION("""COMPUTED_VALUE"""),"Money 5 Booster")</f>
        <v>Money 5 Booster</v>
      </c>
      <c r="E588" s="5" t="str">
        <f ca="1">IFERROR(__xludf.DUMMYFUNCTION("""COMPUTED_VALUE"""),"V2")</f>
        <v>V2</v>
      </c>
      <c r="F588" s="5" t="str">
        <f ca="1">IFERROR(__xludf.DUMMYFUNCTION("""COMPUTED_VALUE"""),"Money5Booster")</f>
        <v>Money5Booster</v>
      </c>
      <c r="G588" s="5" t="str">
        <f ca="1">IFERROR(__xludf.DUMMYFUNCTION("""COMPUTED_VALUE"""),"Live")</f>
        <v>Live</v>
      </c>
      <c r="H588" s="5"/>
      <c r="I588" s="5" t="str">
        <f ca="1">IFERROR(__xludf.DUMMYFUNCTION("""COMPUTED_VALUE"""),"V2")</f>
        <v>V2</v>
      </c>
      <c r="J588" s="5" t="str">
        <f ca="1">IFERROR(__xludf.DUMMYFUNCTION("""COMPUTED_VALUE"""),"JSON")</f>
        <v>JSON</v>
      </c>
      <c r="K588" s="5" t="str">
        <f ca="1">IFERROR(__xludf.DUMMYFUNCTION("""COMPUTED_VALUE"""),"Slot")</f>
        <v>Slot</v>
      </c>
      <c r="L588" s="5" t="str">
        <f ca="1">IFERROR(__xludf.DUMMYFUNCTION("""COMPUTED_VALUE""")," Clone")</f>
        <v xml:space="preserve"> Clone</v>
      </c>
      <c r="M588" s="5" t="str">
        <f ca="1">IFERROR(__xludf.DUMMYFUNCTION("""COMPUTED_VALUE"""),"Money 5")</f>
        <v>Money 5</v>
      </c>
      <c r="N588" s="5"/>
      <c r="O588" s="5"/>
      <c r="P588" s="14">
        <f ca="1">IFERROR(__xludf.DUMMYFUNCTION("""COMPUTED_VALUE"""),24)</f>
        <v>24</v>
      </c>
      <c r="Q588" s="15">
        <f ca="1">IFERROR(__xludf.DUMMYFUNCTION("""COMPUTED_VALUE"""),45929)</f>
        <v>45929</v>
      </c>
      <c r="R588" s="15">
        <f ca="1">IFERROR(__xludf.DUMMYFUNCTION("""COMPUTED_VALUE"""),45946)</f>
        <v>45946</v>
      </c>
      <c r="S588" s="15">
        <f ca="1">IFERROR(__xludf.DUMMYFUNCTION("""COMPUTED_VALUE"""),45953)</f>
        <v>45953</v>
      </c>
      <c r="T588" s="5" t="b">
        <f ca="1">IFERROR(__xludf.DUMMYFUNCTION("""COMPUTED_VALUE"""),TRUE)</f>
        <v>1</v>
      </c>
      <c r="U588" s="5" t="str">
        <f ca="1">IFERROR(__xludf.DUMMYFUNCTION("""COMPUTED_VALUE"""),"5x3")</f>
        <v>5x3</v>
      </c>
      <c r="V588" s="5">
        <f ca="1">IFERROR(__xludf.DUMMYFUNCTION("""COMPUTED_VALUE"""),5)</f>
        <v>5</v>
      </c>
      <c r="W588" s="5">
        <f ca="1">IFERROR(__xludf.DUMMYFUNCTION("""COMPUTED_VALUE"""),5)</f>
        <v>5</v>
      </c>
      <c r="X588" s="5">
        <f ca="1">IFERROR(__xludf.DUMMYFUNCTION("""COMPUTED_VALUE"""),96.786)</f>
        <v>96.786000000000001</v>
      </c>
      <c r="Y588" s="5" t="str">
        <f ca="1">IFERROR(__xludf.DUMMYFUNCTION("""COMPUTED_VALUE"""),"Medium")</f>
        <v>Medium</v>
      </c>
      <c r="Z588" s="5">
        <f ca="1">IFERROR(__xludf.DUMMYFUNCTION("""COMPUTED_VALUE"""),14.504)</f>
        <v>14.504</v>
      </c>
      <c r="AA588" s="5">
        <f ca="1">IFERROR(__xludf.DUMMYFUNCTION("""COMPUTED_VALUE"""),1222)</f>
        <v>1222</v>
      </c>
      <c r="AB588" s="5"/>
      <c r="AC588" s="5" t="str">
        <f ca="1">IFERROR(__xludf.DUMMYFUNCTION("""COMPUTED_VALUE"""),"Buy Feature")</f>
        <v>Buy Feature</v>
      </c>
      <c r="AD588" s="5" t="str">
        <f ca="1">IFERROR(__xludf.DUMMYFUNCTION("""COMPUTED_VALUE"""),"0.05/30")</f>
        <v>0.05/30</v>
      </c>
      <c r="AE588" s="5"/>
      <c r="AF588" s="5"/>
      <c r="AG588" s="10">
        <f ca="1">IFERROR(__xludf.DUMMYFUNCTION("""COMPUTED_VALUE"""),46198.5211458333)</f>
        <v>46198.5211458333</v>
      </c>
      <c r="AH588" s="5" t="str">
        <f ca="1">IFERROR(__xludf.DUMMYFUNCTION("""COMPUTED_VALUE"""),"selena.mihajlovic@fazi.rs")</f>
        <v>selena.mihajlovic@fazi.rs</v>
      </c>
      <c r="AI588" s="15">
        <f ca="1">IFERROR(__xludf.DUMMYFUNCTION("""COMPUTED_VALUE"""),45944)</f>
        <v>45944</v>
      </c>
      <c r="AJ588" s="5" t="str">
        <f ca="1">IFERROR(__xludf.DUMMYFUNCTION("""COMPUTED_VALUE"""),"IChancy")</f>
        <v>IChancy</v>
      </c>
      <c r="AK588" s="5">
        <f ca="1">IFERROR(__xludf.DUMMYFUNCTION("""COMPUTED_VALUE"""),5)</f>
        <v>5</v>
      </c>
      <c r="AL588" s="5" t="str">
        <f ca="1">IFERROR(__xludf.DUMMYFUNCTION("""COMPUTED_VALUE"""),"Yes")</f>
        <v>Yes</v>
      </c>
      <c r="AM588" s="5"/>
      <c r="AN588" s="7" t="str">
        <f ca="1">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AO588" s="5" t="str">
        <f ca="1">IFERROR(__xludf.DUMMYFUNCTION("""COMPUTED_VALUE"""),"Yes")</f>
        <v>Yes</v>
      </c>
      <c r="AP588" s="5" t="str">
        <f ca="1">IFERROR(__xludf.DUMMYFUNCTION("""COMPUTED_VALUE"""),"No")</f>
        <v>No</v>
      </c>
      <c r="AQ588" s="5" t="b">
        <f ca="1">IFERROR(__xludf.DUMMYFUNCTION("""COMPUTED_VALUE"""),TRUE)</f>
        <v>1</v>
      </c>
      <c r="AR588" s="5"/>
      <c r="AS588" s="5" t="str">
        <f ca="1">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AT588" s="5"/>
      <c r="AU588" s="5" t="str">
        <f ca="1">IFERROR(__xludf.DUMMYFUNCTION("""COMPUTED_VALUE"""),"Fazi")</f>
        <v>Fazi</v>
      </c>
      <c r="AV588" s="5"/>
      <c r="AW588" s="5"/>
      <c r="AX588" s="15">
        <f ca="1">IFERROR(__xludf.DUMMYFUNCTION("""COMPUTED_VALUE"""),45923)</f>
        <v>45923</v>
      </c>
      <c r="AY588" s="5"/>
      <c r="AZ588" s="5"/>
      <c r="BA588" s="5">
        <f ca="1">IFERROR(__xludf.DUMMYFUNCTION("""COMPUTED_VALUE"""),5)</f>
        <v>5</v>
      </c>
      <c r="BB588" s="5"/>
      <c r="BC588" s="5" t="str">
        <f ca="1">IFERROR(__xludf.DUMMYFUNCTION("""COMPUTED_VALUE"""),"Foxi")</f>
        <v>Foxi</v>
      </c>
      <c r="BD588" s="7" t="str">
        <f ca="1">IFERROR(__xludf.DUMMYFUNCTION("""COMPUTED_VALUE"""),"https://gameserver-store-client-area.orbionlimited.com/Home/IntegrationGameLaunch/client-area?moneyType=0&amp;gameName=Money5Booster&amp;platform=desktop&amp;languageCode=eng&amp;currency=EUR")</f>
        <v>https://gameserver-store-client-area.orbionlimited.com/Home/IntegrationGameLaunch/client-area?moneyType=0&amp;gameName=Money5Booster&amp;platform=desktop&amp;languageCode=eng&amp;currency=EUR</v>
      </c>
      <c r="BE588" s="5" t="b">
        <f ca="1">IFERROR(__xludf.DUMMYFUNCTION("""COMPUTED_VALUE"""),TRUE)</f>
        <v>1</v>
      </c>
    </row>
    <row r="589" spans="1:57" x14ac:dyDescent="0.25">
      <c r="A589" s="5">
        <f ca="1">IFERROR(__xludf.DUMMYFUNCTION("""COMPUTED_VALUE"""),622)</f>
        <v>622</v>
      </c>
      <c r="B589" s="5">
        <f ca="1">IFERROR(__xludf.DUMMYFUNCTION("""COMPUTED_VALUE"""),3026)</f>
        <v>3026</v>
      </c>
      <c r="C589" s="5" t="str">
        <f ca="1">IFERROR(__xludf.DUMMYFUNCTION("""COMPUTED_VALUE"""),"Fazi")</f>
        <v>Fazi</v>
      </c>
      <c r="D589" s="5" t="str">
        <f ca="1">IFERROR(__xludf.DUMMYFUNCTION("""COMPUTED_VALUE"""),"Golden Crown Christmas Booster")</f>
        <v>Golden Crown Christmas Booster</v>
      </c>
      <c r="E589" s="5" t="str">
        <f ca="1">IFERROR(__xludf.DUMMYFUNCTION("""COMPUTED_VALUE"""),"V2")</f>
        <v>V2</v>
      </c>
      <c r="F589" s="5" t="str">
        <f ca="1">IFERROR(__xludf.DUMMYFUNCTION("""COMPUTED_VALUE"""),"GoldenCrownChristmasBooster")</f>
        <v>GoldenCrownChristmasBooster</v>
      </c>
      <c r="G589" s="5" t="str">
        <f ca="1">IFERROR(__xludf.DUMMYFUNCTION("""COMPUTED_VALUE"""),"Live")</f>
        <v>Live</v>
      </c>
      <c r="H589" s="5"/>
      <c r="I589" s="5" t="str">
        <f ca="1">IFERROR(__xludf.DUMMYFUNCTION("""COMPUTED_VALUE"""),"V2")</f>
        <v>V2</v>
      </c>
      <c r="J589" s="5" t="str">
        <f ca="1">IFERROR(__xludf.DUMMYFUNCTION("""COMPUTED_VALUE"""),"JSON")</f>
        <v>JSON</v>
      </c>
      <c r="K589" s="5" t="str">
        <f ca="1">IFERROR(__xludf.DUMMYFUNCTION("""COMPUTED_VALUE"""),"Slot")</f>
        <v>Slot</v>
      </c>
      <c r="L589" s="5" t="str">
        <f ca="1">IFERROR(__xludf.DUMMYFUNCTION("""COMPUTED_VALUE""")," Clone")</f>
        <v xml:space="preserve"> Clone</v>
      </c>
      <c r="M589" s="5" t="str">
        <f ca="1">IFERROR(__xludf.DUMMYFUNCTION("""COMPUTED_VALUE"""),"Golden Crown")</f>
        <v>Golden Crown</v>
      </c>
      <c r="N589" s="5"/>
      <c r="O589" s="5"/>
      <c r="P589" s="14">
        <f ca="1">IFERROR(__xludf.DUMMYFUNCTION("""COMPUTED_VALUE"""),16.6)</f>
        <v>16.600000000000001</v>
      </c>
      <c r="Q589" s="15">
        <f ca="1">IFERROR(__xludf.DUMMYFUNCTION("""COMPUTED_VALUE"""),45929)</f>
        <v>45929</v>
      </c>
      <c r="R589" s="5"/>
      <c r="S589" s="15">
        <f ca="1">IFERROR(__xludf.DUMMYFUNCTION("""COMPUTED_VALUE"""),45974)</f>
        <v>45974</v>
      </c>
      <c r="T589" s="5" t="b">
        <f ca="1">IFERROR(__xludf.DUMMYFUNCTION("""COMPUTED_VALUE"""),TRUE)</f>
        <v>1</v>
      </c>
      <c r="U589" s="5" t="str">
        <f ca="1">IFERROR(__xludf.DUMMYFUNCTION("""COMPUTED_VALUE"""),"5x3")</f>
        <v>5x3</v>
      </c>
      <c r="V589" s="5">
        <f ca="1">IFERROR(__xludf.DUMMYFUNCTION("""COMPUTED_VALUE"""),10)</f>
        <v>10</v>
      </c>
      <c r="W589" s="5">
        <f ca="1">IFERROR(__xludf.DUMMYFUNCTION("""COMPUTED_VALUE"""),10)</f>
        <v>10</v>
      </c>
      <c r="X589" s="5">
        <f ca="1">IFERROR(__xludf.DUMMYFUNCTION("""COMPUTED_VALUE"""),95.962)</f>
        <v>95.962000000000003</v>
      </c>
      <c r="Y589" s="5" t="str">
        <f ca="1">IFERROR(__xludf.DUMMYFUNCTION("""COMPUTED_VALUE"""),"Medium")</f>
        <v>Medium</v>
      </c>
      <c r="Z589" s="5">
        <f ca="1">IFERROR(__xludf.DUMMYFUNCTION("""COMPUTED_VALUE"""),14.634)</f>
        <v>14.634</v>
      </c>
      <c r="AA589" s="5">
        <f ca="1">IFERROR(__xludf.DUMMYFUNCTION("""COMPUTED_VALUE"""),1538)</f>
        <v>1538</v>
      </c>
      <c r="AB589" s="5"/>
      <c r="AC589" s="5" t="str">
        <f ca="1">IFERROR(__xludf.DUMMYFUNCTION("""COMPUTED_VALUE"""),"Buy Feature")</f>
        <v>Buy Feature</v>
      </c>
      <c r="AD589" s="5" t="str">
        <f ca="1">IFERROR(__xludf.DUMMYFUNCTION("""COMPUTED_VALUE"""),"0.1/40")</f>
        <v>0.1/40</v>
      </c>
      <c r="AE589" s="5"/>
      <c r="AF589" s="5"/>
      <c r="AG589" s="10">
        <f ca="1">IFERROR(__xludf.DUMMYFUNCTION("""COMPUTED_VALUE"""),46198.5235300925)</f>
        <v>46198.523530092498</v>
      </c>
      <c r="AH589" s="5" t="str">
        <f ca="1">IFERROR(__xludf.DUMMYFUNCTION("""COMPUTED_VALUE"""),"selena.mihajlovic@fazi.rs")</f>
        <v>selena.mihajlovic@fazi.rs</v>
      </c>
      <c r="AI589" s="15">
        <f ca="1">IFERROR(__xludf.DUMMYFUNCTION("""COMPUTED_VALUE"""),45943)</f>
        <v>45943</v>
      </c>
      <c r="AJ589" s="5" t="str">
        <f ca="1">IFERROR(__xludf.DUMMYFUNCTION("""COMPUTED_VALUE"""),"Digitain Grandpasha")</f>
        <v>Digitain Grandpasha</v>
      </c>
      <c r="AK589" s="5">
        <f ca="1">IFERROR(__xludf.DUMMYFUNCTION("""COMPUTED_VALUE"""),10)</f>
        <v>10</v>
      </c>
      <c r="AL589" s="5" t="str">
        <f ca="1">IFERROR(__xludf.DUMMYFUNCTION("""COMPUTED_VALUE"""),"Yes")</f>
        <v>Yes</v>
      </c>
      <c r="AM589" s="5"/>
      <c r="AN589" s="7" t="str">
        <f ca="1">IFERROR(__xludf.DUMMYFUNCTION("""COMPUTED_VALUE"""),"https://gameserver-store-dev-01.fazi.rs/Home/IntegrationGameLaunch/fazi-stg16?moneyType=0&amp;gameName=GoldenCrownChristmasBooster&amp;platform=desktop&amp;languageCode=eng&amp;currency=EUR")</f>
        <v>https://gameserver-store-dev-01.fazi.rs/Home/IntegrationGameLaunch/fazi-stg16?moneyType=0&amp;gameName=GoldenCrownChristmasBooster&amp;platform=desktop&amp;languageCode=eng&amp;currency=EUR</v>
      </c>
      <c r="AO589" s="5" t="str">
        <f ca="1">IFERROR(__xludf.DUMMYFUNCTION("""COMPUTED_VALUE"""),"Yes")</f>
        <v>Yes</v>
      </c>
      <c r="AP589" s="5" t="str">
        <f ca="1">IFERROR(__xludf.DUMMYFUNCTION("""COMPUTED_VALUE"""),"No")</f>
        <v>No</v>
      </c>
      <c r="AQ589" s="5" t="b">
        <f ca="1">IFERROR(__xludf.DUMMYFUNCTION("""COMPUTED_VALUE"""),TRUE)</f>
        <v>1</v>
      </c>
      <c r="AR589" s="5"/>
      <c r="AS589" s="5" t="str">
        <f ca="1">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AT589" s="5"/>
      <c r="AU589" s="5" t="str">
        <f ca="1">IFERROR(__xludf.DUMMYFUNCTION("""COMPUTED_VALUE"""),"Fazi")</f>
        <v>Fazi</v>
      </c>
      <c r="AV589" s="5"/>
      <c r="AW589" s="5"/>
      <c r="AX589" s="15">
        <f ca="1">IFERROR(__xludf.DUMMYFUNCTION("""COMPUTED_VALUE"""),45923)</f>
        <v>45923</v>
      </c>
      <c r="AY589" s="5"/>
      <c r="AZ589" s="5"/>
      <c r="BA589" s="5">
        <f ca="1">IFERROR(__xludf.DUMMYFUNCTION("""COMPUTED_VALUE"""),5)</f>
        <v>5</v>
      </c>
      <c r="BB589" s="5"/>
      <c r="BC589" s="5" t="str">
        <f ca="1">IFERROR(__xludf.DUMMYFUNCTION("""COMPUTED_VALUE"""),"Foxi")</f>
        <v>Foxi</v>
      </c>
      <c r="BD589" s="7" t="str">
        <f ca="1">IFERROR(__xludf.DUMMYFUNCTION("""COMPUTED_VALUE"""),"https://gameserver-store-client-area.orbionlimited.com/Home/IntegrationGameLaunch/client-area?moneyType=0&amp;gameName=GoldenCrownChristmasBooster&amp;platform=desktop&amp;languageCode=eng&amp;currency=EUR")</f>
        <v>https://gameserver-store-client-area.orbionlimited.com/Home/IntegrationGameLaunch/client-area?moneyType=0&amp;gameName=GoldenCrownChristmasBooster&amp;platform=desktop&amp;languageCode=eng&amp;currency=EUR</v>
      </c>
      <c r="BE589" s="5" t="b">
        <f ca="1">IFERROR(__xludf.DUMMYFUNCTION("""COMPUTED_VALUE"""),TRUE)</f>
        <v>1</v>
      </c>
    </row>
    <row r="590" spans="1:57" x14ac:dyDescent="0.25">
      <c r="A590" s="5">
        <f ca="1">IFERROR(__xludf.DUMMYFUNCTION("""COMPUTED_VALUE"""),623)</f>
        <v>623</v>
      </c>
      <c r="B590" s="5">
        <f ca="1">IFERROR(__xludf.DUMMYFUNCTION("""COMPUTED_VALUE"""),3021)</f>
        <v>3021</v>
      </c>
      <c r="C590" s="5" t="str">
        <f ca="1">IFERROR(__xludf.DUMMYFUNCTION("""COMPUTED_VALUE"""),"Fazi")</f>
        <v>Fazi</v>
      </c>
      <c r="D590" s="5" t="str">
        <f ca="1">IFERROR(__xludf.DUMMYFUNCTION("""COMPUTED_VALUE"""),"Bella's World")</f>
        <v>Bella's World</v>
      </c>
      <c r="E590" s="5" t="str">
        <f ca="1">IFERROR(__xludf.DUMMYFUNCTION("""COMPUTED_VALUE"""),"V2")</f>
        <v>V2</v>
      </c>
      <c r="F590" s="5" t="str">
        <f ca="1">IFERROR(__xludf.DUMMYFUNCTION("""COMPUTED_VALUE"""),"BellasWorld")</f>
        <v>BellasWorld</v>
      </c>
      <c r="G590" s="5" t="str">
        <f ca="1">IFERROR(__xludf.DUMMYFUNCTION("""COMPUTED_VALUE"""),"Live")</f>
        <v>Live</v>
      </c>
      <c r="H590" s="5"/>
      <c r="I590" s="5" t="str">
        <f ca="1">IFERROR(__xludf.DUMMYFUNCTION("""COMPUTED_VALUE"""),"V4")</f>
        <v>V4</v>
      </c>
      <c r="J590" s="5" t="str">
        <f ca="1">IFERROR(__xludf.DUMMYFUNCTION("""COMPUTED_VALUE"""),"JSON")</f>
        <v>JSON</v>
      </c>
      <c r="K590" s="5" t="str">
        <f ca="1">IFERROR(__xludf.DUMMYFUNCTION("""COMPUTED_VALUE"""),"Slot")</f>
        <v>Slot</v>
      </c>
      <c r="L590" s="5" t="str">
        <f ca="1">IFERROR(__xludf.DUMMYFUNCTION("""COMPUTED_VALUE""")," Clone")</f>
        <v xml:space="preserve"> Clone</v>
      </c>
      <c r="M590" s="5" t="str">
        <f ca="1">IFERROR(__xludf.DUMMYFUNCTION("""COMPUTED_VALUE"""),"Lollas World")</f>
        <v>Lollas World</v>
      </c>
      <c r="N590" s="7" t="str">
        <f ca="1">IFERROR(__xludf.DUMMYFUNCTION("""COMPUTED_VALUE"""),"https://drive.google.com/drive/folders/1GZelJ4WbdaZbsXFcj-RTy7MWNcV0zsX4?usp=drive_link")</f>
        <v>https://drive.google.com/drive/folders/1GZelJ4WbdaZbsXFcj-RTy7MWNcV0zsX4?usp=drive_link</v>
      </c>
      <c r="O590" s="7" t="str">
        <f ca="1">IFERROR(__xludf.DUMMYFUNCTION("""COMPUTED_VALUE"""),"https://drive.google.com/drive/folders/1GZelJ4WbdaZbsXFcj-RTy7MWNcV0zsX4?usp=drive_link")</f>
        <v>https://drive.google.com/drive/folders/1GZelJ4WbdaZbsXFcj-RTy7MWNcV0zsX4?usp=drive_link</v>
      </c>
      <c r="P590" s="14">
        <f ca="1">IFERROR(__xludf.DUMMYFUNCTION("""COMPUTED_VALUE"""),31.9)</f>
        <v>31.9</v>
      </c>
      <c r="Q590" s="15">
        <f ca="1">IFERROR(__xludf.DUMMYFUNCTION("""COMPUTED_VALUE"""),45943)</f>
        <v>45943</v>
      </c>
      <c r="R590" s="15">
        <f ca="1">IFERROR(__xludf.DUMMYFUNCTION("""COMPUTED_VALUE"""),45939)</f>
        <v>45939</v>
      </c>
      <c r="S590" s="15">
        <f ca="1">IFERROR(__xludf.DUMMYFUNCTION("""COMPUTED_VALUE"""),45946)</f>
        <v>45946</v>
      </c>
      <c r="T590" s="5" t="b">
        <f ca="1">IFERROR(__xludf.DUMMYFUNCTION("""COMPUTED_VALUE"""),TRUE)</f>
        <v>1</v>
      </c>
      <c r="U590" s="5" t="str">
        <f ca="1">IFERROR(__xludf.DUMMYFUNCTION("""COMPUTED_VALUE"""),"5x4")</f>
        <v>5x4</v>
      </c>
      <c r="V590" s="5">
        <f ca="1">IFERROR(__xludf.DUMMYFUNCTION("""COMPUTED_VALUE"""),40)</f>
        <v>40</v>
      </c>
      <c r="W590" s="5">
        <f ca="1">IFERROR(__xludf.DUMMYFUNCTION("""COMPUTED_VALUE"""),40)</f>
        <v>40</v>
      </c>
      <c r="X590" s="5">
        <f ca="1">IFERROR(__xludf.DUMMYFUNCTION("""COMPUTED_VALUE"""),95.479)</f>
        <v>95.478999999999999</v>
      </c>
      <c r="Y590" s="5" t="str">
        <f ca="1">IFERROR(__xludf.DUMMYFUNCTION("""COMPUTED_VALUE"""),"Medium")</f>
        <v>Medium</v>
      </c>
      <c r="Z590" s="5">
        <f ca="1">IFERROR(__xludf.DUMMYFUNCTION("""COMPUTED_VALUE"""),14.804)</f>
        <v>14.804</v>
      </c>
      <c r="AA590" s="5">
        <f ca="1">IFERROR(__xludf.DUMMYFUNCTION("""COMPUTED_VALUE"""),1000)</f>
        <v>1000</v>
      </c>
      <c r="AB590" s="5">
        <f ca="1">IFERROR(__xludf.DUMMYFUNCTION("""COMPUTED_VALUE"""),14.804)</f>
        <v>14.804</v>
      </c>
      <c r="AC590" s="5" t="str">
        <f ca="1">IFERROR(__xludf.DUMMYFUNCTION("""COMPUTED_VALUE"""),"Wild Symbol, Scatter")</f>
        <v>Wild Symbol, Scatter</v>
      </c>
      <c r="AD590" s="5" t="str">
        <f ca="1">IFERROR(__xludf.DUMMYFUNCTION("""COMPUTED_VALUE"""),"0.4/40")</f>
        <v>0.4/40</v>
      </c>
      <c r="AE590" s="5"/>
      <c r="AF590" s="5"/>
      <c r="AG590" s="10">
        <f ca="1">IFERROR(__xludf.DUMMYFUNCTION("""COMPUTED_VALUE"""),46198.521412037)</f>
        <v>46198.521412037</v>
      </c>
      <c r="AH590" s="5" t="str">
        <f ca="1">IFERROR(__xludf.DUMMYFUNCTION("""COMPUTED_VALUE"""),"selena.mihajlovic@fazi.rs")</f>
        <v>selena.mihajlovic@fazi.rs</v>
      </c>
      <c r="AI590" s="5"/>
      <c r="AJ590" s="5"/>
      <c r="AK590" s="5">
        <f ca="1">IFERROR(__xludf.DUMMYFUNCTION("""COMPUTED_VALUE"""),10)</f>
        <v>10</v>
      </c>
      <c r="AL590" s="5" t="str">
        <f ca="1">IFERROR(__xludf.DUMMYFUNCTION("""COMPUTED_VALUE"""),"Yes")</f>
        <v>Yes</v>
      </c>
      <c r="AM590" s="5"/>
      <c r="AN590" s="7" t="str">
        <f ca="1">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AO590" s="5" t="str">
        <f ca="1">IFERROR(__xludf.DUMMYFUNCTION("""COMPUTED_VALUE"""),"Yes")</f>
        <v>Yes</v>
      </c>
      <c r="AP590" s="5" t="str">
        <f ca="1">IFERROR(__xludf.DUMMYFUNCTION("""COMPUTED_VALUE"""),"Yes")</f>
        <v>Yes</v>
      </c>
      <c r="AQ590" s="5" t="b">
        <f ca="1">IFERROR(__xludf.DUMMYFUNCTION("""COMPUTED_VALUE"""),TRUE)</f>
        <v>1</v>
      </c>
      <c r="AR590" s="5"/>
      <c r="AS590" s="5" t="str">
        <f ca="1">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AT590" s="5" t="str">
        <f ca="1">IFERROR(__xludf.DUMMYFUNCTION("""COMPUTED_VALUE"""),"Yes")</f>
        <v>Yes</v>
      </c>
      <c r="AU590" s="5" t="str">
        <f ca="1">IFERROR(__xludf.DUMMYFUNCTION("""COMPUTED_VALUE"""),"Fazi")</f>
        <v>Fazi</v>
      </c>
      <c r="AV590" s="5"/>
      <c r="AW590" s="5"/>
      <c r="AX590" s="15">
        <f ca="1">IFERROR(__xludf.DUMMYFUNCTION("""COMPUTED_VALUE"""),45933)</f>
        <v>45933</v>
      </c>
      <c r="AY590" s="5"/>
      <c r="AZ590" s="5"/>
      <c r="BA590" s="5"/>
      <c r="BB590" s="5"/>
      <c r="BC590" s="5" t="str">
        <f ca="1">IFERROR(__xludf.DUMMYFUNCTION("""COMPUTED_VALUE"""),"Foxi")</f>
        <v>Foxi</v>
      </c>
      <c r="BD590" s="7" t="str">
        <f ca="1">IFERROR(__xludf.DUMMYFUNCTION("""COMPUTED_VALUE"""),"https://gameserver-store-client-area.orbionlimited.com/Home/IntegrationGameLaunch/client-area?moneyType=0&amp;gameName=BellasWorld&amp;platform=desktop&amp;languageCode=eng&amp;currency=EUR")</f>
        <v>https://gameserver-store-client-area.orbionlimited.com/Home/IntegrationGameLaunch/client-area?moneyType=0&amp;gameName=BellasWorld&amp;platform=desktop&amp;languageCode=eng&amp;currency=EUR</v>
      </c>
      <c r="BE590" s="5" t="b">
        <f ca="1">IFERROR(__xludf.DUMMYFUNCTION("""COMPUTED_VALUE"""),TRUE)</f>
        <v>1</v>
      </c>
    </row>
    <row r="591" spans="1:57" x14ac:dyDescent="0.25">
      <c r="A591" s="5">
        <f ca="1">IFERROR(__xludf.DUMMYFUNCTION("""COMPUTED_VALUE"""),625)</f>
        <v>625</v>
      </c>
      <c r="B591" s="5">
        <f ca="1">IFERROR(__xludf.DUMMYFUNCTION("""COMPUTED_VALUE"""),1010)</f>
        <v>1010</v>
      </c>
      <c r="C591" s="5" t="str">
        <f ca="1">IFERROR(__xludf.DUMMYFUNCTION("""COMPUTED_VALUE"""),"Fazi")</f>
        <v>Fazi</v>
      </c>
      <c r="D591" s="5" t="str">
        <f ca="1">IFERROR(__xludf.DUMMYFUNCTION("""COMPUTED_VALUE"""),"Wild 27 Extreme")</f>
        <v>Wild 27 Extreme</v>
      </c>
      <c r="E591" s="5" t="str">
        <f ca="1">IFERROR(__xludf.DUMMYFUNCTION("""COMPUTED_VALUE"""),"V4-1")</f>
        <v>V4-1</v>
      </c>
      <c r="F591" s="5" t="str">
        <f ca="1">IFERROR(__xludf.DUMMYFUNCTION("""COMPUTED_VALUE"""),"Wild27Extreme")</f>
        <v>Wild27Extreme</v>
      </c>
      <c r="G591" s="5" t="str">
        <f ca="1">IFERROR(__xludf.DUMMYFUNCTION("""COMPUTED_VALUE"""),"Live")</f>
        <v>Live</v>
      </c>
      <c r="H591" s="5"/>
      <c r="I591" s="5" t="str">
        <f ca="1">IFERROR(__xludf.DUMMYFUNCTION("""COMPUTED_VALUE"""),"V4")</f>
        <v>V4</v>
      </c>
      <c r="J591" s="5" t="str">
        <f ca="1">IFERROR(__xludf.DUMMYFUNCTION("""COMPUTED_VALUE"""),"JSON")</f>
        <v>JSON</v>
      </c>
      <c r="K591" s="5" t="str">
        <f ca="1">IFERROR(__xludf.DUMMYFUNCTION("""COMPUTED_VALUE"""),"Slot")</f>
        <v>Slot</v>
      </c>
      <c r="L591" s="5" t="str">
        <f ca="1">IFERROR(__xludf.DUMMYFUNCTION("""COMPUTED_VALUE""")," Clone")</f>
        <v xml:space="preserve"> Clone</v>
      </c>
      <c r="M591" s="5" t="str">
        <f ca="1">IFERROR(__xludf.DUMMYFUNCTION("""COMPUTED_VALUE"""),"Wild 27")</f>
        <v>Wild 27</v>
      </c>
      <c r="N591" s="5"/>
      <c r="O591" s="5"/>
      <c r="P591" s="14">
        <f ca="1">IFERROR(__xludf.DUMMYFUNCTION("""COMPUTED_VALUE"""),12.62)</f>
        <v>12.62</v>
      </c>
      <c r="Q591" s="15">
        <f ca="1">IFERROR(__xludf.DUMMYFUNCTION("""COMPUTED_VALUE"""),45957)</f>
        <v>45957</v>
      </c>
      <c r="R591" s="15">
        <f ca="1">IFERROR(__xludf.DUMMYFUNCTION("""COMPUTED_VALUE"""),45974)</f>
        <v>45974</v>
      </c>
      <c r="S591" s="15">
        <f ca="1">IFERROR(__xludf.DUMMYFUNCTION("""COMPUTED_VALUE"""),45981)</f>
        <v>45981</v>
      </c>
      <c r="T591" s="5" t="b">
        <f ca="1">IFERROR(__xludf.DUMMYFUNCTION("""COMPUTED_VALUE"""),TRUE)</f>
        <v>1</v>
      </c>
      <c r="U591" s="5" t="str">
        <f ca="1">IFERROR(__xludf.DUMMYFUNCTION("""COMPUTED_VALUE"""),"3x3")</f>
        <v>3x3</v>
      </c>
      <c r="V591" s="5">
        <f ca="1">IFERROR(__xludf.DUMMYFUNCTION("""COMPUTED_VALUE"""),27)</f>
        <v>27</v>
      </c>
      <c r="W591" s="5">
        <f ca="1">IFERROR(__xludf.DUMMYFUNCTION("""COMPUTED_VALUE"""),27)</f>
        <v>27</v>
      </c>
      <c r="X591" s="5">
        <f ca="1">IFERROR(__xludf.DUMMYFUNCTION("""COMPUTED_VALUE"""),96.516)</f>
        <v>96.516000000000005</v>
      </c>
      <c r="Y591" s="5" t="str">
        <f ca="1">IFERROR(__xludf.DUMMYFUNCTION("""COMPUTED_VALUE"""),"High")</f>
        <v>High</v>
      </c>
      <c r="Z591" s="5">
        <f ca="1">IFERROR(__xludf.DUMMYFUNCTION("""COMPUTED_VALUE"""),6.72)</f>
        <v>6.72</v>
      </c>
      <c r="AA591" s="5">
        <f ca="1">IFERROR(__xludf.DUMMYFUNCTION("""COMPUTED_VALUE"""),3240)</f>
        <v>3240</v>
      </c>
      <c r="AB591" s="5"/>
      <c r="AC591" s="5" t="str">
        <f ca="1">IFERROR(__xludf.DUMMYFUNCTION("""COMPUTED_VALUE"""),"Win Multiplier, Wild Symbol")</f>
        <v>Win Multiplier, Wild Symbol</v>
      </c>
      <c r="AD591" s="5" t="str">
        <f ca="1">IFERROR(__xludf.DUMMYFUNCTION("""COMPUTED_VALUE"""),"0.1/50")</f>
        <v>0.1/50</v>
      </c>
      <c r="AE591" s="5"/>
      <c r="AF591" s="5"/>
      <c r="AG591" s="10">
        <f ca="1">IFERROR(__xludf.DUMMYFUNCTION("""COMPUTED_VALUE"""),46161.5361805555)</f>
        <v>46161.5361805555</v>
      </c>
      <c r="AH591" s="5" t="str">
        <f ca="1">IFERROR(__xludf.DUMMYFUNCTION("""COMPUTED_VALUE"""),"djordje.petrovic@fazi.rs")</f>
        <v>djordje.petrovic@fazi.rs</v>
      </c>
      <c r="AI591" s="5"/>
      <c r="AJ591" s="5"/>
      <c r="AK591" s="5"/>
      <c r="AL591" s="5" t="str">
        <f ca="1">IFERROR(__xludf.DUMMYFUNCTION("""COMPUTED_VALUE"""),"Yes")</f>
        <v>Yes</v>
      </c>
      <c r="AM591" s="5"/>
      <c r="AN591" s="7" t="str">
        <f ca="1">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AO591" s="5" t="str">
        <f ca="1">IFERROR(__xludf.DUMMYFUNCTION("""COMPUTED_VALUE"""),"Yes")</f>
        <v>Yes</v>
      </c>
      <c r="AP591" s="5" t="str">
        <f ca="1">IFERROR(__xludf.DUMMYFUNCTION("""COMPUTED_VALUE"""),"Yes")</f>
        <v>Yes</v>
      </c>
      <c r="AQ591" s="5" t="b">
        <f ca="1">IFERROR(__xludf.DUMMYFUNCTION("""COMPUTED_VALUE"""),TRUE)</f>
        <v>1</v>
      </c>
      <c r="AR591" s="5"/>
      <c r="AS591" s="5" t="str">
        <f ca="1">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AT591" s="5" t="str">
        <f ca="1">IFERROR(__xludf.DUMMYFUNCTION("""COMPUTED_VALUE"""),"Yes")</f>
        <v>Yes</v>
      </c>
      <c r="AU591" s="5" t="str">
        <f ca="1">IFERROR(__xludf.DUMMYFUNCTION("""COMPUTED_VALUE"""),"Fazi")</f>
        <v>Fazi</v>
      </c>
      <c r="AV591" s="5"/>
      <c r="AW591" s="5"/>
      <c r="AX591" s="15">
        <f ca="1">IFERROR(__xludf.DUMMYFUNCTION("""COMPUTED_VALUE"""),45951)</f>
        <v>45951</v>
      </c>
      <c r="AY591" s="5"/>
      <c r="AZ591" s="5"/>
      <c r="BA591" s="5"/>
      <c r="BB591" s="5"/>
      <c r="BC591" s="5" t="str">
        <f ca="1">IFERROR(__xludf.DUMMYFUNCTION("""COMPUTED_VALUE"""),"Foxi")</f>
        <v>Foxi</v>
      </c>
      <c r="BD591" s="7" t="str">
        <f ca="1">IFERROR(__xludf.DUMMYFUNCTION("""COMPUTED_VALUE"""),"https://gameserver-store-client-area.orbionlimited.com/Home/IntegrationGameLaunch/client-area?moneyType=0&amp;gameName=Wild27Extreme&amp;platform=desktop&amp;languageCode=eng&amp;currency=EUR")</f>
        <v>https://gameserver-store-client-area.orbionlimited.com/Home/IntegrationGameLaunch/client-area?moneyType=0&amp;gameName=Wild27Extreme&amp;platform=desktop&amp;languageCode=eng&amp;currency=EUR</v>
      </c>
      <c r="BE591" s="5" t="b">
        <f ca="1">IFERROR(__xludf.DUMMYFUNCTION("""COMPUTED_VALUE"""),TRUE)</f>
        <v>1</v>
      </c>
    </row>
    <row r="592" spans="1:57" x14ac:dyDescent="0.25">
      <c r="A592" s="5">
        <f ca="1">IFERROR(__xludf.DUMMYFUNCTION("""COMPUTED_VALUE"""),626)</f>
        <v>626</v>
      </c>
      <c r="B592" s="5">
        <f ca="1">IFERROR(__xludf.DUMMYFUNCTION("""COMPUTED_VALUE"""),1009)</f>
        <v>1009</v>
      </c>
      <c r="C592" s="5" t="str">
        <f ca="1">IFERROR(__xludf.DUMMYFUNCTION("""COMPUTED_VALUE"""),"Fazi")</f>
        <v>Fazi</v>
      </c>
      <c r="D592" s="5" t="str">
        <f ca="1">IFERROR(__xludf.DUMMYFUNCTION("""COMPUTED_VALUE"""),"Macaco Da Fortuna")</f>
        <v>Macaco Da Fortuna</v>
      </c>
      <c r="E592" s="5" t="str">
        <f ca="1">IFERROR(__xludf.DUMMYFUNCTION("""COMPUTED_VALUE"""),"V4-1")</f>
        <v>V4-1</v>
      </c>
      <c r="F592" s="5" t="str">
        <f ca="1">IFERROR(__xludf.DUMMYFUNCTION("""COMPUTED_VALUE"""),"MacacoDaFortuna")</f>
        <v>MacacoDaFortuna</v>
      </c>
      <c r="G592" s="5" t="str">
        <f ca="1">IFERROR(__xludf.DUMMYFUNCTION("""COMPUTED_VALUE"""),"Live")</f>
        <v>Live</v>
      </c>
      <c r="H592" s="5"/>
      <c r="I592" s="5" t="str">
        <f ca="1">IFERROR(__xludf.DUMMYFUNCTION("""COMPUTED_VALUE"""),"V4")</f>
        <v>V4</v>
      </c>
      <c r="J592" s="5" t="str">
        <f ca="1">IFERROR(__xludf.DUMMYFUNCTION("""COMPUTED_VALUE"""),"JSON")</f>
        <v>JSON</v>
      </c>
      <c r="K592" s="5" t="str">
        <f ca="1">IFERROR(__xludf.DUMMYFUNCTION("""COMPUTED_VALUE"""),"Slot")</f>
        <v>Slot</v>
      </c>
      <c r="L592" s="5" t="str">
        <f ca="1">IFERROR(__xludf.DUMMYFUNCTION("""COMPUTED_VALUE"""),"Master")</f>
        <v>Master</v>
      </c>
      <c r="M592" s="5"/>
      <c r="N592" s="5"/>
      <c r="O592" s="5"/>
      <c r="P592" s="14">
        <f ca="1">IFERROR(__xludf.DUMMYFUNCTION("""COMPUTED_VALUE"""),22.3)</f>
        <v>22.3</v>
      </c>
      <c r="Q592" s="15">
        <f ca="1">IFERROR(__xludf.DUMMYFUNCTION("""COMPUTED_VALUE"""),45999)</f>
        <v>45999</v>
      </c>
      <c r="R592" s="15">
        <f ca="1">IFERROR(__xludf.DUMMYFUNCTION("""COMPUTED_VALUE"""),45995)</f>
        <v>45995</v>
      </c>
      <c r="S592" s="15">
        <f ca="1">IFERROR(__xludf.DUMMYFUNCTION("""COMPUTED_VALUE"""),46002)</f>
        <v>46002</v>
      </c>
      <c r="T592" s="5" t="b">
        <f ca="1">IFERROR(__xludf.DUMMYFUNCTION("""COMPUTED_VALUE"""),TRUE)</f>
        <v>1</v>
      </c>
      <c r="U592" s="5" t="str">
        <f ca="1">IFERROR(__xludf.DUMMYFUNCTION("""COMPUTED_VALUE"""),"3x3")</f>
        <v>3x3</v>
      </c>
      <c r="V592" s="5">
        <f ca="1">IFERROR(__xludf.DUMMYFUNCTION("""COMPUTED_VALUE"""),5)</f>
        <v>5</v>
      </c>
      <c r="W592" s="5">
        <f ca="1">IFERROR(__xludf.DUMMYFUNCTION("""COMPUTED_VALUE"""),5)</f>
        <v>5</v>
      </c>
      <c r="X592" s="5">
        <f ca="1">IFERROR(__xludf.DUMMYFUNCTION("""COMPUTED_VALUE"""),96.626)</f>
        <v>96.626000000000005</v>
      </c>
      <c r="Y592" s="5" t="str">
        <f ca="1">IFERROR(__xludf.DUMMYFUNCTION("""COMPUTED_VALUE"""),"High")</f>
        <v>High</v>
      </c>
      <c r="Z592" s="5">
        <f ca="1">IFERROR(__xludf.DUMMYFUNCTION("""COMPUTED_VALUE"""),17.151)</f>
        <v>17.151</v>
      </c>
      <c r="AA592" s="5">
        <f ca="1">IFERROR(__xludf.DUMMYFUNCTION("""COMPUTED_VALUE"""),7500)</f>
        <v>7500</v>
      </c>
      <c r="AB592" s="5"/>
      <c r="AC592" s="5" t="str">
        <f ca="1">IFERROR(__xludf.DUMMYFUNCTION("""COMPUTED_VALUE"""),"Bonus Game with Special Symbol, Bonus Game with Multiplier, Wild Symbol, Buy Bonus")</f>
        <v>Bonus Game with Special Symbol, Bonus Game with Multiplier, Wild Symbol, Buy Bonus</v>
      </c>
      <c r="AD592" s="5" t="str">
        <f ca="1">IFERROR(__xludf.DUMMYFUNCTION("""COMPUTED_VALUE"""),"0.1/50")</f>
        <v>0.1/50</v>
      </c>
      <c r="AE592" s="5"/>
      <c r="AF592" s="5"/>
      <c r="AG592" s="10">
        <f ca="1">IFERROR(__xludf.DUMMYFUNCTION("""COMPUTED_VALUE"""),46161.6853472222)</f>
        <v>46161.685347222199</v>
      </c>
      <c r="AH592" s="5" t="str">
        <f ca="1">IFERROR(__xludf.DUMMYFUNCTION("""COMPUTED_VALUE"""),"djordje.petrovic@fazi.rs")</f>
        <v>djordje.petrovic@fazi.rs</v>
      </c>
      <c r="AI592" s="5"/>
      <c r="AJ592" s="5"/>
      <c r="AK592" s="5">
        <f ca="1">IFERROR(__xludf.DUMMYFUNCTION("""COMPUTED_VALUE"""),1)</f>
        <v>1</v>
      </c>
      <c r="AL592" s="5"/>
      <c r="AM592" s="5" t="str">
        <f ca="1">IFERROR(__xludf.DUMMYFUNCTION("""COMPUTED_VALUE"""),"Yes")</f>
        <v>Yes</v>
      </c>
      <c r="AN592" s="7" t="str">
        <f ca="1">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AO592" s="5" t="str">
        <f ca="1">IFERROR(__xludf.DUMMYFUNCTION("""COMPUTED_VALUE"""),"Yes")</f>
        <v>Yes</v>
      </c>
      <c r="AP592" s="5" t="str">
        <f ca="1">IFERROR(__xludf.DUMMYFUNCTION("""COMPUTED_VALUE"""),"Yes")</f>
        <v>Yes</v>
      </c>
      <c r="AQ592" s="5" t="b">
        <f ca="1">IFERROR(__xludf.DUMMYFUNCTION("""COMPUTED_VALUE"""),TRUE)</f>
        <v>1</v>
      </c>
      <c r="AR592" s="5"/>
      <c r="AS592" s="5" t="str">
        <f ca="1">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AT592" s="5" t="str">
        <f ca="1">IFERROR(__xludf.DUMMYFUNCTION("""COMPUTED_VALUE"""),"Yes")</f>
        <v>Yes</v>
      </c>
      <c r="AU592" s="5" t="str">
        <f ca="1">IFERROR(__xludf.DUMMYFUNCTION("""COMPUTED_VALUE"""),"Fazi")</f>
        <v>Fazi</v>
      </c>
      <c r="AV592" s="5"/>
      <c r="AW592" s="5"/>
      <c r="AX592" s="15">
        <f ca="1">IFERROR(__xludf.DUMMYFUNCTION("""COMPUTED_VALUE"""),45993)</f>
        <v>45993</v>
      </c>
      <c r="AY592" s="5"/>
      <c r="AZ592" s="5"/>
      <c r="BA592" s="5" t="str">
        <f ca="1">IFERROR(__xludf.DUMMYFUNCTION("""COMPUTED_VALUE"""),"20, 20, 70")</f>
        <v>20, 20, 70</v>
      </c>
      <c r="BB592" s="5"/>
      <c r="BC592" s="5" t="str">
        <f ca="1">IFERROR(__xludf.DUMMYFUNCTION("""COMPUTED_VALUE"""),"Foxi")</f>
        <v>Foxi</v>
      </c>
      <c r="BD592" s="7" t="str">
        <f ca="1">IFERROR(__xludf.DUMMYFUNCTION("""COMPUTED_VALUE"""),"https://gameserver-store-client-area.orbionlimited.com/Home/IntegrationGameLaunch/client-area?moneyType=0&amp;gameName=MacacoDaFortuna&amp;platform=desktop&amp;languageCode=eng&amp;currency=EUR")</f>
        <v>https://gameserver-store-client-area.orbionlimited.com/Home/IntegrationGameLaunch/client-area?moneyType=0&amp;gameName=MacacoDaFortuna&amp;platform=desktop&amp;languageCode=eng&amp;currency=EUR</v>
      </c>
      <c r="BE592" s="5" t="b">
        <f ca="1">IFERROR(__xludf.DUMMYFUNCTION("""COMPUTED_VALUE"""),TRUE)</f>
        <v>1</v>
      </c>
    </row>
    <row r="593" spans="1:57" x14ac:dyDescent="0.25">
      <c r="A593" s="5">
        <f ca="1">IFERROR(__xludf.DUMMYFUNCTION("""COMPUTED_VALUE"""),627)</f>
        <v>627</v>
      </c>
      <c r="B593" s="5">
        <f ca="1">IFERROR(__xludf.DUMMYFUNCTION("""COMPUTED_VALUE"""),4022)</f>
        <v>4022</v>
      </c>
      <c r="C593" s="5" t="str">
        <f ca="1">IFERROR(__xludf.DUMMYFUNCTION("""COMPUTED_VALUE"""),"Fazi")</f>
        <v>Fazi</v>
      </c>
      <c r="D593" s="5" t="str">
        <f ca="1">IFERROR(__xludf.DUMMYFUNCTION("""COMPUTED_VALUE"""),"Giga Hot 40 Free Spins")</f>
        <v>Giga Hot 40 Free Spins</v>
      </c>
      <c r="E593" s="5" t="str">
        <f ca="1">IFERROR(__xludf.DUMMYFUNCTION("""COMPUTED_VALUE"""),"Sertifikacioni")</f>
        <v>Sertifikacioni</v>
      </c>
      <c r="F593" s="5" t="str">
        <f ca="1">IFERROR(__xludf.DUMMYFUNCTION("""COMPUTED_VALUE"""),"GigaHot40FreeSpins")</f>
        <v>GigaHot40FreeSpins</v>
      </c>
      <c r="G593" s="5" t="str">
        <f ca="1">IFERROR(__xludf.DUMMYFUNCTION("""COMPUTED_VALUE"""),"Live")</f>
        <v>Live</v>
      </c>
      <c r="H593" s="5"/>
      <c r="I593" s="5" t="str">
        <f ca="1">IFERROR(__xludf.DUMMYFUNCTION("""COMPUTED_VALUE"""),"V2")</f>
        <v>V2</v>
      </c>
      <c r="J593" s="5" t="str">
        <f ca="1">IFERROR(__xludf.DUMMYFUNCTION("""COMPUTED_VALUE"""),"JSON")</f>
        <v>JSON</v>
      </c>
      <c r="K593" s="5" t="str">
        <f ca="1">IFERROR(__xludf.DUMMYFUNCTION("""COMPUTED_VALUE"""),"Slot")</f>
        <v>Slot</v>
      </c>
      <c r="L593" s="5" t="str">
        <f ca="1">IFERROR(__xludf.DUMMYFUNCTION("""COMPUTED_VALUE""")," Clone")</f>
        <v xml:space="preserve"> Clone</v>
      </c>
      <c r="M593" s="5" t="str">
        <f ca="1">IFERROR(__xludf.DUMMYFUNCTION("""COMPUTED_VALUE"""),"Wild Hot 40 Free Spins")</f>
        <v>Wild Hot 40 Free Spins</v>
      </c>
      <c r="N593" s="7" t="str">
        <f ca="1">IFERROR(__xludf.DUMMYFUNCTION("""COMPUTED_VALUE"""),"https://drive.google.com/file/d/11nqspWdKwJLxCnv99VNV3vo-0_o1Wn4b/view?usp=drive_link")</f>
        <v>https://drive.google.com/file/d/11nqspWdKwJLxCnv99VNV3vo-0_o1Wn4b/view?usp=drive_link</v>
      </c>
      <c r="O593" s="7" t="str">
        <f ca="1">IFERROR(__xludf.DUMMYFUNCTION("""COMPUTED_VALUE"""),"https://drive.google.com/file/d/1rtmq9pPb1_XNqUr3ktqWB_elDLzzFtQy/view?usp=drive_link")</f>
        <v>https://drive.google.com/file/d/1rtmq9pPb1_XNqUr3ktqWB_elDLzzFtQy/view?usp=drive_link</v>
      </c>
      <c r="P593" s="14">
        <f ca="1">IFERROR(__xludf.DUMMYFUNCTION("""COMPUTED_VALUE"""),5.4)</f>
        <v>5.4</v>
      </c>
      <c r="Q593" s="15">
        <f ca="1">IFERROR(__xludf.DUMMYFUNCTION("""COMPUTED_VALUE"""),45929)</f>
        <v>45929</v>
      </c>
      <c r="R593" s="15">
        <f ca="1">IFERROR(__xludf.DUMMYFUNCTION("""COMPUTED_VALUE"""),45925)</f>
        <v>45925</v>
      </c>
      <c r="S593" s="15">
        <f ca="1">IFERROR(__xludf.DUMMYFUNCTION("""COMPUTED_VALUE"""),45932)</f>
        <v>45932</v>
      </c>
      <c r="T593" s="5" t="b">
        <f ca="1">IFERROR(__xludf.DUMMYFUNCTION("""COMPUTED_VALUE"""),TRUE)</f>
        <v>1</v>
      </c>
      <c r="U593" s="5" t="str">
        <f ca="1">IFERROR(__xludf.DUMMYFUNCTION("""COMPUTED_VALUE"""),"5x4")</f>
        <v>5x4</v>
      </c>
      <c r="V593" s="5">
        <f ca="1">IFERROR(__xludf.DUMMYFUNCTION("""COMPUTED_VALUE"""),40)</f>
        <v>40</v>
      </c>
      <c r="W593" s="5">
        <f ca="1">IFERROR(__xludf.DUMMYFUNCTION("""COMPUTED_VALUE"""),40)</f>
        <v>40</v>
      </c>
      <c r="X593" s="5">
        <f ca="1">IFERROR(__xludf.DUMMYFUNCTION("""COMPUTED_VALUE"""),96.024)</f>
        <v>96.024000000000001</v>
      </c>
      <c r="Y593" s="5" t="str">
        <f ca="1">IFERROR(__xludf.DUMMYFUNCTION("""COMPUTED_VALUE"""),"Low")</f>
        <v>Low</v>
      </c>
      <c r="Z593" s="5">
        <f ca="1">IFERROR(__xludf.DUMMYFUNCTION("""COMPUTED_VALUE"""),17.23)</f>
        <v>17.23</v>
      </c>
      <c r="AA593" s="5">
        <f ca="1">IFERROR(__xludf.DUMMYFUNCTION("""COMPUTED_VALUE"""),1046)</f>
        <v>1046</v>
      </c>
      <c r="AB593" s="5"/>
      <c r="AC593" s="5" t="str">
        <f ca="1">IFERROR(__xludf.DUMMYFUNCTION("""COMPUTED_VALUE"""),"Buy Bonus, Bonus Game with Free Spins, Wild Symbol")</f>
        <v>Buy Bonus, Bonus Game with Free Spins, Wild Symbol</v>
      </c>
      <c r="AD593" s="5" t="str">
        <f ca="1">IFERROR(__xludf.DUMMYFUNCTION("""COMPUTED_VALUE"""),"0.4/60")</f>
        <v>0.4/60</v>
      </c>
      <c r="AE593" s="5"/>
      <c r="AF593" s="5"/>
      <c r="AG593" s="10">
        <f ca="1">IFERROR(__xludf.DUMMYFUNCTION("""COMPUTED_VALUE"""),46176.7388541666)</f>
        <v>46176.738854166601</v>
      </c>
      <c r="AH593" s="5" t="str">
        <f ca="1">IFERROR(__xludf.DUMMYFUNCTION("""COMPUTED_VALUE"""),"petra.ilic@fazi.rs")</f>
        <v>petra.ilic@fazi.rs</v>
      </c>
      <c r="AI593" s="5"/>
      <c r="AJ593" s="5"/>
      <c r="AK593" s="5">
        <f ca="1">IFERROR(__xludf.DUMMYFUNCTION("""COMPUTED_VALUE"""),40)</f>
        <v>40</v>
      </c>
      <c r="AL593" s="5" t="str">
        <f ca="1">IFERROR(__xludf.DUMMYFUNCTION("""COMPUTED_VALUE"""),"Yes")</f>
        <v>Yes</v>
      </c>
      <c r="AM593" s="5"/>
      <c r="AN593" s="7" t="str">
        <f ca="1">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AO593" s="5" t="str">
        <f ca="1">IFERROR(__xludf.DUMMYFUNCTION("""COMPUTED_VALUE"""),"Yes")</f>
        <v>Yes</v>
      </c>
      <c r="AP593" s="5" t="str">
        <f ca="1">IFERROR(__xludf.DUMMYFUNCTION("""COMPUTED_VALUE"""),"Yes")</f>
        <v>Yes</v>
      </c>
      <c r="AQ593" s="5" t="b">
        <f ca="1">IFERROR(__xludf.DUMMYFUNCTION("""COMPUTED_VALUE"""),TRUE)</f>
        <v>1</v>
      </c>
      <c r="AR593" s="5"/>
      <c r="AS593" s="5" t="str">
        <f ca="1">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AT593" s="5"/>
      <c r="AU593" s="5" t="str">
        <f ca="1">IFERROR(__xludf.DUMMYFUNCTION("""COMPUTED_VALUE"""),"Fazi")</f>
        <v>Fazi</v>
      </c>
      <c r="AV593" s="5"/>
      <c r="AW593" s="5"/>
      <c r="AX593" s="15">
        <f ca="1">IFERROR(__xludf.DUMMYFUNCTION("""COMPUTED_VALUE"""),45923)</f>
        <v>45923</v>
      </c>
      <c r="AY593" s="5"/>
      <c r="AZ593" s="5"/>
      <c r="BA593" s="5" t="str">
        <f ca="1">IFERROR(__xludf.DUMMYFUNCTION("""COMPUTED_VALUE"""),"30, 42, 63")</f>
        <v>30, 42, 63</v>
      </c>
      <c r="BB593" s="5"/>
      <c r="BC593" s="5" t="str">
        <f ca="1">IFERROR(__xludf.DUMMYFUNCTION("""COMPUTED_VALUE"""),"Foxi")</f>
        <v>Foxi</v>
      </c>
      <c r="BD593" s="7" t="str">
        <f ca="1">IFERROR(__xludf.DUMMYFUNCTION("""COMPUTED_VALUE"""),"https://gameserver-store-client-area.orbionlimited.com/Home/IntegrationGameLaunch/client-area?moneyType=0&amp;gameName=GigaHot40FreeSpins&amp;platform=desktop&amp;languageCode=eng&amp;currency=EUR")</f>
        <v>https://gameserver-store-client-area.orbionlimited.com/Home/IntegrationGameLaunch/client-area?moneyType=0&amp;gameName=GigaHot40FreeSpins&amp;platform=desktop&amp;languageCode=eng&amp;currency=EUR</v>
      </c>
      <c r="BE593" s="5" t="b">
        <f ca="1">IFERROR(__xludf.DUMMYFUNCTION("""COMPUTED_VALUE"""),TRUE)</f>
        <v>1</v>
      </c>
    </row>
    <row r="594" spans="1:57" x14ac:dyDescent="0.25">
      <c r="A594" s="5">
        <f ca="1">IFERROR(__xludf.DUMMYFUNCTION("""COMPUTED_VALUE"""),628)</f>
        <v>628</v>
      </c>
      <c r="B594" s="5">
        <f ca="1">IFERROR(__xludf.DUMMYFUNCTION("""COMPUTED_VALUE"""),-1)</f>
        <v>-1</v>
      </c>
      <c r="C594" s="5" t="str">
        <f ca="1">IFERROR(__xludf.DUMMYFUNCTION("""COMPUTED_VALUE"""),"Fazi")</f>
        <v>Fazi</v>
      </c>
      <c r="D594" s="5" t="str">
        <f ca="1">IFERROR(__xludf.DUMMYFUNCTION("""COMPUTED_VALUE"""),"Lolla's World reskin")</f>
        <v>Lolla's World reskin</v>
      </c>
      <c r="E594" s="5" t="str">
        <f ca="1">IFERROR(__xludf.DUMMYFUNCTION("""COMPUTED_VALUE"""),"V2")</f>
        <v>V2</v>
      </c>
      <c r="F594" s="5" t="str">
        <f ca="1">IFERROR(__xludf.DUMMYFUNCTION("""COMPUTED_VALUE"""),"TBD")</f>
        <v>TBD</v>
      </c>
      <c r="G594" s="5" t="str">
        <f ca="1">IFERROR(__xludf.DUMMYFUNCTION("""COMPUTED_VALUE"""),"In Development")</f>
        <v>In Development</v>
      </c>
      <c r="H594" s="5"/>
      <c r="I594" s="5"/>
      <c r="J594" s="5"/>
      <c r="K594" s="5" t="str">
        <f ca="1">IFERROR(__xludf.DUMMYFUNCTION("""COMPUTED_VALUE"""),"Slot")</f>
        <v>Slot</v>
      </c>
      <c r="L594" s="5"/>
      <c r="M594" s="5"/>
      <c r="N594" s="5"/>
      <c r="O594" s="5"/>
      <c r="P594" s="5"/>
      <c r="Q594" s="15">
        <f ca="1">IFERROR(__xludf.DUMMYFUNCTION("""COMPUTED_VALUE"""),45943)</f>
        <v>45943</v>
      </c>
      <c r="R594" s="5"/>
      <c r="S594" s="5"/>
      <c r="T594" s="5"/>
      <c r="U594" s="5"/>
      <c r="V594" s="5"/>
      <c r="W594" s="5"/>
      <c r="X594" s="5"/>
      <c r="Y594" s="5"/>
      <c r="Z594" s="5"/>
      <c r="AA594" s="5"/>
      <c r="AB594" s="5"/>
      <c r="AC594" s="5"/>
      <c r="AD594" s="5"/>
      <c r="AE594" s="5"/>
      <c r="AF594" s="5"/>
      <c r="AG594" s="10">
        <f ca="1">IFERROR(__xludf.DUMMYFUNCTION("""COMPUTED_VALUE"""),45931.4698379629)</f>
        <v>45931.469837962897</v>
      </c>
      <c r="AH594" s="5" t="str">
        <f ca="1">IFERROR(__xludf.DUMMYFUNCTION("""COMPUTED_VALUE"""),"aleksandra.pesic@fazi.rs")</f>
        <v>aleksandra.pesic@fazi.rs</v>
      </c>
      <c r="AI594" s="5"/>
      <c r="AJ594" s="5"/>
      <c r="AK594" s="5"/>
      <c r="AL594" s="5"/>
      <c r="AM594" s="5"/>
      <c r="AN594" s="5"/>
      <c r="AO594" s="5"/>
      <c r="AP594" s="5"/>
      <c r="AQ594" s="5"/>
      <c r="AR594" s="5"/>
      <c r="AS594" s="5"/>
      <c r="AT594" s="5"/>
      <c r="AU594" s="5" t="str">
        <f ca="1">IFERROR(__xludf.DUMMYFUNCTION("""COMPUTED_VALUE"""),"Fazi")</f>
        <v>Fazi</v>
      </c>
      <c r="AV594" s="5"/>
      <c r="AW594" s="5"/>
      <c r="AX594" s="5"/>
      <c r="AY594" s="5"/>
      <c r="AZ594" s="5"/>
      <c r="BA594" s="5" t="str">
        <f ca="1">IFERROR(__xludf.DUMMYFUNCTION("""COMPUTED_VALUE"""),"")</f>
        <v/>
      </c>
      <c r="BB594" s="5"/>
      <c r="BC594" s="5" t="str">
        <f ca="1">IFERROR(__xludf.DUMMYFUNCTION("""COMPUTED_VALUE"""),"Foxi")</f>
        <v>Foxi</v>
      </c>
      <c r="BD594" s="5" t="str">
        <f ca="1">IFERROR(__xludf.DUMMYFUNCTION("""COMPUTED_VALUE"""),"")</f>
        <v/>
      </c>
      <c r="BE594" s="5"/>
    </row>
    <row r="595" spans="1:57" x14ac:dyDescent="0.25">
      <c r="A595" s="5">
        <f ca="1">IFERROR(__xludf.DUMMYFUNCTION("""COMPUTED_VALUE"""),629)</f>
        <v>629</v>
      </c>
      <c r="B595" s="5">
        <f ca="1">IFERROR(__xludf.DUMMYFUNCTION("""COMPUTED_VALUE"""),3025)</f>
        <v>3025</v>
      </c>
      <c r="C595" s="5" t="str">
        <f ca="1">IFERROR(__xludf.DUMMYFUNCTION("""COMPUTED_VALUE"""),"Fazi")</f>
        <v>Fazi</v>
      </c>
      <c r="D595" s="5" t="str">
        <f ca="1">IFERROR(__xludf.DUMMYFUNCTION("""COMPUTED_VALUE"""),"Very Hot 5 Christmas Booster")</f>
        <v>Very Hot 5 Christmas Booster</v>
      </c>
      <c r="E595" s="5" t="str">
        <f ca="1">IFERROR(__xludf.DUMMYFUNCTION("""COMPUTED_VALUE"""),"V2")</f>
        <v>V2</v>
      </c>
      <c r="F595" s="5" t="str">
        <f ca="1">IFERROR(__xludf.DUMMYFUNCTION("""COMPUTED_VALUE"""),"VeryHot5ChristmasBooster")</f>
        <v>VeryHot5ChristmasBooster</v>
      </c>
      <c r="G595" s="5" t="str">
        <f ca="1">IFERROR(__xludf.DUMMYFUNCTION("""COMPUTED_VALUE"""),"Live")</f>
        <v>Live</v>
      </c>
      <c r="H595" s="5"/>
      <c r="I595" s="5" t="str">
        <f ca="1">IFERROR(__xludf.DUMMYFUNCTION("""COMPUTED_VALUE"""),"V2")</f>
        <v>V2</v>
      </c>
      <c r="J595" s="5" t="str">
        <f ca="1">IFERROR(__xludf.DUMMYFUNCTION("""COMPUTED_VALUE"""),"JSON")</f>
        <v>JSON</v>
      </c>
      <c r="K595" s="5" t="str">
        <f ca="1">IFERROR(__xludf.DUMMYFUNCTION("""COMPUTED_VALUE"""),"Slot")</f>
        <v>Slot</v>
      </c>
      <c r="L595" s="5"/>
      <c r="M595" s="5"/>
      <c r="N595" s="5"/>
      <c r="O595" s="5"/>
      <c r="P595" s="14">
        <f ca="1">IFERROR(__xludf.DUMMYFUNCTION("""COMPUTED_VALUE"""),19.3)</f>
        <v>19.3</v>
      </c>
      <c r="Q595" s="15">
        <f ca="1">IFERROR(__xludf.DUMMYFUNCTION("""COMPUTED_VALUE"""),45957)</f>
        <v>45957</v>
      </c>
      <c r="R595" s="15">
        <f ca="1">IFERROR(__xludf.DUMMYFUNCTION("""COMPUTED_VALUE"""),45960)</f>
        <v>45960</v>
      </c>
      <c r="S595" s="15">
        <f ca="1">IFERROR(__xludf.DUMMYFUNCTION("""COMPUTED_VALUE"""),45967)</f>
        <v>45967</v>
      </c>
      <c r="T595" s="5" t="b">
        <f ca="1">IFERROR(__xludf.DUMMYFUNCTION("""COMPUTED_VALUE"""),TRUE)</f>
        <v>1</v>
      </c>
      <c r="U595" s="5" t="str">
        <f ca="1">IFERROR(__xludf.DUMMYFUNCTION("""COMPUTED_VALUE"""),"5x3")</f>
        <v>5x3</v>
      </c>
      <c r="V595" s="5">
        <f ca="1">IFERROR(__xludf.DUMMYFUNCTION("""COMPUTED_VALUE"""),5)</f>
        <v>5</v>
      </c>
      <c r="W595" s="5">
        <f ca="1">IFERROR(__xludf.DUMMYFUNCTION("""COMPUTED_VALUE"""),5)</f>
        <v>5</v>
      </c>
      <c r="X595" s="5">
        <f ca="1">IFERROR(__xludf.DUMMYFUNCTION("""COMPUTED_VALUE"""),96.447)</f>
        <v>96.447000000000003</v>
      </c>
      <c r="Y595" s="5" t="str">
        <f ca="1">IFERROR(__xludf.DUMMYFUNCTION("""COMPUTED_VALUE"""),"Medium")</f>
        <v>Medium</v>
      </c>
      <c r="Z595" s="5">
        <f ca="1">IFERROR(__xludf.DUMMYFUNCTION("""COMPUTED_VALUE"""),14.51)</f>
        <v>14.51</v>
      </c>
      <c r="AA595" s="5">
        <f ca="1">IFERROR(__xludf.DUMMYFUNCTION("""COMPUTED_VALUE"""),1222)</f>
        <v>1222</v>
      </c>
      <c r="AB595" s="5">
        <f ca="1">IFERROR(__xludf.DUMMYFUNCTION("""COMPUTED_VALUE"""),4)</f>
        <v>4</v>
      </c>
      <c r="AC595" s="5" t="str">
        <f ca="1">IFERROR(__xludf.DUMMYFUNCTION("""COMPUTED_VALUE"""),"Buy Feature")</f>
        <v>Buy Feature</v>
      </c>
      <c r="AD595" s="5" t="str">
        <f ca="1">IFERROR(__xludf.DUMMYFUNCTION("""COMPUTED_VALUE"""),"0.5/30")</f>
        <v>0.5/30</v>
      </c>
      <c r="AE595" s="5"/>
      <c r="AF595" s="5"/>
      <c r="AG595" s="10">
        <f ca="1">IFERROR(__xludf.DUMMYFUNCTION("""COMPUTED_VALUE"""),46198.5237384259)</f>
        <v>46198.523738425902</v>
      </c>
      <c r="AH595" s="5" t="str">
        <f ca="1">IFERROR(__xludf.DUMMYFUNCTION("""COMPUTED_VALUE"""),"selena.mihajlovic@fazi.rs")</f>
        <v>selena.mihajlovic@fazi.rs</v>
      </c>
      <c r="AI595" s="15">
        <f ca="1">IFERROR(__xludf.DUMMYFUNCTION("""COMPUTED_VALUE"""),45962)</f>
        <v>45962</v>
      </c>
      <c r="AJ595" s="5" t="str">
        <f ca="1">IFERROR(__xludf.DUMMYFUNCTION("""COMPUTED_VALUE"""),"Platincasino (Softswiss integracija) 01.11-06.11")</f>
        <v>Platincasino (Softswiss integracija) 01.11-06.11</v>
      </c>
      <c r="AK595" s="5">
        <f ca="1">IFERROR(__xludf.DUMMYFUNCTION("""COMPUTED_VALUE"""),5)</f>
        <v>5</v>
      </c>
      <c r="AL595" s="5" t="str">
        <f ca="1">IFERROR(__xludf.DUMMYFUNCTION("""COMPUTED_VALUE"""),"Yes")</f>
        <v>Yes</v>
      </c>
      <c r="AM595" s="5"/>
      <c r="AN595" s="7" t="str">
        <f ca="1">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AO595" s="5" t="str">
        <f ca="1">IFERROR(__xludf.DUMMYFUNCTION("""COMPUTED_VALUE"""),"Yes")</f>
        <v>Yes</v>
      </c>
      <c r="AP595" s="5" t="str">
        <f ca="1">IFERROR(__xludf.DUMMYFUNCTION("""COMPUTED_VALUE"""),"No")</f>
        <v>No</v>
      </c>
      <c r="AQ595" s="5" t="b">
        <f ca="1">IFERROR(__xludf.DUMMYFUNCTION("""COMPUTED_VALUE"""),TRUE)</f>
        <v>1</v>
      </c>
      <c r="AR595" s="5"/>
      <c r="AS595" s="5" t="str">
        <f ca="1">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AT595" s="5"/>
      <c r="AU595" s="5" t="str">
        <f ca="1">IFERROR(__xludf.DUMMYFUNCTION("""COMPUTED_VALUE"""),"Fazi")</f>
        <v>Fazi</v>
      </c>
      <c r="AV595" s="5"/>
      <c r="AW595" s="5"/>
      <c r="AX595" s="15">
        <f ca="1">IFERROR(__xludf.DUMMYFUNCTION("""COMPUTED_VALUE"""),45924)</f>
        <v>45924</v>
      </c>
      <c r="AY595" s="5"/>
      <c r="AZ595" s="5"/>
      <c r="BA595" s="5">
        <f ca="1">IFERROR(__xludf.DUMMYFUNCTION("""COMPUTED_VALUE"""),5)</f>
        <v>5</v>
      </c>
      <c r="BB595" s="5"/>
      <c r="BC595" s="5" t="str">
        <f ca="1">IFERROR(__xludf.DUMMYFUNCTION("""COMPUTED_VALUE"""),"Foxi")</f>
        <v>Foxi</v>
      </c>
      <c r="BD595" s="7" t="str">
        <f ca="1">IFERROR(__xludf.DUMMYFUNCTION("""COMPUTED_VALUE"""),"https://gameserver-store-client-area.orbionlimited.com/Home/IntegrationGameLaunch/client-area?moneyType=0&amp;gameName=VeryHot5ChristmasBooster&amp;platform=desktop&amp;languageCode=eng&amp;currency=EUR")</f>
        <v>https://gameserver-store-client-area.orbionlimited.com/Home/IntegrationGameLaunch/client-area?moneyType=0&amp;gameName=VeryHot5ChristmasBooster&amp;platform=desktop&amp;languageCode=eng&amp;currency=EUR</v>
      </c>
      <c r="BE595" s="5" t="b">
        <f ca="1">IFERROR(__xludf.DUMMYFUNCTION("""COMPUTED_VALUE"""),TRUE)</f>
        <v>1</v>
      </c>
    </row>
    <row r="596" spans="1:57" x14ac:dyDescent="0.25">
      <c r="A596" s="5">
        <f ca="1">IFERROR(__xludf.DUMMYFUNCTION("""COMPUTED_VALUE"""),630)</f>
        <v>630</v>
      </c>
      <c r="B596" s="5">
        <f ca="1">IFERROR(__xludf.DUMMYFUNCTION("""COMPUTED_VALUE"""),-1)</f>
        <v>-1</v>
      </c>
      <c r="C596" s="5" t="str">
        <f ca="1">IFERROR(__xludf.DUMMYFUNCTION("""COMPUTED_VALUE"""),"Fazi")</f>
        <v>Fazi</v>
      </c>
      <c r="D596" s="5" t="str">
        <f ca="1">IFERROR(__xludf.DUMMYFUNCTION("""COMPUTED_VALUE"""),"Wild Booster (Golden Crown Christmas)")</f>
        <v>Wild Booster (Golden Crown Christmas)</v>
      </c>
      <c r="E596" s="5" t="str">
        <f ca="1">IFERROR(__xludf.DUMMYFUNCTION("""COMPUTED_VALUE"""),"V2")</f>
        <v>V2</v>
      </c>
      <c r="F596" s="5" t="str">
        <f ca="1">IFERROR(__xludf.DUMMYFUNCTION("""COMPUTED_VALUE"""),"TBD")</f>
        <v>TBD</v>
      </c>
      <c r="G596" s="5" t="str">
        <f ca="1">IFERROR(__xludf.DUMMYFUNCTION("""COMPUTED_VALUE"""),"In Development")</f>
        <v>In Development</v>
      </c>
      <c r="H596" s="5"/>
      <c r="I596" s="5"/>
      <c r="J596" s="5"/>
      <c r="K596" s="5" t="str">
        <f ca="1">IFERROR(__xludf.DUMMYFUNCTION("""COMPUTED_VALUE"""),"Slot")</f>
        <v>Slot</v>
      </c>
      <c r="L596" s="5"/>
      <c r="M596" s="5"/>
      <c r="N596" s="5"/>
      <c r="O596" s="5"/>
      <c r="P596" s="5"/>
      <c r="Q596" s="15">
        <f ca="1">IFERROR(__xludf.DUMMYFUNCTION("""COMPUTED_VALUE"""),45957)</f>
        <v>45957</v>
      </c>
      <c r="R596" s="15">
        <f ca="1">IFERROR(__xludf.DUMMYFUNCTION("""COMPUTED_VALUE"""),45967)</f>
        <v>45967</v>
      </c>
      <c r="S596" s="15">
        <f ca="1">IFERROR(__xludf.DUMMYFUNCTION("""COMPUTED_VALUE"""),45974)</f>
        <v>45974</v>
      </c>
      <c r="T596" s="5" t="b">
        <f ca="1">IFERROR(__xludf.DUMMYFUNCTION("""COMPUTED_VALUE"""),TRUE)</f>
        <v>1</v>
      </c>
      <c r="U596" s="5"/>
      <c r="V596" s="5"/>
      <c r="W596" s="5"/>
      <c r="X596" s="5"/>
      <c r="Y596" s="5"/>
      <c r="Z596" s="5"/>
      <c r="AA596" s="5"/>
      <c r="AB596" s="5"/>
      <c r="AC596" s="5"/>
      <c r="AD596" s="5"/>
      <c r="AE596" s="5"/>
      <c r="AF596" s="5"/>
      <c r="AG596" s="10">
        <f ca="1">IFERROR(__xludf.DUMMYFUNCTION("""COMPUTED_VALUE"""),45951.605787037)</f>
        <v>45951.605787036999</v>
      </c>
      <c r="AH596" s="5" t="str">
        <f ca="1">IFERROR(__xludf.DUMMYFUNCTION("""COMPUTED_VALUE"""),"selena.mihajlovic@fazi.rs")</f>
        <v>selena.mihajlovic@fazi.rs</v>
      </c>
      <c r="AI596" s="5"/>
      <c r="AJ596" s="5"/>
      <c r="AK596" s="5"/>
      <c r="AL596" s="5"/>
      <c r="AM596" s="5"/>
      <c r="AN596" s="5"/>
      <c r="AO596" s="5"/>
      <c r="AP596" s="5"/>
      <c r="AQ596" s="5"/>
      <c r="AR596" s="5"/>
      <c r="AS596" s="5"/>
      <c r="AT596" s="5"/>
      <c r="AU596" s="5" t="str">
        <f ca="1">IFERROR(__xludf.DUMMYFUNCTION("""COMPUTED_VALUE"""),"Fazi")</f>
        <v>Fazi</v>
      </c>
      <c r="AV596" s="5"/>
      <c r="AW596" s="5"/>
      <c r="AX596" s="15">
        <f ca="1">IFERROR(__xludf.DUMMYFUNCTION("""COMPUTED_VALUE"""),45951)</f>
        <v>45951</v>
      </c>
      <c r="AY596" s="5"/>
      <c r="AZ596" s="5"/>
      <c r="BA596" s="5" t="str">
        <f ca="1">IFERROR(__xludf.DUMMYFUNCTION("""COMPUTED_VALUE"""),"")</f>
        <v/>
      </c>
      <c r="BB596" s="5"/>
      <c r="BC596" s="5" t="str">
        <f ca="1">IFERROR(__xludf.DUMMYFUNCTION("""COMPUTED_VALUE"""),"Foxi")</f>
        <v>Foxi</v>
      </c>
      <c r="BD596" s="5" t="str">
        <f ca="1">IFERROR(__xludf.DUMMYFUNCTION("""COMPUTED_VALUE"""),"")</f>
        <v/>
      </c>
      <c r="BE596" s="5"/>
    </row>
    <row r="597" spans="1:57" x14ac:dyDescent="0.25">
      <c r="A597" s="5">
        <f ca="1">IFERROR(__xludf.DUMMYFUNCTION("""COMPUTED_VALUE"""),631)</f>
        <v>631</v>
      </c>
      <c r="B597" s="5">
        <f ca="1">IFERROR(__xludf.DUMMYFUNCTION("""COMPUTED_VALUE"""),3022)</f>
        <v>3022</v>
      </c>
      <c r="C597" s="5" t="str">
        <f ca="1">IFERROR(__xludf.DUMMYFUNCTION("""COMPUTED_VALUE"""),"Fazi")</f>
        <v>Fazi</v>
      </c>
      <c r="D597" s="5" t="str">
        <f ca="1">IFERROR(__xludf.DUMMYFUNCTION("""COMPUTED_VALUE"""),"Taxi Rush")</f>
        <v>Taxi Rush</v>
      </c>
      <c r="E597" s="5" t="str">
        <f ca="1">IFERROR(__xludf.DUMMYFUNCTION("""COMPUTED_VALUE"""),"V2")</f>
        <v>V2</v>
      </c>
      <c r="F597" s="5" t="str">
        <f ca="1">IFERROR(__xludf.DUMMYFUNCTION("""COMPUTED_VALUE"""),"TaxiRush")</f>
        <v>TaxiRush</v>
      </c>
      <c r="G597" s="5" t="str">
        <f ca="1">IFERROR(__xludf.DUMMYFUNCTION("""COMPUTED_VALUE"""),"Live")</f>
        <v>Live</v>
      </c>
      <c r="H597" s="5"/>
      <c r="I597" s="5" t="str">
        <f ca="1">IFERROR(__xludf.DUMMYFUNCTION("""COMPUTED_VALUE"""),"V4")</f>
        <v>V4</v>
      </c>
      <c r="J597" s="5" t="str">
        <f ca="1">IFERROR(__xludf.DUMMYFUNCTION("""COMPUTED_VALUE"""),"JSON")</f>
        <v>JSON</v>
      </c>
      <c r="K597" s="5" t="str">
        <f ca="1">IFERROR(__xludf.DUMMYFUNCTION("""COMPUTED_VALUE"""),"Slot")</f>
        <v>Slot</v>
      </c>
      <c r="L597" s="5" t="str">
        <f ca="1">IFERROR(__xludf.DUMMYFUNCTION("""COMPUTED_VALUE"""),"Master")</f>
        <v>Master</v>
      </c>
      <c r="M597" s="5"/>
      <c r="N597" s="7" t="str">
        <f ca="1">IFERROR(__xludf.DUMMYFUNCTION("""COMPUTED_VALUE"""),"https://drive.google.com/drive/folders/19wze01OCqWkObIFrTigTyuzJjYXUlgk9?usp=drive_link")</f>
        <v>https://drive.google.com/drive/folders/19wze01OCqWkObIFrTigTyuzJjYXUlgk9?usp=drive_link</v>
      </c>
      <c r="O597" s="7" t="str">
        <f ca="1">IFERROR(__xludf.DUMMYFUNCTION("""COMPUTED_VALUE"""),"https://drive.google.com/drive/folders/19wze01OCqWkObIFrTigTyuzJjYXUlgk9?usp=drive_link")</f>
        <v>https://drive.google.com/drive/folders/19wze01OCqWkObIFrTigTyuzJjYXUlgk9?usp=drive_link</v>
      </c>
      <c r="P597" s="14">
        <f ca="1">IFERROR(__xludf.DUMMYFUNCTION("""COMPUTED_VALUE"""),34.4)</f>
        <v>34.4</v>
      </c>
      <c r="Q597" s="15">
        <f ca="1">IFERROR(__xludf.DUMMYFUNCTION("""COMPUTED_VALUE"""),45988)</f>
        <v>45988</v>
      </c>
      <c r="R597" s="15">
        <f ca="1">IFERROR(__xludf.DUMMYFUNCTION("""COMPUTED_VALUE"""),45981)</f>
        <v>45981</v>
      </c>
      <c r="S597" s="15">
        <f ca="1">IFERROR(__xludf.DUMMYFUNCTION("""COMPUTED_VALUE"""),45988)</f>
        <v>45988</v>
      </c>
      <c r="T597" s="5" t="b">
        <f ca="1">IFERROR(__xludf.DUMMYFUNCTION("""COMPUTED_VALUE"""),TRUE)</f>
        <v>1</v>
      </c>
      <c r="U597" s="5" t="str">
        <f ca="1">IFERROR(__xludf.DUMMYFUNCTION("""COMPUTED_VALUE"""),"5x4")</f>
        <v>5x4</v>
      </c>
      <c r="V597" s="5">
        <f ca="1">IFERROR(__xludf.DUMMYFUNCTION("""COMPUTED_VALUE"""),20)</f>
        <v>20</v>
      </c>
      <c r="W597" s="5">
        <f ca="1">IFERROR(__xludf.DUMMYFUNCTION("""COMPUTED_VALUE"""),20)</f>
        <v>20</v>
      </c>
      <c r="X597" s="5">
        <f ca="1">IFERROR(__xludf.DUMMYFUNCTION("""COMPUTED_VALUE"""),96.393)</f>
        <v>96.393000000000001</v>
      </c>
      <c r="Y597" s="5" t="str">
        <f ca="1">IFERROR(__xludf.DUMMYFUNCTION("""COMPUTED_VALUE"""),"High")</f>
        <v>High</v>
      </c>
      <c r="Z597" s="5">
        <f ca="1">IFERROR(__xludf.DUMMYFUNCTION("""COMPUTED_VALUE"""),11.685)</f>
        <v>11.685</v>
      </c>
      <c r="AA597" s="5">
        <f ca="1">IFERROR(__xludf.DUMMYFUNCTION("""COMPUTED_VALUE"""),24000)</f>
        <v>24000</v>
      </c>
      <c r="AB597" s="5"/>
      <c r="AC597" s="5" t="str">
        <f ca="1">IFERROR(__xludf.DUMMYFUNCTION("""COMPUTED_VALUE"""),"Win Multiplier, Win Multiplier, Buy Bonus")</f>
        <v>Win Multiplier, Win Multiplier, Buy Bonus</v>
      </c>
      <c r="AD597" s="5" t="str">
        <f ca="1">IFERROR(__xludf.DUMMYFUNCTION("""COMPUTED_VALUE"""),"0.02/50")</f>
        <v>0.02/50</v>
      </c>
      <c r="AE597" s="5"/>
      <c r="AF597" s="5"/>
      <c r="AG597" s="10">
        <f ca="1">IFERROR(__xludf.DUMMYFUNCTION("""COMPUTED_VALUE"""),46213.4473148148)</f>
        <v>46213.447314814803</v>
      </c>
      <c r="AH597" s="5" t="str">
        <f ca="1">IFERROR(__xludf.DUMMYFUNCTION("""COMPUTED_VALUE"""),"djordje.petrovic@fazi.rs")</f>
        <v>djordje.petrovic@fazi.rs</v>
      </c>
      <c r="AI597" s="5"/>
      <c r="AJ597" s="5"/>
      <c r="AK597" s="5">
        <f ca="1">IFERROR(__xludf.DUMMYFUNCTION("""COMPUTED_VALUE"""),2)</f>
        <v>2</v>
      </c>
      <c r="AL597" s="5" t="str">
        <f ca="1">IFERROR(__xludf.DUMMYFUNCTION("""COMPUTED_VALUE"""),"Yes")</f>
        <v>Yes</v>
      </c>
      <c r="AM597" s="5"/>
      <c r="AN597" s="7" t="str">
        <f ca="1">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AO597" s="5" t="str">
        <f ca="1">IFERROR(__xludf.DUMMYFUNCTION("""COMPUTED_VALUE"""),"Yes")</f>
        <v>Yes</v>
      </c>
      <c r="AP597" s="5" t="str">
        <f ca="1">IFERROR(__xludf.DUMMYFUNCTION("""COMPUTED_VALUE"""),"No")</f>
        <v>No</v>
      </c>
      <c r="AQ597" s="5" t="b">
        <f ca="1">IFERROR(__xludf.DUMMYFUNCTION("""COMPUTED_VALUE"""),TRUE)</f>
        <v>1</v>
      </c>
      <c r="AR597" s="5"/>
      <c r="AS597" s="5" t="str">
        <f ca="1">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AT597" s="5"/>
      <c r="AU597" s="5" t="str">
        <f ca="1">IFERROR(__xludf.DUMMYFUNCTION("""COMPUTED_VALUE"""),"Fazi")</f>
        <v>Fazi</v>
      </c>
      <c r="AV597" s="5">
        <f ca="1">IFERROR(__xludf.DUMMYFUNCTION("""COMPUTED_VALUE"""),1)</f>
        <v>1</v>
      </c>
      <c r="AW597" s="5"/>
      <c r="AX597" s="15">
        <f ca="1">IFERROR(__xludf.DUMMYFUNCTION("""COMPUTED_VALUE"""),45987)</f>
        <v>45987</v>
      </c>
      <c r="AY597" s="5"/>
      <c r="AZ597" s="5"/>
      <c r="BA597" s="5">
        <f ca="1">IFERROR(__xludf.DUMMYFUNCTION("""COMPUTED_VALUE"""),90)</f>
        <v>90</v>
      </c>
      <c r="BB597" s="5"/>
      <c r="BC597" s="5" t="str">
        <f ca="1">IFERROR(__xludf.DUMMYFUNCTION("""COMPUTED_VALUE"""),"Foxi")</f>
        <v>Foxi</v>
      </c>
      <c r="BD597" s="7" t="str">
        <f ca="1">IFERROR(__xludf.DUMMYFUNCTION("""COMPUTED_VALUE"""),"https://gameserver-store-client-area.orbionlimited.com/Home/IntegrationGameLaunch/client-area?moneyType=0&amp;gameName=TaxiRush&amp;platform=desktop&amp;languageCode=eng&amp;currency=EUR")</f>
        <v>https://gameserver-store-client-area.orbionlimited.com/Home/IntegrationGameLaunch/client-area?moneyType=0&amp;gameName=TaxiRush&amp;platform=desktop&amp;languageCode=eng&amp;currency=EUR</v>
      </c>
      <c r="BE597" s="5" t="b">
        <f ca="1">IFERROR(__xludf.DUMMYFUNCTION("""COMPUTED_VALUE"""),TRUE)</f>
        <v>1</v>
      </c>
    </row>
    <row r="598" spans="1:57" x14ac:dyDescent="0.25">
      <c r="A598" s="5">
        <f ca="1">IFERROR(__xludf.DUMMYFUNCTION("""COMPUTED_VALUE"""),632)</f>
        <v>632</v>
      </c>
      <c r="B598" s="5">
        <f ca="1">IFERROR(__xludf.DUMMYFUNCTION("""COMPUTED_VALUE"""),2009)</f>
        <v>2009</v>
      </c>
      <c r="C598" s="5" t="str">
        <f ca="1">IFERROR(__xludf.DUMMYFUNCTION("""COMPUTED_VALUE"""),"Fazi")</f>
        <v>Fazi</v>
      </c>
      <c r="D598" s="5" t="str">
        <f ca="1">IFERROR(__xludf.DUMMYFUNCTION("""COMPUTED_VALUE"""),"Wild Hot 40 Hold&amp;Win")</f>
        <v>Wild Hot 40 Hold&amp;Win</v>
      </c>
      <c r="E598" s="5" t="str">
        <f ca="1">IFERROR(__xludf.DUMMYFUNCTION("""COMPUTED_VALUE"""),"V4-2")</f>
        <v>V4-2</v>
      </c>
      <c r="F598" s="5" t="str">
        <f ca="1">IFERROR(__xludf.DUMMYFUNCTION("""COMPUTED_VALUE"""),"WildHot40HoldAndWin")</f>
        <v>WildHot40HoldAndWin</v>
      </c>
      <c r="G598" s="5" t="str">
        <f ca="1">IFERROR(__xludf.DUMMYFUNCTION("""COMPUTED_VALUE"""),"Live")</f>
        <v>Live</v>
      </c>
      <c r="H598" s="5"/>
      <c r="I598" s="5" t="str">
        <f ca="1">IFERROR(__xludf.DUMMYFUNCTION("""COMPUTED_VALUE"""),"V4")</f>
        <v>V4</v>
      </c>
      <c r="J598" s="5" t="str">
        <f ca="1">IFERROR(__xludf.DUMMYFUNCTION("""COMPUTED_VALUE"""),"JSON")</f>
        <v>JSON</v>
      </c>
      <c r="K598" s="5" t="str">
        <f ca="1">IFERROR(__xludf.DUMMYFUNCTION("""COMPUTED_VALUE"""),"Slot")</f>
        <v>Slot</v>
      </c>
      <c r="L598" s="5" t="str">
        <f ca="1">IFERROR(__xludf.DUMMYFUNCTION("""COMPUTED_VALUE""")," Variant")</f>
        <v xml:space="preserve"> Variant</v>
      </c>
      <c r="M598" s="5" t="str">
        <f ca="1">IFERROR(__xludf.DUMMYFUNCTION("""COMPUTED_VALUE"""),"Wild Hot 40")</f>
        <v>Wild Hot 40</v>
      </c>
      <c r="N598" s="7" t="str">
        <f ca="1">IFERROR(__xludf.DUMMYFUNCTION("""COMPUTED_VALUE"""),"https://drive.google.com/drive/folders/1aYvN7XLSW87H6DxUxwws3PZknweDxVY8?usp=drive_link")</f>
        <v>https://drive.google.com/drive/folders/1aYvN7XLSW87H6DxUxwws3PZknweDxVY8?usp=drive_link</v>
      </c>
      <c r="O598" s="7" t="str">
        <f ca="1">IFERROR(__xludf.DUMMYFUNCTION("""COMPUTED_VALUE"""),"https://drive.google.com/drive/folders/1aYvN7XLSW87H6DxUxwws3PZknweDxVY8?usp=drive_link")</f>
        <v>https://drive.google.com/drive/folders/1aYvN7XLSW87H6DxUxwws3PZknweDxVY8?usp=drive_link</v>
      </c>
      <c r="P598" s="14">
        <f ca="1">IFERROR(__xludf.DUMMYFUNCTION("""COMPUTED_VALUE"""),21.4)</f>
        <v>21.4</v>
      </c>
      <c r="Q598" s="15">
        <f ca="1">IFERROR(__xludf.DUMMYFUNCTION("""COMPUTED_VALUE"""),45985)</f>
        <v>45985</v>
      </c>
      <c r="R598" s="15">
        <f ca="1">IFERROR(__xludf.DUMMYFUNCTION("""COMPUTED_VALUE"""),45988)</f>
        <v>45988</v>
      </c>
      <c r="S598" s="15">
        <f ca="1">IFERROR(__xludf.DUMMYFUNCTION("""COMPUTED_VALUE"""),45995)</f>
        <v>45995</v>
      </c>
      <c r="T598" s="5" t="b">
        <f ca="1">IFERROR(__xludf.DUMMYFUNCTION("""COMPUTED_VALUE"""),TRUE)</f>
        <v>1</v>
      </c>
      <c r="U598" s="5" t="str">
        <f ca="1">IFERROR(__xludf.DUMMYFUNCTION("""COMPUTED_VALUE"""),"5x4")</f>
        <v>5x4</v>
      </c>
      <c r="V598" s="5">
        <f ca="1">IFERROR(__xludf.DUMMYFUNCTION("""COMPUTED_VALUE"""),40)</f>
        <v>40</v>
      </c>
      <c r="W598" s="5">
        <f ca="1">IFERROR(__xludf.DUMMYFUNCTION("""COMPUTED_VALUE"""),40)</f>
        <v>40</v>
      </c>
      <c r="X598" s="5">
        <f ca="1">IFERROR(__xludf.DUMMYFUNCTION("""COMPUTED_VALUE"""),96.584)</f>
        <v>96.584000000000003</v>
      </c>
      <c r="Y598" s="5" t="str">
        <f ca="1">IFERROR(__xludf.DUMMYFUNCTION("""COMPUTED_VALUE"""),"Medium")</f>
        <v>Medium</v>
      </c>
      <c r="Z598" s="5">
        <f ca="1">IFERROR(__xludf.DUMMYFUNCTION("""COMPUTED_VALUE"""),17.255)</f>
        <v>17.254999999999999</v>
      </c>
      <c r="AA598" s="5">
        <f ca="1">IFERROR(__xludf.DUMMYFUNCTION("""COMPUTED_VALUE"""),1250)</f>
        <v>1250</v>
      </c>
      <c r="AB598" s="5"/>
      <c r="AC598" s="5" t="str">
        <f ca="1">IFERROR(__xludf.DUMMYFUNCTION("""COMPUTED_VALUE"""),"Buy Feature, Hold and Win, Wild Symbol, Scatter")</f>
        <v>Buy Feature, Hold and Win, Wild Symbol, Scatter</v>
      </c>
      <c r="AD598" s="5" t="str">
        <f ca="1">IFERROR(__xludf.DUMMYFUNCTION("""COMPUTED_VALUE"""),"0.40/60")</f>
        <v>0.40/60</v>
      </c>
      <c r="AE598" s="5"/>
      <c r="AF598" s="5"/>
      <c r="AG598" s="10">
        <f ca="1">IFERROR(__xludf.DUMMYFUNCTION("""COMPUTED_VALUE"""),46150.6204861111)</f>
        <v>46150.620486111096</v>
      </c>
      <c r="AH598" s="5" t="str">
        <f ca="1">IFERROR(__xludf.DUMMYFUNCTION("""COMPUTED_VALUE"""),"ana.antic@fazi.rs")</f>
        <v>ana.antic@fazi.rs</v>
      </c>
      <c r="AI598" s="5"/>
      <c r="AJ598" s="5"/>
      <c r="AK598" s="5">
        <f ca="1">IFERROR(__xludf.DUMMYFUNCTION("""COMPUTED_VALUE"""),4)</f>
        <v>4</v>
      </c>
      <c r="AL598" s="5" t="str">
        <f ca="1">IFERROR(__xludf.DUMMYFUNCTION("""COMPUTED_VALUE"""),"Yes")</f>
        <v>Yes</v>
      </c>
      <c r="AM598" s="5"/>
      <c r="AN598" s="7" t="str">
        <f ca="1">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AO598" s="5" t="str">
        <f ca="1">IFERROR(__xludf.DUMMYFUNCTION("""COMPUTED_VALUE"""),"Yes")</f>
        <v>Yes</v>
      </c>
      <c r="AP598" s="5" t="str">
        <f ca="1">IFERROR(__xludf.DUMMYFUNCTION("""COMPUTED_VALUE"""),"Yes")</f>
        <v>Yes</v>
      </c>
      <c r="AQ598" s="5" t="b">
        <f ca="1">IFERROR(__xludf.DUMMYFUNCTION("""COMPUTED_VALUE"""),TRUE)</f>
        <v>1</v>
      </c>
      <c r="AR598" s="5"/>
      <c r="AS598" s="5" t="str">
        <f ca="1">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AT598" s="5"/>
      <c r="AU598" s="5" t="str">
        <f ca="1">IFERROR(__xludf.DUMMYFUNCTION("""COMPUTED_VALUE"""),"Fazi")</f>
        <v>Fazi</v>
      </c>
      <c r="AV598" s="5">
        <f ca="1">IFERROR(__xludf.DUMMYFUNCTION("""COMPUTED_VALUE"""),1)</f>
        <v>1</v>
      </c>
      <c r="AW598" s="5"/>
      <c r="AX598" s="15">
        <f ca="1">IFERROR(__xludf.DUMMYFUNCTION("""COMPUTED_VALUE"""),45979)</f>
        <v>45979</v>
      </c>
      <c r="AY598" s="5"/>
      <c r="AZ598" s="5"/>
      <c r="BA598" s="5">
        <f ca="1">IFERROR(__xludf.DUMMYFUNCTION("""COMPUTED_VALUE"""),40)</f>
        <v>40</v>
      </c>
      <c r="BB598" s="5"/>
      <c r="BC598" s="5" t="str">
        <f ca="1">IFERROR(__xludf.DUMMYFUNCTION("""COMPUTED_VALUE"""),"Foxi")</f>
        <v>Foxi</v>
      </c>
      <c r="BD598" s="7" t="str">
        <f ca="1">IFERROR(__xludf.DUMMYFUNCTION("""COMPUTED_VALUE"""),"https://gameserver-store-client-area.orbionlimited.com/Home/IntegrationGameLaunch/client-area?moneyType=0&amp;gameName=WildHot40HoldAndWin&amp;platform=desktop&amp;languageCode=eng&amp;currency=EUR")</f>
        <v>https://gameserver-store-client-area.orbionlimited.com/Home/IntegrationGameLaunch/client-area?moneyType=0&amp;gameName=WildHot40HoldAndWin&amp;platform=desktop&amp;languageCode=eng&amp;currency=EUR</v>
      </c>
      <c r="BE598" s="5" t="b">
        <f ca="1">IFERROR(__xludf.DUMMYFUNCTION("""COMPUTED_VALUE"""),TRUE)</f>
        <v>1</v>
      </c>
    </row>
    <row r="599" spans="1:57" x14ac:dyDescent="0.25">
      <c r="A599" s="5">
        <f ca="1">IFERROR(__xludf.DUMMYFUNCTION("""COMPUTED_VALUE"""),633)</f>
        <v>633</v>
      </c>
      <c r="B599" s="5">
        <f ca="1">IFERROR(__xludf.DUMMYFUNCTION("""COMPUTED_VALUE"""),-1)</f>
        <v>-1</v>
      </c>
      <c r="C599" s="5" t="str">
        <f ca="1">IFERROR(__xludf.DUMMYFUNCTION("""COMPUTED_VALUE"""),"Fazi")</f>
        <v>Fazi</v>
      </c>
      <c r="D599" s="5" t="str">
        <f ca="1">IFERROR(__xludf.DUMMYFUNCTION("""COMPUTED_VALUE"""),"Wild Booster (Wild Joker Hot)")</f>
        <v>Wild Booster (Wild Joker Hot)</v>
      </c>
      <c r="E599" s="5" t="str">
        <f ca="1">IFERROR(__xludf.DUMMYFUNCTION("""COMPUTED_VALUE"""),"V2")</f>
        <v>V2</v>
      </c>
      <c r="F599" s="5" t="str">
        <f ca="1">IFERROR(__xludf.DUMMYFUNCTION("""COMPUTED_VALUE"""),"TBD")</f>
        <v>TBD</v>
      </c>
      <c r="G599" s="5" t="str">
        <f ca="1">IFERROR(__xludf.DUMMYFUNCTION("""COMPUTED_VALUE"""),"Planned")</f>
        <v>Planned</v>
      </c>
      <c r="H599" s="5"/>
      <c r="I599" s="5"/>
      <c r="J599" s="5"/>
      <c r="K599" s="5" t="str">
        <f ca="1">IFERROR(__xludf.DUMMYFUNCTION("""COMPUTED_VALUE"""),"Slot")</f>
        <v>Slot</v>
      </c>
      <c r="L599" s="5"/>
      <c r="M599" s="5"/>
      <c r="N599" s="5"/>
      <c r="O599" s="5"/>
      <c r="P599" s="5"/>
      <c r="Q599" s="15">
        <f ca="1">IFERROR(__xludf.DUMMYFUNCTION("""COMPUTED_VALUE"""),45999)</f>
        <v>45999</v>
      </c>
      <c r="R599" s="5"/>
      <c r="S599" s="5"/>
      <c r="T599" s="5" t="b">
        <f ca="1">IFERROR(__xludf.DUMMYFUNCTION("""COMPUTED_VALUE"""),FALSE)</f>
        <v>0</v>
      </c>
      <c r="U599" s="5"/>
      <c r="V599" s="5"/>
      <c r="W599" s="5"/>
      <c r="X599" s="5"/>
      <c r="Y599" s="5"/>
      <c r="Z599" s="5"/>
      <c r="AA599" s="5"/>
      <c r="AB599" s="5"/>
      <c r="AC599" s="5"/>
      <c r="AD599" s="5"/>
      <c r="AE599" s="5"/>
      <c r="AF599" s="5"/>
      <c r="AG599" s="10">
        <f ca="1">IFERROR(__xludf.DUMMYFUNCTION("""COMPUTED_VALUE"""),45979.6859837963)</f>
        <v>45979.685983796298</v>
      </c>
      <c r="AH599" s="5" t="str">
        <f ca="1">IFERROR(__xludf.DUMMYFUNCTION("""COMPUTED_VALUE"""),"aleksandra.pesic@fazi.rs")</f>
        <v>aleksandra.pesic@fazi.rs</v>
      </c>
      <c r="AI599" s="5"/>
      <c r="AJ599" s="5"/>
      <c r="AK599" s="5"/>
      <c r="AL599" s="5"/>
      <c r="AM599" s="5"/>
      <c r="AN599" s="5"/>
      <c r="AO599" s="5"/>
      <c r="AP599" s="5"/>
      <c r="AQ599" s="5"/>
      <c r="AR599" s="5"/>
      <c r="AS599" s="5"/>
      <c r="AT599" s="5"/>
      <c r="AU599" s="5" t="str">
        <f ca="1">IFERROR(__xludf.DUMMYFUNCTION("""COMPUTED_VALUE"""),"Fazi")</f>
        <v>Fazi</v>
      </c>
      <c r="AV599" s="5"/>
      <c r="AW599" s="5"/>
      <c r="AX599" s="5"/>
      <c r="AY599" s="5"/>
      <c r="AZ599" s="5"/>
      <c r="BA599" s="5" t="str">
        <f ca="1">IFERROR(__xludf.DUMMYFUNCTION("""COMPUTED_VALUE"""),"")</f>
        <v/>
      </c>
      <c r="BB599" s="5"/>
      <c r="BC599" s="5" t="str">
        <f ca="1">IFERROR(__xludf.DUMMYFUNCTION("""COMPUTED_VALUE"""),"Foxi")</f>
        <v>Foxi</v>
      </c>
      <c r="BD599" s="5" t="str">
        <f ca="1">IFERROR(__xludf.DUMMYFUNCTION("""COMPUTED_VALUE"""),"")</f>
        <v/>
      </c>
      <c r="BE599" s="5"/>
    </row>
    <row r="600" spans="1:57" x14ac:dyDescent="0.25">
      <c r="A600" s="5">
        <f ca="1">IFERROR(__xludf.DUMMYFUNCTION("""COMPUTED_VALUE"""),635)</f>
        <v>635</v>
      </c>
      <c r="B600" s="5">
        <f ca="1">IFERROR(__xludf.DUMMYFUNCTION("""COMPUTED_VALUE"""),3027)</f>
        <v>3027</v>
      </c>
      <c r="C600" s="5" t="str">
        <f ca="1">IFERROR(__xludf.DUMMYFUNCTION("""COMPUTED_VALUE"""),"Fazi")</f>
        <v>Fazi</v>
      </c>
      <c r="D600" s="5" t="str">
        <f ca="1">IFERROR(__xludf.DUMMYFUNCTION("""COMPUTED_VALUE"""),"Wild Hot 40 Blow Booster")</f>
        <v>Wild Hot 40 Blow Booster</v>
      </c>
      <c r="E600" s="5" t="str">
        <f ca="1">IFERROR(__xludf.DUMMYFUNCTION("""COMPUTED_VALUE"""),"V2")</f>
        <v>V2</v>
      </c>
      <c r="F600" s="5" t="str">
        <f ca="1">IFERROR(__xludf.DUMMYFUNCTION("""COMPUTED_VALUE"""),"WildHot40BlowBooster")</f>
        <v>WildHot40BlowBooster</v>
      </c>
      <c r="G600" s="5" t="str">
        <f ca="1">IFERROR(__xludf.DUMMYFUNCTION("""COMPUTED_VALUE"""),"Live")</f>
        <v>Live</v>
      </c>
      <c r="H600" s="5"/>
      <c r="I600" s="5" t="str">
        <f ca="1">IFERROR(__xludf.DUMMYFUNCTION("""COMPUTED_VALUE"""),"V2")</f>
        <v>V2</v>
      </c>
      <c r="J600" s="5" t="str">
        <f ca="1">IFERROR(__xludf.DUMMYFUNCTION("""COMPUTED_VALUE"""),"JSON")</f>
        <v>JSON</v>
      </c>
      <c r="K600" s="5" t="str">
        <f ca="1">IFERROR(__xludf.DUMMYFUNCTION("""COMPUTED_VALUE"""),"Slot")</f>
        <v>Slot</v>
      </c>
      <c r="L600" s="5" t="str">
        <f ca="1">IFERROR(__xludf.DUMMYFUNCTION("""COMPUTED_VALUE""")," Clone")</f>
        <v xml:space="preserve"> Clone</v>
      </c>
      <c r="M600" s="5" t="str">
        <f ca="1">IFERROR(__xludf.DUMMYFUNCTION("""COMPUTED_VALUE"""),"Wild Hot 40 Blow")</f>
        <v>Wild Hot 40 Blow</v>
      </c>
      <c r="N600" s="5"/>
      <c r="O600" s="5"/>
      <c r="P600" s="5"/>
      <c r="Q600" s="15">
        <f ca="1">IFERROR(__xludf.DUMMYFUNCTION("""COMPUTED_VALUE"""),46013)</f>
        <v>46013</v>
      </c>
      <c r="R600" s="15">
        <f ca="1">IFERROR(__xludf.DUMMYFUNCTION("""COMPUTED_VALUE"""),46037)</f>
        <v>46037</v>
      </c>
      <c r="S600" s="15">
        <f ca="1">IFERROR(__xludf.DUMMYFUNCTION("""COMPUTED_VALUE"""),46044)</f>
        <v>46044</v>
      </c>
      <c r="T600" s="5" t="b">
        <f ca="1">IFERROR(__xludf.DUMMYFUNCTION("""COMPUTED_VALUE"""),TRUE)</f>
        <v>1</v>
      </c>
      <c r="U600" s="5" t="str">
        <f ca="1">IFERROR(__xludf.DUMMYFUNCTION("""COMPUTED_VALUE"""),"5x4")</f>
        <v>5x4</v>
      </c>
      <c r="V600" s="5">
        <f ca="1">IFERROR(__xludf.DUMMYFUNCTION("""COMPUTED_VALUE"""),40)</f>
        <v>40</v>
      </c>
      <c r="W600" s="5">
        <f ca="1">IFERROR(__xludf.DUMMYFUNCTION("""COMPUTED_VALUE"""),40)</f>
        <v>40</v>
      </c>
      <c r="X600" s="5">
        <f ca="1">IFERROR(__xludf.DUMMYFUNCTION("""COMPUTED_VALUE"""),96.269)</f>
        <v>96.269000000000005</v>
      </c>
      <c r="Y600" s="5" t="str">
        <f ca="1">IFERROR(__xludf.DUMMYFUNCTION("""COMPUTED_VALUE"""),"Medium")</f>
        <v>Medium</v>
      </c>
      <c r="Z600" s="5">
        <f ca="1">IFERROR(__xludf.DUMMYFUNCTION("""COMPUTED_VALUE"""),13.88)</f>
        <v>13.88</v>
      </c>
      <c r="AA600" s="5">
        <f ca="1">IFERROR(__xludf.DUMMYFUNCTION("""COMPUTED_VALUE"""),1000)</f>
        <v>1000</v>
      </c>
      <c r="AB600" s="5"/>
      <c r="AC600" s="5" t="str">
        <f ca="1">IFERROR(__xludf.DUMMYFUNCTION("""COMPUTED_VALUE"""),"Buy Feature, Exploding Wild, Wild Symbol")</f>
        <v>Buy Feature, Exploding Wild, Wild Symbol</v>
      </c>
      <c r="AD600" s="5" t="str">
        <f ca="1">IFERROR(__xludf.DUMMYFUNCTION("""COMPUTED_VALUE"""),"0.4/60")</f>
        <v>0.4/60</v>
      </c>
      <c r="AE600" s="5"/>
      <c r="AF600" s="5"/>
      <c r="AG600" s="10">
        <f ca="1">IFERROR(__xludf.DUMMYFUNCTION("""COMPUTED_VALUE"""),46198.5239467592)</f>
        <v>46198.523946759196</v>
      </c>
      <c r="AH600" s="5" t="str">
        <f ca="1">IFERROR(__xludf.DUMMYFUNCTION("""COMPUTED_VALUE"""),"selena.mihajlovic@fazi.rs")</f>
        <v>selena.mihajlovic@fazi.rs</v>
      </c>
      <c r="AI600" s="15">
        <f ca="1">IFERROR(__xludf.DUMMYFUNCTION("""COMPUTED_VALUE"""),46034)</f>
        <v>46034</v>
      </c>
      <c r="AJ600" s="5" t="str">
        <f ca="1">IFERROR(__xludf.DUMMYFUNCTION("""COMPUTED_VALUE"""),"1xbet - testiraju igru od 9.01., pre-release 12.01.")</f>
        <v>1xbet - testiraju igru od 9.01., pre-release 12.01.</v>
      </c>
      <c r="AK600" s="5">
        <f ca="1">IFERROR(__xludf.DUMMYFUNCTION("""COMPUTED_VALUE"""),40)</f>
        <v>40</v>
      </c>
      <c r="AL600" s="5" t="str">
        <f ca="1">IFERROR(__xludf.DUMMYFUNCTION("""COMPUTED_VALUE"""),"Yes")</f>
        <v>Yes</v>
      </c>
      <c r="AM600" s="5"/>
      <c r="AN600" s="5"/>
      <c r="AO600" s="5" t="str">
        <f ca="1">IFERROR(__xludf.DUMMYFUNCTION("""COMPUTED_VALUE"""),"Yes")</f>
        <v>Yes</v>
      </c>
      <c r="AP600" s="5" t="str">
        <f ca="1">IFERROR(__xludf.DUMMYFUNCTION("""COMPUTED_VALUE"""),"No")</f>
        <v>No</v>
      </c>
      <c r="AQ600" s="5" t="b">
        <f ca="1">IFERROR(__xludf.DUMMYFUNCTION("""COMPUTED_VALUE"""),TRUE)</f>
        <v>1</v>
      </c>
      <c r="AR600" s="5"/>
      <c r="AS600" s="5" t="str">
        <f ca="1">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AT600" s="5"/>
      <c r="AU600" s="5" t="str">
        <f ca="1">IFERROR(__xludf.DUMMYFUNCTION("""COMPUTED_VALUE"""),"Fazi")</f>
        <v>Fazi</v>
      </c>
      <c r="AV600" s="5">
        <f ca="1">IFERROR(__xludf.DUMMYFUNCTION("""COMPUTED_VALUE"""),1)</f>
        <v>1</v>
      </c>
      <c r="AW600" s="5"/>
      <c r="AX600" s="15">
        <f ca="1">IFERROR(__xludf.DUMMYFUNCTION("""COMPUTED_VALUE"""),46007)</f>
        <v>46007</v>
      </c>
      <c r="AY600" s="5"/>
      <c r="AZ600" s="5"/>
      <c r="BA600" s="5">
        <f ca="1">IFERROR(__xludf.DUMMYFUNCTION("""COMPUTED_VALUE"""),15)</f>
        <v>15</v>
      </c>
      <c r="BB600" s="5"/>
      <c r="BC600" s="5" t="str">
        <f ca="1">IFERROR(__xludf.DUMMYFUNCTION("""COMPUTED_VALUE"""),"Foxi")</f>
        <v>Foxi</v>
      </c>
      <c r="BD600" s="7" t="str">
        <f ca="1">IFERROR(__xludf.DUMMYFUNCTION("""COMPUTED_VALUE"""),"https://gameserver-store-client-area.orbionlimited.com/Home/IntegrationGameLaunch/client-area?moneyType=0&amp;gameName=WildHot40BlowBooster&amp;platform=desktop&amp;languageCode=eng&amp;currency=EUR")</f>
        <v>https://gameserver-store-client-area.orbionlimited.com/Home/IntegrationGameLaunch/client-area?moneyType=0&amp;gameName=WildHot40BlowBooster&amp;platform=desktop&amp;languageCode=eng&amp;currency=EUR</v>
      </c>
      <c r="BE600" s="5" t="b">
        <f ca="1">IFERROR(__xludf.DUMMYFUNCTION("""COMPUTED_VALUE"""),TRUE)</f>
        <v>1</v>
      </c>
    </row>
    <row r="601" spans="1:57" x14ac:dyDescent="0.25">
      <c r="A601" s="5">
        <f ca="1">IFERROR(__xludf.DUMMYFUNCTION("""COMPUTED_VALUE"""),636)</f>
        <v>636</v>
      </c>
      <c r="B601" s="5">
        <f ca="1">IFERROR(__xludf.DUMMYFUNCTION("""COMPUTED_VALUE"""),9999999)</f>
        <v>9999999</v>
      </c>
      <c r="C601" s="5" t="str">
        <f ca="1">IFERROR(__xludf.DUMMYFUNCTION("""COMPUTED_VALUE"""),"SOKO studio")</f>
        <v>SOKO studio</v>
      </c>
      <c r="D601" s="5" t="str">
        <f ca="1">IFERROR(__xludf.DUMMYFUNCTION("""COMPUTED_VALUE"""),"Bluff and Bite")</f>
        <v>Bluff and Bite</v>
      </c>
      <c r="E601" s="5" t="str">
        <f ca="1">IFERROR(__xludf.DUMMYFUNCTION("""COMPUTED_VALUE"""),"SOKO studio")</f>
        <v>SOKO studio</v>
      </c>
      <c r="F601" s="5" t="str">
        <f ca="1">IFERROR(__xludf.DUMMYFUNCTION("""COMPUTED_VALUE"""),"bluff-and-bite")</f>
        <v>bluff-and-bite</v>
      </c>
      <c r="G601" s="5" t="str">
        <f ca="1">IFERROR(__xludf.DUMMYFUNCTION("""COMPUTED_VALUE"""),"Live")</f>
        <v>Live</v>
      </c>
      <c r="H601" s="5"/>
      <c r="I601" s="5" t="str">
        <f ca="1">IFERROR(__xludf.DUMMYFUNCTION("""COMPUTED_VALUE"""),"SOKO studio")</f>
        <v>SOKO studio</v>
      </c>
      <c r="J601" s="5" t="str">
        <f ca="1">IFERROR(__xludf.DUMMYFUNCTION("""COMPUTED_VALUE"""),"Aggregation platform")</f>
        <v>Aggregation platform</v>
      </c>
      <c r="K601" s="5" t="str">
        <f ca="1">IFERROR(__xludf.DUMMYFUNCTION("""COMPUTED_VALUE"""),"Slot")</f>
        <v>Slot</v>
      </c>
      <c r="L601" s="5" t="str">
        <f ca="1">IFERROR(__xludf.DUMMYFUNCTION("""COMPUTED_VALUE"""),"Master")</f>
        <v>Master</v>
      </c>
      <c r="M601" s="5"/>
      <c r="N601" s="7" t="str">
        <f ca="1">IFERROR(__xludf.DUMMYFUNCTION("""COMPUTED_VALUE"""),"https://docs.google.com/document/d/1nyoPmhgfwHrvoXXt_3Xv7d10pcKzixSK8GLZz0JaP90/edit?usp=sharing")</f>
        <v>https://docs.google.com/document/d/1nyoPmhgfwHrvoXXt_3Xv7d10pcKzixSK8GLZz0JaP90/edit?usp=sharing</v>
      </c>
      <c r="O601" s="5"/>
      <c r="P601" s="5">
        <f ca="1">IFERROR(__xludf.DUMMYFUNCTION("""COMPUTED_VALUE"""),12.53)</f>
        <v>12.53</v>
      </c>
      <c r="Q601" s="15">
        <f ca="1">IFERROR(__xludf.DUMMYFUNCTION("""COMPUTED_VALUE"""),45929)</f>
        <v>45929</v>
      </c>
      <c r="R601" s="5"/>
      <c r="S601" s="15">
        <f ca="1">IFERROR(__xludf.DUMMYFUNCTION("""COMPUTED_VALUE"""),45936)</f>
        <v>45936</v>
      </c>
      <c r="T601" s="5" t="b">
        <f ca="1">IFERROR(__xludf.DUMMYFUNCTION("""COMPUTED_VALUE"""),TRUE)</f>
        <v>1</v>
      </c>
      <c r="U601" s="5" t="str">
        <f ca="1">IFERROR(__xludf.DUMMYFUNCTION("""COMPUTED_VALUE"""),"5 reels x 4 rows")</f>
        <v>5 reels x 4 rows</v>
      </c>
      <c r="V601" s="5">
        <f ca="1">IFERROR(__xludf.DUMMYFUNCTION("""COMPUTED_VALUE"""),14)</f>
        <v>14</v>
      </c>
      <c r="W601" s="5"/>
      <c r="X601" s="5">
        <f ca="1">IFERROR(__xludf.DUMMYFUNCTION("""COMPUTED_VALUE"""),95.03)</f>
        <v>95.03</v>
      </c>
      <c r="Y601" s="5" t="str">
        <f ca="1">IFERROR(__xludf.DUMMYFUNCTION("""COMPUTED_VALUE"""),"High")</f>
        <v>High</v>
      </c>
      <c r="Z601" s="5">
        <f ca="1">IFERROR(__xludf.DUMMYFUNCTION("""COMPUTED_VALUE"""),29.15)</f>
        <v>29.15</v>
      </c>
      <c r="AA601" s="5"/>
      <c r="AB601" s="5"/>
      <c r="AC601" s="5"/>
      <c r="AD601" s="5" t="str">
        <f ca="1">IFERROR(__xludf.DUMMYFUNCTION("""COMPUTED_VALUE"""),"0.05€/50€")</f>
        <v>0.05€/50€</v>
      </c>
      <c r="AE601" s="5"/>
      <c r="AF601" s="5"/>
      <c r="AG601" s="10">
        <f ca="1">IFERROR(__xludf.DUMMYFUNCTION("""COMPUTED_VALUE"""),46083.6936574074)</f>
        <v>46083.693657407399</v>
      </c>
      <c r="AH601" s="5" t="str">
        <f ca="1">IFERROR(__xludf.DUMMYFUNCTION("""COMPUTED_VALUE"""),"vanja.svetska@fazi.rs")</f>
        <v>vanja.svetska@fazi.rs</v>
      </c>
      <c r="AI601" s="5"/>
      <c r="AJ601" s="5"/>
      <c r="AK601" s="5"/>
      <c r="AL601" s="5"/>
      <c r="AM601" s="5"/>
      <c r="AN601" s="7" t="str">
        <f ca="1">IFERROR(__xludf.DUMMYFUNCTION("""COMPUTED_VALUE"""),"https://bluff-and-bite.soko.games/ ")</f>
        <v xml:space="preserve">https://bluff-and-bite.soko.games/ </v>
      </c>
      <c r="AO601" s="5"/>
      <c r="AP601" s="5"/>
      <c r="AQ601" s="5"/>
      <c r="AR601" s="5"/>
      <c r="AS601" s="5" t="str">
        <f ca="1">IFERROR(__xludf.DUMMYFUNCTION("""COMPUTED_VALUE"""),"Welcome to Bluff and Bite, the high-stakes slot where style meets strategy! Step into a moody  speakeasy filled with poker chips, smooth-talking canines, cunning foxes, and the kingpin of  the game - the powerful Pig, your ticket to the biggest wins. Feat"&amp;"uring a 5x4 grid and 14  paylines, the game offers countless ways to outwit the odds and score impressive rewards.  With every spin, you’ll feel the rush of high-stakes bluffing and the bite of big wins. ")</f>
        <v xml:space="preserve">Welcome to Bluff and Bite, the high-stakes slot where style meets strategy! Step into a moody  speakeasy filled with poker chips, smooth-talking canines, cunning foxes, and the kingpin of  the game - the powerful Pig, your ticket to the biggest wins. Featuring a 5x4 grid and 14  paylines, the game offers countless ways to outwit the odds and score impressive rewards.  With every spin, you’ll feel the rush of high-stakes bluffing and the bite of big wins. </v>
      </c>
      <c r="AT601" s="5"/>
      <c r="AU601" s="5" t="str">
        <f ca="1">IFERROR(__xludf.DUMMYFUNCTION("""COMPUTED_VALUE"""),"SOKO studio")</f>
        <v>SOKO studio</v>
      </c>
      <c r="AV601" s="5"/>
      <c r="AW601" s="5"/>
      <c r="AX601" s="15">
        <f ca="1">IFERROR(__xludf.DUMMYFUNCTION("""COMPUTED_VALUE"""),45923)</f>
        <v>45923</v>
      </c>
      <c r="AY601" s="5"/>
      <c r="AZ601" s="5"/>
      <c r="BA601" s="5" t="str">
        <f ca="1">IFERROR(__xludf.DUMMYFUNCTION("""COMPUTED_VALUE"""),"")</f>
        <v/>
      </c>
      <c r="BB601" s="5"/>
      <c r="BC601" s="5" t="str">
        <f ca="1">IFERROR(__xludf.DUMMYFUNCTION("""COMPUTED_VALUE"""),"SOKO studio")</f>
        <v>SOKO studio</v>
      </c>
      <c r="BD601" s="7" t="str">
        <f ca="1">IFERROR(__xludf.DUMMYFUNCTION("""COMPUTED_VALUE"""),"https://bluff-and-bite.soko.games/ ")</f>
        <v xml:space="preserve">https://bluff-and-bite.soko.games/ </v>
      </c>
      <c r="BE601" s="5"/>
    </row>
    <row r="602" spans="1:57" x14ac:dyDescent="0.25">
      <c r="A602" s="5">
        <f ca="1">IFERROR(__xludf.DUMMYFUNCTION("""COMPUTED_VALUE"""),637)</f>
        <v>637</v>
      </c>
      <c r="B602" s="5">
        <f ca="1">IFERROR(__xludf.DUMMYFUNCTION("""COMPUTED_VALUE"""),999998)</f>
        <v>999998</v>
      </c>
      <c r="C602" s="5" t="str">
        <f ca="1">IFERROR(__xludf.DUMMYFUNCTION("""COMPUTED_VALUE"""),"SOKO studio")</f>
        <v>SOKO studio</v>
      </c>
      <c r="D602" s="5" t="str">
        <f ca="1">IFERROR(__xludf.DUMMYFUNCTION("""COMPUTED_VALUE"""),"Royal Crown Delight")</f>
        <v>Royal Crown Delight</v>
      </c>
      <c r="E602" s="5" t="str">
        <f ca="1">IFERROR(__xludf.DUMMYFUNCTION("""COMPUTED_VALUE"""),"SOKO studio")</f>
        <v>SOKO studio</v>
      </c>
      <c r="F602" s="5" t="str">
        <f ca="1">IFERROR(__xludf.DUMMYFUNCTION("""COMPUTED_VALUE"""),"royal-crown-delight")</f>
        <v>royal-crown-delight</v>
      </c>
      <c r="G602" s="5" t="str">
        <f ca="1">IFERROR(__xludf.DUMMYFUNCTION("""COMPUTED_VALUE"""),"Live")</f>
        <v>Live</v>
      </c>
      <c r="H602" s="5"/>
      <c r="I602" s="5" t="str">
        <f ca="1">IFERROR(__xludf.DUMMYFUNCTION("""COMPUTED_VALUE"""),"SOKO studio")</f>
        <v>SOKO studio</v>
      </c>
      <c r="J602" s="5" t="str">
        <f ca="1">IFERROR(__xludf.DUMMYFUNCTION("""COMPUTED_VALUE"""),"Aggregation platform")</f>
        <v>Aggregation platform</v>
      </c>
      <c r="K602" s="5" t="str">
        <f ca="1">IFERROR(__xludf.DUMMYFUNCTION("""COMPUTED_VALUE"""),"Slot")</f>
        <v>Slot</v>
      </c>
      <c r="L602" s="5" t="str">
        <f ca="1">IFERROR(__xludf.DUMMYFUNCTION("""COMPUTED_VALUE"""),"Master")</f>
        <v>Master</v>
      </c>
      <c r="M602" s="5"/>
      <c r="N602" s="7" t="str">
        <f ca="1">IFERROR(__xludf.DUMMYFUNCTION("""COMPUTED_VALUE"""),"https://docs.google.com/document/d/1wsxv80TasNJSVPDmBEYitjsMJWzttW8ePuy1g7fNqbs/edit?usp=sharing")</f>
        <v>https://docs.google.com/document/d/1wsxv80TasNJSVPDmBEYitjsMJWzttW8ePuy1g7fNqbs/edit?usp=sharing</v>
      </c>
      <c r="O602" s="5"/>
      <c r="P602" s="5">
        <f ca="1">IFERROR(__xludf.DUMMYFUNCTION("""COMPUTED_VALUE"""),21.06)</f>
        <v>21.06</v>
      </c>
      <c r="Q602" s="15">
        <f ca="1">IFERROR(__xludf.DUMMYFUNCTION("""COMPUTED_VALUE"""),45943)</f>
        <v>45943</v>
      </c>
      <c r="R602" s="5"/>
      <c r="S602" s="15">
        <f ca="1">IFERROR(__xludf.DUMMYFUNCTION("""COMPUTED_VALUE"""),45950)</f>
        <v>45950</v>
      </c>
      <c r="T602" s="5" t="b">
        <f ca="1">IFERROR(__xludf.DUMMYFUNCTION("""COMPUTED_VALUE"""),TRUE)</f>
        <v>1</v>
      </c>
      <c r="U602" s="5" t="str">
        <f ca="1">IFERROR(__xludf.DUMMYFUNCTION("""COMPUTED_VALUE"""),"5 reels x 3 rows")</f>
        <v>5 reels x 3 rows</v>
      </c>
      <c r="V602" s="5">
        <f ca="1">IFERROR(__xludf.DUMMYFUNCTION("""COMPUTED_VALUE"""),5)</f>
        <v>5</v>
      </c>
      <c r="W602" s="5"/>
      <c r="X602" s="5">
        <f ca="1">IFERROR(__xludf.DUMMYFUNCTION("""COMPUTED_VALUE"""),95.13)</f>
        <v>95.13</v>
      </c>
      <c r="Y602" s="5" t="str">
        <f ca="1">IFERROR(__xludf.DUMMYFUNCTION("""COMPUTED_VALUE"""),"High")</f>
        <v>High</v>
      </c>
      <c r="Z602" s="5">
        <f ca="1">IFERROR(__xludf.DUMMYFUNCTION("""COMPUTED_VALUE"""),16.4)</f>
        <v>16.399999999999999</v>
      </c>
      <c r="AA602" s="5"/>
      <c r="AB602" s="5"/>
      <c r="AC602" s="5"/>
      <c r="AD602" s="5" t="str">
        <f ca="1">IFERROR(__xludf.DUMMYFUNCTION("""COMPUTED_VALUE"""),"0.05€/50€")</f>
        <v>0.05€/50€</v>
      </c>
      <c r="AE602" s="5"/>
      <c r="AF602" s="5"/>
      <c r="AG602" s="10">
        <f ca="1">IFERROR(__xludf.DUMMYFUNCTION("""COMPUTED_VALUE"""),46083.6930787037)</f>
        <v>46083.693078703698</v>
      </c>
      <c r="AH602" s="5" t="str">
        <f ca="1">IFERROR(__xludf.DUMMYFUNCTION("""COMPUTED_VALUE"""),"vanja.svetska@fazi.rs")</f>
        <v>vanja.svetska@fazi.rs</v>
      </c>
      <c r="AI602" s="5"/>
      <c r="AJ602" s="5"/>
      <c r="AK602" s="5"/>
      <c r="AL602" s="5"/>
      <c r="AM602" s="5"/>
      <c r="AN602" s="7" t="str">
        <f ca="1">IFERROR(__xludf.DUMMYFUNCTION("""COMPUTED_VALUE"""),"https://royal-crown-delight.soko.games/")</f>
        <v>https://royal-crown-delight.soko.games/</v>
      </c>
      <c r="AO602" s="5"/>
      <c r="AP602" s="5"/>
      <c r="AQ602" s="5"/>
      <c r="AR602" s="5"/>
      <c r="AS602" s="5" t="str">
        <f ca="1">IFERROR(__xludf.DUMMYFUNCTION("""COMPUTED_VALUE"""),"Welcome to Royal Crown Delight, a majestic slot adventure fit for royalty! Set in a grand castle  and shining with opulent symbols like golden crowns, sparkling rings, and lucky sevens, this  5x3 slot with 5 paylines invites you to spin for regal rewards."&amp;" With rich visuals and classic  charm, every spin is a chance to claim your throne and delight in royal riches! ")</f>
        <v xml:space="preserve">Welcome to Royal Crown Delight,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 </v>
      </c>
      <c r="AT602" s="5"/>
      <c r="AU602" s="5" t="str">
        <f ca="1">IFERROR(__xludf.DUMMYFUNCTION("""COMPUTED_VALUE"""),"SOKO studio")</f>
        <v>SOKO studio</v>
      </c>
      <c r="AV602" s="5"/>
      <c r="AW602" s="5"/>
      <c r="AX602" s="15">
        <f ca="1">IFERROR(__xludf.DUMMYFUNCTION("""COMPUTED_VALUE"""),45937)</f>
        <v>45937</v>
      </c>
      <c r="AY602" s="5"/>
      <c r="AZ602" s="5"/>
      <c r="BA602" s="5" t="str">
        <f ca="1">IFERROR(__xludf.DUMMYFUNCTION("""COMPUTED_VALUE"""),"")</f>
        <v/>
      </c>
      <c r="BB602" s="5"/>
      <c r="BC602" s="5" t="str">
        <f ca="1">IFERROR(__xludf.DUMMYFUNCTION("""COMPUTED_VALUE"""),"SOKO studio")</f>
        <v>SOKO studio</v>
      </c>
      <c r="BD602" s="7" t="str">
        <f ca="1">IFERROR(__xludf.DUMMYFUNCTION("""COMPUTED_VALUE"""),"https://royal-crown-delight.soko.games/")</f>
        <v>https://royal-crown-delight.soko.games/</v>
      </c>
      <c r="BE602" s="5"/>
    </row>
    <row r="603" spans="1:57" x14ac:dyDescent="0.25">
      <c r="A603" s="5">
        <f ca="1">IFERROR(__xludf.DUMMYFUNCTION("""COMPUTED_VALUE"""),638)</f>
        <v>638</v>
      </c>
      <c r="B603" s="5">
        <f ca="1">IFERROR(__xludf.DUMMYFUNCTION("""COMPUTED_VALUE"""),4026)</f>
        <v>4026</v>
      </c>
      <c r="C603" s="5" t="str">
        <f ca="1">IFERROR(__xludf.DUMMYFUNCTION("""COMPUTED_VALUE"""),"Fazi")</f>
        <v>Fazi</v>
      </c>
      <c r="D603" s="5" t="str">
        <f ca="1">IFERROR(__xludf.DUMMYFUNCTION("""COMPUTED_VALUE"""),"AdmiralBet Bonus Crown")</f>
        <v>AdmiralBet Bonus Crown</v>
      </c>
      <c r="E603" s="5" t="str">
        <f ca="1">IFERROR(__xludf.DUMMYFUNCTION("""COMPUTED_VALUE"""),"Sertifikacioni")</f>
        <v>Sertifikacioni</v>
      </c>
      <c r="F603" s="5" t="str">
        <f ca="1">IFERROR(__xludf.DUMMYFUNCTION("""COMPUTED_VALUE"""),"AdmiralBetBonusCrown")</f>
        <v>AdmiralBetBonusCrown</v>
      </c>
      <c r="G603" s="5" t="str">
        <f ca="1">IFERROR(__xludf.DUMMYFUNCTION("""COMPUTED_VALUE"""),"Deployed")</f>
        <v>Deployed</v>
      </c>
      <c r="H603" s="5" t="str">
        <f ca="1">IFERROR(__xludf.DUMMYFUNCTION("""COMPUTED_VALUE"""),"Admiralbet")</f>
        <v>Admiralbet</v>
      </c>
      <c r="I603" s="5" t="str">
        <f ca="1">IFERROR(__xludf.DUMMYFUNCTION("""COMPUTED_VALUE"""),"V4")</f>
        <v>V4</v>
      </c>
      <c r="J603" s="5" t="str">
        <f ca="1">IFERROR(__xludf.DUMMYFUNCTION("""COMPUTED_VALUE"""),"JSON")</f>
        <v>JSON</v>
      </c>
      <c r="K603" s="5" t="str">
        <f ca="1">IFERROR(__xludf.DUMMYFUNCTION("""COMPUTED_VALUE"""),"Slot")</f>
        <v>Slot</v>
      </c>
      <c r="L603" s="5" t="str">
        <f ca="1">IFERROR(__xludf.DUMMYFUNCTION("""COMPUTED_VALUE""")," Clone")</f>
        <v xml:space="preserve"> Clone</v>
      </c>
      <c r="M603" s="5" t="str">
        <f ca="1">IFERROR(__xludf.DUMMYFUNCTION("""COMPUTED_VALUE"""),"Bonus Epic Crown")</f>
        <v>Bonus Epic Crown</v>
      </c>
      <c r="N603" s="5"/>
      <c r="O603" s="5"/>
      <c r="P603" s="5"/>
      <c r="Q603" s="15">
        <f ca="1">IFERROR(__xludf.DUMMYFUNCTION("""COMPUTED_VALUE"""),45943)</f>
        <v>45943</v>
      </c>
      <c r="R603" s="5"/>
      <c r="S603" s="5"/>
      <c r="T603" s="5"/>
      <c r="U603" s="5" t="str">
        <f ca="1">IFERROR(__xludf.DUMMYFUNCTION("""COMPUTED_VALUE"""),"5x3")</f>
        <v>5x3</v>
      </c>
      <c r="V603" s="5">
        <f ca="1">IFERROR(__xludf.DUMMYFUNCTION("""COMPUTED_VALUE"""),10)</f>
        <v>10</v>
      </c>
      <c r="W603" s="5"/>
      <c r="X603" s="5">
        <f ca="1">IFERROR(__xludf.DUMMYFUNCTION("""COMPUTED_VALUE"""),96.533)</f>
        <v>96.533000000000001</v>
      </c>
      <c r="Y603" s="5" t="str">
        <f ca="1">IFERROR(__xludf.DUMMYFUNCTION("""COMPUTED_VALUE"""),"High")</f>
        <v>High</v>
      </c>
      <c r="Z603" s="5"/>
      <c r="AA603" s="5">
        <f ca="1">IFERROR(__xludf.DUMMYFUNCTION("""COMPUTED_VALUE"""),20108)</f>
        <v>20108</v>
      </c>
      <c r="AB603" s="5"/>
      <c r="AC603" s="5"/>
      <c r="AD603" s="5"/>
      <c r="AE603" s="5"/>
      <c r="AF603" s="5"/>
      <c r="AG603" s="10">
        <f ca="1">IFERROR(__xludf.DUMMYFUNCTION("""COMPUTED_VALUE"""),46063.5402314814)</f>
        <v>46063.540231481398</v>
      </c>
      <c r="AH603" s="5" t="str">
        <f ca="1">IFERROR(__xludf.DUMMYFUNCTION("""COMPUTED_VALUE"""),"petra.ilic@fazi.rs")</f>
        <v>petra.ilic@fazi.rs</v>
      </c>
      <c r="AI603" s="5"/>
      <c r="AJ603" s="5"/>
      <c r="AK603" s="5">
        <f ca="1">IFERROR(__xludf.DUMMYFUNCTION("""COMPUTED_VALUE"""),10)</f>
        <v>10</v>
      </c>
      <c r="AL603" s="5" t="str">
        <f ca="1">IFERROR(__xludf.DUMMYFUNCTION("""COMPUTED_VALUE"""),"Yes")</f>
        <v>Yes</v>
      </c>
      <c r="AM603" s="5"/>
      <c r="AN603" s="5"/>
      <c r="AO603" s="5"/>
      <c r="AP603" s="5" t="str">
        <f ca="1">IFERROR(__xludf.DUMMYFUNCTION("""COMPUTED_VALUE"""),"Yes")</f>
        <v>Yes</v>
      </c>
      <c r="AQ603" s="5"/>
      <c r="AR603" s="5" t="b">
        <f ca="1">IFERROR(__xludf.DUMMYFUNCTION("""COMPUTED_VALUE"""),TRUE)</f>
        <v>1</v>
      </c>
      <c r="AS603" s="5"/>
      <c r="AT603" s="5"/>
      <c r="AU603" s="5" t="str">
        <f ca="1">IFERROR(__xludf.DUMMYFUNCTION("""COMPUTED_VALUE"""),"Fazi")</f>
        <v>Fazi</v>
      </c>
      <c r="AV603" s="5"/>
      <c r="AW603" s="5"/>
      <c r="AX603" s="15">
        <f ca="1">IFERROR(__xludf.DUMMYFUNCTION("""COMPUTED_VALUE"""),45937)</f>
        <v>45937</v>
      </c>
      <c r="AY603" s="5"/>
      <c r="AZ603" s="5"/>
      <c r="BA603" s="5" t="str">
        <f ca="1">IFERROR(__xludf.DUMMYFUNCTION("""COMPUTED_VALUE"""),"")</f>
        <v/>
      </c>
      <c r="BB603" s="5"/>
      <c r="BC603" s="5" t="str">
        <f ca="1">IFERROR(__xludf.DUMMYFUNCTION("""COMPUTED_VALUE"""),"Foxi")</f>
        <v>Foxi</v>
      </c>
      <c r="BD603" s="5" t="str">
        <f ca="1">IFERROR(__xludf.DUMMYFUNCTION("""COMPUTED_VALUE"""),"")</f>
        <v/>
      </c>
      <c r="BE603" s="5"/>
    </row>
    <row r="604" spans="1:57" x14ac:dyDescent="0.25">
      <c r="A604" s="5">
        <f ca="1">IFERROR(__xludf.DUMMYFUNCTION("""COMPUTED_VALUE"""),639)</f>
        <v>639</v>
      </c>
      <c r="B604" s="5">
        <f ca="1">IFERROR(__xludf.DUMMYFUNCTION("""COMPUTED_VALUE"""),4025)</f>
        <v>4025</v>
      </c>
      <c r="C604" s="5" t="str">
        <f ca="1">IFERROR(__xludf.DUMMYFUNCTION("""COMPUTED_VALUE"""),"Fazi")</f>
        <v>Fazi</v>
      </c>
      <c r="D604" s="5" t="str">
        <f ca="1">IFERROR(__xludf.DUMMYFUNCTION("""COMPUTED_VALUE"""),"Cratos Hot 40")</f>
        <v>Cratos Hot 40</v>
      </c>
      <c r="E604" s="5" t="str">
        <f ca="1">IFERROR(__xludf.DUMMYFUNCTION("""COMPUTED_VALUE"""),"Sertifikacioni")</f>
        <v>Sertifikacioni</v>
      </c>
      <c r="F604" s="5" t="str">
        <f ca="1">IFERROR(__xludf.DUMMYFUNCTION("""COMPUTED_VALUE"""),"CratosHot40")</f>
        <v>CratosHot40</v>
      </c>
      <c r="G604" s="5" t="str">
        <f ca="1">IFERROR(__xludf.DUMMYFUNCTION("""COMPUTED_VALUE"""),"Deployed")</f>
        <v>Deployed</v>
      </c>
      <c r="H604" s="5" t="str">
        <f ca="1">IFERROR(__xludf.DUMMYFUNCTION("""COMPUTED_VALUE"""),"BNW")</f>
        <v>BNW</v>
      </c>
      <c r="I604" s="5" t="str">
        <f ca="1">IFERROR(__xludf.DUMMYFUNCTION("""COMPUTED_VALUE"""),"V2")</f>
        <v>V2</v>
      </c>
      <c r="J604" s="5" t="str">
        <f ca="1">IFERROR(__xludf.DUMMYFUNCTION("""COMPUTED_VALUE"""),"JSON")</f>
        <v>JSON</v>
      </c>
      <c r="K604" s="5" t="str">
        <f ca="1">IFERROR(__xludf.DUMMYFUNCTION("""COMPUTED_VALUE"""),"Slot")</f>
        <v>Slot</v>
      </c>
      <c r="L604" s="5" t="str">
        <f ca="1">IFERROR(__xludf.DUMMYFUNCTION("""COMPUTED_VALUE""")," Clone")</f>
        <v xml:space="preserve"> Clone</v>
      </c>
      <c r="M604" s="5" t="str">
        <f ca="1">IFERROR(__xludf.DUMMYFUNCTION("""COMPUTED_VALUE"""),"Wild Hot 40")</f>
        <v>Wild Hot 40</v>
      </c>
      <c r="N604" s="5"/>
      <c r="O604" s="5"/>
      <c r="P604" s="5"/>
      <c r="Q604" s="15">
        <f ca="1">IFERROR(__xludf.DUMMYFUNCTION("""COMPUTED_VALUE"""),45943)</f>
        <v>45943</v>
      </c>
      <c r="R604" s="5"/>
      <c r="S604" s="5"/>
      <c r="T604" s="5"/>
      <c r="U604" s="5" t="str">
        <f ca="1">IFERROR(__xludf.DUMMYFUNCTION("""COMPUTED_VALUE"""),"5x4")</f>
        <v>5x4</v>
      </c>
      <c r="V604" s="5">
        <f ca="1">IFERROR(__xludf.DUMMYFUNCTION("""COMPUTED_VALUE"""),40)</f>
        <v>40</v>
      </c>
      <c r="W604" s="5">
        <f ca="1">IFERROR(__xludf.DUMMYFUNCTION("""COMPUTED_VALUE"""),40)</f>
        <v>40</v>
      </c>
      <c r="X604" s="5">
        <f ca="1">IFERROR(__xludf.DUMMYFUNCTION("""COMPUTED_VALUE"""),96.584)</f>
        <v>96.584000000000003</v>
      </c>
      <c r="Y604" s="5" t="str">
        <f ca="1">IFERROR(__xludf.DUMMYFUNCTION("""COMPUTED_VALUE"""),"Low")</f>
        <v>Low</v>
      </c>
      <c r="Z604" s="5"/>
      <c r="AA604" s="5">
        <f ca="1">IFERROR(__xludf.DUMMYFUNCTION("""COMPUTED_VALUE"""),16.73)</f>
        <v>16.73</v>
      </c>
      <c r="AB604" s="5"/>
      <c r="AC604" s="5"/>
      <c r="AD604" s="5"/>
      <c r="AE604" s="5"/>
      <c r="AF604" s="5"/>
      <c r="AG604" s="10">
        <f ca="1">IFERROR(__xludf.DUMMYFUNCTION("""COMPUTED_VALUE"""),45995.5685763888)</f>
        <v>45995.568576388803</v>
      </c>
      <c r="AH604" s="5" t="str">
        <f ca="1">IFERROR(__xludf.DUMMYFUNCTION("""COMPUTED_VALUE"""),"djordje.jankovic@fazi.rs")</f>
        <v>djordje.jankovic@fazi.rs</v>
      </c>
      <c r="AI604" s="5"/>
      <c r="AJ604" s="5"/>
      <c r="AK604" s="5">
        <f ca="1">IFERROR(__xludf.DUMMYFUNCTION("""COMPUTED_VALUE"""),40)</f>
        <v>40</v>
      </c>
      <c r="AL604" s="5" t="str">
        <f ca="1">IFERROR(__xludf.DUMMYFUNCTION("""COMPUTED_VALUE"""),"Yes")</f>
        <v>Yes</v>
      </c>
      <c r="AM604" s="5"/>
      <c r="AN604" s="5"/>
      <c r="AO604" s="5"/>
      <c r="AP604" s="5"/>
      <c r="AQ604" s="5"/>
      <c r="AR604" s="5" t="b">
        <f ca="1">IFERROR(__xludf.DUMMYFUNCTION("""COMPUTED_VALUE"""),TRUE)</f>
        <v>1</v>
      </c>
      <c r="AS604" s="5"/>
      <c r="AT604" s="5"/>
      <c r="AU604" s="5" t="str">
        <f ca="1">IFERROR(__xludf.DUMMYFUNCTION("""COMPUTED_VALUE"""),"Fazi")</f>
        <v>Fazi</v>
      </c>
      <c r="AV604" s="5"/>
      <c r="AW604" s="5"/>
      <c r="AX604" s="15">
        <f ca="1">IFERROR(__xludf.DUMMYFUNCTION("""COMPUTED_VALUE"""),45937)</f>
        <v>45937</v>
      </c>
      <c r="AY604" s="5"/>
      <c r="AZ604" s="5"/>
      <c r="BA604" s="5" t="str">
        <f ca="1">IFERROR(__xludf.DUMMYFUNCTION("""COMPUTED_VALUE"""),"")</f>
        <v/>
      </c>
      <c r="BB604" s="5"/>
      <c r="BC604" s="5" t="str">
        <f ca="1">IFERROR(__xludf.DUMMYFUNCTION("""COMPUTED_VALUE"""),"Foxi")</f>
        <v>Foxi</v>
      </c>
      <c r="BD604" s="5" t="str">
        <f ca="1">IFERROR(__xludf.DUMMYFUNCTION("""COMPUTED_VALUE"""),"")</f>
        <v/>
      </c>
      <c r="BE604" s="5"/>
    </row>
    <row r="605" spans="1:57" x14ac:dyDescent="0.25">
      <c r="A605" s="5">
        <f ca="1">IFERROR(__xludf.DUMMYFUNCTION("""COMPUTED_VALUE"""),640)</f>
        <v>640</v>
      </c>
      <c r="B605" s="5">
        <f ca="1">IFERROR(__xludf.DUMMYFUNCTION("""COMPUTED_VALUE"""),999997)</f>
        <v>999997</v>
      </c>
      <c r="C605" s="5" t="str">
        <f ca="1">IFERROR(__xludf.DUMMYFUNCTION("""COMPUTED_VALUE"""),"SOKO studio")</f>
        <v>SOKO studio</v>
      </c>
      <c r="D605" s="5" t="str">
        <f ca="1">IFERROR(__xludf.DUMMYFUNCTION("""COMPUTED_VALUE"""),"Planet Dice Escape")</f>
        <v>Planet Dice Escape</v>
      </c>
      <c r="E605" s="5" t="str">
        <f ca="1">IFERROR(__xludf.DUMMYFUNCTION("""COMPUTED_VALUE"""),"SOKO studio")</f>
        <v>SOKO studio</v>
      </c>
      <c r="F605" s="5" t="str">
        <f ca="1">IFERROR(__xludf.DUMMYFUNCTION("""COMPUTED_VALUE"""),"planet-dice-escape")</f>
        <v>planet-dice-escape</v>
      </c>
      <c r="G605" s="5" t="str">
        <f ca="1">IFERROR(__xludf.DUMMYFUNCTION("""COMPUTED_VALUE"""),"Live")</f>
        <v>Live</v>
      </c>
      <c r="H605" s="5"/>
      <c r="I605" s="5" t="str">
        <f ca="1">IFERROR(__xludf.DUMMYFUNCTION("""COMPUTED_VALUE"""),"SOKO studio")</f>
        <v>SOKO studio</v>
      </c>
      <c r="J605" s="5" t="str">
        <f ca="1">IFERROR(__xludf.DUMMYFUNCTION("""COMPUTED_VALUE"""),"Aggregation platform")</f>
        <v>Aggregation platform</v>
      </c>
      <c r="K605" s="5" t="str">
        <f ca="1">IFERROR(__xludf.DUMMYFUNCTION("""COMPUTED_VALUE"""),"Dice Slots")</f>
        <v>Dice Slots</v>
      </c>
      <c r="L605" s="5"/>
      <c r="M605" s="5"/>
      <c r="N605" s="7" t="str">
        <f ca="1">IFERROR(__xludf.DUMMYFUNCTION("""COMPUTED_VALUE"""),"https://docs.google.com/document/d/1iu0RrgAD6QmQzXKSZ8XsXqF5xa9Try95/edit?usp=sharing&amp;ouid=111339991327238394179&amp;rtpof=true&amp;sd=true")</f>
        <v>https://docs.google.com/document/d/1iu0RrgAD6QmQzXKSZ8XsXqF5xa9Try95/edit?usp=sharing&amp;ouid=111339991327238394179&amp;rtpof=true&amp;sd=true</v>
      </c>
      <c r="O605" s="5"/>
      <c r="P605" s="5">
        <f ca="1">IFERROR(__xludf.DUMMYFUNCTION("""COMPUTED_VALUE"""),14.53)</f>
        <v>14.53</v>
      </c>
      <c r="Q605" s="15">
        <f ca="1">IFERROR(__xludf.DUMMYFUNCTION("""COMPUTED_VALUE"""),45957)</f>
        <v>45957</v>
      </c>
      <c r="R605" s="15">
        <f ca="1">IFERROR(__xludf.DUMMYFUNCTION("""COMPUTED_VALUE"""),45957)</f>
        <v>45957</v>
      </c>
      <c r="S605" s="15">
        <f ca="1">IFERROR(__xludf.DUMMYFUNCTION("""COMPUTED_VALUE"""),45964)</f>
        <v>45964</v>
      </c>
      <c r="T605" s="5" t="b">
        <f ca="1">IFERROR(__xludf.DUMMYFUNCTION("""COMPUTED_VALUE"""),TRUE)</f>
        <v>1</v>
      </c>
      <c r="U605" s="5"/>
      <c r="V605" s="5"/>
      <c r="W605" s="5"/>
      <c r="X605" s="5">
        <f ca="1">IFERROR(__xludf.DUMMYFUNCTION("""COMPUTED_VALUE"""),97)</f>
        <v>97</v>
      </c>
      <c r="Y605" s="5"/>
      <c r="Z605" s="5"/>
      <c r="AA605" s="5">
        <f ca="1">IFERROR(__xludf.DUMMYFUNCTION("""COMPUTED_VALUE"""),4898.5)</f>
        <v>4898.5</v>
      </c>
      <c r="AB605" s="5"/>
      <c r="AC605" s="5"/>
      <c r="AD605" s="5" t="str">
        <f ca="1">IFERROR(__xludf.DUMMYFUNCTION("""COMPUTED_VALUE"""),"0.05€/50€")</f>
        <v>0.05€/50€</v>
      </c>
      <c r="AE605" s="5"/>
      <c r="AF605" s="5"/>
      <c r="AG605" s="10">
        <f ca="1">IFERROR(__xludf.DUMMYFUNCTION("""COMPUTED_VALUE"""),46083.6959259259)</f>
        <v>46083.695925925902</v>
      </c>
      <c r="AH605" s="5" t="str">
        <f ca="1">IFERROR(__xludf.DUMMYFUNCTION("""COMPUTED_VALUE"""),"vanja.svetska@fazi.rs")</f>
        <v>vanja.svetska@fazi.rs</v>
      </c>
      <c r="AI605" s="5"/>
      <c r="AJ605" s="5"/>
      <c r="AK605" s="5"/>
      <c r="AL605" s="5"/>
      <c r="AM605" s="5"/>
      <c r="AN605" s="7" t="str">
        <f ca="1">IFERROR(__xludf.DUMMYFUNCTION("""COMPUTED_VALUE"""),"https://planet-dice-escape.soko.games/")</f>
        <v>https://planet-dice-escape.soko.games/</v>
      </c>
      <c r="AO605" s="5"/>
      <c r="AP605" s="5"/>
      <c r="AQ605" s="5"/>
      <c r="AR605" s="5"/>
      <c r="AS605" s="5" t="str">
        <f ca="1">IFERROR(__xludf.DUMMYFUNCTION("""COMPUTED_VALUE"""),"In Planet Dice Escape, your mission is to launch a rocket into space - but only if the stars
align in your favor. Predict the perfect launch angle and the odds of a crash, then watch the
rocket blast off… or explode on the pad.")</f>
        <v>In Planet Dice Escape, your mission is to launch a rocket into space - but only if the stars
align in your favor. Predict the perfect launch angle and the odds of a crash, then watch the
rocket blast off… or explode on the pad.</v>
      </c>
      <c r="AT605" s="5"/>
      <c r="AU605" s="5" t="str">
        <f ca="1">IFERROR(__xludf.DUMMYFUNCTION("""COMPUTED_VALUE"""),"SOKO studio")</f>
        <v>SOKO studio</v>
      </c>
      <c r="AV605" s="5"/>
      <c r="AW605" s="5"/>
      <c r="AX605" s="15">
        <f ca="1">IFERROR(__xludf.DUMMYFUNCTION("""COMPUTED_VALUE"""),45951)</f>
        <v>45951</v>
      </c>
      <c r="AY605" s="5"/>
      <c r="AZ605" s="5"/>
      <c r="BA605" s="5" t="str">
        <f ca="1">IFERROR(__xludf.DUMMYFUNCTION("""COMPUTED_VALUE"""),"")</f>
        <v/>
      </c>
      <c r="BB605" s="5"/>
      <c r="BC605" s="5" t="str">
        <f ca="1">IFERROR(__xludf.DUMMYFUNCTION("""COMPUTED_VALUE"""),"SOKO studio")</f>
        <v>SOKO studio</v>
      </c>
      <c r="BD605" s="7" t="str">
        <f ca="1">IFERROR(__xludf.DUMMYFUNCTION("""COMPUTED_VALUE"""),"https://planet-dice-escape.soko.games/")</f>
        <v>https://planet-dice-escape.soko.games/</v>
      </c>
      <c r="BE605" s="5"/>
    </row>
    <row r="606" spans="1:57" x14ac:dyDescent="0.25">
      <c r="A606" s="5">
        <f ca="1">IFERROR(__xludf.DUMMYFUNCTION("""COMPUTED_VALUE"""),641)</f>
        <v>641</v>
      </c>
      <c r="B606" s="5">
        <f ca="1">IFERROR(__xludf.DUMMYFUNCTION("""COMPUTED_VALUE"""),999996)</f>
        <v>999996</v>
      </c>
      <c r="C606" s="5" t="str">
        <f ca="1">IFERROR(__xludf.DUMMYFUNCTION("""COMPUTED_VALUE"""),"SOKO studio")</f>
        <v>SOKO studio</v>
      </c>
      <c r="D606" s="5" t="str">
        <f ca="1">IFERROR(__xludf.DUMMYFUNCTION("""COMPUTED_VALUE"""),"Wild Tiki Mayhem")</f>
        <v>Wild Tiki Mayhem</v>
      </c>
      <c r="E606" s="5" t="str">
        <f ca="1">IFERROR(__xludf.DUMMYFUNCTION("""COMPUTED_VALUE"""),"SOKO studio")</f>
        <v>SOKO studio</v>
      </c>
      <c r="F606" s="5" t="str">
        <f ca="1">IFERROR(__xludf.DUMMYFUNCTION("""COMPUTED_VALUE"""),"wild-tiki-mayhem")</f>
        <v>wild-tiki-mayhem</v>
      </c>
      <c r="G606" s="5" t="str">
        <f ca="1">IFERROR(__xludf.DUMMYFUNCTION("""COMPUTED_VALUE"""),"Live")</f>
        <v>Live</v>
      </c>
      <c r="H606" s="5"/>
      <c r="I606" s="5" t="str">
        <f ca="1">IFERROR(__xludf.DUMMYFUNCTION("""COMPUTED_VALUE"""),"SOKO studio")</f>
        <v>SOKO studio</v>
      </c>
      <c r="J606" s="5" t="str">
        <f ca="1">IFERROR(__xludf.DUMMYFUNCTION("""COMPUTED_VALUE"""),"Aggregation platform")</f>
        <v>Aggregation platform</v>
      </c>
      <c r="K606" s="5" t="str">
        <f ca="1">IFERROR(__xludf.DUMMYFUNCTION("""COMPUTED_VALUE"""),"Slot")</f>
        <v>Slot</v>
      </c>
      <c r="L606" s="5"/>
      <c r="M606" s="5"/>
      <c r="N606" s="7" t="str">
        <f ca="1">IFERROR(__xludf.DUMMYFUNCTION("""COMPUTED_VALUE"""),"https://docs.google.com/document/d/1kZ4kAh-gpuF_5xP4c2lczTY31oFixz7T/edit?usp=sharing&amp;ouid=111339991327238394179&amp;rtpof=true&amp;sd=true")</f>
        <v>https://docs.google.com/document/d/1kZ4kAh-gpuF_5xP4c2lczTY31oFixz7T/edit?usp=sharing&amp;ouid=111339991327238394179&amp;rtpof=true&amp;sd=true</v>
      </c>
      <c r="O606" s="5"/>
      <c r="P606" s="5">
        <f ca="1">IFERROR(__xludf.DUMMYFUNCTION("""COMPUTED_VALUE"""),20.3)</f>
        <v>20.3</v>
      </c>
      <c r="Q606" s="15">
        <f ca="1">IFERROR(__xludf.DUMMYFUNCTION("""COMPUTED_VALUE"""),45971)</f>
        <v>45971</v>
      </c>
      <c r="R606" s="15">
        <f ca="1">IFERROR(__xludf.DUMMYFUNCTION("""COMPUTED_VALUE"""),45972)</f>
        <v>45972</v>
      </c>
      <c r="S606" s="15">
        <f ca="1">IFERROR(__xludf.DUMMYFUNCTION("""COMPUTED_VALUE"""),45979)</f>
        <v>45979</v>
      </c>
      <c r="T606" s="5" t="b">
        <f ca="1">IFERROR(__xludf.DUMMYFUNCTION("""COMPUTED_VALUE"""),TRUE)</f>
        <v>1</v>
      </c>
      <c r="U606" s="5" t="str">
        <f ca="1">IFERROR(__xludf.DUMMYFUNCTION("""COMPUTED_VALUE"""),"5 reels x 3 rows")</f>
        <v>5 reels x 3 rows</v>
      </c>
      <c r="V606" s="5">
        <f ca="1">IFERROR(__xludf.DUMMYFUNCTION("""COMPUTED_VALUE"""),5)</f>
        <v>5</v>
      </c>
      <c r="W606" s="5"/>
      <c r="X606" s="5">
        <f ca="1">IFERROR(__xludf.DUMMYFUNCTION("""COMPUTED_VALUE"""),95.13)</f>
        <v>95.13</v>
      </c>
      <c r="Y606" s="5" t="str">
        <f ca="1">IFERROR(__xludf.DUMMYFUNCTION("""COMPUTED_VALUE"""),"High")</f>
        <v>High</v>
      </c>
      <c r="Z606" s="5">
        <f ca="1">IFERROR(__xludf.DUMMYFUNCTION("""COMPUTED_VALUE"""),16.4)</f>
        <v>16.399999999999999</v>
      </c>
      <c r="AA606" s="5">
        <f ca="1">IFERROR(__xludf.DUMMYFUNCTION("""COMPUTED_VALUE"""),1234)</f>
        <v>1234</v>
      </c>
      <c r="AB606" s="5"/>
      <c r="AC606" s="5"/>
      <c r="AD606" s="5" t="str">
        <f ca="1">IFERROR(__xludf.DUMMYFUNCTION("""COMPUTED_VALUE"""),"0.05€/50€")</f>
        <v>0.05€/50€</v>
      </c>
      <c r="AE606" s="5"/>
      <c r="AF606" s="5"/>
      <c r="AG606" s="10">
        <f ca="1">IFERROR(__xludf.DUMMYFUNCTION("""COMPUTED_VALUE"""),46083.6942824074)</f>
        <v>46083.694282407399</v>
      </c>
      <c r="AH606" s="5" t="str">
        <f ca="1">IFERROR(__xludf.DUMMYFUNCTION("""COMPUTED_VALUE"""),"vanja.svetska@fazi.rs")</f>
        <v>vanja.svetska@fazi.rs</v>
      </c>
      <c r="AI606" s="5"/>
      <c r="AJ606" s="5"/>
      <c r="AK606" s="5"/>
      <c r="AL606" s="5"/>
      <c r="AM606" s="5"/>
      <c r="AN606" s="7" t="str">
        <f ca="1">IFERROR(__xludf.DUMMYFUNCTION("""COMPUTED_VALUE"""),"https://wild-tiki-mayhem.soko.games/")</f>
        <v>https://wild-tiki-mayhem.soko.games/</v>
      </c>
      <c r="AO606" s="5"/>
      <c r="AP606" s="5"/>
      <c r="AQ606" s="5"/>
      <c r="AR606" s="5"/>
      <c r="AS606" s="5" t="str">
        <f ca="1">IFERROR(__xludf.DUMMYFUNCTION("""COMPUTED_VALUE"""),"Welcome to Wild Tiki Mayhem, a thrilling slot adventure set on a mysterious tropical island! Surrounded by vibrant tiki masks and fiery totems, this 5x3 slot with 5 paylines brings wild energy to every spin. With bold visuals, pulsing tribal spirit, and t"&amp;"he chance to unlock powerful scatters and wilds, every spin draws you deeper into the island’s mayhem and closer to untamed rewards!")</f>
        <v>Welcome to Wild Tiki Mayhem, a thrilling slot adventure set on a mysterious tropical island! Surrounded by vibrant tiki masks and fiery totems, this 5x3 slot with 5 paylines brings wild energy to every spin. With bold visuals, pulsing tribal spirit, and the chance to unlock powerful scatters and wilds, every spin draws you deeper into the island’s mayhem and closer to untamed rewards!</v>
      </c>
      <c r="AT606" s="5"/>
      <c r="AU606" s="5" t="str">
        <f ca="1">IFERROR(__xludf.DUMMYFUNCTION("""COMPUTED_VALUE"""),"SOKO studio")</f>
        <v>SOKO studio</v>
      </c>
      <c r="AV606" s="5"/>
      <c r="AW606" s="5"/>
      <c r="AX606" s="15">
        <f ca="1">IFERROR(__xludf.DUMMYFUNCTION("""COMPUTED_VALUE"""),45965)</f>
        <v>45965</v>
      </c>
      <c r="AY606" s="5"/>
      <c r="AZ606" s="5"/>
      <c r="BA606" s="5" t="str">
        <f ca="1">IFERROR(__xludf.DUMMYFUNCTION("""COMPUTED_VALUE"""),"")</f>
        <v/>
      </c>
      <c r="BB606" s="5"/>
      <c r="BC606" s="5" t="str">
        <f ca="1">IFERROR(__xludf.DUMMYFUNCTION("""COMPUTED_VALUE"""),"SOKO studio")</f>
        <v>SOKO studio</v>
      </c>
      <c r="BD606" s="7" t="str">
        <f ca="1">IFERROR(__xludf.DUMMYFUNCTION("""COMPUTED_VALUE"""),"https://wild-tiki-mayhem.soko.games/")</f>
        <v>https://wild-tiki-mayhem.soko.games/</v>
      </c>
      <c r="BE606" s="5"/>
    </row>
    <row r="607" spans="1:57" x14ac:dyDescent="0.25">
      <c r="A607" s="5">
        <f ca="1">IFERROR(__xludf.DUMMYFUNCTION("""COMPUTED_VALUE"""),642)</f>
        <v>642</v>
      </c>
      <c r="B607" s="5">
        <f ca="1">IFERROR(__xludf.DUMMYFUNCTION("""COMPUTED_VALUE"""),4028)</f>
        <v>4028</v>
      </c>
      <c r="C607" s="5" t="str">
        <f ca="1">IFERROR(__xludf.DUMMYFUNCTION("""COMPUTED_VALUE"""),"Fazi")</f>
        <v>Fazi</v>
      </c>
      <c r="D607" s="5" t="str">
        <f ca="1">IFERROR(__xludf.DUMMYFUNCTION("""COMPUTED_VALUE"""),"Wild Hot 223")</f>
        <v>Wild Hot 223</v>
      </c>
      <c r="E607" s="5" t="str">
        <f ca="1">IFERROR(__xludf.DUMMYFUNCTION("""COMPUTED_VALUE"""),"Sertifikacioni")</f>
        <v>Sertifikacioni</v>
      </c>
      <c r="F607" s="5" t="str">
        <f ca="1">IFERROR(__xludf.DUMMYFUNCTION("""COMPUTED_VALUE"""),"WildHot223")</f>
        <v>WildHot223</v>
      </c>
      <c r="G607" s="5" t="str">
        <f ca="1">IFERROR(__xludf.DUMMYFUNCTION("""COMPUTED_VALUE"""),"Deployed")</f>
        <v>Deployed</v>
      </c>
      <c r="H607" s="5" t="str">
        <f ca="1">IFERROR(__xludf.DUMMYFUNCTION("""COMPUTED_VALUE"""),"KoralPlay ")</f>
        <v xml:space="preserve">KoralPlay </v>
      </c>
      <c r="I607" s="5" t="str">
        <f ca="1">IFERROR(__xludf.DUMMYFUNCTION("""COMPUTED_VALUE"""),"V2")</f>
        <v>V2</v>
      </c>
      <c r="J607" s="5" t="str">
        <f ca="1">IFERROR(__xludf.DUMMYFUNCTION("""COMPUTED_VALUE"""),"JSON")</f>
        <v>JSON</v>
      </c>
      <c r="K607" s="5" t="str">
        <f ca="1">IFERROR(__xludf.DUMMYFUNCTION("""COMPUTED_VALUE"""),"Slot")</f>
        <v>Slot</v>
      </c>
      <c r="L607" s="5" t="str">
        <f ca="1">IFERROR(__xludf.DUMMYFUNCTION("""COMPUTED_VALUE""")," Clone")</f>
        <v xml:space="preserve"> Clone</v>
      </c>
      <c r="M607" s="5" t="str">
        <f ca="1">IFERROR(__xludf.DUMMYFUNCTION("""COMPUTED_VALUE"""),"Wild Hot 40")</f>
        <v>Wild Hot 40</v>
      </c>
      <c r="N607" s="5"/>
      <c r="O607" s="5"/>
      <c r="P607" s="5"/>
      <c r="Q607" s="15">
        <f ca="1">IFERROR(__xludf.DUMMYFUNCTION("""COMPUTED_VALUE"""),45957)</f>
        <v>45957</v>
      </c>
      <c r="R607" s="5"/>
      <c r="S607" s="5"/>
      <c r="T607" s="5"/>
      <c r="U607" s="5"/>
      <c r="V607" s="5">
        <f ca="1">IFERROR(__xludf.DUMMYFUNCTION("""COMPUTED_VALUE"""),40)</f>
        <v>40</v>
      </c>
      <c r="W607" s="5"/>
      <c r="X607" s="5">
        <f ca="1">IFERROR(__xludf.DUMMYFUNCTION("""COMPUTED_VALUE"""),96.584)</f>
        <v>96.584000000000003</v>
      </c>
      <c r="Y607" s="5" t="str">
        <f ca="1">IFERROR(__xludf.DUMMYFUNCTION("""COMPUTED_VALUE"""),"Low")</f>
        <v>Low</v>
      </c>
      <c r="Z607" s="5">
        <f ca="1">IFERROR(__xludf.DUMMYFUNCTION("""COMPUTED_VALUE"""),16.73)</f>
        <v>16.73</v>
      </c>
      <c r="AA607" s="5">
        <f ca="1">IFERROR(__xludf.DUMMYFUNCTION("""COMPUTED_VALUE"""),1000)</f>
        <v>1000</v>
      </c>
      <c r="AB607" s="5"/>
      <c r="AC607" s="5"/>
      <c r="AD607" s="5"/>
      <c r="AE607" s="5"/>
      <c r="AF607" s="5"/>
      <c r="AG607" s="10">
        <f ca="1">IFERROR(__xludf.DUMMYFUNCTION("""COMPUTED_VALUE"""),46063.5317939814)</f>
        <v>46063.531793981398</v>
      </c>
      <c r="AH607" s="5" t="str">
        <f ca="1">IFERROR(__xludf.DUMMYFUNCTION("""COMPUTED_VALUE"""),"petra.ilic@fazi.rs")</f>
        <v>petra.ilic@fazi.rs</v>
      </c>
      <c r="AI607" s="5"/>
      <c r="AJ607" s="5"/>
      <c r="AK607" s="5">
        <f ca="1">IFERROR(__xludf.DUMMYFUNCTION("""COMPUTED_VALUE"""),40)</f>
        <v>40</v>
      </c>
      <c r="AL607" s="5" t="str">
        <f ca="1">IFERROR(__xludf.DUMMYFUNCTION("""COMPUTED_VALUE"""),"Yes")</f>
        <v>Yes</v>
      </c>
      <c r="AM607" s="5"/>
      <c r="AN607" s="5"/>
      <c r="AO607" s="5"/>
      <c r="AP607" s="5" t="str">
        <f ca="1">IFERROR(__xludf.DUMMYFUNCTION("""COMPUTED_VALUE"""),"Yes")</f>
        <v>Yes</v>
      </c>
      <c r="AQ607" s="5"/>
      <c r="AR607" s="5" t="b">
        <f ca="1">IFERROR(__xludf.DUMMYFUNCTION("""COMPUTED_VALUE"""),TRUE)</f>
        <v>1</v>
      </c>
      <c r="AS607" s="5"/>
      <c r="AT607" s="5"/>
      <c r="AU607" s="5" t="str">
        <f ca="1">IFERROR(__xludf.DUMMYFUNCTION("""COMPUTED_VALUE"""),"Fazi")</f>
        <v>Fazi</v>
      </c>
      <c r="AV607" s="5"/>
      <c r="AW607" s="5"/>
      <c r="AX607" s="15">
        <f ca="1">IFERROR(__xludf.DUMMYFUNCTION("""COMPUTED_VALUE"""),45951)</f>
        <v>45951</v>
      </c>
      <c r="AY607" s="5"/>
      <c r="AZ607" s="5"/>
      <c r="BA607" s="5" t="str">
        <f ca="1">IFERROR(__xludf.DUMMYFUNCTION("""COMPUTED_VALUE"""),"")</f>
        <v/>
      </c>
      <c r="BB607" s="5"/>
      <c r="BC607" s="5" t="str">
        <f ca="1">IFERROR(__xludf.DUMMYFUNCTION("""COMPUTED_VALUE"""),"Foxi")</f>
        <v>Foxi</v>
      </c>
      <c r="BD607" s="5" t="str">
        <f ca="1">IFERROR(__xludf.DUMMYFUNCTION("""COMPUTED_VALUE"""),"")</f>
        <v/>
      </c>
      <c r="BE607" s="5"/>
    </row>
    <row r="608" spans="1:57" x14ac:dyDescent="0.25">
      <c r="A608" s="5">
        <f ca="1">IFERROR(__xludf.DUMMYFUNCTION("""COMPUTED_VALUE"""),643)</f>
        <v>643</v>
      </c>
      <c r="B608" s="5">
        <f ca="1">IFERROR(__xludf.DUMMYFUNCTION("""COMPUTED_VALUE"""),180052)</f>
        <v>180052</v>
      </c>
      <c r="C608" s="5" t="str">
        <f ca="1">IFERROR(__xludf.DUMMYFUNCTION("""COMPUTED_VALUE"""),"Redstone")</f>
        <v>Redstone</v>
      </c>
      <c r="D608" s="5" t="str">
        <f ca="1">IFERROR(__xludf.DUMMYFUNCTION("""COMPUTED_VALUE"""),"5 Wild Diamond")</f>
        <v>5 Wild Diamond</v>
      </c>
      <c r="E608" s="5" t="str">
        <f ca="1">IFERROR(__xludf.DUMMYFUNCTION("""COMPUTED_VALUE"""),"Redstone")</f>
        <v>Redstone</v>
      </c>
      <c r="F608" s="5" t="str">
        <f ca="1">IFERROR(__xludf.DUMMYFUNCTION("""COMPUTED_VALUE"""),"Redstone5WildDiamond")</f>
        <v>Redstone5WildDiamond</v>
      </c>
      <c r="G608" s="5" t="str">
        <f ca="1">IFERROR(__xludf.DUMMYFUNCTION("""COMPUTED_VALUE"""),"Live")</f>
        <v>Live</v>
      </c>
      <c r="H608" s="5"/>
      <c r="I608" s="5" t="str">
        <f ca="1">IFERROR(__xludf.DUMMYFUNCTION("""COMPUTED_VALUE"""),"Redstone")</f>
        <v>Redstone</v>
      </c>
      <c r="J608" s="5" t="str">
        <f ca="1">IFERROR(__xludf.DUMMYFUNCTION("""COMPUTED_VALUE"""),"JSON")</f>
        <v>JSON</v>
      </c>
      <c r="K608" s="5" t="str">
        <f ca="1">IFERROR(__xludf.DUMMYFUNCTION("""COMPUTED_VALUE"""),"Slot")</f>
        <v>Slot</v>
      </c>
      <c r="L608" s="5" t="str">
        <f ca="1">IFERROR(__xludf.DUMMYFUNCTION("""COMPUTED_VALUE""")," Reskin")</f>
        <v xml:space="preserve"> Reskin</v>
      </c>
      <c r="M608" s="5" t="str">
        <f ca="1">IFERROR(__xludf.DUMMYFUNCTION("""COMPUTED_VALUE"""),"5 Clover Fire")</f>
        <v>5 Clover Fire</v>
      </c>
      <c r="N608" s="7" t="str">
        <f ca="1">IFERROR(__xludf.DUMMYFUNCTION("""COMPUTED_VALUE"""),"https://docs.google.com/document/d/1-wqW8xdzjNitvuyufm3GsLU75GnufP5F/edit?usp=drive_link&amp;ouid=107596163405648766688&amp;rtpof=true&amp;sd=true")</f>
        <v>https://docs.google.com/document/d/1-wqW8xdzjNitvuyufm3GsLU75GnufP5F/edit?usp=drive_link&amp;ouid=107596163405648766688&amp;rtpof=true&amp;sd=true</v>
      </c>
      <c r="O608" s="7" t="str">
        <f ca="1">IFERROR(__xludf.DUMMYFUNCTION("""COMPUTED_VALUE"""),"https://docs.google.com/document/d/1BMCkTR-TX6Vk19Z3mA0o0cp0QhfG4mI1/edit?usp=drive_link&amp;ouid=107596163405648766688&amp;rtpof=true&amp;sd=true")</f>
        <v>https://docs.google.com/document/d/1BMCkTR-TX6Vk19Z3mA0o0cp0QhfG4mI1/edit?usp=drive_link&amp;ouid=107596163405648766688&amp;rtpof=true&amp;sd=true</v>
      </c>
      <c r="P608" s="14">
        <f ca="1">IFERROR(__xludf.DUMMYFUNCTION("""COMPUTED_VALUE"""),4.9)</f>
        <v>4.9000000000000004</v>
      </c>
      <c r="Q608" s="15">
        <f ca="1">IFERROR(__xludf.DUMMYFUNCTION("""COMPUTED_VALUE"""),45973)</f>
        <v>45973</v>
      </c>
      <c r="R608" s="15">
        <f ca="1">IFERROR(__xludf.DUMMYFUNCTION("""COMPUTED_VALUE"""),45993)</f>
        <v>45993</v>
      </c>
      <c r="S608" s="15">
        <f ca="1">IFERROR(__xludf.DUMMYFUNCTION("""COMPUTED_VALUE"""),46000)</f>
        <v>46000</v>
      </c>
      <c r="T608" s="5" t="b">
        <f ca="1">IFERROR(__xludf.DUMMYFUNCTION("""COMPUTED_VALUE"""),TRUE)</f>
        <v>1</v>
      </c>
      <c r="U608" s="5" t="str">
        <f ca="1">IFERROR(__xludf.DUMMYFUNCTION("""COMPUTED_VALUE"""),"96,45")</f>
        <v>96,45</v>
      </c>
      <c r="V608" s="5">
        <f ca="1">IFERROR(__xludf.DUMMYFUNCTION("""COMPUTED_VALUE"""),5)</f>
        <v>5</v>
      </c>
      <c r="W608" s="5">
        <f ca="1">IFERROR(__xludf.DUMMYFUNCTION("""COMPUTED_VALUE"""),5)</f>
        <v>5</v>
      </c>
      <c r="X608" s="5">
        <f ca="1">IFERROR(__xludf.DUMMYFUNCTION("""COMPUTED_VALUE"""),96.45)</f>
        <v>96.45</v>
      </c>
      <c r="Y608" s="5" t="str">
        <f ca="1">IFERROR(__xludf.DUMMYFUNCTION("""COMPUTED_VALUE"""),"Medium")</f>
        <v>Medium</v>
      </c>
      <c r="Z608" s="5">
        <f ca="1">IFERROR(__xludf.DUMMYFUNCTION("""COMPUTED_VALUE"""),14.5)</f>
        <v>14.5</v>
      </c>
      <c r="AA608" s="5">
        <f ca="1">IFERROR(__xludf.DUMMYFUNCTION("""COMPUTED_VALUE"""),1222)</f>
        <v>1222</v>
      </c>
      <c r="AB608" s="5"/>
      <c r="AC608" s="5" t="str">
        <f ca="1">IFERROR(__xludf.DUMMYFUNCTION("""COMPUTED_VALUE"""),"Scatter, Expanding Wild")</f>
        <v>Scatter, Expanding Wild</v>
      </c>
      <c r="AD608" s="5" t="str">
        <f ca="1">IFERROR(__xludf.DUMMYFUNCTION("""COMPUTED_VALUE"""),"0.05/30")</f>
        <v>0.05/30</v>
      </c>
      <c r="AE608" s="5"/>
      <c r="AF608" s="5"/>
      <c r="AG608" s="10">
        <f ca="1">IFERROR(__xludf.DUMMYFUNCTION("""COMPUTED_VALUE"""),46191.5291435185)</f>
        <v>46191.529143518499</v>
      </c>
      <c r="AH608" s="5"/>
      <c r="AI608" s="5"/>
      <c r="AJ608" s="5"/>
      <c r="AK608" s="5">
        <f ca="1">IFERROR(__xludf.DUMMYFUNCTION("""COMPUTED_VALUE"""),1)</f>
        <v>1</v>
      </c>
      <c r="AL608" s="5" t="str">
        <f ca="1">IFERROR(__xludf.DUMMYFUNCTION("""COMPUTED_VALUE"""),"No")</f>
        <v>No</v>
      </c>
      <c r="AM608" s="5" t="str">
        <f ca="1">IFERROR(__xludf.DUMMYFUNCTION("""COMPUTED_VALUE"""),"No")</f>
        <v>No</v>
      </c>
      <c r="AN608" s="7" t="str">
        <f ca="1">IFERROR(__xludf.DUMMYFUNCTION("""COMPUTED_VALUE"""),"https://static.redstone.rs/games/5-wild-diamond/")</f>
        <v>https://static.redstone.rs/games/5-wild-diamond/</v>
      </c>
      <c r="AO608" s="5" t="str">
        <f ca="1">IFERROR(__xludf.DUMMYFUNCTION("""COMPUTED_VALUE"""),"No")</f>
        <v>No</v>
      </c>
      <c r="AP608" s="5" t="str">
        <f ca="1">IFERROR(__xludf.DUMMYFUNCTION("""COMPUTED_VALUE"""),"No")</f>
        <v>No</v>
      </c>
      <c r="AQ608" s="5" t="b">
        <f ca="1">IFERROR(__xludf.DUMMYFUNCTION("""COMPUTED_VALUE"""),TRUE)</f>
        <v>1</v>
      </c>
      <c r="AR608" s="5"/>
      <c r="AS608" s="5" t="str">
        <f ca="1">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AT608" s="5"/>
      <c r="AU608" s="5" t="str">
        <f ca="1">IFERROR(__xludf.DUMMYFUNCTION("""COMPUTED_VALUE"""),"Redstone")</f>
        <v>Redstone</v>
      </c>
      <c r="AV608" s="5"/>
      <c r="AW608" s="5"/>
      <c r="AX608" s="15">
        <f ca="1">IFERROR(__xludf.DUMMYFUNCTION("""COMPUTED_VALUE"""),45965)</f>
        <v>45965</v>
      </c>
      <c r="AY608" s="5"/>
      <c r="AZ608" s="5"/>
      <c r="BA608" s="5"/>
      <c r="BB608" s="5" t="b">
        <f ca="1">IFERROR(__xludf.DUMMYFUNCTION("""COMPUTED_VALUE"""),TRUE)</f>
        <v>1</v>
      </c>
      <c r="BC608" s="5" t="str">
        <f ca="1">IFERROR(__xludf.DUMMYFUNCTION("""COMPUTED_VALUE"""),"Redstone")</f>
        <v>Redstone</v>
      </c>
      <c r="BD608" s="7" t="str">
        <f ca="1">IFERROR(__xludf.DUMMYFUNCTION("""COMPUTED_VALUE"""),"https://static.redstone.rs/games/5-wild-diamond/")</f>
        <v>https://static.redstone.rs/games/5-wild-diamond/</v>
      </c>
      <c r="BE608" s="5" t="b">
        <f ca="1">IFERROR(__xludf.DUMMYFUNCTION("""COMPUTED_VALUE"""),TRUE)</f>
        <v>1</v>
      </c>
    </row>
    <row r="609" spans="1:57" x14ac:dyDescent="0.25">
      <c r="A609" s="5">
        <f ca="1">IFERROR(__xludf.DUMMYFUNCTION("""COMPUTED_VALUE"""),644)</f>
        <v>644</v>
      </c>
      <c r="B609" s="5">
        <f ca="1">IFERROR(__xludf.DUMMYFUNCTION("""COMPUTED_VALUE"""),999999)</f>
        <v>999999</v>
      </c>
      <c r="C609" s="5" t="str">
        <f ca="1">IFERROR(__xludf.DUMMYFUNCTION("""COMPUTED_VALUE"""),"SOKO studio")</f>
        <v>SOKO studio</v>
      </c>
      <c r="D609" s="5" t="str">
        <f ca="1">IFERROR(__xludf.DUMMYFUNCTION("""COMPUTED_VALUE"""),"Christmas Sugar Luck")</f>
        <v>Christmas Sugar Luck</v>
      </c>
      <c r="E609" s="5" t="str">
        <f ca="1">IFERROR(__xludf.DUMMYFUNCTION("""COMPUTED_VALUE"""),"SOKO studio")</f>
        <v>SOKO studio</v>
      </c>
      <c r="F609" s="5" t="str">
        <f ca="1">IFERROR(__xludf.DUMMYFUNCTION("""COMPUTED_VALUE"""),"christmas-sugar-luck")</f>
        <v>christmas-sugar-luck</v>
      </c>
      <c r="G609" s="5" t="str">
        <f ca="1">IFERROR(__xludf.DUMMYFUNCTION("""COMPUTED_VALUE"""),"Live")</f>
        <v>Live</v>
      </c>
      <c r="H609" s="5"/>
      <c r="I609" s="5" t="str">
        <f ca="1">IFERROR(__xludf.DUMMYFUNCTION("""COMPUTED_VALUE"""),"SOKO studio")</f>
        <v>SOKO studio</v>
      </c>
      <c r="J609" s="5" t="str">
        <f ca="1">IFERROR(__xludf.DUMMYFUNCTION("""COMPUTED_VALUE"""),"Aggregation platform")</f>
        <v>Aggregation platform</v>
      </c>
      <c r="K609" s="5" t="str">
        <f ca="1">IFERROR(__xludf.DUMMYFUNCTION("""COMPUTED_VALUE"""),"Slot")</f>
        <v>Slot</v>
      </c>
      <c r="L609" s="5"/>
      <c r="M609" s="5"/>
      <c r="N609" s="7" t="str">
        <f ca="1">IFERROR(__xludf.DUMMYFUNCTION("""COMPUTED_VALUE"""),"https://docs.google.com/document/d/1ups8VbsyAU1YSsAfJMMhW8VBCHE40rFtctJjZw8g4cE/edit?usp=sharing")</f>
        <v>https://docs.google.com/document/d/1ups8VbsyAU1YSsAfJMMhW8VBCHE40rFtctJjZw8g4cE/edit?usp=sharing</v>
      </c>
      <c r="O609" s="5"/>
      <c r="P609" s="5">
        <f ca="1">IFERROR(__xludf.DUMMYFUNCTION("""COMPUTED_VALUE"""),22.35)</f>
        <v>22.35</v>
      </c>
      <c r="Q609" s="15">
        <f ca="1">IFERROR(__xludf.DUMMYFUNCTION("""COMPUTED_VALUE"""),45999)</f>
        <v>45999</v>
      </c>
      <c r="R609" s="5"/>
      <c r="S609" s="15">
        <f ca="1">IFERROR(__xludf.DUMMYFUNCTION("""COMPUTED_VALUE"""),46006)</f>
        <v>46006</v>
      </c>
      <c r="T609" s="5" t="b">
        <f ca="1">IFERROR(__xludf.DUMMYFUNCTION("""COMPUTED_VALUE"""),TRUE)</f>
        <v>1</v>
      </c>
      <c r="U609" s="5" t="str">
        <f ca="1">IFERROR(__xludf.DUMMYFUNCTION("""COMPUTED_VALUE"""),"5x3")</f>
        <v>5x3</v>
      </c>
      <c r="V609" s="5">
        <f ca="1">IFERROR(__xludf.DUMMYFUNCTION("""COMPUTED_VALUE"""),5)</f>
        <v>5</v>
      </c>
      <c r="W609" s="5"/>
      <c r="X609" s="5">
        <f ca="1">IFERROR(__xludf.DUMMYFUNCTION("""COMPUTED_VALUE"""),94.98)</f>
        <v>94.98</v>
      </c>
      <c r="Y609" s="5" t="str">
        <f ca="1">IFERROR(__xludf.DUMMYFUNCTION("""COMPUTED_VALUE"""),"High")</f>
        <v>High</v>
      </c>
      <c r="Z609" s="5">
        <f ca="1">IFERROR(__xludf.DUMMYFUNCTION("""COMPUTED_VALUE"""),11.02)</f>
        <v>11.02</v>
      </c>
      <c r="AA609" s="5">
        <f ca="1">IFERROR(__xludf.DUMMYFUNCTION("""COMPUTED_VALUE"""),1226)</f>
        <v>1226</v>
      </c>
      <c r="AB609" s="5"/>
      <c r="AC609" s="5"/>
      <c r="AD609" s="5" t="str">
        <f ca="1">IFERROR(__xludf.DUMMYFUNCTION("""COMPUTED_VALUE"""),"0.05€/50€")</f>
        <v>0.05€/50€</v>
      </c>
      <c r="AE609" s="5"/>
      <c r="AF609" s="5"/>
      <c r="AG609" s="10">
        <f ca="1">IFERROR(__xludf.DUMMYFUNCTION("""COMPUTED_VALUE"""),46098.62)</f>
        <v>46098.62</v>
      </c>
      <c r="AH609" s="5" t="str">
        <f ca="1">IFERROR(__xludf.DUMMYFUNCTION("""COMPUTED_VALUE"""),"vanja.svetska@fazi.rs")</f>
        <v>vanja.svetska@fazi.rs</v>
      </c>
      <c r="AI609" s="5"/>
      <c r="AJ609" s="5"/>
      <c r="AK609" s="5"/>
      <c r="AL609" s="5"/>
      <c r="AM609" s="5"/>
      <c r="AN609" s="7" t="str">
        <f ca="1">IFERROR(__xludf.DUMMYFUNCTION("""COMPUTED_VALUE"""),"https://christmas-sugar-luck.soko.games/")</f>
        <v>https://christmas-sugar-luck.soko.games/</v>
      </c>
      <c r="AO609" s="5"/>
      <c r="AP609" s="5"/>
      <c r="AQ609" s="5"/>
      <c r="AR609" s="5"/>
      <c r="AS609" s="5" t="str">
        <f ca="1">IFERROR(__xludf.DUMMYFUNCTION("""COMPUTED_VALUE"""),"Welcome to Christmas Sugar Luck, a merry twist on the classic candy-filled adventure! Step
into a winter wonderland of sweet delights, where gingerbread, lollipops, and holiday cheer
fill every reel. Set on a 5x3 grid with 5 paylines, this game brings the"&amp;" magic of Christmas to life
with every spin!")</f>
        <v>Welcome to Christmas Sugar Luck, a merry twist on the classic candy-filled adventure! Step
into a winter wonderland of sweet delights, where gingerbread, lollipops, and holiday cheer
fill every reel. Set on a 5x3 grid with 5 paylines, this game brings the magic of Christmas to life
with every spin!</v>
      </c>
      <c r="AT609" s="5"/>
      <c r="AU609" s="5" t="str">
        <f ca="1">IFERROR(__xludf.DUMMYFUNCTION("""COMPUTED_VALUE"""),"SOKO studio")</f>
        <v>SOKO studio</v>
      </c>
      <c r="AV609" s="5"/>
      <c r="AW609" s="5"/>
      <c r="AX609" s="15">
        <f ca="1">IFERROR(__xludf.DUMMYFUNCTION("""COMPUTED_VALUE"""),45993)</f>
        <v>45993</v>
      </c>
      <c r="AY609" s="5"/>
      <c r="AZ609" s="5"/>
      <c r="BA609" s="5" t="str">
        <f ca="1">IFERROR(__xludf.DUMMYFUNCTION("""COMPUTED_VALUE"""),"")</f>
        <v/>
      </c>
      <c r="BB609" s="5"/>
      <c r="BC609" s="5" t="str">
        <f ca="1">IFERROR(__xludf.DUMMYFUNCTION("""COMPUTED_VALUE"""),"SOKO studio")</f>
        <v>SOKO studio</v>
      </c>
      <c r="BD609" s="7" t="str">
        <f ca="1">IFERROR(__xludf.DUMMYFUNCTION("""COMPUTED_VALUE"""),"https://christmas-sugar-luck.soko.games/")</f>
        <v>https://christmas-sugar-luck.soko.games/</v>
      </c>
      <c r="BE609" s="5"/>
    </row>
    <row r="610" spans="1:57" x14ac:dyDescent="0.25">
      <c r="A610" s="5">
        <f ca="1">IFERROR(__xludf.DUMMYFUNCTION("""COMPUTED_VALUE"""),645)</f>
        <v>645</v>
      </c>
      <c r="B610" s="5">
        <f ca="1">IFERROR(__xludf.DUMMYFUNCTION("""COMPUTED_VALUE"""),4027)</f>
        <v>4027</v>
      </c>
      <c r="C610" s="5" t="str">
        <f ca="1">IFERROR(__xludf.DUMMYFUNCTION("""COMPUTED_VALUE"""),"Fazi")</f>
        <v>Fazi</v>
      </c>
      <c r="D610" s="5" t="str">
        <f ca="1">IFERROR(__xludf.DUMMYFUNCTION("""COMPUTED_VALUE"""),"Konfam Ball")</f>
        <v>Konfam Ball</v>
      </c>
      <c r="E610" s="5" t="str">
        <f ca="1">IFERROR(__xludf.DUMMYFUNCTION("""COMPUTED_VALUE"""),"Sertifikacioni")</f>
        <v>Sertifikacioni</v>
      </c>
      <c r="F610" s="5" t="str">
        <f ca="1">IFERROR(__xludf.DUMMYFUNCTION("""COMPUTED_VALUE"""),"KonfamBall")</f>
        <v>KonfamBall</v>
      </c>
      <c r="G610" s="5" t="str">
        <f ca="1">IFERROR(__xludf.DUMMYFUNCTION("""COMPUTED_VALUE"""),"Deployed")</f>
        <v>Deployed</v>
      </c>
      <c r="H610" s="5" t="str">
        <f ca="1">IFERROR(__xludf.DUMMYFUNCTION("""COMPUTED_VALUE"""),"King Makers ")</f>
        <v xml:space="preserve">King Makers </v>
      </c>
      <c r="I610" s="5" t="str">
        <f ca="1">IFERROR(__xludf.DUMMYFUNCTION("""COMPUTED_VALUE"""),"V2")</f>
        <v>V2</v>
      </c>
      <c r="J610" s="5" t="str">
        <f ca="1">IFERROR(__xludf.DUMMYFUNCTION("""COMPUTED_VALUE"""),"Binary")</f>
        <v>Binary</v>
      </c>
      <c r="K610" s="5" t="str">
        <f ca="1">IFERROR(__xludf.DUMMYFUNCTION("""COMPUTED_VALUE"""),"Slot")</f>
        <v>Slot</v>
      </c>
      <c r="L610" s="5" t="str">
        <f ca="1">IFERROR(__xludf.DUMMYFUNCTION("""COMPUTED_VALUE""")," Clone")</f>
        <v xml:space="preserve"> Clone</v>
      </c>
      <c r="M610" s="5" t="str">
        <f ca="1">IFERROR(__xludf.DUMMYFUNCTION("""COMPUTED_VALUE"""),"Football Victory")</f>
        <v>Football Victory</v>
      </c>
      <c r="N610" s="5"/>
      <c r="O610" s="5"/>
      <c r="P610" s="5"/>
      <c r="Q610" s="15">
        <f ca="1">IFERROR(__xludf.DUMMYFUNCTION("""COMPUTED_VALUE"""),45973)</f>
        <v>45973</v>
      </c>
      <c r="R610" s="5"/>
      <c r="S610" s="5"/>
      <c r="T610" s="5"/>
      <c r="U610" s="5" t="str">
        <f ca="1">IFERROR(__xludf.DUMMYFUNCTION("""COMPUTED_VALUE"""),"5x3")</f>
        <v>5x3</v>
      </c>
      <c r="V610" s="5">
        <f ca="1">IFERROR(__xludf.DUMMYFUNCTION("""COMPUTED_VALUE"""),30)</f>
        <v>30</v>
      </c>
      <c r="W610" s="5"/>
      <c r="X610" s="5">
        <f ca="1">IFERROR(__xludf.DUMMYFUNCTION("""COMPUTED_VALUE"""),96.48)</f>
        <v>96.48</v>
      </c>
      <c r="Y610" s="5"/>
      <c r="Z610" s="5">
        <f ca="1">IFERROR(__xludf.DUMMYFUNCTION("""COMPUTED_VALUE"""),21.289)</f>
        <v>21.289000000000001</v>
      </c>
      <c r="AA610" s="5">
        <f ca="1">IFERROR(__xludf.DUMMYFUNCTION("""COMPUTED_VALUE"""),2752)</f>
        <v>2752</v>
      </c>
      <c r="AB610" s="5">
        <f ca="1">IFERROR(__xludf.DUMMYFUNCTION("""COMPUTED_VALUE"""),168)</f>
        <v>168</v>
      </c>
      <c r="AC610" s="5"/>
      <c r="AD610" s="5"/>
      <c r="AE610" s="5"/>
      <c r="AF610" s="5"/>
      <c r="AG610" s="10">
        <f ca="1">IFERROR(__xludf.DUMMYFUNCTION("""COMPUTED_VALUE"""),45973.7133680555)</f>
        <v>45973.713368055498</v>
      </c>
      <c r="AH610" s="5" t="str">
        <f ca="1">IFERROR(__xludf.DUMMYFUNCTION("""COMPUTED_VALUE"""),"petra.ilic@fazi.rs")</f>
        <v>petra.ilic@fazi.rs</v>
      </c>
      <c r="AI610" s="5"/>
      <c r="AJ610" s="5"/>
      <c r="AK610" s="5">
        <f ca="1">IFERROR(__xludf.DUMMYFUNCTION("""COMPUTED_VALUE"""),30)</f>
        <v>30</v>
      </c>
      <c r="AL610" s="5" t="str">
        <f ca="1">IFERROR(__xludf.DUMMYFUNCTION("""COMPUTED_VALUE"""),"Yes")</f>
        <v>Yes</v>
      </c>
      <c r="AM610" s="5"/>
      <c r="AN610" s="5"/>
      <c r="AO610" s="5"/>
      <c r="AP610" s="5"/>
      <c r="AQ610" s="5"/>
      <c r="AR610" s="5" t="b">
        <f ca="1">IFERROR(__xludf.DUMMYFUNCTION("""COMPUTED_VALUE"""),TRUE)</f>
        <v>1</v>
      </c>
      <c r="AS610" s="5"/>
      <c r="AT610" s="5"/>
      <c r="AU610" s="5" t="str">
        <f ca="1">IFERROR(__xludf.DUMMYFUNCTION("""COMPUTED_VALUE"""),"Fazi")</f>
        <v>Fazi</v>
      </c>
      <c r="AV610" s="5"/>
      <c r="AW610" s="5"/>
      <c r="AX610" s="15">
        <f ca="1">IFERROR(__xludf.DUMMYFUNCTION("""COMPUTED_VALUE"""),45965)</f>
        <v>45965</v>
      </c>
      <c r="AY610" s="5"/>
      <c r="AZ610" s="5"/>
      <c r="BA610" s="5" t="str">
        <f ca="1">IFERROR(__xludf.DUMMYFUNCTION("""COMPUTED_VALUE"""),"")</f>
        <v/>
      </c>
      <c r="BB610" s="5"/>
      <c r="BC610" s="5" t="str">
        <f ca="1">IFERROR(__xludf.DUMMYFUNCTION("""COMPUTED_VALUE"""),"Foxi")</f>
        <v>Foxi</v>
      </c>
      <c r="BD610" s="5" t="str">
        <f ca="1">IFERROR(__xludf.DUMMYFUNCTION("""COMPUTED_VALUE"""),"")</f>
        <v/>
      </c>
      <c r="BE610" s="5"/>
    </row>
    <row r="611" spans="1:57" x14ac:dyDescent="0.25">
      <c r="A611" s="5">
        <f ca="1">IFERROR(__xludf.DUMMYFUNCTION("""COMPUTED_VALUE"""),646)</f>
        <v>646</v>
      </c>
      <c r="B611" s="5">
        <f ca="1">IFERROR(__xludf.DUMMYFUNCTION("""COMPUTED_VALUE"""),526)</f>
        <v>526</v>
      </c>
      <c r="C611" s="5" t="str">
        <f ca="1">IFERROR(__xludf.DUMMYFUNCTION("""COMPUTED_VALUE"""),"Tiptop")</f>
        <v>Tiptop</v>
      </c>
      <c r="D611" s="5" t="str">
        <f ca="1">IFERROR(__xludf.DUMMYFUNCTION("""COMPUTED_VALUE"""),"Dynamite Boom Dice")</f>
        <v>Dynamite Boom Dice</v>
      </c>
      <c r="E611" s="5" t="str">
        <f ca="1">IFERROR(__xludf.DUMMYFUNCTION("""COMPUTED_VALUE"""),"Sertifikacioni")</f>
        <v>Sertifikacioni</v>
      </c>
      <c r="F611" s="5" t="str">
        <f ca="1">IFERROR(__xludf.DUMMYFUNCTION("""COMPUTED_VALUE"""),"UnicornDynamiteBoomDice")</f>
        <v>UnicornDynamiteBoomDice</v>
      </c>
      <c r="G611" s="5" t="str">
        <f ca="1">IFERROR(__xludf.DUMMYFUNCTION("""COMPUTED_VALUE"""),"Live")</f>
        <v>Live</v>
      </c>
      <c r="H611" s="5"/>
      <c r="I611" s="5"/>
      <c r="J611" s="5" t="str">
        <f ca="1">IFERROR(__xludf.DUMMYFUNCTION("""COMPUTED_VALUE"""),"JSON")</f>
        <v>JSON</v>
      </c>
      <c r="K611" s="5" t="str">
        <f ca="1">IFERROR(__xludf.DUMMYFUNCTION("""COMPUTED_VALUE"""),"Slot")</f>
        <v>Slot</v>
      </c>
      <c r="L611" s="5" t="str">
        <f ca="1">IFERROR(__xludf.DUMMYFUNCTION("""COMPUTED_VALUE""")," Clone")</f>
        <v xml:space="preserve"> Clone</v>
      </c>
      <c r="M611" s="5" t="str">
        <f ca="1">IFERROR(__xludf.DUMMYFUNCTION("""COMPUTED_VALUE"""),"Dynamite Boom")</f>
        <v>Dynamite Boom</v>
      </c>
      <c r="N611" s="5"/>
      <c r="O611" s="5"/>
      <c r="P611" s="14">
        <f ca="1">IFERROR(__xludf.DUMMYFUNCTION("""COMPUTED_VALUE"""),14.2)</f>
        <v>14.2</v>
      </c>
      <c r="Q611" s="15">
        <f ca="1">IFERROR(__xludf.DUMMYFUNCTION("""COMPUTED_VALUE"""),46013)</f>
        <v>46013</v>
      </c>
      <c r="R611" s="15">
        <f ca="1">IFERROR(__xludf.DUMMYFUNCTION("""COMPUTED_VALUE"""),46043)</f>
        <v>46043</v>
      </c>
      <c r="S611" s="15">
        <f ca="1">IFERROR(__xludf.DUMMYFUNCTION("""COMPUTED_VALUE"""),46050)</f>
        <v>46050</v>
      </c>
      <c r="T611" s="5" t="b">
        <f ca="1">IFERROR(__xludf.DUMMYFUNCTION("""COMPUTED_VALUE"""),TRUE)</f>
        <v>1</v>
      </c>
      <c r="U611" s="5" t="str">
        <f ca="1">IFERROR(__xludf.DUMMYFUNCTION("""COMPUTED_VALUE"""),"5X3")</f>
        <v>5X3</v>
      </c>
      <c r="V611" s="5">
        <f ca="1">IFERROR(__xludf.DUMMYFUNCTION("""COMPUTED_VALUE"""),5)</f>
        <v>5</v>
      </c>
      <c r="W611" s="5">
        <f ca="1">IFERROR(__xludf.DUMMYFUNCTION("""COMPUTED_VALUE"""),5)</f>
        <v>5</v>
      </c>
      <c r="X611" s="5">
        <f ca="1">IFERROR(__xludf.DUMMYFUNCTION("""COMPUTED_VALUE"""),96)</f>
        <v>96</v>
      </c>
      <c r="Y611" s="5" t="str">
        <f ca="1">IFERROR(__xludf.DUMMYFUNCTION("""COMPUTED_VALUE"""),"Low")</f>
        <v>Low</v>
      </c>
      <c r="Z611" s="5">
        <f ca="1">IFERROR(__xludf.DUMMYFUNCTION("""COMPUTED_VALUE"""),13.64)</f>
        <v>13.64</v>
      </c>
      <c r="AA611" s="5">
        <f ca="1">IFERROR(__xludf.DUMMYFUNCTION("""COMPUTED_VALUE"""),10000)</f>
        <v>10000</v>
      </c>
      <c r="AB611" s="5"/>
      <c r="AC611" s="5"/>
      <c r="AD611" s="5" t="str">
        <f ca="1">IFERROR(__xludf.DUMMYFUNCTION("""COMPUTED_VALUE"""),"0.05/100")</f>
        <v>0.05/100</v>
      </c>
      <c r="AE611" s="5"/>
      <c r="AF611" s="5"/>
      <c r="AG611" s="10">
        <f ca="1">IFERROR(__xludf.DUMMYFUNCTION("""COMPUTED_VALUE"""),46197.5033912037)</f>
        <v>46197.503391203703</v>
      </c>
      <c r="AH611" s="5" t="str">
        <f ca="1">IFERROR(__xludf.DUMMYFUNCTION("""COMPUTED_VALUE"""),"selena.mihajlovic@fazi.rs")</f>
        <v>selena.mihajlovic@fazi.rs</v>
      </c>
      <c r="AI611" s="5"/>
      <c r="AJ611" s="5"/>
      <c r="AK611" s="5">
        <f ca="1">IFERROR(__xludf.DUMMYFUNCTION("""COMPUTED_VALUE"""),5)</f>
        <v>5</v>
      </c>
      <c r="AL611" s="5" t="str">
        <f ca="1">IFERROR(__xludf.DUMMYFUNCTION("""COMPUTED_VALUE"""),"No")</f>
        <v>No</v>
      </c>
      <c r="AM611" s="5"/>
      <c r="AN611" s="7" t="str">
        <f ca="1">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AO611" s="5"/>
      <c r="AP611" s="5"/>
      <c r="AQ611" s="5" t="b">
        <f ca="1">IFERROR(__xludf.DUMMYFUNCTION("""COMPUTED_VALUE"""),TRUE)</f>
        <v>1</v>
      </c>
      <c r="AR611" s="5"/>
      <c r="AS611" s="5" t="str">
        <f ca="1">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AT611" s="5"/>
      <c r="AU611" s="5" t="str">
        <f ca="1">IFERROR(__xludf.DUMMYFUNCTION("""COMPUTED_VALUE"""),"Fazi")</f>
        <v>Fazi</v>
      </c>
      <c r="AV611" s="5"/>
      <c r="AW611" s="5"/>
      <c r="AX611" s="15">
        <f ca="1">IFERROR(__xludf.DUMMYFUNCTION("""COMPUTED_VALUE"""),46007)</f>
        <v>46007</v>
      </c>
      <c r="AY611" s="5"/>
      <c r="AZ611" s="5"/>
      <c r="BA611" s="5"/>
      <c r="BB611" s="5" t="b">
        <f ca="1">IFERROR(__xludf.DUMMYFUNCTION("""COMPUTED_VALUE"""),TRUE)</f>
        <v>1</v>
      </c>
      <c r="BC611" s="5" t="str">
        <f ca="1">IFERROR(__xludf.DUMMYFUNCTION("""COMPUTED_VALUE"""),"Tiptop")</f>
        <v>Tiptop</v>
      </c>
      <c r="BD611" s="7" t="str">
        <f ca="1">IFERROR(__xludf.DUMMYFUNCTION("""COMPUTED_VALUE"""),"https://gameserver-store-client-area.orbionlimited.com/Home/IntegrationGameLaunch/client-area?moneyType=0&amp;gameName=UnicornDynamiteBoomDice&amp;platform=desktop&amp;languageCode=eng&amp;currency=EUR")</f>
        <v>https://gameserver-store-client-area.orbionlimited.com/Home/IntegrationGameLaunch/client-area?moneyType=0&amp;gameName=UnicornDynamiteBoomDice&amp;platform=desktop&amp;languageCode=eng&amp;currency=EUR</v>
      </c>
      <c r="BE611" s="5" t="b">
        <f ca="1">IFERROR(__xludf.DUMMYFUNCTION("""COMPUTED_VALUE"""),TRUE)</f>
        <v>1</v>
      </c>
    </row>
    <row r="612" spans="1:57" x14ac:dyDescent="0.25">
      <c r="A612" s="5">
        <f ca="1">IFERROR(__xludf.DUMMYFUNCTION("""COMPUTED_VALUE"""),647)</f>
        <v>647</v>
      </c>
      <c r="B612" s="5">
        <f ca="1">IFERROR(__xludf.DUMMYFUNCTION("""COMPUTED_VALUE"""),527)</f>
        <v>527</v>
      </c>
      <c r="C612" s="5" t="str">
        <f ca="1">IFERROR(__xludf.DUMMYFUNCTION("""COMPUTED_VALUE"""),"Tiptop")</f>
        <v>Tiptop</v>
      </c>
      <c r="D612" s="5" t="str">
        <f ca="1">IFERROR(__xludf.DUMMYFUNCTION("""COMPUTED_VALUE"""),"Buffalo Dice Jackpot")</f>
        <v>Buffalo Dice Jackpot</v>
      </c>
      <c r="E612" s="5" t="str">
        <f ca="1">IFERROR(__xludf.DUMMYFUNCTION("""COMPUTED_VALUE"""),"Sertifikacioni")</f>
        <v>Sertifikacioni</v>
      </c>
      <c r="F612" s="5" t="str">
        <f ca="1">IFERROR(__xludf.DUMMYFUNCTION("""COMPUTED_VALUE"""),"UnicornBuffaloDiceJackpot")</f>
        <v>UnicornBuffaloDiceJackpot</v>
      </c>
      <c r="G612" s="5" t="str">
        <f ca="1">IFERROR(__xludf.DUMMYFUNCTION("""COMPUTED_VALUE"""),"Live")</f>
        <v>Live</v>
      </c>
      <c r="H612" s="5"/>
      <c r="I612" s="5"/>
      <c r="J612" s="5" t="str">
        <f ca="1">IFERROR(__xludf.DUMMYFUNCTION("""COMPUTED_VALUE"""),"JSON")</f>
        <v>JSON</v>
      </c>
      <c r="K612" s="5" t="str">
        <f ca="1">IFERROR(__xludf.DUMMYFUNCTION("""COMPUTED_VALUE"""),"Slot")</f>
        <v>Slot</v>
      </c>
      <c r="L612" s="5" t="str">
        <f ca="1">IFERROR(__xludf.DUMMYFUNCTION("""COMPUTED_VALUE""")," Clone")</f>
        <v xml:space="preserve"> Clone</v>
      </c>
      <c r="M612" s="5" t="str">
        <f ca="1">IFERROR(__xludf.DUMMYFUNCTION("""COMPUTED_VALUE"""),"Buffalo Sevens Jackpot")</f>
        <v>Buffalo Sevens Jackpot</v>
      </c>
      <c r="N612" s="5"/>
      <c r="O612" s="5"/>
      <c r="P612" s="14">
        <f ca="1">IFERROR(__xludf.DUMMYFUNCTION("""COMPUTED_VALUE"""),11.7)</f>
        <v>11.7</v>
      </c>
      <c r="Q612" s="15">
        <f ca="1">IFERROR(__xludf.DUMMYFUNCTION("""COMPUTED_VALUE"""),46055)</f>
        <v>46055</v>
      </c>
      <c r="R612" s="15">
        <f ca="1">IFERROR(__xludf.DUMMYFUNCTION("""COMPUTED_VALUE"""),46064)</f>
        <v>46064</v>
      </c>
      <c r="S612" s="15">
        <f ca="1">IFERROR(__xludf.DUMMYFUNCTION("""COMPUTED_VALUE"""),46071)</f>
        <v>46071</v>
      </c>
      <c r="T612" s="5" t="b">
        <f ca="1">IFERROR(__xludf.DUMMYFUNCTION("""COMPUTED_VALUE"""),TRUE)</f>
        <v>1</v>
      </c>
      <c r="U612" s="5" t="str">
        <f ca="1">IFERROR(__xludf.DUMMYFUNCTION("""COMPUTED_VALUE"""),"5X3")</f>
        <v>5X3</v>
      </c>
      <c r="V612" s="5">
        <f ca="1">IFERROR(__xludf.DUMMYFUNCTION("""COMPUTED_VALUE"""),10)</f>
        <v>10</v>
      </c>
      <c r="W612" s="5">
        <f ca="1">IFERROR(__xludf.DUMMYFUNCTION("""COMPUTED_VALUE"""),10)</f>
        <v>10</v>
      </c>
      <c r="X612" s="5">
        <f ca="1">IFERROR(__xludf.DUMMYFUNCTION("""COMPUTED_VALUE"""),96)</f>
        <v>96</v>
      </c>
      <c r="Y612" s="5" t="str">
        <f ca="1">IFERROR(__xludf.DUMMYFUNCTION("""COMPUTED_VALUE"""),"Low")</f>
        <v>Low</v>
      </c>
      <c r="Z612" s="5">
        <f ca="1">IFERROR(__xludf.DUMMYFUNCTION("""COMPUTED_VALUE"""),9.08)</f>
        <v>9.08</v>
      </c>
      <c r="AA612" s="5">
        <f ca="1">IFERROR(__xludf.DUMMYFUNCTION("""COMPUTED_VALUE"""),10000)</f>
        <v>10000</v>
      </c>
      <c r="AB612" s="5"/>
      <c r="AC612" s="5"/>
      <c r="AD612" s="5" t="str">
        <f ca="1">IFERROR(__xludf.DUMMYFUNCTION("""COMPUTED_VALUE"""),"0.1/100")</f>
        <v>0.1/100</v>
      </c>
      <c r="AE612" s="5"/>
      <c r="AF612" s="5"/>
      <c r="AG612" s="10">
        <f ca="1">IFERROR(__xludf.DUMMYFUNCTION("""COMPUTED_VALUE"""),46197.5036342592)</f>
        <v>46197.503634259199</v>
      </c>
      <c r="AH612" s="5" t="str">
        <f ca="1">IFERROR(__xludf.DUMMYFUNCTION("""COMPUTED_VALUE"""),"selena.mihajlovic@fazi.rs")</f>
        <v>selena.mihajlovic@fazi.rs</v>
      </c>
      <c r="AI612" s="15">
        <f ca="1">IFERROR(__xludf.DUMMYFUNCTION("""COMPUTED_VALUE"""),46057)</f>
        <v>46057</v>
      </c>
      <c r="AJ612" s="5" t="str">
        <f ca="1">IFERROR(__xludf.DUMMYFUNCTION("""COMPUTED_VALUE"""),"04.02. Peppermill - Belgium")</f>
        <v>04.02. Peppermill - Belgium</v>
      </c>
      <c r="AK612" s="5">
        <f ca="1">IFERROR(__xludf.DUMMYFUNCTION("""COMPUTED_VALUE"""),10)</f>
        <v>10</v>
      </c>
      <c r="AL612" s="5" t="str">
        <f ca="1">IFERROR(__xludf.DUMMYFUNCTION("""COMPUTED_VALUE"""),"No")</f>
        <v>No</v>
      </c>
      <c r="AM612" s="5"/>
      <c r="AN612" s="7" t="str">
        <f ca="1">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AO612" s="5"/>
      <c r="AP612" s="5"/>
      <c r="AQ612" s="5" t="b">
        <f ca="1">IFERROR(__xludf.DUMMYFUNCTION("""COMPUTED_VALUE"""),TRUE)</f>
        <v>1</v>
      </c>
      <c r="AR612" s="5"/>
      <c r="AS612" s="5" t="str">
        <f ca="1">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AT612" s="5"/>
      <c r="AU612" s="5" t="str">
        <f ca="1">IFERROR(__xludf.DUMMYFUNCTION("""COMPUTED_VALUE"""),"Fazi")</f>
        <v>Fazi</v>
      </c>
      <c r="AV612" s="5"/>
      <c r="AW612" s="5"/>
      <c r="AX612" s="15">
        <f ca="1">IFERROR(__xludf.DUMMYFUNCTION("""COMPUTED_VALUE"""),46049)</f>
        <v>46049</v>
      </c>
      <c r="AY612" s="5"/>
      <c r="AZ612" s="5"/>
      <c r="BA612" s="5"/>
      <c r="BB612" s="5" t="b">
        <f ca="1">IFERROR(__xludf.DUMMYFUNCTION("""COMPUTED_VALUE"""),TRUE)</f>
        <v>1</v>
      </c>
      <c r="BC612" s="5" t="str">
        <f ca="1">IFERROR(__xludf.DUMMYFUNCTION("""COMPUTED_VALUE"""),"Tiptop")</f>
        <v>Tiptop</v>
      </c>
      <c r="BD612" s="7" t="str">
        <f ca="1">IFERROR(__xludf.DUMMYFUNCTION("""COMPUTED_VALUE"""),"https://gameserver-store-client-area.orbionlimited.com/Home/IntegrationGameLaunch/client-area?moneyType=0&amp;gameName=UnicornBuffaloDiceJackpot&amp;platform=desktop&amp;languageCode=eng&amp;currency=EUR")</f>
        <v>https://gameserver-store-client-area.orbionlimited.com/Home/IntegrationGameLaunch/client-area?moneyType=0&amp;gameName=UnicornBuffaloDiceJackpot&amp;platform=desktop&amp;languageCode=eng&amp;currency=EUR</v>
      </c>
      <c r="BE612" s="5" t="b">
        <f ca="1">IFERROR(__xludf.DUMMYFUNCTION("""COMPUTED_VALUE"""),TRUE)</f>
        <v>1</v>
      </c>
    </row>
    <row r="613" spans="1:57" x14ac:dyDescent="0.25">
      <c r="A613" s="5">
        <f ca="1">IFERROR(__xludf.DUMMYFUNCTION("""COMPUTED_VALUE"""),648)</f>
        <v>648</v>
      </c>
      <c r="B613" s="5">
        <f ca="1">IFERROR(__xludf.DUMMYFUNCTION("""COMPUTED_VALUE"""),525)</f>
        <v>525</v>
      </c>
      <c r="C613" s="5" t="str">
        <f ca="1">IFERROR(__xludf.DUMMYFUNCTION("""COMPUTED_VALUE"""),"Tiptop")</f>
        <v>Tiptop</v>
      </c>
      <c r="D613" s="5" t="str">
        <f ca="1">IFERROR(__xludf.DUMMYFUNCTION("""COMPUTED_VALUE"""),"Triple Stacked Diamond Jackpot")</f>
        <v>Triple Stacked Diamond Jackpot</v>
      </c>
      <c r="E613" s="5" t="str">
        <f ca="1">IFERROR(__xludf.DUMMYFUNCTION("""COMPUTED_VALUE"""),"Sertifikacioni")</f>
        <v>Sertifikacioni</v>
      </c>
      <c r="F613" s="5" t="str">
        <f ca="1">IFERROR(__xludf.DUMMYFUNCTION("""COMPUTED_VALUE"""),"UnicornTripleStackedDiamondJackpot")</f>
        <v>UnicornTripleStackedDiamondJackpot</v>
      </c>
      <c r="G613" s="5" t="str">
        <f ca="1">IFERROR(__xludf.DUMMYFUNCTION("""COMPUTED_VALUE"""),"Live")</f>
        <v>Live</v>
      </c>
      <c r="H613" s="5"/>
      <c r="I613" s="5"/>
      <c r="J613" s="5" t="str">
        <f ca="1">IFERROR(__xludf.DUMMYFUNCTION("""COMPUTED_VALUE"""),"JSON")</f>
        <v>JSON</v>
      </c>
      <c r="K613" s="5" t="str">
        <f ca="1">IFERROR(__xludf.DUMMYFUNCTION("""COMPUTED_VALUE"""),"Slot")</f>
        <v>Slot</v>
      </c>
      <c r="L613" s="5" t="str">
        <f ca="1">IFERROR(__xludf.DUMMYFUNCTION("""COMPUTED_VALUE""")," Clone")</f>
        <v xml:space="preserve"> Clone</v>
      </c>
      <c r="M613" s="5" t="str">
        <f ca="1">IFERROR(__xludf.DUMMYFUNCTION("""COMPUTED_VALUE"""),"Buffalo Sevens Jackpot")</f>
        <v>Buffalo Sevens Jackpot</v>
      </c>
      <c r="N613" s="5"/>
      <c r="O613" s="5"/>
      <c r="P613" s="14">
        <f ca="1">IFERROR(__xludf.DUMMYFUNCTION("""COMPUTED_VALUE"""),11.5)</f>
        <v>11.5</v>
      </c>
      <c r="Q613" s="15">
        <f ca="1">IFERROR(__xludf.DUMMYFUNCTION("""COMPUTED_VALUE"""),46013)</f>
        <v>46013</v>
      </c>
      <c r="R613" s="15">
        <f ca="1">IFERROR(__xludf.DUMMYFUNCTION("""COMPUTED_VALUE"""),46029)</f>
        <v>46029</v>
      </c>
      <c r="S613" s="15">
        <f ca="1">IFERROR(__xludf.DUMMYFUNCTION("""COMPUTED_VALUE"""),46036)</f>
        <v>46036</v>
      </c>
      <c r="T613" s="5" t="b">
        <f ca="1">IFERROR(__xludf.DUMMYFUNCTION("""COMPUTED_VALUE"""),TRUE)</f>
        <v>1</v>
      </c>
      <c r="U613" s="5" t="str">
        <f ca="1">IFERROR(__xludf.DUMMYFUNCTION("""COMPUTED_VALUE"""),"5X3")</f>
        <v>5X3</v>
      </c>
      <c r="V613" s="5">
        <f ca="1">IFERROR(__xludf.DUMMYFUNCTION("""COMPUTED_VALUE"""),10)</f>
        <v>10</v>
      </c>
      <c r="W613" s="5">
        <f ca="1">IFERROR(__xludf.DUMMYFUNCTION("""COMPUTED_VALUE"""),10)</f>
        <v>10</v>
      </c>
      <c r="X613" s="5">
        <f ca="1">IFERROR(__xludf.DUMMYFUNCTION("""COMPUTED_VALUE"""),96)</f>
        <v>96</v>
      </c>
      <c r="Y613" s="5" t="str">
        <f ca="1">IFERROR(__xludf.DUMMYFUNCTION("""COMPUTED_VALUE"""),"Low")</f>
        <v>Low</v>
      </c>
      <c r="Z613" s="5">
        <f ca="1">IFERROR(__xludf.DUMMYFUNCTION("""COMPUTED_VALUE"""),9.08)</f>
        <v>9.08</v>
      </c>
      <c r="AA613" s="5">
        <f ca="1">IFERROR(__xludf.DUMMYFUNCTION("""COMPUTED_VALUE"""),10000)</f>
        <v>10000</v>
      </c>
      <c r="AB613" s="5"/>
      <c r="AC613" s="5"/>
      <c r="AD613" s="5" t="str">
        <f ca="1">IFERROR(__xludf.DUMMYFUNCTION("""COMPUTED_VALUE"""),"0.1/100")</f>
        <v>0.1/100</v>
      </c>
      <c r="AE613" s="5"/>
      <c r="AF613" s="5"/>
      <c r="AG613" s="10">
        <f ca="1">IFERROR(__xludf.DUMMYFUNCTION("""COMPUTED_VALUE"""),46197.5041550925)</f>
        <v>46197.504155092502</v>
      </c>
      <c r="AH613" s="5" t="str">
        <f ca="1">IFERROR(__xludf.DUMMYFUNCTION("""COMPUTED_VALUE"""),"selena.mihajlovic@fazi.rs")</f>
        <v>selena.mihajlovic@fazi.rs</v>
      </c>
      <c r="AI613" s="15">
        <f ca="1">IFERROR(__xludf.DUMMYFUNCTION("""COMPUTED_VALUE"""),46014)</f>
        <v>46014</v>
      </c>
      <c r="AJ613" s="5" t="str">
        <f ca="1">IFERROR(__xludf.DUMMYFUNCTION("""COMPUTED_VALUE"""),"Koral Play")</f>
        <v>Koral Play</v>
      </c>
      <c r="AK613" s="5">
        <f ca="1">IFERROR(__xludf.DUMMYFUNCTION("""COMPUTED_VALUE"""),10)</f>
        <v>10</v>
      </c>
      <c r="AL613" s="5" t="str">
        <f ca="1">IFERROR(__xludf.DUMMYFUNCTION("""COMPUTED_VALUE"""),"No")</f>
        <v>No</v>
      </c>
      <c r="AM613" s="5"/>
      <c r="AN613" s="7" t="str">
        <f ca="1">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AO613" s="5"/>
      <c r="AP613" s="5"/>
      <c r="AQ613" s="5" t="b">
        <f ca="1">IFERROR(__xludf.DUMMYFUNCTION("""COMPUTED_VALUE"""),TRUE)</f>
        <v>1</v>
      </c>
      <c r="AR613" s="5"/>
      <c r="AS613" s="5" t="str">
        <f ca="1">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AT613" s="5"/>
      <c r="AU613" s="5" t="str">
        <f ca="1">IFERROR(__xludf.DUMMYFUNCTION("""COMPUTED_VALUE"""),"Fazi")</f>
        <v>Fazi</v>
      </c>
      <c r="AV613" s="5"/>
      <c r="AW613" s="5"/>
      <c r="AX613" s="15">
        <f ca="1">IFERROR(__xludf.DUMMYFUNCTION("""COMPUTED_VALUE"""),46007)</f>
        <v>46007</v>
      </c>
      <c r="AY613" s="5"/>
      <c r="AZ613" s="5"/>
      <c r="BA613" s="5"/>
      <c r="BB613" s="5" t="b">
        <f ca="1">IFERROR(__xludf.DUMMYFUNCTION("""COMPUTED_VALUE"""),TRUE)</f>
        <v>1</v>
      </c>
      <c r="BC613" s="5" t="str">
        <f ca="1">IFERROR(__xludf.DUMMYFUNCTION("""COMPUTED_VALUE"""),"Tiptop")</f>
        <v>Tiptop</v>
      </c>
      <c r="BD613" s="7" t="str">
        <f ca="1">IFERROR(__xludf.DUMMYFUNCTION("""COMPUTED_VALUE"""),"https://gameserver-store-client-area.orbionlimited.com/Home/IntegrationGameLaunch/client-area?moneyType=0&amp;gameName=UnicornTripleStackedDiamondJackpot&amp;platform=desktop&amp;languageCode=eng&amp;currency=EUR")</f>
        <v>https://gameserver-store-client-area.orbionlimited.com/Home/IntegrationGameLaunch/client-area?moneyType=0&amp;gameName=UnicornTripleStackedDiamondJackpot&amp;platform=desktop&amp;languageCode=eng&amp;currency=EUR</v>
      </c>
      <c r="BE613" s="5" t="b">
        <f ca="1">IFERROR(__xludf.DUMMYFUNCTION("""COMPUTED_VALUE"""),TRUE)</f>
        <v>1</v>
      </c>
    </row>
    <row r="614" spans="1:57" x14ac:dyDescent="0.25">
      <c r="A614" s="5">
        <f ca="1">IFERROR(__xludf.DUMMYFUNCTION("""COMPUTED_VALUE"""),649)</f>
        <v>649</v>
      </c>
      <c r="B614" s="5">
        <f ca="1">IFERROR(__xludf.DUMMYFUNCTION("""COMPUTED_VALUE"""),4029)</f>
        <v>4029</v>
      </c>
      <c r="C614" s="5" t="str">
        <f ca="1">IFERROR(__xludf.DUMMYFUNCTION("""COMPUTED_VALUE"""),"Fazi")</f>
        <v>Fazi</v>
      </c>
      <c r="D614" s="5" t="str">
        <f ca="1">IFERROR(__xludf.DUMMYFUNCTION("""COMPUTED_VALUE"""),"Super Triple Double")</f>
        <v>Super Triple Double</v>
      </c>
      <c r="E614" s="5" t="str">
        <f ca="1">IFERROR(__xludf.DUMMYFUNCTION("""COMPUTED_VALUE"""),"Sertifikacioni")</f>
        <v>Sertifikacioni</v>
      </c>
      <c r="F614" s="5" t="str">
        <f ca="1">IFERROR(__xludf.DUMMYFUNCTION("""COMPUTED_VALUE"""),"SuperTripleDouble")</f>
        <v>SuperTripleDouble</v>
      </c>
      <c r="G614" s="5" t="str">
        <f ca="1">IFERROR(__xludf.DUMMYFUNCTION("""COMPUTED_VALUE"""),"Deployed")</f>
        <v>Deployed</v>
      </c>
      <c r="H614" s="5" t="str">
        <f ca="1">IFERROR(__xludf.DUMMYFUNCTION("""COMPUTED_VALUE"""),"Superbet")</f>
        <v>Superbet</v>
      </c>
      <c r="I614" s="5" t="str">
        <f ca="1">IFERROR(__xludf.DUMMYFUNCTION("""COMPUTED_VALUE"""),"V4")</f>
        <v>V4</v>
      </c>
      <c r="J614" s="5" t="str">
        <f ca="1">IFERROR(__xludf.DUMMYFUNCTION("""COMPUTED_VALUE"""),"JSON")</f>
        <v>JSON</v>
      </c>
      <c r="K614" s="5" t="str">
        <f ca="1">IFERROR(__xludf.DUMMYFUNCTION("""COMPUTED_VALUE"""),"Slot")</f>
        <v>Slot</v>
      </c>
      <c r="L614" s="5" t="str">
        <f ca="1">IFERROR(__xludf.DUMMYFUNCTION("""COMPUTED_VALUE""")," Clone")</f>
        <v xml:space="preserve"> Clone</v>
      </c>
      <c r="M614" s="5" t="str">
        <f ca="1">IFERROR(__xludf.DUMMYFUNCTION("""COMPUTED_VALUE"""),"Joker Triple Double")</f>
        <v>Joker Triple Double</v>
      </c>
      <c r="N614" s="5"/>
      <c r="O614" s="5"/>
      <c r="P614" s="5"/>
      <c r="Q614" s="15">
        <f ca="1">IFERROR(__xludf.DUMMYFUNCTION("""COMPUTED_VALUE"""),45985)</f>
        <v>45985</v>
      </c>
      <c r="R614" s="5"/>
      <c r="S614" s="5"/>
      <c r="T614" s="5"/>
      <c r="U614" s="5" t="str">
        <f ca="1">IFERROR(__xludf.DUMMYFUNCTION("""COMPUTED_VALUE"""),"3x3")</f>
        <v>3x3</v>
      </c>
      <c r="V614" s="5">
        <f ca="1">IFERROR(__xludf.DUMMYFUNCTION("""COMPUTED_VALUE"""),5)</f>
        <v>5</v>
      </c>
      <c r="W614" s="5">
        <f ca="1">IFERROR(__xludf.DUMMYFUNCTION("""COMPUTED_VALUE"""),5)</f>
        <v>5</v>
      </c>
      <c r="X614" s="5">
        <f ca="1">IFERROR(__xludf.DUMMYFUNCTION("""COMPUTED_VALUE"""),96.5)</f>
        <v>96.5</v>
      </c>
      <c r="Y614" s="5" t="str">
        <f ca="1">IFERROR(__xludf.DUMMYFUNCTION("""COMPUTED_VALUE"""),"Medium")</f>
        <v>Medium</v>
      </c>
      <c r="Z614" s="5">
        <f ca="1">IFERROR(__xludf.DUMMYFUNCTION("""COMPUTED_VALUE"""),7.03)</f>
        <v>7.03</v>
      </c>
      <c r="AA614" s="5">
        <f ca="1">IFERROR(__xludf.DUMMYFUNCTION("""COMPUTED_VALUE"""),1590)</f>
        <v>1590</v>
      </c>
      <c r="AB614" s="5"/>
      <c r="AC614" s="5"/>
      <c r="AD614" s="5"/>
      <c r="AE614" s="5"/>
      <c r="AF614" s="5"/>
      <c r="AG614" s="10">
        <f ca="1">IFERROR(__xludf.DUMMYFUNCTION("""COMPUTED_VALUE"""),46210.535625)</f>
        <v>46210.535624999997</v>
      </c>
      <c r="AH614" s="5" t="str">
        <f ca="1">IFERROR(__xludf.DUMMYFUNCTION("""COMPUTED_VALUE"""),"petra.ilic@fazi.rs")</f>
        <v>petra.ilic@fazi.rs</v>
      </c>
      <c r="AI614" s="5"/>
      <c r="AJ614" s="5"/>
      <c r="AK614" s="5">
        <f ca="1">IFERROR(__xludf.DUMMYFUNCTION("""COMPUTED_VALUE"""),5)</f>
        <v>5</v>
      </c>
      <c r="AL614" s="5" t="str">
        <f ca="1">IFERROR(__xludf.DUMMYFUNCTION("""COMPUTED_VALUE"""),"Yes")</f>
        <v>Yes</v>
      </c>
      <c r="AM614" s="5" t="str">
        <f ca="1">IFERROR(__xludf.DUMMYFUNCTION("""COMPUTED_VALUE"""),"Yes")</f>
        <v>Yes</v>
      </c>
      <c r="AN614" s="5"/>
      <c r="AO614" s="5"/>
      <c r="AP614" s="5" t="str">
        <f ca="1">IFERROR(__xludf.DUMMYFUNCTION("""COMPUTED_VALUE"""),"Yes")</f>
        <v>Yes</v>
      </c>
      <c r="AQ614" s="5"/>
      <c r="AR614" s="5" t="b">
        <f ca="1">IFERROR(__xludf.DUMMYFUNCTION("""COMPUTED_VALUE"""),TRUE)</f>
        <v>1</v>
      </c>
      <c r="AS614" s="5"/>
      <c r="AT614" s="5"/>
      <c r="AU614" s="5" t="str">
        <f ca="1">IFERROR(__xludf.DUMMYFUNCTION("""COMPUTED_VALUE"""),"Fazi")</f>
        <v>Fazi</v>
      </c>
      <c r="AV614" s="5"/>
      <c r="AW614" s="5"/>
      <c r="AX614" s="15">
        <f ca="1">IFERROR(__xludf.DUMMYFUNCTION("""COMPUTED_VALUE"""),45979)</f>
        <v>45979</v>
      </c>
      <c r="AY614" s="5"/>
      <c r="AZ614" s="5"/>
      <c r="BA614" s="5"/>
      <c r="BB614" s="5"/>
      <c r="BC614" s="5" t="str">
        <f ca="1">IFERROR(__xludf.DUMMYFUNCTION("""COMPUTED_VALUE"""),"Foxi")</f>
        <v>Foxi</v>
      </c>
      <c r="BD614" s="5"/>
      <c r="BE614" s="5"/>
    </row>
    <row r="615" spans="1:57" x14ac:dyDescent="0.25">
      <c r="A615" s="5">
        <f ca="1">IFERROR(__xludf.DUMMYFUNCTION("""COMPUTED_VALUE"""),650)</f>
        <v>650</v>
      </c>
      <c r="B615" s="5">
        <f ca="1">IFERROR(__xludf.DUMMYFUNCTION("""COMPUTED_VALUE"""),180053)</f>
        <v>180053</v>
      </c>
      <c r="C615" s="5" t="str">
        <f ca="1">IFERROR(__xludf.DUMMYFUNCTION("""COMPUTED_VALUE"""),"Redstone")</f>
        <v>Redstone</v>
      </c>
      <c r="D615" s="5" t="str">
        <f ca="1">IFERROR(__xludf.DUMMYFUNCTION("""COMPUTED_VALUE"""),"Inferno Hot 40")</f>
        <v>Inferno Hot 40</v>
      </c>
      <c r="E615" s="5" t="str">
        <f ca="1">IFERROR(__xludf.DUMMYFUNCTION("""COMPUTED_VALUE"""),"Redstone")</f>
        <v>Redstone</v>
      </c>
      <c r="F615" s="5" t="str">
        <f ca="1">IFERROR(__xludf.DUMMYFUNCTION("""COMPUTED_VALUE"""),"RedstoneInfernoHot40")</f>
        <v>RedstoneInfernoHot40</v>
      </c>
      <c r="G615" s="5" t="str">
        <f ca="1">IFERROR(__xludf.DUMMYFUNCTION("""COMPUTED_VALUE"""),"Live")</f>
        <v>Live</v>
      </c>
      <c r="H615" s="5"/>
      <c r="I615" s="5" t="str">
        <f ca="1">IFERROR(__xludf.DUMMYFUNCTION("""COMPUTED_VALUE"""),"Redstone")</f>
        <v>Redstone</v>
      </c>
      <c r="J615" s="5" t="str">
        <f ca="1">IFERROR(__xludf.DUMMYFUNCTION("""COMPUTED_VALUE"""),"JSON")</f>
        <v>JSON</v>
      </c>
      <c r="K615" s="5" t="str">
        <f ca="1">IFERROR(__xludf.DUMMYFUNCTION("""COMPUTED_VALUE"""),"Slot")</f>
        <v>Slot</v>
      </c>
      <c r="L615" s="5" t="str">
        <f ca="1">IFERROR(__xludf.DUMMYFUNCTION("""COMPUTED_VALUE"""),"Master")</f>
        <v>Master</v>
      </c>
      <c r="M615" s="5"/>
      <c r="N615" s="7" t="str">
        <f ca="1">IFERROR(__xludf.DUMMYFUNCTION("""COMPUTED_VALUE"""),"https://docs.google.com/document/d/1iB-fYOYIBEHV0AW9G05ZA_tWHmZN4mxl/edit?usp=drive_link&amp;ouid=107596163405648766688&amp;rtpof=true&amp;sd=true")</f>
        <v>https://docs.google.com/document/d/1iB-fYOYIBEHV0AW9G05ZA_tWHmZN4mxl/edit?usp=drive_link&amp;ouid=107596163405648766688&amp;rtpof=true&amp;sd=true</v>
      </c>
      <c r="O615" s="7" t="str">
        <f ca="1">IFERROR(__xludf.DUMMYFUNCTION("""COMPUTED_VALUE"""),"https://docs.google.com/document/d/16R_As6-ZUQyJ_Hez5_opOQ2sGzAJZNjB/edit?usp=drive_link&amp;ouid=107596163405648766688&amp;rtpof=true&amp;sd=true")</f>
        <v>https://docs.google.com/document/d/16R_As6-ZUQyJ_Hez5_opOQ2sGzAJZNjB/edit?usp=drive_link&amp;ouid=107596163405648766688&amp;rtpof=true&amp;sd=true</v>
      </c>
      <c r="P615" s="14">
        <f ca="1">IFERROR(__xludf.DUMMYFUNCTION("""COMPUTED_VALUE"""),16)</f>
        <v>16</v>
      </c>
      <c r="Q615" s="15">
        <f ca="1">IFERROR(__xludf.DUMMYFUNCTION("""COMPUTED_VALUE"""),45999)</f>
        <v>45999</v>
      </c>
      <c r="R615" s="15">
        <f ca="1">IFERROR(__xludf.DUMMYFUNCTION("""COMPUTED_VALUE"""),46028)</f>
        <v>46028</v>
      </c>
      <c r="S615" s="15">
        <f ca="1">IFERROR(__xludf.DUMMYFUNCTION("""COMPUTED_VALUE"""),46035)</f>
        <v>46035</v>
      </c>
      <c r="T615" s="5" t="b">
        <f ca="1">IFERROR(__xludf.DUMMYFUNCTION("""COMPUTED_VALUE"""),TRUE)</f>
        <v>1</v>
      </c>
      <c r="U615" s="5" t="str">
        <f ca="1">IFERROR(__xludf.DUMMYFUNCTION("""COMPUTED_VALUE"""),"5x3")</f>
        <v>5x3</v>
      </c>
      <c r="V615" s="5">
        <f ca="1">IFERROR(__xludf.DUMMYFUNCTION("""COMPUTED_VALUE"""),40)</f>
        <v>40</v>
      </c>
      <c r="W615" s="5">
        <f ca="1">IFERROR(__xludf.DUMMYFUNCTION("""COMPUTED_VALUE"""),40)</f>
        <v>40</v>
      </c>
      <c r="X615" s="5">
        <f ca="1">IFERROR(__xludf.DUMMYFUNCTION("""COMPUTED_VALUE"""),96.13)</f>
        <v>96.13</v>
      </c>
      <c r="Y615" s="5" t="str">
        <f ca="1">IFERROR(__xludf.DUMMYFUNCTION("""COMPUTED_VALUE"""),"Medium")</f>
        <v>Medium</v>
      </c>
      <c r="Z615" s="5">
        <f ca="1">IFERROR(__xludf.DUMMYFUNCTION("""COMPUTED_VALUE"""),14.4)</f>
        <v>14.4</v>
      </c>
      <c r="AA615" s="5">
        <f ca="1">IFERROR(__xludf.DUMMYFUNCTION("""COMPUTED_VALUE"""),1000)</f>
        <v>1000</v>
      </c>
      <c r="AB615" s="5"/>
      <c r="AC615" s="5" t="str">
        <f ca="1">IFERROR(__xludf.DUMMYFUNCTION("""COMPUTED_VALUE"""),"Special Wild, Scatter, Bonus Game with Free Spins")</f>
        <v>Special Wild, Scatter, Bonus Game with Free Spins</v>
      </c>
      <c r="AD615" s="5" t="str">
        <f ca="1">IFERROR(__xludf.DUMMYFUNCTION("""COMPUTED_VALUE"""),"0.04/50")</f>
        <v>0.04/50</v>
      </c>
      <c r="AE615" s="5"/>
      <c r="AF615" s="5"/>
      <c r="AG615" s="10">
        <f ca="1">IFERROR(__xludf.DUMMYFUNCTION("""COMPUTED_VALUE"""),46227.3635648148)</f>
        <v>46227.363564814797</v>
      </c>
      <c r="AH615" s="5"/>
      <c r="AI615" s="5"/>
      <c r="AJ615" s="5"/>
      <c r="AK615" s="5">
        <f ca="1">IFERROR(__xludf.DUMMYFUNCTION("""COMPUTED_VALUE"""),1)</f>
        <v>1</v>
      </c>
      <c r="AL615" s="5" t="str">
        <f ca="1">IFERROR(__xludf.DUMMYFUNCTION("""COMPUTED_VALUE"""),"No")</f>
        <v>No</v>
      </c>
      <c r="AM615" s="5" t="str">
        <f ca="1">IFERROR(__xludf.DUMMYFUNCTION("""COMPUTED_VALUE"""),"No")</f>
        <v>No</v>
      </c>
      <c r="AN615" s="7" t="str">
        <f ca="1">IFERROR(__xludf.DUMMYFUNCTION("""COMPUTED_VALUE"""),"https://static.redstone.rs/games/inferno-hot-40/")</f>
        <v>https://static.redstone.rs/games/inferno-hot-40/</v>
      </c>
      <c r="AO615" s="5" t="str">
        <f ca="1">IFERROR(__xludf.DUMMYFUNCTION("""COMPUTED_VALUE"""),"No")</f>
        <v>No</v>
      </c>
      <c r="AP615" s="5" t="str">
        <f ca="1">IFERROR(__xludf.DUMMYFUNCTION("""COMPUTED_VALUE"""),"No")</f>
        <v>No</v>
      </c>
      <c r="AQ615" s="5" t="b">
        <f ca="1">IFERROR(__xludf.DUMMYFUNCTION("""COMPUTED_VALUE"""),TRUE)</f>
        <v>1</v>
      </c>
      <c r="AR615" s="5"/>
      <c r="AS615" s="5" t="str">
        <f ca="1">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AT615" s="5"/>
      <c r="AU615" s="5" t="str">
        <f ca="1">IFERROR(__xludf.DUMMYFUNCTION("""COMPUTED_VALUE"""),"Redstone")</f>
        <v>Redstone</v>
      </c>
      <c r="AV615" s="5"/>
      <c r="AW615" s="5"/>
      <c r="AX615" s="15">
        <f ca="1">IFERROR(__xludf.DUMMYFUNCTION("""COMPUTED_VALUE"""),45993)</f>
        <v>45993</v>
      </c>
      <c r="AY615" s="5"/>
      <c r="AZ615" s="5"/>
      <c r="BA615" s="5"/>
      <c r="BB615" s="5" t="b">
        <f ca="1">IFERROR(__xludf.DUMMYFUNCTION("""COMPUTED_VALUE"""),TRUE)</f>
        <v>1</v>
      </c>
      <c r="BC615" s="5" t="str">
        <f ca="1">IFERROR(__xludf.DUMMYFUNCTION("""COMPUTED_VALUE"""),"Redstone")</f>
        <v>Redstone</v>
      </c>
      <c r="BD615" s="7" t="str">
        <f ca="1">IFERROR(__xludf.DUMMYFUNCTION("""COMPUTED_VALUE"""),"https://static.redstone.rs/games/inferno-hot-40/")</f>
        <v>https://static.redstone.rs/games/inferno-hot-40/</v>
      </c>
      <c r="BE615" s="5" t="b">
        <f ca="1">IFERROR(__xludf.DUMMYFUNCTION("""COMPUTED_VALUE"""),TRUE)</f>
        <v>1</v>
      </c>
    </row>
    <row r="616" spans="1:57" x14ac:dyDescent="0.25">
      <c r="A616" s="5">
        <f ca="1">IFERROR(__xludf.DUMMYFUNCTION("""COMPUTED_VALUE"""),651)</f>
        <v>651</v>
      </c>
      <c r="B616" s="5">
        <f ca="1">IFERROR(__xludf.DUMMYFUNCTION("""COMPUTED_VALUE"""),180054)</f>
        <v>180054</v>
      </c>
      <c r="C616" s="5" t="str">
        <f ca="1">IFERROR(__xludf.DUMMYFUNCTION("""COMPUTED_VALUE"""),"Redstone")</f>
        <v>Redstone</v>
      </c>
      <c r="D616" s="5" t="str">
        <f ca="1">IFERROR(__xludf.DUMMYFUNCTION("""COMPUTED_VALUE"""),"Rolling Hearts 10")</f>
        <v>Rolling Hearts 10</v>
      </c>
      <c r="E616" s="5" t="str">
        <f ca="1">IFERROR(__xludf.DUMMYFUNCTION("""COMPUTED_VALUE"""),"Redstone")</f>
        <v>Redstone</v>
      </c>
      <c r="F616" s="5" t="str">
        <f ca="1">IFERROR(__xludf.DUMMYFUNCTION("""COMPUTED_VALUE"""),"RedstoneRollingHearts10")</f>
        <v>RedstoneRollingHearts10</v>
      </c>
      <c r="G616" s="5" t="str">
        <f ca="1">IFERROR(__xludf.DUMMYFUNCTION("""COMPUTED_VALUE"""),"Live")</f>
        <v>Live</v>
      </c>
      <c r="H616" s="5"/>
      <c r="I616" s="5" t="str">
        <f ca="1">IFERROR(__xludf.DUMMYFUNCTION("""COMPUTED_VALUE"""),"Redstone")</f>
        <v>Redstone</v>
      </c>
      <c r="J616" s="5" t="str">
        <f ca="1">IFERROR(__xludf.DUMMYFUNCTION("""COMPUTED_VALUE"""),"JSON")</f>
        <v>JSON</v>
      </c>
      <c r="K616" s="5" t="str">
        <f ca="1">IFERROR(__xludf.DUMMYFUNCTION("""COMPUTED_VALUE"""),"Slot")</f>
        <v>Slot</v>
      </c>
      <c r="L616" s="5" t="str">
        <f ca="1">IFERROR(__xludf.DUMMYFUNCTION("""COMPUTED_VALUE"""),"Master")</f>
        <v>Master</v>
      </c>
      <c r="M616" s="5"/>
      <c r="N616" s="7" t="str">
        <f ca="1">IFERROR(__xludf.DUMMYFUNCTION("""COMPUTED_VALUE"""),"https://docs.google.com/document/d/1OKaK17fVSvw2seE-5WVKSmYfAzFV6uzr/edit?usp=drive_link&amp;ouid=107596163405648766688&amp;rtpof=true&amp;sd=true")</f>
        <v>https://docs.google.com/document/d/1OKaK17fVSvw2seE-5WVKSmYfAzFV6uzr/edit?usp=drive_link&amp;ouid=107596163405648766688&amp;rtpof=true&amp;sd=true</v>
      </c>
      <c r="O616" s="7" t="str">
        <f ca="1">IFERROR(__xludf.DUMMYFUNCTION("""COMPUTED_VALUE"""),"https://docs.google.com/document/d/1BmVvjc8oNoRk258RUZV_8Ak95o41mJ9l/edit?usp=drive_link&amp;ouid=107596163405648766688&amp;rtpof=true&amp;sd=true")</f>
        <v>https://docs.google.com/document/d/1BmVvjc8oNoRk258RUZV_8Ak95o41mJ9l/edit?usp=drive_link&amp;ouid=107596163405648766688&amp;rtpof=true&amp;sd=true</v>
      </c>
      <c r="P616" s="14">
        <f ca="1">IFERROR(__xludf.DUMMYFUNCTION("""COMPUTED_VALUE"""),7.3)</f>
        <v>7.3</v>
      </c>
      <c r="Q616" s="15">
        <f ca="1">IFERROR(__xludf.DUMMYFUNCTION("""COMPUTED_VALUE"""),45999)</f>
        <v>45999</v>
      </c>
      <c r="R616" s="15">
        <f ca="1">IFERROR(__xludf.DUMMYFUNCTION("""COMPUTED_VALUE"""),46034)</f>
        <v>46034</v>
      </c>
      <c r="S616" s="15">
        <f ca="1">IFERROR(__xludf.DUMMYFUNCTION("""COMPUTED_VALUE"""),46041)</f>
        <v>46041</v>
      </c>
      <c r="T616" s="5" t="b">
        <f ca="1">IFERROR(__xludf.DUMMYFUNCTION("""COMPUTED_VALUE"""),TRUE)</f>
        <v>1</v>
      </c>
      <c r="U616" s="5" t="str">
        <f ca="1">IFERROR(__xludf.DUMMYFUNCTION("""COMPUTED_VALUE"""),"5x3")</f>
        <v>5x3</v>
      </c>
      <c r="V616" s="5">
        <f ca="1">IFERROR(__xludf.DUMMYFUNCTION("""COMPUTED_VALUE"""),10)</f>
        <v>10</v>
      </c>
      <c r="W616" s="5">
        <f ca="1">IFERROR(__xludf.DUMMYFUNCTION("""COMPUTED_VALUE"""),10)</f>
        <v>10</v>
      </c>
      <c r="X616" s="5">
        <f ca="1">IFERROR(__xludf.DUMMYFUNCTION("""COMPUTED_VALUE"""),96.33)</f>
        <v>96.33</v>
      </c>
      <c r="Y616" s="5" t="str">
        <f ca="1">IFERROR(__xludf.DUMMYFUNCTION("""COMPUTED_VALUE"""),"Medium")</f>
        <v>Medium</v>
      </c>
      <c r="Z616" s="5">
        <f ca="1">IFERROR(__xludf.DUMMYFUNCTION("""COMPUTED_VALUE"""),12.5)</f>
        <v>12.5</v>
      </c>
      <c r="AA616" s="5">
        <f ca="1">IFERROR(__xludf.DUMMYFUNCTION("""COMPUTED_VALUE"""),950)</f>
        <v>950</v>
      </c>
      <c r="AB616" s="5"/>
      <c r="AC616" s="5" t="str">
        <f ca="1">IFERROR(__xludf.DUMMYFUNCTION("""COMPUTED_VALUE"""),"Scatter, Exploding Wild")</f>
        <v>Scatter, Exploding Wild</v>
      </c>
      <c r="AD616" s="5" t="str">
        <f ca="1">IFERROR(__xludf.DUMMYFUNCTION("""COMPUTED_VALUE"""),"0.02/50")</f>
        <v>0.02/50</v>
      </c>
      <c r="AE616" s="5"/>
      <c r="AF616" s="5"/>
      <c r="AG616" s="10">
        <f ca="1">IFERROR(__xludf.DUMMYFUNCTION("""COMPUTED_VALUE"""),46157.558287037)</f>
        <v>46157.558287036998</v>
      </c>
      <c r="AH616" s="5"/>
      <c r="AI616" s="5"/>
      <c r="AJ616" s="5"/>
      <c r="AK616" s="5">
        <f ca="1">IFERROR(__xludf.DUMMYFUNCTION("""COMPUTED_VALUE"""),1)</f>
        <v>1</v>
      </c>
      <c r="AL616" s="5" t="str">
        <f ca="1">IFERROR(__xludf.DUMMYFUNCTION("""COMPUTED_VALUE"""),"No")</f>
        <v>No</v>
      </c>
      <c r="AM616" s="5" t="str">
        <f ca="1">IFERROR(__xludf.DUMMYFUNCTION("""COMPUTED_VALUE"""),"No")</f>
        <v>No</v>
      </c>
      <c r="AN616" s="7" t="str">
        <f ca="1">IFERROR(__xludf.DUMMYFUNCTION("""COMPUTED_VALUE"""),"https://static.redstone.rs/games/rolling-hearts-10/")</f>
        <v>https://static.redstone.rs/games/rolling-hearts-10/</v>
      </c>
      <c r="AO616" s="5" t="str">
        <f ca="1">IFERROR(__xludf.DUMMYFUNCTION("""COMPUTED_VALUE"""),"No")</f>
        <v>No</v>
      </c>
      <c r="AP616" s="5" t="str">
        <f ca="1">IFERROR(__xludf.DUMMYFUNCTION("""COMPUTED_VALUE"""),"No")</f>
        <v>No</v>
      </c>
      <c r="AQ616" s="5" t="b">
        <f ca="1">IFERROR(__xludf.DUMMYFUNCTION("""COMPUTED_VALUE"""),TRUE)</f>
        <v>1</v>
      </c>
      <c r="AR616" s="5"/>
      <c r="AS616" s="5" t="str">
        <f ca="1">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AT616" s="5"/>
      <c r="AU616" s="5" t="str">
        <f ca="1">IFERROR(__xludf.DUMMYFUNCTION("""COMPUTED_VALUE"""),"Redstone")</f>
        <v>Redstone</v>
      </c>
      <c r="AV616" s="5"/>
      <c r="AW616" s="5"/>
      <c r="AX616" s="15">
        <f ca="1">IFERROR(__xludf.DUMMYFUNCTION("""COMPUTED_VALUE"""),45993)</f>
        <v>45993</v>
      </c>
      <c r="AY616" s="5"/>
      <c r="AZ616" s="5"/>
      <c r="BA616" s="5"/>
      <c r="BB616" s="5" t="b">
        <f ca="1">IFERROR(__xludf.DUMMYFUNCTION("""COMPUTED_VALUE"""),TRUE)</f>
        <v>1</v>
      </c>
      <c r="BC616" s="5" t="str">
        <f ca="1">IFERROR(__xludf.DUMMYFUNCTION("""COMPUTED_VALUE"""),"Redstone")</f>
        <v>Redstone</v>
      </c>
      <c r="BD616" s="7" t="str">
        <f ca="1">IFERROR(__xludf.DUMMYFUNCTION("""COMPUTED_VALUE"""),"https://static.redstone.rs/games/rolling-hearts-10/")</f>
        <v>https://static.redstone.rs/games/rolling-hearts-10/</v>
      </c>
      <c r="BE616" s="5" t="b">
        <f ca="1">IFERROR(__xludf.DUMMYFUNCTION("""COMPUTED_VALUE"""),TRUE)</f>
        <v>1</v>
      </c>
    </row>
    <row r="617" spans="1:57" x14ac:dyDescent="0.25">
      <c r="A617" s="5">
        <f ca="1">IFERROR(__xludf.DUMMYFUNCTION("""COMPUTED_VALUE"""),652)</f>
        <v>652</v>
      </c>
      <c r="B617" s="5">
        <f ca="1">IFERROR(__xludf.DUMMYFUNCTION("""COMPUTED_VALUE"""),180056)</f>
        <v>180056</v>
      </c>
      <c r="C617" s="5" t="str">
        <f ca="1">IFERROR(__xludf.DUMMYFUNCTION("""COMPUTED_VALUE"""),"Redstone")</f>
        <v>Redstone</v>
      </c>
      <c r="D617" s="5" t="str">
        <f ca="1">IFERROR(__xludf.DUMMYFUNCTION("""COMPUTED_VALUE"""),"Cupid's Wild Hearts")</f>
        <v>Cupid's Wild Hearts</v>
      </c>
      <c r="E617" s="5" t="str">
        <f ca="1">IFERROR(__xludf.DUMMYFUNCTION("""COMPUTED_VALUE"""),"Redstone")</f>
        <v>Redstone</v>
      </c>
      <c r="F617" s="5" t="str">
        <f ca="1">IFERROR(__xludf.DUMMYFUNCTION("""COMPUTED_VALUE"""),"RedstoneCupidsWildHearts")</f>
        <v>RedstoneCupidsWildHearts</v>
      </c>
      <c r="G617" s="5" t="str">
        <f ca="1">IFERROR(__xludf.DUMMYFUNCTION("""COMPUTED_VALUE"""),"Live")</f>
        <v>Live</v>
      </c>
      <c r="H617" s="5"/>
      <c r="I617" s="5" t="str">
        <f ca="1">IFERROR(__xludf.DUMMYFUNCTION("""COMPUTED_VALUE"""),"Redstone")</f>
        <v>Redstone</v>
      </c>
      <c r="J617" s="5" t="str">
        <f ca="1">IFERROR(__xludf.DUMMYFUNCTION("""COMPUTED_VALUE"""),"JSON")</f>
        <v>JSON</v>
      </c>
      <c r="K617" s="5" t="str">
        <f ca="1">IFERROR(__xludf.DUMMYFUNCTION("""COMPUTED_VALUE"""),"Slot")</f>
        <v>Slot</v>
      </c>
      <c r="L617" s="5" t="str">
        <f ca="1">IFERROR(__xludf.DUMMYFUNCTION("""COMPUTED_VALUE"""),"Master")</f>
        <v>Master</v>
      </c>
      <c r="M617" s="5"/>
      <c r="N617" s="7" t="str">
        <f ca="1">IFERROR(__xludf.DUMMYFUNCTION("""COMPUTED_VALUE"""),"https://docs.google.com/document/d/1V_pbVs9VNOGhh-Bmmu7VWHYfyDU_sZV-/edit?usp=drive_link&amp;ouid=107596163405648766688&amp;rtpof=true&amp;sd=true")</f>
        <v>https://docs.google.com/document/d/1V_pbVs9VNOGhh-Bmmu7VWHYfyDU_sZV-/edit?usp=drive_link&amp;ouid=107596163405648766688&amp;rtpof=true&amp;sd=true</v>
      </c>
      <c r="O617" s="7" t="str">
        <f ca="1">IFERROR(__xludf.DUMMYFUNCTION("""COMPUTED_VALUE"""),"https://docs.google.com/document/d/1xf3OyPgMTEXRmzWDnN_TPxxIpINZ1-hf/edit?usp=drive_link&amp;ouid=107596163405648766688&amp;rtpof=true&amp;sd=true")</f>
        <v>https://docs.google.com/document/d/1xf3OyPgMTEXRmzWDnN_TPxxIpINZ1-hf/edit?usp=drive_link&amp;ouid=107596163405648766688&amp;rtpof=true&amp;sd=true</v>
      </c>
      <c r="P617" s="14">
        <f ca="1">IFERROR(__xludf.DUMMYFUNCTION("""COMPUTED_VALUE"""),9.5)</f>
        <v>9.5</v>
      </c>
      <c r="Q617" s="15">
        <f ca="1">IFERROR(__xludf.DUMMYFUNCTION("""COMPUTED_VALUE"""),46041)</f>
        <v>46041</v>
      </c>
      <c r="R617" s="15">
        <f ca="1">IFERROR(__xludf.DUMMYFUNCTION("""COMPUTED_VALUE"""),46042)</f>
        <v>46042</v>
      </c>
      <c r="S617" s="15">
        <f ca="1">IFERROR(__xludf.DUMMYFUNCTION("""COMPUTED_VALUE"""),46049)</f>
        <v>46049</v>
      </c>
      <c r="T617" s="5" t="b">
        <f ca="1">IFERROR(__xludf.DUMMYFUNCTION("""COMPUTED_VALUE"""),TRUE)</f>
        <v>1</v>
      </c>
      <c r="U617" s="5" t="str">
        <f ca="1">IFERROR(__xludf.DUMMYFUNCTION("""COMPUTED_VALUE"""),"5x3")</f>
        <v>5x3</v>
      </c>
      <c r="V617" s="5">
        <f ca="1">IFERROR(__xludf.DUMMYFUNCTION("""COMPUTED_VALUE"""),5)</f>
        <v>5</v>
      </c>
      <c r="W617" s="5">
        <f ca="1">IFERROR(__xludf.DUMMYFUNCTION("""COMPUTED_VALUE"""),5)</f>
        <v>5</v>
      </c>
      <c r="X617" s="5">
        <f ca="1">IFERROR(__xludf.DUMMYFUNCTION("""COMPUTED_VALUE"""),96.03)</f>
        <v>96.03</v>
      </c>
      <c r="Y617" s="5" t="str">
        <f ca="1">IFERROR(__xludf.DUMMYFUNCTION("""COMPUTED_VALUE"""),"Medium")</f>
        <v>Medium</v>
      </c>
      <c r="Z617" s="5">
        <f ca="1">IFERROR(__xludf.DUMMYFUNCTION("""COMPUTED_VALUE"""),14.62)</f>
        <v>14.62</v>
      </c>
      <c r="AA617" s="5">
        <f ca="1">IFERROR(__xludf.DUMMYFUNCTION("""COMPUTED_VALUE"""),2624)</f>
        <v>2624</v>
      </c>
      <c r="AB617" s="5"/>
      <c r="AC617" s="5" t="str">
        <f ca="1">IFERROR(__xludf.DUMMYFUNCTION("""COMPUTED_VALUE"""),"Wild Multiplier, Expanding Wild")</f>
        <v>Wild Multiplier, Expanding Wild</v>
      </c>
      <c r="AD617" s="5" t="str">
        <f ca="1">IFERROR(__xludf.DUMMYFUNCTION("""COMPUTED_VALUE"""),"0.05/50")</f>
        <v>0.05/50</v>
      </c>
      <c r="AE617" s="5"/>
      <c r="AF617" s="5"/>
      <c r="AG617" s="10">
        <f ca="1">IFERROR(__xludf.DUMMYFUNCTION("""COMPUTED_VALUE"""),46212.5628819444)</f>
        <v>46212.562881944403</v>
      </c>
      <c r="AH617" s="5" t="str">
        <f ca="1">IFERROR(__xludf.DUMMYFUNCTION("""COMPUTED_VALUE"""),"selena.mihajlovic@fazi.rs")</f>
        <v>selena.mihajlovic@fazi.rs</v>
      </c>
      <c r="AI617" s="5"/>
      <c r="AJ617" s="5"/>
      <c r="AK617" s="5">
        <f ca="1">IFERROR(__xludf.DUMMYFUNCTION("""COMPUTED_VALUE"""),1)</f>
        <v>1</v>
      </c>
      <c r="AL617" s="5" t="str">
        <f ca="1">IFERROR(__xludf.DUMMYFUNCTION("""COMPUTED_VALUE"""),"No")</f>
        <v>No</v>
      </c>
      <c r="AM617" s="5" t="str">
        <f ca="1">IFERROR(__xludf.DUMMYFUNCTION("""COMPUTED_VALUE"""),"No")</f>
        <v>No</v>
      </c>
      <c r="AN617" s="7" t="str">
        <f ca="1">IFERROR(__xludf.DUMMYFUNCTION("""COMPUTED_VALUE"""),"https://static.redstone.rs/games/cupids-wild-hearts/")</f>
        <v>https://static.redstone.rs/games/cupids-wild-hearts/</v>
      </c>
      <c r="AO617" s="5" t="str">
        <f ca="1">IFERROR(__xludf.DUMMYFUNCTION("""COMPUTED_VALUE"""),"No")</f>
        <v>No</v>
      </c>
      <c r="AP617" s="5" t="str">
        <f ca="1">IFERROR(__xludf.DUMMYFUNCTION("""COMPUTED_VALUE"""),"No")</f>
        <v>No</v>
      </c>
      <c r="AQ617" s="5" t="b">
        <f ca="1">IFERROR(__xludf.DUMMYFUNCTION("""COMPUTED_VALUE"""),TRUE)</f>
        <v>1</v>
      </c>
      <c r="AR617" s="5"/>
      <c r="AS617" s="5" t="str">
        <f ca="1">IFERROR(__xludf.DUMMYFUNCTION("""COMPUTED_VALUE"""),"Let Cupid guide your spin in Cupid's Wild Heart. Follow the arrow and see where the Wild appears! ")</f>
        <v xml:space="preserve">Let Cupid guide your spin in Cupid's Wild Heart. Follow the arrow and see where the Wild appears! </v>
      </c>
      <c r="AT617" s="5"/>
      <c r="AU617" s="5" t="str">
        <f ca="1">IFERROR(__xludf.DUMMYFUNCTION("""COMPUTED_VALUE"""),"Redstone")</f>
        <v>Redstone</v>
      </c>
      <c r="AV617" s="5"/>
      <c r="AW617" s="5"/>
      <c r="AX617" s="15">
        <f ca="1">IFERROR(__xludf.DUMMYFUNCTION("""COMPUTED_VALUE"""),46035)</f>
        <v>46035</v>
      </c>
      <c r="AY617" s="5"/>
      <c r="AZ617" s="5"/>
      <c r="BA617" s="5"/>
      <c r="BB617" s="5" t="b">
        <f ca="1">IFERROR(__xludf.DUMMYFUNCTION("""COMPUTED_VALUE"""),TRUE)</f>
        <v>1</v>
      </c>
      <c r="BC617" s="5" t="str">
        <f ca="1">IFERROR(__xludf.DUMMYFUNCTION("""COMPUTED_VALUE"""),"Redstone")</f>
        <v>Redstone</v>
      </c>
      <c r="BD617" s="7" t="str">
        <f ca="1">IFERROR(__xludf.DUMMYFUNCTION("""COMPUTED_VALUE"""),"https://static.redstone.rs/games/cupids-wild-hearts/")</f>
        <v>https://static.redstone.rs/games/cupids-wild-hearts/</v>
      </c>
      <c r="BE617" s="5" t="b">
        <f ca="1">IFERROR(__xludf.DUMMYFUNCTION("""COMPUTED_VALUE"""),TRUE)</f>
        <v>1</v>
      </c>
    </row>
    <row r="618" spans="1:57" x14ac:dyDescent="0.25">
      <c r="A618" s="5">
        <f ca="1">IFERROR(__xludf.DUMMYFUNCTION("""COMPUTED_VALUE"""),653)</f>
        <v>653</v>
      </c>
      <c r="B618" s="5">
        <f ca="1">IFERROR(__xludf.DUMMYFUNCTION("""COMPUTED_VALUE"""),180055)</f>
        <v>180055</v>
      </c>
      <c r="C618" s="5" t="str">
        <f ca="1">IFERROR(__xludf.DUMMYFUNCTION("""COMPUTED_VALUE"""),"Redstone")</f>
        <v>Redstone</v>
      </c>
      <c r="D618" s="5" t="str">
        <f ca="1">IFERROR(__xludf.DUMMYFUNCTION("""COMPUTED_VALUE"""),"Double Wild Diamond")</f>
        <v>Double Wild Diamond</v>
      </c>
      <c r="E618" s="5" t="str">
        <f ca="1">IFERROR(__xludf.DUMMYFUNCTION("""COMPUTED_VALUE"""),"Redstone")</f>
        <v>Redstone</v>
      </c>
      <c r="F618" s="5" t="str">
        <f ca="1">IFERROR(__xludf.DUMMYFUNCTION("""COMPUTED_VALUE"""),"RedstoneDoubleWildDiamond")</f>
        <v>RedstoneDoubleWildDiamond</v>
      </c>
      <c r="G618" s="5" t="str">
        <f ca="1">IFERROR(__xludf.DUMMYFUNCTION("""COMPUTED_VALUE"""),"Live")</f>
        <v>Live</v>
      </c>
      <c r="H618" s="5"/>
      <c r="I618" s="5" t="str">
        <f ca="1">IFERROR(__xludf.DUMMYFUNCTION("""COMPUTED_VALUE"""),"Redstone")</f>
        <v>Redstone</v>
      </c>
      <c r="J618" s="5" t="str">
        <f ca="1">IFERROR(__xludf.DUMMYFUNCTION("""COMPUTED_VALUE"""),"JSON")</f>
        <v>JSON</v>
      </c>
      <c r="K618" s="5" t="str">
        <f ca="1">IFERROR(__xludf.DUMMYFUNCTION("""COMPUTED_VALUE"""),"Slot")</f>
        <v>Slot</v>
      </c>
      <c r="L618" s="5" t="str">
        <f ca="1">IFERROR(__xludf.DUMMYFUNCTION("""COMPUTED_VALUE""")," Reskin")</f>
        <v xml:space="preserve"> Reskin</v>
      </c>
      <c r="M618" s="5" t="str">
        <f ca="1">IFERROR(__xludf.DUMMYFUNCTION("""COMPUTED_VALUE"""),"Chilli Double")</f>
        <v>Chilli Double</v>
      </c>
      <c r="N618" s="7" t="str">
        <f ca="1">IFERROR(__xludf.DUMMYFUNCTION("""COMPUTED_VALUE"""),"https://docs.google.com/document/d/1jC0UVytQOVQFSLVZ3aljFKvtQvdFaFOY/edit?usp=drive_link&amp;ouid=107596163405648766688&amp;rtpof=true&amp;sd=true")</f>
        <v>https://docs.google.com/document/d/1jC0UVytQOVQFSLVZ3aljFKvtQvdFaFOY/edit?usp=drive_link&amp;ouid=107596163405648766688&amp;rtpof=true&amp;sd=true</v>
      </c>
      <c r="O618" s="7" t="str">
        <f ca="1">IFERROR(__xludf.DUMMYFUNCTION("""COMPUTED_VALUE"""),"https://docs.google.com/document/d/1VLSxKu5PELHE5vo69Dem-Dw5_wwquqfd/edit?usp=drive_link&amp;ouid=107596163405648766688&amp;rtpof=true&amp;sd=true")</f>
        <v>https://docs.google.com/document/d/1VLSxKu5PELHE5vo69Dem-Dw5_wwquqfd/edit?usp=drive_link&amp;ouid=107596163405648766688&amp;rtpof=true&amp;sd=true</v>
      </c>
      <c r="P618" s="14">
        <f ca="1">IFERROR(__xludf.DUMMYFUNCTION("""COMPUTED_VALUE"""),5.1)</f>
        <v>5.0999999999999996</v>
      </c>
      <c r="Q618" s="15">
        <f ca="1">IFERROR(__xludf.DUMMYFUNCTION("""COMPUTED_VALUE"""),45999)</f>
        <v>45999</v>
      </c>
      <c r="R618" s="15">
        <f ca="1">IFERROR(__xludf.DUMMYFUNCTION("""COMPUTED_VALUE"""),46051)</f>
        <v>46051</v>
      </c>
      <c r="S618" s="15">
        <f ca="1">IFERROR(__xludf.DUMMYFUNCTION("""COMPUTED_VALUE"""),46058)</f>
        <v>46058</v>
      </c>
      <c r="T618" s="5" t="b">
        <f ca="1">IFERROR(__xludf.DUMMYFUNCTION("""COMPUTED_VALUE"""),TRUE)</f>
        <v>1</v>
      </c>
      <c r="U618" s="5" t="str">
        <f ca="1">IFERROR(__xludf.DUMMYFUNCTION("""COMPUTED_VALUE"""),"5x3")</f>
        <v>5x3</v>
      </c>
      <c r="V618" s="5">
        <f ca="1">IFERROR(__xludf.DUMMYFUNCTION("""COMPUTED_VALUE"""),5)</f>
        <v>5</v>
      </c>
      <c r="W618" s="5">
        <f ca="1">IFERROR(__xludf.DUMMYFUNCTION("""COMPUTED_VALUE"""),5)</f>
        <v>5</v>
      </c>
      <c r="X618" s="5">
        <f ca="1">IFERROR(__xludf.DUMMYFUNCTION("""COMPUTED_VALUE"""),96.45)</f>
        <v>96.45</v>
      </c>
      <c r="Y618" s="5" t="str">
        <f ca="1">IFERROR(__xludf.DUMMYFUNCTION("""COMPUTED_VALUE"""),"Medium")</f>
        <v>Medium</v>
      </c>
      <c r="Z618" s="5">
        <f ca="1">IFERROR(__xludf.DUMMYFUNCTION("""COMPUTED_VALUE"""),14.23)</f>
        <v>14.23</v>
      </c>
      <c r="AA618" s="5">
        <f ca="1">IFERROR(__xludf.DUMMYFUNCTION("""COMPUTED_VALUE"""),2624)</f>
        <v>2624</v>
      </c>
      <c r="AB618" s="5"/>
      <c r="AC618" s="5" t="str">
        <f ca="1">IFERROR(__xludf.DUMMYFUNCTION("""COMPUTED_VALUE"""),"Scatter, Expanding Wild, Wild Multiplier")</f>
        <v>Scatter, Expanding Wild, Wild Multiplier</v>
      </c>
      <c r="AD618" s="5" t="str">
        <f ca="1">IFERROR(__xludf.DUMMYFUNCTION("""COMPUTED_VALUE"""),"0.05/100")</f>
        <v>0.05/100</v>
      </c>
      <c r="AE618" s="5"/>
      <c r="AF618" s="5"/>
      <c r="AG618" s="10">
        <f ca="1">IFERROR(__xludf.DUMMYFUNCTION("""COMPUTED_VALUE"""),46191.5303125)</f>
        <v>46191.530312499999</v>
      </c>
      <c r="AH618" s="5"/>
      <c r="AI618" s="5"/>
      <c r="AJ618" s="5"/>
      <c r="AK618" s="5">
        <f ca="1">IFERROR(__xludf.DUMMYFUNCTION("""COMPUTED_VALUE"""),1)</f>
        <v>1</v>
      </c>
      <c r="AL618" s="5" t="str">
        <f ca="1">IFERROR(__xludf.DUMMYFUNCTION("""COMPUTED_VALUE"""),"No")</f>
        <v>No</v>
      </c>
      <c r="AM618" s="5" t="str">
        <f ca="1">IFERROR(__xludf.DUMMYFUNCTION("""COMPUTED_VALUE"""),"No")</f>
        <v>No</v>
      </c>
      <c r="AN618" s="7" t="str">
        <f ca="1">IFERROR(__xludf.DUMMYFUNCTION("""COMPUTED_VALUE"""),"https://static.redstone.rs/games/double-wild-diamond/")</f>
        <v>https://static.redstone.rs/games/double-wild-diamond/</v>
      </c>
      <c r="AO618" s="5" t="str">
        <f ca="1">IFERROR(__xludf.DUMMYFUNCTION("""COMPUTED_VALUE"""),"No")</f>
        <v>No</v>
      </c>
      <c r="AP618" s="5" t="str">
        <f ca="1">IFERROR(__xludf.DUMMYFUNCTION("""COMPUTED_VALUE"""),"No")</f>
        <v>No</v>
      </c>
      <c r="AQ618" s="5" t="b">
        <f ca="1">IFERROR(__xludf.DUMMYFUNCTION("""COMPUTED_VALUE"""),TRUE)</f>
        <v>1</v>
      </c>
      <c r="AR618" s="5"/>
      <c r="AS618" s="5" t="str">
        <f ca="1">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AT618" s="5"/>
      <c r="AU618" s="5" t="str">
        <f ca="1">IFERROR(__xludf.DUMMYFUNCTION("""COMPUTED_VALUE"""),"Redstone")</f>
        <v>Redstone</v>
      </c>
      <c r="AV618" s="5"/>
      <c r="AW618" s="5"/>
      <c r="AX618" s="15">
        <f ca="1">IFERROR(__xludf.DUMMYFUNCTION("""COMPUTED_VALUE"""),45993)</f>
        <v>45993</v>
      </c>
      <c r="AY618" s="5"/>
      <c r="AZ618" s="5"/>
      <c r="BA618" s="5"/>
      <c r="BB618" s="5" t="b">
        <f ca="1">IFERROR(__xludf.DUMMYFUNCTION("""COMPUTED_VALUE"""),TRUE)</f>
        <v>1</v>
      </c>
      <c r="BC618" s="5" t="str">
        <f ca="1">IFERROR(__xludf.DUMMYFUNCTION("""COMPUTED_VALUE"""),"Redstone")</f>
        <v>Redstone</v>
      </c>
      <c r="BD618" s="7" t="str">
        <f ca="1">IFERROR(__xludf.DUMMYFUNCTION("""COMPUTED_VALUE"""),"https://static.redstone.rs/games/double-wild-diamond/")</f>
        <v>https://static.redstone.rs/games/double-wild-diamond/</v>
      </c>
      <c r="BE618" s="5" t="b">
        <f ca="1">IFERROR(__xludf.DUMMYFUNCTION("""COMPUTED_VALUE"""),TRUE)</f>
        <v>1</v>
      </c>
    </row>
    <row r="619" spans="1:57" x14ac:dyDescent="0.25">
      <c r="A619" s="5">
        <f ca="1">IFERROR(__xludf.DUMMYFUNCTION("""COMPUTED_VALUE"""),654)</f>
        <v>654</v>
      </c>
      <c r="B619" s="5">
        <f ca="1">IFERROR(__xludf.DUMMYFUNCTION("""COMPUTED_VALUE"""),528)</f>
        <v>528</v>
      </c>
      <c r="C619" s="5" t="str">
        <f ca="1">IFERROR(__xludf.DUMMYFUNCTION("""COMPUTED_VALUE"""),"Playnet")</f>
        <v>Playnet</v>
      </c>
      <c r="D619" s="5" t="str">
        <f ca="1">IFERROR(__xludf.DUMMYFUNCTION("""COMPUTED_VALUE"""),"Diamond Heart 10")</f>
        <v>Diamond Heart 10</v>
      </c>
      <c r="E619" s="5" t="str">
        <f ca="1">IFERROR(__xludf.DUMMYFUNCTION("""COMPUTED_VALUE"""),"Sertifikacioni")</f>
        <v>Sertifikacioni</v>
      </c>
      <c r="F619" s="5" t="str">
        <f ca="1">IFERROR(__xludf.DUMMYFUNCTION("""COMPUTED_VALUE"""),"PlayNetDiamondHeart10")</f>
        <v>PlayNetDiamondHeart10</v>
      </c>
      <c r="G619" s="5" t="str">
        <f ca="1">IFERROR(__xludf.DUMMYFUNCTION("""COMPUTED_VALUE"""),"Live")</f>
        <v>Live</v>
      </c>
      <c r="H619" s="5"/>
      <c r="I619" s="5"/>
      <c r="J619" s="5" t="str">
        <f ca="1">IFERROR(__xludf.DUMMYFUNCTION("""COMPUTED_VALUE"""),"JSON")</f>
        <v>JSON</v>
      </c>
      <c r="K619" s="5" t="str">
        <f ca="1">IFERROR(__xludf.DUMMYFUNCTION("""COMPUTED_VALUE"""),"Slot")</f>
        <v>Slot</v>
      </c>
      <c r="L619" s="5" t="str">
        <f ca="1">IFERROR(__xludf.DUMMYFUNCTION("""COMPUTED_VALUE""")," Clone")</f>
        <v xml:space="preserve"> Clone</v>
      </c>
      <c r="M619" s="5" t="str">
        <f ca="1">IFERROR(__xludf.DUMMYFUNCTION("""COMPUTED_VALUE"""),"Golden Crown")</f>
        <v>Golden Crown</v>
      </c>
      <c r="N619" s="5"/>
      <c r="O619" s="5"/>
      <c r="P619" s="14">
        <f ca="1">IFERROR(__xludf.DUMMYFUNCTION("""COMPUTED_VALUE"""),15)</f>
        <v>15</v>
      </c>
      <c r="Q619" s="15">
        <f ca="1">IFERROR(__xludf.DUMMYFUNCTION("""COMPUTED_VALUE"""),46013)</f>
        <v>46013</v>
      </c>
      <c r="R619" s="15">
        <f ca="1">IFERROR(__xludf.DUMMYFUNCTION("""COMPUTED_VALUE"""),46035)</f>
        <v>46035</v>
      </c>
      <c r="S619" s="15">
        <f ca="1">IFERROR(__xludf.DUMMYFUNCTION("""COMPUTED_VALUE"""),46042)</f>
        <v>46042</v>
      </c>
      <c r="T619" s="5" t="b">
        <f ca="1">IFERROR(__xludf.DUMMYFUNCTION("""COMPUTED_VALUE"""),TRUE)</f>
        <v>1</v>
      </c>
      <c r="U619" s="5" t="str">
        <f ca="1">IFERROR(__xludf.DUMMYFUNCTION("""COMPUTED_VALUE"""),"5x3")</f>
        <v>5x3</v>
      </c>
      <c r="V619" s="5">
        <f ca="1">IFERROR(__xludf.DUMMYFUNCTION("""COMPUTED_VALUE"""),10)</f>
        <v>10</v>
      </c>
      <c r="W619" s="5">
        <f ca="1">IFERROR(__xludf.DUMMYFUNCTION("""COMPUTED_VALUE"""),10)</f>
        <v>10</v>
      </c>
      <c r="X619" s="5">
        <f ca="1">IFERROR(__xludf.DUMMYFUNCTION("""COMPUTED_VALUE"""),95.962)</f>
        <v>95.962000000000003</v>
      </c>
      <c r="Y619" s="5" t="str">
        <f ca="1">IFERROR(__xludf.DUMMYFUNCTION("""COMPUTED_VALUE"""),"Medium")</f>
        <v>Medium</v>
      </c>
      <c r="Z619" s="5">
        <f ca="1">IFERROR(__xludf.DUMMYFUNCTION("""COMPUTED_VALUE"""),14.634)</f>
        <v>14.634</v>
      </c>
      <c r="AA619" s="5">
        <f ca="1">IFERROR(__xludf.DUMMYFUNCTION("""COMPUTED_VALUE"""),1538)</f>
        <v>1538</v>
      </c>
      <c r="AB619" s="5"/>
      <c r="AC619" s="5" t="str">
        <f ca="1">IFERROR(__xludf.DUMMYFUNCTION("""COMPUTED_VALUE"""),"Expanding Wild, Scatter")</f>
        <v>Expanding Wild, Scatter</v>
      </c>
      <c r="AD619" s="5" t="str">
        <f ca="1">IFERROR(__xludf.DUMMYFUNCTION("""COMPUTED_VALUE"""),"0.1/40")</f>
        <v>0.1/40</v>
      </c>
      <c r="AE619" s="5"/>
      <c r="AF619" s="5"/>
      <c r="AG619" s="10">
        <f ca="1">IFERROR(__xludf.DUMMYFUNCTION("""COMPUTED_VALUE"""),46220.5065856481)</f>
        <v>46220.506585648101</v>
      </c>
      <c r="AH619" s="5" t="str">
        <f ca="1">IFERROR(__xludf.DUMMYFUNCTION("""COMPUTED_VALUE"""),"selena.mihajlovic@fazi.rs")</f>
        <v>selena.mihajlovic@fazi.rs</v>
      </c>
      <c r="AI619" s="15">
        <f ca="1">IFERROR(__xludf.DUMMYFUNCTION("""COMPUTED_VALUE"""),46023)</f>
        <v>46023</v>
      </c>
      <c r="AJ619" s="5" t="str">
        <f ca="1">IFERROR(__xludf.DUMMYFUNCTION("""COMPUTED_VALUE"""),"KoralPlay ( Betconstruct integracija) ")</f>
        <v xml:space="preserve">KoralPlay ( Betconstruct integracija) </v>
      </c>
      <c r="AK619" s="5"/>
      <c r="AL619" s="5" t="str">
        <f ca="1">IFERROR(__xludf.DUMMYFUNCTION("""COMPUTED_VALUE"""),"No")</f>
        <v>No</v>
      </c>
      <c r="AM619" s="5" t="str">
        <f ca="1">IFERROR(__xludf.DUMMYFUNCTION("""COMPUTED_VALUE"""),"No")</f>
        <v>No</v>
      </c>
      <c r="AN619" s="7" t="str">
        <f ca="1">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AO619" s="5" t="str">
        <f ca="1">IFERROR(__xludf.DUMMYFUNCTION("""COMPUTED_VALUE"""),"No")</f>
        <v>No</v>
      </c>
      <c r="AP619" s="5" t="str">
        <f ca="1">IFERROR(__xludf.DUMMYFUNCTION("""COMPUTED_VALUE"""),"No")</f>
        <v>No</v>
      </c>
      <c r="AQ619" s="5" t="b">
        <f ca="1">IFERROR(__xludf.DUMMYFUNCTION("""COMPUTED_VALUE"""),TRUE)</f>
        <v>1</v>
      </c>
      <c r="AR619" s="5"/>
      <c r="AS619" s="5" t="str">
        <f ca="1">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619" s="5"/>
      <c r="AU619" s="5" t="str">
        <f ca="1">IFERROR(__xludf.DUMMYFUNCTION("""COMPUTED_VALUE"""),"Fazi")</f>
        <v>Fazi</v>
      </c>
      <c r="AV619" s="5"/>
      <c r="AW619" s="5"/>
      <c r="AX619" s="15">
        <f ca="1">IFERROR(__xludf.DUMMYFUNCTION("""COMPUTED_VALUE"""),46007)</f>
        <v>46007</v>
      </c>
      <c r="AY619" s="5"/>
      <c r="AZ619" s="5"/>
      <c r="BA619" s="5"/>
      <c r="BB619" s="5" t="b">
        <f ca="1">IFERROR(__xludf.DUMMYFUNCTION("""COMPUTED_VALUE"""),TRUE)</f>
        <v>1</v>
      </c>
      <c r="BC619" s="5" t="str">
        <f ca="1">IFERROR(__xludf.DUMMYFUNCTION("""COMPUTED_VALUE"""),"Playnet")</f>
        <v>Playnet</v>
      </c>
      <c r="BD619" s="7" t="str">
        <f ca="1">IFERROR(__xludf.DUMMYFUNCTION("""COMPUTED_VALUE"""),"https://gameserver-store-client-area.orbionlimited.com/Home/IntegrationGameLaunch/client-area?moneyType=0&amp;gameName=PlayNetDiamondHeart10&amp;platform=desktop&amp;languageCode=eng&amp;currency=EUR")</f>
        <v>https://gameserver-store-client-area.orbionlimited.com/Home/IntegrationGameLaunch/client-area?moneyType=0&amp;gameName=PlayNetDiamondHeart10&amp;platform=desktop&amp;languageCode=eng&amp;currency=EUR</v>
      </c>
      <c r="BE619" s="5" t="b">
        <f ca="1">IFERROR(__xludf.DUMMYFUNCTION("""COMPUTED_VALUE"""),TRUE)</f>
        <v>1</v>
      </c>
    </row>
    <row r="620" spans="1:57" x14ac:dyDescent="0.25">
      <c r="A620" s="5">
        <f ca="1">IFERROR(__xludf.DUMMYFUNCTION("""COMPUTED_VALUE"""),655)</f>
        <v>655</v>
      </c>
      <c r="B620" s="5">
        <f ca="1">IFERROR(__xludf.DUMMYFUNCTION("""COMPUTED_VALUE"""),529)</f>
        <v>529</v>
      </c>
      <c r="C620" s="5" t="str">
        <f ca="1">IFERROR(__xludf.DUMMYFUNCTION("""COMPUTED_VALUE"""),"Playnet")</f>
        <v>Playnet</v>
      </c>
      <c r="D620" s="5" t="str">
        <f ca="1">IFERROR(__xludf.DUMMYFUNCTION("""COMPUTED_VALUE"""),"Leprechaun's Fortune Clover")</f>
        <v>Leprechaun's Fortune Clover</v>
      </c>
      <c r="E620" s="5" t="str">
        <f ca="1">IFERROR(__xludf.DUMMYFUNCTION("""COMPUTED_VALUE"""),"Sertifikacioni")</f>
        <v>Sertifikacioni</v>
      </c>
      <c r="F620" s="5" t="str">
        <f ca="1">IFERROR(__xludf.DUMMYFUNCTION("""COMPUTED_VALUE"""),"PlayNetLeprechaunsFortuneClover")</f>
        <v>PlayNetLeprechaunsFortuneClover</v>
      </c>
      <c r="G620" s="5" t="str">
        <f ca="1">IFERROR(__xludf.DUMMYFUNCTION("""COMPUTED_VALUE"""),"Live")</f>
        <v>Live</v>
      </c>
      <c r="H620" s="5"/>
      <c r="I620" s="5"/>
      <c r="J620" s="5" t="str">
        <f ca="1">IFERROR(__xludf.DUMMYFUNCTION("""COMPUTED_VALUE"""),"JSON")</f>
        <v>JSON</v>
      </c>
      <c r="K620" s="5" t="str">
        <f ca="1">IFERROR(__xludf.DUMMYFUNCTION("""COMPUTED_VALUE"""),"Slot")</f>
        <v>Slot</v>
      </c>
      <c r="L620" s="5" t="str">
        <f ca="1">IFERROR(__xludf.DUMMYFUNCTION("""COMPUTED_VALUE""")," Clone")</f>
        <v xml:space="preserve"> Clone</v>
      </c>
      <c r="M620" s="5" t="str">
        <f ca="1">IFERROR(__xludf.DUMMYFUNCTION("""COMPUTED_VALUE"""),"Fortune Clover x2")</f>
        <v>Fortune Clover x2</v>
      </c>
      <c r="N620" s="5"/>
      <c r="O620" s="5"/>
      <c r="P620" s="14">
        <f ca="1">IFERROR(__xludf.DUMMYFUNCTION("""COMPUTED_VALUE"""),15)</f>
        <v>15</v>
      </c>
      <c r="Q620" s="15">
        <f ca="1">IFERROR(__xludf.DUMMYFUNCTION("""COMPUTED_VALUE"""),46041)</f>
        <v>46041</v>
      </c>
      <c r="R620" s="15">
        <f ca="1">IFERROR(__xludf.DUMMYFUNCTION("""COMPUTED_VALUE"""),46050)</f>
        <v>46050</v>
      </c>
      <c r="S620" s="15">
        <f ca="1">IFERROR(__xludf.DUMMYFUNCTION("""COMPUTED_VALUE"""),46057)</f>
        <v>46057</v>
      </c>
      <c r="T620" s="5" t="b">
        <f ca="1">IFERROR(__xludf.DUMMYFUNCTION("""COMPUTED_VALUE"""),TRUE)</f>
        <v>1</v>
      </c>
      <c r="U620" s="5" t="str">
        <f ca="1">IFERROR(__xludf.DUMMYFUNCTION("""COMPUTED_VALUE"""),"5x3")</f>
        <v>5x3</v>
      </c>
      <c r="V620" s="5">
        <f ca="1">IFERROR(__xludf.DUMMYFUNCTION("""COMPUTED_VALUE"""),5)</f>
        <v>5</v>
      </c>
      <c r="W620" s="5">
        <f ca="1">IFERROR(__xludf.DUMMYFUNCTION("""COMPUTED_VALUE"""),5)</f>
        <v>5</v>
      </c>
      <c r="X620" s="5">
        <f ca="1">IFERROR(__xludf.DUMMYFUNCTION("""COMPUTED_VALUE"""),96.453)</f>
        <v>96.453000000000003</v>
      </c>
      <c r="Y620" s="5" t="str">
        <f ca="1">IFERROR(__xludf.DUMMYFUNCTION("""COMPUTED_VALUE"""),"Medium")</f>
        <v>Medium</v>
      </c>
      <c r="Z620" s="5">
        <f ca="1">IFERROR(__xludf.DUMMYFUNCTION("""COMPUTED_VALUE"""),14.234)</f>
        <v>14.234</v>
      </c>
      <c r="AA620" s="5">
        <f ca="1">IFERROR(__xludf.DUMMYFUNCTION("""COMPUTED_VALUE"""),2624)</f>
        <v>2624</v>
      </c>
      <c r="AB620" s="5"/>
      <c r="AC620" s="5" t="str">
        <f ca="1">IFERROR(__xludf.DUMMYFUNCTION("""COMPUTED_VALUE"""),"Scatter, Expanding Wild, Wild Multiplier")</f>
        <v>Scatter, Expanding Wild, Wild Multiplier</v>
      </c>
      <c r="AD620" s="5" t="str">
        <f ca="1">IFERROR(__xludf.DUMMYFUNCTION("""COMPUTED_VALUE"""),"0.05/30")</f>
        <v>0.05/30</v>
      </c>
      <c r="AE620" s="5"/>
      <c r="AF620" s="5"/>
      <c r="AG620" s="10">
        <f ca="1">IFERROR(__xludf.DUMMYFUNCTION("""COMPUTED_VALUE"""),46220.5067708333)</f>
        <v>46220.506770833301</v>
      </c>
      <c r="AH620" s="5" t="str">
        <f ca="1">IFERROR(__xludf.DUMMYFUNCTION("""COMPUTED_VALUE"""),"selena.mihajlovic@fazi.rs")</f>
        <v>selena.mihajlovic@fazi.rs</v>
      </c>
      <c r="AI620" s="5"/>
      <c r="AJ620" s="5"/>
      <c r="AK620" s="5"/>
      <c r="AL620" s="5" t="str">
        <f ca="1">IFERROR(__xludf.DUMMYFUNCTION("""COMPUTED_VALUE"""),"No")</f>
        <v>No</v>
      </c>
      <c r="AM620" s="5" t="str">
        <f ca="1">IFERROR(__xludf.DUMMYFUNCTION("""COMPUTED_VALUE"""),"No")</f>
        <v>No</v>
      </c>
      <c r="AN620" s="7" t="str">
        <f ca="1">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AO620" s="5" t="str">
        <f ca="1">IFERROR(__xludf.DUMMYFUNCTION("""COMPUTED_VALUE"""),"No")</f>
        <v>No</v>
      </c>
      <c r="AP620" s="5" t="str">
        <f ca="1">IFERROR(__xludf.DUMMYFUNCTION("""COMPUTED_VALUE"""),"No")</f>
        <v>No</v>
      </c>
      <c r="AQ620" s="5" t="b">
        <f ca="1">IFERROR(__xludf.DUMMYFUNCTION("""COMPUTED_VALUE"""),TRUE)</f>
        <v>1</v>
      </c>
      <c r="AR620" s="5"/>
      <c r="AS620" s="5" t="str">
        <f ca="1">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AT620" s="5"/>
      <c r="AU620" s="5" t="str">
        <f ca="1">IFERROR(__xludf.DUMMYFUNCTION("""COMPUTED_VALUE"""),"Fazi")</f>
        <v>Fazi</v>
      </c>
      <c r="AV620" s="5"/>
      <c r="AW620" s="5"/>
      <c r="AX620" s="15">
        <f ca="1">IFERROR(__xludf.DUMMYFUNCTION("""COMPUTED_VALUE"""),46035)</f>
        <v>46035</v>
      </c>
      <c r="AY620" s="5"/>
      <c r="AZ620" s="5"/>
      <c r="BA620" s="5"/>
      <c r="BB620" s="5" t="b">
        <f ca="1">IFERROR(__xludf.DUMMYFUNCTION("""COMPUTED_VALUE"""),TRUE)</f>
        <v>1</v>
      </c>
      <c r="BC620" s="5" t="str">
        <f ca="1">IFERROR(__xludf.DUMMYFUNCTION("""COMPUTED_VALUE"""),"Playnet")</f>
        <v>Playnet</v>
      </c>
      <c r="BD620" s="7" t="str">
        <f ca="1">IFERROR(__xludf.DUMMYFUNCTION("""COMPUTED_VALUE"""),"https://gameserver-store-client-area.orbionlimited.com/Home/IntegrationGameLaunch/client-area?moneyType=0&amp;gameName=PlayNetLeprechaunsFortuneClover&amp;platform=desktop&amp;languageCode=eng&amp;currency=EUR")</f>
        <v>https://gameserver-store-client-area.orbionlimited.com/Home/IntegrationGameLaunch/client-area?moneyType=0&amp;gameName=PlayNetLeprechaunsFortuneClover&amp;platform=desktop&amp;languageCode=eng&amp;currency=EUR</v>
      </c>
      <c r="BE620" s="5" t="b">
        <f ca="1">IFERROR(__xludf.DUMMYFUNCTION("""COMPUTED_VALUE"""),TRUE)</f>
        <v>1</v>
      </c>
    </row>
    <row r="621" spans="1:57" x14ac:dyDescent="0.25">
      <c r="A621" s="5">
        <f ca="1">IFERROR(__xludf.DUMMYFUNCTION("""COMPUTED_VALUE"""),656)</f>
        <v>656</v>
      </c>
      <c r="B621" s="5">
        <f ca="1">IFERROR(__xludf.DUMMYFUNCTION("""COMPUTED_VALUE"""),530)</f>
        <v>530</v>
      </c>
      <c r="C621" s="5" t="str">
        <f ca="1">IFERROR(__xludf.DUMMYFUNCTION("""COMPUTED_VALUE"""),"Playnet")</f>
        <v>Playnet</v>
      </c>
      <c r="D621" s="5" t="str">
        <f ca="1">IFERROR(__xludf.DUMMYFUNCTION("""COMPUTED_VALUE"""),"Empress Of Flame")</f>
        <v>Empress Of Flame</v>
      </c>
      <c r="E621" s="5" t="str">
        <f ca="1">IFERROR(__xludf.DUMMYFUNCTION("""COMPUTED_VALUE"""),"Sertifikacioni")</f>
        <v>Sertifikacioni</v>
      </c>
      <c r="F621" s="5" t="str">
        <f ca="1">IFERROR(__xludf.DUMMYFUNCTION("""COMPUTED_VALUE"""),"PlayNetEmpressOfFlame")</f>
        <v>PlayNetEmpressOfFlame</v>
      </c>
      <c r="G621" s="5" t="str">
        <f ca="1">IFERROR(__xludf.DUMMYFUNCTION("""COMPUTED_VALUE"""),"Live")</f>
        <v>Live</v>
      </c>
      <c r="H621" s="5"/>
      <c r="I621" s="5"/>
      <c r="J621" s="5" t="str">
        <f ca="1">IFERROR(__xludf.DUMMYFUNCTION("""COMPUTED_VALUE"""),"JSON")</f>
        <v>JSON</v>
      </c>
      <c r="K621" s="5" t="str">
        <f ca="1">IFERROR(__xludf.DUMMYFUNCTION("""COMPUTED_VALUE"""),"Slot")</f>
        <v>Slot</v>
      </c>
      <c r="L621" s="5" t="str">
        <f ca="1">IFERROR(__xludf.DUMMYFUNCTION("""COMPUTED_VALUE""")," Clone")</f>
        <v xml:space="preserve"> Clone</v>
      </c>
      <c r="M621" s="5" t="str">
        <f ca="1">IFERROR(__xludf.DUMMYFUNCTION("""COMPUTED_VALUE"""),"Turbo Stars 10")</f>
        <v>Turbo Stars 10</v>
      </c>
      <c r="N621" s="5"/>
      <c r="O621" s="5"/>
      <c r="P621" s="14">
        <f ca="1">IFERROR(__xludf.DUMMYFUNCTION("""COMPUTED_VALUE"""),17)</f>
        <v>17</v>
      </c>
      <c r="Q621" s="15">
        <f ca="1">IFERROR(__xludf.DUMMYFUNCTION("""COMPUTED_VALUE"""),46097)</f>
        <v>46097</v>
      </c>
      <c r="R621" s="15">
        <f ca="1">IFERROR(__xludf.DUMMYFUNCTION("""COMPUTED_VALUE"""),46122)</f>
        <v>46122</v>
      </c>
      <c r="S621" s="15">
        <f ca="1">IFERROR(__xludf.DUMMYFUNCTION("""COMPUTED_VALUE"""),46129)</f>
        <v>46129</v>
      </c>
      <c r="T621" s="5" t="b">
        <f ca="1">IFERROR(__xludf.DUMMYFUNCTION("""COMPUTED_VALUE"""),TRUE)</f>
        <v>1</v>
      </c>
      <c r="U621" s="5" t="str">
        <f ca="1">IFERROR(__xludf.DUMMYFUNCTION("""COMPUTED_VALUE"""),"5x3")</f>
        <v>5x3</v>
      </c>
      <c r="V621" s="5">
        <f ca="1">IFERROR(__xludf.DUMMYFUNCTION("""COMPUTED_VALUE"""),10)</f>
        <v>10</v>
      </c>
      <c r="W621" s="5">
        <f ca="1">IFERROR(__xludf.DUMMYFUNCTION("""COMPUTED_VALUE"""),10)</f>
        <v>10</v>
      </c>
      <c r="X621" s="5">
        <f ca="1">IFERROR(__xludf.DUMMYFUNCTION("""COMPUTED_VALUE"""),95.544)</f>
        <v>95.543999999999997</v>
      </c>
      <c r="Y621" s="5" t="str">
        <f ca="1">IFERROR(__xludf.DUMMYFUNCTION("""COMPUTED_VALUE"""),"Medium")</f>
        <v>Medium</v>
      </c>
      <c r="Z621" s="5">
        <f ca="1">IFERROR(__xludf.DUMMYFUNCTION("""COMPUTED_VALUE"""),13.022)</f>
        <v>13.022</v>
      </c>
      <c r="AA621" s="5">
        <f ca="1">IFERROR(__xludf.DUMMYFUNCTION("""COMPUTED_VALUE"""),1611)</f>
        <v>1611</v>
      </c>
      <c r="AB621" s="5"/>
      <c r="AC621" s="5" t="str">
        <f ca="1">IFERROR(__xludf.DUMMYFUNCTION("""COMPUTED_VALUE"""),"Expanding Wild")</f>
        <v>Expanding Wild</v>
      </c>
      <c r="AD621" s="5" t="str">
        <f ca="1">IFERROR(__xludf.DUMMYFUNCTION("""COMPUTED_VALUE"""),"0.1/40")</f>
        <v>0.1/40</v>
      </c>
      <c r="AE621" s="5"/>
      <c r="AF621" s="5"/>
      <c r="AG621" s="10">
        <f ca="1">IFERROR(__xludf.DUMMYFUNCTION("""COMPUTED_VALUE"""),46220.5069444444)</f>
        <v>46220.506944444402</v>
      </c>
      <c r="AH621" s="5" t="str">
        <f ca="1">IFERROR(__xludf.DUMMYFUNCTION("""COMPUTED_VALUE"""),"selena.mihajlovic@fazi.rs")</f>
        <v>selena.mihajlovic@fazi.rs</v>
      </c>
      <c r="AI621" s="15">
        <f ca="1">IFERROR(__xludf.DUMMYFUNCTION("""COMPUTED_VALUE"""),46119)</f>
        <v>46119</v>
      </c>
      <c r="AJ621" s="5" t="str">
        <f ca="1">IFERROR(__xludf.DUMMYFUNCTION("""COMPUTED_VALUE"""),"07.04. Mostbet")</f>
        <v>07.04. Mostbet</v>
      </c>
      <c r="AK621" s="5"/>
      <c r="AL621" s="5" t="str">
        <f ca="1">IFERROR(__xludf.DUMMYFUNCTION("""COMPUTED_VALUE"""),"No")</f>
        <v>No</v>
      </c>
      <c r="AM621" s="5" t="str">
        <f ca="1">IFERROR(__xludf.DUMMYFUNCTION("""COMPUTED_VALUE"""),"Yes")</f>
        <v>Yes</v>
      </c>
      <c r="AN621" s="7" t="str">
        <f ca="1">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AO621" s="5" t="str">
        <f ca="1">IFERROR(__xludf.DUMMYFUNCTION("""COMPUTED_VALUE"""),"No")</f>
        <v>No</v>
      </c>
      <c r="AP621" s="5" t="str">
        <f ca="1">IFERROR(__xludf.DUMMYFUNCTION("""COMPUTED_VALUE"""),"No")</f>
        <v>No</v>
      </c>
      <c r="AQ621" s="5" t="b">
        <f ca="1">IFERROR(__xludf.DUMMYFUNCTION("""COMPUTED_VALUE"""),TRUE)</f>
        <v>1</v>
      </c>
      <c r="AR621" s="5"/>
      <c r="AS621" s="5" t="str">
        <f ca="1">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AT621" s="5"/>
      <c r="AU621" s="5" t="str">
        <f ca="1">IFERROR(__xludf.DUMMYFUNCTION("""COMPUTED_VALUE"""),"Fazi")</f>
        <v>Fazi</v>
      </c>
      <c r="AV621" s="5"/>
      <c r="AW621" s="5"/>
      <c r="AX621" s="15">
        <f ca="1">IFERROR(__xludf.DUMMYFUNCTION("""COMPUTED_VALUE"""),46091)</f>
        <v>46091</v>
      </c>
      <c r="AY621" s="5"/>
      <c r="AZ621" s="5"/>
      <c r="BA621" s="5"/>
      <c r="BB621" s="5" t="b">
        <f ca="1">IFERROR(__xludf.DUMMYFUNCTION("""COMPUTED_VALUE"""),TRUE)</f>
        <v>1</v>
      </c>
      <c r="BC621" s="5" t="str">
        <f ca="1">IFERROR(__xludf.DUMMYFUNCTION("""COMPUTED_VALUE"""),"Playnet")</f>
        <v>Playnet</v>
      </c>
      <c r="BD621" s="7" t="str">
        <f ca="1">IFERROR(__xludf.DUMMYFUNCTION("""COMPUTED_VALUE"""),"https://gameserver-store-client-area.orbionlimited.com/Home/IntegrationGameLaunch/client-area?moneyType=0&amp;gameName=PlayNetEmpressOfFlame&amp;platform=desktop&amp;languageCode=eng&amp;currency=EUR")</f>
        <v>https://gameserver-store-client-area.orbionlimited.com/Home/IntegrationGameLaunch/client-area?moneyType=0&amp;gameName=PlayNetEmpressOfFlame&amp;platform=desktop&amp;languageCode=eng&amp;currency=EUR</v>
      </c>
      <c r="BE621" s="5" t="b">
        <f ca="1">IFERROR(__xludf.DUMMYFUNCTION("""COMPUTED_VALUE"""),TRUE)</f>
        <v>1</v>
      </c>
    </row>
    <row r="622" spans="1:57" x14ac:dyDescent="0.25">
      <c r="A622" s="5">
        <f ca="1">IFERROR(__xludf.DUMMYFUNCTION("""COMPUTED_VALUE"""),657)</f>
        <v>657</v>
      </c>
      <c r="B622" s="5">
        <f ca="1">IFERROR(__xludf.DUMMYFUNCTION("""COMPUTED_VALUE"""),4000001)</f>
        <v>4000001</v>
      </c>
      <c r="C622" s="5" t="str">
        <f ca="1">IFERROR(__xludf.DUMMYFUNCTION("""COMPUTED_VALUE"""),"Tiptop")</f>
        <v>Tiptop</v>
      </c>
      <c r="D622" s="5" t="str">
        <f ca="1">IFERROR(__xludf.DUMMYFUNCTION("""COMPUTED_VALUE"""),"Three Reel Fruit Boost")</f>
        <v>Three Reel Fruit Boost</v>
      </c>
      <c r="E622" s="5" t="str">
        <f ca="1">IFERROR(__xludf.DUMMYFUNCTION("""COMPUTED_VALUE"""),"TipTop")</f>
        <v>TipTop</v>
      </c>
      <c r="F622" s="5" t="str">
        <f ca="1">IFERROR(__xludf.DUMMYFUNCTION("""COMPUTED_VALUE"""),"UnicornThreeReelFruitBoost")</f>
        <v>UnicornThreeReelFruitBoost</v>
      </c>
      <c r="G622" s="5" t="str">
        <f ca="1">IFERROR(__xludf.DUMMYFUNCTION("""COMPUTED_VALUE"""),"Live")</f>
        <v>Live</v>
      </c>
      <c r="H622" s="5"/>
      <c r="I622" s="5" t="str">
        <f ca="1">IFERROR(__xludf.DUMMYFUNCTION("""COMPUTED_VALUE"""),"TipTop")</f>
        <v>TipTop</v>
      </c>
      <c r="J622" s="5" t="str">
        <f ca="1">IFERROR(__xludf.DUMMYFUNCTION("""COMPUTED_VALUE"""),"JSON")</f>
        <v>JSON</v>
      </c>
      <c r="K622" s="5" t="str">
        <f ca="1">IFERROR(__xludf.DUMMYFUNCTION("""COMPUTED_VALUE"""),"Slot")</f>
        <v>Slot</v>
      </c>
      <c r="L622" s="5" t="str">
        <f ca="1">IFERROR(__xludf.DUMMYFUNCTION("""COMPUTED_VALUE"""),"Master")</f>
        <v>Master</v>
      </c>
      <c r="M622" s="5"/>
      <c r="N622" s="5"/>
      <c r="O622" s="5"/>
      <c r="P622" s="14">
        <f ca="1">IFERROR(__xludf.DUMMYFUNCTION("""COMPUTED_VALUE"""),11.43)</f>
        <v>11.43</v>
      </c>
      <c r="Q622" s="15">
        <f ca="1">IFERROR(__xludf.DUMMYFUNCTION("""COMPUTED_VALUE"""),46013)</f>
        <v>46013</v>
      </c>
      <c r="R622" s="15">
        <f ca="1">IFERROR(__xludf.DUMMYFUNCTION("""COMPUTED_VALUE"""),46169)</f>
        <v>46169</v>
      </c>
      <c r="S622" s="15">
        <f ca="1">IFERROR(__xludf.DUMMYFUNCTION("""COMPUTED_VALUE"""),46176)</f>
        <v>46176</v>
      </c>
      <c r="T622" s="5" t="b">
        <f ca="1">IFERROR(__xludf.DUMMYFUNCTION("""COMPUTED_VALUE"""),TRUE)</f>
        <v>1</v>
      </c>
      <c r="U622" s="5" t="str">
        <f ca="1">IFERROR(__xludf.DUMMYFUNCTION("""COMPUTED_VALUE"""),"3X3")</f>
        <v>3X3</v>
      </c>
      <c r="V622" s="5">
        <f ca="1">IFERROR(__xludf.DUMMYFUNCTION("""COMPUTED_VALUE"""),5)</f>
        <v>5</v>
      </c>
      <c r="W622" s="5">
        <f ca="1">IFERROR(__xludf.DUMMYFUNCTION("""COMPUTED_VALUE"""),5)</f>
        <v>5</v>
      </c>
      <c r="X622" s="5">
        <f ca="1">IFERROR(__xludf.DUMMYFUNCTION("""COMPUTED_VALUE"""),96)</f>
        <v>96</v>
      </c>
      <c r="Y622" s="5" t="str">
        <f ca="1">IFERROR(__xludf.DUMMYFUNCTION("""COMPUTED_VALUE"""),"Low")</f>
        <v>Low</v>
      </c>
      <c r="Z622" s="5">
        <f ca="1">IFERROR(__xludf.DUMMYFUNCTION("""COMPUTED_VALUE"""),17.07)</f>
        <v>17.07</v>
      </c>
      <c r="AA622" s="5">
        <f ca="1">IFERROR(__xludf.DUMMYFUNCTION("""COMPUTED_VALUE"""),500)</f>
        <v>500</v>
      </c>
      <c r="AB622" s="5"/>
      <c r="AC622" s="5"/>
      <c r="AD622" s="5" t="str">
        <f ca="1">IFERROR(__xludf.DUMMYFUNCTION("""COMPUTED_VALUE"""),"0.05/100")</f>
        <v>0.05/100</v>
      </c>
      <c r="AE622" s="5"/>
      <c r="AF622" s="5"/>
      <c r="AG622" s="10">
        <f ca="1">IFERROR(__xludf.DUMMYFUNCTION("""COMPUTED_VALUE"""),46197.5043287037)</f>
        <v>46197.504328703697</v>
      </c>
      <c r="AH622" s="5" t="str">
        <f ca="1">IFERROR(__xludf.DUMMYFUNCTION("""COMPUTED_VALUE"""),"selena.mihajlovic@fazi.rs")</f>
        <v>selena.mihajlovic@fazi.rs</v>
      </c>
      <c r="AI622" s="5"/>
      <c r="AJ622" s="5"/>
      <c r="AK622" s="5">
        <f ca="1">IFERROR(__xludf.DUMMYFUNCTION("""COMPUTED_VALUE"""),5)</f>
        <v>5</v>
      </c>
      <c r="AL622" s="5" t="str">
        <f ca="1">IFERROR(__xludf.DUMMYFUNCTION("""COMPUTED_VALUE"""),"No")</f>
        <v>No</v>
      </c>
      <c r="AM622" s="5"/>
      <c r="AN622" s="7" t="str">
        <f ca="1">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AO622" s="5"/>
      <c r="AP622" s="5"/>
      <c r="AQ622" s="5" t="b">
        <f ca="1">IFERROR(__xludf.DUMMYFUNCTION("""COMPUTED_VALUE"""),TRUE)</f>
        <v>1</v>
      </c>
      <c r="AR622" s="5"/>
      <c r="AS622" s="5" t="str">
        <f ca="1">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AT622" s="5"/>
      <c r="AU622" s="5" t="str">
        <f ca="1">IFERROR(__xludf.DUMMYFUNCTION("""COMPUTED_VALUE"""),"Tiptop")</f>
        <v>Tiptop</v>
      </c>
      <c r="AV622" s="5"/>
      <c r="AW622" s="5"/>
      <c r="AX622" s="15">
        <f ca="1">IFERROR(__xludf.DUMMYFUNCTION("""COMPUTED_VALUE"""),46007)</f>
        <v>46007</v>
      </c>
      <c r="AY622" s="5"/>
      <c r="AZ622" s="5"/>
      <c r="BA622" s="5"/>
      <c r="BB622" s="5" t="b">
        <f ca="1">IFERROR(__xludf.DUMMYFUNCTION("""COMPUTED_VALUE"""),TRUE)</f>
        <v>1</v>
      </c>
      <c r="BC622" s="5" t="str">
        <f ca="1">IFERROR(__xludf.DUMMYFUNCTION("""COMPUTED_VALUE"""),"Tiptop")</f>
        <v>Tiptop</v>
      </c>
      <c r="BD622" s="7" t="str">
        <f ca="1">IFERROR(__xludf.DUMMYFUNCTION("""COMPUTED_VALUE"""),"https://gameserver-store-client-area.orbionlimited.com/Home/IntegrationGameLaunch/client-area?moneyType=0&amp;gameName=UnicornThreeReelFruitBoost&amp;platform=desktop&amp;languageCode=eng&amp;currency=EUR")</f>
        <v>https://gameserver-store-client-area.orbionlimited.com/Home/IntegrationGameLaunch/client-area?moneyType=0&amp;gameName=UnicornThreeReelFruitBoost&amp;platform=desktop&amp;languageCode=eng&amp;currency=EUR</v>
      </c>
      <c r="BE622" s="5" t="b">
        <f ca="1">IFERROR(__xludf.DUMMYFUNCTION("""COMPUTED_VALUE"""),TRUE)</f>
        <v>1</v>
      </c>
    </row>
    <row r="623" spans="1:57" x14ac:dyDescent="0.25">
      <c r="A623" s="5">
        <f ca="1">IFERROR(__xludf.DUMMYFUNCTION("""COMPUTED_VALUE"""),658)</f>
        <v>658</v>
      </c>
      <c r="B623" s="5">
        <f ca="1">IFERROR(__xludf.DUMMYFUNCTION("""COMPUTED_VALUE"""),2012)</f>
        <v>2012</v>
      </c>
      <c r="C623" s="5" t="str">
        <f ca="1">IFERROR(__xludf.DUMMYFUNCTION("""COMPUTED_VALUE"""),"Fazi")</f>
        <v>Fazi</v>
      </c>
      <c r="D623" s="5" t="str">
        <f ca="1">IFERROR(__xludf.DUMMYFUNCTION("""COMPUTED_VALUE"""),"Star Heat 40")</f>
        <v>Star Heat 40</v>
      </c>
      <c r="E623" s="5" t="str">
        <f ca="1">IFERROR(__xludf.DUMMYFUNCTION("""COMPUTED_VALUE"""),"V4-2")</f>
        <v>V4-2</v>
      </c>
      <c r="F623" s="5" t="str">
        <f ca="1">IFERROR(__xludf.DUMMYFUNCTION("""COMPUTED_VALUE"""),"StarHeat40")</f>
        <v>StarHeat40</v>
      </c>
      <c r="G623" s="5" t="str">
        <f ca="1">IFERROR(__xludf.DUMMYFUNCTION("""COMPUTED_VALUE"""),"Live")</f>
        <v>Live</v>
      </c>
      <c r="H623" s="5"/>
      <c r="I623" s="5" t="str">
        <f ca="1">IFERROR(__xludf.DUMMYFUNCTION("""COMPUTED_VALUE"""),"V4")</f>
        <v>V4</v>
      </c>
      <c r="J623" s="5" t="str">
        <f ca="1">IFERROR(__xludf.DUMMYFUNCTION("""COMPUTED_VALUE"""),"JSON")</f>
        <v>JSON</v>
      </c>
      <c r="K623" s="5" t="str">
        <f ca="1">IFERROR(__xludf.DUMMYFUNCTION("""COMPUTED_VALUE"""),"Slot")</f>
        <v>Slot</v>
      </c>
      <c r="L623" s="5" t="str">
        <f ca="1">IFERROR(__xludf.DUMMYFUNCTION("""COMPUTED_VALUE""")," Reskin")</f>
        <v xml:space="preserve"> Reskin</v>
      </c>
      <c r="M623" s="5" t="str">
        <f ca="1">IFERROR(__xludf.DUMMYFUNCTION("""COMPUTED_VALUE"""),"Wild Heat 40")</f>
        <v>Wild Heat 40</v>
      </c>
      <c r="N623" s="5"/>
      <c r="O623" s="5"/>
      <c r="P623" s="14">
        <f ca="1">IFERROR(__xludf.DUMMYFUNCTION("""COMPUTED_VALUE"""),28)</f>
        <v>28</v>
      </c>
      <c r="Q623" s="15">
        <f ca="1">IFERROR(__xludf.DUMMYFUNCTION("""COMPUTED_VALUE"""),46041)</f>
        <v>46041</v>
      </c>
      <c r="R623" s="15">
        <f ca="1">IFERROR(__xludf.DUMMYFUNCTION("""COMPUTED_VALUE"""),46128)</f>
        <v>46128</v>
      </c>
      <c r="S623" s="15">
        <f ca="1">IFERROR(__xludf.DUMMYFUNCTION("""COMPUTED_VALUE"""),46135)</f>
        <v>46135</v>
      </c>
      <c r="T623" s="5" t="b">
        <f ca="1">IFERROR(__xludf.DUMMYFUNCTION("""COMPUTED_VALUE"""),TRUE)</f>
        <v>1</v>
      </c>
      <c r="U623" s="5" t="str">
        <f ca="1">IFERROR(__xludf.DUMMYFUNCTION("""COMPUTED_VALUE"""),"5x4")</f>
        <v>5x4</v>
      </c>
      <c r="V623" s="5">
        <f ca="1">IFERROR(__xludf.DUMMYFUNCTION("""COMPUTED_VALUE"""),40)</f>
        <v>40</v>
      </c>
      <c r="W623" s="5">
        <f ca="1">IFERROR(__xludf.DUMMYFUNCTION("""COMPUTED_VALUE"""),40)</f>
        <v>40</v>
      </c>
      <c r="X623" s="5">
        <f ca="1">IFERROR(__xludf.DUMMYFUNCTION("""COMPUTED_VALUE"""),96.997)</f>
        <v>96.997</v>
      </c>
      <c r="Y623" s="5" t="str">
        <f ca="1">IFERROR(__xludf.DUMMYFUNCTION("""COMPUTED_VALUE"""),"Low")</f>
        <v>Low</v>
      </c>
      <c r="Z623" s="5">
        <f ca="1">IFERROR(__xludf.DUMMYFUNCTION("""COMPUTED_VALUE"""),16.768)</f>
        <v>16.768000000000001</v>
      </c>
      <c r="AA623" s="5">
        <f ca="1">IFERROR(__xludf.DUMMYFUNCTION("""COMPUTED_VALUE"""),1000)</f>
        <v>1000</v>
      </c>
      <c r="AB623" s="5"/>
      <c r="AC623" s="5" t="str">
        <f ca="1">IFERROR(__xludf.DUMMYFUNCTION("""COMPUTED_VALUE"""),"Wild Symbol")</f>
        <v>Wild Symbol</v>
      </c>
      <c r="AD623" s="5" t="str">
        <f ca="1">IFERROR(__xludf.DUMMYFUNCTION("""COMPUTED_VALUE"""),"0.40/60")</f>
        <v>0.40/60</v>
      </c>
      <c r="AE623" s="5"/>
      <c r="AF623" s="5"/>
      <c r="AG623" s="10">
        <f ca="1">IFERROR(__xludf.DUMMYFUNCTION("""COMPUTED_VALUE"""),46161.5189699074)</f>
        <v>46161.518969907404</v>
      </c>
      <c r="AH623" s="5" t="str">
        <f ca="1">IFERROR(__xludf.DUMMYFUNCTION("""COMPUTED_VALUE"""),"djordje.petrovic@fazi.rs")</f>
        <v>djordje.petrovic@fazi.rs</v>
      </c>
      <c r="AI623" s="15">
        <f ca="1">IFERROR(__xludf.DUMMYFUNCTION("""COMPUTED_VALUE"""),46092)</f>
        <v>46092</v>
      </c>
      <c r="AJ623" s="5" t="str">
        <f ca="1">IFERROR(__xludf.DUMMYFUNCTION("""COMPUTED_VALUE"""),"11.03. Koralplay
27.03. Kanggeten 
08.04. Pinnbet SRB
23.03 Azar Latino
26.03 Juegalo (Digitain) ")</f>
        <v xml:space="preserve">11.03. Koralplay
27.03. Kanggeten 
08.04. Pinnbet SRB
23.03 Azar Latino
26.03 Juegalo (Digitain) </v>
      </c>
      <c r="AK623" s="5">
        <f ca="1">IFERROR(__xludf.DUMMYFUNCTION("""COMPUTED_VALUE"""),40)</f>
        <v>40</v>
      </c>
      <c r="AL623" s="5" t="str">
        <f ca="1">IFERROR(__xludf.DUMMYFUNCTION("""COMPUTED_VALUE"""),"Yes")</f>
        <v>Yes</v>
      </c>
      <c r="AM623" s="5"/>
      <c r="AN623" s="7" t="str">
        <f ca="1">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AO623" s="5" t="str">
        <f ca="1">IFERROR(__xludf.DUMMYFUNCTION("""COMPUTED_VALUE"""),"Yes")</f>
        <v>Yes</v>
      </c>
      <c r="AP623" s="5" t="str">
        <f ca="1">IFERROR(__xludf.DUMMYFUNCTION("""COMPUTED_VALUE"""),"Yes")</f>
        <v>Yes</v>
      </c>
      <c r="AQ623" s="5" t="b">
        <f ca="1">IFERROR(__xludf.DUMMYFUNCTION("""COMPUTED_VALUE"""),TRUE)</f>
        <v>1</v>
      </c>
      <c r="AR623" s="5"/>
      <c r="AS623" s="5" t="str">
        <f ca="1">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AT623" s="5" t="str">
        <f ca="1">IFERROR(__xludf.DUMMYFUNCTION("""COMPUTED_VALUE"""),"Yes")</f>
        <v>Yes</v>
      </c>
      <c r="AU623" s="5" t="str">
        <f ca="1">IFERROR(__xludf.DUMMYFUNCTION("""COMPUTED_VALUE"""),"Fazi")</f>
        <v>Fazi</v>
      </c>
      <c r="AV623" s="5">
        <f ca="1">IFERROR(__xludf.DUMMYFUNCTION("""COMPUTED_VALUE"""),1)</f>
        <v>1</v>
      </c>
      <c r="AW623" s="5"/>
      <c r="AX623" s="15">
        <f ca="1">IFERROR(__xludf.DUMMYFUNCTION("""COMPUTED_VALUE"""),46035)</f>
        <v>46035</v>
      </c>
      <c r="AY623" s="5"/>
      <c r="AZ623" s="5"/>
      <c r="BA623" s="5"/>
      <c r="BB623" s="5"/>
      <c r="BC623" s="5" t="str">
        <f ca="1">IFERROR(__xludf.DUMMYFUNCTION("""COMPUTED_VALUE"""),"Foxi")</f>
        <v>Foxi</v>
      </c>
      <c r="BD623" s="7" t="str">
        <f ca="1">IFERROR(__xludf.DUMMYFUNCTION("""COMPUTED_VALUE"""),"https://gameserver-store-client-area.orbionlimited.com/Home/IntegrationGameLaunch/client-area?moneyType=0&amp;gameName=StarHeat40&amp;platform=desktop&amp;languageCode=eng&amp;currency=EUR")</f>
        <v>https://gameserver-store-client-area.orbionlimited.com/Home/IntegrationGameLaunch/client-area?moneyType=0&amp;gameName=StarHeat40&amp;platform=desktop&amp;languageCode=eng&amp;currency=EUR</v>
      </c>
      <c r="BE623" s="5" t="b">
        <f ca="1">IFERROR(__xludf.DUMMYFUNCTION("""COMPUTED_VALUE"""),TRUE)</f>
        <v>1</v>
      </c>
    </row>
    <row r="624" spans="1:57" x14ac:dyDescent="0.25">
      <c r="A624" s="5">
        <f ca="1">IFERROR(__xludf.DUMMYFUNCTION("""COMPUTED_VALUE"""),659)</f>
        <v>659</v>
      </c>
      <c r="B624" s="5">
        <f ca="1">IFERROR(__xludf.DUMMYFUNCTION("""COMPUTED_VALUE"""),2017)</f>
        <v>2017</v>
      </c>
      <c r="C624" s="5" t="str">
        <f ca="1">IFERROR(__xludf.DUMMYFUNCTION("""COMPUTED_VALUE"""),"Fazi")</f>
        <v>Fazi</v>
      </c>
      <c r="D624" s="5" t="str">
        <f ca="1">IFERROR(__xludf.DUMMYFUNCTION("""COMPUTED_VALUE"""),"Retro 27")</f>
        <v>Retro 27</v>
      </c>
      <c r="E624" s="5" t="str">
        <f ca="1">IFERROR(__xludf.DUMMYFUNCTION("""COMPUTED_VALUE"""),"V4-2")</f>
        <v>V4-2</v>
      </c>
      <c r="F624" s="5" t="str">
        <f ca="1">IFERROR(__xludf.DUMMYFUNCTION("""COMPUTED_VALUE"""),"Retro27")</f>
        <v>Retro27</v>
      </c>
      <c r="G624" s="5" t="str">
        <f ca="1">IFERROR(__xludf.DUMMYFUNCTION("""COMPUTED_VALUE"""),"Live")</f>
        <v>Live</v>
      </c>
      <c r="H624" s="5"/>
      <c r="I624" s="5" t="str">
        <f ca="1">IFERROR(__xludf.DUMMYFUNCTION("""COMPUTED_VALUE"""),"V4")</f>
        <v>V4</v>
      </c>
      <c r="J624" s="5" t="str">
        <f ca="1">IFERROR(__xludf.DUMMYFUNCTION("""COMPUTED_VALUE"""),"JSON")</f>
        <v>JSON</v>
      </c>
      <c r="K624" s="5" t="str">
        <f ca="1">IFERROR(__xludf.DUMMYFUNCTION("""COMPUTED_VALUE"""),"Slot")</f>
        <v>Slot</v>
      </c>
      <c r="L624" s="5" t="str">
        <f ca="1">IFERROR(__xludf.DUMMYFUNCTION("""COMPUTED_VALUE""")," Reskin")</f>
        <v xml:space="preserve"> Reskin</v>
      </c>
      <c r="M624" s="5" t="str">
        <f ca="1">IFERROR(__xludf.DUMMYFUNCTION("""COMPUTED_VALUE"""),"Wild 27")</f>
        <v>Wild 27</v>
      </c>
      <c r="N624" s="7" t="str">
        <f ca="1">IFERROR(__xludf.DUMMYFUNCTION("""COMPUTED_VALUE"""),"https://drive.google.com/drive/folders/1tMhNZrKJW7jv95Njoh8q7n6Ykhm_Zs5h?usp=drive_link")</f>
        <v>https://drive.google.com/drive/folders/1tMhNZrKJW7jv95Njoh8q7n6Ykhm_Zs5h?usp=drive_link</v>
      </c>
      <c r="O624" s="7" t="str">
        <f ca="1">IFERROR(__xludf.DUMMYFUNCTION("""COMPUTED_VALUE"""),"https://drive.google.com/drive/folders/1tMhNZrKJW7jv95Njoh8q7n6Ykhm_Zs5h?usp=drive_link")</f>
        <v>https://drive.google.com/drive/folders/1tMhNZrKJW7jv95Njoh8q7n6Ykhm_Zs5h?usp=drive_link</v>
      </c>
      <c r="P624" s="14">
        <f ca="1">IFERROR(__xludf.DUMMYFUNCTION("""COMPUTED_VALUE"""),16.1)</f>
        <v>16.100000000000001</v>
      </c>
      <c r="Q624" s="15">
        <f ca="1">IFERROR(__xludf.DUMMYFUNCTION("""COMPUTED_VALUE"""),46041)</f>
        <v>46041</v>
      </c>
      <c r="R624" s="15">
        <f ca="1">IFERROR(__xludf.DUMMYFUNCTION("""COMPUTED_VALUE"""),46065)</f>
        <v>46065</v>
      </c>
      <c r="S624" s="15">
        <f ca="1">IFERROR(__xludf.DUMMYFUNCTION("""COMPUTED_VALUE"""),46072)</f>
        <v>46072</v>
      </c>
      <c r="T624" s="5" t="b">
        <f ca="1">IFERROR(__xludf.DUMMYFUNCTION("""COMPUTED_VALUE"""),TRUE)</f>
        <v>1</v>
      </c>
      <c r="U624" s="5" t="str">
        <f ca="1">IFERROR(__xludf.DUMMYFUNCTION("""COMPUTED_VALUE"""),"3x3")</f>
        <v>3x3</v>
      </c>
      <c r="V624" s="5">
        <f ca="1">IFERROR(__xludf.DUMMYFUNCTION("""COMPUTED_VALUE"""),27)</f>
        <v>27</v>
      </c>
      <c r="W624" s="5">
        <f ca="1">IFERROR(__xludf.DUMMYFUNCTION("""COMPUTED_VALUE"""),27)</f>
        <v>27</v>
      </c>
      <c r="X624" s="5">
        <f ca="1">IFERROR(__xludf.DUMMYFUNCTION("""COMPUTED_VALUE"""),96.24)</f>
        <v>96.24</v>
      </c>
      <c r="Y624" s="5" t="str">
        <f ca="1">IFERROR(__xludf.DUMMYFUNCTION("""COMPUTED_VALUE"""),"Low")</f>
        <v>Low</v>
      </c>
      <c r="Z624" s="5">
        <f ca="1">IFERROR(__xludf.DUMMYFUNCTION("""COMPUTED_VALUE"""),6.58)</f>
        <v>6.58</v>
      </c>
      <c r="AA624" s="5">
        <f ca="1">IFERROR(__xludf.DUMMYFUNCTION("""COMPUTED_VALUE"""),108)</f>
        <v>108</v>
      </c>
      <c r="AB624" s="5"/>
      <c r="AC624" s="5" t="str">
        <f ca="1">IFERROR(__xludf.DUMMYFUNCTION("""COMPUTED_VALUE"""),"Win Multiplier")</f>
        <v>Win Multiplier</v>
      </c>
      <c r="AD624" s="5" t="str">
        <f ca="1">IFERROR(__xludf.DUMMYFUNCTION("""COMPUTED_VALUE"""),"0.1/40")</f>
        <v>0.1/40</v>
      </c>
      <c r="AE624" s="5"/>
      <c r="AF624" s="5"/>
      <c r="AG624" s="10">
        <f ca="1">IFERROR(__xludf.DUMMYFUNCTION("""COMPUTED_VALUE"""),46161.5214351851)</f>
        <v>46161.521435185103</v>
      </c>
      <c r="AH624" s="5" t="str">
        <f ca="1">IFERROR(__xludf.DUMMYFUNCTION("""COMPUTED_VALUE"""),"djordje.petrovic@fazi.rs")</f>
        <v>djordje.petrovic@fazi.rs</v>
      </c>
      <c r="AI624" s="15">
        <f ca="1">IFERROR(__xludf.DUMMYFUNCTION("""COMPUTED_VALUE"""),46055)</f>
        <v>46055</v>
      </c>
      <c r="AJ624" s="5" t="str">
        <f ca="1">IFERROR(__xludf.DUMMYFUNCTION("""COMPUTED_VALUE"""),"02.02 Soccer Bet (SRB, MNE, BA)
03.02 BtoBet (Premierbet, Guineebet, Mercurybet)")</f>
        <v>02.02 Soccer Bet (SRB, MNE, BA)
03.02 BtoBet (Premierbet, Guineebet, Mercurybet)</v>
      </c>
      <c r="AK624" s="5">
        <f ca="1">IFERROR(__xludf.DUMMYFUNCTION("""COMPUTED_VALUE"""),1)</f>
        <v>1</v>
      </c>
      <c r="AL624" s="5" t="str">
        <f ca="1">IFERROR(__xludf.DUMMYFUNCTION("""COMPUTED_VALUE"""),"Yes")</f>
        <v>Yes</v>
      </c>
      <c r="AM624" s="5"/>
      <c r="AN624" s="7" t="str">
        <f ca="1">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AO624" s="5" t="str">
        <f ca="1">IFERROR(__xludf.DUMMYFUNCTION("""COMPUTED_VALUE"""),"Yes")</f>
        <v>Yes</v>
      </c>
      <c r="AP624" s="5" t="str">
        <f ca="1">IFERROR(__xludf.DUMMYFUNCTION("""COMPUTED_VALUE"""),"Yes")</f>
        <v>Yes</v>
      </c>
      <c r="AQ624" s="5" t="b">
        <f ca="1">IFERROR(__xludf.DUMMYFUNCTION("""COMPUTED_VALUE"""),TRUE)</f>
        <v>1</v>
      </c>
      <c r="AR624" s="5"/>
      <c r="AS624" s="5" t="str">
        <f ca="1">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AT624" s="5" t="str">
        <f ca="1">IFERROR(__xludf.DUMMYFUNCTION("""COMPUTED_VALUE"""),"Yes")</f>
        <v>Yes</v>
      </c>
      <c r="AU624" s="5" t="str">
        <f ca="1">IFERROR(__xludf.DUMMYFUNCTION("""COMPUTED_VALUE"""),"Fazi")</f>
        <v>Fazi</v>
      </c>
      <c r="AV624" s="5">
        <f ca="1">IFERROR(__xludf.DUMMYFUNCTION("""COMPUTED_VALUE"""),1)</f>
        <v>1</v>
      </c>
      <c r="AW624" s="5"/>
      <c r="AX624" s="15">
        <f ca="1">IFERROR(__xludf.DUMMYFUNCTION("""COMPUTED_VALUE"""),46035)</f>
        <v>46035</v>
      </c>
      <c r="AY624" s="5"/>
      <c r="AZ624" s="5"/>
      <c r="BA624" s="5"/>
      <c r="BB624" s="5"/>
      <c r="BC624" s="5" t="str">
        <f ca="1">IFERROR(__xludf.DUMMYFUNCTION("""COMPUTED_VALUE"""),"Foxi")</f>
        <v>Foxi</v>
      </c>
      <c r="BD624" s="7" t="str">
        <f ca="1">IFERROR(__xludf.DUMMYFUNCTION("""COMPUTED_VALUE"""),"https://gameserver-store-client-area.orbionlimited.com/Home/IntegrationGameLaunch/client-area?moneyType=0&amp;gameName=Retro27&amp;platform=desktop&amp;languageCode=eng&amp;currency=EUR")</f>
        <v>https://gameserver-store-client-area.orbionlimited.com/Home/IntegrationGameLaunch/client-area?moneyType=0&amp;gameName=Retro27&amp;platform=desktop&amp;languageCode=eng&amp;currency=EUR</v>
      </c>
      <c r="BE624" s="5" t="b">
        <f ca="1">IFERROR(__xludf.DUMMYFUNCTION("""COMPUTED_VALUE"""),TRUE)</f>
        <v>1</v>
      </c>
    </row>
    <row r="625" spans="1:57" x14ac:dyDescent="0.25">
      <c r="A625" s="5">
        <f ca="1">IFERROR(__xludf.DUMMYFUNCTION("""COMPUTED_VALUE"""),660)</f>
        <v>660</v>
      </c>
      <c r="B625" s="5">
        <f ca="1">IFERROR(__xludf.DUMMYFUNCTION("""COMPUTED_VALUE"""),2010)</f>
        <v>2010</v>
      </c>
      <c r="C625" s="5" t="str">
        <f ca="1">IFERROR(__xludf.DUMMYFUNCTION("""COMPUTED_VALUE"""),"Fazi")</f>
        <v>Fazi</v>
      </c>
      <c r="D625" s="5" t="str">
        <f ca="1">IFERROR(__xludf.DUMMYFUNCTION("""COMPUTED_VALUE"""),"Wild 27 Dice")</f>
        <v>Wild 27 Dice</v>
      </c>
      <c r="E625" s="5" t="str">
        <f ca="1">IFERROR(__xludf.DUMMYFUNCTION("""COMPUTED_VALUE"""),"V4-2")</f>
        <v>V4-2</v>
      </c>
      <c r="F625" s="5" t="str">
        <f ca="1">IFERROR(__xludf.DUMMYFUNCTION("""COMPUTED_VALUE"""),"Wild27Dice")</f>
        <v>Wild27Dice</v>
      </c>
      <c r="G625" s="5" t="str">
        <f ca="1">IFERROR(__xludf.DUMMYFUNCTION("""COMPUTED_VALUE"""),"Live")</f>
        <v>Live</v>
      </c>
      <c r="H625" s="5"/>
      <c r="I625" s="5" t="str">
        <f ca="1">IFERROR(__xludf.DUMMYFUNCTION("""COMPUTED_VALUE"""),"V4")</f>
        <v>V4</v>
      </c>
      <c r="J625" s="5" t="str">
        <f ca="1">IFERROR(__xludf.DUMMYFUNCTION("""COMPUTED_VALUE"""),"JSON")</f>
        <v>JSON</v>
      </c>
      <c r="K625" s="5" t="str">
        <f ca="1">IFERROR(__xludf.DUMMYFUNCTION("""COMPUTED_VALUE"""),"Dice Slots")</f>
        <v>Dice Slots</v>
      </c>
      <c r="L625" s="5" t="str">
        <f ca="1">IFERROR(__xludf.DUMMYFUNCTION("""COMPUTED_VALUE""")," Reskin")</f>
        <v xml:space="preserve"> Reskin</v>
      </c>
      <c r="M625" s="5" t="str">
        <f ca="1">IFERROR(__xludf.DUMMYFUNCTION("""COMPUTED_VALUE"""),"Wild 27")</f>
        <v>Wild 27</v>
      </c>
      <c r="N625" s="5"/>
      <c r="O625" s="5"/>
      <c r="P625" s="14">
        <f ca="1">IFERROR(__xludf.DUMMYFUNCTION("""COMPUTED_VALUE"""),17)</f>
        <v>17</v>
      </c>
      <c r="Q625" s="15">
        <f ca="1">IFERROR(__xludf.DUMMYFUNCTION("""COMPUTED_VALUE"""),45999)</f>
        <v>45999</v>
      </c>
      <c r="R625" s="15">
        <f ca="1">IFERROR(__xludf.DUMMYFUNCTION("""COMPUTED_VALUE"""),46135)</f>
        <v>46135</v>
      </c>
      <c r="S625" s="15">
        <f ca="1">IFERROR(__xludf.DUMMYFUNCTION("""COMPUTED_VALUE"""),46142)</f>
        <v>46142</v>
      </c>
      <c r="T625" s="5" t="b">
        <f ca="1">IFERROR(__xludf.DUMMYFUNCTION("""COMPUTED_VALUE"""),TRUE)</f>
        <v>1</v>
      </c>
      <c r="U625" s="5" t="str">
        <f ca="1">IFERROR(__xludf.DUMMYFUNCTION("""COMPUTED_VALUE"""),"3x3")</f>
        <v>3x3</v>
      </c>
      <c r="V625" s="5">
        <f ca="1">IFERROR(__xludf.DUMMYFUNCTION("""COMPUTED_VALUE"""),27)</f>
        <v>27</v>
      </c>
      <c r="W625" s="5">
        <f ca="1">IFERROR(__xludf.DUMMYFUNCTION("""COMPUTED_VALUE"""),27)</f>
        <v>27</v>
      </c>
      <c r="X625" s="5">
        <f ca="1">IFERROR(__xludf.DUMMYFUNCTION("""COMPUTED_VALUE"""),96.24)</f>
        <v>96.24</v>
      </c>
      <c r="Y625" s="5" t="str">
        <f ca="1">IFERROR(__xludf.DUMMYFUNCTION("""COMPUTED_VALUE"""),"Low")</f>
        <v>Low</v>
      </c>
      <c r="Z625" s="5">
        <f ca="1">IFERROR(__xludf.DUMMYFUNCTION("""COMPUTED_VALUE"""),6.58)</f>
        <v>6.58</v>
      </c>
      <c r="AA625" s="5">
        <f ca="1">IFERROR(__xludf.DUMMYFUNCTION("""COMPUTED_VALUE"""),108)</f>
        <v>108</v>
      </c>
      <c r="AB625" s="5"/>
      <c r="AC625" s="5" t="str">
        <f ca="1">IFERROR(__xludf.DUMMYFUNCTION("""COMPUTED_VALUE"""),"Win Multiplier")</f>
        <v>Win Multiplier</v>
      </c>
      <c r="AD625" s="5" t="str">
        <f ca="1">IFERROR(__xludf.DUMMYFUNCTION("""COMPUTED_VALUE"""),"0.1/40")</f>
        <v>0.1/40</v>
      </c>
      <c r="AE625" s="5"/>
      <c r="AF625" s="5"/>
      <c r="AG625" s="10">
        <f ca="1">IFERROR(__xludf.DUMMYFUNCTION("""COMPUTED_VALUE"""),46161.5220254629)</f>
        <v>46161.522025462902</v>
      </c>
      <c r="AH625" s="5" t="str">
        <f ca="1">IFERROR(__xludf.DUMMYFUNCTION("""COMPUTED_VALUE"""),"djordje.petrovic@fazi.rs")</f>
        <v>djordje.petrovic@fazi.rs</v>
      </c>
      <c r="AI625" s="5"/>
      <c r="AJ625" s="5"/>
      <c r="AK625" s="5">
        <f ca="1">IFERROR(__xludf.DUMMYFUNCTION("""COMPUTED_VALUE"""),1)</f>
        <v>1</v>
      </c>
      <c r="AL625" s="5" t="str">
        <f ca="1">IFERROR(__xludf.DUMMYFUNCTION("""COMPUTED_VALUE"""),"Yes")</f>
        <v>Yes</v>
      </c>
      <c r="AM625" s="5"/>
      <c r="AN625" s="7" t="str">
        <f ca="1">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AO625" s="5" t="str">
        <f ca="1">IFERROR(__xludf.DUMMYFUNCTION("""COMPUTED_VALUE"""),"Yes")</f>
        <v>Yes</v>
      </c>
      <c r="AP625" s="5" t="str">
        <f ca="1">IFERROR(__xludf.DUMMYFUNCTION("""COMPUTED_VALUE"""),"Yes")</f>
        <v>Yes</v>
      </c>
      <c r="AQ625" s="5" t="b">
        <f ca="1">IFERROR(__xludf.DUMMYFUNCTION("""COMPUTED_VALUE"""),TRUE)</f>
        <v>1</v>
      </c>
      <c r="AR625" s="5"/>
      <c r="AS625" s="5"/>
      <c r="AT625" s="5" t="str">
        <f ca="1">IFERROR(__xludf.DUMMYFUNCTION("""COMPUTED_VALUE"""),"Yes")</f>
        <v>Yes</v>
      </c>
      <c r="AU625" s="5" t="str">
        <f ca="1">IFERROR(__xludf.DUMMYFUNCTION("""COMPUTED_VALUE"""),"Fazi")</f>
        <v>Fazi</v>
      </c>
      <c r="AV625" s="5">
        <f ca="1">IFERROR(__xludf.DUMMYFUNCTION("""COMPUTED_VALUE"""),1)</f>
        <v>1</v>
      </c>
      <c r="AW625" s="5"/>
      <c r="AX625" s="15">
        <f ca="1">IFERROR(__xludf.DUMMYFUNCTION("""COMPUTED_VALUE"""),45993)</f>
        <v>45993</v>
      </c>
      <c r="AY625" s="5"/>
      <c r="AZ625" s="7" t="str">
        <f ca="1">IFERROR(__xludf.DUMMYFUNCTION("""COMPUTED_VALUE"""),"https://drive.google.com/drive/folders/1BSYsvknXDCekqp50LbxTSCM23ajx0cxl")</f>
        <v>https://drive.google.com/drive/folders/1BSYsvknXDCekqp50LbxTSCM23ajx0cxl</v>
      </c>
      <c r="BA625" s="5"/>
      <c r="BB625" s="5"/>
      <c r="BC625" s="5" t="str">
        <f ca="1">IFERROR(__xludf.DUMMYFUNCTION("""COMPUTED_VALUE"""),"Foxi")</f>
        <v>Foxi</v>
      </c>
      <c r="BD625" s="7" t="str">
        <f ca="1">IFERROR(__xludf.DUMMYFUNCTION("""COMPUTED_VALUE"""),"https://gameserver-store-client-area.orbionlimited.com/Home/IntegrationGameLaunch/client-area?moneyType=0&amp;gameName=Wild27Dice&amp;platform=desktop&amp;languageCode=eng&amp;currency=EUR")</f>
        <v>https://gameserver-store-client-area.orbionlimited.com/Home/IntegrationGameLaunch/client-area?moneyType=0&amp;gameName=Wild27Dice&amp;platform=desktop&amp;languageCode=eng&amp;currency=EUR</v>
      </c>
      <c r="BE625" s="5" t="b">
        <f ca="1">IFERROR(__xludf.DUMMYFUNCTION("""COMPUTED_VALUE"""),TRUE)</f>
        <v>1</v>
      </c>
    </row>
    <row r="626" spans="1:57" x14ac:dyDescent="0.25">
      <c r="A626" s="5">
        <f ca="1">IFERROR(__xludf.DUMMYFUNCTION("""COMPUTED_VALUE"""),661)</f>
        <v>661</v>
      </c>
      <c r="B626" s="5">
        <f ca="1">IFERROR(__xludf.DUMMYFUNCTION("""COMPUTED_VALUE"""),2011)</f>
        <v>2011</v>
      </c>
      <c r="C626" s="5" t="str">
        <f ca="1">IFERROR(__xludf.DUMMYFUNCTION("""COMPUTED_VALUE"""),"Fazi")</f>
        <v>Fazi</v>
      </c>
      <c r="D626" s="5" t="str">
        <f ca="1">IFERROR(__xludf.DUMMYFUNCTION("""COMPUTED_VALUE"""),"Coin Splash Dice")</f>
        <v>Coin Splash Dice</v>
      </c>
      <c r="E626" s="5" t="str">
        <f ca="1">IFERROR(__xludf.DUMMYFUNCTION("""COMPUTED_VALUE"""),"V4-2")</f>
        <v>V4-2</v>
      </c>
      <c r="F626" s="5" t="str">
        <f ca="1">IFERROR(__xludf.DUMMYFUNCTION("""COMPUTED_VALUE"""),"CoinSplashDice")</f>
        <v>CoinSplashDice</v>
      </c>
      <c r="G626" s="5" t="str">
        <f ca="1">IFERROR(__xludf.DUMMYFUNCTION("""COMPUTED_VALUE"""),"Live")</f>
        <v>Live</v>
      </c>
      <c r="H626" s="5"/>
      <c r="I626" s="5" t="str">
        <f ca="1">IFERROR(__xludf.DUMMYFUNCTION("""COMPUTED_VALUE"""),"V4")</f>
        <v>V4</v>
      </c>
      <c r="J626" s="5" t="str">
        <f ca="1">IFERROR(__xludf.DUMMYFUNCTION("""COMPUTED_VALUE"""),"JSON")</f>
        <v>JSON</v>
      </c>
      <c r="K626" s="5" t="str">
        <f ca="1">IFERROR(__xludf.DUMMYFUNCTION("""COMPUTED_VALUE"""),"Dice Slots")</f>
        <v>Dice Slots</v>
      </c>
      <c r="L626" s="5" t="str">
        <f ca="1">IFERROR(__xludf.DUMMYFUNCTION("""COMPUTED_VALUE""")," Clone")</f>
        <v xml:space="preserve"> Clone</v>
      </c>
      <c r="M626" s="5" t="str">
        <f ca="1">IFERROR(__xludf.DUMMYFUNCTION("""COMPUTED_VALUE"""),"Coin Splash")</f>
        <v>Coin Splash</v>
      </c>
      <c r="N626" s="5"/>
      <c r="O626" s="5"/>
      <c r="P626" s="14">
        <f ca="1">IFERROR(__xludf.DUMMYFUNCTION("""COMPUTED_VALUE"""),14.8)</f>
        <v>14.8</v>
      </c>
      <c r="Q626" s="15">
        <f ca="1">IFERROR(__xludf.DUMMYFUNCTION("""COMPUTED_VALUE"""),45999)</f>
        <v>45999</v>
      </c>
      <c r="R626" s="15">
        <f ca="1">IFERROR(__xludf.DUMMYFUNCTION("""COMPUTED_VALUE"""),46049)</f>
        <v>46049</v>
      </c>
      <c r="S626" s="15">
        <f ca="1">IFERROR(__xludf.DUMMYFUNCTION("""COMPUTED_VALUE"""),46056)</f>
        <v>46056</v>
      </c>
      <c r="T626" s="5" t="b">
        <f ca="1">IFERROR(__xludf.DUMMYFUNCTION("""COMPUTED_VALUE"""),TRUE)</f>
        <v>1</v>
      </c>
      <c r="U626" s="5" t="str">
        <f ca="1">IFERROR(__xludf.DUMMYFUNCTION("""COMPUTED_VALUE"""),"5x4")</f>
        <v>5x4</v>
      </c>
      <c r="V626" s="5">
        <f ca="1">IFERROR(__xludf.DUMMYFUNCTION("""COMPUTED_VALUE"""),40)</f>
        <v>40</v>
      </c>
      <c r="W626" s="5">
        <f ca="1">IFERROR(__xludf.DUMMYFUNCTION("""COMPUTED_VALUE"""),40)</f>
        <v>40</v>
      </c>
      <c r="X626" s="5">
        <f ca="1">IFERROR(__xludf.DUMMYFUNCTION("""COMPUTED_VALUE"""),96.594)</f>
        <v>96.593999999999994</v>
      </c>
      <c r="Y626" s="5" t="str">
        <f ca="1">IFERROR(__xludf.DUMMYFUNCTION("""COMPUTED_VALUE"""),"Medium")</f>
        <v>Medium</v>
      </c>
      <c r="Z626" s="5">
        <f ca="1">IFERROR(__xludf.DUMMYFUNCTION("""COMPUTED_VALUE"""),12.056)</f>
        <v>12.055999999999999</v>
      </c>
      <c r="AA626" s="5">
        <f ca="1">IFERROR(__xludf.DUMMYFUNCTION("""COMPUTED_VALUE"""),750)</f>
        <v>750</v>
      </c>
      <c r="AB626" s="5"/>
      <c r="AC626" s="5" t="str">
        <f ca="1">IFERROR(__xludf.DUMMYFUNCTION("""COMPUTED_VALUE"""),"Exploding Wild")</f>
        <v>Exploding Wild</v>
      </c>
      <c r="AD626" s="5" t="str">
        <f ca="1">IFERROR(__xludf.DUMMYFUNCTION("""COMPUTED_VALUE"""),"0.04/60")</f>
        <v>0.04/60</v>
      </c>
      <c r="AE626" s="5"/>
      <c r="AF626" s="5"/>
      <c r="AG626" s="10">
        <f ca="1">IFERROR(__xludf.DUMMYFUNCTION("""COMPUTED_VALUE"""),46198.5220717592)</f>
        <v>46198.522071759202</v>
      </c>
      <c r="AH626" s="5" t="str">
        <f ca="1">IFERROR(__xludf.DUMMYFUNCTION("""COMPUTED_VALUE"""),"selena.mihajlovic@fazi.rs")</f>
        <v>selena.mihajlovic@fazi.rs</v>
      </c>
      <c r="AI626" s="5"/>
      <c r="AJ626" s="5"/>
      <c r="AK626" s="5">
        <f ca="1">IFERROR(__xludf.DUMMYFUNCTION("""COMPUTED_VALUE"""),4)</f>
        <v>4</v>
      </c>
      <c r="AL626" s="5" t="str">
        <f ca="1">IFERROR(__xludf.DUMMYFUNCTION("""COMPUTED_VALUE"""),"Yes")</f>
        <v>Yes</v>
      </c>
      <c r="AM626" s="5"/>
      <c r="AN626" s="7" t="str">
        <f ca="1">IFERROR(__xludf.DUMMYFUNCTION("""COMPUTED_VALUE"""),"https://gameserver-store.fazi.rs/Home/IntegrationGameLaunch/admiralmne?moneyType=0&amp;currency=EUR&amp;gameName=CoinSplashDice")</f>
        <v>https://gameserver-store.fazi.rs/Home/IntegrationGameLaunch/admiralmne?moneyType=0&amp;currency=EUR&amp;gameName=CoinSplashDice</v>
      </c>
      <c r="AO626" s="5" t="str">
        <f ca="1">IFERROR(__xludf.DUMMYFUNCTION("""COMPUTED_VALUE"""),"Yes")</f>
        <v>Yes</v>
      </c>
      <c r="AP626" s="5" t="str">
        <f ca="1">IFERROR(__xludf.DUMMYFUNCTION("""COMPUTED_VALUE"""),"Yes")</f>
        <v>Yes</v>
      </c>
      <c r="AQ626" s="5" t="b">
        <f ca="1">IFERROR(__xludf.DUMMYFUNCTION("""COMPUTED_VALUE"""),TRUE)</f>
        <v>1</v>
      </c>
      <c r="AR626" s="5"/>
      <c r="AS626" s="5" t="str">
        <f ca="1">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AT626" s="5" t="str">
        <f ca="1">IFERROR(__xludf.DUMMYFUNCTION("""COMPUTED_VALUE"""),"Yes")</f>
        <v>Yes</v>
      </c>
      <c r="AU626" s="5" t="str">
        <f ca="1">IFERROR(__xludf.DUMMYFUNCTION("""COMPUTED_VALUE"""),"Fazi")</f>
        <v>Fazi</v>
      </c>
      <c r="AV626" s="5">
        <f ca="1">IFERROR(__xludf.DUMMYFUNCTION("""COMPUTED_VALUE"""),1)</f>
        <v>1</v>
      </c>
      <c r="AW626" s="5"/>
      <c r="AX626" s="15">
        <f ca="1">IFERROR(__xludf.DUMMYFUNCTION("""COMPUTED_VALUE"""),45993)</f>
        <v>45993</v>
      </c>
      <c r="AY626" s="5"/>
      <c r="AZ626" s="5"/>
      <c r="BA626" s="5"/>
      <c r="BB626" s="5" t="b">
        <f ca="1">IFERROR(__xludf.DUMMYFUNCTION("""COMPUTED_VALUE"""),TRUE)</f>
        <v>1</v>
      </c>
      <c r="BC626" s="5" t="str">
        <f ca="1">IFERROR(__xludf.DUMMYFUNCTION("""COMPUTED_VALUE"""),"Foxi")</f>
        <v>Foxi</v>
      </c>
      <c r="BD626" s="7" t="str">
        <f ca="1">IFERROR(__xludf.DUMMYFUNCTION("""COMPUTED_VALUE"""),"https://gameserver-store-client-area.orbionlimited.com/Home/IntegrationGameLaunch/client-area?moneyType=0&amp;gameName=CoinSplashDice&amp;platform=desktop&amp;languageCode=eng&amp;currency=EUR")</f>
        <v>https://gameserver-store-client-area.orbionlimited.com/Home/IntegrationGameLaunch/client-area?moneyType=0&amp;gameName=CoinSplashDice&amp;platform=desktop&amp;languageCode=eng&amp;currency=EUR</v>
      </c>
      <c r="BE626" s="5" t="b">
        <f ca="1">IFERROR(__xludf.DUMMYFUNCTION("""COMPUTED_VALUE"""),TRUE)</f>
        <v>1</v>
      </c>
    </row>
    <row r="627" spans="1:57" x14ac:dyDescent="0.25">
      <c r="A627" s="5">
        <f ca="1">IFERROR(__xludf.DUMMYFUNCTION("""COMPUTED_VALUE"""),662)</f>
        <v>662</v>
      </c>
      <c r="B627" s="5">
        <f ca="1">IFERROR(__xludf.DUMMYFUNCTION("""COMPUTED_VALUE"""),4031)</f>
        <v>4031</v>
      </c>
      <c r="C627" s="5" t="str">
        <f ca="1">IFERROR(__xludf.DUMMYFUNCTION("""COMPUTED_VALUE"""),"Fazi")</f>
        <v>Fazi</v>
      </c>
      <c r="D627" s="5" t="str">
        <f ca="1">IFERROR(__xludf.DUMMYFUNCTION("""COMPUTED_VALUE"""),"FruitsAndStars1X")</f>
        <v>FruitsAndStars1X</v>
      </c>
      <c r="E627" s="5" t="str">
        <f ca="1">IFERROR(__xludf.DUMMYFUNCTION("""COMPUTED_VALUE"""),"Sertifikacioni")</f>
        <v>Sertifikacioni</v>
      </c>
      <c r="F627" s="5" t="str">
        <f ca="1">IFERROR(__xludf.DUMMYFUNCTION("""COMPUTED_VALUE"""),"FruitsAndStars1X")</f>
        <v>FruitsAndStars1X</v>
      </c>
      <c r="G627" s="5" t="str">
        <f ca="1">IFERROR(__xludf.DUMMYFUNCTION("""COMPUTED_VALUE"""),"Live")</f>
        <v>Live</v>
      </c>
      <c r="H627" s="5" t="str">
        <f ca="1">IFERROR(__xludf.DUMMYFUNCTION("""COMPUTED_VALUE"""),"1Xbet")</f>
        <v>1Xbet</v>
      </c>
      <c r="I627" s="5" t="str">
        <f ca="1">IFERROR(__xludf.DUMMYFUNCTION("""COMPUTED_VALUE"""),"V2")</f>
        <v>V2</v>
      </c>
      <c r="J627" s="5" t="str">
        <f ca="1">IFERROR(__xludf.DUMMYFUNCTION("""COMPUTED_VALUE"""),"JSON")</f>
        <v>JSON</v>
      </c>
      <c r="K627" s="5" t="str">
        <f ca="1">IFERROR(__xludf.DUMMYFUNCTION("""COMPUTED_VALUE"""),"Slot")</f>
        <v>Slot</v>
      </c>
      <c r="L627" s="5" t="str">
        <f ca="1">IFERROR(__xludf.DUMMYFUNCTION("""COMPUTED_VALUE""")," Clone")</f>
        <v xml:space="preserve"> Clone</v>
      </c>
      <c r="M627" s="5" t="str">
        <f ca="1">IFERROR(__xludf.DUMMYFUNCTION("""COMPUTED_VALUE"""),"Fruits and Stars")</f>
        <v>Fruits and Stars</v>
      </c>
      <c r="N627" s="5"/>
      <c r="O627" s="5"/>
      <c r="P627" s="5"/>
      <c r="Q627" s="15">
        <f ca="1">IFERROR(__xludf.DUMMYFUNCTION("""COMPUTED_VALUE"""),46041)</f>
        <v>46041</v>
      </c>
      <c r="R627" s="5"/>
      <c r="S627" s="15">
        <f ca="1">IFERROR(__xludf.DUMMYFUNCTION("""COMPUTED_VALUE"""),46041)</f>
        <v>46041</v>
      </c>
      <c r="T627" s="5" t="b">
        <f ca="1">IFERROR(__xludf.DUMMYFUNCTION("""COMPUTED_VALUE"""),TRUE)</f>
        <v>1</v>
      </c>
      <c r="U627" s="5" t="str">
        <f ca="1">IFERROR(__xludf.DUMMYFUNCTION("""COMPUTED_VALUE"""),"5x3")</f>
        <v>5x3</v>
      </c>
      <c r="V627" s="5">
        <f ca="1">IFERROR(__xludf.DUMMYFUNCTION("""COMPUTED_VALUE"""),20)</f>
        <v>20</v>
      </c>
      <c r="W627" s="5"/>
      <c r="X627" s="5">
        <f ca="1">IFERROR(__xludf.DUMMYFUNCTION("""COMPUTED_VALUE"""),95.79)</f>
        <v>95.79</v>
      </c>
      <c r="Y627" s="5" t="str">
        <f ca="1">IFERROR(__xludf.DUMMYFUNCTION("""COMPUTED_VALUE"""),"Low")</f>
        <v>Low</v>
      </c>
      <c r="Z627" s="5">
        <f ca="1">IFERROR(__xludf.DUMMYFUNCTION("""COMPUTED_VALUE"""),4.856)</f>
        <v>4.8559999999999999</v>
      </c>
      <c r="AA627" s="5">
        <f ca="1">IFERROR(__xludf.DUMMYFUNCTION("""COMPUTED_VALUE"""),1000)</f>
        <v>1000</v>
      </c>
      <c r="AB627" s="5"/>
      <c r="AC627" s="5"/>
      <c r="AD627" s="5" t="str">
        <f ca="1">IFERROR(__xludf.DUMMYFUNCTION("""COMPUTED_VALUE"""),"0.01/50")</f>
        <v>0.01/50</v>
      </c>
      <c r="AE627" s="5"/>
      <c r="AF627" s="5"/>
      <c r="AG627" s="10">
        <f ca="1">IFERROR(__xludf.DUMMYFUNCTION("""COMPUTED_VALUE"""),46177.4060879629)</f>
        <v>46177.406087962903</v>
      </c>
      <c r="AH627" s="5" t="str">
        <f ca="1">IFERROR(__xludf.DUMMYFUNCTION("""COMPUTED_VALUE"""),"petra.ilic@fazi.rs")</f>
        <v>petra.ilic@fazi.rs</v>
      </c>
      <c r="AI627" s="5"/>
      <c r="AJ627" s="5"/>
      <c r="AK627" s="5">
        <f ca="1">IFERROR(__xludf.DUMMYFUNCTION("""COMPUTED_VALUE"""),20)</f>
        <v>20</v>
      </c>
      <c r="AL627" s="5" t="str">
        <f ca="1">IFERROR(__xludf.DUMMYFUNCTION("""COMPUTED_VALUE"""),"Yes")</f>
        <v>Yes</v>
      </c>
      <c r="AM627" s="5"/>
      <c r="AN627" s="5"/>
      <c r="AO627" s="5"/>
      <c r="AP627" s="5" t="str">
        <f ca="1">IFERROR(__xludf.DUMMYFUNCTION("""COMPUTED_VALUE"""),"Yes")</f>
        <v>Yes</v>
      </c>
      <c r="AQ627" s="5"/>
      <c r="AR627" s="5" t="b">
        <f ca="1">IFERROR(__xludf.DUMMYFUNCTION("""COMPUTED_VALUE"""),TRUE)</f>
        <v>1</v>
      </c>
      <c r="AS627" s="5"/>
      <c r="AT627" s="5"/>
      <c r="AU627" s="5" t="str">
        <f ca="1">IFERROR(__xludf.DUMMYFUNCTION("""COMPUTED_VALUE"""),"Fazi")</f>
        <v>Fazi</v>
      </c>
      <c r="AV627" s="5"/>
      <c r="AW627" s="5"/>
      <c r="AX627" s="15">
        <f ca="1">IFERROR(__xludf.DUMMYFUNCTION("""COMPUTED_VALUE"""),46035)</f>
        <v>46035</v>
      </c>
      <c r="AY627" s="5"/>
      <c r="AZ627" s="5"/>
      <c r="BA627" s="5"/>
      <c r="BB627" s="5"/>
      <c r="BC627" s="5" t="str">
        <f ca="1">IFERROR(__xludf.DUMMYFUNCTION("""COMPUTED_VALUE"""),"Foxi")</f>
        <v>Foxi</v>
      </c>
      <c r="BD627" s="5" t="str">
        <f ca="1">IFERROR(__xludf.DUMMYFUNCTION("""COMPUTED_VALUE"""),"")</f>
        <v/>
      </c>
      <c r="BE627" s="5"/>
    </row>
    <row r="628" spans="1:57" x14ac:dyDescent="0.25">
      <c r="A628" s="5">
        <f ca="1">IFERROR(__xludf.DUMMYFUNCTION("""COMPUTED_VALUE"""),663)</f>
        <v>663</v>
      </c>
      <c r="B628" s="5">
        <f ca="1">IFERROR(__xludf.DUMMYFUNCTION("""COMPUTED_VALUE"""),4030)</f>
        <v>4030</v>
      </c>
      <c r="C628" s="5" t="str">
        <f ca="1">IFERROR(__xludf.DUMMYFUNCTION("""COMPUTED_VALUE"""),"Fazi")</f>
        <v>Fazi</v>
      </c>
      <c r="D628" s="5" t="str">
        <f ca="1">IFERROR(__xludf.DUMMYFUNCTION("""COMPUTED_VALUE"""),"KK Partizan Slot")</f>
        <v>KK Partizan Slot</v>
      </c>
      <c r="E628" s="5" t="str">
        <f ca="1">IFERROR(__xludf.DUMMYFUNCTION("""COMPUTED_VALUE"""),"Sertifikacioni")</f>
        <v>Sertifikacioni</v>
      </c>
      <c r="F628" s="5" t="str">
        <f ca="1">IFERROR(__xludf.DUMMYFUNCTION("""COMPUTED_VALUE"""),"KKPartizanSlot")</f>
        <v>KKPartizanSlot</v>
      </c>
      <c r="G628" s="5" t="str">
        <f ca="1">IFERROR(__xludf.DUMMYFUNCTION("""COMPUTED_VALUE"""),"In Development")</f>
        <v>In Development</v>
      </c>
      <c r="H628" s="5" t="str">
        <f ca="1">IFERROR(__xludf.DUMMYFUNCTION("""COMPUTED_VALUE"""),"AdmiralBet")</f>
        <v>AdmiralBet</v>
      </c>
      <c r="I628" s="5" t="str">
        <f ca="1">IFERROR(__xludf.DUMMYFUNCTION("""COMPUTED_VALUE"""),"V2")</f>
        <v>V2</v>
      </c>
      <c r="J628" s="5" t="str">
        <f ca="1">IFERROR(__xludf.DUMMYFUNCTION("""COMPUTED_VALUE"""),"JSON")</f>
        <v>JSON</v>
      </c>
      <c r="K628" s="5" t="str">
        <f ca="1">IFERROR(__xludf.DUMMYFUNCTION("""COMPUTED_VALUE"""),"Slot")</f>
        <v>Slot</v>
      </c>
      <c r="L628" s="5" t="str">
        <f ca="1">IFERROR(__xludf.DUMMYFUNCTION("""COMPUTED_VALUE""")," Clone")</f>
        <v xml:space="preserve"> Clone</v>
      </c>
      <c r="M628" s="5" t="str">
        <f ca="1">IFERROR(__xludf.DUMMYFUNCTION("""COMPUTED_VALUE"""),"Lolla's World")</f>
        <v>Lolla's World</v>
      </c>
      <c r="N628" s="5"/>
      <c r="O628" s="5"/>
      <c r="P628" s="5"/>
      <c r="Q628" s="15">
        <f ca="1">IFERROR(__xludf.DUMMYFUNCTION("""COMPUTED_VALUE"""),46041)</f>
        <v>46041</v>
      </c>
      <c r="R628" s="5"/>
      <c r="S628" s="5"/>
      <c r="T628" s="5"/>
      <c r="U628" s="5" t="str">
        <f ca="1">IFERROR(__xludf.DUMMYFUNCTION("""COMPUTED_VALUE"""),"5x4")</f>
        <v>5x4</v>
      </c>
      <c r="V628" s="5">
        <f ca="1">IFERROR(__xludf.DUMMYFUNCTION("""COMPUTED_VALUE"""),40)</f>
        <v>40</v>
      </c>
      <c r="W628" s="5"/>
      <c r="X628" s="5">
        <f ca="1">IFERROR(__xludf.DUMMYFUNCTION("""COMPUTED_VALUE"""),95.479)</f>
        <v>95.478999999999999</v>
      </c>
      <c r="Y628" s="5" t="str">
        <f ca="1">IFERROR(__xludf.DUMMYFUNCTION("""COMPUTED_VALUE"""),"Medium")</f>
        <v>Medium</v>
      </c>
      <c r="Z628" s="5">
        <f ca="1">IFERROR(__xludf.DUMMYFUNCTION("""COMPUTED_VALUE"""),14.7999999999999)</f>
        <v>14.799999999999899</v>
      </c>
      <c r="AA628" s="5">
        <f ca="1">IFERROR(__xludf.DUMMYFUNCTION("""COMPUTED_VALUE"""),1000)</f>
        <v>1000</v>
      </c>
      <c r="AB628" s="5"/>
      <c r="AC628" s="5"/>
      <c r="AD628" s="5"/>
      <c r="AE628" s="5"/>
      <c r="AF628" s="5"/>
      <c r="AG628" s="10">
        <f ca="1">IFERROR(__xludf.DUMMYFUNCTION("""COMPUTED_VALUE"""),46013.6747916666)</f>
        <v>46013.674791666599</v>
      </c>
      <c r="AH628" s="5" t="str">
        <f ca="1">IFERROR(__xludf.DUMMYFUNCTION("""COMPUTED_VALUE"""),"petra.ilic@fazi.rs")</f>
        <v>petra.ilic@fazi.rs</v>
      </c>
      <c r="AI628" s="5"/>
      <c r="AJ628" s="5"/>
      <c r="AK628" s="5">
        <f ca="1">IFERROR(__xludf.DUMMYFUNCTION("""COMPUTED_VALUE"""),40)</f>
        <v>40</v>
      </c>
      <c r="AL628" s="5" t="str">
        <f ca="1">IFERROR(__xludf.DUMMYFUNCTION("""COMPUTED_VALUE"""),"Yes")</f>
        <v>Yes</v>
      </c>
      <c r="AM628" s="5"/>
      <c r="AN628" s="5"/>
      <c r="AO628" s="5"/>
      <c r="AP628" s="5"/>
      <c r="AQ628" s="5"/>
      <c r="AR628" s="5" t="b">
        <f ca="1">IFERROR(__xludf.DUMMYFUNCTION("""COMPUTED_VALUE"""),TRUE)</f>
        <v>1</v>
      </c>
      <c r="AS628" s="5"/>
      <c r="AT628" s="5"/>
      <c r="AU628" s="5" t="str">
        <f ca="1">IFERROR(__xludf.DUMMYFUNCTION("""COMPUTED_VALUE"""),"Fazi")</f>
        <v>Fazi</v>
      </c>
      <c r="AV628" s="5"/>
      <c r="AW628" s="5"/>
      <c r="AX628" s="15">
        <f ca="1">IFERROR(__xludf.DUMMYFUNCTION("""COMPUTED_VALUE"""),46035)</f>
        <v>46035</v>
      </c>
      <c r="AY628" s="5"/>
      <c r="AZ628" s="5"/>
      <c r="BA628" s="5" t="str">
        <f ca="1">IFERROR(__xludf.DUMMYFUNCTION("""COMPUTED_VALUE"""),"")</f>
        <v/>
      </c>
      <c r="BB628" s="5"/>
      <c r="BC628" s="5" t="str">
        <f ca="1">IFERROR(__xludf.DUMMYFUNCTION("""COMPUTED_VALUE"""),"Foxi")</f>
        <v>Foxi</v>
      </c>
      <c r="BD628" s="5" t="str">
        <f ca="1">IFERROR(__xludf.DUMMYFUNCTION("""COMPUTED_VALUE"""),"")</f>
        <v/>
      </c>
      <c r="BE628" s="5"/>
    </row>
    <row r="629" spans="1:57" x14ac:dyDescent="0.25">
      <c r="A629" s="5">
        <f ca="1">IFERROR(__xludf.DUMMYFUNCTION("""COMPUTED_VALUE"""),664)</f>
        <v>664</v>
      </c>
      <c r="B629" s="5">
        <f ca="1">IFERROR(__xludf.DUMMYFUNCTION("""COMPUTED_VALUE"""),4032)</f>
        <v>4032</v>
      </c>
      <c r="C629" s="5" t="str">
        <f ca="1">IFERROR(__xludf.DUMMYFUNCTION("""COMPUTED_VALUE"""),"Fazi")</f>
        <v>Fazi</v>
      </c>
      <c r="D629" s="5" t="str">
        <f ca="1">IFERROR(__xludf.DUMMYFUNCTION("""COMPUTED_VALUE"""),"SBbet Hot 5 Extreme")</f>
        <v>SBbet Hot 5 Extreme</v>
      </c>
      <c r="E629" s="5" t="str">
        <f ca="1">IFERROR(__xludf.DUMMYFUNCTION("""COMPUTED_VALUE"""),"Sertifikacioni")</f>
        <v>Sertifikacioni</v>
      </c>
      <c r="F629" s="5" t="str">
        <f ca="1">IFERROR(__xludf.DUMMYFUNCTION("""COMPUTED_VALUE"""),"SBbetHot5Extreme")</f>
        <v>SBbetHot5Extreme</v>
      </c>
      <c r="G629" s="5" t="str">
        <f ca="1">IFERROR(__xludf.DUMMYFUNCTION("""COMPUTED_VALUE"""),"Live")</f>
        <v>Live</v>
      </c>
      <c r="H629" s="5" t="str">
        <f ca="1">IFERROR(__xludf.DUMMYFUNCTION("""COMPUTED_VALUE"""),"SBbet")</f>
        <v>SBbet</v>
      </c>
      <c r="I629" s="5" t="str">
        <f ca="1">IFERROR(__xludf.DUMMYFUNCTION("""COMPUTED_VALUE"""),"V4")</f>
        <v>V4</v>
      </c>
      <c r="J629" s="5" t="str">
        <f ca="1">IFERROR(__xludf.DUMMYFUNCTION("""COMPUTED_VALUE"""),"JSON")</f>
        <v>JSON</v>
      </c>
      <c r="K629" s="5" t="str">
        <f ca="1">IFERROR(__xludf.DUMMYFUNCTION("""COMPUTED_VALUE"""),"Slot")</f>
        <v>Slot</v>
      </c>
      <c r="L629" s="5" t="str">
        <f ca="1">IFERROR(__xludf.DUMMYFUNCTION("""COMPUTED_VALUE""")," Clone")</f>
        <v xml:space="preserve"> Clone</v>
      </c>
      <c r="M629" s="5" t="str">
        <f ca="1">IFERROR(__xludf.DUMMYFUNCTION("""COMPUTED_VALUE"""),"Very Hot 5 Extreme")</f>
        <v>Very Hot 5 Extreme</v>
      </c>
      <c r="N629" s="5"/>
      <c r="O629" s="5"/>
      <c r="P629" s="5"/>
      <c r="Q629" s="15">
        <f ca="1">IFERROR(__xludf.DUMMYFUNCTION("""COMPUTED_VALUE"""),46041)</f>
        <v>46041</v>
      </c>
      <c r="R629" s="5"/>
      <c r="S629" s="15">
        <f ca="1">IFERROR(__xludf.DUMMYFUNCTION("""COMPUTED_VALUE"""),46041)</f>
        <v>46041</v>
      </c>
      <c r="T629" s="5" t="b">
        <f ca="1">IFERROR(__xludf.DUMMYFUNCTION("""COMPUTED_VALUE"""),TRUE)</f>
        <v>1</v>
      </c>
      <c r="U629" s="5" t="str">
        <f ca="1">IFERROR(__xludf.DUMMYFUNCTION("""COMPUTED_VALUE"""),"5x3")</f>
        <v>5x3</v>
      </c>
      <c r="V629" s="5">
        <f ca="1">IFERROR(__xludf.DUMMYFUNCTION("""COMPUTED_VALUE"""),5)</f>
        <v>5</v>
      </c>
      <c r="W629" s="5">
        <f ca="1">IFERROR(__xludf.DUMMYFUNCTION("""COMPUTED_VALUE"""),5)</f>
        <v>5</v>
      </c>
      <c r="X629" s="5">
        <f ca="1">IFERROR(__xludf.DUMMYFUNCTION("""COMPUTED_VALUE"""),96.453)</f>
        <v>96.453000000000003</v>
      </c>
      <c r="Y629" s="5" t="str">
        <f ca="1">IFERROR(__xludf.DUMMYFUNCTION("""COMPUTED_VALUE"""),"Medium")</f>
        <v>Medium</v>
      </c>
      <c r="Z629" s="5"/>
      <c r="AA629" s="5">
        <f ca="1">IFERROR(__xludf.DUMMYFUNCTION("""COMPUTED_VALUE"""),2624)</f>
        <v>2624</v>
      </c>
      <c r="AB629" s="5">
        <f ca="1">IFERROR(__xludf.DUMMYFUNCTION("""COMPUTED_VALUE"""),14.23)</f>
        <v>14.23</v>
      </c>
      <c r="AC629" s="5"/>
      <c r="AD629" s="5"/>
      <c r="AE629" s="5"/>
      <c r="AF629" s="5"/>
      <c r="AG629" s="10">
        <f ca="1">IFERROR(__xludf.DUMMYFUNCTION("""COMPUTED_VALUE"""),46176.7597337962)</f>
        <v>46176.7597337962</v>
      </c>
      <c r="AH629" s="5" t="str">
        <f ca="1">IFERROR(__xludf.DUMMYFUNCTION("""COMPUTED_VALUE"""),"petra.ilic@fazi.rs")</f>
        <v>petra.ilic@fazi.rs</v>
      </c>
      <c r="AI629" s="5"/>
      <c r="AJ629" s="5"/>
      <c r="AK629" s="5">
        <f ca="1">IFERROR(__xludf.DUMMYFUNCTION("""COMPUTED_VALUE"""),5)</f>
        <v>5</v>
      </c>
      <c r="AL629" s="5" t="str">
        <f ca="1">IFERROR(__xludf.DUMMYFUNCTION("""COMPUTED_VALUE"""),"Yes")</f>
        <v>Yes</v>
      </c>
      <c r="AM629" s="5"/>
      <c r="AN629" s="5"/>
      <c r="AO629" s="5"/>
      <c r="AP629" s="5" t="str">
        <f ca="1">IFERROR(__xludf.DUMMYFUNCTION("""COMPUTED_VALUE"""),"Yes")</f>
        <v>Yes</v>
      </c>
      <c r="AQ629" s="5"/>
      <c r="AR629" s="5" t="b">
        <f ca="1">IFERROR(__xludf.DUMMYFUNCTION("""COMPUTED_VALUE"""),TRUE)</f>
        <v>1</v>
      </c>
      <c r="AS629" s="5"/>
      <c r="AT629" s="5"/>
      <c r="AU629" s="5" t="str">
        <f ca="1">IFERROR(__xludf.DUMMYFUNCTION("""COMPUTED_VALUE"""),"Fazi")</f>
        <v>Fazi</v>
      </c>
      <c r="AV629" s="5"/>
      <c r="AW629" s="5"/>
      <c r="AX629" s="15">
        <f ca="1">IFERROR(__xludf.DUMMYFUNCTION("""COMPUTED_VALUE"""),46035)</f>
        <v>46035</v>
      </c>
      <c r="AY629" s="5"/>
      <c r="AZ629" s="5"/>
      <c r="BA629" s="5"/>
      <c r="BB629" s="5"/>
      <c r="BC629" s="5" t="str">
        <f ca="1">IFERROR(__xludf.DUMMYFUNCTION("""COMPUTED_VALUE"""),"Foxi")</f>
        <v>Foxi</v>
      </c>
      <c r="BD629" s="5" t="str">
        <f ca="1">IFERROR(__xludf.DUMMYFUNCTION("""COMPUTED_VALUE"""),"")</f>
        <v/>
      </c>
      <c r="BE629" s="5"/>
    </row>
    <row r="630" spans="1:57" x14ac:dyDescent="0.25">
      <c r="A630" s="5">
        <f ca="1">IFERROR(__xludf.DUMMYFUNCTION("""COMPUTED_VALUE"""),665)</f>
        <v>665</v>
      </c>
      <c r="B630" s="5">
        <f ca="1">IFERROR(__xludf.DUMMYFUNCTION("""COMPUTED_VALUE"""),3032)</f>
        <v>3032</v>
      </c>
      <c r="C630" s="5" t="str">
        <f ca="1">IFERROR(__xludf.DUMMYFUNCTION("""COMPUTED_VALUE"""),"Fazi")</f>
        <v>Fazi</v>
      </c>
      <c r="D630" s="5" t="str">
        <f ca="1">IFERROR(__xludf.DUMMYFUNCTION("""COMPUTED_VALUE"""),"Wild Hot 40 Deluxe")</f>
        <v>Wild Hot 40 Deluxe</v>
      </c>
      <c r="E630" s="5" t="str">
        <f ca="1">IFERROR(__xludf.DUMMYFUNCTION("""COMPUTED_VALUE"""),"V2")</f>
        <v>V2</v>
      </c>
      <c r="F630" s="5" t="str">
        <f ca="1">IFERROR(__xludf.DUMMYFUNCTION("""COMPUTED_VALUE"""),"WildHot40Deluxe")</f>
        <v>WildHot40Deluxe</v>
      </c>
      <c r="G630" s="5" t="str">
        <f ca="1">IFERROR(__xludf.DUMMYFUNCTION("""COMPUTED_VALUE"""),"Deployed")</f>
        <v>Deployed</v>
      </c>
      <c r="H630" s="5"/>
      <c r="I630" s="5" t="str">
        <f ca="1">IFERROR(__xludf.DUMMYFUNCTION("""COMPUTED_VALUE"""),"V4")</f>
        <v>V4</v>
      </c>
      <c r="J630" s="5" t="str">
        <f ca="1">IFERROR(__xludf.DUMMYFUNCTION("""COMPUTED_VALUE"""),"JSON")</f>
        <v>JSON</v>
      </c>
      <c r="K630" s="5" t="str">
        <f ca="1">IFERROR(__xludf.DUMMYFUNCTION("""COMPUTED_VALUE"""),"Slot")</f>
        <v>Slot</v>
      </c>
      <c r="L630" s="5" t="str">
        <f ca="1">IFERROR(__xludf.DUMMYFUNCTION("""COMPUTED_VALUE""")," Clone")</f>
        <v xml:space="preserve"> Clone</v>
      </c>
      <c r="M630" s="5" t="str">
        <f ca="1">IFERROR(__xludf.DUMMYFUNCTION("""COMPUTED_VALUE"""),"Wild Hot 40")</f>
        <v>Wild Hot 40</v>
      </c>
      <c r="N630" s="5"/>
      <c r="O630" s="5"/>
      <c r="P630" s="14">
        <f ca="1">IFERROR(__xludf.DUMMYFUNCTION("""COMPUTED_VALUE"""),16)</f>
        <v>16</v>
      </c>
      <c r="Q630" s="15">
        <f ca="1">IFERROR(__xludf.DUMMYFUNCTION("""COMPUTED_VALUE"""),46041)</f>
        <v>46041</v>
      </c>
      <c r="R630" s="15">
        <f ca="1">IFERROR(__xludf.DUMMYFUNCTION("""COMPUTED_VALUE"""),46154)</f>
        <v>46154</v>
      </c>
      <c r="S630" s="15">
        <f ca="1">IFERROR(__xludf.DUMMYFUNCTION("""COMPUTED_VALUE"""),46161)</f>
        <v>46161</v>
      </c>
      <c r="T630" s="5" t="b">
        <f ca="1">IFERROR(__xludf.DUMMYFUNCTION("""COMPUTED_VALUE"""),TRUE)</f>
        <v>1</v>
      </c>
      <c r="U630" s="5" t="str">
        <f ca="1">IFERROR(__xludf.DUMMYFUNCTION("""COMPUTED_VALUE"""),"5x4")</f>
        <v>5x4</v>
      </c>
      <c r="V630" s="5">
        <f ca="1">IFERROR(__xludf.DUMMYFUNCTION("""COMPUTED_VALUE"""),40)</f>
        <v>40</v>
      </c>
      <c r="W630" s="5">
        <f ca="1">IFERROR(__xludf.DUMMYFUNCTION("""COMPUTED_VALUE"""),40)</f>
        <v>40</v>
      </c>
      <c r="X630" s="5">
        <f ca="1">IFERROR(__xludf.DUMMYFUNCTION("""COMPUTED_VALUE"""),96.584)</f>
        <v>96.584000000000003</v>
      </c>
      <c r="Y630" s="5" t="str">
        <f ca="1">IFERROR(__xludf.DUMMYFUNCTION("""COMPUTED_VALUE"""),"Medium")</f>
        <v>Medium</v>
      </c>
      <c r="Z630" s="5">
        <f ca="1">IFERROR(__xludf.DUMMYFUNCTION("""COMPUTED_VALUE"""),16.725)</f>
        <v>16.725000000000001</v>
      </c>
      <c r="AA630" s="5">
        <f ca="1">IFERROR(__xludf.DUMMYFUNCTION("""COMPUTED_VALUE"""),1000)</f>
        <v>1000</v>
      </c>
      <c r="AB630" s="5"/>
      <c r="AC630" s="5" t="str">
        <f ca="1">IFERROR(__xludf.DUMMYFUNCTION("""COMPUTED_VALUE"""),"Wild Symbol, Scatter")</f>
        <v>Wild Symbol, Scatter</v>
      </c>
      <c r="AD630" s="5" t="str">
        <f ca="1">IFERROR(__xludf.DUMMYFUNCTION("""COMPUTED_VALUE"""),"0.40/60")</f>
        <v>0.40/60</v>
      </c>
      <c r="AE630" s="5"/>
      <c r="AF630" s="5"/>
      <c r="AG630" s="10">
        <f ca="1">IFERROR(__xludf.DUMMYFUNCTION("""COMPUTED_VALUE"""),46176.4729513888)</f>
        <v>46176.472951388801</v>
      </c>
      <c r="AH630" s="5" t="str">
        <f ca="1">IFERROR(__xludf.DUMMYFUNCTION("""COMPUTED_VALUE"""),"aleksandar.trajkovic@fazi.rs")</f>
        <v>aleksandar.trajkovic@fazi.rs</v>
      </c>
      <c r="AI630" s="15">
        <f ca="1">IFERROR(__xludf.DUMMYFUNCTION("""COMPUTED_VALUE"""),46115)</f>
        <v>46115</v>
      </c>
      <c r="AJ630" s="5" t="str">
        <f ca="1">IFERROR(__xludf.DUMMYFUNCTION("""COMPUTED_VALUE"""),"05.05 Tidal (CIS)
03.04. Mozzartbet SRB
03.04. Volcanobet MNE
20.04. Vbet AM
")</f>
        <v xml:space="preserve">05.05 Tidal (CIS)
03.04. Mozzartbet SRB
03.04. Volcanobet MNE
20.04. Vbet AM
</v>
      </c>
      <c r="AK630" s="5">
        <f ca="1">IFERROR(__xludf.DUMMYFUNCTION("""COMPUTED_VALUE"""),40)</f>
        <v>40</v>
      </c>
      <c r="AL630" s="5" t="str">
        <f ca="1">IFERROR(__xludf.DUMMYFUNCTION("""COMPUTED_VALUE"""),"Yes")</f>
        <v>Yes</v>
      </c>
      <c r="AM630" s="5"/>
      <c r="AN630" s="7" t="str">
        <f ca="1">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AO630" s="5" t="str">
        <f ca="1">IFERROR(__xludf.DUMMYFUNCTION("""COMPUTED_VALUE"""),"Yes")</f>
        <v>Yes</v>
      </c>
      <c r="AP630" s="5" t="str">
        <f ca="1">IFERROR(__xludf.DUMMYFUNCTION("""COMPUTED_VALUE"""),"Yes")</f>
        <v>Yes</v>
      </c>
      <c r="AQ630" s="5" t="b">
        <f ca="1">IFERROR(__xludf.DUMMYFUNCTION("""COMPUTED_VALUE"""),TRUE)</f>
        <v>1</v>
      </c>
      <c r="AR630" s="5"/>
      <c r="AS630" s="5" t="str">
        <f ca="1">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AT630" s="5"/>
      <c r="AU630" s="5" t="str">
        <f ca="1">IFERROR(__xludf.DUMMYFUNCTION("""COMPUTED_VALUE"""),"Fazi")</f>
        <v>Fazi</v>
      </c>
      <c r="AV630" s="5">
        <f ca="1">IFERROR(__xludf.DUMMYFUNCTION("""COMPUTED_VALUE"""),1)</f>
        <v>1</v>
      </c>
      <c r="AW630" s="5"/>
      <c r="AX630" s="15">
        <f ca="1">IFERROR(__xludf.DUMMYFUNCTION("""COMPUTED_VALUE"""),46035)</f>
        <v>46035</v>
      </c>
      <c r="AY630" s="5"/>
      <c r="AZ630" s="5"/>
      <c r="BA630" s="5"/>
      <c r="BB630" s="5"/>
      <c r="BC630" s="5" t="str">
        <f ca="1">IFERROR(__xludf.DUMMYFUNCTION("""COMPUTED_VALUE"""),"Foxi")</f>
        <v>Foxi</v>
      </c>
      <c r="BD630" s="7" t="str">
        <f ca="1">IFERROR(__xludf.DUMMYFUNCTION("""COMPUTED_VALUE"""),"https://gameserver-store-client-area.orbionlimited.com/Home/IntegrationGameLaunch/client-area?moneyType=0&amp;gameName=WildHot40Deluxe&amp;platform=desktop&amp;languageCode=eng&amp;currency=EUR")</f>
        <v>https://gameserver-store-client-area.orbionlimited.com/Home/IntegrationGameLaunch/client-area?moneyType=0&amp;gameName=WildHot40Deluxe&amp;platform=desktop&amp;languageCode=eng&amp;currency=EUR</v>
      </c>
      <c r="BE630" s="5" t="b">
        <f ca="1">IFERROR(__xludf.DUMMYFUNCTION("""COMPUTED_VALUE"""),TRUE)</f>
        <v>1</v>
      </c>
    </row>
    <row r="631" spans="1:57" x14ac:dyDescent="0.25">
      <c r="A631" s="5">
        <f ca="1">IFERROR(__xludf.DUMMYFUNCTION("""COMPUTED_VALUE"""),666)</f>
        <v>666</v>
      </c>
      <c r="B631" s="5">
        <f ca="1">IFERROR(__xludf.DUMMYFUNCTION("""COMPUTED_VALUE"""),2019)</f>
        <v>2019</v>
      </c>
      <c r="C631" s="5" t="str">
        <f ca="1">IFERROR(__xludf.DUMMYFUNCTION("""COMPUTED_VALUE"""),"Fazi")</f>
        <v>Fazi</v>
      </c>
      <c r="D631" s="5" t="str">
        <f ca="1">IFERROR(__xludf.DUMMYFUNCTION("""COMPUTED_VALUE"""),"Bonus Epic Crown Dice")</f>
        <v>Bonus Epic Crown Dice</v>
      </c>
      <c r="E631" s="5" t="str">
        <f ca="1">IFERROR(__xludf.DUMMYFUNCTION("""COMPUTED_VALUE"""),"V4-2")</f>
        <v>V4-2</v>
      </c>
      <c r="F631" s="5" t="str">
        <f ca="1">IFERROR(__xludf.DUMMYFUNCTION("""COMPUTED_VALUE"""),"BonusEpicCrownDice")</f>
        <v>BonusEpicCrownDice</v>
      </c>
      <c r="G631" s="5" t="str">
        <f ca="1">IFERROR(__xludf.DUMMYFUNCTION("""COMPUTED_VALUE"""),"Live")</f>
        <v>Live</v>
      </c>
      <c r="H631" s="5"/>
      <c r="I631" s="5" t="str">
        <f ca="1">IFERROR(__xludf.DUMMYFUNCTION("""COMPUTED_VALUE"""),"V4")</f>
        <v>V4</v>
      </c>
      <c r="J631" s="5" t="str">
        <f ca="1">IFERROR(__xludf.DUMMYFUNCTION("""COMPUTED_VALUE"""),"JSON")</f>
        <v>JSON</v>
      </c>
      <c r="K631" s="5" t="str">
        <f ca="1">IFERROR(__xludf.DUMMYFUNCTION("""COMPUTED_VALUE"""),"Dice Slots")</f>
        <v>Dice Slots</v>
      </c>
      <c r="L631" s="5" t="str">
        <f ca="1">IFERROR(__xludf.DUMMYFUNCTION("""COMPUTED_VALUE""")," Clone")</f>
        <v xml:space="preserve"> Clone</v>
      </c>
      <c r="M631" s="5" t="str">
        <f ca="1">IFERROR(__xludf.DUMMYFUNCTION("""COMPUTED_VALUE"""),"Bonus Epic Crown")</f>
        <v>Bonus Epic Crown</v>
      </c>
      <c r="N631" s="5"/>
      <c r="O631" s="5"/>
      <c r="P631" s="14">
        <f ca="1">IFERROR(__xludf.DUMMYFUNCTION("""COMPUTED_VALUE"""),18)</f>
        <v>18</v>
      </c>
      <c r="Q631" s="15">
        <f ca="1">IFERROR(__xludf.DUMMYFUNCTION("""COMPUTED_VALUE"""),46041)</f>
        <v>46041</v>
      </c>
      <c r="R631" s="15">
        <f ca="1">IFERROR(__xludf.DUMMYFUNCTION("""COMPUTED_VALUE"""),46105)</f>
        <v>46105</v>
      </c>
      <c r="S631" s="15">
        <f ca="1">IFERROR(__xludf.DUMMYFUNCTION("""COMPUTED_VALUE"""),46112)</f>
        <v>46112</v>
      </c>
      <c r="T631" s="5" t="b">
        <f ca="1">IFERROR(__xludf.DUMMYFUNCTION("""COMPUTED_VALUE"""),TRUE)</f>
        <v>1</v>
      </c>
      <c r="U631" s="5" t="str">
        <f ca="1">IFERROR(__xludf.DUMMYFUNCTION("""COMPUTED_VALUE"""),"5x3")</f>
        <v>5x3</v>
      </c>
      <c r="V631" s="5">
        <f ca="1">IFERROR(__xludf.DUMMYFUNCTION("""COMPUTED_VALUE"""),10)</f>
        <v>10</v>
      </c>
      <c r="W631" s="5">
        <f ca="1">IFERROR(__xludf.DUMMYFUNCTION("""COMPUTED_VALUE"""),10)</f>
        <v>10</v>
      </c>
      <c r="X631" s="5">
        <f ca="1">IFERROR(__xludf.DUMMYFUNCTION("""COMPUTED_VALUE"""),96.533)</f>
        <v>96.533000000000001</v>
      </c>
      <c r="Y631" s="5" t="str">
        <f ca="1">IFERROR(__xludf.DUMMYFUNCTION("""COMPUTED_VALUE"""),"High")</f>
        <v>High</v>
      </c>
      <c r="Z631" s="5">
        <f ca="1">IFERROR(__xludf.DUMMYFUNCTION("""COMPUTED_VALUE"""),10.61)</f>
        <v>10.61</v>
      </c>
      <c r="AA631" s="5">
        <f ca="1">IFERROR(__xludf.DUMMYFUNCTION("""COMPUTED_VALUE"""),20108)</f>
        <v>20108</v>
      </c>
      <c r="AB631" s="5">
        <f ca="1">IFERROR(__xludf.DUMMYFUNCTION("""COMPUTED_VALUE"""),190)</f>
        <v>190</v>
      </c>
      <c r="AC631" s="5" t="str">
        <f ca="1">IFERROR(__xludf.DUMMYFUNCTION("""COMPUTED_VALUE"""),"Buy Bonus, Extralines, Bonus Game with Free Spins, Expanding Wild")</f>
        <v>Buy Bonus, Extralines, Bonus Game with Free Spins, Expanding Wild</v>
      </c>
      <c r="AD631" s="5" t="str">
        <f ca="1">IFERROR(__xludf.DUMMYFUNCTION("""COMPUTED_VALUE"""),"0.1/40")</f>
        <v>0.1/40</v>
      </c>
      <c r="AE631" s="5"/>
      <c r="AF631" s="5"/>
      <c r="AG631" s="10">
        <f ca="1">IFERROR(__xludf.DUMMYFUNCTION("""COMPUTED_VALUE"""),46176.4712268518)</f>
        <v>46176.471226851798</v>
      </c>
      <c r="AH631" s="5" t="str">
        <f ca="1">IFERROR(__xludf.DUMMYFUNCTION("""COMPUTED_VALUE"""),"aleksandar.trajkovic@fazi.rs")</f>
        <v>aleksandar.trajkovic@fazi.rs</v>
      </c>
      <c r="AI631" s="15">
        <f ca="1">IFERROR(__xludf.DUMMYFUNCTION("""COMPUTED_VALUE"""),46084)</f>
        <v>46084</v>
      </c>
      <c r="AJ631" s="5" t="str">
        <f ca="1">IFERROR(__xludf.DUMMYFUNCTION("""COMPUTED_VALUE"""),"04.03. Jojo Bet (CIS)
03.03. Flandria (BEL)")</f>
        <v>04.03. Jojo Bet (CIS)
03.03. Flandria (BEL)</v>
      </c>
      <c r="AK631" s="5">
        <f ca="1">IFERROR(__xludf.DUMMYFUNCTION("""COMPUTED_VALUE"""),10)</f>
        <v>10</v>
      </c>
      <c r="AL631" s="5" t="str">
        <f ca="1">IFERROR(__xludf.DUMMYFUNCTION("""COMPUTED_VALUE"""),"Yes")</f>
        <v>Yes</v>
      </c>
      <c r="AM631" s="5"/>
      <c r="AN631" s="7" t="str">
        <f ca="1">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AO631" s="5" t="str">
        <f ca="1">IFERROR(__xludf.DUMMYFUNCTION("""COMPUTED_VALUE"""),"Yes")</f>
        <v>Yes</v>
      </c>
      <c r="AP631" s="5" t="str">
        <f ca="1">IFERROR(__xludf.DUMMYFUNCTION("""COMPUTED_VALUE"""),"Yes")</f>
        <v>Yes</v>
      </c>
      <c r="AQ631" s="5" t="b">
        <f ca="1">IFERROR(__xludf.DUMMYFUNCTION("""COMPUTED_VALUE"""),TRUE)</f>
        <v>1</v>
      </c>
      <c r="AR631" s="5"/>
      <c r="AS631" s="5" t="str">
        <f ca="1">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 xml:space="preserve">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AT631" s="5" t="str">
        <f ca="1">IFERROR(__xludf.DUMMYFUNCTION("""COMPUTED_VALUE"""),"Yes")</f>
        <v>Yes</v>
      </c>
      <c r="AU631" s="5" t="str">
        <f ca="1">IFERROR(__xludf.DUMMYFUNCTION("""COMPUTED_VALUE"""),"Fazi")</f>
        <v>Fazi</v>
      </c>
      <c r="AV631" s="5">
        <f ca="1">IFERROR(__xludf.DUMMYFUNCTION("""COMPUTED_VALUE"""),1)</f>
        <v>1</v>
      </c>
      <c r="AW631" s="5"/>
      <c r="AX631" s="15">
        <f ca="1">IFERROR(__xludf.DUMMYFUNCTION("""COMPUTED_VALUE"""),46035)</f>
        <v>46035</v>
      </c>
      <c r="AY631" s="5"/>
      <c r="AZ631" s="5"/>
      <c r="BA631" s="5" t="str">
        <f ca="1">IFERROR(__xludf.DUMMYFUNCTION("""COMPUTED_VALUE"""),"54, 81, 108")</f>
        <v>54, 81, 108</v>
      </c>
      <c r="BB631" s="5" t="b">
        <f ca="1">IFERROR(__xludf.DUMMYFUNCTION("""COMPUTED_VALUE"""),TRUE)</f>
        <v>1</v>
      </c>
      <c r="BC631" s="5" t="str">
        <f ca="1">IFERROR(__xludf.DUMMYFUNCTION("""COMPUTED_VALUE"""),"Foxi")</f>
        <v>Foxi</v>
      </c>
      <c r="BD631" s="7" t="str">
        <f ca="1">IFERROR(__xludf.DUMMYFUNCTION("""COMPUTED_VALUE"""),"https://gameserver-store-client-area.orbionlimited.com/Home/IntegrationGameLaunch/client-area?moneyType=0&amp;gameName=BonusEpicCrownDice&amp;platform=desktop&amp;languageCode=eng&amp;currency=EUR")</f>
        <v>https://gameserver-store-client-area.orbionlimited.com/Home/IntegrationGameLaunch/client-area?moneyType=0&amp;gameName=BonusEpicCrownDice&amp;platform=desktop&amp;languageCode=eng&amp;currency=EUR</v>
      </c>
      <c r="BE631" s="5" t="b">
        <f ca="1">IFERROR(__xludf.DUMMYFUNCTION("""COMPUTED_VALUE"""),TRUE)</f>
        <v>1</v>
      </c>
    </row>
    <row r="632" spans="1:57" x14ac:dyDescent="0.25">
      <c r="A632" s="5">
        <f ca="1">IFERROR(__xludf.DUMMYFUNCTION("""COMPUTED_VALUE"""),667)</f>
        <v>667</v>
      </c>
      <c r="B632" s="5">
        <f ca="1">IFERROR(__xludf.DUMMYFUNCTION("""COMPUTED_VALUE"""),2018)</f>
        <v>2018</v>
      </c>
      <c r="C632" s="5" t="str">
        <f ca="1">IFERROR(__xludf.DUMMYFUNCTION("""COMPUTED_VALUE"""),"Fazi")</f>
        <v>Fazi</v>
      </c>
      <c r="D632" s="5" t="str">
        <f ca="1">IFERROR(__xludf.DUMMYFUNCTION("""COMPUTED_VALUE"""),"Golden Crown Hold&amp;Win")</f>
        <v>Golden Crown Hold&amp;Win</v>
      </c>
      <c r="E632" s="5" t="str">
        <f ca="1">IFERROR(__xludf.DUMMYFUNCTION("""COMPUTED_VALUE"""),"V4-2")</f>
        <v>V4-2</v>
      </c>
      <c r="F632" s="5" t="str">
        <f ca="1">IFERROR(__xludf.DUMMYFUNCTION("""COMPUTED_VALUE"""),"GoldenCrownHoldAndWin")</f>
        <v>GoldenCrownHoldAndWin</v>
      </c>
      <c r="G632" s="5" t="str">
        <f ca="1">IFERROR(__xludf.DUMMYFUNCTION("""COMPUTED_VALUE"""),"Live")</f>
        <v>Live</v>
      </c>
      <c r="H632" s="5"/>
      <c r="I632" s="5" t="str">
        <f ca="1">IFERROR(__xludf.DUMMYFUNCTION("""COMPUTED_VALUE"""),"V4")</f>
        <v>V4</v>
      </c>
      <c r="J632" s="5" t="str">
        <f ca="1">IFERROR(__xludf.DUMMYFUNCTION("""COMPUTED_VALUE"""),"JSON")</f>
        <v>JSON</v>
      </c>
      <c r="K632" s="5" t="str">
        <f ca="1">IFERROR(__xludf.DUMMYFUNCTION("""COMPUTED_VALUE"""),"Slot")</f>
        <v>Slot</v>
      </c>
      <c r="L632" s="5" t="str">
        <f ca="1">IFERROR(__xludf.DUMMYFUNCTION("""COMPUTED_VALUE""")," Variant")</f>
        <v xml:space="preserve"> Variant</v>
      </c>
      <c r="M632" s="5" t="str">
        <f ca="1">IFERROR(__xludf.DUMMYFUNCTION("""COMPUTED_VALUE"""),"Golden Crown")</f>
        <v>Golden Crown</v>
      </c>
      <c r="N632" s="5"/>
      <c r="O632" s="5"/>
      <c r="P632" s="14">
        <f ca="1">IFERROR(__xludf.DUMMYFUNCTION("""COMPUTED_VALUE"""),39)</f>
        <v>39</v>
      </c>
      <c r="Q632" s="15">
        <f ca="1">IFERROR(__xludf.DUMMYFUNCTION("""COMPUTED_VALUE"""),46083)</f>
        <v>46083</v>
      </c>
      <c r="R632" s="15">
        <f ca="1">IFERROR(__xludf.DUMMYFUNCTION("""COMPUTED_VALUE"""),46119)</f>
        <v>46119</v>
      </c>
      <c r="S632" s="15">
        <f ca="1">IFERROR(__xludf.DUMMYFUNCTION("""COMPUTED_VALUE"""),46126)</f>
        <v>46126</v>
      </c>
      <c r="T632" s="5" t="b">
        <f ca="1">IFERROR(__xludf.DUMMYFUNCTION("""COMPUTED_VALUE"""),TRUE)</f>
        <v>1</v>
      </c>
      <c r="U632" s="5" t="str">
        <f ca="1">IFERROR(__xludf.DUMMYFUNCTION("""COMPUTED_VALUE"""),"5x3")</f>
        <v>5x3</v>
      </c>
      <c r="V632" s="5">
        <f ca="1">IFERROR(__xludf.DUMMYFUNCTION("""COMPUTED_VALUE"""),10)</f>
        <v>10</v>
      </c>
      <c r="W632" s="5">
        <f ca="1">IFERROR(__xludf.DUMMYFUNCTION("""COMPUTED_VALUE"""),10)</f>
        <v>10</v>
      </c>
      <c r="X632" s="5">
        <f ca="1">IFERROR(__xludf.DUMMYFUNCTION("""COMPUTED_VALUE"""),95.962)</f>
        <v>95.962000000000003</v>
      </c>
      <c r="Y632" s="5" t="str">
        <f ca="1">IFERROR(__xludf.DUMMYFUNCTION("""COMPUTED_VALUE"""),"Medium")</f>
        <v>Medium</v>
      </c>
      <c r="Z632" s="5">
        <f ca="1">IFERROR(__xludf.DUMMYFUNCTION("""COMPUTED_VALUE"""),14.63)</f>
        <v>14.63</v>
      </c>
      <c r="AA632" s="5">
        <f ca="1">IFERROR(__xludf.DUMMYFUNCTION("""COMPUTED_VALUE"""),1538)</f>
        <v>1538</v>
      </c>
      <c r="AB632" s="5"/>
      <c r="AC632" s="5" t="str">
        <f ca="1">IFERROR(__xludf.DUMMYFUNCTION("""COMPUTED_VALUE"""),"Scatter, Expanding Wild, Hold and Win, Buy Bonus")</f>
        <v>Scatter, Expanding Wild, Hold and Win, Buy Bonus</v>
      </c>
      <c r="AD632" s="5" t="str">
        <f ca="1">IFERROR(__xludf.DUMMYFUNCTION("""COMPUTED_VALUE"""),"0.1/40")</f>
        <v>0.1/40</v>
      </c>
      <c r="AE632" s="5"/>
      <c r="AF632" s="5"/>
      <c r="AG632" s="10">
        <f ca="1">IFERROR(__xludf.DUMMYFUNCTION("""COMPUTED_VALUE"""),46150.6210069444)</f>
        <v>46150.621006944399</v>
      </c>
      <c r="AH632" s="5" t="str">
        <f ca="1">IFERROR(__xludf.DUMMYFUNCTION("""COMPUTED_VALUE"""),"ana.antic@fazi.rs")</f>
        <v>ana.antic@fazi.rs</v>
      </c>
      <c r="AI632" s="15">
        <f ca="1">IFERROR(__xludf.DUMMYFUNCTION("""COMPUTED_VALUE"""),46092)</f>
        <v>46092</v>
      </c>
      <c r="AJ632" s="5" t="str">
        <f ca="1">IFERROR(__xludf.DUMMYFUNCTION("""COMPUTED_VALUE"""),"11.03. Koralplay - Africa
11.03. VolcanoBet MNE
30.03. Maxbet SRB
01.04. SoftSwiss
01.04. Circus BE")</f>
        <v>11.03. Koralplay - Africa
11.03. VolcanoBet MNE
30.03. Maxbet SRB
01.04. SoftSwiss
01.04. Circus BE</v>
      </c>
      <c r="AK632" s="5">
        <f ca="1">IFERROR(__xludf.DUMMYFUNCTION("""COMPUTED_VALUE"""),5)</f>
        <v>5</v>
      </c>
      <c r="AL632" s="5" t="str">
        <f ca="1">IFERROR(__xludf.DUMMYFUNCTION("""COMPUTED_VALUE"""),"Yes")</f>
        <v>Yes</v>
      </c>
      <c r="AM632" s="5"/>
      <c r="AN632" s="7" t="str">
        <f ca="1">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AO632" s="5" t="str">
        <f ca="1">IFERROR(__xludf.DUMMYFUNCTION("""COMPUTED_VALUE"""),"Yes")</f>
        <v>Yes</v>
      </c>
      <c r="AP632" s="5" t="str">
        <f ca="1">IFERROR(__xludf.DUMMYFUNCTION("""COMPUTED_VALUE"""),"Yes")</f>
        <v>Yes</v>
      </c>
      <c r="AQ632" s="5" t="b">
        <f ca="1">IFERROR(__xludf.DUMMYFUNCTION("""COMPUTED_VALUE"""),TRUE)</f>
        <v>1</v>
      </c>
      <c r="AR632" s="5"/>
      <c r="AS632" s="5" t="str">
        <f ca="1">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AT632" s="5"/>
      <c r="AU632" s="5" t="str">
        <f ca="1">IFERROR(__xludf.DUMMYFUNCTION("""COMPUTED_VALUE"""),"Fazi")</f>
        <v>Fazi</v>
      </c>
      <c r="AV632" s="5">
        <f ca="1">IFERROR(__xludf.DUMMYFUNCTION("""COMPUTED_VALUE"""),1)</f>
        <v>1</v>
      </c>
      <c r="AW632" s="5"/>
      <c r="AX632" s="15">
        <f ca="1">IFERROR(__xludf.DUMMYFUNCTION("""COMPUTED_VALUE"""),46077)</f>
        <v>46077</v>
      </c>
      <c r="AY632" s="5"/>
      <c r="AZ632" s="5"/>
      <c r="BA632" s="5">
        <f ca="1">IFERROR(__xludf.DUMMYFUNCTION("""COMPUTED_VALUE"""),35)</f>
        <v>35</v>
      </c>
      <c r="BB632" s="5" t="b">
        <f ca="1">IFERROR(__xludf.DUMMYFUNCTION("""COMPUTED_VALUE"""),TRUE)</f>
        <v>1</v>
      </c>
      <c r="BC632" s="5" t="str">
        <f ca="1">IFERROR(__xludf.DUMMYFUNCTION("""COMPUTED_VALUE"""),"Foxi")</f>
        <v>Foxi</v>
      </c>
      <c r="BD632" s="7" t="str">
        <f ca="1">IFERROR(__xludf.DUMMYFUNCTION("""COMPUTED_VALUE"""),"https://gameserver-store-client-area.orbionlimited.com/Home/IntegrationGameLaunch/client-area?moneyType=0&amp;gameName=GoldenCrownHoldAndWin&amp;platform=desktop&amp;languageCode=eng&amp;currency=EUR")</f>
        <v>https://gameserver-store-client-area.orbionlimited.com/Home/IntegrationGameLaunch/client-area?moneyType=0&amp;gameName=GoldenCrownHoldAndWin&amp;platform=desktop&amp;languageCode=eng&amp;currency=EUR</v>
      </c>
      <c r="BE632" s="5" t="b">
        <f ca="1">IFERROR(__xludf.DUMMYFUNCTION("""COMPUTED_VALUE"""),TRUE)</f>
        <v>1</v>
      </c>
    </row>
    <row r="633" spans="1:57" x14ac:dyDescent="0.25">
      <c r="A633" s="5">
        <f ca="1">IFERROR(__xludf.DUMMYFUNCTION("""COMPUTED_VALUE"""),668)</f>
        <v>668</v>
      </c>
      <c r="B633" s="5">
        <f ca="1">IFERROR(__xludf.DUMMYFUNCTION("""COMPUTED_VALUE"""),180060)</f>
        <v>180060</v>
      </c>
      <c r="C633" s="5" t="str">
        <f ca="1">IFERROR(__xludf.DUMMYFUNCTION("""COMPUTED_VALUE"""),"Redstone")</f>
        <v>Redstone</v>
      </c>
      <c r="D633" s="5" t="str">
        <f ca="1">IFERROR(__xludf.DUMMYFUNCTION("""COMPUTED_VALUE"""),"Respin Fortune")</f>
        <v>Respin Fortune</v>
      </c>
      <c r="E633" s="5" t="str">
        <f ca="1">IFERROR(__xludf.DUMMYFUNCTION("""COMPUTED_VALUE"""),"Redstone")</f>
        <v>Redstone</v>
      </c>
      <c r="F633" s="5" t="str">
        <f ca="1">IFERROR(__xludf.DUMMYFUNCTION("""COMPUTED_VALUE"""),"RedstoneRespinFortune")</f>
        <v>RedstoneRespinFortune</v>
      </c>
      <c r="G633" s="5" t="str">
        <f ca="1">IFERROR(__xludf.DUMMYFUNCTION("""COMPUTED_VALUE"""),"Live")</f>
        <v>Live</v>
      </c>
      <c r="H633" s="5"/>
      <c r="I633" s="5" t="str">
        <f ca="1">IFERROR(__xludf.DUMMYFUNCTION("""COMPUTED_VALUE"""),"Redstone")</f>
        <v>Redstone</v>
      </c>
      <c r="J633" s="5" t="str">
        <f ca="1">IFERROR(__xludf.DUMMYFUNCTION("""COMPUTED_VALUE"""),"JSON")</f>
        <v>JSON</v>
      </c>
      <c r="K633" s="5" t="str">
        <f ca="1">IFERROR(__xludf.DUMMYFUNCTION("""COMPUTED_VALUE"""),"Slot")</f>
        <v>Slot</v>
      </c>
      <c r="L633" s="5" t="str">
        <f ca="1">IFERROR(__xludf.DUMMYFUNCTION("""COMPUTED_VALUE"""),"Master")</f>
        <v>Master</v>
      </c>
      <c r="M633" s="5"/>
      <c r="N633" s="7" t="str">
        <f ca="1">IFERROR(__xludf.DUMMYFUNCTION("""COMPUTED_VALUE"""),"https://docs.google.com/document/d/1dlazeHdTqsOJJ_1gZ2T5RwwEiDm_pWyU/edit?usp=drive_link&amp;ouid=107596163405648766688&amp;rtpof=true&amp;sd=true")</f>
        <v>https://docs.google.com/document/d/1dlazeHdTqsOJJ_1gZ2T5RwwEiDm_pWyU/edit?usp=drive_link&amp;ouid=107596163405648766688&amp;rtpof=true&amp;sd=true</v>
      </c>
      <c r="O633" s="7" t="str">
        <f ca="1">IFERROR(__xludf.DUMMYFUNCTION("""COMPUTED_VALUE"""),"https://docs.google.com/document/d/1vCl789hTRT35JFWgszyR3eEvAdvaWhBB/edit?usp=drive_link&amp;ouid=107596163405648766688&amp;rtpof=true&amp;sd=true")</f>
        <v>https://docs.google.com/document/d/1vCl789hTRT35JFWgszyR3eEvAdvaWhBB/edit?usp=drive_link&amp;ouid=107596163405648766688&amp;rtpof=true&amp;sd=true</v>
      </c>
      <c r="P633" s="14">
        <f ca="1">IFERROR(__xludf.DUMMYFUNCTION("""COMPUTED_VALUE"""),9)</f>
        <v>9</v>
      </c>
      <c r="Q633" s="15">
        <f ca="1">IFERROR(__xludf.DUMMYFUNCTION("""COMPUTED_VALUE"""),46055)</f>
        <v>46055</v>
      </c>
      <c r="R633" s="15">
        <f ca="1">IFERROR(__xludf.DUMMYFUNCTION("""COMPUTED_VALUE"""),46057)</f>
        <v>46057</v>
      </c>
      <c r="S633" s="15">
        <f ca="1">IFERROR(__xludf.DUMMYFUNCTION("""COMPUTED_VALUE"""),46064)</f>
        <v>46064</v>
      </c>
      <c r="T633" s="5" t="b">
        <f ca="1">IFERROR(__xludf.DUMMYFUNCTION("""COMPUTED_VALUE"""),TRUE)</f>
        <v>1</v>
      </c>
      <c r="U633" s="5" t="str">
        <f ca="1">IFERROR(__xludf.DUMMYFUNCTION("""COMPUTED_VALUE"""),"5x3")</f>
        <v>5x3</v>
      </c>
      <c r="V633" s="5">
        <f ca="1">IFERROR(__xludf.DUMMYFUNCTION("""COMPUTED_VALUE"""),5)</f>
        <v>5</v>
      </c>
      <c r="W633" s="5">
        <f ca="1">IFERROR(__xludf.DUMMYFUNCTION("""COMPUTED_VALUE"""),5)</f>
        <v>5</v>
      </c>
      <c r="X633" s="5">
        <f ca="1">IFERROR(__xludf.DUMMYFUNCTION("""COMPUTED_VALUE"""),96.51)</f>
        <v>96.51</v>
      </c>
      <c r="Y633" s="5" t="str">
        <f ca="1">IFERROR(__xludf.DUMMYFUNCTION("""COMPUTED_VALUE"""),"Medium")</f>
        <v>Medium</v>
      </c>
      <c r="Z633" s="5">
        <f ca="1">IFERROR(__xludf.DUMMYFUNCTION("""COMPUTED_VALUE"""),15.16)</f>
        <v>15.16</v>
      </c>
      <c r="AA633" s="5">
        <f ca="1">IFERROR(__xludf.DUMMYFUNCTION("""COMPUTED_VALUE"""),1312)</f>
        <v>1312</v>
      </c>
      <c r="AB633" s="5"/>
      <c r="AC633" s="5" t="str">
        <f ca="1">IFERROR(__xludf.DUMMYFUNCTION("""COMPUTED_VALUE"""),"Expanding Wild, Scatter")</f>
        <v>Expanding Wild, Scatter</v>
      </c>
      <c r="AD633" s="5" t="str">
        <f ca="1">IFERROR(__xludf.DUMMYFUNCTION("""COMPUTED_VALUE"""),"0.05/50")</f>
        <v>0.05/50</v>
      </c>
      <c r="AE633" s="5"/>
      <c r="AF633" s="5"/>
      <c r="AG633" s="10">
        <f ca="1">IFERROR(__xludf.DUMMYFUNCTION("""COMPUTED_VALUE"""),46212.5632175925)</f>
        <v>46212.563217592498</v>
      </c>
      <c r="AH633" s="5" t="str">
        <f ca="1">IFERROR(__xludf.DUMMYFUNCTION("""COMPUTED_VALUE"""),"selena.mihajlovic@fazi.rs")</f>
        <v>selena.mihajlovic@fazi.rs</v>
      </c>
      <c r="AI633" s="5"/>
      <c r="AJ633" s="5"/>
      <c r="AK633" s="5">
        <f ca="1">IFERROR(__xludf.DUMMYFUNCTION("""COMPUTED_VALUE"""),1)</f>
        <v>1</v>
      </c>
      <c r="AL633" s="5" t="str">
        <f ca="1">IFERROR(__xludf.DUMMYFUNCTION("""COMPUTED_VALUE"""),"No")</f>
        <v>No</v>
      </c>
      <c r="AM633" s="5" t="str">
        <f ca="1">IFERROR(__xludf.DUMMYFUNCTION("""COMPUTED_VALUE"""),"Yes")</f>
        <v>Yes</v>
      </c>
      <c r="AN633" s="7" t="str">
        <f ca="1">IFERROR(__xludf.DUMMYFUNCTION("""COMPUTED_VALUE"""),"https://static.redstone.rs/games/respin-fortune/")</f>
        <v>https://static.redstone.rs/games/respin-fortune/</v>
      </c>
      <c r="AO633" s="5" t="str">
        <f ca="1">IFERROR(__xludf.DUMMYFUNCTION("""COMPUTED_VALUE"""),"No")</f>
        <v>No</v>
      </c>
      <c r="AP633" s="5" t="str">
        <f ca="1">IFERROR(__xludf.DUMMYFUNCTION("""COMPUTED_VALUE"""),"No")</f>
        <v>No</v>
      </c>
      <c r="AQ633" s="5" t="b">
        <f ca="1">IFERROR(__xludf.DUMMYFUNCTION("""COMPUTED_VALUE"""),TRUE)</f>
        <v>1</v>
      </c>
      <c r="AR633" s="5"/>
      <c r="AS633" s="5" t="str">
        <f ca="1">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AT633" s="5"/>
      <c r="AU633" s="5" t="str">
        <f ca="1">IFERROR(__xludf.DUMMYFUNCTION("""COMPUTED_VALUE"""),"Redstone")</f>
        <v>Redstone</v>
      </c>
      <c r="AV633" s="5"/>
      <c r="AW633" s="5"/>
      <c r="AX633" s="15">
        <f ca="1">IFERROR(__xludf.DUMMYFUNCTION("""COMPUTED_VALUE"""),46049)</f>
        <v>46049</v>
      </c>
      <c r="AY633" s="5"/>
      <c r="AZ633" s="5"/>
      <c r="BA633" s="5"/>
      <c r="BB633" s="5" t="b">
        <f ca="1">IFERROR(__xludf.DUMMYFUNCTION("""COMPUTED_VALUE"""),TRUE)</f>
        <v>1</v>
      </c>
      <c r="BC633" s="5" t="str">
        <f ca="1">IFERROR(__xludf.DUMMYFUNCTION("""COMPUTED_VALUE"""),"Redstone")</f>
        <v>Redstone</v>
      </c>
      <c r="BD633" s="7" t="str">
        <f ca="1">IFERROR(__xludf.DUMMYFUNCTION("""COMPUTED_VALUE"""),"https://static.redstone.rs/games/respin-fortune/")</f>
        <v>https://static.redstone.rs/games/respin-fortune/</v>
      </c>
      <c r="BE633" s="5" t="b">
        <f ca="1">IFERROR(__xludf.DUMMYFUNCTION("""COMPUTED_VALUE"""),TRUE)</f>
        <v>1</v>
      </c>
    </row>
    <row r="634" spans="1:57" x14ac:dyDescent="0.25">
      <c r="A634" s="5">
        <f ca="1">IFERROR(__xludf.DUMMYFUNCTION("""COMPUTED_VALUE"""),669)</f>
        <v>669</v>
      </c>
      <c r="B634" s="5">
        <f ca="1">IFERROR(__xludf.DUMMYFUNCTION("""COMPUTED_VALUE"""),180059)</f>
        <v>180059</v>
      </c>
      <c r="C634" s="5" t="str">
        <f ca="1">IFERROR(__xludf.DUMMYFUNCTION("""COMPUTED_VALUE"""),"Redstone")</f>
        <v>Redstone</v>
      </c>
      <c r="D634" s="5" t="str">
        <f ca="1">IFERROR(__xludf.DUMMYFUNCTION("""COMPUTED_VALUE"""),"Multi Clover 5")</f>
        <v>Multi Clover 5</v>
      </c>
      <c r="E634" s="5" t="str">
        <f ca="1">IFERROR(__xludf.DUMMYFUNCTION("""COMPUTED_VALUE"""),"Redstone")</f>
        <v>Redstone</v>
      </c>
      <c r="F634" s="5" t="str">
        <f ca="1">IFERROR(__xludf.DUMMYFUNCTION("""COMPUTED_VALUE"""),"RedstoneMultiClover5")</f>
        <v>RedstoneMultiClover5</v>
      </c>
      <c r="G634" s="5" t="str">
        <f ca="1">IFERROR(__xludf.DUMMYFUNCTION("""COMPUTED_VALUE"""),"Live")</f>
        <v>Live</v>
      </c>
      <c r="H634" s="5"/>
      <c r="I634" s="5" t="str">
        <f ca="1">IFERROR(__xludf.DUMMYFUNCTION("""COMPUTED_VALUE"""),"Redstone")</f>
        <v>Redstone</v>
      </c>
      <c r="J634" s="5" t="str">
        <f ca="1">IFERROR(__xludf.DUMMYFUNCTION("""COMPUTED_VALUE"""),"JSON")</f>
        <v>JSON</v>
      </c>
      <c r="K634" s="5" t="str">
        <f ca="1">IFERROR(__xludf.DUMMYFUNCTION("""COMPUTED_VALUE"""),"Slot")</f>
        <v>Slot</v>
      </c>
      <c r="L634" s="5" t="str">
        <f ca="1">IFERROR(__xludf.DUMMYFUNCTION("""COMPUTED_VALUE""")," Reskin")</f>
        <v xml:space="preserve"> Reskin</v>
      </c>
      <c r="M634" s="5" t="str">
        <f ca="1">IFERROR(__xludf.DUMMYFUNCTION("""COMPUTED_VALUE"""),"Multi Heart 5")</f>
        <v>Multi Heart 5</v>
      </c>
      <c r="N634" s="7" t="str">
        <f ca="1">IFERROR(__xludf.DUMMYFUNCTION("""COMPUTED_VALUE"""),"https://docs.google.com/document/d/1wzPBJWwXuvufljN6Kmgln2SP6MhSZMou/edit?usp=drive_link&amp;ouid=107596163405648766688&amp;rtpof=true&amp;sd=true")</f>
        <v>https://docs.google.com/document/d/1wzPBJWwXuvufljN6Kmgln2SP6MhSZMou/edit?usp=drive_link&amp;ouid=107596163405648766688&amp;rtpof=true&amp;sd=true</v>
      </c>
      <c r="O634" s="7" t="str">
        <f ca="1">IFERROR(__xludf.DUMMYFUNCTION("""COMPUTED_VALUE"""),"https://docs.google.com/document/d/1CA-DOGHXNfL6fj5zr4jY8e8HJzEtG5oz/edit?usp=drive_link&amp;ouid=107596163405648766688&amp;rtpof=true&amp;sd=true")</f>
        <v>https://docs.google.com/document/d/1CA-DOGHXNfL6fj5zr4jY8e8HJzEtG5oz/edit?usp=drive_link&amp;ouid=107596163405648766688&amp;rtpof=true&amp;sd=true</v>
      </c>
      <c r="P634" s="14">
        <f ca="1">IFERROR(__xludf.DUMMYFUNCTION("""COMPUTED_VALUE"""),9)</f>
        <v>9</v>
      </c>
      <c r="Q634" s="15">
        <f ca="1">IFERROR(__xludf.DUMMYFUNCTION("""COMPUTED_VALUE"""),46055)</f>
        <v>46055</v>
      </c>
      <c r="R634" s="15">
        <f ca="1">IFERROR(__xludf.DUMMYFUNCTION("""COMPUTED_VALUE"""),46059)</f>
        <v>46059</v>
      </c>
      <c r="S634" s="15">
        <f ca="1">IFERROR(__xludf.DUMMYFUNCTION("""COMPUTED_VALUE"""),46066)</f>
        <v>46066</v>
      </c>
      <c r="T634" s="5" t="b">
        <f ca="1">IFERROR(__xludf.DUMMYFUNCTION("""COMPUTED_VALUE"""),TRUE)</f>
        <v>1</v>
      </c>
      <c r="U634" s="5" t="str">
        <f ca="1">IFERROR(__xludf.DUMMYFUNCTION("""COMPUTED_VALUE"""),"5x3")</f>
        <v>5x3</v>
      </c>
      <c r="V634" s="5">
        <f ca="1">IFERROR(__xludf.DUMMYFUNCTION("""COMPUTED_VALUE"""),5)</f>
        <v>5</v>
      </c>
      <c r="W634" s="5">
        <f ca="1">IFERROR(__xludf.DUMMYFUNCTION("""COMPUTED_VALUE"""),5)</f>
        <v>5</v>
      </c>
      <c r="X634" s="5">
        <f ca="1">IFERROR(__xludf.DUMMYFUNCTION("""COMPUTED_VALUE"""),96.96)</f>
        <v>96.96</v>
      </c>
      <c r="Y634" s="5" t="str">
        <f ca="1">IFERROR(__xludf.DUMMYFUNCTION("""COMPUTED_VALUE"""),"Medium")</f>
        <v>Medium</v>
      </c>
      <c r="Z634" s="5">
        <f ca="1">IFERROR(__xludf.DUMMYFUNCTION("""COMPUTED_VALUE"""),10.7)</f>
        <v>10.7</v>
      </c>
      <c r="AA634" s="5">
        <f ca="1">IFERROR(__xludf.DUMMYFUNCTION("""COMPUTED_VALUE"""),2150)</f>
        <v>2150</v>
      </c>
      <c r="AB634" s="5"/>
      <c r="AC634" s="5" t="str">
        <f ca="1">IFERROR(__xludf.DUMMYFUNCTION("""COMPUTED_VALUE"""),"Expanding Wild, Wild Multiplier")</f>
        <v>Expanding Wild, Wild Multiplier</v>
      </c>
      <c r="AD634" s="5" t="str">
        <f ca="1">IFERROR(__xludf.DUMMYFUNCTION("""COMPUTED_VALUE"""),"0.05/30")</f>
        <v>0.05/30</v>
      </c>
      <c r="AE634" s="5"/>
      <c r="AF634" s="5"/>
      <c r="AG634" s="10">
        <f ca="1">IFERROR(__xludf.DUMMYFUNCTION("""COMPUTED_VALUE"""),46212.5636689814)</f>
        <v>46212.563668981398</v>
      </c>
      <c r="AH634" s="5" t="str">
        <f ca="1">IFERROR(__xludf.DUMMYFUNCTION("""COMPUTED_VALUE"""),"selena.mihajlovic@fazi.rs")</f>
        <v>selena.mihajlovic@fazi.rs</v>
      </c>
      <c r="AI634" s="5"/>
      <c r="AJ634" s="5"/>
      <c r="AK634" s="5">
        <f ca="1">IFERROR(__xludf.DUMMYFUNCTION("""COMPUTED_VALUE"""),1)</f>
        <v>1</v>
      </c>
      <c r="AL634" s="5" t="str">
        <f ca="1">IFERROR(__xludf.DUMMYFUNCTION("""COMPUTED_VALUE"""),"No")</f>
        <v>No</v>
      </c>
      <c r="AM634" s="5" t="str">
        <f ca="1">IFERROR(__xludf.DUMMYFUNCTION("""COMPUTED_VALUE"""),"No")</f>
        <v>No</v>
      </c>
      <c r="AN634" s="7" t="str">
        <f ca="1">IFERROR(__xludf.DUMMYFUNCTION("""COMPUTED_VALUE"""),"https://static.redstone.rs/games/multi-clover-5/")</f>
        <v>https://static.redstone.rs/games/multi-clover-5/</v>
      </c>
      <c r="AO634" s="5" t="str">
        <f ca="1">IFERROR(__xludf.DUMMYFUNCTION("""COMPUTED_VALUE"""),"No")</f>
        <v>No</v>
      </c>
      <c r="AP634" s="5" t="str">
        <f ca="1">IFERROR(__xludf.DUMMYFUNCTION("""COMPUTED_VALUE"""),"No")</f>
        <v>No</v>
      </c>
      <c r="AQ634" s="5" t="b">
        <f ca="1">IFERROR(__xludf.DUMMYFUNCTION("""COMPUTED_VALUE"""),TRUE)</f>
        <v>1</v>
      </c>
      <c r="AR634" s="5"/>
      <c r="AS634" s="5" t="str">
        <f ca="1">IFERROR(__xludf.DUMMYFUNCTION("""COMPUTED_VALUE"""),"Spin into a world of clovers and magic with Multi Clover 5. One clover can change everything - watch as expanding wilds boost your winnings with x2, x3 or x5 multipliers! ")</f>
        <v xml:space="preserve">Spin into a world of clovers and magic with Multi Clover 5. One clover can change everything - watch as expanding wilds boost your winnings with x2, x3 or x5 multipliers! </v>
      </c>
      <c r="AT634" s="5"/>
      <c r="AU634" s="5" t="str">
        <f ca="1">IFERROR(__xludf.DUMMYFUNCTION("""COMPUTED_VALUE"""),"Redstone")</f>
        <v>Redstone</v>
      </c>
      <c r="AV634" s="5"/>
      <c r="AW634" s="5"/>
      <c r="AX634" s="15">
        <f ca="1">IFERROR(__xludf.DUMMYFUNCTION("""COMPUTED_VALUE"""),46049)</f>
        <v>46049</v>
      </c>
      <c r="AY634" s="5"/>
      <c r="AZ634" s="5"/>
      <c r="BA634" s="5"/>
      <c r="BB634" s="5" t="b">
        <f ca="1">IFERROR(__xludf.DUMMYFUNCTION("""COMPUTED_VALUE"""),TRUE)</f>
        <v>1</v>
      </c>
      <c r="BC634" s="5" t="str">
        <f ca="1">IFERROR(__xludf.DUMMYFUNCTION("""COMPUTED_VALUE"""),"Redstone")</f>
        <v>Redstone</v>
      </c>
      <c r="BD634" s="7" t="str">
        <f ca="1">IFERROR(__xludf.DUMMYFUNCTION("""COMPUTED_VALUE"""),"https://static.redstone.rs/games/multi-clover-5/")</f>
        <v>https://static.redstone.rs/games/multi-clover-5/</v>
      </c>
      <c r="BE634" s="5" t="b">
        <f ca="1">IFERROR(__xludf.DUMMYFUNCTION("""COMPUTED_VALUE"""),TRUE)</f>
        <v>1</v>
      </c>
    </row>
    <row r="635" spans="1:57" x14ac:dyDescent="0.25">
      <c r="A635" s="5">
        <f ca="1">IFERROR(__xludf.DUMMYFUNCTION("""COMPUTED_VALUE"""),670)</f>
        <v>670</v>
      </c>
      <c r="B635" s="5">
        <f ca="1">IFERROR(__xludf.DUMMYFUNCTION("""COMPUTED_VALUE"""),180061)</f>
        <v>180061</v>
      </c>
      <c r="C635" s="5" t="str">
        <f ca="1">IFERROR(__xludf.DUMMYFUNCTION("""COMPUTED_VALUE"""),"Redstone")</f>
        <v>Redstone</v>
      </c>
      <c r="D635" s="5" t="str">
        <f ca="1">IFERROR(__xludf.DUMMYFUNCTION("""COMPUTED_VALUE"""),"Joker X5")</f>
        <v>Joker X5</v>
      </c>
      <c r="E635" s="5" t="str">
        <f ca="1">IFERROR(__xludf.DUMMYFUNCTION("""COMPUTED_VALUE"""),"Redstone")</f>
        <v>Redstone</v>
      </c>
      <c r="F635" s="5" t="str">
        <f ca="1">IFERROR(__xludf.DUMMYFUNCTION("""COMPUTED_VALUE"""),"RedstoneJokerX5")</f>
        <v>RedstoneJokerX5</v>
      </c>
      <c r="G635" s="5" t="str">
        <f ca="1">IFERROR(__xludf.DUMMYFUNCTION("""COMPUTED_VALUE"""),"Live")</f>
        <v>Live</v>
      </c>
      <c r="H635" s="5"/>
      <c r="I635" s="5" t="str">
        <f ca="1">IFERROR(__xludf.DUMMYFUNCTION("""COMPUTED_VALUE"""),"Redstone")</f>
        <v>Redstone</v>
      </c>
      <c r="J635" s="5" t="str">
        <f ca="1">IFERROR(__xludf.DUMMYFUNCTION("""COMPUTED_VALUE"""),"JSON")</f>
        <v>JSON</v>
      </c>
      <c r="K635" s="5" t="str">
        <f ca="1">IFERROR(__xludf.DUMMYFUNCTION("""COMPUTED_VALUE"""),"Slot")</f>
        <v>Slot</v>
      </c>
      <c r="L635" s="5" t="str">
        <f ca="1">IFERROR(__xludf.DUMMYFUNCTION("""COMPUTED_VALUE"""),"Master")</f>
        <v>Master</v>
      </c>
      <c r="M635" s="5"/>
      <c r="N635" s="7" t="str">
        <f ca="1">IFERROR(__xludf.DUMMYFUNCTION("""COMPUTED_VALUE"""),"https://docs.google.com/document/d/13VQCcA2uI4ImiSslyB6pgz9y_3Z85CL_/edit?usp=drive_link&amp;ouid=107596163405648766688&amp;rtpof=true&amp;sd=true")</f>
        <v>https://docs.google.com/document/d/13VQCcA2uI4ImiSslyB6pgz9y_3Z85CL_/edit?usp=drive_link&amp;ouid=107596163405648766688&amp;rtpof=true&amp;sd=true</v>
      </c>
      <c r="O635" s="7" t="str">
        <f ca="1">IFERROR(__xludf.DUMMYFUNCTION("""COMPUTED_VALUE"""),"https://docs.google.com/document/d/1tgJ-m4QeO4h1NF64p-_ADVba9SjKryZ4/edit?usp=drive_link&amp;ouid=107596163405648766688&amp;rtpof=true&amp;sd=true")</f>
        <v>https://docs.google.com/document/d/1tgJ-m4QeO4h1NF64p-_ADVba9SjKryZ4/edit?usp=drive_link&amp;ouid=107596163405648766688&amp;rtpof=true&amp;sd=true</v>
      </c>
      <c r="P635" s="14">
        <f ca="1">IFERROR(__xludf.DUMMYFUNCTION("""COMPUTED_VALUE"""),8)</f>
        <v>8</v>
      </c>
      <c r="Q635" s="15">
        <f ca="1">IFERROR(__xludf.DUMMYFUNCTION("""COMPUTED_VALUE"""),46071)</f>
        <v>46071</v>
      </c>
      <c r="R635" s="15">
        <f ca="1">IFERROR(__xludf.DUMMYFUNCTION("""COMPUTED_VALUE"""),46069)</f>
        <v>46069</v>
      </c>
      <c r="S635" s="15">
        <f ca="1">IFERROR(__xludf.DUMMYFUNCTION("""COMPUTED_VALUE"""),46076)</f>
        <v>46076</v>
      </c>
      <c r="T635" s="5" t="b">
        <f ca="1">IFERROR(__xludf.DUMMYFUNCTION("""COMPUTED_VALUE"""),TRUE)</f>
        <v>1</v>
      </c>
      <c r="U635" s="5" t="str">
        <f ca="1">IFERROR(__xludf.DUMMYFUNCTION("""COMPUTED_VALUE"""),"3x3")</f>
        <v>3x3</v>
      </c>
      <c r="V635" s="5">
        <f ca="1">IFERROR(__xludf.DUMMYFUNCTION("""COMPUTED_VALUE"""),5)</f>
        <v>5</v>
      </c>
      <c r="W635" s="5">
        <f ca="1">IFERROR(__xludf.DUMMYFUNCTION("""COMPUTED_VALUE"""),5)</f>
        <v>5</v>
      </c>
      <c r="X635" s="5">
        <f ca="1">IFERROR(__xludf.DUMMYFUNCTION("""COMPUTED_VALUE"""),96.53)</f>
        <v>96.53</v>
      </c>
      <c r="Y635" s="5" t="str">
        <f ca="1">IFERROR(__xludf.DUMMYFUNCTION("""COMPUTED_VALUE"""),"Medium")</f>
        <v>Medium</v>
      </c>
      <c r="Z635" s="5">
        <f ca="1">IFERROR(__xludf.DUMMYFUNCTION("""COMPUTED_VALUE"""),16.49)</f>
        <v>16.489999999999998</v>
      </c>
      <c r="AA635" s="5">
        <f ca="1">IFERROR(__xludf.DUMMYFUNCTION("""COMPUTED_VALUE"""),900)</f>
        <v>900</v>
      </c>
      <c r="AB635" s="5"/>
      <c r="AC635" s="5" t="str">
        <f ca="1">IFERROR(__xludf.DUMMYFUNCTION("""COMPUTED_VALUE"""),"Expanding Wild, Wild Multiplier")</f>
        <v>Expanding Wild, Wild Multiplier</v>
      </c>
      <c r="AD635" s="5" t="str">
        <f ca="1">IFERROR(__xludf.DUMMYFUNCTION("""COMPUTED_VALUE"""),"0.10/50")</f>
        <v>0.10/50</v>
      </c>
      <c r="AE635" s="5"/>
      <c r="AF635" s="5"/>
      <c r="AG635" s="10">
        <f ca="1">IFERROR(__xludf.DUMMYFUNCTION("""COMPUTED_VALUE"""),46212.5639814814)</f>
        <v>46212.563981481399</v>
      </c>
      <c r="AH635" s="5" t="str">
        <f ca="1">IFERROR(__xludf.DUMMYFUNCTION("""COMPUTED_VALUE"""),"selena.mihajlovic@fazi.rs")</f>
        <v>selena.mihajlovic@fazi.rs</v>
      </c>
      <c r="AI635" s="5"/>
      <c r="AJ635" s="5"/>
      <c r="AK635" s="5">
        <f ca="1">IFERROR(__xludf.DUMMYFUNCTION("""COMPUTED_VALUE"""),1)</f>
        <v>1</v>
      </c>
      <c r="AL635" s="5" t="str">
        <f ca="1">IFERROR(__xludf.DUMMYFUNCTION("""COMPUTED_VALUE"""),"No")</f>
        <v>No</v>
      </c>
      <c r="AM635" s="5" t="str">
        <f ca="1">IFERROR(__xludf.DUMMYFUNCTION("""COMPUTED_VALUE"""),"Yes")</f>
        <v>Yes</v>
      </c>
      <c r="AN635" s="7" t="str">
        <f ca="1">IFERROR(__xludf.DUMMYFUNCTION("""COMPUTED_VALUE"""),"https://static.redstone.rs/games/joker-x5/")</f>
        <v>https://static.redstone.rs/games/joker-x5/</v>
      </c>
      <c r="AO635" s="5" t="str">
        <f ca="1">IFERROR(__xludf.DUMMYFUNCTION("""COMPUTED_VALUE"""),"No")</f>
        <v>No</v>
      </c>
      <c r="AP635" s="5" t="str">
        <f ca="1">IFERROR(__xludf.DUMMYFUNCTION("""COMPUTED_VALUE"""),"No")</f>
        <v>No</v>
      </c>
      <c r="AQ635" s="5" t="b">
        <f ca="1">IFERROR(__xludf.DUMMYFUNCTION("""COMPUTED_VALUE"""),TRUE)</f>
        <v>1</v>
      </c>
      <c r="AR635" s="5"/>
      <c r="AS635" s="5" t="str">
        <f ca="1">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AT635" s="5"/>
      <c r="AU635" s="5" t="str">
        <f ca="1">IFERROR(__xludf.DUMMYFUNCTION("""COMPUTED_VALUE"""),"Redstone")</f>
        <v>Redstone</v>
      </c>
      <c r="AV635" s="5">
        <f ca="1">IFERROR(__xludf.DUMMYFUNCTION("""COMPUTED_VALUE"""),10)</f>
        <v>10</v>
      </c>
      <c r="AW635" s="5"/>
      <c r="AX635" s="15">
        <f ca="1">IFERROR(__xludf.DUMMYFUNCTION("""COMPUTED_VALUE"""),46063)</f>
        <v>46063</v>
      </c>
      <c r="AY635" s="5"/>
      <c r="AZ635" s="5"/>
      <c r="BA635" s="5"/>
      <c r="BB635" s="5" t="b">
        <f ca="1">IFERROR(__xludf.DUMMYFUNCTION("""COMPUTED_VALUE"""),TRUE)</f>
        <v>1</v>
      </c>
      <c r="BC635" s="5" t="str">
        <f ca="1">IFERROR(__xludf.DUMMYFUNCTION("""COMPUTED_VALUE"""),"Redstone")</f>
        <v>Redstone</v>
      </c>
      <c r="BD635" s="7" t="str">
        <f ca="1">IFERROR(__xludf.DUMMYFUNCTION("""COMPUTED_VALUE"""),"https://static.redstone.rs/games/joker-x5/")</f>
        <v>https://static.redstone.rs/games/joker-x5/</v>
      </c>
      <c r="BE635" s="5" t="b">
        <f ca="1">IFERROR(__xludf.DUMMYFUNCTION("""COMPUTED_VALUE"""),TRUE)</f>
        <v>1</v>
      </c>
    </row>
    <row r="636" spans="1:57" x14ac:dyDescent="0.25">
      <c r="A636" s="5">
        <f ca="1">IFERROR(__xludf.DUMMYFUNCTION("""COMPUTED_VALUE"""),671)</f>
        <v>671</v>
      </c>
      <c r="B636" s="5">
        <f ca="1">IFERROR(__xludf.DUMMYFUNCTION("""COMPUTED_VALUE"""),180062)</f>
        <v>180062</v>
      </c>
      <c r="C636" s="5" t="str">
        <f ca="1">IFERROR(__xludf.DUMMYFUNCTION("""COMPUTED_VALUE"""),"Redstone")</f>
        <v>Redstone</v>
      </c>
      <c r="D636" s="5" t="str">
        <f ca="1">IFERROR(__xludf.DUMMYFUNCTION("""COMPUTED_VALUE"""),"Clover Rush 5")</f>
        <v>Clover Rush 5</v>
      </c>
      <c r="E636" s="5" t="str">
        <f ca="1">IFERROR(__xludf.DUMMYFUNCTION("""COMPUTED_VALUE"""),"Redstone")</f>
        <v>Redstone</v>
      </c>
      <c r="F636" s="5" t="str">
        <f ca="1">IFERROR(__xludf.DUMMYFUNCTION("""COMPUTED_VALUE"""),"RedstoneCloverRush5")</f>
        <v>RedstoneCloverRush5</v>
      </c>
      <c r="G636" s="5" t="str">
        <f ca="1">IFERROR(__xludf.DUMMYFUNCTION("""COMPUTED_VALUE"""),"Live")</f>
        <v>Live</v>
      </c>
      <c r="H636" s="5"/>
      <c r="I636" s="5" t="str">
        <f ca="1">IFERROR(__xludf.DUMMYFUNCTION("""COMPUTED_VALUE"""),"Redstone")</f>
        <v>Redstone</v>
      </c>
      <c r="J636" s="5" t="str">
        <f ca="1">IFERROR(__xludf.DUMMYFUNCTION("""COMPUTED_VALUE"""),"JSON")</f>
        <v>JSON</v>
      </c>
      <c r="K636" s="5" t="str">
        <f ca="1">IFERROR(__xludf.DUMMYFUNCTION("""COMPUTED_VALUE"""),"Slot")</f>
        <v>Slot</v>
      </c>
      <c r="L636" s="5" t="str">
        <f ca="1">IFERROR(__xludf.DUMMYFUNCTION("""COMPUTED_VALUE"""),"Master")</f>
        <v>Master</v>
      </c>
      <c r="M636" s="5"/>
      <c r="N636" s="7" t="str">
        <f ca="1">IFERROR(__xludf.DUMMYFUNCTION("""COMPUTED_VALUE"""),"https://docs.google.com/document/d/1FMg9--0MWZeZFnRKqkBGifB1FHm8gU5l/edit?usp=drive_link&amp;ouid=107596163405648766688&amp;rtpof=true&amp;sd=true")</f>
        <v>https://docs.google.com/document/d/1FMg9--0MWZeZFnRKqkBGifB1FHm8gU5l/edit?usp=drive_link&amp;ouid=107596163405648766688&amp;rtpof=true&amp;sd=true</v>
      </c>
      <c r="O636" s="7" t="str">
        <f ca="1">IFERROR(__xludf.DUMMYFUNCTION("""COMPUTED_VALUE"""),"https://docs.google.com/document/d/10ybc6vdKmjHZzpC4LGSCTb-5Sb3kS4i1/edit?usp=drive_link&amp;ouid=107596163405648766688&amp;rtpof=true&amp;sd=true")</f>
        <v>https://docs.google.com/document/d/10ybc6vdKmjHZzpC4LGSCTb-5Sb3kS4i1/edit?usp=drive_link&amp;ouid=107596163405648766688&amp;rtpof=true&amp;sd=true</v>
      </c>
      <c r="P636" s="14">
        <f ca="1">IFERROR(__xludf.DUMMYFUNCTION("""COMPUTED_VALUE"""),10)</f>
        <v>10</v>
      </c>
      <c r="Q636" s="15">
        <f ca="1">IFERROR(__xludf.DUMMYFUNCTION("""COMPUTED_VALUE"""),46071)</f>
        <v>46071</v>
      </c>
      <c r="R636" s="15">
        <f ca="1">IFERROR(__xludf.DUMMYFUNCTION("""COMPUTED_VALUE"""),46079)</f>
        <v>46079</v>
      </c>
      <c r="S636" s="15">
        <f ca="1">IFERROR(__xludf.DUMMYFUNCTION("""COMPUTED_VALUE"""),46086)</f>
        <v>46086</v>
      </c>
      <c r="T636" s="5" t="b">
        <f ca="1">IFERROR(__xludf.DUMMYFUNCTION("""COMPUTED_VALUE"""),TRUE)</f>
        <v>1</v>
      </c>
      <c r="U636" s="5" t="str">
        <f ca="1">IFERROR(__xludf.DUMMYFUNCTION("""COMPUTED_VALUE"""),"5x3")</f>
        <v>5x3</v>
      </c>
      <c r="V636" s="5">
        <f ca="1">IFERROR(__xludf.DUMMYFUNCTION("""COMPUTED_VALUE"""),5)</f>
        <v>5</v>
      </c>
      <c r="W636" s="5">
        <f ca="1">IFERROR(__xludf.DUMMYFUNCTION("""COMPUTED_VALUE"""),5)</f>
        <v>5</v>
      </c>
      <c r="X636" s="5">
        <f ca="1">IFERROR(__xludf.DUMMYFUNCTION("""COMPUTED_VALUE"""),96.35)</f>
        <v>96.35</v>
      </c>
      <c r="Y636" s="5" t="str">
        <f ca="1">IFERROR(__xludf.DUMMYFUNCTION("""COMPUTED_VALUE"""),"Medium")</f>
        <v>Medium</v>
      </c>
      <c r="Z636" s="5">
        <f ca="1">IFERROR(__xludf.DUMMYFUNCTION("""COMPUTED_VALUE"""),11.36)</f>
        <v>11.36</v>
      </c>
      <c r="AA636" s="5">
        <f ca="1">IFERROR(__xludf.DUMMYFUNCTION("""COMPUTED_VALUE"""),2000)</f>
        <v>2000</v>
      </c>
      <c r="AB636" s="5"/>
      <c r="AC636" s="5" t="str">
        <f ca="1">IFERROR(__xludf.DUMMYFUNCTION("""COMPUTED_VALUE"""),"Win Multiplier, Expanding Wild")</f>
        <v>Win Multiplier, Expanding Wild</v>
      </c>
      <c r="AD636" s="5" t="str">
        <f ca="1">IFERROR(__xludf.DUMMYFUNCTION("""COMPUTED_VALUE"""),"0.10/50")</f>
        <v>0.10/50</v>
      </c>
      <c r="AE636" s="5"/>
      <c r="AF636" s="5"/>
      <c r="AG636" s="10">
        <f ca="1">IFERROR(__xludf.DUMMYFUNCTION("""COMPUTED_VALUE"""),46212.564375)</f>
        <v>46212.564375000002</v>
      </c>
      <c r="AH636" s="5" t="str">
        <f ca="1">IFERROR(__xludf.DUMMYFUNCTION("""COMPUTED_VALUE"""),"selena.mihajlovic@fazi.rs")</f>
        <v>selena.mihajlovic@fazi.rs</v>
      </c>
      <c r="AI636" s="5"/>
      <c r="AJ636" s="5"/>
      <c r="AK636" s="5">
        <f ca="1">IFERROR(__xludf.DUMMYFUNCTION("""COMPUTED_VALUE"""),1)</f>
        <v>1</v>
      </c>
      <c r="AL636" s="5" t="str">
        <f ca="1">IFERROR(__xludf.DUMMYFUNCTION("""COMPUTED_VALUE"""),"No")</f>
        <v>No</v>
      </c>
      <c r="AM636" s="5" t="str">
        <f ca="1">IFERROR(__xludf.DUMMYFUNCTION("""COMPUTED_VALUE"""),"No")</f>
        <v>No</v>
      </c>
      <c r="AN636" s="7" t="str">
        <f ca="1">IFERROR(__xludf.DUMMYFUNCTION("""COMPUTED_VALUE"""),"https://static.redstone.rs/games/clover-rush-5/")</f>
        <v>https://static.redstone.rs/games/clover-rush-5/</v>
      </c>
      <c r="AO636" s="5" t="str">
        <f ca="1">IFERROR(__xludf.DUMMYFUNCTION("""COMPUTED_VALUE"""),"No")</f>
        <v>No</v>
      </c>
      <c r="AP636" s="5" t="str">
        <f ca="1">IFERROR(__xludf.DUMMYFUNCTION("""COMPUTED_VALUE"""),"No")</f>
        <v>No</v>
      </c>
      <c r="AQ636" s="5" t="b">
        <f ca="1">IFERROR(__xludf.DUMMYFUNCTION("""COMPUTED_VALUE"""),TRUE)</f>
        <v>1</v>
      </c>
      <c r="AR636" s="5"/>
      <c r="AS636" s="5" t="str">
        <f ca="1">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AT636" s="5"/>
      <c r="AU636" s="5" t="str">
        <f ca="1">IFERROR(__xludf.DUMMYFUNCTION("""COMPUTED_VALUE"""),"Redstone")</f>
        <v>Redstone</v>
      </c>
      <c r="AV636" s="5">
        <f ca="1">IFERROR(__xludf.DUMMYFUNCTION("""COMPUTED_VALUE"""),10)</f>
        <v>10</v>
      </c>
      <c r="AW636" s="5"/>
      <c r="AX636" s="15">
        <f ca="1">IFERROR(__xludf.DUMMYFUNCTION("""COMPUTED_VALUE"""),46063)</f>
        <v>46063</v>
      </c>
      <c r="AY636" s="5"/>
      <c r="AZ636" s="5"/>
      <c r="BA636" s="5"/>
      <c r="BB636" s="5" t="b">
        <f ca="1">IFERROR(__xludf.DUMMYFUNCTION("""COMPUTED_VALUE"""),TRUE)</f>
        <v>1</v>
      </c>
      <c r="BC636" s="5" t="str">
        <f ca="1">IFERROR(__xludf.DUMMYFUNCTION("""COMPUTED_VALUE"""),"Redstone")</f>
        <v>Redstone</v>
      </c>
      <c r="BD636" s="7" t="str">
        <f ca="1">IFERROR(__xludf.DUMMYFUNCTION("""COMPUTED_VALUE"""),"https://static.redstone.rs/games/clover-rush-5/")</f>
        <v>https://static.redstone.rs/games/clover-rush-5/</v>
      </c>
      <c r="BE636" s="5" t="b">
        <f ca="1">IFERROR(__xludf.DUMMYFUNCTION("""COMPUTED_VALUE"""),TRUE)</f>
        <v>1</v>
      </c>
    </row>
    <row r="637" spans="1:57" x14ac:dyDescent="0.25">
      <c r="A637" s="5">
        <f ca="1">IFERROR(__xludf.DUMMYFUNCTION("""COMPUTED_VALUE"""),672)</f>
        <v>672</v>
      </c>
      <c r="B637" s="5">
        <f ca="1">IFERROR(__xludf.DUMMYFUNCTION("""COMPUTED_VALUE"""),180057)</f>
        <v>180057</v>
      </c>
      <c r="C637" s="5" t="str">
        <f ca="1">IFERROR(__xludf.DUMMYFUNCTION("""COMPUTED_VALUE"""),"Redstone")</f>
        <v>Redstone</v>
      </c>
      <c r="D637" s="5" t="str">
        <f ca="1">IFERROR(__xludf.DUMMYFUNCTION("""COMPUTED_VALUE"""),"5 Bell Fire")</f>
        <v>5 Bell Fire</v>
      </c>
      <c r="E637" s="5" t="str">
        <f ca="1">IFERROR(__xludf.DUMMYFUNCTION("""COMPUTED_VALUE"""),"Redstone")</f>
        <v>Redstone</v>
      </c>
      <c r="F637" s="5" t="str">
        <f ca="1">IFERROR(__xludf.DUMMYFUNCTION("""COMPUTED_VALUE"""),"Redstone5BellFire")</f>
        <v>Redstone5BellFire</v>
      </c>
      <c r="G637" s="5" t="str">
        <f ca="1">IFERROR(__xludf.DUMMYFUNCTION("""COMPUTED_VALUE"""),"Live")</f>
        <v>Live</v>
      </c>
      <c r="H637" s="5"/>
      <c r="I637" s="5" t="str">
        <f ca="1">IFERROR(__xludf.DUMMYFUNCTION("""COMPUTED_VALUE"""),"Redstone")</f>
        <v>Redstone</v>
      </c>
      <c r="J637" s="5" t="str">
        <f ca="1">IFERROR(__xludf.DUMMYFUNCTION("""COMPUTED_VALUE"""),"JSON")</f>
        <v>JSON</v>
      </c>
      <c r="K637" s="5" t="str">
        <f ca="1">IFERROR(__xludf.DUMMYFUNCTION("""COMPUTED_VALUE"""),"Slot")</f>
        <v>Slot</v>
      </c>
      <c r="L637" s="5" t="str">
        <f ca="1">IFERROR(__xludf.DUMMYFUNCTION("""COMPUTED_VALUE""")," Reskin")</f>
        <v xml:space="preserve"> Reskin</v>
      </c>
      <c r="M637" s="5" t="str">
        <f ca="1">IFERROR(__xludf.DUMMYFUNCTION("""COMPUTED_VALUE"""),"5 Clover Fire")</f>
        <v>5 Clover Fire</v>
      </c>
      <c r="N637" s="7" t="str">
        <f ca="1">IFERROR(__xludf.DUMMYFUNCTION("""COMPUTED_VALUE"""),"https://docs.google.com/document/d/1o1jIoDbRbS_pavC8Wn4PLnvu4UPh4BR2/edit?usp=drive_link&amp;ouid=107596163405648766688&amp;rtpof=true&amp;sd=true")</f>
        <v>https://docs.google.com/document/d/1o1jIoDbRbS_pavC8Wn4PLnvu4UPh4BR2/edit?usp=drive_link&amp;ouid=107596163405648766688&amp;rtpof=true&amp;sd=true</v>
      </c>
      <c r="O637" s="7" t="str">
        <f ca="1">IFERROR(__xludf.DUMMYFUNCTION("""COMPUTED_VALUE"""),"https://docs.google.com/document/d/1d0syaxpX5IuTfLZ9M4igW7N80Ay2svZd/edit?usp=drive_link&amp;ouid=107596163405648766688&amp;rtpof=true&amp;sd=true")</f>
        <v>https://docs.google.com/document/d/1d0syaxpX5IuTfLZ9M4igW7N80Ay2svZd/edit?usp=drive_link&amp;ouid=107596163405648766688&amp;rtpof=true&amp;sd=true</v>
      </c>
      <c r="P637" s="14">
        <f ca="1">IFERROR(__xludf.DUMMYFUNCTION("""COMPUTED_VALUE"""),8.8)</f>
        <v>8.8000000000000007</v>
      </c>
      <c r="Q637" s="15">
        <f ca="1">IFERROR(__xludf.DUMMYFUNCTION("""COMPUTED_VALUE"""),46055)</f>
        <v>46055</v>
      </c>
      <c r="R637" s="15">
        <f ca="1">IFERROR(__xludf.DUMMYFUNCTION("""COMPUTED_VALUE"""),46084)</f>
        <v>46084</v>
      </c>
      <c r="S637" s="15">
        <f ca="1">IFERROR(__xludf.DUMMYFUNCTION("""COMPUTED_VALUE"""),46091)</f>
        <v>46091</v>
      </c>
      <c r="T637" s="5" t="b">
        <f ca="1">IFERROR(__xludf.DUMMYFUNCTION("""COMPUTED_VALUE"""),TRUE)</f>
        <v>1</v>
      </c>
      <c r="U637" s="5" t="str">
        <f ca="1">IFERROR(__xludf.DUMMYFUNCTION("""COMPUTED_VALUE"""),"5x3")</f>
        <v>5x3</v>
      </c>
      <c r="V637" s="5">
        <f ca="1">IFERROR(__xludf.DUMMYFUNCTION("""COMPUTED_VALUE"""),5)</f>
        <v>5</v>
      </c>
      <c r="W637" s="5">
        <f ca="1">IFERROR(__xludf.DUMMYFUNCTION("""COMPUTED_VALUE"""),5)</f>
        <v>5</v>
      </c>
      <c r="X637" s="5">
        <f ca="1">IFERROR(__xludf.DUMMYFUNCTION("""COMPUTED_VALUE"""),96.45)</f>
        <v>96.45</v>
      </c>
      <c r="Y637" s="5" t="str">
        <f ca="1">IFERROR(__xludf.DUMMYFUNCTION("""COMPUTED_VALUE"""),"Medium")</f>
        <v>Medium</v>
      </c>
      <c r="Z637" s="5">
        <f ca="1">IFERROR(__xludf.DUMMYFUNCTION("""COMPUTED_VALUE"""),14.5)</f>
        <v>14.5</v>
      </c>
      <c r="AA637" s="5">
        <f ca="1">IFERROR(__xludf.DUMMYFUNCTION("""COMPUTED_VALUE"""),1222)</f>
        <v>1222</v>
      </c>
      <c r="AB637" s="5"/>
      <c r="AC637" s="5" t="str">
        <f ca="1">IFERROR(__xludf.DUMMYFUNCTION("""COMPUTED_VALUE"""),"Expanding Wild, Scatter")</f>
        <v>Expanding Wild, Scatter</v>
      </c>
      <c r="AD637" s="5" t="str">
        <f ca="1">IFERROR(__xludf.DUMMYFUNCTION("""COMPUTED_VALUE"""),"0.05/30")</f>
        <v>0.05/30</v>
      </c>
      <c r="AE637" s="5"/>
      <c r="AF637" s="5"/>
      <c r="AG637" s="10">
        <f ca="1">IFERROR(__xludf.DUMMYFUNCTION("""COMPUTED_VALUE"""),46191.5320601851)</f>
        <v>46191.532060185098</v>
      </c>
      <c r="AH637" s="5"/>
      <c r="AI637" s="5"/>
      <c r="AJ637" s="5"/>
      <c r="AK637" s="5">
        <f ca="1">IFERROR(__xludf.DUMMYFUNCTION("""COMPUTED_VALUE"""),1)</f>
        <v>1</v>
      </c>
      <c r="AL637" s="5" t="str">
        <f ca="1">IFERROR(__xludf.DUMMYFUNCTION("""COMPUTED_VALUE"""),"No")</f>
        <v>No</v>
      </c>
      <c r="AM637" s="5" t="str">
        <f ca="1">IFERROR(__xludf.DUMMYFUNCTION("""COMPUTED_VALUE"""),"No")</f>
        <v>No</v>
      </c>
      <c r="AN637" s="7" t="str">
        <f ca="1">IFERROR(__xludf.DUMMYFUNCTION("""COMPUTED_VALUE"""),"https://static.redstone.rs/games/5-bell-fire/")</f>
        <v>https://static.redstone.rs/games/5-bell-fire/</v>
      </c>
      <c r="AO637" s="5" t="str">
        <f ca="1">IFERROR(__xludf.DUMMYFUNCTION("""COMPUTED_VALUE"""),"No")</f>
        <v>No</v>
      </c>
      <c r="AP637" s="5" t="str">
        <f ca="1">IFERROR(__xludf.DUMMYFUNCTION("""COMPUTED_VALUE"""),"No")</f>
        <v>No</v>
      </c>
      <c r="AQ637" s="5" t="b">
        <f ca="1">IFERROR(__xludf.DUMMYFUNCTION("""COMPUTED_VALUE"""),TRUE)</f>
        <v>1</v>
      </c>
      <c r="AR637" s="5"/>
      <c r="AS637" s="5" t="str">
        <f ca="1">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AT637" s="5"/>
      <c r="AU637" s="5" t="str">
        <f ca="1">IFERROR(__xludf.DUMMYFUNCTION("""COMPUTED_VALUE"""),"Redstone")</f>
        <v>Redstone</v>
      </c>
      <c r="AV637" s="5"/>
      <c r="AW637" s="5"/>
      <c r="AX637" s="15">
        <f ca="1">IFERROR(__xludf.DUMMYFUNCTION("""COMPUTED_VALUE"""),46049)</f>
        <v>46049</v>
      </c>
      <c r="AY637" s="5"/>
      <c r="AZ637" s="5"/>
      <c r="BA637" s="5"/>
      <c r="BB637" s="5" t="b">
        <f ca="1">IFERROR(__xludf.DUMMYFUNCTION("""COMPUTED_VALUE"""),TRUE)</f>
        <v>1</v>
      </c>
      <c r="BC637" s="5" t="str">
        <f ca="1">IFERROR(__xludf.DUMMYFUNCTION("""COMPUTED_VALUE"""),"Redstone")</f>
        <v>Redstone</v>
      </c>
      <c r="BD637" s="7" t="str">
        <f ca="1">IFERROR(__xludf.DUMMYFUNCTION("""COMPUTED_VALUE"""),"https://static.redstone.rs/games/5-bell-fire/")</f>
        <v>https://static.redstone.rs/games/5-bell-fire/</v>
      </c>
      <c r="BE637" s="5" t="b">
        <f ca="1">IFERROR(__xludf.DUMMYFUNCTION("""COMPUTED_VALUE"""),TRUE)</f>
        <v>1</v>
      </c>
    </row>
    <row r="638" spans="1:57" x14ac:dyDescent="0.25">
      <c r="A638" s="5">
        <f ca="1">IFERROR(__xludf.DUMMYFUNCTION("""COMPUTED_VALUE"""),673)</f>
        <v>673</v>
      </c>
      <c r="B638" s="5">
        <f ca="1">IFERROR(__xludf.DUMMYFUNCTION("""COMPUTED_VALUE"""),180063)</f>
        <v>180063</v>
      </c>
      <c r="C638" s="5" t="str">
        <f ca="1">IFERROR(__xludf.DUMMYFUNCTION("""COMPUTED_VALUE"""),"Redstone")</f>
        <v>Redstone</v>
      </c>
      <c r="D638" s="5" t="str">
        <f ca="1">IFERROR(__xludf.DUMMYFUNCTION("""COMPUTED_VALUE"""),"Dice Drop 10")</f>
        <v>Dice Drop 10</v>
      </c>
      <c r="E638" s="5" t="str">
        <f ca="1">IFERROR(__xludf.DUMMYFUNCTION("""COMPUTED_VALUE"""),"Redstone")</f>
        <v>Redstone</v>
      </c>
      <c r="F638" s="5" t="str">
        <f ca="1">IFERROR(__xludf.DUMMYFUNCTION("""COMPUTED_VALUE"""),"RedstoneDiceDrop10")</f>
        <v>RedstoneDiceDrop10</v>
      </c>
      <c r="G638" s="5" t="str">
        <f ca="1">IFERROR(__xludf.DUMMYFUNCTION("""COMPUTED_VALUE"""),"Live")</f>
        <v>Live</v>
      </c>
      <c r="H638" s="5"/>
      <c r="I638" s="5" t="str">
        <f ca="1">IFERROR(__xludf.DUMMYFUNCTION("""COMPUTED_VALUE"""),"Redstone")</f>
        <v>Redstone</v>
      </c>
      <c r="J638" s="5" t="str">
        <f ca="1">IFERROR(__xludf.DUMMYFUNCTION("""COMPUTED_VALUE"""),"JSON")</f>
        <v>JSON</v>
      </c>
      <c r="K638" s="5" t="str">
        <f ca="1">IFERROR(__xludf.DUMMYFUNCTION("""COMPUTED_VALUE"""),"Slot")</f>
        <v>Slot</v>
      </c>
      <c r="L638" s="5" t="str">
        <f ca="1">IFERROR(__xludf.DUMMYFUNCTION("""COMPUTED_VALUE""")," Reskin")</f>
        <v xml:space="preserve"> Reskin</v>
      </c>
      <c r="M638" s="5" t="str">
        <f ca="1">IFERROR(__xludf.DUMMYFUNCTION("""COMPUTED_VALUE"""),"Rolling Hearts 10")</f>
        <v>Rolling Hearts 10</v>
      </c>
      <c r="N638" s="7" t="str">
        <f ca="1">IFERROR(__xludf.DUMMYFUNCTION("""COMPUTED_VALUE"""),"https://docs.google.com/document/d/1Y7pRn33TMzJVBoyNmikLXLoa8IRcPXbB/edit")</f>
        <v>https://docs.google.com/document/d/1Y7pRn33TMzJVBoyNmikLXLoa8IRcPXbB/edit</v>
      </c>
      <c r="O638" s="7" t="str">
        <f ca="1">IFERROR(__xludf.DUMMYFUNCTION("""COMPUTED_VALUE"""),"https://docs.google.com/document/d/1KAGZ2Kte4juDs-45JJ1fMdGUWL0vXPpc/edit")</f>
        <v>https://docs.google.com/document/d/1KAGZ2Kte4juDs-45JJ1fMdGUWL0vXPpc/edit</v>
      </c>
      <c r="P638" s="14">
        <f ca="1">IFERROR(__xludf.DUMMYFUNCTION("""COMPUTED_VALUE"""),7)</f>
        <v>7</v>
      </c>
      <c r="Q638" s="15">
        <f ca="1">IFERROR(__xludf.DUMMYFUNCTION("""COMPUTED_VALUE"""),46071)</f>
        <v>46071</v>
      </c>
      <c r="R638" s="15">
        <f ca="1">IFERROR(__xludf.DUMMYFUNCTION("""COMPUTED_VALUE"""),46093)</f>
        <v>46093</v>
      </c>
      <c r="S638" s="15">
        <f ca="1">IFERROR(__xludf.DUMMYFUNCTION("""COMPUTED_VALUE"""),46100)</f>
        <v>46100</v>
      </c>
      <c r="T638" s="5" t="b">
        <f ca="1">IFERROR(__xludf.DUMMYFUNCTION("""COMPUTED_VALUE"""),TRUE)</f>
        <v>1</v>
      </c>
      <c r="U638" s="5" t="str">
        <f ca="1">IFERROR(__xludf.DUMMYFUNCTION("""COMPUTED_VALUE"""),"5x3")</f>
        <v>5x3</v>
      </c>
      <c r="V638" s="5">
        <f ca="1">IFERROR(__xludf.DUMMYFUNCTION("""COMPUTED_VALUE"""),10)</f>
        <v>10</v>
      </c>
      <c r="W638" s="5">
        <f ca="1">IFERROR(__xludf.DUMMYFUNCTION("""COMPUTED_VALUE"""),10)</f>
        <v>10</v>
      </c>
      <c r="X638" s="5">
        <f ca="1">IFERROR(__xludf.DUMMYFUNCTION("""COMPUTED_VALUE"""),96.33)</f>
        <v>96.33</v>
      </c>
      <c r="Y638" s="5" t="str">
        <f ca="1">IFERROR(__xludf.DUMMYFUNCTION("""COMPUTED_VALUE"""),"Medium")</f>
        <v>Medium</v>
      </c>
      <c r="Z638" s="5">
        <f ca="1">IFERROR(__xludf.DUMMYFUNCTION("""COMPUTED_VALUE"""),12.5)</f>
        <v>12.5</v>
      </c>
      <c r="AA638" s="5">
        <f ca="1">IFERROR(__xludf.DUMMYFUNCTION("""COMPUTED_VALUE"""),950)</f>
        <v>950</v>
      </c>
      <c r="AB638" s="5"/>
      <c r="AC638" s="5" t="str">
        <f ca="1">IFERROR(__xludf.DUMMYFUNCTION("""COMPUTED_VALUE"""),"Scatter, Exploding Wild")</f>
        <v>Scatter, Exploding Wild</v>
      </c>
      <c r="AD638" s="5" t="str">
        <f ca="1">IFERROR(__xludf.DUMMYFUNCTION("""COMPUTED_VALUE"""),"0.10/50")</f>
        <v>0.10/50</v>
      </c>
      <c r="AE638" s="5"/>
      <c r="AF638" s="5"/>
      <c r="AG638" s="10">
        <f ca="1">IFERROR(__xludf.DUMMYFUNCTION("""COMPUTED_VALUE"""),46191.5322916666)</f>
        <v>46191.532291666597</v>
      </c>
      <c r="AH638" s="5"/>
      <c r="AI638" s="5"/>
      <c r="AJ638" s="5"/>
      <c r="AK638" s="5">
        <f ca="1">IFERROR(__xludf.DUMMYFUNCTION("""COMPUTED_VALUE"""),10)</f>
        <v>10</v>
      </c>
      <c r="AL638" s="5" t="str">
        <f ca="1">IFERROR(__xludf.DUMMYFUNCTION("""COMPUTED_VALUE"""),"No")</f>
        <v>No</v>
      </c>
      <c r="AM638" s="5" t="str">
        <f ca="1">IFERROR(__xludf.DUMMYFUNCTION("""COMPUTED_VALUE"""),"No")</f>
        <v>No</v>
      </c>
      <c r="AN638" s="7" t="str">
        <f ca="1">IFERROR(__xludf.DUMMYFUNCTION("""COMPUTED_VALUE"""),"https://static.redstone.rs/games/dice-drop-10/")</f>
        <v>https://static.redstone.rs/games/dice-drop-10/</v>
      </c>
      <c r="AO638" s="5" t="str">
        <f ca="1">IFERROR(__xludf.DUMMYFUNCTION("""COMPUTED_VALUE"""),"No")</f>
        <v>No</v>
      </c>
      <c r="AP638" s="5" t="str">
        <f ca="1">IFERROR(__xludf.DUMMYFUNCTION("""COMPUTED_VALUE"""),"No")</f>
        <v>No</v>
      </c>
      <c r="AQ638" s="5" t="b">
        <f ca="1">IFERROR(__xludf.DUMMYFUNCTION("""COMPUTED_VALUE"""),TRUE)</f>
        <v>1</v>
      </c>
      <c r="AR638" s="5"/>
      <c r="AS638" s="5" t="str">
        <f ca="1">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AT638" s="5"/>
      <c r="AU638" s="5" t="str">
        <f ca="1">IFERROR(__xludf.DUMMYFUNCTION("""COMPUTED_VALUE"""),"Redstone")</f>
        <v>Redstone</v>
      </c>
      <c r="AV638" s="5">
        <f ca="1">IFERROR(__xludf.DUMMYFUNCTION("""COMPUTED_VALUE"""),10)</f>
        <v>10</v>
      </c>
      <c r="AW638" s="5"/>
      <c r="AX638" s="15">
        <f ca="1">IFERROR(__xludf.DUMMYFUNCTION("""COMPUTED_VALUE"""),46063)</f>
        <v>46063</v>
      </c>
      <c r="AY638" s="5"/>
      <c r="AZ638" s="5"/>
      <c r="BA638" s="5"/>
      <c r="BB638" s="5" t="b">
        <f ca="1">IFERROR(__xludf.DUMMYFUNCTION("""COMPUTED_VALUE"""),TRUE)</f>
        <v>1</v>
      </c>
      <c r="BC638" s="5" t="str">
        <f ca="1">IFERROR(__xludf.DUMMYFUNCTION("""COMPUTED_VALUE"""),"Redstone")</f>
        <v>Redstone</v>
      </c>
      <c r="BD638" s="7" t="str">
        <f ca="1">IFERROR(__xludf.DUMMYFUNCTION("""COMPUTED_VALUE"""),"https://static.redstone.rs/games/dice-drop-10/")</f>
        <v>https://static.redstone.rs/games/dice-drop-10/</v>
      </c>
      <c r="BE638" s="5" t="b">
        <f ca="1">IFERROR(__xludf.DUMMYFUNCTION("""COMPUTED_VALUE"""),TRUE)</f>
        <v>1</v>
      </c>
    </row>
    <row r="639" spans="1:57" x14ac:dyDescent="0.25">
      <c r="A639" s="5">
        <f ca="1">IFERROR(__xludf.DUMMYFUNCTION("""COMPUTED_VALUE"""),674)</f>
        <v>674</v>
      </c>
      <c r="B639" s="5">
        <f ca="1">IFERROR(__xludf.DUMMYFUNCTION("""COMPUTED_VALUE"""),180064)</f>
        <v>180064</v>
      </c>
      <c r="C639" s="5" t="str">
        <f ca="1">IFERROR(__xludf.DUMMYFUNCTION("""COMPUTED_VALUE"""),"Redstone")</f>
        <v>Redstone</v>
      </c>
      <c r="D639" s="5" t="str">
        <f ca="1">IFERROR(__xludf.DUMMYFUNCTION("""COMPUTED_VALUE"""),"Lunar Coins")</f>
        <v>Lunar Coins</v>
      </c>
      <c r="E639" s="5" t="str">
        <f ca="1">IFERROR(__xludf.DUMMYFUNCTION("""COMPUTED_VALUE"""),"Redstone")</f>
        <v>Redstone</v>
      </c>
      <c r="F639" s="5" t="str">
        <f ca="1">IFERROR(__xludf.DUMMYFUNCTION("""COMPUTED_VALUE"""),"RedstoneLunarCoins")</f>
        <v>RedstoneLunarCoins</v>
      </c>
      <c r="G639" s="5" t="str">
        <f ca="1">IFERROR(__xludf.DUMMYFUNCTION("""COMPUTED_VALUE"""),"Planned")</f>
        <v>Planned</v>
      </c>
      <c r="H639" s="5"/>
      <c r="I639" s="5"/>
      <c r="J639" s="5"/>
      <c r="K639" s="5" t="str">
        <f ca="1">IFERROR(__xludf.DUMMYFUNCTION("""COMPUTED_VALUE"""),"Slot")</f>
        <v>Slot</v>
      </c>
      <c r="L639" s="5"/>
      <c r="M639" s="5"/>
      <c r="N639" s="5"/>
      <c r="O639" s="5"/>
      <c r="P639" s="5"/>
      <c r="Q639" s="15">
        <f ca="1">IFERROR(__xludf.DUMMYFUNCTION("""COMPUTED_VALUE"""),46071)</f>
        <v>46071</v>
      </c>
      <c r="R639" s="5"/>
      <c r="S639" s="5"/>
      <c r="T639" s="5" t="b">
        <f ca="1">IFERROR(__xludf.DUMMYFUNCTION("""COMPUTED_VALUE"""),FALSE)</f>
        <v>0</v>
      </c>
      <c r="U639" s="5"/>
      <c r="V639" s="5"/>
      <c r="W639" s="5"/>
      <c r="X639" s="5"/>
      <c r="Y639" s="5"/>
      <c r="Z639" s="5"/>
      <c r="AA639" s="5"/>
      <c r="AB639" s="5"/>
      <c r="AC639" s="5"/>
      <c r="AD639" s="5"/>
      <c r="AE639" s="5"/>
      <c r="AF639" s="5"/>
      <c r="AG639" s="10">
        <f ca="1">IFERROR(__xludf.DUMMYFUNCTION("""COMPUTED_VALUE"""),46065.6057060185)</f>
        <v>46065.605706018498</v>
      </c>
      <c r="AH639" s="5" t="str">
        <f ca="1">IFERROR(__xludf.DUMMYFUNCTION("""COMPUTED_VALUE"""),"vanja.svetska@fazi.rs")</f>
        <v>vanja.svetska@fazi.rs</v>
      </c>
      <c r="AI639" s="5"/>
      <c r="AJ639" s="5"/>
      <c r="AK639" s="5"/>
      <c r="AL639" s="5"/>
      <c r="AM639" s="5"/>
      <c r="AN639" s="5"/>
      <c r="AO639" s="5"/>
      <c r="AP639" s="5"/>
      <c r="AQ639" s="5"/>
      <c r="AR639" s="5"/>
      <c r="AS639" s="5"/>
      <c r="AT639" s="5"/>
      <c r="AU639" s="5" t="str">
        <f ca="1">IFERROR(__xludf.DUMMYFUNCTION("""COMPUTED_VALUE"""),"Redstone")</f>
        <v>Redstone</v>
      </c>
      <c r="AV639" s="5"/>
      <c r="AW639" s="5"/>
      <c r="AX639" s="15">
        <f ca="1">IFERROR(__xludf.DUMMYFUNCTION("""COMPUTED_VALUE"""),46063)</f>
        <v>46063</v>
      </c>
      <c r="AY639" s="5"/>
      <c r="AZ639" s="5"/>
      <c r="BA639" s="5" t="str">
        <f ca="1">IFERROR(__xludf.DUMMYFUNCTION("""COMPUTED_VALUE"""),"")</f>
        <v/>
      </c>
      <c r="BB639" s="5"/>
      <c r="BC639" s="5" t="str">
        <f ca="1">IFERROR(__xludf.DUMMYFUNCTION("""COMPUTED_VALUE"""),"Redstone")</f>
        <v>Redstone</v>
      </c>
      <c r="BD639" s="5"/>
      <c r="BE639" s="5"/>
    </row>
    <row r="640" spans="1:57" x14ac:dyDescent="0.25">
      <c r="A640" s="5">
        <f ca="1">IFERROR(__xludf.DUMMYFUNCTION("""COMPUTED_VALUE"""),675)</f>
        <v>675</v>
      </c>
      <c r="B640" s="5">
        <f ca="1">IFERROR(__xludf.DUMMYFUNCTION("""COMPUTED_VALUE"""),180058)</f>
        <v>180058</v>
      </c>
      <c r="C640" s="5" t="str">
        <f ca="1">IFERROR(__xludf.DUMMYFUNCTION("""COMPUTED_VALUE"""),"Redstone")</f>
        <v>Redstone</v>
      </c>
      <c r="D640" s="5" t="str">
        <f ca="1">IFERROR(__xludf.DUMMYFUNCTION("""COMPUTED_VALUE"""),"5 Clover Fire Blast")</f>
        <v>5 Clover Fire Blast</v>
      </c>
      <c r="E640" s="5" t="str">
        <f ca="1">IFERROR(__xludf.DUMMYFUNCTION("""COMPUTED_VALUE"""),"Redstone")</f>
        <v>Redstone</v>
      </c>
      <c r="F640" s="5" t="str">
        <f ca="1">IFERROR(__xludf.DUMMYFUNCTION("""COMPUTED_VALUE"""),"Redstone5CloverFireBlast")</f>
        <v>Redstone5CloverFireBlast</v>
      </c>
      <c r="G640" s="5" t="str">
        <f ca="1">IFERROR(__xludf.DUMMYFUNCTION("""COMPUTED_VALUE"""),"Live")</f>
        <v>Live</v>
      </c>
      <c r="H640" s="5"/>
      <c r="I640" s="5" t="str">
        <f ca="1">IFERROR(__xludf.DUMMYFUNCTION("""COMPUTED_VALUE"""),"Redstone")</f>
        <v>Redstone</v>
      </c>
      <c r="J640" s="5" t="str">
        <f ca="1">IFERROR(__xludf.DUMMYFUNCTION("""COMPUTED_VALUE"""),"JSON")</f>
        <v>JSON</v>
      </c>
      <c r="K640" s="5" t="str">
        <f ca="1">IFERROR(__xludf.DUMMYFUNCTION("""COMPUTED_VALUE"""),"Slot")</f>
        <v>Slot</v>
      </c>
      <c r="L640" s="5"/>
      <c r="M640" s="5"/>
      <c r="N640" s="7" t="str">
        <f ca="1">IFERROR(__xludf.DUMMYFUNCTION("""COMPUTED_VALUE"""),"https://docs.google.com/document/d/15MPHkUleag_t9MkVTHodrHsxXS-NPPKX/edit?usp=drive_link&amp;ouid=107596163405648766688&amp;rtpof=true&amp;sd=true")</f>
        <v>https://docs.google.com/document/d/15MPHkUleag_t9MkVTHodrHsxXS-NPPKX/edit?usp=drive_link&amp;ouid=107596163405648766688&amp;rtpof=true&amp;sd=true</v>
      </c>
      <c r="O640" s="7" t="str">
        <f ca="1">IFERROR(__xludf.DUMMYFUNCTION("""COMPUTED_VALUE"""),"https://docs.google.com/document/d/1Y3nrs5qSX7m9lwvMLRGFOXAuc7bRaS3m/edit?usp=drive_link&amp;ouid=107596163405648766688&amp;rtpof=true&amp;sd=true")</f>
        <v>https://docs.google.com/document/d/1Y3nrs5qSX7m9lwvMLRGFOXAuc7bRaS3m/edit?usp=drive_link&amp;ouid=107596163405648766688&amp;rtpof=true&amp;sd=true</v>
      </c>
      <c r="P640" s="14">
        <f ca="1">IFERROR(__xludf.DUMMYFUNCTION("""COMPUTED_VALUE"""),8.3)</f>
        <v>8.3000000000000007</v>
      </c>
      <c r="Q640" s="15">
        <f ca="1">IFERROR(__xludf.DUMMYFUNCTION("""COMPUTED_VALUE"""),46055)</f>
        <v>46055</v>
      </c>
      <c r="R640" s="15">
        <f ca="1">IFERROR(__xludf.DUMMYFUNCTION("""COMPUTED_VALUE"""),46104)</f>
        <v>46104</v>
      </c>
      <c r="S640" s="15">
        <f ca="1">IFERROR(__xludf.DUMMYFUNCTION("""COMPUTED_VALUE"""),46111)</f>
        <v>46111</v>
      </c>
      <c r="T640" s="5" t="b">
        <f ca="1">IFERROR(__xludf.DUMMYFUNCTION("""COMPUTED_VALUE"""),TRUE)</f>
        <v>1</v>
      </c>
      <c r="U640" s="5" t="str">
        <f ca="1">IFERROR(__xludf.DUMMYFUNCTION("""COMPUTED_VALUE"""),"5x3")</f>
        <v>5x3</v>
      </c>
      <c r="V640" s="5">
        <f ca="1">IFERROR(__xludf.DUMMYFUNCTION("""COMPUTED_VALUE"""),5)</f>
        <v>5</v>
      </c>
      <c r="W640" s="5">
        <f ca="1">IFERROR(__xludf.DUMMYFUNCTION("""COMPUTED_VALUE"""),5)</f>
        <v>5</v>
      </c>
      <c r="X640" s="5">
        <f ca="1">IFERROR(__xludf.DUMMYFUNCTION("""COMPUTED_VALUE"""),96.17)</f>
        <v>96.17</v>
      </c>
      <c r="Y640" s="5" t="str">
        <f ca="1">IFERROR(__xludf.DUMMYFUNCTION("""COMPUTED_VALUE"""),"Medium")</f>
        <v>Medium</v>
      </c>
      <c r="Z640" s="5">
        <f ca="1">IFERROR(__xludf.DUMMYFUNCTION("""COMPUTED_VALUE"""),9.8)</f>
        <v>9.8000000000000007</v>
      </c>
      <c r="AA640" s="5">
        <f ca="1">IFERROR(__xludf.DUMMYFUNCTION("""COMPUTED_VALUE"""),950)</f>
        <v>950</v>
      </c>
      <c r="AB640" s="5"/>
      <c r="AC640" s="5" t="str">
        <f ca="1">IFERROR(__xludf.DUMMYFUNCTION("""COMPUTED_VALUE"""),"Expanding Wild, Scatter")</f>
        <v>Expanding Wild, Scatter</v>
      </c>
      <c r="AD640" s="5" t="str">
        <f ca="1">IFERROR(__xludf.DUMMYFUNCTION("""COMPUTED_VALUE"""),"0.10/50")</f>
        <v>0.10/50</v>
      </c>
      <c r="AE640" s="5"/>
      <c r="AF640" s="5"/>
      <c r="AG640" s="10">
        <f ca="1">IFERROR(__xludf.DUMMYFUNCTION("""COMPUTED_VALUE"""),46212.5652314814)</f>
        <v>46212.5652314814</v>
      </c>
      <c r="AH640" s="5" t="str">
        <f ca="1">IFERROR(__xludf.DUMMYFUNCTION("""COMPUTED_VALUE"""),"selena.mihajlovic@fazi.rs")</f>
        <v>selena.mihajlovic@fazi.rs</v>
      </c>
      <c r="AI640" s="15">
        <f ca="1">IFERROR(__xludf.DUMMYFUNCTION("""COMPUTED_VALUE"""),46082)</f>
        <v>46082</v>
      </c>
      <c r="AJ640" s="5" t="str">
        <f ca="1">IFERROR(__xludf.DUMMYFUNCTION("""COMPUTED_VALUE"""),"01.03. Koralplay (AFR)
01.03. Volcano (MNE)")</f>
        <v>01.03. Koralplay (AFR)
01.03. Volcano (MNE)</v>
      </c>
      <c r="AK640" s="5">
        <f ca="1">IFERROR(__xludf.DUMMYFUNCTION("""COMPUTED_VALUE"""),1)</f>
        <v>1</v>
      </c>
      <c r="AL640" s="5" t="str">
        <f ca="1">IFERROR(__xludf.DUMMYFUNCTION("""COMPUTED_VALUE"""),"No")</f>
        <v>No</v>
      </c>
      <c r="AM640" s="5" t="str">
        <f ca="1">IFERROR(__xludf.DUMMYFUNCTION("""COMPUTED_VALUE"""),"No")</f>
        <v>No</v>
      </c>
      <c r="AN640" s="7" t="str">
        <f ca="1">IFERROR(__xludf.DUMMYFUNCTION("""COMPUTED_VALUE"""),"https://static.redstone.rs/games/5-clover-fire-blast/")</f>
        <v>https://static.redstone.rs/games/5-clover-fire-blast/</v>
      </c>
      <c r="AO640" s="5" t="str">
        <f ca="1">IFERROR(__xludf.DUMMYFUNCTION("""COMPUTED_VALUE"""),"No")</f>
        <v>No</v>
      </c>
      <c r="AP640" s="5" t="str">
        <f ca="1">IFERROR(__xludf.DUMMYFUNCTION("""COMPUTED_VALUE"""),"No")</f>
        <v>No</v>
      </c>
      <c r="AQ640" s="5" t="b">
        <f ca="1">IFERROR(__xludf.DUMMYFUNCTION("""COMPUTED_VALUE"""),TRUE)</f>
        <v>1</v>
      </c>
      <c r="AR640" s="5"/>
      <c r="AS640" s="5" t="str">
        <f ca="1">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AT640" s="5"/>
      <c r="AU640" s="5" t="str">
        <f ca="1">IFERROR(__xludf.DUMMYFUNCTION("""COMPUTED_VALUE"""),"Redstone")</f>
        <v>Redstone</v>
      </c>
      <c r="AV640" s="5"/>
      <c r="AW640" s="5"/>
      <c r="AX640" s="15">
        <f ca="1">IFERROR(__xludf.DUMMYFUNCTION("""COMPUTED_VALUE"""),46049)</f>
        <v>46049</v>
      </c>
      <c r="AY640" s="5"/>
      <c r="AZ640" s="5"/>
      <c r="BA640" s="5"/>
      <c r="BB640" s="5" t="b">
        <f ca="1">IFERROR(__xludf.DUMMYFUNCTION("""COMPUTED_VALUE"""),TRUE)</f>
        <v>1</v>
      </c>
      <c r="BC640" s="5" t="str">
        <f ca="1">IFERROR(__xludf.DUMMYFUNCTION("""COMPUTED_VALUE"""),"Redstone")</f>
        <v>Redstone</v>
      </c>
      <c r="BD640" s="7" t="str">
        <f ca="1">IFERROR(__xludf.DUMMYFUNCTION("""COMPUTED_VALUE"""),"https://static.redstone.rs/games/5-clover-fire-blast/")</f>
        <v>https://static.redstone.rs/games/5-clover-fire-blast/</v>
      </c>
      <c r="BE640" s="5" t="b">
        <f ca="1">IFERROR(__xludf.DUMMYFUNCTION("""COMPUTED_VALUE"""),TRUE)</f>
        <v>1</v>
      </c>
    </row>
    <row r="641" spans="1:57" x14ac:dyDescent="0.25">
      <c r="A641" s="5">
        <f ca="1">IFERROR(__xludf.DUMMYFUNCTION("""COMPUTED_VALUE"""),676)</f>
        <v>676</v>
      </c>
      <c r="B641" s="5">
        <f ca="1">IFERROR(__xludf.DUMMYFUNCTION("""COMPUTED_VALUE"""),531)</f>
        <v>531</v>
      </c>
      <c r="C641" s="5" t="str">
        <f ca="1">IFERROR(__xludf.DUMMYFUNCTION("""COMPUTED_VALUE"""),"Playnet")</f>
        <v>Playnet</v>
      </c>
      <c r="D641" s="5" t="str">
        <f ca="1">IFERROR(__xludf.DUMMYFUNCTION("""COMPUTED_VALUE"""),"Majestic Crown Easter")</f>
        <v>Majestic Crown Easter</v>
      </c>
      <c r="E641" s="5" t="str">
        <f ca="1">IFERROR(__xludf.DUMMYFUNCTION("""COMPUTED_VALUE"""),"Sertifikacioni")</f>
        <v>Sertifikacioni</v>
      </c>
      <c r="F641" s="5" t="str">
        <f ca="1">IFERROR(__xludf.DUMMYFUNCTION("""COMPUTED_VALUE"""),"PlayNetMajesticCrownEaster")</f>
        <v>PlayNetMajesticCrownEaster</v>
      </c>
      <c r="G641" s="5" t="str">
        <f ca="1">IFERROR(__xludf.DUMMYFUNCTION("""COMPUTED_VALUE"""),"Live")</f>
        <v>Live</v>
      </c>
      <c r="H641" s="5"/>
      <c r="I641" s="5"/>
      <c r="J641" s="5" t="str">
        <f ca="1">IFERROR(__xludf.DUMMYFUNCTION("""COMPUTED_VALUE"""),"JSON")</f>
        <v>JSON</v>
      </c>
      <c r="K641" s="5" t="str">
        <f ca="1">IFERROR(__xludf.DUMMYFUNCTION("""COMPUTED_VALUE"""),"Slot")</f>
        <v>Slot</v>
      </c>
      <c r="L641" s="5" t="str">
        <f ca="1">IFERROR(__xludf.DUMMYFUNCTION("""COMPUTED_VALUE""")," Clone")</f>
        <v xml:space="preserve"> Clone</v>
      </c>
      <c r="M641" s="5" t="str">
        <f ca="1">IFERROR(__xludf.DUMMYFUNCTION("""COMPUTED_VALUE"""),"Majestic Crown x2")</f>
        <v>Majestic Crown x2</v>
      </c>
      <c r="N641" s="5"/>
      <c r="O641" s="5"/>
      <c r="P641" s="14">
        <f ca="1">IFERROR(__xludf.DUMMYFUNCTION("""COMPUTED_VALUE"""),15)</f>
        <v>15</v>
      </c>
      <c r="Q641" s="15">
        <f ca="1">IFERROR(__xludf.DUMMYFUNCTION("""COMPUTED_VALUE"""),46083)</f>
        <v>46083</v>
      </c>
      <c r="R641" s="15">
        <f ca="1">IFERROR(__xludf.DUMMYFUNCTION("""COMPUTED_VALUE"""),46090)</f>
        <v>46090</v>
      </c>
      <c r="S641" s="15">
        <f ca="1">IFERROR(__xludf.DUMMYFUNCTION("""COMPUTED_VALUE"""),46097)</f>
        <v>46097</v>
      </c>
      <c r="T641" s="5" t="b">
        <f ca="1">IFERROR(__xludf.DUMMYFUNCTION("""COMPUTED_VALUE"""),TRUE)</f>
        <v>1</v>
      </c>
      <c r="U641" s="5" t="str">
        <f ca="1">IFERROR(__xludf.DUMMYFUNCTION("""COMPUTED_VALUE"""),"5x3")</f>
        <v>5x3</v>
      </c>
      <c r="V641" s="5">
        <f ca="1">IFERROR(__xludf.DUMMYFUNCTION("""COMPUTED_VALUE"""),5)</f>
        <v>5</v>
      </c>
      <c r="W641" s="5">
        <f ca="1">IFERROR(__xludf.DUMMYFUNCTION("""COMPUTED_VALUE"""),5)</f>
        <v>5</v>
      </c>
      <c r="X641" s="5">
        <f ca="1">IFERROR(__xludf.DUMMYFUNCTION("""COMPUTED_VALUE"""),96.453)</f>
        <v>96.453000000000003</v>
      </c>
      <c r="Y641" s="5" t="str">
        <f ca="1">IFERROR(__xludf.DUMMYFUNCTION("""COMPUTED_VALUE"""),"Medium")</f>
        <v>Medium</v>
      </c>
      <c r="Z641" s="5">
        <f ca="1">IFERROR(__xludf.DUMMYFUNCTION("""COMPUTED_VALUE"""),14.234)</f>
        <v>14.234</v>
      </c>
      <c r="AA641" s="5">
        <f ca="1">IFERROR(__xludf.DUMMYFUNCTION("""COMPUTED_VALUE"""),2624)</f>
        <v>2624</v>
      </c>
      <c r="AB641" s="5"/>
      <c r="AC641" s="5" t="str">
        <f ca="1">IFERROR(__xludf.DUMMYFUNCTION("""COMPUTED_VALUE"""),"Scatter, Expanding Wild, Wild Multiplier")</f>
        <v>Scatter, Expanding Wild, Wild Multiplier</v>
      </c>
      <c r="AD641" s="5" t="str">
        <f ca="1">IFERROR(__xludf.DUMMYFUNCTION("""COMPUTED_VALUE"""),"0.05/30")</f>
        <v>0.05/30</v>
      </c>
      <c r="AE641" s="5"/>
      <c r="AF641" s="5"/>
      <c r="AG641" s="10">
        <f ca="1">IFERROR(__xludf.DUMMYFUNCTION("""COMPUTED_VALUE"""),46220.5071296296)</f>
        <v>46220.507129629601</v>
      </c>
      <c r="AH641" s="5" t="str">
        <f ca="1">IFERROR(__xludf.DUMMYFUNCTION("""COMPUTED_VALUE"""),"selena.mihajlovic@fazi.rs")</f>
        <v>selena.mihajlovic@fazi.rs</v>
      </c>
      <c r="AI641" s="5"/>
      <c r="AJ641" s="5"/>
      <c r="AK641" s="5"/>
      <c r="AL641" s="5" t="str">
        <f ca="1">IFERROR(__xludf.DUMMYFUNCTION("""COMPUTED_VALUE"""),"No")</f>
        <v>No</v>
      </c>
      <c r="AM641" s="5" t="str">
        <f ca="1">IFERROR(__xludf.DUMMYFUNCTION("""COMPUTED_VALUE"""),"No")</f>
        <v>No</v>
      </c>
      <c r="AN641" s="7" t="str">
        <f ca="1">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AO641" s="5" t="str">
        <f ca="1">IFERROR(__xludf.DUMMYFUNCTION("""COMPUTED_VALUE"""),"No")</f>
        <v>No</v>
      </c>
      <c r="AP641" s="5" t="str">
        <f ca="1">IFERROR(__xludf.DUMMYFUNCTION("""COMPUTED_VALUE"""),"No")</f>
        <v>No</v>
      </c>
      <c r="AQ641" s="5" t="b">
        <f ca="1">IFERROR(__xludf.DUMMYFUNCTION("""COMPUTED_VALUE"""),TRUE)</f>
        <v>1</v>
      </c>
      <c r="AR641" s="5"/>
      <c r="AS641" s="5" t="str">
        <f ca="1">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AT641" s="5"/>
      <c r="AU641" s="5" t="str">
        <f ca="1">IFERROR(__xludf.DUMMYFUNCTION("""COMPUTED_VALUE"""),"Fazi")</f>
        <v>Fazi</v>
      </c>
      <c r="AV641" s="5"/>
      <c r="AW641" s="5"/>
      <c r="AX641" s="15">
        <f ca="1">IFERROR(__xludf.DUMMYFUNCTION("""COMPUTED_VALUE"""),46077)</f>
        <v>46077</v>
      </c>
      <c r="AY641" s="5"/>
      <c r="AZ641" s="5"/>
      <c r="BA641" s="5"/>
      <c r="BB641" s="5" t="b">
        <f ca="1">IFERROR(__xludf.DUMMYFUNCTION("""COMPUTED_VALUE"""),TRUE)</f>
        <v>1</v>
      </c>
      <c r="BC641" s="5" t="str">
        <f ca="1">IFERROR(__xludf.DUMMYFUNCTION("""COMPUTED_VALUE"""),"Playnet")</f>
        <v>Playnet</v>
      </c>
      <c r="BD641" s="7" t="str">
        <f ca="1">IFERROR(__xludf.DUMMYFUNCTION("""COMPUTED_VALUE"""),"https://gameserver-store-client-area.orbionlimited.com/Home/IntegrationGameLaunch/client-area?moneyType=0&amp;gameName=PlayNetMajesticCrownEaster&amp;platform=desktop&amp;languageCode=eng&amp;currency=EUR")</f>
        <v>https://gameserver-store-client-area.orbionlimited.com/Home/IntegrationGameLaunch/client-area?moneyType=0&amp;gameName=PlayNetMajesticCrownEaster&amp;platform=desktop&amp;languageCode=eng&amp;currency=EUR</v>
      </c>
      <c r="BE641" s="5" t="b">
        <f ca="1">IFERROR(__xludf.DUMMYFUNCTION("""COMPUTED_VALUE"""),TRUE)</f>
        <v>1</v>
      </c>
    </row>
    <row r="642" spans="1:57" x14ac:dyDescent="0.25">
      <c r="A642" s="5">
        <f ca="1">IFERROR(__xludf.DUMMYFUNCTION("""COMPUTED_VALUE"""),677)</f>
        <v>677</v>
      </c>
      <c r="B642" s="5">
        <f ca="1">IFERROR(__xludf.DUMMYFUNCTION("""COMPUTED_VALUE"""),532)</f>
        <v>532</v>
      </c>
      <c r="C642" s="5" t="str">
        <f ca="1">IFERROR(__xludf.DUMMYFUNCTION("""COMPUTED_VALUE"""),"Playnet")</f>
        <v>Playnet</v>
      </c>
      <c r="D642" s="5" t="str">
        <f ca="1">IFERROR(__xludf.DUMMYFUNCTION("""COMPUTED_VALUE"""),"Tropic Twist")</f>
        <v>Tropic Twist</v>
      </c>
      <c r="E642" s="5" t="str">
        <f ca="1">IFERROR(__xludf.DUMMYFUNCTION("""COMPUTED_VALUE"""),"Sertifikacioni")</f>
        <v>Sertifikacioni</v>
      </c>
      <c r="F642" s="5" t="str">
        <f ca="1">IFERROR(__xludf.DUMMYFUNCTION("""COMPUTED_VALUE"""),"PlayNetTropicTwist")</f>
        <v>PlayNetTropicTwist</v>
      </c>
      <c r="G642" s="5" t="str">
        <f ca="1">IFERROR(__xludf.DUMMYFUNCTION("""COMPUTED_VALUE"""),"Live")</f>
        <v>Live</v>
      </c>
      <c r="H642" s="5"/>
      <c r="I642" s="5"/>
      <c r="J642" s="5" t="str">
        <f ca="1">IFERROR(__xludf.DUMMYFUNCTION("""COMPUTED_VALUE"""),"JSON")</f>
        <v>JSON</v>
      </c>
      <c r="K642" s="5" t="str">
        <f ca="1">IFERROR(__xludf.DUMMYFUNCTION("""COMPUTED_VALUE"""),"Slot")</f>
        <v>Slot</v>
      </c>
      <c r="L642" s="5" t="str">
        <f ca="1">IFERROR(__xludf.DUMMYFUNCTION("""COMPUTED_VALUE""")," Clone")</f>
        <v xml:space="preserve"> Clone</v>
      </c>
      <c r="M642" s="5" t="str">
        <f ca="1">IFERROR(__xludf.DUMMYFUNCTION("""COMPUTED_VALUE"""),"Wild 27")</f>
        <v>Wild 27</v>
      </c>
      <c r="N642" s="5"/>
      <c r="O642" s="5"/>
      <c r="P642" s="14">
        <f ca="1">IFERROR(__xludf.DUMMYFUNCTION("""COMPUTED_VALUE"""),7.2)</f>
        <v>7.2</v>
      </c>
      <c r="Q642" s="15">
        <f ca="1">IFERROR(__xludf.DUMMYFUNCTION("""COMPUTED_VALUE"""),46097)</f>
        <v>46097</v>
      </c>
      <c r="R642" s="15">
        <f ca="1">IFERROR(__xludf.DUMMYFUNCTION("""COMPUTED_VALUE"""),46098)</f>
        <v>46098</v>
      </c>
      <c r="S642" s="15">
        <f ca="1">IFERROR(__xludf.DUMMYFUNCTION("""COMPUTED_VALUE"""),46105)</f>
        <v>46105</v>
      </c>
      <c r="T642" s="5" t="b">
        <f ca="1">IFERROR(__xludf.DUMMYFUNCTION("""COMPUTED_VALUE"""),TRUE)</f>
        <v>1</v>
      </c>
      <c r="U642" s="5" t="str">
        <f ca="1">IFERROR(__xludf.DUMMYFUNCTION("""COMPUTED_VALUE"""),"3x3")</f>
        <v>3x3</v>
      </c>
      <c r="V642" s="5">
        <f ca="1">IFERROR(__xludf.DUMMYFUNCTION("""COMPUTED_VALUE"""),27)</f>
        <v>27</v>
      </c>
      <c r="W642" s="5">
        <f ca="1">IFERROR(__xludf.DUMMYFUNCTION("""COMPUTED_VALUE"""),27)</f>
        <v>27</v>
      </c>
      <c r="X642" s="5">
        <f ca="1">IFERROR(__xludf.DUMMYFUNCTION("""COMPUTED_VALUE"""),96.24)</f>
        <v>96.24</v>
      </c>
      <c r="Y642" s="5" t="str">
        <f ca="1">IFERROR(__xludf.DUMMYFUNCTION("""COMPUTED_VALUE"""),"Low")</f>
        <v>Low</v>
      </c>
      <c r="Z642" s="5">
        <f ca="1">IFERROR(__xludf.DUMMYFUNCTION("""COMPUTED_VALUE"""),6.58)</f>
        <v>6.58</v>
      </c>
      <c r="AA642" s="5">
        <f ca="1">IFERROR(__xludf.DUMMYFUNCTION("""COMPUTED_VALUE"""),108)</f>
        <v>108</v>
      </c>
      <c r="AB642" s="5"/>
      <c r="AC642" s="5" t="str">
        <f ca="1">IFERROR(__xludf.DUMMYFUNCTION("""COMPUTED_VALUE"""),"Win Multiplier")</f>
        <v>Win Multiplier</v>
      </c>
      <c r="AD642" s="5" t="str">
        <f ca="1">IFERROR(__xludf.DUMMYFUNCTION("""COMPUTED_VALUE"""),"0.01/50")</f>
        <v>0.01/50</v>
      </c>
      <c r="AE642" s="5"/>
      <c r="AF642" s="5"/>
      <c r="AG642" s="10">
        <f ca="1">IFERROR(__xludf.DUMMYFUNCTION("""COMPUTED_VALUE"""),46220.5072685185)</f>
        <v>46220.5072685185</v>
      </c>
      <c r="AH642" s="5" t="str">
        <f ca="1">IFERROR(__xludf.DUMMYFUNCTION("""COMPUTED_VALUE"""),"selena.mihajlovic@fazi.rs")</f>
        <v>selena.mihajlovic@fazi.rs</v>
      </c>
      <c r="AI642" s="5"/>
      <c r="AJ642" s="5"/>
      <c r="AK642" s="5">
        <f ca="1">IFERROR(__xludf.DUMMYFUNCTION("""COMPUTED_VALUE"""),1)</f>
        <v>1</v>
      </c>
      <c r="AL642" s="5" t="str">
        <f ca="1">IFERROR(__xludf.DUMMYFUNCTION("""COMPUTED_VALUE"""),"No")</f>
        <v>No</v>
      </c>
      <c r="AM642" s="5" t="str">
        <f ca="1">IFERROR(__xludf.DUMMYFUNCTION("""COMPUTED_VALUE"""),"No")</f>
        <v>No</v>
      </c>
      <c r="AN642" s="7" t="str">
        <f ca="1">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AO642" s="5" t="str">
        <f ca="1">IFERROR(__xludf.DUMMYFUNCTION("""COMPUTED_VALUE"""),"No")</f>
        <v>No</v>
      </c>
      <c r="AP642" s="5" t="str">
        <f ca="1">IFERROR(__xludf.DUMMYFUNCTION("""COMPUTED_VALUE"""),"No")</f>
        <v>No</v>
      </c>
      <c r="AQ642" s="5" t="b">
        <f ca="1">IFERROR(__xludf.DUMMYFUNCTION("""COMPUTED_VALUE"""),TRUE)</f>
        <v>1</v>
      </c>
      <c r="AR642" s="5"/>
      <c r="AS642" s="5" t="str">
        <f ca="1">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AT642" s="5" t="str">
        <f ca="1">IFERROR(__xludf.DUMMYFUNCTION("""COMPUTED_VALUE"""),"No")</f>
        <v>No</v>
      </c>
      <c r="AU642" s="5" t="str">
        <f ca="1">IFERROR(__xludf.DUMMYFUNCTION("""COMPUTED_VALUE"""),"Fazi")</f>
        <v>Fazi</v>
      </c>
      <c r="AV642" s="5">
        <f ca="1">IFERROR(__xludf.DUMMYFUNCTION("""COMPUTED_VALUE"""),1)</f>
        <v>1</v>
      </c>
      <c r="AW642" s="5"/>
      <c r="AX642" s="15">
        <f ca="1">IFERROR(__xludf.DUMMYFUNCTION("""COMPUTED_VALUE"""),46091)</f>
        <v>46091</v>
      </c>
      <c r="AY642" s="5"/>
      <c r="AZ642" s="5"/>
      <c r="BA642" s="5"/>
      <c r="BB642" s="5" t="b">
        <f ca="1">IFERROR(__xludf.DUMMYFUNCTION("""COMPUTED_VALUE"""),TRUE)</f>
        <v>1</v>
      </c>
      <c r="BC642" s="5" t="str">
        <f ca="1">IFERROR(__xludf.DUMMYFUNCTION("""COMPUTED_VALUE"""),"Playnet")</f>
        <v>Playnet</v>
      </c>
      <c r="BD642" s="7" t="str">
        <f ca="1">IFERROR(__xludf.DUMMYFUNCTION("""COMPUTED_VALUE"""),"https://gameserver-store-client-area.orbionlimited.com/Home/IntegrationGameLaunch/client-area?moneyType=0&amp;gameName=PlayNetTropicTwist&amp;platform=desktop&amp;languageCode=eng&amp;currency=EUR")</f>
        <v>https://gameserver-store-client-area.orbionlimited.com/Home/IntegrationGameLaunch/client-area?moneyType=0&amp;gameName=PlayNetTropicTwist&amp;platform=desktop&amp;languageCode=eng&amp;currency=EUR</v>
      </c>
      <c r="BE642" s="5" t="b">
        <f ca="1">IFERROR(__xludf.DUMMYFUNCTION("""COMPUTED_VALUE"""),TRUE)</f>
        <v>1</v>
      </c>
    </row>
    <row r="643" spans="1:57" x14ac:dyDescent="0.25">
      <c r="A643" s="5">
        <f ca="1">IFERROR(__xludf.DUMMYFUNCTION("""COMPUTED_VALUE"""),678)</f>
        <v>678</v>
      </c>
      <c r="B643" s="5">
        <f ca="1">IFERROR(__xludf.DUMMYFUNCTION("""COMPUTED_VALUE"""),4000002)</f>
        <v>4000002</v>
      </c>
      <c r="C643" s="5" t="str">
        <f ca="1">IFERROR(__xludf.DUMMYFUNCTION("""COMPUTED_VALUE"""),"Tiptop")</f>
        <v>Tiptop</v>
      </c>
      <c r="D643" s="5" t="str">
        <f ca="1">IFERROR(__xludf.DUMMYFUNCTION("""COMPUTED_VALUE"""),"Super Dice Runner")</f>
        <v>Super Dice Runner</v>
      </c>
      <c r="E643" s="5" t="str">
        <f ca="1">IFERROR(__xludf.DUMMYFUNCTION("""COMPUTED_VALUE"""),"TipTop")</f>
        <v>TipTop</v>
      </c>
      <c r="F643" s="5" t="str">
        <f ca="1">IFERROR(__xludf.DUMMYFUNCTION("""COMPUTED_VALUE"""),"UnicornSuperDiceRunner")</f>
        <v>UnicornSuperDiceRunner</v>
      </c>
      <c r="G643" s="5" t="str">
        <f ca="1">IFERROR(__xludf.DUMMYFUNCTION("""COMPUTED_VALUE"""),"Live")</f>
        <v>Live</v>
      </c>
      <c r="H643" s="5"/>
      <c r="I643" s="5"/>
      <c r="J643" s="5"/>
      <c r="K643" s="5" t="str">
        <f ca="1">IFERROR(__xludf.DUMMYFUNCTION("""COMPUTED_VALUE"""),"Dice Slots")</f>
        <v>Dice Slots</v>
      </c>
      <c r="L643" s="5" t="str">
        <f ca="1">IFERROR(__xludf.DUMMYFUNCTION("""COMPUTED_VALUE""")," Clone")</f>
        <v xml:space="preserve"> Clone</v>
      </c>
      <c r="M643" s="5" t="str">
        <f ca="1">IFERROR(__xludf.DUMMYFUNCTION("""COMPUTED_VALUE"""),"Super High Runner")</f>
        <v>Super High Runner</v>
      </c>
      <c r="N643" s="5"/>
      <c r="O643" s="5"/>
      <c r="P643" s="14">
        <f ca="1">IFERROR(__xludf.DUMMYFUNCTION("""COMPUTED_VALUE"""),10.9)</f>
        <v>10.9</v>
      </c>
      <c r="Q643" s="15">
        <f ca="1">IFERROR(__xludf.DUMMYFUNCTION("""COMPUTED_VALUE"""),46041)</f>
        <v>46041</v>
      </c>
      <c r="R643" s="15">
        <f ca="1">IFERROR(__xludf.DUMMYFUNCTION("""COMPUTED_VALUE"""),46085)</f>
        <v>46085</v>
      </c>
      <c r="S643" s="15">
        <f ca="1">IFERROR(__xludf.DUMMYFUNCTION("""COMPUTED_VALUE"""),46092)</f>
        <v>46092</v>
      </c>
      <c r="T643" s="5" t="b">
        <f ca="1">IFERROR(__xludf.DUMMYFUNCTION("""COMPUTED_VALUE"""),TRUE)</f>
        <v>1</v>
      </c>
      <c r="U643" s="5" t="str">
        <f ca="1">IFERROR(__xludf.DUMMYFUNCTION("""COMPUTED_VALUE"""),"5X3")</f>
        <v>5X3</v>
      </c>
      <c r="V643" s="5">
        <f ca="1">IFERROR(__xludf.DUMMYFUNCTION("""COMPUTED_VALUE"""),5)</f>
        <v>5</v>
      </c>
      <c r="W643" s="5">
        <f ca="1">IFERROR(__xludf.DUMMYFUNCTION("""COMPUTED_VALUE"""),5)</f>
        <v>5</v>
      </c>
      <c r="X643" s="5">
        <f ca="1">IFERROR(__xludf.DUMMYFUNCTION("""COMPUTED_VALUE"""),96)</f>
        <v>96</v>
      </c>
      <c r="Y643" s="5" t="str">
        <f ca="1">IFERROR(__xludf.DUMMYFUNCTION("""COMPUTED_VALUE"""),"Low")</f>
        <v>Low</v>
      </c>
      <c r="Z643" s="5">
        <f ca="1">IFERROR(__xludf.DUMMYFUNCTION("""COMPUTED_VALUE"""),10.9)</f>
        <v>10.9</v>
      </c>
      <c r="AA643" s="5">
        <f ca="1">IFERROR(__xludf.DUMMYFUNCTION("""COMPUTED_VALUE"""),1030)</f>
        <v>1030</v>
      </c>
      <c r="AB643" s="5"/>
      <c r="AC643" s="5"/>
      <c r="AD643" s="5" t="str">
        <f ca="1">IFERROR(__xludf.DUMMYFUNCTION("""COMPUTED_VALUE"""),"0.05/100")</f>
        <v>0.05/100</v>
      </c>
      <c r="AE643" s="5"/>
      <c r="AF643" s="5"/>
      <c r="AG643" s="10">
        <f ca="1">IFERROR(__xludf.DUMMYFUNCTION("""COMPUTED_VALUE"""),46197.5044907407)</f>
        <v>46197.504490740699</v>
      </c>
      <c r="AH643" s="5" t="str">
        <f ca="1">IFERROR(__xludf.DUMMYFUNCTION("""COMPUTED_VALUE"""),"selena.mihajlovic@fazi.rs")</f>
        <v>selena.mihajlovic@fazi.rs</v>
      </c>
      <c r="AI643" s="5"/>
      <c r="AJ643" s="5"/>
      <c r="AK643" s="5">
        <f ca="1">IFERROR(__xludf.DUMMYFUNCTION("""COMPUTED_VALUE"""),5)</f>
        <v>5</v>
      </c>
      <c r="AL643" s="5" t="str">
        <f ca="1">IFERROR(__xludf.DUMMYFUNCTION("""COMPUTED_VALUE"""),"No")</f>
        <v>No</v>
      </c>
      <c r="AM643" s="5"/>
      <c r="AN643" s="7" t="str">
        <f ca="1">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AO643" s="5"/>
      <c r="AP643" s="5"/>
      <c r="AQ643" s="5" t="b">
        <f ca="1">IFERROR(__xludf.DUMMYFUNCTION("""COMPUTED_VALUE"""),TRUE)</f>
        <v>1</v>
      </c>
      <c r="AR643" s="5"/>
      <c r="AS643" s="5" t="str">
        <f ca="1">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AT643" s="5"/>
      <c r="AU643" s="5" t="str">
        <f ca="1">IFERROR(__xludf.DUMMYFUNCTION("""COMPUTED_VALUE"""),"Tiptop")</f>
        <v>Tiptop</v>
      </c>
      <c r="AV643" s="5"/>
      <c r="AW643" s="5"/>
      <c r="AX643" s="15">
        <f ca="1">IFERROR(__xludf.DUMMYFUNCTION("""COMPUTED_VALUE"""),46035)</f>
        <v>46035</v>
      </c>
      <c r="AY643" s="5"/>
      <c r="AZ643" s="5"/>
      <c r="BA643" s="5"/>
      <c r="BB643" s="5" t="b">
        <f ca="1">IFERROR(__xludf.DUMMYFUNCTION("""COMPUTED_VALUE"""),TRUE)</f>
        <v>1</v>
      </c>
      <c r="BC643" s="5" t="str">
        <f ca="1">IFERROR(__xludf.DUMMYFUNCTION("""COMPUTED_VALUE"""),"Tiptop")</f>
        <v>Tiptop</v>
      </c>
      <c r="BD643" s="7" t="str">
        <f ca="1">IFERROR(__xludf.DUMMYFUNCTION("""COMPUTED_VALUE"""),"https://gameserver-store-client-area.orbionlimited.com/Home/IntegrationGameLaunch/client-area?moneyType=0&amp;gameName=UnicornSuperDiceRunner&amp;platform=desktop&amp;languageCode=eng&amp;currency=EUR")</f>
        <v>https://gameserver-store-client-area.orbionlimited.com/Home/IntegrationGameLaunch/client-area?moneyType=0&amp;gameName=UnicornSuperDiceRunner&amp;platform=desktop&amp;languageCode=eng&amp;currency=EUR</v>
      </c>
      <c r="BE643" s="5" t="b">
        <f ca="1">IFERROR(__xludf.DUMMYFUNCTION("""COMPUTED_VALUE"""),TRUE)</f>
        <v>1</v>
      </c>
    </row>
    <row r="644" spans="1:57" x14ac:dyDescent="0.25">
      <c r="A644" s="5">
        <f ca="1">IFERROR(__xludf.DUMMYFUNCTION("""COMPUTED_VALUE"""),679)</f>
        <v>679</v>
      </c>
      <c r="B644" s="5">
        <f ca="1">IFERROR(__xludf.DUMMYFUNCTION("""COMPUTED_VALUE"""),4000003)</f>
        <v>4000003</v>
      </c>
      <c r="C644" s="5" t="str">
        <f ca="1">IFERROR(__xludf.DUMMYFUNCTION("""COMPUTED_VALUE"""),"Tiptop")</f>
        <v>Tiptop</v>
      </c>
      <c r="D644" s="5" t="str">
        <f ca="1">IFERROR(__xludf.DUMMYFUNCTION("""COMPUTED_VALUE"""),"Lucky Ginger")</f>
        <v>Lucky Ginger</v>
      </c>
      <c r="E644" s="5" t="str">
        <f ca="1">IFERROR(__xludf.DUMMYFUNCTION("""COMPUTED_VALUE"""),"TipTop")</f>
        <v>TipTop</v>
      </c>
      <c r="F644" s="5" t="str">
        <f ca="1">IFERROR(__xludf.DUMMYFUNCTION("""COMPUTED_VALUE"""),"UnicornLuckyGinger")</f>
        <v>UnicornLuckyGinger</v>
      </c>
      <c r="G644" s="5" t="str">
        <f ca="1">IFERROR(__xludf.DUMMYFUNCTION("""COMPUTED_VALUE"""),"Live")</f>
        <v>Live</v>
      </c>
      <c r="H644" s="5"/>
      <c r="I644" s="5"/>
      <c r="J644" s="5"/>
      <c r="K644" s="5" t="str">
        <f ca="1">IFERROR(__xludf.DUMMYFUNCTION("""COMPUTED_VALUE"""),"Slot")</f>
        <v>Slot</v>
      </c>
      <c r="L644" s="5" t="str">
        <f ca="1">IFERROR(__xludf.DUMMYFUNCTION("""COMPUTED_VALUE""")," Clone")</f>
        <v xml:space="preserve"> Clone</v>
      </c>
      <c r="M644" s="5" t="str">
        <f ca="1">IFERROR(__xludf.DUMMYFUNCTION("""COMPUTED_VALUE"""),"The Kings Halloween")</f>
        <v>The Kings Halloween</v>
      </c>
      <c r="N644" s="5"/>
      <c r="O644" s="5"/>
      <c r="P644" s="14">
        <f ca="1">IFERROR(__xludf.DUMMYFUNCTION("""COMPUTED_VALUE"""),10.9)</f>
        <v>10.9</v>
      </c>
      <c r="Q644" s="15">
        <f ca="1">IFERROR(__xludf.DUMMYFUNCTION("""COMPUTED_VALUE"""),46041)</f>
        <v>46041</v>
      </c>
      <c r="R644" s="15">
        <f ca="1">IFERROR(__xludf.DUMMYFUNCTION("""COMPUTED_VALUE"""),46078)</f>
        <v>46078</v>
      </c>
      <c r="S644" s="15">
        <f ca="1">IFERROR(__xludf.DUMMYFUNCTION("""COMPUTED_VALUE"""),46085)</f>
        <v>46085</v>
      </c>
      <c r="T644" s="5" t="b">
        <f ca="1">IFERROR(__xludf.DUMMYFUNCTION("""COMPUTED_VALUE"""),TRUE)</f>
        <v>1</v>
      </c>
      <c r="U644" s="5" t="str">
        <f ca="1">IFERROR(__xludf.DUMMYFUNCTION("""COMPUTED_VALUE"""),"5X3")</f>
        <v>5X3</v>
      </c>
      <c r="V644" s="5">
        <f ca="1">IFERROR(__xludf.DUMMYFUNCTION("""COMPUTED_VALUE"""),5)</f>
        <v>5</v>
      </c>
      <c r="W644" s="5">
        <f ca="1">IFERROR(__xludf.DUMMYFUNCTION("""COMPUTED_VALUE"""),5)</f>
        <v>5</v>
      </c>
      <c r="X644" s="5">
        <f ca="1">IFERROR(__xludf.DUMMYFUNCTION("""COMPUTED_VALUE"""),96)</f>
        <v>96</v>
      </c>
      <c r="Y644" s="5" t="str">
        <f ca="1">IFERROR(__xludf.DUMMYFUNCTION("""COMPUTED_VALUE"""),"Low")</f>
        <v>Low</v>
      </c>
      <c r="Z644" s="5">
        <f ca="1">IFERROR(__xludf.DUMMYFUNCTION("""COMPUTED_VALUE"""),17.5)</f>
        <v>17.5</v>
      </c>
      <c r="AA644" s="5">
        <f ca="1">IFERROR(__xludf.DUMMYFUNCTION("""COMPUTED_VALUE"""),1100)</f>
        <v>1100</v>
      </c>
      <c r="AB644" s="5"/>
      <c r="AC644" s="5"/>
      <c r="AD644" s="5" t="str">
        <f ca="1">IFERROR(__xludf.DUMMYFUNCTION("""COMPUTED_VALUE"""),"0.05/100")</f>
        <v>0.05/100</v>
      </c>
      <c r="AE644" s="5"/>
      <c r="AF644" s="5"/>
      <c r="AG644" s="10">
        <f ca="1">IFERROR(__xludf.DUMMYFUNCTION("""COMPUTED_VALUE"""),46197.5047106481)</f>
        <v>46197.5047106481</v>
      </c>
      <c r="AH644" s="5" t="str">
        <f ca="1">IFERROR(__xludf.DUMMYFUNCTION("""COMPUTED_VALUE"""),"selena.mihajlovic@fazi.rs")</f>
        <v>selena.mihajlovic@fazi.rs</v>
      </c>
      <c r="AI644" s="5"/>
      <c r="AJ644" s="5"/>
      <c r="AK644" s="5">
        <f ca="1">IFERROR(__xludf.DUMMYFUNCTION("""COMPUTED_VALUE"""),5)</f>
        <v>5</v>
      </c>
      <c r="AL644" s="5" t="str">
        <f ca="1">IFERROR(__xludf.DUMMYFUNCTION("""COMPUTED_VALUE"""),"No")</f>
        <v>No</v>
      </c>
      <c r="AM644" s="5"/>
      <c r="AN644" s="7" t="str">
        <f ca="1">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AO644" s="5"/>
      <c r="AP644" s="5"/>
      <c r="AQ644" s="5" t="b">
        <f ca="1">IFERROR(__xludf.DUMMYFUNCTION("""COMPUTED_VALUE"""),TRUE)</f>
        <v>1</v>
      </c>
      <c r="AR644" s="5"/>
      <c r="AS644" s="5" t="str">
        <f ca="1">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AT644" s="5"/>
      <c r="AU644" s="5" t="str">
        <f ca="1">IFERROR(__xludf.DUMMYFUNCTION("""COMPUTED_VALUE"""),"Tiptop")</f>
        <v>Tiptop</v>
      </c>
      <c r="AV644" s="5"/>
      <c r="AW644" s="5"/>
      <c r="AX644" s="15">
        <f ca="1">IFERROR(__xludf.DUMMYFUNCTION("""COMPUTED_VALUE"""),46035)</f>
        <v>46035</v>
      </c>
      <c r="AY644" s="5"/>
      <c r="AZ644" s="5"/>
      <c r="BA644" s="5"/>
      <c r="BB644" s="5" t="b">
        <f ca="1">IFERROR(__xludf.DUMMYFUNCTION("""COMPUTED_VALUE"""),TRUE)</f>
        <v>1</v>
      </c>
      <c r="BC644" s="5" t="str">
        <f ca="1">IFERROR(__xludf.DUMMYFUNCTION("""COMPUTED_VALUE"""),"Tiptop")</f>
        <v>Tiptop</v>
      </c>
      <c r="BD644" s="7" t="str">
        <f ca="1">IFERROR(__xludf.DUMMYFUNCTION("""COMPUTED_VALUE"""),"https://gameserver-store-client-area.orbionlimited.com/Home/IntegrationGameLaunch/client-area?moneyType=0&amp;gameName=UnicornLuckyGinger&amp;platform=desktop&amp;languageCode=eng&amp;currency=EUR")</f>
        <v>https://gameserver-store-client-area.orbionlimited.com/Home/IntegrationGameLaunch/client-area?moneyType=0&amp;gameName=UnicornLuckyGinger&amp;platform=desktop&amp;languageCode=eng&amp;currency=EUR</v>
      </c>
      <c r="BE644" s="5" t="b">
        <f ca="1">IFERROR(__xludf.DUMMYFUNCTION("""COMPUTED_VALUE"""),TRUE)</f>
        <v>1</v>
      </c>
    </row>
    <row r="645" spans="1:57" x14ac:dyDescent="0.25">
      <c r="A645" s="5">
        <f ca="1">IFERROR(__xludf.DUMMYFUNCTION("""COMPUTED_VALUE"""),680)</f>
        <v>680</v>
      </c>
      <c r="B645" s="5">
        <f ca="1">IFERROR(__xludf.DUMMYFUNCTION("""COMPUTED_VALUE"""),4000004)</f>
        <v>4000004</v>
      </c>
      <c r="C645" s="5" t="str">
        <f ca="1">IFERROR(__xludf.DUMMYFUNCTION("""COMPUTED_VALUE"""),"Tiptop")</f>
        <v>Tiptop</v>
      </c>
      <c r="D645" s="5" t="str">
        <f ca="1">IFERROR(__xludf.DUMMYFUNCTION("""COMPUTED_VALUE"""),"Lions Sevens Extreme")</f>
        <v>Lions Sevens Extreme</v>
      </c>
      <c r="E645" s="5" t="str">
        <f ca="1">IFERROR(__xludf.DUMMYFUNCTION("""COMPUTED_VALUE"""),"TipTop")</f>
        <v>TipTop</v>
      </c>
      <c r="F645" s="5" t="str">
        <f ca="1">IFERROR(__xludf.DUMMYFUNCTION("""COMPUTED_VALUE"""),"UnicornLionsSevensExtreme")</f>
        <v>UnicornLionsSevensExtreme</v>
      </c>
      <c r="G645" s="5" t="str">
        <f ca="1">IFERROR(__xludf.DUMMYFUNCTION("""COMPUTED_VALUE"""),"Live")</f>
        <v>Live</v>
      </c>
      <c r="H645" s="5"/>
      <c r="I645" s="5"/>
      <c r="J645" s="5" t="str">
        <f ca="1">IFERROR(__xludf.DUMMYFUNCTION("""COMPUTED_VALUE"""),"JSON")</f>
        <v>JSON</v>
      </c>
      <c r="K645" s="5" t="str">
        <f ca="1">IFERROR(__xludf.DUMMYFUNCTION("""COMPUTED_VALUE"""),"Slot")</f>
        <v>Slot</v>
      </c>
      <c r="L645" s="5" t="str">
        <f ca="1">IFERROR(__xludf.DUMMYFUNCTION("""COMPUTED_VALUE"""),"Master")</f>
        <v>Master</v>
      </c>
      <c r="M645" s="5"/>
      <c r="N645" s="5"/>
      <c r="O645" s="5"/>
      <c r="P645" s="14">
        <f ca="1">IFERROR(__xludf.DUMMYFUNCTION("""COMPUTED_VALUE"""),11.8)</f>
        <v>11.8</v>
      </c>
      <c r="Q645" s="15">
        <f ca="1">IFERROR(__xludf.DUMMYFUNCTION("""COMPUTED_VALUE"""),46055)</f>
        <v>46055</v>
      </c>
      <c r="R645" s="15">
        <f ca="1">IFERROR(__xludf.DUMMYFUNCTION("""COMPUTED_VALUE"""),46056)</f>
        <v>46056</v>
      </c>
      <c r="S645" s="15">
        <f ca="1">IFERROR(__xludf.DUMMYFUNCTION("""COMPUTED_VALUE"""),46063)</f>
        <v>46063</v>
      </c>
      <c r="T645" s="5" t="b">
        <f ca="1">IFERROR(__xludf.DUMMYFUNCTION("""COMPUTED_VALUE"""),TRUE)</f>
        <v>1</v>
      </c>
      <c r="U645" s="5" t="str">
        <f ca="1">IFERROR(__xludf.DUMMYFUNCTION("""COMPUTED_VALUE"""),"5x3")</f>
        <v>5x3</v>
      </c>
      <c r="V645" s="5">
        <f ca="1">IFERROR(__xludf.DUMMYFUNCTION("""COMPUTED_VALUE"""),5)</f>
        <v>5</v>
      </c>
      <c r="W645" s="5">
        <f ca="1">IFERROR(__xludf.DUMMYFUNCTION("""COMPUTED_VALUE"""),5)</f>
        <v>5</v>
      </c>
      <c r="X645" s="5">
        <f ca="1">IFERROR(__xludf.DUMMYFUNCTION("""COMPUTED_VALUE"""),96)</f>
        <v>96</v>
      </c>
      <c r="Y645" s="5" t="str">
        <f ca="1">IFERROR(__xludf.DUMMYFUNCTION("""COMPUTED_VALUE"""),"Low")</f>
        <v>Low</v>
      </c>
      <c r="Z645" s="5">
        <f ca="1">IFERROR(__xludf.DUMMYFUNCTION("""COMPUTED_VALUE"""),10.5)</f>
        <v>10.5</v>
      </c>
      <c r="AA645" s="5">
        <f ca="1">IFERROR(__xludf.DUMMYFUNCTION("""COMPUTED_VALUE"""),10000)</f>
        <v>10000</v>
      </c>
      <c r="AB645" s="5"/>
      <c r="AC645" s="5"/>
      <c r="AD645" s="5" t="str">
        <f ca="1">IFERROR(__xludf.DUMMYFUNCTION("""COMPUTED_VALUE"""),"0.05/100")</f>
        <v>0.05/100</v>
      </c>
      <c r="AE645" s="5"/>
      <c r="AF645" s="5"/>
      <c r="AG645" s="10">
        <f ca="1">IFERROR(__xludf.DUMMYFUNCTION("""COMPUTED_VALUE"""),46197.5049189814)</f>
        <v>46197.504918981402</v>
      </c>
      <c r="AH645" s="5" t="str">
        <f ca="1">IFERROR(__xludf.DUMMYFUNCTION("""COMPUTED_VALUE"""),"selena.mihajlovic@fazi.rs")</f>
        <v>selena.mihajlovic@fazi.rs</v>
      </c>
      <c r="AI645" s="15">
        <f ca="1">IFERROR(__xludf.DUMMYFUNCTION("""COMPUTED_VALUE"""),46056)</f>
        <v>46056</v>
      </c>
      <c r="AJ645" s="5" t="str">
        <f ca="1">IFERROR(__xludf.DUMMYFUNCTION("""COMPUTED_VALUE"""),"03.02. BonMoja - Kenia, Uganda, Zmbia, Tanzania")</f>
        <v>03.02. BonMoja - Kenia, Uganda, Zmbia, Tanzania</v>
      </c>
      <c r="AK645" s="5">
        <f ca="1">IFERROR(__xludf.DUMMYFUNCTION("""COMPUTED_VALUE"""),5)</f>
        <v>5</v>
      </c>
      <c r="AL645" s="5" t="str">
        <f ca="1">IFERROR(__xludf.DUMMYFUNCTION("""COMPUTED_VALUE"""),"No")</f>
        <v>No</v>
      </c>
      <c r="AM645" s="5"/>
      <c r="AN645" s="7" t="str">
        <f ca="1">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AO645" s="5"/>
      <c r="AP645" s="5"/>
      <c r="AQ645" s="5" t="b">
        <f ca="1">IFERROR(__xludf.DUMMYFUNCTION("""COMPUTED_VALUE"""),TRUE)</f>
        <v>1</v>
      </c>
      <c r="AR645" s="5"/>
      <c r="AS645" s="5" t="str">
        <f ca="1">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AT645" s="5"/>
      <c r="AU645" s="5" t="str">
        <f ca="1">IFERROR(__xludf.DUMMYFUNCTION("""COMPUTED_VALUE"""),"Tiptop")</f>
        <v>Tiptop</v>
      </c>
      <c r="AV645" s="5"/>
      <c r="AW645" s="5"/>
      <c r="AX645" s="15">
        <f ca="1">IFERROR(__xludf.DUMMYFUNCTION("""COMPUTED_VALUE"""),46049)</f>
        <v>46049</v>
      </c>
      <c r="AY645" s="5"/>
      <c r="AZ645" s="5"/>
      <c r="BA645" s="5"/>
      <c r="BB645" s="5" t="b">
        <f ca="1">IFERROR(__xludf.DUMMYFUNCTION("""COMPUTED_VALUE"""),TRUE)</f>
        <v>1</v>
      </c>
      <c r="BC645" s="5" t="str">
        <f ca="1">IFERROR(__xludf.DUMMYFUNCTION("""COMPUTED_VALUE"""),"Tiptop")</f>
        <v>Tiptop</v>
      </c>
      <c r="BD645" s="7" t="str">
        <f ca="1">IFERROR(__xludf.DUMMYFUNCTION("""COMPUTED_VALUE"""),"https://gameserver-store-client-area.orbionlimited.com/Home/IntegrationGameLaunch/client-area?moneyType=0&amp;gameName=UnicornLionsSevensExtreme&amp;platform=desktop&amp;languageCode=eng&amp;currency=EUR")</f>
        <v>https://gameserver-store-client-area.orbionlimited.com/Home/IntegrationGameLaunch/client-area?moneyType=0&amp;gameName=UnicornLionsSevensExtreme&amp;platform=desktop&amp;languageCode=eng&amp;currency=EUR</v>
      </c>
      <c r="BE645" s="5" t="b">
        <f ca="1">IFERROR(__xludf.DUMMYFUNCTION("""COMPUTED_VALUE"""),TRUE)</f>
        <v>1</v>
      </c>
    </row>
    <row r="646" spans="1:57" x14ac:dyDescent="0.25">
      <c r="A646" s="5">
        <f ca="1">IFERROR(__xludf.DUMMYFUNCTION("""COMPUTED_VALUE"""),681)</f>
        <v>681</v>
      </c>
      <c r="B646" s="5">
        <f ca="1">IFERROR(__xludf.DUMMYFUNCTION("""COMPUTED_VALUE"""),4000006)</f>
        <v>4000006</v>
      </c>
      <c r="C646" s="5" t="str">
        <f ca="1">IFERROR(__xludf.DUMMYFUNCTION("""COMPUTED_VALUE"""),"Tiptop")</f>
        <v>Tiptop</v>
      </c>
      <c r="D646" s="5" t="str">
        <f ca="1">IFERROR(__xludf.DUMMYFUNCTION("""COMPUTED_VALUE"""),"Coyote Sevens Jackpot")</f>
        <v>Coyote Sevens Jackpot</v>
      </c>
      <c r="E646" s="5" t="str">
        <f ca="1">IFERROR(__xludf.DUMMYFUNCTION("""COMPUTED_VALUE"""),"TipTop")</f>
        <v>TipTop</v>
      </c>
      <c r="F646" s="5" t="str">
        <f ca="1">IFERROR(__xludf.DUMMYFUNCTION("""COMPUTED_VALUE"""),"UnicornCoyoteSevensJackpot")</f>
        <v>UnicornCoyoteSevensJackpot</v>
      </c>
      <c r="G646" s="5" t="str">
        <f ca="1">IFERROR(__xludf.DUMMYFUNCTION("""COMPUTED_VALUE"""),"Live")</f>
        <v>Live</v>
      </c>
      <c r="H646" s="5"/>
      <c r="I646" s="5"/>
      <c r="J646" s="5" t="str">
        <f ca="1">IFERROR(__xludf.DUMMYFUNCTION("""COMPUTED_VALUE"""),"JSON")</f>
        <v>JSON</v>
      </c>
      <c r="K646" s="5" t="str">
        <f ca="1">IFERROR(__xludf.DUMMYFUNCTION("""COMPUTED_VALUE"""),"Slot")</f>
        <v>Slot</v>
      </c>
      <c r="L646" s="5" t="str">
        <f ca="1">IFERROR(__xludf.DUMMYFUNCTION("""COMPUTED_VALUE"""),"Master")</f>
        <v>Master</v>
      </c>
      <c r="M646" s="5"/>
      <c r="N646" s="5"/>
      <c r="O646" s="5"/>
      <c r="P646" s="14">
        <f ca="1">IFERROR(__xludf.DUMMYFUNCTION("""COMPUTED_VALUE"""),11.3)</f>
        <v>11.3</v>
      </c>
      <c r="Q646" s="15">
        <f ca="1">IFERROR(__xludf.DUMMYFUNCTION("""COMPUTED_VALUE"""),46071)</f>
        <v>46071</v>
      </c>
      <c r="R646" s="15">
        <f ca="1">IFERROR(__xludf.DUMMYFUNCTION("""COMPUTED_VALUE"""),46070)</f>
        <v>46070</v>
      </c>
      <c r="S646" s="15">
        <f ca="1">IFERROR(__xludf.DUMMYFUNCTION("""COMPUTED_VALUE"""),46077)</f>
        <v>46077</v>
      </c>
      <c r="T646" s="5" t="b">
        <f ca="1">IFERROR(__xludf.DUMMYFUNCTION("""COMPUTED_VALUE"""),TRUE)</f>
        <v>1</v>
      </c>
      <c r="U646" s="5" t="str">
        <f ca="1">IFERROR(__xludf.DUMMYFUNCTION("""COMPUTED_VALUE"""),"5x3")</f>
        <v>5x3</v>
      </c>
      <c r="V646" s="5">
        <f ca="1">IFERROR(__xludf.DUMMYFUNCTION("""COMPUTED_VALUE"""),5)</f>
        <v>5</v>
      </c>
      <c r="W646" s="5">
        <f ca="1">IFERROR(__xludf.DUMMYFUNCTION("""COMPUTED_VALUE"""),5)</f>
        <v>5</v>
      </c>
      <c r="X646" s="5">
        <f ca="1">IFERROR(__xludf.DUMMYFUNCTION("""COMPUTED_VALUE"""),96)</f>
        <v>96</v>
      </c>
      <c r="Y646" s="5" t="str">
        <f ca="1">IFERROR(__xludf.DUMMYFUNCTION("""COMPUTED_VALUE"""),"Medium")</f>
        <v>Medium</v>
      </c>
      <c r="Z646" s="5">
        <f ca="1">IFERROR(__xludf.DUMMYFUNCTION("""COMPUTED_VALUE"""),10.11)</f>
        <v>10.11</v>
      </c>
      <c r="AA646" s="5">
        <f ca="1">IFERROR(__xludf.DUMMYFUNCTION("""COMPUTED_VALUE"""),10000)</f>
        <v>10000</v>
      </c>
      <c r="AB646" s="5"/>
      <c r="AC646" s="5"/>
      <c r="AD646" s="5" t="str">
        <f ca="1">IFERROR(__xludf.DUMMYFUNCTION("""COMPUTED_VALUE"""),"0.05/100")</f>
        <v>0.05/100</v>
      </c>
      <c r="AE646" s="5"/>
      <c r="AF646" s="5"/>
      <c r="AG646" s="10">
        <f ca="1">IFERROR(__xludf.DUMMYFUNCTION("""COMPUTED_VALUE"""),46197.5055439814)</f>
        <v>46197.505543981402</v>
      </c>
      <c r="AH646" s="5" t="str">
        <f ca="1">IFERROR(__xludf.DUMMYFUNCTION("""COMPUTED_VALUE"""),"selena.mihajlovic@fazi.rs")</f>
        <v>selena.mihajlovic@fazi.rs</v>
      </c>
      <c r="AI646" s="5"/>
      <c r="AJ646" s="5"/>
      <c r="AK646" s="5">
        <f ca="1">IFERROR(__xludf.DUMMYFUNCTION("""COMPUTED_VALUE"""),5)</f>
        <v>5</v>
      </c>
      <c r="AL646" s="5" t="str">
        <f ca="1">IFERROR(__xludf.DUMMYFUNCTION("""COMPUTED_VALUE"""),"No")</f>
        <v>No</v>
      </c>
      <c r="AM646" s="5"/>
      <c r="AN646" s="7" t="str">
        <f ca="1">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AO646" s="5"/>
      <c r="AP646" s="5"/>
      <c r="AQ646" s="5" t="b">
        <f ca="1">IFERROR(__xludf.DUMMYFUNCTION("""COMPUTED_VALUE"""),TRUE)</f>
        <v>1</v>
      </c>
      <c r="AR646" s="5"/>
      <c r="AS646" s="5" t="str">
        <f ca="1">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AT646" s="5"/>
      <c r="AU646" s="5" t="str">
        <f ca="1">IFERROR(__xludf.DUMMYFUNCTION("""COMPUTED_VALUE"""),"Tiptop")</f>
        <v>Tiptop</v>
      </c>
      <c r="AV646" s="5"/>
      <c r="AW646" s="5"/>
      <c r="AX646" s="15">
        <f ca="1">IFERROR(__xludf.DUMMYFUNCTION("""COMPUTED_VALUE"""),46063)</f>
        <v>46063</v>
      </c>
      <c r="AY646" s="5"/>
      <c r="AZ646" s="5"/>
      <c r="BA646" s="5"/>
      <c r="BB646" s="5" t="b">
        <f ca="1">IFERROR(__xludf.DUMMYFUNCTION("""COMPUTED_VALUE"""),TRUE)</f>
        <v>1</v>
      </c>
      <c r="BC646" s="5" t="str">
        <f ca="1">IFERROR(__xludf.DUMMYFUNCTION("""COMPUTED_VALUE"""),"Tiptop")</f>
        <v>Tiptop</v>
      </c>
      <c r="BD646" s="7" t="str">
        <f ca="1">IFERROR(__xludf.DUMMYFUNCTION("""COMPUTED_VALUE"""),"https://gameserver-store-client-area.orbionlimited.com/Home/IntegrationGameLaunch/client-area?moneyType=0&amp;gameName=UnicornCoyoteSevensJackpot&amp;platform=desktop&amp;languageCode=eng&amp;currency=EUR")</f>
        <v>https://gameserver-store-client-area.orbionlimited.com/Home/IntegrationGameLaunch/client-area?moneyType=0&amp;gameName=UnicornCoyoteSevensJackpot&amp;platform=desktop&amp;languageCode=eng&amp;currency=EUR</v>
      </c>
      <c r="BE646" s="5" t="b">
        <f ca="1">IFERROR(__xludf.DUMMYFUNCTION("""COMPUTED_VALUE"""),TRUE)</f>
        <v>1</v>
      </c>
    </row>
    <row r="647" spans="1:57" x14ac:dyDescent="0.25">
      <c r="A647" s="5">
        <f ca="1">IFERROR(__xludf.DUMMYFUNCTION("""COMPUTED_VALUE"""),682)</f>
        <v>682</v>
      </c>
      <c r="B647" s="5">
        <f ca="1">IFERROR(__xludf.DUMMYFUNCTION("""COMPUTED_VALUE"""),4000005)</f>
        <v>4000005</v>
      </c>
      <c r="C647" s="5" t="str">
        <f ca="1">IFERROR(__xludf.DUMMYFUNCTION("""COMPUTED_VALUE"""),"Tiptop")</f>
        <v>Tiptop</v>
      </c>
      <c r="D647" s="5" t="str">
        <f ca="1">IFERROR(__xludf.DUMMYFUNCTION("""COMPUTED_VALUE"""),"Dragon Gems")</f>
        <v>Dragon Gems</v>
      </c>
      <c r="E647" s="5" t="str">
        <f ca="1">IFERROR(__xludf.DUMMYFUNCTION("""COMPUTED_VALUE"""),"TipTop")</f>
        <v>TipTop</v>
      </c>
      <c r="F647" s="5" t="str">
        <f ca="1">IFERROR(__xludf.DUMMYFUNCTION("""COMPUTED_VALUE"""),"UnicornDragonGems")</f>
        <v>UnicornDragonGems</v>
      </c>
      <c r="G647" s="5" t="str">
        <f ca="1">IFERROR(__xludf.DUMMYFUNCTION("""COMPUTED_VALUE"""),"Live")</f>
        <v>Live</v>
      </c>
      <c r="H647" s="5"/>
      <c r="I647" s="5"/>
      <c r="J647" s="5" t="str">
        <f ca="1">IFERROR(__xludf.DUMMYFUNCTION("""COMPUTED_VALUE"""),"JSON")</f>
        <v>JSON</v>
      </c>
      <c r="K647" s="5" t="str">
        <f ca="1">IFERROR(__xludf.DUMMYFUNCTION("""COMPUTED_VALUE"""),"Slot")</f>
        <v>Slot</v>
      </c>
      <c r="L647" s="5" t="str">
        <f ca="1">IFERROR(__xludf.DUMMYFUNCTION("""COMPUTED_VALUE""")," Clone")</f>
        <v xml:space="preserve"> Clone</v>
      </c>
      <c r="M647" s="5" t="str">
        <f ca="1">IFERROR(__xludf.DUMMYFUNCTION("""COMPUTED_VALUE"""),"Big Spin Dragons")</f>
        <v>Big Spin Dragons</v>
      </c>
      <c r="N647" s="5"/>
      <c r="O647" s="5"/>
      <c r="P647" s="14">
        <f ca="1">IFERROR(__xludf.DUMMYFUNCTION("""COMPUTED_VALUE"""),14.1)</f>
        <v>14.1</v>
      </c>
      <c r="Q647" s="15">
        <f ca="1">IFERROR(__xludf.DUMMYFUNCTION("""COMPUTED_VALUE"""),46071)</f>
        <v>46071</v>
      </c>
      <c r="R647" s="15">
        <f ca="1">IFERROR(__xludf.DUMMYFUNCTION("""COMPUTED_VALUE"""),46066)</f>
        <v>46066</v>
      </c>
      <c r="S647" s="15">
        <f ca="1">IFERROR(__xludf.DUMMYFUNCTION("""COMPUTED_VALUE"""),46073)</f>
        <v>46073</v>
      </c>
      <c r="T647" s="5" t="b">
        <f ca="1">IFERROR(__xludf.DUMMYFUNCTION("""COMPUTED_VALUE"""),TRUE)</f>
        <v>1</v>
      </c>
      <c r="U647" s="5" t="str">
        <f ca="1">IFERROR(__xludf.DUMMYFUNCTION("""COMPUTED_VALUE"""),"5x3")</f>
        <v>5x3</v>
      </c>
      <c r="V647" s="5">
        <f ca="1">IFERROR(__xludf.DUMMYFUNCTION("""COMPUTED_VALUE"""),5)</f>
        <v>5</v>
      </c>
      <c r="W647" s="5">
        <f ca="1">IFERROR(__xludf.DUMMYFUNCTION("""COMPUTED_VALUE"""),5)</f>
        <v>5</v>
      </c>
      <c r="X647" s="5">
        <f ca="1">IFERROR(__xludf.DUMMYFUNCTION("""COMPUTED_VALUE"""),96)</f>
        <v>96</v>
      </c>
      <c r="Y647" s="5" t="str">
        <f ca="1">IFERROR(__xludf.DUMMYFUNCTION("""COMPUTED_VALUE"""),"Low")</f>
        <v>Low</v>
      </c>
      <c r="Z647" s="5">
        <f ca="1">IFERROR(__xludf.DUMMYFUNCTION("""COMPUTED_VALUE"""),14.4)</f>
        <v>14.4</v>
      </c>
      <c r="AA647" s="5">
        <f ca="1">IFERROR(__xludf.DUMMYFUNCTION("""COMPUTED_VALUE"""),10000)</f>
        <v>10000</v>
      </c>
      <c r="AB647" s="5"/>
      <c r="AC647" s="5"/>
      <c r="AD647" s="5" t="str">
        <f ca="1">IFERROR(__xludf.DUMMYFUNCTION("""COMPUTED_VALUE"""),"0.05/100")</f>
        <v>0.05/100</v>
      </c>
      <c r="AE647" s="5"/>
      <c r="AF647" s="5"/>
      <c r="AG647" s="10">
        <f ca="1">IFERROR(__xludf.DUMMYFUNCTION("""COMPUTED_VALUE"""),46197.5085069444)</f>
        <v>46197.508506944403</v>
      </c>
      <c r="AH647" s="5" t="str">
        <f ca="1">IFERROR(__xludf.DUMMYFUNCTION("""COMPUTED_VALUE"""),"selena.mihajlovic@fazi.rs")</f>
        <v>selena.mihajlovic@fazi.rs</v>
      </c>
      <c r="AI647" s="5"/>
      <c r="AJ647" s="5"/>
      <c r="AK647" s="5">
        <f ca="1">IFERROR(__xludf.DUMMYFUNCTION("""COMPUTED_VALUE"""),5)</f>
        <v>5</v>
      </c>
      <c r="AL647" s="5" t="str">
        <f ca="1">IFERROR(__xludf.DUMMYFUNCTION("""COMPUTED_VALUE"""),"No")</f>
        <v>No</v>
      </c>
      <c r="AM647" s="5"/>
      <c r="AN647" s="7" t="str">
        <f ca="1">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AO647" s="5"/>
      <c r="AP647" s="5"/>
      <c r="AQ647" s="5" t="b">
        <f ca="1">IFERROR(__xludf.DUMMYFUNCTION("""COMPUTED_VALUE"""),TRUE)</f>
        <v>1</v>
      </c>
      <c r="AR647" s="5"/>
      <c r="AS647" s="5" t="str">
        <f ca="1">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AT647" s="5"/>
      <c r="AU647" s="5" t="str">
        <f ca="1">IFERROR(__xludf.DUMMYFUNCTION("""COMPUTED_VALUE"""),"Tiptop")</f>
        <v>Tiptop</v>
      </c>
      <c r="AV647" s="5"/>
      <c r="AW647" s="5"/>
      <c r="AX647" s="15">
        <f ca="1">IFERROR(__xludf.DUMMYFUNCTION("""COMPUTED_VALUE"""),46063)</f>
        <v>46063</v>
      </c>
      <c r="AY647" s="5"/>
      <c r="AZ647" s="5"/>
      <c r="BA647" s="5"/>
      <c r="BB647" s="5" t="b">
        <f ca="1">IFERROR(__xludf.DUMMYFUNCTION("""COMPUTED_VALUE"""),TRUE)</f>
        <v>1</v>
      </c>
      <c r="BC647" s="5" t="str">
        <f ca="1">IFERROR(__xludf.DUMMYFUNCTION("""COMPUTED_VALUE"""),"Tiptop")</f>
        <v>Tiptop</v>
      </c>
      <c r="BD647" s="7" t="str">
        <f ca="1">IFERROR(__xludf.DUMMYFUNCTION("""COMPUTED_VALUE"""),"https://gameserver-store-client-area.orbionlimited.com/Home/IntegrationGameLaunch/client-area?moneyType=0&amp;gameName=UnicornDragonGems&amp;platform=desktop&amp;languageCode=eng&amp;currency=EUR")</f>
        <v>https://gameserver-store-client-area.orbionlimited.com/Home/IntegrationGameLaunch/client-area?moneyType=0&amp;gameName=UnicornDragonGems&amp;platform=desktop&amp;languageCode=eng&amp;currency=EUR</v>
      </c>
      <c r="BE647" s="5" t="b">
        <f ca="1">IFERROR(__xludf.DUMMYFUNCTION("""COMPUTED_VALUE"""),TRUE)</f>
        <v>1</v>
      </c>
    </row>
    <row r="648" spans="1:57" x14ac:dyDescent="0.25">
      <c r="A648" s="5">
        <f ca="1">IFERROR(__xludf.DUMMYFUNCTION("""COMPUTED_VALUE"""),683)</f>
        <v>683</v>
      </c>
      <c r="B648" s="5">
        <f ca="1">IFERROR(__xludf.DUMMYFUNCTION("""COMPUTED_VALUE"""),4000009)</f>
        <v>4000009</v>
      </c>
      <c r="C648" s="5" t="str">
        <f ca="1">IFERROR(__xludf.DUMMYFUNCTION("""COMPUTED_VALUE"""),"Tiptop")</f>
        <v>Tiptop</v>
      </c>
      <c r="D648" s="5" t="str">
        <f ca="1">IFERROR(__xludf.DUMMYFUNCTION("""COMPUTED_VALUE"""),"Bye Bouse")</f>
        <v>Bye Bouse</v>
      </c>
      <c r="E648" s="5" t="str">
        <f ca="1">IFERROR(__xludf.DUMMYFUNCTION("""COMPUTED_VALUE"""),"TipTop")</f>
        <v>TipTop</v>
      </c>
      <c r="F648" s="5" t="str">
        <f ca="1">IFERROR(__xludf.DUMMYFUNCTION("""COMPUTED_VALUE"""),"UnicornByeBouse")</f>
        <v>UnicornByeBouse</v>
      </c>
      <c r="G648" s="5" t="str">
        <f ca="1">IFERROR(__xludf.DUMMYFUNCTION("""COMPUTED_VALUE"""),"Live")</f>
        <v>Live</v>
      </c>
      <c r="H648" s="5"/>
      <c r="I648" s="5" t="str">
        <f ca="1">IFERROR(__xludf.DUMMYFUNCTION("""COMPUTED_VALUE"""),"TipTop")</f>
        <v>TipTop</v>
      </c>
      <c r="J648" s="5" t="str">
        <f ca="1">IFERROR(__xludf.DUMMYFUNCTION("""COMPUTED_VALUE"""),"JSON")</f>
        <v>JSON</v>
      </c>
      <c r="K648" s="5" t="str">
        <f ca="1">IFERROR(__xludf.DUMMYFUNCTION("""COMPUTED_VALUE"""),"Slot")</f>
        <v>Slot</v>
      </c>
      <c r="L648" s="5" t="str">
        <f ca="1">IFERROR(__xludf.DUMMYFUNCTION("""COMPUTED_VALUE"""),"Master")</f>
        <v>Master</v>
      </c>
      <c r="M648" s="5"/>
      <c r="N648" s="5"/>
      <c r="O648" s="5"/>
      <c r="P648" s="14">
        <f ca="1">IFERROR(__xludf.DUMMYFUNCTION("""COMPUTED_VALUE"""),15.3)</f>
        <v>15.3</v>
      </c>
      <c r="Q648" s="15">
        <f ca="1">IFERROR(__xludf.DUMMYFUNCTION("""COMPUTED_VALUE"""),46111)</f>
        <v>46111</v>
      </c>
      <c r="R648" s="15">
        <f ca="1">IFERROR(__xludf.DUMMYFUNCTION("""COMPUTED_VALUE"""),46113)</f>
        <v>46113</v>
      </c>
      <c r="S648" s="15">
        <f ca="1">IFERROR(__xludf.DUMMYFUNCTION("""COMPUTED_VALUE"""),46120)</f>
        <v>46120</v>
      </c>
      <c r="T648" s="5" t="b">
        <f ca="1">IFERROR(__xludf.DUMMYFUNCTION("""COMPUTED_VALUE"""),TRUE)</f>
        <v>1</v>
      </c>
      <c r="U648" s="5" t="str">
        <f ca="1">IFERROR(__xludf.DUMMYFUNCTION("""COMPUTED_VALUE"""),"5x4")</f>
        <v>5x4</v>
      </c>
      <c r="V648" s="5">
        <f ca="1">IFERROR(__xludf.DUMMYFUNCTION("""COMPUTED_VALUE"""),40)</f>
        <v>40</v>
      </c>
      <c r="W648" s="5">
        <f ca="1">IFERROR(__xludf.DUMMYFUNCTION("""COMPUTED_VALUE"""),40)</f>
        <v>40</v>
      </c>
      <c r="X648" s="5">
        <f ca="1">IFERROR(__xludf.DUMMYFUNCTION("""COMPUTED_VALUE"""),96)</f>
        <v>96</v>
      </c>
      <c r="Y648" s="5" t="str">
        <f ca="1">IFERROR(__xludf.DUMMYFUNCTION("""COMPUTED_VALUE"""),"Low")</f>
        <v>Low</v>
      </c>
      <c r="Z648" s="5">
        <f ca="1">IFERROR(__xludf.DUMMYFUNCTION("""COMPUTED_VALUE"""),17.365)</f>
        <v>17.364999999999998</v>
      </c>
      <c r="AA648" s="5">
        <f ca="1">IFERROR(__xludf.DUMMYFUNCTION("""COMPUTED_VALUE"""),10000)</f>
        <v>10000</v>
      </c>
      <c r="AB648" s="5"/>
      <c r="AC648" s="5"/>
      <c r="AD648" s="5" t="str">
        <f ca="1">IFERROR(__xludf.DUMMYFUNCTION("""COMPUTED_VALUE"""),"0.05/100")</f>
        <v>0.05/100</v>
      </c>
      <c r="AE648" s="5"/>
      <c r="AF648" s="5"/>
      <c r="AG648" s="10">
        <f ca="1">IFERROR(__xludf.DUMMYFUNCTION("""COMPUTED_VALUE"""),46197.5089583333)</f>
        <v>46197.508958333303</v>
      </c>
      <c r="AH648" s="5" t="str">
        <f ca="1">IFERROR(__xludf.DUMMYFUNCTION("""COMPUTED_VALUE"""),"selena.mihajlovic@fazi.rs")</f>
        <v>selena.mihajlovic@fazi.rs</v>
      </c>
      <c r="AI648" s="5"/>
      <c r="AJ648" s="5"/>
      <c r="AK648" s="5">
        <f ca="1">IFERROR(__xludf.DUMMYFUNCTION("""COMPUTED_VALUE"""),40)</f>
        <v>40</v>
      </c>
      <c r="AL648" s="5" t="str">
        <f ca="1">IFERROR(__xludf.DUMMYFUNCTION("""COMPUTED_VALUE"""),"No")</f>
        <v>No</v>
      </c>
      <c r="AM648" s="5"/>
      <c r="AN648" s="7" t="str">
        <f ca="1">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AO648" s="5"/>
      <c r="AP648" s="5"/>
      <c r="AQ648" s="5" t="b">
        <f ca="1">IFERROR(__xludf.DUMMYFUNCTION("""COMPUTED_VALUE"""),TRUE)</f>
        <v>1</v>
      </c>
      <c r="AR648" s="5"/>
      <c r="AS648" s="5" t="str">
        <f ca="1">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AT648" s="5"/>
      <c r="AU648" s="5" t="str">
        <f ca="1">IFERROR(__xludf.DUMMYFUNCTION("""COMPUTED_VALUE"""),"Tiptop")</f>
        <v>Tiptop</v>
      </c>
      <c r="AV648" s="5"/>
      <c r="AW648" s="5"/>
      <c r="AX648" s="15">
        <f ca="1">IFERROR(__xludf.DUMMYFUNCTION("""COMPUTED_VALUE"""),46105)</f>
        <v>46105</v>
      </c>
      <c r="AY648" s="5"/>
      <c r="AZ648" s="5"/>
      <c r="BA648" s="5"/>
      <c r="BB648" s="5" t="b">
        <f ca="1">IFERROR(__xludf.DUMMYFUNCTION("""COMPUTED_VALUE"""),TRUE)</f>
        <v>1</v>
      </c>
      <c r="BC648" s="5" t="str">
        <f ca="1">IFERROR(__xludf.DUMMYFUNCTION("""COMPUTED_VALUE"""),"Tiptop")</f>
        <v>Tiptop</v>
      </c>
      <c r="BD648" s="7" t="str">
        <f ca="1">IFERROR(__xludf.DUMMYFUNCTION("""COMPUTED_VALUE"""),"https://gameserver-store-client-area.orbionlimited.com/Home/IntegrationGameLaunch/client-area?moneyType=0&amp;gameName=UnicornByeBouse&amp;platform=desktop&amp;languageCode=eng&amp;currency=EUR")</f>
        <v>https://gameserver-store-client-area.orbionlimited.com/Home/IntegrationGameLaunch/client-area?moneyType=0&amp;gameName=UnicornByeBouse&amp;platform=desktop&amp;languageCode=eng&amp;currency=EUR</v>
      </c>
      <c r="BE648" s="5" t="b">
        <f ca="1">IFERROR(__xludf.DUMMYFUNCTION("""COMPUTED_VALUE"""),TRUE)</f>
        <v>1</v>
      </c>
    </row>
    <row r="649" spans="1:57" x14ac:dyDescent="0.25">
      <c r="A649" s="5">
        <f ca="1">IFERROR(__xludf.DUMMYFUNCTION("""COMPUTED_VALUE"""),684)</f>
        <v>684</v>
      </c>
      <c r="B649" s="5">
        <f ca="1">IFERROR(__xludf.DUMMYFUNCTION("""COMPUTED_VALUE"""),4000007)</f>
        <v>4000007</v>
      </c>
      <c r="C649" s="5" t="str">
        <f ca="1">IFERROR(__xludf.DUMMYFUNCTION("""COMPUTED_VALUE"""),"Tiptop")</f>
        <v>Tiptop</v>
      </c>
      <c r="D649" s="5" t="str">
        <f ca="1">IFERROR(__xludf.DUMMYFUNCTION("""COMPUTED_VALUE"""),"Triple Royal Wilds")</f>
        <v>Triple Royal Wilds</v>
      </c>
      <c r="E649" s="5" t="str">
        <f ca="1">IFERROR(__xludf.DUMMYFUNCTION("""COMPUTED_VALUE"""),"TipTop")</f>
        <v>TipTop</v>
      </c>
      <c r="F649" s="5" t="str">
        <f ca="1">IFERROR(__xludf.DUMMYFUNCTION("""COMPUTED_VALUE"""),"UnicornTripleRoyalWilds")</f>
        <v>UnicornTripleRoyalWilds</v>
      </c>
      <c r="G649" s="5" t="str">
        <f ca="1">IFERROR(__xludf.DUMMYFUNCTION("""COMPUTED_VALUE"""),"Live")</f>
        <v>Live</v>
      </c>
      <c r="H649" s="5"/>
      <c r="I649" s="5"/>
      <c r="J649" s="5" t="str">
        <f ca="1">IFERROR(__xludf.DUMMYFUNCTION("""COMPUTED_VALUE"""),"JSON")</f>
        <v>JSON</v>
      </c>
      <c r="K649" s="5" t="str">
        <f ca="1">IFERROR(__xludf.DUMMYFUNCTION("""COMPUTED_VALUE"""),"Slot")</f>
        <v>Slot</v>
      </c>
      <c r="L649" s="5" t="str">
        <f ca="1">IFERROR(__xludf.DUMMYFUNCTION("""COMPUTED_VALUE"""),"Master")</f>
        <v>Master</v>
      </c>
      <c r="M649" s="5"/>
      <c r="N649" s="5"/>
      <c r="O649" s="5"/>
      <c r="P649" s="14">
        <f ca="1">IFERROR(__xludf.DUMMYFUNCTION("""COMPUTED_VALUE"""),12.05)</f>
        <v>12.05</v>
      </c>
      <c r="Q649" s="15">
        <f ca="1">IFERROR(__xludf.DUMMYFUNCTION("""COMPUTED_VALUE"""),46083)</f>
        <v>46083</v>
      </c>
      <c r="R649" s="15">
        <f ca="1">IFERROR(__xludf.DUMMYFUNCTION("""COMPUTED_VALUE"""),46099)</f>
        <v>46099</v>
      </c>
      <c r="S649" s="15">
        <f ca="1">IFERROR(__xludf.DUMMYFUNCTION("""COMPUTED_VALUE"""),46106)</f>
        <v>46106</v>
      </c>
      <c r="T649" s="5" t="b">
        <f ca="1">IFERROR(__xludf.DUMMYFUNCTION("""COMPUTED_VALUE"""),TRUE)</f>
        <v>1</v>
      </c>
      <c r="U649" s="5" t="str">
        <f ca="1">IFERROR(__xludf.DUMMYFUNCTION("""COMPUTED_VALUE"""),"5x3")</f>
        <v>5x3</v>
      </c>
      <c r="V649" s="5">
        <f ca="1">IFERROR(__xludf.DUMMYFUNCTION("""COMPUTED_VALUE"""),5)</f>
        <v>5</v>
      </c>
      <c r="W649" s="5">
        <f ca="1">IFERROR(__xludf.DUMMYFUNCTION("""COMPUTED_VALUE"""),5)</f>
        <v>5</v>
      </c>
      <c r="X649" s="5">
        <f ca="1">IFERROR(__xludf.DUMMYFUNCTION("""COMPUTED_VALUE"""),96)</f>
        <v>96</v>
      </c>
      <c r="Y649" s="5" t="str">
        <f ca="1">IFERROR(__xludf.DUMMYFUNCTION("""COMPUTED_VALUE"""),"Low")</f>
        <v>Low</v>
      </c>
      <c r="Z649" s="5">
        <f ca="1">IFERROR(__xludf.DUMMYFUNCTION("""COMPUTED_VALUE"""),18.4)</f>
        <v>18.399999999999999</v>
      </c>
      <c r="AA649" s="5">
        <f ca="1">IFERROR(__xludf.DUMMYFUNCTION("""COMPUTED_VALUE"""),1150)</f>
        <v>1150</v>
      </c>
      <c r="AB649" s="5"/>
      <c r="AC649" s="5"/>
      <c r="AD649" s="5" t="str">
        <f ca="1">IFERROR(__xludf.DUMMYFUNCTION("""COMPUTED_VALUE"""),"0.05 / 100")</f>
        <v>0.05 / 100</v>
      </c>
      <c r="AE649" s="5"/>
      <c r="AF649" s="5"/>
      <c r="AG649" s="10">
        <f ca="1">IFERROR(__xludf.DUMMYFUNCTION("""COMPUTED_VALUE"""),46197.5095138888)</f>
        <v>46197.509513888799</v>
      </c>
      <c r="AH649" s="5" t="str">
        <f ca="1">IFERROR(__xludf.DUMMYFUNCTION("""COMPUTED_VALUE"""),"selena.mihajlovic@fazi.rs")</f>
        <v>selena.mihajlovic@fazi.rs</v>
      </c>
      <c r="AI649" s="5"/>
      <c r="AJ649" s="5"/>
      <c r="AK649" s="5">
        <f ca="1">IFERROR(__xludf.DUMMYFUNCTION("""COMPUTED_VALUE"""),5)</f>
        <v>5</v>
      </c>
      <c r="AL649" s="5" t="str">
        <f ca="1">IFERROR(__xludf.DUMMYFUNCTION("""COMPUTED_VALUE"""),"No")</f>
        <v>No</v>
      </c>
      <c r="AM649" s="5"/>
      <c r="AN649" s="7" t="str">
        <f ca="1">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AO649" s="5"/>
      <c r="AP649" s="5"/>
      <c r="AQ649" s="5" t="b">
        <f ca="1">IFERROR(__xludf.DUMMYFUNCTION("""COMPUTED_VALUE"""),TRUE)</f>
        <v>1</v>
      </c>
      <c r="AR649" s="5"/>
      <c r="AS649" s="5" t="str">
        <f ca="1">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AT649" s="5"/>
      <c r="AU649" s="5" t="str">
        <f ca="1">IFERROR(__xludf.DUMMYFUNCTION("""COMPUTED_VALUE"""),"Tiptop")</f>
        <v>Tiptop</v>
      </c>
      <c r="AV649" s="5"/>
      <c r="AW649" s="5"/>
      <c r="AX649" s="15">
        <f ca="1">IFERROR(__xludf.DUMMYFUNCTION("""COMPUTED_VALUE"""),46077)</f>
        <v>46077</v>
      </c>
      <c r="AY649" s="5"/>
      <c r="AZ649" s="5"/>
      <c r="BA649" s="5"/>
      <c r="BB649" s="5" t="b">
        <f ca="1">IFERROR(__xludf.DUMMYFUNCTION("""COMPUTED_VALUE"""),TRUE)</f>
        <v>1</v>
      </c>
      <c r="BC649" s="5" t="str">
        <f ca="1">IFERROR(__xludf.DUMMYFUNCTION("""COMPUTED_VALUE"""),"Tiptop")</f>
        <v>Tiptop</v>
      </c>
      <c r="BD649" s="7" t="str">
        <f ca="1">IFERROR(__xludf.DUMMYFUNCTION("""COMPUTED_VALUE"""),"https://gameserver-store-client-area.orbionlimited.com/Home/IntegrationGameLaunch/client-area?moneyType=0&amp;gameName=UnicornTripleRoyalWilds&amp;platform=desktop&amp;languageCode=eng&amp;currency=EUR")</f>
        <v>https://gameserver-store-client-area.orbionlimited.com/Home/IntegrationGameLaunch/client-area?moneyType=0&amp;gameName=UnicornTripleRoyalWilds&amp;platform=desktop&amp;languageCode=eng&amp;currency=EUR</v>
      </c>
      <c r="BE649" s="5" t="b">
        <f ca="1">IFERROR(__xludf.DUMMYFUNCTION("""COMPUTED_VALUE"""),TRUE)</f>
        <v>1</v>
      </c>
    </row>
    <row r="650" spans="1:57" x14ac:dyDescent="0.25">
      <c r="A650" s="5">
        <f ca="1">IFERROR(__xludf.DUMMYFUNCTION("""COMPUTED_VALUE"""),685)</f>
        <v>685</v>
      </c>
      <c r="B650" s="5">
        <f ca="1">IFERROR(__xludf.DUMMYFUNCTION("""COMPUTED_VALUE"""),1011)</f>
        <v>1011</v>
      </c>
      <c r="C650" s="5" t="str">
        <f ca="1">IFERROR(__xludf.DUMMYFUNCTION("""COMPUTED_VALUE"""),"Fazi")</f>
        <v>Fazi</v>
      </c>
      <c r="D650" s="5" t="str">
        <f ca="1">IFERROR(__xludf.DUMMYFUNCTION("""COMPUTED_VALUE"""),"Golden Diamonds 5 Extreme")</f>
        <v>Golden Diamonds 5 Extreme</v>
      </c>
      <c r="E650" s="5" t="str">
        <f ca="1">IFERROR(__xludf.DUMMYFUNCTION("""COMPUTED_VALUE"""),"V4-1")</f>
        <v>V4-1</v>
      </c>
      <c r="F650" s="5" t="str">
        <f ca="1">IFERROR(__xludf.DUMMYFUNCTION("""COMPUTED_VALUE"""),"GoldenDiamonds5Extreme")</f>
        <v>GoldenDiamonds5Extreme</v>
      </c>
      <c r="G650" s="5" t="str">
        <f ca="1">IFERROR(__xludf.DUMMYFUNCTION("""COMPUTED_VALUE"""),"Live")</f>
        <v>Live</v>
      </c>
      <c r="H650" s="5"/>
      <c r="I650" s="5" t="str">
        <f ca="1">IFERROR(__xludf.DUMMYFUNCTION("""COMPUTED_VALUE"""),"V4")</f>
        <v>V4</v>
      </c>
      <c r="J650" s="5" t="str">
        <f ca="1">IFERROR(__xludf.DUMMYFUNCTION("""COMPUTED_VALUE"""),"JSON")</f>
        <v>JSON</v>
      </c>
      <c r="K650" s="5" t="str">
        <f ca="1">IFERROR(__xludf.DUMMYFUNCTION("""COMPUTED_VALUE"""),"Slot")</f>
        <v>Slot</v>
      </c>
      <c r="L650" s="5" t="str">
        <f ca="1">IFERROR(__xludf.DUMMYFUNCTION("""COMPUTED_VALUE""")," Clone")</f>
        <v xml:space="preserve"> Clone</v>
      </c>
      <c r="M650" s="5" t="str">
        <f ca="1">IFERROR(__xludf.DUMMYFUNCTION("""COMPUTED_VALUE"""),"Very Hot 5 Extreme")</f>
        <v>Very Hot 5 Extreme</v>
      </c>
      <c r="N650" s="7" t="str">
        <f ca="1">IFERROR(__xludf.DUMMYFUNCTION("""COMPUTED_VALUE"""),"https://drive.google.com/file/d/1x44az3aQtpIw5MUPC7Tlxd0m5EFMs2bt/view?usp=sharing")</f>
        <v>https://drive.google.com/file/d/1x44az3aQtpIw5MUPC7Tlxd0m5EFMs2bt/view?usp=sharing</v>
      </c>
      <c r="O650" s="7" t="str">
        <f ca="1">IFERROR(__xludf.DUMMYFUNCTION("""COMPUTED_VALUE"""),"https://drive.google.com/file/d/1yREKQrMOjoXdfeIiLZapwVLAmDxEmnLN/view?usp=sharing")</f>
        <v>https://drive.google.com/file/d/1yREKQrMOjoXdfeIiLZapwVLAmDxEmnLN/view?usp=sharing</v>
      </c>
      <c r="P650" s="14">
        <f ca="1">IFERROR(__xludf.DUMMYFUNCTION("""COMPUTED_VALUE"""),22.36)</f>
        <v>22.36</v>
      </c>
      <c r="Q650" s="15">
        <f ca="1">IFERROR(__xludf.DUMMYFUNCTION("""COMPUTED_VALUE"""),46041)</f>
        <v>46041</v>
      </c>
      <c r="R650" s="15">
        <f ca="1">IFERROR(__xludf.DUMMYFUNCTION("""COMPUTED_VALUE"""),46091)</f>
        <v>46091</v>
      </c>
      <c r="S650" s="15">
        <f ca="1">IFERROR(__xludf.DUMMYFUNCTION("""COMPUTED_VALUE"""),46098)</f>
        <v>46098</v>
      </c>
      <c r="T650" s="5" t="b">
        <f ca="1">IFERROR(__xludf.DUMMYFUNCTION("""COMPUTED_VALUE"""),TRUE)</f>
        <v>1</v>
      </c>
      <c r="U650" s="5" t="str">
        <f ca="1">IFERROR(__xludf.DUMMYFUNCTION("""COMPUTED_VALUE"""),"5x3")</f>
        <v>5x3</v>
      </c>
      <c r="V650" s="5">
        <f ca="1">IFERROR(__xludf.DUMMYFUNCTION("""COMPUTED_VALUE"""),5)</f>
        <v>5</v>
      </c>
      <c r="W650" s="5">
        <f ca="1">IFERROR(__xludf.DUMMYFUNCTION("""COMPUTED_VALUE"""),5)</f>
        <v>5</v>
      </c>
      <c r="X650" s="5">
        <f ca="1">IFERROR(__xludf.DUMMYFUNCTION("""COMPUTED_VALUE"""),96.453)</f>
        <v>96.453000000000003</v>
      </c>
      <c r="Y650" s="5" t="str">
        <f ca="1">IFERROR(__xludf.DUMMYFUNCTION("""COMPUTED_VALUE"""),"Medium")</f>
        <v>Medium</v>
      </c>
      <c r="Z650" s="5">
        <f ca="1">IFERROR(__xludf.DUMMYFUNCTION("""COMPUTED_VALUE"""),14.234)</f>
        <v>14.234</v>
      </c>
      <c r="AA650" s="5">
        <f ca="1">IFERROR(__xludf.DUMMYFUNCTION("""COMPUTED_VALUE"""),2624)</f>
        <v>2624</v>
      </c>
      <c r="AB650" s="5"/>
      <c r="AC650" s="5" t="str">
        <f ca="1">IFERROR(__xludf.DUMMYFUNCTION("""COMPUTED_VALUE"""),"Wild Symbol, Wild Multiplier, Scatter")</f>
        <v>Wild Symbol, Wild Multiplier, Scatter</v>
      </c>
      <c r="AD650" s="5" t="str">
        <f ca="1">IFERROR(__xludf.DUMMYFUNCTION("""COMPUTED_VALUE"""),"0.1/50")</f>
        <v>0.1/50</v>
      </c>
      <c r="AE650" s="5"/>
      <c r="AF650" s="5"/>
      <c r="AG650" s="10">
        <f ca="1">IFERROR(__xludf.DUMMYFUNCTION("""COMPUTED_VALUE"""),46164.5376041666)</f>
        <v>46164.537604166602</v>
      </c>
      <c r="AH650" s="5" t="str">
        <f ca="1">IFERROR(__xludf.DUMMYFUNCTION("""COMPUTED_VALUE"""),"djordje.petrovic@fazi.rs")</f>
        <v>djordje.petrovic@fazi.rs</v>
      </c>
      <c r="AI650" s="15">
        <f ca="1">IFERROR(__xludf.DUMMYFUNCTION("""COMPUTED_VALUE"""),46082)</f>
        <v>46082</v>
      </c>
      <c r="AJ650" s="5" t="str">
        <f ca="1">IFERROR(__xludf.DUMMYFUNCTION("""COMPUTED_VALUE"""),"06.03. TotoGaming (ARM)
01.03. BongoBongo (AFR)
02.03. Betarabia (Lebanon)
03.03. Mozzart (SRB)
01.03. Lob (MNE)")</f>
        <v>06.03. TotoGaming (ARM)
01.03. BongoBongo (AFR)
02.03. Betarabia (Lebanon)
03.03. Mozzart (SRB)
01.03. Lob (MNE)</v>
      </c>
      <c r="AK650" s="5">
        <f ca="1">IFERROR(__xludf.DUMMYFUNCTION("""COMPUTED_VALUE"""),1)</f>
        <v>1</v>
      </c>
      <c r="AL650" s="5" t="str">
        <f ca="1">IFERROR(__xludf.DUMMYFUNCTION("""COMPUTED_VALUE"""),"Yes")</f>
        <v>Yes</v>
      </c>
      <c r="AM650" s="5"/>
      <c r="AN650" s="7" t="str">
        <f ca="1">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AO650" s="5" t="str">
        <f ca="1">IFERROR(__xludf.DUMMYFUNCTION("""COMPUTED_VALUE"""),"Yes")</f>
        <v>Yes</v>
      </c>
      <c r="AP650" s="5" t="str">
        <f ca="1">IFERROR(__xludf.DUMMYFUNCTION("""COMPUTED_VALUE"""),"Yes")</f>
        <v>Yes</v>
      </c>
      <c r="AQ650" s="5" t="b">
        <f ca="1">IFERROR(__xludf.DUMMYFUNCTION("""COMPUTED_VALUE"""),TRUE)</f>
        <v>1</v>
      </c>
      <c r="AR650" s="5"/>
      <c r="AS650" s="5" t="str">
        <f ca="1">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AT650" s="5"/>
      <c r="AU650" s="5" t="str">
        <f ca="1">IFERROR(__xludf.DUMMYFUNCTION("""COMPUTED_VALUE"""),"Fazi")</f>
        <v>Fazi</v>
      </c>
      <c r="AV650" s="5">
        <f ca="1">IFERROR(__xludf.DUMMYFUNCTION("""COMPUTED_VALUE"""),1)</f>
        <v>1</v>
      </c>
      <c r="AW650" s="5"/>
      <c r="AX650" s="15">
        <f ca="1">IFERROR(__xludf.DUMMYFUNCTION("""COMPUTED_VALUE"""),46035)</f>
        <v>46035</v>
      </c>
      <c r="AY650" s="5"/>
      <c r="AZ650" s="5"/>
      <c r="BA650" s="5"/>
      <c r="BB650" s="5" t="b">
        <f ca="1">IFERROR(__xludf.DUMMYFUNCTION("""COMPUTED_VALUE"""),TRUE)</f>
        <v>1</v>
      </c>
      <c r="BC650" s="5" t="str">
        <f ca="1">IFERROR(__xludf.DUMMYFUNCTION("""COMPUTED_VALUE"""),"Foxi")</f>
        <v>Foxi</v>
      </c>
      <c r="BD650" s="7" t="str">
        <f ca="1">IFERROR(__xludf.DUMMYFUNCTION("""COMPUTED_VALUE"""),"https://gameserver-store-client-area.orbionlimited.com/Home/IntegrationGameLaunch/client-area?moneyType=0&amp;gameName=GoldenDiamonds5Extreme&amp;platform=desktop&amp;languageCode=eng&amp;currency=EUR")</f>
        <v>https://gameserver-store-client-area.orbionlimited.com/Home/IntegrationGameLaunch/client-area?moneyType=0&amp;gameName=GoldenDiamonds5Extreme&amp;platform=desktop&amp;languageCode=eng&amp;currency=EUR</v>
      </c>
      <c r="BE650" s="5" t="b">
        <f ca="1">IFERROR(__xludf.DUMMYFUNCTION("""COMPUTED_VALUE"""),TRUE)</f>
        <v>1</v>
      </c>
    </row>
    <row r="651" spans="1:57" x14ac:dyDescent="0.25">
      <c r="A651" s="5">
        <f ca="1">IFERROR(__xludf.DUMMYFUNCTION("""COMPUTED_VALUE"""),686)</f>
        <v>686</v>
      </c>
      <c r="B651" s="5">
        <f ca="1">IFERROR(__xludf.DUMMYFUNCTION("""COMPUTED_VALUE"""),1012)</f>
        <v>1012</v>
      </c>
      <c r="C651" s="5" t="str">
        <f ca="1">IFERROR(__xludf.DUMMYFUNCTION("""COMPUTED_VALUE"""),"Fazi")</f>
        <v>Fazi</v>
      </c>
      <c r="D651" s="5" t="str">
        <f ca="1">IFERROR(__xludf.DUMMYFUNCTION("""COMPUTED_VALUE"""),"Golden Diamonds 10 Extreme")</f>
        <v>Golden Diamonds 10 Extreme</v>
      </c>
      <c r="E651" s="5" t="str">
        <f ca="1">IFERROR(__xludf.DUMMYFUNCTION("""COMPUTED_VALUE"""),"V4-1")</f>
        <v>V4-1</v>
      </c>
      <c r="F651" s="5" t="str">
        <f ca="1">IFERROR(__xludf.DUMMYFUNCTION("""COMPUTED_VALUE"""),"GoldenDiamonds10Extreme")</f>
        <v>GoldenDiamonds10Extreme</v>
      </c>
      <c r="G651" s="5" t="str">
        <f ca="1">IFERROR(__xludf.DUMMYFUNCTION("""COMPUTED_VALUE"""),"Deployed")</f>
        <v>Deployed</v>
      </c>
      <c r="H651" s="5"/>
      <c r="I651" s="5" t="str">
        <f ca="1">IFERROR(__xludf.DUMMYFUNCTION("""COMPUTED_VALUE"""),"V4")</f>
        <v>V4</v>
      </c>
      <c r="J651" s="5" t="str">
        <f ca="1">IFERROR(__xludf.DUMMYFUNCTION("""COMPUTED_VALUE"""),"JSON")</f>
        <v>JSON</v>
      </c>
      <c r="K651" s="5" t="str">
        <f ca="1">IFERROR(__xludf.DUMMYFUNCTION("""COMPUTED_VALUE"""),"Slot")</f>
        <v>Slot</v>
      </c>
      <c r="L651" s="5" t="str">
        <f ca="1">IFERROR(__xludf.DUMMYFUNCTION("""COMPUTED_VALUE""")," Variant")</f>
        <v xml:space="preserve"> Variant</v>
      </c>
      <c r="M651" s="5"/>
      <c r="N651" s="7" t="str">
        <f ca="1">IFERROR(__xludf.DUMMYFUNCTION("""COMPUTED_VALUE"""),"https://drive.google.com/file/d/1ARsFO2So3R8sFL4rirWY9LvE_bLaWXcO/view?usp=sharing")</f>
        <v>https://drive.google.com/file/d/1ARsFO2So3R8sFL4rirWY9LvE_bLaWXcO/view?usp=sharing</v>
      </c>
      <c r="O651" s="7" t="str">
        <f ca="1">IFERROR(__xludf.DUMMYFUNCTION("""COMPUTED_VALUE"""),"https://drive.google.com/file/d/1KOfqXXdYTAFXEN82MumL9YiluW04u2nw/view?usp=sharing")</f>
        <v>https://drive.google.com/file/d/1KOfqXXdYTAFXEN82MumL9YiluW04u2nw/view?usp=sharing</v>
      </c>
      <c r="P651" s="14">
        <f ca="1">IFERROR(__xludf.DUMMYFUNCTION("""COMPUTED_VALUE"""),21.31)</f>
        <v>21.31</v>
      </c>
      <c r="Q651" s="15">
        <f ca="1">IFERROR(__xludf.DUMMYFUNCTION("""COMPUTED_VALUE"""),46041)</f>
        <v>46041</v>
      </c>
      <c r="R651" s="15">
        <f ca="1">IFERROR(__xludf.DUMMYFUNCTION("""COMPUTED_VALUE"""),46254)</f>
        <v>46254</v>
      </c>
      <c r="S651" s="15">
        <f ca="1">IFERROR(__xludf.DUMMYFUNCTION("""COMPUTED_VALUE"""),46261)</f>
        <v>46261</v>
      </c>
      <c r="T651" s="5" t="b">
        <f ca="1">IFERROR(__xludf.DUMMYFUNCTION("""COMPUTED_VALUE"""),TRUE)</f>
        <v>1</v>
      </c>
      <c r="U651" s="5" t="str">
        <f ca="1">IFERROR(__xludf.DUMMYFUNCTION("""COMPUTED_VALUE"""),"5x3")</f>
        <v>5x3</v>
      </c>
      <c r="V651" s="5">
        <f ca="1">IFERROR(__xludf.DUMMYFUNCTION("""COMPUTED_VALUE"""),10)</f>
        <v>10</v>
      </c>
      <c r="W651" s="5">
        <f ca="1">IFERROR(__xludf.DUMMYFUNCTION("""COMPUTED_VALUE"""),10)</f>
        <v>10</v>
      </c>
      <c r="X651" s="5">
        <f ca="1">IFERROR(__xludf.DUMMYFUNCTION("""COMPUTED_VALUE"""),96.453)</f>
        <v>96.453000000000003</v>
      </c>
      <c r="Y651" s="5" t="str">
        <f ca="1">IFERROR(__xludf.DUMMYFUNCTION("""COMPUTED_VALUE"""),"Medium")</f>
        <v>Medium</v>
      </c>
      <c r="Z651" s="5">
        <f ca="1">IFERROR(__xludf.DUMMYFUNCTION("""COMPUTED_VALUE"""),17.364)</f>
        <v>17.364000000000001</v>
      </c>
      <c r="AA651" s="5">
        <f ca="1">IFERROR(__xludf.DUMMYFUNCTION("""COMPUTED_VALUE"""),2210)</f>
        <v>2210</v>
      </c>
      <c r="AB651" s="5"/>
      <c r="AC651" s="5" t="str">
        <f ca="1">IFERROR(__xludf.DUMMYFUNCTION("""COMPUTED_VALUE"""),"Wild Symbol, Wild Multiplier")</f>
        <v>Wild Symbol, Wild Multiplier</v>
      </c>
      <c r="AD651" s="5" t="str">
        <f ca="1">IFERROR(__xludf.DUMMYFUNCTION("""COMPUTED_VALUE"""),"0.1/50")</f>
        <v>0.1/50</v>
      </c>
      <c r="AE651" s="5"/>
      <c r="AF651" s="5"/>
      <c r="AG651" s="10">
        <f ca="1">IFERROR(__xludf.DUMMYFUNCTION("""COMPUTED_VALUE"""),46206.5323611111)</f>
        <v>46206.532361111102</v>
      </c>
      <c r="AH651" s="5" t="str">
        <f ca="1">IFERROR(__xludf.DUMMYFUNCTION("""COMPUTED_VALUE"""),"selena.mihajlovic@fazi.rs")</f>
        <v>selena.mihajlovic@fazi.rs</v>
      </c>
      <c r="AI651" s="5"/>
      <c r="AJ651" s="5"/>
      <c r="AK651" s="5">
        <f ca="1">IFERROR(__xludf.DUMMYFUNCTION("""COMPUTED_VALUE"""),1)</f>
        <v>1</v>
      </c>
      <c r="AL651" s="5" t="str">
        <f ca="1">IFERROR(__xludf.DUMMYFUNCTION("""COMPUTED_VALUE"""),"Yes")</f>
        <v>Yes</v>
      </c>
      <c r="AM651" s="5" t="str">
        <f ca="1">IFERROR(__xludf.DUMMYFUNCTION("""COMPUTED_VALUE"""),"No")</f>
        <v>No</v>
      </c>
      <c r="AN651" s="7" t="str">
        <f ca="1">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AO651" s="5" t="str">
        <f ca="1">IFERROR(__xludf.DUMMYFUNCTION("""COMPUTED_VALUE"""),"Yes")</f>
        <v>Yes</v>
      </c>
      <c r="AP651" s="5" t="str">
        <f ca="1">IFERROR(__xludf.DUMMYFUNCTION("""COMPUTED_VALUE"""),"Yes")</f>
        <v>Yes</v>
      </c>
      <c r="AQ651" s="5" t="b">
        <f ca="1">IFERROR(__xludf.DUMMYFUNCTION("""COMPUTED_VALUE"""),TRUE)</f>
        <v>1</v>
      </c>
      <c r="AR651" s="5"/>
      <c r="AS651" s="5" t="str">
        <f ca="1">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AT651" s="5"/>
      <c r="AU651" s="5" t="str">
        <f ca="1">IFERROR(__xludf.DUMMYFUNCTION("""COMPUTED_VALUE"""),"Fazi")</f>
        <v>Fazi</v>
      </c>
      <c r="AV651" s="5">
        <f ca="1">IFERROR(__xludf.DUMMYFUNCTION("""COMPUTED_VALUE"""),1)</f>
        <v>1</v>
      </c>
      <c r="AW651" s="5"/>
      <c r="AX651" s="15">
        <f ca="1">IFERROR(__xludf.DUMMYFUNCTION("""COMPUTED_VALUE"""),46035)</f>
        <v>46035</v>
      </c>
      <c r="AY651" s="5"/>
      <c r="AZ651" s="5"/>
      <c r="BA651" s="5"/>
      <c r="BB651" s="5" t="b">
        <f ca="1">IFERROR(__xludf.DUMMYFUNCTION("""COMPUTED_VALUE"""),TRUE)</f>
        <v>1</v>
      </c>
      <c r="BC651" s="5" t="str">
        <f ca="1">IFERROR(__xludf.DUMMYFUNCTION("""COMPUTED_VALUE"""),"Foxi")</f>
        <v>Foxi</v>
      </c>
      <c r="BD651" s="7" t="str">
        <f ca="1">IFERROR(__xludf.DUMMYFUNCTION("""COMPUTED_VALUE"""),"https://gameserver-store-client-area.orbionlimited.com/Home/IntegrationGameLaunch/client-area?moneyType=0&amp;gameName=GoldenDiamonds10Extreme&amp;platform=desktop&amp;languageCode=eng&amp;currency=EUR")</f>
        <v>https://gameserver-store-client-area.orbionlimited.com/Home/IntegrationGameLaunch/client-area?moneyType=0&amp;gameName=GoldenDiamonds10Extreme&amp;platform=desktop&amp;languageCode=eng&amp;currency=EUR</v>
      </c>
      <c r="BE651" s="5" t="b">
        <f ca="1">IFERROR(__xludf.DUMMYFUNCTION("""COMPUTED_VALUE"""),TRUE)</f>
        <v>1</v>
      </c>
    </row>
    <row r="652" spans="1:57" x14ac:dyDescent="0.25">
      <c r="A652" s="5">
        <f ca="1">IFERROR(__xludf.DUMMYFUNCTION("""COMPUTED_VALUE"""),687)</f>
        <v>687</v>
      </c>
      <c r="B652" s="5">
        <f ca="1">IFERROR(__xludf.DUMMYFUNCTION("""COMPUTED_VALUE"""),1013)</f>
        <v>1013</v>
      </c>
      <c r="C652" s="5" t="str">
        <f ca="1">IFERROR(__xludf.DUMMYFUNCTION("""COMPUTED_VALUE"""),"Fazi")</f>
        <v>Fazi</v>
      </c>
      <c r="D652" s="5" t="str">
        <f ca="1">IFERROR(__xludf.DUMMYFUNCTION("""COMPUTED_VALUE"""),"Golden Diamonds 20 Extreme")</f>
        <v>Golden Diamonds 20 Extreme</v>
      </c>
      <c r="E652" s="5" t="str">
        <f ca="1">IFERROR(__xludf.DUMMYFUNCTION("""COMPUTED_VALUE"""),"V4-1")</f>
        <v>V4-1</v>
      </c>
      <c r="F652" s="5" t="str">
        <f ca="1">IFERROR(__xludf.DUMMYFUNCTION("""COMPUTED_VALUE"""),"GoldenDiamonds20Extreme")</f>
        <v>GoldenDiamonds20Extreme</v>
      </c>
      <c r="G652" s="5" t="str">
        <f ca="1">IFERROR(__xludf.DUMMYFUNCTION("""COMPUTED_VALUE"""),"Live")</f>
        <v>Live</v>
      </c>
      <c r="H652" s="5"/>
      <c r="I652" s="5" t="str">
        <f ca="1">IFERROR(__xludf.DUMMYFUNCTION("""COMPUTED_VALUE"""),"V4")</f>
        <v>V4</v>
      </c>
      <c r="J652" s="5" t="str">
        <f ca="1">IFERROR(__xludf.DUMMYFUNCTION("""COMPUTED_VALUE"""),"JSON")</f>
        <v>JSON</v>
      </c>
      <c r="K652" s="5" t="str">
        <f ca="1">IFERROR(__xludf.DUMMYFUNCTION("""COMPUTED_VALUE"""),"Slot")</f>
        <v>Slot</v>
      </c>
      <c r="L652" s="5" t="str">
        <f ca="1">IFERROR(__xludf.DUMMYFUNCTION("""COMPUTED_VALUE""")," Variant")</f>
        <v xml:space="preserve"> Variant</v>
      </c>
      <c r="M652" s="5"/>
      <c r="N652" s="7" t="str">
        <f ca="1">IFERROR(__xludf.DUMMYFUNCTION("""COMPUTED_VALUE"""),"https://drive.google.com/drive/folders/1HnVHEi4PxXKbJ6EWbWx4tNUyr2IpnDyp")</f>
        <v>https://drive.google.com/drive/folders/1HnVHEi4PxXKbJ6EWbWx4tNUyr2IpnDyp</v>
      </c>
      <c r="O652" s="7" t="str">
        <f ca="1">IFERROR(__xludf.DUMMYFUNCTION("""COMPUTED_VALUE"""),"https://drive.google.com/drive/folders/1HnVHEi4PxXKbJ6EWbWx4tNUyr2IpnDyp")</f>
        <v>https://drive.google.com/drive/folders/1HnVHEi4PxXKbJ6EWbWx4tNUyr2IpnDyp</v>
      </c>
      <c r="P652" s="14">
        <f ca="1">IFERROR(__xludf.DUMMYFUNCTION("""COMPUTED_VALUE"""),21.3)</f>
        <v>21.3</v>
      </c>
      <c r="Q652" s="15">
        <f ca="1">IFERROR(__xludf.DUMMYFUNCTION("""COMPUTED_VALUE"""),46041)</f>
        <v>46041</v>
      </c>
      <c r="R652" s="15">
        <f ca="1">IFERROR(__xludf.DUMMYFUNCTION("""COMPUTED_VALUE"""),46112)</f>
        <v>46112</v>
      </c>
      <c r="S652" s="15">
        <f ca="1">IFERROR(__xludf.DUMMYFUNCTION("""COMPUTED_VALUE"""),46119)</f>
        <v>46119</v>
      </c>
      <c r="T652" s="5" t="b">
        <f ca="1">IFERROR(__xludf.DUMMYFUNCTION("""COMPUTED_VALUE"""),TRUE)</f>
        <v>1</v>
      </c>
      <c r="U652" s="5" t="str">
        <f ca="1">IFERROR(__xludf.DUMMYFUNCTION("""COMPUTED_VALUE"""),"5x3")</f>
        <v>5x3</v>
      </c>
      <c r="V652" s="5">
        <f ca="1">IFERROR(__xludf.DUMMYFUNCTION("""COMPUTED_VALUE"""),20)</f>
        <v>20</v>
      </c>
      <c r="W652" s="5">
        <f ca="1">IFERROR(__xludf.DUMMYFUNCTION("""COMPUTED_VALUE"""),20)</f>
        <v>20</v>
      </c>
      <c r="X652" s="5">
        <f ca="1">IFERROR(__xludf.DUMMYFUNCTION("""COMPUTED_VALUE"""),96.453)</f>
        <v>96.453000000000003</v>
      </c>
      <c r="Y652" s="5" t="str">
        <f ca="1">IFERROR(__xludf.DUMMYFUNCTION("""COMPUTED_VALUE"""),"Low")</f>
        <v>Low</v>
      </c>
      <c r="Z652" s="5">
        <f ca="1">IFERROR(__xludf.DUMMYFUNCTION("""COMPUTED_VALUE"""),21.192)</f>
        <v>21.192</v>
      </c>
      <c r="AA652" s="5">
        <f ca="1">IFERROR(__xludf.DUMMYFUNCTION("""COMPUTED_VALUE"""),2765)</f>
        <v>2765</v>
      </c>
      <c r="AB652" s="5"/>
      <c r="AC652" s="5" t="str">
        <f ca="1">IFERROR(__xludf.DUMMYFUNCTION("""COMPUTED_VALUE"""),"Wild Symbol, Wild Multiplier")</f>
        <v>Wild Symbol, Wild Multiplier</v>
      </c>
      <c r="AD652" s="5" t="str">
        <f ca="1">IFERROR(__xludf.DUMMYFUNCTION("""COMPUTED_VALUE"""),"0.2/50")</f>
        <v>0.2/50</v>
      </c>
      <c r="AE652" s="5"/>
      <c r="AF652" s="5"/>
      <c r="AG652" s="10">
        <f ca="1">IFERROR(__xludf.DUMMYFUNCTION("""COMPUTED_VALUE"""),46161.5354513888)</f>
        <v>46161.535451388801</v>
      </c>
      <c r="AH652" s="5" t="str">
        <f ca="1">IFERROR(__xludf.DUMMYFUNCTION("""COMPUTED_VALUE"""),"djordje.petrovic@fazi.rs")</f>
        <v>djordje.petrovic@fazi.rs</v>
      </c>
      <c r="AI652" s="15">
        <f ca="1">IFERROR(__xludf.DUMMYFUNCTION("""COMPUTED_VALUE"""),46108)</f>
        <v>46108</v>
      </c>
      <c r="AJ652" s="5" t="str">
        <f ca="1">IFERROR(__xludf.DUMMYFUNCTION("""COMPUTED_VALUE"""),"27.03 Pinup (CIS)
27.03 Premirebet (Africa)")</f>
        <v>27.03 Pinup (CIS)
27.03 Premirebet (Africa)</v>
      </c>
      <c r="AK652" s="5">
        <f ca="1">IFERROR(__xludf.DUMMYFUNCTION("""COMPUTED_VALUE"""),2)</f>
        <v>2</v>
      </c>
      <c r="AL652" s="5" t="str">
        <f ca="1">IFERROR(__xludf.DUMMYFUNCTION("""COMPUTED_VALUE"""),"Yes")</f>
        <v>Yes</v>
      </c>
      <c r="AM652" s="5"/>
      <c r="AN652" s="7" t="str">
        <f ca="1">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AO652" s="5" t="str">
        <f ca="1">IFERROR(__xludf.DUMMYFUNCTION("""COMPUTED_VALUE"""),"Yes")</f>
        <v>Yes</v>
      </c>
      <c r="AP652" s="5" t="str">
        <f ca="1">IFERROR(__xludf.DUMMYFUNCTION("""COMPUTED_VALUE"""),"Yes")</f>
        <v>Yes</v>
      </c>
      <c r="AQ652" s="5" t="b">
        <f ca="1">IFERROR(__xludf.DUMMYFUNCTION("""COMPUTED_VALUE"""),TRUE)</f>
        <v>1</v>
      </c>
      <c r="AR652" s="5"/>
      <c r="AS652" s="5" t="str">
        <f ca="1">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AT652" s="5"/>
      <c r="AU652" s="5" t="str">
        <f ca="1">IFERROR(__xludf.DUMMYFUNCTION("""COMPUTED_VALUE"""),"Fazi")</f>
        <v>Fazi</v>
      </c>
      <c r="AV652" s="5">
        <f ca="1">IFERROR(__xludf.DUMMYFUNCTION("""COMPUTED_VALUE"""),2)</f>
        <v>2</v>
      </c>
      <c r="AW652" s="5"/>
      <c r="AX652" s="15">
        <f ca="1">IFERROR(__xludf.DUMMYFUNCTION("""COMPUTED_VALUE"""),46035)</f>
        <v>46035</v>
      </c>
      <c r="AY652" s="5"/>
      <c r="AZ652" s="5"/>
      <c r="BA652" s="5"/>
      <c r="BB652" s="5" t="b">
        <f ca="1">IFERROR(__xludf.DUMMYFUNCTION("""COMPUTED_VALUE"""),TRUE)</f>
        <v>1</v>
      </c>
      <c r="BC652" s="5" t="str">
        <f ca="1">IFERROR(__xludf.DUMMYFUNCTION("""COMPUTED_VALUE"""),"Foxi")</f>
        <v>Foxi</v>
      </c>
      <c r="BD652" s="7" t="str">
        <f ca="1">IFERROR(__xludf.DUMMYFUNCTION("""COMPUTED_VALUE"""),"https://gameserver-store-client-area.orbionlimited.com/Home/IntegrationGameLaunch/client-area?moneyType=0&amp;gameName=GoldenDiamonds20Extreme&amp;platform=desktop&amp;languageCode=eng&amp;currency=EUR")</f>
        <v>https://gameserver-store-client-area.orbionlimited.com/Home/IntegrationGameLaunch/client-area?moneyType=0&amp;gameName=GoldenDiamonds20Extreme&amp;platform=desktop&amp;languageCode=eng&amp;currency=EUR</v>
      </c>
      <c r="BE652" s="5" t="b">
        <f ca="1">IFERROR(__xludf.DUMMYFUNCTION("""COMPUTED_VALUE"""),TRUE)</f>
        <v>1</v>
      </c>
    </row>
    <row r="653" spans="1:57" x14ac:dyDescent="0.25">
      <c r="A653" s="5">
        <f ca="1">IFERROR(__xludf.DUMMYFUNCTION("""COMPUTED_VALUE"""),688)</f>
        <v>688</v>
      </c>
      <c r="B653" s="5">
        <f ca="1">IFERROR(__xludf.DUMMYFUNCTION("""COMPUTED_VALUE"""),1014)</f>
        <v>1014</v>
      </c>
      <c r="C653" s="5" t="str">
        <f ca="1">IFERROR(__xludf.DUMMYFUNCTION("""COMPUTED_VALUE"""),"Fazi")</f>
        <v>Fazi</v>
      </c>
      <c r="D653" s="5" t="str">
        <f ca="1">IFERROR(__xludf.DUMMYFUNCTION("""COMPUTED_VALUE"""),"Golden Diamonds 40 Extreme")</f>
        <v>Golden Diamonds 40 Extreme</v>
      </c>
      <c r="E653" s="5" t="str">
        <f ca="1">IFERROR(__xludf.DUMMYFUNCTION("""COMPUTED_VALUE"""),"V4-1")</f>
        <v>V4-1</v>
      </c>
      <c r="F653" s="5" t="str">
        <f ca="1">IFERROR(__xludf.DUMMYFUNCTION("""COMPUTED_VALUE"""),"GoldenDiamonds40Extreme")</f>
        <v>GoldenDiamonds40Extreme</v>
      </c>
      <c r="G653" s="5" t="str">
        <f ca="1">IFERROR(__xludf.DUMMYFUNCTION("""COMPUTED_VALUE"""),"Live")</f>
        <v>Live</v>
      </c>
      <c r="H653" s="5"/>
      <c r="I653" s="5" t="str">
        <f ca="1">IFERROR(__xludf.DUMMYFUNCTION("""COMPUTED_VALUE"""),"V4")</f>
        <v>V4</v>
      </c>
      <c r="J653" s="5" t="str">
        <f ca="1">IFERROR(__xludf.DUMMYFUNCTION("""COMPUTED_VALUE"""),"JSON")</f>
        <v>JSON</v>
      </c>
      <c r="K653" s="5" t="str">
        <f ca="1">IFERROR(__xludf.DUMMYFUNCTION("""COMPUTED_VALUE"""),"Slot")</f>
        <v>Slot</v>
      </c>
      <c r="L653" s="5" t="str">
        <f ca="1">IFERROR(__xludf.DUMMYFUNCTION("""COMPUTED_VALUE""")," Variant")</f>
        <v xml:space="preserve"> Variant</v>
      </c>
      <c r="M653" s="5"/>
      <c r="N653" s="7" t="str">
        <f ca="1">IFERROR(__xludf.DUMMYFUNCTION("""COMPUTED_VALUE"""),"https://drive.google.com/drive/folders/15W_JO143whU1jyoTzq8StwjWT4vJ7trZ")</f>
        <v>https://drive.google.com/drive/folders/15W_JO143whU1jyoTzq8StwjWT4vJ7trZ</v>
      </c>
      <c r="O653" s="7" t="str">
        <f ca="1">IFERROR(__xludf.DUMMYFUNCTION("""COMPUTED_VALUE"""),"https://drive.google.com/drive/folders/15W_JO143whU1jyoTzq8StwjWT4vJ7trZ")</f>
        <v>https://drive.google.com/drive/folders/15W_JO143whU1jyoTzq8StwjWT4vJ7trZ</v>
      </c>
      <c r="P653" s="14">
        <f ca="1">IFERROR(__xludf.DUMMYFUNCTION("""COMPUTED_VALUE"""),18.4)</f>
        <v>18.399999999999999</v>
      </c>
      <c r="Q653" s="15">
        <f ca="1">IFERROR(__xludf.DUMMYFUNCTION("""COMPUTED_VALUE"""),46041)</f>
        <v>46041</v>
      </c>
      <c r="R653" s="15">
        <f ca="1">IFERROR(__xludf.DUMMYFUNCTION("""COMPUTED_VALUE"""),46191)</f>
        <v>46191</v>
      </c>
      <c r="S653" s="15">
        <f ca="1">IFERROR(__xludf.DUMMYFUNCTION("""COMPUTED_VALUE"""),46198)</f>
        <v>46198</v>
      </c>
      <c r="T653" s="5" t="b">
        <f ca="1">IFERROR(__xludf.DUMMYFUNCTION("""COMPUTED_VALUE"""),TRUE)</f>
        <v>1</v>
      </c>
      <c r="U653" s="5" t="str">
        <f ca="1">IFERROR(__xludf.DUMMYFUNCTION("""COMPUTED_VALUE"""),"5x3")</f>
        <v>5x3</v>
      </c>
      <c r="V653" s="5">
        <f ca="1">IFERROR(__xludf.DUMMYFUNCTION("""COMPUTED_VALUE"""),40)</f>
        <v>40</v>
      </c>
      <c r="W653" s="5">
        <f ca="1">IFERROR(__xludf.DUMMYFUNCTION("""COMPUTED_VALUE"""),40)</f>
        <v>40</v>
      </c>
      <c r="X653" s="5">
        <f ca="1">IFERROR(__xludf.DUMMYFUNCTION("""COMPUTED_VALUE"""),96.453)</f>
        <v>96.453000000000003</v>
      </c>
      <c r="Y653" s="5" t="str">
        <f ca="1">IFERROR(__xludf.DUMMYFUNCTION("""COMPUTED_VALUE"""),"Low")</f>
        <v>Low</v>
      </c>
      <c r="Z653" s="5">
        <f ca="1">IFERROR(__xludf.DUMMYFUNCTION("""COMPUTED_VALUE"""),22.711)</f>
        <v>22.710999999999999</v>
      </c>
      <c r="AA653" s="5">
        <f ca="1">IFERROR(__xludf.DUMMYFUNCTION("""COMPUTED_VALUE"""),1993)</f>
        <v>1993</v>
      </c>
      <c r="AB653" s="5"/>
      <c r="AC653" s="5" t="str">
        <f ca="1">IFERROR(__xludf.DUMMYFUNCTION("""COMPUTED_VALUE"""),"Wild Symbol, Wild Multiplier")</f>
        <v>Wild Symbol, Wild Multiplier</v>
      </c>
      <c r="AD653" s="5" t="str">
        <f ca="1">IFERROR(__xludf.DUMMYFUNCTION("""COMPUTED_VALUE"""),"0.4/40")</f>
        <v>0.4/40</v>
      </c>
      <c r="AE653" s="5"/>
      <c r="AF653" s="5"/>
      <c r="AG653" s="10">
        <f ca="1">IFERROR(__xludf.DUMMYFUNCTION("""COMPUTED_VALUE"""),46198.574074074)</f>
        <v>46198.574074074</v>
      </c>
      <c r="AH653" s="5" t="str">
        <f ca="1">IFERROR(__xludf.DUMMYFUNCTION("""COMPUTED_VALUE"""),"djordje.petrovic@fazi.rs")</f>
        <v>djordje.petrovic@fazi.rs</v>
      </c>
      <c r="AI653" s="5"/>
      <c r="AJ653" s="5" t="str">
        <f ca="1">IFERROR(__xludf.DUMMYFUNCTION("""COMPUTED_VALUE"""),"03.04. 1xbet B2B Aggregator ")</f>
        <v xml:space="preserve">03.04. 1xbet B2B Aggregator </v>
      </c>
      <c r="AK653" s="5">
        <f ca="1">IFERROR(__xludf.DUMMYFUNCTION("""COMPUTED_VALUE"""),4)</f>
        <v>4</v>
      </c>
      <c r="AL653" s="5" t="str">
        <f ca="1">IFERROR(__xludf.DUMMYFUNCTION("""COMPUTED_VALUE"""),"Yes")</f>
        <v>Yes</v>
      </c>
      <c r="AM653" s="5"/>
      <c r="AN653" s="7" t="str">
        <f ca="1">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AO653" s="5" t="str">
        <f ca="1">IFERROR(__xludf.DUMMYFUNCTION("""COMPUTED_VALUE"""),"Yes")</f>
        <v>Yes</v>
      </c>
      <c r="AP653" s="5" t="str">
        <f ca="1">IFERROR(__xludf.DUMMYFUNCTION("""COMPUTED_VALUE"""),"Yes")</f>
        <v>Yes</v>
      </c>
      <c r="AQ653" s="5" t="b">
        <f ca="1">IFERROR(__xludf.DUMMYFUNCTION("""COMPUTED_VALUE"""),TRUE)</f>
        <v>1</v>
      </c>
      <c r="AR653" s="5"/>
      <c r="AS653" s="5" t="str">
        <f ca="1">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AT653" s="5"/>
      <c r="AU653" s="5" t="str">
        <f ca="1">IFERROR(__xludf.DUMMYFUNCTION("""COMPUTED_VALUE"""),"Fazi")</f>
        <v>Fazi</v>
      </c>
      <c r="AV653" s="5">
        <f ca="1">IFERROR(__xludf.DUMMYFUNCTION("""COMPUTED_VALUE"""),4)</f>
        <v>4</v>
      </c>
      <c r="AW653" s="5"/>
      <c r="AX653" s="15">
        <f ca="1">IFERROR(__xludf.DUMMYFUNCTION("""COMPUTED_VALUE"""),46035)</f>
        <v>46035</v>
      </c>
      <c r="AY653" s="5"/>
      <c r="AZ653" s="5"/>
      <c r="BA653" s="5"/>
      <c r="BB653" s="5" t="b">
        <f ca="1">IFERROR(__xludf.DUMMYFUNCTION("""COMPUTED_VALUE"""),TRUE)</f>
        <v>1</v>
      </c>
      <c r="BC653" s="5" t="str">
        <f ca="1">IFERROR(__xludf.DUMMYFUNCTION("""COMPUTED_VALUE"""),"Foxi")</f>
        <v>Foxi</v>
      </c>
      <c r="BD653" s="7" t="str">
        <f ca="1">IFERROR(__xludf.DUMMYFUNCTION("""COMPUTED_VALUE"""),"https://gameserver-store-client-area.orbionlimited.com/Home/IntegrationGameLaunch/client-area?moneyType=0&amp;gameName=GoldenDiamonds40Extreme&amp;platform=desktop&amp;languageCode=eng&amp;currency=EUR")</f>
        <v>https://gameserver-store-client-area.orbionlimited.com/Home/IntegrationGameLaunch/client-area?moneyType=0&amp;gameName=GoldenDiamonds40Extreme&amp;platform=desktop&amp;languageCode=eng&amp;currency=EUR</v>
      </c>
      <c r="BE653" s="5" t="b">
        <f ca="1">IFERROR(__xludf.DUMMYFUNCTION("""COMPUTED_VALUE"""),TRUE)</f>
        <v>1</v>
      </c>
    </row>
    <row r="654" spans="1:57" x14ac:dyDescent="0.25">
      <c r="A654" s="5">
        <f ca="1">IFERROR(__xludf.DUMMYFUNCTION("""COMPUTED_VALUE"""),689)</f>
        <v>689</v>
      </c>
      <c r="B654" s="5">
        <f ca="1">IFERROR(__xludf.DUMMYFUNCTION("""COMPUTED_VALUE"""),1016)</f>
        <v>1016</v>
      </c>
      <c r="C654" s="5" t="str">
        <f ca="1">IFERROR(__xludf.DUMMYFUNCTION("""COMPUTED_VALUE"""),"Fazi")</f>
        <v>Fazi</v>
      </c>
      <c r="D654" s="5" t="str">
        <f ca="1">IFERROR(__xludf.DUMMYFUNCTION("""COMPUTED_VALUE"""),"Very Hot 5 Extreme Booster")</f>
        <v>Very Hot 5 Extreme Booster</v>
      </c>
      <c r="E654" s="5" t="str">
        <f ca="1">IFERROR(__xludf.DUMMYFUNCTION("""COMPUTED_VALUE"""),"V4-1")</f>
        <v>V4-1</v>
      </c>
      <c r="F654" s="5" t="str">
        <f ca="1">IFERROR(__xludf.DUMMYFUNCTION("""COMPUTED_VALUE"""),"VeryHot5ExtremeBooster")</f>
        <v>VeryHot5ExtremeBooster</v>
      </c>
      <c r="G654" s="5" t="str">
        <f ca="1">IFERROR(__xludf.DUMMYFUNCTION("""COMPUTED_VALUE"""),"Live")</f>
        <v>Live</v>
      </c>
      <c r="H654" s="5"/>
      <c r="I654" s="5" t="str">
        <f ca="1">IFERROR(__xludf.DUMMYFUNCTION("""COMPUTED_VALUE"""),"V4")</f>
        <v>V4</v>
      </c>
      <c r="J654" s="5" t="str">
        <f ca="1">IFERROR(__xludf.DUMMYFUNCTION("""COMPUTED_VALUE"""),"JSON")</f>
        <v>JSON</v>
      </c>
      <c r="K654" s="5" t="str">
        <f ca="1">IFERROR(__xludf.DUMMYFUNCTION("""COMPUTED_VALUE"""),"Slot")</f>
        <v>Slot</v>
      </c>
      <c r="L654" s="5" t="str">
        <f ca="1">IFERROR(__xludf.DUMMYFUNCTION("""COMPUTED_VALUE""")," Variant")</f>
        <v xml:space="preserve"> Variant</v>
      </c>
      <c r="M654" s="5" t="str">
        <f ca="1">IFERROR(__xludf.DUMMYFUNCTION("""COMPUTED_VALUE"""),"Very Hot 5 Extreme")</f>
        <v>Very Hot 5 Extreme</v>
      </c>
      <c r="N654" s="7" t="str">
        <f ca="1">IFERROR(__xludf.DUMMYFUNCTION("""COMPUTED_VALUE"""),"https://drive.google.com/file/d/1uKxsK28uuel4f8owE_hN_qMDkruf2IIT/view?usp=sharing")</f>
        <v>https://drive.google.com/file/d/1uKxsK28uuel4f8owE_hN_qMDkruf2IIT/view?usp=sharing</v>
      </c>
      <c r="O654" s="7" t="str">
        <f ca="1">IFERROR(__xludf.DUMMYFUNCTION("""COMPUTED_VALUE"""),"https://drive.google.com/file/d/1KJayTqepJFhYyOf6YZSno32J8lstTtX1/view?usp=sharing")</f>
        <v>https://drive.google.com/file/d/1KJayTqepJFhYyOf6YZSno32J8lstTtX1/view?usp=sharing</v>
      </c>
      <c r="P654" s="14">
        <f ca="1">IFERROR(__xludf.DUMMYFUNCTION("""COMPUTED_VALUE"""),17.25)</f>
        <v>17.25</v>
      </c>
      <c r="Q654" s="15">
        <f ca="1">IFERROR(__xludf.DUMMYFUNCTION("""COMPUTED_VALUE"""),46041)</f>
        <v>46041</v>
      </c>
      <c r="R654" s="5"/>
      <c r="S654" s="15">
        <f ca="1">IFERROR(__xludf.DUMMYFUNCTION("""COMPUTED_VALUE"""),46079)</f>
        <v>46079</v>
      </c>
      <c r="T654" s="5" t="b">
        <f ca="1">IFERROR(__xludf.DUMMYFUNCTION("""COMPUTED_VALUE"""),TRUE)</f>
        <v>1</v>
      </c>
      <c r="U654" s="5" t="str">
        <f ca="1">IFERROR(__xludf.DUMMYFUNCTION("""COMPUTED_VALUE"""),"5x3")</f>
        <v>5x3</v>
      </c>
      <c r="V654" s="5">
        <f ca="1">IFERROR(__xludf.DUMMYFUNCTION("""COMPUTED_VALUE"""),5)</f>
        <v>5</v>
      </c>
      <c r="W654" s="5">
        <f ca="1">IFERROR(__xludf.DUMMYFUNCTION("""COMPUTED_VALUE"""),5)</f>
        <v>5</v>
      </c>
      <c r="X654" s="5">
        <f ca="1">IFERROR(__xludf.DUMMYFUNCTION("""COMPUTED_VALUE"""),96.453)</f>
        <v>96.453000000000003</v>
      </c>
      <c r="Y654" s="5" t="str">
        <f ca="1">IFERROR(__xludf.DUMMYFUNCTION("""COMPUTED_VALUE"""),"Medium")</f>
        <v>Medium</v>
      </c>
      <c r="Z654" s="5">
        <f ca="1">IFERROR(__xludf.DUMMYFUNCTION("""COMPUTED_VALUE"""),14.234)</f>
        <v>14.234</v>
      </c>
      <c r="AA654" s="5">
        <f ca="1">IFERROR(__xludf.DUMMYFUNCTION("""COMPUTED_VALUE"""),2624)</f>
        <v>2624</v>
      </c>
      <c r="AB654" s="5">
        <f ca="1">IFERROR(__xludf.DUMMYFUNCTION("""COMPUTED_VALUE"""),6)</f>
        <v>6</v>
      </c>
      <c r="AC654" s="5" t="str">
        <f ca="1">IFERROR(__xludf.DUMMYFUNCTION("""COMPUTED_VALUE"""),"Wild Symbol, Wild Multiplier")</f>
        <v>Wild Symbol, Wild Multiplier</v>
      </c>
      <c r="AD654" s="5" t="str">
        <f ca="1">IFERROR(__xludf.DUMMYFUNCTION("""COMPUTED_VALUE"""),"0.1/50")</f>
        <v>0.1/50</v>
      </c>
      <c r="AE654" s="5"/>
      <c r="AF654" s="5"/>
      <c r="AG654" s="10">
        <f ca="1">IFERROR(__xludf.DUMMYFUNCTION("""COMPUTED_VALUE"""),46175.5237847222)</f>
        <v>46175.523784722202</v>
      </c>
      <c r="AH654" s="5" t="str">
        <f ca="1">IFERROR(__xludf.DUMMYFUNCTION("""COMPUTED_VALUE"""),"selena.mihajlovic@fazi.rs")</f>
        <v>selena.mihajlovic@fazi.rs</v>
      </c>
      <c r="AI654" s="15">
        <f ca="1">IFERROR(__xludf.DUMMYFUNCTION("""COMPUTED_VALUE"""),46049)</f>
        <v>46049</v>
      </c>
      <c r="AJ654" s="5" t="str">
        <f ca="1">IFERROR(__xludf.DUMMYFUNCTION("""COMPUTED_VALUE"""),"27.01. KoralPlay (BetConstruct)
27.01. Volcano MNE
02.02. Mostbet (Nirex)
12.02. 777.be")</f>
        <v>27.01. KoralPlay (BetConstruct)
27.01. Volcano MNE
02.02. Mostbet (Nirex)
12.02. 777.be</v>
      </c>
      <c r="AK654" s="5">
        <f ca="1">IFERROR(__xludf.DUMMYFUNCTION("""COMPUTED_VALUE"""),1)</f>
        <v>1</v>
      </c>
      <c r="AL654" s="5" t="str">
        <f ca="1">IFERROR(__xludf.DUMMYFUNCTION("""COMPUTED_VALUE"""),"Yes")</f>
        <v>Yes</v>
      </c>
      <c r="AM654" s="5"/>
      <c r="AN654" s="7" t="str">
        <f ca="1">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AO654" s="5" t="str">
        <f ca="1">IFERROR(__xludf.DUMMYFUNCTION("""COMPUTED_VALUE"""),"Yes")</f>
        <v>Yes</v>
      </c>
      <c r="AP654" s="5" t="str">
        <f ca="1">IFERROR(__xludf.DUMMYFUNCTION("""COMPUTED_VALUE"""),"Yes")</f>
        <v>Yes</v>
      </c>
      <c r="AQ654" s="5" t="b">
        <f ca="1">IFERROR(__xludf.DUMMYFUNCTION("""COMPUTED_VALUE"""),TRUE)</f>
        <v>1</v>
      </c>
      <c r="AR654" s="5"/>
      <c r="AS654" s="5" t="str">
        <f ca="1">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 xml:space="preserve">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AT654" s="5"/>
      <c r="AU654" s="5" t="str">
        <f ca="1">IFERROR(__xludf.DUMMYFUNCTION("""COMPUTED_VALUE"""),"Fazi")</f>
        <v>Fazi</v>
      </c>
      <c r="AV654" s="5">
        <f ca="1">IFERROR(__xludf.DUMMYFUNCTION("""COMPUTED_VALUE"""),1)</f>
        <v>1</v>
      </c>
      <c r="AW654" s="5"/>
      <c r="AX654" s="15">
        <f ca="1">IFERROR(__xludf.DUMMYFUNCTION("""COMPUTED_VALUE"""),46035)</f>
        <v>46035</v>
      </c>
      <c r="AY654" s="5"/>
      <c r="AZ654" s="5"/>
      <c r="BA654" s="5">
        <f ca="1">IFERROR(__xludf.DUMMYFUNCTION("""COMPUTED_VALUE"""),5)</f>
        <v>5</v>
      </c>
      <c r="BB654" s="5" t="b">
        <f ca="1">IFERROR(__xludf.DUMMYFUNCTION("""COMPUTED_VALUE"""),TRUE)</f>
        <v>1</v>
      </c>
      <c r="BC654" s="5" t="str">
        <f ca="1">IFERROR(__xludf.DUMMYFUNCTION("""COMPUTED_VALUE"""),"Foxi")</f>
        <v>Foxi</v>
      </c>
      <c r="BD654" s="7" t="str">
        <f ca="1">IFERROR(__xludf.DUMMYFUNCTION("""COMPUTED_VALUE"""),"https://gameserver-store-client-area.orbionlimited.com/Home/IntegrationGameLaunch/client-area?moneyType=0&amp;gameName=VeryHot5ExtremeBooster&amp;platform=desktop&amp;languageCode=eng&amp;currency=EUR")</f>
        <v>https://gameserver-store-client-area.orbionlimited.com/Home/IntegrationGameLaunch/client-area?moneyType=0&amp;gameName=VeryHot5ExtremeBooster&amp;platform=desktop&amp;languageCode=eng&amp;currency=EUR</v>
      </c>
      <c r="BE654" s="5" t="b">
        <f ca="1">IFERROR(__xludf.DUMMYFUNCTION("""COMPUTED_VALUE"""),TRUE)</f>
        <v>1</v>
      </c>
    </row>
    <row r="655" spans="1:57" x14ac:dyDescent="0.25">
      <c r="A655" s="5">
        <f ca="1">IFERROR(__xludf.DUMMYFUNCTION("""COMPUTED_VALUE"""),690)</f>
        <v>690</v>
      </c>
      <c r="B655" s="5">
        <f ca="1">IFERROR(__xludf.DUMMYFUNCTION("""COMPUTED_VALUE"""),1018)</f>
        <v>1018</v>
      </c>
      <c r="C655" s="5" t="str">
        <f ca="1">IFERROR(__xludf.DUMMYFUNCTION("""COMPUTED_VALUE"""),"Fazi")</f>
        <v>Fazi</v>
      </c>
      <c r="D655" s="5" t="str">
        <f ca="1">IFERROR(__xludf.DUMMYFUNCTION("""COMPUTED_VALUE"""),"Locked Hearts 10")</f>
        <v>Locked Hearts 10</v>
      </c>
      <c r="E655" s="5" t="str">
        <f ca="1">IFERROR(__xludf.DUMMYFUNCTION("""COMPUTED_VALUE"""),"V4-1")</f>
        <v>V4-1</v>
      </c>
      <c r="F655" s="5" t="str">
        <f ca="1">IFERROR(__xludf.DUMMYFUNCTION("""COMPUTED_VALUE"""),"LockedHearts10")</f>
        <v>LockedHearts10</v>
      </c>
      <c r="G655" s="5" t="str">
        <f ca="1">IFERROR(__xludf.DUMMYFUNCTION("""COMPUTED_VALUE"""),"Live")</f>
        <v>Live</v>
      </c>
      <c r="H655" s="5"/>
      <c r="I655" s="5" t="str">
        <f ca="1">IFERROR(__xludf.DUMMYFUNCTION("""COMPUTED_VALUE"""),"V4")</f>
        <v>V4</v>
      </c>
      <c r="J655" s="5" t="str">
        <f ca="1">IFERROR(__xludf.DUMMYFUNCTION("""COMPUTED_VALUE"""),"JSON")</f>
        <v>JSON</v>
      </c>
      <c r="K655" s="5" t="str">
        <f ca="1">IFERROR(__xludf.DUMMYFUNCTION("""COMPUTED_VALUE"""),"Slot")</f>
        <v>Slot</v>
      </c>
      <c r="L655" s="5" t="str">
        <f ca="1">IFERROR(__xludf.DUMMYFUNCTION("""COMPUTED_VALUE"""),"Master")</f>
        <v>Master</v>
      </c>
      <c r="M655" s="5"/>
      <c r="N655" s="5"/>
      <c r="O655" s="5"/>
      <c r="P655" s="14">
        <f ca="1">IFERROR(__xludf.DUMMYFUNCTION("""COMPUTED_VALUE"""),18.4)</f>
        <v>18.399999999999999</v>
      </c>
      <c r="Q655" s="15">
        <f ca="1">IFERROR(__xludf.DUMMYFUNCTION("""COMPUTED_VALUE"""),46055)</f>
        <v>46055</v>
      </c>
      <c r="R655" s="15">
        <f ca="1">IFERROR(__xludf.DUMMYFUNCTION("""COMPUTED_VALUE"""),46058)</f>
        <v>46058</v>
      </c>
      <c r="S655" s="15">
        <f ca="1">IFERROR(__xludf.DUMMYFUNCTION("""COMPUTED_VALUE"""),46065)</f>
        <v>46065</v>
      </c>
      <c r="T655" s="5" t="b">
        <f ca="1">IFERROR(__xludf.DUMMYFUNCTION("""COMPUTED_VALUE"""),TRUE)</f>
        <v>1</v>
      </c>
      <c r="U655" s="5" t="str">
        <f ca="1">IFERROR(__xludf.DUMMYFUNCTION("""COMPUTED_VALUE"""),"5x3")</f>
        <v>5x3</v>
      </c>
      <c r="V655" s="5">
        <f ca="1">IFERROR(__xludf.DUMMYFUNCTION("""COMPUTED_VALUE"""),10)</f>
        <v>10</v>
      </c>
      <c r="W655" s="5">
        <f ca="1">IFERROR(__xludf.DUMMYFUNCTION("""COMPUTED_VALUE"""),10)</f>
        <v>10</v>
      </c>
      <c r="X655" s="5">
        <f ca="1">IFERROR(__xludf.DUMMYFUNCTION("""COMPUTED_VALUE"""),96.572)</f>
        <v>96.572000000000003</v>
      </c>
      <c r="Y655" s="5" t="str">
        <f ca="1">IFERROR(__xludf.DUMMYFUNCTION("""COMPUTED_VALUE"""),"High")</f>
        <v>High</v>
      </c>
      <c r="Z655" s="5">
        <f ca="1">IFERROR(__xludf.DUMMYFUNCTION("""COMPUTED_VALUE"""),11.072)</f>
        <v>11.071999999999999</v>
      </c>
      <c r="AA655" s="5">
        <f ca="1">IFERROR(__xludf.DUMMYFUNCTION("""COMPUTED_VALUE"""),4000)</f>
        <v>4000</v>
      </c>
      <c r="AB655" s="5">
        <f ca="1">IFERROR(__xludf.DUMMYFUNCTION("""COMPUTED_VALUE"""),188)</f>
        <v>188</v>
      </c>
      <c r="AC655" s="5" t="str">
        <f ca="1">IFERROR(__xludf.DUMMYFUNCTION("""COMPUTED_VALUE"""),"Expanding Wild, Buy Bonus, Bonus Game with Free Spins, Bonus Game with Sticky Wild, Sticky Wild")</f>
        <v>Expanding Wild, Buy Bonus, Bonus Game with Free Spins, Bonus Game with Sticky Wild, Sticky Wild</v>
      </c>
      <c r="AD655" s="5" t="str">
        <f ca="1">IFERROR(__xludf.DUMMYFUNCTION("""COMPUTED_VALUE"""),"0.1/50")</f>
        <v>0.1/50</v>
      </c>
      <c r="AE655" s="5"/>
      <c r="AF655" s="5"/>
      <c r="AG655" s="10">
        <f ca="1">IFERROR(__xludf.DUMMYFUNCTION("""COMPUTED_VALUE"""),46140.6581481481)</f>
        <v>46140.658148148097</v>
      </c>
      <c r="AH655" s="5" t="str">
        <f ca="1">IFERROR(__xludf.DUMMYFUNCTION("""COMPUTED_VALUE"""),"selena.mihajlovic@fazi.rs")</f>
        <v>selena.mihajlovic@fazi.rs</v>
      </c>
      <c r="AI655" s="5"/>
      <c r="AJ655" s="5"/>
      <c r="AK655" s="5">
        <f ca="1">IFERROR(__xludf.DUMMYFUNCTION("""COMPUTED_VALUE"""),1)</f>
        <v>1</v>
      </c>
      <c r="AL655" s="5" t="str">
        <f ca="1">IFERROR(__xludf.DUMMYFUNCTION("""COMPUTED_VALUE"""),"Yes")</f>
        <v>Yes</v>
      </c>
      <c r="AM655" s="5" t="str">
        <f ca="1">IFERROR(__xludf.DUMMYFUNCTION("""COMPUTED_VALUE"""),"Yes")</f>
        <v>Yes</v>
      </c>
      <c r="AN655" s="7" t="str">
        <f ca="1">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AO655" s="5" t="str">
        <f ca="1">IFERROR(__xludf.DUMMYFUNCTION("""COMPUTED_VALUE"""),"Yes")</f>
        <v>Yes</v>
      </c>
      <c r="AP655" s="5" t="str">
        <f ca="1">IFERROR(__xludf.DUMMYFUNCTION("""COMPUTED_VALUE"""),"Yes")</f>
        <v>Yes</v>
      </c>
      <c r="AQ655" s="5" t="b">
        <f ca="1">IFERROR(__xludf.DUMMYFUNCTION("""COMPUTED_VALUE"""),TRUE)</f>
        <v>1</v>
      </c>
      <c r="AR655" s="5"/>
      <c r="AS655" s="5" t="str">
        <f ca="1">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AT655" s="5" t="str">
        <f ca="1">IFERROR(__xludf.DUMMYFUNCTION("""COMPUTED_VALUE"""),"Yes")</f>
        <v>Yes</v>
      </c>
      <c r="AU655" s="5" t="str">
        <f ca="1">IFERROR(__xludf.DUMMYFUNCTION("""COMPUTED_VALUE"""),"Fazi")</f>
        <v>Fazi</v>
      </c>
      <c r="AV655" s="5">
        <f ca="1">IFERROR(__xludf.DUMMYFUNCTION("""COMPUTED_VALUE"""),1)</f>
        <v>1</v>
      </c>
      <c r="AW655" s="5"/>
      <c r="AX655" s="15">
        <f ca="1">IFERROR(__xludf.DUMMYFUNCTION("""COMPUTED_VALUE"""),46049)</f>
        <v>46049</v>
      </c>
      <c r="AY655" s="5"/>
      <c r="AZ655" s="5"/>
      <c r="BA655" s="5" t="str">
        <f ca="1">IFERROR(__xludf.DUMMYFUNCTION("""COMPUTED_VALUE"""),"70, 130, 250")</f>
        <v>70, 130, 250</v>
      </c>
      <c r="BB655" s="5" t="b">
        <f ca="1">IFERROR(__xludf.DUMMYFUNCTION("""COMPUTED_VALUE"""),TRUE)</f>
        <v>1</v>
      </c>
      <c r="BC655" s="5" t="str">
        <f ca="1">IFERROR(__xludf.DUMMYFUNCTION("""COMPUTED_VALUE"""),"Foxi")</f>
        <v>Foxi</v>
      </c>
      <c r="BD655" s="7" t="str">
        <f ca="1">IFERROR(__xludf.DUMMYFUNCTION("""COMPUTED_VALUE"""),"https://gameserver-store-client-area.orbionlimited.com/Home/IntegrationGameLaunch/client-area?moneyType=0&amp;gameName=LockedHearts10&amp;platform=desktop&amp;languageCode=eng&amp;currency=EUR")</f>
        <v>https://gameserver-store-client-area.orbionlimited.com/Home/IntegrationGameLaunch/client-area?moneyType=0&amp;gameName=LockedHearts10&amp;platform=desktop&amp;languageCode=eng&amp;currency=EUR</v>
      </c>
      <c r="BE655" s="5" t="b">
        <f ca="1">IFERROR(__xludf.DUMMYFUNCTION("""COMPUTED_VALUE"""),TRUE)</f>
        <v>1</v>
      </c>
    </row>
    <row r="656" spans="1:57" x14ac:dyDescent="0.25">
      <c r="A656" s="5">
        <f ca="1">IFERROR(__xludf.DUMMYFUNCTION("""COMPUTED_VALUE"""),691)</f>
        <v>691</v>
      </c>
      <c r="B656" s="5">
        <f ca="1">IFERROR(__xludf.DUMMYFUNCTION("""COMPUTED_VALUE"""),1017)</f>
        <v>1017</v>
      </c>
      <c r="C656" s="5" t="str">
        <f ca="1">IFERROR(__xludf.DUMMYFUNCTION("""COMPUTED_VALUE"""),"Fazi")</f>
        <v>Fazi</v>
      </c>
      <c r="D656" s="5" t="str">
        <f ca="1">IFERROR(__xludf.DUMMYFUNCTION("""COMPUTED_VALUE"""),"Locked Hearts 5")</f>
        <v>Locked Hearts 5</v>
      </c>
      <c r="E656" s="5" t="str">
        <f ca="1">IFERROR(__xludf.DUMMYFUNCTION("""COMPUTED_VALUE"""),"V4-1")</f>
        <v>V4-1</v>
      </c>
      <c r="F656" s="5" t="str">
        <f ca="1">IFERROR(__xludf.DUMMYFUNCTION("""COMPUTED_VALUE"""),"LockedHearts5")</f>
        <v>LockedHearts5</v>
      </c>
      <c r="G656" s="5" t="str">
        <f ca="1">IFERROR(__xludf.DUMMYFUNCTION("""COMPUTED_VALUE"""),"Live")</f>
        <v>Live</v>
      </c>
      <c r="H656" s="5"/>
      <c r="I656" s="5" t="str">
        <f ca="1">IFERROR(__xludf.DUMMYFUNCTION("""COMPUTED_VALUE"""),"V4")</f>
        <v>V4</v>
      </c>
      <c r="J656" s="5" t="str">
        <f ca="1">IFERROR(__xludf.DUMMYFUNCTION("""COMPUTED_VALUE"""),"JSON")</f>
        <v>JSON</v>
      </c>
      <c r="K656" s="5" t="str">
        <f ca="1">IFERROR(__xludf.DUMMYFUNCTION("""COMPUTED_VALUE"""),"Slot")</f>
        <v>Slot</v>
      </c>
      <c r="L656" s="5" t="str">
        <f ca="1">IFERROR(__xludf.DUMMYFUNCTION("""COMPUTED_VALUE""")," Variant")</f>
        <v xml:space="preserve"> Variant</v>
      </c>
      <c r="M656" s="5"/>
      <c r="N656" s="7" t="str">
        <f ca="1">IFERROR(__xludf.DUMMYFUNCTION("""COMPUTED_VALUE"""),"https://drive.google.com/drive/folders/1bXlt7cMiEKnlMZtBB43dP0-Em2ggzBUA")</f>
        <v>https://drive.google.com/drive/folders/1bXlt7cMiEKnlMZtBB43dP0-Em2ggzBUA</v>
      </c>
      <c r="O656" s="7" t="str">
        <f ca="1">IFERROR(__xludf.DUMMYFUNCTION("""COMPUTED_VALUE"""),"https://drive.google.com/drive/folders/1bXlt7cMiEKnlMZtBB43dP0-Em2ggzBUA")</f>
        <v>https://drive.google.com/drive/folders/1bXlt7cMiEKnlMZtBB43dP0-Em2ggzBUA</v>
      </c>
      <c r="P656" s="14">
        <f ca="1">IFERROR(__xludf.DUMMYFUNCTION("""COMPUTED_VALUE"""),18.4)</f>
        <v>18.399999999999999</v>
      </c>
      <c r="Q656" s="15">
        <f ca="1">IFERROR(__xludf.DUMMYFUNCTION("""COMPUTED_VALUE"""),46097)</f>
        <v>46097</v>
      </c>
      <c r="R656" s="15">
        <f ca="1">IFERROR(__xludf.DUMMYFUNCTION("""COMPUTED_VALUE"""),46114)</f>
        <v>46114</v>
      </c>
      <c r="S656" s="15">
        <f ca="1">IFERROR(__xludf.DUMMYFUNCTION("""COMPUTED_VALUE"""),46121)</f>
        <v>46121</v>
      </c>
      <c r="T656" s="5" t="b">
        <f ca="1">IFERROR(__xludf.DUMMYFUNCTION("""COMPUTED_VALUE"""),TRUE)</f>
        <v>1</v>
      </c>
      <c r="U656" s="5" t="str">
        <f ca="1">IFERROR(__xludf.DUMMYFUNCTION("""COMPUTED_VALUE"""),"5x3")</f>
        <v>5x3</v>
      </c>
      <c r="V656" s="5">
        <f ca="1">IFERROR(__xludf.DUMMYFUNCTION("""COMPUTED_VALUE"""),5)</f>
        <v>5</v>
      </c>
      <c r="W656" s="5">
        <f ca="1">IFERROR(__xludf.DUMMYFUNCTION("""COMPUTED_VALUE"""),5)</f>
        <v>5</v>
      </c>
      <c r="X656" s="5">
        <f ca="1">IFERROR(__xludf.DUMMYFUNCTION("""COMPUTED_VALUE"""),96.572)</f>
        <v>96.572000000000003</v>
      </c>
      <c r="Y656" s="5" t="str">
        <f ca="1">IFERROR(__xludf.DUMMYFUNCTION("""COMPUTED_VALUE"""),"High")</f>
        <v>High</v>
      </c>
      <c r="Z656" s="5">
        <f ca="1">IFERROR(__xludf.DUMMYFUNCTION("""COMPUTED_VALUE"""),9.27)</f>
        <v>9.27</v>
      </c>
      <c r="AA656" s="5">
        <f ca="1">IFERROR(__xludf.DUMMYFUNCTION("""COMPUTED_VALUE"""),4000)</f>
        <v>4000</v>
      </c>
      <c r="AB656" s="5">
        <f ca="1">IFERROR(__xludf.DUMMYFUNCTION("""COMPUTED_VALUE"""),188)</f>
        <v>188</v>
      </c>
      <c r="AC656" s="5" t="str">
        <f ca="1">IFERROR(__xludf.DUMMYFUNCTION("""COMPUTED_VALUE"""),"Expanding Wild, Sticky Wild, Bonus Game with Sticky Wild, Bonus Game with Free Spins, Buy Bonus")</f>
        <v>Expanding Wild, Sticky Wild, Bonus Game with Sticky Wild, Bonus Game with Free Spins, Buy Bonus</v>
      </c>
      <c r="AD656" s="5" t="str">
        <f ca="1">IFERROR(__xludf.DUMMYFUNCTION("""COMPUTED_VALUE"""),"0.1/50")</f>
        <v>0.1/50</v>
      </c>
      <c r="AE656" s="5"/>
      <c r="AF656" s="5"/>
      <c r="AG656" s="10">
        <f ca="1">IFERROR(__xludf.DUMMYFUNCTION("""COMPUTED_VALUE"""),46140.6591087962)</f>
        <v>46140.659108796201</v>
      </c>
      <c r="AH656" s="5" t="str">
        <f ca="1">IFERROR(__xludf.DUMMYFUNCTION("""COMPUTED_VALUE"""),"selena.mihajlovic@fazi.rs")</f>
        <v>selena.mihajlovic@fazi.rs</v>
      </c>
      <c r="AI656" s="5"/>
      <c r="AJ656" s="5"/>
      <c r="AK656" s="5">
        <f ca="1">IFERROR(__xludf.DUMMYFUNCTION("""COMPUTED_VALUE"""),1)</f>
        <v>1</v>
      </c>
      <c r="AL656" s="5" t="str">
        <f ca="1">IFERROR(__xludf.DUMMYFUNCTION("""COMPUTED_VALUE"""),"Yes")</f>
        <v>Yes</v>
      </c>
      <c r="AM656" s="5" t="str">
        <f ca="1">IFERROR(__xludf.DUMMYFUNCTION("""COMPUTED_VALUE"""),"Yes")</f>
        <v>Yes</v>
      </c>
      <c r="AN656" s="7" t="str">
        <f ca="1">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AO656" s="5" t="str">
        <f ca="1">IFERROR(__xludf.DUMMYFUNCTION("""COMPUTED_VALUE"""),"Yes")</f>
        <v>Yes</v>
      </c>
      <c r="AP656" s="5" t="str">
        <f ca="1">IFERROR(__xludf.DUMMYFUNCTION("""COMPUTED_VALUE"""),"Yes")</f>
        <v>Yes</v>
      </c>
      <c r="AQ656" s="5" t="b">
        <f ca="1">IFERROR(__xludf.DUMMYFUNCTION("""COMPUTED_VALUE"""),TRUE)</f>
        <v>1</v>
      </c>
      <c r="AR656" s="5"/>
      <c r="AS656" s="5" t="str">
        <f ca="1">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AT656" s="5" t="str">
        <f ca="1">IFERROR(__xludf.DUMMYFUNCTION("""COMPUTED_VALUE"""),"Yes")</f>
        <v>Yes</v>
      </c>
      <c r="AU656" s="5" t="str">
        <f ca="1">IFERROR(__xludf.DUMMYFUNCTION("""COMPUTED_VALUE"""),"Fazi")</f>
        <v>Fazi</v>
      </c>
      <c r="AV656" s="5">
        <f ca="1">IFERROR(__xludf.DUMMYFUNCTION("""COMPUTED_VALUE"""),1)</f>
        <v>1</v>
      </c>
      <c r="AW656" s="5"/>
      <c r="AX656" s="15">
        <f ca="1">IFERROR(__xludf.DUMMYFUNCTION("""COMPUTED_VALUE"""),46091)</f>
        <v>46091</v>
      </c>
      <c r="AY656" s="5"/>
      <c r="AZ656" s="5"/>
      <c r="BA656" s="5" t="str">
        <f ca="1">IFERROR(__xludf.DUMMYFUNCTION("""COMPUTED_VALUE"""),"70, 130, 250")</f>
        <v>70, 130, 250</v>
      </c>
      <c r="BB656" s="5" t="b">
        <f ca="1">IFERROR(__xludf.DUMMYFUNCTION("""COMPUTED_VALUE"""),TRUE)</f>
        <v>1</v>
      </c>
      <c r="BC656" s="5" t="str">
        <f ca="1">IFERROR(__xludf.DUMMYFUNCTION("""COMPUTED_VALUE"""),"Foxi")</f>
        <v>Foxi</v>
      </c>
      <c r="BD656" s="7" t="str">
        <f ca="1">IFERROR(__xludf.DUMMYFUNCTION("""COMPUTED_VALUE"""),"https://gameserver-store-client-area.orbionlimited.com/Home/IntegrationGameLaunch/client-area?moneyType=0&amp;gameName=LockedHearts5&amp;platform=desktop&amp;languageCode=eng&amp;currency=EUR")</f>
        <v>https://gameserver-store-client-area.orbionlimited.com/Home/IntegrationGameLaunch/client-area?moneyType=0&amp;gameName=LockedHearts5&amp;platform=desktop&amp;languageCode=eng&amp;currency=EUR</v>
      </c>
      <c r="BE656" s="5" t="b">
        <f ca="1">IFERROR(__xludf.DUMMYFUNCTION("""COMPUTED_VALUE"""),TRUE)</f>
        <v>1</v>
      </c>
    </row>
    <row r="657" spans="1:57" x14ac:dyDescent="0.25">
      <c r="A657" s="5">
        <f ca="1">IFERROR(__xludf.DUMMYFUNCTION("""COMPUTED_VALUE"""),692)</f>
        <v>692</v>
      </c>
      <c r="B657" s="5">
        <f ca="1">IFERROR(__xludf.DUMMYFUNCTION("""COMPUTED_VALUE"""),1019)</f>
        <v>1019</v>
      </c>
      <c r="C657" s="5" t="str">
        <f ca="1">IFERROR(__xludf.DUMMYFUNCTION("""COMPUTED_VALUE"""),"Fazi")</f>
        <v>Fazi</v>
      </c>
      <c r="D657" s="5" t="str">
        <f ca="1">IFERROR(__xludf.DUMMYFUNCTION("""COMPUTED_VALUE"""),"Locked Hearts 20")</f>
        <v>Locked Hearts 20</v>
      </c>
      <c r="E657" s="5" t="str">
        <f ca="1">IFERROR(__xludf.DUMMYFUNCTION("""COMPUTED_VALUE"""),"V4-1")</f>
        <v>V4-1</v>
      </c>
      <c r="F657" s="5" t="str">
        <f ca="1">IFERROR(__xludf.DUMMYFUNCTION("""COMPUTED_VALUE"""),"LockedHearts20")</f>
        <v>LockedHearts20</v>
      </c>
      <c r="G657" s="5" t="str">
        <f ca="1">IFERROR(__xludf.DUMMYFUNCTION("""COMPUTED_VALUE"""),"Live")</f>
        <v>Live</v>
      </c>
      <c r="H657" s="5"/>
      <c r="I657" s="5" t="str">
        <f ca="1">IFERROR(__xludf.DUMMYFUNCTION("""COMPUTED_VALUE"""),"V4")</f>
        <v>V4</v>
      </c>
      <c r="J657" s="5" t="str">
        <f ca="1">IFERROR(__xludf.DUMMYFUNCTION("""COMPUTED_VALUE"""),"JSON")</f>
        <v>JSON</v>
      </c>
      <c r="K657" s="5" t="str">
        <f ca="1">IFERROR(__xludf.DUMMYFUNCTION("""COMPUTED_VALUE"""),"Slot")</f>
        <v>Slot</v>
      </c>
      <c r="L657" s="5" t="str">
        <f ca="1">IFERROR(__xludf.DUMMYFUNCTION("""COMPUTED_VALUE""")," Variant")</f>
        <v xml:space="preserve"> Variant</v>
      </c>
      <c r="M657" s="5"/>
      <c r="N657" s="5"/>
      <c r="O657" s="5"/>
      <c r="P657" s="14">
        <f ca="1">IFERROR(__xludf.DUMMYFUNCTION("""COMPUTED_VALUE"""),18.4)</f>
        <v>18.399999999999999</v>
      </c>
      <c r="Q657" s="15">
        <f ca="1">IFERROR(__xludf.DUMMYFUNCTION("""COMPUTED_VALUE"""),46097)</f>
        <v>46097</v>
      </c>
      <c r="R657" s="15">
        <f ca="1">IFERROR(__xludf.DUMMYFUNCTION("""COMPUTED_VALUE"""),46100)</f>
        <v>46100</v>
      </c>
      <c r="S657" s="15">
        <f ca="1">IFERROR(__xludf.DUMMYFUNCTION("""COMPUTED_VALUE"""),46107)</f>
        <v>46107</v>
      </c>
      <c r="T657" s="5" t="b">
        <f ca="1">IFERROR(__xludf.DUMMYFUNCTION("""COMPUTED_VALUE"""),TRUE)</f>
        <v>1</v>
      </c>
      <c r="U657" s="5" t="str">
        <f ca="1">IFERROR(__xludf.DUMMYFUNCTION("""COMPUTED_VALUE"""),"5x3")</f>
        <v>5x3</v>
      </c>
      <c r="V657" s="5">
        <f ca="1">IFERROR(__xludf.DUMMYFUNCTION("""COMPUTED_VALUE"""),20)</f>
        <v>20</v>
      </c>
      <c r="W657" s="5">
        <f ca="1">IFERROR(__xludf.DUMMYFUNCTION("""COMPUTED_VALUE"""),20)</f>
        <v>20</v>
      </c>
      <c r="X657" s="5">
        <f ca="1">IFERROR(__xludf.DUMMYFUNCTION("""COMPUTED_VALUE"""),96.572)</f>
        <v>96.572000000000003</v>
      </c>
      <c r="Y657" s="5" t="str">
        <f ca="1">IFERROR(__xludf.DUMMYFUNCTION("""COMPUTED_VALUE"""),"High")</f>
        <v>High</v>
      </c>
      <c r="Z657" s="5">
        <f ca="1">IFERROR(__xludf.DUMMYFUNCTION("""COMPUTED_VALUE"""),13.371)</f>
        <v>13.371</v>
      </c>
      <c r="AA657" s="5">
        <f ca="1">IFERROR(__xludf.DUMMYFUNCTION("""COMPUTED_VALUE"""),4000)</f>
        <v>4000</v>
      </c>
      <c r="AB657" s="5">
        <f ca="1">IFERROR(__xludf.DUMMYFUNCTION("""COMPUTED_VALUE"""),188)</f>
        <v>188</v>
      </c>
      <c r="AC657" s="5" t="str">
        <f ca="1">IFERROR(__xludf.DUMMYFUNCTION("""COMPUTED_VALUE"""),"Expanding Wild, Sticky Wild, Bonus Game with Special Symbol, Buy Bonus, Bonus Game with Free Spins")</f>
        <v>Expanding Wild, Sticky Wild, Bonus Game with Special Symbol, Buy Bonus, Bonus Game with Free Spins</v>
      </c>
      <c r="AD657" s="5" t="str">
        <f ca="1">IFERROR(__xludf.DUMMYFUNCTION("""COMPUTED_VALUE"""),"0.2/50")</f>
        <v>0.2/50</v>
      </c>
      <c r="AE657" s="5"/>
      <c r="AF657" s="5"/>
      <c r="AG657" s="10">
        <f ca="1">IFERROR(__xludf.DUMMYFUNCTION("""COMPUTED_VALUE"""),46140.6592013888)</f>
        <v>46140.6592013888</v>
      </c>
      <c r="AH657" s="5" t="str">
        <f ca="1">IFERROR(__xludf.DUMMYFUNCTION("""COMPUTED_VALUE"""),"selena.mihajlovic@fazi.rs")</f>
        <v>selena.mihajlovic@fazi.rs</v>
      </c>
      <c r="AI657" s="15">
        <f ca="1">IFERROR(__xludf.DUMMYFUNCTION("""COMPUTED_VALUE"""),46098)</f>
        <v>46098</v>
      </c>
      <c r="AJ657" s="5" t="str">
        <f ca="1">IFERROR(__xludf.DUMMYFUNCTION("""COMPUTED_VALUE"""),"17.03. 1xBet (CIS)")</f>
        <v>17.03. 1xBet (CIS)</v>
      </c>
      <c r="AK657" s="5">
        <f ca="1">IFERROR(__xludf.DUMMYFUNCTION("""COMPUTED_VALUE"""),2)</f>
        <v>2</v>
      </c>
      <c r="AL657" s="5" t="str">
        <f ca="1">IFERROR(__xludf.DUMMYFUNCTION("""COMPUTED_VALUE"""),"Yes")</f>
        <v>Yes</v>
      </c>
      <c r="AM657" s="5" t="str">
        <f ca="1">IFERROR(__xludf.DUMMYFUNCTION("""COMPUTED_VALUE"""),"Yes")</f>
        <v>Yes</v>
      </c>
      <c r="AN657" s="7" t="str">
        <f ca="1">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AO657" s="5" t="str">
        <f ca="1">IFERROR(__xludf.DUMMYFUNCTION("""COMPUTED_VALUE"""),"Yes")</f>
        <v>Yes</v>
      </c>
      <c r="AP657" s="5" t="str">
        <f ca="1">IFERROR(__xludf.DUMMYFUNCTION("""COMPUTED_VALUE"""),"Yes")</f>
        <v>Yes</v>
      </c>
      <c r="AQ657" s="5" t="b">
        <f ca="1">IFERROR(__xludf.DUMMYFUNCTION("""COMPUTED_VALUE"""),TRUE)</f>
        <v>1</v>
      </c>
      <c r="AR657" s="5"/>
      <c r="AS657" s="5" t="str">
        <f ca="1">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AT657" s="5" t="str">
        <f ca="1">IFERROR(__xludf.DUMMYFUNCTION("""COMPUTED_VALUE"""),"Yes")</f>
        <v>Yes</v>
      </c>
      <c r="AU657" s="5" t="str">
        <f ca="1">IFERROR(__xludf.DUMMYFUNCTION("""COMPUTED_VALUE"""),"Fazi")</f>
        <v>Fazi</v>
      </c>
      <c r="AV657" s="5">
        <f ca="1">IFERROR(__xludf.DUMMYFUNCTION("""COMPUTED_VALUE"""),2)</f>
        <v>2</v>
      </c>
      <c r="AW657" s="5"/>
      <c r="AX657" s="15">
        <f ca="1">IFERROR(__xludf.DUMMYFUNCTION("""COMPUTED_VALUE"""),46091)</f>
        <v>46091</v>
      </c>
      <c r="AY657" s="5"/>
      <c r="AZ657" s="5"/>
      <c r="BA657" s="5" t="str">
        <f ca="1">IFERROR(__xludf.DUMMYFUNCTION("""COMPUTED_VALUE"""),"70, 130, 250")</f>
        <v>70, 130, 250</v>
      </c>
      <c r="BB657" s="5" t="b">
        <f ca="1">IFERROR(__xludf.DUMMYFUNCTION("""COMPUTED_VALUE"""),TRUE)</f>
        <v>1</v>
      </c>
      <c r="BC657" s="5" t="str">
        <f ca="1">IFERROR(__xludf.DUMMYFUNCTION("""COMPUTED_VALUE"""),"Foxi")</f>
        <v>Foxi</v>
      </c>
      <c r="BD657" s="7" t="str">
        <f ca="1">IFERROR(__xludf.DUMMYFUNCTION("""COMPUTED_VALUE"""),"https://gameserver-store-client-area.orbionlimited.com/Home/IntegrationGameLaunch/client-area?moneyType=0&amp;gameName=LockedHearts20&amp;platform=desktop&amp;languageCode=eng&amp;currency=EUR")</f>
        <v>https://gameserver-store-client-area.orbionlimited.com/Home/IntegrationGameLaunch/client-area?moneyType=0&amp;gameName=LockedHearts20&amp;platform=desktop&amp;languageCode=eng&amp;currency=EUR</v>
      </c>
      <c r="BE657" s="5" t="b">
        <f ca="1">IFERROR(__xludf.DUMMYFUNCTION("""COMPUTED_VALUE"""),TRUE)</f>
        <v>1</v>
      </c>
    </row>
    <row r="658" spans="1:57" x14ac:dyDescent="0.25">
      <c r="A658" s="5">
        <f ca="1">IFERROR(__xludf.DUMMYFUNCTION("""COMPUTED_VALUE"""),693)</f>
        <v>693</v>
      </c>
      <c r="B658" s="5">
        <f ca="1">IFERROR(__xludf.DUMMYFUNCTION("""COMPUTED_VALUE"""),1020)</f>
        <v>1020</v>
      </c>
      <c r="C658" s="5" t="str">
        <f ca="1">IFERROR(__xludf.DUMMYFUNCTION("""COMPUTED_VALUE"""),"Fazi")</f>
        <v>Fazi</v>
      </c>
      <c r="D658" s="5" t="str">
        <f ca="1">IFERROR(__xludf.DUMMYFUNCTION("""COMPUTED_VALUE"""),"Locked Hearts 40")</f>
        <v>Locked Hearts 40</v>
      </c>
      <c r="E658" s="5" t="str">
        <f ca="1">IFERROR(__xludf.DUMMYFUNCTION("""COMPUTED_VALUE"""),"V4-1")</f>
        <v>V4-1</v>
      </c>
      <c r="F658" s="5" t="str">
        <f ca="1">IFERROR(__xludf.DUMMYFUNCTION("""COMPUTED_VALUE"""),"LockedHearts40")</f>
        <v>LockedHearts40</v>
      </c>
      <c r="G658" s="5" t="str">
        <f ca="1">IFERROR(__xludf.DUMMYFUNCTION("""COMPUTED_VALUE"""),"Live")</f>
        <v>Live</v>
      </c>
      <c r="H658" s="5"/>
      <c r="I658" s="5" t="str">
        <f ca="1">IFERROR(__xludf.DUMMYFUNCTION("""COMPUTED_VALUE"""),"V4")</f>
        <v>V4</v>
      </c>
      <c r="J658" s="5" t="str">
        <f ca="1">IFERROR(__xludf.DUMMYFUNCTION("""COMPUTED_VALUE"""),"JSON")</f>
        <v>JSON</v>
      </c>
      <c r="K658" s="5" t="str">
        <f ca="1">IFERROR(__xludf.DUMMYFUNCTION("""COMPUTED_VALUE"""),"Slot")</f>
        <v>Slot</v>
      </c>
      <c r="L658" s="5" t="str">
        <f ca="1">IFERROR(__xludf.DUMMYFUNCTION("""COMPUTED_VALUE""")," Variant")</f>
        <v xml:space="preserve"> Variant</v>
      </c>
      <c r="M658" s="5"/>
      <c r="N658" s="7" t="str">
        <f ca="1">IFERROR(__xludf.DUMMYFUNCTION("""COMPUTED_VALUE"""),"https://drive.google.com/drive/folders/15W_JO143whU1jyoTzq8StwjWT4vJ7trZ")</f>
        <v>https://drive.google.com/drive/folders/15W_JO143whU1jyoTzq8StwjWT4vJ7trZ</v>
      </c>
      <c r="O658" s="7" t="str">
        <f ca="1">IFERROR(__xludf.DUMMYFUNCTION("""COMPUTED_VALUE"""),"https://drive.google.com/drive/folders/15W_JO143whU1jyoTzq8StwjWT4vJ7trZ")</f>
        <v>https://drive.google.com/drive/folders/15W_JO143whU1jyoTzq8StwjWT4vJ7trZ</v>
      </c>
      <c r="P658" s="14">
        <f ca="1">IFERROR(__xludf.DUMMYFUNCTION("""COMPUTED_VALUE"""),18.4)</f>
        <v>18.399999999999999</v>
      </c>
      <c r="Q658" s="15">
        <f ca="1">IFERROR(__xludf.DUMMYFUNCTION("""COMPUTED_VALUE"""),46097)</f>
        <v>46097</v>
      </c>
      <c r="R658" s="15">
        <f ca="1">IFERROR(__xludf.DUMMYFUNCTION("""COMPUTED_VALUE"""),46156)</f>
        <v>46156</v>
      </c>
      <c r="S658" s="15">
        <f ca="1">IFERROR(__xludf.DUMMYFUNCTION("""COMPUTED_VALUE"""),46163)</f>
        <v>46163</v>
      </c>
      <c r="T658" s="5" t="b">
        <f ca="1">IFERROR(__xludf.DUMMYFUNCTION("""COMPUTED_VALUE"""),TRUE)</f>
        <v>1</v>
      </c>
      <c r="U658" s="5" t="str">
        <f ca="1">IFERROR(__xludf.DUMMYFUNCTION("""COMPUTED_VALUE"""),"5x3")</f>
        <v>5x3</v>
      </c>
      <c r="V658" s="5">
        <f ca="1">IFERROR(__xludf.DUMMYFUNCTION("""COMPUTED_VALUE"""),40)</f>
        <v>40</v>
      </c>
      <c r="W658" s="5">
        <f ca="1">IFERROR(__xludf.DUMMYFUNCTION("""COMPUTED_VALUE"""),40)</f>
        <v>40</v>
      </c>
      <c r="X658" s="5">
        <f ca="1">IFERROR(__xludf.DUMMYFUNCTION("""COMPUTED_VALUE"""),96.572)</f>
        <v>96.572000000000003</v>
      </c>
      <c r="Y658" s="5" t="str">
        <f ca="1">IFERROR(__xludf.DUMMYFUNCTION("""COMPUTED_VALUE"""),"High")</f>
        <v>High</v>
      </c>
      <c r="Z658" s="5">
        <f ca="1">IFERROR(__xludf.DUMMYFUNCTION("""COMPUTED_VALUE"""),14.394)</f>
        <v>14.394</v>
      </c>
      <c r="AA658" s="5">
        <f ca="1">IFERROR(__xludf.DUMMYFUNCTION("""COMPUTED_VALUE"""),4000)</f>
        <v>4000</v>
      </c>
      <c r="AB658" s="5">
        <f ca="1">IFERROR(__xludf.DUMMYFUNCTION("""COMPUTED_VALUE"""),188)</f>
        <v>188</v>
      </c>
      <c r="AC658" s="5" t="str">
        <f ca="1">IFERROR(__xludf.DUMMYFUNCTION("""COMPUTED_VALUE"""),"Expanding Wild, Sticky Wild, Bonus Game with Sticky Wild, Buy Bonus, Bonus Game with Free Spins")</f>
        <v>Expanding Wild, Sticky Wild, Bonus Game with Sticky Wild, Buy Bonus, Bonus Game with Free Spins</v>
      </c>
      <c r="AD658" s="5" t="str">
        <f ca="1">IFERROR(__xludf.DUMMYFUNCTION("""COMPUTED_VALUE"""),"0.4/40")</f>
        <v>0.4/40</v>
      </c>
      <c r="AE658" s="5"/>
      <c r="AF658" s="5"/>
      <c r="AG658" s="10">
        <f ca="1">IFERROR(__xludf.DUMMYFUNCTION("""COMPUTED_VALUE"""),46175.4304050925)</f>
        <v>46175.430405092498</v>
      </c>
      <c r="AH658" s="5" t="str">
        <f ca="1">IFERROR(__xludf.DUMMYFUNCTION("""COMPUTED_VALUE"""),"aleksandar.matejic@fazi.rs")</f>
        <v>aleksandar.matejic@fazi.rs</v>
      </c>
      <c r="AI658" s="15">
        <f ca="1">IFERROR(__xludf.DUMMYFUNCTION("""COMPUTED_VALUE"""),46128)</f>
        <v>46128</v>
      </c>
      <c r="AJ658" s="5" t="str">
        <f ca="1">IFERROR(__xludf.DUMMYFUNCTION("""COMPUTED_VALUE"""),"16.04. Admiralbet SRB
01.05. Kanggeten
21.04. Circus BE
20.04. Totogaming AM
01.05. Koralplay")</f>
        <v>16.04. Admiralbet SRB
01.05. Kanggeten
21.04. Circus BE
20.04. Totogaming AM
01.05. Koralplay</v>
      </c>
      <c r="AK658" s="5">
        <f ca="1">IFERROR(__xludf.DUMMYFUNCTION("""COMPUTED_VALUE"""),4)</f>
        <v>4</v>
      </c>
      <c r="AL658" s="5" t="str">
        <f ca="1">IFERROR(__xludf.DUMMYFUNCTION("""COMPUTED_VALUE"""),"Yes")</f>
        <v>Yes</v>
      </c>
      <c r="AM658" s="5" t="str">
        <f ca="1">IFERROR(__xludf.DUMMYFUNCTION("""COMPUTED_VALUE"""),"Yes")</f>
        <v>Yes</v>
      </c>
      <c r="AN658" s="7" t="str">
        <f ca="1">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AO658" s="5" t="str">
        <f ca="1">IFERROR(__xludf.DUMMYFUNCTION("""COMPUTED_VALUE"""),"Yes")</f>
        <v>Yes</v>
      </c>
      <c r="AP658" s="5" t="str">
        <f ca="1">IFERROR(__xludf.DUMMYFUNCTION("""COMPUTED_VALUE"""),"Yes")</f>
        <v>Yes</v>
      </c>
      <c r="AQ658" s="5" t="b">
        <f ca="1">IFERROR(__xludf.DUMMYFUNCTION("""COMPUTED_VALUE"""),TRUE)</f>
        <v>1</v>
      </c>
      <c r="AR658" s="5"/>
      <c r="AS658" s="5" t="str">
        <f ca="1">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AT658" s="5" t="str">
        <f ca="1">IFERROR(__xludf.DUMMYFUNCTION("""COMPUTED_VALUE"""),"Yes")</f>
        <v>Yes</v>
      </c>
      <c r="AU658" s="5" t="str">
        <f ca="1">IFERROR(__xludf.DUMMYFUNCTION("""COMPUTED_VALUE"""),"Fazi")</f>
        <v>Fazi</v>
      </c>
      <c r="AV658" s="5">
        <f ca="1">IFERROR(__xludf.DUMMYFUNCTION("""COMPUTED_VALUE"""),4)</f>
        <v>4</v>
      </c>
      <c r="AW658" s="5"/>
      <c r="AX658" s="15">
        <f ca="1">IFERROR(__xludf.DUMMYFUNCTION("""COMPUTED_VALUE"""),46091)</f>
        <v>46091</v>
      </c>
      <c r="AY658" s="5"/>
      <c r="AZ658" s="5"/>
      <c r="BA658" s="5" t="str">
        <f ca="1">IFERROR(__xludf.DUMMYFUNCTION("""COMPUTED_VALUE"""),"70, 130, 250")</f>
        <v>70, 130, 250</v>
      </c>
      <c r="BB658" s="5" t="b">
        <f ca="1">IFERROR(__xludf.DUMMYFUNCTION("""COMPUTED_VALUE"""),TRUE)</f>
        <v>1</v>
      </c>
      <c r="BC658" s="5" t="str">
        <f ca="1">IFERROR(__xludf.DUMMYFUNCTION("""COMPUTED_VALUE"""),"Foxi")</f>
        <v>Foxi</v>
      </c>
      <c r="BD658" s="7" t="str">
        <f ca="1">IFERROR(__xludf.DUMMYFUNCTION("""COMPUTED_VALUE"""),"https://gameserver-store-client-area.orbionlimited.com/Home/IntegrationGameLaunch/client-area?moneyType=0&amp;gameName=LockedHearts40&amp;platform=desktop&amp;languageCode=eng&amp;currency=EUR")</f>
        <v>https://gameserver-store-client-area.orbionlimited.com/Home/IntegrationGameLaunch/client-area?moneyType=0&amp;gameName=LockedHearts40&amp;platform=desktop&amp;languageCode=eng&amp;currency=EUR</v>
      </c>
      <c r="BE658" s="5" t="b">
        <f ca="1">IFERROR(__xludf.DUMMYFUNCTION("""COMPUTED_VALUE"""),TRUE)</f>
        <v>1</v>
      </c>
    </row>
    <row r="659" spans="1:57" x14ac:dyDescent="0.25">
      <c r="A659" s="5">
        <f ca="1">IFERROR(__xludf.DUMMYFUNCTION("""COMPUTED_VALUE"""),694)</f>
        <v>694</v>
      </c>
      <c r="B659" s="5">
        <f ca="1">IFERROR(__xludf.DUMMYFUNCTION("""COMPUTED_VALUE"""),1015)</f>
        <v>1015</v>
      </c>
      <c r="C659" s="5" t="str">
        <f ca="1">IFERROR(__xludf.DUMMYFUNCTION("""COMPUTED_VALUE"""),"Fazi")</f>
        <v>Fazi</v>
      </c>
      <c r="D659" s="5" t="str">
        <f ca="1">IFERROR(__xludf.DUMMYFUNCTION("""COMPUTED_VALUE"""),"Winning Clover 5 Hold and Win")</f>
        <v>Winning Clover 5 Hold and Win</v>
      </c>
      <c r="E659" s="5" t="str">
        <f ca="1">IFERROR(__xludf.DUMMYFUNCTION("""COMPUTED_VALUE"""),"V4-1")</f>
        <v>V4-1</v>
      </c>
      <c r="F659" s="5" t="str">
        <f ca="1">IFERROR(__xludf.DUMMYFUNCTION("""COMPUTED_VALUE"""),"WinningClover5HoldAndWin")</f>
        <v>WinningClover5HoldAndWin</v>
      </c>
      <c r="G659" s="5" t="str">
        <f ca="1">IFERROR(__xludf.DUMMYFUNCTION("""COMPUTED_VALUE"""),"Live")</f>
        <v>Live</v>
      </c>
      <c r="H659" s="5"/>
      <c r="I659" s="5" t="str">
        <f ca="1">IFERROR(__xludf.DUMMYFUNCTION("""COMPUTED_VALUE"""),"V4")</f>
        <v>V4</v>
      </c>
      <c r="J659" s="5" t="str">
        <f ca="1">IFERROR(__xludf.DUMMYFUNCTION("""COMPUTED_VALUE"""),"JSON")</f>
        <v>JSON</v>
      </c>
      <c r="K659" s="5" t="str">
        <f ca="1">IFERROR(__xludf.DUMMYFUNCTION("""COMPUTED_VALUE"""),"Slot")</f>
        <v>Slot</v>
      </c>
      <c r="L659" s="5" t="str">
        <f ca="1">IFERROR(__xludf.DUMMYFUNCTION("""COMPUTED_VALUE""")," Variant")</f>
        <v xml:space="preserve"> Variant</v>
      </c>
      <c r="M659" s="5" t="str">
        <f ca="1">IFERROR(__xludf.DUMMYFUNCTION("""COMPUTED_VALUE"""),"Winning Clover 5")</f>
        <v>Winning Clover 5</v>
      </c>
      <c r="N659" s="7" t="str">
        <f ca="1">IFERROR(__xludf.DUMMYFUNCTION("""COMPUTED_VALUE"""),"https://drive.google.com/file/d/1Vn58CAYspcK7dlg8j5FsFnRlRnzB32Uo/view?usp=sharing")</f>
        <v>https://drive.google.com/file/d/1Vn58CAYspcK7dlg8j5FsFnRlRnzB32Uo/view?usp=sharing</v>
      </c>
      <c r="O659" s="7" t="str">
        <f ca="1">IFERROR(__xludf.DUMMYFUNCTION("""COMPUTED_VALUE"""),"https://drive.google.com/file/d/1Tri9k-wrdy2cNSdRo6z5eZtGUuS0qpyk/view?usp=sharing")</f>
        <v>https://drive.google.com/file/d/1Tri9k-wrdy2cNSdRo6z5eZtGUuS0qpyk/view?usp=sharing</v>
      </c>
      <c r="P659" s="14">
        <f ca="1">IFERROR(__xludf.DUMMYFUNCTION("""COMPUTED_VALUE"""),25.43)</f>
        <v>25.43</v>
      </c>
      <c r="Q659" s="15">
        <f ca="1">IFERROR(__xludf.DUMMYFUNCTION("""COMPUTED_VALUE"""),46055)</f>
        <v>46055</v>
      </c>
      <c r="R659" s="15">
        <f ca="1">IFERROR(__xludf.DUMMYFUNCTION("""COMPUTED_VALUE"""),46077)</f>
        <v>46077</v>
      </c>
      <c r="S659" s="15">
        <f ca="1">IFERROR(__xludf.DUMMYFUNCTION("""COMPUTED_VALUE"""),46084)</f>
        <v>46084</v>
      </c>
      <c r="T659" s="5" t="b">
        <f ca="1">IFERROR(__xludf.DUMMYFUNCTION("""COMPUTED_VALUE"""),TRUE)</f>
        <v>1</v>
      </c>
      <c r="U659" s="5" t="str">
        <f ca="1">IFERROR(__xludf.DUMMYFUNCTION("""COMPUTED_VALUE"""),"5x3")</f>
        <v>5x3</v>
      </c>
      <c r="V659" s="5">
        <f ca="1">IFERROR(__xludf.DUMMYFUNCTION("""COMPUTED_VALUE"""),5)</f>
        <v>5</v>
      </c>
      <c r="W659" s="5">
        <f ca="1">IFERROR(__xludf.DUMMYFUNCTION("""COMPUTED_VALUE"""),5)</f>
        <v>5</v>
      </c>
      <c r="X659" s="5">
        <f ca="1">IFERROR(__xludf.DUMMYFUNCTION("""COMPUTED_VALUE"""),96.447)</f>
        <v>96.447000000000003</v>
      </c>
      <c r="Y659" s="5" t="str">
        <f ca="1">IFERROR(__xludf.DUMMYFUNCTION("""COMPUTED_VALUE"""),"Medium")</f>
        <v>Medium</v>
      </c>
      <c r="Z659" s="5">
        <f ca="1">IFERROR(__xludf.DUMMYFUNCTION("""COMPUTED_VALUE"""),15.053)</f>
        <v>15.053000000000001</v>
      </c>
      <c r="AA659" s="5">
        <f ca="1">IFERROR(__xludf.DUMMYFUNCTION("""COMPUTED_VALUE"""),1662)</f>
        <v>1662</v>
      </c>
      <c r="AB659" s="5"/>
      <c r="AC659" s="5" t="str">
        <f ca="1">IFERROR(__xludf.DUMMYFUNCTION("""COMPUTED_VALUE"""),"Scatter, Expanding Wild")</f>
        <v>Scatter, Expanding Wild</v>
      </c>
      <c r="AD659" s="5" t="str">
        <f ca="1">IFERROR(__xludf.DUMMYFUNCTION("""COMPUTED_VALUE"""),"0.1/50")</f>
        <v>0.1/50</v>
      </c>
      <c r="AE659" s="5"/>
      <c r="AF659" s="5"/>
      <c r="AG659" s="10">
        <f ca="1">IFERROR(__xludf.DUMMYFUNCTION("""COMPUTED_VALUE"""),46175.5239699074)</f>
        <v>46175.523969907401</v>
      </c>
      <c r="AH659" s="5" t="str">
        <f ca="1">IFERROR(__xludf.DUMMYFUNCTION("""COMPUTED_VALUE"""),"selena.mihajlovic@fazi.rs")</f>
        <v>selena.mihajlovic@fazi.rs</v>
      </c>
      <c r="AI659" s="15">
        <f ca="1">IFERROR(__xludf.DUMMYFUNCTION("""COMPUTED_VALUE"""),46057)</f>
        <v>46057</v>
      </c>
      <c r="AJ659" s="5" t="str">
        <f ca="1">IFERROR(__xludf.DUMMYFUNCTION("""COMPUTED_VALUE"""),"04.02. Mozzartbet (SRB, KE)
04.02. Jugabet (Eva - Chile)
11.02. Casino 770 (Reevo - France)")</f>
        <v>04.02. Mozzartbet (SRB, KE)
04.02. Jugabet (Eva - Chile)
11.02. Casino 770 (Reevo - France)</v>
      </c>
      <c r="AK659" s="5">
        <f ca="1">IFERROR(__xludf.DUMMYFUNCTION("""COMPUTED_VALUE"""),4)</f>
        <v>4</v>
      </c>
      <c r="AL659" s="5" t="str">
        <f ca="1">IFERROR(__xludf.DUMMYFUNCTION("""COMPUTED_VALUE"""),"Yes")</f>
        <v>Yes</v>
      </c>
      <c r="AM659" s="5"/>
      <c r="AN659" s="7" t="str">
        <f ca="1">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AO659" s="5" t="str">
        <f ca="1">IFERROR(__xludf.DUMMYFUNCTION("""COMPUTED_VALUE"""),"Yes")</f>
        <v>Yes</v>
      </c>
      <c r="AP659" s="5" t="str">
        <f ca="1">IFERROR(__xludf.DUMMYFUNCTION("""COMPUTED_VALUE"""),"Yes")</f>
        <v>Yes</v>
      </c>
      <c r="AQ659" s="5" t="b">
        <f ca="1">IFERROR(__xludf.DUMMYFUNCTION("""COMPUTED_VALUE"""),TRUE)</f>
        <v>1</v>
      </c>
      <c r="AR659" s="5"/>
      <c r="AS659" s="5" t="str">
        <f ca="1">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AT659" s="5" t="str">
        <f ca="1">IFERROR(__xludf.DUMMYFUNCTION("""COMPUTED_VALUE"""),"Yes")</f>
        <v>Yes</v>
      </c>
      <c r="AU659" s="5" t="str">
        <f ca="1">IFERROR(__xludf.DUMMYFUNCTION("""COMPUTED_VALUE"""),"Fazi")</f>
        <v>Fazi</v>
      </c>
      <c r="AV659" s="5"/>
      <c r="AW659" s="5"/>
      <c r="AX659" s="15">
        <f ca="1">IFERROR(__xludf.DUMMYFUNCTION("""COMPUTED_VALUE"""),46049)</f>
        <v>46049</v>
      </c>
      <c r="AY659" s="5"/>
      <c r="AZ659" s="5"/>
      <c r="BA659" s="5">
        <f ca="1">IFERROR(__xludf.DUMMYFUNCTION("""COMPUTED_VALUE"""),40)</f>
        <v>40</v>
      </c>
      <c r="BB659" s="5" t="b">
        <f ca="1">IFERROR(__xludf.DUMMYFUNCTION("""COMPUTED_VALUE"""),TRUE)</f>
        <v>1</v>
      </c>
      <c r="BC659" s="5" t="str">
        <f ca="1">IFERROR(__xludf.DUMMYFUNCTION("""COMPUTED_VALUE"""),"Foxi")</f>
        <v>Foxi</v>
      </c>
      <c r="BD659" s="7" t="str">
        <f ca="1">IFERROR(__xludf.DUMMYFUNCTION("""COMPUTED_VALUE"""),"https://gameserver-store-client-area.orbionlimited.com/Home/IntegrationGameLaunch/client-area?moneyType=0&amp;gameName=WinningClover5HoldAndWin&amp;platform=desktop&amp;languageCode=eng&amp;currency=EUR")</f>
        <v>https://gameserver-store-client-area.orbionlimited.com/Home/IntegrationGameLaunch/client-area?moneyType=0&amp;gameName=WinningClover5HoldAndWin&amp;platform=desktop&amp;languageCode=eng&amp;currency=EUR</v>
      </c>
      <c r="BE659" s="5" t="b">
        <f ca="1">IFERROR(__xludf.DUMMYFUNCTION("""COMPUTED_VALUE"""),TRUE)</f>
        <v>1</v>
      </c>
    </row>
    <row r="660" spans="1:57" x14ac:dyDescent="0.25">
      <c r="A660" s="5">
        <f ca="1">IFERROR(__xludf.DUMMYFUNCTION("""COMPUTED_VALUE"""),695)</f>
        <v>695</v>
      </c>
      <c r="B660" s="5">
        <f ca="1">IFERROR(__xludf.DUMMYFUNCTION("""COMPUTED_VALUE"""),99999999)</f>
        <v>99999999</v>
      </c>
      <c r="C660" s="5" t="str">
        <f ca="1">IFERROR(__xludf.DUMMYFUNCTION("""COMPUTED_VALUE"""),"SOKO studio")</f>
        <v>SOKO studio</v>
      </c>
      <c r="D660" s="5" t="str">
        <f ca="1">IFERROR(__xludf.DUMMYFUNCTION("""COMPUTED_VALUE"""),"Royal Jewels Fortune")</f>
        <v>Royal Jewels Fortune</v>
      </c>
      <c r="E660" s="5" t="str">
        <f ca="1">IFERROR(__xludf.DUMMYFUNCTION("""COMPUTED_VALUE"""),"SOKO studio")</f>
        <v>SOKO studio</v>
      </c>
      <c r="F660" s="5" t="str">
        <f ca="1">IFERROR(__xludf.DUMMYFUNCTION("""COMPUTED_VALUE"""),"royal-jewels-fortune")</f>
        <v>royal-jewels-fortune</v>
      </c>
      <c r="G660" s="5" t="str">
        <f ca="1">IFERROR(__xludf.DUMMYFUNCTION("""COMPUTED_VALUE"""),"Live")</f>
        <v>Live</v>
      </c>
      <c r="H660" s="5"/>
      <c r="I660" s="5" t="str">
        <f ca="1">IFERROR(__xludf.DUMMYFUNCTION("""COMPUTED_VALUE"""),"SOKO studio")</f>
        <v>SOKO studio</v>
      </c>
      <c r="J660" s="5" t="str">
        <f ca="1">IFERROR(__xludf.DUMMYFUNCTION("""COMPUTED_VALUE"""),"Aggregation platform")</f>
        <v>Aggregation platform</v>
      </c>
      <c r="K660" s="5" t="str">
        <f ca="1">IFERROR(__xludf.DUMMYFUNCTION("""COMPUTED_VALUE"""),"Slot")</f>
        <v>Slot</v>
      </c>
      <c r="L660" s="5"/>
      <c r="M660" s="5"/>
      <c r="N660" s="5"/>
      <c r="O660" s="5"/>
      <c r="P660" s="5"/>
      <c r="Q660" s="15">
        <f ca="1">IFERROR(__xludf.DUMMYFUNCTION("""COMPUTED_VALUE"""),46055)</f>
        <v>46055</v>
      </c>
      <c r="R660" s="15">
        <f ca="1">IFERROR(__xludf.DUMMYFUNCTION("""COMPUTED_VALUE"""),46065)</f>
        <v>46065</v>
      </c>
      <c r="S660" s="15">
        <f ca="1">IFERROR(__xludf.DUMMYFUNCTION("""COMPUTED_VALUE"""),46072)</f>
        <v>46072</v>
      </c>
      <c r="T660" s="5" t="b">
        <f ca="1">IFERROR(__xludf.DUMMYFUNCTION("""COMPUTED_VALUE"""),TRUE)</f>
        <v>1</v>
      </c>
      <c r="U660" s="5"/>
      <c r="V660" s="5"/>
      <c r="W660" s="5"/>
      <c r="X660" s="5"/>
      <c r="Y660" s="5"/>
      <c r="Z660" s="5"/>
      <c r="AA660" s="5"/>
      <c r="AB660" s="5"/>
      <c r="AC660" s="5"/>
      <c r="AD660" s="5"/>
      <c r="AE660" s="5"/>
      <c r="AF660" s="5"/>
      <c r="AG660" s="10">
        <f ca="1">IFERROR(__xludf.DUMMYFUNCTION("""COMPUTED_VALUE"""),46098.6224421296)</f>
        <v>46098.622442129599</v>
      </c>
      <c r="AH660" s="5" t="str">
        <f ca="1">IFERROR(__xludf.DUMMYFUNCTION("""COMPUTED_VALUE"""),"vanja.svetska@fazi.rs")</f>
        <v>vanja.svetska@fazi.rs</v>
      </c>
      <c r="AI660" s="5"/>
      <c r="AJ660" s="5"/>
      <c r="AK660" s="5"/>
      <c r="AL660" s="5"/>
      <c r="AM660" s="5"/>
      <c r="AN660" s="5"/>
      <c r="AO660" s="5"/>
      <c r="AP660" s="5"/>
      <c r="AQ660" s="5"/>
      <c r="AR660" s="5"/>
      <c r="AS660" s="5"/>
      <c r="AT660" s="5"/>
      <c r="AU660" s="5" t="str">
        <f ca="1">IFERROR(__xludf.DUMMYFUNCTION("""COMPUTED_VALUE"""),"SOKO studio")</f>
        <v>SOKO studio</v>
      </c>
      <c r="AV660" s="5"/>
      <c r="AW660" s="5"/>
      <c r="AX660" s="15">
        <f ca="1">IFERROR(__xludf.DUMMYFUNCTION("""COMPUTED_VALUE"""),46049)</f>
        <v>46049</v>
      </c>
      <c r="AY660" s="5"/>
      <c r="AZ660" s="5"/>
      <c r="BA660" s="5" t="str">
        <f ca="1">IFERROR(__xludf.DUMMYFUNCTION("""COMPUTED_VALUE"""),"")</f>
        <v/>
      </c>
      <c r="BB660" s="5"/>
      <c r="BC660" s="5" t="str">
        <f ca="1">IFERROR(__xludf.DUMMYFUNCTION("""COMPUTED_VALUE"""),"SOKO studio")</f>
        <v>SOKO studio</v>
      </c>
      <c r="BD660" s="5"/>
      <c r="BE660" s="5"/>
    </row>
    <row r="661" spans="1:57" x14ac:dyDescent="0.25">
      <c r="A661" s="5">
        <f ca="1">IFERROR(__xludf.DUMMYFUNCTION("""COMPUTED_VALUE"""),696)</f>
        <v>696</v>
      </c>
      <c r="B661" s="5">
        <f ca="1">IFERROR(__xludf.DUMMYFUNCTION("""COMPUTED_VALUE"""),3028)</f>
        <v>3028</v>
      </c>
      <c r="C661" s="5" t="str">
        <f ca="1">IFERROR(__xludf.DUMMYFUNCTION("""COMPUTED_VALUE"""),"Fazi")</f>
        <v>Fazi</v>
      </c>
      <c r="D661" s="5" t="str">
        <f ca="1">IFERROR(__xludf.DUMMYFUNCTION("""COMPUTED_VALUE"""),"Clovers And Diamonds 5")</f>
        <v>Clovers And Diamonds 5</v>
      </c>
      <c r="E661" s="5" t="str">
        <f ca="1">IFERROR(__xludf.DUMMYFUNCTION("""COMPUTED_VALUE"""),"V2")</f>
        <v>V2</v>
      </c>
      <c r="F661" s="5" t="str">
        <f ca="1">IFERROR(__xludf.DUMMYFUNCTION("""COMPUTED_VALUE"""),"CloversAndDiamonds5")</f>
        <v>CloversAndDiamonds5</v>
      </c>
      <c r="G661" s="5" t="str">
        <f ca="1">IFERROR(__xludf.DUMMYFUNCTION("""COMPUTED_VALUE"""),"Live")</f>
        <v>Live</v>
      </c>
      <c r="H661" s="5"/>
      <c r="I661" s="5" t="str">
        <f ca="1">IFERROR(__xludf.DUMMYFUNCTION("""COMPUTED_VALUE"""),"V4")</f>
        <v>V4</v>
      </c>
      <c r="J661" s="5" t="str">
        <f ca="1">IFERROR(__xludf.DUMMYFUNCTION("""COMPUTED_VALUE"""),"JSON")</f>
        <v>JSON</v>
      </c>
      <c r="K661" s="5" t="str">
        <f ca="1">IFERROR(__xludf.DUMMYFUNCTION("""COMPUTED_VALUE"""),"Slot")</f>
        <v>Slot</v>
      </c>
      <c r="L661" s="5" t="str">
        <f ca="1">IFERROR(__xludf.DUMMYFUNCTION("""COMPUTED_VALUE"""),"Master")</f>
        <v>Master</v>
      </c>
      <c r="M661" s="5"/>
      <c r="N661" s="5"/>
      <c r="O661" s="5"/>
      <c r="P661" s="14">
        <f ca="1">IFERROR(__xludf.DUMMYFUNCTION("""COMPUTED_VALUE"""),42.4)</f>
        <v>42.4</v>
      </c>
      <c r="Q661" s="15">
        <f ca="1">IFERROR(__xludf.DUMMYFUNCTION("""COMPUTED_VALUE"""),46083)</f>
        <v>46083</v>
      </c>
      <c r="R661" s="15">
        <f ca="1">IFERROR(__xludf.DUMMYFUNCTION("""COMPUTED_VALUE"""),46086)</f>
        <v>46086</v>
      </c>
      <c r="S661" s="15">
        <f ca="1">IFERROR(__xludf.DUMMYFUNCTION("""COMPUTED_VALUE"""),46093)</f>
        <v>46093</v>
      </c>
      <c r="T661" s="5" t="b">
        <f ca="1">IFERROR(__xludf.DUMMYFUNCTION("""COMPUTED_VALUE"""),TRUE)</f>
        <v>1</v>
      </c>
      <c r="U661" s="5" t="str">
        <f ca="1">IFERROR(__xludf.DUMMYFUNCTION("""COMPUTED_VALUE"""),"5x3")</f>
        <v>5x3</v>
      </c>
      <c r="V661" s="5">
        <f ca="1">IFERROR(__xludf.DUMMYFUNCTION("""COMPUTED_VALUE"""),5)</f>
        <v>5</v>
      </c>
      <c r="W661" s="5">
        <f ca="1">IFERROR(__xludf.DUMMYFUNCTION("""COMPUTED_VALUE"""),5)</f>
        <v>5</v>
      </c>
      <c r="X661" s="5">
        <f ca="1">IFERROR(__xludf.DUMMYFUNCTION("""COMPUTED_VALUE"""),96.53)</f>
        <v>96.53</v>
      </c>
      <c r="Y661" s="5" t="str">
        <f ca="1">IFERROR(__xludf.DUMMYFUNCTION("""COMPUTED_VALUE"""),"High")</f>
        <v>High</v>
      </c>
      <c r="Z661" s="5">
        <f ca="1">IFERROR(__xludf.DUMMYFUNCTION("""COMPUTED_VALUE"""),13.146)</f>
        <v>13.146000000000001</v>
      </c>
      <c r="AA661" s="5">
        <f ca="1">IFERROR(__xludf.DUMMYFUNCTION("""COMPUTED_VALUE"""),5000)</f>
        <v>5000</v>
      </c>
      <c r="AB661" s="5"/>
      <c r="AC661" s="5" t="str">
        <f ca="1">IFERROR(__xludf.DUMMYFUNCTION("""COMPUTED_VALUE"""),"Scatter, Wild Multiplier, Expanding Wild")</f>
        <v>Scatter, Wild Multiplier, Expanding Wild</v>
      </c>
      <c r="AD661" s="5" t="str">
        <f ca="1">IFERROR(__xludf.DUMMYFUNCTION("""COMPUTED_VALUE"""),"0.05/30")</f>
        <v>0.05/30</v>
      </c>
      <c r="AE661" s="5"/>
      <c r="AF661" s="5"/>
      <c r="AG661" s="10">
        <f ca="1">IFERROR(__xludf.DUMMYFUNCTION("""COMPUTED_VALUE"""),46140.6471643518)</f>
        <v>46140.647164351802</v>
      </c>
      <c r="AH661" s="5" t="str">
        <f ca="1">IFERROR(__xludf.DUMMYFUNCTION("""COMPUTED_VALUE"""),"selena.mihajlovic@fazi.rs")</f>
        <v>selena.mihajlovic@fazi.rs</v>
      </c>
      <c r="AI661" s="15">
        <f ca="1">IFERROR(__xludf.DUMMYFUNCTION("""COMPUTED_VALUE"""),46083)</f>
        <v>46083</v>
      </c>
      <c r="AJ661" s="5" t="str">
        <f ca="1">IFERROR(__xludf.DUMMYFUNCTION("""COMPUTED_VALUE"""),"02.03 Admiral Bet (SRB)")</f>
        <v>02.03 Admiral Bet (SRB)</v>
      </c>
      <c r="AK661" s="5">
        <f ca="1">IFERROR(__xludf.DUMMYFUNCTION("""COMPUTED_VALUE"""),1)</f>
        <v>1</v>
      </c>
      <c r="AL661" s="5" t="str">
        <f ca="1">IFERROR(__xludf.DUMMYFUNCTION("""COMPUTED_VALUE"""),"Yes")</f>
        <v>Yes</v>
      </c>
      <c r="AM661" s="5"/>
      <c r="AN661" s="7" t="str">
        <f ca="1">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AO661" s="5" t="str">
        <f ca="1">IFERROR(__xludf.DUMMYFUNCTION("""COMPUTED_VALUE"""),"Yes")</f>
        <v>Yes</v>
      </c>
      <c r="AP661" s="5" t="str">
        <f ca="1">IFERROR(__xludf.DUMMYFUNCTION("""COMPUTED_VALUE"""),"Yes")</f>
        <v>Yes</v>
      </c>
      <c r="AQ661" s="5" t="b">
        <f ca="1">IFERROR(__xludf.DUMMYFUNCTION("""COMPUTED_VALUE"""),TRUE)</f>
        <v>1</v>
      </c>
      <c r="AR661" s="5"/>
      <c r="AS661" s="5" t="str">
        <f ca="1">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 xml:space="preserve">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AT661" s="5"/>
      <c r="AU661" s="5" t="str">
        <f ca="1">IFERROR(__xludf.DUMMYFUNCTION("""COMPUTED_VALUE"""),"Fazi")</f>
        <v>Fazi</v>
      </c>
      <c r="AV661" s="5">
        <f ca="1">IFERROR(__xludf.DUMMYFUNCTION("""COMPUTED_VALUE"""),1)</f>
        <v>1</v>
      </c>
      <c r="AW661" s="5"/>
      <c r="AX661" s="15">
        <f ca="1">IFERROR(__xludf.DUMMYFUNCTION("""COMPUTED_VALUE"""),46077)</f>
        <v>46077</v>
      </c>
      <c r="AY661" s="5"/>
      <c r="AZ661" s="5"/>
      <c r="BA661" s="5"/>
      <c r="BB661" s="5" t="b">
        <f ca="1">IFERROR(__xludf.DUMMYFUNCTION("""COMPUTED_VALUE"""),TRUE)</f>
        <v>1</v>
      </c>
      <c r="BC661" s="5" t="str">
        <f ca="1">IFERROR(__xludf.DUMMYFUNCTION("""COMPUTED_VALUE"""),"Foxi")</f>
        <v>Foxi</v>
      </c>
      <c r="BD661" s="7" t="str">
        <f ca="1">IFERROR(__xludf.DUMMYFUNCTION("""COMPUTED_VALUE"""),"https://gameserver-store-client-area.orbionlimited.com/Home/IntegrationGameLaunch/client-area?moneyType=0&amp;gameName=CloversAndDiamonds5&amp;platform=desktop&amp;languageCode=eng&amp;currency=EUR")</f>
        <v>https://gameserver-store-client-area.orbionlimited.com/Home/IntegrationGameLaunch/client-area?moneyType=0&amp;gameName=CloversAndDiamonds5&amp;platform=desktop&amp;languageCode=eng&amp;currency=EUR</v>
      </c>
      <c r="BE661" s="5" t="b">
        <f ca="1">IFERROR(__xludf.DUMMYFUNCTION("""COMPUTED_VALUE"""),TRUE)</f>
        <v>1</v>
      </c>
    </row>
    <row r="662" spans="1:57" x14ac:dyDescent="0.25">
      <c r="A662" s="5">
        <f ca="1">IFERROR(__xludf.DUMMYFUNCTION("""COMPUTED_VALUE"""),697)</f>
        <v>697</v>
      </c>
      <c r="B662" s="5">
        <f ca="1">IFERROR(__xludf.DUMMYFUNCTION("""COMPUTED_VALUE"""),4000008)</f>
        <v>4000008</v>
      </c>
      <c r="C662" s="5" t="str">
        <f ca="1">IFERROR(__xludf.DUMMYFUNCTION("""COMPUTED_VALUE"""),"Tiptop")</f>
        <v>Tiptop</v>
      </c>
      <c r="D662" s="5" t="str">
        <f ca="1">IFERROR(__xludf.DUMMYFUNCTION("""COMPUTED_VALUE"""),"Three Reel Triple Fruit")</f>
        <v>Three Reel Triple Fruit</v>
      </c>
      <c r="E662" s="5" t="str">
        <f ca="1">IFERROR(__xludf.DUMMYFUNCTION("""COMPUTED_VALUE"""),"TipTop")</f>
        <v>TipTop</v>
      </c>
      <c r="F662" s="5" t="str">
        <f ca="1">IFERROR(__xludf.DUMMYFUNCTION("""COMPUTED_VALUE"""),"UnicornThreeReelTripleFruit")</f>
        <v>UnicornThreeReelTripleFruit</v>
      </c>
      <c r="G662" s="5" t="str">
        <f ca="1">IFERROR(__xludf.DUMMYFUNCTION("""COMPUTED_VALUE"""),"Live")</f>
        <v>Live</v>
      </c>
      <c r="H662" s="5"/>
      <c r="I662" s="5" t="str">
        <f ca="1">IFERROR(__xludf.DUMMYFUNCTION("""COMPUTED_VALUE"""),"TipTop")</f>
        <v>TipTop</v>
      </c>
      <c r="J662" s="5" t="str">
        <f ca="1">IFERROR(__xludf.DUMMYFUNCTION("""COMPUTED_VALUE"""),"JSON")</f>
        <v>JSON</v>
      </c>
      <c r="K662" s="5" t="str">
        <f ca="1">IFERROR(__xludf.DUMMYFUNCTION("""COMPUTED_VALUE"""),"Slot")</f>
        <v>Slot</v>
      </c>
      <c r="L662" s="5" t="str">
        <f ca="1">IFERROR(__xludf.DUMMYFUNCTION("""COMPUTED_VALUE"""),"Master")</f>
        <v>Master</v>
      </c>
      <c r="M662" s="5"/>
      <c r="N662" s="5"/>
      <c r="O662" s="5"/>
      <c r="P662" s="14">
        <f ca="1">IFERROR(__xludf.DUMMYFUNCTION("""COMPUTED_VALUE"""),11.54)</f>
        <v>11.54</v>
      </c>
      <c r="Q662" s="15">
        <f ca="1">IFERROR(__xludf.DUMMYFUNCTION("""COMPUTED_VALUE"""),46097)</f>
        <v>46097</v>
      </c>
      <c r="R662" s="15">
        <f ca="1">IFERROR(__xludf.DUMMYFUNCTION("""COMPUTED_VALUE"""),46092)</f>
        <v>46092</v>
      </c>
      <c r="S662" s="15">
        <f ca="1">IFERROR(__xludf.DUMMYFUNCTION("""COMPUTED_VALUE"""),46099)</f>
        <v>46099</v>
      </c>
      <c r="T662" s="5" t="b">
        <f ca="1">IFERROR(__xludf.DUMMYFUNCTION("""COMPUTED_VALUE"""),TRUE)</f>
        <v>1</v>
      </c>
      <c r="U662" s="5" t="str">
        <f ca="1">IFERROR(__xludf.DUMMYFUNCTION("""COMPUTED_VALUE"""),"3x3")</f>
        <v>3x3</v>
      </c>
      <c r="V662" s="5">
        <f ca="1">IFERROR(__xludf.DUMMYFUNCTION("""COMPUTED_VALUE"""),5)</f>
        <v>5</v>
      </c>
      <c r="W662" s="5">
        <f ca="1">IFERROR(__xludf.DUMMYFUNCTION("""COMPUTED_VALUE"""),5)</f>
        <v>5</v>
      </c>
      <c r="X662" s="5">
        <f ca="1">IFERROR(__xludf.DUMMYFUNCTION("""COMPUTED_VALUE"""),96)</f>
        <v>96</v>
      </c>
      <c r="Y662" s="5" t="str">
        <f ca="1">IFERROR(__xludf.DUMMYFUNCTION("""COMPUTED_VALUE"""),"Low")</f>
        <v>Low</v>
      </c>
      <c r="Z662" s="5">
        <f ca="1">IFERROR(__xludf.DUMMYFUNCTION("""COMPUTED_VALUE"""),18.4)</f>
        <v>18.399999999999999</v>
      </c>
      <c r="AA662" s="5">
        <f ca="1">IFERROR(__xludf.DUMMYFUNCTION("""COMPUTED_VALUE"""),350)</f>
        <v>350</v>
      </c>
      <c r="AB662" s="5"/>
      <c r="AC662" s="5"/>
      <c r="AD662" s="5" t="str">
        <f ca="1">IFERROR(__xludf.DUMMYFUNCTION("""COMPUTED_VALUE"""),"0.05/100")</f>
        <v>0.05/100</v>
      </c>
      <c r="AE662" s="5"/>
      <c r="AF662" s="5"/>
      <c r="AG662" s="10">
        <f ca="1">IFERROR(__xludf.DUMMYFUNCTION("""COMPUTED_VALUE"""),46218.4754861111)</f>
        <v>46218.4754861111</v>
      </c>
      <c r="AH662" s="5" t="str">
        <f ca="1">IFERROR(__xludf.DUMMYFUNCTION("""COMPUTED_VALUE"""),"danica.petrovic@fazi.rs")</f>
        <v>danica.petrovic@fazi.rs</v>
      </c>
      <c r="AI662" s="5"/>
      <c r="AJ662" s="5"/>
      <c r="AK662" s="5">
        <f ca="1">IFERROR(__xludf.DUMMYFUNCTION("""COMPUTED_VALUE"""),5)</f>
        <v>5</v>
      </c>
      <c r="AL662" s="5" t="str">
        <f ca="1">IFERROR(__xludf.DUMMYFUNCTION("""COMPUTED_VALUE"""),"No")</f>
        <v>No</v>
      </c>
      <c r="AM662" s="5"/>
      <c r="AN662" s="7" t="str">
        <f ca="1">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AO662" s="5"/>
      <c r="AP662" s="5"/>
      <c r="AQ662" s="5" t="b">
        <f ca="1">IFERROR(__xludf.DUMMYFUNCTION("""COMPUTED_VALUE"""),TRUE)</f>
        <v>1</v>
      </c>
      <c r="AR662" s="5"/>
      <c r="AS662" s="5" t="str">
        <f ca="1">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AT662" s="5"/>
      <c r="AU662" s="5" t="str">
        <f ca="1">IFERROR(__xludf.DUMMYFUNCTION("""COMPUTED_VALUE"""),"Tiptop")</f>
        <v>Tiptop</v>
      </c>
      <c r="AV662" s="5"/>
      <c r="AW662" s="5"/>
      <c r="AX662" s="15">
        <f ca="1">IFERROR(__xludf.DUMMYFUNCTION("""COMPUTED_VALUE"""),46091)</f>
        <v>46091</v>
      </c>
      <c r="AY662" s="5"/>
      <c r="AZ662" s="5"/>
      <c r="BA662" s="5"/>
      <c r="BB662" s="5" t="b">
        <f ca="1">IFERROR(__xludf.DUMMYFUNCTION("""COMPUTED_VALUE"""),TRUE)</f>
        <v>1</v>
      </c>
      <c r="BC662" s="5" t="str">
        <f ca="1">IFERROR(__xludf.DUMMYFUNCTION("""COMPUTED_VALUE"""),"Tiptop")</f>
        <v>Tiptop</v>
      </c>
      <c r="BD662" s="5" t="str">
        <f ca="1">IFERROR(__xludf.DUMMYFUNCTION("""COMPUTED_VALUE"""),"https://gameserver-store-client-area.orbionlimited.com/Home/IntegrationGameLaunch/client-area?moneyType=0&amp;gameName=Three Reel Triple Fruit&amp;platform=desktop&amp;languageCode=eng&amp;currency=EUR")</f>
        <v>https://gameserver-store-client-area.orbionlimited.com/Home/IntegrationGameLaunch/client-area?moneyType=0&amp;gameName=Three Reel Triple Fruit&amp;platform=desktop&amp;languageCode=eng&amp;currency=EUR</v>
      </c>
      <c r="BE662" s="5" t="b">
        <f ca="1">IFERROR(__xludf.DUMMYFUNCTION("""COMPUTED_VALUE"""),TRUE)</f>
        <v>1</v>
      </c>
    </row>
    <row r="663" spans="1:57" x14ac:dyDescent="0.25">
      <c r="A663" s="5">
        <f ca="1">IFERROR(__xludf.DUMMYFUNCTION("""COMPUTED_VALUE"""),698)</f>
        <v>698</v>
      </c>
      <c r="B663" s="5">
        <f ca="1">IFERROR(__xludf.DUMMYFUNCTION("""COMPUTED_VALUE"""),3034)</f>
        <v>3034</v>
      </c>
      <c r="C663" s="5" t="str">
        <f ca="1">IFERROR(__xludf.DUMMYFUNCTION("""COMPUTED_VALUE"""),"Fazi")</f>
        <v>Fazi</v>
      </c>
      <c r="D663" s="5" t="str">
        <f ca="1">IFERROR(__xludf.DUMMYFUNCTION("""COMPUTED_VALUE"""),"Epic Dice 100 Booster")</f>
        <v>Epic Dice 100 Booster</v>
      </c>
      <c r="E663" s="5" t="str">
        <f ca="1">IFERROR(__xludf.DUMMYFUNCTION("""COMPUTED_VALUE"""),"V2")</f>
        <v>V2</v>
      </c>
      <c r="F663" s="5" t="str">
        <f ca="1">IFERROR(__xludf.DUMMYFUNCTION("""COMPUTED_VALUE"""),"EpicDice100Booster")</f>
        <v>EpicDice100Booster</v>
      </c>
      <c r="G663" s="5" t="str">
        <f ca="1">IFERROR(__xludf.DUMMYFUNCTION("""COMPUTED_VALUE"""),"Live")</f>
        <v>Live</v>
      </c>
      <c r="H663" s="5"/>
      <c r="I663" s="5" t="str">
        <f ca="1">IFERROR(__xludf.DUMMYFUNCTION("""COMPUTED_VALUE"""),"V2")</f>
        <v>V2</v>
      </c>
      <c r="J663" s="5" t="str">
        <f ca="1">IFERROR(__xludf.DUMMYFUNCTION("""COMPUTED_VALUE"""),"JSON")</f>
        <v>JSON</v>
      </c>
      <c r="K663" s="5" t="str">
        <f ca="1">IFERROR(__xludf.DUMMYFUNCTION("""COMPUTED_VALUE"""),"Slot")</f>
        <v>Slot</v>
      </c>
      <c r="L663" s="5" t="str">
        <f ca="1">IFERROR(__xludf.DUMMYFUNCTION("""COMPUTED_VALUE""")," Clone")</f>
        <v xml:space="preserve"> Clone</v>
      </c>
      <c r="M663" s="5" t="str">
        <f ca="1">IFERROR(__xludf.DUMMYFUNCTION("""COMPUTED_VALUE"""),"Epic Dice 100")</f>
        <v>Epic Dice 100</v>
      </c>
      <c r="N663" s="5"/>
      <c r="O663" s="5"/>
      <c r="P663" s="14">
        <f ca="1">IFERROR(__xludf.DUMMYFUNCTION("""COMPUTED_VALUE"""),26.6)</f>
        <v>26.6</v>
      </c>
      <c r="Q663" s="15">
        <f ca="1">IFERROR(__xludf.DUMMYFUNCTION("""COMPUTED_VALUE"""),46071)</f>
        <v>46071</v>
      </c>
      <c r="R663" s="15">
        <f ca="1">IFERROR(__xludf.DUMMYFUNCTION("""COMPUTED_VALUE"""),46198)</f>
        <v>46198</v>
      </c>
      <c r="S663" s="15">
        <f ca="1">IFERROR(__xludf.DUMMYFUNCTION("""COMPUTED_VALUE"""),46205)</f>
        <v>46205</v>
      </c>
      <c r="T663" s="5" t="b">
        <f ca="1">IFERROR(__xludf.DUMMYFUNCTION("""COMPUTED_VALUE"""),TRUE)</f>
        <v>1</v>
      </c>
      <c r="U663" s="5" t="str">
        <f ca="1">IFERROR(__xludf.DUMMYFUNCTION("""COMPUTED_VALUE"""),"5x4")</f>
        <v>5x4</v>
      </c>
      <c r="V663" s="5">
        <f ca="1">IFERROR(__xludf.DUMMYFUNCTION("""COMPUTED_VALUE"""),100)</f>
        <v>100</v>
      </c>
      <c r="W663" s="5">
        <f ca="1">IFERROR(__xludf.DUMMYFUNCTION("""COMPUTED_VALUE"""),100)</f>
        <v>100</v>
      </c>
      <c r="X663" s="5">
        <f ca="1">IFERROR(__xludf.DUMMYFUNCTION("""COMPUTED_VALUE"""),96.502)</f>
        <v>96.501999999999995</v>
      </c>
      <c r="Y663" s="5" t="str">
        <f ca="1">IFERROR(__xludf.DUMMYFUNCTION("""COMPUTED_VALUE"""),"Medium")</f>
        <v>Medium</v>
      </c>
      <c r="Z663" s="5">
        <f ca="1">IFERROR(__xludf.DUMMYFUNCTION("""COMPUTED_VALUE"""),13.309)</f>
        <v>13.308999999999999</v>
      </c>
      <c r="AA663" s="5">
        <f ca="1">IFERROR(__xludf.DUMMYFUNCTION("""COMPUTED_VALUE"""),3000)</f>
        <v>3000</v>
      </c>
      <c r="AB663" s="5">
        <f ca="1">IFERROR(__xludf.DUMMYFUNCTION("""COMPUTED_VALUE"""),4)</f>
        <v>4</v>
      </c>
      <c r="AC663" s="5" t="str">
        <f ca="1">IFERROR(__xludf.DUMMYFUNCTION("""COMPUTED_VALUE"""),"Scatter, Expanding Wild")</f>
        <v>Scatter, Expanding Wild</v>
      </c>
      <c r="AD663" s="5" t="str">
        <f ca="1">IFERROR(__xludf.DUMMYFUNCTION("""COMPUTED_VALUE"""),"1/100")</f>
        <v>1/100</v>
      </c>
      <c r="AE663" s="5"/>
      <c r="AF663" s="5"/>
      <c r="AG663" s="10">
        <f ca="1">IFERROR(__xludf.DUMMYFUNCTION("""COMPUTED_VALUE"""),46204.4287268518)</f>
        <v>46204.428726851802</v>
      </c>
      <c r="AH663" s="5" t="str">
        <f ca="1">IFERROR(__xludf.DUMMYFUNCTION("""COMPUTED_VALUE"""),"milena.kocic@fazi.rs")</f>
        <v>milena.kocic@fazi.rs</v>
      </c>
      <c r="AI663" s="5"/>
      <c r="AJ663" s="5"/>
      <c r="AK663" s="5"/>
      <c r="AL663" s="5" t="str">
        <f ca="1">IFERROR(__xludf.DUMMYFUNCTION("""COMPUTED_VALUE"""),"Yes")</f>
        <v>Yes</v>
      </c>
      <c r="AM663" s="5" t="str">
        <f ca="1">IFERROR(__xludf.DUMMYFUNCTION("""COMPUTED_VALUE"""),"No")</f>
        <v>No</v>
      </c>
      <c r="AN663" s="7" t="str">
        <f ca="1">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AO663" s="5" t="str">
        <f ca="1">IFERROR(__xludf.DUMMYFUNCTION("""COMPUTED_VALUE"""),"Yes")</f>
        <v>Yes</v>
      </c>
      <c r="AP663" s="5" t="str">
        <f ca="1">IFERROR(__xludf.DUMMYFUNCTION("""COMPUTED_VALUE"""),"No")</f>
        <v>No</v>
      </c>
      <c r="AQ663" s="5" t="b">
        <f ca="1">IFERROR(__xludf.DUMMYFUNCTION("""COMPUTED_VALUE"""),TRUE)</f>
        <v>1</v>
      </c>
      <c r="AR663" s="5"/>
      <c r="AS663" s="5" t="str">
        <f ca="1">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AT663" s="5"/>
      <c r="AU663" s="5" t="str">
        <f ca="1">IFERROR(__xludf.DUMMYFUNCTION("""COMPUTED_VALUE"""),"Fazi")</f>
        <v>Fazi</v>
      </c>
      <c r="AV663" s="5">
        <f ca="1">IFERROR(__xludf.DUMMYFUNCTION("""COMPUTED_VALUE"""),1)</f>
        <v>1</v>
      </c>
      <c r="AW663" s="5"/>
      <c r="AX663" s="15">
        <f ca="1">IFERROR(__xludf.DUMMYFUNCTION("""COMPUTED_VALUE"""),46063)</f>
        <v>46063</v>
      </c>
      <c r="AY663" s="5"/>
      <c r="AZ663" s="5"/>
      <c r="BA663" s="5">
        <f ca="1">IFERROR(__xludf.DUMMYFUNCTION("""COMPUTED_VALUE"""),7)</f>
        <v>7</v>
      </c>
      <c r="BB663" s="5" t="b">
        <f ca="1">IFERROR(__xludf.DUMMYFUNCTION("""COMPUTED_VALUE"""),TRUE)</f>
        <v>1</v>
      </c>
      <c r="BC663" s="5" t="str">
        <f ca="1">IFERROR(__xludf.DUMMYFUNCTION("""COMPUTED_VALUE"""),"Foxi")</f>
        <v>Foxi</v>
      </c>
      <c r="BD663" s="7" t="str">
        <f ca="1">IFERROR(__xludf.DUMMYFUNCTION("""COMPUTED_VALUE"""),"https://gameserver-store-client-area.orbionlimited.com/Home/IntegrationGameLaunch/client-area?moneyType=0&amp;gameName=EpicDice100Booster&amp;platform=desktop&amp;languageCode=eng&amp;currency=EUR")</f>
        <v>https://gameserver-store-client-area.orbionlimited.com/Home/IntegrationGameLaunch/client-area?moneyType=0&amp;gameName=EpicDice100Booster&amp;platform=desktop&amp;languageCode=eng&amp;currency=EUR</v>
      </c>
      <c r="BE663" s="5" t="b">
        <f ca="1">IFERROR(__xludf.DUMMYFUNCTION("""COMPUTED_VALUE"""),TRUE)</f>
        <v>1</v>
      </c>
    </row>
    <row r="664" spans="1:57" x14ac:dyDescent="0.25">
      <c r="A664" s="5">
        <f ca="1">IFERROR(__xludf.DUMMYFUNCTION("""COMPUTED_VALUE"""),699)</f>
        <v>699</v>
      </c>
      <c r="B664" s="5">
        <f ca="1">IFERROR(__xludf.DUMMYFUNCTION("""COMPUTED_VALUE"""),3033)</f>
        <v>3033</v>
      </c>
      <c r="C664" s="5" t="str">
        <f ca="1">IFERROR(__xludf.DUMMYFUNCTION("""COMPUTED_VALUE"""),"Fazi")</f>
        <v>Fazi</v>
      </c>
      <c r="D664" s="5" t="str">
        <f ca="1">IFERROR(__xludf.DUMMYFUNCTION("""COMPUTED_VALUE"""),"Very Hot 40 Dice Booster")</f>
        <v>Very Hot 40 Dice Booster</v>
      </c>
      <c r="E664" s="5" t="str">
        <f ca="1">IFERROR(__xludf.DUMMYFUNCTION("""COMPUTED_VALUE"""),"V2")</f>
        <v>V2</v>
      </c>
      <c r="F664" s="5" t="str">
        <f ca="1">IFERROR(__xludf.DUMMYFUNCTION("""COMPUTED_VALUE"""),"VeryHot40DiceBooster")</f>
        <v>VeryHot40DiceBooster</v>
      </c>
      <c r="G664" s="5" t="str">
        <f ca="1">IFERROR(__xludf.DUMMYFUNCTION("""COMPUTED_VALUE"""),"Deployed")</f>
        <v>Deployed</v>
      </c>
      <c r="H664" s="5"/>
      <c r="I664" s="5" t="str">
        <f ca="1">IFERROR(__xludf.DUMMYFUNCTION("""COMPUTED_VALUE"""),"V2")</f>
        <v>V2</v>
      </c>
      <c r="J664" s="5" t="str">
        <f ca="1">IFERROR(__xludf.DUMMYFUNCTION("""COMPUTED_VALUE"""),"JSON")</f>
        <v>JSON</v>
      </c>
      <c r="K664" s="5" t="str">
        <f ca="1">IFERROR(__xludf.DUMMYFUNCTION("""COMPUTED_VALUE"""),"Slot")</f>
        <v>Slot</v>
      </c>
      <c r="L664" s="5" t="str">
        <f ca="1">IFERROR(__xludf.DUMMYFUNCTION("""COMPUTED_VALUE""")," Clone")</f>
        <v xml:space="preserve"> Clone</v>
      </c>
      <c r="M664" s="5" t="str">
        <f ca="1">IFERROR(__xludf.DUMMYFUNCTION("""COMPUTED_VALUE"""),"Very Hot 40 Dice")</f>
        <v>Very Hot 40 Dice</v>
      </c>
      <c r="N664" s="5"/>
      <c r="O664" s="5"/>
      <c r="P664" s="14">
        <f ca="1">IFERROR(__xludf.DUMMYFUNCTION("""COMPUTED_VALUE"""),16.5)</f>
        <v>16.5</v>
      </c>
      <c r="Q664" s="15">
        <f ca="1">IFERROR(__xludf.DUMMYFUNCTION("""COMPUTED_VALUE"""),46072)</f>
        <v>46072</v>
      </c>
      <c r="R664" s="5"/>
      <c r="S664" s="5"/>
      <c r="T664" s="5"/>
      <c r="U664" s="5" t="str">
        <f ca="1">IFERROR(__xludf.DUMMYFUNCTION("""COMPUTED_VALUE"""),"5x3")</f>
        <v>5x3</v>
      </c>
      <c r="V664" s="5">
        <f ca="1">IFERROR(__xludf.DUMMYFUNCTION("""COMPUTED_VALUE"""),40)</f>
        <v>40</v>
      </c>
      <c r="W664" s="5">
        <f ca="1">IFERROR(__xludf.DUMMYFUNCTION("""COMPUTED_VALUE"""),40)</f>
        <v>40</v>
      </c>
      <c r="X664" s="5">
        <f ca="1">IFERROR(__xludf.DUMMYFUNCTION("""COMPUTED_VALUE"""),96.53)</f>
        <v>96.53</v>
      </c>
      <c r="Y664" s="5" t="str">
        <f ca="1">IFERROR(__xludf.DUMMYFUNCTION("""COMPUTED_VALUE"""),"Low")</f>
        <v>Low</v>
      </c>
      <c r="Z664" s="5">
        <f ca="1">IFERROR(__xludf.DUMMYFUNCTION("""COMPUTED_VALUE"""),23.38)</f>
        <v>23.38</v>
      </c>
      <c r="AA664" s="5">
        <f ca="1">IFERROR(__xludf.DUMMYFUNCTION("""COMPUTED_VALUE"""),876.75)</f>
        <v>876.75</v>
      </c>
      <c r="AB664" s="5">
        <f ca="1">IFERROR(__xludf.DUMMYFUNCTION("""COMPUTED_VALUE"""),4)</f>
        <v>4</v>
      </c>
      <c r="AC664" s="5"/>
      <c r="AD664" s="5" t="str">
        <f ca="1">IFERROR(__xludf.DUMMYFUNCTION("""COMPUTED_VALUE"""),"0.4/60")</f>
        <v>0.4/60</v>
      </c>
      <c r="AE664" s="5"/>
      <c r="AF664" s="5"/>
      <c r="AG664" s="10">
        <f ca="1">IFERROR(__xludf.DUMMYFUNCTION("""COMPUTED_VALUE"""),46189.4177662037)</f>
        <v>46189.417766203696</v>
      </c>
      <c r="AH664" s="5" t="str">
        <f ca="1">IFERROR(__xludf.DUMMYFUNCTION("""COMPUTED_VALUE"""),"milutin.toskic@fazi.rs")</f>
        <v>milutin.toskic@fazi.rs</v>
      </c>
      <c r="AI664" s="5"/>
      <c r="AJ664" s="5"/>
      <c r="AK664" s="5">
        <f ca="1">IFERROR(__xludf.DUMMYFUNCTION("""COMPUTED_VALUE"""),40)</f>
        <v>40</v>
      </c>
      <c r="AL664" s="5" t="str">
        <f ca="1">IFERROR(__xludf.DUMMYFUNCTION("""COMPUTED_VALUE"""),"Yes")</f>
        <v>Yes</v>
      </c>
      <c r="AM664" s="5" t="str">
        <f ca="1">IFERROR(__xludf.DUMMYFUNCTION("""COMPUTED_VALUE"""),"No")</f>
        <v>No</v>
      </c>
      <c r="AN664" s="7" t="str">
        <f ca="1">IFERROR(__xludf.DUMMYFUNCTION("""COMPUTED_VALUE"""),"https://onlinegamespromo.fazi.rs/Home/IntegrationGameLaunch?moneyType=0&amp;gameName=VeryHot40DiceBooster&amp;platform=desktop&amp;languageCode=eng&amp;currency=EUR")</f>
        <v>https://onlinegamespromo.fazi.rs/Home/IntegrationGameLaunch?moneyType=0&amp;gameName=VeryHot40DiceBooster&amp;platform=desktop&amp;languageCode=eng&amp;currency=EUR</v>
      </c>
      <c r="AO664" s="5" t="str">
        <f ca="1">IFERROR(__xludf.DUMMYFUNCTION("""COMPUTED_VALUE"""),"Yes")</f>
        <v>Yes</v>
      </c>
      <c r="AP664" s="5" t="str">
        <f ca="1">IFERROR(__xludf.DUMMYFUNCTION("""COMPUTED_VALUE"""),"No")</f>
        <v>No</v>
      </c>
      <c r="AQ664" s="5"/>
      <c r="AR664" s="5"/>
      <c r="AS664" s="5"/>
      <c r="AT664" s="5"/>
      <c r="AU664" s="5" t="str">
        <f ca="1">IFERROR(__xludf.DUMMYFUNCTION("""COMPUTED_VALUE"""),"Fazi")</f>
        <v>Fazi</v>
      </c>
      <c r="AV664" s="5">
        <f ca="1">IFERROR(__xludf.DUMMYFUNCTION("""COMPUTED_VALUE"""),1)</f>
        <v>1</v>
      </c>
      <c r="AW664" s="5"/>
      <c r="AX664" s="15">
        <f ca="1">IFERROR(__xludf.DUMMYFUNCTION("""COMPUTED_VALUE"""),46063)</f>
        <v>46063</v>
      </c>
      <c r="AY664" s="5"/>
      <c r="AZ664" s="5"/>
      <c r="BA664" s="5">
        <f ca="1">IFERROR(__xludf.DUMMYFUNCTION("""COMPUTED_VALUE"""),5)</f>
        <v>5</v>
      </c>
      <c r="BB664" s="5"/>
      <c r="BC664" s="5" t="str">
        <f ca="1">IFERROR(__xludf.DUMMYFUNCTION("""COMPUTED_VALUE"""),"Foxi")</f>
        <v>Foxi</v>
      </c>
      <c r="BD664" s="7" t="str">
        <f ca="1">IFERROR(__xludf.DUMMYFUNCTION("""COMPUTED_VALUE"""),"https://gameserver-store-client-area.orbionlimited.com/Home/IntegrationGameLaunch/client-area?moneyType=0&amp;gameName=VeryHot40DiceBooster&amp;platform=desktop&amp;languageCode=eng&amp;currency=EUR")</f>
        <v>https://gameserver-store-client-area.orbionlimited.com/Home/IntegrationGameLaunch/client-area?moneyType=0&amp;gameName=VeryHot40DiceBooster&amp;platform=desktop&amp;languageCode=eng&amp;currency=EUR</v>
      </c>
      <c r="BE664" s="5"/>
    </row>
    <row r="665" spans="1:57" x14ac:dyDescent="0.25">
      <c r="A665" s="5">
        <f ca="1">IFERROR(__xludf.DUMMYFUNCTION("""COMPUTED_VALUE"""),700)</f>
        <v>700</v>
      </c>
      <c r="B665" s="5">
        <f ca="1">IFERROR(__xludf.DUMMYFUNCTION("""COMPUTED_VALUE"""),4017)</f>
        <v>4017</v>
      </c>
      <c r="C665" s="5" t="str">
        <f ca="1">IFERROR(__xludf.DUMMYFUNCTION("""COMPUTED_VALUE"""),"Fazi")</f>
        <v>Fazi</v>
      </c>
      <c r="D665" s="5" t="str">
        <f ca="1">IFERROR(__xludf.DUMMYFUNCTION("""COMPUTED_VALUE"""),"Pasino Crown")</f>
        <v>Pasino Crown</v>
      </c>
      <c r="E665" s="5" t="str">
        <f ca="1">IFERROR(__xludf.DUMMYFUNCTION("""COMPUTED_VALUE"""),"Sertifikacioni")</f>
        <v>Sertifikacioni</v>
      </c>
      <c r="F665" s="5" t="str">
        <f ca="1">IFERROR(__xludf.DUMMYFUNCTION("""COMPUTED_VALUE"""),"PasinoCrown")</f>
        <v>PasinoCrown</v>
      </c>
      <c r="G665" s="5" t="str">
        <f ca="1">IFERROR(__xludf.DUMMYFUNCTION("""COMPUTED_VALUE"""),"Deployed")</f>
        <v>Deployed</v>
      </c>
      <c r="H665" s="7" t="str">
        <f ca="1">IFERROR(__xludf.DUMMYFUNCTION("""COMPUTED_VALUE"""),"Pasino.ch")</f>
        <v>Pasino.ch</v>
      </c>
      <c r="I665" s="5" t="str">
        <f ca="1">IFERROR(__xludf.DUMMYFUNCTION("""COMPUTED_VALUE"""),"V2")</f>
        <v>V2</v>
      </c>
      <c r="J665" s="5" t="str">
        <f ca="1">IFERROR(__xludf.DUMMYFUNCTION("""COMPUTED_VALUE"""),"JSON")</f>
        <v>JSON</v>
      </c>
      <c r="K665" s="5" t="str">
        <f ca="1">IFERROR(__xludf.DUMMYFUNCTION("""COMPUTED_VALUE"""),"Slot")</f>
        <v>Slot</v>
      </c>
      <c r="L665" s="5" t="str">
        <f ca="1">IFERROR(__xludf.DUMMYFUNCTION("""COMPUTED_VALUE""")," Clone")</f>
        <v xml:space="preserve"> Clone</v>
      </c>
      <c r="M665" s="5" t="str">
        <f ca="1">IFERROR(__xludf.DUMMYFUNCTION("""COMPUTED_VALUE"""),"Golden Crown")</f>
        <v>Golden Crown</v>
      </c>
      <c r="N665" s="5"/>
      <c r="O665" s="5"/>
      <c r="P665" s="5"/>
      <c r="Q665" s="5"/>
      <c r="R665" s="5"/>
      <c r="S665" s="5"/>
      <c r="T665" s="5"/>
      <c r="U665" s="5" t="str">
        <f ca="1">IFERROR(__xludf.DUMMYFUNCTION("""COMPUTED_VALUE"""),"5x3")</f>
        <v>5x3</v>
      </c>
      <c r="V665" s="5">
        <f ca="1">IFERROR(__xludf.DUMMYFUNCTION("""COMPUTED_VALUE"""),10)</f>
        <v>10</v>
      </c>
      <c r="W665" s="5">
        <f ca="1">IFERROR(__xludf.DUMMYFUNCTION("""COMPUTED_VALUE"""),10)</f>
        <v>10</v>
      </c>
      <c r="X665" s="5">
        <f ca="1">IFERROR(__xludf.DUMMYFUNCTION("""COMPUTED_VALUE"""),95.962)</f>
        <v>95.962000000000003</v>
      </c>
      <c r="Y665" s="5" t="str">
        <f ca="1">IFERROR(__xludf.DUMMYFUNCTION("""COMPUTED_VALUE"""),"Medium")</f>
        <v>Medium</v>
      </c>
      <c r="Z665" s="5">
        <f ca="1">IFERROR(__xludf.DUMMYFUNCTION("""COMPUTED_VALUE"""),14.634)</f>
        <v>14.634</v>
      </c>
      <c r="AA665" s="5">
        <f ca="1">IFERROR(__xludf.DUMMYFUNCTION("""COMPUTED_VALUE"""),1538)</f>
        <v>1538</v>
      </c>
      <c r="AB665" s="5"/>
      <c r="AC665" s="5"/>
      <c r="AD665" s="5"/>
      <c r="AE665" s="5"/>
      <c r="AF665" s="5"/>
      <c r="AG665" s="10">
        <f ca="1">IFERROR(__xludf.DUMMYFUNCTION("""COMPUTED_VALUE"""),46071.6888888888)</f>
        <v>46071.688888888799</v>
      </c>
      <c r="AH665" s="5" t="str">
        <f ca="1">IFERROR(__xludf.DUMMYFUNCTION("""COMPUTED_VALUE"""),"petra.ilic@fazi.rs")</f>
        <v>petra.ilic@fazi.rs</v>
      </c>
      <c r="AI665" s="5"/>
      <c r="AJ665" s="5"/>
      <c r="AK665" s="5">
        <f ca="1">IFERROR(__xludf.DUMMYFUNCTION("""COMPUTED_VALUE"""),10)</f>
        <v>10</v>
      </c>
      <c r="AL665" s="5" t="str">
        <f ca="1">IFERROR(__xludf.DUMMYFUNCTION("""COMPUTED_VALUE"""),"Yes")</f>
        <v>Yes</v>
      </c>
      <c r="AM665" s="5"/>
      <c r="AN665" s="5"/>
      <c r="AO665" s="5"/>
      <c r="AP665" s="5"/>
      <c r="AQ665" s="5"/>
      <c r="AR665" s="5" t="b">
        <f ca="1">IFERROR(__xludf.DUMMYFUNCTION("""COMPUTED_VALUE"""),TRUE)</f>
        <v>1</v>
      </c>
      <c r="AS665" s="5"/>
      <c r="AT665" s="5"/>
      <c r="AU665" s="5" t="str">
        <f ca="1">IFERROR(__xludf.DUMMYFUNCTION("""COMPUTED_VALUE"""),"Fazi")</f>
        <v>Fazi</v>
      </c>
      <c r="AV665" s="5">
        <f ca="1">IFERROR(__xludf.DUMMYFUNCTION("""COMPUTED_VALUE"""),1)</f>
        <v>1</v>
      </c>
      <c r="AW665" s="5"/>
      <c r="AX665" s="5"/>
      <c r="AY665" s="5"/>
      <c r="AZ665" s="5"/>
      <c r="BA665" s="5" t="str">
        <f ca="1">IFERROR(__xludf.DUMMYFUNCTION("""COMPUTED_VALUE"""),"")</f>
        <v/>
      </c>
      <c r="BB665" s="5"/>
      <c r="BC665" s="5" t="str">
        <f ca="1">IFERROR(__xludf.DUMMYFUNCTION("""COMPUTED_VALUE"""),"Foxi")</f>
        <v>Foxi</v>
      </c>
      <c r="BD665" s="5" t="str">
        <f ca="1">IFERROR(__xludf.DUMMYFUNCTION("""COMPUTED_VALUE"""),"")</f>
        <v/>
      </c>
      <c r="BE665" s="5"/>
    </row>
    <row r="666" spans="1:57" x14ac:dyDescent="0.25">
      <c r="A666" s="5">
        <f ca="1">IFERROR(__xludf.DUMMYFUNCTION("""COMPUTED_VALUE"""),701)</f>
        <v>701</v>
      </c>
      <c r="B666" s="5">
        <f ca="1">IFERROR(__xludf.DUMMYFUNCTION("""COMPUTED_VALUE"""),4033)</f>
        <v>4033</v>
      </c>
      <c r="C666" s="5" t="str">
        <f ca="1">IFERROR(__xludf.DUMMYFUNCTION("""COMPUTED_VALUE"""),"Fazi")</f>
        <v>Fazi</v>
      </c>
      <c r="D666" s="5" t="str">
        <f ca="1">IFERROR(__xludf.DUMMYFUNCTION("""COMPUTED_VALUE"""),"Golden Crown Extreme Dice")</f>
        <v>Golden Crown Extreme Dice</v>
      </c>
      <c r="E666" s="5" t="str">
        <f ca="1">IFERROR(__xludf.DUMMYFUNCTION("""COMPUTED_VALUE"""),"Sertifikacioni")</f>
        <v>Sertifikacioni</v>
      </c>
      <c r="F666" s="5" t="str">
        <f ca="1">IFERROR(__xludf.DUMMYFUNCTION("""COMPUTED_VALUE"""),"GoldenCrownExtremeDice")</f>
        <v>GoldenCrownExtremeDice</v>
      </c>
      <c r="G666" s="5" t="str">
        <f ca="1">IFERROR(__xludf.DUMMYFUNCTION("""COMPUTED_VALUE"""),"Live")</f>
        <v>Live</v>
      </c>
      <c r="H666" s="5"/>
      <c r="I666" s="5" t="str">
        <f ca="1">IFERROR(__xludf.DUMMYFUNCTION("""COMPUTED_VALUE"""),"V4")</f>
        <v>V4</v>
      </c>
      <c r="J666" s="5" t="str">
        <f ca="1">IFERROR(__xludf.DUMMYFUNCTION("""COMPUTED_VALUE"""),"JSON")</f>
        <v>JSON</v>
      </c>
      <c r="K666" s="5" t="str">
        <f ca="1">IFERROR(__xludf.DUMMYFUNCTION("""COMPUTED_VALUE"""),"Dice Slots")</f>
        <v>Dice Slots</v>
      </c>
      <c r="L666" s="5" t="str">
        <f ca="1">IFERROR(__xludf.DUMMYFUNCTION("""COMPUTED_VALUE""")," Clone")</f>
        <v xml:space="preserve"> Clone</v>
      </c>
      <c r="M666" s="5" t="str">
        <f ca="1">IFERROR(__xludf.DUMMYFUNCTION("""COMPUTED_VALUE"""),"Golden Crown Extreme")</f>
        <v>Golden Crown Extreme</v>
      </c>
      <c r="N666" s="5"/>
      <c r="O666" s="5"/>
      <c r="P666" s="14">
        <f ca="1">IFERROR(__xludf.DUMMYFUNCTION("""COMPUTED_VALUE"""),136.8)</f>
        <v>136.80000000000001</v>
      </c>
      <c r="Q666" s="15">
        <f ca="1">IFERROR(__xludf.DUMMYFUNCTION("""COMPUTED_VALUE"""),46083)</f>
        <v>46083</v>
      </c>
      <c r="R666" s="15">
        <f ca="1">IFERROR(__xludf.DUMMYFUNCTION("""COMPUTED_VALUE"""),46163)</f>
        <v>46163</v>
      </c>
      <c r="S666" s="15">
        <f ca="1">IFERROR(__xludf.DUMMYFUNCTION("""COMPUTED_VALUE"""),46170)</f>
        <v>46170</v>
      </c>
      <c r="T666" s="5" t="b">
        <f ca="1">IFERROR(__xludf.DUMMYFUNCTION("""COMPUTED_VALUE"""),TRUE)</f>
        <v>1</v>
      </c>
      <c r="U666" s="5" t="str">
        <f ca="1">IFERROR(__xludf.DUMMYFUNCTION("""COMPUTED_VALUE"""),"5x3")</f>
        <v>5x3</v>
      </c>
      <c r="V666" s="5">
        <f ca="1">IFERROR(__xludf.DUMMYFUNCTION("""COMPUTED_VALUE"""),10)</f>
        <v>10</v>
      </c>
      <c r="W666" s="5">
        <f ca="1">IFERROR(__xludf.DUMMYFUNCTION("""COMPUTED_VALUE"""),10)</f>
        <v>10</v>
      </c>
      <c r="X666" s="5">
        <f ca="1">IFERROR(__xludf.DUMMYFUNCTION("""COMPUTED_VALUE"""),96.535)</f>
        <v>96.534999999999997</v>
      </c>
      <c r="Y666" s="5" t="str">
        <f ca="1">IFERROR(__xludf.DUMMYFUNCTION("""COMPUTED_VALUE"""),"Medium")</f>
        <v>Medium</v>
      </c>
      <c r="Z666" s="5">
        <f ca="1">IFERROR(__xludf.DUMMYFUNCTION("""COMPUTED_VALUE"""),14.28)</f>
        <v>14.28</v>
      </c>
      <c r="AA666" s="5">
        <f ca="1">IFERROR(__xludf.DUMMYFUNCTION("""COMPUTED_VALUE"""),3076)</f>
        <v>3076</v>
      </c>
      <c r="AB666" s="5"/>
      <c r="AC666" s="5"/>
      <c r="AD666" s="5"/>
      <c r="AE666" s="5"/>
      <c r="AF666" s="5"/>
      <c r="AG666" s="10">
        <f ca="1">IFERROR(__xludf.DUMMYFUNCTION("""COMPUTED_VALUE"""),46176.7412847222)</f>
        <v>46176.7412847222</v>
      </c>
      <c r="AH666" s="5" t="str">
        <f ca="1">IFERROR(__xludf.DUMMYFUNCTION("""COMPUTED_VALUE"""),"petra.ilic@fazi.rs")</f>
        <v>petra.ilic@fazi.rs</v>
      </c>
      <c r="AI666" s="15">
        <f ca="1">IFERROR(__xludf.DUMMYFUNCTION("""COMPUTED_VALUE"""),46146)</f>
        <v>46146</v>
      </c>
      <c r="AJ666" s="5" t="str">
        <f ca="1">IFERROR(__xludf.DUMMYFUNCTION("""COMPUTED_VALUE"""),"Premierbet - BtoBet	4.05")</f>
        <v>Premierbet - BtoBet	4.05</v>
      </c>
      <c r="AK666" s="5">
        <f ca="1">IFERROR(__xludf.DUMMYFUNCTION("""COMPUTED_VALUE"""),10)</f>
        <v>10</v>
      </c>
      <c r="AL666" s="5" t="str">
        <f ca="1">IFERROR(__xludf.DUMMYFUNCTION("""COMPUTED_VALUE"""),"Yes")</f>
        <v>Yes</v>
      </c>
      <c r="AM666" s="5"/>
      <c r="AN666" s="7" t="str">
        <f ca="1">IFERROR(__xludf.DUMMYFUNCTION("""COMPUTED_VALUE"""),"https://onlinegamespromo.fazi.rs/Home/IntegrationGameLaunch?moneyType=0&amp;gameName=GoldenCrownExtremeDice&amp;platform=desktop&amp;languageCode=eng&amp;currency=EUR")</f>
        <v>https://onlinegamespromo.fazi.rs/Home/IntegrationGameLaunch?moneyType=0&amp;gameName=GoldenCrownExtremeDice&amp;platform=desktop&amp;languageCode=eng&amp;currency=EUR</v>
      </c>
      <c r="AO666" s="5"/>
      <c r="AP666" s="5" t="str">
        <f ca="1">IFERROR(__xludf.DUMMYFUNCTION("""COMPUTED_VALUE"""),"Yes")</f>
        <v>Yes</v>
      </c>
      <c r="AQ666" s="5"/>
      <c r="AR666" s="5"/>
      <c r="AS666" s="5" t="str">
        <f ca="1">IFERROR(__xludf.DUMMYFUNCTION("""COMPUTED_VALUE"""),"The crown is here - with a dice twist! 
Golden Crown Extreme Dice combines the fruits, bells, and lucky 7s you love with thrilling dice rolls. The middle reel spins first, revealing expanding wild Crowns with x2 multipliers. Stars guide your way as every "&amp;"dice roll brings new chances for golden wins.
")</f>
        <v xml:space="preserve">The crown is here - with a dice twist! 
Golden Crown Extreme Dice combines the fruits, bells, and lucky 7s you love with thrilling dice rolls. The middle reel spins first, revealing expanding wild Crowns with x2 multipliers. Stars guide your way as every dice roll brings new chances for golden wins.
</v>
      </c>
      <c r="AT666" s="5"/>
      <c r="AU666" s="5" t="str">
        <f ca="1">IFERROR(__xludf.DUMMYFUNCTION("""COMPUTED_VALUE"""),"Fazi")</f>
        <v>Fazi</v>
      </c>
      <c r="AV666" s="5">
        <f ca="1">IFERROR(__xludf.DUMMYFUNCTION("""COMPUTED_VALUE"""),1)</f>
        <v>1</v>
      </c>
      <c r="AW666" s="5"/>
      <c r="AX666" s="15">
        <f ca="1">IFERROR(__xludf.DUMMYFUNCTION("""COMPUTED_VALUE"""),46077)</f>
        <v>46077</v>
      </c>
      <c r="AY666" s="5"/>
      <c r="AZ666" s="5"/>
      <c r="BA666" s="5"/>
      <c r="BB666" s="5"/>
      <c r="BC666" s="5" t="str">
        <f ca="1">IFERROR(__xludf.DUMMYFUNCTION("""COMPUTED_VALUE"""),"Foxi")</f>
        <v>Foxi</v>
      </c>
      <c r="BD666" s="7" t="str">
        <f ca="1">IFERROR(__xludf.DUMMYFUNCTION("""COMPUTED_VALUE"""),"https://gameserver-store-client-area.orbionlimited.com/Home/IntegrationGameLaunch/client-area?moneyType=0&amp;gameName=GoldenCrownExtremeDice&amp;platform=desktop&amp;languageCode=eng&amp;currency=EUR")</f>
        <v>https://gameserver-store-client-area.orbionlimited.com/Home/IntegrationGameLaunch/client-area?moneyType=0&amp;gameName=GoldenCrownExtremeDice&amp;platform=desktop&amp;languageCode=eng&amp;currency=EUR</v>
      </c>
      <c r="BE666" s="5"/>
    </row>
    <row r="667" spans="1:57" x14ac:dyDescent="0.25">
      <c r="A667" s="5">
        <f ca="1">IFERROR(__xludf.DUMMYFUNCTION("""COMPUTED_VALUE"""),702)</f>
        <v>702</v>
      </c>
      <c r="B667" s="5">
        <f ca="1">IFERROR(__xludf.DUMMYFUNCTION("""COMPUTED_VALUE"""),4034)</f>
        <v>4034</v>
      </c>
      <c r="C667" s="5" t="str">
        <f ca="1">IFERROR(__xludf.DUMMYFUNCTION("""COMPUTED_VALUE"""),"Fazi")</f>
        <v>Fazi</v>
      </c>
      <c r="D667" s="5" t="str">
        <f ca="1">IFERROR(__xludf.DUMMYFUNCTION("""COMPUTED_VALUE"""),"Winning Clover 5 Extreme Booster")</f>
        <v>Winning Clover 5 Extreme Booster</v>
      </c>
      <c r="E667" s="5" t="str">
        <f ca="1">IFERROR(__xludf.DUMMYFUNCTION("""COMPUTED_VALUE"""),"Sertifikacioni")</f>
        <v>Sertifikacioni</v>
      </c>
      <c r="F667" s="5" t="str">
        <f ca="1">IFERROR(__xludf.DUMMYFUNCTION("""COMPUTED_VALUE"""),"WinningClover5ExtremeBooster")</f>
        <v>WinningClover5ExtremeBooster</v>
      </c>
      <c r="G667" s="5" t="str">
        <f ca="1">IFERROR(__xludf.DUMMYFUNCTION("""COMPUTED_VALUE"""),"Deployed")</f>
        <v>Deployed</v>
      </c>
      <c r="H667" s="5"/>
      <c r="I667" s="5" t="str">
        <f ca="1">IFERROR(__xludf.DUMMYFUNCTION("""COMPUTED_VALUE"""),"V4")</f>
        <v>V4</v>
      </c>
      <c r="J667" s="5" t="str">
        <f ca="1">IFERROR(__xludf.DUMMYFUNCTION("""COMPUTED_VALUE"""),"JSON")</f>
        <v>JSON</v>
      </c>
      <c r="K667" s="5" t="str">
        <f ca="1">IFERROR(__xludf.DUMMYFUNCTION("""COMPUTED_VALUE"""),"Slot")</f>
        <v>Slot</v>
      </c>
      <c r="L667" s="5" t="str">
        <f ca="1">IFERROR(__xludf.DUMMYFUNCTION("""COMPUTED_VALUE""")," Clone")</f>
        <v xml:space="preserve"> Clone</v>
      </c>
      <c r="M667" s="5" t="str">
        <f ca="1">IFERROR(__xludf.DUMMYFUNCTION("""COMPUTED_VALUE"""),"Winning Clover 5 Extreme")</f>
        <v>Winning Clover 5 Extreme</v>
      </c>
      <c r="N667" s="5"/>
      <c r="O667" s="5"/>
      <c r="P667" s="14">
        <f ca="1">IFERROR(__xludf.DUMMYFUNCTION("""COMPUTED_VALUE"""),43.5)</f>
        <v>43.5</v>
      </c>
      <c r="Q667" s="15">
        <f ca="1">IFERROR(__xludf.DUMMYFUNCTION("""COMPUTED_VALUE"""),46083)</f>
        <v>46083</v>
      </c>
      <c r="R667" s="15">
        <f ca="1">IFERROR(__xludf.DUMMYFUNCTION("""COMPUTED_VALUE"""),46231)</f>
        <v>46231</v>
      </c>
      <c r="S667" s="15">
        <f ca="1">IFERROR(__xludf.DUMMYFUNCTION("""COMPUTED_VALUE"""),46238)</f>
        <v>46238</v>
      </c>
      <c r="T667" s="5" t="b">
        <f ca="1">IFERROR(__xludf.DUMMYFUNCTION("""COMPUTED_VALUE"""),TRUE)</f>
        <v>1</v>
      </c>
      <c r="U667" s="5" t="str">
        <f ca="1">IFERROR(__xludf.DUMMYFUNCTION("""COMPUTED_VALUE"""),"5x3")</f>
        <v>5x3</v>
      </c>
      <c r="V667" s="5">
        <f ca="1">IFERROR(__xludf.DUMMYFUNCTION("""COMPUTED_VALUE"""),5)</f>
        <v>5</v>
      </c>
      <c r="W667" s="5">
        <f ca="1">IFERROR(__xludf.DUMMYFUNCTION("""COMPUTED_VALUE"""),5)</f>
        <v>5</v>
      </c>
      <c r="X667" s="5">
        <f ca="1">IFERROR(__xludf.DUMMYFUNCTION("""COMPUTED_VALUE"""),96.5)</f>
        <v>96.5</v>
      </c>
      <c r="Y667" s="5" t="str">
        <f ca="1">IFERROR(__xludf.DUMMYFUNCTION("""COMPUTED_VALUE"""),"High")</f>
        <v>High</v>
      </c>
      <c r="Z667" s="5">
        <f ca="1">IFERROR(__xludf.DUMMYFUNCTION("""COMPUTED_VALUE"""),12.8)</f>
        <v>12.8</v>
      </c>
      <c r="AA667" s="5">
        <f ca="1">IFERROR(__xludf.DUMMYFUNCTION("""COMPUTED_VALUE"""),5000)</f>
        <v>5000</v>
      </c>
      <c r="AB667" s="5"/>
      <c r="AC667" s="5"/>
      <c r="AD667" s="5"/>
      <c r="AE667" s="5"/>
      <c r="AF667" s="5"/>
      <c r="AG667" s="10">
        <f ca="1">IFERROR(__xludf.DUMMYFUNCTION("""COMPUTED_VALUE"""),46206.5211574074)</f>
        <v>46206.521157407398</v>
      </c>
      <c r="AH667" s="5" t="str">
        <f ca="1">IFERROR(__xludf.DUMMYFUNCTION("""COMPUTED_VALUE"""),"selena.mihajlovic@fazi.rs")</f>
        <v>selena.mihajlovic@fazi.rs</v>
      </c>
      <c r="AI667" s="5"/>
      <c r="AJ667" s="5"/>
      <c r="AK667" s="5">
        <f ca="1">IFERROR(__xludf.DUMMYFUNCTION("""COMPUTED_VALUE"""),5)</f>
        <v>5</v>
      </c>
      <c r="AL667" s="5" t="str">
        <f ca="1">IFERROR(__xludf.DUMMYFUNCTION("""COMPUTED_VALUE"""),"Yes")</f>
        <v>Yes</v>
      </c>
      <c r="AM667" s="5"/>
      <c r="AN667" s="7" t="str">
        <f ca="1">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AO667" s="5"/>
      <c r="AP667" s="5" t="str">
        <f ca="1">IFERROR(__xludf.DUMMYFUNCTION("""COMPUTED_VALUE"""),"Yes")</f>
        <v>Yes</v>
      </c>
      <c r="AQ667" s="5"/>
      <c r="AR667" s="5"/>
      <c r="AS667" s="5"/>
      <c r="AT667" s="5"/>
      <c r="AU667" s="5" t="str">
        <f ca="1">IFERROR(__xludf.DUMMYFUNCTION("""COMPUTED_VALUE"""),"Fazi")</f>
        <v>Fazi</v>
      </c>
      <c r="AV667" s="5">
        <f ca="1">IFERROR(__xludf.DUMMYFUNCTION("""COMPUTED_VALUE"""),1)</f>
        <v>1</v>
      </c>
      <c r="AW667" s="5"/>
      <c r="AX667" s="15">
        <f ca="1">IFERROR(__xludf.DUMMYFUNCTION("""COMPUTED_VALUE"""),46077)</f>
        <v>46077</v>
      </c>
      <c r="AY667" s="5"/>
      <c r="AZ667" s="5"/>
      <c r="BA667" s="5">
        <f ca="1">IFERROR(__xludf.DUMMYFUNCTION("""COMPUTED_VALUE"""),5)</f>
        <v>5</v>
      </c>
      <c r="BB667" s="5"/>
      <c r="BC667" s="5" t="str">
        <f ca="1">IFERROR(__xludf.DUMMYFUNCTION("""COMPUTED_VALUE"""),"Foxi")</f>
        <v>Foxi</v>
      </c>
      <c r="BD667" s="7" t="str">
        <f ca="1">IFERROR(__xludf.DUMMYFUNCTION("""COMPUTED_VALUE"""),"https://gameserver-store-client-area.orbionlimited.com/Home/IntegrationGameLaunch/client-area?moneyType=0&amp;gameName=WinningClover5ExtremeBooster&amp;platform=desktop&amp;languageCode=eng&amp;currency=EUR")</f>
        <v>https://gameserver-store-client-area.orbionlimited.com/Home/IntegrationGameLaunch/client-area?moneyType=0&amp;gameName=WinningClover5ExtremeBooster&amp;platform=desktop&amp;languageCode=eng&amp;currency=EUR</v>
      </c>
      <c r="BE667" s="5"/>
    </row>
    <row r="668" spans="1:57" x14ac:dyDescent="0.25">
      <c r="A668" s="5">
        <f ca="1">IFERROR(__xludf.DUMMYFUNCTION("""COMPUTED_VALUE"""),703)</f>
        <v>703</v>
      </c>
      <c r="B668" s="5">
        <f ca="1">IFERROR(__xludf.DUMMYFUNCTION("""COMPUTED_VALUE"""),4035)</f>
        <v>4035</v>
      </c>
      <c r="C668" s="5" t="str">
        <f ca="1">IFERROR(__xludf.DUMMYFUNCTION("""COMPUTED_VALUE"""),"Fazi")</f>
        <v>Fazi</v>
      </c>
      <c r="D668" s="5" t="str">
        <f ca="1">IFERROR(__xludf.DUMMYFUNCTION("""COMPUTED_VALUE"""),"Very Hot 40 Extreme Booster")</f>
        <v>Very Hot 40 Extreme Booster</v>
      </c>
      <c r="E668" s="5" t="str">
        <f ca="1">IFERROR(__xludf.DUMMYFUNCTION("""COMPUTED_VALUE"""),"Sertifikacioni")</f>
        <v>Sertifikacioni</v>
      </c>
      <c r="F668" s="5" t="str">
        <f ca="1">IFERROR(__xludf.DUMMYFUNCTION("""COMPUTED_VALUE"""),"VeryHot40ExtremeBooster")</f>
        <v>VeryHot40ExtremeBooster</v>
      </c>
      <c r="G668" s="5" t="str">
        <f ca="1">IFERROR(__xludf.DUMMYFUNCTION("""COMPUTED_VALUE"""),"Deployed")</f>
        <v>Deployed</v>
      </c>
      <c r="H668" s="5"/>
      <c r="I668" s="5" t="str">
        <f ca="1">IFERROR(__xludf.DUMMYFUNCTION("""COMPUTED_VALUE"""),"V4")</f>
        <v>V4</v>
      </c>
      <c r="J668" s="5" t="str">
        <f ca="1">IFERROR(__xludf.DUMMYFUNCTION("""COMPUTED_VALUE"""),"JSON")</f>
        <v>JSON</v>
      </c>
      <c r="K668" s="5" t="str">
        <f ca="1">IFERROR(__xludf.DUMMYFUNCTION("""COMPUTED_VALUE"""),"Slot")</f>
        <v>Slot</v>
      </c>
      <c r="L668" s="5" t="str">
        <f ca="1">IFERROR(__xludf.DUMMYFUNCTION("""COMPUTED_VALUE""")," Clone")</f>
        <v xml:space="preserve"> Clone</v>
      </c>
      <c r="M668" s="5" t="str">
        <f ca="1">IFERROR(__xludf.DUMMYFUNCTION("""COMPUTED_VALUE"""),"Very Hot 40 Extreme")</f>
        <v>Very Hot 40 Extreme</v>
      </c>
      <c r="N668" s="5"/>
      <c r="O668" s="5"/>
      <c r="P668" s="14">
        <f ca="1">IFERROR(__xludf.DUMMYFUNCTION("""COMPUTED_VALUE"""),36.2)</f>
        <v>36.200000000000003</v>
      </c>
      <c r="Q668" s="15">
        <f ca="1">IFERROR(__xludf.DUMMYFUNCTION("""COMPUTED_VALUE"""),46083)</f>
        <v>46083</v>
      </c>
      <c r="R668" s="15">
        <f ca="1">IFERROR(__xludf.DUMMYFUNCTION("""COMPUTED_VALUE"""),46224)</f>
        <v>46224</v>
      </c>
      <c r="S668" s="15">
        <f ca="1">IFERROR(__xludf.DUMMYFUNCTION("""COMPUTED_VALUE"""),46231)</f>
        <v>46231</v>
      </c>
      <c r="T668" s="5" t="b">
        <f ca="1">IFERROR(__xludf.DUMMYFUNCTION("""COMPUTED_VALUE"""),TRUE)</f>
        <v>1</v>
      </c>
      <c r="U668" s="5" t="str">
        <f ca="1">IFERROR(__xludf.DUMMYFUNCTION("""COMPUTED_VALUE"""),"5x3")</f>
        <v>5x3</v>
      </c>
      <c r="V668" s="5">
        <f ca="1">IFERROR(__xludf.DUMMYFUNCTION("""COMPUTED_VALUE"""),40)</f>
        <v>40</v>
      </c>
      <c r="W668" s="5">
        <f ca="1">IFERROR(__xludf.DUMMYFUNCTION("""COMPUTED_VALUE"""),40)</f>
        <v>40</v>
      </c>
      <c r="X668" s="5">
        <f ca="1">IFERROR(__xludf.DUMMYFUNCTION("""COMPUTED_VALUE"""),96.453)</f>
        <v>96.453000000000003</v>
      </c>
      <c r="Y668" s="5" t="str">
        <f ca="1">IFERROR(__xludf.DUMMYFUNCTION("""COMPUTED_VALUE"""),"Low")</f>
        <v>Low</v>
      </c>
      <c r="Z668" s="5">
        <f ca="1">IFERROR(__xludf.DUMMYFUNCTION("""COMPUTED_VALUE"""),22.711)</f>
        <v>22.710999999999999</v>
      </c>
      <c r="AA668" s="5">
        <f ca="1">IFERROR(__xludf.DUMMYFUNCTION("""COMPUTED_VALUE"""),1993)</f>
        <v>1993</v>
      </c>
      <c r="AB668" s="5"/>
      <c r="AC668" s="5" t="str">
        <f ca="1">IFERROR(__xludf.DUMMYFUNCTION("""COMPUTED_VALUE"""),"Buy Feature, Win Multiplier, Wild Symbol")</f>
        <v>Buy Feature, Win Multiplier, Wild Symbol</v>
      </c>
      <c r="AD668" s="5" t="str">
        <f ca="1">IFERROR(__xludf.DUMMYFUNCTION("""COMPUTED_VALUE"""),"0.12/ 80")</f>
        <v>0.12/ 80</v>
      </c>
      <c r="AE668" s="5"/>
      <c r="AF668" s="5"/>
      <c r="AG668" s="10">
        <f ca="1">IFERROR(__xludf.DUMMYFUNCTION("""COMPUTED_VALUE"""),46231.5321527777)</f>
        <v>46231.532152777698</v>
      </c>
      <c r="AH668" s="5" t="str">
        <f ca="1">IFERROR(__xludf.DUMMYFUNCTION("""COMPUTED_VALUE"""),"selena.mihajlovic@fazi.rs")</f>
        <v>selena.mihajlovic@fazi.rs</v>
      </c>
      <c r="AI668" s="5"/>
      <c r="AJ668" s="5"/>
      <c r="AK668" s="5">
        <f ca="1">IFERROR(__xludf.DUMMYFUNCTION("""COMPUTED_VALUE"""),4)</f>
        <v>4</v>
      </c>
      <c r="AL668" s="5" t="str">
        <f ca="1">IFERROR(__xludf.DUMMYFUNCTION("""COMPUTED_VALUE"""),"Yes")</f>
        <v>Yes</v>
      </c>
      <c r="AM668" s="5" t="str">
        <f ca="1">IFERROR(__xludf.DUMMYFUNCTION("""COMPUTED_VALUE"""),"No")</f>
        <v>No</v>
      </c>
      <c r="AN668" s="7" t="str">
        <f ca="1">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AO668" s="5"/>
      <c r="AP668" s="5" t="str">
        <f ca="1">IFERROR(__xludf.DUMMYFUNCTION("""COMPUTED_VALUE"""),"Yes")</f>
        <v>Yes</v>
      </c>
      <c r="AQ668" s="5" t="b">
        <f ca="1">IFERROR(__xludf.DUMMYFUNCTION("""COMPUTED_VALUE"""),TRUE)</f>
        <v>1</v>
      </c>
      <c r="AR668" s="5"/>
      <c r="AS668" s="5" t="str">
        <f ca="1">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 xml:space="preserve">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AT668" s="5"/>
      <c r="AU668" s="5" t="str">
        <f ca="1">IFERROR(__xludf.DUMMYFUNCTION("""COMPUTED_VALUE"""),"Fazi")</f>
        <v>Fazi</v>
      </c>
      <c r="AV668" s="5">
        <f ca="1">IFERROR(__xludf.DUMMYFUNCTION("""COMPUTED_VALUE"""),1)</f>
        <v>1</v>
      </c>
      <c r="AW668" s="5"/>
      <c r="AX668" s="15">
        <f ca="1">IFERROR(__xludf.DUMMYFUNCTION("""COMPUTED_VALUE"""),46077)</f>
        <v>46077</v>
      </c>
      <c r="AY668" s="5"/>
      <c r="AZ668" s="5"/>
      <c r="BA668" s="5">
        <f ca="1">IFERROR(__xludf.DUMMYFUNCTION("""COMPUTED_VALUE"""),5)</f>
        <v>5</v>
      </c>
      <c r="BB668" s="5" t="b">
        <f ca="1">IFERROR(__xludf.DUMMYFUNCTION("""COMPUTED_VALUE"""),TRUE)</f>
        <v>1</v>
      </c>
      <c r="BC668" s="5" t="str">
        <f ca="1">IFERROR(__xludf.DUMMYFUNCTION("""COMPUTED_VALUE"""),"Foxi")</f>
        <v>Foxi</v>
      </c>
      <c r="BD668" s="7" t="str">
        <f ca="1">IFERROR(__xludf.DUMMYFUNCTION("""COMPUTED_VALUE"""),"https://gameserver-store-client-area.orbionlimited.com/Home/IntegrationGameLaunch/client-area?moneyType=0&amp;gameName=VeryHot40ExtremeBooster&amp;platform=desktop&amp;languageCode=eng&amp;currency=EUR")</f>
        <v>https://gameserver-store-client-area.orbionlimited.com/Home/IntegrationGameLaunch/client-area?moneyType=0&amp;gameName=VeryHot40ExtremeBooster&amp;platform=desktop&amp;languageCode=eng&amp;currency=EUR</v>
      </c>
      <c r="BE668" s="5" t="b">
        <f ca="1">IFERROR(__xludf.DUMMYFUNCTION("""COMPUTED_VALUE"""),TRUE)</f>
        <v>1</v>
      </c>
    </row>
    <row r="669" spans="1:57" x14ac:dyDescent="0.25">
      <c r="A669" s="5">
        <f ca="1">IFERROR(__xludf.DUMMYFUNCTION("""COMPUTED_VALUE"""),704)</f>
        <v>704</v>
      </c>
      <c r="B669" s="5">
        <f ca="1">IFERROR(__xludf.DUMMYFUNCTION("""COMPUTED_VALUE"""),1022)</f>
        <v>1022</v>
      </c>
      <c r="C669" s="5" t="str">
        <f ca="1">IFERROR(__xludf.DUMMYFUNCTION("""COMPUTED_VALUE"""),"Fazi")</f>
        <v>Fazi</v>
      </c>
      <c r="D669" s="5" t="str">
        <f ca="1">IFERROR(__xludf.DUMMYFUNCTION("""COMPUTED_VALUE"""),"Winning Clover 5 Booster")</f>
        <v>Winning Clover 5 Booster</v>
      </c>
      <c r="E669" s="5" t="str">
        <f ca="1">IFERROR(__xludf.DUMMYFUNCTION("""COMPUTED_VALUE"""),"V4-1")</f>
        <v>V4-1</v>
      </c>
      <c r="F669" s="5" t="str">
        <f ca="1">IFERROR(__xludf.DUMMYFUNCTION("""COMPUTED_VALUE"""),"WinningClover5Booster")</f>
        <v>WinningClover5Booster</v>
      </c>
      <c r="G669" s="5" t="str">
        <f ca="1">IFERROR(__xludf.DUMMYFUNCTION("""COMPUTED_VALUE"""),"Deployed")</f>
        <v>Deployed</v>
      </c>
      <c r="H669" s="5"/>
      <c r="I669" s="5" t="str">
        <f ca="1">IFERROR(__xludf.DUMMYFUNCTION("""COMPUTED_VALUE"""),"V4")</f>
        <v>V4</v>
      </c>
      <c r="J669" s="5" t="str">
        <f ca="1">IFERROR(__xludf.DUMMYFUNCTION("""COMPUTED_VALUE"""),"JSON")</f>
        <v>JSON</v>
      </c>
      <c r="K669" s="5" t="str">
        <f ca="1">IFERROR(__xludf.DUMMYFUNCTION("""COMPUTED_VALUE"""),"Slot")</f>
        <v>Slot</v>
      </c>
      <c r="L669" s="5" t="str">
        <f ca="1">IFERROR(__xludf.DUMMYFUNCTION("""COMPUTED_VALUE""")," Variant")</f>
        <v xml:space="preserve"> Variant</v>
      </c>
      <c r="M669" s="5" t="str">
        <f ca="1">IFERROR(__xludf.DUMMYFUNCTION("""COMPUTED_VALUE"""),"Winning Clover 5")</f>
        <v>Winning Clover 5</v>
      </c>
      <c r="N669" s="5"/>
      <c r="O669" s="5"/>
      <c r="P669" s="14">
        <f ca="1">IFERROR(__xludf.DUMMYFUNCTION("""COMPUTED_VALUE"""),17.9)</f>
        <v>17.899999999999999</v>
      </c>
      <c r="Q669" s="15">
        <f ca="1">IFERROR(__xludf.DUMMYFUNCTION("""COMPUTED_VALUE"""),46111)</f>
        <v>46111</v>
      </c>
      <c r="R669" s="5"/>
      <c r="S669" s="5"/>
      <c r="T669" s="5"/>
      <c r="U669" s="5" t="str">
        <f ca="1">IFERROR(__xludf.DUMMYFUNCTION("""COMPUTED_VALUE"""),"5x3")</f>
        <v>5x3</v>
      </c>
      <c r="V669" s="5">
        <f ca="1">IFERROR(__xludf.DUMMYFUNCTION("""COMPUTED_VALUE"""),5)</f>
        <v>5</v>
      </c>
      <c r="W669" s="5">
        <f ca="1">IFERROR(__xludf.DUMMYFUNCTION("""COMPUTED_VALUE"""),5)</f>
        <v>5</v>
      </c>
      <c r="X669" s="5">
        <f ca="1">IFERROR(__xludf.DUMMYFUNCTION("""COMPUTED_VALUE"""),96.447)</f>
        <v>96.447000000000003</v>
      </c>
      <c r="Y669" s="5" t="str">
        <f ca="1">IFERROR(__xludf.DUMMYFUNCTION("""COMPUTED_VALUE"""),"Medium")</f>
        <v>Medium</v>
      </c>
      <c r="Z669" s="5">
        <f ca="1">IFERROR(__xludf.DUMMYFUNCTION("""COMPUTED_VALUE"""),14.505)</f>
        <v>14.505000000000001</v>
      </c>
      <c r="AA669" s="5">
        <f ca="1">IFERROR(__xludf.DUMMYFUNCTION("""COMPUTED_VALUE"""),1222)</f>
        <v>1222</v>
      </c>
      <c r="AB669" s="5"/>
      <c r="AC669" s="5" t="str">
        <f ca="1">IFERROR(__xludf.DUMMYFUNCTION("""COMPUTED_VALUE"""),"Scatter, Expanding Wild, Buy Feature")</f>
        <v>Scatter, Expanding Wild, Buy Feature</v>
      </c>
      <c r="AD669" s="5" t="str">
        <f ca="1">IFERROR(__xludf.DUMMYFUNCTION("""COMPUTED_VALUE"""),"0.1/50")</f>
        <v>0.1/50</v>
      </c>
      <c r="AE669" s="5"/>
      <c r="AF669" s="5"/>
      <c r="AG669" s="10">
        <f ca="1">IFERROR(__xludf.DUMMYFUNCTION("""COMPUTED_VALUE"""),46127.4460879629)</f>
        <v>46127.446087962897</v>
      </c>
      <c r="AH669" s="5" t="str">
        <f ca="1">IFERROR(__xludf.DUMMYFUNCTION("""COMPUTED_VALUE"""),"djordje.petrovic@fazi.rs")</f>
        <v>djordje.petrovic@fazi.rs</v>
      </c>
      <c r="AI669" s="5"/>
      <c r="AJ669" s="5"/>
      <c r="AK669" s="5">
        <f ca="1">IFERROR(__xludf.DUMMYFUNCTION("""COMPUTED_VALUE"""),5)</f>
        <v>5</v>
      </c>
      <c r="AL669" s="5" t="str">
        <f ca="1">IFERROR(__xludf.DUMMYFUNCTION("""COMPUTED_VALUE"""),"Yes")</f>
        <v>Yes</v>
      </c>
      <c r="AM669" s="5" t="str">
        <f ca="1">IFERROR(__xludf.DUMMYFUNCTION("""COMPUTED_VALUE"""),"No")</f>
        <v>No</v>
      </c>
      <c r="AN669" s="5"/>
      <c r="AO669" s="5" t="str">
        <f ca="1">IFERROR(__xludf.DUMMYFUNCTION("""COMPUTED_VALUE"""),"Yes")</f>
        <v>Yes</v>
      </c>
      <c r="AP669" s="5" t="str">
        <f ca="1">IFERROR(__xludf.DUMMYFUNCTION("""COMPUTED_VALUE"""),"Yes")</f>
        <v>Yes</v>
      </c>
      <c r="AQ669" s="5"/>
      <c r="AR669" s="5"/>
      <c r="AS669" s="5"/>
      <c r="AT669" s="5" t="str">
        <f ca="1">IFERROR(__xludf.DUMMYFUNCTION("""COMPUTED_VALUE"""),"Yes")</f>
        <v>Yes</v>
      </c>
      <c r="AU669" s="5" t="str">
        <f ca="1">IFERROR(__xludf.DUMMYFUNCTION("""COMPUTED_VALUE"""),"Fazi")</f>
        <v>Fazi</v>
      </c>
      <c r="AV669" s="5">
        <f ca="1">IFERROR(__xludf.DUMMYFUNCTION("""COMPUTED_VALUE"""),1)</f>
        <v>1</v>
      </c>
      <c r="AW669" s="5"/>
      <c r="AX669" s="15">
        <f ca="1">IFERROR(__xludf.DUMMYFUNCTION("""COMPUTED_VALUE"""),46105)</f>
        <v>46105</v>
      </c>
      <c r="AY669" s="5"/>
      <c r="AZ669" s="5"/>
      <c r="BA669" s="5">
        <f ca="1">IFERROR(__xludf.DUMMYFUNCTION("""COMPUTED_VALUE"""),5)</f>
        <v>5</v>
      </c>
      <c r="BB669" s="5"/>
      <c r="BC669" s="5" t="str">
        <f ca="1">IFERROR(__xludf.DUMMYFUNCTION("""COMPUTED_VALUE"""),"Foxi")</f>
        <v>Foxi</v>
      </c>
      <c r="BD669" s="5" t="str">
        <f ca="1">IFERROR(__xludf.DUMMYFUNCTION("""COMPUTED_VALUE"""),"")</f>
        <v/>
      </c>
      <c r="BE669" s="5"/>
    </row>
    <row r="670" spans="1:57" x14ac:dyDescent="0.25">
      <c r="A670" s="5">
        <f ca="1">IFERROR(__xludf.DUMMYFUNCTION("""COMPUTED_VALUE"""),705)</f>
        <v>705</v>
      </c>
      <c r="B670" s="5">
        <f ca="1">IFERROR(__xludf.DUMMYFUNCTION("""COMPUTED_VALUE"""),1021)</f>
        <v>1021</v>
      </c>
      <c r="C670" s="5" t="str">
        <f ca="1">IFERROR(__xludf.DUMMYFUNCTION("""COMPUTED_VALUE"""),"Fazi")</f>
        <v>Fazi</v>
      </c>
      <c r="D670" s="5" t="str">
        <f ca="1">IFERROR(__xludf.DUMMYFUNCTION("""COMPUTED_VALUE"""),"Fortune of Wu Kong")</f>
        <v>Fortune of Wu Kong</v>
      </c>
      <c r="E670" s="5" t="str">
        <f ca="1">IFERROR(__xludf.DUMMYFUNCTION("""COMPUTED_VALUE"""),"V4-1")</f>
        <v>V4-1</v>
      </c>
      <c r="F670" s="5" t="str">
        <f ca="1">IFERROR(__xludf.DUMMYFUNCTION("""COMPUTED_VALUE"""),"FortuneOfWuKong")</f>
        <v>FortuneOfWuKong</v>
      </c>
      <c r="G670" s="5" t="str">
        <f ca="1">IFERROR(__xludf.DUMMYFUNCTION("""COMPUTED_VALUE"""),"Live")</f>
        <v>Live</v>
      </c>
      <c r="H670" s="5"/>
      <c r="I670" s="5" t="str">
        <f ca="1">IFERROR(__xludf.DUMMYFUNCTION("""COMPUTED_VALUE"""),"V4")</f>
        <v>V4</v>
      </c>
      <c r="J670" s="5" t="str">
        <f ca="1">IFERROR(__xludf.DUMMYFUNCTION("""COMPUTED_VALUE"""),"JSON")</f>
        <v>JSON</v>
      </c>
      <c r="K670" s="5" t="str">
        <f ca="1">IFERROR(__xludf.DUMMYFUNCTION("""COMPUTED_VALUE"""),"Slot")</f>
        <v>Slot</v>
      </c>
      <c r="L670" s="5" t="str">
        <f ca="1">IFERROR(__xludf.DUMMYFUNCTION("""COMPUTED_VALUE""")," Variant")</f>
        <v xml:space="preserve"> Variant</v>
      </c>
      <c r="M670" s="5" t="str">
        <f ca="1">IFERROR(__xludf.DUMMYFUNCTION("""COMPUTED_VALUE"""),"Macaco Da Fortuna")</f>
        <v>Macaco Da Fortuna</v>
      </c>
      <c r="N670" s="7" t="str">
        <f ca="1">IFERROR(__xludf.DUMMYFUNCTION("""COMPUTED_VALUE"""),"https://drive.google.com/drive/folders/15rWQH-CBK5xGg6xMmpPR3P6hRE9IdqFf")</f>
        <v>https://drive.google.com/drive/folders/15rWQH-CBK5xGg6xMmpPR3P6hRE9IdqFf</v>
      </c>
      <c r="O670" s="7" t="str">
        <f ca="1">IFERROR(__xludf.DUMMYFUNCTION("""COMPUTED_VALUE"""),"https://drive.google.com/drive/folders/15rWQH-CBK5xGg6xMmpPR3P6hRE9IdqFf")</f>
        <v>https://drive.google.com/drive/folders/15rWQH-CBK5xGg6xMmpPR3P6hRE9IdqFf</v>
      </c>
      <c r="P670" s="14">
        <f ca="1">IFERROR(__xludf.DUMMYFUNCTION("""COMPUTED_VALUE"""),22.1)</f>
        <v>22.1</v>
      </c>
      <c r="Q670" s="15">
        <f ca="1">IFERROR(__xludf.DUMMYFUNCTION("""COMPUTED_VALUE"""),46126)</f>
        <v>46126</v>
      </c>
      <c r="R670" s="15">
        <f ca="1">IFERROR(__xludf.DUMMYFUNCTION("""COMPUTED_VALUE"""),46184)</f>
        <v>46184</v>
      </c>
      <c r="S670" s="15">
        <f ca="1">IFERROR(__xludf.DUMMYFUNCTION("""COMPUTED_VALUE"""),46191)</f>
        <v>46191</v>
      </c>
      <c r="T670" s="5" t="b">
        <f ca="1">IFERROR(__xludf.DUMMYFUNCTION("""COMPUTED_VALUE"""),TRUE)</f>
        <v>1</v>
      </c>
      <c r="U670" s="5" t="str">
        <f ca="1">IFERROR(__xludf.DUMMYFUNCTION("""COMPUTED_VALUE"""),"3x3")</f>
        <v>3x3</v>
      </c>
      <c r="V670" s="5">
        <f ca="1">IFERROR(__xludf.DUMMYFUNCTION("""COMPUTED_VALUE"""),5)</f>
        <v>5</v>
      </c>
      <c r="W670" s="5">
        <f ca="1">IFERROR(__xludf.DUMMYFUNCTION("""COMPUTED_VALUE"""),5)</f>
        <v>5</v>
      </c>
      <c r="X670" s="5">
        <f ca="1">IFERROR(__xludf.DUMMYFUNCTION("""COMPUTED_VALUE"""),96.53)</f>
        <v>96.53</v>
      </c>
      <c r="Y670" s="5" t="str">
        <f ca="1">IFERROR(__xludf.DUMMYFUNCTION("""COMPUTED_VALUE"""),"High")</f>
        <v>High</v>
      </c>
      <c r="Z670" s="5">
        <f ca="1">IFERROR(__xludf.DUMMYFUNCTION("""COMPUTED_VALUE"""),14.086)</f>
        <v>14.086</v>
      </c>
      <c r="AA670" s="5">
        <f ca="1">IFERROR(__xludf.DUMMYFUNCTION("""COMPUTED_VALUE"""),5000)</f>
        <v>5000</v>
      </c>
      <c r="AB670" s="5"/>
      <c r="AC670" s="5" t="str">
        <f ca="1">IFERROR(__xludf.DUMMYFUNCTION("""COMPUTED_VALUE"""),"Bonus Game with Special Symbol, Bonus Game with Multiplier, Wild Symbol, Buy Bonus")</f>
        <v>Bonus Game with Special Symbol, Bonus Game with Multiplier, Wild Symbol, Buy Bonus</v>
      </c>
      <c r="AD670" s="5" t="str">
        <f ca="1">IFERROR(__xludf.DUMMYFUNCTION("""COMPUTED_VALUE"""),"0.1/50")</f>
        <v>0.1/50</v>
      </c>
      <c r="AE670" s="5"/>
      <c r="AF670" s="5"/>
      <c r="AG670" s="10">
        <f ca="1">IFERROR(__xludf.DUMMYFUNCTION("""COMPUTED_VALUE"""),46198.5738888888)</f>
        <v>46198.573888888801</v>
      </c>
      <c r="AH670" s="5" t="str">
        <f ca="1">IFERROR(__xludf.DUMMYFUNCTION("""COMPUTED_VALUE"""),"djordje.petrovic@fazi.rs")</f>
        <v>djordje.petrovic@fazi.rs</v>
      </c>
      <c r="AI670" s="15">
        <f ca="1">IFERROR(__xludf.DUMMYFUNCTION("""COMPUTED_VALUE"""),46161)</f>
        <v>46161</v>
      </c>
      <c r="AJ670" s="5" t="str">
        <f ca="1">IFERROR(__xludf.DUMMYFUNCTION("""COMPUTED_VALUE"""),"Betsolutions - Apuesta Royal	13.05
Azar Latino	21.05
Btobet - Big Bola	28.05
4Play	19.05")</f>
        <v>Betsolutions - Apuesta Royal	13.05
Azar Latino	21.05
Btobet - Big Bola	28.05
4Play	19.05</v>
      </c>
      <c r="AK670" s="5">
        <f ca="1">IFERROR(__xludf.DUMMYFUNCTION("""COMPUTED_VALUE"""),1)</f>
        <v>1</v>
      </c>
      <c r="AL670" s="5" t="str">
        <f ca="1">IFERROR(__xludf.DUMMYFUNCTION("""COMPUTED_VALUE"""),"No")</f>
        <v>No</v>
      </c>
      <c r="AM670" s="5" t="str">
        <f ca="1">IFERROR(__xludf.DUMMYFUNCTION("""COMPUTED_VALUE"""),"Yes")</f>
        <v>Yes</v>
      </c>
      <c r="AN670" s="7" t="str">
        <f ca="1">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AO670" s="5" t="str">
        <f ca="1">IFERROR(__xludf.DUMMYFUNCTION("""COMPUTED_VALUE"""),"Yes")</f>
        <v>Yes</v>
      </c>
      <c r="AP670" s="5" t="str">
        <f ca="1">IFERROR(__xludf.DUMMYFUNCTION("""COMPUTED_VALUE"""),"Yes")</f>
        <v>Yes</v>
      </c>
      <c r="AQ670" s="5" t="b">
        <f ca="1">IFERROR(__xludf.DUMMYFUNCTION("""COMPUTED_VALUE"""),TRUE)</f>
        <v>1</v>
      </c>
      <c r="AR670" s="5"/>
      <c r="AS670" s="5" t="str">
        <f ca="1">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 xml:space="preserve">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AT670" s="5" t="str">
        <f ca="1">IFERROR(__xludf.DUMMYFUNCTION("""COMPUTED_VALUE"""),"Yes")</f>
        <v>Yes</v>
      </c>
      <c r="AU670" s="5" t="str">
        <f ca="1">IFERROR(__xludf.DUMMYFUNCTION("""COMPUTED_VALUE"""),"Fazi")</f>
        <v>Fazi</v>
      </c>
      <c r="AV670" s="5">
        <f ca="1">IFERROR(__xludf.DUMMYFUNCTION("""COMPUTED_VALUE"""),1)</f>
        <v>1</v>
      </c>
      <c r="AW670" s="5"/>
      <c r="AX670" s="15">
        <f ca="1">IFERROR(__xludf.DUMMYFUNCTION("""COMPUTED_VALUE"""),46119)</f>
        <v>46119</v>
      </c>
      <c r="AY670" s="5" t="str">
        <f ca="1">IFERROR(__xludf.DUMMYFUNCTION("""COMPUTED_VALUE"""),"87.5%, 89.5%, 91.5%, 93.501%, 94.5%, 95.5%, ")</f>
        <v xml:space="preserve">87.5%, 89.5%, 91.5%, 93.501%, 94.5%, 95.5%, </v>
      </c>
      <c r="AZ670" s="5"/>
      <c r="BA670" s="5" t="str">
        <f ca="1">IFERROR(__xludf.DUMMYFUNCTION("""COMPUTED_VALUE"""),"40, 40, 40")</f>
        <v>40, 40, 40</v>
      </c>
      <c r="BB670" s="5" t="b">
        <f ca="1">IFERROR(__xludf.DUMMYFUNCTION("""COMPUTED_VALUE"""),TRUE)</f>
        <v>1</v>
      </c>
      <c r="BC670" s="5" t="str">
        <f ca="1">IFERROR(__xludf.DUMMYFUNCTION("""COMPUTED_VALUE"""),"Foxi")</f>
        <v>Foxi</v>
      </c>
      <c r="BD670" s="7" t="str">
        <f ca="1">IFERROR(__xludf.DUMMYFUNCTION("""COMPUTED_VALUE"""),"https://gameserver-store-client-area.orbionlimited.com/Home/IntegrationGameLaunch/client-area?moneyType=0&amp;gameName=FortuneOfWuKong&amp;platform=desktop&amp;languageCode=eng&amp;currency=EUR")</f>
        <v>https://gameserver-store-client-area.orbionlimited.com/Home/IntegrationGameLaunch/client-area?moneyType=0&amp;gameName=FortuneOfWuKong&amp;platform=desktop&amp;languageCode=eng&amp;currency=EUR</v>
      </c>
      <c r="BE670" s="5" t="b">
        <f ca="1">IFERROR(__xludf.DUMMYFUNCTION("""COMPUTED_VALUE"""),TRUE)</f>
        <v>1</v>
      </c>
    </row>
    <row r="671" spans="1:57" x14ac:dyDescent="0.25">
      <c r="A671" s="5">
        <f ca="1">IFERROR(__xludf.DUMMYFUNCTION("""COMPUTED_VALUE"""),706)</f>
        <v>706</v>
      </c>
      <c r="B671" s="5">
        <f ca="1">IFERROR(__xludf.DUMMYFUNCTION("""COMPUTED_VALUE"""),3029)</f>
        <v>3029</v>
      </c>
      <c r="C671" s="5" t="str">
        <f ca="1">IFERROR(__xludf.DUMMYFUNCTION("""COMPUTED_VALUE"""),"Fazi")</f>
        <v>Fazi</v>
      </c>
      <c r="D671" s="5" t="str">
        <f ca="1">IFERROR(__xludf.DUMMYFUNCTION("""COMPUTED_VALUE"""),"Clovers And Diamonds 10")</f>
        <v>Clovers And Diamonds 10</v>
      </c>
      <c r="E671" s="5" t="str">
        <f ca="1">IFERROR(__xludf.DUMMYFUNCTION("""COMPUTED_VALUE"""),"V2")</f>
        <v>V2</v>
      </c>
      <c r="F671" s="5" t="str">
        <f ca="1">IFERROR(__xludf.DUMMYFUNCTION("""COMPUTED_VALUE"""),"CloversAndDiamonds10")</f>
        <v>CloversAndDiamonds10</v>
      </c>
      <c r="G671" s="5" t="str">
        <f ca="1">IFERROR(__xludf.DUMMYFUNCTION("""COMPUTED_VALUE"""),"Live")</f>
        <v>Live</v>
      </c>
      <c r="H671" s="5"/>
      <c r="I671" s="5" t="str">
        <f ca="1">IFERROR(__xludf.DUMMYFUNCTION("""COMPUTED_VALUE"""),"V4")</f>
        <v>V4</v>
      </c>
      <c r="J671" s="5" t="str">
        <f ca="1">IFERROR(__xludf.DUMMYFUNCTION("""COMPUTED_VALUE"""),"JSON")</f>
        <v>JSON</v>
      </c>
      <c r="K671" s="5" t="str">
        <f ca="1">IFERROR(__xludf.DUMMYFUNCTION("""COMPUTED_VALUE"""),"Slot")</f>
        <v>Slot</v>
      </c>
      <c r="L671" s="5" t="str">
        <f ca="1">IFERROR(__xludf.DUMMYFUNCTION("""COMPUTED_VALUE"""),"Master")</f>
        <v>Master</v>
      </c>
      <c r="M671" s="5"/>
      <c r="N671" s="5"/>
      <c r="O671" s="5"/>
      <c r="P671" s="14">
        <f ca="1">IFERROR(__xludf.DUMMYFUNCTION("""COMPUTED_VALUE"""),42.4)</f>
        <v>42.4</v>
      </c>
      <c r="Q671" s="15">
        <f ca="1">IFERROR(__xludf.DUMMYFUNCTION("""COMPUTED_VALUE"""),46097)</f>
        <v>46097</v>
      </c>
      <c r="R671" s="15">
        <f ca="1">IFERROR(__xludf.DUMMYFUNCTION("""COMPUTED_VALUE"""),46140)</f>
        <v>46140</v>
      </c>
      <c r="S671" s="15">
        <f ca="1">IFERROR(__xludf.DUMMYFUNCTION("""COMPUTED_VALUE"""),46147)</f>
        <v>46147</v>
      </c>
      <c r="T671" s="5" t="b">
        <f ca="1">IFERROR(__xludf.DUMMYFUNCTION("""COMPUTED_VALUE"""),TRUE)</f>
        <v>1</v>
      </c>
      <c r="U671" s="5" t="str">
        <f ca="1">IFERROR(__xludf.DUMMYFUNCTION("""COMPUTED_VALUE"""),"5x3")</f>
        <v>5x3</v>
      </c>
      <c r="V671" s="5">
        <f ca="1">IFERROR(__xludf.DUMMYFUNCTION("""COMPUTED_VALUE"""),10)</f>
        <v>10</v>
      </c>
      <c r="W671" s="5">
        <f ca="1">IFERROR(__xludf.DUMMYFUNCTION("""COMPUTED_VALUE"""),10)</f>
        <v>10</v>
      </c>
      <c r="X671" s="5">
        <f ca="1">IFERROR(__xludf.DUMMYFUNCTION("""COMPUTED_VALUE"""),96.566)</f>
        <v>96.566000000000003</v>
      </c>
      <c r="Y671" s="5" t="str">
        <f ca="1">IFERROR(__xludf.DUMMYFUNCTION("""COMPUTED_VALUE"""),"Medium")</f>
        <v>Medium</v>
      </c>
      <c r="Z671" s="5">
        <f ca="1">IFERROR(__xludf.DUMMYFUNCTION("""COMPUTED_VALUE"""),16.732)</f>
        <v>16.731999999999999</v>
      </c>
      <c r="AA671" s="5">
        <f ca="1">IFERROR(__xludf.DUMMYFUNCTION("""COMPUTED_VALUE"""),5000)</f>
        <v>5000</v>
      </c>
      <c r="AB671" s="5"/>
      <c r="AC671" s="5" t="str">
        <f ca="1">IFERROR(__xludf.DUMMYFUNCTION("""COMPUTED_VALUE"""),"Wild Multiplier")</f>
        <v>Wild Multiplier</v>
      </c>
      <c r="AD671" s="5" t="str">
        <f ca="1">IFERROR(__xludf.DUMMYFUNCTION("""COMPUTED_VALUE"""),"0.1 / 50")</f>
        <v>0.1 / 50</v>
      </c>
      <c r="AE671" s="5"/>
      <c r="AF671" s="5"/>
      <c r="AG671" s="10">
        <f ca="1">IFERROR(__xludf.DUMMYFUNCTION("""COMPUTED_VALUE"""),46156.6073379629)</f>
        <v>46156.607337962902</v>
      </c>
      <c r="AH671" s="5" t="str">
        <f ca="1">IFERROR(__xludf.DUMMYFUNCTION("""COMPUTED_VALUE"""),"aleksandar.trajkovic@fazi.rs")</f>
        <v>aleksandar.trajkovic@fazi.rs</v>
      </c>
      <c r="AI671" s="15">
        <f ca="1">IFERROR(__xludf.DUMMYFUNCTION("""COMPUTED_VALUE"""),46118)</f>
        <v>46118</v>
      </c>
      <c r="AJ671" s="5" t="str">
        <f ca="1">IFERROR(__xludf.DUMMYFUNCTION("""COMPUTED_VALUE"""),"06.04. Maxbet SRB/MNE
20.04. BonMoja - UnaMoya Ltd")</f>
        <v>06.04. Maxbet SRB/MNE
20.04. BonMoja - UnaMoya Ltd</v>
      </c>
      <c r="AK671" s="5">
        <f ca="1">IFERROR(__xludf.DUMMYFUNCTION("""COMPUTED_VALUE"""),2)</f>
        <v>2</v>
      </c>
      <c r="AL671" s="5" t="str">
        <f ca="1">IFERROR(__xludf.DUMMYFUNCTION("""COMPUTED_VALUE"""),"Yes")</f>
        <v>Yes</v>
      </c>
      <c r="AM671" s="5"/>
      <c r="AN671" s="7" t="str">
        <f ca="1">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AO671" s="5" t="str">
        <f ca="1">IFERROR(__xludf.DUMMYFUNCTION("""COMPUTED_VALUE"""),"Yes")</f>
        <v>Yes</v>
      </c>
      <c r="AP671" s="5" t="str">
        <f ca="1">IFERROR(__xludf.DUMMYFUNCTION("""COMPUTED_VALUE"""),"Yes")</f>
        <v>Yes</v>
      </c>
      <c r="AQ671" s="5" t="b">
        <f ca="1">IFERROR(__xludf.DUMMYFUNCTION("""COMPUTED_VALUE"""),TRUE)</f>
        <v>1</v>
      </c>
      <c r="AR671" s="5"/>
      <c r="AS671" s="5" t="str">
        <f ca="1">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 xml:space="preserve">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AT671" s="5"/>
      <c r="AU671" s="5" t="str">
        <f ca="1">IFERROR(__xludf.DUMMYFUNCTION("""COMPUTED_VALUE"""),"Fazi")</f>
        <v>Fazi</v>
      </c>
      <c r="AV671" s="5">
        <f ca="1">IFERROR(__xludf.DUMMYFUNCTION("""COMPUTED_VALUE"""),2)</f>
        <v>2</v>
      </c>
      <c r="AW671" s="5"/>
      <c r="AX671" s="15">
        <f ca="1">IFERROR(__xludf.DUMMYFUNCTION("""COMPUTED_VALUE"""),46091)</f>
        <v>46091</v>
      </c>
      <c r="AY671" s="5"/>
      <c r="AZ671" s="5"/>
      <c r="BA671" s="5"/>
      <c r="BB671" s="5" t="b">
        <f ca="1">IFERROR(__xludf.DUMMYFUNCTION("""COMPUTED_VALUE"""),TRUE)</f>
        <v>1</v>
      </c>
      <c r="BC671" s="5" t="str">
        <f ca="1">IFERROR(__xludf.DUMMYFUNCTION("""COMPUTED_VALUE"""),"Foxi")</f>
        <v>Foxi</v>
      </c>
      <c r="BD671" s="7" t="str">
        <f ca="1">IFERROR(__xludf.DUMMYFUNCTION("""COMPUTED_VALUE"""),"https://gameserver-store-client-area.orbionlimited.com/Home/IntegrationGameLaunch/client-area?moneyType=0&amp;gameName=CloversAndDiamonds10&amp;platform=desktop&amp;languageCode=eng&amp;currency=EUR")</f>
        <v>https://gameserver-store-client-area.orbionlimited.com/Home/IntegrationGameLaunch/client-area?moneyType=0&amp;gameName=CloversAndDiamonds10&amp;platform=desktop&amp;languageCode=eng&amp;currency=EUR</v>
      </c>
      <c r="BE671" s="5" t="b">
        <f ca="1">IFERROR(__xludf.DUMMYFUNCTION("""COMPUTED_VALUE"""),TRUE)</f>
        <v>1</v>
      </c>
    </row>
    <row r="672" spans="1:57" x14ac:dyDescent="0.25">
      <c r="A672" s="5">
        <f ca="1">IFERROR(__xludf.DUMMYFUNCTION("""COMPUTED_VALUE"""),707)</f>
        <v>707</v>
      </c>
      <c r="B672" s="5">
        <f ca="1">IFERROR(__xludf.DUMMYFUNCTION("""COMPUTED_VALUE"""),3030)</f>
        <v>3030</v>
      </c>
      <c r="C672" s="5" t="str">
        <f ca="1">IFERROR(__xludf.DUMMYFUNCTION("""COMPUTED_VALUE"""),"Fazi")</f>
        <v>Fazi</v>
      </c>
      <c r="D672" s="5" t="str">
        <f ca="1">IFERROR(__xludf.DUMMYFUNCTION("""COMPUTED_VALUE"""),"Clovers And Diamonds 20")</f>
        <v>Clovers And Diamonds 20</v>
      </c>
      <c r="E672" s="5" t="str">
        <f ca="1">IFERROR(__xludf.DUMMYFUNCTION("""COMPUTED_VALUE"""),"V2")</f>
        <v>V2</v>
      </c>
      <c r="F672" s="5" t="str">
        <f ca="1">IFERROR(__xludf.DUMMYFUNCTION("""COMPUTED_VALUE"""),"CloversAndDiamonds20")</f>
        <v>CloversAndDiamonds20</v>
      </c>
      <c r="G672" s="5" t="str">
        <f ca="1">IFERROR(__xludf.DUMMYFUNCTION("""COMPUTED_VALUE"""),"Deployed")</f>
        <v>Deployed</v>
      </c>
      <c r="H672" s="5"/>
      <c r="I672" s="5" t="str">
        <f ca="1">IFERROR(__xludf.DUMMYFUNCTION("""COMPUTED_VALUE"""),"V4")</f>
        <v>V4</v>
      </c>
      <c r="J672" s="5" t="str">
        <f ca="1">IFERROR(__xludf.DUMMYFUNCTION("""COMPUTED_VALUE"""),"JSON")</f>
        <v>JSON</v>
      </c>
      <c r="K672" s="5" t="str">
        <f ca="1">IFERROR(__xludf.DUMMYFUNCTION("""COMPUTED_VALUE"""),"Slot")</f>
        <v>Slot</v>
      </c>
      <c r="L672" s="5" t="str">
        <f ca="1">IFERROR(__xludf.DUMMYFUNCTION("""COMPUTED_VALUE"""),"Master")</f>
        <v>Master</v>
      </c>
      <c r="M672" s="5"/>
      <c r="N672" s="5"/>
      <c r="O672" s="5"/>
      <c r="P672" s="14">
        <f ca="1">IFERROR(__xludf.DUMMYFUNCTION("""COMPUTED_VALUE"""),42.4)</f>
        <v>42.4</v>
      </c>
      <c r="Q672" s="15">
        <f ca="1">IFERROR(__xludf.DUMMYFUNCTION("""COMPUTED_VALUE"""),46097)</f>
        <v>46097</v>
      </c>
      <c r="R672" s="15">
        <f ca="1">IFERROR(__xludf.DUMMYFUNCTION("""COMPUTED_VALUE"""),46212)</f>
        <v>46212</v>
      </c>
      <c r="S672" s="15">
        <f ca="1">IFERROR(__xludf.DUMMYFUNCTION("""COMPUTED_VALUE"""),46219)</f>
        <v>46219</v>
      </c>
      <c r="T672" s="5" t="b">
        <f ca="1">IFERROR(__xludf.DUMMYFUNCTION("""COMPUTED_VALUE"""),TRUE)</f>
        <v>1</v>
      </c>
      <c r="U672" s="5" t="str">
        <f ca="1">IFERROR(__xludf.DUMMYFUNCTION("""COMPUTED_VALUE"""),"5x3")</f>
        <v>5x3</v>
      </c>
      <c r="V672" s="5">
        <f ca="1">IFERROR(__xludf.DUMMYFUNCTION("""COMPUTED_VALUE"""),20)</f>
        <v>20</v>
      </c>
      <c r="W672" s="5">
        <f ca="1">IFERROR(__xludf.DUMMYFUNCTION("""COMPUTED_VALUE"""),20)</f>
        <v>20</v>
      </c>
      <c r="X672" s="5">
        <f ca="1">IFERROR(__xludf.DUMMYFUNCTION("""COMPUTED_VALUE"""),96.564)</f>
        <v>96.563999999999993</v>
      </c>
      <c r="Y672" s="5" t="str">
        <f ca="1">IFERROR(__xludf.DUMMYFUNCTION("""COMPUTED_VALUE"""),"Medium")</f>
        <v>Medium</v>
      </c>
      <c r="Z672" s="5">
        <f ca="1">IFERROR(__xludf.DUMMYFUNCTION("""COMPUTED_VALUE"""),20.941)</f>
        <v>20.940999999999999</v>
      </c>
      <c r="AA672" s="5">
        <f ca="1">IFERROR(__xludf.DUMMYFUNCTION("""COMPUTED_VALUE"""),5000)</f>
        <v>5000</v>
      </c>
      <c r="AB672" s="5"/>
      <c r="AC672" s="5" t="str">
        <f ca="1">IFERROR(__xludf.DUMMYFUNCTION("""COMPUTED_VALUE"""),"Wild Multiplier, Wild Symbol")</f>
        <v>Wild Multiplier, Wild Symbol</v>
      </c>
      <c r="AD672" s="5" t="str">
        <f ca="1">IFERROR(__xludf.DUMMYFUNCTION("""COMPUTED_VALUE"""),"0.2/50")</f>
        <v>0.2/50</v>
      </c>
      <c r="AE672" s="5"/>
      <c r="AF672" s="5"/>
      <c r="AG672" s="10">
        <f ca="1">IFERROR(__xludf.DUMMYFUNCTION("""COMPUTED_VALUE"""),46219.6010185185)</f>
        <v>46219.6010185185</v>
      </c>
      <c r="AH672" s="5" t="str">
        <f ca="1">IFERROR(__xludf.DUMMYFUNCTION("""COMPUTED_VALUE"""),"selena.mihajlovic@fazi.rs")</f>
        <v>selena.mihajlovic@fazi.rs</v>
      </c>
      <c r="AI672" s="5"/>
      <c r="AJ672" s="5"/>
      <c r="AK672" s="5">
        <f ca="1">IFERROR(__xludf.DUMMYFUNCTION("""COMPUTED_VALUE"""),4)</f>
        <v>4</v>
      </c>
      <c r="AL672" s="5" t="str">
        <f ca="1">IFERROR(__xludf.DUMMYFUNCTION("""COMPUTED_VALUE"""),"Yes")</f>
        <v>Yes</v>
      </c>
      <c r="AM672" s="5" t="str">
        <f ca="1">IFERROR(__xludf.DUMMYFUNCTION("""COMPUTED_VALUE"""),"No")</f>
        <v>No</v>
      </c>
      <c r="AN672" s="7" t="str">
        <f ca="1">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AO672" s="5" t="str">
        <f ca="1">IFERROR(__xludf.DUMMYFUNCTION("""COMPUTED_VALUE"""),"Yes")</f>
        <v>Yes</v>
      </c>
      <c r="AP672" s="5" t="str">
        <f ca="1">IFERROR(__xludf.DUMMYFUNCTION("""COMPUTED_VALUE"""),"Yes")</f>
        <v>Yes</v>
      </c>
      <c r="AQ672" s="5" t="b">
        <f ca="1">IFERROR(__xludf.DUMMYFUNCTION("""COMPUTED_VALUE"""),TRUE)</f>
        <v>1</v>
      </c>
      <c r="AR672" s="5"/>
      <c r="AS672" s="5" t="str">
        <f ca="1">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AT672" s="5"/>
      <c r="AU672" s="5" t="str">
        <f ca="1">IFERROR(__xludf.DUMMYFUNCTION("""COMPUTED_VALUE"""),"Fazi")</f>
        <v>Fazi</v>
      </c>
      <c r="AV672" s="5">
        <f ca="1">IFERROR(__xludf.DUMMYFUNCTION("""COMPUTED_VALUE"""),2)</f>
        <v>2</v>
      </c>
      <c r="AW672" s="5"/>
      <c r="AX672" s="15">
        <f ca="1">IFERROR(__xludf.DUMMYFUNCTION("""COMPUTED_VALUE"""),46091)</f>
        <v>46091</v>
      </c>
      <c r="AY672" s="5"/>
      <c r="AZ672" s="5"/>
      <c r="BA672" s="5"/>
      <c r="BB672" s="5" t="b">
        <f ca="1">IFERROR(__xludf.DUMMYFUNCTION("""COMPUTED_VALUE"""),TRUE)</f>
        <v>1</v>
      </c>
      <c r="BC672" s="5" t="str">
        <f ca="1">IFERROR(__xludf.DUMMYFUNCTION("""COMPUTED_VALUE"""),"Foxi")</f>
        <v>Foxi</v>
      </c>
      <c r="BD672" s="7" t="str">
        <f ca="1">IFERROR(__xludf.DUMMYFUNCTION("""COMPUTED_VALUE"""),"https://gameserver-store-client-area.orbionlimited.com/Home/IntegrationGameLaunch/client-area?moneyType=0&amp;gameName=CloversAndDiamonds20&amp;platform=desktop&amp;languageCode=eng&amp;currency=EUR")</f>
        <v>https://gameserver-store-client-area.orbionlimited.com/Home/IntegrationGameLaunch/client-area?moneyType=0&amp;gameName=CloversAndDiamonds20&amp;platform=desktop&amp;languageCode=eng&amp;currency=EUR</v>
      </c>
      <c r="BE672" s="5" t="b">
        <f ca="1">IFERROR(__xludf.DUMMYFUNCTION("""COMPUTED_VALUE"""),TRUE)</f>
        <v>1</v>
      </c>
    </row>
    <row r="673" spans="1:57" x14ac:dyDescent="0.25">
      <c r="A673" s="5">
        <f ca="1">IFERROR(__xludf.DUMMYFUNCTION("""COMPUTED_VALUE"""),708)</f>
        <v>708</v>
      </c>
      <c r="B673" s="5">
        <f ca="1">IFERROR(__xludf.DUMMYFUNCTION("""COMPUTED_VALUE"""),3031)</f>
        <v>3031</v>
      </c>
      <c r="C673" s="5" t="str">
        <f ca="1">IFERROR(__xludf.DUMMYFUNCTION("""COMPUTED_VALUE"""),"Fazi")</f>
        <v>Fazi</v>
      </c>
      <c r="D673" s="5" t="str">
        <f ca="1">IFERROR(__xludf.DUMMYFUNCTION("""COMPUTED_VALUE"""),"Clovers And Diamonds 40")</f>
        <v>Clovers And Diamonds 40</v>
      </c>
      <c r="E673" s="5" t="str">
        <f ca="1">IFERROR(__xludf.DUMMYFUNCTION("""COMPUTED_VALUE"""),"V2")</f>
        <v>V2</v>
      </c>
      <c r="F673" s="5" t="str">
        <f ca="1">IFERROR(__xludf.DUMMYFUNCTION("""COMPUTED_VALUE"""),"CloversAndDiamonds40")</f>
        <v>CloversAndDiamonds40</v>
      </c>
      <c r="G673" s="5" t="str">
        <f ca="1">IFERROR(__xludf.DUMMYFUNCTION("""COMPUTED_VALUE"""),"Deployed")</f>
        <v>Deployed</v>
      </c>
      <c r="H673" s="5"/>
      <c r="I673" s="5" t="str">
        <f ca="1">IFERROR(__xludf.DUMMYFUNCTION("""COMPUTED_VALUE"""),"V4")</f>
        <v>V4</v>
      </c>
      <c r="J673" s="5" t="str">
        <f ca="1">IFERROR(__xludf.DUMMYFUNCTION("""COMPUTED_VALUE"""),"JSON")</f>
        <v>JSON</v>
      </c>
      <c r="K673" s="5" t="str">
        <f ca="1">IFERROR(__xludf.DUMMYFUNCTION("""COMPUTED_VALUE"""),"Slot")</f>
        <v>Slot</v>
      </c>
      <c r="L673" s="5" t="str">
        <f ca="1">IFERROR(__xludf.DUMMYFUNCTION("""COMPUTED_VALUE"""),"Master")</f>
        <v>Master</v>
      </c>
      <c r="M673" s="5"/>
      <c r="N673" s="5"/>
      <c r="O673" s="5"/>
      <c r="P673" s="14">
        <f ca="1">IFERROR(__xludf.DUMMYFUNCTION("""COMPUTED_VALUE"""),22.3)</f>
        <v>22.3</v>
      </c>
      <c r="Q673" s="15">
        <f ca="1">IFERROR(__xludf.DUMMYFUNCTION("""COMPUTED_VALUE"""),46097)</f>
        <v>46097</v>
      </c>
      <c r="R673" s="5"/>
      <c r="S673" s="15">
        <f ca="1">IFERROR(__xludf.DUMMYFUNCTION("""COMPUTED_VALUE"""),46280)</f>
        <v>46280</v>
      </c>
      <c r="T673" s="5" t="b">
        <f ca="1">IFERROR(__xludf.DUMMYFUNCTION("""COMPUTED_VALUE"""),TRUE)</f>
        <v>1</v>
      </c>
      <c r="U673" s="5" t="str">
        <f ca="1">IFERROR(__xludf.DUMMYFUNCTION("""COMPUTED_VALUE"""),"5x3")</f>
        <v>5x3</v>
      </c>
      <c r="V673" s="5">
        <f ca="1">IFERROR(__xludf.DUMMYFUNCTION("""COMPUTED_VALUE"""),40)</f>
        <v>40</v>
      </c>
      <c r="W673" s="5">
        <f ca="1">IFERROR(__xludf.DUMMYFUNCTION("""COMPUTED_VALUE"""),40)</f>
        <v>40</v>
      </c>
      <c r="X673" s="5">
        <f ca="1">IFERROR(__xludf.DUMMYFUNCTION("""COMPUTED_VALUE"""),96.583)</f>
        <v>96.582999999999998</v>
      </c>
      <c r="Y673" s="5" t="str">
        <f ca="1">IFERROR(__xludf.DUMMYFUNCTION("""COMPUTED_VALUE"""),"Medium")</f>
        <v>Medium</v>
      </c>
      <c r="Z673" s="5">
        <f ca="1">IFERROR(__xludf.DUMMYFUNCTION("""COMPUTED_VALUE"""),22.748)</f>
        <v>22.748000000000001</v>
      </c>
      <c r="AA673" s="5">
        <f ca="1">IFERROR(__xludf.DUMMYFUNCTION("""COMPUTED_VALUE"""),5000)</f>
        <v>5000</v>
      </c>
      <c r="AB673" s="5"/>
      <c r="AC673" s="5" t="str">
        <f ca="1">IFERROR(__xludf.DUMMYFUNCTION("""COMPUTED_VALUE"""),"Free Rounds, Scatter, Expanding Wild, Wild Multiplier")</f>
        <v>Free Rounds, Scatter, Expanding Wild, Wild Multiplier</v>
      </c>
      <c r="AD673" s="5" t="str">
        <f ca="1">IFERROR(__xludf.DUMMYFUNCTION("""COMPUTED_VALUE"""),"0.4/60")</f>
        <v>0.4/60</v>
      </c>
      <c r="AE673" s="5"/>
      <c r="AF673" s="5"/>
      <c r="AG673" s="10">
        <f ca="1">IFERROR(__xludf.DUMMYFUNCTION("""COMPUTED_VALUE"""),46226.6221180555)</f>
        <v>46226.6221180555</v>
      </c>
      <c r="AH673" s="5" t="str">
        <f ca="1">IFERROR(__xludf.DUMMYFUNCTION("""COMPUTED_VALUE"""),"milena.kocic@fazi.rs")</f>
        <v>milena.kocic@fazi.rs</v>
      </c>
      <c r="AI673" s="5"/>
      <c r="AJ673" s="5"/>
      <c r="AK673" s="5">
        <f ca="1">IFERROR(__xludf.DUMMYFUNCTION("""COMPUTED_VALUE"""),8)</f>
        <v>8</v>
      </c>
      <c r="AL673" s="5" t="str">
        <f ca="1">IFERROR(__xludf.DUMMYFUNCTION("""COMPUTED_VALUE"""),"Yes")</f>
        <v>Yes</v>
      </c>
      <c r="AM673" s="5" t="str">
        <f ca="1">IFERROR(__xludf.DUMMYFUNCTION("""COMPUTED_VALUE"""),"No")</f>
        <v>No</v>
      </c>
      <c r="AN673" s="7" t="str">
        <f ca="1">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AO673" s="5" t="str">
        <f ca="1">IFERROR(__xludf.DUMMYFUNCTION("""COMPUTED_VALUE"""),"Yes")</f>
        <v>Yes</v>
      </c>
      <c r="AP673" s="5" t="str">
        <f ca="1">IFERROR(__xludf.DUMMYFUNCTION("""COMPUTED_VALUE"""),"Yes")</f>
        <v>Yes</v>
      </c>
      <c r="AQ673" s="5"/>
      <c r="AR673" s="5"/>
      <c r="AS673" s="5"/>
      <c r="AT673" s="5"/>
      <c r="AU673" s="5" t="str">
        <f ca="1">IFERROR(__xludf.DUMMYFUNCTION("""COMPUTED_VALUE"""),"Fazi")</f>
        <v>Fazi</v>
      </c>
      <c r="AV673" s="5"/>
      <c r="AW673" s="5"/>
      <c r="AX673" s="15">
        <f ca="1">IFERROR(__xludf.DUMMYFUNCTION("""COMPUTED_VALUE"""),46091)</f>
        <v>46091</v>
      </c>
      <c r="AY673" s="5"/>
      <c r="AZ673" s="5"/>
      <c r="BA673" s="5"/>
      <c r="BB673" s="5"/>
      <c r="BC673" s="5" t="str">
        <f ca="1">IFERROR(__xludf.DUMMYFUNCTION("""COMPUTED_VALUE"""),"Foxi")</f>
        <v>Foxi</v>
      </c>
      <c r="BD673" s="7" t="str">
        <f ca="1">IFERROR(__xludf.DUMMYFUNCTION("""COMPUTED_VALUE"""),"https://gameserver-store-client-area.orbionlimited.com/Home/IntegrationGameLaunch/client-area?moneyType=0&amp;gameName=CloversAndDiamonds40&amp;platform=desktop&amp;languageCode=eng&amp;currency=EUR")</f>
        <v>https://gameserver-store-client-area.orbionlimited.com/Home/IntegrationGameLaunch/client-area?moneyType=0&amp;gameName=CloversAndDiamonds40&amp;platform=desktop&amp;languageCode=eng&amp;currency=EUR</v>
      </c>
      <c r="BE673" s="5"/>
    </row>
    <row r="674" spans="1:57" x14ac:dyDescent="0.25">
      <c r="A674" s="5">
        <f ca="1">IFERROR(__xludf.DUMMYFUNCTION("""COMPUTED_VALUE"""),709)</f>
        <v>709</v>
      </c>
      <c r="B674" s="5">
        <f ca="1">IFERROR(__xludf.DUMMYFUNCTION("""COMPUTED_VALUE"""),5002)</f>
        <v>5002</v>
      </c>
      <c r="C674" s="5" t="str">
        <f ca="1">IFERROR(__xludf.DUMMYFUNCTION("""COMPUTED_VALUE"""),"Fazi")</f>
        <v>Fazi</v>
      </c>
      <c r="D674" s="5" t="str">
        <f ca="1">IFERROR(__xludf.DUMMYFUNCTION("""COMPUTED_VALUE"""),"Royalgarden King")</f>
        <v>Royalgarden King</v>
      </c>
      <c r="E674" s="5" t="str">
        <f ca="1">IFERROR(__xludf.DUMMYFUNCTION("""COMPUTED_VALUE"""),"V4-3")</f>
        <v>V4-3</v>
      </c>
      <c r="F674" s="5" t="str">
        <f ca="1">IFERROR(__xludf.DUMMYFUNCTION("""COMPUTED_VALUE"""),"RoyalgardenKing")</f>
        <v>RoyalgardenKing</v>
      </c>
      <c r="G674" s="5" t="str">
        <f ca="1">IFERROR(__xludf.DUMMYFUNCTION("""COMPUTED_VALUE"""),"Live")</f>
        <v>Live</v>
      </c>
      <c r="H674" s="5"/>
      <c r="I674" s="5" t="str">
        <f ca="1">IFERROR(__xludf.DUMMYFUNCTION("""COMPUTED_VALUE"""),"V4")</f>
        <v>V4</v>
      </c>
      <c r="J674" s="5" t="str">
        <f ca="1">IFERROR(__xludf.DUMMYFUNCTION("""COMPUTED_VALUE"""),"JSON")</f>
        <v>JSON</v>
      </c>
      <c r="K674" s="5" t="str">
        <f ca="1">IFERROR(__xludf.DUMMYFUNCTION("""COMPUTED_VALUE"""),"Slot")</f>
        <v>Slot</v>
      </c>
      <c r="L674" s="5" t="str">
        <f ca="1">IFERROR(__xludf.DUMMYFUNCTION("""COMPUTED_VALUE""")," Reskin")</f>
        <v xml:space="preserve"> Reskin</v>
      </c>
      <c r="M674" s="5" t="str">
        <f ca="1">IFERROR(__xludf.DUMMYFUNCTION("""COMPUTED_VALUE"""),"Wild Hot 40")</f>
        <v>Wild Hot 40</v>
      </c>
      <c r="N674" s="5"/>
      <c r="O674" s="5"/>
      <c r="P674" s="5"/>
      <c r="Q674" s="15">
        <f ca="1">IFERROR(__xludf.DUMMYFUNCTION("""COMPUTED_VALUE"""),46097)</f>
        <v>46097</v>
      </c>
      <c r="R674" s="15">
        <f ca="1">IFERROR(__xludf.DUMMYFUNCTION("""COMPUTED_VALUE"""),46149)</f>
        <v>46149</v>
      </c>
      <c r="S674" s="15">
        <f ca="1">IFERROR(__xludf.DUMMYFUNCTION("""COMPUTED_VALUE"""),46156)</f>
        <v>46156</v>
      </c>
      <c r="T674" s="5" t="b">
        <f ca="1">IFERROR(__xludf.DUMMYFUNCTION("""COMPUTED_VALUE"""),TRUE)</f>
        <v>1</v>
      </c>
      <c r="U674" s="5" t="str">
        <f ca="1">IFERROR(__xludf.DUMMYFUNCTION("""COMPUTED_VALUE"""),"5x4")</f>
        <v>5x4</v>
      </c>
      <c r="V674" s="5">
        <f ca="1">IFERROR(__xludf.DUMMYFUNCTION("""COMPUTED_VALUE"""),40)</f>
        <v>40</v>
      </c>
      <c r="W674" s="5">
        <f ca="1">IFERROR(__xludf.DUMMYFUNCTION("""COMPUTED_VALUE"""),40)</f>
        <v>40</v>
      </c>
      <c r="X674" s="5">
        <f ca="1">IFERROR(__xludf.DUMMYFUNCTION("""COMPUTED_VALUE"""),96.584)</f>
        <v>96.584000000000003</v>
      </c>
      <c r="Y674" s="5" t="str">
        <f ca="1">IFERROR(__xludf.DUMMYFUNCTION("""COMPUTED_VALUE"""),"Low")</f>
        <v>Low</v>
      </c>
      <c r="Z674" s="5">
        <f ca="1">IFERROR(__xludf.DUMMYFUNCTION("""COMPUTED_VALUE"""),16.725)</f>
        <v>16.725000000000001</v>
      </c>
      <c r="AA674" s="5">
        <f ca="1">IFERROR(__xludf.DUMMYFUNCTION("""COMPUTED_VALUE"""),1000)</f>
        <v>1000</v>
      </c>
      <c r="AB674" s="5"/>
      <c r="AC674" s="5" t="str">
        <f ca="1">IFERROR(__xludf.DUMMYFUNCTION("""COMPUTED_VALUE"""),"Scatter, Wild Symbol")</f>
        <v>Scatter, Wild Symbol</v>
      </c>
      <c r="AD674" s="5" t="str">
        <f ca="1">IFERROR(__xludf.DUMMYFUNCTION("""COMPUTED_VALUE"""),"04/40")</f>
        <v>04/40</v>
      </c>
      <c r="AE674" s="5"/>
      <c r="AF674" s="5"/>
      <c r="AG674" s="10">
        <f ca="1">IFERROR(__xludf.DUMMYFUNCTION("""COMPUTED_VALUE"""),46156.5957523148)</f>
        <v>46156.595752314803</v>
      </c>
      <c r="AH674" s="5" t="str">
        <f ca="1">IFERROR(__xludf.DUMMYFUNCTION("""COMPUTED_VALUE"""),"zdravkovic.predrag@fazi.rs")</f>
        <v>zdravkovic.predrag@fazi.rs</v>
      </c>
      <c r="AI674" s="5"/>
      <c r="AJ674" s="5"/>
      <c r="AK674" s="5">
        <f ca="1">IFERROR(__xludf.DUMMYFUNCTION("""COMPUTED_VALUE"""),40)</f>
        <v>40</v>
      </c>
      <c r="AL674" s="5" t="str">
        <f ca="1">IFERROR(__xludf.DUMMYFUNCTION("""COMPUTED_VALUE"""),"Yes")</f>
        <v>Yes</v>
      </c>
      <c r="AM674" s="5"/>
      <c r="AN674" s="7" t="str">
        <f ca="1">IFERROR(__xludf.DUMMYFUNCTION("""COMPUTED_VALUE"""),"https://onlinegamespromo.fazi.rs/Home/IntegrationGameLaunch?moneyType=0&amp;gameName=RoyalGardenKing&amp;platform=desktop&amp;languageCode=eng&amp;currency=EUR")</f>
        <v>https://onlinegamespromo.fazi.rs/Home/IntegrationGameLaunch?moneyType=0&amp;gameName=RoyalGardenKing&amp;platform=desktop&amp;languageCode=eng&amp;currency=EUR</v>
      </c>
      <c r="AO674" s="5" t="str">
        <f ca="1">IFERROR(__xludf.DUMMYFUNCTION("""COMPUTED_VALUE"""),"Yes")</f>
        <v>Yes</v>
      </c>
      <c r="AP674" s="5" t="str">
        <f ca="1">IFERROR(__xludf.DUMMYFUNCTION("""COMPUTED_VALUE"""),"Yes")</f>
        <v>Yes</v>
      </c>
      <c r="AQ674" s="5"/>
      <c r="AR674" s="5"/>
      <c r="AS674" s="5"/>
      <c r="AT674" s="5"/>
      <c r="AU674" s="5" t="str">
        <f ca="1">IFERROR(__xludf.DUMMYFUNCTION("""COMPUTED_VALUE"""),"Fazi")</f>
        <v>Fazi</v>
      </c>
      <c r="AV674" s="5"/>
      <c r="AW674" s="5"/>
      <c r="AX674" s="15">
        <f ca="1">IFERROR(__xludf.DUMMYFUNCTION("""COMPUTED_VALUE"""),46091)</f>
        <v>46091</v>
      </c>
      <c r="AY674" s="5"/>
      <c r="AZ674" s="5"/>
      <c r="BA674" s="5"/>
      <c r="BB674" s="5"/>
      <c r="BC674" s="5" t="str">
        <f ca="1">IFERROR(__xludf.DUMMYFUNCTION("""COMPUTED_VALUE"""),"Foxi")</f>
        <v>Foxi</v>
      </c>
      <c r="BD674" s="7" t="str">
        <f ca="1">IFERROR(__xludf.DUMMYFUNCTION("""COMPUTED_VALUE"""),"https://gameserver-store-client-area.orbionlimited.com/Home/IntegrationGameLaunch/client-area?moneyType=0&amp;gameName=RoyalgardenKing&amp;platform=desktop&amp;languageCode=eng&amp;currency=EUR")</f>
        <v>https://gameserver-store-client-area.orbionlimited.com/Home/IntegrationGameLaunch/client-area?moneyType=0&amp;gameName=RoyalgardenKing&amp;platform=desktop&amp;languageCode=eng&amp;currency=EUR</v>
      </c>
      <c r="BE674" s="5"/>
    </row>
    <row r="675" spans="1:57" x14ac:dyDescent="0.25">
      <c r="A675" s="5">
        <f ca="1">IFERROR(__xludf.DUMMYFUNCTION("""COMPUTED_VALUE"""),710)</f>
        <v>710</v>
      </c>
      <c r="B675" s="5">
        <f ca="1">IFERROR(__xludf.DUMMYFUNCTION("""COMPUTED_VALUE"""),5004)</f>
        <v>5004</v>
      </c>
      <c r="C675" s="5" t="str">
        <f ca="1">IFERROR(__xludf.DUMMYFUNCTION("""COMPUTED_VALUE"""),"Fazi")</f>
        <v>Fazi</v>
      </c>
      <c r="D675" s="5" t="str">
        <f ca="1">IFERROR(__xludf.DUMMYFUNCTION("""COMPUTED_VALUE"""),"Royalgarden Queen")</f>
        <v>Royalgarden Queen</v>
      </c>
      <c r="E675" s="5" t="str">
        <f ca="1">IFERROR(__xludf.DUMMYFUNCTION("""COMPUTED_VALUE"""),"V4-3")</f>
        <v>V4-3</v>
      </c>
      <c r="F675" s="5" t="str">
        <f ca="1">IFERROR(__xludf.DUMMYFUNCTION("""COMPUTED_VALUE"""),"RoyalgardenQueen")</f>
        <v>RoyalgardenQueen</v>
      </c>
      <c r="G675" s="5" t="str">
        <f ca="1">IFERROR(__xludf.DUMMYFUNCTION("""COMPUTED_VALUE"""),"Live")</f>
        <v>Live</v>
      </c>
      <c r="H675" s="5"/>
      <c r="I675" s="5" t="str">
        <f ca="1">IFERROR(__xludf.DUMMYFUNCTION("""COMPUTED_VALUE"""),"V4")</f>
        <v>V4</v>
      </c>
      <c r="J675" s="5" t="str">
        <f ca="1">IFERROR(__xludf.DUMMYFUNCTION("""COMPUTED_VALUE"""),"JSON")</f>
        <v>JSON</v>
      </c>
      <c r="K675" s="5" t="str">
        <f ca="1">IFERROR(__xludf.DUMMYFUNCTION("""COMPUTED_VALUE"""),"Slot")</f>
        <v>Slot</v>
      </c>
      <c r="L675" s="5" t="str">
        <f ca="1">IFERROR(__xludf.DUMMYFUNCTION("""COMPUTED_VALUE""")," Reskin")</f>
        <v xml:space="preserve"> Reskin</v>
      </c>
      <c r="M675" s="5"/>
      <c r="N675" s="7" t="str">
        <f ca="1">IFERROR(__xludf.DUMMYFUNCTION("""COMPUTED_VALUE"""),"https://docs.google.com/document/d/1V2AsHCrmfW7_UwtgR_YnT2bqsuhjmNHC/edit")</f>
        <v>https://docs.google.com/document/d/1V2AsHCrmfW7_UwtgR_YnT2bqsuhjmNHC/edit</v>
      </c>
      <c r="O675" s="7" t="str">
        <f ca="1">IFERROR(__xludf.DUMMYFUNCTION("""COMPUTED_VALUE"""),"https://docs.google.com/document/d/1vyPdbTiGJiKkYnnELDaLeavVn6alUl8O/edit")</f>
        <v>https://docs.google.com/document/d/1vyPdbTiGJiKkYnnELDaLeavVn6alUl8O/edit</v>
      </c>
      <c r="P675" s="14">
        <f ca="1">IFERROR(__xludf.DUMMYFUNCTION("""COMPUTED_VALUE"""),25)</f>
        <v>25</v>
      </c>
      <c r="Q675" s="15">
        <f ca="1">IFERROR(__xludf.DUMMYFUNCTION("""COMPUTED_VALUE"""),46161)</f>
        <v>46161</v>
      </c>
      <c r="R675" s="15">
        <f ca="1">IFERROR(__xludf.DUMMYFUNCTION("""COMPUTED_VALUE"""),46177)</f>
        <v>46177</v>
      </c>
      <c r="S675" s="15">
        <f ca="1">IFERROR(__xludf.DUMMYFUNCTION("""COMPUTED_VALUE"""),46184)</f>
        <v>46184</v>
      </c>
      <c r="T675" s="5"/>
      <c r="U675" s="5" t="str">
        <f ca="1">IFERROR(__xludf.DUMMYFUNCTION("""COMPUTED_VALUE"""),"5x4")</f>
        <v>5x4</v>
      </c>
      <c r="V675" s="5">
        <f ca="1">IFERROR(__xludf.DUMMYFUNCTION("""COMPUTED_VALUE"""),40)</f>
        <v>40</v>
      </c>
      <c r="W675" s="5">
        <f ca="1">IFERROR(__xludf.DUMMYFUNCTION("""COMPUTED_VALUE"""),40)</f>
        <v>40</v>
      </c>
      <c r="X675" s="5">
        <f ca="1">IFERROR(__xludf.DUMMYFUNCTION("""COMPUTED_VALUE"""),96.382)</f>
        <v>96.382000000000005</v>
      </c>
      <c r="Y675" s="5" t="str">
        <f ca="1">IFERROR(__xludf.DUMMYFUNCTION("""COMPUTED_VALUE"""),"Medium")</f>
        <v>Medium</v>
      </c>
      <c r="Z675" s="5">
        <f ca="1">IFERROR(__xludf.DUMMYFUNCTION("""COMPUTED_VALUE"""),14.632)</f>
        <v>14.632</v>
      </c>
      <c r="AA675" s="5">
        <f ca="1">IFERROR(__xludf.DUMMYFUNCTION("""COMPUTED_VALUE"""),1000)</f>
        <v>1000</v>
      </c>
      <c r="AB675" s="5"/>
      <c r="AC675" s="5" t="str">
        <f ca="1">IFERROR(__xludf.DUMMYFUNCTION("""COMPUTED_VALUE"""),"Scatter, Wild Symbol")</f>
        <v>Scatter, Wild Symbol</v>
      </c>
      <c r="AD675" s="5" t="str">
        <f ca="1">IFERROR(__xludf.DUMMYFUNCTION("""COMPUTED_VALUE"""),"0.4/40")</f>
        <v>0.4/40</v>
      </c>
      <c r="AE675" s="5"/>
      <c r="AF675" s="5"/>
      <c r="AG675" s="10">
        <f ca="1">IFERROR(__xludf.DUMMYFUNCTION("""COMPUTED_VALUE"""),46226.4470023148)</f>
        <v>46226.447002314802</v>
      </c>
      <c r="AH675" s="5" t="str">
        <f ca="1">IFERROR(__xludf.DUMMYFUNCTION("""COMPUTED_VALUE"""),"zdravkovic.predrag@fazi.rs")</f>
        <v>zdravkovic.predrag@fazi.rs</v>
      </c>
      <c r="AI675" s="5"/>
      <c r="AJ675" s="5"/>
      <c r="AK675" s="5">
        <f ca="1">IFERROR(__xludf.DUMMYFUNCTION("""COMPUTED_VALUE"""),40)</f>
        <v>40</v>
      </c>
      <c r="AL675" s="5" t="str">
        <f ca="1">IFERROR(__xludf.DUMMYFUNCTION("""COMPUTED_VALUE"""),"Yes")</f>
        <v>Yes</v>
      </c>
      <c r="AM675" s="5" t="str">
        <f ca="1">IFERROR(__xludf.DUMMYFUNCTION("""COMPUTED_VALUE"""),"No")</f>
        <v>No</v>
      </c>
      <c r="AN675" s="7" t="str">
        <f ca="1">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AO675" s="5" t="str">
        <f ca="1">IFERROR(__xludf.DUMMYFUNCTION("""COMPUTED_VALUE"""),"Yes")</f>
        <v>Yes</v>
      </c>
      <c r="AP675" s="5" t="str">
        <f ca="1">IFERROR(__xludf.DUMMYFUNCTION("""COMPUTED_VALUE"""),"Yes")</f>
        <v>Yes</v>
      </c>
      <c r="AQ675" s="5" t="b">
        <f ca="1">IFERROR(__xludf.DUMMYFUNCTION("""COMPUTED_VALUE"""),TRUE)</f>
        <v>1</v>
      </c>
      <c r="AR675" s="5"/>
      <c r="AS675" s="5" t="str">
        <f ca="1">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 xml:space="preserve">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AT675" s="5"/>
      <c r="AU675" s="5" t="str">
        <f ca="1">IFERROR(__xludf.DUMMYFUNCTION("""COMPUTED_VALUE"""),"Fazi")</f>
        <v>Fazi</v>
      </c>
      <c r="AV675" s="5"/>
      <c r="AW675" s="5"/>
      <c r="AX675" s="15">
        <f ca="1">IFERROR(__xludf.DUMMYFUNCTION("""COMPUTED_VALUE"""),46161)</f>
        <v>46161</v>
      </c>
      <c r="AY675" s="5"/>
      <c r="AZ675" s="5"/>
      <c r="BA675" s="5"/>
      <c r="BB675" s="5" t="b">
        <f ca="1">IFERROR(__xludf.DUMMYFUNCTION("""COMPUTED_VALUE"""),TRUE)</f>
        <v>1</v>
      </c>
      <c r="BC675" s="5" t="str">
        <f ca="1">IFERROR(__xludf.DUMMYFUNCTION("""COMPUTED_VALUE"""),"Foxi")</f>
        <v>Foxi</v>
      </c>
      <c r="BD675" s="7" t="str">
        <f ca="1">IFERROR(__xludf.DUMMYFUNCTION("""COMPUTED_VALUE"""),"https://gameserver-store-client-area.orbionlimited.com/Home/IntegrationGameLaunch/client-area?moneyType=0&amp;gameName=RoyalgardenQueen&amp;platform=desktop&amp;languageCode=eng&amp;currency=EUR")</f>
        <v>https://gameserver-store-client-area.orbionlimited.com/Home/IntegrationGameLaunch/client-area?moneyType=0&amp;gameName=RoyalgardenQueen&amp;platform=desktop&amp;languageCode=eng&amp;currency=EUR</v>
      </c>
      <c r="BE675" s="5" t="b">
        <f ca="1">IFERROR(__xludf.DUMMYFUNCTION("""COMPUTED_VALUE"""),TRUE)</f>
        <v>1</v>
      </c>
    </row>
    <row r="676" spans="1:57" x14ac:dyDescent="0.25">
      <c r="A676" s="5">
        <f ca="1">IFERROR(__xludf.DUMMYFUNCTION("""COMPUTED_VALUE"""),711)</f>
        <v>711</v>
      </c>
      <c r="B676" s="5">
        <f ca="1">IFERROR(__xludf.DUMMYFUNCTION("""COMPUTED_VALUE"""),4036)</f>
        <v>4036</v>
      </c>
      <c r="C676" s="5" t="str">
        <f ca="1">IFERROR(__xludf.DUMMYFUNCTION("""COMPUTED_VALUE"""),"Fazi")</f>
        <v>Fazi</v>
      </c>
      <c r="D676" s="5" t="str">
        <f ca="1">IFERROR(__xludf.DUMMYFUNCTION("""COMPUTED_VALUE"""),"Wild Hot Jacks 40")</f>
        <v>Wild Hot Jacks 40</v>
      </c>
      <c r="E676" s="5" t="str">
        <f ca="1">IFERROR(__xludf.DUMMYFUNCTION("""COMPUTED_VALUE"""),"Sertifikacioni")</f>
        <v>Sertifikacioni</v>
      </c>
      <c r="F676" s="5" t="str">
        <f ca="1">IFERROR(__xludf.DUMMYFUNCTION("""COMPUTED_VALUE"""),"WildHotJacks40")</f>
        <v>WildHotJacks40</v>
      </c>
      <c r="G676" s="5" t="str">
        <f ca="1">IFERROR(__xludf.DUMMYFUNCTION("""COMPUTED_VALUE"""),"Deployed")</f>
        <v>Deployed</v>
      </c>
      <c r="H676" s="7" t="str">
        <f ca="1">IFERROR(__xludf.DUMMYFUNCTION("""COMPUTED_VALUE"""),"Jacks.nl")</f>
        <v>Jacks.nl</v>
      </c>
      <c r="I676" s="5" t="str">
        <f ca="1">IFERROR(__xludf.DUMMYFUNCTION("""COMPUTED_VALUE"""),"V2")</f>
        <v>V2</v>
      </c>
      <c r="J676" s="5" t="str">
        <f ca="1">IFERROR(__xludf.DUMMYFUNCTION("""COMPUTED_VALUE"""),"JSON")</f>
        <v>JSON</v>
      </c>
      <c r="K676" s="5" t="str">
        <f ca="1">IFERROR(__xludf.DUMMYFUNCTION("""COMPUTED_VALUE"""),"Slot")</f>
        <v>Slot</v>
      </c>
      <c r="L676" s="5" t="str">
        <f ca="1">IFERROR(__xludf.DUMMYFUNCTION("""COMPUTED_VALUE""")," Clone")</f>
        <v xml:space="preserve"> Clone</v>
      </c>
      <c r="M676" s="5" t="str">
        <f ca="1">IFERROR(__xludf.DUMMYFUNCTION("""COMPUTED_VALUE"""),"Wild Hot 40")</f>
        <v>Wild Hot 40</v>
      </c>
      <c r="N676" s="5"/>
      <c r="O676" s="5"/>
      <c r="P676" s="5"/>
      <c r="Q676" s="15">
        <f ca="1">IFERROR(__xludf.DUMMYFUNCTION("""COMPUTED_VALUE"""),46097)</f>
        <v>46097</v>
      </c>
      <c r="R676" s="5"/>
      <c r="S676" s="5"/>
      <c r="T676" s="5"/>
      <c r="U676" s="5" t="str">
        <f ca="1">IFERROR(__xludf.DUMMYFUNCTION("""COMPUTED_VALUE"""),"5x4")</f>
        <v>5x4</v>
      </c>
      <c r="V676" s="5">
        <f ca="1">IFERROR(__xludf.DUMMYFUNCTION("""COMPUTED_VALUE"""),40)</f>
        <v>40</v>
      </c>
      <c r="W676" s="5">
        <f ca="1">IFERROR(__xludf.DUMMYFUNCTION("""COMPUTED_VALUE"""),40)</f>
        <v>40</v>
      </c>
      <c r="X676" s="5">
        <f ca="1">IFERROR(__xludf.DUMMYFUNCTION("""COMPUTED_VALUE"""),96.584)</f>
        <v>96.584000000000003</v>
      </c>
      <c r="Y676" s="5" t="str">
        <f ca="1">IFERROR(__xludf.DUMMYFUNCTION("""COMPUTED_VALUE"""),"Low")</f>
        <v>Low</v>
      </c>
      <c r="Z676" s="5">
        <f ca="1">IFERROR(__xludf.DUMMYFUNCTION("""COMPUTED_VALUE"""),16.725)</f>
        <v>16.725000000000001</v>
      </c>
      <c r="AA676" s="5">
        <f ca="1">IFERROR(__xludf.DUMMYFUNCTION("""COMPUTED_VALUE"""),1000)</f>
        <v>1000</v>
      </c>
      <c r="AB676" s="5"/>
      <c r="AC676" s="5"/>
      <c r="AD676" s="5"/>
      <c r="AE676" s="5"/>
      <c r="AF676" s="5"/>
      <c r="AG676" s="10">
        <f ca="1">IFERROR(__xludf.DUMMYFUNCTION("""COMPUTED_VALUE"""),46140.6000231481)</f>
        <v>46140.600023148101</v>
      </c>
      <c r="AH676" s="5" t="str">
        <f ca="1">IFERROR(__xludf.DUMMYFUNCTION("""COMPUTED_VALUE"""),"petra.ilic@fazi.rs")</f>
        <v>petra.ilic@fazi.rs</v>
      </c>
      <c r="AI676" s="5"/>
      <c r="AJ676" s="5"/>
      <c r="AK676" s="5">
        <f ca="1">IFERROR(__xludf.DUMMYFUNCTION("""COMPUTED_VALUE"""),40)</f>
        <v>40</v>
      </c>
      <c r="AL676" s="5" t="str">
        <f ca="1">IFERROR(__xludf.DUMMYFUNCTION("""COMPUTED_VALUE"""),"Yes")</f>
        <v>Yes</v>
      </c>
      <c r="AM676" s="5" t="str">
        <f ca="1">IFERROR(__xludf.DUMMYFUNCTION("""COMPUTED_VALUE"""),"No")</f>
        <v>No</v>
      </c>
      <c r="AN676" s="5"/>
      <c r="AO676" s="5"/>
      <c r="AP676" s="5" t="str">
        <f ca="1">IFERROR(__xludf.DUMMYFUNCTION("""COMPUTED_VALUE"""),"Yes")</f>
        <v>Yes</v>
      </c>
      <c r="AQ676" s="5"/>
      <c r="AR676" s="5" t="b">
        <f ca="1">IFERROR(__xludf.DUMMYFUNCTION("""COMPUTED_VALUE"""),TRUE)</f>
        <v>1</v>
      </c>
      <c r="AS676" s="5"/>
      <c r="AT676" s="5"/>
      <c r="AU676" s="5" t="str">
        <f ca="1">IFERROR(__xludf.DUMMYFUNCTION("""COMPUTED_VALUE"""),"Fazi")</f>
        <v>Fazi</v>
      </c>
      <c r="AV676" s="5">
        <f ca="1">IFERROR(__xludf.DUMMYFUNCTION("""COMPUTED_VALUE"""),1)</f>
        <v>1</v>
      </c>
      <c r="AW676" s="5"/>
      <c r="AX676" s="15">
        <f ca="1">IFERROR(__xludf.DUMMYFUNCTION("""COMPUTED_VALUE"""),46091)</f>
        <v>46091</v>
      </c>
      <c r="AY676" s="5"/>
      <c r="AZ676" s="5"/>
      <c r="BA676" s="5"/>
      <c r="BB676" s="5"/>
      <c r="BC676" s="5" t="str">
        <f ca="1">IFERROR(__xludf.DUMMYFUNCTION("""COMPUTED_VALUE"""),"Foxi")</f>
        <v>Foxi</v>
      </c>
      <c r="BD676" s="5" t="str">
        <f ca="1">IFERROR(__xludf.DUMMYFUNCTION("""COMPUTED_VALUE"""),"")</f>
        <v/>
      </c>
      <c r="BE676" s="5"/>
    </row>
    <row r="677" spans="1:57" x14ac:dyDescent="0.25">
      <c r="A677" s="5">
        <f ca="1">IFERROR(__xludf.DUMMYFUNCTION("""COMPUTED_VALUE"""),712)</f>
        <v>712</v>
      </c>
      <c r="B677" s="5">
        <f ca="1">IFERROR(__xludf.DUMMYFUNCTION("""COMPUTED_VALUE"""),4037)</f>
        <v>4037</v>
      </c>
      <c r="C677" s="5" t="str">
        <f ca="1">IFERROR(__xludf.DUMMYFUNCTION("""COMPUTED_VALUE"""),"Fazi")</f>
        <v>Fazi</v>
      </c>
      <c r="D677" s="5" t="str">
        <f ca="1">IFERROR(__xludf.DUMMYFUNCTION("""COMPUTED_VALUE"""),"Grandpashabet Clover 40")</f>
        <v>Grandpashabet Clover 40</v>
      </c>
      <c r="E677" s="5" t="str">
        <f ca="1">IFERROR(__xludf.DUMMYFUNCTION("""COMPUTED_VALUE"""),"Sertifikacioni")</f>
        <v>Sertifikacioni</v>
      </c>
      <c r="F677" s="5" t="str">
        <f ca="1">IFERROR(__xludf.DUMMYFUNCTION("""COMPUTED_VALUE"""),"GrandpashabetClover40")</f>
        <v>GrandpashabetClover40</v>
      </c>
      <c r="G677" s="5" t="str">
        <f ca="1">IFERROR(__xludf.DUMMYFUNCTION("""COMPUTED_VALUE"""),"Deployed")</f>
        <v>Deployed</v>
      </c>
      <c r="H677" s="5" t="str">
        <f ca="1">IFERROR(__xludf.DUMMYFUNCTION("""COMPUTED_VALUE"""),"Grandpashabet")</f>
        <v>Grandpashabet</v>
      </c>
      <c r="I677" s="5" t="str">
        <f ca="1">IFERROR(__xludf.DUMMYFUNCTION("""COMPUTED_VALUE"""),"V2")</f>
        <v>V2</v>
      </c>
      <c r="J677" s="5" t="str">
        <f ca="1">IFERROR(__xludf.DUMMYFUNCTION("""COMPUTED_VALUE"""),"JSON")</f>
        <v>JSON</v>
      </c>
      <c r="K677" s="5" t="str">
        <f ca="1">IFERROR(__xludf.DUMMYFUNCTION("""COMPUTED_VALUE"""),"Slot")</f>
        <v>Slot</v>
      </c>
      <c r="L677" s="5" t="str">
        <f ca="1">IFERROR(__xludf.DUMMYFUNCTION("""COMPUTED_VALUE""")," Clone")</f>
        <v xml:space="preserve"> Clone</v>
      </c>
      <c r="M677" s="5" t="str">
        <f ca="1">IFERROR(__xludf.DUMMYFUNCTION("""COMPUTED_VALUE"""),"Epic Clover 40")</f>
        <v>Epic Clover 40</v>
      </c>
      <c r="N677" s="5"/>
      <c r="O677" s="5"/>
      <c r="P677" s="5"/>
      <c r="Q677" s="15">
        <f ca="1">IFERROR(__xludf.DUMMYFUNCTION("""COMPUTED_VALUE"""),46126)</f>
        <v>46126</v>
      </c>
      <c r="R677" s="5"/>
      <c r="S677" s="5"/>
      <c r="T677" s="5"/>
      <c r="U677" s="5" t="str">
        <f ca="1">IFERROR(__xludf.DUMMYFUNCTION("""COMPUTED_VALUE"""),"5x4")</f>
        <v>5x4</v>
      </c>
      <c r="V677" s="5">
        <f ca="1">IFERROR(__xludf.DUMMYFUNCTION("""COMPUTED_VALUE"""),40)</f>
        <v>40</v>
      </c>
      <c r="W677" s="5">
        <f ca="1">IFERROR(__xludf.DUMMYFUNCTION("""COMPUTED_VALUE"""),40)</f>
        <v>40</v>
      </c>
      <c r="X677" s="5">
        <f ca="1">IFERROR(__xludf.DUMMYFUNCTION("""COMPUTED_VALUE"""),96.502)</f>
        <v>96.501999999999995</v>
      </c>
      <c r="Y677" s="5"/>
      <c r="Z677" s="5">
        <f ca="1">IFERROR(__xludf.DUMMYFUNCTION("""COMPUTED_VALUE"""),11.601)</f>
        <v>11.601000000000001</v>
      </c>
      <c r="AA677" s="5">
        <f ca="1">IFERROR(__xludf.DUMMYFUNCTION("""COMPUTED_VALUE"""),3000)</f>
        <v>3000</v>
      </c>
      <c r="AB677" s="5"/>
      <c r="AC677" s="5"/>
      <c r="AD677" s="5"/>
      <c r="AE677" s="5"/>
      <c r="AF677" s="5"/>
      <c r="AG677" s="10">
        <f ca="1">IFERROR(__xludf.DUMMYFUNCTION("""COMPUTED_VALUE"""),46176.744386574)</f>
        <v>46176.744386573999</v>
      </c>
      <c r="AH677" s="5" t="str">
        <f ca="1">IFERROR(__xludf.DUMMYFUNCTION("""COMPUTED_VALUE"""),"petra.ilic@fazi.rs")</f>
        <v>petra.ilic@fazi.rs</v>
      </c>
      <c r="AI677" s="5"/>
      <c r="AJ677" s="5"/>
      <c r="AK677" s="5">
        <f ca="1">IFERROR(__xludf.DUMMYFUNCTION("""COMPUTED_VALUE"""),40)</f>
        <v>40</v>
      </c>
      <c r="AL677" s="5" t="str">
        <f ca="1">IFERROR(__xludf.DUMMYFUNCTION("""COMPUTED_VALUE"""),"Yes")</f>
        <v>Yes</v>
      </c>
      <c r="AM677" s="5" t="str">
        <f ca="1">IFERROR(__xludf.DUMMYFUNCTION("""COMPUTED_VALUE"""),"No")</f>
        <v>No</v>
      </c>
      <c r="AN677" s="5"/>
      <c r="AO677" s="5"/>
      <c r="AP677" s="5" t="str">
        <f ca="1">IFERROR(__xludf.DUMMYFUNCTION("""COMPUTED_VALUE"""),"Yes")</f>
        <v>Yes</v>
      </c>
      <c r="AQ677" s="5"/>
      <c r="AR677" s="5" t="b">
        <f ca="1">IFERROR(__xludf.DUMMYFUNCTION("""COMPUTED_VALUE"""),TRUE)</f>
        <v>1</v>
      </c>
      <c r="AS677" s="5"/>
      <c r="AT677" s="5"/>
      <c r="AU677" s="5" t="str">
        <f ca="1">IFERROR(__xludf.DUMMYFUNCTION("""COMPUTED_VALUE"""),"Fazi")</f>
        <v>Fazi</v>
      </c>
      <c r="AV677" s="5">
        <f ca="1">IFERROR(__xludf.DUMMYFUNCTION("""COMPUTED_VALUE"""),4)</f>
        <v>4</v>
      </c>
      <c r="AW677" s="5"/>
      <c r="AX677" s="15">
        <f ca="1">IFERROR(__xludf.DUMMYFUNCTION("""COMPUTED_VALUE"""),46119)</f>
        <v>46119</v>
      </c>
      <c r="AY677" s="5"/>
      <c r="AZ677" s="5"/>
      <c r="BA677" s="5"/>
      <c r="BB677" s="5"/>
      <c r="BC677" s="5" t="str">
        <f ca="1">IFERROR(__xludf.DUMMYFUNCTION("""COMPUTED_VALUE"""),"Foxi")</f>
        <v>Foxi</v>
      </c>
      <c r="BD677" s="5" t="str">
        <f ca="1">IFERROR(__xludf.DUMMYFUNCTION("""COMPUTED_VALUE"""),"")</f>
        <v/>
      </c>
      <c r="BE677" s="5"/>
    </row>
    <row r="678" spans="1:57" x14ac:dyDescent="0.25">
      <c r="A678" s="5">
        <f ca="1">IFERROR(__xludf.DUMMYFUNCTION("""COMPUTED_VALUE"""),713)</f>
        <v>713</v>
      </c>
      <c r="B678" s="5">
        <f ca="1">IFERROR(__xludf.DUMMYFUNCTION("""COMPUTED_VALUE"""),4039)</f>
        <v>4039</v>
      </c>
      <c r="C678" s="5" t="str">
        <f ca="1">IFERROR(__xludf.DUMMYFUNCTION("""COMPUTED_VALUE"""),"Fazi")</f>
        <v>Fazi</v>
      </c>
      <c r="D678" s="5" t="str">
        <f ca="1">IFERROR(__xludf.DUMMYFUNCTION("""COMPUTED_VALUE"""),"Cro Casino Golden Crown")</f>
        <v>Cro Casino Golden Crown</v>
      </c>
      <c r="E678" s="5" t="str">
        <f ca="1">IFERROR(__xludf.DUMMYFUNCTION("""COMPUTED_VALUE"""),"Sertifikacioni")</f>
        <v>Sertifikacioni</v>
      </c>
      <c r="F678" s="5" t="str">
        <f ca="1">IFERROR(__xludf.DUMMYFUNCTION("""COMPUTED_VALUE"""),"CroCasinoGoldenCrown")</f>
        <v>CroCasinoGoldenCrown</v>
      </c>
      <c r="G678" s="5" t="str">
        <f ca="1">IFERROR(__xludf.DUMMYFUNCTION("""COMPUTED_VALUE"""),"Deployed")</f>
        <v>Deployed</v>
      </c>
      <c r="H678" s="5" t="str">
        <f ca="1">IFERROR(__xludf.DUMMYFUNCTION("""COMPUTED_VALUE"""),"Cro Casino")</f>
        <v>Cro Casino</v>
      </c>
      <c r="I678" s="5" t="str">
        <f ca="1">IFERROR(__xludf.DUMMYFUNCTION("""COMPUTED_VALUE"""),"V2")</f>
        <v>V2</v>
      </c>
      <c r="J678" s="5" t="str">
        <f ca="1">IFERROR(__xludf.DUMMYFUNCTION("""COMPUTED_VALUE"""),"JSON")</f>
        <v>JSON</v>
      </c>
      <c r="K678" s="5" t="str">
        <f ca="1">IFERROR(__xludf.DUMMYFUNCTION("""COMPUTED_VALUE"""),"Slot")</f>
        <v>Slot</v>
      </c>
      <c r="L678" s="5" t="str">
        <f ca="1">IFERROR(__xludf.DUMMYFUNCTION("""COMPUTED_VALUE""")," Clone")</f>
        <v xml:space="preserve"> Clone</v>
      </c>
      <c r="M678" s="5" t="str">
        <f ca="1">IFERROR(__xludf.DUMMYFUNCTION("""COMPUTED_VALUE"""),"Golden Crown")</f>
        <v>Golden Crown</v>
      </c>
      <c r="N678" s="5"/>
      <c r="O678" s="5"/>
      <c r="P678" s="5"/>
      <c r="Q678" s="15">
        <f ca="1">IFERROR(__xludf.DUMMYFUNCTION("""COMPUTED_VALUE"""),46097)</f>
        <v>46097</v>
      </c>
      <c r="R678" s="5"/>
      <c r="S678" s="5"/>
      <c r="T678" s="5"/>
      <c r="U678" s="5" t="str">
        <f ca="1">IFERROR(__xludf.DUMMYFUNCTION("""COMPUTED_VALUE"""),"5x3")</f>
        <v>5x3</v>
      </c>
      <c r="V678" s="5">
        <f ca="1">IFERROR(__xludf.DUMMYFUNCTION("""COMPUTED_VALUE"""),10)</f>
        <v>10</v>
      </c>
      <c r="W678" s="5">
        <f ca="1">IFERROR(__xludf.DUMMYFUNCTION("""COMPUTED_VALUE"""),10)</f>
        <v>10</v>
      </c>
      <c r="X678" s="5">
        <f ca="1">IFERROR(__xludf.DUMMYFUNCTION("""COMPUTED_VALUE"""),95.962)</f>
        <v>95.962000000000003</v>
      </c>
      <c r="Y678" s="5" t="str">
        <f ca="1">IFERROR(__xludf.DUMMYFUNCTION("""COMPUTED_VALUE"""),"Medium")</f>
        <v>Medium</v>
      </c>
      <c r="Z678" s="5">
        <f ca="1">IFERROR(__xludf.DUMMYFUNCTION("""COMPUTED_VALUE"""),14.634)</f>
        <v>14.634</v>
      </c>
      <c r="AA678" s="5">
        <f ca="1">IFERROR(__xludf.DUMMYFUNCTION("""COMPUTED_VALUE"""),1538)</f>
        <v>1538</v>
      </c>
      <c r="AB678" s="5"/>
      <c r="AC678" s="5"/>
      <c r="AD678" s="5"/>
      <c r="AE678" s="5"/>
      <c r="AF678" s="5"/>
      <c r="AG678" s="10">
        <f ca="1">IFERROR(__xludf.DUMMYFUNCTION("""COMPUTED_VALUE"""),46140.6004282407)</f>
        <v>46140.600428240701</v>
      </c>
      <c r="AH678" s="5" t="str">
        <f ca="1">IFERROR(__xludf.DUMMYFUNCTION("""COMPUTED_VALUE"""),"petra.ilic@fazi.rs")</f>
        <v>petra.ilic@fazi.rs</v>
      </c>
      <c r="AI678" s="5"/>
      <c r="AJ678" s="5"/>
      <c r="AK678" s="5">
        <f ca="1">IFERROR(__xludf.DUMMYFUNCTION("""COMPUTED_VALUE"""),10)</f>
        <v>10</v>
      </c>
      <c r="AL678" s="5" t="str">
        <f ca="1">IFERROR(__xludf.DUMMYFUNCTION("""COMPUTED_VALUE"""),"Yes")</f>
        <v>Yes</v>
      </c>
      <c r="AM678" s="5" t="str">
        <f ca="1">IFERROR(__xludf.DUMMYFUNCTION("""COMPUTED_VALUE"""),"No")</f>
        <v>No</v>
      </c>
      <c r="AN678" s="5"/>
      <c r="AO678" s="5"/>
      <c r="AP678" s="5" t="str">
        <f ca="1">IFERROR(__xludf.DUMMYFUNCTION("""COMPUTED_VALUE"""),"Yes")</f>
        <v>Yes</v>
      </c>
      <c r="AQ678" s="5"/>
      <c r="AR678" s="5" t="b">
        <f ca="1">IFERROR(__xludf.DUMMYFUNCTION("""COMPUTED_VALUE"""),TRUE)</f>
        <v>1</v>
      </c>
      <c r="AS678" s="5"/>
      <c r="AT678" s="5"/>
      <c r="AU678" s="5" t="str">
        <f ca="1">IFERROR(__xludf.DUMMYFUNCTION("""COMPUTED_VALUE"""),"Fazi")</f>
        <v>Fazi</v>
      </c>
      <c r="AV678" s="5">
        <f ca="1">IFERROR(__xludf.DUMMYFUNCTION("""COMPUTED_VALUE"""),1)</f>
        <v>1</v>
      </c>
      <c r="AW678" s="5"/>
      <c r="AX678" s="15">
        <f ca="1">IFERROR(__xludf.DUMMYFUNCTION("""COMPUTED_VALUE"""),46091)</f>
        <v>46091</v>
      </c>
      <c r="AY678" s="5"/>
      <c r="AZ678" s="5"/>
      <c r="BA678" s="5"/>
      <c r="BB678" s="5"/>
      <c r="BC678" s="5" t="str">
        <f ca="1">IFERROR(__xludf.DUMMYFUNCTION("""COMPUTED_VALUE"""),"Foxi")</f>
        <v>Foxi</v>
      </c>
      <c r="BD678" s="5" t="str">
        <f ca="1">IFERROR(__xludf.DUMMYFUNCTION("""COMPUTED_VALUE"""),"")</f>
        <v/>
      </c>
      <c r="BE678" s="5"/>
    </row>
    <row r="679" spans="1:57" x14ac:dyDescent="0.25">
      <c r="A679" s="5">
        <f ca="1">IFERROR(__xludf.DUMMYFUNCTION("""COMPUTED_VALUE"""),714)</f>
        <v>714</v>
      </c>
      <c r="B679" s="5">
        <f ca="1">IFERROR(__xludf.DUMMYFUNCTION("""COMPUTED_VALUE"""),4040)</f>
        <v>4040</v>
      </c>
      <c r="C679" s="5" t="str">
        <f ca="1">IFERROR(__xludf.DUMMYFUNCTION("""COMPUTED_VALUE"""),"Fazi")</f>
        <v>Fazi</v>
      </c>
      <c r="D679" s="5" t="str">
        <f ca="1">IFERROR(__xludf.DUMMYFUNCTION("""COMPUTED_VALUE"""),"Wild Shine 40")</f>
        <v>Wild Shine 40</v>
      </c>
      <c r="E679" s="5" t="str">
        <f ca="1">IFERROR(__xludf.DUMMYFUNCTION("""COMPUTED_VALUE"""),"Sertifikacioni")</f>
        <v>Sertifikacioni</v>
      </c>
      <c r="F679" s="5" t="str">
        <f ca="1">IFERROR(__xludf.DUMMYFUNCTION("""COMPUTED_VALUE"""),"WildShine40")</f>
        <v>WildShine40</v>
      </c>
      <c r="G679" s="5" t="str">
        <f ca="1">IFERROR(__xludf.DUMMYFUNCTION("""COMPUTED_VALUE"""),"Deployed")</f>
        <v>Deployed</v>
      </c>
      <c r="H679" s="5"/>
      <c r="I679" s="5" t="str">
        <f ca="1">IFERROR(__xludf.DUMMYFUNCTION("""COMPUTED_VALUE"""),"V2")</f>
        <v>V2</v>
      </c>
      <c r="J679" s="5" t="str">
        <f ca="1">IFERROR(__xludf.DUMMYFUNCTION("""COMPUTED_VALUE"""),"JSON")</f>
        <v>JSON</v>
      </c>
      <c r="K679" s="5" t="str">
        <f ca="1">IFERROR(__xludf.DUMMYFUNCTION("""COMPUTED_VALUE"""),"Slot")</f>
        <v>Slot</v>
      </c>
      <c r="L679" s="5" t="str">
        <f ca="1">IFERROR(__xludf.DUMMYFUNCTION("""COMPUTED_VALUE""")," Clone")</f>
        <v xml:space="preserve"> Clone</v>
      </c>
      <c r="M679" s="5" t="str">
        <f ca="1">IFERROR(__xludf.DUMMYFUNCTION("""COMPUTED_VALUE"""),"Wild Lucky Clover")</f>
        <v>Wild Lucky Clover</v>
      </c>
      <c r="N679" s="5"/>
      <c r="O679" s="5"/>
      <c r="P679" s="5"/>
      <c r="Q679" s="15">
        <f ca="1">IFERROR(__xludf.DUMMYFUNCTION("""COMPUTED_VALUE"""),46126)</f>
        <v>46126</v>
      </c>
      <c r="R679" s="5"/>
      <c r="S679" s="5"/>
      <c r="T679" s="5"/>
      <c r="U679" s="5" t="str">
        <f ca="1">IFERROR(__xludf.DUMMYFUNCTION("""COMPUTED_VALUE"""),"5x4")</f>
        <v>5x4</v>
      </c>
      <c r="V679" s="5">
        <f ca="1">IFERROR(__xludf.DUMMYFUNCTION("""COMPUTED_VALUE"""),40)</f>
        <v>40</v>
      </c>
      <c r="W679" s="5">
        <f ca="1">IFERROR(__xludf.DUMMYFUNCTION("""COMPUTED_VALUE"""),40)</f>
        <v>40</v>
      </c>
      <c r="X679" s="5">
        <f ca="1">IFERROR(__xludf.DUMMYFUNCTION("""COMPUTED_VALUE"""),96.291)</f>
        <v>96.290999999999997</v>
      </c>
      <c r="Y679" s="5" t="str">
        <f ca="1">IFERROR(__xludf.DUMMYFUNCTION("""COMPUTED_VALUE"""),"Medium")</f>
        <v>Medium</v>
      </c>
      <c r="Z679" s="5">
        <f ca="1">IFERROR(__xludf.DUMMYFUNCTION("""COMPUTED_VALUE"""),12.67)</f>
        <v>12.67</v>
      </c>
      <c r="AA679" s="5">
        <f ca="1">IFERROR(__xludf.DUMMYFUNCTION("""COMPUTED_VALUE"""),1043)</f>
        <v>1043</v>
      </c>
      <c r="AB679" s="5"/>
      <c r="AC679" s="5" t="str">
        <f ca="1">IFERROR(__xludf.DUMMYFUNCTION("""COMPUTED_VALUE"""),"Buy Bonus, Bonus Game with Free Spins, Converting Wild, Wild Symbol")</f>
        <v>Buy Bonus, Bonus Game with Free Spins, Converting Wild, Wild Symbol</v>
      </c>
      <c r="AD679" s="5"/>
      <c r="AE679" s="5"/>
      <c r="AF679" s="5"/>
      <c r="AG679" s="10">
        <f ca="1">IFERROR(__xludf.DUMMYFUNCTION("""COMPUTED_VALUE"""),46175.4257291666)</f>
        <v>46175.4257291666</v>
      </c>
      <c r="AH679" s="5" t="str">
        <f ca="1">IFERROR(__xludf.DUMMYFUNCTION("""COMPUTED_VALUE"""),"aleksandar.matejic@fazi.rs")</f>
        <v>aleksandar.matejic@fazi.rs</v>
      </c>
      <c r="AI679" s="15">
        <f ca="1">IFERROR(__xludf.DUMMYFUNCTION("""COMPUTED_VALUE"""),46142)</f>
        <v>46142</v>
      </c>
      <c r="AJ679" s="5" t="str">
        <f ca="1">IFERROR(__xludf.DUMMYFUNCTION("""COMPUTED_VALUE"""),"VolcanoBet MNE 01.05.
KoralPlay 01.05.")</f>
        <v>VolcanoBet MNE 01.05.
KoralPlay 01.05.</v>
      </c>
      <c r="AK679" s="5">
        <f ca="1">IFERROR(__xludf.DUMMYFUNCTION("""COMPUTED_VALUE"""),40)</f>
        <v>40</v>
      </c>
      <c r="AL679" s="5" t="str">
        <f ca="1">IFERROR(__xludf.DUMMYFUNCTION("""COMPUTED_VALUE"""),"Yes")</f>
        <v>Yes</v>
      </c>
      <c r="AM679" s="5" t="str">
        <f ca="1">IFERROR(__xludf.DUMMYFUNCTION("""COMPUTED_VALUE"""),"No")</f>
        <v>No</v>
      </c>
      <c r="AN679" s="5"/>
      <c r="AO679" s="5" t="str">
        <f ca="1">IFERROR(__xludf.DUMMYFUNCTION("""COMPUTED_VALUE"""),"Yes")</f>
        <v>Yes</v>
      </c>
      <c r="AP679" s="5" t="str">
        <f ca="1">IFERROR(__xludf.DUMMYFUNCTION("""COMPUTED_VALUE"""),"Yes")</f>
        <v>Yes</v>
      </c>
      <c r="AQ679" s="5"/>
      <c r="AR679" s="5"/>
      <c r="AS679" s="5"/>
      <c r="AT679" s="5"/>
      <c r="AU679" s="5" t="str">
        <f ca="1">IFERROR(__xludf.DUMMYFUNCTION("""COMPUTED_VALUE"""),"Fazi")</f>
        <v>Fazi</v>
      </c>
      <c r="AV679" s="5">
        <f ca="1">IFERROR(__xludf.DUMMYFUNCTION("""COMPUTED_VALUE"""),4)</f>
        <v>4</v>
      </c>
      <c r="AW679" s="5"/>
      <c r="AX679" s="15">
        <f ca="1">IFERROR(__xludf.DUMMYFUNCTION("""COMPUTED_VALUE"""),46119)</f>
        <v>46119</v>
      </c>
      <c r="AY679" s="5"/>
      <c r="AZ679" s="5"/>
      <c r="BA679" s="5" t="str">
        <f ca="1">IFERROR(__xludf.DUMMYFUNCTION("""COMPUTED_VALUE"""),"58, 83, 124")</f>
        <v>58, 83, 124</v>
      </c>
      <c r="BB679" s="5"/>
      <c r="BC679" s="5" t="str">
        <f ca="1">IFERROR(__xludf.DUMMYFUNCTION("""COMPUTED_VALUE"""),"Foxi")</f>
        <v>Foxi</v>
      </c>
      <c r="BD679" s="5" t="str">
        <f ca="1">IFERROR(__xludf.DUMMYFUNCTION("""COMPUTED_VALUE"""),"")</f>
        <v/>
      </c>
      <c r="BE679" s="5"/>
    </row>
    <row r="680" spans="1:57" x14ac:dyDescent="0.25">
      <c r="A680" s="5">
        <f ca="1">IFERROR(__xludf.DUMMYFUNCTION("""COMPUTED_VALUE"""),715)</f>
        <v>715</v>
      </c>
      <c r="B680" s="5">
        <f ca="1">IFERROR(__xludf.DUMMYFUNCTION("""COMPUTED_VALUE"""),4000010)</f>
        <v>4000010</v>
      </c>
      <c r="C680" s="5" t="str">
        <f ca="1">IFERROR(__xludf.DUMMYFUNCTION("""COMPUTED_VALUE"""),"Tiptop")</f>
        <v>Tiptop</v>
      </c>
      <c r="D680" s="5" t="str">
        <f ca="1">IFERROR(__xludf.DUMMYFUNCTION("""COMPUTED_VALUE"""),"Hot Fireballs")</f>
        <v>Hot Fireballs</v>
      </c>
      <c r="E680" s="5" t="str">
        <f ca="1">IFERROR(__xludf.DUMMYFUNCTION("""COMPUTED_VALUE"""),"TipTop")</f>
        <v>TipTop</v>
      </c>
      <c r="F680" s="5" t="str">
        <f ca="1">IFERROR(__xludf.DUMMYFUNCTION("""COMPUTED_VALUE"""),"UnicornHotFireballs")</f>
        <v>UnicornHotFireballs</v>
      </c>
      <c r="G680" s="5" t="str">
        <f ca="1">IFERROR(__xludf.DUMMYFUNCTION("""COMPUTED_VALUE"""),"Live")</f>
        <v>Live</v>
      </c>
      <c r="H680" s="5"/>
      <c r="I680" s="5" t="str">
        <f ca="1">IFERROR(__xludf.DUMMYFUNCTION("""COMPUTED_VALUE"""),"TipTop")</f>
        <v>TipTop</v>
      </c>
      <c r="J680" s="5" t="str">
        <f ca="1">IFERROR(__xludf.DUMMYFUNCTION("""COMPUTED_VALUE"""),"JSON")</f>
        <v>JSON</v>
      </c>
      <c r="K680" s="5" t="str">
        <f ca="1">IFERROR(__xludf.DUMMYFUNCTION("""COMPUTED_VALUE"""),"Slot")</f>
        <v>Slot</v>
      </c>
      <c r="L680" s="5" t="str">
        <f ca="1">IFERROR(__xludf.DUMMYFUNCTION("""COMPUTED_VALUE"""),"Master")</f>
        <v>Master</v>
      </c>
      <c r="M680" s="5"/>
      <c r="N680" s="5"/>
      <c r="O680" s="5"/>
      <c r="P680" s="14">
        <f ca="1">IFERROR(__xludf.DUMMYFUNCTION("""COMPUTED_VALUE"""),15.92)</f>
        <v>15.92</v>
      </c>
      <c r="Q680" s="15">
        <f ca="1">IFERROR(__xludf.DUMMYFUNCTION("""COMPUTED_VALUE"""),46111)</f>
        <v>46111</v>
      </c>
      <c r="R680" s="15">
        <f ca="1">IFERROR(__xludf.DUMMYFUNCTION("""COMPUTED_VALUE"""),46106)</f>
        <v>46106</v>
      </c>
      <c r="S680" s="15">
        <f ca="1">IFERROR(__xludf.DUMMYFUNCTION("""COMPUTED_VALUE"""),46113)</f>
        <v>46113</v>
      </c>
      <c r="T680" s="5" t="b">
        <f ca="1">IFERROR(__xludf.DUMMYFUNCTION("""COMPUTED_VALUE"""),TRUE)</f>
        <v>1</v>
      </c>
      <c r="U680" s="5" t="str">
        <f ca="1">IFERROR(__xludf.DUMMYFUNCTION("""COMPUTED_VALUE"""),"5x3")</f>
        <v>5x3</v>
      </c>
      <c r="V680" s="5">
        <f ca="1">IFERROR(__xludf.DUMMYFUNCTION("""COMPUTED_VALUE"""),5)</f>
        <v>5</v>
      </c>
      <c r="W680" s="5">
        <f ca="1">IFERROR(__xludf.DUMMYFUNCTION("""COMPUTED_VALUE"""),5)</f>
        <v>5</v>
      </c>
      <c r="X680" s="5">
        <f ca="1">IFERROR(__xludf.DUMMYFUNCTION("""COMPUTED_VALUE"""),96)</f>
        <v>96</v>
      </c>
      <c r="Y680" s="5" t="str">
        <f ca="1">IFERROR(__xludf.DUMMYFUNCTION("""COMPUTED_VALUE"""),"Low")</f>
        <v>Low</v>
      </c>
      <c r="Z680" s="5">
        <f ca="1">IFERROR(__xludf.DUMMYFUNCTION("""COMPUTED_VALUE"""),15.33)</f>
        <v>15.33</v>
      </c>
      <c r="AA680" s="5">
        <f ca="1">IFERROR(__xludf.DUMMYFUNCTION("""COMPUTED_VALUE"""),1260)</f>
        <v>1260</v>
      </c>
      <c r="AB680" s="5"/>
      <c r="AC680" s="5"/>
      <c r="AD680" s="5" t="str">
        <f ca="1">IFERROR(__xludf.DUMMYFUNCTION("""COMPUTED_VALUE"""),"0.1/100")</f>
        <v>0.1/100</v>
      </c>
      <c r="AE680" s="5"/>
      <c r="AF680" s="5"/>
      <c r="AG680" s="10">
        <f ca="1">IFERROR(__xludf.DUMMYFUNCTION("""COMPUTED_VALUE"""),46197.5126736111)</f>
        <v>46197.512673611098</v>
      </c>
      <c r="AH680" s="5" t="str">
        <f ca="1">IFERROR(__xludf.DUMMYFUNCTION("""COMPUTED_VALUE"""),"selena.mihajlovic@fazi.rs")</f>
        <v>selena.mihajlovic@fazi.rs</v>
      </c>
      <c r="AI680" s="5"/>
      <c r="AJ680" s="5"/>
      <c r="AK680" s="5">
        <f ca="1">IFERROR(__xludf.DUMMYFUNCTION("""COMPUTED_VALUE"""),5)</f>
        <v>5</v>
      </c>
      <c r="AL680" s="5" t="str">
        <f ca="1">IFERROR(__xludf.DUMMYFUNCTION("""COMPUTED_VALUE"""),"No")</f>
        <v>No</v>
      </c>
      <c r="AM680" s="5"/>
      <c r="AN680" s="7" t="str">
        <f ca="1">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AO680" s="5"/>
      <c r="AP680" s="5"/>
      <c r="AQ680" s="5" t="b">
        <f ca="1">IFERROR(__xludf.DUMMYFUNCTION("""COMPUTED_VALUE"""),TRUE)</f>
        <v>1</v>
      </c>
      <c r="AR680" s="5"/>
      <c r="AS680" s="5" t="str">
        <f ca="1">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AT680" s="5"/>
      <c r="AU680" s="5" t="str">
        <f ca="1">IFERROR(__xludf.DUMMYFUNCTION("""COMPUTED_VALUE"""),"Tiptop")</f>
        <v>Tiptop</v>
      </c>
      <c r="AV680" s="5">
        <f ca="1">IFERROR(__xludf.DUMMYFUNCTION("""COMPUTED_VALUE"""),1)</f>
        <v>1</v>
      </c>
      <c r="AW680" s="5"/>
      <c r="AX680" s="15">
        <f ca="1">IFERROR(__xludf.DUMMYFUNCTION("""COMPUTED_VALUE"""),46105)</f>
        <v>46105</v>
      </c>
      <c r="AY680" s="5"/>
      <c r="AZ680" s="5"/>
      <c r="BA680" s="5"/>
      <c r="BB680" s="5" t="b">
        <f ca="1">IFERROR(__xludf.DUMMYFUNCTION("""COMPUTED_VALUE"""),TRUE)</f>
        <v>1</v>
      </c>
      <c r="BC680" s="5" t="str">
        <f ca="1">IFERROR(__xludf.DUMMYFUNCTION("""COMPUTED_VALUE"""),"Tiptop")</f>
        <v>Tiptop</v>
      </c>
      <c r="BD680" s="7" t="str">
        <f ca="1">IFERROR(__xludf.DUMMYFUNCTION("""COMPUTED_VALUE"""),"https://gameserver-store-client-area.orbionlimited.com/Home/IntegrationGameLaunch/client-area?moneyType=0&amp;gameName=UnicornHotFireballs&amp;platform=desktop&amp;languageCode=eng&amp;currency=EUR")</f>
        <v>https://gameserver-store-client-area.orbionlimited.com/Home/IntegrationGameLaunch/client-area?moneyType=0&amp;gameName=UnicornHotFireballs&amp;platform=desktop&amp;languageCode=eng&amp;currency=EUR</v>
      </c>
      <c r="BE680" s="5" t="b">
        <f ca="1">IFERROR(__xludf.DUMMYFUNCTION("""COMPUTED_VALUE"""),TRUE)</f>
        <v>1</v>
      </c>
    </row>
    <row r="681" spans="1:57" x14ac:dyDescent="0.25">
      <c r="A681" s="5">
        <f ca="1">IFERROR(__xludf.DUMMYFUNCTION("""COMPUTED_VALUE"""),716)</f>
        <v>716</v>
      </c>
      <c r="B681" s="5">
        <f ca="1">IFERROR(__xludf.DUMMYFUNCTION("""COMPUTED_VALUE"""),4000011)</f>
        <v>4000011</v>
      </c>
      <c r="C681" s="5" t="str">
        <f ca="1">IFERROR(__xludf.DUMMYFUNCTION("""COMPUTED_VALUE"""),"Tiptop")</f>
        <v>Tiptop</v>
      </c>
      <c r="D681" s="5" t="str">
        <f ca="1">IFERROR(__xludf.DUMMYFUNCTION("""COMPUTED_VALUE"""),"Three Reel Dice")</f>
        <v>Three Reel Dice</v>
      </c>
      <c r="E681" s="5" t="str">
        <f ca="1">IFERROR(__xludf.DUMMYFUNCTION("""COMPUTED_VALUE"""),"TipTop")</f>
        <v>TipTop</v>
      </c>
      <c r="F681" s="5" t="str">
        <f ca="1">IFERROR(__xludf.DUMMYFUNCTION("""COMPUTED_VALUE"""),"UnicornThreeReelDice")</f>
        <v>UnicornThreeReelDice</v>
      </c>
      <c r="G681" s="5" t="str">
        <f ca="1">IFERROR(__xludf.DUMMYFUNCTION("""COMPUTED_VALUE"""),"Live")</f>
        <v>Live</v>
      </c>
      <c r="H681" s="5"/>
      <c r="I681" s="5" t="str">
        <f ca="1">IFERROR(__xludf.DUMMYFUNCTION("""COMPUTED_VALUE"""),"TipTop")</f>
        <v>TipTop</v>
      </c>
      <c r="J681" s="5" t="str">
        <f ca="1">IFERROR(__xludf.DUMMYFUNCTION("""COMPUTED_VALUE"""),"JSON")</f>
        <v>JSON</v>
      </c>
      <c r="K681" s="5" t="str">
        <f ca="1">IFERROR(__xludf.DUMMYFUNCTION("""COMPUTED_VALUE"""),"Dice Slots")</f>
        <v>Dice Slots</v>
      </c>
      <c r="L681" s="5" t="str">
        <f ca="1">IFERROR(__xludf.DUMMYFUNCTION("""COMPUTED_VALUE""")," Clone")</f>
        <v xml:space="preserve"> Clone</v>
      </c>
      <c r="M681" s="5" t="str">
        <f ca="1">IFERROR(__xludf.DUMMYFUNCTION("""COMPUTED_VALUE"""),"Three Reel Sevens")</f>
        <v>Three Reel Sevens</v>
      </c>
      <c r="N681" s="5"/>
      <c r="O681" s="5"/>
      <c r="P681" s="14">
        <f ca="1">IFERROR(__xludf.DUMMYFUNCTION("""COMPUTED_VALUE"""),10.4)</f>
        <v>10.4</v>
      </c>
      <c r="Q681" s="15">
        <f ca="1">IFERROR(__xludf.DUMMYFUNCTION("""COMPUTED_VALUE"""),46126)</f>
        <v>46126</v>
      </c>
      <c r="R681" s="15">
        <f ca="1">IFERROR(__xludf.DUMMYFUNCTION("""COMPUTED_VALUE"""),46120)</f>
        <v>46120</v>
      </c>
      <c r="S681" s="15">
        <f ca="1">IFERROR(__xludf.DUMMYFUNCTION("""COMPUTED_VALUE"""),46127)</f>
        <v>46127</v>
      </c>
      <c r="T681" s="5" t="b">
        <f ca="1">IFERROR(__xludf.DUMMYFUNCTION("""COMPUTED_VALUE"""),TRUE)</f>
        <v>1</v>
      </c>
      <c r="U681" s="5" t="str">
        <f ca="1">IFERROR(__xludf.DUMMYFUNCTION("""COMPUTED_VALUE"""),"3x3")</f>
        <v>3x3</v>
      </c>
      <c r="V681" s="5">
        <f ca="1">IFERROR(__xludf.DUMMYFUNCTION("""COMPUTED_VALUE"""),5)</f>
        <v>5</v>
      </c>
      <c r="W681" s="5">
        <f ca="1">IFERROR(__xludf.DUMMYFUNCTION("""COMPUTED_VALUE"""),5)</f>
        <v>5</v>
      </c>
      <c r="X681" s="5">
        <f ca="1">IFERROR(__xludf.DUMMYFUNCTION("""COMPUTED_VALUE"""),96)</f>
        <v>96</v>
      </c>
      <c r="Y681" s="5" t="str">
        <f ca="1">IFERROR(__xludf.DUMMYFUNCTION("""COMPUTED_VALUE"""),"Low")</f>
        <v>Low</v>
      </c>
      <c r="Z681" s="5">
        <f ca="1">IFERROR(__xludf.DUMMYFUNCTION("""COMPUTED_VALUE"""),12.6)</f>
        <v>12.6</v>
      </c>
      <c r="AA681" s="5">
        <f ca="1">IFERROR(__xludf.DUMMYFUNCTION("""COMPUTED_VALUE"""),1000)</f>
        <v>1000</v>
      </c>
      <c r="AB681" s="5"/>
      <c r="AC681" s="5"/>
      <c r="AD681" s="5" t="str">
        <f ca="1">IFERROR(__xludf.DUMMYFUNCTION("""COMPUTED_VALUE"""),"0.05/100")</f>
        <v>0.05/100</v>
      </c>
      <c r="AE681" s="5"/>
      <c r="AF681" s="5"/>
      <c r="AG681" s="10">
        <f ca="1">IFERROR(__xludf.DUMMYFUNCTION("""COMPUTED_VALUE"""),46197.5128125)</f>
        <v>46197.512812499997</v>
      </c>
      <c r="AH681" s="5" t="str">
        <f ca="1">IFERROR(__xludf.DUMMYFUNCTION("""COMPUTED_VALUE"""),"selena.mihajlovic@fazi.rs")</f>
        <v>selena.mihajlovic@fazi.rs</v>
      </c>
      <c r="AI681" s="5"/>
      <c r="AJ681" s="5"/>
      <c r="AK681" s="5">
        <f ca="1">IFERROR(__xludf.DUMMYFUNCTION("""COMPUTED_VALUE"""),5)</f>
        <v>5</v>
      </c>
      <c r="AL681" s="5" t="str">
        <f ca="1">IFERROR(__xludf.DUMMYFUNCTION("""COMPUTED_VALUE"""),"No")</f>
        <v>No</v>
      </c>
      <c r="AM681" s="5"/>
      <c r="AN681" s="7" t="str">
        <f ca="1">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AO681" s="5"/>
      <c r="AP681" s="5"/>
      <c r="AQ681" s="5" t="b">
        <f ca="1">IFERROR(__xludf.DUMMYFUNCTION("""COMPUTED_VALUE"""),TRUE)</f>
        <v>1</v>
      </c>
      <c r="AR681" s="5"/>
      <c r="AS681" s="5" t="str">
        <f ca="1">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AT681" s="5"/>
      <c r="AU681" s="5" t="str">
        <f ca="1">IFERROR(__xludf.DUMMYFUNCTION("""COMPUTED_VALUE"""),"Tiptop")</f>
        <v>Tiptop</v>
      </c>
      <c r="AV681" s="5"/>
      <c r="AW681" s="5"/>
      <c r="AX681" s="15">
        <f ca="1">IFERROR(__xludf.DUMMYFUNCTION("""COMPUTED_VALUE"""),46119)</f>
        <v>46119</v>
      </c>
      <c r="AY681" s="5"/>
      <c r="AZ681" s="5"/>
      <c r="BA681" s="5"/>
      <c r="BB681" s="5" t="b">
        <f ca="1">IFERROR(__xludf.DUMMYFUNCTION("""COMPUTED_VALUE"""),TRUE)</f>
        <v>1</v>
      </c>
      <c r="BC681" s="5" t="str">
        <f ca="1">IFERROR(__xludf.DUMMYFUNCTION("""COMPUTED_VALUE"""),"Tiptop")</f>
        <v>Tiptop</v>
      </c>
      <c r="BD681" s="7" t="str">
        <f ca="1">IFERROR(__xludf.DUMMYFUNCTION("""COMPUTED_VALUE"""),"https://gameserver-store-client-area.orbionlimited.com/Home/IntegrationGameLaunch/client-area?moneyType=0&amp;gameName=UnicornThreeReelDice&amp;platform=desktop&amp;languageCode=eng&amp;currency=EUR")</f>
        <v>https://gameserver-store-client-area.orbionlimited.com/Home/IntegrationGameLaunch/client-area?moneyType=0&amp;gameName=UnicornThreeReelDice&amp;platform=desktop&amp;languageCode=eng&amp;currency=EUR</v>
      </c>
      <c r="BE681" s="5" t="b">
        <f ca="1">IFERROR(__xludf.DUMMYFUNCTION("""COMPUTED_VALUE"""),TRUE)</f>
        <v>1</v>
      </c>
    </row>
    <row r="682" spans="1:57" x14ac:dyDescent="0.25">
      <c r="A682" s="5">
        <f ca="1">IFERROR(__xludf.DUMMYFUNCTION("""COMPUTED_VALUE"""),717)</f>
        <v>717</v>
      </c>
      <c r="B682" s="5">
        <f ca="1">IFERROR(__xludf.DUMMYFUNCTION("""COMPUTED_VALUE"""),4000012)</f>
        <v>4000012</v>
      </c>
      <c r="C682" s="5" t="str">
        <f ca="1">IFERROR(__xludf.DUMMYFUNCTION("""COMPUTED_VALUE"""),"Tiptop")</f>
        <v>Tiptop</v>
      </c>
      <c r="D682" s="5" t="str">
        <f ca="1">IFERROR(__xludf.DUMMYFUNCTION("""COMPUTED_VALUE"""),"Tropical Treasure")</f>
        <v>Tropical Treasure</v>
      </c>
      <c r="E682" s="5" t="str">
        <f ca="1">IFERROR(__xludf.DUMMYFUNCTION("""COMPUTED_VALUE"""),"TipTop")</f>
        <v>TipTop</v>
      </c>
      <c r="F682" s="5" t="str">
        <f ca="1">IFERROR(__xludf.DUMMYFUNCTION("""COMPUTED_VALUE"""),"UnicornTropicalTreasure")</f>
        <v>UnicornTropicalTreasure</v>
      </c>
      <c r="G682" s="5" t="str">
        <f ca="1">IFERROR(__xludf.DUMMYFUNCTION("""COMPUTED_VALUE"""),"Live")</f>
        <v>Live</v>
      </c>
      <c r="H682" s="5"/>
      <c r="I682" s="5" t="str">
        <f ca="1">IFERROR(__xludf.DUMMYFUNCTION("""COMPUTED_VALUE"""),"TipTop")</f>
        <v>TipTop</v>
      </c>
      <c r="J682" s="5" t="str">
        <f ca="1">IFERROR(__xludf.DUMMYFUNCTION("""COMPUTED_VALUE"""),"JSON")</f>
        <v>JSON</v>
      </c>
      <c r="K682" s="5" t="str">
        <f ca="1">IFERROR(__xludf.DUMMYFUNCTION("""COMPUTED_VALUE"""),"Slot")</f>
        <v>Slot</v>
      </c>
      <c r="L682" s="5" t="str">
        <f ca="1">IFERROR(__xludf.DUMMYFUNCTION("""COMPUTED_VALUE"""),"Master")</f>
        <v>Master</v>
      </c>
      <c r="M682" s="5"/>
      <c r="N682" s="5"/>
      <c r="O682" s="5"/>
      <c r="P682" s="14">
        <f ca="1">IFERROR(__xludf.DUMMYFUNCTION("""COMPUTED_VALUE"""),10.91)</f>
        <v>10.91</v>
      </c>
      <c r="Q682" s="15">
        <f ca="1">IFERROR(__xludf.DUMMYFUNCTION("""COMPUTED_VALUE"""),46126)</f>
        <v>46126</v>
      </c>
      <c r="R682" s="15">
        <f ca="1">IFERROR(__xludf.DUMMYFUNCTION("""COMPUTED_VALUE"""),46127)</f>
        <v>46127</v>
      </c>
      <c r="S682" s="15">
        <f ca="1">IFERROR(__xludf.DUMMYFUNCTION("""COMPUTED_VALUE"""),46134)</f>
        <v>46134</v>
      </c>
      <c r="T682" s="5" t="b">
        <f ca="1">IFERROR(__xludf.DUMMYFUNCTION("""COMPUTED_VALUE"""),TRUE)</f>
        <v>1</v>
      </c>
      <c r="U682" s="5" t="str">
        <f ca="1">IFERROR(__xludf.DUMMYFUNCTION("""COMPUTED_VALUE"""),"5x3")</f>
        <v>5x3</v>
      </c>
      <c r="V682" s="5">
        <f ca="1">IFERROR(__xludf.DUMMYFUNCTION("""COMPUTED_VALUE"""),5)</f>
        <v>5</v>
      </c>
      <c r="W682" s="5">
        <f ca="1">IFERROR(__xludf.DUMMYFUNCTION("""COMPUTED_VALUE"""),5)</f>
        <v>5</v>
      </c>
      <c r="X682" s="5">
        <f ca="1">IFERROR(__xludf.DUMMYFUNCTION("""COMPUTED_VALUE"""),96)</f>
        <v>96</v>
      </c>
      <c r="Y682" s="5" t="str">
        <f ca="1">IFERROR(__xludf.DUMMYFUNCTION("""COMPUTED_VALUE"""),"Low")</f>
        <v>Low</v>
      </c>
      <c r="Z682" s="5">
        <f ca="1">IFERROR(__xludf.DUMMYFUNCTION("""COMPUTED_VALUE"""),11.15)</f>
        <v>11.15</v>
      </c>
      <c r="AA682" s="5">
        <f ca="1">IFERROR(__xludf.DUMMYFUNCTION("""COMPUTED_VALUE"""),1400)</f>
        <v>1400</v>
      </c>
      <c r="AB682" s="5"/>
      <c r="AC682" s="5"/>
      <c r="AD682" s="5" t="str">
        <f ca="1">IFERROR(__xludf.DUMMYFUNCTION("""COMPUTED_VALUE"""),"0.05/100")</f>
        <v>0.05/100</v>
      </c>
      <c r="AE682" s="5"/>
      <c r="AF682" s="5"/>
      <c r="AG682" s="10">
        <f ca="1">IFERROR(__xludf.DUMMYFUNCTION("""COMPUTED_VALUE"""),46197.5130208333)</f>
        <v>46197.513020833299</v>
      </c>
      <c r="AH682" s="5" t="str">
        <f ca="1">IFERROR(__xludf.DUMMYFUNCTION("""COMPUTED_VALUE"""),"selena.mihajlovic@fazi.rs")</f>
        <v>selena.mihajlovic@fazi.rs</v>
      </c>
      <c r="AI682" s="5"/>
      <c r="AJ682" s="5"/>
      <c r="AK682" s="5">
        <f ca="1">IFERROR(__xludf.DUMMYFUNCTION("""COMPUTED_VALUE"""),5)</f>
        <v>5</v>
      </c>
      <c r="AL682" s="5" t="str">
        <f ca="1">IFERROR(__xludf.DUMMYFUNCTION("""COMPUTED_VALUE"""),"No")</f>
        <v>No</v>
      </c>
      <c r="AM682" s="5"/>
      <c r="AN682" s="7" t="str">
        <f ca="1">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AO682" s="5"/>
      <c r="AP682" s="5"/>
      <c r="AQ682" s="5" t="b">
        <f ca="1">IFERROR(__xludf.DUMMYFUNCTION("""COMPUTED_VALUE"""),TRUE)</f>
        <v>1</v>
      </c>
      <c r="AR682" s="5"/>
      <c r="AS682" s="5" t="str">
        <f ca="1">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AT682" s="5"/>
      <c r="AU682" s="5" t="str">
        <f ca="1">IFERROR(__xludf.DUMMYFUNCTION("""COMPUTED_VALUE"""),"Tiptop")</f>
        <v>Tiptop</v>
      </c>
      <c r="AV682" s="5"/>
      <c r="AW682" s="5"/>
      <c r="AX682" s="15">
        <f ca="1">IFERROR(__xludf.DUMMYFUNCTION("""COMPUTED_VALUE"""),46119)</f>
        <v>46119</v>
      </c>
      <c r="AY682" s="5"/>
      <c r="AZ682" s="5"/>
      <c r="BA682" s="5"/>
      <c r="BB682" s="5" t="b">
        <f ca="1">IFERROR(__xludf.DUMMYFUNCTION("""COMPUTED_VALUE"""),TRUE)</f>
        <v>1</v>
      </c>
      <c r="BC682" s="5" t="str">
        <f ca="1">IFERROR(__xludf.DUMMYFUNCTION("""COMPUTED_VALUE"""),"Tiptop")</f>
        <v>Tiptop</v>
      </c>
      <c r="BD682" s="7" t="str">
        <f ca="1">IFERROR(__xludf.DUMMYFUNCTION("""COMPUTED_VALUE"""),"https://gameserver-store-client-area.orbionlimited.com/Home/IntegrationGameLaunch/client-area?moneyType=0&amp;gameName=UnicornTropicalTreasure&amp;platform=desktop&amp;languageCode=eng&amp;currency=EUR")</f>
        <v>https://gameserver-store-client-area.orbionlimited.com/Home/IntegrationGameLaunch/client-area?moneyType=0&amp;gameName=UnicornTropicalTreasure&amp;platform=desktop&amp;languageCode=eng&amp;currency=EUR</v>
      </c>
      <c r="BE682" s="5" t="b">
        <f ca="1">IFERROR(__xludf.DUMMYFUNCTION("""COMPUTED_VALUE"""),TRUE)</f>
        <v>1</v>
      </c>
    </row>
    <row r="683" spans="1:57" x14ac:dyDescent="0.25">
      <c r="A683" s="5">
        <f ca="1">IFERROR(__xludf.DUMMYFUNCTION("""COMPUTED_VALUE"""),718)</f>
        <v>718</v>
      </c>
      <c r="B683" s="5">
        <f ca="1">IFERROR(__xludf.DUMMYFUNCTION("""COMPUTED_VALUE"""),4000013)</f>
        <v>4000013</v>
      </c>
      <c r="C683" s="5" t="str">
        <f ca="1">IFERROR(__xludf.DUMMYFUNCTION("""COMPUTED_VALUE"""),"Tiptop")</f>
        <v>Tiptop</v>
      </c>
      <c r="D683" s="5" t="str">
        <f ca="1">IFERROR(__xludf.DUMMYFUNCTION("""COMPUTED_VALUE"""),"Golden Gate Fruit")</f>
        <v>Golden Gate Fruit</v>
      </c>
      <c r="E683" s="5" t="str">
        <f ca="1">IFERROR(__xludf.DUMMYFUNCTION("""COMPUTED_VALUE"""),"TipTop")</f>
        <v>TipTop</v>
      </c>
      <c r="F683" s="5" t="str">
        <f ca="1">IFERROR(__xludf.DUMMYFUNCTION("""COMPUTED_VALUE"""),"UnicornGoldenGateFruit")</f>
        <v>UnicornGoldenGateFruit</v>
      </c>
      <c r="G683" s="5" t="str">
        <f ca="1">IFERROR(__xludf.DUMMYFUNCTION("""COMPUTED_VALUE"""),"Live")</f>
        <v>Live</v>
      </c>
      <c r="H683" s="5"/>
      <c r="I683" s="5" t="str">
        <f ca="1">IFERROR(__xludf.DUMMYFUNCTION("""COMPUTED_VALUE"""),"TipTop")</f>
        <v>TipTop</v>
      </c>
      <c r="J683" s="5" t="str">
        <f ca="1">IFERROR(__xludf.DUMMYFUNCTION("""COMPUTED_VALUE"""),"JSON")</f>
        <v>JSON</v>
      </c>
      <c r="K683" s="5" t="str">
        <f ca="1">IFERROR(__xludf.DUMMYFUNCTION("""COMPUTED_VALUE"""),"Slot")</f>
        <v>Slot</v>
      </c>
      <c r="L683" s="5" t="str">
        <f ca="1">IFERROR(__xludf.DUMMYFUNCTION("""COMPUTED_VALUE"""),"Master")</f>
        <v>Master</v>
      </c>
      <c r="M683" s="5"/>
      <c r="N683" s="5"/>
      <c r="O683" s="5"/>
      <c r="P683" s="14">
        <f ca="1">IFERROR(__xludf.DUMMYFUNCTION("""COMPUTED_VALUE"""),12.24)</f>
        <v>12.24</v>
      </c>
      <c r="Q683" s="15">
        <f ca="1">IFERROR(__xludf.DUMMYFUNCTION("""COMPUTED_VALUE"""),46139)</f>
        <v>46139</v>
      </c>
      <c r="R683" s="15">
        <f ca="1">IFERROR(__xludf.DUMMYFUNCTION("""COMPUTED_VALUE"""),46134)</f>
        <v>46134</v>
      </c>
      <c r="S683" s="15">
        <f ca="1">IFERROR(__xludf.DUMMYFUNCTION("""COMPUTED_VALUE"""),46141)</f>
        <v>46141</v>
      </c>
      <c r="T683" s="5" t="b">
        <f ca="1">IFERROR(__xludf.DUMMYFUNCTION("""COMPUTED_VALUE"""),TRUE)</f>
        <v>1</v>
      </c>
      <c r="U683" s="5" t="str">
        <f ca="1">IFERROR(__xludf.DUMMYFUNCTION("""COMPUTED_VALUE"""),"5x3")</f>
        <v>5x3</v>
      </c>
      <c r="V683" s="5">
        <f ca="1">IFERROR(__xludf.DUMMYFUNCTION("""COMPUTED_VALUE"""),5)</f>
        <v>5</v>
      </c>
      <c r="W683" s="5">
        <f ca="1">IFERROR(__xludf.DUMMYFUNCTION("""COMPUTED_VALUE"""),5)</f>
        <v>5</v>
      </c>
      <c r="X683" s="5">
        <f ca="1">IFERROR(__xludf.DUMMYFUNCTION("""COMPUTED_VALUE"""),96)</f>
        <v>96</v>
      </c>
      <c r="Y683" s="5" t="str">
        <f ca="1">IFERROR(__xludf.DUMMYFUNCTION("""COMPUTED_VALUE"""),"Low")</f>
        <v>Low</v>
      </c>
      <c r="Z683" s="5">
        <f ca="1">IFERROR(__xludf.DUMMYFUNCTION("""COMPUTED_VALUE"""),16.38)</f>
        <v>16.38</v>
      </c>
      <c r="AA683" s="5">
        <f ca="1">IFERROR(__xludf.DUMMYFUNCTION("""COMPUTED_VALUE"""),10000)</f>
        <v>10000</v>
      </c>
      <c r="AB683" s="5"/>
      <c r="AC683" s="5"/>
      <c r="AD683" s="5" t="str">
        <f ca="1">IFERROR(__xludf.DUMMYFUNCTION("""COMPUTED_VALUE"""),"0.05/100")</f>
        <v>0.05/100</v>
      </c>
      <c r="AE683" s="5"/>
      <c r="AF683" s="5"/>
      <c r="AG683" s="10">
        <f ca="1">IFERROR(__xludf.DUMMYFUNCTION("""COMPUTED_VALUE"""),46197.5131712963)</f>
        <v>46197.513171296298</v>
      </c>
      <c r="AH683" s="5" t="str">
        <f ca="1">IFERROR(__xludf.DUMMYFUNCTION("""COMPUTED_VALUE"""),"selena.mihajlovic@fazi.rs")</f>
        <v>selena.mihajlovic@fazi.rs</v>
      </c>
      <c r="AI683" s="5"/>
      <c r="AJ683" s="5"/>
      <c r="AK683" s="5">
        <f ca="1">IFERROR(__xludf.DUMMYFUNCTION("""COMPUTED_VALUE"""),5)</f>
        <v>5</v>
      </c>
      <c r="AL683" s="5" t="str">
        <f ca="1">IFERROR(__xludf.DUMMYFUNCTION("""COMPUTED_VALUE"""),"No")</f>
        <v>No</v>
      </c>
      <c r="AM683" s="5"/>
      <c r="AN683" s="7" t="str">
        <f ca="1">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AO683" s="5"/>
      <c r="AP683" s="5"/>
      <c r="AQ683" s="5" t="b">
        <f ca="1">IFERROR(__xludf.DUMMYFUNCTION("""COMPUTED_VALUE"""),TRUE)</f>
        <v>1</v>
      </c>
      <c r="AR683" s="5"/>
      <c r="AS683" s="5" t="str">
        <f ca="1">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AT683" s="5"/>
      <c r="AU683" s="5" t="str">
        <f ca="1">IFERROR(__xludf.DUMMYFUNCTION("""COMPUTED_VALUE"""),"Tiptop")</f>
        <v>Tiptop</v>
      </c>
      <c r="AV683" s="5"/>
      <c r="AW683" s="5"/>
      <c r="AX683" s="15">
        <f ca="1">IFERROR(__xludf.DUMMYFUNCTION("""COMPUTED_VALUE"""),46133)</f>
        <v>46133</v>
      </c>
      <c r="AY683" s="5"/>
      <c r="AZ683" s="5"/>
      <c r="BA683" s="5"/>
      <c r="BB683" s="5" t="b">
        <f ca="1">IFERROR(__xludf.DUMMYFUNCTION("""COMPUTED_VALUE"""),TRUE)</f>
        <v>1</v>
      </c>
      <c r="BC683" s="5" t="str">
        <f ca="1">IFERROR(__xludf.DUMMYFUNCTION("""COMPUTED_VALUE"""),"Tiptop")</f>
        <v>Tiptop</v>
      </c>
      <c r="BD683" s="7" t="str">
        <f ca="1">IFERROR(__xludf.DUMMYFUNCTION("""COMPUTED_VALUE"""),"https://gameserver-store-client-area.orbionlimited.com/Home/IntegrationGameLaunch/client-area?moneyType=0&amp;gameName=UnicornGoldenGateFruit&amp;platform=desktop&amp;languageCode=eng&amp;currency=EUR")</f>
        <v>https://gameserver-store-client-area.orbionlimited.com/Home/IntegrationGameLaunch/client-area?moneyType=0&amp;gameName=UnicornGoldenGateFruit&amp;platform=desktop&amp;languageCode=eng&amp;currency=EUR</v>
      </c>
      <c r="BE683" s="5" t="b">
        <f ca="1">IFERROR(__xludf.DUMMYFUNCTION("""COMPUTED_VALUE"""),TRUE)</f>
        <v>1</v>
      </c>
    </row>
    <row r="684" spans="1:57" x14ac:dyDescent="0.25">
      <c r="A684" s="5">
        <f ca="1">IFERROR(__xludf.DUMMYFUNCTION("""COMPUTED_VALUE"""),719)</f>
        <v>719</v>
      </c>
      <c r="B684" s="5">
        <f ca="1">IFERROR(__xludf.DUMMYFUNCTION("""COMPUTED_VALUE"""),4000014)</f>
        <v>4000014</v>
      </c>
      <c r="C684" s="5" t="str">
        <f ca="1">IFERROR(__xludf.DUMMYFUNCTION("""COMPUTED_VALUE"""),"Tiptop")</f>
        <v>Tiptop</v>
      </c>
      <c r="D684" s="5" t="str">
        <f ca="1">IFERROR(__xludf.DUMMYFUNCTION("""COMPUTED_VALUE"""),"Money Standard Jackpot")</f>
        <v>Money Standard Jackpot</v>
      </c>
      <c r="E684" s="5" t="str">
        <f ca="1">IFERROR(__xludf.DUMMYFUNCTION("""COMPUTED_VALUE"""),"TipTop")</f>
        <v>TipTop</v>
      </c>
      <c r="F684" s="5" t="str">
        <f ca="1">IFERROR(__xludf.DUMMYFUNCTION("""COMPUTED_VALUE"""),"UnicornMoneyStandardJackpot")</f>
        <v>UnicornMoneyStandardJackpot</v>
      </c>
      <c r="G684" s="5" t="str">
        <f ca="1">IFERROR(__xludf.DUMMYFUNCTION("""COMPUTED_VALUE"""),"Live")</f>
        <v>Live</v>
      </c>
      <c r="H684" s="5"/>
      <c r="I684" s="5" t="str">
        <f ca="1">IFERROR(__xludf.DUMMYFUNCTION("""COMPUTED_VALUE"""),"TipTop")</f>
        <v>TipTop</v>
      </c>
      <c r="J684" s="5" t="str">
        <f ca="1">IFERROR(__xludf.DUMMYFUNCTION("""COMPUTED_VALUE"""),"JSON")</f>
        <v>JSON</v>
      </c>
      <c r="K684" s="5" t="str">
        <f ca="1">IFERROR(__xludf.DUMMYFUNCTION("""COMPUTED_VALUE"""),"Slot")</f>
        <v>Slot</v>
      </c>
      <c r="L684" s="5" t="str">
        <f ca="1">IFERROR(__xludf.DUMMYFUNCTION("""COMPUTED_VALUE"""),"Master")</f>
        <v>Master</v>
      </c>
      <c r="M684" s="5"/>
      <c r="N684" s="5"/>
      <c r="O684" s="5"/>
      <c r="P684" s="14">
        <f ca="1">IFERROR(__xludf.DUMMYFUNCTION("""COMPUTED_VALUE"""),11.3)</f>
        <v>11.3</v>
      </c>
      <c r="Q684" s="15">
        <f ca="1">IFERROR(__xludf.DUMMYFUNCTION("""COMPUTED_VALUE"""),46139)</f>
        <v>46139</v>
      </c>
      <c r="R684" s="15">
        <f ca="1">IFERROR(__xludf.DUMMYFUNCTION("""COMPUTED_VALUE"""),46141)</f>
        <v>46141</v>
      </c>
      <c r="S684" s="15">
        <f ca="1">IFERROR(__xludf.DUMMYFUNCTION("""COMPUTED_VALUE"""),46148)</f>
        <v>46148</v>
      </c>
      <c r="T684" s="5" t="b">
        <f ca="1">IFERROR(__xludf.DUMMYFUNCTION("""COMPUTED_VALUE"""),TRUE)</f>
        <v>1</v>
      </c>
      <c r="U684" s="5" t="str">
        <f ca="1">IFERROR(__xludf.DUMMYFUNCTION("""COMPUTED_VALUE"""),"5x4")</f>
        <v>5x4</v>
      </c>
      <c r="V684" s="5">
        <f ca="1">IFERROR(__xludf.DUMMYFUNCTION("""COMPUTED_VALUE"""),20)</f>
        <v>20</v>
      </c>
      <c r="W684" s="5">
        <f ca="1">IFERROR(__xludf.DUMMYFUNCTION("""COMPUTED_VALUE"""),20)</f>
        <v>20</v>
      </c>
      <c r="X684" s="5">
        <f ca="1">IFERROR(__xludf.DUMMYFUNCTION("""COMPUTED_VALUE"""),96)</f>
        <v>96</v>
      </c>
      <c r="Y684" s="5" t="str">
        <f ca="1">IFERROR(__xludf.DUMMYFUNCTION("""COMPUTED_VALUE"""),"Low")</f>
        <v>Low</v>
      </c>
      <c r="Z684" s="5">
        <f ca="1">IFERROR(__xludf.DUMMYFUNCTION("""COMPUTED_VALUE"""),11.93)</f>
        <v>11.93</v>
      </c>
      <c r="AA684" s="5">
        <f ca="1">IFERROR(__xludf.DUMMYFUNCTION("""COMPUTED_VALUE"""),10000)</f>
        <v>10000</v>
      </c>
      <c r="AB684" s="5"/>
      <c r="AC684" s="5"/>
      <c r="AD684" s="5" t="str">
        <f ca="1">IFERROR(__xludf.DUMMYFUNCTION("""COMPUTED_VALUE"""),"0.05/100")</f>
        <v>0.05/100</v>
      </c>
      <c r="AE684" s="5"/>
      <c r="AF684" s="5"/>
      <c r="AG684" s="10">
        <f ca="1">IFERROR(__xludf.DUMMYFUNCTION("""COMPUTED_VALUE"""),46197.5132986111)</f>
        <v>46197.513298611098</v>
      </c>
      <c r="AH684" s="5" t="str">
        <f ca="1">IFERROR(__xludf.DUMMYFUNCTION("""COMPUTED_VALUE"""),"selena.mihajlovic@fazi.rs")</f>
        <v>selena.mihajlovic@fazi.rs</v>
      </c>
      <c r="AI684" s="5"/>
      <c r="AJ684" s="5"/>
      <c r="AK684" s="5">
        <f ca="1">IFERROR(__xludf.DUMMYFUNCTION("""COMPUTED_VALUE"""),20)</f>
        <v>20</v>
      </c>
      <c r="AL684" s="5" t="str">
        <f ca="1">IFERROR(__xludf.DUMMYFUNCTION("""COMPUTED_VALUE"""),"No")</f>
        <v>No</v>
      </c>
      <c r="AM684" s="5"/>
      <c r="AN684" s="7" t="str">
        <f ca="1">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AO684" s="5"/>
      <c r="AP684" s="5"/>
      <c r="AQ684" s="5" t="b">
        <f ca="1">IFERROR(__xludf.DUMMYFUNCTION("""COMPUTED_VALUE"""),TRUE)</f>
        <v>1</v>
      </c>
      <c r="AR684" s="5"/>
      <c r="AS684" s="5" t="str">
        <f ca="1">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AT684" s="5"/>
      <c r="AU684" s="5" t="str">
        <f ca="1">IFERROR(__xludf.DUMMYFUNCTION("""COMPUTED_VALUE"""),"Tiptop")</f>
        <v>Tiptop</v>
      </c>
      <c r="AV684" s="5"/>
      <c r="AW684" s="5"/>
      <c r="AX684" s="15">
        <f ca="1">IFERROR(__xludf.DUMMYFUNCTION("""COMPUTED_VALUE"""),46133)</f>
        <v>46133</v>
      </c>
      <c r="AY684" s="5"/>
      <c r="AZ684" s="5"/>
      <c r="BA684" s="5"/>
      <c r="BB684" s="5" t="b">
        <f ca="1">IFERROR(__xludf.DUMMYFUNCTION("""COMPUTED_VALUE"""),TRUE)</f>
        <v>1</v>
      </c>
      <c r="BC684" s="5" t="str">
        <f ca="1">IFERROR(__xludf.DUMMYFUNCTION("""COMPUTED_VALUE"""),"Tiptop")</f>
        <v>Tiptop</v>
      </c>
      <c r="BD684" s="7" t="str">
        <f ca="1">IFERROR(__xludf.DUMMYFUNCTION("""COMPUTED_VALUE"""),"https://gameserver-store-client-area.orbionlimited.com/Home/IntegrationGameLaunch/client-area?moneyType=0&amp;gameName=UnicornMoneyStandardJackpot&amp;platform=desktop&amp;languageCode=eng&amp;currency=EUR")</f>
        <v>https://gameserver-store-client-area.orbionlimited.com/Home/IntegrationGameLaunch/client-area?moneyType=0&amp;gameName=UnicornMoneyStandardJackpot&amp;platform=desktop&amp;languageCode=eng&amp;currency=EUR</v>
      </c>
      <c r="BE684" s="5" t="b">
        <f ca="1">IFERROR(__xludf.DUMMYFUNCTION("""COMPUTED_VALUE"""),TRUE)</f>
        <v>1</v>
      </c>
    </row>
    <row r="685" spans="1:57" x14ac:dyDescent="0.25">
      <c r="A685" s="5">
        <f ca="1">IFERROR(__xludf.DUMMYFUNCTION("""COMPUTED_VALUE"""),720)</f>
        <v>720</v>
      </c>
      <c r="B685" s="5">
        <f ca="1">IFERROR(__xludf.DUMMYFUNCTION("""COMPUTED_VALUE"""),4000015)</f>
        <v>4000015</v>
      </c>
      <c r="C685" s="5" t="str">
        <f ca="1">IFERROR(__xludf.DUMMYFUNCTION("""COMPUTED_VALUE"""),"Tiptop")</f>
        <v>Tiptop</v>
      </c>
      <c r="D685" s="5" t="str">
        <f ca="1">IFERROR(__xludf.DUMMYFUNCTION("""COMPUTED_VALUE"""),"Shiny Fireballs")</f>
        <v>Shiny Fireballs</v>
      </c>
      <c r="E685" s="5" t="str">
        <f ca="1">IFERROR(__xludf.DUMMYFUNCTION("""COMPUTED_VALUE"""),"TipTop")</f>
        <v>TipTop</v>
      </c>
      <c r="F685" s="5" t="str">
        <f ca="1">IFERROR(__xludf.DUMMYFUNCTION("""COMPUTED_VALUE"""),"UnicornShinyFireballs")</f>
        <v>UnicornShinyFireballs</v>
      </c>
      <c r="G685" s="5" t="str">
        <f ca="1">IFERROR(__xludf.DUMMYFUNCTION("""COMPUTED_VALUE"""),"Live")</f>
        <v>Live</v>
      </c>
      <c r="H685" s="5"/>
      <c r="I685" s="5" t="str">
        <f ca="1">IFERROR(__xludf.DUMMYFUNCTION("""COMPUTED_VALUE"""),"TipTop")</f>
        <v>TipTop</v>
      </c>
      <c r="J685" s="5" t="str">
        <f ca="1">IFERROR(__xludf.DUMMYFUNCTION("""COMPUTED_VALUE"""),"JSON")</f>
        <v>JSON</v>
      </c>
      <c r="K685" s="5" t="str">
        <f ca="1">IFERROR(__xludf.DUMMYFUNCTION("""COMPUTED_VALUE"""),"Slot")</f>
        <v>Slot</v>
      </c>
      <c r="L685" s="5" t="str">
        <f ca="1">IFERROR(__xludf.DUMMYFUNCTION("""COMPUTED_VALUE"""),"Master")</f>
        <v>Master</v>
      </c>
      <c r="M685" s="5"/>
      <c r="N685" s="5"/>
      <c r="O685" s="5"/>
      <c r="P685" s="14">
        <f ca="1">IFERROR(__xludf.DUMMYFUNCTION("""COMPUTED_VALUE"""),16.19)</f>
        <v>16.190000000000001</v>
      </c>
      <c r="Q685" s="15">
        <f ca="1">IFERROR(__xludf.DUMMYFUNCTION("""COMPUTED_VALUE"""),46153)</f>
        <v>46153</v>
      </c>
      <c r="R685" s="15">
        <f ca="1">IFERROR(__xludf.DUMMYFUNCTION("""COMPUTED_VALUE"""),46148)</f>
        <v>46148</v>
      </c>
      <c r="S685" s="15">
        <f ca="1">IFERROR(__xludf.DUMMYFUNCTION("""COMPUTED_VALUE"""),46155)</f>
        <v>46155</v>
      </c>
      <c r="T685" s="5" t="b">
        <f ca="1">IFERROR(__xludf.DUMMYFUNCTION("""COMPUTED_VALUE"""),TRUE)</f>
        <v>1</v>
      </c>
      <c r="U685" s="5" t="str">
        <f ca="1">IFERROR(__xludf.DUMMYFUNCTION("""COMPUTED_VALUE"""),"5x3")</f>
        <v>5x3</v>
      </c>
      <c r="V685" s="5">
        <f ca="1">IFERROR(__xludf.DUMMYFUNCTION("""COMPUTED_VALUE"""),10)</f>
        <v>10</v>
      </c>
      <c r="W685" s="5">
        <f ca="1">IFERROR(__xludf.DUMMYFUNCTION("""COMPUTED_VALUE"""),10)</f>
        <v>10</v>
      </c>
      <c r="X685" s="5">
        <f ca="1">IFERROR(__xludf.DUMMYFUNCTION("""COMPUTED_VALUE"""),96)</f>
        <v>96</v>
      </c>
      <c r="Y685" s="5" t="str">
        <f ca="1">IFERROR(__xludf.DUMMYFUNCTION("""COMPUTED_VALUE"""),"Low")</f>
        <v>Low</v>
      </c>
      <c r="Z685" s="5">
        <f ca="1">IFERROR(__xludf.DUMMYFUNCTION("""COMPUTED_VALUE"""),15)</f>
        <v>15</v>
      </c>
      <c r="AA685" s="5">
        <f ca="1">IFERROR(__xludf.DUMMYFUNCTION("""COMPUTED_VALUE"""),1615)</f>
        <v>1615</v>
      </c>
      <c r="AB685" s="5"/>
      <c r="AC685" s="5"/>
      <c r="AD685" s="5" t="str">
        <f ca="1">IFERROR(__xludf.DUMMYFUNCTION("""COMPUTED_VALUE"""),"0.05/100")</f>
        <v>0.05/100</v>
      </c>
      <c r="AE685" s="5"/>
      <c r="AF685" s="5"/>
      <c r="AG685" s="10">
        <f ca="1">IFERROR(__xludf.DUMMYFUNCTION("""COMPUTED_VALUE"""),46197.5134722222)</f>
        <v>46197.513472222199</v>
      </c>
      <c r="AH685" s="5" t="str">
        <f ca="1">IFERROR(__xludf.DUMMYFUNCTION("""COMPUTED_VALUE"""),"selena.mihajlovic@fazi.rs")</f>
        <v>selena.mihajlovic@fazi.rs</v>
      </c>
      <c r="AI685" s="5"/>
      <c r="AJ685" s="5"/>
      <c r="AK685" s="5">
        <f ca="1">IFERROR(__xludf.DUMMYFUNCTION("""COMPUTED_VALUE"""),10)</f>
        <v>10</v>
      </c>
      <c r="AL685" s="5" t="str">
        <f ca="1">IFERROR(__xludf.DUMMYFUNCTION("""COMPUTED_VALUE"""),"No")</f>
        <v>No</v>
      </c>
      <c r="AM685" s="5"/>
      <c r="AN685" s="7" t="str">
        <f ca="1">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AO685" s="5"/>
      <c r="AP685" s="5"/>
      <c r="AQ685" s="5" t="b">
        <f ca="1">IFERROR(__xludf.DUMMYFUNCTION("""COMPUTED_VALUE"""),TRUE)</f>
        <v>1</v>
      </c>
      <c r="AR685" s="5"/>
      <c r="AS685" s="5" t="str">
        <f ca="1">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AT685" s="5"/>
      <c r="AU685" s="5" t="str">
        <f ca="1">IFERROR(__xludf.DUMMYFUNCTION("""COMPUTED_VALUE"""),"Tiptop")</f>
        <v>Tiptop</v>
      </c>
      <c r="AV685" s="5"/>
      <c r="AW685" s="5"/>
      <c r="AX685" s="15">
        <f ca="1">IFERROR(__xludf.DUMMYFUNCTION("""COMPUTED_VALUE"""),46147)</f>
        <v>46147</v>
      </c>
      <c r="AY685" s="5"/>
      <c r="AZ685" s="5"/>
      <c r="BA685" s="5"/>
      <c r="BB685" s="5" t="b">
        <f ca="1">IFERROR(__xludf.DUMMYFUNCTION("""COMPUTED_VALUE"""),TRUE)</f>
        <v>1</v>
      </c>
      <c r="BC685" s="5" t="str">
        <f ca="1">IFERROR(__xludf.DUMMYFUNCTION("""COMPUTED_VALUE"""),"Tiptop")</f>
        <v>Tiptop</v>
      </c>
      <c r="BD685" s="7" t="str">
        <f ca="1">IFERROR(__xludf.DUMMYFUNCTION("""COMPUTED_VALUE"""),"https://gameserver-store-client-area.orbionlimited.com/Home/IntegrationGameLaunch/client-area?moneyType=0&amp;gameName=UnicornShinyFireballs&amp;platform=desktop&amp;languageCode=eng&amp;currency=EUR")</f>
        <v>https://gameserver-store-client-area.orbionlimited.com/Home/IntegrationGameLaunch/client-area?moneyType=0&amp;gameName=UnicornShinyFireballs&amp;platform=desktop&amp;languageCode=eng&amp;currency=EUR</v>
      </c>
      <c r="BE685" s="5" t="b">
        <f ca="1">IFERROR(__xludf.DUMMYFUNCTION("""COMPUTED_VALUE"""),TRUE)</f>
        <v>1</v>
      </c>
    </row>
    <row r="686" spans="1:57" x14ac:dyDescent="0.25">
      <c r="A686" s="5">
        <f ca="1">IFERROR(__xludf.DUMMYFUNCTION("""COMPUTED_VALUE"""),721)</f>
        <v>721</v>
      </c>
      <c r="B686" s="5">
        <f ca="1">IFERROR(__xludf.DUMMYFUNCTION("""COMPUTED_VALUE"""),4000016)</f>
        <v>4000016</v>
      </c>
      <c r="C686" s="5" t="str">
        <f ca="1">IFERROR(__xludf.DUMMYFUNCTION("""COMPUTED_VALUE"""),"Tiptop")</f>
        <v>Tiptop</v>
      </c>
      <c r="D686" s="5" t="str">
        <f ca="1">IFERROR(__xludf.DUMMYFUNCTION("""COMPUTED_VALUE"""),"Hot Eighty One")</f>
        <v>Hot Eighty One</v>
      </c>
      <c r="E686" s="5" t="str">
        <f ca="1">IFERROR(__xludf.DUMMYFUNCTION("""COMPUTED_VALUE"""),"TipTop")</f>
        <v>TipTop</v>
      </c>
      <c r="F686" s="5" t="str">
        <f ca="1">IFERROR(__xludf.DUMMYFUNCTION("""COMPUTED_VALUE"""),"UnicornHotEightyOne")</f>
        <v>UnicornHotEightyOne</v>
      </c>
      <c r="G686" s="5" t="str">
        <f ca="1">IFERROR(__xludf.DUMMYFUNCTION("""COMPUTED_VALUE"""),"Live")</f>
        <v>Live</v>
      </c>
      <c r="H686" s="5"/>
      <c r="I686" s="5" t="str">
        <f ca="1">IFERROR(__xludf.DUMMYFUNCTION("""COMPUTED_VALUE"""),"TipTop")</f>
        <v>TipTop</v>
      </c>
      <c r="J686" s="5" t="str">
        <f ca="1">IFERROR(__xludf.DUMMYFUNCTION("""COMPUTED_VALUE"""),"JSON")</f>
        <v>JSON</v>
      </c>
      <c r="K686" s="5" t="str">
        <f ca="1">IFERROR(__xludf.DUMMYFUNCTION("""COMPUTED_VALUE"""),"Slot")</f>
        <v>Slot</v>
      </c>
      <c r="L686" s="5" t="str">
        <f ca="1">IFERROR(__xludf.DUMMYFUNCTION("""COMPUTED_VALUE"""),"Master")</f>
        <v>Master</v>
      </c>
      <c r="M686" s="5"/>
      <c r="N686" s="5"/>
      <c r="O686" s="5"/>
      <c r="P686" s="14">
        <f ca="1">IFERROR(__xludf.DUMMYFUNCTION("""COMPUTED_VALUE"""),11.8)</f>
        <v>11.8</v>
      </c>
      <c r="Q686" s="15">
        <f ca="1">IFERROR(__xludf.DUMMYFUNCTION("""COMPUTED_VALUE"""),46153)</f>
        <v>46153</v>
      </c>
      <c r="R686" s="15">
        <f ca="1">IFERROR(__xludf.DUMMYFUNCTION("""COMPUTED_VALUE"""),46155)</f>
        <v>46155</v>
      </c>
      <c r="S686" s="15">
        <f ca="1">IFERROR(__xludf.DUMMYFUNCTION("""COMPUTED_VALUE"""),46162)</f>
        <v>46162</v>
      </c>
      <c r="T686" s="5" t="b">
        <f ca="1">IFERROR(__xludf.DUMMYFUNCTION("""COMPUTED_VALUE"""),TRUE)</f>
        <v>1</v>
      </c>
      <c r="U686" s="5" t="str">
        <f ca="1">IFERROR(__xludf.DUMMYFUNCTION("""COMPUTED_VALUE"""),"4x3")</f>
        <v>4x3</v>
      </c>
      <c r="V686" s="5">
        <f ca="1">IFERROR(__xludf.DUMMYFUNCTION("""COMPUTED_VALUE"""),81)</f>
        <v>81</v>
      </c>
      <c r="W686" s="5">
        <f ca="1">IFERROR(__xludf.DUMMYFUNCTION("""COMPUTED_VALUE"""),81)</f>
        <v>81</v>
      </c>
      <c r="X686" s="5">
        <f ca="1">IFERROR(__xludf.DUMMYFUNCTION("""COMPUTED_VALUE"""),96)</f>
        <v>96</v>
      </c>
      <c r="Y686" s="5" t="str">
        <f ca="1">IFERROR(__xludf.DUMMYFUNCTION("""COMPUTED_VALUE"""),"Low")</f>
        <v>Low</v>
      </c>
      <c r="Z686" s="5">
        <f ca="1">IFERROR(__xludf.DUMMYFUNCTION("""COMPUTED_VALUE"""),10.5)</f>
        <v>10.5</v>
      </c>
      <c r="AA686" s="5">
        <f ca="1">IFERROR(__xludf.DUMMYFUNCTION("""COMPUTED_VALUE"""),8400)</f>
        <v>8400</v>
      </c>
      <c r="AB686" s="5"/>
      <c r="AC686" s="5"/>
      <c r="AD686" s="5" t="str">
        <f ca="1">IFERROR(__xludf.DUMMYFUNCTION("""COMPUTED_VALUE"""),"0.05/100")</f>
        <v>0.05/100</v>
      </c>
      <c r="AE686" s="5"/>
      <c r="AF686" s="5"/>
      <c r="AG686" s="10">
        <f ca="1">IFERROR(__xludf.DUMMYFUNCTION("""COMPUTED_VALUE"""),46197.5136342592)</f>
        <v>46197.513634259201</v>
      </c>
      <c r="AH686" s="5" t="str">
        <f ca="1">IFERROR(__xludf.DUMMYFUNCTION("""COMPUTED_VALUE"""),"selena.mihajlovic@fazi.rs")</f>
        <v>selena.mihajlovic@fazi.rs</v>
      </c>
      <c r="AI686" s="5"/>
      <c r="AJ686" s="5"/>
      <c r="AK686" s="5">
        <f ca="1">IFERROR(__xludf.DUMMYFUNCTION("""COMPUTED_VALUE"""),5)</f>
        <v>5</v>
      </c>
      <c r="AL686" s="5" t="str">
        <f ca="1">IFERROR(__xludf.DUMMYFUNCTION("""COMPUTED_VALUE"""),"No")</f>
        <v>No</v>
      </c>
      <c r="AM686" s="5"/>
      <c r="AN686" s="7" t="str">
        <f ca="1">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AO686" s="5"/>
      <c r="AP686" s="5"/>
      <c r="AQ686" s="5" t="b">
        <f ca="1">IFERROR(__xludf.DUMMYFUNCTION("""COMPUTED_VALUE"""),TRUE)</f>
        <v>1</v>
      </c>
      <c r="AR686" s="5"/>
      <c r="AS686" s="5" t="str">
        <f ca="1">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AT686" s="5"/>
      <c r="AU686" s="5" t="str">
        <f ca="1">IFERROR(__xludf.DUMMYFUNCTION("""COMPUTED_VALUE"""),"Tiptop")</f>
        <v>Tiptop</v>
      </c>
      <c r="AV686" s="5"/>
      <c r="AW686" s="5"/>
      <c r="AX686" s="15">
        <f ca="1">IFERROR(__xludf.DUMMYFUNCTION("""COMPUTED_VALUE"""),46147)</f>
        <v>46147</v>
      </c>
      <c r="AY686" s="5"/>
      <c r="AZ686" s="5"/>
      <c r="BA686" s="5"/>
      <c r="BB686" s="5" t="b">
        <f ca="1">IFERROR(__xludf.DUMMYFUNCTION("""COMPUTED_VALUE"""),TRUE)</f>
        <v>1</v>
      </c>
      <c r="BC686" s="5" t="str">
        <f ca="1">IFERROR(__xludf.DUMMYFUNCTION("""COMPUTED_VALUE"""),"Tiptop")</f>
        <v>Tiptop</v>
      </c>
      <c r="BD686" s="7" t="str">
        <f ca="1">IFERROR(__xludf.DUMMYFUNCTION("""COMPUTED_VALUE"""),"https://gameserver-store-client-area.orbionlimited.com/Home/IntegrationGameLaunch/client-area?moneyType=0&amp;gameName=UnicornHotEightyOne&amp;platform=desktop&amp;languageCode=eng&amp;currency=EUR")</f>
        <v>https://gameserver-store-client-area.orbionlimited.com/Home/IntegrationGameLaunch/client-area?moneyType=0&amp;gameName=UnicornHotEightyOne&amp;platform=desktop&amp;languageCode=eng&amp;currency=EUR</v>
      </c>
      <c r="BE686" s="5" t="b">
        <f ca="1">IFERROR(__xludf.DUMMYFUNCTION("""COMPUTED_VALUE"""),TRUE)</f>
        <v>1</v>
      </c>
    </row>
    <row r="687" spans="1:57" x14ac:dyDescent="0.25">
      <c r="A687" s="5">
        <f ca="1">IFERROR(__xludf.DUMMYFUNCTION("""COMPUTED_VALUE"""),722)</f>
        <v>722</v>
      </c>
      <c r="B687" s="5">
        <f ca="1">IFERROR(__xludf.DUMMYFUNCTION("""COMPUTED_VALUE"""),4000017)</f>
        <v>4000017</v>
      </c>
      <c r="C687" s="5" t="str">
        <f ca="1">IFERROR(__xludf.DUMMYFUNCTION("""COMPUTED_VALUE"""),"Tiptop")</f>
        <v>Tiptop</v>
      </c>
      <c r="D687" s="5" t="str">
        <f ca="1">IFERROR(__xludf.DUMMYFUNCTION("""COMPUTED_VALUE"""),"Hot Firedice")</f>
        <v>Hot Firedice</v>
      </c>
      <c r="E687" s="5" t="str">
        <f ca="1">IFERROR(__xludf.DUMMYFUNCTION("""COMPUTED_VALUE"""),"TipTop")</f>
        <v>TipTop</v>
      </c>
      <c r="F687" s="5" t="str">
        <f ca="1">IFERROR(__xludf.DUMMYFUNCTION("""COMPUTED_VALUE"""),"UnicornHotFiredice")</f>
        <v>UnicornHotFiredice</v>
      </c>
      <c r="G687" s="5" t="str">
        <f ca="1">IFERROR(__xludf.DUMMYFUNCTION("""COMPUTED_VALUE"""),"Live")</f>
        <v>Live</v>
      </c>
      <c r="H687" s="5"/>
      <c r="I687" s="5" t="str">
        <f ca="1">IFERROR(__xludf.DUMMYFUNCTION("""COMPUTED_VALUE"""),"TipTop")</f>
        <v>TipTop</v>
      </c>
      <c r="J687" s="5" t="str">
        <f ca="1">IFERROR(__xludf.DUMMYFUNCTION("""COMPUTED_VALUE"""),"JSON")</f>
        <v>JSON</v>
      </c>
      <c r="K687" s="5" t="str">
        <f ca="1">IFERROR(__xludf.DUMMYFUNCTION("""COMPUTED_VALUE"""),"Dice Slots")</f>
        <v>Dice Slots</v>
      </c>
      <c r="L687" s="5" t="str">
        <f ca="1">IFERROR(__xludf.DUMMYFUNCTION("""COMPUTED_VALUE""")," Clone")</f>
        <v xml:space="preserve"> Clone</v>
      </c>
      <c r="M687" s="5" t="str">
        <f ca="1">IFERROR(__xludf.DUMMYFUNCTION("""COMPUTED_VALUE"""),"Hot Fireballs")</f>
        <v>Hot Fireballs</v>
      </c>
      <c r="N687" s="5"/>
      <c r="O687" s="5"/>
      <c r="P687" s="14">
        <f ca="1">IFERROR(__xludf.DUMMYFUNCTION("""COMPUTED_VALUE"""),15.44)</f>
        <v>15.44</v>
      </c>
      <c r="Q687" s="15">
        <f ca="1">IFERROR(__xludf.DUMMYFUNCTION("""COMPUTED_VALUE"""),46167)</f>
        <v>46167</v>
      </c>
      <c r="R687" s="15">
        <f ca="1">IFERROR(__xludf.DUMMYFUNCTION("""COMPUTED_VALUE"""),46162)</f>
        <v>46162</v>
      </c>
      <c r="S687" s="15">
        <f ca="1">IFERROR(__xludf.DUMMYFUNCTION("""COMPUTED_VALUE"""),46169)</f>
        <v>46169</v>
      </c>
      <c r="T687" s="5" t="b">
        <f ca="1">IFERROR(__xludf.DUMMYFUNCTION("""COMPUTED_VALUE"""),TRUE)</f>
        <v>1</v>
      </c>
      <c r="U687" s="5" t="str">
        <f ca="1">IFERROR(__xludf.DUMMYFUNCTION("""COMPUTED_VALUE"""),"5x3")</f>
        <v>5x3</v>
      </c>
      <c r="V687" s="5">
        <f ca="1">IFERROR(__xludf.DUMMYFUNCTION("""COMPUTED_VALUE"""),5)</f>
        <v>5</v>
      </c>
      <c r="W687" s="5">
        <f ca="1">IFERROR(__xludf.DUMMYFUNCTION("""COMPUTED_VALUE"""),5)</f>
        <v>5</v>
      </c>
      <c r="X687" s="5">
        <f ca="1">IFERROR(__xludf.DUMMYFUNCTION("""COMPUTED_VALUE"""),96)</f>
        <v>96</v>
      </c>
      <c r="Y687" s="5" t="str">
        <f ca="1">IFERROR(__xludf.DUMMYFUNCTION("""COMPUTED_VALUE"""),"Low")</f>
        <v>Low</v>
      </c>
      <c r="Z687" s="5">
        <f ca="1">IFERROR(__xludf.DUMMYFUNCTION("""COMPUTED_VALUE"""),15.33)</f>
        <v>15.33</v>
      </c>
      <c r="AA687" s="5">
        <f ca="1">IFERROR(__xludf.DUMMYFUNCTION("""COMPUTED_VALUE"""),1260)</f>
        <v>1260</v>
      </c>
      <c r="AB687" s="5"/>
      <c r="AC687" s="5"/>
      <c r="AD687" s="5" t="str">
        <f ca="1">IFERROR(__xludf.DUMMYFUNCTION("""COMPUTED_VALUE"""),"0.01/100")</f>
        <v>0.01/100</v>
      </c>
      <c r="AE687" s="5"/>
      <c r="AF687" s="5"/>
      <c r="AG687" s="10">
        <f ca="1">IFERROR(__xludf.DUMMYFUNCTION("""COMPUTED_VALUE"""),46197.5137731481)</f>
        <v>46197.513773148101</v>
      </c>
      <c r="AH687" s="5" t="str">
        <f ca="1">IFERROR(__xludf.DUMMYFUNCTION("""COMPUTED_VALUE"""),"selena.mihajlovic@fazi.rs")</f>
        <v>selena.mihajlovic@fazi.rs</v>
      </c>
      <c r="AI687" s="5"/>
      <c r="AJ687" s="5"/>
      <c r="AK687" s="5">
        <f ca="1">IFERROR(__xludf.DUMMYFUNCTION("""COMPUTED_VALUE"""),5)</f>
        <v>5</v>
      </c>
      <c r="AL687" s="5" t="str">
        <f ca="1">IFERROR(__xludf.DUMMYFUNCTION("""COMPUTED_VALUE"""),"No")</f>
        <v>No</v>
      </c>
      <c r="AM687" s="5"/>
      <c r="AN687" s="7" t="str">
        <f ca="1">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AO687" s="5"/>
      <c r="AP687" s="5"/>
      <c r="AQ687" s="5" t="b">
        <f ca="1">IFERROR(__xludf.DUMMYFUNCTION("""COMPUTED_VALUE"""),TRUE)</f>
        <v>1</v>
      </c>
      <c r="AR687" s="5"/>
      <c r="AS687" s="5" t="str">
        <f ca="1">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AT687" s="5"/>
      <c r="AU687" s="5" t="str">
        <f ca="1">IFERROR(__xludf.DUMMYFUNCTION("""COMPUTED_VALUE"""),"Tiptop")</f>
        <v>Tiptop</v>
      </c>
      <c r="AV687" s="5">
        <f ca="1">IFERROR(__xludf.DUMMYFUNCTION("""COMPUTED_VALUE"""),1)</f>
        <v>1</v>
      </c>
      <c r="AW687" s="5"/>
      <c r="AX687" s="15">
        <f ca="1">IFERROR(__xludf.DUMMYFUNCTION("""COMPUTED_VALUE"""),46161)</f>
        <v>46161</v>
      </c>
      <c r="AY687" s="5"/>
      <c r="AZ687" s="5"/>
      <c r="BA687" s="5"/>
      <c r="BB687" s="5" t="b">
        <f ca="1">IFERROR(__xludf.DUMMYFUNCTION("""COMPUTED_VALUE"""),TRUE)</f>
        <v>1</v>
      </c>
      <c r="BC687" s="5" t="str">
        <f ca="1">IFERROR(__xludf.DUMMYFUNCTION("""COMPUTED_VALUE"""),"Tiptop")</f>
        <v>Tiptop</v>
      </c>
      <c r="BD687" s="7" t="str">
        <f ca="1">IFERROR(__xludf.DUMMYFUNCTION("""COMPUTED_VALUE"""),"https://gameserver-store-client-area.orbionlimited.com/Home/IntegrationGameLaunch/client-area?moneyType=0&amp;gameName=UnicornHotFiredice&amp;platform=desktop&amp;languageCode=eng&amp;currency=EUR")</f>
        <v>https://gameserver-store-client-area.orbionlimited.com/Home/IntegrationGameLaunch/client-area?moneyType=0&amp;gameName=UnicornHotFiredice&amp;platform=desktop&amp;languageCode=eng&amp;currency=EUR</v>
      </c>
      <c r="BE687" s="5" t="b">
        <f ca="1">IFERROR(__xludf.DUMMYFUNCTION("""COMPUTED_VALUE"""),TRUE)</f>
        <v>1</v>
      </c>
    </row>
    <row r="688" spans="1:57" x14ac:dyDescent="0.25">
      <c r="A688" s="5">
        <f ca="1">IFERROR(__xludf.DUMMYFUNCTION("""COMPUTED_VALUE"""),723)</f>
        <v>723</v>
      </c>
      <c r="B688" s="5">
        <f ca="1">IFERROR(__xludf.DUMMYFUNCTION("""COMPUTED_VALUE"""),4000018)</f>
        <v>4000018</v>
      </c>
      <c r="C688" s="5" t="str">
        <f ca="1">IFERROR(__xludf.DUMMYFUNCTION("""COMPUTED_VALUE"""),"Tiptop")</f>
        <v>Tiptop</v>
      </c>
      <c r="D688" s="5" t="str">
        <f ca="1">IFERROR(__xludf.DUMMYFUNCTION("""COMPUTED_VALUE"""),"Mystic Treasure")</f>
        <v>Mystic Treasure</v>
      </c>
      <c r="E688" s="5" t="str">
        <f ca="1">IFERROR(__xludf.DUMMYFUNCTION("""COMPUTED_VALUE"""),"TipTop")</f>
        <v>TipTop</v>
      </c>
      <c r="F688" s="5" t="str">
        <f ca="1">IFERROR(__xludf.DUMMYFUNCTION("""COMPUTED_VALUE"""),"UnicornMysticTreasure")</f>
        <v>UnicornMysticTreasure</v>
      </c>
      <c r="G688" s="5" t="str">
        <f ca="1">IFERROR(__xludf.DUMMYFUNCTION("""COMPUTED_VALUE"""),"Live")</f>
        <v>Live</v>
      </c>
      <c r="H688" s="5"/>
      <c r="I688" s="5" t="str">
        <f ca="1">IFERROR(__xludf.DUMMYFUNCTION("""COMPUTED_VALUE"""),"TipTop")</f>
        <v>TipTop</v>
      </c>
      <c r="J688" s="5" t="str">
        <f ca="1">IFERROR(__xludf.DUMMYFUNCTION("""COMPUTED_VALUE"""),"JSON")</f>
        <v>JSON</v>
      </c>
      <c r="K688" s="5" t="str">
        <f ca="1">IFERROR(__xludf.DUMMYFUNCTION("""COMPUTED_VALUE"""),"Slot")</f>
        <v>Slot</v>
      </c>
      <c r="L688" s="5" t="str">
        <f ca="1">IFERROR(__xludf.DUMMYFUNCTION("""COMPUTED_VALUE"""),"Master")</f>
        <v>Master</v>
      </c>
      <c r="M688" s="5"/>
      <c r="N688" s="5"/>
      <c r="O688" s="5"/>
      <c r="P688" s="14">
        <f ca="1">IFERROR(__xludf.DUMMYFUNCTION("""COMPUTED_VALUE"""),12.62)</f>
        <v>12.62</v>
      </c>
      <c r="Q688" s="15">
        <f ca="1">IFERROR(__xludf.DUMMYFUNCTION("""COMPUTED_VALUE"""),46181)</f>
        <v>46181</v>
      </c>
      <c r="R688" s="15">
        <f ca="1">IFERROR(__xludf.DUMMYFUNCTION("""COMPUTED_VALUE"""),46176)</f>
        <v>46176</v>
      </c>
      <c r="S688" s="15">
        <f ca="1">IFERROR(__xludf.DUMMYFUNCTION("""COMPUTED_VALUE"""),46183)</f>
        <v>46183</v>
      </c>
      <c r="T688" s="5" t="b">
        <f ca="1">IFERROR(__xludf.DUMMYFUNCTION("""COMPUTED_VALUE"""),TRUE)</f>
        <v>1</v>
      </c>
      <c r="U688" s="5" t="str">
        <f ca="1">IFERROR(__xludf.DUMMYFUNCTION("""COMPUTED_VALUE"""),"5x3")</f>
        <v>5x3</v>
      </c>
      <c r="V688" s="5">
        <f ca="1">IFERROR(__xludf.DUMMYFUNCTION("""COMPUTED_VALUE"""),5)</f>
        <v>5</v>
      </c>
      <c r="W688" s="5">
        <f ca="1">IFERROR(__xludf.DUMMYFUNCTION("""COMPUTED_VALUE"""),5)</f>
        <v>5</v>
      </c>
      <c r="X688" s="5">
        <f ca="1">IFERROR(__xludf.DUMMYFUNCTION("""COMPUTED_VALUE"""),96)</f>
        <v>96</v>
      </c>
      <c r="Y688" s="5" t="str">
        <f ca="1">IFERROR(__xludf.DUMMYFUNCTION("""COMPUTED_VALUE"""),"Low")</f>
        <v>Low</v>
      </c>
      <c r="Z688" s="5">
        <f ca="1">IFERROR(__xludf.DUMMYFUNCTION("""COMPUTED_VALUE"""),17.6)</f>
        <v>17.600000000000001</v>
      </c>
      <c r="AA688" s="5">
        <f ca="1">IFERROR(__xludf.DUMMYFUNCTION("""COMPUTED_VALUE"""),1400)</f>
        <v>1400</v>
      </c>
      <c r="AB688" s="5"/>
      <c r="AC688" s="5"/>
      <c r="AD688" s="5" t="str">
        <f ca="1">IFERROR(__xludf.DUMMYFUNCTION("""COMPUTED_VALUE"""),"0.01/100")</f>
        <v>0.01/100</v>
      </c>
      <c r="AE688" s="5"/>
      <c r="AF688" s="5"/>
      <c r="AG688" s="10">
        <f ca="1">IFERROR(__xludf.DUMMYFUNCTION("""COMPUTED_VALUE"""),46197.5139814814)</f>
        <v>46197.513981481403</v>
      </c>
      <c r="AH688" s="5" t="str">
        <f ca="1">IFERROR(__xludf.DUMMYFUNCTION("""COMPUTED_VALUE"""),"selena.mihajlovic@fazi.rs")</f>
        <v>selena.mihajlovic@fazi.rs</v>
      </c>
      <c r="AI688" s="5"/>
      <c r="AJ688" s="5"/>
      <c r="AK688" s="5">
        <f ca="1">IFERROR(__xludf.DUMMYFUNCTION("""COMPUTED_VALUE"""),5)</f>
        <v>5</v>
      </c>
      <c r="AL688" s="5" t="str">
        <f ca="1">IFERROR(__xludf.DUMMYFUNCTION("""COMPUTED_VALUE"""),"No")</f>
        <v>No</v>
      </c>
      <c r="AM688" s="5"/>
      <c r="AN688" s="7" t="str">
        <f ca="1">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AO688" s="5"/>
      <c r="AP688" s="5"/>
      <c r="AQ688" s="5" t="b">
        <f ca="1">IFERROR(__xludf.DUMMYFUNCTION("""COMPUTED_VALUE"""),TRUE)</f>
        <v>1</v>
      </c>
      <c r="AR688" s="5"/>
      <c r="AS688" s="5" t="str">
        <f ca="1">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AT688" s="5"/>
      <c r="AU688" s="5" t="str">
        <f ca="1">IFERROR(__xludf.DUMMYFUNCTION("""COMPUTED_VALUE"""),"Tiptop")</f>
        <v>Tiptop</v>
      </c>
      <c r="AV688" s="5">
        <f ca="1">IFERROR(__xludf.DUMMYFUNCTION("""COMPUTED_VALUE"""),1)</f>
        <v>1</v>
      </c>
      <c r="AW688" s="5"/>
      <c r="AX688" s="15">
        <f ca="1">IFERROR(__xludf.DUMMYFUNCTION("""COMPUTED_VALUE"""),46175)</f>
        <v>46175</v>
      </c>
      <c r="AY688" s="5"/>
      <c r="AZ688" s="5"/>
      <c r="BA688" s="5"/>
      <c r="BB688" s="5" t="b">
        <f ca="1">IFERROR(__xludf.DUMMYFUNCTION("""COMPUTED_VALUE"""),TRUE)</f>
        <v>1</v>
      </c>
      <c r="BC688" s="5" t="str">
        <f ca="1">IFERROR(__xludf.DUMMYFUNCTION("""COMPUTED_VALUE"""),"Tiptop")</f>
        <v>Tiptop</v>
      </c>
      <c r="BD688" s="7" t="str">
        <f ca="1">IFERROR(__xludf.DUMMYFUNCTION("""COMPUTED_VALUE"""),"https://gameserver-store-client-area.orbionlimited.com/Home/IntegrationGameLaunch/client-area?moneyType=0&amp;gameName=UnicornMysticTreasure&amp;platform=desktop&amp;languageCode=eng&amp;currency=EUR")</f>
        <v>https://gameserver-store-client-area.orbionlimited.com/Home/IntegrationGameLaunch/client-area?moneyType=0&amp;gameName=UnicornMysticTreasure&amp;platform=desktop&amp;languageCode=eng&amp;currency=EUR</v>
      </c>
      <c r="BE688" s="5" t="b">
        <f ca="1">IFERROR(__xludf.DUMMYFUNCTION("""COMPUTED_VALUE"""),TRUE)</f>
        <v>1</v>
      </c>
    </row>
    <row r="689" spans="1:57" x14ac:dyDescent="0.25">
      <c r="A689" s="5">
        <f ca="1">IFERROR(__xludf.DUMMYFUNCTION("""COMPUTED_VALUE"""),724)</f>
        <v>724</v>
      </c>
      <c r="B689" s="5">
        <f ca="1">IFERROR(__xludf.DUMMYFUNCTION("""COMPUTED_VALUE"""),4000019)</f>
        <v>4000019</v>
      </c>
      <c r="C689" s="5" t="str">
        <f ca="1">IFERROR(__xludf.DUMMYFUNCTION("""COMPUTED_VALUE"""),"Tiptop")</f>
        <v>Tiptop</v>
      </c>
      <c r="D689" s="5" t="str">
        <f ca="1">IFERROR(__xludf.DUMMYFUNCTION("""COMPUTED_VALUE"""),"Golden Gate Dice")</f>
        <v>Golden Gate Dice</v>
      </c>
      <c r="E689" s="5" t="str">
        <f ca="1">IFERROR(__xludf.DUMMYFUNCTION("""COMPUTED_VALUE"""),"TipTop")</f>
        <v>TipTop</v>
      </c>
      <c r="F689" s="5" t="str">
        <f ca="1">IFERROR(__xludf.DUMMYFUNCTION("""COMPUTED_VALUE"""),"UnicornGoldenGateDice")</f>
        <v>UnicornGoldenGateDice</v>
      </c>
      <c r="G689" s="5" t="str">
        <f ca="1">IFERROR(__xludf.DUMMYFUNCTION("""COMPUTED_VALUE"""),"Live")</f>
        <v>Live</v>
      </c>
      <c r="H689" s="5"/>
      <c r="I689" s="5" t="str">
        <f ca="1">IFERROR(__xludf.DUMMYFUNCTION("""COMPUTED_VALUE"""),"TipTop")</f>
        <v>TipTop</v>
      </c>
      <c r="J689" s="5" t="str">
        <f ca="1">IFERROR(__xludf.DUMMYFUNCTION("""COMPUTED_VALUE"""),"JSON")</f>
        <v>JSON</v>
      </c>
      <c r="K689" s="5" t="str">
        <f ca="1">IFERROR(__xludf.DUMMYFUNCTION("""COMPUTED_VALUE"""),"Dice Slots")</f>
        <v>Dice Slots</v>
      </c>
      <c r="L689" s="5" t="str">
        <f ca="1">IFERROR(__xludf.DUMMYFUNCTION("""COMPUTED_VALUE""")," Clone")</f>
        <v xml:space="preserve"> Clone</v>
      </c>
      <c r="M689" s="5" t="str">
        <f ca="1">IFERROR(__xludf.DUMMYFUNCTION("""COMPUTED_VALUE"""),"Golden Gate Fruit")</f>
        <v>Golden Gate Fruit</v>
      </c>
      <c r="N689" s="5"/>
      <c r="O689" s="5"/>
      <c r="P689" s="14">
        <f ca="1">IFERROR(__xludf.DUMMYFUNCTION("""COMPUTED_VALUE"""),12.27)</f>
        <v>12.27</v>
      </c>
      <c r="Q689" s="15">
        <f ca="1">IFERROR(__xludf.DUMMYFUNCTION("""COMPUTED_VALUE"""),46181)</f>
        <v>46181</v>
      </c>
      <c r="R689" s="15">
        <f ca="1">IFERROR(__xludf.DUMMYFUNCTION("""COMPUTED_VALUE"""),46183)</f>
        <v>46183</v>
      </c>
      <c r="S689" s="15">
        <f ca="1">IFERROR(__xludf.DUMMYFUNCTION("""COMPUTED_VALUE"""),46190)</f>
        <v>46190</v>
      </c>
      <c r="T689" s="5" t="b">
        <f ca="1">IFERROR(__xludf.DUMMYFUNCTION("""COMPUTED_VALUE"""),TRUE)</f>
        <v>1</v>
      </c>
      <c r="U689" s="5" t="str">
        <f ca="1">IFERROR(__xludf.DUMMYFUNCTION("""COMPUTED_VALUE"""),"5x3")</f>
        <v>5x3</v>
      </c>
      <c r="V689" s="5">
        <f ca="1">IFERROR(__xludf.DUMMYFUNCTION("""COMPUTED_VALUE"""),5)</f>
        <v>5</v>
      </c>
      <c r="W689" s="5">
        <f ca="1">IFERROR(__xludf.DUMMYFUNCTION("""COMPUTED_VALUE"""),5)</f>
        <v>5</v>
      </c>
      <c r="X689" s="5">
        <f ca="1">IFERROR(__xludf.DUMMYFUNCTION("""COMPUTED_VALUE"""),96)</f>
        <v>96</v>
      </c>
      <c r="Y689" s="5" t="str">
        <f ca="1">IFERROR(__xludf.DUMMYFUNCTION("""COMPUTED_VALUE"""),"Low")</f>
        <v>Low</v>
      </c>
      <c r="Z689" s="5">
        <f ca="1">IFERROR(__xludf.DUMMYFUNCTION("""COMPUTED_VALUE"""),16.38)</f>
        <v>16.38</v>
      </c>
      <c r="AA689" s="5">
        <f ca="1">IFERROR(__xludf.DUMMYFUNCTION("""COMPUTED_VALUE"""),10000)</f>
        <v>10000</v>
      </c>
      <c r="AB689" s="5"/>
      <c r="AC689" s="5"/>
      <c r="AD689" s="5" t="str">
        <f ca="1">IFERROR(__xludf.DUMMYFUNCTION("""COMPUTED_VALUE"""),"0.05/100")</f>
        <v>0.05/100</v>
      </c>
      <c r="AE689" s="5"/>
      <c r="AF689" s="5"/>
      <c r="AG689" s="10">
        <f ca="1">IFERROR(__xludf.DUMMYFUNCTION("""COMPUTED_VALUE"""),46197.5141319444)</f>
        <v>46197.514131944401</v>
      </c>
      <c r="AH689" s="5" t="str">
        <f ca="1">IFERROR(__xludf.DUMMYFUNCTION("""COMPUTED_VALUE"""),"selena.mihajlovic@fazi.rs")</f>
        <v>selena.mihajlovic@fazi.rs</v>
      </c>
      <c r="AI689" s="5"/>
      <c r="AJ689" s="5"/>
      <c r="AK689" s="5">
        <f ca="1">IFERROR(__xludf.DUMMYFUNCTION("""COMPUTED_VALUE"""),5)</f>
        <v>5</v>
      </c>
      <c r="AL689" s="5" t="str">
        <f ca="1">IFERROR(__xludf.DUMMYFUNCTION("""COMPUTED_VALUE"""),"No")</f>
        <v>No</v>
      </c>
      <c r="AM689" s="5"/>
      <c r="AN689" s="7" t="str">
        <f ca="1">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AO689" s="5"/>
      <c r="AP689" s="5"/>
      <c r="AQ689" s="5" t="b">
        <f ca="1">IFERROR(__xludf.DUMMYFUNCTION("""COMPUTED_VALUE"""),TRUE)</f>
        <v>1</v>
      </c>
      <c r="AR689" s="5"/>
      <c r="AS689" s="5" t="str">
        <f ca="1">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AT689" s="5"/>
      <c r="AU689" s="5" t="str">
        <f ca="1">IFERROR(__xludf.DUMMYFUNCTION("""COMPUTED_VALUE"""),"Tiptop")</f>
        <v>Tiptop</v>
      </c>
      <c r="AV689" s="5"/>
      <c r="AW689" s="5"/>
      <c r="AX689" s="15">
        <f ca="1">IFERROR(__xludf.DUMMYFUNCTION("""COMPUTED_VALUE"""),46175)</f>
        <v>46175</v>
      </c>
      <c r="AY689" s="5"/>
      <c r="AZ689" s="5"/>
      <c r="BA689" s="5"/>
      <c r="BB689" s="5" t="b">
        <f ca="1">IFERROR(__xludf.DUMMYFUNCTION("""COMPUTED_VALUE"""),TRUE)</f>
        <v>1</v>
      </c>
      <c r="BC689" s="5" t="str">
        <f ca="1">IFERROR(__xludf.DUMMYFUNCTION("""COMPUTED_VALUE"""),"Tiptop")</f>
        <v>Tiptop</v>
      </c>
      <c r="BD689" s="7" t="str">
        <f ca="1">IFERROR(__xludf.DUMMYFUNCTION("""COMPUTED_VALUE"""),"https://gameserver-store-client-area.orbionlimited.com/Home/IntegrationGameLaunch/client-area?moneyType=0&amp;gameName=UnicornGoldenGateDice&amp;platform=desktop&amp;languageCode=eng&amp;currency=EUR")</f>
        <v>https://gameserver-store-client-area.orbionlimited.com/Home/IntegrationGameLaunch/client-area?moneyType=0&amp;gameName=UnicornGoldenGateDice&amp;platform=desktop&amp;languageCode=eng&amp;currency=EUR</v>
      </c>
      <c r="BE689" s="5" t="b">
        <f ca="1">IFERROR(__xludf.DUMMYFUNCTION("""COMPUTED_VALUE"""),TRUE)</f>
        <v>1</v>
      </c>
    </row>
    <row r="690" spans="1:57" x14ac:dyDescent="0.25">
      <c r="A690" s="5">
        <f ca="1">IFERROR(__xludf.DUMMYFUNCTION("""COMPUTED_VALUE"""),725)</f>
        <v>725</v>
      </c>
      <c r="B690" s="5">
        <f ca="1">IFERROR(__xludf.DUMMYFUNCTION("""COMPUTED_VALUE"""),4000020)</f>
        <v>4000020</v>
      </c>
      <c r="C690" s="5" t="str">
        <f ca="1">IFERROR(__xludf.DUMMYFUNCTION("""COMPUTED_VALUE"""),"Tiptop")</f>
        <v>Tiptop</v>
      </c>
      <c r="D690" s="5" t="str">
        <f ca="1">IFERROR(__xludf.DUMMYFUNCTION("""COMPUTED_VALUE"""),"Barrels Of Riches")</f>
        <v>Barrels Of Riches</v>
      </c>
      <c r="E690" s="5" t="str">
        <f ca="1">IFERROR(__xludf.DUMMYFUNCTION("""COMPUTED_VALUE"""),"TipTop")</f>
        <v>TipTop</v>
      </c>
      <c r="F690" s="5" t="str">
        <f ca="1">IFERROR(__xludf.DUMMYFUNCTION("""COMPUTED_VALUE"""),"UnicornBarrelsOfRiches")</f>
        <v>UnicornBarrelsOfRiches</v>
      </c>
      <c r="G690" s="5" t="str">
        <f ca="1">IFERROR(__xludf.DUMMYFUNCTION("""COMPUTED_VALUE"""),"Live")</f>
        <v>Live</v>
      </c>
      <c r="H690" s="5"/>
      <c r="I690" s="5" t="str">
        <f ca="1">IFERROR(__xludf.DUMMYFUNCTION("""COMPUTED_VALUE"""),"TipTop")</f>
        <v>TipTop</v>
      </c>
      <c r="J690" s="5" t="str">
        <f ca="1">IFERROR(__xludf.DUMMYFUNCTION("""COMPUTED_VALUE"""),"JSON")</f>
        <v>JSON</v>
      </c>
      <c r="K690" s="5" t="str">
        <f ca="1">IFERROR(__xludf.DUMMYFUNCTION("""COMPUTED_VALUE"""),"Slot")</f>
        <v>Slot</v>
      </c>
      <c r="L690" s="5" t="str">
        <f ca="1">IFERROR(__xludf.DUMMYFUNCTION("""COMPUTED_VALUE"""),"Master")</f>
        <v>Master</v>
      </c>
      <c r="M690" s="5"/>
      <c r="N690" s="5"/>
      <c r="O690" s="5"/>
      <c r="P690" s="14">
        <f ca="1">IFERROR(__xludf.DUMMYFUNCTION("""COMPUTED_VALUE"""),12.93)</f>
        <v>12.93</v>
      </c>
      <c r="Q690" s="15">
        <f ca="1">IFERROR(__xludf.DUMMYFUNCTION("""COMPUTED_VALUE"""),46195)</f>
        <v>46195</v>
      </c>
      <c r="R690" s="15">
        <f ca="1">IFERROR(__xludf.DUMMYFUNCTION("""COMPUTED_VALUE"""),46190)</f>
        <v>46190</v>
      </c>
      <c r="S690" s="15">
        <f ca="1">IFERROR(__xludf.DUMMYFUNCTION("""COMPUTED_VALUE"""),46197)</f>
        <v>46197</v>
      </c>
      <c r="T690" s="5" t="b">
        <f ca="1">IFERROR(__xludf.DUMMYFUNCTION("""COMPUTED_VALUE"""),TRUE)</f>
        <v>1</v>
      </c>
      <c r="U690" s="5" t="str">
        <f ca="1">IFERROR(__xludf.DUMMYFUNCTION("""COMPUTED_VALUE"""),"5x3")</f>
        <v>5x3</v>
      </c>
      <c r="V690" s="5">
        <f ca="1">IFERROR(__xludf.DUMMYFUNCTION("""COMPUTED_VALUE"""),10)</f>
        <v>10</v>
      </c>
      <c r="W690" s="5">
        <f ca="1">IFERROR(__xludf.DUMMYFUNCTION("""COMPUTED_VALUE"""),10)</f>
        <v>10</v>
      </c>
      <c r="X690" s="5">
        <f ca="1">IFERROR(__xludf.DUMMYFUNCTION("""COMPUTED_VALUE"""),96)</f>
        <v>96</v>
      </c>
      <c r="Y690" s="5" t="str">
        <f ca="1">IFERROR(__xludf.DUMMYFUNCTION("""COMPUTED_VALUE"""),"Low")</f>
        <v>Low</v>
      </c>
      <c r="Z690" s="5">
        <f ca="1">IFERROR(__xludf.DUMMYFUNCTION("""COMPUTED_VALUE"""),49)</f>
        <v>49</v>
      </c>
      <c r="AA690" s="5">
        <f ca="1">IFERROR(__xludf.DUMMYFUNCTION("""COMPUTED_VALUE"""),5010)</f>
        <v>5010</v>
      </c>
      <c r="AB690" s="5"/>
      <c r="AC690" s="5"/>
      <c r="AD690" s="5" t="str">
        <f ca="1">IFERROR(__xludf.DUMMYFUNCTION("""COMPUTED_VALUE"""),"0.05/100")</f>
        <v>0.05/100</v>
      </c>
      <c r="AE690" s="5"/>
      <c r="AF690" s="5"/>
      <c r="AG690" s="10">
        <f ca="1">IFERROR(__xludf.DUMMYFUNCTION("""COMPUTED_VALUE"""),46197.5143287037)</f>
        <v>46197.514328703699</v>
      </c>
      <c r="AH690" s="5" t="str">
        <f ca="1">IFERROR(__xludf.DUMMYFUNCTION("""COMPUTED_VALUE"""),"selena.mihajlovic@fazi.rs")</f>
        <v>selena.mihajlovic@fazi.rs</v>
      </c>
      <c r="AI690" s="5"/>
      <c r="AJ690" s="5"/>
      <c r="AK690" s="5">
        <f ca="1">IFERROR(__xludf.DUMMYFUNCTION("""COMPUTED_VALUE"""),10)</f>
        <v>10</v>
      </c>
      <c r="AL690" s="5" t="str">
        <f ca="1">IFERROR(__xludf.DUMMYFUNCTION("""COMPUTED_VALUE"""),"No")</f>
        <v>No</v>
      </c>
      <c r="AM690" s="5"/>
      <c r="AN690" s="7" t="str">
        <f ca="1">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AO690" s="5"/>
      <c r="AP690" s="5"/>
      <c r="AQ690" s="5" t="b">
        <f ca="1">IFERROR(__xludf.DUMMYFUNCTION("""COMPUTED_VALUE"""),TRUE)</f>
        <v>1</v>
      </c>
      <c r="AR690" s="5"/>
      <c r="AS690" s="5" t="str">
        <f ca="1">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AT690" s="5"/>
      <c r="AU690" s="5" t="str">
        <f ca="1">IFERROR(__xludf.DUMMYFUNCTION("""COMPUTED_VALUE"""),"Tiptop")</f>
        <v>Tiptop</v>
      </c>
      <c r="AV690" s="5"/>
      <c r="AW690" s="5"/>
      <c r="AX690" s="15">
        <f ca="1">IFERROR(__xludf.DUMMYFUNCTION("""COMPUTED_VALUE"""),46189)</f>
        <v>46189</v>
      </c>
      <c r="AY690" s="5"/>
      <c r="AZ690" s="5"/>
      <c r="BA690" s="5"/>
      <c r="BB690" s="5" t="b">
        <f ca="1">IFERROR(__xludf.DUMMYFUNCTION("""COMPUTED_VALUE"""),TRUE)</f>
        <v>1</v>
      </c>
      <c r="BC690" s="5" t="str">
        <f ca="1">IFERROR(__xludf.DUMMYFUNCTION("""COMPUTED_VALUE"""),"Tiptop")</f>
        <v>Tiptop</v>
      </c>
      <c r="BD690" s="7" t="str">
        <f ca="1">IFERROR(__xludf.DUMMYFUNCTION("""COMPUTED_VALUE"""),"https://gameserver-store-client-area.orbionlimited.com/Home/IntegrationGameLaunch/client-area?moneyType=0&amp;gameName=UnicornBarrelsOfRiches&amp;platform=desktop&amp;languageCode=eng&amp;currency=EUR")</f>
        <v>https://gameserver-store-client-area.orbionlimited.com/Home/IntegrationGameLaunch/client-area?moneyType=0&amp;gameName=UnicornBarrelsOfRiches&amp;platform=desktop&amp;languageCode=eng&amp;currency=EUR</v>
      </c>
      <c r="BE690" s="5" t="b">
        <f ca="1">IFERROR(__xludf.DUMMYFUNCTION("""COMPUTED_VALUE"""),TRUE)</f>
        <v>1</v>
      </c>
    </row>
    <row r="691" spans="1:57" x14ac:dyDescent="0.25">
      <c r="A691" s="5">
        <f ca="1">IFERROR(__xludf.DUMMYFUNCTION("""COMPUTED_VALUE"""),726)</f>
        <v>726</v>
      </c>
      <c r="B691" s="5">
        <f ca="1">IFERROR(__xludf.DUMMYFUNCTION("""COMPUTED_VALUE"""),180066)</f>
        <v>180066</v>
      </c>
      <c r="C691" s="5" t="str">
        <f ca="1">IFERROR(__xludf.DUMMYFUNCTION("""COMPUTED_VALUE"""),"Redstone")</f>
        <v>Redstone</v>
      </c>
      <c r="D691" s="5" t="str">
        <f ca="1">IFERROR(__xludf.DUMMYFUNCTION("""COMPUTED_VALUE"""),"Fruit Fire")</f>
        <v>Fruit Fire</v>
      </c>
      <c r="E691" s="5" t="str">
        <f ca="1">IFERROR(__xludf.DUMMYFUNCTION("""COMPUTED_VALUE"""),"Redstone")</f>
        <v>Redstone</v>
      </c>
      <c r="F691" s="5" t="str">
        <f ca="1">IFERROR(__xludf.DUMMYFUNCTION("""COMPUTED_VALUE"""),"RedstoneFruitFire")</f>
        <v>RedstoneFruitFire</v>
      </c>
      <c r="G691" s="5" t="str">
        <f ca="1">IFERROR(__xludf.DUMMYFUNCTION("""COMPUTED_VALUE"""),"Live")</f>
        <v>Live</v>
      </c>
      <c r="H691" s="5"/>
      <c r="I691" s="5" t="str">
        <f ca="1">IFERROR(__xludf.DUMMYFUNCTION("""COMPUTED_VALUE"""),"Redstone")</f>
        <v>Redstone</v>
      </c>
      <c r="J691" s="5" t="str">
        <f ca="1">IFERROR(__xludf.DUMMYFUNCTION("""COMPUTED_VALUE"""),"JSON")</f>
        <v>JSON</v>
      </c>
      <c r="K691" s="5" t="str">
        <f ca="1">IFERROR(__xludf.DUMMYFUNCTION("""COMPUTED_VALUE"""),"Slot")</f>
        <v>Slot</v>
      </c>
      <c r="L691" s="5" t="str">
        <f ca="1">IFERROR(__xludf.DUMMYFUNCTION("""COMPUTED_VALUE"""),"Master")</f>
        <v>Master</v>
      </c>
      <c r="M691" s="5"/>
      <c r="N691" s="7" t="str">
        <f ca="1">IFERROR(__xludf.DUMMYFUNCTION("""COMPUTED_VALUE"""),"https://docs.google.com/document/d/1YSsz_jLJlreA3qN9Lt9RMXC863ydho0G/edit?usp=drive_link&amp;ouid=107596163405648766688&amp;rtpof=true&amp;sd=true")</f>
        <v>https://docs.google.com/document/d/1YSsz_jLJlreA3qN9Lt9RMXC863ydho0G/edit?usp=drive_link&amp;ouid=107596163405648766688&amp;rtpof=true&amp;sd=true</v>
      </c>
      <c r="O691" s="7" t="str">
        <f ca="1">IFERROR(__xludf.DUMMYFUNCTION("""COMPUTED_VALUE"""),"https://docs.google.com/document/d/1zdUMedTsqXfN0F48MzFbai0UoUjBCsgb/edit?usp=drive_link&amp;ouid=107596163405648766688&amp;rtpof=true&amp;sd=true")</f>
        <v>https://docs.google.com/document/d/1zdUMedTsqXfN0F48MzFbai0UoUjBCsgb/edit?usp=drive_link&amp;ouid=107596163405648766688&amp;rtpof=true&amp;sd=true</v>
      </c>
      <c r="P691" s="14">
        <f ca="1">IFERROR(__xludf.DUMMYFUNCTION("""COMPUTED_VALUE"""),8.7)</f>
        <v>8.6999999999999993</v>
      </c>
      <c r="Q691" s="15">
        <f ca="1">IFERROR(__xludf.DUMMYFUNCTION("""COMPUTED_VALUE"""),46111)</f>
        <v>46111</v>
      </c>
      <c r="R691" s="15">
        <f ca="1">IFERROR(__xludf.DUMMYFUNCTION("""COMPUTED_VALUE"""),46121)</f>
        <v>46121</v>
      </c>
      <c r="S691" s="15">
        <f ca="1">IFERROR(__xludf.DUMMYFUNCTION("""COMPUTED_VALUE"""),46128)</f>
        <v>46128</v>
      </c>
      <c r="T691" s="5" t="b">
        <f ca="1">IFERROR(__xludf.DUMMYFUNCTION("""COMPUTED_VALUE"""),TRUE)</f>
        <v>1</v>
      </c>
      <c r="U691" s="5" t="str">
        <f ca="1">IFERROR(__xludf.DUMMYFUNCTION("""COMPUTED_VALUE"""),"5x3")</f>
        <v>5x3</v>
      </c>
      <c r="V691" s="5">
        <f ca="1">IFERROR(__xludf.DUMMYFUNCTION("""COMPUTED_VALUE"""),5)</f>
        <v>5</v>
      </c>
      <c r="W691" s="5">
        <f ca="1">IFERROR(__xludf.DUMMYFUNCTION("""COMPUTED_VALUE"""),5)</f>
        <v>5</v>
      </c>
      <c r="X691" s="5">
        <f ca="1">IFERROR(__xludf.DUMMYFUNCTION("""COMPUTED_VALUE"""),96.5)</f>
        <v>96.5</v>
      </c>
      <c r="Y691" s="5" t="str">
        <f ca="1">IFERROR(__xludf.DUMMYFUNCTION("""COMPUTED_VALUE"""),"Low")</f>
        <v>Low</v>
      </c>
      <c r="Z691" s="5">
        <f ca="1">IFERROR(__xludf.DUMMYFUNCTION("""COMPUTED_VALUE"""),10.45)</f>
        <v>10.45</v>
      </c>
      <c r="AA691" s="5">
        <f ca="1">IFERROR(__xludf.DUMMYFUNCTION("""COMPUTED_VALUE"""),1040)</f>
        <v>1040</v>
      </c>
      <c r="AB691" s="5"/>
      <c r="AC691" s="5"/>
      <c r="AD691" s="5" t="str">
        <f ca="1">IFERROR(__xludf.DUMMYFUNCTION("""COMPUTED_VALUE"""),"0.10/50")</f>
        <v>0.10/50</v>
      </c>
      <c r="AE691" s="5"/>
      <c r="AF691" s="5"/>
      <c r="AG691" s="10">
        <f ca="1">IFERROR(__xludf.DUMMYFUNCTION("""COMPUTED_VALUE"""),46212.565474537)</f>
        <v>46212.565474536997</v>
      </c>
      <c r="AH691" s="5" t="str">
        <f ca="1">IFERROR(__xludf.DUMMYFUNCTION("""COMPUTED_VALUE"""),"selena.mihajlovic@fazi.rs")</f>
        <v>selena.mihajlovic@fazi.rs</v>
      </c>
      <c r="AI691" s="5"/>
      <c r="AJ691" s="5"/>
      <c r="AK691" s="5">
        <f ca="1">IFERROR(__xludf.DUMMYFUNCTION("""COMPUTED_VALUE"""),1)</f>
        <v>1</v>
      </c>
      <c r="AL691" s="5" t="str">
        <f ca="1">IFERROR(__xludf.DUMMYFUNCTION("""COMPUTED_VALUE"""),"No")</f>
        <v>No</v>
      </c>
      <c r="AM691" s="5" t="str">
        <f ca="1">IFERROR(__xludf.DUMMYFUNCTION("""COMPUTED_VALUE"""),"No")</f>
        <v>No</v>
      </c>
      <c r="AN691" s="7" t="str">
        <f ca="1">IFERROR(__xludf.DUMMYFUNCTION("""COMPUTED_VALUE"""),"https://static.redstone.rs/games/fruit-fire/")</f>
        <v>https://static.redstone.rs/games/fruit-fire/</v>
      </c>
      <c r="AO691" s="5" t="str">
        <f ca="1">IFERROR(__xludf.DUMMYFUNCTION("""COMPUTED_VALUE"""),"No")</f>
        <v>No</v>
      </c>
      <c r="AP691" s="5" t="str">
        <f ca="1">IFERROR(__xludf.DUMMYFUNCTION("""COMPUTED_VALUE"""),"No")</f>
        <v>No</v>
      </c>
      <c r="AQ691" s="5" t="b">
        <f ca="1">IFERROR(__xludf.DUMMYFUNCTION("""COMPUTED_VALUE"""),TRUE)</f>
        <v>1</v>
      </c>
      <c r="AR691" s="5"/>
      <c r="AS691" s="5" t="str">
        <f ca="1">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AT691" s="5"/>
      <c r="AU691" s="5" t="str">
        <f ca="1">IFERROR(__xludf.DUMMYFUNCTION("""COMPUTED_VALUE"""),"Redstone")</f>
        <v>Redstone</v>
      </c>
      <c r="AV691" s="5">
        <f ca="1">IFERROR(__xludf.DUMMYFUNCTION("""COMPUTED_VALUE"""),10)</f>
        <v>10</v>
      </c>
      <c r="AW691" s="5"/>
      <c r="AX691" s="15">
        <f ca="1">IFERROR(__xludf.DUMMYFUNCTION("""COMPUTED_VALUE"""),46105)</f>
        <v>46105</v>
      </c>
      <c r="AY691" s="5"/>
      <c r="AZ691" s="5"/>
      <c r="BA691" s="5"/>
      <c r="BB691" s="5" t="b">
        <f ca="1">IFERROR(__xludf.DUMMYFUNCTION("""COMPUTED_VALUE"""),TRUE)</f>
        <v>1</v>
      </c>
      <c r="BC691" s="5" t="str">
        <f ca="1">IFERROR(__xludf.DUMMYFUNCTION("""COMPUTED_VALUE"""),"Redstone")</f>
        <v>Redstone</v>
      </c>
      <c r="BD691" s="7" t="str">
        <f ca="1">IFERROR(__xludf.DUMMYFUNCTION("""COMPUTED_VALUE"""),"https://static.redstone.rs/games/fruit-fire/")</f>
        <v>https://static.redstone.rs/games/fruit-fire/</v>
      </c>
      <c r="BE691" s="5" t="b">
        <f ca="1">IFERROR(__xludf.DUMMYFUNCTION("""COMPUTED_VALUE"""),TRUE)</f>
        <v>1</v>
      </c>
    </row>
    <row r="692" spans="1:57" x14ac:dyDescent="0.25">
      <c r="A692" s="5">
        <f ca="1">IFERROR(__xludf.DUMMYFUNCTION("""COMPUTED_VALUE"""),727)</f>
        <v>727</v>
      </c>
      <c r="B692" s="5">
        <f ca="1">IFERROR(__xludf.DUMMYFUNCTION("""COMPUTED_VALUE"""),180065)</f>
        <v>180065</v>
      </c>
      <c r="C692" s="5" t="str">
        <f ca="1">IFERROR(__xludf.DUMMYFUNCTION("""COMPUTED_VALUE"""),"Redstone")</f>
        <v>Redstone</v>
      </c>
      <c r="D692" s="5" t="str">
        <f ca="1">IFERROR(__xludf.DUMMYFUNCTION("""COMPUTED_VALUE"""),"X Clover Fire")</f>
        <v>X Clover Fire</v>
      </c>
      <c r="E692" s="5" t="str">
        <f ca="1">IFERROR(__xludf.DUMMYFUNCTION("""COMPUTED_VALUE"""),"Redstone")</f>
        <v>Redstone</v>
      </c>
      <c r="F692" s="5" t="str">
        <f ca="1">IFERROR(__xludf.DUMMYFUNCTION("""COMPUTED_VALUE"""),"RedstoneXCloverFire")</f>
        <v>RedstoneXCloverFire</v>
      </c>
      <c r="G692" s="5" t="str">
        <f ca="1">IFERROR(__xludf.DUMMYFUNCTION("""COMPUTED_VALUE"""),"Live")</f>
        <v>Live</v>
      </c>
      <c r="H692" s="5"/>
      <c r="I692" s="5" t="str">
        <f ca="1">IFERROR(__xludf.DUMMYFUNCTION("""COMPUTED_VALUE"""),"Redstone")</f>
        <v>Redstone</v>
      </c>
      <c r="J692" s="5" t="str">
        <f ca="1">IFERROR(__xludf.DUMMYFUNCTION("""COMPUTED_VALUE"""),"JSON")</f>
        <v>JSON</v>
      </c>
      <c r="K692" s="5" t="str">
        <f ca="1">IFERROR(__xludf.DUMMYFUNCTION("""COMPUTED_VALUE"""),"Slot")</f>
        <v>Slot</v>
      </c>
      <c r="L692" s="5" t="str">
        <f ca="1">IFERROR(__xludf.DUMMYFUNCTION("""COMPUTED_VALUE""")," Reskin")</f>
        <v xml:space="preserve"> Reskin</v>
      </c>
      <c r="M692" s="5" t="str">
        <f ca="1">IFERROR(__xludf.DUMMYFUNCTION("""COMPUTED_VALUE"""),"Multi Heart 5")</f>
        <v>Multi Heart 5</v>
      </c>
      <c r="N692" s="7" t="str">
        <f ca="1">IFERROR(__xludf.DUMMYFUNCTION("""COMPUTED_VALUE"""),"https://docs.google.com/document/d/1wjAA9dVrysXRFWD6hDLMhXgTp1vFJXxU/edit")</f>
        <v>https://docs.google.com/document/d/1wjAA9dVrysXRFWD6hDLMhXgTp1vFJXxU/edit</v>
      </c>
      <c r="O692" s="7" t="str">
        <f ca="1">IFERROR(__xludf.DUMMYFUNCTION("""COMPUTED_VALUE"""),"https://docs.google.com/document/d/1wjAA9dVrysXRFWD6hDLMhXgTp1vFJXxU/edit")</f>
        <v>https://docs.google.com/document/d/1wjAA9dVrysXRFWD6hDLMhXgTp1vFJXxU/edit</v>
      </c>
      <c r="P692" s="14">
        <f ca="1">IFERROR(__xludf.DUMMYFUNCTION("""COMPUTED_VALUE"""),7)</f>
        <v>7</v>
      </c>
      <c r="Q692" s="15">
        <f ca="1">IFERROR(__xludf.DUMMYFUNCTION("""COMPUTED_VALUE"""),46111)</f>
        <v>46111</v>
      </c>
      <c r="R692" s="15">
        <f ca="1">IFERROR(__xludf.DUMMYFUNCTION("""COMPUTED_VALUE"""),46111)</f>
        <v>46111</v>
      </c>
      <c r="S692" s="15">
        <f ca="1">IFERROR(__xludf.DUMMYFUNCTION("""COMPUTED_VALUE"""),46118)</f>
        <v>46118</v>
      </c>
      <c r="T692" s="5" t="b">
        <f ca="1">IFERROR(__xludf.DUMMYFUNCTION("""COMPUTED_VALUE"""),TRUE)</f>
        <v>1</v>
      </c>
      <c r="U692" s="5" t="str">
        <f ca="1">IFERROR(__xludf.DUMMYFUNCTION("""COMPUTED_VALUE"""),"5x3")</f>
        <v>5x3</v>
      </c>
      <c r="V692" s="5">
        <f ca="1">IFERROR(__xludf.DUMMYFUNCTION("""COMPUTED_VALUE"""),5)</f>
        <v>5</v>
      </c>
      <c r="W692" s="5">
        <f ca="1">IFERROR(__xludf.DUMMYFUNCTION("""COMPUTED_VALUE"""),5)</f>
        <v>5</v>
      </c>
      <c r="X692" s="5">
        <f ca="1">IFERROR(__xludf.DUMMYFUNCTION("""COMPUTED_VALUE"""),95.96)</f>
        <v>95.96</v>
      </c>
      <c r="Y692" s="5" t="str">
        <f ca="1">IFERROR(__xludf.DUMMYFUNCTION("""COMPUTED_VALUE"""),"Low")</f>
        <v>Low</v>
      </c>
      <c r="Z692" s="5">
        <f ca="1">IFERROR(__xludf.DUMMYFUNCTION("""COMPUTED_VALUE"""),10.7)</f>
        <v>10.7</v>
      </c>
      <c r="AA692" s="5">
        <f ca="1">IFERROR(__xludf.DUMMYFUNCTION("""COMPUTED_VALUE"""),2150)</f>
        <v>2150</v>
      </c>
      <c r="AB692" s="5"/>
      <c r="AC692" s="5" t="str">
        <f ca="1">IFERROR(__xludf.DUMMYFUNCTION("""COMPUTED_VALUE"""),"Expanding Wild, Wild Multiplier")</f>
        <v>Expanding Wild, Wild Multiplier</v>
      </c>
      <c r="AD692" s="5" t="str">
        <f ca="1">IFERROR(__xludf.DUMMYFUNCTION("""COMPUTED_VALUE"""),"0.10/50")</f>
        <v>0.10/50</v>
      </c>
      <c r="AE692" s="5"/>
      <c r="AF692" s="5"/>
      <c r="AG692" s="10">
        <f ca="1">IFERROR(__xludf.DUMMYFUNCTION("""COMPUTED_VALUE"""),46212.5657754629)</f>
        <v>46212.565775462899</v>
      </c>
      <c r="AH692" s="5" t="str">
        <f ca="1">IFERROR(__xludf.DUMMYFUNCTION("""COMPUTED_VALUE"""),"selena.mihajlovic@fazi.rs")</f>
        <v>selena.mihajlovic@fazi.rs</v>
      </c>
      <c r="AI692" s="5"/>
      <c r="AJ692" s="5"/>
      <c r="AK692" s="5">
        <f ca="1">IFERROR(__xludf.DUMMYFUNCTION("""COMPUTED_VALUE"""),1)</f>
        <v>1</v>
      </c>
      <c r="AL692" s="5" t="str">
        <f ca="1">IFERROR(__xludf.DUMMYFUNCTION("""COMPUTED_VALUE"""),"No")</f>
        <v>No</v>
      </c>
      <c r="AM692" s="5" t="str">
        <f ca="1">IFERROR(__xludf.DUMMYFUNCTION("""COMPUTED_VALUE"""),"No")</f>
        <v>No</v>
      </c>
      <c r="AN692" s="7" t="str">
        <f ca="1">IFERROR(__xludf.DUMMYFUNCTION("""COMPUTED_VALUE"""),"https://static.redstone.rs/games/x-clover-fire/")</f>
        <v>https://static.redstone.rs/games/x-clover-fire/</v>
      </c>
      <c r="AO692" s="5" t="str">
        <f ca="1">IFERROR(__xludf.DUMMYFUNCTION("""COMPUTED_VALUE"""),"No")</f>
        <v>No</v>
      </c>
      <c r="AP692" s="5" t="str">
        <f ca="1">IFERROR(__xludf.DUMMYFUNCTION("""COMPUTED_VALUE"""),"No")</f>
        <v>No</v>
      </c>
      <c r="AQ692" s="5" t="b">
        <f ca="1">IFERROR(__xludf.DUMMYFUNCTION("""COMPUTED_VALUE"""),TRUE)</f>
        <v>1</v>
      </c>
      <c r="AR692" s="5"/>
      <c r="AS692" s="5" t="str">
        <f ca="1">IFERROR(__xludf.DUMMYFUNCTION("""COMPUTED_VALUE"""),"In X Clover Fire, everything revolves around the Clover. Land it and your win multiplies instantly, hit more across the reels and the payout keeps climbing.
")</f>
        <v xml:space="preserve">In X Clover Fire, everything revolves around the Clover. Land it and your win multiplies instantly, hit more across the reels and the payout keeps climbing.
</v>
      </c>
      <c r="AT692" s="5"/>
      <c r="AU692" s="5" t="str">
        <f ca="1">IFERROR(__xludf.DUMMYFUNCTION("""COMPUTED_VALUE"""),"Redstone")</f>
        <v>Redstone</v>
      </c>
      <c r="AV692" s="5">
        <f ca="1">IFERROR(__xludf.DUMMYFUNCTION("""COMPUTED_VALUE"""),10)</f>
        <v>10</v>
      </c>
      <c r="AW692" s="5"/>
      <c r="AX692" s="15">
        <f ca="1">IFERROR(__xludf.DUMMYFUNCTION("""COMPUTED_VALUE"""),46105)</f>
        <v>46105</v>
      </c>
      <c r="AY692" s="5"/>
      <c r="AZ692" s="5"/>
      <c r="BA692" s="5"/>
      <c r="BB692" s="5" t="b">
        <f ca="1">IFERROR(__xludf.DUMMYFUNCTION("""COMPUTED_VALUE"""),TRUE)</f>
        <v>1</v>
      </c>
      <c r="BC692" s="5" t="str">
        <f ca="1">IFERROR(__xludf.DUMMYFUNCTION("""COMPUTED_VALUE"""),"Redstone")</f>
        <v>Redstone</v>
      </c>
      <c r="BD692" s="7" t="str">
        <f ca="1">IFERROR(__xludf.DUMMYFUNCTION("""COMPUTED_VALUE"""),"https://static.redstone.rs/games/x-clover-fire/")</f>
        <v>https://static.redstone.rs/games/x-clover-fire/</v>
      </c>
      <c r="BE692" s="5" t="b">
        <f ca="1">IFERROR(__xludf.DUMMYFUNCTION("""COMPUTED_VALUE"""),TRUE)</f>
        <v>1</v>
      </c>
    </row>
    <row r="693" spans="1:57" x14ac:dyDescent="0.25">
      <c r="A693" s="5">
        <f ca="1">IFERROR(__xludf.DUMMYFUNCTION("""COMPUTED_VALUE"""),728)</f>
        <v>728</v>
      </c>
      <c r="B693" s="5">
        <f ca="1">IFERROR(__xludf.DUMMYFUNCTION("""COMPUTED_VALUE"""),180067)</f>
        <v>180067</v>
      </c>
      <c r="C693" s="5" t="str">
        <f ca="1">IFERROR(__xludf.DUMMYFUNCTION("""COMPUTED_VALUE"""),"Redstone")</f>
        <v>Redstone</v>
      </c>
      <c r="D693" s="5" t="str">
        <f ca="1">IFERROR(__xludf.DUMMYFUNCTION("""COMPUTED_VALUE"""),"5 Heart Deluxe")</f>
        <v>5 Heart Deluxe</v>
      </c>
      <c r="E693" s="5" t="str">
        <f ca="1">IFERROR(__xludf.DUMMYFUNCTION("""COMPUTED_VALUE"""),"Redstone")</f>
        <v>Redstone</v>
      </c>
      <c r="F693" s="5" t="str">
        <f ca="1">IFERROR(__xludf.DUMMYFUNCTION("""COMPUTED_VALUE"""),"Redstone5HeartDeluxe")</f>
        <v>Redstone5HeartDeluxe</v>
      </c>
      <c r="G693" s="5" t="str">
        <f ca="1">IFERROR(__xludf.DUMMYFUNCTION("""COMPUTED_VALUE"""),"Live")</f>
        <v>Live</v>
      </c>
      <c r="H693" s="5"/>
      <c r="I693" s="5" t="str">
        <f ca="1">IFERROR(__xludf.DUMMYFUNCTION("""COMPUTED_VALUE"""),"Redstone")</f>
        <v>Redstone</v>
      </c>
      <c r="J693" s="5" t="str">
        <f ca="1">IFERROR(__xludf.DUMMYFUNCTION("""COMPUTED_VALUE"""),"JSON")</f>
        <v>JSON</v>
      </c>
      <c r="K693" s="5" t="str">
        <f ca="1">IFERROR(__xludf.DUMMYFUNCTION("""COMPUTED_VALUE"""),"Slot")</f>
        <v>Slot</v>
      </c>
      <c r="L693" s="5" t="str">
        <f ca="1">IFERROR(__xludf.DUMMYFUNCTION("""COMPUTED_VALUE""")," Reskin")</f>
        <v xml:space="preserve"> Reskin</v>
      </c>
      <c r="M693" s="5" t="str">
        <f ca="1">IFERROR(__xludf.DUMMYFUNCTION("""COMPUTED_VALUE"""),"5 Wild Heart")</f>
        <v>5 Wild Heart</v>
      </c>
      <c r="N693" s="7" t="str">
        <f ca="1">IFERROR(__xludf.DUMMYFUNCTION("""COMPUTED_VALUE"""),"https://docs.google.com/document/d/1FpkbA-AdLoL-JLYpZ6MRGHBx-ZEaymBO/edit?usp=drive_link&amp;ouid=107596163405648766688&amp;rtpof=true&amp;sd=true")</f>
        <v>https://docs.google.com/document/d/1FpkbA-AdLoL-JLYpZ6MRGHBx-ZEaymBO/edit?usp=drive_link&amp;ouid=107596163405648766688&amp;rtpof=true&amp;sd=true</v>
      </c>
      <c r="O693" s="7" t="str">
        <f ca="1">IFERROR(__xludf.DUMMYFUNCTION("""COMPUTED_VALUE"""),"https://docs.google.com/document/d/12Am11-4mtpE7Vt3O5Za5EBDo3bJWky8h/edit?usp=drive_link&amp;ouid=107596163405648766688&amp;rtpof=true&amp;sd=true")</f>
        <v>https://docs.google.com/document/d/12Am11-4mtpE7Vt3O5Za5EBDo3bJWky8h/edit?usp=drive_link&amp;ouid=107596163405648766688&amp;rtpof=true&amp;sd=true</v>
      </c>
      <c r="P693" s="14">
        <f ca="1">IFERROR(__xludf.DUMMYFUNCTION("""COMPUTED_VALUE"""),8.6)</f>
        <v>8.6</v>
      </c>
      <c r="Q693" s="15">
        <f ca="1">IFERROR(__xludf.DUMMYFUNCTION("""COMPUTED_VALUE"""),46111)</f>
        <v>46111</v>
      </c>
      <c r="R693" s="15">
        <f ca="1">IFERROR(__xludf.DUMMYFUNCTION("""COMPUTED_VALUE"""),46126)</f>
        <v>46126</v>
      </c>
      <c r="S693" s="15">
        <f ca="1">IFERROR(__xludf.DUMMYFUNCTION("""COMPUTED_VALUE"""),46133)</f>
        <v>46133</v>
      </c>
      <c r="T693" s="5" t="b">
        <f ca="1">IFERROR(__xludf.DUMMYFUNCTION("""COMPUTED_VALUE"""),TRUE)</f>
        <v>1</v>
      </c>
      <c r="U693" s="5" t="str">
        <f ca="1">IFERROR(__xludf.DUMMYFUNCTION("""COMPUTED_VALUE"""),"5x3")</f>
        <v>5x3</v>
      </c>
      <c r="V693" s="5">
        <f ca="1">IFERROR(__xludf.DUMMYFUNCTION("""COMPUTED_VALUE"""),5)</f>
        <v>5</v>
      </c>
      <c r="W693" s="5">
        <f ca="1">IFERROR(__xludf.DUMMYFUNCTION("""COMPUTED_VALUE"""),5)</f>
        <v>5</v>
      </c>
      <c r="X693" s="5">
        <f ca="1">IFERROR(__xludf.DUMMYFUNCTION("""COMPUTED_VALUE"""),96.45)</f>
        <v>96.45</v>
      </c>
      <c r="Y693" s="5" t="str">
        <f ca="1">IFERROR(__xludf.DUMMYFUNCTION("""COMPUTED_VALUE"""),"Low")</f>
        <v>Low</v>
      </c>
      <c r="Z693" s="5">
        <f ca="1">IFERROR(__xludf.DUMMYFUNCTION("""COMPUTED_VALUE"""),14.5)</f>
        <v>14.5</v>
      </c>
      <c r="AA693" s="5">
        <f ca="1">IFERROR(__xludf.DUMMYFUNCTION("""COMPUTED_VALUE"""),1222)</f>
        <v>1222</v>
      </c>
      <c r="AB693" s="5"/>
      <c r="AC693" s="5" t="str">
        <f ca="1">IFERROR(__xludf.DUMMYFUNCTION("""COMPUTED_VALUE"""),"Expanding Wild, Scatter")</f>
        <v>Expanding Wild, Scatter</v>
      </c>
      <c r="AD693" s="5" t="str">
        <f ca="1">IFERROR(__xludf.DUMMYFUNCTION("""COMPUTED_VALUE"""),"0.05/30")</f>
        <v>0.05/30</v>
      </c>
      <c r="AE693" s="5"/>
      <c r="AF693" s="5"/>
      <c r="AG693" s="10">
        <f ca="1">IFERROR(__xludf.DUMMYFUNCTION("""COMPUTED_VALUE"""),46212.5660532407)</f>
        <v>46212.566053240698</v>
      </c>
      <c r="AH693" s="5" t="str">
        <f ca="1">IFERROR(__xludf.DUMMYFUNCTION("""COMPUTED_VALUE"""),"selena.mihajlovic@fazi.rs")</f>
        <v>selena.mihajlovic@fazi.rs</v>
      </c>
      <c r="AI693" s="5"/>
      <c r="AJ693" s="5"/>
      <c r="AK693" s="5">
        <f ca="1">IFERROR(__xludf.DUMMYFUNCTION("""COMPUTED_VALUE"""),1)</f>
        <v>1</v>
      </c>
      <c r="AL693" s="5" t="str">
        <f ca="1">IFERROR(__xludf.DUMMYFUNCTION("""COMPUTED_VALUE"""),"No")</f>
        <v>No</v>
      </c>
      <c r="AM693" s="5" t="str">
        <f ca="1">IFERROR(__xludf.DUMMYFUNCTION("""COMPUTED_VALUE"""),"No")</f>
        <v>No</v>
      </c>
      <c r="AN693" s="7" t="str">
        <f ca="1">IFERROR(__xludf.DUMMYFUNCTION("""COMPUTED_VALUE"""),"https://static.redstone.rs/games/5-heart-deluxe/")</f>
        <v>https://static.redstone.rs/games/5-heart-deluxe/</v>
      </c>
      <c r="AO693" s="5" t="str">
        <f ca="1">IFERROR(__xludf.DUMMYFUNCTION("""COMPUTED_VALUE"""),"No")</f>
        <v>No</v>
      </c>
      <c r="AP693" s="5" t="str">
        <f ca="1">IFERROR(__xludf.DUMMYFUNCTION("""COMPUTED_VALUE"""),"No")</f>
        <v>No</v>
      </c>
      <c r="AQ693" s="5" t="b">
        <f ca="1">IFERROR(__xludf.DUMMYFUNCTION("""COMPUTED_VALUE"""),TRUE)</f>
        <v>1</v>
      </c>
      <c r="AR693" s="5"/>
      <c r="AS693" s="5" t="str">
        <f ca="1">IFERROR(__xludf.DUMMYFUNCTION("""COMPUTED_VALUE"""),"Take your spin in 5 Heart Deluxe and play it your way! Fast spins, clear hits, and a classic feel that never gets old.")</f>
        <v>Take your spin in 5 Heart Deluxe and play it your way! Fast spins, clear hits, and a classic feel that never gets old.</v>
      </c>
      <c r="AT693" s="5"/>
      <c r="AU693" s="5" t="str">
        <f ca="1">IFERROR(__xludf.DUMMYFUNCTION("""COMPUTED_VALUE"""),"Redstone")</f>
        <v>Redstone</v>
      </c>
      <c r="AV693" s="5">
        <f ca="1">IFERROR(__xludf.DUMMYFUNCTION("""COMPUTED_VALUE"""),10)</f>
        <v>10</v>
      </c>
      <c r="AW693" s="5"/>
      <c r="AX693" s="15">
        <f ca="1">IFERROR(__xludf.DUMMYFUNCTION("""COMPUTED_VALUE"""),46105)</f>
        <v>46105</v>
      </c>
      <c r="AY693" s="5"/>
      <c r="AZ693" s="5"/>
      <c r="BA693" s="5"/>
      <c r="BB693" s="5" t="b">
        <f ca="1">IFERROR(__xludf.DUMMYFUNCTION("""COMPUTED_VALUE"""),TRUE)</f>
        <v>1</v>
      </c>
      <c r="BC693" s="5" t="str">
        <f ca="1">IFERROR(__xludf.DUMMYFUNCTION("""COMPUTED_VALUE"""),"Redstone")</f>
        <v>Redstone</v>
      </c>
      <c r="BD693" s="7" t="str">
        <f ca="1">IFERROR(__xludf.DUMMYFUNCTION("""COMPUTED_VALUE"""),"https://static.redstone.rs/games/5-heart-deluxe/")</f>
        <v>https://static.redstone.rs/games/5-heart-deluxe/</v>
      </c>
      <c r="BE693" s="5" t="b">
        <f ca="1">IFERROR(__xludf.DUMMYFUNCTION("""COMPUTED_VALUE"""),TRUE)</f>
        <v>1</v>
      </c>
    </row>
    <row r="694" spans="1:57" x14ac:dyDescent="0.25">
      <c r="A694" s="5">
        <f ca="1">IFERROR(__xludf.DUMMYFUNCTION("""COMPUTED_VALUE"""),729)</f>
        <v>729</v>
      </c>
      <c r="B694" s="5">
        <f ca="1">IFERROR(__xludf.DUMMYFUNCTION("""COMPUTED_VALUE"""),180068)</f>
        <v>180068</v>
      </c>
      <c r="C694" s="5" t="str">
        <f ca="1">IFERROR(__xludf.DUMMYFUNCTION("""COMPUTED_VALUE"""),"Redstone")</f>
        <v>Redstone</v>
      </c>
      <c r="D694" s="5" t="str">
        <f ca="1">IFERROR(__xludf.DUMMYFUNCTION("""COMPUTED_VALUE"""),"Clover Deluxe 2X")</f>
        <v>Clover Deluxe 2X</v>
      </c>
      <c r="E694" s="5" t="str">
        <f ca="1">IFERROR(__xludf.DUMMYFUNCTION("""COMPUTED_VALUE"""),"Redstone")</f>
        <v>Redstone</v>
      </c>
      <c r="F694" s="5" t="str">
        <f ca="1">IFERROR(__xludf.DUMMYFUNCTION("""COMPUTED_VALUE"""),"RedstoneCloverDeluxe2X")</f>
        <v>RedstoneCloverDeluxe2X</v>
      </c>
      <c r="G694" s="5" t="str">
        <f ca="1">IFERROR(__xludf.DUMMYFUNCTION("""COMPUTED_VALUE"""),"Live")</f>
        <v>Live</v>
      </c>
      <c r="H694" s="5"/>
      <c r="I694" s="5" t="str">
        <f ca="1">IFERROR(__xludf.DUMMYFUNCTION("""COMPUTED_VALUE"""),"Redstone")</f>
        <v>Redstone</v>
      </c>
      <c r="J694" s="5" t="str">
        <f ca="1">IFERROR(__xludf.DUMMYFUNCTION("""COMPUTED_VALUE"""),"JSON")</f>
        <v>JSON</v>
      </c>
      <c r="K694" s="5" t="str">
        <f ca="1">IFERROR(__xludf.DUMMYFUNCTION("""COMPUTED_VALUE"""),"Slot")</f>
        <v>Slot</v>
      </c>
      <c r="L694" s="5" t="str">
        <f ca="1">IFERROR(__xludf.DUMMYFUNCTION("""COMPUTED_VALUE""")," Clone")</f>
        <v xml:space="preserve"> Clone</v>
      </c>
      <c r="M694" s="5" t="str">
        <f ca="1">IFERROR(__xludf.DUMMYFUNCTION("""COMPUTED_VALUE"""),"Chilli Double")</f>
        <v>Chilli Double</v>
      </c>
      <c r="N694" s="7" t="str">
        <f ca="1">IFERROR(__xludf.DUMMYFUNCTION("""COMPUTED_VALUE"""),"https://docs.google.com/document/d/1-6PcnJ06SjYueBh39-ZuoVgt9p51TmOA/edit?usp=drive_link&amp;ouid=107596163405648766688&amp;rtpof=true&amp;sd=true")</f>
        <v>https://docs.google.com/document/d/1-6PcnJ06SjYueBh39-ZuoVgt9p51TmOA/edit?usp=drive_link&amp;ouid=107596163405648766688&amp;rtpof=true&amp;sd=true</v>
      </c>
      <c r="O694" s="7" t="str">
        <f ca="1">IFERROR(__xludf.DUMMYFUNCTION("""COMPUTED_VALUE"""),"https://docs.google.com/document/d/1KHwmVd0v96F5rocHLZGBtfkluMqsRMvs/edit?usp=drive_link&amp;ouid=107596163405648766688&amp;rtpof=true&amp;sd=true")</f>
        <v>https://docs.google.com/document/d/1KHwmVd0v96F5rocHLZGBtfkluMqsRMvs/edit?usp=drive_link&amp;ouid=107596163405648766688&amp;rtpof=true&amp;sd=true</v>
      </c>
      <c r="P694" s="14">
        <f ca="1">IFERROR(__xludf.DUMMYFUNCTION("""COMPUTED_VALUE"""),8.5)</f>
        <v>8.5</v>
      </c>
      <c r="Q694" s="15">
        <f ca="1">IFERROR(__xludf.DUMMYFUNCTION("""COMPUTED_VALUE"""),46111)</f>
        <v>46111</v>
      </c>
      <c r="R694" s="15">
        <f ca="1">IFERROR(__xludf.DUMMYFUNCTION("""COMPUTED_VALUE"""),46132)</f>
        <v>46132</v>
      </c>
      <c r="S694" s="15">
        <f ca="1">IFERROR(__xludf.DUMMYFUNCTION("""COMPUTED_VALUE"""),46139)</f>
        <v>46139</v>
      </c>
      <c r="T694" s="5" t="b">
        <f ca="1">IFERROR(__xludf.DUMMYFUNCTION("""COMPUTED_VALUE"""),TRUE)</f>
        <v>1</v>
      </c>
      <c r="U694" s="5" t="str">
        <f ca="1">IFERROR(__xludf.DUMMYFUNCTION("""COMPUTED_VALUE"""),"5x3")</f>
        <v>5x3</v>
      </c>
      <c r="V694" s="5">
        <f ca="1">IFERROR(__xludf.DUMMYFUNCTION("""COMPUTED_VALUE"""),5)</f>
        <v>5</v>
      </c>
      <c r="W694" s="5">
        <f ca="1">IFERROR(__xludf.DUMMYFUNCTION("""COMPUTED_VALUE"""),5)</f>
        <v>5</v>
      </c>
      <c r="X694" s="5">
        <f ca="1">IFERROR(__xludf.DUMMYFUNCTION("""COMPUTED_VALUE"""),96.45)</f>
        <v>96.45</v>
      </c>
      <c r="Y694" s="5" t="str">
        <f ca="1">IFERROR(__xludf.DUMMYFUNCTION("""COMPUTED_VALUE"""),"Low")</f>
        <v>Low</v>
      </c>
      <c r="Z694" s="5">
        <f ca="1">IFERROR(__xludf.DUMMYFUNCTION("""COMPUTED_VALUE"""),14.23)</f>
        <v>14.23</v>
      </c>
      <c r="AA694" s="5">
        <f ca="1">IFERROR(__xludf.DUMMYFUNCTION("""COMPUTED_VALUE"""),2624)</f>
        <v>2624</v>
      </c>
      <c r="AB694" s="5"/>
      <c r="AC694" s="5" t="str">
        <f ca="1">IFERROR(__xludf.DUMMYFUNCTION("""COMPUTED_VALUE"""),"Expanding Wild, Scatter")</f>
        <v>Expanding Wild, Scatter</v>
      </c>
      <c r="AD694" s="5" t="str">
        <f ca="1">IFERROR(__xludf.DUMMYFUNCTION("""COMPUTED_VALUE"""),"0.10/50")</f>
        <v>0.10/50</v>
      </c>
      <c r="AE694" s="5"/>
      <c r="AF694" s="5"/>
      <c r="AG694" s="10">
        <f ca="1">IFERROR(__xludf.DUMMYFUNCTION("""COMPUTED_VALUE"""),46212.5664467592)</f>
        <v>46212.5664467592</v>
      </c>
      <c r="AH694" s="5" t="str">
        <f ca="1">IFERROR(__xludf.DUMMYFUNCTION("""COMPUTED_VALUE"""),"selena.mihajlovic@fazi.rs")</f>
        <v>selena.mihajlovic@fazi.rs</v>
      </c>
      <c r="AI694" s="5"/>
      <c r="AJ694" s="5"/>
      <c r="AK694" s="5">
        <f ca="1">IFERROR(__xludf.DUMMYFUNCTION("""COMPUTED_VALUE"""),1)</f>
        <v>1</v>
      </c>
      <c r="AL694" s="5" t="str">
        <f ca="1">IFERROR(__xludf.DUMMYFUNCTION("""COMPUTED_VALUE"""),"No")</f>
        <v>No</v>
      </c>
      <c r="AM694" s="5" t="str">
        <f ca="1">IFERROR(__xludf.DUMMYFUNCTION("""COMPUTED_VALUE"""),"No")</f>
        <v>No</v>
      </c>
      <c r="AN694" s="7" t="str">
        <f ca="1">IFERROR(__xludf.DUMMYFUNCTION("""COMPUTED_VALUE"""),"https://static.redstone.rs/games/heart-deluxe-2x/")</f>
        <v>https://static.redstone.rs/games/heart-deluxe-2x/</v>
      </c>
      <c r="AO694" s="5" t="str">
        <f ca="1">IFERROR(__xludf.DUMMYFUNCTION("""COMPUTED_VALUE"""),"No")</f>
        <v>No</v>
      </c>
      <c r="AP694" s="5" t="str">
        <f ca="1">IFERROR(__xludf.DUMMYFUNCTION("""COMPUTED_VALUE"""),"No")</f>
        <v>No</v>
      </c>
      <c r="AQ694" s="5" t="b">
        <f ca="1">IFERROR(__xludf.DUMMYFUNCTION("""COMPUTED_VALUE"""),TRUE)</f>
        <v>1</v>
      </c>
      <c r="AR694" s="5"/>
      <c r="AS694" s="5" t="str">
        <f ca="1">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4" s="5"/>
      <c r="AU694" s="5" t="str">
        <f ca="1">IFERROR(__xludf.DUMMYFUNCTION("""COMPUTED_VALUE"""),"Redstone")</f>
        <v>Redstone</v>
      </c>
      <c r="AV694" s="5"/>
      <c r="AW694" s="5"/>
      <c r="AX694" s="15">
        <f ca="1">IFERROR(__xludf.DUMMYFUNCTION("""COMPUTED_VALUE"""),46105)</f>
        <v>46105</v>
      </c>
      <c r="AY694" s="5"/>
      <c r="AZ694" s="5"/>
      <c r="BA694" s="5"/>
      <c r="BB694" s="5" t="b">
        <f ca="1">IFERROR(__xludf.DUMMYFUNCTION("""COMPUTED_VALUE"""),TRUE)</f>
        <v>1</v>
      </c>
      <c r="BC694" s="5" t="str">
        <f ca="1">IFERROR(__xludf.DUMMYFUNCTION("""COMPUTED_VALUE"""),"Redstone")</f>
        <v>Redstone</v>
      </c>
      <c r="BD694" s="7" t="str">
        <f ca="1">IFERROR(__xludf.DUMMYFUNCTION("""COMPUTED_VALUE"""),"https://static.redstone.rs/games/heart-deluxe-2x/")</f>
        <v>https://static.redstone.rs/games/heart-deluxe-2x/</v>
      </c>
      <c r="BE694" s="5" t="b">
        <f ca="1">IFERROR(__xludf.DUMMYFUNCTION("""COMPUTED_VALUE"""),TRUE)</f>
        <v>1</v>
      </c>
    </row>
    <row r="695" spans="1:57" x14ac:dyDescent="0.25">
      <c r="A695" s="5">
        <f ca="1">IFERROR(__xludf.DUMMYFUNCTION("""COMPUTED_VALUE"""),730)</f>
        <v>730</v>
      </c>
      <c r="B695" s="5">
        <f ca="1">IFERROR(__xludf.DUMMYFUNCTION("""COMPUTED_VALUE"""),180069)</f>
        <v>180069</v>
      </c>
      <c r="C695" s="5" t="str">
        <f ca="1">IFERROR(__xludf.DUMMYFUNCTION("""COMPUTED_VALUE"""),"Redstone")</f>
        <v>Redstone</v>
      </c>
      <c r="D695" s="5" t="str">
        <f ca="1">IFERROR(__xludf.DUMMYFUNCTION("""COMPUTED_VALUE"""),"Pure Hot 5")</f>
        <v>Pure Hot 5</v>
      </c>
      <c r="E695" s="5" t="str">
        <f ca="1">IFERROR(__xludf.DUMMYFUNCTION("""COMPUTED_VALUE"""),"Redstone")</f>
        <v>Redstone</v>
      </c>
      <c r="F695" s="5" t="str">
        <f ca="1">IFERROR(__xludf.DUMMYFUNCTION("""COMPUTED_VALUE"""),"RedstonePureHot5")</f>
        <v>RedstonePureHot5</v>
      </c>
      <c r="G695" s="5" t="str">
        <f ca="1">IFERROR(__xludf.DUMMYFUNCTION("""COMPUTED_VALUE"""),"Live")</f>
        <v>Live</v>
      </c>
      <c r="H695" s="5"/>
      <c r="I695" s="5" t="str">
        <f ca="1">IFERROR(__xludf.DUMMYFUNCTION("""COMPUTED_VALUE"""),"Redstone")</f>
        <v>Redstone</v>
      </c>
      <c r="J695" s="5" t="str">
        <f ca="1">IFERROR(__xludf.DUMMYFUNCTION("""COMPUTED_VALUE"""),"JSON")</f>
        <v>JSON</v>
      </c>
      <c r="K695" s="5" t="str">
        <f ca="1">IFERROR(__xludf.DUMMYFUNCTION("""COMPUTED_VALUE"""),"Slot")</f>
        <v>Slot</v>
      </c>
      <c r="L695" s="5" t="str">
        <f ca="1">IFERROR(__xludf.DUMMYFUNCTION("""COMPUTED_VALUE""")," Reskin")</f>
        <v xml:space="preserve"> Reskin</v>
      </c>
      <c r="M695" s="5" t="str">
        <f ca="1">IFERROR(__xludf.DUMMYFUNCTION("""COMPUTED_VALUE"""),"Fruit Fire")</f>
        <v>Fruit Fire</v>
      </c>
      <c r="N695" s="7" t="str">
        <f ca="1">IFERROR(__xludf.DUMMYFUNCTION("""COMPUTED_VALUE"""),"https://docs.google.com/document/d/1OM9irwnSHXhkrqcPxaDoezRuDMEm--4_/edit?usp=drive_link&amp;ouid=107596163405648766688&amp;rtpof=true&amp;sd=true")</f>
        <v>https://docs.google.com/document/d/1OM9irwnSHXhkrqcPxaDoezRuDMEm--4_/edit?usp=drive_link&amp;ouid=107596163405648766688&amp;rtpof=true&amp;sd=true</v>
      </c>
      <c r="O695" s="7" t="str">
        <f ca="1">IFERROR(__xludf.DUMMYFUNCTION("""COMPUTED_VALUE"""),"https://docs.google.com/document/d/1SxO--5av61GOCZydyJnliOy8uqCPfzd9/edit?usp=drive_link&amp;ouid=107596163405648766688&amp;rtpof=true&amp;sd=true")</f>
        <v>https://docs.google.com/document/d/1SxO--5av61GOCZydyJnliOy8uqCPfzd9/edit?usp=drive_link&amp;ouid=107596163405648766688&amp;rtpof=true&amp;sd=true</v>
      </c>
      <c r="P695" s="14">
        <f ca="1">IFERROR(__xludf.DUMMYFUNCTION("""COMPUTED_VALUE"""),8.1)</f>
        <v>8.1</v>
      </c>
      <c r="Q695" s="15">
        <f ca="1">IFERROR(__xludf.DUMMYFUNCTION("""COMPUTED_VALUE"""),46139)</f>
        <v>46139</v>
      </c>
      <c r="R695" s="15">
        <f ca="1">IFERROR(__xludf.DUMMYFUNCTION("""COMPUTED_VALUE"""),46142)</f>
        <v>46142</v>
      </c>
      <c r="S695" s="15">
        <f ca="1">IFERROR(__xludf.DUMMYFUNCTION("""COMPUTED_VALUE"""),46149)</f>
        <v>46149</v>
      </c>
      <c r="T695" s="5" t="b">
        <f ca="1">IFERROR(__xludf.DUMMYFUNCTION("""COMPUTED_VALUE"""),TRUE)</f>
        <v>1</v>
      </c>
      <c r="U695" s="5" t="str">
        <f ca="1">IFERROR(__xludf.DUMMYFUNCTION("""COMPUTED_VALUE"""),"5x3")</f>
        <v>5x3</v>
      </c>
      <c r="V695" s="5">
        <f ca="1">IFERROR(__xludf.DUMMYFUNCTION("""COMPUTED_VALUE"""),5)</f>
        <v>5</v>
      </c>
      <c r="W695" s="5">
        <f ca="1">IFERROR(__xludf.DUMMYFUNCTION("""COMPUTED_VALUE"""),5)</f>
        <v>5</v>
      </c>
      <c r="X695" s="5">
        <f ca="1">IFERROR(__xludf.DUMMYFUNCTION("""COMPUTED_VALUE"""),96.5)</f>
        <v>96.5</v>
      </c>
      <c r="Y695" s="5" t="str">
        <f ca="1">IFERROR(__xludf.DUMMYFUNCTION("""COMPUTED_VALUE"""),"Low")</f>
        <v>Low</v>
      </c>
      <c r="Z695" s="5">
        <f ca="1">IFERROR(__xludf.DUMMYFUNCTION("""COMPUTED_VALUE"""),10.45)</f>
        <v>10.45</v>
      </c>
      <c r="AA695" s="5">
        <f ca="1">IFERROR(__xludf.DUMMYFUNCTION("""COMPUTED_VALUE"""),1040)</f>
        <v>1040</v>
      </c>
      <c r="AB695" s="5"/>
      <c r="AC695" s="5"/>
      <c r="AD695" s="5" t="str">
        <f ca="1">IFERROR(__xludf.DUMMYFUNCTION("""COMPUTED_VALUE"""),"0.10/50")</f>
        <v>0.10/50</v>
      </c>
      <c r="AE695" s="5"/>
      <c r="AF695" s="5"/>
      <c r="AG695" s="10">
        <f ca="1">IFERROR(__xludf.DUMMYFUNCTION("""COMPUTED_VALUE"""),46212.5674537037)</f>
        <v>46212.567453703698</v>
      </c>
      <c r="AH695" s="5" t="str">
        <f ca="1">IFERROR(__xludf.DUMMYFUNCTION("""COMPUTED_VALUE"""),"selena.mihajlovic@fazi.rs")</f>
        <v>selena.mihajlovic@fazi.rs</v>
      </c>
      <c r="AI695" s="5"/>
      <c r="AJ695" s="5"/>
      <c r="AK695" s="5">
        <f ca="1">IFERROR(__xludf.DUMMYFUNCTION("""COMPUTED_VALUE"""),1)</f>
        <v>1</v>
      </c>
      <c r="AL695" s="5" t="str">
        <f ca="1">IFERROR(__xludf.DUMMYFUNCTION("""COMPUTED_VALUE"""),"No")</f>
        <v>No</v>
      </c>
      <c r="AM695" s="5" t="str">
        <f ca="1">IFERROR(__xludf.DUMMYFUNCTION("""COMPUTED_VALUE"""),"No")</f>
        <v>No</v>
      </c>
      <c r="AN695" s="7" t="str">
        <f ca="1">IFERROR(__xludf.DUMMYFUNCTION("""COMPUTED_VALUE"""),"https://static.redstone.rs/games/pure-hot-5/")</f>
        <v>https://static.redstone.rs/games/pure-hot-5/</v>
      </c>
      <c r="AO695" s="5" t="str">
        <f ca="1">IFERROR(__xludf.DUMMYFUNCTION("""COMPUTED_VALUE"""),"No")</f>
        <v>No</v>
      </c>
      <c r="AP695" s="5" t="str">
        <f ca="1">IFERROR(__xludf.DUMMYFUNCTION("""COMPUTED_VALUE"""),"No")</f>
        <v>No</v>
      </c>
      <c r="AQ695" s="5" t="b">
        <f ca="1">IFERROR(__xludf.DUMMYFUNCTION("""COMPUTED_VALUE"""),TRUE)</f>
        <v>1</v>
      </c>
      <c r="AR695" s="5"/>
      <c r="AS695" s="5" t="str">
        <f ca="1">IFERROR(__xludf.DUMMYFUNCTION("""COMPUTED_VALUE"""),"Heat up the reels in Pure Hot 5 and stay in the run. Fast action, clear hits, and a flow that keeps you chasing more.")</f>
        <v>Heat up the reels in Pure Hot 5 and stay in the run. Fast action, clear hits, and a flow that keeps you chasing more.</v>
      </c>
      <c r="AT695" s="5"/>
      <c r="AU695" s="5" t="str">
        <f ca="1">IFERROR(__xludf.DUMMYFUNCTION("""COMPUTED_VALUE"""),"Redstone")</f>
        <v>Redstone</v>
      </c>
      <c r="AV695" s="5">
        <f ca="1">IFERROR(__xludf.DUMMYFUNCTION("""COMPUTED_VALUE"""),10)</f>
        <v>10</v>
      </c>
      <c r="AW695" s="5"/>
      <c r="AX695" s="15">
        <f ca="1">IFERROR(__xludf.DUMMYFUNCTION("""COMPUTED_VALUE"""),46133)</f>
        <v>46133</v>
      </c>
      <c r="AY695" s="5"/>
      <c r="AZ695" s="5"/>
      <c r="BA695" s="5"/>
      <c r="BB695" s="5" t="b">
        <f ca="1">IFERROR(__xludf.DUMMYFUNCTION("""COMPUTED_VALUE"""),TRUE)</f>
        <v>1</v>
      </c>
      <c r="BC695" s="5" t="str">
        <f ca="1">IFERROR(__xludf.DUMMYFUNCTION("""COMPUTED_VALUE"""),"Redstone")</f>
        <v>Redstone</v>
      </c>
      <c r="BD695" s="7" t="str">
        <f ca="1">IFERROR(__xludf.DUMMYFUNCTION("""COMPUTED_VALUE"""),"https://static.redstone.rs/games/pure-hot-5/")</f>
        <v>https://static.redstone.rs/games/pure-hot-5/</v>
      </c>
      <c r="BE695" s="5" t="b">
        <f ca="1">IFERROR(__xludf.DUMMYFUNCTION("""COMPUTED_VALUE"""),TRUE)</f>
        <v>1</v>
      </c>
    </row>
    <row r="696" spans="1:57" x14ac:dyDescent="0.25">
      <c r="A696" s="5">
        <f ca="1">IFERROR(__xludf.DUMMYFUNCTION("""COMPUTED_VALUE"""),731)</f>
        <v>731</v>
      </c>
      <c r="B696" s="5">
        <f ca="1">IFERROR(__xludf.DUMMYFUNCTION("""COMPUTED_VALUE"""),3035)</f>
        <v>3035</v>
      </c>
      <c r="C696" s="5" t="str">
        <f ca="1">IFERROR(__xludf.DUMMYFUNCTION("""COMPUTED_VALUE"""),"Fazi")</f>
        <v>Fazi</v>
      </c>
      <c r="D696" s="5" t="str">
        <f ca="1">IFERROR(__xludf.DUMMYFUNCTION("""COMPUTED_VALUE"""),"Golden Crown Extreme Booster")</f>
        <v>Golden Crown Extreme Booster</v>
      </c>
      <c r="E696" s="5" t="str">
        <f ca="1">IFERROR(__xludf.DUMMYFUNCTION("""COMPUTED_VALUE"""),"V2")</f>
        <v>V2</v>
      </c>
      <c r="F696" s="5" t="str">
        <f ca="1">IFERROR(__xludf.DUMMYFUNCTION("""COMPUTED_VALUE"""),"GoldenCrownExtremeBooster")</f>
        <v>GoldenCrownExtremeBooster</v>
      </c>
      <c r="G696" s="5" t="str">
        <f ca="1">IFERROR(__xludf.DUMMYFUNCTION("""COMPUTED_VALUE"""),"Deployed")</f>
        <v>Deployed</v>
      </c>
      <c r="H696" s="5"/>
      <c r="I696" s="5" t="str">
        <f ca="1">IFERROR(__xludf.DUMMYFUNCTION("""COMPUTED_VALUE"""),"V4")</f>
        <v>V4</v>
      </c>
      <c r="J696" s="5" t="str">
        <f ca="1">IFERROR(__xludf.DUMMYFUNCTION("""COMPUTED_VALUE"""),"JSON")</f>
        <v>JSON</v>
      </c>
      <c r="K696" s="5" t="str">
        <f ca="1">IFERROR(__xludf.DUMMYFUNCTION("""COMPUTED_VALUE"""),"Slot")</f>
        <v>Slot</v>
      </c>
      <c r="L696" s="5" t="str">
        <f ca="1">IFERROR(__xludf.DUMMYFUNCTION("""COMPUTED_VALUE""")," Variant")</f>
        <v xml:space="preserve"> Variant</v>
      </c>
      <c r="M696" s="5" t="str">
        <f ca="1">IFERROR(__xludf.DUMMYFUNCTION("""COMPUTED_VALUE"""),"Golden Crown Extreme")</f>
        <v>Golden Crown Extreme</v>
      </c>
      <c r="N696" s="5"/>
      <c r="O696" s="5"/>
      <c r="P696" s="5"/>
      <c r="Q696" s="15">
        <f ca="1">IFERROR(__xludf.DUMMYFUNCTION("""COMPUTED_VALUE"""),46083)</f>
        <v>46083</v>
      </c>
      <c r="R696" s="5"/>
      <c r="S696" s="15">
        <f ca="1">IFERROR(__xludf.DUMMYFUNCTION("""COMPUTED_VALUE"""),46275)</f>
        <v>46275</v>
      </c>
      <c r="T696" s="5" t="b">
        <f ca="1">IFERROR(__xludf.DUMMYFUNCTION("""COMPUTED_VALUE"""),TRUE)</f>
        <v>1</v>
      </c>
      <c r="U696" s="5" t="str">
        <f ca="1">IFERROR(__xludf.DUMMYFUNCTION("""COMPUTED_VALUE"""),"5x3")</f>
        <v>5x3</v>
      </c>
      <c r="V696" s="5">
        <f ca="1">IFERROR(__xludf.DUMMYFUNCTION("""COMPUTED_VALUE"""),10)</f>
        <v>10</v>
      </c>
      <c r="W696" s="5">
        <f ca="1">IFERROR(__xludf.DUMMYFUNCTION("""COMPUTED_VALUE"""),10)</f>
        <v>10</v>
      </c>
      <c r="X696" s="5">
        <f ca="1">IFERROR(__xludf.DUMMYFUNCTION("""COMPUTED_VALUE"""),96.535)</f>
        <v>96.534999999999997</v>
      </c>
      <c r="Y696" s="5" t="str">
        <f ca="1">IFERROR(__xludf.DUMMYFUNCTION("""COMPUTED_VALUE"""),"Medium")</f>
        <v>Medium</v>
      </c>
      <c r="Z696" s="5">
        <f ca="1">IFERROR(__xludf.DUMMYFUNCTION("""COMPUTED_VALUE"""),14.28)</f>
        <v>14.28</v>
      </c>
      <c r="AA696" s="5">
        <f ca="1">IFERROR(__xludf.DUMMYFUNCTION("""COMPUTED_VALUE"""),3076)</f>
        <v>3076</v>
      </c>
      <c r="AB696" s="5"/>
      <c r="AC696" s="5" t="str">
        <f ca="1">IFERROR(__xludf.DUMMYFUNCTION("""COMPUTED_VALUE"""),"Free Rounds , Scatter, Expanding Wild, Wild Multiplier")</f>
        <v>Free Rounds , Scatter, Expanding Wild, Wild Multiplier</v>
      </c>
      <c r="AD696" s="5" t="str">
        <f ca="1">IFERROR(__xludf.DUMMYFUNCTION("""COMPUTED_VALUE"""),"0.1/50")</f>
        <v>0.1/50</v>
      </c>
      <c r="AE696" s="5"/>
      <c r="AF696" s="5"/>
      <c r="AG696" s="10">
        <f ca="1">IFERROR(__xludf.DUMMYFUNCTION("""COMPUTED_VALUE"""),46226.5845949074)</f>
        <v>46226.584594907399</v>
      </c>
      <c r="AH696" s="5" t="str">
        <f ca="1">IFERROR(__xludf.DUMMYFUNCTION("""COMPUTED_VALUE"""),"milena.kocic@fazi.rs")</f>
        <v>milena.kocic@fazi.rs</v>
      </c>
      <c r="AI696" s="5"/>
      <c r="AJ696" s="5"/>
      <c r="AK696" s="5">
        <f ca="1">IFERROR(__xludf.DUMMYFUNCTION("""COMPUTED_VALUE"""),10)</f>
        <v>10</v>
      </c>
      <c r="AL696" s="5" t="str">
        <f ca="1">IFERROR(__xludf.DUMMYFUNCTION("""COMPUTED_VALUE"""),"Yes")</f>
        <v>Yes</v>
      </c>
      <c r="AM696" s="5" t="str">
        <f ca="1">IFERROR(__xludf.DUMMYFUNCTION("""COMPUTED_VALUE"""),"No")</f>
        <v>No</v>
      </c>
      <c r="AN696" s="7" t="str">
        <f ca="1">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AO696" s="5" t="str">
        <f ca="1">IFERROR(__xludf.DUMMYFUNCTION("""COMPUTED_VALUE"""),"Yes")</f>
        <v>Yes</v>
      </c>
      <c r="AP696" s="5" t="str">
        <f ca="1">IFERROR(__xludf.DUMMYFUNCTION("""COMPUTED_VALUE"""),"Yes")</f>
        <v>Yes</v>
      </c>
      <c r="AQ696" s="5"/>
      <c r="AR696" s="5"/>
      <c r="AS696" s="5"/>
      <c r="AT696" s="5"/>
      <c r="AU696" s="5" t="str">
        <f ca="1">IFERROR(__xludf.DUMMYFUNCTION("""COMPUTED_VALUE"""),"Fazi")</f>
        <v>Fazi</v>
      </c>
      <c r="AV696" s="5">
        <f ca="1">IFERROR(__xludf.DUMMYFUNCTION("""COMPUTED_VALUE"""),1)</f>
        <v>1</v>
      </c>
      <c r="AW696" s="5"/>
      <c r="AX696" s="15">
        <f ca="1">IFERROR(__xludf.DUMMYFUNCTION("""COMPUTED_VALUE"""),46077)</f>
        <v>46077</v>
      </c>
      <c r="AY696" s="5"/>
      <c r="AZ696" s="5"/>
      <c r="BA696" s="5">
        <f ca="1">IFERROR(__xludf.DUMMYFUNCTION("""COMPUTED_VALUE"""),5)</f>
        <v>5</v>
      </c>
      <c r="BB696" s="5"/>
      <c r="BC696" s="5" t="str">
        <f ca="1">IFERROR(__xludf.DUMMYFUNCTION("""COMPUTED_VALUE"""),"Foxi")</f>
        <v>Foxi</v>
      </c>
      <c r="BD696" s="7" t="str">
        <f ca="1">IFERROR(__xludf.DUMMYFUNCTION("""COMPUTED_VALUE"""),"https://gameserver-store-client-area.orbionlimited.com/Home/IntegrationGameLaunch/client-area?moneyType=0&amp;gameName=GoldenCrownExtremeBooster&amp;platform=desktop&amp;languageCode=eng&amp;currency=EUR")</f>
        <v>https://gameserver-store-client-area.orbionlimited.com/Home/IntegrationGameLaunch/client-area?moneyType=0&amp;gameName=GoldenCrownExtremeBooster&amp;platform=desktop&amp;languageCode=eng&amp;currency=EUR</v>
      </c>
      <c r="BE696" s="5"/>
    </row>
    <row r="697" spans="1:57" x14ac:dyDescent="0.25">
      <c r="A697" s="5">
        <f ca="1">IFERROR(__xludf.DUMMYFUNCTION("""COMPUTED_VALUE"""),732)</f>
        <v>732</v>
      </c>
      <c r="B697" s="5">
        <f ca="1">IFERROR(__xludf.DUMMYFUNCTION("""COMPUTED_VALUE"""),180070)</f>
        <v>180070</v>
      </c>
      <c r="C697" s="5" t="str">
        <f ca="1">IFERROR(__xludf.DUMMYFUNCTION("""COMPUTED_VALUE"""),"Redstone")</f>
        <v>Redstone</v>
      </c>
      <c r="D697" s="5" t="str">
        <f ca="1">IFERROR(__xludf.DUMMYFUNCTION("""COMPUTED_VALUE"""),"X Wild Crown")</f>
        <v>X Wild Crown</v>
      </c>
      <c r="E697" s="5" t="str">
        <f ca="1">IFERROR(__xludf.DUMMYFUNCTION("""COMPUTED_VALUE"""),"Redstone")</f>
        <v>Redstone</v>
      </c>
      <c r="F697" s="5" t="str">
        <f ca="1">IFERROR(__xludf.DUMMYFUNCTION("""COMPUTED_VALUE"""),"RedstoneXWildCrown")</f>
        <v>RedstoneXWildCrown</v>
      </c>
      <c r="G697" s="5" t="str">
        <f ca="1">IFERROR(__xludf.DUMMYFUNCTION("""COMPUTED_VALUE"""),"Live")</f>
        <v>Live</v>
      </c>
      <c r="H697" s="5"/>
      <c r="I697" s="5" t="str">
        <f ca="1">IFERROR(__xludf.DUMMYFUNCTION("""COMPUTED_VALUE"""),"Redstone")</f>
        <v>Redstone</v>
      </c>
      <c r="J697" s="5" t="str">
        <f ca="1">IFERROR(__xludf.DUMMYFUNCTION("""COMPUTED_VALUE"""),"JSON")</f>
        <v>JSON</v>
      </c>
      <c r="K697" s="5" t="str">
        <f ca="1">IFERROR(__xludf.DUMMYFUNCTION("""COMPUTED_VALUE"""),"Slot")</f>
        <v>Slot</v>
      </c>
      <c r="L697" s="5" t="str">
        <f ca="1">IFERROR(__xludf.DUMMYFUNCTION("""COMPUTED_VALUE""")," Reskin")</f>
        <v xml:space="preserve"> Reskin</v>
      </c>
      <c r="M697" s="5" t="str">
        <f ca="1">IFERROR(__xludf.DUMMYFUNCTION("""COMPUTED_VALUE"""),"Multi Heart 5")</f>
        <v>Multi Heart 5</v>
      </c>
      <c r="N697" s="7" t="str">
        <f ca="1">IFERROR(__xludf.DUMMYFUNCTION("""COMPUTED_VALUE"""),"https://docs.google.com/document/d/1WrluwbWAmyc0wWS3PAGQlrTo2xpZ5lYg/edit?usp=drive_link&amp;ouid=107596163405648766688&amp;rtpof=true&amp;sd=true")</f>
        <v>https://docs.google.com/document/d/1WrluwbWAmyc0wWS3PAGQlrTo2xpZ5lYg/edit?usp=drive_link&amp;ouid=107596163405648766688&amp;rtpof=true&amp;sd=true</v>
      </c>
      <c r="O697" s="7" t="str">
        <f ca="1">IFERROR(__xludf.DUMMYFUNCTION("""COMPUTED_VALUE"""),"https://docs.google.com/document/d/1HUV4QGpaaDjKmgNJLGFq3pRMRKgFUtm2/edit?usp=drive_link&amp;ouid=107596163405648766688&amp;rtpof=true&amp;sd=true")</f>
        <v>https://docs.google.com/document/d/1HUV4QGpaaDjKmgNJLGFq3pRMRKgFUtm2/edit?usp=drive_link&amp;ouid=107596163405648766688&amp;rtpof=true&amp;sd=true</v>
      </c>
      <c r="P697" s="14">
        <f ca="1">IFERROR(__xludf.DUMMYFUNCTION("""COMPUTED_VALUE"""),6.9)</f>
        <v>6.9</v>
      </c>
      <c r="Q697" s="15">
        <f ca="1">IFERROR(__xludf.DUMMYFUNCTION("""COMPUTED_VALUE"""),46111)</f>
        <v>46111</v>
      </c>
      <c r="R697" s="15">
        <f ca="1">IFERROR(__xludf.DUMMYFUNCTION("""COMPUTED_VALUE"""),46146)</f>
        <v>46146</v>
      </c>
      <c r="S697" s="15">
        <f ca="1">IFERROR(__xludf.DUMMYFUNCTION("""COMPUTED_VALUE"""),46153)</f>
        <v>46153</v>
      </c>
      <c r="T697" s="5" t="b">
        <f ca="1">IFERROR(__xludf.DUMMYFUNCTION("""COMPUTED_VALUE"""),TRUE)</f>
        <v>1</v>
      </c>
      <c r="U697" s="5" t="str">
        <f ca="1">IFERROR(__xludf.DUMMYFUNCTION("""COMPUTED_VALUE"""),"5x3")</f>
        <v>5x3</v>
      </c>
      <c r="V697" s="5">
        <f ca="1">IFERROR(__xludf.DUMMYFUNCTION("""COMPUTED_VALUE"""),5)</f>
        <v>5</v>
      </c>
      <c r="W697" s="5">
        <f ca="1">IFERROR(__xludf.DUMMYFUNCTION("""COMPUTED_VALUE"""),5)</f>
        <v>5</v>
      </c>
      <c r="X697" s="5">
        <f ca="1">IFERROR(__xludf.DUMMYFUNCTION("""COMPUTED_VALUE"""),95.96)</f>
        <v>95.96</v>
      </c>
      <c r="Y697" s="5" t="str">
        <f ca="1">IFERROR(__xludf.DUMMYFUNCTION("""COMPUTED_VALUE"""),"Low")</f>
        <v>Low</v>
      </c>
      <c r="Z697" s="5">
        <f ca="1">IFERROR(__xludf.DUMMYFUNCTION("""COMPUTED_VALUE"""),10.7)</f>
        <v>10.7</v>
      </c>
      <c r="AA697" s="5">
        <f ca="1">IFERROR(__xludf.DUMMYFUNCTION("""COMPUTED_VALUE"""),2150)</f>
        <v>2150</v>
      </c>
      <c r="AB697" s="5"/>
      <c r="AC697" s="5" t="str">
        <f ca="1">IFERROR(__xludf.DUMMYFUNCTION("""COMPUTED_VALUE"""),"Expanding Wild, Wild Multiplier")</f>
        <v>Expanding Wild, Wild Multiplier</v>
      </c>
      <c r="AD697" s="5" t="str">
        <f ca="1">IFERROR(__xludf.DUMMYFUNCTION("""COMPUTED_VALUE"""),"0.10/50")</f>
        <v>0.10/50</v>
      </c>
      <c r="AE697" s="5"/>
      <c r="AF697" s="5"/>
      <c r="AG697" s="10">
        <f ca="1">IFERROR(__xludf.DUMMYFUNCTION("""COMPUTED_VALUE"""),46212.5678125)</f>
        <v>46212.567812499998</v>
      </c>
      <c r="AH697" s="5" t="str">
        <f ca="1">IFERROR(__xludf.DUMMYFUNCTION("""COMPUTED_VALUE"""),"selena.mihajlovic@fazi.rs")</f>
        <v>selena.mihajlovic@fazi.rs</v>
      </c>
      <c r="AI697" s="5"/>
      <c r="AJ697" s="5"/>
      <c r="AK697" s="5">
        <f ca="1">IFERROR(__xludf.DUMMYFUNCTION("""COMPUTED_VALUE"""),1)</f>
        <v>1</v>
      </c>
      <c r="AL697" s="5" t="str">
        <f ca="1">IFERROR(__xludf.DUMMYFUNCTION("""COMPUTED_VALUE"""),"No")</f>
        <v>No</v>
      </c>
      <c r="AM697" s="5" t="str">
        <f ca="1">IFERROR(__xludf.DUMMYFUNCTION("""COMPUTED_VALUE"""),"No")</f>
        <v>No</v>
      </c>
      <c r="AN697" s="7" t="str">
        <f ca="1">IFERROR(__xludf.DUMMYFUNCTION("""COMPUTED_VALUE"""),"https://static.redstone.rs/games/x-wild-crown/")</f>
        <v>https://static.redstone.rs/games/x-wild-crown/</v>
      </c>
      <c r="AO697" s="5" t="str">
        <f ca="1">IFERROR(__xludf.DUMMYFUNCTION("""COMPUTED_VALUE"""),"No")</f>
        <v>No</v>
      </c>
      <c r="AP697" s="5" t="str">
        <f ca="1">IFERROR(__xludf.DUMMYFUNCTION("""COMPUTED_VALUE"""),"No")</f>
        <v>No</v>
      </c>
      <c r="AQ697" s="5" t="b">
        <f ca="1">IFERROR(__xludf.DUMMYFUNCTION("""COMPUTED_VALUE"""),TRUE)</f>
        <v>1</v>
      </c>
      <c r="AR697" s="5"/>
      <c r="AS697" s="5" t="str">
        <f ca="1">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AT697" s="5"/>
      <c r="AU697" s="5" t="str">
        <f ca="1">IFERROR(__xludf.DUMMYFUNCTION("""COMPUTED_VALUE"""),"Redstone")</f>
        <v>Redstone</v>
      </c>
      <c r="AV697" s="5">
        <f ca="1">IFERROR(__xludf.DUMMYFUNCTION("""COMPUTED_VALUE"""),10)</f>
        <v>10</v>
      </c>
      <c r="AW697" s="5"/>
      <c r="AX697" s="15">
        <f ca="1">IFERROR(__xludf.DUMMYFUNCTION("""COMPUTED_VALUE"""),46105)</f>
        <v>46105</v>
      </c>
      <c r="AY697" s="5"/>
      <c r="AZ697" s="5"/>
      <c r="BA697" s="5"/>
      <c r="BB697" s="5" t="b">
        <f ca="1">IFERROR(__xludf.DUMMYFUNCTION("""COMPUTED_VALUE"""),TRUE)</f>
        <v>1</v>
      </c>
      <c r="BC697" s="5" t="str">
        <f ca="1">IFERROR(__xludf.DUMMYFUNCTION("""COMPUTED_VALUE"""),"Redstone")</f>
        <v>Redstone</v>
      </c>
      <c r="BD697" s="7" t="str">
        <f ca="1">IFERROR(__xludf.DUMMYFUNCTION("""COMPUTED_VALUE"""),"https://static.redstone.rs/games/x-wild-crown/")</f>
        <v>https://static.redstone.rs/games/x-wild-crown/</v>
      </c>
      <c r="BE697" s="5" t="b">
        <f ca="1">IFERROR(__xludf.DUMMYFUNCTION("""COMPUTED_VALUE"""),TRUE)</f>
        <v>1</v>
      </c>
    </row>
    <row r="698" spans="1:57" x14ac:dyDescent="0.25">
      <c r="A698" s="5">
        <f ca="1">IFERROR(__xludf.DUMMYFUNCTION("""COMPUTED_VALUE"""),733)</f>
        <v>733</v>
      </c>
      <c r="B698" s="5">
        <f ca="1">IFERROR(__xludf.DUMMYFUNCTION("""COMPUTED_VALUE"""),180071)</f>
        <v>180071</v>
      </c>
      <c r="C698" s="5" t="str">
        <f ca="1">IFERROR(__xludf.DUMMYFUNCTION("""COMPUTED_VALUE"""),"Redstone")</f>
        <v>Redstone</v>
      </c>
      <c r="D698" s="5" t="str">
        <f ca="1">IFERROR(__xludf.DUMMYFUNCTION("""COMPUTED_VALUE"""),"5 Clover Deluxe")</f>
        <v>5 Clover Deluxe</v>
      </c>
      <c r="E698" s="5" t="str">
        <f ca="1">IFERROR(__xludf.DUMMYFUNCTION("""COMPUTED_VALUE"""),"Redstone")</f>
        <v>Redstone</v>
      </c>
      <c r="F698" s="5" t="str">
        <f ca="1">IFERROR(__xludf.DUMMYFUNCTION("""COMPUTED_VALUE"""),"Redstone5CloverDeluxe")</f>
        <v>Redstone5CloverDeluxe</v>
      </c>
      <c r="G698" s="5" t="str">
        <f ca="1">IFERROR(__xludf.DUMMYFUNCTION("""COMPUTED_VALUE"""),"Live")</f>
        <v>Live</v>
      </c>
      <c r="H698" s="5"/>
      <c r="I698" s="5" t="str">
        <f ca="1">IFERROR(__xludf.DUMMYFUNCTION("""COMPUTED_VALUE"""),"Redstone")</f>
        <v>Redstone</v>
      </c>
      <c r="J698" s="5" t="str">
        <f ca="1">IFERROR(__xludf.DUMMYFUNCTION("""COMPUTED_VALUE"""),"JSON")</f>
        <v>JSON</v>
      </c>
      <c r="K698" s="5" t="str">
        <f ca="1">IFERROR(__xludf.DUMMYFUNCTION("""COMPUTED_VALUE"""),"Slot")</f>
        <v>Slot</v>
      </c>
      <c r="L698" s="5" t="str">
        <f ca="1">IFERROR(__xludf.DUMMYFUNCTION("""COMPUTED_VALUE""")," Reskin")</f>
        <v xml:space="preserve"> Reskin</v>
      </c>
      <c r="M698" s="5" t="str">
        <f ca="1">IFERROR(__xludf.DUMMYFUNCTION("""COMPUTED_VALUE"""),"5 Clover Fire")</f>
        <v>5 Clover Fire</v>
      </c>
      <c r="N698" s="7" t="str">
        <f ca="1">IFERROR(__xludf.DUMMYFUNCTION("""COMPUTED_VALUE"""),"https://docs.google.com/document/d/12UFllm5BMu7NxIzOKCh4kg98vFkZkLkR/edit?usp=drive_link&amp;ouid=107596163405648766688&amp;rtpof=true&amp;sd=true")</f>
        <v>https://docs.google.com/document/d/12UFllm5BMu7NxIzOKCh4kg98vFkZkLkR/edit?usp=drive_link&amp;ouid=107596163405648766688&amp;rtpof=true&amp;sd=true</v>
      </c>
      <c r="O698" s="7" t="str">
        <f ca="1">IFERROR(__xludf.DUMMYFUNCTION("""COMPUTED_VALUE"""),"https://docs.google.com/document/d/1ZLIW__zySyCWziF_dXa9g43UImM4EpOH/edit?usp=drive_link&amp;ouid=107596163405648766688&amp;rtpof=true&amp;sd=true")</f>
        <v>https://docs.google.com/document/d/1ZLIW__zySyCWziF_dXa9g43UImM4EpOH/edit?usp=drive_link&amp;ouid=107596163405648766688&amp;rtpof=true&amp;sd=true</v>
      </c>
      <c r="P698" s="14">
        <f ca="1">IFERROR(__xludf.DUMMYFUNCTION("""COMPUTED_VALUE"""),8.3)</f>
        <v>8.3000000000000007</v>
      </c>
      <c r="Q698" s="15">
        <f ca="1">IFERROR(__xludf.DUMMYFUNCTION("""COMPUTED_VALUE"""),46111)</f>
        <v>46111</v>
      </c>
      <c r="R698" s="15">
        <f ca="1">IFERROR(__xludf.DUMMYFUNCTION("""COMPUTED_VALUE"""),46153)</f>
        <v>46153</v>
      </c>
      <c r="S698" s="15">
        <f ca="1">IFERROR(__xludf.DUMMYFUNCTION("""COMPUTED_VALUE"""),46160)</f>
        <v>46160</v>
      </c>
      <c r="T698" s="5" t="b">
        <f ca="1">IFERROR(__xludf.DUMMYFUNCTION("""COMPUTED_VALUE"""),TRUE)</f>
        <v>1</v>
      </c>
      <c r="U698" s="5" t="str">
        <f ca="1">IFERROR(__xludf.DUMMYFUNCTION("""COMPUTED_VALUE"""),"5x3")</f>
        <v>5x3</v>
      </c>
      <c r="V698" s="5">
        <f ca="1">IFERROR(__xludf.DUMMYFUNCTION("""COMPUTED_VALUE"""),5)</f>
        <v>5</v>
      </c>
      <c r="W698" s="5">
        <f ca="1">IFERROR(__xludf.DUMMYFUNCTION("""COMPUTED_VALUE"""),5)</f>
        <v>5</v>
      </c>
      <c r="X698" s="5">
        <f ca="1">IFERROR(__xludf.DUMMYFUNCTION("""COMPUTED_VALUE"""),96.45)</f>
        <v>96.45</v>
      </c>
      <c r="Y698" s="5" t="str">
        <f ca="1">IFERROR(__xludf.DUMMYFUNCTION("""COMPUTED_VALUE"""),"Low")</f>
        <v>Low</v>
      </c>
      <c r="Z698" s="5">
        <f ca="1">IFERROR(__xludf.DUMMYFUNCTION("""COMPUTED_VALUE"""),14.5)</f>
        <v>14.5</v>
      </c>
      <c r="AA698" s="5">
        <f ca="1">IFERROR(__xludf.DUMMYFUNCTION("""COMPUTED_VALUE"""),1222)</f>
        <v>1222</v>
      </c>
      <c r="AB698" s="5"/>
      <c r="AC698" s="5" t="str">
        <f ca="1">IFERROR(__xludf.DUMMYFUNCTION("""COMPUTED_VALUE"""),"Expanding Wild, Scatter")</f>
        <v>Expanding Wild, Scatter</v>
      </c>
      <c r="AD698" s="5" t="str">
        <f ca="1">IFERROR(__xludf.DUMMYFUNCTION("""COMPUTED_VALUE"""),"0.10/50")</f>
        <v>0.10/50</v>
      </c>
      <c r="AE698" s="5"/>
      <c r="AF698" s="5"/>
      <c r="AG698" s="10">
        <f ca="1">IFERROR(__xludf.DUMMYFUNCTION("""COMPUTED_VALUE"""),46212.5681597222)</f>
        <v>46212.568159722199</v>
      </c>
      <c r="AH698" s="5" t="str">
        <f ca="1">IFERROR(__xludf.DUMMYFUNCTION("""COMPUTED_VALUE"""),"selena.mihajlovic@fazi.rs")</f>
        <v>selena.mihajlovic@fazi.rs</v>
      </c>
      <c r="AI698" s="5"/>
      <c r="AJ698" s="5"/>
      <c r="AK698" s="5">
        <f ca="1">IFERROR(__xludf.DUMMYFUNCTION("""COMPUTED_VALUE"""),1)</f>
        <v>1</v>
      </c>
      <c r="AL698" s="5" t="str">
        <f ca="1">IFERROR(__xludf.DUMMYFUNCTION("""COMPUTED_VALUE"""),"No")</f>
        <v>No</v>
      </c>
      <c r="AM698" s="5" t="str">
        <f ca="1">IFERROR(__xludf.DUMMYFUNCTION("""COMPUTED_VALUE"""),"No")</f>
        <v>No</v>
      </c>
      <c r="AN698" s="7" t="str">
        <f ca="1">IFERROR(__xludf.DUMMYFUNCTION("""COMPUTED_VALUE"""),"https://static.redstone.rs/games/5-clover-deluxe/")</f>
        <v>https://static.redstone.rs/games/5-clover-deluxe/</v>
      </c>
      <c r="AO698" s="5" t="str">
        <f ca="1">IFERROR(__xludf.DUMMYFUNCTION("""COMPUTED_VALUE"""),"No")</f>
        <v>No</v>
      </c>
      <c r="AP698" s="5" t="str">
        <f ca="1">IFERROR(__xludf.DUMMYFUNCTION("""COMPUTED_VALUE"""),"No")</f>
        <v>No</v>
      </c>
      <c r="AQ698" s="5" t="b">
        <f ca="1">IFERROR(__xludf.DUMMYFUNCTION("""COMPUTED_VALUE"""),TRUE)</f>
        <v>1</v>
      </c>
      <c r="AR698" s="5"/>
      <c r="AS698" s="5" t="str">
        <f ca="1">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AT698" s="5"/>
      <c r="AU698" s="5" t="str">
        <f ca="1">IFERROR(__xludf.DUMMYFUNCTION("""COMPUTED_VALUE"""),"Redstone")</f>
        <v>Redstone</v>
      </c>
      <c r="AV698" s="5">
        <f ca="1">IFERROR(__xludf.DUMMYFUNCTION("""COMPUTED_VALUE"""),10)</f>
        <v>10</v>
      </c>
      <c r="AW698" s="5"/>
      <c r="AX698" s="15">
        <f ca="1">IFERROR(__xludf.DUMMYFUNCTION("""COMPUTED_VALUE"""),46105)</f>
        <v>46105</v>
      </c>
      <c r="AY698" s="5"/>
      <c r="AZ698" s="5"/>
      <c r="BA698" s="5"/>
      <c r="BB698" s="5" t="b">
        <f ca="1">IFERROR(__xludf.DUMMYFUNCTION("""COMPUTED_VALUE"""),TRUE)</f>
        <v>1</v>
      </c>
      <c r="BC698" s="5" t="str">
        <f ca="1">IFERROR(__xludf.DUMMYFUNCTION("""COMPUTED_VALUE"""),"Redstone")</f>
        <v>Redstone</v>
      </c>
      <c r="BD698" s="7" t="str">
        <f ca="1">IFERROR(__xludf.DUMMYFUNCTION("""COMPUTED_VALUE"""),"https://static.redstone.rs/games/5-clover-deluxe/")</f>
        <v>https://static.redstone.rs/games/5-clover-deluxe/</v>
      </c>
      <c r="BE698" s="5" t="b">
        <f ca="1">IFERROR(__xludf.DUMMYFUNCTION("""COMPUTED_VALUE"""),TRUE)</f>
        <v>1</v>
      </c>
    </row>
    <row r="699" spans="1:57" x14ac:dyDescent="0.25">
      <c r="A699" s="5">
        <f ca="1">IFERROR(__xludf.DUMMYFUNCTION("""COMPUTED_VALUE"""),734)</f>
        <v>734</v>
      </c>
      <c r="B699" s="5">
        <f ca="1">IFERROR(__xludf.DUMMYFUNCTION("""COMPUTED_VALUE"""),180072)</f>
        <v>180072</v>
      </c>
      <c r="C699" s="5" t="str">
        <f ca="1">IFERROR(__xludf.DUMMYFUNCTION("""COMPUTED_VALUE"""),"Redstone")</f>
        <v>Redstone</v>
      </c>
      <c r="D699" s="5" t="str">
        <f ca="1">IFERROR(__xludf.DUMMYFUNCTION("""COMPUTED_VALUE"""),"Heart Deluxe 2X")</f>
        <v>Heart Deluxe 2X</v>
      </c>
      <c r="E699" s="5" t="str">
        <f ca="1">IFERROR(__xludf.DUMMYFUNCTION("""COMPUTED_VALUE"""),"Redstone")</f>
        <v>Redstone</v>
      </c>
      <c r="F699" s="5" t="str">
        <f ca="1">IFERROR(__xludf.DUMMYFUNCTION("""COMPUTED_VALUE"""),"RedstoneHeartDeluxe2X")</f>
        <v>RedstoneHeartDeluxe2X</v>
      </c>
      <c r="G699" s="5" t="str">
        <f ca="1">IFERROR(__xludf.DUMMYFUNCTION("""COMPUTED_VALUE"""),"Live")</f>
        <v>Live</v>
      </c>
      <c r="H699" s="5"/>
      <c r="I699" s="5" t="str">
        <f ca="1">IFERROR(__xludf.DUMMYFUNCTION("""COMPUTED_VALUE"""),"Redstone")</f>
        <v>Redstone</v>
      </c>
      <c r="J699" s="5" t="str">
        <f ca="1">IFERROR(__xludf.DUMMYFUNCTION("""COMPUTED_VALUE"""),"JSON")</f>
        <v>JSON</v>
      </c>
      <c r="K699" s="5" t="str">
        <f ca="1">IFERROR(__xludf.DUMMYFUNCTION("""COMPUTED_VALUE"""),"Slot")</f>
        <v>Slot</v>
      </c>
      <c r="L699" s="5" t="str">
        <f ca="1">IFERROR(__xludf.DUMMYFUNCTION("""COMPUTED_VALUE""")," Reskin")</f>
        <v xml:space="preserve"> Reskin</v>
      </c>
      <c r="M699" s="5" t="str">
        <f ca="1">IFERROR(__xludf.DUMMYFUNCTION("""COMPUTED_VALUE"""),"Chilli Double")</f>
        <v>Chilli Double</v>
      </c>
      <c r="N699" s="7" t="str">
        <f ca="1">IFERROR(__xludf.DUMMYFUNCTION("""COMPUTED_VALUE"""),"https://docs.google.com/document/d/1fpidL62Ny3kJUn37vG10XhM9AHGg2FDt/edit?usp=drive_link&amp;ouid=107596163405648766688&amp;rtpof=true&amp;sd=true")</f>
        <v>https://docs.google.com/document/d/1fpidL62Ny3kJUn37vG10XhM9AHGg2FDt/edit?usp=drive_link&amp;ouid=107596163405648766688&amp;rtpof=true&amp;sd=true</v>
      </c>
      <c r="O699" s="7" t="str">
        <f ca="1">IFERROR(__xludf.DUMMYFUNCTION("""COMPUTED_VALUE"""),"https://docs.google.com/document/d/13hptVNdjfkN_JG3U1UHmaHQEMcK2oWHD/edit?usp=drive_link&amp;ouid=107596163405648766688&amp;rtpof=true&amp;sd=true")</f>
        <v>https://docs.google.com/document/d/13hptVNdjfkN_JG3U1UHmaHQEMcK2oWHD/edit?usp=drive_link&amp;ouid=107596163405648766688&amp;rtpof=true&amp;sd=true</v>
      </c>
      <c r="P699" s="14">
        <f ca="1">IFERROR(__xludf.DUMMYFUNCTION("""COMPUTED_VALUE"""),8.5)</f>
        <v>8.5</v>
      </c>
      <c r="Q699" s="15">
        <f ca="1">IFERROR(__xludf.DUMMYFUNCTION("""COMPUTED_VALUE"""),46111)</f>
        <v>46111</v>
      </c>
      <c r="R699" s="15">
        <f ca="1">IFERROR(__xludf.DUMMYFUNCTION("""COMPUTED_VALUE"""),46161)</f>
        <v>46161</v>
      </c>
      <c r="S699" s="15">
        <f ca="1">IFERROR(__xludf.DUMMYFUNCTION("""COMPUTED_VALUE"""),46168)</f>
        <v>46168</v>
      </c>
      <c r="T699" s="5" t="b">
        <f ca="1">IFERROR(__xludf.DUMMYFUNCTION("""COMPUTED_VALUE"""),TRUE)</f>
        <v>1</v>
      </c>
      <c r="U699" s="5" t="str">
        <f ca="1">IFERROR(__xludf.DUMMYFUNCTION("""COMPUTED_VALUE"""),"5x3")</f>
        <v>5x3</v>
      </c>
      <c r="V699" s="5">
        <f ca="1">IFERROR(__xludf.DUMMYFUNCTION("""COMPUTED_VALUE"""),5)</f>
        <v>5</v>
      </c>
      <c r="W699" s="5">
        <f ca="1">IFERROR(__xludf.DUMMYFUNCTION("""COMPUTED_VALUE"""),5)</f>
        <v>5</v>
      </c>
      <c r="X699" s="5">
        <f ca="1">IFERROR(__xludf.DUMMYFUNCTION("""COMPUTED_VALUE"""),96.45)</f>
        <v>96.45</v>
      </c>
      <c r="Y699" s="5" t="str">
        <f ca="1">IFERROR(__xludf.DUMMYFUNCTION("""COMPUTED_VALUE"""),"Low")</f>
        <v>Low</v>
      </c>
      <c r="Z699" s="5">
        <f ca="1">IFERROR(__xludf.DUMMYFUNCTION("""COMPUTED_VALUE"""),14.23)</f>
        <v>14.23</v>
      </c>
      <c r="AA699" s="5">
        <f ca="1">IFERROR(__xludf.DUMMYFUNCTION("""COMPUTED_VALUE"""),2624)</f>
        <v>2624</v>
      </c>
      <c r="AB699" s="5"/>
      <c r="AC699" s="5" t="str">
        <f ca="1">IFERROR(__xludf.DUMMYFUNCTION("""COMPUTED_VALUE"""),"Scatter, Expanding Wild")</f>
        <v>Scatter, Expanding Wild</v>
      </c>
      <c r="AD699" s="5" t="str">
        <f ca="1">IFERROR(__xludf.DUMMYFUNCTION("""COMPUTED_VALUE"""),"0.10/50")</f>
        <v>0.10/50</v>
      </c>
      <c r="AE699" s="5"/>
      <c r="AF699" s="5"/>
      <c r="AG699" s="10">
        <f ca="1">IFERROR(__xludf.DUMMYFUNCTION("""COMPUTED_VALUE"""),46212.5686111111)</f>
        <v>46212.568611111099</v>
      </c>
      <c r="AH699" s="5" t="str">
        <f ca="1">IFERROR(__xludf.DUMMYFUNCTION("""COMPUTED_VALUE"""),"selena.mihajlovic@fazi.rs")</f>
        <v>selena.mihajlovic@fazi.rs</v>
      </c>
      <c r="AI699" s="5"/>
      <c r="AJ699" s="5"/>
      <c r="AK699" s="5">
        <f ca="1">IFERROR(__xludf.DUMMYFUNCTION("""COMPUTED_VALUE"""),1)</f>
        <v>1</v>
      </c>
      <c r="AL699" s="5" t="str">
        <f ca="1">IFERROR(__xludf.DUMMYFUNCTION("""COMPUTED_VALUE"""),"No")</f>
        <v>No</v>
      </c>
      <c r="AM699" s="5" t="str">
        <f ca="1">IFERROR(__xludf.DUMMYFUNCTION("""COMPUTED_VALUE"""),"No")</f>
        <v>No</v>
      </c>
      <c r="AN699" s="7" t="str">
        <f ca="1">IFERROR(__xludf.DUMMYFUNCTION("""COMPUTED_VALUE"""),"https://static.redstone.rs/games/heart-deluxe-2x/")</f>
        <v>https://static.redstone.rs/games/heart-deluxe-2x/</v>
      </c>
      <c r="AO699" s="5" t="str">
        <f ca="1">IFERROR(__xludf.DUMMYFUNCTION("""COMPUTED_VALUE"""),"No")</f>
        <v>No</v>
      </c>
      <c r="AP699" s="5" t="str">
        <f ca="1">IFERROR(__xludf.DUMMYFUNCTION("""COMPUTED_VALUE"""),"No")</f>
        <v>No</v>
      </c>
      <c r="AQ699" s="5" t="b">
        <f ca="1">IFERROR(__xludf.DUMMYFUNCTION("""COMPUTED_VALUE"""),TRUE)</f>
        <v>1</v>
      </c>
      <c r="AR699" s="5"/>
      <c r="AS699" s="5" t="str">
        <f ca="1">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9" s="5"/>
      <c r="AU699" s="5" t="str">
        <f ca="1">IFERROR(__xludf.DUMMYFUNCTION("""COMPUTED_VALUE"""),"Redstone")</f>
        <v>Redstone</v>
      </c>
      <c r="AV699" s="5">
        <f ca="1">IFERROR(__xludf.DUMMYFUNCTION("""COMPUTED_VALUE"""),10)</f>
        <v>10</v>
      </c>
      <c r="AW699" s="5"/>
      <c r="AX699" s="15">
        <f ca="1">IFERROR(__xludf.DUMMYFUNCTION("""COMPUTED_VALUE"""),46105)</f>
        <v>46105</v>
      </c>
      <c r="AY699" s="5"/>
      <c r="AZ699" s="5"/>
      <c r="BA699" s="5"/>
      <c r="BB699" s="5" t="b">
        <f ca="1">IFERROR(__xludf.DUMMYFUNCTION("""COMPUTED_VALUE"""),TRUE)</f>
        <v>1</v>
      </c>
      <c r="BC699" s="5" t="str">
        <f ca="1">IFERROR(__xludf.DUMMYFUNCTION("""COMPUTED_VALUE"""),"Redstone")</f>
        <v>Redstone</v>
      </c>
      <c r="BD699" s="7" t="str">
        <f ca="1">IFERROR(__xludf.DUMMYFUNCTION("""COMPUTED_VALUE"""),"https://static.redstone.rs/games/heart-deluxe-2x/")</f>
        <v>https://static.redstone.rs/games/heart-deluxe-2x/</v>
      </c>
      <c r="BE699" s="5" t="b">
        <f ca="1">IFERROR(__xludf.DUMMYFUNCTION("""COMPUTED_VALUE"""),TRUE)</f>
        <v>1</v>
      </c>
    </row>
    <row r="700" spans="1:57" x14ac:dyDescent="0.25">
      <c r="A700" s="5">
        <f ca="1">IFERROR(__xludf.DUMMYFUNCTION("""COMPUTED_VALUE"""),735)</f>
        <v>735</v>
      </c>
      <c r="B700" s="5">
        <f ca="1">IFERROR(__xludf.DUMMYFUNCTION("""COMPUTED_VALUE"""),180073)</f>
        <v>180073</v>
      </c>
      <c r="C700" s="5" t="str">
        <f ca="1">IFERROR(__xludf.DUMMYFUNCTION("""COMPUTED_VALUE"""),"Redstone")</f>
        <v>Redstone</v>
      </c>
      <c r="D700" s="5" t="str">
        <f ca="1">IFERROR(__xludf.DUMMYFUNCTION("""COMPUTED_VALUE"""),"Cosmic Fruits")</f>
        <v>Cosmic Fruits</v>
      </c>
      <c r="E700" s="5" t="str">
        <f ca="1">IFERROR(__xludf.DUMMYFUNCTION("""COMPUTED_VALUE"""),"Redstone")</f>
        <v>Redstone</v>
      </c>
      <c r="F700" s="5" t="str">
        <f ca="1">IFERROR(__xludf.DUMMYFUNCTION("""COMPUTED_VALUE"""),"RedstoneCosmicFruits")</f>
        <v>RedstoneCosmicFruits</v>
      </c>
      <c r="G700" s="5" t="str">
        <f ca="1">IFERROR(__xludf.DUMMYFUNCTION("""COMPUTED_VALUE"""),"Live")</f>
        <v>Live</v>
      </c>
      <c r="H700" s="5"/>
      <c r="I700" s="5" t="str">
        <f ca="1">IFERROR(__xludf.DUMMYFUNCTION("""COMPUTED_VALUE"""),"Redstone")</f>
        <v>Redstone</v>
      </c>
      <c r="J700" s="5" t="str">
        <f ca="1">IFERROR(__xludf.DUMMYFUNCTION("""COMPUTED_VALUE"""),"JSON")</f>
        <v>JSON</v>
      </c>
      <c r="K700" s="5" t="str">
        <f ca="1">IFERROR(__xludf.DUMMYFUNCTION("""COMPUTED_VALUE"""),"Slot")</f>
        <v>Slot</v>
      </c>
      <c r="L700" s="5" t="str">
        <f ca="1">IFERROR(__xludf.DUMMYFUNCTION("""COMPUTED_VALUE""")," Reskin")</f>
        <v xml:space="preserve"> Reskin</v>
      </c>
      <c r="M700" s="5" t="str">
        <f ca="1">IFERROR(__xludf.DUMMYFUNCTION("""COMPUTED_VALUE"""),"Fruit Fire")</f>
        <v>Fruit Fire</v>
      </c>
      <c r="N700" s="7" t="str">
        <f ca="1">IFERROR(__xludf.DUMMYFUNCTION("""COMPUTED_VALUE"""),"https://drive.google.com/file/d/1S0-fHVRS6bsEy3Ks1h5GDkyMb0QVP33n/view?usp=drive_link")</f>
        <v>https://drive.google.com/file/d/1S0-fHVRS6bsEy3Ks1h5GDkyMb0QVP33n/view?usp=drive_link</v>
      </c>
      <c r="O700" s="7" t="str">
        <f ca="1">IFERROR(__xludf.DUMMYFUNCTION("""COMPUTED_VALUE"""),"https://drive.google.com/file/d/1WYJFt9Qh_YOO8s37ig8lDz5BW3MROTcj/view?usp=drive_link")</f>
        <v>https://drive.google.com/file/d/1WYJFt9Qh_YOO8s37ig8lDz5BW3MROTcj/view?usp=drive_link</v>
      </c>
      <c r="P700" s="14">
        <f ca="1">IFERROR(__xludf.DUMMYFUNCTION("""COMPUTED_VALUE"""),7.8)</f>
        <v>7.8</v>
      </c>
      <c r="Q700" s="15">
        <f ca="1">IFERROR(__xludf.DUMMYFUNCTION("""COMPUTED_VALUE"""),46167)</f>
        <v>46167</v>
      </c>
      <c r="R700" s="15">
        <f ca="1">IFERROR(__xludf.DUMMYFUNCTION("""COMPUTED_VALUE"""),46170)</f>
        <v>46170</v>
      </c>
      <c r="S700" s="15">
        <f ca="1">IFERROR(__xludf.DUMMYFUNCTION("""COMPUTED_VALUE"""),46177)</f>
        <v>46177</v>
      </c>
      <c r="T700" s="5" t="b">
        <f ca="1">IFERROR(__xludf.DUMMYFUNCTION("""COMPUTED_VALUE"""),TRUE)</f>
        <v>1</v>
      </c>
      <c r="U700" s="5" t="str">
        <f ca="1">IFERROR(__xludf.DUMMYFUNCTION("""COMPUTED_VALUE"""),"5x3")</f>
        <v>5x3</v>
      </c>
      <c r="V700" s="5">
        <f ca="1">IFERROR(__xludf.DUMMYFUNCTION("""COMPUTED_VALUE"""),5)</f>
        <v>5</v>
      </c>
      <c r="W700" s="5">
        <f ca="1">IFERROR(__xludf.DUMMYFUNCTION("""COMPUTED_VALUE"""),5)</f>
        <v>5</v>
      </c>
      <c r="X700" s="5">
        <f ca="1">IFERROR(__xludf.DUMMYFUNCTION("""COMPUTED_VALUE"""),96.5)</f>
        <v>96.5</v>
      </c>
      <c r="Y700" s="5" t="str">
        <f ca="1">IFERROR(__xludf.DUMMYFUNCTION("""COMPUTED_VALUE"""),"Low")</f>
        <v>Low</v>
      </c>
      <c r="Z700" s="5">
        <f ca="1">IFERROR(__xludf.DUMMYFUNCTION("""COMPUTED_VALUE"""),10.45)</f>
        <v>10.45</v>
      </c>
      <c r="AA700" s="5">
        <f ca="1">IFERROR(__xludf.DUMMYFUNCTION("""COMPUTED_VALUE"""),1040)</f>
        <v>1040</v>
      </c>
      <c r="AB700" s="5"/>
      <c r="AC700" s="5"/>
      <c r="AD700" s="5" t="str">
        <f ca="1">IFERROR(__xludf.DUMMYFUNCTION("""COMPUTED_VALUE"""),"0.10/50")</f>
        <v>0.10/50</v>
      </c>
      <c r="AE700" s="5"/>
      <c r="AF700" s="5"/>
      <c r="AG700" s="10">
        <f ca="1">IFERROR(__xludf.DUMMYFUNCTION("""COMPUTED_VALUE"""),46212.5690277777)</f>
        <v>46212.569027777703</v>
      </c>
      <c r="AH700" s="5" t="str">
        <f ca="1">IFERROR(__xludf.DUMMYFUNCTION("""COMPUTED_VALUE"""),"selena.mihajlovic@fazi.rs")</f>
        <v>selena.mihajlovic@fazi.rs</v>
      </c>
      <c r="AI700" s="5"/>
      <c r="AJ700" s="5"/>
      <c r="AK700" s="5">
        <f ca="1">IFERROR(__xludf.DUMMYFUNCTION("""COMPUTED_VALUE"""),1)</f>
        <v>1</v>
      </c>
      <c r="AL700" s="5" t="str">
        <f ca="1">IFERROR(__xludf.DUMMYFUNCTION("""COMPUTED_VALUE"""),"No")</f>
        <v>No</v>
      </c>
      <c r="AM700" s="5" t="str">
        <f ca="1">IFERROR(__xludf.DUMMYFUNCTION("""COMPUTED_VALUE"""),"No")</f>
        <v>No</v>
      </c>
      <c r="AN700" s="7" t="str">
        <f ca="1">IFERROR(__xludf.DUMMYFUNCTION("""COMPUTED_VALUE"""),"https://static.redstone.rs/games/cosmic-fruits/")</f>
        <v>https://static.redstone.rs/games/cosmic-fruits/</v>
      </c>
      <c r="AO700" s="5" t="str">
        <f ca="1">IFERROR(__xludf.DUMMYFUNCTION("""COMPUTED_VALUE"""),"No")</f>
        <v>No</v>
      </c>
      <c r="AP700" s="5" t="str">
        <f ca="1">IFERROR(__xludf.DUMMYFUNCTION("""COMPUTED_VALUE"""),"No")</f>
        <v>No</v>
      </c>
      <c r="AQ700" s="5" t="b">
        <f ca="1">IFERROR(__xludf.DUMMYFUNCTION("""COMPUTED_VALUE"""),TRUE)</f>
        <v>1</v>
      </c>
      <c r="AR700" s="5"/>
      <c r="AS700" s="5" t="str">
        <f ca="1">IFERROR(__xludf.DUMMYFUNCTION("""COMPUTED_VALUE"""),"Get into Cosmic Fruits and keep it moving. Quick spins, colorful hits, and a flow that doesn’t let go.")</f>
        <v>Get into Cosmic Fruits and keep it moving. Quick spins, colorful hits, and a flow that doesn’t let go.</v>
      </c>
      <c r="AT700" s="5"/>
      <c r="AU700" s="5" t="str">
        <f ca="1">IFERROR(__xludf.DUMMYFUNCTION("""COMPUTED_VALUE"""),"Redstone")</f>
        <v>Redstone</v>
      </c>
      <c r="AV700" s="5">
        <f ca="1">IFERROR(__xludf.DUMMYFUNCTION("""COMPUTED_VALUE"""),10)</f>
        <v>10</v>
      </c>
      <c r="AW700" s="5"/>
      <c r="AX700" s="15">
        <f ca="1">IFERROR(__xludf.DUMMYFUNCTION("""COMPUTED_VALUE"""),46161)</f>
        <v>46161</v>
      </c>
      <c r="AY700" s="5"/>
      <c r="AZ700" s="5"/>
      <c r="BA700" s="5"/>
      <c r="BB700" s="5" t="b">
        <f ca="1">IFERROR(__xludf.DUMMYFUNCTION("""COMPUTED_VALUE"""),TRUE)</f>
        <v>1</v>
      </c>
      <c r="BC700" s="5" t="str">
        <f ca="1">IFERROR(__xludf.DUMMYFUNCTION("""COMPUTED_VALUE"""),"Redstone")</f>
        <v>Redstone</v>
      </c>
      <c r="BD700" s="7" t="str">
        <f ca="1">IFERROR(__xludf.DUMMYFUNCTION("""COMPUTED_VALUE"""),"https://static.redstone.rs/games/cosmic-fruits/")</f>
        <v>https://static.redstone.rs/games/cosmic-fruits/</v>
      </c>
      <c r="BE700" s="5" t="b">
        <f ca="1">IFERROR(__xludf.DUMMYFUNCTION("""COMPUTED_VALUE"""),TRUE)</f>
        <v>1</v>
      </c>
    </row>
    <row r="701" spans="1:57" x14ac:dyDescent="0.25">
      <c r="A701" s="5">
        <f ca="1">IFERROR(__xludf.DUMMYFUNCTION("""COMPUTED_VALUE"""),736)</f>
        <v>736</v>
      </c>
      <c r="B701" s="5">
        <f ca="1">IFERROR(__xludf.DUMMYFUNCTION("""COMPUTED_VALUE"""),180074)</f>
        <v>180074</v>
      </c>
      <c r="C701" s="5" t="str">
        <f ca="1">IFERROR(__xludf.DUMMYFUNCTION("""COMPUTED_VALUE"""),"Redstone")</f>
        <v>Redstone</v>
      </c>
      <c r="D701" s="5" t="str">
        <f ca="1">IFERROR(__xludf.DUMMYFUNCTION("""COMPUTED_VALUE"""),"X Wild Heart")</f>
        <v>X Wild Heart</v>
      </c>
      <c r="E701" s="5" t="str">
        <f ca="1">IFERROR(__xludf.DUMMYFUNCTION("""COMPUTED_VALUE"""),"Redstone")</f>
        <v>Redstone</v>
      </c>
      <c r="F701" s="5" t="str">
        <f ca="1">IFERROR(__xludf.DUMMYFUNCTION("""COMPUTED_VALUE"""),"RedstoneXWildHeart")</f>
        <v>RedstoneXWildHeart</v>
      </c>
      <c r="G701" s="5" t="str">
        <f ca="1">IFERROR(__xludf.DUMMYFUNCTION("""COMPUTED_VALUE"""),"Live")</f>
        <v>Live</v>
      </c>
      <c r="H701" s="5"/>
      <c r="I701" s="5" t="str">
        <f ca="1">IFERROR(__xludf.DUMMYFUNCTION("""COMPUTED_VALUE"""),"Redstone")</f>
        <v>Redstone</v>
      </c>
      <c r="J701" s="5" t="str">
        <f ca="1">IFERROR(__xludf.DUMMYFUNCTION("""COMPUTED_VALUE"""),"JSON")</f>
        <v>JSON</v>
      </c>
      <c r="K701" s="5" t="str">
        <f ca="1">IFERROR(__xludf.DUMMYFUNCTION("""COMPUTED_VALUE"""),"Slot")</f>
        <v>Slot</v>
      </c>
      <c r="L701" s="5" t="str">
        <f ca="1">IFERROR(__xludf.DUMMYFUNCTION("""COMPUTED_VALUE""")," Reskin")</f>
        <v xml:space="preserve"> Reskin</v>
      </c>
      <c r="M701" s="5" t="str">
        <f ca="1">IFERROR(__xludf.DUMMYFUNCTION("""COMPUTED_VALUE"""),"Multi Heart 5")</f>
        <v>Multi Heart 5</v>
      </c>
      <c r="N701" s="7" t="str">
        <f ca="1">IFERROR(__xludf.DUMMYFUNCTION("""COMPUTED_VALUE"""),"https://docs.google.com/document/d/1ixR3rP6c5RAoL7tETZ5aWdSCyz5h6p8X/edit?usp=drive_link&amp;ouid=107596163405648766688&amp;rtpof=true&amp;sd=true")</f>
        <v>https://docs.google.com/document/d/1ixR3rP6c5RAoL7tETZ5aWdSCyz5h6p8X/edit?usp=drive_link&amp;ouid=107596163405648766688&amp;rtpof=true&amp;sd=true</v>
      </c>
      <c r="O701" s="7" t="str">
        <f ca="1">IFERROR(__xludf.DUMMYFUNCTION("""COMPUTED_VALUE"""),"https://docs.google.com/document/d/1tNB9UAntH_Ow2expZVnP_6rc5b7mJggd/edit?usp=drive_link&amp;ouid=107596163405648766688&amp;rtpof=true&amp;sd=true")</f>
        <v>https://docs.google.com/document/d/1tNB9UAntH_Ow2expZVnP_6rc5b7mJggd/edit?usp=drive_link&amp;ouid=107596163405648766688&amp;rtpof=true&amp;sd=true</v>
      </c>
      <c r="P701" s="14">
        <f ca="1">IFERROR(__xludf.DUMMYFUNCTION("""COMPUTED_VALUE"""),7.1)</f>
        <v>7.1</v>
      </c>
      <c r="Q701" s="15">
        <f ca="1">IFERROR(__xludf.DUMMYFUNCTION("""COMPUTED_VALUE"""),46111)</f>
        <v>46111</v>
      </c>
      <c r="R701" s="15">
        <f ca="1">IFERROR(__xludf.DUMMYFUNCTION("""COMPUTED_VALUE"""),46182)</f>
        <v>46182</v>
      </c>
      <c r="S701" s="15">
        <f ca="1">IFERROR(__xludf.DUMMYFUNCTION("""COMPUTED_VALUE"""),46189)</f>
        <v>46189</v>
      </c>
      <c r="T701" s="5" t="b">
        <f ca="1">IFERROR(__xludf.DUMMYFUNCTION("""COMPUTED_VALUE"""),TRUE)</f>
        <v>1</v>
      </c>
      <c r="U701" s="5" t="str">
        <f ca="1">IFERROR(__xludf.DUMMYFUNCTION("""COMPUTED_VALUE"""),"5x3")</f>
        <v>5x3</v>
      </c>
      <c r="V701" s="5">
        <f ca="1">IFERROR(__xludf.DUMMYFUNCTION("""COMPUTED_VALUE"""),5)</f>
        <v>5</v>
      </c>
      <c r="W701" s="5">
        <f ca="1">IFERROR(__xludf.DUMMYFUNCTION("""COMPUTED_VALUE"""),5)</f>
        <v>5</v>
      </c>
      <c r="X701" s="5">
        <f ca="1">IFERROR(__xludf.DUMMYFUNCTION("""COMPUTED_VALUE"""),95.96)</f>
        <v>95.96</v>
      </c>
      <c r="Y701" s="5" t="str">
        <f ca="1">IFERROR(__xludf.DUMMYFUNCTION("""COMPUTED_VALUE"""),"Low")</f>
        <v>Low</v>
      </c>
      <c r="Z701" s="5">
        <f ca="1">IFERROR(__xludf.DUMMYFUNCTION("""COMPUTED_VALUE"""),10.7)</f>
        <v>10.7</v>
      </c>
      <c r="AA701" s="5">
        <f ca="1">IFERROR(__xludf.DUMMYFUNCTION("""COMPUTED_VALUE"""),2150)</f>
        <v>2150</v>
      </c>
      <c r="AB701" s="5"/>
      <c r="AC701" s="5" t="str">
        <f ca="1">IFERROR(__xludf.DUMMYFUNCTION("""COMPUTED_VALUE"""),"Expanding Wild, Wild Multiplier")</f>
        <v>Expanding Wild, Wild Multiplier</v>
      </c>
      <c r="AD701" s="5" t="str">
        <f ca="1">IFERROR(__xludf.DUMMYFUNCTION("""COMPUTED_VALUE"""),"0.10/50")</f>
        <v>0.10/50</v>
      </c>
      <c r="AE701" s="5"/>
      <c r="AF701" s="5"/>
      <c r="AG701" s="10">
        <f ca="1">IFERROR(__xludf.DUMMYFUNCTION("""COMPUTED_VALUE"""),46212.5693518518)</f>
        <v>46212.569351851802</v>
      </c>
      <c r="AH701" s="5" t="str">
        <f ca="1">IFERROR(__xludf.DUMMYFUNCTION("""COMPUTED_VALUE"""),"selena.mihajlovic@fazi.rs")</f>
        <v>selena.mihajlovic@fazi.rs</v>
      </c>
      <c r="AI701" s="5"/>
      <c r="AJ701" s="5"/>
      <c r="AK701" s="5">
        <f ca="1">IFERROR(__xludf.DUMMYFUNCTION("""COMPUTED_VALUE"""),1)</f>
        <v>1</v>
      </c>
      <c r="AL701" s="5" t="str">
        <f ca="1">IFERROR(__xludf.DUMMYFUNCTION("""COMPUTED_VALUE"""),"No")</f>
        <v>No</v>
      </c>
      <c r="AM701" s="5" t="str">
        <f ca="1">IFERROR(__xludf.DUMMYFUNCTION("""COMPUTED_VALUE"""),"No")</f>
        <v>No</v>
      </c>
      <c r="AN701" s="7" t="str">
        <f ca="1">IFERROR(__xludf.DUMMYFUNCTION("""COMPUTED_VALUE"""),"https://static.redstone.rs/games/x-wild-heart/")</f>
        <v>https://static.redstone.rs/games/x-wild-heart/</v>
      </c>
      <c r="AO701" s="5" t="str">
        <f ca="1">IFERROR(__xludf.DUMMYFUNCTION("""COMPUTED_VALUE"""),"No")</f>
        <v>No</v>
      </c>
      <c r="AP701" s="5" t="str">
        <f ca="1">IFERROR(__xludf.DUMMYFUNCTION("""COMPUTED_VALUE"""),"No")</f>
        <v>No</v>
      </c>
      <c r="AQ701" s="5" t="b">
        <f ca="1">IFERROR(__xludf.DUMMYFUNCTION("""COMPUTED_VALUE"""),TRUE)</f>
        <v>1</v>
      </c>
      <c r="AR701" s="5"/>
      <c r="AS701" s="5" t="str">
        <f ca="1">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AT701" s="5"/>
      <c r="AU701" s="5" t="str">
        <f ca="1">IFERROR(__xludf.DUMMYFUNCTION("""COMPUTED_VALUE"""),"Redstone")</f>
        <v>Redstone</v>
      </c>
      <c r="AV701" s="5">
        <f ca="1">IFERROR(__xludf.DUMMYFUNCTION("""COMPUTED_VALUE"""),10)</f>
        <v>10</v>
      </c>
      <c r="AW701" s="5"/>
      <c r="AX701" s="15">
        <f ca="1">IFERROR(__xludf.DUMMYFUNCTION("""COMPUTED_VALUE"""),46105)</f>
        <v>46105</v>
      </c>
      <c r="AY701" s="5"/>
      <c r="AZ701" s="5"/>
      <c r="BA701" s="5"/>
      <c r="BB701" s="5" t="b">
        <f ca="1">IFERROR(__xludf.DUMMYFUNCTION("""COMPUTED_VALUE"""),TRUE)</f>
        <v>1</v>
      </c>
      <c r="BC701" s="5" t="str">
        <f ca="1">IFERROR(__xludf.DUMMYFUNCTION("""COMPUTED_VALUE"""),"Redstone")</f>
        <v>Redstone</v>
      </c>
      <c r="BD701" s="7" t="str">
        <f ca="1">IFERROR(__xludf.DUMMYFUNCTION("""COMPUTED_VALUE"""),"https://static.redstone.rs/games/x-wild-heart/")</f>
        <v>https://static.redstone.rs/games/x-wild-heart/</v>
      </c>
      <c r="BE701" s="5" t="b">
        <f ca="1">IFERROR(__xludf.DUMMYFUNCTION("""COMPUTED_VALUE"""),TRUE)</f>
        <v>1</v>
      </c>
    </row>
    <row r="702" spans="1:57" x14ac:dyDescent="0.25">
      <c r="A702" s="5">
        <f ca="1">IFERROR(__xludf.DUMMYFUNCTION("""COMPUTED_VALUE"""),737)</f>
        <v>737</v>
      </c>
      <c r="B702" s="5">
        <f ca="1">IFERROR(__xludf.DUMMYFUNCTION("""COMPUTED_VALUE"""),180075)</f>
        <v>180075</v>
      </c>
      <c r="C702" s="5" t="str">
        <f ca="1">IFERROR(__xludf.DUMMYFUNCTION("""COMPUTED_VALUE"""),"Redstone")</f>
        <v>Redstone</v>
      </c>
      <c r="D702" s="5" t="str">
        <f ca="1">IFERROR(__xludf.DUMMYFUNCTION("""COMPUTED_VALUE"""),"5 Crown Deluxe")</f>
        <v>5 Crown Deluxe</v>
      </c>
      <c r="E702" s="5" t="str">
        <f ca="1">IFERROR(__xludf.DUMMYFUNCTION("""COMPUTED_VALUE"""),"Redstone")</f>
        <v>Redstone</v>
      </c>
      <c r="F702" s="5" t="str">
        <f ca="1">IFERROR(__xludf.DUMMYFUNCTION("""COMPUTED_VALUE"""),"Redstone5CrownDeluxe")</f>
        <v>Redstone5CrownDeluxe</v>
      </c>
      <c r="G702" s="5" t="str">
        <f ca="1">IFERROR(__xludf.DUMMYFUNCTION("""COMPUTED_VALUE"""),"Live")</f>
        <v>Live</v>
      </c>
      <c r="H702" s="5"/>
      <c r="I702" s="5" t="str">
        <f ca="1">IFERROR(__xludf.DUMMYFUNCTION("""COMPUTED_VALUE"""),"Redstone")</f>
        <v>Redstone</v>
      </c>
      <c r="J702" s="5" t="str">
        <f ca="1">IFERROR(__xludf.DUMMYFUNCTION("""COMPUTED_VALUE"""),"JSON")</f>
        <v>JSON</v>
      </c>
      <c r="K702" s="5" t="str">
        <f ca="1">IFERROR(__xludf.DUMMYFUNCTION("""COMPUTED_VALUE"""),"Slot")</f>
        <v>Slot</v>
      </c>
      <c r="L702" s="5" t="str">
        <f ca="1">IFERROR(__xludf.DUMMYFUNCTION("""COMPUTED_VALUE""")," Reskin")</f>
        <v xml:space="preserve"> Reskin</v>
      </c>
      <c r="M702" s="5" t="str">
        <f ca="1">IFERROR(__xludf.DUMMYFUNCTION("""COMPUTED_VALUE"""),"5 Clover Fire")</f>
        <v>5 Clover Fire</v>
      </c>
      <c r="N702" s="7" t="str">
        <f ca="1">IFERROR(__xludf.DUMMYFUNCTION("""COMPUTED_VALUE"""),"https://docs.google.com/document/d/1OjZOchQ0XNxKdCKZBU_goFxCAC9yjUgM/edit?usp=drive_link&amp;ouid=107596163405648766688&amp;rtpof=true&amp;sd=true")</f>
        <v>https://docs.google.com/document/d/1OjZOchQ0XNxKdCKZBU_goFxCAC9yjUgM/edit?usp=drive_link&amp;ouid=107596163405648766688&amp;rtpof=true&amp;sd=true</v>
      </c>
      <c r="O702" s="7" t="str">
        <f ca="1">IFERROR(__xludf.DUMMYFUNCTION("""COMPUTED_VALUE"""),"https://docs.google.com/document/d/1vRhIkDYysLL_zxj3-EOsRRAyKL69H-Ul/edit?usp=drive_link&amp;ouid=107596163405648766688&amp;rtpof=true&amp;sd=true")</f>
        <v>https://docs.google.com/document/d/1vRhIkDYysLL_zxj3-EOsRRAyKL69H-Ul/edit?usp=drive_link&amp;ouid=107596163405648766688&amp;rtpof=true&amp;sd=true</v>
      </c>
      <c r="P702" s="14">
        <f ca="1">IFERROR(__xludf.DUMMYFUNCTION("""COMPUTED_VALUE"""),8.3)</f>
        <v>8.3000000000000007</v>
      </c>
      <c r="Q702" s="15">
        <f ca="1">IFERROR(__xludf.DUMMYFUNCTION("""COMPUTED_VALUE"""),46111)</f>
        <v>46111</v>
      </c>
      <c r="R702" s="15">
        <f ca="1">IFERROR(__xludf.DUMMYFUNCTION("""COMPUTED_VALUE"""),46188)</f>
        <v>46188</v>
      </c>
      <c r="S702" s="15">
        <f ca="1">IFERROR(__xludf.DUMMYFUNCTION("""COMPUTED_VALUE"""),46195)</f>
        <v>46195</v>
      </c>
      <c r="T702" s="5" t="b">
        <f ca="1">IFERROR(__xludf.DUMMYFUNCTION("""COMPUTED_VALUE"""),TRUE)</f>
        <v>1</v>
      </c>
      <c r="U702" s="5" t="str">
        <f ca="1">IFERROR(__xludf.DUMMYFUNCTION("""COMPUTED_VALUE"""),"5x3")</f>
        <v>5x3</v>
      </c>
      <c r="V702" s="5">
        <f ca="1">IFERROR(__xludf.DUMMYFUNCTION("""COMPUTED_VALUE"""),5)</f>
        <v>5</v>
      </c>
      <c r="W702" s="5">
        <f ca="1">IFERROR(__xludf.DUMMYFUNCTION("""COMPUTED_VALUE"""),5)</f>
        <v>5</v>
      </c>
      <c r="X702" s="5">
        <f ca="1">IFERROR(__xludf.DUMMYFUNCTION("""COMPUTED_VALUE"""),96.45)</f>
        <v>96.45</v>
      </c>
      <c r="Y702" s="5" t="str">
        <f ca="1">IFERROR(__xludf.DUMMYFUNCTION("""COMPUTED_VALUE"""),"Low")</f>
        <v>Low</v>
      </c>
      <c r="Z702" s="5">
        <f ca="1">IFERROR(__xludf.DUMMYFUNCTION("""COMPUTED_VALUE"""),14.5)</f>
        <v>14.5</v>
      </c>
      <c r="AA702" s="5">
        <f ca="1">IFERROR(__xludf.DUMMYFUNCTION("""COMPUTED_VALUE"""),1222)</f>
        <v>1222</v>
      </c>
      <c r="AB702" s="5"/>
      <c r="AC702" s="5" t="str">
        <f ca="1">IFERROR(__xludf.DUMMYFUNCTION("""COMPUTED_VALUE"""),"Expanding Wild, Scatter")</f>
        <v>Expanding Wild, Scatter</v>
      </c>
      <c r="AD702" s="5" t="str">
        <f ca="1">IFERROR(__xludf.DUMMYFUNCTION("""COMPUTED_VALUE"""),"0.10/50")</f>
        <v>0.10/50</v>
      </c>
      <c r="AE702" s="5"/>
      <c r="AF702" s="5"/>
      <c r="AG702" s="10">
        <f ca="1">IFERROR(__xludf.DUMMYFUNCTION("""COMPUTED_VALUE"""),46212.5696643518)</f>
        <v>46212.569664351802</v>
      </c>
      <c r="AH702" s="5" t="str">
        <f ca="1">IFERROR(__xludf.DUMMYFUNCTION("""COMPUTED_VALUE"""),"selena.mihajlovic@fazi.rs")</f>
        <v>selena.mihajlovic@fazi.rs</v>
      </c>
      <c r="AI702" s="5"/>
      <c r="AJ702" s="5"/>
      <c r="AK702" s="5">
        <f ca="1">IFERROR(__xludf.DUMMYFUNCTION("""COMPUTED_VALUE"""),1)</f>
        <v>1</v>
      </c>
      <c r="AL702" s="5" t="str">
        <f ca="1">IFERROR(__xludf.DUMMYFUNCTION("""COMPUTED_VALUE"""),"No")</f>
        <v>No</v>
      </c>
      <c r="AM702" s="5" t="str">
        <f ca="1">IFERROR(__xludf.DUMMYFUNCTION("""COMPUTED_VALUE"""),"No")</f>
        <v>No</v>
      </c>
      <c r="AN702" s="7" t="str">
        <f ca="1">IFERROR(__xludf.DUMMYFUNCTION("""COMPUTED_VALUE"""),"https://static.redstone.rs/games/5-crown-deluxe/")</f>
        <v>https://static.redstone.rs/games/5-crown-deluxe/</v>
      </c>
      <c r="AO702" s="5" t="str">
        <f ca="1">IFERROR(__xludf.DUMMYFUNCTION("""COMPUTED_VALUE"""),"No")</f>
        <v>No</v>
      </c>
      <c r="AP702" s="5" t="str">
        <f ca="1">IFERROR(__xludf.DUMMYFUNCTION("""COMPUTED_VALUE"""),"No")</f>
        <v>No</v>
      </c>
      <c r="AQ702" s="5" t="b">
        <f ca="1">IFERROR(__xludf.DUMMYFUNCTION("""COMPUTED_VALUE"""),TRUE)</f>
        <v>1</v>
      </c>
      <c r="AR702" s="5"/>
      <c r="AS702" s="5" t="str">
        <f ca="1">IFERROR(__xludf.DUMMYFUNCTION("""COMPUTED_VALUE"""),"Take your spin in 5 Crown Deluxe and play it your way! Fast spins, clear hits, and a classic feel that never gets old.")</f>
        <v>Take your spin in 5 Crown Deluxe and play it your way! Fast spins, clear hits, and a classic feel that never gets old.</v>
      </c>
      <c r="AT702" s="5"/>
      <c r="AU702" s="5" t="str">
        <f ca="1">IFERROR(__xludf.DUMMYFUNCTION("""COMPUTED_VALUE"""),"Redstone")</f>
        <v>Redstone</v>
      </c>
      <c r="AV702" s="5">
        <f ca="1">IFERROR(__xludf.DUMMYFUNCTION("""COMPUTED_VALUE"""),10)</f>
        <v>10</v>
      </c>
      <c r="AW702" s="5"/>
      <c r="AX702" s="15">
        <f ca="1">IFERROR(__xludf.DUMMYFUNCTION("""COMPUTED_VALUE"""),46105)</f>
        <v>46105</v>
      </c>
      <c r="AY702" s="5"/>
      <c r="AZ702" s="5"/>
      <c r="BA702" s="5"/>
      <c r="BB702" s="5" t="b">
        <f ca="1">IFERROR(__xludf.DUMMYFUNCTION("""COMPUTED_VALUE"""),TRUE)</f>
        <v>1</v>
      </c>
      <c r="BC702" s="5" t="str">
        <f ca="1">IFERROR(__xludf.DUMMYFUNCTION("""COMPUTED_VALUE"""),"Redstone")</f>
        <v>Redstone</v>
      </c>
      <c r="BD702" s="7" t="str">
        <f ca="1">IFERROR(__xludf.DUMMYFUNCTION("""COMPUTED_VALUE"""),"https://static.redstone.rs/games/5-crown-deluxe/")</f>
        <v>https://static.redstone.rs/games/5-crown-deluxe/</v>
      </c>
      <c r="BE702" s="5" t="b">
        <f ca="1">IFERROR(__xludf.DUMMYFUNCTION("""COMPUTED_VALUE"""),TRUE)</f>
        <v>1</v>
      </c>
    </row>
    <row r="703" spans="1:57" x14ac:dyDescent="0.25">
      <c r="A703" s="5">
        <f ca="1">IFERROR(__xludf.DUMMYFUNCTION("""COMPUTED_VALUE"""),738)</f>
        <v>738</v>
      </c>
      <c r="B703" s="5">
        <f ca="1">IFERROR(__xludf.DUMMYFUNCTION("""COMPUTED_VALUE"""),180076)</f>
        <v>180076</v>
      </c>
      <c r="C703" s="5" t="str">
        <f ca="1">IFERROR(__xludf.DUMMYFUNCTION("""COMPUTED_VALUE"""),"Redstone")</f>
        <v>Redstone</v>
      </c>
      <c r="D703" s="5" t="str">
        <f ca="1">IFERROR(__xludf.DUMMYFUNCTION("""COMPUTED_VALUE"""),"Crown Deluxe 2X")</f>
        <v>Crown Deluxe 2X</v>
      </c>
      <c r="E703" s="5" t="str">
        <f ca="1">IFERROR(__xludf.DUMMYFUNCTION("""COMPUTED_VALUE"""),"Redstone")</f>
        <v>Redstone</v>
      </c>
      <c r="F703" s="5" t="str">
        <f ca="1">IFERROR(__xludf.DUMMYFUNCTION("""COMPUTED_VALUE"""),"RedstoneCrownDeluxe2X")</f>
        <v>RedstoneCrownDeluxe2X</v>
      </c>
      <c r="G703" s="5" t="str">
        <f ca="1">IFERROR(__xludf.DUMMYFUNCTION("""COMPUTED_VALUE"""),"Live")</f>
        <v>Live</v>
      </c>
      <c r="H703" s="5"/>
      <c r="I703" s="5" t="str">
        <f ca="1">IFERROR(__xludf.DUMMYFUNCTION("""COMPUTED_VALUE"""),"Redstone")</f>
        <v>Redstone</v>
      </c>
      <c r="J703" s="5" t="str">
        <f ca="1">IFERROR(__xludf.DUMMYFUNCTION("""COMPUTED_VALUE"""),"JSON")</f>
        <v>JSON</v>
      </c>
      <c r="K703" s="5" t="str">
        <f ca="1">IFERROR(__xludf.DUMMYFUNCTION("""COMPUTED_VALUE"""),"Slot")</f>
        <v>Slot</v>
      </c>
      <c r="L703" s="5" t="str">
        <f ca="1">IFERROR(__xludf.DUMMYFUNCTION("""COMPUTED_VALUE""")," Reskin")</f>
        <v xml:space="preserve"> Reskin</v>
      </c>
      <c r="M703" s="5" t="str">
        <f ca="1">IFERROR(__xludf.DUMMYFUNCTION("""COMPUTED_VALUE"""),"Chilli Double")</f>
        <v>Chilli Double</v>
      </c>
      <c r="N703" s="7" t="str">
        <f ca="1">IFERROR(__xludf.DUMMYFUNCTION("""COMPUTED_VALUE"""),"https://docs.google.com/document/d/1NOemN7WwBlOyX71LJKPeTfmPYKuw9CGx/edit?usp=drive_link&amp;ouid=107596163405648766688&amp;rtpof=true&amp;sd=true")</f>
        <v>https://docs.google.com/document/d/1NOemN7WwBlOyX71LJKPeTfmPYKuw9CGx/edit?usp=drive_link&amp;ouid=107596163405648766688&amp;rtpof=true&amp;sd=true</v>
      </c>
      <c r="O703" s="7" t="str">
        <f ca="1">IFERROR(__xludf.DUMMYFUNCTION("""COMPUTED_VALUE"""),"https://docs.google.com/document/d/1Zv7vX6pvIoLzVRjNAVRElBLfN7d3625I/edit?usp=drive_link&amp;ouid=107596163405648766688&amp;rtpof=true&amp;sd=true")</f>
        <v>https://docs.google.com/document/d/1Zv7vX6pvIoLzVRjNAVRElBLfN7d3625I/edit?usp=drive_link&amp;ouid=107596163405648766688&amp;rtpof=true&amp;sd=true</v>
      </c>
      <c r="P703" s="14">
        <f ca="1">IFERROR(__xludf.DUMMYFUNCTION("""COMPUTED_VALUE"""),8.7)</f>
        <v>8.6999999999999993</v>
      </c>
      <c r="Q703" s="15">
        <f ca="1">IFERROR(__xludf.DUMMYFUNCTION("""COMPUTED_VALUE"""),46111)</f>
        <v>46111</v>
      </c>
      <c r="R703" s="15">
        <f ca="1">IFERROR(__xludf.DUMMYFUNCTION("""COMPUTED_VALUE"""),46196)</f>
        <v>46196</v>
      </c>
      <c r="S703" s="15">
        <f ca="1">IFERROR(__xludf.DUMMYFUNCTION("""COMPUTED_VALUE"""),46203)</f>
        <v>46203</v>
      </c>
      <c r="T703" s="5" t="b">
        <f ca="1">IFERROR(__xludf.DUMMYFUNCTION("""COMPUTED_VALUE"""),TRUE)</f>
        <v>1</v>
      </c>
      <c r="U703" s="5" t="str">
        <f ca="1">IFERROR(__xludf.DUMMYFUNCTION("""COMPUTED_VALUE"""),"5x3")</f>
        <v>5x3</v>
      </c>
      <c r="V703" s="5">
        <f ca="1">IFERROR(__xludf.DUMMYFUNCTION("""COMPUTED_VALUE"""),5)</f>
        <v>5</v>
      </c>
      <c r="W703" s="5">
        <f ca="1">IFERROR(__xludf.DUMMYFUNCTION("""COMPUTED_VALUE"""),5)</f>
        <v>5</v>
      </c>
      <c r="X703" s="5">
        <f ca="1">IFERROR(__xludf.DUMMYFUNCTION("""COMPUTED_VALUE"""),96.45)</f>
        <v>96.45</v>
      </c>
      <c r="Y703" s="5" t="str">
        <f ca="1">IFERROR(__xludf.DUMMYFUNCTION("""COMPUTED_VALUE"""),"Low")</f>
        <v>Low</v>
      </c>
      <c r="Z703" s="5">
        <f ca="1">IFERROR(__xludf.DUMMYFUNCTION("""COMPUTED_VALUE"""),14.23)</f>
        <v>14.23</v>
      </c>
      <c r="AA703" s="5">
        <f ca="1">IFERROR(__xludf.DUMMYFUNCTION("""COMPUTED_VALUE"""),2624)</f>
        <v>2624</v>
      </c>
      <c r="AB703" s="5"/>
      <c r="AC703" s="5" t="str">
        <f ca="1">IFERROR(__xludf.DUMMYFUNCTION("""COMPUTED_VALUE"""),"Expanding Wild, Scatter")</f>
        <v>Expanding Wild, Scatter</v>
      </c>
      <c r="AD703" s="5" t="str">
        <f ca="1">IFERROR(__xludf.DUMMYFUNCTION("""COMPUTED_VALUE"""),"0.10/50")</f>
        <v>0.10/50</v>
      </c>
      <c r="AE703" s="5"/>
      <c r="AF703" s="5"/>
      <c r="AG703" s="10">
        <f ca="1">IFERROR(__xludf.DUMMYFUNCTION("""COMPUTED_VALUE"""),46212.5699537037)</f>
        <v>46212.5699537037</v>
      </c>
      <c r="AH703" s="5" t="str">
        <f ca="1">IFERROR(__xludf.DUMMYFUNCTION("""COMPUTED_VALUE"""),"selena.mihajlovic@fazi.rs")</f>
        <v>selena.mihajlovic@fazi.rs</v>
      </c>
      <c r="AI703" s="15">
        <f ca="1">IFERROR(__xludf.DUMMYFUNCTION("""COMPUTED_VALUE"""),46175)</f>
        <v>46175</v>
      </c>
      <c r="AJ703" s="5" t="str">
        <f ca="1">IFERROR(__xludf.DUMMYFUNCTION("""COMPUTED_VALUE"""),"KoralPlay	2.06")</f>
        <v>KoralPlay	2.06</v>
      </c>
      <c r="AK703" s="5">
        <f ca="1">IFERROR(__xludf.DUMMYFUNCTION("""COMPUTED_VALUE"""),1)</f>
        <v>1</v>
      </c>
      <c r="AL703" s="5" t="str">
        <f ca="1">IFERROR(__xludf.DUMMYFUNCTION("""COMPUTED_VALUE"""),"No")</f>
        <v>No</v>
      </c>
      <c r="AM703" s="5" t="str">
        <f ca="1">IFERROR(__xludf.DUMMYFUNCTION("""COMPUTED_VALUE"""),"No")</f>
        <v>No</v>
      </c>
      <c r="AN703" s="7" t="str">
        <f ca="1">IFERROR(__xludf.DUMMYFUNCTION("""COMPUTED_VALUE"""),"https://static.redstone.rs/games/crown-deluxe-2x/")</f>
        <v>https://static.redstone.rs/games/crown-deluxe-2x/</v>
      </c>
      <c r="AO703" s="5" t="str">
        <f ca="1">IFERROR(__xludf.DUMMYFUNCTION("""COMPUTED_VALUE"""),"No")</f>
        <v>No</v>
      </c>
      <c r="AP703" s="5" t="str">
        <f ca="1">IFERROR(__xludf.DUMMYFUNCTION("""COMPUTED_VALUE"""),"No")</f>
        <v>No</v>
      </c>
      <c r="AQ703" s="5" t="b">
        <f ca="1">IFERROR(__xludf.DUMMYFUNCTION("""COMPUTED_VALUE"""),TRUE)</f>
        <v>1</v>
      </c>
      <c r="AR703" s="5"/>
      <c r="AS703" s="5" t="str">
        <f ca="1">IFERROR(__xludf.DUMMYFUNCTION("""COMPUTED_VALUE"""),"Keep spinning and wait for the crown to land. In Crown Deluxe 2X, one moment is enough to double your win instantly.")</f>
        <v>Keep spinning and wait for the crown to land. In Crown Deluxe 2X, one moment is enough to double your win instantly.</v>
      </c>
      <c r="AT703" s="5"/>
      <c r="AU703" s="5" t="str">
        <f ca="1">IFERROR(__xludf.DUMMYFUNCTION("""COMPUTED_VALUE"""),"Redstone")</f>
        <v>Redstone</v>
      </c>
      <c r="AV703" s="5">
        <f ca="1">IFERROR(__xludf.DUMMYFUNCTION("""COMPUTED_VALUE"""),10)</f>
        <v>10</v>
      </c>
      <c r="AW703" s="5"/>
      <c r="AX703" s="15">
        <f ca="1">IFERROR(__xludf.DUMMYFUNCTION("""COMPUTED_VALUE"""),46105)</f>
        <v>46105</v>
      </c>
      <c r="AY703" s="5"/>
      <c r="AZ703" s="5"/>
      <c r="BA703" s="5"/>
      <c r="BB703" s="5" t="b">
        <f ca="1">IFERROR(__xludf.DUMMYFUNCTION("""COMPUTED_VALUE"""),TRUE)</f>
        <v>1</v>
      </c>
      <c r="BC703" s="5" t="str">
        <f ca="1">IFERROR(__xludf.DUMMYFUNCTION("""COMPUTED_VALUE"""),"Redstone")</f>
        <v>Redstone</v>
      </c>
      <c r="BD703" s="7" t="str">
        <f ca="1">IFERROR(__xludf.DUMMYFUNCTION("""COMPUTED_VALUE"""),"https://static.redstone.rs/games/crown-deluxe-2x/")</f>
        <v>https://static.redstone.rs/games/crown-deluxe-2x/</v>
      </c>
      <c r="BE703" s="5" t="b">
        <f ca="1">IFERROR(__xludf.DUMMYFUNCTION("""COMPUTED_VALUE"""),TRUE)</f>
        <v>1</v>
      </c>
    </row>
    <row r="704" spans="1:57" x14ac:dyDescent="0.25">
      <c r="A704" s="5">
        <f ca="1">IFERROR(__xludf.DUMMYFUNCTION("""COMPUTED_VALUE"""),739)</f>
        <v>739</v>
      </c>
      <c r="B704" s="5">
        <f ca="1">IFERROR(__xludf.DUMMYFUNCTION("""COMPUTED_VALUE"""),533)</f>
        <v>533</v>
      </c>
      <c r="C704" s="5" t="str">
        <f ca="1">IFERROR(__xludf.DUMMYFUNCTION("""COMPUTED_VALUE"""),"Playnet")</f>
        <v>Playnet</v>
      </c>
      <c r="D704" s="5" t="str">
        <f ca="1">IFERROR(__xludf.DUMMYFUNCTION("""COMPUTED_VALUE"""),"Royal Flame 40")</f>
        <v>Royal Flame 40</v>
      </c>
      <c r="E704" s="5" t="str">
        <f ca="1">IFERROR(__xludf.DUMMYFUNCTION("""COMPUTED_VALUE"""),"Sertifikacioni")</f>
        <v>Sertifikacioni</v>
      </c>
      <c r="F704" s="5" t="str">
        <f ca="1">IFERROR(__xludf.DUMMYFUNCTION("""COMPUTED_VALUE"""),"PlayNetRoyalFlame40")</f>
        <v>PlayNetRoyalFlame40</v>
      </c>
      <c r="G704" s="5" t="str">
        <f ca="1">IFERROR(__xludf.DUMMYFUNCTION("""COMPUTED_VALUE"""),"Live")</f>
        <v>Live</v>
      </c>
      <c r="H704" s="5"/>
      <c r="I704" s="5"/>
      <c r="J704" s="5" t="str">
        <f ca="1">IFERROR(__xludf.DUMMYFUNCTION("""COMPUTED_VALUE"""),"JSON")</f>
        <v>JSON</v>
      </c>
      <c r="K704" s="5" t="str">
        <f ca="1">IFERROR(__xludf.DUMMYFUNCTION("""COMPUTED_VALUE"""),"Slot")</f>
        <v>Slot</v>
      </c>
      <c r="L704" s="5" t="str">
        <f ca="1">IFERROR(__xludf.DUMMYFUNCTION("""COMPUTED_VALUE""")," Clone")</f>
        <v xml:space="preserve"> Clone</v>
      </c>
      <c r="M704" s="5" t="str">
        <f ca="1">IFERROR(__xludf.DUMMYFUNCTION("""COMPUTED_VALUE"""),"Golden Crown 40")</f>
        <v>Golden Crown 40</v>
      </c>
      <c r="N704" s="5"/>
      <c r="O704" s="5"/>
      <c r="P704" s="14">
        <f ca="1">IFERROR(__xludf.DUMMYFUNCTION("""COMPUTED_VALUE"""),15)</f>
        <v>15</v>
      </c>
      <c r="Q704" s="15">
        <f ca="1">IFERROR(__xludf.DUMMYFUNCTION("""COMPUTED_VALUE"""),46111)</f>
        <v>46111</v>
      </c>
      <c r="R704" s="15">
        <f ca="1">IFERROR(__xludf.DUMMYFUNCTION("""COMPUTED_VALUE"""),46107)</f>
        <v>46107</v>
      </c>
      <c r="S704" s="15">
        <f ca="1">IFERROR(__xludf.DUMMYFUNCTION("""COMPUTED_VALUE"""),46114)</f>
        <v>46114</v>
      </c>
      <c r="T704" s="5" t="b">
        <f ca="1">IFERROR(__xludf.DUMMYFUNCTION("""COMPUTED_VALUE"""),TRUE)</f>
        <v>1</v>
      </c>
      <c r="U704" s="5" t="str">
        <f ca="1">IFERROR(__xludf.DUMMYFUNCTION("""COMPUTED_VALUE"""),"5x3")</f>
        <v>5x3</v>
      </c>
      <c r="V704" s="5">
        <f ca="1">IFERROR(__xludf.DUMMYFUNCTION("""COMPUTED_VALUE"""),40)</f>
        <v>40</v>
      </c>
      <c r="W704" s="5">
        <f ca="1">IFERROR(__xludf.DUMMYFUNCTION("""COMPUTED_VALUE"""),40)</f>
        <v>40</v>
      </c>
      <c r="X704" s="5">
        <f ca="1">IFERROR(__xludf.DUMMYFUNCTION("""COMPUTED_VALUE"""),95.962)</f>
        <v>95.962000000000003</v>
      </c>
      <c r="Y704" s="5" t="str">
        <f ca="1">IFERROR(__xludf.DUMMYFUNCTION("""COMPUTED_VALUE"""),"Medium")</f>
        <v>Medium</v>
      </c>
      <c r="Z704" s="5">
        <f ca="1">IFERROR(__xludf.DUMMYFUNCTION("""COMPUTED_VALUE"""),18.351)</f>
        <v>18.350999999999999</v>
      </c>
      <c r="AA704" s="5">
        <f ca="1">IFERROR(__xludf.DUMMYFUNCTION("""COMPUTED_VALUE"""),1421)</f>
        <v>1421</v>
      </c>
      <c r="AB704" s="5"/>
      <c r="AC704" s="5" t="str">
        <f ca="1">IFERROR(__xludf.DUMMYFUNCTION("""COMPUTED_VALUE"""),"Scatter, Expanding Wild")</f>
        <v>Scatter, Expanding Wild</v>
      </c>
      <c r="AD704" s="5" t="str">
        <f ca="1">IFERROR(__xludf.DUMMYFUNCTION("""COMPUTED_VALUE"""),"0.2/50")</f>
        <v>0.2/50</v>
      </c>
      <c r="AE704" s="5"/>
      <c r="AF704" s="5"/>
      <c r="AG704" s="10">
        <f ca="1">IFERROR(__xludf.DUMMYFUNCTION("""COMPUTED_VALUE"""),46220.5074189814)</f>
        <v>46220.507418981397</v>
      </c>
      <c r="AH704" s="5" t="str">
        <f ca="1">IFERROR(__xludf.DUMMYFUNCTION("""COMPUTED_VALUE"""),"selena.mihajlovic@fazi.rs")</f>
        <v>selena.mihajlovic@fazi.rs</v>
      </c>
      <c r="AI704" s="5"/>
      <c r="AJ704" s="5"/>
      <c r="AK704" s="5">
        <f ca="1">IFERROR(__xludf.DUMMYFUNCTION("""COMPUTED_VALUE"""),40)</f>
        <v>40</v>
      </c>
      <c r="AL704" s="5" t="str">
        <f ca="1">IFERROR(__xludf.DUMMYFUNCTION("""COMPUTED_VALUE"""),"No")</f>
        <v>No</v>
      </c>
      <c r="AM704" s="5" t="str">
        <f ca="1">IFERROR(__xludf.DUMMYFUNCTION("""COMPUTED_VALUE"""),"No")</f>
        <v>No</v>
      </c>
      <c r="AN704" s="7" t="str">
        <f ca="1">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AO704" s="5" t="str">
        <f ca="1">IFERROR(__xludf.DUMMYFUNCTION("""COMPUTED_VALUE"""),"No")</f>
        <v>No</v>
      </c>
      <c r="AP704" s="5" t="str">
        <f ca="1">IFERROR(__xludf.DUMMYFUNCTION("""COMPUTED_VALUE"""),"No")</f>
        <v>No</v>
      </c>
      <c r="AQ704" s="5" t="b">
        <f ca="1">IFERROR(__xludf.DUMMYFUNCTION("""COMPUTED_VALUE"""),TRUE)</f>
        <v>1</v>
      </c>
      <c r="AR704" s="5"/>
      <c r="AS704" s="5" t="str">
        <f ca="1">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AT704" s="5"/>
      <c r="AU704" s="5" t="str">
        <f ca="1">IFERROR(__xludf.DUMMYFUNCTION("""COMPUTED_VALUE"""),"Fazi")</f>
        <v>Fazi</v>
      </c>
      <c r="AV704" s="5">
        <f ca="1">IFERROR(__xludf.DUMMYFUNCTION("""COMPUTED_VALUE"""),4)</f>
        <v>4</v>
      </c>
      <c r="AW704" s="5"/>
      <c r="AX704" s="15">
        <f ca="1">IFERROR(__xludf.DUMMYFUNCTION("""COMPUTED_VALUE"""),46105)</f>
        <v>46105</v>
      </c>
      <c r="AY704" s="5"/>
      <c r="AZ704" s="5"/>
      <c r="BA704" s="5"/>
      <c r="BB704" s="5" t="b">
        <f ca="1">IFERROR(__xludf.DUMMYFUNCTION("""COMPUTED_VALUE"""),TRUE)</f>
        <v>1</v>
      </c>
      <c r="BC704" s="5" t="str">
        <f ca="1">IFERROR(__xludf.DUMMYFUNCTION("""COMPUTED_VALUE"""),"Playnet")</f>
        <v>Playnet</v>
      </c>
      <c r="BD704" s="7" t="str">
        <f ca="1">IFERROR(__xludf.DUMMYFUNCTION("""COMPUTED_VALUE"""),"https://gameserver-store-client-area.orbionlimited.com/Home/IntegrationGameLaunch/client-area?moneyType=0&amp;gameName=PlayNetRoyalFlame40&amp;platform=desktop&amp;languageCode=eng&amp;currency=EUR")</f>
        <v>https://gameserver-store-client-area.orbionlimited.com/Home/IntegrationGameLaunch/client-area?moneyType=0&amp;gameName=PlayNetRoyalFlame40&amp;platform=desktop&amp;languageCode=eng&amp;currency=EUR</v>
      </c>
      <c r="BE704" s="5" t="b">
        <f ca="1">IFERROR(__xludf.DUMMYFUNCTION("""COMPUTED_VALUE"""),TRUE)</f>
        <v>1</v>
      </c>
    </row>
    <row r="705" spans="1:57" x14ac:dyDescent="0.25">
      <c r="A705" s="5">
        <f ca="1">IFERROR(__xludf.DUMMYFUNCTION("""COMPUTED_VALUE"""),740)</f>
        <v>740</v>
      </c>
      <c r="B705" s="5">
        <f ca="1">IFERROR(__xludf.DUMMYFUNCTION("""COMPUTED_VALUE"""),534)</f>
        <v>534</v>
      </c>
      <c r="C705" s="5" t="str">
        <f ca="1">IFERROR(__xludf.DUMMYFUNCTION("""COMPUTED_VALUE"""),"Playnet")</f>
        <v>Playnet</v>
      </c>
      <c r="D705" s="5" t="str">
        <f ca="1">IFERROR(__xludf.DUMMYFUNCTION("""COMPUTED_VALUE"""),"Fruit JackPot x10.000")</f>
        <v>Fruit JackPot x10.000</v>
      </c>
      <c r="E705" s="5" t="str">
        <f ca="1">IFERROR(__xludf.DUMMYFUNCTION("""COMPUTED_VALUE"""),"Sertifikacioni")</f>
        <v>Sertifikacioni</v>
      </c>
      <c r="F705" s="5" t="str">
        <f ca="1">IFERROR(__xludf.DUMMYFUNCTION("""COMPUTED_VALUE"""),"PlayNetFruitJackPotx10000")</f>
        <v>PlayNetFruitJackPotx10000</v>
      </c>
      <c r="G705" s="5" t="str">
        <f ca="1">IFERROR(__xludf.DUMMYFUNCTION("""COMPUTED_VALUE"""),"Live")</f>
        <v>Live</v>
      </c>
      <c r="H705" s="5"/>
      <c r="I705" s="5"/>
      <c r="J705" s="5" t="str">
        <f ca="1">IFERROR(__xludf.DUMMYFUNCTION("""COMPUTED_VALUE"""),"JSON")</f>
        <v>JSON</v>
      </c>
      <c r="K705" s="5" t="str">
        <f ca="1">IFERROR(__xludf.DUMMYFUNCTION("""COMPUTED_VALUE"""),"Slot")</f>
        <v>Slot</v>
      </c>
      <c r="L705" s="5" t="str">
        <f ca="1">IFERROR(__xludf.DUMMYFUNCTION("""COMPUTED_VALUE""")," Clone")</f>
        <v xml:space="preserve"> Clone</v>
      </c>
      <c r="M705" s="5" t="str">
        <f ca="1">IFERROR(__xludf.DUMMYFUNCTION("""COMPUTED_VALUE"""),"Clovers And Stars")</f>
        <v>Clovers And Stars</v>
      </c>
      <c r="N705" s="5"/>
      <c r="O705" s="5"/>
      <c r="P705" s="14">
        <f ca="1">IFERROR(__xludf.DUMMYFUNCTION("""COMPUTED_VALUE"""),10)</f>
        <v>10</v>
      </c>
      <c r="Q705" s="15">
        <f ca="1">IFERROR(__xludf.DUMMYFUNCTION("""COMPUTED_VALUE"""),46126)</f>
        <v>46126</v>
      </c>
      <c r="R705" s="15">
        <f ca="1">IFERROR(__xludf.DUMMYFUNCTION("""COMPUTED_VALUE"""),46125)</f>
        <v>46125</v>
      </c>
      <c r="S705" s="15">
        <f ca="1">IFERROR(__xludf.DUMMYFUNCTION("""COMPUTED_VALUE"""),46132)</f>
        <v>46132</v>
      </c>
      <c r="T705" s="5" t="b">
        <f ca="1">IFERROR(__xludf.DUMMYFUNCTION("""COMPUTED_VALUE"""),TRUE)</f>
        <v>1</v>
      </c>
      <c r="U705" s="5" t="str">
        <f ca="1">IFERROR(__xludf.DUMMYFUNCTION("""COMPUTED_VALUE"""),"5x4")</f>
        <v>5x4</v>
      </c>
      <c r="V705" s="5">
        <f ca="1">IFERROR(__xludf.DUMMYFUNCTION("""COMPUTED_VALUE"""),40)</f>
        <v>40</v>
      </c>
      <c r="W705" s="5">
        <f ca="1">IFERROR(__xludf.DUMMYFUNCTION("""COMPUTED_VALUE"""),40)</f>
        <v>40</v>
      </c>
      <c r="X705" s="5">
        <f ca="1">IFERROR(__xludf.DUMMYFUNCTION("""COMPUTED_VALUE"""),96.474)</f>
        <v>96.474000000000004</v>
      </c>
      <c r="Y705" s="5" t="str">
        <f ca="1">IFERROR(__xludf.DUMMYFUNCTION("""COMPUTED_VALUE"""),"High")</f>
        <v>High</v>
      </c>
      <c r="Z705" s="5">
        <f ca="1">IFERROR(__xludf.DUMMYFUNCTION("""COMPUTED_VALUE"""),10.421)</f>
        <v>10.420999999999999</v>
      </c>
      <c r="AA705" s="5">
        <f ca="1">IFERROR(__xludf.DUMMYFUNCTION("""COMPUTED_VALUE"""),10145.5)</f>
        <v>10145.5</v>
      </c>
      <c r="AB705" s="5"/>
      <c r="AC705" s="5" t="str">
        <f ca="1">IFERROR(__xludf.DUMMYFUNCTION("""COMPUTED_VALUE"""),"Scatter, Wild Symbol")</f>
        <v>Scatter, Wild Symbol</v>
      </c>
      <c r="AD705" s="5" t="str">
        <f ca="1">IFERROR(__xludf.DUMMYFUNCTION("""COMPUTED_VALUE"""),"0.04/40")</f>
        <v>0.04/40</v>
      </c>
      <c r="AE705" s="5"/>
      <c r="AF705" s="5"/>
      <c r="AG705" s="10">
        <f ca="1">IFERROR(__xludf.DUMMYFUNCTION("""COMPUTED_VALUE"""),46220.5075925925)</f>
        <v>46220.507592592498</v>
      </c>
      <c r="AH705" s="5" t="str">
        <f ca="1">IFERROR(__xludf.DUMMYFUNCTION("""COMPUTED_VALUE"""),"selena.mihajlovic@fazi.rs")</f>
        <v>selena.mihajlovic@fazi.rs</v>
      </c>
      <c r="AI705" s="15">
        <f ca="1">IFERROR(__xludf.DUMMYFUNCTION("""COMPUTED_VALUE"""),46127)</f>
        <v>46127</v>
      </c>
      <c r="AJ705" s="5" t="str">
        <f ca="1">IFERROR(__xludf.DUMMYFUNCTION("""COMPUTED_VALUE"""),"15.04. Mozzartbet SRB
15.04. Betarabia
15.04. Premierbet")</f>
        <v>15.04. Mozzartbet SRB
15.04. Betarabia
15.04. Premierbet</v>
      </c>
      <c r="AK705" s="5">
        <f ca="1">IFERROR(__xludf.DUMMYFUNCTION("""COMPUTED_VALUE"""),40)</f>
        <v>40</v>
      </c>
      <c r="AL705" s="5" t="str">
        <f ca="1">IFERROR(__xludf.DUMMYFUNCTION("""COMPUTED_VALUE"""),"No")</f>
        <v>No</v>
      </c>
      <c r="AM705" s="5" t="str">
        <f ca="1">IFERROR(__xludf.DUMMYFUNCTION("""COMPUTED_VALUE"""),"No")</f>
        <v>No</v>
      </c>
      <c r="AN705" s="7" t="str">
        <f ca="1">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AO705" s="5" t="str">
        <f ca="1">IFERROR(__xludf.DUMMYFUNCTION("""COMPUTED_VALUE"""),"No")</f>
        <v>No</v>
      </c>
      <c r="AP705" s="5" t="str">
        <f ca="1">IFERROR(__xludf.DUMMYFUNCTION("""COMPUTED_VALUE"""),"No")</f>
        <v>No</v>
      </c>
      <c r="AQ705" s="5" t="b">
        <f ca="1">IFERROR(__xludf.DUMMYFUNCTION("""COMPUTED_VALUE"""),TRUE)</f>
        <v>1</v>
      </c>
      <c r="AR705" s="5"/>
      <c r="AS705" s="5" t="str">
        <f ca="1">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AT705" s="5"/>
      <c r="AU705" s="5" t="str">
        <f ca="1">IFERROR(__xludf.DUMMYFUNCTION("""COMPUTED_VALUE"""),"Fazi")</f>
        <v>Fazi</v>
      </c>
      <c r="AV705" s="5">
        <f ca="1">IFERROR(__xludf.DUMMYFUNCTION("""COMPUTED_VALUE"""),4)</f>
        <v>4</v>
      </c>
      <c r="AW705" s="5"/>
      <c r="AX705" s="15">
        <f ca="1">IFERROR(__xludf.DUMMYFUNCTION("""COMPUTED_VALUE"""),46119)</f>
        <v>46119</v>
      </c>
      <c r="AY705" s="5"/>
      <c r="AZ705" s="5"/>
      <c r="BA705" s="5"/>
      <c r="BB705" s="5" t="b">
        <f ca="1">IFERROR(__xludf.DUMMYFUNCTION("""COMPUTED_VALUE"""),TRUE)</f>
        <v>1</v>
      </c>
      <c r="BC705" s="5" t="str">
        <f ca="1">IFERROR(__xludf.DUMMYFUNCTION("""COMPUTED_VALUE"""),"Playnet")</f>
        <v>Playnet</v>
      </c>
      <c r="BD705" s="7" t="str">
        <f ca="1">IFERROR(__xludf.DUMMYFUNCTION("""COMPUTED_VALUE"""),"https://gameserver-store-client-area.orbionlimited.com/Home/IntegrationGameLaunch/client-area?moneyType=0&amp;gameName=PlayNetFruitJackPotx10000&amp;platform=desktop&amp;languageCode=eng&amp;currency=EUR")</f>
        <v>https://gameserver-store-client-area.orbionlimited.com/Home/IntegrationGameLaunch/client-area?moneyType=0&amp;gameName=PlayNetFruitJackPotx10000&amp;platform=desktop&amp;languageCode=eng&amp;currency=EUR</v>
      </c>
      <c r="BE705" s="5" t="b">
        <f ca="1">IFERROR(__xludf.DUMMYFUNCTION("""COMPUTED_VALUE"""),TRUE)</f>
        <v>1</v>
      </c>
    </row>
    <row r="706" spans="1:57" x14ac:dyDescent="0.25">
      <c r="A706" s="5">
        <f ca="1">IFERROR(__xludf.DUMMYFUNCTION("""COMPUTED_VALUE"""),741)</f>
        <v>741</v>
      </c>
      <c r="B706" s="5">
        <f ca="1">IFERROR(__xludf.DUMMYFUNCTION("""COMPUTED_VALUE"""),535)</f>
        <v>535</v>
      </c>
      <c r="C706" s="5" t="str">
        <f ca="1">IFERROR(__xludf.DUMMYFUNCTION("""COMPUTED_VALUE"""),"Playnet")</f>
        <v>Playnet</v>
      </c>
      <c r="D706" s="5" t="str">
        <f ca="1">IFERROR(__xludf.DUMMYFUNCTION("""COMPUTED_VALUE"""),"27 Lucky Fruits")</f>
        <v>27 Lucky Fruits</v>
      </c>
      <c r="E706" s="5" t="str">
        <f ca="1">IFERROR(__xludf.DUMMYFUNCTION("""COMPUTED_VALUE"""),"Sertifikacioni")</f>
        <v>Sertifikacioni</v>
      </c>
      <c r="F706" s="5" t="str">
        <f ca="1">IFERROR(__xludf.DUMMYFUNCTION("""COMPUTED_VALUE"""),"PlayNet27LuckyFruits")</f>
        <v>PlayNet27LuckyFruits</v>
      </c>
      <c r="G706" s="5" t="str">
        <f ca="1">IFERROR(__xludf.DUMMYFUNCTION("""COMPUTED_VALUE"""),"Live")</f>
        <v>Live</v>
      </c>
      <c r="H706" s="5"/>
      <c r="I706" s="5"/>
      <c r="J706" s="5" t="str">
        <f ca="1">IFERROR(__xludf.DUMMYFUNCTION("""COMPUTED_VALUE"""),"JSON")</f>
        <v>JSON</v>
      </c>
      <c r="K706" s="5" t="str">
        <f ca="1">IFERROR(__xludf.DUMMYFUNCTION("""COMPUTED_VALUE"""),"Slot")</f>
        <v>Slot</v>
      </c>
      <c r="L706" s="5" t="str">
        <f ca="1">IFERROR(__xludf.DUMMYFUNCTION("""COMPUTED_VALUE""")," Clone")</f>
        <v xml:space="preserve"> Clone</v>
      </c>
      <c r="M706" s="5" t="str">
        <f ca="1">IFERROR(__xludf.DUMMYFUNCTION("""COMPUTED_VALUE"""),"Wild 27")</f>
        <v>Wild 27</v>
      </c>
      <c r="N706" s="5"/>
      <c r="O706" s="5"/>
      <c r="P706" s="14">
        <f ca="1">IFERROR(__xludf.DUMMYFUNCTION("""COMPUTED_VALUE"""),15)</f>
        <v>15</v>
      </c>
      <c r="Q706" s="15">
        <f ca="1">IFERROR(__xludf.DUMMYFUNCTION("""COMPUTED_VALUE"""),46126)</f>
        <v>46126</v>
      </c>
      <c r="R706" s="15">
        <f ca="1">IFERROR(__xludf.DUMMYFUNCTION("""COMPUTED_VALUE"""),46133)</f>
        <v>46133</v>
      </c>
      <c r="S706" s="15">
        <f ca="1">IFERROR(__xludf.DUMMYFUNCTION("""COMPUTED_VALUE"""),46140)</f>
        <v>46140</v>
      </c>
      <c r="T706" s="5" t="b">
        <f ca="1">IFERROR(__xludf.DUMMYFUNCTION("""COMPUTED_VALUE"""),TRUE)</f>
        <v>1</v>
      </c>
      <c r="U706" s="5" t="str">
        <f ca="1">IFERROR(__xludf.DUMMYFUNCTION("""COMPUTED_VALUE"""),"3x3")</f>
        <v>3x3</v>
      </c>
      <c r="V706" s="5">
        <f ca="1">IFERROR(__xludf.DUMMYFUNCTION("""COMPUTED_VALUE"""),27)</f>
        <v>27</v>
      </c>
      <c r="W706" s="5">
        <f ca="1">IFERROR(__xludf.DUMMYFUNCTION("""COMPUTED_VALUE"""),27)</f>
        <v>27</v>
      </c>
      <c r="X706" s="5">
        <f ca="1">IFERROR(__xludf.DUMMYFUNCTION("""COMPUTED_VALUE"""),96.24)</f>
        <v>96.24</v>
      </c>
      <c r="Y706" s="5" t="str">
        <f ca="1">IFERROR(__xludf.DUMMYFUNCTION("""COMPUTED_VALUE"""),"Low")</f>
        <v>Low</v>
      </c>
      <c r="Z706" s="5">
        <f ca="1">IFERROR(__xludf.DUMMYFUNCTION("""COMPUTED_VALUE"""),6.58)</f>
        <v>6.58</v>
      </c>
      <c r="AA706" s="5">
        <f ca="1">IFERROR(__xludf.DUMMYFUNCTION("""COMPUTED_VALUE"""),108)</f>
        <v>108</v>
      </c>
      <c r="AB706" s="5"/>
      <c r="AC706" s="5" t="str">
        <f ca="1">IFERROR(__xludf.DUMMYFUNCTION("""COMPUTED_VALUE"""),"Win Multiplier")</f>
        <v>Win Multiplier</v>
      </c>
      <c r="AD706" s="5" t="str">
        <f ca="1">IFERROR(__xludf.DUMMYFUNCTION("""COMPUTED_VALUE"""),"0.01/50")</f>
        <v>0.01/50</v>
      </c>
      <c r="AE706" s="5"/>
      <c r="AF706" s="5"/>
      <c r="AG706" s="10">
        <f ca="1">IFERROR(__xludf.DUMMYFUNCTION("""COMPUTED_VALUE"""),46220.5078472222)</f>
        <v>46220.507847222201</v>
      </c>
      <c r="AH706" s="5" t="str">
        <f ca="1">IFERROR(__xludf.DUMMYFUNCTION("""COMPUTED_VALUE"""),"selena.mihajlovic@fazi.rs")</f>
        <v>selena.mihajlovic@fazi.rs</v>
      </c>
      <c r="AI706" s="5"/>
      <c r="AJ706" s="5"/>
      <c r="AK706" s="5">
        <f ca="1">IFERROR(__xludf.DUMMYFUNCTION("""COMPUTED_VALUE"""),1)</f>
        <v>1</v>
      </c>
      <c r="AL706" s="5" t="str">
        <f ca="1">IFERROR(__xludf.DUMMYFUNCTION("""COMPUTED_VALUE"""),"No")</f>
        <v>No</v>
      </c>
      <c r="AM706" s="5" t="str">
        <f ca="1">IFERROR(__xludf.DUMMYFUNCTION("""COMPUTED_VALUE"""),"No")</f>
        <v>No</v>
      </c>
      <c r="AN706" s="7" t="str">
        <f ca="1">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AO706" s="5" t="str">
        <f ca="1">IFERROR(__xludf.DUMMYFUNCTION("""COMPUTED_VALUE"""),"No")</f>
        <v>No</v>
      </c>
      <c r="AP706" s="5" t="str">
        <f ca="1">IFERROR(__xludf.DUMMYFUNCTION("""COMPUTED_VALUE"""),"No")</f>
        <v>No</v>
      </c>
      <c r="AQ706" s="5" t="b">
        <f ca="1">IFERROR(__xludf.DUMMYFUNCTION("""COMPUTED_VALUE"""),TRUE)</f>
        <v>1</v>
      </c>
      <c r="AR706" s="5"/>
      <c r="AS706" s="5" t="str">
        <f ca="1">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AT706" s="5"/>
      <c r="AU706" s="5" t="str">
        <f ca="1">IFERROR(__xludf.DUMMYFUNCTION("""COMPUTED_VALUE"""),"Fazi")</f>
        <v>Fazi</v>
      </c>
      <c r="AV706" s="5">
        <f ca="1">IFERROR(__xludf.DUMMYFUNCTION("""COMPUTED_VALUE"""),1)</f>
        <v>1</v>
      </c>
      <c r="AW706" s="5"/>
      <c r="AX706" s="15">
        <f ca="1">IFERROR(__xludf.DUMMYFUNCTION("""COMPUTED_VALUE"""),46119)</f>
        <v>46119</v>
      </c>
      <c r="AY706" s="5"/>
      <c r="AZ706" s="5"/>
      <c r="BA706" s="5"/>
      <c r="BB706" s="5" t="b">
        <f ca="1">IFERROR(__xludf.DUMMYFUNCTION("""COMPUTED_VALUE"""),TRUE)</f>
        <v>1</v>
      </c>
      <c r="BC706" s="5" t="str">
        <f ca="1">IFERROR(__xludf.DUMMYFUNCTION("""COMPUTED_VALUE"""),"Playnet")</f>
        <v>Playnet</v>
      </c>
      <c r="BD706" s="7" t="str">
        <f ca="1">IFERROR(__xludf.DUMMYFUNCTION("""COMPUTED_VALUE"""),"https://gameserver-store-client-area.orbionlimited.com/Home/IntegrationGameLaunch/client-area?moneyType=0&amp;gameName=PlayNet27LuckyFruits&amp;platform=desktop&amp;languageCode=eng&amp;currency=EUR")</f>
        <v>https://gameserver-store-client-area.orbionlimited.com/Home/IntegrationGameLaunch/client-area?moneyType=0&amp;gameName=PlayNet27LuckyFruits&amp;platform=desktop&amp;languageCode=eng&amp;currency=EUR</v>
      </c>
      <c r="BE706" s="5" t="b">
        <f ca="1">IFERROR(__xludf.DUMMYFUNCTION("""COMPUTED_VALUE"""),TRUE)</f>
        <v>1</v>
      </c>
    </row>
    <row r="707" spans="1:57" x14ac:dyDescent="0.25">
      <c r="A707" s="5">
        <f ca="1">IFERROR(__xludf.DUMMYFUNCTION("""COMPUTED_VALUE"""),742)</f>
        <v>742</v>
      </c>
      <c r="B707" s="5">
        <f ca="1">IFERROR(__xludf.DUMMYFUNCTION("""COMPUTED_VALUE"""),536)</f>
        <v>536</v>
      </c>
      <c r="C707" s="5" t="str">
        <f ca="1">IFERROR(__xludf.DUMMYFUNCTION("""COMPUTED_VALUE"""),"Playnet")</f>
        <v>Playnet</v>
      </c>
      <c r="D707" s="5" t="str">
        <f ca="1">IFERROR(__xludf.DUMMYFUNCTION("""COMPUTED_VALUE"""),"Shadow Hunt 10")</f>
        <v>Shadow Hunt 10</v>
      </c>
      <c r="E707" s="5" t="str">
        <f ca="1">IFERROR(__xludf.DUMMYFUNCTION("""COMPUTED_VALUE"""),"Sertifikacioni")</f>
        <v>Sertifikacioni</v>
      </c>
      <c r="F707" s="5" t="str">
        <f ca="1">IFERROR(__xludf.DUMMYFUNCTION("""COMPUTED_VALUE"""),"PlayNetShadowHunt10")</f>
        <v>PlayNetShadowHunt10</v>
      </c>
      <c r="G707" s="5" t="str">
        <f ca="1">IFERROR(__xludf.DUMMYFUNCTION("""COMPUTED_VALUE"""),"Live")</f>
        <v>Live</v>
      </c>
      <c r="H707" s="5"/>
      <c r="I707" s="5"/>
      <c r="J707" s="5" t="str">
        <f ca="1">IFERROR(__xludf.DUMMYFUNCTION("""COMPUTED_VALUE"""),"JSON")</f>
        <v>JSON</v>
      </c>
      <c r="K707" s="5" t="str">
        <f ca="1">IFERROR(__xludf.DUMMYFUNCTION("""COMPUTED_VALUE"""),"Slot")</f>
        <v>Slot</v>
      </c>
      <c r="L707" s="5" t="str">
        <f ca="1">IFERROR(__xludf.DUMMYFUNCTION("""COMPUTED_VALUE""")," Clone")</f>
        <v xml:space="preserve"> Clone</v>
      </c>
      <c r="M707" s="5" t="str">
        <f ca="1">IFERROR(__xludf.DUMMYFUNCTION("""COMPUTED_VALUE"""),"Mega Hot 10")</f>
        <v>Mega Hot 10</v>
      </c>
      <c r="N707" s="5"/>
      <c r="O707" s="5"/>
      <c r="P707" s="14">
        <f ca="1">IFERROR(__xludf.DUMMYFUNCTION("""COMPUTED_VALUE"""),15)</f>
        <v>15</v>
      </c>
      <c r="Q707" s="15">
        <f ca="1">IFERROR(__xludf.DUMMYFUNCTION("""COMPUTED_VALUE"""),46139)</f>
        <v>46139</v>
      </c>
      <c r="R707" s="15">
        <f ca="1">IFERROR(__xludf.DUMMYFUNCTION("""COMPUTED_VALUE"""),46139)</f>
        <v>46139</v>
      </c>
      <c r="S707" s="15">
        <f ca="1">IFERROR(__xludf.DUMMYFUNCTION("""COMPUTED_VALUE"""),46146)</f>
        <v>46146</v>
      </c>
      <c r="T707" s="5" t="b">
        <f ca="1">IFERROR(__xludf.DUMMYFUNCTION("""COMPUTED_VALUE"""),TRUE)</f>
        <v>1</v>
      </c>
      <c r="U707" s="5" t="str">
        <f ca="1">IFERROR(__xludf.DUMMYFUNCTION("""COMPUTED_VALUE"""),"5x3")</f>
        <v>5x3</v>
      </c>
      <c r="V707" s="5">
        <f ca="1">IFERROR(__xludf.DUMMYFUNCTION("""COMPUTED_VALUE"""),10)</f>
        <v>10</v>
      </c>
      <c r="W707" s="5">
        <f ca="1">IFERROR(__xludf.DUMMYFUNCTION("""COMPUTED_VALUE"""),10)</f>
        <v>10</v>
      </c>
      <c r="X707" s="5">
        <f ca="1">IFERROR(__xludf.DUMMYFUNCTION("""COMPUTED_VALUE"""),96.475)</f>
        <v>96.474999999999994</v>
      </c>
      <c r="Y707" s="5" t="str">
        <f ca="1">IFERROR(__xludf.DUMMYFUNCTION("""COMPUTED_VALUE"""),"High")</f>
        <v>High</v>
      </c>
      <c r="Z707" s="5">
        <f ca="1">IFERROR(__xludf.DUMMYFUNCTION("""COMPUTED_VALUE"""),5.934)</f>
        <v>5.9340000000000002</v>
      </c>
      <c r="AA707" s="5">
        <f ca="1">IFERROR(__xludf.DUMMYFUNCTION("""COMPUTED_VALUE"""),1500)</f>
        <v>1500</v>
      </c>
      <c r="AB707" s="5"/>
      <c r="AC707" s="5" t="str">
        <f ca="1">IFERROR(__xludf.DUMMYFUNCTION("""COMPUTED_VALUE"""),"Win Multiplier")</f>
        <v>Win Multiplier</v>
      </c>
      <c r="AD707" s="5" t="str">
        <f ca="1">IFERROR(__xludf.DUMMYFUNCTION("""COMPUTED_VALUE"""),"0.1/40")</f>
        <v>0.1/40</v>
      </c>
      <c r="AE707" s="5"/>
      <c r="AF707" s="5"/>
      <c r="AG707" s="10">
        <f ca="1">IFERROR(__xludf.DUMMYFUNCTION("""COMPUTED_VALUE"""),46220.5083333333)</f>
        <v>46220.508333333302</v>
      </c>
      <c r="AH707" s="5" t="str">
        <f ca="1">IFERROR(__xludf.DUMMYFUNCTION("""COMPUTED_VALUE"""),"selena.mihajlovic@fazi.rs")</f>
        <v>selena.mihajlovic@fazi.rs</v>
      </c>
      <c r="AI707" s="5"/>
      <c r="AJ707" s="5"/>
      <c r="AK707" s="5">
        <f ca="1">IFERROR(__xludf.DUMMYFUNCTION("""COMPUTED_VALUE"""),10)</f>
        <v>10</v>
      </c>
      <c r="AL707" s="5" t="str">
        <f ca="1">IFERROR(__xludf.DUMMYFUNCTION("""COMPUTED_VALUE"""),"No")</f>
        <v>No</v>
      </c>
      <c r="AM707" s="5" t="str">
        <f ca="1">IFERROR(__xludf.DUMMYFUNCTION("""COMPUTED_VALUE"""),"No")</f>
        <v>No</v>
      </c>
      <c r="AN707" s="7" t="str">
        <f ca="1">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AO707" s="5" t="str">
        <f ca="1">IFERROR(__xludf.DUMMYFUNCTION("""COMPUTED_VALUE"""),"No")</f>
        <v>No</v>
      </c>
      <c r="AP707" s="5" t="str">
        <f ca="1">IFERROR(__xludf.DUMMYFUNCTION("""COMPUTED_VALUE"""),"No")</f>
        <v>No</v>
      </c>
      <c r="AQ707" s="5" t="b">
        <f ca="1">IFERROR(__xludf.DUMMYFUNCTION("""COMPUTED_VALUE"""),TRUE)</f>
        <v>1</v>
      </c>
      <c r="AR707" s="5"/>
      <c r="AS707" s="5" t="str">
        <f ca="1">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AT707" s="5"/>
      <c r="AU707" s="5" t="str">
        <f ca="1">IFERROR(__xludf.DUMMYFUNCTION("""COMPUTED_VALUE"""),"Fazi")</f>
        <v>Fazi</v>
      </c>
      <c r="AV707" s="5">
        <f ca="1">IFERROR(__xludf.DUMMYFUNCTION("""COMPUTED_VALUE"""),1)</f>
        <v>1</v>
      </c>
      <c r="AW707" s="5"/>
      <c r="AX707" s="15">
        <f ca="1">IFERROR(__xludf.DUMMYFUNCTION("""COMPUTED_VALUE"""),46133)</f>
        <v>46133</v>
      </c>
      <c r="AY707" s="5"/>
      <c r="AZ707" s="5"/>
      <c r="BA707" s="5"/>
      <c r="BB707" s="5" t="b">
        <f ca="1">IFERROR(__xludf.DUMMYFUNCTION("""COMPUTED_VALUE"""),TRUE)</f>
        <v>1</v>
      </c>
      <c r="BC707" s="5" t="str">
        <f ca="1">IFERROR(__xludf.DUMMYFUNCTION("""COMPUTED_VALUE"""),"Playnet")</f>
        <v>Playnet</v>
      </c>
      <c r="BD707" s="7" t="str">
        <f ca="1">IFERROR(__xludf.DUMMYFUNCTION("""COMPUTED_VALUE"""),"https://gameserver-store-client-area.orbionlimited.com/Home/IntegrationGameLaunch/client-area?moneyType=0&amp;gameName=PlayNetShadowHunt10&amp;platform=desktop&amp;languageCode=eng&amp;currency=EUR")</f>
        <v>https://gameserver-store-client-area.orbionlimited.com/Home/IntegrationGameLaunch/client-area?moneyType=0&amp;gameName=PlayNetShadowHunt10&amp;platform=desktop&amp;languageCode=eng&amp;currency=EUR</v>
      </c>
      <c r="BE707" s="5" t="b">
        <f ca="1">IFERROR(__xludf.DUMMYFUNCTION("""COMPUTED_VALUE"""),TRUE)</f>
        <v>1</v>
      </c>
    </row>
    <row r="708" spans="1:57" x14ac:dyDescent="0.25">
      <c r="A708" s="5">
        <f ca="1">IFERROR(__xludf.DUMMYFUNCTION("""COMPUTED_VALUE"""),743)</f>
        <v>743</v>
      </c>
      <c r="B708" s="5">
        <f ca="1">IFERROR(__xludf.DUMMYFUNCTION("""COMPUTED_VALUE"""),537)</f>
        <v>537</v>
      </c>
      <c r="C708" s="5" t="str">
        <f ca="1">IFERROR(__xludf.DUMMYFUNCTION("""COMPUTED_VALUE"""),"Playnet")</f>
        <v>Playnet</v>
      </c>
      <c r="D708" s="5" t="str">
        <f ca="1">IFERROR(__xludf.DUMMYFUNCTION("""COMPUTED_VALUE"""),"Diamond Heart 20")</f>
        <v>Diamond Heart 20</v>
      </c>
      <c r="E708" s="5" t="str">
        <f ca="1">IFERROR(__xludf.DUMMYFUNCTION("""COMPUTED_VALUE"""),"Sertifikacioni")</f>
        <v>Sertifikacioni</v>
      </c>
      <c r="F708" s="5" t="str">
        <f ca="1">IFERROR(__xludf.DUMMYFUNCTION("""COMPUTED_VALUE"""),"PlayNetDiamondHeart20")</f>
        <v>PlayNetDiamondHeart20</v>
      </c>
      <c r="G708" s="5" t="str">
        <f ca="1">IFERROR(__xludf.DUMMYFUNCTION("""COMPUTED_VALUE"""),"Live")</f>
        <v>Live</v>
      </c>
      <c r="H708" s="5"/>
      <c r="I708" s="5"/>
      <c r="J708" s="5" t="str">
        <f ca="1">IFERROR(__xludf.DUMMYFUNCTION("""COMPUTED_VALUE"""),"JSON")</f>
        <v>JSON</v>
      </c>
      <c r="K708" s="5" t="str">
        <f ca="1">IFERROR(__xludf.DUMMYFUNCTION("""COMPUTED_VALUE"""),"Slot")</f>
        <v>Slot</v>
      </c>
      <c r="L708" s="5" t="str">
        <f ca="1">IFERROR(__xludf.DUMMYFUNCTION("""COMPUTED_VALUE""")," Clone")</f>
        <v xml:space="preserve"> Clone</v>
      </c>
      <c r="M708" s="5" t="str">
        <f ca="1">IFERROR(__xludf.DUMMYFUNCTION("""COMPUTED_VALUE"""),"Very Hot 20")</f>
        <v>Very Hot 20</v>
      </c>
      <c r="N708" s="5"/>
      <c r="O708" s="5"/>
      <c r="P708" s="14">
        <f ca="1">IFERROR(__xludf.DUMMYFUNCTION("""COMPUTED_VALUE"""),13)</f>
        <v>13</v>
      </c>
      <c r="Q708" s="15">
        <f ca="1">IFERROR(__xludf.DUMMYFUNCTION("""COMPUTED_VALUE"""),46153)</f>
        <v>46153</v>
      </c>
      <c r="R708" s="15">
        <f ca="1">IFERROR(__xludf.DUMMYFUNCTION("""COMPUTED_VALUE"""),46147)</f>
        <v>46147</v>
      </c>
      <c r="S708" s="15">
        <f ca="1">IFERROR(__xludf.DUMMYFUNCTION("""COMPUTED_VALUE"""),46154)</f>
        <v>46154</v>
      </c>
      <c r="T708" s="5" t="b">
        <f ca="1">IFERROR(__xludf.DUMMYFUNCTION("""COMPUTED_VALUE"""),TRUE)</f>
        <v>1</v>
      </c>
      <c r="U708" s="5" t="str">
        <f ca="1">IFERROR(__xludf.DUMMYFUNCTION("""COMPUTED_VALUE"""),"5x3")</f>
        <v>5x3</v>
      </c>
      <c r="V708" s="5">
        <f ca="1">IFERROR(__xludf.DUMMYFUNCTION("""COMPUTED_VALUE"""),20)</f>
        <v>20</v>
      </c>
      <c r="W708" s="5">
        <f ca="1">IFERROR(__xludf.DUMMYFUNCTION("""COMPUTED_VALUE"""),20)</f>
        <v>20</v>
      </c>
      <c r="X708" s="5">
        <f ca="1">IFERROR(__xludf.DUMMYFUNCTION("""COMPUTED_VALUE"""),96.504)</f>
        <v>96.504000000000005</v>
      </c>
      <c r="Y708" s="5" t="str">
        <f ca="1">IFERROR(__xludf.DUMMYFUNCTION("""COMPUTED_VALUE"""),"Medium")</f>
        <v>Medium</v>
      </c>
      <c r="Z708" s="5">
        <f ca="1">IFERROR(__xludf.DUMMYFUNCTION("""COMPUTED_VALUE"""),21.751)</f>
        <v>21.751000000000001</v>
      </c>
      <c r="AA708" s="5">
        <f ca="1">IFERROR(__xludf.DUMMYFUNCTION("""COMPUTED_VALUE"""),1231.5)</f>
        <v>1231.5</v>
      </c>
      <c r="AB708" s="5"/>
      <c r="AC708" s="5" t="str">
        <f ca="1">IFERROR(__xludf.DUMMYFUNCTION("""COMPUTED_VALUE"""),"Expanding Wild, Scatter")</f>
        <v>Expanding Wild, Scatter</v>
      </c>
      <c r="AD708" s="5" t="str">
        <f ca="1">IFERROR(__xludf.DUMMYFUNCTION("""COMPUTED_VALUE"""),"0.2/50")</f>
        <v>0.2/50</v>
      </c>
      <c r="AE708" s="5"/>
      <c r="AF708" s="5"/>
      <c r="AG708" s="10">
        <f ca="1">IFERROR(__xludf.DUMMYFUNCTION("""COMPUTED_VALUE"""),46220.5084837962)</f>
        <v>46220.508483796199</v>
      </c>
      <c r="AH708" s="5" t="str">
        <f ca="1">IFERROR(__xludf.DUMMYFUNCTION("""COMPUTED_VALUE"""),"selena.mihajlovic@fazi.rs")</f>
        <v>selena.mihajlovic@fazi.rs</v>
      </c>
      <c r="AI708" s="5"/>
      <c r="AJ708" s="5"/>
      <c r="AK708" s="5">
        <f ca="1">IFERROR(__xludf.DUMMYFUNCTION("""COMPUTED_VALUE"""),20)</f>
        <v>20</v>
      </c>
      <c r="AL708" s="5" t="str">
        <f ca="1">IFERROR(__xludf.DUMMYFUNCTION("""COMPUTED_VALUE"""),"No")</f>
        <v>No</v>
      </c>
      <c r="AM708" s="5" t="str">
        <f ca="1">IFERROR(__xludf.DUMMYFUNCTION("""COMPUTED_VALUE"""),"No")</f>
        <v>No</v>
      </c>
      <c r="AN708" s="7" t="str">
        <f ca="1">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AO708" s="5" t="str">
        <f ca="1">IFERROR(__xludf.DUMMYFUNCTION("""COMPUTED_VALUE"""),"No")</f>
        <v>No</v>
      </c>
      <c r="AP708" s="5" t="str">
        <f ca="1">IFERROR(__xludf.DUMMYFUNCTION("""COMPUTED_VALUE"""),"No")</f>
        <v>No</v>
      </c>
      <c r="AQ708" s="5" t="b">
        <f ca="1">IFERROR(__xludf.DUMMYFUNCTION("""COMPUTED_VALUE"""),TRUE)</f>
        <v>1</v>
      </c>
      <c r="AR708" s="5"/>
      <c r="AS708" s="5" t="str">
        <f ca="1">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708" s="5"/>
      <c r="AU708" s="5" t="str">
        <f ca="1">IFERROR(__xludf.DUMMYFUNCTION("""COMPUTED_VALUE"""),"Fazi")</f>
        <v>Fazi</v>
      </c>
      <c r="AV708" s="5">
        <f ca="1">IFERROR(__xludf.DUMMYFUNCTION("""COMPUTED_VALUE"""),2)</f>
        <v>2</v>
      </c>
      <c r="AW708" s="5"/>
      <c r="AX708" s="15">
        <f ca="1">IFERROR(__xludf.DUMMYFUNCTION("""COMPUTED_VALUE"""),46147)</f>
        <v>46147</v>
      </c>
      <c r="AY708" s="5"/>
      <c r="AZ708" s="5"/>
      <c r="BA708" s="5"/>
      <c r="BB708" s="5" t="b">
        <f ca="1">IFERROR(__xludf.DUMMYFUNCTION("""COMPUTED_VALUE"""),TRUE)</f>
        <v>1</v>
      </c>
      <c r="BC708" s="5" t="str">
        <f ca="1">IFERROR(__xludf.DUMMYFUNCTION("""COMPUTED_VALUE"""),"Playnet")</f>
        <v>Playnet</v>
      </c>
      <c r="BD708" s="7" t="str">
        <f ca="1">IFERROR(__xludf.DUMMYFUNCTION("""COMPUTED_VALUE"""),"https://gameserver-store-client-area.orbionlimited.com/Home/IntegrationGameLaunch/client-area?moneyType=0&amp;gameName=PlayNetDiamondHeart20&amp;platform=desktop&amp;languageCode=eng&amp;currency=EUR")</f>
        <v>https://gameserver-store-client-area.orbionlimited.com/Home/IntegrationGameLaunch/client-area?moneyType=0&amp;gameName=PlayNetDiamondHeart20&amp;platform=desktop&amp;languageCode=eng&amp;currency=EUR</v>
      </c>
      <c r="BE708" s="5" t="b">
        <f ca="1">IFERROR(__xludf.DUMMYFUNCTION("""COMPUTED_VALUE"""),TRUE)</f>
        <v>1</v>
      </c>
    </row>
    <row r="709" spans="1:57" x14ac:dyDescent="0.25">
      <c r="A709" s="5">
        <f ca="1">IFERROR(__xludf.DUMMYFUNCTION("""COMPUTED_VALUE"""),744)</f>
        <v>744</v>
      </c>
      <c r="B709" s="5">
        <f ca="1">IFERROR(__xludf.DUMMYFUNCTION("""COMPUTED_VALUE"""),538)</f>
        <v>538</v>
      </c>
      <c r="C709" s="5" t="str">
        <f ca="1">IFERROR(__xludf.DUMMYFUNCTION("""COMPUTED_VALUE"""),"Playnet")</f>
        <v>Playnet</v>
      </c>
      <c r="D709" s="5" t="str">
        <f ca="1">IFERROR(__xludf.DUMMYFUNCTION("""COMPUTED_VALUE"""),"Bit Queen")</f>
        <v>Bit Queen</v>
      </c>
      <c r="E709" s="5" t="str">
        <f ca="1">IFERROR(__xludf.DUMMYFUNCTION("""COMPUTED_VALUE"""),"Sertifikacioni")</f>
        <v>Sertifikacioni</v>
      </c>
      <c r="F709" s="5" t="str">
        <f ca="1">IFERROR(__xludf.DUMMYFUNCTION("""COMPUTED_VALUE"""),"PlayNetBitQueen")</f>
        <v>PlayNetBitQueen</v>
      </c>
      <c r="G709" s="5" t="str">
        <f ca="1">IFERROR(__xludf.DUMMYFUNCTION("""COMPUTED_VALUE"""),"Live")</f>
        <v>Live</v>
      </c>
      <c r="H709" s="5"/>
      <c r="I709" s="5"/>
      <c r="J709" s="5" t="str">
        <f ca="1">IFERROR(__xludf.DUMMYFUNCTION("""COMPUTED_VALUE"""),"JSON")</f>
        <v>JSON</v>
      </c>
      <c r="K709" s="5" t="str">
        <f ca="1">IFERROR(__xludf.DUMMYFUNCTION("""COMPUTED_VALUE"""),"Slot")</f>
        <v>Slot</v>
      </c>
      <c r="L709" s="5" t="str">
        <f ca="1">IFERROR(__xludf.DUMMYFUNCTION("""COMPUTED_VALUE""")," Clone")</f>
        <v xml:space="preserve"> Clone</v>
      </c>
      <c r="M709" s="5" t="str">
        <f ca="1">IFERROR(__xludf.DUMMYFUNCTION("""COMPUTED_VALUE"""),"Wild Lucky Clover")</f>
        <v>Wild Lucky Clover</v>
      </c>
      <c r="N709" s="5"/>
      <c r="O709" s="5"/>
      <c r="P709" s="14">
        <f ca="1">IFERROR(__xludf.DUMMYFUNCTION("""COMPUTED_VALUE"""),15)</f>
        <v>15</v>
      </c>
      <c r="Q709" s="15">
        <f ca="1">IFERROR(__xludf.DUMMYFUNCTION("""COMPUTED_VALUE"""),46153)</f>
        <v>46153</v>
      </c>
      <c r="R709" s="15">
        <f ca="1">IFERROR(__xludf.DUMMYFUNCTION("""COMPUTED_VALUE"""),46160)</f>
        <v>46160</v>
      </c>
      <c r="S709" s="15">
        <f ca="1">IFERROR(__xludf.DUMMYFUNCTION("""COMPUTED_VALUE"""),46167)</f>
        <v>46167</v>
      </c>
      <c r="T709" s="5" t="b">
        <f ca="1">IFERROR(__xludf.DUMMYFUNCTION("""COMPUTED_VALUE"""),TRUE)</f>
        <v>1</v>
      </c>
      <c r="U709" s="5" t="str">
        <f ca="1">IFERROR(__xludf.DUMMYFUNCTION("""COMPUTED_VALUE"""),"5x4")</f>
        <v>5x4</v>
      </c>
      <c r="V709" s="5">
        <f ca="1">IFERROR(__xludf.DUMMYFUNCTION("""COMPUTED_VALUE"""),40)</f>
        <v>40</v>
      </c>
      <c r="W709" s="5">
        <f ca="1">IFERROR(__xludf.DUMMYFUNCTION("""COMPUTED_VALUE"""),40)</f>
        <v>40</v>
      </c>
      <c r="X709" s="5">
        <f ca="1">IFERROR(__xludf.DUMMYFUNCTION("""COMPUTED_VALUE"""),96.291)</f>
        <v>96.290999999999997</v>
      </c>
      <c r="Y709" s="5" t="str">
        <f ca="1">IFERROR(__xludf.DUMMYFUNCTION("""COMPUTED_VALUE"""),"Medium")</f>
        <v>Medium</v>
      </c>
      <c r="Z709" s="5">
        <f ca="1">IFERROR(__xludf.DUMMYFUNCTION("""COMPUTED_VALUE"""),12.67)</f>
        <v>12.67</v>
      </c>
      <c r="AA709" s="5">
        <f ca="1">IFERROR(__xludf.DUMMYFUNCTION("""COMPUTED_VALUE"""),1043)</f>
        <v>1043</v>
      </c>
      <c r="AB709" s="5"/>
      <c r="AC709" s="5" t="str">
        <f ca="1">IFERROR(__xludf.DUMMYFUNCTION("""COMPUTED_VALUE"""),"Bonus Game with Free Spins, Scatter, Special Wild")</f>
        <v>Bonus Game with Free Spins, Scatter, Special Wild</v>
      </c>
      <c r="AD709" s="5" t="str">
        <f ca="1">IFERROR(__xludf.DUMMYFUNCTION("""COMPUTED_VALUE"""),"0.1/60")</f>
        <v>0.1/60</v>
      </c>
      <c r="AE709" s="5"/>
      <c r="AF709" s="5"/>
      <c r="AG709" s="10">
        <f ca="1">IFERROR(__xludf.DUMMYFUNCTION("""COMPUTED_VALUE"""),46220.5086226851)</f>
        <v>46220.508622685098</v>
      </c>
      <c r="AH709" s="5" t="str">
        <f ca="1">IFERROR(__xludf.DUMMYFUNCTION("""COMPUTED_VALUE"""),"selena.mihajlovic@fazi.rs")</f>
        <v>selena.mihajlovic@fazi.rs</v>
      </c>
      <c r="AI709" s="5"/>
      <c r="AJ709" s="5"/>
      <c r="AK709" s="5">
        <f ca="1">IFERROR(__xludf.DUMMYFUNCTION("""COMPUTED_VALUE"""),40)</f>
        <v>40</v>
      </c>
      <c r="AL709" s="5" t="str">
        <f ca="1">IFERROR(__xludf.DUMMYFUNCTION("""COMPUTED_VALUE"""),"No")</f>
        <v>No</v>
      </c>
      <c r="AM709" s="5" t="str">
        <f ca="1">IFERROR(__xludf.DUMMYFUNCTION("""COMPUTED_VALUE"""),"No")</f>
        <v>No</v>
      </c>
      <c r="AN709" s="7" t="str">
        <f ca="1">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AO709" s="5" t="str">
        <f ca="1">IFERROR(__xludf.DUMMYFUNCTION("""COMPUTED_VALUE"""),"No")</f>
        <v>No</v>
      </c>
      <c r="AP709" s="5" t="str">
        <f ca="1">IFERROR(__xludf.DUMMYFUNCTION("""COMPUTED_VALUE"""),"No")</f>
        <v>No</v>
      </c>
      <c r="AQ709" s="5" t="b">
        <f ca="1">IFERROR(__xludf.DUMMYFUNCTION("""COMPUTED_VALUE"""),TRUE)</f>
        <v>1</v>
      </c>
      <c r="AR709" s="5"/>
      <c r="AS709" s="5" t="str">
        <f ca="1">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AT709" s="5"/>
      <c r="AU709" s="5" t="str">
        <f ca="1">IFERROR(__xludf.DUMMYFUNCTION("""COMPUTED_VALUE"""),"Fazi")</f>
        <v>Fazi</v>
      </c>
      <c r="AV709" s="5">
        <f ca="1">IFERROR(__xludf.DUMMYFUNCTION("""COMPUTED_VALUE"""),4)</f>
        <v>4</v>
      </c>
      <c r="AW709" s="5"/>
      <c r="AX709" s="15">
        <f ca="1">IFERROR(__xludf.DUMMYFUNCTION("""COMPUTED_VALUE"""),46147)</f>
        <v>46147</v>
      </c>
      <c r="AY709" s="5"/>
      <c r="AZ709" s="5"/>
      <c r="BA709" s="5"/>
      <c r="BB709" s="5" t="b">
        <f ca="1">IFERROR(__xludf.DUMMYFUNCTION("""COMPUTED_VALUE"""),TRUE)</f>
        <v>1</v>
      </c>
      <c r="BC709" s="5" t="str">
        <f ca="1">IFERROR(__xludf.DUMMYFUNCTION("""COMPUTED_VALUE"""),"Playnet")</f>
        <v>Playnet</v>
      </c>
      <c r="BD709" s="7" t="str">
        <f ca="1">IFERROR(__xludf.DUMMYFUNCTION("""COMPUTED_VALUE"""),"https://gameserver-store-client-area.orbionlimited.com/Home/IntegrationGameLaunch/client-area?moneyType=0&amp;gameName=PlayNetBitQueen&amp;platform=desktop&amp;languageCode=eng&amp;currency=EUR")</f>
        <v>https://gameserver-store-client-area.orbionlimited.com/Home/IntegrationGameLaunch/client-area?moneyType=0&amp;gameName=PlayNetBitQueen&amp;platform=desktop&amp;languageCode=eng&amp;currency=EUR</v>
      </c>
      <c r="BE709" s="5" t="b">
        <f ca="1">IFERROR(__xludf.DUMMYFUNCTION("""COMPUTED_VALUE"""),TRUE)</f>
        <v>1</v>
      </c>
    </row>
    <row r="710" spans="1:57" x14ac:dyDescent="0.25">
      <c r="A710" s="5">
        <f ca="1">IFERROR(__xludf.DUMMYFUNCTION("""COMPUTED_VALUE"""),745)</f>
        <v>745</v>
      </c>
      <c r="B710" s="5">
        <f ca="1">IFERROR(__xludf.DUMMYFUNCTION("""COMPUTED_VALUE"""),539)</f>
        <v>539</v>
      </c>
      <c r="C710" s="5" t="str">
        <f ca="1">IFERROR(__xludf.DUMMYFUNCTION("""COMPUTED_VALUE"""),"Playnet")</f>
        <v>Playnet</v>
      </c>
      <c r="D710" s="5" t="str">
        <f ca="1">IFERROR(__xludf.DUMMYFUNCTION("""COMPUTED_VALUE"""),"Dashing Hot 40")</f>
        <v>Dashing Hot 40</v>
      </c>
      <c r="E710" s="5" t="str">
        <f ca="1">IFERROR(__xludf.DUMMYFUNCTION("""COMPUTED_VALUE"""),"Sertifikacioni")</f>
        <v>Sertifikacioni</v>
      </c>
      <c r="F710" s="5" t="str">
        <f ca="1">IFERROR(__xludf.DUMMYFUNCTION("""COMPUTED_VALUE"""),"PlayNetDashingHot40")</f>
        <v>PlayNetDashingHot40</v>
      </c>
      <c r="G710" s="5" t="str">
        <f ca="1">IFERROR(__xludf.DUMMYFUNCTION("""COMPUTED_VALUE"""),"Live")</f>
        <v>Live</v>
      </c>
      <c r="H710" s="5"/>
      <c r="I710" s="5"/>
      <c r="J710" s="5" t="str">
        <f ca="1">IFERROR(__xludf.DUMMYFUNCTION("""COMPUTED_VALUE"""),"JSON")</f>
        <v>JSON</v>
      </c>
      <c r="K710" s="5" t="str">
        <f ca="1">IFERROR(__xludf.DUMMYFUNCTION("""COMPUTED_VALUE"""),"Slot")</f>
        <v>Slot</v>
      </c>
      <c r="L710" s="5" t="str">
        <f ca="1">IFERROR(__xludf.DUMMYFUNCTION("""COMPUTED_VALUE""")," Clone")</f>
        <v xml:space="preserve"> Clone</v>
      </c>
      <c r="M710" s="5" t="str">
        <f ca="1">IFERROR(__xludf.DUMMYFUNCTION("""COMPUTED_VALUE"""),"Wild Hot 40")</f>
        <v>Wild Hot 40</v>
      </c>
      <c r="N710" s="5"/>
      <c r="O710" s="5"/>
      <c r="P710" s="14">
        <f ca="1">IFERROR(__xludf.DUMMYFUNCTION("""COMPUTED_VALUE"""),13)</f>
        <v>13</v>
      </c>
      <c r="Q710" s="15">
        <f ca="1">IFERROR(__xludf.DUMMYFUNCTION("""COMPUTED_VALUE"""),46167)</f>
        <v>46167</v>
      </c>
      <c r="R710" s="15">
        <f ca="1">IFERROR(__xludf.DUMMYFUNCTION("""COMPUTED_VALUE"""),46175)</f>
        <v>46175</v>
      </c>
      <c r="S710" s="15">
        <f ca="1">IFERROR(__xludf.DUMMYFUNCTION("""COMPUTED_VALUE"""),46182)</f>
        <v>46182</v>
      </c>
      <c r="T710" s="5" t="b">
        <f ca="1">IFERROR(__xludf.DUMMYFUNCTION("""COMPUTED_VALUE"""),TRUE)</f>
        <v>1</v>
      </c>
      <c r="U710" s="5" t="str">
        <f ca="1">IFERROR(__xludf.DUMMYFUNCTION("""COMPUTED_VALUE"""),"5x4")</f>
        <v>5x4</v>
      </c>
      <c r="V710" s="5">
        <f ca="1">IFERROR(__xludf.DUMMYFUNCTION("""COMPUTED_VALUE"""),40)</f>
        <v>40</v>
      </c>
      <c r="W710" s="5">
        <f ca="1">IFERROR(__xludf.DUMMYFUNCTION("""COMPUTED_VALUE"""),40)</f>
        <v>40</v>
      </c>
      <c r="X710" s="5">
        <f ca="1">IFERROR(__xludf.DUMMYFUNCTION("""COMPUTED_VALUE"""),96.584)</f>
        <v>96.584000000000003</v>
      </c>
      <c r="Y710" s="5" t="str">
        <f ca="1">IFERROR(__xludf.DUMMYFUNCTION("""COMPUTED_VALUE"""),"Low")</f>
        <v>Low</v>
      </c>
      <c r="Z710" s="5">
        <f ca="1">IFERROR(__xludf.DUMMYFUNCTION("""COMPUTED_VALUE"""),16.725)</f>
        <v>16.725000000000001</v>
      </c>
      <c r="AA710" s="5">
        <f ca="1">IFERROR(__xludf.DUMMYFUNCTION("""COMPUTED_VALUE"""),1000)</f>
        <v>1000</v>
      </c>
      <c r="AB710" s="5"/>
      <c r="AC710" s="5" t="str">
        <f ca="1">IFERROR(__xludf.DUMMYFUNCTION("""COMPUTED_VALUE"""),"Scatter, Wild Symbol")</f>
        <v>Scatter, Wild Symbol</v>
      </c>
      <c r="AD710" s="5" t="str">
        <f ca="1">IFERROR(__xludf.DUMMYFUNCTION("""COMPUTED_VALUE"""),"0.40/60")</f>
        <v>0.40/60</v>
      </c>
      <c r="AE710" s="5"/>
      <c r="AF710" s="5"/>
      <c r="AG710" s="10">
        <f ca="1">IFERROR(__xludf.DUMMYFUNCTION("""COMPUTED_VALUE"""),46220.5088425925)</f>
        <v>46220.508842592499</v>
      </c>
      <c r="AH710" s="5" t="str">
        <f ca="1">IFERROR(__xludf.DUMMYFUNCTION("""COMPUTED_VALUE"""),"selena.mihajlovic@fazi.rs")</f>
        <v>selena.mihajlovic@fazi.rs</v>
      </c>
      <c r="AI710" s="15">
        <f ca="1">IFERROR(__xludf.DUMMYFUNCTION("""COMPUTED_VALUE"""),46169)</f>
        <v>46169</v>
      </c>
      <c r="AJ710" s="5" t="str">
        <f ca="1">IFERROR(__xludf.DUMMYFUNCTION("""COMPUTED_VALUE"""),"Sansabet	27.5")</f>
        <v>Sansabet	27.5</v>
      </c>
      <c r="AK710" s="5">
        <f ca="1">IFERROR(__xludf.DUMMYFUNCTION("""COMPUTED_VALUE"""),40)</f>
        <v>40</v>
      </c>
      <c r="AL710" s="5" t="str">
        <f ca="1">IFERROR(__xludf.DUMMYFUNCTION("""COMPUTED_VALUE"""),"No")</f>
        <v>No</v>
      </c>
      <c r="AM710" s="5" t="str">
        <f ca="1">IFERROR(__xludf.DUMMYFUNCTION("""COMPUTED_VALUE"""),"No")</f>
        <v>No</v>
      </c>
      <c r="AN710" s="7" t="str">
        <f ca="1">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AO710" s="5" t="str">
        <f ca="1">IFERROR(__xludf.DUMMYFUNCTION("""COMPUTED_VALUE"""),"No")</f>
        <v>No</v>
      </c>
      <c r="AP710" s="5" t="str">
        <f ca="1">IFERROR(__xludf.DUMMYFUNCTION("""COMPUTED_VALUE"""),"No")</f>
        <v>No</v>
      </c>
      <c r="AQ710" s="5" t="b">
        <f ca="1">IFERROR(__xludf.DUMMYFUNCTION("""COMPUTED_VALUE"""),TRUE)</f>
        <v>1</v>
      </c>
      <c r="AR710" s="5"/>
      <c r="AS710" s="5" t="str">
        <f ca="1">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AT710" s="5"/>
      <c r="AU710" s="5" t="str">
        <f ca="1">IFERROR(__xludf.DUMMYFUNCTION("""COMPUTED_VALUE"""),"Fazi")</f>
        <v>Fazi</v>
      </c>
      <c r="AV710" s="5">
        <f ca="1">IFERROR(__xludf.DUMMYFUNCTION("""COMPUTED_VALUE"""),4)</f>
        <v>4</v>
      </c>
      <c r="AW710" s="5"/>
      <c r="AX710" s="15">
        <f ca="1">IFERROR(__xludf.DUMMYFUNCTION("""COMPUTED_VALUE"""),46161)</f>
        <v>46161</v>
      </c>
      <c r="AY710" s="5"/>
      <c r="AZ710" s="5"/>
      <c r="BA710" s="5"/>
      <c r="BB710" s="5" t="b">
        <f ca="1">IFERROR(__xludf.DUMMYFUNCTION("""COMPUTED_VALUE"""),TRUE)</f>
        <v>1</v>
      </c>
      <c r="BC710" s="5" t="str">
        <f ca="1">IFERROR(__xludf.DUMMYFUNCTION("""COMPUTED_VALUE"""),"Playnet")</f>
        <v>Playnet</v>
      </c>
      <c r="BD710" s="7" t="str">
        <f ca="1">IFERROR(__xludf.DUMMYFUNCTION("""COMPUTED_VALUE"""),"https://gameserver-store-client-area.orbionlimited.com/Home/IntegrationGameLaunch/client-area?moneyType=0&amp;gameName=PlayNetDashingHot40&amp;platform=desktop&amp;languageCode=eng&amp;currency=EUR")</f>
        <v>https://gameserver-store-client-area.orbionlimited.com/Home/IntegrationGameLaunch/client-area?moneyType=0&amp;gameName=PlayNetDashingHot40&amp;platform=desktop&amp;languageCode=eng&amp;currency=EUR</v>
      </c>
      <c r="BE710" s="5" t="b">
        <f ca="1">IFERROR(__xludf.DUMMYFUNCTION("""COMPUTED_VALUE"""),TRUE)</f>
        <v>1</v>
      </c>
    </row>
    <row r="711" spans="1:57" x14ac:dyDescent="0.25">
      <c r="A711" s="5">
        <f ca="1">IFERROR(__xludf.DUMMYFUNCTION("""COMPUTED_VALUE"""),746)</f>
        <v>746</v>
      </c>
      <c r="B711" s="5">
        <f ca="1">IFERROR(__xludf.DUMMYFUNCTION("""COMPUTED_VALUE"""),540)</f>
        <v>540</v>
      </c>
      <c r="C711" s="5" t="str">
        <f ca="1">IFERROR(__xludf.DUMMYFUNCTION("""COMPUTED_VALUE"""),"Playnet")</f>
        <v>Playnet</v>
      </c>
      <c r="D711" s="5" t="str">
        <f ca="1">IFERROR(__xludf.DUMMYFUNCTION("""COMPUTED_VALUE"""),"Dark Temptress 100")</f>
        <v>Dark Temptress 100</v>
      </c>
      <c r="E711" s="5" t="str">
        <f ca="1">IFERROR(__xludf.DUMMYFUNCTION("""COMPUTED_VALUE"""),"Sertifikacioni")</f>
        <v>Sertifikacioni</v>
      </c>
      <c r="F711" s="5" t="str">
        <f ca="1">IFERROR(__xludf.DUMMYFUNCTION("""COMPUTED_VALUE"""),"PlayNetDarkTemptress100")</f>
        <v>PlayNetDarkTemptress100</v>
      </c>
      <c r="G711" s="5" t="str">
        <f ca="1">IFERROR(__xludf.DUMMYFUNCTION("""COMPUTED_VALUE"""),"Live")</f>
        <v>Live</v>
      </c>
      <c r="H711" s="5"/>
      <c r="I711" s="5"/>
      <c r="J711" s="5" t="str">
        <f ca="1">IFERROR(__xludf.DUMMYFUNCTION("""COMPUTED_VALUE"""),"JSON")</f>
        <v>JSON</v>
      </c>
      <c r="K711" s="5" t="str">
        <f ca="1">IFERROR(__xludf.DUMMYFUNCTION("""COMPUTED_VALUE"""),"Slot")</f>
        <v>Slot</v>
      </c>
      <c r="L711" s="5" t="str">
        <f ca="1">IFERROR(__xludf.DUMMYFUNCTION("""COMPUTED_VALUE""")," Clone")</f>
        <v xml:space="preserve"> Clone</v>
      </c>
      <c r="M711" s="5" t="str">
        <f ca="1">IFERROR(__xludf.DUMMYFUNCTION("""COMPUTED_VALUE"""),"Epic Clover 100")</f>
        <v>Epic Clover 100</v>
      </c>
      <c r="N711" s="5"/>
      <c r="O711" s="5"/>
      <c r="P711" s="14">
        <f ca="1">IFERROR(__xludf.DUMMYFUNCTION("""COMPUTED_VALUE"""),15)</f>
        <v>15</v>
      </c>
      <c r="Q711" s="15">
        <f ca="1">IFERROR(__xludf.DUMMYFUNCTION("""COMPUTED_VALUE"""),46181)</f>
        <v>46181</v>
      </c>
      <c r="R711" s="15">
        <f ca="1">IFERROR(__xludf.DUMMYFUNCTION("""COMPUTED_VALUE"""),46189)</f>
        <v>46189</v>
      </c>
      <c r="S711" s="15">
        <f ca="1">IFERROR(__xludf.DUMMYFUNCTION("""COMPUTED_VALUE"""),46196)</f>
        <v>46196</v>
      </c>
      <c r="T711" s="5" t="b">
        <f ca="1">IFERROR(__xludf.DUMMYFUNCTION("""COMPUTED_VALUE"""),TRUE)</f>
        <v>1</v>
      </c>
      <c r="U711" s="5" t="str">
        <f ca="1">IFERROR(__xludf.DUMMYFUNCTION("""COMPUTED_VALUE"""),"5x4")</f>
        <v>5x4</v>
      </c>
      <c r="V711" s="5">
        <f ca="1">IFERROR(__xludf.DUMMYFUNCTION("""COMPUTED_VALUE"""),100)</f>
        <v>100</v>
      </c>
      <c r="W711" s="5">
        <f ca="1">IFERROR(__xludf.DUMMYFUNCTION("""COMPUTED_VALUE"""),100)</f>
        <v>100</v>
      </c>
      <c r="X711" s="5">
        <f ca="1">IFERROR(__xludf.DUMMYFUNCTION("""COMPUTED_VALUE"""),96.502)</f>
        <v>96.501999999999995</v>
      </c>
      <c r="Y711" s="5" t="str">
        <f ca="1">IFERROR(__xludf.DUMMYFUNCTION("""COMPUTED_VALUE"""),"Medium")</f>
        <v>Medium</v>
      </c>
      <c r="Z711" s="5">
        <f ca="1">IFERROR(__xludf.DUMMYFUNCTION("""COMPUTED_VALUE"""),13.309)</f>
        <v>13.308999999999999</v>
      </c>
      <c r="AA711" s="5">
        <f ca="1">IFERROR(__xludf.DUMMYFUNCTION("""COMPUTED_VALUE"""),3000)</f>
        <v>3000</v>
      </c>
      <c r="AB711" s="5"/>
      <c r="AC711" s="5" t="str">
        <f ca="1">IFERROR(__xludf.DUMMYFUNCTION("""COMPUTED_VALUE"""),"Scatter, Expanding Wild")</f>
        <v>Scatter, Expanding Wild</v>
      </c>
      <c r="AD711" s="5" t="str">
        <f ca="1">IFERROR(__xludf.DUMMYFUNCTION("""COMPUTED_VALUE"""),"1/100")</f>
        <v>1/100</v>
      </c>
      <c r="AE711" s="5"/>
      <c r="AF711" s="5"/>
      <c r="AG711" s="10">
        <f ca="1">IFERROR(__xludf.DUMMYFUNCTION("""COMPUTED_VALUE"""),46220.5089699074)</f>
        <v>46220.508969907401</v>
      </c>
      <c r="AH711" s="5" t="str">
        <f ca="1">IFERROR(__xludf.DUMMYFUNCTION("""COMPUTED_VALUE"""),"selena.mihajlovic@fazi.rs")</f>
        <v>selena.mihajlovic@fazi.rs</v>
      </c>
      <c r="AI711" s="5"/>
      <c r="AJ711" s="5"/>
      <c r="AK711" s="5">
        <f ca="1">IFERROR(__xludf.DUMMYFUNCTION("""COMPUTED_VALUE"""),100)</f>
        <v>100</v>
      </c>
      <c r="AL711" s="5" t="str">
        <f ca="1">IFERROR(__xludf.DUMMYFUNCTION("""COMPUTED_VALUE"""),"No")</f>
        <v>No</v>
      </c>
      <c r="AM711" s="5" t="str">
        <f ca="1">IFERROR(__xludf.DUMMYFUNCTION("""COMPUTED_VALUE"""),"No")</f>
        <v>No</v>
      </c>
      <c r="AN711" s="7" t="str">
        <f ca="1">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AO711" s="5" t="str">
        <f ca="1">IFERROR(__xludf.DUMMYFUNCTION("""COMPUTED_VALUE"""),"No")</f>
        <v>No</v>
      </c>
      <c r="AP711" s="5" t="str">
        <f ca="1">IFERROR(__xludf.DUMMYFUNCTION("""COMPUTED_VALUE"""),"No")</f>
        <v>No</v>
      </c>
      <c r="AQ711" s="5" t="b">
        <f ca="1">IFERROR(__xludf.DUMMYFUNCTION("""COMPUTED_VALUE"""),TRUE)</f>
        <v>1</v>
      </c>
      <c r="AR711" s="5"/>
      <c r="AS711" s="5" t="str">
        <f ca="1">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AT711" s="5"/>
      <c r="AU711" s="5" t="str">
        <f ca="1">IFERROR(__xludf.DUMMYFUNCTION("""COMPUTED_VALUE"""),"Fazi")</f>
        <v>Fazi</v>
      </c>
      <c r="AV711" s="5">
        <f ca="1">IFERROR(__xludf.DUMMYFUNCTION("""COMPUTED_VALUE"""),10)</f>
        <v>10</v>
      </c>
      <c r="AW711" s="5"/>
      <c r="AX711" s="15">
        <f ca="1">IFERROR(__xludf.DUMMYFUNCTION("""COMPUTED_VALUE"""),46175)</f>
        <v>46175</v>
      </c>
      <c r="AY711" s="5"/>
      <c r="AZ711" s="5"/>
      <c r="BA711" s="5"/>
      <c r="BB711" s="5" t="b">
        <f ca="1">IFERROR(__xludf.DUMMYFUNCTION("""COMPUTED_VALUE"""),TRUE)</f>
        <v>1</v>
      </c>
      <c r="BC711" s="5" t="str">
        <f ca="1">IFERROR(__xludf.DUMMYFUNCTION("""COMPUTED_VALUE"""),"Playnet")</f>
        <v>Playnet</v>
      </c>
      <c r="BD711" s="7" t="str">
        <f ca="1">IFERROR(__xludf.DUMMYFUNCTION("""COMPUTED_VALUE"""),"https://gameserver-store-client-area.orbionlimited.com/Home/IntegrationGameLaunch/client-area?moneyType=0&amp;gameName=PlayNetDarkTemptress100&amp;platform=desktop&amp;languageCode=eng&amp;currency=EUR")</f>
        <v>https://gameserver-store-client-area.orbionlimited.com/Home/IntegrationGameLaunch/client-area?moneyType=0&amp;gameName=PlayNetDarkTemptress100&amp;platform=desktop&amp;languageCode=eng&amp;currency=EUR</v>
      </c>
      <c r="BE711" s="5" t="b">
        <f ca="1">IFERROR(__xludf.DUMMYFUNCTION("""COMPUTED_VALUE"""),TRUE)</f>
        <v>1</v>
      </c>
    </row>
    <row r="712" spans="1:57" x14ac:dyDescent="0.25">
      <c r="A712" s="5">
        <f ca="1">IFERROR(__xludf.DUMMYFUNCTION("""COMPUTED_VALUE"""),747)</f>
        <v>747</v>
      </c>
      <c r="B712" s="5">
        <f ca="1">IFERROR(__xludf.DUMMYFUNCTION("""COMPUTED_VALUE"""),541)</f>
        <v>541</v>
      </c>
      <c r="C712" s="5" t="str">
        <f ca="1">IFERROR(__xludf.DUMMYFUNCTION("""COMPUTED_VALUE"""),"Playnet")</f>
        <v>Playnet</v>
      </c>
      <c r="D712" s="5" t="str">
        <f ca="1">IFERROR(__xludf.DUMMYFUNCTION("""COMPUTED_VALUE"""),"Barkin' Riches")</f>
        <v>Barkin' Riches</v>
      </c>
      <c r="E712" s="5" t="str">
        <f ca="1">IFERROR(__xludf.DUMMYFUNCTION("""COMPUTED_VALUE"""),"Sertifikacioni")</f>
        <v>Sertifikacioni</v>
      </c>
      <c r="F712" s="5" t="str">
        <f ca="1">IFERROR(__xludf.DUMMYFUNCTION("""COMPUTED_VALUE"""),"PlayNetBarkinRiches")</f>
        <v>PlayNetBarkinRiches</v>
      </c>
      <c r="G712" s="5" t="str">
        <f ca="1">IFERROR(__xludf.DUMMYFUNCTION("""COMPUTED_VALUE"""),"Live")</f>
        <v>Live</v>
      </c>
      <c r="H712" s="5"/>
      <c r="I712" s="5"/>
      <c r="J712" s="5" t="str">
        <f ca="1">IFERROR(__xludf.DUMMYFUNCTION("""COMPUTED_VALUE"""),"JSON")</f>
        <v>JSON</v>
      </c>
      <c r="K712" s="5" t="str">
        <f ca="1">IFERROR(__xludf.DUMMYFUNCTION("""COMPUTED_VALUE"""),"Slot")</f>
        <v>Slot</v>
      </c>
      <c r="L712" s="5" t="str">
        <f ca="1">IFERROR(__xludf.DUMMYFUNCTION("""COMPUTED_VALUE""")," Clone")</f>
        <v xml:space="preserve"> Clone</v>
      </c>
      <c r="M712" s="5" t="str">
        <f ca="1">IFERROR(__xludf.DUMMYFUNCTION("""COMPUTED_VALUE"""),"Fruity Win 40")</f>
        <v>Fruity Win 40</v>
      </c>
      <c r="N712" s="7" t="str">
        <f ca="1">IFERROR(__xludf.DUMMYFUNCTION("""COMPUTED_VALUE"""),"https://drive.google.com/drive/u/1/folders/1zeR0z-jJdHjt59KLlD0fbWBs3G_ZmNJ5")</f>
        <v>https://drive.google.com/drive/u/1/folders/1zeR0z-jJdHjt59KLlD0fbWBs3G_ZmNJ5</v>
      </c>
      <c r="O712" s="7" t="str">
        <f ca="1">IFERROR(__xludf.DUMMYFUNCTION("""COMPUTED_VALUE"""),"https://drive.google.com/drive/u/1/folders/1zeR0z-jJdHjt59KLlD0fbWBs3G_ZmNJ5")</f>
        <v>https://drive.google.com/drive/u/1/folders/1zeR0z-jJdHjt59KLlD0fbWBs3G_ZmNJ5</v>
      </c>
      <c r="P712" s="14">
        <f ca="1">IFERROR(__xludf.DUMMYFUNCTION("""COMPUTED_VALUE"""),13)</f>
        <v>13</v>
      </c>
      <c r="Q712" s="15">
        <f ca="1">IFERROR(__xludf.DUMMYFUNCTION("""COMPUTED_VALUE"""),46195)</f>
        <v>46195</v>
      </c>
      <c r="R712" s="15">
        <f ca="1">IFERROR(__xludf.DUMMYFUNCTION("""COMPUTED_VALUE"""),46195)</f>
        <v>46195</v>
      </c>
      <c r="S712" s="15">
        <f ca="1">IFERROR(__xludf.DUMMYFUNCTION("""COMPUTED_VALUE"""),46202)</f>
        <v>46202</v>
      </c>
      <c r="T712" s="5" t="b">
        <f ca="1">IFERROR(__xludf.DUMMYFUNCTION("""COMPUTED_VALUE"""),TRUE)</f>
        <v>1</v>
      </c>
      <c r="U712" s="5" t="str">
        <f ca="1">IFERROR(__xludf.DUMMYFUNCTION("""COMPUTED_VALUE"""),"5x4")</f>
        <v>5x4</v>
      </c>
      <c r="V712" s="5">
        <f ca="1">IFERROR(__xludf.DUMMYFUNCTION("""COMPUTED_VALUE"""),40)</f>
        <v>40</v>
      </c>
      <c r="W712" s="5">
        <f ca="1">IFERROR(__xludf.DUMMYFUNCTION("""COMPUTED_VALUE"""),40)</f>
        <v>40</v>
      </c>
      <c r="X712" s="5">
        <f ca="1">IFERROR(__xludf.DUMMYFUNCTION("""COMPUTED_VALUE"""),96.584)</f>
        <v>96.584000000000003</v>
      </c>
      <c r="Y712" s="5" t="str">
        <f ca="1">IFERROR(__xludf.DUMMYFUNCTION("""COMPUTED_VALUE"""),"Low")</f>
        <v>Low</v>
      </c>
      <c r="Z712" s="5">
        <f ca="1">IFERROR(__xludf.DUMMYFUNCTION("""COMPUTED_VALUE"""),16.725)</f>
        <v>16.725000000000001</v>
      </c>
      <c r="AA712" s="5">
        <f ca="1">IFERROR(__xludf.DUMMYFUNCTION("""COMPUTED_VALUE"""),1000)</f>
        <v>1000</v>
      </c>
      <c r="AB712" s="5"/>
      <c r="AC712" s="5" t="str">
        <f ca="1">IFERROR(__xludf.DUMMYFUNCTION("""COMPUTED_VALUE"""),"Scatter, Wild Symbol")</f>
        <v>Scatter, Wild Symbol</v>
      </c>
      <c r="AD712" s="5" t="str">
        <f ca="1">IFERROR(__xludf.DUMMYFUNCTION("""COMPUTED_VALUE"""),"0.4/60")</f>
        <v>0.4/60</v>
      </c>
      <c r="AE712" s="5"/>
      <c r="AF712" s="5"/>
      <c r="AG712" s="10">
        <f ca="1">IFERROR(__xludf.DUMMYFUNCTION("""COMPUTED_VALUE"""),46220.5093171296)</f>
        <v>46220.509317129603</v>
      </c>
      <c r="AH712" s="5" t="str">
        <f ca="1">IFERROR(__xludf.DUMMYFUNCTION("""COMPUTED_VALUE"""),"selena.mihajlovic@fazi.rs")</f>
        <v>selena.mihajlovic@fazi.rs</v>
      </c>
      <c r="AI712" s="5"/>
      <c r="AJ712" s="5"/>
      <c r="AK712" s="5">
        <f ca="1">IFERROR(__xludf.DUMMYFUNCTION("""COMPUTED_VALUE"""),40)</f>
        <v>40</v>
      </c>
      <c r="AL712" s="5" t="str">
        <f ca="1">IFERROR(__xludf.DUMMYFUNCTION("""COMPUTED_VALUE"""),"No")</f>
        <v>No</v>
      </c>
      <c r="AM712" s="5" t="str">
        <f ca="1">IFERROR(__xludf.DUMMYFUNCTION("""COMPUTED_VALUE"""),"No")</f>
        <v>No</v>
      </c>
      <c r="AN712" s="7" t="str">
        <f ca="1">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AO712" s="5" t="str">
        <f ca="1">IFERROR(__xludf.DUMMYFUNCTION("""COMPUTED_VALUE"""),"No")</f>
        <v>No</v>
      </c>
      <c r="AP712" s="5" t="str">
        <f ca="1">IFERROR(__xludf.DUMMYFUNCTION("""COMPUTED_VALUE"""),"No")</f>
        <v>No</v>
      </c>
      <c r="AQ712" s="5" t="b">
        <f ca="1">IFERROR(__xludf.DUMMYFUNCTION("""COMPUTED_VALUE"""),TRUE)</f>
        <v>1</v>
      </c>
      <c r="AR712" s="5"/>
      <c r="AS712" s="5" t="str">
        <f ca="1">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AT712" s="5"/>
      <c r="AU712" s="5" t="str">
        <f ca="1">IFERROR(__xludf.DUMMYFUNCTION("""COMPUTED_VALUE"""),"Fazi")</f>
        <v>Fazi</v>
      </c>
      <c r="AV712" s="5">
        <f ca="1">IFERROR(__xludf.DUMMYFUNCTION("""COMPUTED_VALUE"""),4)</f>
        <v>4</v>
      </c>
      <c r="AW712" s="5"/>
      <c r="AX712" s="15">
        <f ca="1">IFERROR(__xludf.DUMMYFUNCTION("""COMPUTED_VALUE"""),46189)</f>
        <v>46189</v>
      </c>
      <c r="AY712" s="5"/>
      <c r="AZ712" s="5"/>
      <c r="BA712" s="5"/>
      <c r="BB712" s="5" t="b">
        <f ca="1">IFERROR(__xludf.DUMMYFUNCTION("""COMPUTED_VALUE"""),TRUE)</f>
        <v>1</v>
      </c>
      <c r="BC712" s="5" t="str">
        <f ca="1">IFERROR(__xludf.DUMMYFUNCTION("""COMPUTED_VALUE"""),"Playnet")</f>
        <v>Playnet</v>
      </c>
      <c r="BD712" s="7" t="str">
        <f ca="1">IFERROR(__xludf.DUMMYFUNCTION("""COMPUTED_VALUE"""),"https://gameserver-store-client-area.orbionlimited.com/Home/IntegrationGameLaunch/client-area?moneyType=0&amp;gameName=PlayNetBarkinRiches&amp;platform=desktop&amp;languageCode=eng&amp;currency=EUR")</f>
        <v>https://gameserver-store-client-area.orbionlimited.com/Home/IntegrationGameLaunch/client-area?moneyType=0&amp;gameName=PlayNetBarkinRiches&amp;platform=desktop&amp;languageCode=eng&amp;currency=EUR</v>
      </c>
      <c r="BE712" s="5" t="b">
        <f ca="1">IFERROR(__xludf.DUMMYFUNCTION("""COMPUTED_VALUE"""),TRUE)</f>
        <v>1</v>
      </c>
    </row>
    <row r="713" spans="1:57" x14ac:dyDescent="0.25">
      <c r="A713" s="5">
        <f ca="1">IFERROR(__xludf.DUMMYFUNCTION("""COMPUTED_VALUE"""),750)</f>
        <v>750</v>
      </c>
      <c r="B713" s="5">
        <f ca="1">IFERROR(__xludf.DUMMYFUNCTION("""COMPUTED_VALUE"""),4041)</f>
        <v>4041</v>
      </c>
      <c r="C713" s="5" t="str">
        <f ca="1">IFERROR(__xludf.DUMMYFUNCTION("""COMPUTED_VALUE"""),"Fazi")</f>
        <v>Fazi</v>
      </c>
      <c r="D713" s="5" t="str">
        <f ca="1">IFERROR(__xludf.DUMMYFUNCTION("""COMPUTED_VALUE"""),"Special4RabetFruits")</f>
        <v>Special4RabetFruits</v>
      </c>
      <c r="E713" s="5" t="str">
        <f ca="1">IFERROR(__xludf.DUMMYFUNCTION("""COMPUTED_VALUE"""),"Sertifikacioni")</f>
        <v>Sertifikacioni</v>
      </c>
      <c r="F713" s="5" t="str">
        <f ca="1">IFERROR(__xludf.DUMMYFUNCTION("""COMPUTED_VALUE"""),"Special4RabetFruits")</f>
        <v>Special4RabetFruits</v>
      </c>
      <c r="G713" s="5" t="str">
        <f ca="1">IFERROR(__xludf.DUMMYFUNCTION("""COMPUTED_VALUE"""),"Deployed")</f>
        <v>Deployed</v>
      </c>
      <c r="H713" s="5" t="str">
        <f ca="1">IFERROR(__xludf.DUMMYFUNCTION("""COMPUTED_VALUE"""),"4Rabet")</f>
        <v>4Rabet</v>
      </c>
      <c r="I713" s="5" t="str">
        <f ca="1">IFERROR(__xludf.DUMMYFUNCTION("""COMPUTED_VALUE"""),"V4")</f>
        <v>V4</v>
      </c>
      <c r="J713" s="5" t="str">
        <f ca="1">IFERROR(__xludf.DUMMYFUNCTION("""COMPUTED_VALUE"""),"JSON")</f>
        <v>JSON</v>
      </c>
      <c r="K713" s="5" t="str">
        <f ca="1">IFERROR(__xludf.DUMMYFUNCTION("""COMPUTED_VALUE"""),"Slot")</f>
        <v>Slot</v>
      </c>
      <c r="L713" s="5" t="str">
        <f ca="1">IFERROR(__xludf.DUMMYFUNCTION("""COMPUTED_VALUE""")," Clone")</f>
        <v xml:space="preserve"> Clone</v>
      </c>
      <c r="M713" s="5" t="str">
        <f ca="1">IFERROR(__xludf.DUMMYFUNCTION("""COMPUTED_VALUE"""),"Special Fruits")</f>
        <v>Special Fruits</v>
      </c>
      <c r="N713" s="5"/>
      <c r="O713" s="5"/>
      <c r="P713" s="5"/>
      <c r="Q713" s="15">
        <f ca="1">IFERROR(__xludf.DUMMYFUNCTION("""COMPUTED_VALUE"""),46126)</f>
        <v>46126</v>
      </c>
      <c r="R713" s="5"/>
      <c r="S713" s="5"/>
      <c r="T713" s="5"/>
      <c r="U713" s="5" t="str">
        <f ca="1">IFERROR(__xludf.DUMMYFUNCTION("""COMPUTED_VALUE"""),"5x3")</f>
        <v>5x3</v>
      </c>
      <c r="V713" s="5">
        <f ca="1">IFERROR(__xludf.DUMMYFUNCTION("""COMPUTED_VALUE"""),20)</f>
        <v>20</v>
      </c>
      <c r="W713" s="5" t="str">
        <f ca="1">IFERROR(__xludf.DUMMYFUNCTION("""COMPUTED_VALUE"""),"5, 10, 15, 20, 30, 40")</f>
        <v>5, 10, 15, 20, 30, 40</v>
      </c>
      <c r="X713" s="5">
        <f ca="1">IFERROR(__xludf.DUMMYFUNCTION("""COMPUTED_VALUE"""),96.501)</f>
        <v>96.501000000000005</v>
      </c>
      <c r="Y713" s="5" t="str">
        <f ca="1">IFERROR(__xludf.DUMMYFUNCTION("""COMPUTED_VALUE"""),"Low")</f>
        <v>Low</v>
      </c>
      <c r="Z713" s="5">
        <f ca="1">IFERROR(__xludf.DUMMYFUNCTION("""COMPUTED_VALUE"""),16.882)</f>
        <v>16.882000000000001</v>
      </c>
      <c r="AA713" s="5">
        <f ca="1">IFERROR(__xludf.DUMMYFUNCTION("""COMPUTED_VALUE"""),2000)</f>
        <v>2000</v>
      </c>
      <c r="AB713" s="5"/>
      <c r="AC713" s="5"/>
      <c r="AD713" s="5"/>
      <c r="AE713" s="5"/>
      <c r="AF713" s="5"/>
      <c r="AG713" s="10">
        <f ca="1">IFERROR(__xludf.DUMMYFUNCTION("""COMPUTED_VALUE"""),46127.4846296296)</f>
        <v>46127.484629629602</v>
      </c>
      <c r="AH713" s="5" t="str">
        <f ca="1">IFERROR(__xludf.DUMMYFUNCTION("""COMPUTED_VALUE"""),"petra.ilic@fazi.rs")</f>
        <v>petra.ilic@fazi.rs</v>
      </c>
      <c r="AI713" s="5"/>
      <c r="AJ713" s="5"/>
      <c r="AK713" s="5">
        <f ca="1">IFERROR(__xludf.DUMMYFUNCTION("""COMPUTED_VALUE"""),20)</f>
        <v>20</v>
      </c>
      <c r="AL713" s="5" t="str">
        <f ca="1">IFERROR(__xludf.DUMMYFUNCTION("""COMPUTED_VALUE"""),"Yes")</f>
        <v>Yes</v>
      </c>
      <c r="AM713" s="5" t="str">
        <f ca="1">IFERROR(__xludf.DUMMYFUNCTION("""COMPUTED_VALUE"""),"No")</f>
        <v>No</v>
      </c>
      <c r="AN713" s="5"/>
      <c r="AO713" s="5"/>
      <c r="AP713" s="5" t="str">
        <f ca="1">IFERROR(__xludf.DUMMYFUNCTION("""COMPUTED_VALUE"""),"Yes")</f>
        <v>Yes</v>
      </c>
      <c r="AQ713" s="5"/>
      <c r="AR713" s="5" t="b">
        <f ca="1">IFERROR(__xludf.DUMMYFUNCTION("""COMPUTED_VALUE"""),TRUE)</f>
        <v>1</v>
      </c>
      <c r="AS713" s="5"/>
      <c r="AT713" s="5"/>
      <c r="AU713" s="5" t="str">
        <f ca="1">IFERROR(__xludf.DUMMYFUNCTION("""COMPUTED_VALUE"""),"Fazi")</f>
        <v>Fazi</v>
      </c>
      <c r="AV713" s="5">
        <f ca="1">IFERROR(__xludf.DUMMYFUNCTION("""COMPUTED_VALUE"""),2)</f>
        <v>2</v>
      </c>
      <c r="AW713" s="5"/>
      <c r="AX713" s="15">
        <f ca="1">IFERROR(__xludf.DUMMYFUNCTION("""COMPUTED_VALUE"""),46119)</f>
        <v>46119</v>
      </c>
      <c r="AY713" s="5"/>
      <c r="AZ713" s="5"/>
      <c r="BA713" s="5"/>
      <c r="BB713" s="5"/>
      <c r="BC713" s="5" t="str">
        <f ca="1">IFERROR(__xludf.DUMMYFUNCTION("""COMPUTED_VALUE"""),"Foxi")</f>
        <v>Foxi</v>
      </c>
      <c r="BD713" s="5" t="str">
        <f ca="1">IFERROR(__xludf.DUMMYFUNCTION("""COMPUTED_VALUE"""),"")</f>
        <v/>
      </c>
      <c r="BE713" s="5"/>
    </row>
    <row r="714" spans="1:57" x14ac:dyDescent="0.25">
      <c r="A714" s="5">
        <f ca="1">IFERROR(__xludf.DUMMYFUNCTION("""COMPUTED_VALUE"""),751)</f>
        <v>751</v>
      </c>
      <c r="B714" s="5">
        <f ca="1">IFERROR(__xludf.DUMMYFUNCTION("""COMPUTED_VALUE"""),2020)</f>
        <v>2020</v>
      </c>
      <c r="C714" s="5" t="str">
        <f ca="1">IFERROR(__xludf.DUMMYFUNCTION("""COMPUTED_VALUE"""),"Fazi")</f>
        <v>Fazi</v>
      </c>
      <c r="D714" s="5" t="str">
        <f ca="1">IFERROR(__xludf.DUMMYFUNCTION("""COMPUTED_VALUE"""),"Multihot Pot")</f>
        <v>Multihot Pot</v>
      </c>
      <c r="E714" s="5" t="str">
        <f ca="1">IFERROR(__xludf.DUMMYFUNCTION("""COMPUTED_VALUE"""),"V4-2")</f>
        <v>V4-2</v>
      </c>
      <c r="F714" s="5" t="str">
        <f ca="1">IFERROR(__xludf.DUMMYFUNCTION("""COMPUTED_VALUE"""),"MultihotPot")</f>
        <v>MultihotPot</v>
      </c>
      <c r="G714" s="5" t="str">
        <f ca="1">IFERROR(__xludf.DUMMYFUNCTION("""COMPUTED_VALUE"""),"Live")</f>
        <v>Live</v>
      </c>
      <c r="H714" s="5"/>
      <c r="I714" s="5" t="str">
        <f ca="1">IFERROR(__xludf.DUMMYFUNCTION("""COMPUTED_VALUE"""),"V4")</f>
        <v>V4</v>
      </c>
      <c r="J714" s="5" t="str">
        <f ca="1">IFERROR(__xludf.DUMMYFUNCTION("""COMPUTED_VALUE"""),"JSON")</f>
        <v>JSON</v>
      </c>
      <c r="K714" s="5" t="str">
        <f ca="1">IFERROR(__xludf.DUMMYFUNCTION("""COMPUTED_VALUE"""),"Slot")</f>
        <v>Slot</v>
      </c>
      <c r="L714" s="5" t="str">
        <f ca="1">IFERROR(__xludf.DUMMYFUNCTION("""COMPUTED_VALUE"""),"Master")</f>
        <v>Master</v>
      </c>
      <c r="M714" s="5"/>
      <c r="N714" s="5"/>
      <c r="O714" s="5"/>
      <c r="P714" s="14">
        <f ca="1">IFERROR(__xludf.DUMMYFUNCTION("""COMPUTED_VALUE"""),15.9)</f>
        <v>15.9</v>
      </c>
      <c r="Q714" s="15">
        <f ca="1">IFERROR(__xludf.DUMMYFUNCTION("""COMPUTED_VALUE"""),46125)</f>
        <v>46125</v>
      </c>
      <c r="R714" s="15">
        <f ca="1">IFERROR(__xludf.DUMMYFUNCTION("""COMPUTED_VALUE"""),46219)</f>
        <v>46219</v>
      </c>
      <c r="S714" s="15">
        <f ca="1">IFERROR(__xludf.DUMMYFUNCTION("""COMPUTED_VALUE"""),46226)</f>
        <v>46226</v>
      </c>
      <c r="T714" s="5" t="b">
        <f ca="1">IFERROR(__xludf.DUMMYFUNCTION("""COMPUTED_VALUE"""),TRUE)</f>
        <v>1</v>
      </c>
      <c r="U714" s="5" t="str">
        <f ca="1">IFERROR(__xludf.DUMMYFUNCTION("""COMPUTED_VALUE"""),"5x3")</f>
        <v>5x3</v>
      </c>
      <c r="V714" s="5">
        <f ca="1">IFERROR(__xludf.DUMMYFUNCTION("""COMPUTED_VALUE"""),10)</f>
        <v>10</v>
      </c>
      <c r="W714" s="5">
        <f ca="1">IFERROR(__xludf.DUMMYFUNCTION("""COMPUTED_VALUE"""),10)</f>
        <v>10</v>
      </c>
      <c r="X714" s="5">
        <f ca="1">IFERROR(__xludf.DUMMYFUNCTION("""COMPUTED_VALUE"""),96.5)</f>
        <v>96.5</v>
      </c>
      <c r="Y714" s="5" t="str">
        <f ca="1">IFERROR(__xludf.DUMMYFUNCTION("""COMPUTED_VALUE"""),"High")</f>
        <v>High</v>
      </c>
      <c r="Z714" s="5">
        <f ca="1">IFERROR(__xludf.DUMMYFUNCTION("""COMPUTED_VALUE"""),11.268)</f>
        <v>11.268000000000001</v>
      </c>
      <c r="AA714" s="5">
        <f ca="1">IFERROR(__xludf.DUMMYFUNCTION("""COMPUTED_VALUE"""),3000)</f>
        <v>3000</v>
      </c>
      <c r="AB714" s="5"/>
      <c r="AC714" s="5" t="str">
        <f ca="1">IFERROR(__xludf.DUMMYFUNCTION("""COMPUTED_VALUE"""),"Variable RTP, Wild Multiplier, Expanding Wild")</f>
        <v>Variable RTP, Wild Multiplier, Expanding Wild</v>
      </c>
      <c r="AD714" s="5" t="str">
        <f ca="1">IFERROR(__xludf.DUMMYFUNCTION("""COMPUTED_VALUE"""),"0.1/50")</f>
        <v>0.1/50</v>
      </c>
      <c r="AE714" s="5"/>
      <c r="AF714" s="5"/>
      <c r="AG714" s="10">
        <f ca="1">IFERROR(__xludf.DUMMYFUNCTION("""COMPUTED_VALUE"""),46230.5758449074)</f>
        <v>46230.575844907398</v>
      </c>
      <c r="AH714" s="5" t="str">
        <f ca="1">IFERROR(__xludf.DUMMYFUNCTION("""COMPUTED_VALUE"""),"selena.mihajlovic@fazi.rs")</f>
        <v>selena.mihajlovic@fazi.rs</v>
      </c>
      <c r="AI714" s="5"/>
      <c r="AJ714" s="5"/>
      <c r="AK714" s="5">
        <f ca="1">IFERROR(__xludf.DUMMYFUNCTION("""COMPUTED_VALUE"""),1)</f>
        <v>1</v>
      </c>
      <c r="AL714" s="5" t="str">
        <f ca="1">IFERROR(__xludf.DUMMYFUNCTION("""COMPUTED_VALUE"""),"Yes")</f>
        <v>Yes</v>
      </c>
      <c r="AM714" s="5" t="str">
        <f ca="1">IFERROR(__xludf.DUMMYFUNCTION("""COMPUTED_VALUE"""),"No")</f>
        <v>No</v>
      </c>
      <c r="AN714" s="7" t="str">
        <f ca="1">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AO714" s="5" t="str">
        <f ca="1">IFERROR(__xludf.DUMMYFUNCTION("""COMPUTED_VALUE"""),"Yes")</f>
        <v>Yes</v>
      </c>
      <c r="AP714" s="5" t="str">
        <f ca="1">IFERROR(__xludf.DUMMYFUNCTION("""COMPUTED_VALUE"""),"Yes")</f>
        <v>Yes</v>
      </c>
      <c r="AQ714" s="5" t="b">
        <f ca="1">IFERROR(__xludf.DUMMYFUNCTION("""COMPUTED_VALUE"""),TRUE)</f>
        <v>1</v>
      </c>
      <c r="AR714" s="5"/>
      <c r="AS714" s="5" t="str">
        <f ca="1">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 xml:space="preserve">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AT714" s="5"/>
      <c r="AU714" s="5" t="str">
        <f ca="1">IFERROR(__xludf.DUMMYFUNCTION("""COMPUTED_VALUE"""),"Fazi")</f>
        <v>Fazi</v>
      </c>
      <c r="AV714" s="5">
        <f ca="1">IFERROR(__xludf.DUMMYFUNCTION("""COMPUTED_VALUE"""),1)</f>
        <v>1</v>
      </c>
      <c r="AW714" s="5"/>
      <c r="AX714" s="15">
        <f ca="1">IFERROR(__xludf.DUMMYFUNCTION("""COMPUTED_VALUE"""),46119)</f>
        <v>46119</v>
      </c>
      <c r="AY714" s="5" t="str">
        <f ca="1">IFERROR(__xludf.DUMMYFUNCTION("""COMPUTED_VALUE"""),"87.5%, 89.5%, 91.5%, 93.5%, 94.5%, 95.5%, 96.5%")</f>
        <v>87.5%, 89.5%, 91.5%, 93.5%, 94.5%, 95.5%, 96.5%</v>
      </c>
      <c r="AZ714" s="5"/>
      <c r="BA714" s="5"/>
      <c r="BB714" s="5" t="b">
        <f ca="1">IFERROR(__xludf.DUMMYFUNCTION("""COMPUTED_VALUE"""),TRUE)</f>
        <v>1</v>
      </c>
      <c r="BC714" s="5" t="str">
        <f ca="1">IFERROR(__xludf.DUMMYFUNCTION("""COMPUTED_VALUE"""),"Foxi")</f>
        <v>Foxi</v>
      </c>
      <c r="BD714" s="7" t="str">
        <f ca="1">IFERROR(__xludf.DUMMYFUNCTION("""COMPUTED_VALUE"""),"https://gameserver-store-client-area.orbionlimited.com/Home/IntegrationGameLaunch/client-area?moneyType=0&amp;gameName=MultihotPot&amp;platform=desktop&amp;languageCode=eng&amp;currency=EUR")</f>
        <v>https://gameserver-store-client-area.orbionlimited.com/Home/IntegrationGameLaunch/client-area?moneyType=0&amp;gameName=MultihotPot&amp;platform=desktop&amp;languageCode=eng&amp;currency=EUR</v>
      </c>
      <c r="BE714" s="5" t="b">
        <f ca="1">IFERROR(__xludf.DUMMYFUNCTION("""COMPUTED_VALUE"""),TRUE)</f>
        <v>1</v>
      </c>
    </row>
    <row r="715" spans="1:57" x14ac:dyDescent="0.25">
      <c r="A715" s="5">
        <f ca="1">IFERROR(__xludf.DUMMYFUNCTION("""COMPUTED_VALUE"""),752)</f>
        <v>752</v>
      </c>
      <c r="B715" s="5">
        <f ca="1">IFERROR(__xludf.DUMMYFUNCTION("""COMPUTED_VALUE"""),3036)</f>
        <v>3036</v>
      </c>
      <c r="C715" s="5" t="str">
        <f ca="1">IFERROR(__xludf.DUMMYFUNCTION("""COMPUTED_VALUE"""),"Fazi")</f>
        <v>Fazi</v>
      </c>
      <c r="D715" s="5" t="str">
        <f ca="1">IFERROR(__xludf.DUMMYFUNCTION("""COMPUTED_VALUE"""),"Triple Wild Crown")</f>
        <v>Triple Wild Crown</v>
      </c>
      <c r="E715" s="5" t="str">
        <f ca="1">IFERROR(__xludf.DUMMYFUNCTION("""COMPUTED_VALUE"""),"V2")</f>
        <v>V2</v>
      </c>
      <c r="F715" s="5" t="str">
        <f ca="1">IFERROR(__xludf.DUMMYFUNCTION("""COMPUTED_VALUE"""),"TripleWildCrown")</f>
        <v>TripleWildCrown</v>
      </c>
      <c r="G715" s="5" t="str">
        <f ca="1">IFERROR(__xludf.DUMMYFUNCTION("""COMPUTED_VALUE"""),"Deployed")</f>
        <v>Deployed</v>
      </c>
      <c r="H715" s="5"/>
      <c r="I715" s="5" t="str">
        <f ca="1">IFERROR(__xludf.DUMMYFUNCTION("""COMPUTED_VALUE"""),"V4")</f>
        <v>V4</v>
      </c>
      <c r="J715" s="5" t="str">
        <f ca="1">IFERROR(__xludf.DUMMYFUNCTION("""COMPUTED_VALUE"""),"JSON")</f>
        <v>JSON</v>
      </c>
      <c r="K715" s="5" t="str">
        <f ca="1">IFERROR(__xludf.DUMMYFUNCTION("""COMPUTED_VALUE"""),"Slot")</f>
        <v>Slot</v>
      </c>
      <c r="L715" s="5" t="str">
        <f ca="1">IFERROR(__xludf.DUMMYFUNCTION("""COMPUTED_VALUE"""),"Master")</f>
        <v>Master</v>
      </c>
      <c r="M715" s="5"/>
      <c r="N715" s="5"/>
      <c r="O715" s="5"/>
      <c r="P715" s="14">
        <f ca="1">IFERROR(__xludf.DUMMYFUNCTION("""COMPUTED_VALUE"""),19.5)</f>
        <v>19.5</v>
      </c>
      <c r="Q715" s="15">
        <f ca="1">IFERROR(__xludf.DUMMYFUNCTION("""COMPUTED_VALUE"""),46126)</f>
        <v>46126</v>
      </c>
      <c r="R715" s="15">
        <f ca="1">IFERROR(__xludf.DUMMYFUNCTION("""COMPUTED_VALUE"""),46245)</f>
        <v>46245</v>
      </c>
      <c r="S715" s="15">
        <f ca="1">IFERROR(__xludf.DUMMYFUNCTION("""COMPUTED_VALUE"""),46252)</f>
        <v>46252</v>
      </c>
      <c r="T715" s="5" t="b">
        <f ca="1">IFERROR(__xludf.DUMMYFUNCTION("""COMPUTED_VALUE"""),TRUE)</f>
        <v>1</v>
      </c>
      <c r="U715" s="5" t="str">
        <f ca="1">IFERROR(__xludf.DUMMYFUNCTION("""COMPUTED_VALUE"""),"3x3")</f>
        <v>3x3</v>
      </c>
      <c r="V715" s="5">
        <f ca="1">IFERROR(__xludf.DUMMYFUNCTION("""COMPUTED_VALUE"""),5)</f>
        <v>5</v>
      </c>
      <c r="W715" s="5">
        <f ca="1">IFERROR(__xludf.DUMMYFUNCTION("""COMPUTED_VALUE"""),5)</f>
        <v>5</v>
      </c>
      <c r="X715" s="5">
        <f ca="1">IFERROR(__xludf.DUMMYFUNCTION("""COMPUTED_VALUE"""),96.502)</f>
        <v>96.501999999999995</v>
      </c>
      <c r="Y715" s="5" t="str">
        <f ca="1">IFERROR(__xludf.DUMMYFUNCTION("""COMPUTED_VALUE"""),"Low")</f>
        <v>Low</v>
      </c>
      <c r="Z715" s="5">
        <f ca="1">IFERROR(__xludf.DUMMYFUNCTION("""COMPUTED_VALUE"""),10.959)</f>
        <v>10.959</v>
      </c>
      <c r="AA715" s="5">
        <f ca="1">IFERROR(__xludf.DUMMYFUNCTION("""COMPUTED_VALUE"""),500)</f>
        <v>500</v>
      </c>
      <c r="AB715" s="5"/>
      <c r="AC715" s="5" t="str">
        <f ca="1">IFERROR(__xludf.DUMMYFUNCTION("""COMPUTED_VALUE"""),"Expanding Wild")</f>
        <v>Expanding Wild</v>
      </c>
      <c r="AD715" s="5"/>
      <c r="AE715" s="5"/>
      <c r="AF715" s="5"/>
      <c r="AG715" s="10">
        <f ca="1">IFERROR(__xludf.DUMMYFUNCTION("""COMPUTED_VALUE"""),46230.5294675925)</f>
        <v>46230.529467592503</v>
      </c>
      <c r="AH715" s="5" t="str">
        <f ca="1">IFERROR(__xludf.DUMMYFUNCTION("""COMPUTED_VALUE"""),"aleksandar.trajkovic@fazi.rs")</f>
        <v>aleksandar.trajkovic@fazi.rs</v>
      </c>
      <c r="AI715" s="5"/>
      <c r="AJ715" s="5"/>
      <c r="AK715" s="5">
        <f ca="1">IFERROR(__xludf.DUMMYFUNCTION("""COMPUTED_VALUE"""),1)</f>
        <v>1</v>
      </c>
      <c r="AL715" s="5" t="str">
        <f ca="1">IFERROR(__xludf.DUMMYFUNCTION("""COMPUTED_VALUE"""),"Yes")</f>
        <v>Yes</v>
      </c>
      <c r="AM715" s="5" t="str">
        <f ca="1">IFERROR(__xludf.DUMMYFUNCTION("""COMPUTED_VALUE"""),"No")</f>
        <v>No</v>
      </c>
      <c r="AN715" s="7" t="str">
        <f ca="1">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AO715" s="5" t="str">
        <f ca="1">IFERROR(__xludf.DUMMYFUNCTION("""COMPUTED_VALUE"""),"Yes")</f>
        <v>Yes</v>
      </c>
      <c r="AP715" s="5" t="str">
        <f ca="1">IFERROR(__xludf.DUMMYFUNCTION("""COMPUTED_VALUE"""),"Yes")</f>
        <v>Yes</v>
      </c>
      <c r="AQ715" s="5"/>
      <c r="AR715" s="5"/>
      <c r="AS715" s="5" t="str">
        <f ca="1">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 xml:space="preserve">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AT715" s="5"/>
      <c r="AU715" s="5" t="str">
        <f ca="1">IFERROR(__xludf.DUMMYFUNCTION("""COMPUTED_VALUE"""),"Fazi")</f>
        <v>Fazi</v>
      </c>
      <c r="AV715" s="5"/>
      <c r="AW715" s="5"/>
      <c r="AX715" s="15">
        <f ca="1">IFERROR(__xludf.DUMMYFUNCTION("""COMPUTED_VALUE"""),46119)</f>
        <v>46119</v>
      </c>
      <c r="AY715" s="5"/>
      <c r="AZ715" s="5"/>
      <c r="BA715" s="5"/>
      <c r="BB715" s="5"/>
      <c r="BC715" s="5" t="str">
        <f ca="1">IFERROR(__xludf.DUMMYFUNCTION("""COMPUTED_VALUE"""),"Foxi")</f>
        <v>Foxi</v>
      </c>
      <c r="BD715" s="7" t="str">
        <f ca="1">IFERROR(__xludf.DUMMYFUNCTION("""COMPUTED_VALUE"""),"https://gameserver-store-client-area.orbionlimited.com/Home/IntegrationGameLaunch/client-area?moneyType=0&amp;gameName=TripleWildCrown&amp;platform=desktop&amp;languageCode=eng&amp;currency=EUR")</f>
        <v>https://gameserver-store-client-area.orbionlimited.com/Home/IntegrationGameLaunch/client-area?moneyType=0&amp;gameName=TripleWildCrown&amp;platform=desktop&amp;languageCode=eng&amp;currency=EUR</v>
      </c>
      <c r="BE715" s="5"/>
    </row>
    <row r="716" spans="1:57" x14ac:dyDescent="0.25">
      <c r="A716" s="5">
        <f ca="1">IFERROR(__xludf.DUMMYFUNCTION("""COMPUTED_VALUE"""),753)</f>
        <v>753</v>
      </c>
      <c r="B716" s="5">
        <f ca="1">IFERROR(__xludf.DUMMYFUNCTION("""COMPUTED_VALUE"""),4038)</f>
        <v>4038</v>
      </c>
      <c r="C716" s="5" t="str">
        <f ca="1">IFERROR(__xludf.DUMMYFUNCTION("""COMPUTED_VALUE"""),"Fazi")</f>
        <v>Fazi</v>
      </c>
      <c r="D716" s="5" t="str">
        <f ca="1">IFERROR(__xludf.DUMMYFUNCTION("""COMPUTED_VALUE"""),"Bonus Royal Crown Extralines")</f>
        <v>Bonus Royal Crown Extralines</v>
      </c>
      <c r="E716" s="5" t="str">
        <f ca="1">IFERROR(__xludf.DUMMYFUNCTION("""COMPUTED_VALUE"""),"Sertifikacioni")</f>
        <v>Sertifikacioni</v>
      </c>
      <c r="F716" s="5" t="str">
        <f ca="1">IFERROR(__xludf.DUMMYFUNCTION("""COMPUTED_VALUE"""),"BonusRoyalCrownExtralines")</f>
        <v>BonusRoyalCrownExtralines</v>
      </c>
      <c r="G716" s="5" t="str">
        <f ca="1">IFERROR(__xludf.DUMMYFUNCTION("""COMPUTED_VALUE"""),"In Development")</f>
        <v>In Development</v>
      </c>
      <c r="H716" s="5"/>
      <c r="I716" s="5" t="str">
        <f ca="1">IFERROR(__xludf.DUMMYFUNCTION("""COMPUTED_VALUE"""),"V4")</f>
        <v>V4</v>
      </c>
      <c r="J716" s="5" t="str">
        <f ca="1">IFERROR(__xludf.DUMMYFUNCTION("""COMPUTED_VALUE"""),"JSON")</f>
        <v>JSON</v>
      </c>
      <c r="K716" s="5" t="str">
        <f ca="1">IFERROR(__xludf.DUMMYFUNCTION("""COMPUTED_VALUE"""),"Slot")</f>
        <v>Slot</v>
      </c>
      <c r="L716" s="5" t="str">
        <f ca="1">IFERROR(__xludf.DUMMYFUNCTION("""COMPUTED_VALUE""")," Variant")</f>
        <v xml:space="preserve"> Variant</v>
      </c>
      <c r="M716" s="5" t="str">
        <f ca="1">IFERROR(__xludf.DUMMYFUNCTION("""COMPUTED_VALUE"""),"Bonus Epic Crown")</f>
        <v>Bonus Epic Crown</v>
      </c>
      <c r="N716" s="5"/>
      <c r="O716" s="5"/>
      <c r="P716" s="5"/>
      <c r="Q716" s="15">
        <f ca="1">IFERROR(__xludf.DUMMYFUNCTION("""COMPUTED_VALUE"""),46209)</f>
        <v>46209</v>
      </c>
      <c r="R716" s="5"/>
      <c r="S716" s="5"/>
      <c r="T716" s="5"/>
      <c r="U716" s="5" t="str">
        <f ca="1">IFERROR(__xludf.DUMMYFUNCTION("""COMPUTED_VALUE"""),"5x3")</f>
        <v>5x3</v>
      </c>
      <c r="V716" s="5">
        <f ca="1">IFERROR(__xludf.DUMMYFUNCTION("""COMPUTED_VALUE"""),10)</f>
        <v>10</v>
      </c>
      <c r="W716" s="5">
        <f ca="1">IFERROR(__xludf.DUMMYFUNCTION("""COMPUTED_VALUE"""),10)</f>
        <v>10</v>
      </c>
      <c r="X716" s="5">
        <f ca="1">IFERROR(__xludf.DUMMYFUNCTION("""COMPUTED_VALUE"""),96.364)</f>
        <v>96.364000000000004</v>
      </c>
      <c r="Y716" s="5" t="str">
        <f ca="1">IFERROR(__xludf.DUMMYFUNCTION("""COMPUTED_VALUE"""),"High")</f>
        <v>High</v>
      </c>
      <c r="Z716" s="5">
        <f ca="1">IFERROR(__xludf.DUMMYFUNCTION("""COMPUTED_VALUE"""),10.607)</f>
        <v>10.606999999999999</v>
      </c>
      <c r="AA716" s="5">
        <f ca="1">IFERROR(__xludf.DUMMYFUNCTION("""COMPUTED_VALUE"""),3000)</f>
        <v>3000</v>
      </c>
      <c r="AB716" s="5"/>
      <c r="AC716" s="5" t="str">
        <f ca="1">IFERROR(__xludf.DUMMYFUNCTION("""COMPUTED_VALUE"""),"Free Rounds, Variable RTP, Buy Bonus, Extralines, In Game Jackpot")</f>
        <v>Free Rounds, Variable RTP, Buy Bonus, Extralines, In Game Jackpot</v>
      </c>
      <c r="AD716" s="5"/>
      <c r="AE716" s="5"/>
      <c r="AF716" s="5"/>
      <c r="AG716" s="10">
        <f ca="1">IFERROR(__xludf.DUMMYFUNCTION("""COMPUTED_VALUE"""),46204.6551041666)</f>
        <v>46204.655104166603</v>
      </c>
      <c r="AH716" s="5" t="str">
        <f ca="1">IFERROR(__xludf.DUMMYFUNCTION("""COMPUTED_VALUE"""),"petra.ilic@fazi.rs")</f>
        <v>petra.ilic@fazi.rs</v>
      </c>
      <c r="AI716" s="5"/>
      <c r="AJ716" s="5"/>
      <c r="AK716" s="5">
        <f ca="1">IFERROR(__xludf.DUMMYFUNCTION("""COMPUTED_VALUE"""),10)</f>
        <v>10</v>
      </c>
      <c r="AL716" s="5" t="str">
        <f ca="1">IFERROR(__xludf.DUMMYFUNCTION("""COMPUTED_VALUE"""),"Yes")</f>
        <v>Yes</v>
      </c>
      <c r="AM716" s="5"/>
      <c r="AN716" s="5"/>
      <c r="AO716" s="5" t="str">
        <f ca="1">IFERROR(__xludf.DUMMYFUNCTION("""COMPUTED_VALUE"""),"Yes")</f>
        <v>Yes</v>
      </c>
      <c r="AP716" s="5" t="str">
        <f ca="1">IFERROR(__xludf.DUMMYFUNCTION("""COMPUTED_VALUE"""),"Yes")</f>
        <v>Yes</v>
      </c>
      <c r="AQ716" s="5"/>
      <c r="AR716" s="5"/>
      <c r="AS716" s="5"/>
      <c r="AT716" s="5"/>
      <c r="AU716" s="5" t="str">
        <f ca="1">IFERROR(__xludf.DUMMYFUNCTION("""COMPUTED_VALUE"""),"Fazi")</f>
        <v>Fazi</v>
      </c>
      <c r="AV716" s="5">
        <f ca="1">IFERROR(__xludf.DUMMYFUNCTION("""COMPUTED_VALUE"""),1)</f>
        <v>1</v>
      </c>
      <c r="AW716" s="5"/>
      <c r="AX716" s="15">
        <f ca="1">IFERROR(__xludf.DUMMYFUNCTION("""COMPUTED_VALUE"""),46203)</f>
        <v>46203</v>
      </c>
      <c r="AY716" s="5" t="str">
        <f ca="1">IFERROR(__xludf.DUMMYFUNCTION("""COMPUTED_VALUE"""),"87.5%, 89.5%, 91.5%, 93.5%, 94.5%, 95.5%")</f>
        <v>87.5%, 89.5%, 91.5%, 93.5%, 94.5%, 95.5%</v>
      </c>
      <c r="AZ716" s="5"/>
      <c r="BA716" s="5"/>
      <c r="BB716" s="5"/>
      <c r="BC716" s="5" t="str">
        <f ca="1">IFERROR(__xludf.DUMMYFUNCTION("""COMPUTED_VALUE"""),"Foxi")</f>
        <v>Foxi</v>
      </c>
      <c r="BD716" s="5"/>
      <c r="BE716" s="5"/>
    </row>
    <row r="717" spans="1:57" x14ac:dyDescent="0.25">
      <c r="A717" s="5">
        <f ca="1">IFERROR(__xludf.DUMMYFUNCTION("""COMPUTED_VALUE"""),754)</f>
        <v>754</v>
      </c>
      <c r="B717" s="5">
        <f ca="1">IFERROR(__xludf.DUMMYFUNCTION("""COMPUTED_VALUE"""),3037)</f>
        <v>3037</v>
      </c>
      <c r="C717" s="5" t="str">
        <f ca="1">IFERROR(__xludf.DUMMYFUNCTION("""COMPUTED_VALUE"""),"Fazi")</f>
        <v>Fazi</v>
      </c>
      <c r="D717" s="5" t="str">
        <f ca="1">IFERROR(__xludf.DUMMYFUNCTION("""COMPUTED_VALUE"""),"Bonus Epic Wild Extralines")</f>
        <v>Bonus Epic Wild Extralines</v>
      </c>
      <c r="E717" s="5" t="str">
        <f ca="1">IFERROR(__xludf.DUMMYFUNCTION("""COMPUTED_VALUE"""),"V2")</f>
        <v>V2</v>
      </c>
      <c r="F717" s="5" t="str">
        <f ca="1">IFERROR(__xludf.DUMMYFUNCTION("""COMPUTED_VALUE"""),"BonusEpicWildExtralines")</f>
        <v>BonusEpicWildExtralines</v>
      </c>
      <c r="G717" s="5" t="str">
        <f ca="1">IFERROR(__xludf.DUMMYFUNCTION("""COMPUTED_VALUE"""),"Live")</f>
        <v>Live</v>
      </c>
      <c r="H717" s="5"/>
      <c r="I717" s="5" t="str">
        <f ca="1">IFERROR(__xludf.DUMMYFUNCTION("""COMPUTED_VALUE"""),"V4")</f>
        <v>V4</v>
      </c>
      <c r="J717" s="5" t="str">
        <f ca="1">IFERROR(__xludf.DUMMYFUNCTION("""COMPUTED_VALUE"""),"JSON")</f>
        <v>JSON</v>
      </c>
      <c r="K717" s="5" t="str">
        <f ca="1">IFERROR(__xludf.DUMMYFUNCTION("""COMPUTED_VALUE"""),"Slot")</f>
        <v>Slot</v>
      </c>
      <c r="L717" s="5" t="str">
        <f ca="1">IFERROR(__xludf.DUMMYFUNCTION("""COMPUTED_VALUE"""),"Master")</f>
        <v>Master</v>
      </c>
      <c r="M717" s="5"/>
      <c r="N717" s="5"/>
      <c r="O717" s="5"/>
      <c r="P717" s="14">
        <f ca="1">IFERROR(__xludf.DUMMYFUNCTION("""COMPUTED_VALUE"""),26.7)</f>
        <v>26.7</v>
      </c>
      <c r="Q717" s="15">
        <f ca="1">IFERROR(__xludf.DUMMYFUNCTION("""COMPUTED_VALUE"""),46153)</f>
        <v>46153</v>
      </c>
      <c r="R717" s="15">
        <f ca="1">IFERROR(__xludf.DUMMYFUNCTION("""COMPUTED_VALUE"""),46204)</f>
        <v>46204</v>
      </c>
      <c r="S717" s="15">
        <f ca="1">IFERROR(__xludf.DUMMYFUNCTION("""COMPUTED_VALUE"""),46211)</f>
        <v>46211</v>
      </c>
      <c r="T717" s="5" t="b">
        <f ca="1">IFERROR(__xludf.DUMMYFUNCTION("""COMPUTED_VALUE"""),TRUE)</f>
        <v>1</v>
      </c>
      <c r="U717" s="5" t="str">
        <f ca="1">IFERROR(__xludf.DUMMYFUNCTION("""COMPUTED_VALUE"""),"3x3")</f>
        <v>3x3</v>
      </c>
      <c r="V717" s="5">
        <f ca="1">IFERROR(__xludf.DUMMYFUNCTION("""COMPUTED_VALUE"""),5)</f>
        <v>5</v>
      </c>
      <c r="W717" s="5">
        <f ca="1">IFERROR(__xludf.DUMMYFUNCTION("""COMPUTED_VALUE"""),5)</f>
        <v>5</v>
      </c>
      <c r="X717" s="5">
        <f ca="1">IFERROR(__xludf.DUMMYFUNCTION("""COMPUTED_VALUE"""),96.474)</f>
        <v>96.474000000000004</v>
      </c>
      <c r="Y717" s="5" t="str">
        <f ca="1">IFERROR(__xludf.DUMMYFUNCTION("""COMPUTED_VALUE"""),"Medium")</f>
        <v>Medium</v>
      </c>
      <c r="Z717" s="5">
        <f ca="1">IFERROR(__xludf.DUMMYFUNCTION("""COMPUTED_VALUE"""),5.11)</f>
        <v>5.1100000000000003</v>
      </c>
      <c r="AA717" s="5">
        <f ca="1">IFERROR(__xludf.DUMMYFUNCTION("""COMPUTED_VALUE"""),2940)</f>
        <v>2940</v>
      </c>
      <c r="AB717" s="5"/>
      <c r="AC717" s="5" t="str">
        <f ca="1">IFERROR(__xludf.DUMMYFUNCTION("""COMPUTED_VALUE"""),"Extralines, Wild Symbol, Bonus Game with Free Spins, Buy Bonus")</f>
        <v>Extralines, Wild Symbol, Bonus Game with Free Spins, Buy Bonus</v>
      </c>
      <c r="AD717" s="5" t="str">
        <f ca="1">IFERROR(__xludf.DUMMYFUNCTION("""COMPUTED_VALUE"""),"0.1/50")</f>
        <v>0.1/50</v>
      </c>
      <c r="AE717" s="5"/>
      <c r="AF717" s="5"/>
      <c r="AG717" s="10">
        <f ca="1">IFERROR(__xludf.DUMMYFUNCTION("""COMPUTED_VALUE"""),46212.6289236111)</f>
        <v>46212.628923611097</v>
      </c>
      <c r="AH717" s="5" t="str">
        <f ca="1">IFERROR(__xludf.DUMMYFUNCTION("""COMPUTED_VALUE"""),"selena.mihajlovic@fazi.rs")</f>
        <v>selena.mihajlovic@fazi.rs</v>
      </c>
      <c r="AI717" s="5"/>
      <c r="AJ717" s="5"/>
      <c r="AK717" s="5">
        <f ca="1">IFERROR(__xludf.DUMMYFUNCTION("""COMPUTED_VALUE"""),5)</f>
        <v>5</v>
      </c>
      <c r="AL717" s="5" t="str">
        <f ca="1">IFERROR(__xludf.DUMMYFUNCTION("""COMPUTED_VALUE"""),"Yes")</f>
        <v>Yes</v>
      </c>
      <c r="AM717" s="5" t="str">
        <f ca="1">IFERROR(__xludf.DUMMYFUNCTION("""COMPUTED_VALUE"""),"No")</f>
        <v>No</v>
      </c>
      <c r="AN717" s="7" t="str">
        <f ca="1">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AO717" s="5" t="str">
        <f ca="1">IFERROR(__xludf.DUMMYFUNCTION("""COMPUTED_VALUE"""),"Yes")</f>
        <v>Yes</v>
      </c>
      <c r="AP717" s="5" t="str">
        <f ca="1">IFERROR(__xludf.DUMMYFUNCTION("""COMPUTED_VALUE"""),"Yes")</f>
        <v>Yes</v>
      </c>
      <c r="AQ717" s="5" t="b">
        <f ca="1">IFERROR(__xludf.DUMMYFUNCTION("""COMPUTED_VALUE"""),TRUE)</f>
        <v>1</v>
      </c>
      <c r="AR717" s="5"/>
      <c r="AS717" s="5" t="str">
        <f ca="1">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AT717" s="5"/>
      <c r="AU717" s="5" t="str">
        <f ca="1">IFERROR(__xludf.DUMMYFUNCTION("""COMPUTED_VALUE"""),"Fazi")</f>
        <v>Fazi</v>
      </c>
      <c r="AV717" s="5">
        <f ca="1">IFERROR(__xludf.DUMMYFUNCTION("""COMPUTED_VALUE"""),1)</f>
        <v>1</v>
      </c>
      <c r="AW717" s="5"/>
      <c r="AX717" s="15">
        <f ca="1">IFERROR(__xludf.DUMMYFUNCTION("""COMPUTED_VALUE"""),46147)</f>
        <v>46147</v>
      </c>
      <c r="AY717" s="5" t="str">
        <f ca="1">IFERROR(__xludf.DUMMYFUNCTION("""COMPUTED_VALUE"""),"87.5%, 89.5%, 91.5%, 93.5%, 94.5%, 95.5%, 96.5%")</f>
        <v>87.5%, 89.5%, 91.5%, 93.5%, 94.5%, 95.5%, 96.5%</v>
      </c>
      <c r="AZ717" s="5"/>
      <c r="BA717" s="5"/>
      <c r="BB717" s="5" t="b">
        <f ca="1">IFERROR(__xludf.DUMMYFUNCTION("""COMPUTED_VALUE"""),TRUE)</f>
        <v>1</v>
      </c>
      <c r="BC717" s="5" t="str">
        <f ca="1">IFERROR(__xludf.DUMMYFUNCTION("""COMPUTED_VALUE"""),"Foxi")</f>
        <v>Foxi</v>
      </c>
      <c r="BD717" s="7" t="str">
        <f ca="1">IFERROR(__xludf.DUMMYFUNCTION("""COMPUTED_VALUE"""),"https://gameserver-store-client-area.orbionlimited.com/Home/IntegrationGameLaunch/client-area?moneyType=0&amp;gameName=BonusEpicWildExtralines&amp;platform=desktop&amp;languageCode=eng&amp;currency=EUR")</f>
        <v>https://gameserver-store-client-area.orbionlimited.com/Home/IntegrationGameLaunch/client-area?moneyType=0&amp;gameName=BonusEpicWildExtralines&amp;platform=desktop&amp;languageCode=eng&amp;currency=EUR</v>
      </c>
      <c r="BE717" s="5" t="b">
        <f ca="1">IFERROR(__xludf.DUMMYFUNCTION("""COMPUTED_VALUE"""),TRUE)</f>
        <v>1</v>
      </c>
    </row>
    <row r="718" spans="1:57" x14ac:dyDescent="0.25">
      <c r="A718" s="5">
        <f ca="1">IFERROR(__xludf.DUMMYFUNCTION("""COMPUTED_VALUE"""),755)</f>
        <v>755</v>
      </c>
      <c r="B718" s="5">
        <f ca="1">IFERROR(__xludf.DUMMYFUNCTION("""COMPUTED_VALUE"""),3039)</f>
        <v>3039</v>
      </c>
      <c r="C718" s="5" t="str">
        <f ca="1">IFERROR(__xludf.DUMMYFUNCTION("""COMPUTED_VALUE"""),"Fazi")</f>
        <v>Fazi</v>
      </c>
      <c r="D718" s="5" t="str">
        <f ca="1">IFERROR(__xludf.DUMMYFUNCTION("""COMPUTED_VALUE"""),"Very Hot 10 Extreme")</f>
        <v>Very Hot 10 Extreme</v>
      </c>
      <c r="E718" s="5" t="str">
        <f ca="1">IFERROR(__xludf.DUMMYFUNCTION("""COMPUTED_VALUE"""),"V2")</f>
        <v>V2</v>
      </c>
      <c r="F718" s="5" t="str">
        <f ca="1">IFERROR(__xludf.DUMMYFUNCTION("""COMPUTED_VALUE"""),"VeryHot10Extreme")</f>
        <v>VeryHot10Extreme</v>
      </c>
      <c r="G718" s="5" t="str">
        <f ca="1">IFERROR(__xludf.DUMMYFUNCTION("""COMPUTED_VALUE"""),"Deployed")</f>
        <v>Deployed</v>
      </c>
      <c r="H718" s="5"/>
      <c r="I718" s="5" t="str">
        <f ca="1">IFERROR(__xludf.DUMMYFUNCTION("""COMPUTED_VALUE"""),"V4")</f>
        <v>V4</v>
      </c>
      <c r="J718" s="5" t="str">
        <f ca="1">IFERROR(__xludf.DUMMYFUNCTION("""COMPUTED_VALUE"""),"JSON")</f>
        <v>JSON</v>
      </c>
      <c r="K718" s="5" t="str">
        <f ca="1">IFERROR(__xludf.DUMMYFUNCTION("""COMPUTED_VALUE"""),"Slot")</f>
        <v>Slot</v>
      </c>
      <c r="L718" s="5"/>
      <c r="M718" s="5"/>
      <c r="N718" s="5"/>
      <c r="O718" s="5"/>
      <c r="P718" s="14">
        <f ca="1">IFERROR(__xludf.DUMMYFUNCTION("""COMPUTED_VALUE"""),19.7)</f>
        <v>19.7</v>
      </c>
      <c r="Q718" s="15">
        <f ca="1">IFERROR(__xludf.DUMMYFUNCTION("""COMPUTED_VALUE"""),46153)</f>
        <v>46153</v>
      </c>
      <c r="R718" s="5"/>
      <c r="S718" s="5"/>
      <c r="T718" s="5"/>
      <c r="U718" s="5" t="str">
        <f ca="1">IFERROR(__xludf.DUMMYFUNCTION("""COMPUTED_VALUE"""),"5x3")</f>
        <v>5x3</v>
      </c>
      <c r="V718" s="5">
        <f ca="1">IFERROR(__xludf.DUMMYFUNCTION("""COMPUTED_VALUE"""),10)</f>
        <v>10</v>
      </c>
      <c r="W718" s="5">
        <f ca="1">IFERROR(__xludf.DUMMYFUNCTION("""COMPUTED_VALUE"""),10)</f>
        <v>10</v>
      </c>
      <c r="X718" s="5">
        <f ca="1">IFERROR(__xludf.DUMMYFUNCTION("""COMPUTED_VALUE"""),96.453)</f>
        <v>96.453000000000003</v>
      </c>
      <c r="Y718" s="5" t="str">
        <f ca="1">IFERROR(__xludf.DUMMYFUNCTION("""COMPUTED_VALUE"""),"Low")</f>
        <v>Low</v>
      </c>
      <c r="Z718" s="5">
        <f ca="1">IFERROR(__xludf.DUMMYFUNCTION("""COMPUTED_VALUE"""),17.364)</f>
        <v>17.364000000000001</v>
      </c>
      <c r="AA718" s="5">
        <f ca="1">IFERROR(__xludf.DUMMYFUNCTION("""COMPUTED_VALUE"""),2210)</f>
        <v>2210</v>
      </c>
      <c r="AB718" s="5"/>
      <c r="AC718" s="5" t="str">
        <f ca="1">IFERROR(__xludf.DUMMYFUNCTION("""COMPUTED_VALUE"""),"Expanding Wild, Scatter")</f>
        <v>Expanding Wild, Scatter</v>
      </c>
      <c r="AD718" s="5" t="str">
        <f ca="1">IFERROR(__xludf.DUMMYFUNCTION("""COMPUTED_VALUE"""),"0.1/50")</f>
        <v>0.1/50</v>
      </c>
      <c r="AE718" s="5"/>
      <c r="AF718" s="5"/>
      <c r="AG718" s="10">
        <f ca="1">IFERROR(__xludf.DUMMYFUNCTION("""COMPUTED_VALUE"""),46226.4577777777)</f>
        <v>46226.457777777701</v>
      </c>
      <c r="AH718" s="5" t="str">
        <f ca="1">IFERROR(__xludf.DUMMYFUNCTION("""COMPUTED_VALUE"""),"milena.kocic@fazi.rs")</f>
        <v>milena.kocic@fazi.rs</v>
      </c>
      <c r="AI718" s="5"/>
      <c r="AJ718" s="5"/>
      <c r="AK718" s="5">
        <f ca="1">IFERROR(__xludf.DUMMYFUNCTION("""COMPUTED_VALUE"""),1)</f>
        <v>1</v>
      </c>
      <c r="AL718" s="5" t="str">
        <f ca="1">IFERROR(__xludf.DUMMYFUNCTION("""COMPUTED_VALUE"""),"Yes")</f>
        <v>Yes</v>
      </c>
      <c r="AM718" s="5" t="str">
        <f ca="1">IFERROR(__xludf.DUMMYFUNCTION("""COMPUTED_VALUE"""),"No")</f>
        <v>No</v>
      </c>
      <c r="AN718" s="5"/>
      <c r="AO718" s="5" t="str">
        <f ca="1">IFERROR(__xludf.DUMMYFUNCTION("""COMPUTED_VALUE"""),"Yes")</f>
        <v>Yes</v>
      </c>
      <c r="AP718" s="5" t="str">
        <f ca="1">IFERROR(__xludf.DUMMYFUNCTION("""COMPUTED_VALUE"""),"Yes")</f>
        <v>Yes</v>
      </c>
      <c r="AQ718" s="5"/>
      <c r="AR718" s="5"/>
      <c r="AS718" s="5"/>
      <c r="AT718" s="5"/>
      <c r="AU718" s="5" t="str">
        <f ca="1">IFERROR(__xludf.DUMMYFUNCTION("""COMPUTED_VALUE"""),"Fazi")</f>
        <v>Fazi</v>
      </c>
      <c r="AV718" s="5">
        <f ca="1">IFERROR(__xludf.DUMMYFUNCTION("""COMPUTED_VALUE"""),1)</f>
        <v>1</v>
      </c>
      <c r="AW718" s="5"/>
      <c r="AX718" s="15">
        <f ca="1">IFERROR(__xludf.DUMMYFUNCTION("""COMPUTED_VALUE"""),46147)</f>
        <v>46147</v>
      </c>
      <c r="AY718" s="5" t="str">
        <f ca="1">IFERROR(__xludf.DUMMYFUNCTION("""COMPUTED_VALUE"""),"87.5%, 89.5%, 91.5%, 93.5%, 94.5%, 95.5%, 96.5%")</f>
        <v>87.5%, 89.5%, 91.5%, 93.5%, 94.5%, 95.5%, 96.5%</v>
      </c>
      <c r="AZ718" s="5"/>
      <c r="BA718" s="5"/>
      <c r="BB718" s="5"/>
      <c r="BC718" s="5" t="str">
        <f ca="1">IFERROR(__xludf.DUMMYFUNCTION("""COMPUTED_VALUE"""),"Foxi")</f>
        <v>Foxi</v>
      </c>
      <c r="BD718" s="5"/>
      <c r="BE718" s="5"/>
    </row>
    <row r="719" spans="1:57" x14ac:dyDescent="0.25">
      <c r="A719" s="5">
        <f ca="1">IFERROR(__xludf.DUMMYFUNCTION("""COMPUTED_VALUE"""),756)</f>
        <v>756</v>
      </c>
      <c r="B719" s="5">
        <f ca="1">IFERROR(__xludf.DUMMYFUNCTION("""COMPUTED_VALUE"""),3040)</f>
        <v>3040</v>
      </c>
      <c r="C719" s="5" t="str">
        <f ca="1">IFERROR(__xludf.DUMMYFUNCTION("""COMPUTED_VALUE"""),"Fazi")</f>
        <v>Fazi</v>
      </c>
      <c r="D719" s="5" t="str">
        <f ca="1">IFERROR(__xludf.DUMMYFUNCTION("""COMPUTED_VALUE"""),"Very Hot 20 Extreme")</f>
        <v>Very Hot 20 Extreme</v>
      </c>
      <c r="E719" s="5" t="str">
        <f ca="1">IFERROR(__xludf.DUMMYFUNCTION("""COMPUTED_VALUE"""),"V2")</f>
        <v>V2</v>
      </c>
      <c r="F719" s="5" t="str">
        <f ca="1">IFERROR(__xludf.DUMMYFUNCTION("""COMPUTED_VALUE"""),"VeryHot20Extreme")</f>
        <v>VeryHot20Extreme</v>
      </c>
      <c r="G719" s="5" t="str">
        <f ca="1">IFERROR(__xludf.DUMMYFUNCTION("""COMPUTED_VALUE"""),"Deployed")</f>
        <v>Deployed</v>
      </c>
      <c r="H719" s="5"/>
      <c r="I719" s="5" t="str">
        <f ca="1">IFERROR(__xludf.DUMMYFUNCTION("""COMPUTED_VALUE"""),"V4")</f>
        <v>V4</v>
      </c>
      <c r="J719" s="5" t="str">
        <f ca="1">IFERROR(__xludf.DUMMYFUNCTION("""COMPUTED_VALUE"""),"JSON")</f>
        <v>JSON</v>
      </c>
      <c r="K719" s="5" t="str">
        <f ca="1">IFERROR(__xludf.DUMMYFUNCTION("""COMPUTED_VALUE"""),"Slot")</f>
        <v>Slot</v>
      </c>
      <c r="L719" s="5"/>
      <c r="M719" s="5"/>
      <c r="N719" s="5"/>
      <c r="O719" s="5"/>
      <c r="P719" s="14">
        <f ca="1">IFERROR(__xludf.DUMMYFUNCTION("""COMPUTED_VALUE"""),19.8)</f>
        <v>19.8</v>
      </c>
      <c r="Q719" s="15">
        <f ca="1">IFERROR(__xludf.DUMMYFUNCTION("""COMPUTED_VALUE"""),46153)</f>
        <v>46153</v>
      </c>
      <c r="R719" s="5"/>
      <c r="S719" s="5"/>
      <c r="T719" s="5"/>
      <c r="U719" s="5" t="str">
        <f ca="1">IFERROR(__xludf.DUMMYFUNCTION("""COMPUTED_VALUE"""),"5x3")</f>
        <v>5x3</v>
      </c>
      <c r="V719" s="5">
        <f ca="1">IFERROR(__xludf.DUMMYFUNCTION("""COMPUTED_VALUE"""),20)</f>
        <v>20</v>
      </c>
      <c r="W719" s="5">
        <f ca="1">IFERROR(__xludf.DUMMYFUNCTION("""COMPUTED_VALUE"""),20)</f>
        <v>20</v>
      </c>
      <c r="X719" s="5">
        <f ca="1">IFERROR(__xludf.DUMMYFUNCTION("""COMPUTED_VALUE"""),96.453)</f>
        <v>96.453000000000003</v>
      </c>
      <c r="Y719" s="5" t="str">
        <f ca="1">IFERROR(__xludf.DUMMYFUNCTION("""COMPUTED_VALUE"""),"Low")</f>
        <v>Low</v>
      </c>
      <c r="Z719" s="5">
        <f ca="1">IFERROR(__xludf.DUMMYFUNCTION("""COMPUTED_VALUE"""),21.192)</f>
        <v>21.192</v>
      </c>
      <c r="AA719" s="5">
        <f ca="1">IFERROR(__xludf.DUMMYFUNCTION("""COMPUTED_VALUE"""),2765)</f>
        <v>2765</v>
      </c>
      <c r="AB719" s="5"/>
      <c r="AC719" s="5" t="str">
        <f ca="1">IFERROR(__xludf.DUMMYFUNCTION("""COMPUTED_VALUE"""),"Expanding Wild, Scatter")</f>
        <v>Expanding Wild, Scatter</v>
      </c>
      <c r="AD719" s="5" t="str">
        <f ca="1">IFERROR(__xludf.DUMMYFUNCTION("""COMPUTED_VALUE"""),"0.2/50")</f>
        <v>0.2/50</v>
      </c>
      <c r="AE719" s="5"/>
      <c r="AF719" s="5"/>
      <c r="AG719" s="10">
        <f ca="1">IFERROR(__xludf.DUMMYFUNCTION("""COMPUTED_VALUE"""),46153.6083449074)</f>
        <v>46153.608344907399</v>
      </c>
      <c r="AH719" s="5" t="str">
        <f ca="1">IFERROR(__xludf.DUMMYFUNCTION("""COMPUTED_VALUE"""),"milena.kocic@fazi.rs")</f>
        <v>milena.kocic@fazi.rs</v>
      </c>
      <c r="AI719" s="5"/>
      <c r="AJ719" s="5"/>
      <c r="AK719" s="5">
        <f ca="1">IFERROR(__xludf.DUMMYFUNCTION("""COMPUTED_VALUE"""),2)</f>
        <v>2</v>
      </c>
      <c r="AL719" s="5" t="str">
        <f ca="1">IFERROR(__xludf.DUMMYFUNCTION("""COMPUTED_VALUE"""),"Yes")</f>
        <v>Yes</v>
      </c>
      <c r="AM719" s="5" t="str">
        <f ca="1">IFERROR(__xludf.DUMMYFUNCTION("""COMPUTED_VALUE"""),"No")</f>
        <v>No</v>
      </c>
      <c r="AN719" s="5"/>
      <c r="AO719" s="5" t="str">
        <f ca="1">IFERROR(__xludf.DUMMYFUNCTION("""COMPUTED_VALUE"""),"Yes")</f>
        <v>Yes</v>
      </c>
      <c r="AP719" s="5" t="str">
        <f ca="1">IFERROR(__xludf.DUMMYFUNCTION("""COMPUTED_VALUE"""),"Yes")</f>
        <v>Yes</v>
      </c>
      <c r="AQ719" s="5"/>
      <c r="AR719" s="5"/>
      <c r="AS719" s="5"/>
      <c r="AT719" s="5"/>
      <c r="AU719" s="5" t="str">
        <f ca="1">IFERROR(__xludf.DUMMYFUNCTION("""COMPUTED_VALUE"""),"Fazi")</f>
        <v>Fazi</v>
      </c>
      <c r="AV719" s="5">
        <f ca="1">IFERROR(__xludf.DUMMYFUNCTION("""COMPUTED_VALUE"""),2)</f>
        <v>2</v>
      </c>
      <c r="AW719" s="5"/>
      <c r="AX719" s="15">
        <f ca="1">IFERROR(__xludf.DUMMYFUNCTION("""COMPUTED_VALUE"""),46147)</f>
        <v>46147</v>
      </c>
      <c r="AY719" s="5" t="str">
        <f ca="1">IFERROR(__xludf.DUMMYFUNCTION("""COMPUTED_VALUE"""),"87.5%, 89.5%, 91.5%, 93.5%, 94.5%, 95.5%, 96.5%")</f>
        <v>87.5%, 89.5%, 91.5%, 93.5%, 94.5%, 95.5%, 96.5%</v>
      </c>
      <c r="AZ719" s="5"/>
      <c r="BA719" s="5"/>
      <c r="BB719" s="5"/>
      <c r="BC719" s="5" t="str">
        <f ca="1">IFERROR(__xludf.DUMMYFUNCTION("""COMPUTED_VALUE"""),"Foxi")</f>
        <v>Foxi</v>
      </c>
      <c r="BD719" s="5" t="str">
        <f ca="1">IFERROR(__xludf.DUMMYFUNCTION("""COMPUTED_VALUE"""),"")</f>
        <v/>
      </c>
      <c r="BE719" s="5"/>
    </row>
    <row r="720" spans="1:57" x14ac:dyDescent="0.25">
      <c r="A720" s="5">
        <f ca="1">IFERROR(__xludf.DUMMYFUNCTION("""COMPUTED_VALUE"""),757)</f>
        <v>757</v>
      </c>
      <c r="B720" s="5">
        <f ca="1">IFERROR(__xludf.DUMMYFUNCTION("""COMPUTED_VALUE"""),3042)</f>
        <v>3042</v>
      </c>
      <c r="C720" s="5" t="str">
        <f ca="1">IFERROR(__xludf.DUMMYFUNCTION("""COMPUTED_VALUE"""),"Fazi")</f>
        <v>Fazi</v>
      </c>
      <c r="D720" s="5" t="str">
        <f ca="1">IFERROR(__xludf.DUMMYFUNCTION("""COMPUTED_VALUE"""),"Very Hot 20 Extreme Booster")</f>
        <v>Very Hot 20 Extreme Booster</v>
      </c>
      <c r="E720" s="5" t="str">
        <f ca="1">IFERROR(__xludf.DUMMYFUNCTION("""COMPUTED_VALUE"""),"V2")</f>
        <v>V2</v>
      </c>
      <c r="F720" s="5" t="str">
        <f ca="1">IFERROR(__xludf.DUMMYFUNCTION("""COMPUTED_VALUE"""),"VeryHot20ExtremeBooster")</f>
        <v>VeryHot20ExtremeBooster</v>
      </c>
      <c r="G720" s="5" t="str">
        <f ca="1">IFERROR(__xludf.DUMMYFUNCTION("""COMPUTED_VALUE"""),"Deployed")</f>
        <v>Deployed</v>
      </c>
      <c r="H720" s="5"/>
      <c r="I720" s="5" t="str">
        <f ca="1">IFERROR(__xludf.DUMMYFUNCTION("""COMPUTED_VALUE"""),"V4")</f>
        <v>V4</v>
      </c>
      <c r="J720" s="5" t="str">
        <f ca="1">IFERROR(__xludf.DUMMYFUNCTION("""COMPUTED_VALUE"""),"JSON")</f>
        <v>JSON</v>
      </c>
      <c r="K720" s="5" t="str">
        <f ca="1">IFERROR(__xludf.DUMMYFUNCTION("""COMPUTED_VALUE"""),"Slot")</f>
        <v>Slot</v>
      </c>
      <c r="L720" s="5"/>
      <c r="M720" s="5"/>
      <c r="N720" s="5"/>
      <c r="O720" s="5"/>
      <c r="P720" s="14">
        <f ca="1">IFERROR(__xludf.DUMMYFUNCTION("""COMPUTED_VALUE"""),19)</f>
        <v>19</v>
      </c>
      <c r="Q720" s="15">
        <f ca="1">IFERROR(__xludf.DUMMYFUNCTION("""COMPUTED_VALUE"""),46167)</f>
        <v>46167</v>
      </c>
      <c r="R720" s="5"/>
      <c r="S720" s="5"/>
      <c r="T720" s="5"/>
      <c r="U720" s="5" t="str">
        <f ca="1">IFERROR(__xludf.DUMMYFUNCTION("""COMPUTED_VALUE"""),"5x3")</f>
        <v>5x3</v>
      </c>
      <c r="V720" s="5">
        <f ca="1">IFERROR(__xludf.DUMMYFUNCTION("""COMPUTED_VALUE"""),20)</f>
        <v>20</v>
      </c>
      <c r="W720" s="5">
        <f ca="1">IFERROR(__xludf.DUMMYFUNCTION("""COMPUTED_VALUE"""),20)</f>
        <v>20</v>
      </c>
      <c r="X720" s="5">
        <f ca="1">IFERROR(__xludf.DUMMYFUNCTION("""COMPUTED_VALUE"""),96.453)</f>
        <v>96.453000000000003</v>
      </c>
      <c r="Y720" s="5" t="str">
        <f ca="1">IFERROR(__xludf.DUMMYFUNCTION("""COMPUTED_VALUE"""),"Low")</f>
        <v>Low</v>
      </c>
      <c r="Z720" s="5">
        <f ca="1">IFERROR(__xludf.DUMMYFUNCTION("""COMPUTED_VALUE"""),21.192)</f>
        <v>21.192</v>
      </c>
      <c r="AA720" s="5">
        <f ca="1">IFERROR(__xludf.DUMMYFUNCTION("""COMPUTED_VALUE"""),2765)</f>
        <v>2765</v>
      </c>
      <c r="AB720" s="5"/>
      <c r="AC720" s="5" t="str">
        <f ca="1">IFERROR(__xludf.DUMMYFUNCTION("""COMPUTED_VALUE"""),"Expanding Wild, Scatter")</f>
        <v>Expanding Wild, Scatter</v>
      </c>
      <c r="AD720" s="5" t="str">
        <f ca="1">IFERROR(__xludf.DUMMYFUNCTION("""COMPUTED_VALUE"""),"0.2/50")</f>
        <v>0.2/50</v>
      </c>
      <c r="AE720" s="5"/>
      <c r="AF720" s="5"/>
      <c r="AG720" s="10">
        <f ca="1">IFERROR(__xludf.DUMMYFUNCTION("""COMPUTED_VALUE"""),46170.4153819444)</f>
        <v>46170.415381944404</v>
      </c>
      <c r="AH720" s="5" t="str">
        <f ca="1">IFERROR(__xludf.DUMMYFUNCTION("""COMPUTED_VALUE"""),"milutin.toskic@fazi.rs")</f>
        <v>milutin.toskic@fazi.rs</v>
      </c>
      <c r="AI720" s="5"/>
      <c r="AJ720" s="5"/>
      <c r="AK720" s="5">
        <f ca="1">IFERROR(__xludf.DUMMYFUNCTION("""COMPUTED_VALUE"""),2)</f>
        <v>2</v>
      </c>
      <c r="AL720" s="5" t="str">
        <f ca="1">IFERROR(__xludf.DUMMYFUNCTION("""COMPUTED_VALUE"""),"Yes")</f>
        <v>Yes</v>
      </c>
      <c r="AM720" s="5" t="str">
        <f ca="1">IFERROR(__xludf.DUMMYFUNCTION("""COMPUTED_VALUE"""),"No")</f>
        <v>No</v>
      </c>
      <c r="AN720" s="5"/>
      <c r="AO720" s="5" t="str">
        <f ca="1">IFERROR(__xludf.DUMMYFUNCTION("""COMPUTED_VALUE"""),"Yes")</f>
        <v>Yes</v>
      </c>
      <c r="AP720" s="5" t="str">
        <f ca="1">IFERROR(__xludf.DUMMYFUNCTION("""COMPUTED_VALUE"""),"Yes")</f>
        <v>Yes</v>
      </c>
      <c r="AQ720" s="5"/>
      <c r="AR720" s="5"/>
      <c r="AS720" s="5"/>
      <c r="AT720" s="5"/>
      <c r="AU720" s="5" t="str">
        <f ca="1">IFERROR(__xludf.DUMMYFUNCTION("""COMPUTED_VALUE"""),"Fazi")</f>
        <v>Fazi</v>
      </c>
      <c r="AV720" s="5">
        <f ca="1">IFERROR(__xludf.DUMMYFUNCTION("""COMPUTED_VALUE"""),2)</f>
        <v>2</v>
      </c>
      <c r="AW720" s="5"/>
      <c r="AX720" s="15">
        <f ca="1">IFERROR(__xludf.DUMMYFUNCTION("""COMPUTED_VALUE"""),46161)</f>
        <v>46161</v>
      </c>
      <c r="AY720" s="5" t="str">
        <f ca="1">IFERROR(__xludf.DUMMYFUNCTION("""COMPUTED_VALUE"""),"87.5%, 89.5%, 91.5%, 93.5%, 94.5%, 95.5%, 96.5%")</f>
        <v>87.5%, 89.5%, 91.5%, 93.5%, 94.5%, 95.5%, 96.5%</v>
      </c>
      <c r="AZ720" s="5"/>
      <c r="BA720" s="5"/>
      <c r="BB720" s="5"/>
      <c r="BC720" s="5" t="str">
        <f ca="1">IFERROR(__xludf.DUMMYFUNCTION("""COMPUTED_VALUE"""),"Foxi")</f>
        <v>Foxi</v>
      </c>
      <c r="BD720" s="5" t="str">
        <f ca="1">IFERROR(__xludf.DUMMYFUNCTION("""COMPUTED_VALUE"""),"")</f>
        <v/>
      </c>
      <c r="BE720" s="5"/>
    </row>
    <row r="721" spans="1:57" x14ac:dyDescent="0.25">
      <c r="A721" s="5">
        <f ca="1">IFERROR(__xludf.DUMMYFUNCTION("""COMPUTED_VALUE"""),758)</f>
        <v>758</v>
      </c>
      <c r="B721" s="5">
        <f ca="1">IFERROR(__xludf.DUMMYFUNCTION("""COMPUTED_VALUE"""),3041)</f>
        <v>3041</v>
      </c>
      <c r="C721" s="5" t="str">
        <f ca="1">IFERROR(__xludf.DUMMYFUNCTION("""COMPUTED_VALUE"""),"Fazi")</f>
        <v>Fazi</v>
      </c>
      <c r="D721" s="5" t="str">
        <f ca="1">IFERROR(__xludf.DUMMYFUNCTION("""COMPUTED_VALUE"""),"Very Hot 10 Extreme Booster")</f>
        <v>Very Hot 10 Extreme Booster</v>
      </c>
      <c r="E721" s="5" t="str">
        <f ca="1">IFERROR(__xludf.DUMMYFUNCTION("""COMPUTED_VALUE"""),"V2")</f>
        <v>V2</v>
      </c>
      <c r="F721" s="5" t="str">
        <f ca="1">IFERROR(__xludf.DUMMYFUNCTION("""COMPUTED_VALUE"""),"VeryHot10ExtremeBooster")</f>
        <v>VeryHot10ExtremeBooster</v>
      </c>
      <c r="G721" s="5" t="str">
        <f ca="1">IFERROR(__xludf.DUMMYFUNCTION("""COMPUTED_VALUE"""),"Deployed")</f>
        <v>Deployed</v>
      </c>
      <c r="H721" s="5"/>
      <c r="I721" s="5" t="str">
        <f ca="1">IFERROR(__xludf.DUMMYFUNCTION("""COMPUTED_VALUE"""),"V4")</f>
        <v>V4</v>
      </c>
      <c r="J721" s="5" t="str">
        <f ca="1">IFERROR(__xludf.DUMMYFUNCTION("""COMPUTED_VALUE"""),"JSON")</f>
        <v>JSON</v>
      </c>
      <c r="K721" s="5" t="str">
        <f ca="1">IFERROR(__xludf.DUMMYFUNCTION("""COMPUTED_VALUE"""),"Slot")</f>
        <v>Slot</v>
      </c>
      <c r="L721" s="5"/>
      <c r="M721" s="5"/>
      <c r="N721" s="5"/>
      <c r="O721" s="5"/>
      <c r="P721" s="5"/>
      <c r="Q721" s="15">
        <f ca="1">IFERROR(__xludf.DUMMYFUNCTION("""COMPUTED_VALUE"""),46167)</f>
        <v>46167</v>
      </c>
      <c r="R721" s="5"/>
      <c r="S721" s="5"/>
      <c r="T721" s="5"/>
      <c r="U721" s="5" t="str">
        <f ca="1">IFERROR(__xludf.DUMMYFUNCTION("""COMPUTED_VALUE"""),"5x3")</f>
        <v>5x3</v>
      </c>
      <c r="V721" s="5">
        <f ca="1">IFERROR(__xludf.DUMMYFUNCTION("""COMPUTED_VALUE"""),10)</f>
        <v>10</v>
      </c>
      <c r="W721" s="5">
        <f ca="1">IFERROR(__xludf.DUMMYFUNCTION("""COMPUTED_VALUE"""),10)</f>
        <v>10</v>
      </c>
      <c r="X721" s="5">
        <f ca="1">IFERROR(__xludf.DUMMYFUNCTION("""COMPUTED_VALUE"""),96.453)</f>
        <v>96.453000000000003</v>
      </c>
      <c r="Y721" s="5" t="str">
        <f ca="1">IFERROR(__xludf.DUMMYFUNCTION("""COMPUTED_VALUE"""),"Medium")</f>
        <v>Medium</v>
      </c>
      <c r="Z721" s="5">
        <f ca="1">IFERROR(__xludf.DUMMYFUNCTION("""COMPUTED_VALUE"""),16.364)</f>
        <v>16.364000000000001</v>
      </c>
      <c r="AA721" s="5">
        <f ca="1">IFERROR(__xludf.DUMMYFUNCTION("""COMPUTED_VALUE"""),2210)</f>
        <v>2210</v>
      </c>
      <c r="AB721" s="5">
        <f ca="1">IFERROR(__xludf.DUMMYFUNCTION("""COMPUTED_VALUE"""),-1)</f>
        <v>-1</v>
      </c>
      <c r="AC721" s="5" t="str">
        <f ca="1">IFERROR(__xludf.DUMMYFUNCTION("""COMPUTED_VALUE"""),"Expanding Wild, Scatter")</f>
        <v>Expanding Wild, Scatter</v>
      </c>
      <c r="AD721" s="5" t="str">
        <f ca="1">IFERROR(__xludf.DUMMYFUNCTION("""COMPUTED_VALUE"""),"0.1/50")</f>
        <v>0.1/50</v>
      </c>
      <c r="AE721" s="5"/>
      <c r="AF721" s="5"/>
      <c r="AG721" s="10">
        <f ca="1">IFERROR(__xludf.DUMMYFUNCTION("""COMPUTED_VALUE"""),46170.4149074074)</f>
        <v>46170.414907407401</v>
      </c>
      <c r="AH721" s="5" t="str">
        <f ca="1">IFERROR(__xludf.DUMMYFUNCTION("""COMPUTED_VALUE"""),"milutin.toskic@fazi.rs")</f>
        <v>milutin.toskic@fazi.rs</v>
      </c>
      <c r="AI721" s="5"/>
      <c r="AJ721" s="5"/>
      <c r="AK721" s="5">
        <f ca="1">IFERROR(__xludf.DUMMYFUNCTION("""COMPUTED_VALUE"""),1)</f>
        <v>1</v>
      </c>
      <c r="AL721" s="5" t="str">
        <f ca="1">IFERROR(__xludf.DUMMYFUNCTION("""COMPUTED_VALUE"""),"Yes")</f>
        <v>Yes</v>
      </c>
      <c r="AM721" s="5" t="str">
        <f ca="1">IFERROR(__xludf.DUMMYFUNCTION("""COMPUTED_VALUE"""),"No")</f>
        <v>No</v>
      </c>
      <c r="AN721" s="5"/>
      <c r="AO721" s="5" t="str">
        <f ca="1">IFERROR(__xludf.DUMMYFUNCTION("""COMPUTED_VALUE"""),"Yes")</f>
        <v>Yes</v>
      </c>
      <c r="AP721" s="5" t="str">
        <f ca="1">IFERROR(__xludf.DUMMYFUNCTION("""COMPUTED_VALUE"""),"Yes")</f>
        <v>Yes</v>
      </c>
      <c r="AQ721" s="5"/>
      <c r="AR721" s="5"/>
      <c r="AS721" s="5"/>
      <c r="AT721" s="5"/>
      <c r="AU721" s="5" t="str">
        <f ca="1">IFERROR(__xludf.DUMMYFUNCTION("""COMPUTED_VALUE"""),"Fazi")</f>
        <v>Fazi</v>
      </c>
      <c r="AV721" s="5">
        <f ca="1">IFERROR(__xludf.DUMMYFUNCTION("""COMPUTED_VALUE"""),1)</f>
        <v>1</v>
      </c>
      <c r="AW721" s="5"/>
      <c r="AX721" s="15">
        <f ca="1">IFERROR(__xludf.DUMMYFUNCTION("""COMPUTED_VALUE"""),46161)</f>
        <v>46161</v>
      </c>
      <c r="AY721" s="5" t="str">
        <f ca="1">IFERROR(__xludf.DUMMYFUNCTION("""COMPUTED_VALUE"""),"87.5%, 89.5%, 91.5%, 93.5%, 94.5%, 95.5%, 96.5%")</f>
        <v>87.5%, 89.5%, 91.5%, 93.5%, 94.5%, 95.5%, 96.5%</v>
      </c>
      <c r="AZ721" s="5"/>
      <c r="BA721" s="5"/>
      <c r="BB721" s="5"/>
      <c r="BC721" s="5" t="str">
        <f ca="1">IFERROR(__xludf.DUMMYFUNCTION("""COMPUTED_VALUE"""),"Foxi")</f>
        <v>Foxi</v>
      </c>
      <c r="BD721" s="5" t="str">
        <f ca="1">IFERROR(__xludf.DUMMYFUNCTION("""COMPUTED_VALUE"""),"")</f>
        <v/>
      </c>
      <c r="BE721" s="5"/>
    </row>
    <row r="722" spans="1:57" x14ac:dyDescent="0.25">
      <c r="A722" s="5">
        <f ca="1">IFERROR(__xludf.DUMMYFUNCTION("""COMPUTED_VALUE"""),759)</f>
        <v>759</v>
      </c>
      <c r="B722" s="5">
        <f ca="1">IFERROR(__xludf.DUMMYFUNCTION("""COMPUTED_VALUE"""),3043)</f>
        <v>3043</v>
      </c>
      <c r="C722" s="5" t="str">
        <f ca="1">IFERROR(__xludf.DUMMYFUNCTION("""COMPUTED_VALUE"""),"Fazi")</f>
        <v>Fazi</v>
      </c>
      <c r="D722" s="5" t="str">
        <f ca="1">IFERROR(__xludf.DUMMYFUNCTION("""COMPUTED_VALUE"""),"Very Hot 100 Extreme")</f>
        <v>Very Hot 100 Extreme</v>
      </c>
      <c r="E722" s="5" t="str">
        <f ca="1">IFERROR(__xludf.DUMMYFUNCTION("""COMPUTED_VALUE"""),"V2")</f>
        <v>V2</v>
      </c>
      <c r="F722" s="5" t="str">
        <f ca="1">IFERROR(__xludf.DUMMYFUNCTION("""COMPUTED_VALUE"""),"VeryHot100Extreme")</f>
        <v>VeryHot100Extreme</v>
      </c>
      <c r="G722" s="5" t="str">
        <f ca="1">IFERROR(__xludf.DUMMYFUNCTION("""COMPUTED_VALUE"""),"Deployed")</f>
        <v>Deployed</v>
      </c>
      <c r="H722" s="5"/>
      <c r="I722" s="5" t="str">
        <f ca="1">IFERROR(__xludf.DUMMYFUNCTION("""COMPUTED_VALUE"""),"V4")</f>
        <v>V4</v>
      </c>
      <c r="J722" s="5" t="str">
        <f ca="1">IFERROR(__xludf.DUMMYFUNCTION("""COMPUTED_VALUE"""),"JSON")</f>
        <v>JSON</v>
      </c>
      <c r="K722" s="5" t="str">
        <f ca="1">IFERROR(__xludf.DUMMYFUNCTION("""COMPUTED_VALUE"""),"Slot")</f>
        <v>Slot</v>
      </c>
      <c r="L722" s="5"/>
      <c r="M722" s="5"/>
      <c r="N722" s="5"/>
      <c r="O722" s="5"/>
      <c r="P722" s="5"/>
      <c r="Q722" s="15">
        <f ca="1">IFERROR(__xludf.DUMMYFUNCTION("""COMPUTED_VALUE"""),46167)</f>
        <v>46167</v>
      </c>
      <c r="R722" s="5"/>
      <c r="S722" s="5"/>
      <c r="T722" s="5"/>
      <c r="U722" s="5" t="str">
        <f ca="1">IFERROR(__xludf.DUMMYFUNCTION("""COMPUTED_VALUE"""),"5x3")</f>
        <v>5x3</v>
      </c>
      <c r="V722" s="5">
        <f ca="1">IFERROR(__xludf.DUMMYFUNCTION("""COMPUTED_VALUE"""),100)</f>
        <v>100</v>
      </c>
      <c r="W722" s="5">
        <f ca="1">IFERROR(__xludf.DUMMYFUNCTION("""COMPUTED_VALUE"""),100)</f>
        <v>100</v>
      </c>
      <c r="X722" s="5">
        <f ca="1">IFERROR(__xludf.DUMMYFUNCTION("""COMPUTED_VALUE"""),96.453)</f>
        <v>96.453000000000003</v>
      </c>
      <c r="Y722" s="5" t="str">
        <f ca="1">IFERROR(__xludf.DUMMYFUNCTION("""COMPUTED_VALUE"""),"Low")</f>
        <v>Low</v>
      </c>
      <c r="Z722" s="5">
        <f ca="1">IFERROR(__xludf.DUMMYFUNCTION("""COMPUTED_VALUE"""),22.711)</f>
        <v>22.710999999999999</v>
      </c>
      <c r="AA722" s="5">
        <f ca="1">IFERROR(__xludf.DUMMYFUNCTION("""COMPUTED_VALUE"""),1213)</f>
        <v>1213</v>
      </c>
      <c r="AB722" s="5"/>
      <c r="AC722" s="5"/>
      <c r="AD722" s="5" t="str">
        <f ca="1">IFERROR(__xludf.DUMMYFUNCTION("""COMPUTED_VALUE"""),"1/50")</f>
        <v>1/50</v>
      </c>
      <c r="AE722" s="5"/>
      <c r="AF722" s="5"/>
      <c r="AG722" s="10">
        <f ca="1">IFERROR(__xludf.DUMMYFUNCTION("""COMPUTED_VALUE"""),46170.4157638888)</f>
        <v>46170.415763888799</v>
      </c>
      <c r="AH722" s="5" t="str">
        <f ca="1">IFERROR(__xludf.DUMMYFUNCTION("""COMPUTED_VALUE"""),"milutin.toskic@fazi.rs")</f>
        <v>milutin.toskic@fazi.rs</v>
      </c>
      <c r="AI722" s="5"/>
      <c r="AJ722" s="5"/>
      <c r="AK722" s="5">
        <f ca="1">IFERROR(__xludf.DUMMYFUNCTION("""COMPUTED_VALUE"""),10)</f>
        <v>10</v>
      </c>
      <c r="AL722" s="5" t="str">
        <f ca="1">IFERROR(__xludf.DUMMYFUNCTION("""COMPUTED_VALUE"""),"Yes")</f>
        <v>Yes</v>
      </c>
      <c r="AM722" s="5" t="str">
        <f ca="1">IFERROR(__xludf.DUMMYFUNCTION("""COMPUTED_VALUE"""),"No")</f>
        <v>No</v>
      </c>
      <c r="AN722" s="5"/>
      <c r="AO722" s="5" t="str">
        <f ca="1">IFERROR(__xludf.DUMMYFUNCTION("""COMPUTED_VALUE"""),"Yes")</f>
        <v>Yes</v>
      </c>
      <c r="AP722" s="5" t="str">
        <f ca="1">IFERROR(__xludf.DUMMYFUNCTION("""COMPUTED_VALUE"""),"Yes")</f>
        <v>Yes</v>
      </c>
      <c r="AQ722" s="5"/>
      <c r="AR722" s="5"/>
      <c r="AS722" s="5"/>
      <c r="AT722" s="5"/>
      <c r="AU722" s="5" t="str">
        <f ca="1">IFERROR(__xludf.DUMMYFUNCTION("""COMPUTED_VALUE"""),"Fazi")</f>
        <v>Fazi</v>
      </c>
      <c r="AV722" s="5">
        <f ca="1">IFERROR(__xludf.DUMMYFUNCTION("""COMPUTED_VALUE"""),10)</f>
        <v>10</v>
      </c>
      <c r="AW722" s="5"/>
      <c r="AX722" s="15">
        <f ca="1">IFERROR(__xludf.DUMMYFUNCTION("""COMPUTED_VALUE"""),46161)</f>
        <v>46161</v>
      </c>
      <c r="AY722" s="5" t="str">
        <f ca="1">IFERROR(__xludf.DUMMYFUNCTION("""COMPUTED_VALUE"""),"87.5%, 89.5%, 91.5%, 93.5%, 94.5%, 95.5%, 96.5%")</f>
        <v>87.5%, 89.5%, 91.5%, 93.5%, 94.5%, 95.5%, 96.5%</v>
      </c>
      <c r="AZ722" s="5"/>
      <c r="BA722" s="5"/>
      <c r="BB722" s="5"/>
      <c r="BC722" s="5" t="str">
        <f ca="1">IFERROR(__xludf.DUMMYFUNCTION("""COMPUTED_VALUE"""),"Foxi")</f>
        <v>Foxi</v>
      </c>
      <c r="BD722" s="5" t="str">
        <f ca="1">IFERROR(__xludf.DUMMYFUNCTION("""COMPUTED_VALUE"""),"")</f>
        <v/>
      </c>
      <c r="BE722" s="5"/>
    </row>
    <row r="723" spans="1:57" x14ac:dyDescent="0.25">
      <c r="A723" s="5">
        <f ca="1">IFERROR(__xludf.DUMMYFUNCTION("""COMPUTED_VALUE"""),760)</f>
        <v>760</v>
      </c>
      <c r="B723" s="5">
        <f ca="1">IFERROR(__xludf.DUMMYFUNCTION("""COMPUTED_VALUE"""),3044)</f>
        <v>3044</v>
      </c>
      <c r="C723" s="5" t="str">
        <f ca="1">IFERROR(__xludf.DUMMYFUNCTION("""COMPUTED_VALUE"""),"Fazi")</f>
        <v>Fazi</v>
      </c>
      <c r="D723" s="5" t="str">
        <f ca="1">IFERROR(__xludf.DUMMYFUNCTION("""COMPUTED_VALUE"""),"Very Hot 100 Extreme Booster")</f>
        <v>Very Hot 100 Extreme Booster</v>
      </c>
      <c r="E723" s="5" t="str">
        <f ca="1">IFERROR(__xludf.DUMMYFUNCTION("""COMPUTED_VALUE"""),"V2")</f>
        <v>V2</v>
      </c>
      <c r="F723" s="5" t="str">
        <f ca="1">IFERROR(__xludf.DUMMYFUNCTION("""COMPUTED_VALUE"""),"VeryHot100ExtremeBooster")</f>
        <v>VeryHot100ExtremeBooster</v>
      </c>
      <c r="G723" s="5" t="str">
        <f ca="1">IFERROR(__xludf.DUMMYFUNCTION("""COMPUTED_VALUE"""),"Deployed")</f>
        <v>Deployed</v>
      </c>
      <c r="H723" s="5"/>
      <c r="I723" s="5" t="str">
        <f ca="1">IFERROR(__xludf.DUMMYFUNCTION("""COMPUTED_VALUE"""),"V4")</f>
        <v>V4</v>
      </c>
      <c r="J723" s="5" t="str">
        <f ca="1">IFERROR(__xludf.DUMMYFUNCTION("""COMPUTED_VALUE"""),"JSON")</f>
        <v>JSON</v>
      </c>
      <c r="K723" s="5" t="str">
        <f ca="1">IFERROR(__xludf.DUMMYFUNCTION("""COMPUTED_VALUE"""),"Slot")</f>
        <v>Slot</v>
      </c>
      <c r="L723" s="5"/>
      <c r="M723" s="5"/>
      <c r="N723" s="5"/>
      <c r="O723" s="5"/>
      <c r="P723" s="5">
        <f ca="1">IFERROR(__xludf.DUMMYFUNCTION("""COMPUTED_VALUE"""),19.8)</f>
        <v>19.8</v>
      </c>
      <c r="Q723" s="15">
        <f ca="1">IFERROR(__xludf.DUMMYFUNCTION("""COMPUTED_VALUE"""),46167)</f>
        <v>46167</v>
      </c>
      <c r="R723" s="5"/>
      <c r="S723" s="5"/>
      <c r="T723" s="5"/>
      <c r="U723" s="5" t="str">
        <f ca="1">IFERROR(__xludf.DUMMYFUNCTION("""COMPUTED_VALUE"""),"5x3")</f>
        <v>5x3</v>
      </c>
      <c r="V723" s="5">
        <f ca="1">IFERROR(__xludf.DUMMYFUNCTION("""COMPUTED_VALUE"""),100)</f>
        <v>100</v>
      </c>
      <c r="W723" s="5">
        <f ca="1">IFERROR(__xludf.DUMMYFUNCTION("""COMPUTED_VALUE"""),100)</f>
        <v>100</v>
      </c>
      <c r="X723" s="5">
        <f ca="1">IFERROR(__xludf.DUMMYFUNCTION("""COMPUTED_VALUE"""),96.453)</f>
        <v>96.453000000000003</v>
      </c>
      <c r="Y723" s="5" t="str">
        <f ca="1">IFERROR(__xludf.DUMMYFUNCTION("""COMPUTED_VALUE"""),"Low")</f>
        <v>Low</v>
      </c>
      <c r="Z723" s="5">
        <f ca="1">IFERROR(__xludf.DUMMYFUNCTION("""COMPUTED_VALUE"""),21.711)</f>
        <v>21.710999999999999</v>
      </c>
      <c r="AA723" s="5">
        <f ca="1">IFERROR(__xludf.DUMMYFUNCTION("""COMPUTED_VALUE"""),1213)</f>
        <v>1213</v>
      </c>
      <c r="AB723" s="5"/>
      <c r="AC723" s="5"/>
      <c r="AD723" s="5" t="str">
        <f ca="1">IFERROR(__xludf.DUMMYFUNCTION("""COMPUTED_VALUE"""),"1/50")</f>
        <v>1/50</v>
      </c>
      <c r="AE723" s="5"/>
      <c r="AF723" s="5"/>
      <c r="AG723" s="10">
        <f ca="1">IFERROR(__xludf.DUMMYFUNCTION("""COMPUTED_VALUE"""),46170.4165509259)</f>
        <v>46170.416550925896</v>
      </c>
      <c r="AH723" s="5" t="str">
        <f ca="1">IFERROR(__xludf.DUMMYFUNCTION("""COMPUTED_VALUE"""),"milutin.toskic@fazi.rs")</f>
        <v>milutin.toskic@fazi.rs</v>
      </c>
      <c r="AI723" s="5"/>
      <c r="AJ723" s="5"/>
      <c r="AK723" s="5">
        <f ca="1">IFERROR(__xludf.DUMMYFUNCTION("""COMPUTED_VALUE"""),10)</f>
        <v>10</v>
      </c>
      <c r="AL723" s="5" t="str">
        <f ca="1">IFERROR(__xludf.DUMMYFUNCTION("""COMPUTED_VALUE"""),"Yes")</f>
        <v>Yes</v>
      </c>
      <c r="AM723" s="5" t="str">
        <f ca="1">IFERROR(__xludf.DUMMYFUNCTION("""COMPUTED_VALUE"""),"No")</f>
        <v>No</v>
      </c>
      <c r="AN723" s="5"/>
      <c r="AO723" s="5" t="str">
        <f ca="1">IFERROR(__xludf.DUMMYFUNCTION("""COMPUTED_VALUE"""),"Yes")</f>
        <v>Yes</v>
      </c>
      <c r="AP723" s="5" t="str">
        <f ca="1">IFERROR(__xludf.DUMMYFUNCTION("""COMPUTED_VALUE"""),"Yes")</f>
        <v>Yes</v>
      </c>
      <c r="AQ723" s="5"/>
      <c r="AR723" s="5"/>
      <c r="AS723" s="5"/>
      <c r="AT723" s="5"/>
      <c r="AU723" s="5" t="str">
        <f ca="1">IFERROR(__xludf.DUMMYFUNCTION("""COMPUTED_VALUE"""),"Fazi")</f>
        <v>Fazi</v>
      </c>
      <c r="AV723" s="5">
        <f ca="1">IFERROR(__xludf.DUMMYFUNCTION("""COMPUTED_VALUE"""),10)</f>
        <v>10</v>
      </c>
      <c r="AW723" s="5"/>
      <c r="AX723" s="15">
        <f ca="1">IFERROR(__xludf.DUMMYFUNCTION("""COMPUTED_VALUE"""),46161)</f>
        <v>46161</v>
      </c>
      <c r="AY723" s="5" t="str">
        <f ca="1">IFERROR(__xludf.DUMMYFUNCTION("""COMPUTED_VALUE"""),"87.5%, 89.5%, 91.5%, 93.5%, 94.5%, 95.5%, 96.5%")</f>
        <v>87.5%, 89.5%, 91.5%, 93.5%, 94.5%, 95.5%, 96.5%</v>
      </c>
      <c r="AZ723" s="5"/>
      <c r="BA723" s="5"/>
      <c r="BB723" s="5"/>
      <c r="BC723" s="5" t="str">
        <f ca="1">IFERROR(__xludf.DUMMYFUNCTION("""COMPUTED_VALUE"""),"Foxi")</f>
        <v>Foxi</v>
      </c>
      <c r="BD723" s="5" t="str">
        <f ca="1">IFERROR(__xludf.DUMMYFUNCTION("""COMPUTED_VALUE"""),"")</f>
        <v/>
      </c>
      <c r="BE723" s="5"/>
    </row>
    <row r="724" spans="1:57" x14ac:dyDescent="0.25">
      <c r="A724" s="5">
        <f ca="1">IFERROR(__xludf.DUMMYFUNCTION("""COMPUTED_VALUE"""),761)</f>
        <v>761</v>
      </c>
      <c r="B724" s="5">
        <f ca="1">IFERROR(__xludf.DUMMYFUNCTION("""COMPUTED_VALUE"""),100000)</f>
        <v>100000</v>
      </c>
      <c r="C724" s="5" t="str">
        <f ca="1">IFERROR(__xludf.DUMMYFUNCTION("""COMPUTED_VALUE"""),"Fazi")</f>
        <v>Fazi</v>
      </c>
      <c r="D724" s="5" t="str">
        <f ca="1">IFERROR(__xludf.DUMMYFUNCTION("""COMPUTED_VALUE"""),"On Demand Roulette")</f>
        <v>On Demand Roulette</v>
      </c>
      <c r="E724" s="5" t="str">
        <f ca="1">IFERROR(__xludf.DUMMYFUNCTION("""COMPUTED_VALUE"""),"V4-1")</f>
        <v>V4-1</v>
      </c>
      <c r="F724" s="5" t="str">
        <f ca="1">IFERROR(__xludf.DUMMYFUNCTION("""COMPUTED_VALUE"""),"OnDemandRoulette")</f>
        <v>OnDemandRoulette</v>
      </c>
      <c r="G724" s="5" t="str">
        <f ca="1">IFERROR(__xludf.DUMMYFUNCTION("""COMPUTED_VALUE"""),"Deployed")</f>
        <v>Deployed</v>
      </c>
      <c r="H724" s="5"/>
      <c r="I724" s="5" t="str">
        <f ca="1">IFERROR(__xludf.DUMMYFUNCTION("""COMPUTED_VALUE"""),"V4")</f>
        <v>V4</v>
      </c>
      <c r="J724" s="5" t="str">
        <f ca="1">IFERROR(__xludf.DUMMYFUNCTION("""COMPUTED_VALUE"""),"JSON")</f>
        <v>JSON</v>
      </c>
      <c r="K724" s="5" t="str">
        <f ca="1">IFERROR(__xludf.DUMMYFUNCTION("""COMPUTED_VALUE"""),"Roulette")</f>
        <v>Roulette</v>
      </c>
      <c r="L724" s="5" t="str">
        <f ca="1">IFERROR(__xludf.DUMMYFUNCTION("""COMPUTED_VALUE"""),"Master")</f>
        <v>Master</v>
      </c>
      <c r="M724" s="5"/>
      <c r="N724" s="5"/>
      <c r="O724" s="5"/>
      <c r="P724" s="5"/>
      <c r="Q724" s="15">
        <f ca="1">IFERROR(__xludf.DUMMYFUNCTION("""COMPUTED_VALUE"""),46209)</f>
        <v>46209</v>
      </c>
      <c r="R724" s="15">
        <f ca="1">IFERROR(__xludf.DUMMYFUNCTION("""COMPUTED_VALUE"""),46238)</f>
        <v>46238</v>
      </c>
      <c r="S724" s="15">
        <f ca="1">IFERROR(__xludf.DUMMYFUNCTION("""COMPUTED_VALUE"""),46245)</f>
        <v>46245</v>
      </c>
      <c r="T724" s="5" t="b">
        <f ca="1">IFERROR(__xludf.DUMMYFUNCTION("""COMPUTED_VALUE"""),TRUE)</f>
        <v>1</v>
      </c>
      <c r="U724" s="5" t="str">
        <f ca="1">IFERROR(__xludf.DUMMYFUNCTION("""COMPUTED_VALUE"""),"/")</f>
        <v>/</v>
      </c>
      <c r="V724" s="5" t="str">
        <f ca="1">IFERROR(__xludf.DUMMYFUNCTION("""COMPUTED_VALUE"""),"/")</f>
        <v>/</v>
      </c>
      <c r="W724" s="5" t="str">
        <f ca="1">IFERROR(__xludf.DUMMYFUNCTION("""COMPUTED_VALUE"""),"/")</f>
        <v>/</v>
      </c>
      <c r="X724" s="5">
        <f ca="1">IFERROR(__xludf.DUMMYFUNCTION("""COMPUTED_VALUE"""),97.3)</f>
        <v>97.3</v>
      </c>
      <c r="Y724" s="5" t="str">
        <f ca="1">IFERROR(__xludf.DUMMYFUNCTION("""COMPUTED_VALUE"""),"Medium")</f>
        <v>Medium</v>
      </c>
      <c r="Z724" s="5"/>
      <c r="AA724" s="5">
        <f ca="1">IFERROR(__xludf.DUMMYFUNCTION("""COMPUTED_VALUE"""),36)</f>
        <v>36</v>
      </c>
      <c r="AB724" s="5"/>
      <c r="AC724" s="5"/>
      <c r="AD724" s="5" t="str">
        <f ca="1">IFERROR(__xludf.DUMMYFUNCTION("""COMPUTED_VALUE"""),"0.1/6000")</f>
        <v>0.1/6000</v>
      </c>
      <c r="AE724" s="5"/>
      <c r="AF724" s="5"/>
      <c r="AG724" s="10">
        <f ca="1">IFERROR(__xludf.DUMMYFUNCTION("""COMPUTED_VALUE"""),46218.5436111111)</f>
        <v>46218.543611111098</v>
      </c>
      <c r="AH724" s="5" t="str">
        <f ca="1">IFERROR(__xludf.DUMMYFUNCTION("""COMPUTED_VALUE"""),"djordje.petrovic@fazi.rs")</f>
        <v>djordje.petrovic@fazi.rs</v>
      </c>
      <c r="AI724" s="5"/>
      <c r="AJ724" s="5"/>
      <c r="AK724" s="5" t="str">
        <f ca="1">IFERROR(__xludf.DUMMYFUNCTION("""COMPUTED_VALUE"""),"/")</f>
        <v>/</v>
      </c>
      <c r="AL724" s="5" t="str">
        <f ca="1">IFERROR(__xludf.DUMMYFUNCTION("""COMPUTED_VALUE"""),"No")</f>
        <v>No</v>
      </c>
      <c r="AM724" s="5" t="str">
        <f ca="1">IFERROR(__xludf.DUMMYFUNCTION("""COMPUTED_VALUE"""),"No")</f>
        <v>No</v>
      </c>
      <c r="AN724" s="5"/>
      <c r="AO724" s="5" t="str">
        <f ca="1">IFERROR(__xludf.DUMMYFUNCTION("""COMPUTED_VALUE"""),"Yes")</f>
        <v>Yes</v>
      </c>
      <c r="AP724" s="5" t="str">
        <f ca="1">IFERROR(__xludf.DUMMYFUNCTION("""COMPUTED_VALUE"""),"No")</f>
        <v>No</v>
      </c>
      <c r="AQ724" s="5"/>
      <c r="AR724" s="5"/>
      <c r="AS724" s="5" t="str">
        <f ca="1">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 xml:space="preserve">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AT724" s="5"/>
      <c r="AU724" s="5" t="str">
        <f ca="1">IFERROR(__xludf.DUMMYFUNCTION("""COMPUTED_VALUE"""),"Fazi")</f>
        <v>Fazi</v>
      </c>
      <c r="AV724" s="5">
        <f ca="1">IFERROR(__xludf.DUMMYFUNCTION("""COMPUTED_VALUE"""),1)</f>
        <v>1</v>
      </c>
      <c r="AW724" s="5"/>
      <c r="AX724" s="15">
        <f ca="1">IFERROR(__xludf.DUMMYFUNCTION("""COMPUTED_VALUE"""),46203)</f>
        <v>46203</v>
      </c>
      <c r="AY724" s="5" t="str">
        <f ca="1">IFERROR(__xludf.DUMMYFUNCTION("""COMPUTED_VALUE"""),"/")</f>
        <v>/</v>
      </c>
      <c r="AZ724" s="5"/>
      <c r="BA724" s="5"/>
      <c r="BB724" s="5"/>
      <c r="BC724" s="5" t="str">
        <f ca="1">IFERROR(__xludf.DUMMYFUNCTION("""COMPUTED_VALUE"""),"Foxi")</f>
        <v>Foxi</v>
      </c>
      <c r="BD724" s="5"/>
      <c r="BE724" s="5"/>
    </row>
    <row r="725" spans="1:57" x14ac:dyDescent="0.25">
      <c r="A725" s="5">
        <f ca="1">IFERROR(__xludf.DUMMYFUNCTION("""COMPUTED_VALUE"""),762)</f>
        <v>762</v>
      </c>
      <c r="B725" s="5">
        <f ca="1">IFERROR(__xludf.DUMMYFUNCTION("""COMPUTED_VALUE"""),-1)</f>
        <v>-1</v>
      </c>
      <c r="C725" s="5" t="str">
        <f ca="1">IFERROR(__xludf.DUMMYFUNCTION("""COMPUTED_VALUE"""),"Fazi")</f>
        <v>Fazi</v>
      </c>
      <c r="D725" s="5" t="str">
        <f ca="1">IFERROR(__xludf.DUMMYFUNCTION("""COMPUTED_VALUE"""),"Sugar Land (Radni naziv)")</f>
        <v>Sugar Land (Radni naziv)</v>
      </c>
      <c r="E725" s="5" t="str">
        <f ca="1">IFERROR(__xludf.DUMMYFUNCTION("""COMPUTED_VALUE"""),"V4-1")</f>
        <v>V4-1</v>
      </c>
      <c r="F725" s="5" t="str">
        <f ca="1">IFERROR(__xludf.DUMMYFUNCTION("""COMPUTED_VALUE"""),"TBD")</f>
        <v>TBD</v>
      </c>
      <c r="G725" s="5" t="str">
        <f ca="1">IFERROR(__xludf.DUMMYFUNCTION("""COMPUTED_VALUE"""),"In Development")</f>
        <v>In Development</v>
      </c>
      <c r="H725" s="5"/>
      <c r="I725" s="5" t="str">
        <f ca="1">IFERROR(__xludf.DUMMYFUNCTION("""COMPUTED_VALUE"""),"V4")</f>
        <v>V4</v>
      </c>
      <c r="J725" s="5" t="str">
        <f ca="1">IFERROR(__xludf.DUMMYFUNCTION("""COMPUTED_VALUE"""),"JSON")</f>
        <v>JSON</v>
      </c>
      <c r="K725" s="5" t="str">
        <f ca="1">IFERROR(__xludf.DUMMYFUNCTION("""COMPUTED_VALUE"""),"Slot")</f>
        <v>Slot</v>
      </c>
      <c r="L725" s="5" t="str">
        <f ca="1">IFERROR(__xludf.DUMMYFUNCTION("""COMPUTED_VALUE"""),"Master")</f>
        <v>Master</v>
      </c>
      <c r="M725" s="5"/>
      <c r="N725" s="5"/>
      <c r="O725" s="5"/>
      <c r="P725" s="5"/>
      <c r="Q725" s="5"/>
      <c r="R725" s="5"/>
      <c r="S725" s="5"/>
      <c r="T725" s="5"/>
      <c r="U725" s="5" t="str">
        <f ca="1">IFERROR(__xludf.DUMMYFUNCTION("""COMPUTED_VALUE"""),"6x5")</f>
        <v>6x5</v>
      </c>
      <c r="V725" s="5"/>
      <c r="W725" s="5">
        <f ca="1">IFERROR(__xludf.DUMMYFUNCTION("""COMPUTED_VALUE"""),81)</f>
        <v>81</v>
      </c>
      <c r="X725" s="5"/>
      <c r="Y725" s="5"/>
      <c r="Z725" s="5"/>
      <c r="AA725" s="5"/>
      <c r="AB725" s="5"/>
      <c r="AC725" s="5" t="str">
        <f ca="1">IFERROR(__xludf.DUMMYFUNCTION("""COMPUTED_VALUE"""),"Expanding Wild")</f>
        <v>Expanding Wild</v>
      </c>
      <c r="AD725" s="5"/>
      <c r="AE725" s="5"/>
      <c r="AF725" s="5"/>
      <c r="AG725" s="10">
        <f ca="1">IFERROR(__xludf.DUMMYFUNCTION("""COMPUTED_VALUE"""),46199.4472685185)</f>
        <v>46199.447268518503</v>
      </c>
      <c r="AH725" s="5" t="str">
        <f ca="1">IFERROR(__xludf.DUMMYFUNCTION("""COMPUTED_VALUE"""),"djordje.petrovic@fazi.rs")</f>
        <v>djordje.petrovic@fazi.rs</v>
      </c>
      <c r="AI725" s="5"/>
      <c r="AJ725" s="5"/>
      <c r="AK725" s="5"/>
      <c r="AL725" s="5" t="str">
        <f ca="1">IFERROR(__xludf.DUMMYFUNCTION("""COMPUTED_VALUE"""),"Yes")</f>
        <v>Yes</v>
      </c>
      <c r="AM725" s="5" t="str">
        <f ca="1">IFERROR(__xludf.DUMMYFUNCTION("""COMPUTED_VALUE"""),"Yes")</f>
        <v>Yes</v>
      </c>
      <c r="AN725" s="5"/>
      <c r="AO725" s="5" t="str">
        <f ca="1">IFERROR(__xludf.DUMMYFUNCTION("""COMPUTED_VALUE"""),"Yes")</f>
        <v>Yes</v>
      </c>
      <c r="AP725" s="5" t="str">
        <f ca="1">IFERROR(__xludf.DUMMYFUNCTION("""COMPUTED_VALUE"""),"Yes")</f>
        <v>Yes</v>
      </c>
      <c r="AQ725" s="5"/>
      <c r="AR725" s="5"/>
      <c r="AS725" s="5"/>
      <c r="AT725" s="5"/>
      <c r="AU725" s="5" t="str">
        <f ca="1">IFERROR(__xludf.DUMMYFUNCTION("""COMPUTED_VALUE"""),"Fazi")</f>
        <v>Fazi</v>
      </c>
      <c r="AV725" s="5"/>
      <c r="AW725" s="5"/>
      <c r="AX725" s="5"/>
      <c r="AY725" s="5"/>
      <c r="AZ725" s="5"/>
      <c r="BA725" s="5"/>
      <c r="BB725" s="5"/>
      <c r="BC725" s="5" t="str">
        <f ca="1">IFERROR(__xludf.DUMMYFUNCTION("""COMPUTED_VALUE"""),"Foxi")</f>
        <v>Foxi</v>
      </c>
      <c r="BD725" s="5"/>
      <c r="BE725" s="5"/>
    </row>
    <row r="726" spans="1:57" x14ac:dyDescent="0.25">
      <c r="A726" s="5">
        <f ca="1">IFERROR(__xludf.DUMMYFUNCTION("""COMPUTED_VALUE"""),763)</f>
        <v>763</v>
      </c>
      <c r="B726" s="5">
        <f ca="1">IFERROR(__xludf.DUMMYFUNCTION("""COMPUTED_VALUE"""),1023)</f>
        <v>1023</v>
      </c>
      <c r="C726" s="5" t="str">
        <f ca="1">IFERROR(__xludf.DUMMYFUNCTION("""COMPUTED_VALUE"""),"Fazi")</f>
        <v>Fazi</v>
      </c>
      <c r="D726" s="5" t="str">
        <f ca="1">IFERROR(__xludf.DUMMYFUNCTION("""COMPUTED_VALUE"""),"Clover 27")</f>
        <v>Clover 27</v>
      </c>
      <c r="E726" s="5" t="str">
        <f ca="1">IFERROR(__xludf.DUMMYFUNCTION("""COMPUTED_VALUE"""),"V4-1")</f>
        <v>V4-1</v>
      </c>
      <c r="F726" s="5" t="str">
        <f ca="1">IFERROR(__xludf.DUMMYFUNCTION("""COMPUTED_VALUE"""),"Clover27")</f>
        <v>Clover27</v>
      </c>
      <c r="G726" s="5" t="str">
        <f ca="1">IFERROR(__xludf.DUMMYFUNCTION("""COMPUTED_VALUE"""),"Deployed")</f>
        <v>Deployed</v>
      </c>
      <c r="H726" s="5"/>
      <c r="I726" s="5" t="str">
        <f ca="1">IFERROR(__xludf.DUMMYFUNCTION("""COMPUTED_VALUE"""),"V4")</f>
        <v>V4</v>
      </c>
      <c r="J726" s="5" t="str">
        <f ca="1">IFERROR(__xludf.DUMMYFUNCTION("""COMPUTED_VALUE"""),"JSON")</f>
        <v>JSON</v>
      </c>
      <c r="K726" s="5" t="str">
        <f ca="1">IFERROR(__xludf.DUMMYFUNCTION("""COMPUTED_VALUE"""),"Slot")</f>
        <v>Slot</v>
      </c>
      <c r="L726" s="5" t="str">
        <f ca="1">IFERROR(__xludf.DUMMYFUNCTION("""COMPUTED_VALUE"""),"Master")</f>
        <v>Master</v>
      </c>
      <c r="M726" s="5"/>
      <c r="N726" s="5"/>
      <c r="O726" s="5"/>
      <c r="P726" s="14">
        <f ca="1">IFERROR(__xludf.DUMMYFUNCTION("""COMPUTED_VALUE"""),15.6)</f>
        <v>15.6</v>
      </c>
      <c r="Q726" s="15">
        <f ca="1">IFERROR(__xludf.DUMMYFUNCTION("""COMPUTED_VALUE"""),46209)</f>
        <v>46209</v>
      </c>
      <c r="R726" s="5"/>
      <c r="S726" s="15">
        <f ca="1">IFERROR(__xludf.DUMMYFUNCTION("""COMPUTED_VALUE"""),46294)</f>
        <v>46294</v>
      </c>
      <c r="T726" s="5" t="b">
        <f ca="1">IFERROR(__xludf.DUMMYFUNCTION("""COMPUTED_VALUE"""),TRUE)</f>
        <v>1</v>
      </c>
      <c r="U726" s="5" t="str">
        <f ca="1">IFERROR(__xludf.DUMMYFUNCTION("""COMPUTED_VALUE"""),"3x3")</f>
        <v>3x3</v>
      </c>
      <c r="V726" s="5">
        <f ca="1">IFERROR(__xludf.DUMMYFUNCTION("""COMPUTED_VALUE"""),27)</f>
        <v>27</v>
      </c>
      <c r="W726" s="5">
        <f ca="1">IFERROR(__xludf.DUMMYFUNCTION("""COMPUTED_VALUE"""),27)</f>
        <v>27</v>
      </c>
      <c r="X726" s="5">
        <f ca="1">IFERROR(__xludf.DUMMYFUNCTION("""COMPUTED_VALUE"""),96.5)</f>
        <v>96.5</v>
      </c>
      <c r="Y726" s="5" t="str">
        <f ca="1">IFERROR(__xludf.DUMMYFUNCTION("""COMPUTED_VALUE"""),"Medium")</f>
        <v>Medium</v>
      </c>
      <c r="Z726" s="5">
        <f ca="1">IFERROR(__xludf.DUMMYFUNCTION("""COMPUTED_VALUE"""),8.507)</f>
        <v>8.5069999999999997</v>
      </c>
      <c r="AA726" s="5">
        <f ca="1">IFERROR(__xludf.DUMMYFUNCTION("""COMPUTED_VALUE"""),180)</f>
        <v>180</v>
      </c>
      <c r="AB726" s="5"/>
      <c r="AC726" s="5" t="str">
        <f ca="1">IFERROR(__xludf.DUMMYFUNCTION("""COMPUTED_VALUE"""),"Expanding Wild")</f>
        <v>Expanding Wild</v>
      </c>
      <c r="AD726" s="5" t="str">
        <f ca="1">IFERROR(__xludf.DUMMYFUNCTION("""COMPUTED_VALUE"""),"0.1 / 50")</f>
        <v>0.1 / 50</v>
      </c>
      <c r="AE726" s="5"/>
      <c r="AF726" s="5"/>
      <c r="AG726" s="10">
        <f ca="1">IFERROR(__xludf.DUMMYFUNCTION("""COMPUTED_VALUE"""),46230.6310763888)</f>
        <v>46230.631076388803</v>
      </c>
      <c r="AH726" s="5" t="str">
        <f ca="1">IFERROR(__xludf.DUMMYFUNCTION("""COMPUTED_VALUE"""),"djordje.petrovic@fazi.rs")</f>
        <v>djordje.petrovic@fazi.rs</v>
      </c>
      <c r="AI726" s="5"/>
      <c r="AJ726" s="5"/>
      <c r="AK726" s="5">
        <f ca="1">IFERROR(__xludf.DUMMYFUNCTION("""COMPUTED_VALUE"""),1)</f>
        <v>1</v>
      </c>
      <c r="AL726" s="5" t="str">
        <f ca="1">IFERROR(__xludf.DUMMYFUNCTION("""COMPUTED_VALUE"""),"Yes")</f>
        <v>Yes</v>
      </c>
      <c r="AM726" s="5" t="str">
        <f ca="1">IFERROR(__xludf.DUMMYFUNCTION("""COMPUTED_VALUE"""),"No")</f>
        <v>No</v>
      </c>
      <c r="AN726" s="7" t="str">
        <f ca="1">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AO726" s="5" t="str">
        <f ca="1">IFERROR(__xludf.DUMMYFUNCTION("""COMPUTED_VALUE"""),"Yes")</f>
        <v>Yes</v>
      </c>
      <c r="AP726" s="5" t="str">
        <f ca="1">IFERROR(__xludf.DUMMYFUNCTION("""COMPUTED_VALUE"""),"Yes")</f>
        <v>Yes</v>
      </c>
      <c r="AQ726" s="5"/>
      <c r="AR726" s="5"/>
      <c r="AS726" s="5"/>
      <c r="AT726" s="5"/>
      <c r="AU726" s="5" t="str">
        <f ca="1">IFERROR(__xludf.DUMMYFUNCTION("""COMPUTED_VALUE"""),"Fazi")</f>
        <v>Fazi</v>
      </c>
      <c r="AV726" s="5">
        <f ca="1">IFERROR(__xludf.DUMMYFUNCTION("""COMPUTED_VALUE"""),1)</f>
        <v>1</v>
      </c>
      <c r="AW726" s="5"/>
      <c r="AX726" s="15">
        <f ca="1">IFERROR(__xludf.DUMMYFUNCTION("""COMPUTED_VALUE"""),46203)</f>
        <v>46203</v>
      </c>
      <c r="AY726" s="5" t="str">
        <f ca="1">IFERROR(__xludf.DUMMYFUNCTION("""COMPUTED_VALUE"""),"95.5, 94.5, 93.5, 91.5, 89.5, 87.5")</f>
        <v>95.5, 94.5, 93.5, 91.5, 89.5, 87.5</v>
      </c>
      <c r="AZ726" s="5"/>
      <c r="BA726" s="5"/>
      <c r="BB726" s="5"/>
      <c r="BC726" s="5" t="str">
        <f ca="1">IFERROR(__xludf.DUMMYFUNCTION("""COMPUTED_VALUE"""),"Foxi")</f>
        <v>Foxi</v>
      </c>
      <c r="BD726" s="5"/>
      <c r="BE726" s="5"/>
    </row>
    <row r="727" spans="1:57" x14ac:dyDescent="0.25">
      <c r="A727" s="5">
        <f ca="1">IFERROR(__xludf.DUMMYFUNCTION("""COMPUTED_VALUE"""),764)</f>
        <v>764</v>
      </c>
      <c r="B727" s="5">
        <f ca="1">IFERROR(__xludf.DUMMYFUNCTION("""COMPUTED_VALUE"""),-1)</f>
        <v>-1</v>
      </c>
      <c r="C727" s="5" t="str">
        <f ca="1">IFERROR(__xludf.DUMMYFUNCTION("""COMPUTED_VALUE"""),"Fazi")</f>
        <v>Fazi</v>
      </c>
      <c r="D727" s="5" t="str">
        <f ca="1">IFERROR(__xludf.DUMMYFUNCTION("""COMPUTED_VALUE"""),"Book of Monk")</f>
        <v>Book of Monk</v>
      </c>
      <c r="E727" s="5" t="str">
        <f ca="1">IFERROR(__xludf.DUMMYFUNCTION("""COMPUTED_VALUE"""),"V4-1")</f>
        <v>V4-1</v>
      </c>
      <c r="F727" s="5" t="str">
        <f ca="1">IFERROR(__xludf.DUMMYFUNCTION("""COMPUTED_VALUE"""),"TBD")</f>
        <v>TBD</v>
      </c>
      <c r="G727" s="5" t="str">
        <f ca="1">IFERROR(__xludf.DUMMYFUNCTION("""COMPUTED_VALUE"""),"In Development")</f>
        <v>In Development</v>
      </c>
      <c r="H727" s="5"/>
      <c r="I727" s="5" t="str">
        <f ca="1">IFERROR(__xludf.DUMMYFUNCTION("""COMPUTED_VALUE"""),"V4")</f>
        <v>V4</v>
      </c>
      <c r="J727" s="5" t="str">
        <f ca="1">IFERROR(__xludf.DUMMYFUNCTION("""COMPUTED_VALUE"""),"JSON")</f>
        <v>JSON</v>
      </c>
      <c r="K727" s="5" t="str">
        <f ca="1">IFERROR(__xludf.DUMMYFUNCTION("""COMPUTED_VALUE"""),"Slot")</f>
        <v>Slot</v>
      </c>
      <c r="L727" s="5" t="str">
        <f ca="1">IFERROR(__xludf.DUMMYFUNCTION("""COMPUTED_VALUE"""),"Master")</f>
        <v>Master</v>
      </c>
      <c r="M727" s="5"/>
      <c r="N727" s="5"/>
      <c r="O727" s="5"/>
      <c r="P727" s="5"/>
      <c r="Q727" s="5"/>
      <c r="R727" s="5"/>
      <c r="S727" s="5"/>
      <c r="T727" s="5"/>
      <c r="U727" s="5" t="str">
        <f ca="1">IFERROR(__xludf.DUMMYFUNCTION("""COMPUTED_VALUE"""),"5x4")</f>
        <v>5x4</v>
      </c>
      <c r="V727" s="5">
        <f ca="1">IFERROR(__xludf.DUMMYFUNCTION("""COMPUTED_VALUE"""),10)</f>
        <v>10</v>
      </c>
      <c r="W727" s="5">
        <f ca="1">IFERROR(__xludf.DUMMYFUNCTION("""COMPUTED_VALUE"""),10)</f>
        <v>10</v>
      </c>
      <c r="X727" s="5"/>
      <c r="Y727" s="5"/>
      <c r="Z727" s="5"/>
      <c r="AA727" s="5"/>
      <c r="AB727" s="5"/>
      <c r="AC727" s="5" t="str">
        <f ca="1">IFERROR(__xludf.DUMMYFUNCTION("""COMPUTED_VALUE"""),"Book Of Game, Buy Bonus, Bonus Game with Special Symbol")</f>
        <v>Book Of Game, Buy Bonus, Bonus Game with Special Symbol</v>
      </c>
      <c r="AD727" s="5"/>
      <c r="AE727" s="5"/>
      <c r="AF727" s="5"/>
      <c r="AG727" s="10">
        <f ca="1">IFERROR(__xludf.DUMMYFUNCTION("""COMPUTED_VALUE"""),46161.4246527777)</f>
        <v>46161.4246527777</v>
      </c>
      <c r="AH727" s="5" t="str">
        <f ca="1">IFERROR(__xludf.DUMMYFUNCTION("""COMPUTED_VALUE"""),"djordje.petrovic@fazi.rs")</f>
        <v>djordje.petrovic@fazi.rs</v>
      </c>
      <c r="AI727" s="5"/>
      <c r="AJ727" s="5"/>
      <c r="AK727" s="5">
        <f ca="1">IFERROR(__xludf.DUMMYFUNCTION("""COMPUTED_VALUE"""),1)</f>
        <v>1</v>
      </c>
      <c r="AL727" s="5" t="str">
        <f ca="1">IFERROR(__xludf.DUMMYFUNCTION("""COMPUTED_VALUE"""),"Yes")</f>
        <v>Yes</v>
      </c>
      <c r="AM727" s="5" t="str">
        <f ca="1">IFERROR(__xludf.DUMMYFUNCTION("""COMPUTED_VALUE"""),"No")</f>
        <v>No</v>
      </c>
      <c r="AN727" s="5"/>
      <c r="AO727" s="5" t="str">
        <f ca="1">IFERROR(__xludf.DUMMYFUNCTION("""COMPUTED_VALUE"""),"Yes")</f>
        <v>Yes</v>
      </c>
      <c r="AP727" s="5" t="str">
        <f ca="1">IFERROR(__xludf.DUMMYFUNCTION("""COMPUTED_VALUE"""),"Yes")</f>
        <v>Yes</v>
      </c>
      <c r="AQ727" s="5"/>
      <c r="AR727" s="5"/>
      <c r="AS727" s="5"/>
      <c r="AT727" s="5"/>
      <c r="AU727" s="5" t="str">
        <f ca="1">IFERROR(__xludf.DUMMYFUNCTION("""COMPUTED_VALUE"""),"Fazi")</f>
        <v>Fazi</v>
      </c>
      <c r="AV727" s="5"/>
      <c r="AW727" s="5"/>
      <c r="AX727" s="5"/>
      <c r="AY727" s="5"/>
      <c r="AZ727" s="5"/>
      <c r="BA727" s="5"/>
      <c r="BB727" s="5"/>
      <c r="BC727" s="5" t="str">
        <f ca="1">IFERROR(__xludf.DUMMYFUNCTION("""COMPUTED_VALUE"""),"Foxi")</f>
        <v>Foxi</v>
      </c>
      <c r="BD727" s="5" t="str">
        <f ca="1">IFERROR(__xludf.DUMMYFUNCTION("""COMPUTED_VALUE"""),"")</f>
        <v/>
      </c>
      <c r="BE727" s="5"/>
    </row>
    <row r="728" spans="1:57" x14ac:dyDescent="0.25">
      <c r="A728" s="5">
        <f ca="1">IFERROR(__xludf.DUMMYFUNCTION("""COMPUTED_VALUE"""),765)</f>
        <v>765</v>
      </c>
      <c r="B728" s="5">
        <f ca="1">IFERROR(__xludf.DUMMYFUNCTION("""COMPUTED_VALUE"""),-1)</f>
        <v>-1</v>
      </c>
      <c r="C728" s="5" t="str">
        <f ca="1">IFERROR(__xludf.DUMMYFUNCTION("""COMPUTED_VALUE"""),"Fazi")</f>
        <v>Fazi</v>
      </c>
      <c r="D728" s="5" t="str">
        <f ca="1">IFERROR(__xludf.DUMMYFUNCTION("""COMPUTED_VALUE"""),"Bonus Wu Kong 10")</f>
        <v>Bonus Wu Kong 10</v>
      </c>
      <c r="E728" s="5" t="str">
        <f ca="1">IFERROR(__xludf.DUMMYFUNCTION("""COMPUTED_VALUE"""),"V4-1")</f>
        <v>V4-1</v>
      </c>
      <c r="F728" s="5" t="str">
        <f ca="1">IFERROR(__xludf.DUMMYFUNCTION("""COMPUTED_VALUE"""),"TBD")</f>
        <v>TBD</v>
      </c>
      <c r="G728" s="5" t="str">
        <f ca="1">IFERROR(__xludf.DUMMYFUNCTION("""COMPUTED_VALUE"""),"In Development")</f>
        <v>In Development</v>
      </c>
      <c r="H728" s="5"/>
      <c r="I728" s="5" t="str">
        <f ca="1">IFERROR(__xludf.DUMMYFUNCTION("""COMPUTED_VALUE"""),"V4")</f>
        <v>V4</v>
      </c>
      <c r="J728" s="5" t="str">
        <f ca="1">IFERROR(__xludf.DUMMYFUNCTION("""COMPUTED_VALUE"""),"JSON")</f>
        <v>JSON</v>
      </c>
      <c r="K728" s="5" t="str">
        <f ca="1">IFERROR(__xludf.DUMMYFUNCTION("""COMPUTED_VALUE"""),"Slot")</f>
        <v>Slot</v>
      </c>
      <c r="L728" s="5" t="str">
        <f ca="1">IFERROR(__xludf.DUMMYFUNCTION("""COMPUTED_VALUE"""),"Master")</f>
        <v>Master</v>
      </c>
      <c r="M728" s="5"/>
      <c r="N728" s="5"/>
      <c r="O728" s="5"/>
      <c r="P728" s="5"/>
      <c r="Q728" s="5"/>
      <c r="R728" s="5"/>
      <c r="S728" s="5"/>
      <c r="T728" s="5"/>
      <c r="U728" s="5" t="str">
        <f ca="1">IFERROR(__xludf.DUMMYFUNCTION("""COMPUTED_VALUE"""),"5x3")</f>
        <v>5x3</v>
      </c>
      <c r="V728" s="5">
        <f ca="1">IFERROR(__xludf.DUMMYFUNCTION("""COMPUTED_VALUE"""),10)</f>
        <v>10</v>
      </c>
      <c r="W728" s="5">
        <f ca="1">IFERROR(__xludf.DUMMYFUNCTION("""COMPUTED_VALUE"""),10)</f>
        <v>10</v>
      </c>
      <c r="X728" s="5"/>
      <c r="Y728" s="5"/>
      <c r="Z728" s="5"/>
      <c r="AA728" s="5"/>
      <c r="AB728" s="5"/>
      <c r="AC728" s="5" t="str">
        <f ca="1">IFERROR(__xludf.DUMMYFUNCTION("""COMPUTED_VALUE"""),"Bonus Game with Free Spins, Buy Feature, Bonus Game with Sticky Wild, Bonus Game with Multiplier")</f>
        <v>Bonus Game with Free Spins, Buy Feature, Bonus Game with Sticky Wild, Bonus Game with Multiplier</v>
      </c>
      <c r="AD728" s="5"/>
      <c r="AE728" s="5"/>
      <c r="AF728" s="5"/>
      <c r="AG728" s="10">
        <f ca="1">IFERROR(__xludf.DUMMYFUNCTION("""COMPUTED_VALUE"""),46167.4014699074)</f>
        <v>46167.401469907403</v>
      </c>
      <c r="AH728" s="5" t="str">
        <f ca="1">IFERROR(__xludf.DUMMYFUNCTION("""COMPUTED_VALUE"""),"djordje.petrovic@fazi.rs")</f>
        <v>djordje.petrovic@fazi.rs</v>
      </c>
      <c r="AI728" s="5"/>
      <c r="AJ728" s="5"/>
      <c r="AK728" s="5">
        <f ca="1">IFERROR(__xludf.DUMMYFUNCTION("""COMPUTED_VALUE"""),1)</f>
        <v>1</v>
      </c>
      <c r="AL728" s="5" t="str">
        <f ca="1">IFERROR(__xludf.DUMMYFUNCTION("""COMPUTED_VALUE"""),"No")</f>
        <v>No</v>
      </c>
      <c r="AM728" s="5" t="str">
        <f ca="1">IFERROR(__xludf.DUMMYFUNCTION("""COMPUTED_VALUE"""),"No")</f>
        <v>No</v>
      </c>
      <c r="AN728" s="5"/>
      <c r="AO728" s="5" t="str">
        <f ca="1">IFERROR(__xludf.DUMMYFUNCTION("""COMPUTED_VALUE"""),"Yes")</f>
        <v>Yes</v>
      </c>
      <c r="AP728" s="5" t="str">
        <f ca="1">IFERROR(__xludf.DUMMYFUNCTION("""COMPUTED_VALUE"""),"Yes")</f>
        <v>Yes</v>
      </c>
      <c r="AQ728" s="5"/>
      <c r="AR728" s="5"/>
      <c r="AS728" s="5"/>
      <c r="AT728" s="5"/>
      <c r="AU728" s="5" t="str">
        <f ca="1">IFERROR(__xludf.DUMMYFUNCTION("""COMPUTED_VALUE"""),"Fazi")</f>
        <v>Fazi</v>
      </c>
      <c r="AV728" s="5"/>
      <c r="AW728" s="5"/>
      <c r="AX728" s="5"/>
      <c r="AY728" s="5"/>
      <c r="AZ728" s="5"/>
      <c r="BA728" s="5"/>
      <c r="BB728" s="5"/>
      <c r="BC728" s="5" t="str">
        <f ca="1">IFERROR(__xludf.DUMMYFUNCTION("""COMPUTED_VALUE"""),"Foxi")</f>
        <v>Foxi</v>
      </c>
      <c r="BD728" s="5" t="str">
        <f ca="1">IFERROR(__xludf.DUMMYFUNCTION("""COMPUTED_VALUE"""),"")</f>
        <v/>
      </c>
      <c r="BE728" s="5"/>
    </row>
    <row r="729" spans="1:57" x14ac:dyDescent="0.25">
      <c r="A729" s="5">
        <f ca="1">IFERROR(__xludf.DUMMYFUNCTION("""COMPUTED_VALUE"""),766)</f>
        <v>766</v>
      </c>
      <c r="B729" s="5">
        <f ca="1">IFERROR(__xludf.DUMMYFUNCTION("""COMPUTED_VALUE"""),180077)</f>
        <v>180077</v>
      </c>
      <c r="C729" s="5" t="str">
        <f ca="1">IFERROR(__xludf.DUMMYFUNCTION("""COMPUTED_VALUE"""),"Redstone")</f>
        <v>Redstone</v>
      </c>
      <c r="D729" s="5" t="str">
        <f ca="1">IFERROR(__xludf.DUMMYFUNCTION("""COMPUTED_VALUE"""),"X Chilli Hot")</f>
        <v>X Chilli Hot</v>
      </c>
      <c r="E729" s="5" t="str">
        <f ca="1">IFERROR(__xludf.DUMMYFUNCTION("""COMPUTED_VALUE"""),"Redstone")</f>
        <v>Redstone</v>
      </c>
      <c r="F729" s="5" t="str">
        <f ca="1">IFERROR(__xludf.DUMMYFUNCTION("""COMPUTED_VALUE"""),"RedstoneXChilliHot")</f>
        <v>RedstoneXChilliHot</v>
      </c>
      <c r="G729" s="5" t="str">
        <f ca="1">IFERROR(__xludf.DUMMYFUNCTION("""COMPUTED_VALUE"""),"Live")</f>
        <v>Live</v>
      </c>
      <c r="H729" s="5"/>
      <c r="I729" s="5"/>
      <c r="J729" s="5" t="str">
        <f ca="1">IFERROR(__xludf.DUMMYFUNCTION("""COMPUTED_VALUE"""),"JSON")</f>
        <v>JSON</v>
      </c>
      <c r="K729" s="5" t="str">
        <f ca="1">IFERROR(__xludf.DUMMYFUNCTION("""COMPUTED_VALUE"""),"Slot")</f>
        <v>Slot</v>
      </c>
      <c r="L729" s="5"/>
      <c r="M729" s="5"/>
      <c r="N729" s="7" t="str">
        <f ca="1">IFERROR(__xludf.DUMMYFUNCTION("""COMPUTED_VALUE"""),"https://drive.google.com/file/d/17tr6SmcEn9_MyDE_b5WH0MDvojMLQHRS/view?usp=drive_link")</f>
        <v>https://drive.google.com/file/d/17tr6SmcEn9_MyDE_b5WH0MDvojMLQHRS/view?usp=drive_link</v>
      </c>
      <c r="O729" s="7" t="str">
        <f ca="1">IFERROR(__xludf.DUMMYFUNCTION("""COMPUTED_VALUE"""),"https://drive.google.com/file/d/1TW2wwLq99f2bqF9Zy4cnGc4aR9pY3kjS/view?usp=drive_link")</f>
        <v>https://drive.google.com/file/d/1TW2wwLq99f2bqF9Zy4cnGc4aR9pY3kjS/view?usp=drive_link</v>
      </c>
      <c r="P729" s="14">
        <f ca="1">IFERROR(__xludf.DUMMYFUNCTION("""COMPUTED_VALUE"""),7.3)</f>
        <v>7.3</v>
      </c>
      <c r="Q729" s="15">
        <f ca="1">IFERROR(__xludf.DUMMYFUNCTION("""COMPUTED_VALUE"""),46195)</f>
        <v>46195</v>
      </c>
      <c r="R729" s="15">
        <f ca="1">IFERROR(__xludf.DUMMYFUNCTION("""COMPUTED_VALUE"""),46217)</f>
        <v>46217</v>
      </c>
      <c r="S729" s="15">
        <f ca="1">IFERROR(__xludf.DUMMYFUNCTION("""COMPUTED_VALUE"""),46224)</f>
        <v>46224</v>
      </c>
      <c r="T729" s="5" t="b">
        <f ca="1">IFERROR(__xludf.DUMMYFUNCTION("""COMPUTED_VALUE"""),TRUE)</f>
        <v>1</v>
      </c>
      <c r="U729" s="5" t="str">
        <f ca="1">IFERROR(__xludf.DUMMYFUNCTION("""COMPUTED_VALUE"""),"5x3")</f>
        <v>5x3</v>
      </c>
      <c r="V729" s="5">
        <f ca="1">IFERROR(__xludf.DUMMYFUNCTION("""COMPUTED_VALUE"""),5)</f>
        <v>5</v>
      </c>
      <c r="W729" s="5">
        <f ca="1">IFERROR(__xludf.DUMMYFUNCTION("""COMPUTED_VALUE"""),5)</f>
        <v>5</v>
      </c>
      <c r="X729" s="5">
        <f ca="1">IFERROR(__xludf.DUMMYFUNCTION("""COMPUTED_VALUE"""),95.96)</f>
        <v>95.96</v>
      </c>
      <c r="Y729" s="5" t="str">
        <f ca="1">IFERROR(__xludf.DUMMYFUNCTION("""COMPUTED_VALUE"""),"Low")</f>
        <v>Low</v>
      </c>
      <c r="Z729" s="5">
        <f ca="1">IFERROR(__xludf.DUMMYFUNCTION("""COMPUTED_VALUE"""),10.7)</f>
        <v>10.7</v>
      </c>
      <c r="AA729" s="5">
        <f ca="1">IFERROR(__xludf.DUMMYFUNCTION("""COMPUTED_VALUE"""),2150)</f>
        <v>2150</v>
      </c>
      <c r="AB729" s="5"/>
      <c r="AC729" s="5" t="str">
        <f ca="1">IFERROR(__xludf.DUMMYFUNCTION("""COMPUTED_VALUE"""),"Expanding Wild, Scatter")</f>
        <v>Expanding Wild, Scatter</v>
      </c>
      <c r="AD729" s="5" t="str">
        <f ca="1">IFERROR(__xludf.DUMMYFUNCTION("""COMPUTED_VALUE"""),"0.10/50")</f>
        <v>0.10/50</v>
      </c>
      <c r="AE729" s="5"/>
      <c r="AF729" s="5"/>
      <c r="AG729" s="10">
        <f ca="1">IFERROR(__xludf.DUMMYFUNCTION("""COMPUTED_VALUE"""),46225.4564930555)</f>
        <v>46225.456493055499</v>
      </c>
      <c r="AH729" s="5"/>
      <c r="AI729" s="5"/>
      <c r="AJ729" s="5"/>
      <c r="AK729" s="5">
        <f ca="1">IFERROR(__xludf.DUMMYFUNCTION("""COMPUTED_VALUE"""),1)</f>
        <v>1</v>
      </c>
      <c r="AL729" s="5" t="str">
        <f ca="1">IFERROR(__xludf.DUMMYFUNCTION("""COMPUTED_VALUE"""),"No")</f>
        <v>No</v>
      </c>
      <c r="AM729" s="5" t="str">
        <f ca="1">IFERROR(__xludf.DUMMYFUNCTION("""COMPUTED_VALUE"""),"No")</f>
        <v>No</v>
      </c>
      <c r="AN729" s="7" t="str">
        <f ca="1">IFERROR(__xludf.DUMMYFUNCTION("""COMPUTED_VALUE"""),"https://static.redstone.rs/games/x-chilli-hot/")</f>
        <v>https://static.redstone.rs/games/x-chilli-hot/</v>
      </c>
      <c r="AO729" s="5" t="str">
        <f ca="1">IFERROR(__xludf.DUMMYFUNCTION("""COMPUTED_VALUE"""),"No")</f>
        <v>No</v>
      </c>
      <c r="AP729" s="5" t="str">
        <f ca="1">IFERROR(__xludf.DUMMYFUNCTION("""COMPUTED_VALUE"""),"No")</f>
        <v>No</v>
      </c>
      <c r="AQ729" s="5" t="b">
        <f ca="1">IFERROR(__xludf.DUMMYFUNCTION("""COMPUTED_VALUE"""),TRUE)</f>
        <v>1</v>
      </c>
      <c r="AR729" s="5"/>
      <c r="AS729" s="5" t="str">
        <f ca="1">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AT729" s="5"/>
      <c r="AU729" s="5" t="str">
        <f ca="1">IFERROR(__xludf.DUMMYFUNCTION("""COMPUTED_VALUE"""),"Redstone")</f>
        <v>Redstone</v>
      </c>
      <c r="AV729" s="5">
        <f ca="1">IFERROR(__xludf.DUMMYFUNCTION("""COMPUTED_VALUE"""),10)</f>
        <v>10</v>
      </c>
      <c r="AW729" s="5"/>
      <c r="AX729" s="15">
        <f ca="1">IFERROR(__xludf.DUMMYFUNCTION("""COMPUTED_VALUE"""),46189)</f>
        <v>46189</v>
      </c>
      <c r="AY729" s="5"/>
      <c r="AZ729" s="5"/>
      <c r="BA729" s="5"/>
      <c r="BB729" s="5" t="b">
        <f ca="1">IFERROR(__xludf.DUMMYFUNCTION("""COMPUTED_VALUE"""),TRUE)</f>
        <v>1</v>
      </c>
      <c r="BC729" s="5" t="str">
        <f ca="1">IFERROR(__xludf.DUMMYFUNCTION("""COMPUTED_VALUE"""),"Redstone")</f>
        <v>Redstone</v>
      </c>
      <c r="BD729" s="5"/>
      <c r="BE729" s="5"/>
    </row>
    <row r="730" spans="1:57" x14ac:dyDescent="0.25">
      <c r="A730" s="5">
        <f ca="1">IFERROR(__xludf.DUMMYFUNCTION("""COMPUTED_VALUE"""),767)</f>
        <v>767</v>
      </c>
      <c r="B730" s="5">
        <f ca="1">IFERROR(__xludf.DUMMYFUNCTION("""COMPUTED_VALUE"""),180078)</f>
        <v>180078</v>
      </c>
      <c r="C730" s="5" t="str">
        <f ca="1">IFERROR(__xludf.DUMMYFUNCTION("""COMPUTED_VALUE"""),"Redstone")</f>
        <v>Redstone</v>
      </c>
      <c r="D730" s="5" t="str">
        <f ca="1">IFERROR(__xludf.DUMMYFUNCTION("""COMPUTED_VALUE"""),"X Crown Fire")</f>
        <v>X Crown Fire</v>
      </c>
      <c r="E730" s="5" t="str">
        <f ca="1">IFERROR(__xludf.DUMMYFUNCTION("""COMPUTED_VALUE"""),"Redstone")</f>
        <v>Redstone</v>
      </c>
      <c r="F730" s="5" t="str">
        <f ca="1">IFERROR(__xludf.DUMMYFUNCTION("""COMPUTED_VALUE"""),"RedstoneXCrownFire")</f>
        <v>RedstoneXCrownFire</v>
      </c>
      <c r="G730" s="5" t="str">
        <f ca="1">IFERROR(__xludf.DUMMYFUNCTION("""COMPUTED_VALUE"""),"Deployed")</f>
        <v>Deployed</v>
      </c>
      <c r="H730" s="5"/>
      <c r="I730" s="5" t="str">
        <f ca="1">IFERROR(__xludf.DUMMYFUNCTION("""COMPUTED_VALUE"""),"Redstone")</f>
        <v>Redstone</v>
      </c>
      <c r="J730" s="5" t="str">
        <f ca="1">IFERROR(__xludf.DUMMYFUNCTION("""COMPUTED_VALUE"""),"JSON")</f>
        <v>JSON</v>
      </c>
      <c r="K730" s="5" t="str">
        <f ca="1">IFERROR(__xludf.DUMMYFUNCTION("""COMPUTED_VALUE"""),"Slot")</f>
        <v>Slot</v>
      </c>
      <c r="L730" s="5"/>
      <c r="M730" s="5"/>
      <c r="N730" s="7" t="str">
        <f ca="1">IFERROR(__xludf.DUMMYFUNCTION("""COMPUTED_VALUE"""),"https://drive.google.com/file/d/145sR3350PwACoVVVWMY_-dBjMT607I5s/view?usp=drive_link")</f>
        <v>https://drive.google.com/file/d/145sR3350PwACoVVVWMY_-dBjMT607I5s/view?usp=drive_link</v>
      </c>
      <c r="O730" s="7" t="str">
        <f ca="1">IFERROR(__xludf.DUMMYFUNCTION("""COMPUTED_VALUE"""),"https://drive.google.com/file/d/13--XJoIX1ZInVjZapgdVvvDbmo2ewyUq/view?usp=drive_link")</f>
        <v>https://drive.google.com/file/d/13--XJoIX1ZInVjZapgdVvvDbmo2ewyUq/view?usp=drive_link</v>
      </c>
      <c r="P730" s="14">
        <f ca="1">IFERROR(__xludf.DUMMYFUNCTION("""COMPUTED_VALUE"""),7.1)</f>
        <v>7.1</v>
      </c>
      <c r="Q730" s="15">
        <f ca="1">IFERROR(__xludf.DUMMYFUNCTION("""COMPUTED_VALUE"""),46195)</f>
        <v>46195</v>
      </c>
      <c r="R730" s="15">
        <f ca="1">IFERROR(__xludf.DUMMYFUNCTION("""COMPUTED_VALUE"""),46233)</f>
        <v>46233</v>
      </c>
      <c r="S730" s="15">
        <f ca="1">IFERROR(__xludf.DUMMYFUNCTION("""COMPUTED_VALUE"""),46240)</f>
        <v>46240</v>
      </c>
      <c r="T730" s="5" t="b">
        <f ca="1">IFERROR(__xludf.DUMMYFUNCTION("""COMPUTED_VALUE"""),TRUE)</f>
        <v>1</v>
      </c>
      <c r="U730" s="5" t="str">
        <f ca="1">IFERROR(__xludf.DUMMYFUNCTION("""COMPUTED_VALUE"""),"5x3")</f>
        <v>5x3</v>
      </c>
      <c r="V730" s="5">
        <f ca="1">IFERROR(__xludf.DUMMYFUNCTION("""COMPUTED_VALUE"""),5)</f>
        <v>5</v>
      </c>
      <c r="W730" s="5">
        <f ca="1">IFERROR(__xludf.DUMMYFUNCTION("""COMPUTED_VALUE"""),5)</f>
        <v>5</v>
      </c>
      <c r="X730" s="5">
        <f ca="1">IFERROR(__xludf.DUMMYFUNCTION("""COMPUTED_VALUE"""),95.96)</f>
        <v>95.96</v>
      </c>
      <c r="Y730" s="5" t="str">
        <f ca="1">IFERROR(__xludf.DUMMYFUNCTION("""COMPUTED_VALUE"""),"Low")</f>
        <v>Low</v>
      </c>
      <c r="Z730" s="5">
        <f ca="1">IFERROR(__xludf.DUMMYFUNCTION("""COMPUTED_VALUE"""),10.7)</f>
        <v>10.7</v>
      </c>
      <c r="AA730" s="5">
        <f ca="1">IFERROR(__xludf.DUMMYFUNCTION("""COMPUTED_VALUE"""),2150)</f>
        <v>2150</v>
      </c>
      <c r="AB730" s="5"/>
      <c r="AC730" s="5" t="str">
        <f ca="1">IFERROR(__xludf.DUMMYFUNCTION("""COMPUTED_VALUE"""),"Expanding Wild, Scatter")</f>
        <v>Expanding Wild, Scatter</v>
      </c>
      <c r="AD730" s="5" t="str">
        <f ca="1">IFERROR(__xludf.DUMMYFUNCTION("""COMPUTED_VALUE"""),"0.10/50")</f>
        <v>0.10/50</v>
      </c>
      <c r="AE730" s="5"/>
      <c r="AF730" s="5"/>
      <c r="AG730" s="10">
        <f ca="1">IFERROR(__xludf.DUMMYFUNCTION("""COMPUTED_VALUE"""),46225.4595949074)</f>
        <v>46225.459594907399</v>
      </c>
      <c r="AH730" s="5" t="str">
        <f ca="1">IFERROR(__xludf.DUMMYFUNCTION("""COMPUTED_VALUE"""),"selena.mihajlovic@fazi.rs")</f>
        <v>selena.mihajlovic@fazi.rs</v>
      </c>
      <c r="AI730" s="5"/>
      <c r="AJ730" s="5"/>
      <c r="AK730" s="5">
        <f ca="1">IFERROR(__xludf.DUMMYFUNCTION("""COMPUTED_VALUE"""),1)</f>
        <v>1</v>
      </c>
      <c r="AL730" s="5" t="str">
        <f ca="1">IFERROR(__xludf.DUMMYFUNCTION("""COMPUTED_VALUE"""),"No")</f>
        <v>No</v>
      </c>
      <c r="AM730" s="5" t="str">
        <f ca="1">IFERROR(__xludf.DUMMYFUNCTION("""COMPUTED_VALUE"""),"No")</f>
        <v>No</v>
      </c>
      <c r="AN730" s="7" t="str">
        <f ca="1">IFERROR(__xludf.DUMMYFUNCTION("""COMPUTED_VALUE"""),"https://static.redstone.rs/games/x-crown-fire/")</f>
        <v>https://static.redstone.rs/games/x-crown-fire/</v>
      </c>
      <c r="AO730" s="5" t="str">
        <f ca="1">IFERROR(__xludf.DUMMYFUNCTION("""COMPUTED_VALUE"""),"No")</f>
        <v>No</v>
      </c>
      <c r="AP730" s="5" t="str">
        <f ca="1">IFERROR(__xludf.DUMMYFUNCTION("""COMPUTED_VALUE"""),"No")</f>
        <v>No</v>
      </c>
      <c r="AQ730" s="5" t="b">
        <f ca="1">IFERROR(__xludf.DUMMYFUNCTION("""COMPUTED_VALUE"""),TRUE)</f>
        <v>1</v>
      </c>
      <c r="AR730" s="5"/>
      <c r="AS730" s="5" t="str">
        <f ca="1">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AT730" s="5"/>
      <c r="AU730" s="5" t="str">
        <f ca="1">IFERROR(__xludf.DUMMYFUNCTION("""COMPUTED_VALUE"""),"Redstone")</f>
        <v>Redstone</v>
      </c>
      <c r="AV730" s="5">
        <f ca="1">IFERROR(__xludf.DUMMYFUNCTION("""COMPUTED_VALUE"""),10)</f>
        <v>10</v>
      </c>
      <c r="AW730" s="5"/>
      <c r="AX730" s="15">
        <f ca="1">IFERROR(__xludf.DUMMYFUNCTION("""COMPUTED_VALUE"""),46189)</f>
        <v>46189</v>
      </c>
      <c r="AY730" s="5"/>
      <c r="AZ730" s="5"/>
      <c r="BA730" s="5"/>
      <c r="BB730" s="5" t="b">
        <f ca="1">IFERROR(__xludf.DUMMYFUNCTION("""COMPUTED_VALUE"""),TRUE)</f>
        <v>1</v>
      </c>
      <c r="BC730" s="5" t="str">
        <f ca="1">IFERROR(__xludf.DUMMYFUNCTION("""COMPUTED_VALUE"""),"Redstone")</f>
        <v>Redstone</v>
      </c>
      <c r="BD730" s="7" t="str">
        <f ca="1">IFERROR(__xludf.DUMMYFUNCTION("""COMPUTED_VALUE"""),"https://gameserver-store-client-area.orbionlimited.com/Home/IntegrationGameLaunch/client-area?moneyType=0&amp;gameName=RedstoneXCrownFire&amp;platform=desktop&amp;languageCode=eng&amp;currency=EUR")</f>
        <v>https://gameserver-store-client-area.orbionlimited.com/Home/IntegrationGameLaunch/client-area?moneyType=0&amp;gameName=RedstoneXCrownFire&amp;platform=desktop&amp;languageCode=eng&amp;currency=EUR</v>
      </c>
      <c r="BE730" s="5" t="b">
        <f ca="1">IFERROR(__xludf.DUMMYFUNCTION("""COMPUTED_VALUE"""),TRUE)</f>
        <v>1</v>
      </c>
    </row>
    <row r="731" spans="1:57" x14ac:dyDescent="0.25">
      <c r="A731" s="5">
        <f ca="1">IFERROR(__xludf.DUMMYFUNCTION("""COMPUTED_VALUE"""),768)</f>
        <v>768</v>
      </c>
      <c r="B731" s="5">
        <f ca="1">IFERROR(__xludf.DUMMYFUNCTION("""COMPUTED_VALUE"""),180079)</f>
        <v>180079</v>
      </c>
      <c r="C731" s="5" t="str">
        <f ca="1">IFERROR(__xludf.DUMMYFUNCTION("""COMPUTED_VALUE"""),"Redstone")</f>
        <v>Redstone</v>
      </c>
      <c r="D731" s="5" t="str">
        <f ca="1">IFERROR(__xludf.DUMMYFUNCTION("""COMPUTED_VALUE"""),"10 Clover Deluxe")</f>
        <v>10 Clover Deluxe</v>
      </c>
      <c r="E731" s="5" t="str">
        <f ca="1">IFERROR(__xludf.DUMMYFUNCTION("""COMPUTED_VALUE"""),"Redstone")</f>
        <v>Redstone</v>
      </c>
      <c r="F731" s="5" t="str">
        <f ca="1">IFERROR(__xludf.DUMMYFUNCTION("""COMPUTED_VALUE"""),"Redstone10CloverDeluxe")</f>
        <v>Redstone10CloverDeluxe</v>
      </c>
      <c r="G731" s="5" t="str">
        <f ca="1">IFERROR(__xludf.DUMMYFUNCTION("""COMPUTED_VALUE"""),"Live")</f>
        <v>Live</v>
      </c>
      <c r="H731" s="5"/>
      <c r="I731" s="5"/>
      <c r="J731" s="5" t="str">
        <f ca="1">IFERROR(__xludf.DUMMYFUNCTION("""COMPUTED_VALUE"""),"JSON")</f>
        <v>JSON</v>
      </c>
      <c r="K731" s="5" t="str">
        <f ca="1">IFERROR(__xludf.DUMMYFUNCTION("""COMPUTED_VALUE"""),"Slot")</f>
        <v>Slot</v>
      </c>
      <c r="L731" s="5"/>
      <c r="M731" s="5"/>
      <c r="N731" s="7" t="str">
        <f ca="1">IFERROR(__xludf.DUMMYFUNCTION("""COMPUTED_VALUE"""),"https://drive.google.com/file/d/1ZFEOse_feOc6LN0IsqPUiwQ_4lTogSPc/view?usp=drive_link")</f>
        <v>https://drive.google.com/file/d/1ZFEOse_feOc6LN0IsqPUiwQ_4lTogSPc/view?usp=drive_link</v>
      </c>
      <c r="O731" s="7" t="str">
        <f ca="1">IFERROR(__xludf.DUMMYFUNCTION("""COMPUTED_VALUE"""),"https://drive.google.com/file/d/1CmGESi6rC-uXvuNncsMqXffnwfUVyPTW/view?usp=drive_link")</f>
        <v>https://drive.google.com/file/d/1CmGESi6rC-uXvuNncsMqXffnwfUVyPTW/view?usp=drive_link</v>
      </c>
      <c r="P731" s="14">
        <f ca="1">IFERROR(__xludf.DUMMYFUNCTION("""COMPUTED_VALUE"""),7.9)</f>
        <v>7.9</v>
      </c>
      <c r="Q731" s="15">
        <f ca="1">IFERROR(__xludf.DUMMYFUNCTION("""COMPUTED_VALUE"""),46195)</f>
        <v>46195</v>
      </c>
      <c r="R731" s="15">
        <f ca="1">IFERROR(__xludf.DUMMYFUNCTION("""COMPUTED_VALUE"""),46205)</f>
        <v>46205</v>
      </c>
      <c r="S731" s="15">
        <f ca="1">IFERROR(__xludf.DUMMYFUNCTION("""COMPUTED_VALUE"""),46212)</f>
        <v>46212</v>
      </c>
      <c r="T731" s="5" t="b">
        <f ca="1">IFERROR(__xludf.DUMMYFUNCTION("""COMPUTED_VALUE"""),TRUE)</f>
        <v>1</v>
      </c>
      <c r="U731" s="5" t="str">
        <f ca="1">IFERROR(__xludf.DUMMYFUNCTION("""COMPUTED_VALUE"""),"5x3")</f>
        <v>5x3</v>
      </c>
      <c r="V731" s="5">
        <f ca="1">IFERROR(__xludf.DUMMYFUNCTION("""COMPUTED_VALUE"""),10)</f>
        <v>10</v>
      </c>
      <c r="W731" s="5">
        <f ca="1">IFERROR(__xludf.DUMMYFUNCTION("""COMPUTED_VALUE"""),10)</f>
        <v>10</v>
      </c>
      <c r="X731" s="5">
        <f ca="1">IFERROR(__xludf.DUMMYFUNCTION("""COMPUTED_VALUE"""),95.96)</f>
        <v>95.96</v>
      </c>
      <c r="Y731" s="5" t="str">
        <f ca="1">IFERROR(__xludf.DUMMYFUNCTION("""COMPUTED_VALUE"""),"Medium")</f>
        <v>Medium</v>
      </c>
      <c r="Z731" s="5">
        <f ca="1">IFERROR(__xludf.DUMMYFUNCTION("""COMPUTED_VALUE"""),14.63)</f>
        <v>14.63</v>
      </c>
      <c r="AA731" s="5">
        <f ca="1">IFERROR(__xludf.DUMMYFUNCTION("""COMPUTED_VALUE"""),1538)</f>
        <v>1538</v>
      </c>
      <c r="AB731" s="5"/>
      <c r="AC731" s="5" t="str">
        <f ca="1">IFERROR(__xludf.DUMMYFUNCTION("""COMPUTED_VALUE"""),"Expanding Wild, Scatter")</f>
        <v>Expanding Wild, Scatter</v>
      </c>
      <c r="AD731" s="5" t="str">
        <f ca="1">IFERROR(__xludf.DUMMYFUNCTION("""COMPUTED_VALUE"""),"0.10/50")</f>
        <v>0.10/50</v>
      </c>
      <c r="AE731" s="5"/>
      <c r="AF731" s="5"/>
      <c r="AG731" s="10">
        <f ca="1">IFERROR(__xludf.DUMMYFUNCTION("""COMPUTED_VALUE"""),46219.6076504629)</f>
        <v>46219.607650462902</v>
      </c>
      <c r="AH731" s="5" t="str">
        <f ca="1">IFERROR(__xludf.DUMMYFUNCTION("""COMPUTED_VALUE"""),"selena.mihajlovic@fazi.rs")</f>
        <v>selena.mihajlovic@fazi.rs</v>
      </c>
      <c r="AI731" s="5"/>
      <c r="AJ731" s="5"/>
      <c r="AK731" s="5">
        <f ca="1">IFERROR(__xludf.DUMMYFUNCTION("""COMPUTED_VALUE"""),1)</f>
        <v>1</v>
      </c>
      <c r="AL731" s="5" t="str">
        <f ca="1">IFERROR(__xludf.DUMMYFUNCTION("""COMPUTED_VALUE"""),"No")</f>
        <v>No</v>
      </c>
      <c r="AM731" s="5" t="str">
        <f ca="1">IFERROR(__xludf.DUMMYFUNCTION("""COMPUTED_VALUE"""),"No")</f>
        <v>No</v>
      </c>
      <c r="AN731" s="7" t="str">
        <f ca="1">IFERROR(__xludf.DUMMYFUNCTION("""COMPUTED_VALUE"""),"https://static.redstone.rs/games/10-clover-deluxe/")</f>
        <v>https://static.redstone.rs/games/10-clover-deluxe/</v>
      </c>
      <c r="AO731" s="5" t="str">
        <f ca="1">IFERROR(__xludf.DUMMYFUNCTION("""COMPUTED_VALUE"""),"No")</f>
        <v>No</v>
      </c>
      <c r="AP731" s="5" t="str">
        <f ca="1">IFERROR(__xludf.DUMMYFUNCTION("""COMPUTED_VALUE"""),"No")</f>
        <v>No</v>
      </c>
      <c r="AQ731" s="5" t="b">
        <f ca="1">IFERROR(__xludf.DUMMYFUNCTION("""COMPUTED_VALUE"""),TRUE)</f>
        <v>1</v>
      </c>
      <c r="AR731" s="5"/>
      <c r="AS731" s="5" t="str">
        <f ca="1">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AT731" s="5"/>
      <c r="AU731" s="5" t="str">
        <f ca="1">IFERROR(__xludf.DUMMYFUNCTION("""COMPUTED_VALUE"""),"Redstone")</f>
        <v>Redstone</v>
      </c>
      <c r="AV731" s="5">
        <f ca="1">IFERROR(__xludf.DUMMYFUNCTION("""COMPUTED_VALUE"""),10)</f>
        <v>10</v>
      </c>
      <c r="AW731" s="5"/>
      <c r="AX731" s="15">
        <f ca="1">IFERROR(__xludf.DUMMYFUNCTION("""COMPUTED_VALUE"""),46189)</f>
        <v>46189</v>
      </c>
      <c r="AY731" s="5"/>
      <c r="AZ731" s="5"/>
      <c r="BA731" s="5"/>
      <c r="BB731" s="5" t="b">
        <f ca="1">IFERROR(__xludf.DUMMYFUNCTION("""COMPUTED_VALUE"""),TRUE)</f>
        <v>1</v>
      </c>
      <c r="BC731" s="5" t="str">
        <f ca="1">IFERROR(__xludf.DUMMYFUNCTION("""COMPUTED_VALUE"""),"Redstone")</f>
        <v>Redstone</v>
      </c>
      <c r="BD731" s="7" t="str">
        <f ca="1">IFERROR(__xludf.DUMMYFUNCTION("""COMPUTED_VALUE"""),"https://gameserver-store-client-area.orbionlimited.com/Home/IntegrationGameLaunch/client-area?moneyType=0&amp;gameName=Redstone10CloverDeluxe&amp;platform=desktop&amp;languageCode=eng&amp;currency=EUR")</f>
        <v>https://gameserver-store-client-area.orbionlimited.com/Home/IntegrationGameLaunch/client-area?moneyType=0&amp;gameName=Redstone10CloverDeluxe&amp;platform=desktop&amp;languageCode=eng&amp;currency=EUR</v>
      </c>
      <c r="BE731" s="5" t="b">
        <f ca="1">IFERROR(__xludf.DUMMYFUNCTION("""COMPUTED_VALUE"""),TRUE)</f>
        <v>1</v>
      </c>
    </row>
    <row r="732" spans="1:57" x14ac:dyDescent="0.25">
      <c r="A732" s="5">
        <f ca="1">IFERROR(__xludf.DUMMYFUNCTION("""COMPUTED_VALUE"""),769)</f>
        <v>769</v>
      </c>
      <c r="B732" s="5">
        <f ca="1">IFERROR(__xludf.DUMMYFUNCTION("""COMPUTED_VALUE"""),180080)</f>
        <v>180080</v>
      </c>
      <c r="C732" s="5" t="str">
        <f ca="1">IFERROR(__xludf.DUMMYFUNCTION("""COMPUTED_VALUE"""),"Redstone")</f>
        <v>Redstone</v>
      </c>
      <c r="D732" s="5" t="str">
        <f ca="1">IFERROR(__xludf.DUMMYFUNCTION("""COMPUTED_VALUE"""),"10 Crown Deluxe")</f>
        <v>10 Crown Deluxe</v>
      </c>
      <c r="E732" s="5" t="str">
        <f ca="1">IFERROR(__xludf.DUMMYFUNCTION("""COMPUTED_VALUE"""),"Redstone")</f>
        <v>Redstone</v>
      </c>
      <c r="F732" s="5" t="str">
        <f ca="1">IFERROR(__xludf.DUMMYFUNCTION("""COMPUTED_VALUE"""),"Redstone10CrownDeluxe")</f>
        <v>Redstone10CrownDeluxe</v>
      </c>
      <c r="G732" s="5" t="str">
        <f ca="1">IFERROR(__xludf.DUMMYFUNCTION("""COMPUTED_VALUE"""),"Deployed")</f>
        <v>Deployed</v>
      </c>
      <c r="H732" s="5"/>
      <c r="I732" s="5" t="str">
        <f ca="1">IFERROR(__xludf.DUMMYFUNCTION("""COMPUTED_VALUE"""),"Redstone")</f>
        <v>Redstone</v>
      </c>
      <c r="J732" s="5" t="str">
        <f ca="1">IFERROR(__xludf.DUMMYFUNCTION("""COMPUTED_VALUE"""),"JSON")</f>
        <v>JSON</v>
      </c>
      <c r="K732" s="5" t="str">
        <f ca="1">IFERROR(__xludf.DUMMYFUNCTION("""COMPUTED_VALUE"""),"Slot")</f>
        <v>Slot</v>
      </c>
      <c r="L732" s="5"/>
      <c r="M732" s="5"/>
      <c r="N732" s="7" t="str">
        <f ca="1">IFERROR(__xludf.DUMMYFUNCTION("""COMPUTED_VALUE"""),"https://drive.google.com/file/d/1Lr8L5PDJ4ArhtIrekH4b7W6OQ40pW5z3/view?usp=drive_link")</f>
        <v>https://drive.google.com/file/d/1Lr8L5PDJ4ArhtIrekH4b7W6OQ40pW5z3/view?usp=drive_link</v>
      </c>
      <c r="O732" s="7" t="str">
        <f ca="1">IFERROR(__xludf.DUMMYFUNCTION("""COMPUTED_VALUE"""),"https://drive.google.com/file/d/19M1g4OSbBoQNUuEpDv6qHF5EGlD_YWfL/view?usp=drive_link")</f>
        <v>https://drive.google.com/file/d/19M1g4OSbBoQNUuEpDv6qHF5EGlD_YWfL/view?usp=drive_link</v>
      </c>
      <c r="P732" s="14">
        <f ca="1">IFERROR(__xludf.DUMMYFUNCTION("""COMPUTED_VALUE"""),7.8)</f>
        <v>7.8</v>
      </c>
      <c r="Q732" s="15">
        <f ca="1">IFERROR(__xludf.DUMMYFUNCTION("""COMPUTED_VALUE"""),46195)</f>
        <v>46195</v>
      </c>
      <c r="R732" s="5"/>
      <c r="S732" s="15">
        <f ca="1">IFERROR(__xludf.DUMMYFUNCTION("""COMPUTED_VALUE"""),46266)</f>
        <v>46266</v>
      </c>
      <c r="T732" s="5" t="b">
        <f ca="1">IFERROR(__xludf.DUMMYFUNCTION("""COMPUTED_VALUE"""),TRUE)</f>
        <v>1</v>
      </c>
      <c r="U732" s="5" t="str">
        <f ca="1">IFERROR(__xludf.DUMMYFUNCTION("""COMPUTED_VALUE"""),"5x3")</f>
        <v>5x3</v>
      </c>
      <c r="V732" s="5">
        <f ca="1">IFERROR(__xludf.DUMMYFUNCTION("""COMPUTED_VALUE"""),10)</f>
        <v>10</v>
      </c>
      <c r="W732" s="5">
        <f ca="1">IFERROR(__xludf.DUMMYFUNCTION("""COMPUTED_VALUE"""),10)</f>
        <v>10</v>
      </c>
      <c r="X732" s="5">
        <f ca="1">IFERROR(__xludf.DUMMYFUNCTION("""COMPUTED_VALUE"""),95.96)</f>
        <v>95.96</v>
      </c>
      <c r="Y732" s="5" t="str">
        <f ca="1">IFERROR(__xludf.DUMMYFUNCTION("""COMPUTED_VALUE"""),"Medium")</f>
        <v>Medium</v>
      </c>
      <c r="Z732" s="5">
        <f ca="1">IFERROR(__xludf.DUMMYFUNCTION("""COMPUTED_VALUE"""),14.63)</f>
        <v>14.63</v>
      </c>
      <c r="AA732" s="5">
        <f ca="1">IFERROR(__xludf.DUMMYFUNCTION("""COMPUTED_VALUE"""),1538)</f>
        <v>1538</v>
      </c>
      <c r="AB732" s="5"/>
      <c r="AC732" s="5" t="str">
        <f ca="1">IFERROR(__xludf.DUMMYFUNCTION("""COMPUTED_VALUE"""),"Expanding Wild, Scatter")</f>
        <v>Expanding Wild, Scatter</v>
      </c>
      <c r="AD732" s="5" t="str">
        <f ca="1">IFERROR(__xludf.DUMMYFUNCTION("""COMPUTED_VALUE"""),"0.10/50")</f>
        <v>0.10/50</v>
      </c>
      <c r="AE732" s="5"/>
      <c r="AF732" s="5"/>
      <c r="AG732" s="10">
        <f ca="1">IFERROR(__xludf.DUMMYFUNCTION("""COMPUTED_VALUE"""),46227.4331134259)</f>
        <v>46227.433113425897</v>
      </c>
      <c r="AH732" s="5" t="str">
        <f ca="1">IFERROR(__xludf.DUMMYFUNCTION("""COMPUTED_VALUE"""),"selena.mihajlovic@fazi.rs")</f>
        <v>selena.mihajlovic@fazi.rs</v>
      </c>
      <c r="AI732" s="5"/>
      <c r="AJ732" s="5"/>
      <c r="AK732" s="5">
        <f ca="1">IFERROR(__xludf.DUMMYFUNCTION("""COMPUTED_VALUE"""),1)</f>
        <v>1</v>
      </c>
      <c r="AL732" s="5" t="str">
        <f ca="1">IFERROR(__xludf.DUMMYFUNCTION("""COMPUTED_VALUE"""),"No")</f>
        <v>No</v>
      </c>
      <c r="AM732" s="5" t="str">
        <f ca="1">IFERROR(__xludf.DUMMYFUNCTION("""COMPUTED_VALUE"""),"No")</f>
        <v>No</v>
      </c>
      <c r="AN732" s="7" t="str">
        <f ca="1">IFERROR(__xludf.DUMMYFUNCTION("""COMPUTED_VALUE"""),"https://static.redstone.rs/games/10-crown-deluxe/")</f>
        <v>https://static.redstone.rs/games/10-crown-deluxe/</v>
      </c>
      <c r="AO732" s="5" t="str">
        <f ca="1">IFERROR(__xludf.DUMMYFUNCTION("""COMPUTED_VALUE"""),"No")</f>
        <v>No</v>
      </c>
      <c r="AP732" s="5" t="str">
        <f ca="1">IFERROR(__xludf.DUMMYFUNCTION("""COMPUTED_VALUE"""),"No")</f>
        <v>No</v>
      </c>
      <c r="AQ732" s="5" t="b">
        <f ca="1">IFERROR(__xludf.DUMMYFUNCTION("""COMPUTED_VALUE"""),TRUE)</f>
        <v>1</v>
      </c>
      <c r="AR732" s="5"/>
      <c r="AS732" s="5" t="str">
        <f ca="1">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AT732" s="5"/>
      <c r="AU732" s="5" t="str">
        <f ca="1">IFERROR(__xludf.DUMMYFUNCTION("""COMPUTED_VALUE"""),"Redstone")</f>
        <v>Redstone</v>
      </c>
      <c r="AV732" s="5">
        <f ca="1">IFERROR(__xludf.DUMMYFUNCTION("""COMPUTED_VALUE"""),10)</f>
        <v>10</v>
      </c>
      <c r="AW732" s="5"/>
      <c r="AX732" s="15">
        <f ca="1">IFERROR(__xludf.DUMMYFUNCTION("""COMPUTED_VALUE"""),46189)</f>
        <v>46189</v>
      </c>
      <c r="AY732" s="5"/>
      <c r="AZ732" s="5"/>
      <c r="BA732" s="5"/>
      <c r="BB732" s="5" t="b">
        <f ca="1">IFERROR(__xludf.DUMMYFUNCTION("""COMPUTED_VALUE"""),TRUE)</f>
        <v>1</v>
      </c>
      <c r="BC732" s="5" t="str">
        <f ca="1">IFERROR(__xludf.DUMMYFUNCTION("""COMPUTED_VALUE"""),"Redstone")</f>
        <v>Redstone</v>
      </c>
      <c r="BD732" s="7" t="str">
        <f ca="1">IFERROR(__xludf.DUMMYFUNCTION("""COMPUTED_VALUE"""),"https://gameserver-store-client-area.orbionlimited.com/Home/IntegrationGameLaunch/client-area?moneyType=0&amp;gameName=Redstone10CrownDeluxe&amp;platform=desktop&amp;languageCode=eng&amp;currency=EUR")</f>
        <v>https://gameserver-store-client-area.orbionlimited.com/Home/IntegrationGameLaunch/client-area?moneyType=0&amp;gameName=Redstone10CrownDeluxe&amp;platform=desktop&amp;languageCode=eng&amp;currency=EUR</v>
      </c>
      <c r="BE732" s="5" t="b">
        <f ca="1">IFERROR(__xludf.DUMMYFUNCTION("""COMPUTED_VALUE"""),TRUE)</f>
        <v>1</v>
      </c>
    </row>
    <row r="733" spans="1:57" x14ac:dyDescent="0.25">
      <c r="A733" s="5">
        <f ca="1">IFERROR(__xludf.DUMMYFUNCTION("""COMPUTED_VALUE"""),770)</f>
        <v>770</v>
      </c>
      <c r="B733" s="5">
        <f ca="1">IFERROR(__xludf.DUMMYFUNCTION("""COMPUTED_VALUE"""),180081)</f>
        <v>180081</v>
      </c>
      <c r="C733" s="5" t="str">
        <f ca="1">IFERROR(__xludf.DUMMYFUNCTION("""COMPUTED_VALUE"""),"Redstone")</f>
        <v>Redstone</v>
      </c>
      <c r="D733" s="5" t="str">
        <f ca="1">IFERROR(__xludf.DUMMYFUNCTION("""COMPUTED_VALUE"""),"10 Heart Deluxe")</f>
        <v>10 Heart Deluxe</v>
      </c>
      <c r="E733" s="5" t="str">
        <f ca="1">IFERROR(__xludf.DUMMYFUNCTION("""COMPUTED_VALUE"""),"Redstone")</f>
        <v>Redstone</v>
      </c>
      <c r="F733" s="5" t="str">
        <f ca="1">IFERROR(__xludf.DUMMYFUNCTION("""COMPUTED_VALUE"""),"Redstone10HeartDeluxe")</f>
        <v>Redstone10HeartDeluxe</v>
      </c>
      <c r="G733" s="5" t="str">
        <f ca="1">IFERROR(__xludf.DUMMYFUNCTION("""COMPUTED_VALUE"""),"Deployed")</f>
        <v>Deployed</v>
      </c>
      <c r="H733" s="5"/>
      <c r="I733" s="5" t="str">
        <f ca="1">IFERROR(__xludf.DUMMYFUNCTION("""COMPUTED_VALUE"""),"Redstone")</f>
        <v>Redstone</v>
      </c>
      <c r="J733" s="5" t="str">
        <f ca="1">IFERROR(__xludf.DUMMYFUNCTION("""COMPUTED_VALUE"""),"JSON")</f>
        <v>JSON</v>
      </c>
      <c r="K733" s="5" t="str">
        <f ca="1">IFERROR(__xludf.DUMMYFUNCTION("""COMPUTED_VALUE"""),"Slot")</f>
        <v>Slot</v>
      </c>
      <c r="L733" s="5"/>
      <c r="M733" s="5"/>
      <c r="N733" s="7" t="str">
        <f ca="1">IFERROR(__xludf.DUMMYFUNCTION("""COMPUTED_VALUE"""),"https://drive.google.com/file/d/1UXlO04i5CFextE2cQm_x6W4x1ksPCMwv/view?usp=drive_link")</f>
        <v>https://drive.google.com/file/d/1UXlO04i5CFextE2cQm_x6W4x1ksPCMwv/view?usp=drive_link</v>
      </c>
      <c r="O733" s="7" t="str">
        <f ca="1">IFERROR(__xludf.DUMMYFUNCTION("""COMPUTED_VALUE"""),"https://drive.google.com/file/d/1fG4olvFV2Azv3PAxhyn-hOZT8IQD-3sZ/view?usp=drive_link")</f>
        <v>https://drive.google.com/file/d/1fG4olvFV2Azv3PAxhyn-hOZT8IQD-3sZ/view?usp=drive_link</v>
      </c>
      <c r="P733" s="14">
        <f ca="1">IFERROR(__xludf.DUMMYFUNCTION("""COMPUTED_VALUE"""),8.2)</f>
        <v>8.1999999999999993</v>
      </c>
      <c r="Q733" s="15">
        <f ca="1">IFERROR(__xludf.DUMMYFUNCTION("""COMPUTED_VALUE"""),46195)</f>
        <v>46195</v>
      </c>
      <c r="R733" s="15">
        <f ca="1">IFERROR(__xludf.DUMMYFUNCTION("""COMPUTED_VALUE"""),46247)</f>
        <v>46247</v>
      </c>
      <c r="S733" s="15">
        <f ca="1">IFERROR(__xludf.DUMMYFUNCTION("""COMPUTED_VALUE"""),46254)</f>
        <v>46254</v>
      </c>
      <c r="T733" s="5" t="b">
        <f ca="1">IFERROR(__xludf.DUMMYFUNCTION("""COMPUTED_VALUE"""),TRUE)</f>
        <v>1</v>
      </c>
      <c r="U733" s="5" t="str">
        <f ca="1">IFERROR(__xludf.DUMMYFUNCTION("""COMPUTED_VALUE"""),"5x3")</f>
        <v>5x3</v>
      </c>
      <c r="V733" s="5">
        <f ca="1">IFERROR(__xludf.DUMMYFUNCTION("""COMPUTED_VALUE"""),10)</f>
        <v>10</v>
      </c>
      <c r="W733" s="5">
        <f ca="1">IFERROR(__xludf.DUMMYFUNCTION("""COMPUTED_VALUE"""),10)</f>
        <v>10</v>
      </c>
      <c r="X733" s="5">
        <f ca="1">IFERROR(__xludf.DUMMYFUNCTION("""COMPUTED_VALUE"""),95.96)</f>
        <v>95.96</v>
      </c>
      <c r="Y733" s="5" t="str">
        <f ca="1">IFERROR(__xludf.DUMMYFUNCTION("""COMPUTED_VALUE"""),"Medium")</f>
        <v>Medium</v>
      </c>
      <c r="Z733" s="5">
        <f ca="1">IFERROR(__xludf.DUMMYFUNCTION("""COMPUTED_VALUE"""),14.63)</f>
        <v>14.63</v>
      </c>
      <c r="AA733" s="5">
        <f ca="1">IFERROR(__xludf.DUMMYFUNCTION("""COMPUTED_VALUE"""),1538)</f>
        <v>1538</v>
      </c>
      <c r="AB733" s="5"/>
      <c r="AC733" s="5" t="str">
        <f ca="1">IFERROR(__xludf.DUMMYFUNCTION("""COMPUTED_VALUE"""),"Expanding Wild, Scatter")</f>
        <v>Expanding Wild, Scatter</v>
      </c>
      <c r="AD733" s="5" t="str">
        <f ca="1">IFERROR(__xludf.DUMMYFUNCTION("""COMPUTED_VALUE"""),"0.10/50")</f>
        <v>0.10/50</v>
      </c>
      <c r="AE733" s="5"/>
      <c r="AF733" s="5"/>
      <c r="AG733" s="10">
        <f ca="1">IFERROR(__xludf.DUMMYFUNCTION("""COMPUTED_VALUE"""),46227.4323726851)</f>
        <v>46227.4323726851</v>
      </c>
      <c r="AH733" s="5" t="str">
        <f ca="1">IFERROR(__xludf.DUMMYFUNCTION("""COMPUTED_VALUE"""),"selena.mihajlovic@fazi.rs")</f>
        <v>selena.mihajlovic@fazi.rs</v>
      </c>
      <c r="AI733" s="5"/>
      <c r="AJ733" s="5"/>
      <c r="AK733" s="5">
        <f ca="1">IFERROR(__xludf.DUMMYFUNCTION("""COMPUTED_VALUE"""),1)</f>
        <v>1</v>
      </c>
      <c r="AL733" s="5" t="str">
        <f ca="1">IFERROR(__xludf.DUMMYFUNCTION("""COMPUTED_VALUE"""),"No")</f>
        <v>No</v>
      </c>
      <c r="AM733" s="5" t="str">
        <f ca="1">IFERROR(__xludf.DUMMYFUNCTION("""COMPUTED_VALUE"""),"No")</f>
        <v>No</v>
      </c>
      <c r="AN733" s="7" t="str">
        <f ca="1">IFERROR(__xludf.DUMMYFUNCTION("""COMPUTED_VALUE"""),"https://static.redstone.rs/games/10-heart-deluxe/")</f>
        <v>https://static.redstone.rs/games/10-heart-deluxe/</v>
      </c>
      <c r="AO733" s="5" t="str">
        <f ca="1">IFERROR(__xludf.DUMMYFUNCTION("""COMPUTED_VALUE"""),"No")</f>
        <v>No</v>
      </c>
      <c r="AP733" s="5" t="str">
        <f ca="1">IFERROR(__xludf.DUMMYFUNCTION("""COMPUTED_VALUE"""),"No")</f>
        <v>No</v>
      </c>
      <c r="AQ733" s="5" t="b">
        <f ca="1">IFERROR(__xludf.DUMMYFUNCTION("""COMPUTED_VALUE"""),TRUE)</f>
        <v>1</v>
      </c>
      <c r="AR733" s="5"/>
      <c r="AS733" s="5" t="str">
        <f ca="1">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AT733" s="5"/>
      <c r="AU733" s="5" t="str">
        <f ca="1">IFERROR(__xludf.DUMMYFUNCTION("""COMPUTED_VALUE"""),"Redstone")</f>
        <v>Redstone</v>
      </c>
      <c r="AV733" s="5">
        <f ca="1">IFERROR(__xludf.DUMMYFUNCTION("""COMPUTED_VALUE"""),10)</f>
        <v>10</v>
      </c>
      <c r="AW733" s="5"/>
      <c r="AX733" s="15">
        <f ca="1">IFERROR(__xludf.DUMMYFUNCTION("""COMPUTED_VALUE"""),46189)</f>
        <v>46189</v>
      </c>
      <c r="AY733" s="5"/>
      <c r="AZ733" s="5"/>
      <c r="BA733" s="5"/>
      <c r="BB733" s="5" t="b">
        <f ca="1">IFERROR(__xludf.DUMMYFUNCTION("""COMPUTED_VALUE"""),TRUE)</f>
        <v>1</v>
      </c>
      <c r="BC733" s="5" t="str">
        <f ca="1">IFERROR(__xludf.DUMMYFUNCTION("""COMPUTED_VALUE"""),"Redstone")</f>
        <v>Redstone</v>
      </c>
      <c r="BD733" s="7" t="str">
        <f ca="1">IFERROR(__xludf.DUMMYFUNCTION("""COMPUTED_VALUE"""),"https://gameserver-store-client-area.orbionlimited.com/Home/IntegrationGameLaunch/client-area?moneyType=0&amp;gameName=Redstone10HeartDeluxe&amp;platform=desktop&amp;languageCode=eng&amp;currency=EUR")</f>
        <v>https://gameserver-store-client-area.orbionlimited.com/Home/IntegrationGameLaunch/client-area?moneyType=0&amp;gameName=Redstone10HeartDeluxe&amp;platform=desktop&amp;languageCode=eng&amp;currency=EUR</v>
      </c>
      <c r="BE733" s="5" t="b">
        <f ca="1">IFERROR(__xludf.DUMMYFUNCTION("""COMPUTED_VALUE"""),TRUE)</f>
        <v>1</v>
      </c>
    </row>
    <row r="734" spans="1:57" x14ac:dyDescent="0.25">
      <c r="A734" s="5">
        <f ca="1">IFERROR(__xludf.DUMMYFUNCTION("""COMPUTED_VALUE"""),771)</f>
        <v>771</v>
      </c>
      <c r="B734" s="5">
        <f ca="1">IFERROR(__xludf.DUMMYFUNCTION("""COMPUTED_VALUE"""),180082)</f>
        <v>180082</v>
      </c>
      <c r="C734" s="5" t="str">
        <f ca="1">IFERROR(__xludf.DUMMYFUNCTION("""COMPUTED_VALUE"""),"Redstone")</f>
        <v>Redstone</v>
      </c>
      <c r="D734" s="5" t="str">
        <f ca="1">IFERROR(__xludf.DUMMYFUNCTION("""COMPUTED_VALUE"""),"Multi Crown 5")</f>
        <v>Multi Crown 5</v>
      </c>
      <c r="E734" s="5" t="str">
        <f ca="1">IFERROR(__xludf.DUMMYFUNCTION("""COMPUTED_VALUE"""),"Redstone")</f>
        <v>Redstone</v>
      </c>
      <c r="F734" s="5" t="str">
        <f ca="1">IFERROR(__xludf.DUMMYFUNCTION("""COMPUTED_VALUE"""),"RedstoneMultiCrown5")</f>
        <v>RedstoneMultiCrown5</v>
      </c>
      <c r="G734" s="5" t="str">
        <f ca="1">IFERROR(__xludf.DUMMYFUNCTION("""COMPUTED_VALUE"""),"Live")</f>
        <v>Live</v>
      </c>
      <c r="H734" s="5"/>
      <c r="I734" s="5"/>
      <c r="J734" s="5" t="str">
        <f ca="1">IFERROR(__xludf.DUMMYFUNCTION("""COMPUTED_VALUE"""),"JSON")</f>
        <v>JSON</v>
      </c>
      <c r="K734" s="5" t="str">
        <f ca="1">IFERROR(__xludf.DUMMYFUNCTION("""COMPUTED_VALUE"""),"Slot")</f>
        <v>Slot</v>
      </c>
      <c r="L734" s="5"/>
      <c r="M734" s="5"/>
      <c r="N734" s="5"/>
      <c r="O734" s="5"/>
      <c r="P734" s="5"/>
      <c r="Q734" s="15">
        <f ca="1">IFERROR(__xludf.DUMMYFUNCTION("""COMPUTED_VALUE"""),46195)</f>
        <v>46195</v>
      </c>
      <c r="R734" s="15">
        <f ca="1">IFERROR(__xludf.DUMMYFUNCTION("""COMPUTED_VALUE"""),46210)</f>
        <v>46210</v>
      </c>
      <c r="S734" s="15">
        <f ca="1">IFERROR(__xludf.DUMMYFUNCTION("""COMPUTED_VALUE"""),46217)</f>
        <v>46217</v>
      </c>
      <c r="T734" s="5" t="b">
        <f ca="1">IFERROR(__xludf.DUMMYFUNCTION("""COMPUTED_VALUE"""),TRUE)</f>
        <v>1</v>
      </c>
      <c r="U734" s="5" t="str">
        <f ca="1">IFERROR(__xludf.DUMMYFUNCTION("""COMPUTED_VALUE"""),"5x3")</f>
        <v>5x3</v>
      </c>
      <c r="V734" s="5">
        <f ca="1">IFERROR(__xludf.DUMMYFUNCTION("""COMPUTED_VALUE"""),5)</f>
        <v>5</v>
      </c>
      <c r="W734" s="5">
        <f ca="1">IFERROR(__xludf.DUMMYFUNCTION("""COMPUTED_VALUE"""),5)</f>
        <v>5</v>
      </c>
      <c r="X734" s="5">
        <f ca="1">IFERROR(__xludf.DUMMYFUNCTION("""COMPUTED_VALUE"""),95.96)</f>
        <v>95.96</v>
      </c>
      <c r="Y734" s="5"/>
      <c r="Z734" s="5">
        <f ca="1">IFERROR(__xludf.DUMMYFUNCTION("""COMPUTED_VALUE"""),10.7)</f>
        <v>10.7</v>
      </c>
      <c r="AA734" s="5">
        <f ca="1">IFERROR(__xludf.DUMMYFUNCTION("""COMPUTED_VALUE"""),2150)</f>
        <v>2150</v>
      </c>
      <c r="AB734" s="5"/>
      <c r="AC734" s="5" t="str">
        <f ca="1">IFERROR(__xludf.DUMMYFUNCTION("""COMPUTED_VALUE"""),"Expanding Wild, Win Multiplier")</f>
        <v>Expanding Wild, Win Multiplier</v>
      </c>
      <c r="AD734" s="5" t="str">
        <f ca="1">IFERROR(__xludf.DUMMYFUNCTION("""COMPUTED_VALUE"""),"0.10/50")</f>
        <v>0.10/50</v>
      </c>
      <c r="AE734" s="5"/>
      <c r="AF734" s="5"/>
      <c r="AG734" s="10">
        <f ca="1">IFERROR(__xludf.DUMMYFUNCTION("""COMPUTED_VALUE"""),46218.5874537037)</f>
        <v>46218.587453703702</v>
      </c>
      <c r="AH734" s="5" t="str">
        <f ca="1">IFERROR(__xludf.DUMMYFUNCTION("""COMPUTED_VALUE"""),"vanja.svetska@fazi.rs")</f>
        <v>vanja.svetska@fazi.rs</v>
      </c>
      <c r="AI734" s="5"/>
      <c r="AJ734" s="5"/>
      <c r="AK734" s="5">
        <f ca="1">IFERROR(__xludf.DUMMYFUNCTION("""COMPUTED_VALUE"""),1)</f>
        <v>1</v>
      </c>
      <c r="AL734" s="5" t="str">
        <f ca="1">IFERROR(__xludf.DUMMYFUNCTION("""COMPUTED_VALUE"""),"No")</f>
        <v>No</v>
      </c>
      <c r="AM734" s="5" t="str">
        <f ca="1">IFERROR(__xludf.DUMMYFUNCTION("""COMPUTED_VALUE"""),"No")</f>
        <v>No</v>
      </c>
      <c r="AN734" s="5"/>
      <c r="AO734" s="5" t="str">
        <f ca="1">IFERROR(__xludf.DUMMYFUNCTION("""COMPUTED_VALUE"""),"No")</f>
        <v>No</v>
      </c>
      <c r="AP734" s="5" t="str">
        <f ca="1">IFERROR(__xludf.DUMMYFUNCTION("""COMPUTED_VALUE"""),"No")</f>
        <v>No</v>
      </c>
      <c r="AQ734" s="5"/>
      <c r="AR734" s="5"/>
      <c r="AS734" s="5"/>
      <c r="AT734" s="5"/>
      <c r="AU734" s="5" t="str">
        <f ca="1">IFERROR(__xludf.DUMMYFUNCTION("""COMPUTED_VALUE"""),"Redstone")</f>
        <v>Redstone</v>
      </c>
      <c r="AV734" s="5">
        <f ca="1">IFERROR(__xludf.DUMMYFUNCTION("""COMPUTED_VALUE"""),10)</f>
        <v>10</v>
      </c>
      <c r="AW734" s="5"/>
      <c r="AX734" s="15">
        <f ca="1">IFERROR(__xludf.DUMMYFUNCTION("""COMPUTED_VALUE"""),46189)</f>
        <v>46189</v>
      </c>
      <c r="AY734" s="5"/>
      <c r="AZ734" s="5"/>
      <c r="BA734" s="5"/>
      <c r="BB734" s="5"/>
      <c r="BC734" s="5" t="str">
        <f ca="1">IFERROR(__xludf.DUMMYFUNCTION("""COMPUTED_VALUE"""),"Redstone")</f>
        <v>Redstone</v>
      </c>
      <c r="BD734" s="5"/>
      <c r="BE734" s="5"/>
    </row>
    <row r="735" spans="1:57" x14ac:dyDescent="0.25">
      <c r="A735" s="5">
        <f ca="1">IFERROR(__xludf.DUMMYFUNCTION("""COMPUTED_VALUE"""),772)</f>
        <v>772</v>
      </c>
      <c r="B735" s="5">
        <f ca="1">IFERROR(__xludf.DUMMYFUNCTION("""COMPUTED_VALUE"""),180083)</f>
        <v>180083</v>
      </c>
      <c r="C735" s="5" t="str">
        <f ca="1">IFERROR(__xludf.DUMMYFUNCTION("""COMPUTED_VALUE"""),"Redstone")</f>
        <v>Redstone</v>
      </c>
      <c r="D735" s="5" t="str">
        <f ca="1">IFERROR(__xludf.DUMMYFUNCTION("""COMPUTED_VALUE"""),"Multi Heart 10")</f>
        <v>Multi Heart 10</v>
      </c>
      <c r="E735" s="5" t="str">
        <f ca="1">IFERROR(__xludf.DUMMYFUNCTION("""COMPUTED_VALUE"""),"Redstone")</f>
        <v>Redstone</v>
      </c>
      <c r="F735" s="5" t="str">
        <f ca="1">IFERROR(__xludf.DUMMYFUNCTION("""COMPUTED_VALUE"""),"RedstoneMultiHeart10")</f>
        <v>RedstoneMultiHeart10</v>
      </c>
      <c r="G735" s="5" t="str">
        <f ca="1">IFERROR(__xludf.DUMMYFUNCTION("""COMPUTED_VALUE"""),"Deployed")</f>
        <v>Deployed</v>
      </c>
      <c r="H735" s="5"/>
      <c r="I735" s="5" t="str">
        <f ca="1">IFERROR(__xludf.DUMMYFUNCTION("""COMPUTED_VALUE"""),"Redstone")</f>
        <v>Redstone</v>
      </c>
      <c r="J735" s="5" t="str">
        <f ca="1">IFERROR(__xludf.DUMMYFUNCTION("""COMPUTED_VALUE"""),"JSON")</f>
        <v>JSON</v>
      </c>
      <c r="K735" s="5" t="str">
        <f ca="1">IFERROR(__xludf.DUMMYFUNCTION("""COMPUTED_VALUE"""),"Slot")</f>
        <v>Slot</v>
      </c>
      <c r="L735" s="5"/>
      <c r="M735" s="5"/>
      <c r="N735" s="7" t="str">
        <f ca="1">IFERROR(__xludf.DUMMYFUNCTION("""COMPUTED_VALUE"""),"https://drive.google.com/file/d/16FDmdUMiyHsJPqF1umynLQitn8iTXGyF/view?usp=drive_link")</f>
        <v>https://drive.google.com/file/d/16FDmdUMiyHsJPqF1umynLQitn8iTXGyF/view?usp=drive_link</v>
      </c>
      <c r="O735" s="7" t="str">
        <f ca="1">IFERROR(__xludf.DUMMYFUNCTION("""COMPUTED_VALUE"""),"https://drive.google.com/file/d/1CClaLQ3IDpQCDIhVduwyLDasvl7TxyYD/view?usp=drive_link")</f>
        <v>https://drive.google.com/file/d/1CClaLQ3IDpQCDIhVduwyLDasvl7TxyYD/view?usp=drive_link</v>
      </c>
      <c r="P735" s="14">
        <f ca="1">IFERROR(__xludf.DUMMYFUNCTION("""COMPUTED_VALUE"""),8.3)</f>
        <v>8.3000000000000007</v>
      </c>
      <c r="Q735" s="15">
        <f ca="1">IFERROR(__xludf.DUMMYFUNCTION("""COMPUTED_VALUE"""),46195)</f>
        <v>46195</v>
      </c>
      <c r="R735" s="5"/>
      <c r="S735" s="15">
        <f ca="1">IFERROR(__xludf.DUMMYFUNCTION("""COMPUTED_VALUE"""),46282)</f>
        <v>46282</v>
      </c>
      <c r="T735" s="5" t="b">
        <f ca="1">IFERROR(__xludf.DUMMYFUNCTION("""COMPUTED_VALUE"""),TRUE)</f>
        <v>1</v>
      </c>
      <c r="U735" s="5" t="str">
        <f ca="1">IFERROR(__xludf.DUMMYFUNCTION("""COMPUTED_VALUE"""),"5x3")</f>
        <v>5x3</v>
      </c>
      <c r="V735" s="5">
        <f ca="1">IFERROR(__xludf.DUMMYFUNCTION("""COMPUTED_VALUE"""),10)</f>
        <v>10</v>
      </c>
      <c r="W735" s="5">
        <f ca="1">IFERROR(__xludf.DUMMYFUNCTION("""COMPUTED_VALUE"""),10)</f>
        <v>10</v>
      </c>
      <c r="X735" s="5">
        <f ca="1">IFERROR(__xludf.DUMMYFUNCTION("""COMPUTED_VALUE"""),96.01)</f>
        <v>96.01</v>
      </c>
      <c r="Y735" s="5" t="str">
        <f ca="1">IFERROR(__xludf.DUMMYFUNCTION("""COMPUTED_VALUE"""),"Medium")</f>
        <v>Medium</v>
      </c>
      <c r="Z735" s="5">
        <f ca="1">IFERROR(__xludf.DUMMYFUNCTION("""COMPUTED_VALUE"""),12.61)</f>
        <v>12.61</v>
      </c>
      <c r="AA735" s="5">
        <f ca="1">IFERROR(__xludf.DUMMYFUNCTION("""COMPUTED_VALUE"""),1615)</f>
        <v>1615</v>
      </c>
      <c r="AB735" s="5"/>
      <c r="AC735" s="5" t="str">
        <f ca="1">IFERROR(__xludf.DUMMYFUNCTION("""COMPUTED_VALUE"""),"Expanding Wild, Win Multiplier")</f>
        <v>Expanding Wild, Win Multiplier</v>
      </c>
      <c r="AD735" s="5" t="str">
        <f ca="1">IFERROR(__xludf.DUMMYFUNCTION("""COMPUTED_VALUE"""),"0.10/50")</f>
        <v>0.10/50</v>
      </c>
      <c r="AE735" s="5"/>
      <c r="AF735" s="5"/>
      <c r="AG735" s="10">
        <f ca="1">IFERROR(__xludf.DUMMYFUNCTION("""COMPUTED_VALUE"""),46227.4335763888)</f>
        <v>46227.433576388801</v>
      </c>
      <c r="AH735" s="5" t="str">
        <f ca="1">IFERROR(__xludf.DUMMYFUNCTION("""COMPUTED_VALUE"""),"selena.mihajlovic@fazi.rs")</f>
        <v>selena.mihajlovic@fazi.rs</v>
      </c>
      <c r="AI735" s="5"/>
      <c r="AJ735" s="5"/>
      <c r="AK735" s="5">
        <f ca="1">IFERROR(__xludf.DUMMYFUNCTION("""COMPUTED_VALUE"""),1)</f>
        <v>1</v>
      </c>
      <c r="AL735" s="5" t="str">
        <f ca="1">IFERROR(__xludf.DUMMYFUNCTION("""COMPUTED_VALUE"""),"No")</f>
        <v>No</v>
      </c>
      <c r="AM735" s="5" t="str">
        <f ca="1">IFERROR(__xludf.DUMMYFUNCTION("""COMPUTED_VALUE"""),"No")</f>
        <v>No</v>
      </c>
      <c r="AN735" s="7" t="str">
        <f ca="1">IFERROR(__xludf.DUMMYFUNCTION("""COMPUTED_VALUE"""),"https://static.redstone.rs/games/multi-heart-10/")</f>
        <v>https://static.redstone.rs/games/multi-heart-10/</v>
      </c>
      <c r="AO735" s="5" t="str">
        <f ca="1">IFERROR(__xludf.DUMMYFUNCTION("""COMPUTED_VALUE"""),"No")</f>
        <v>No</v>
      </c>
      <c r="AP735" s="5" t="str">
        <f ca="1">IFERROR(__xludf.DUMMYFUNCTION("""COMPUTED_VALUE"""),"No")</f>
        <v>No</v>
      </c>
      <c r="AQ735" s="5" t="b">
        <f ca="1">IFERROR(__xludf.DUMMYFUNCTION("""COMPUTED_VALUE"""),TRUE)</f>
        <v>1</v>
      </c>
      <c r="AR735" s="5"/>
      <c r="AS735" s="5" t="str">
        <f ca="1">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AT735" s="5"/>
      <c r="AU735" s="5" t="str">
        <f ca="1">IFERROR(__xludf.DUMMYFUNCTION("""COMPUTED_VALUE"""),"Redstone")</f>
        <v>Redstone</v>
      </c>
      <c r="AV735" s="5">
        <f ca="1">IFERROR(__xludf.DUMMYFUNCTION("""COMPUTED_VALUE"""),10)</f>
        <v>10</v>
      </c>
      <c r="AW735" s="5"/>
      <c r="AX735" s="15">
        <f ca="1">IFERROR(__xludf.DUMMYFUNCTION("""COMPUTED_VALUE"""),46189)</f>
        <v>46189</v>
      </c>
      <c r="AY735" s="5"/>
      <c r="AZ735" s="5"/>
      <c r="BA735" s="5"/>
      <c r="BB735" s="5" t="b">
        <f ca="1">IFERROR(__xludf.DUMMYFUNCTION("""COMPUTED_VALUE"""),TRUE)</f>
        <v>1</v>
      </c>
      <c r="BC735" s="5" t="str">
        <f ca="1">IFERROR(__xludf.DUMMYFUNCTION("""COMPUTED_VALUE"""),"Redstone")</f>
        <v>Redstone</v>
      </c>
      <c r="BD735" s="7" t="str">
        <f ca="1">IFERROR(__xludf.DUMMYFUNCTION("""COMPUTED_VALUE"""),"https://gameserver-store-client-area.orbionlimited.com/Home/IntegrationGameLaunch/client-area?moneyType=0&amp;gameName=RedstoneMultiHeart10&amp;platform=desktop&amp;languageCode=eng&amp;currency=EUR")</f>
        <v>https://gameserver-store-client-area.orbionlimited.com/Home/IntegrationGameLaunch/client-area?moneyType=0&amp;gameName=RedstoneMultiHeart10&amp;platform=desktop&amp;languageCode=eng&amp;currency=EUR</v>
      </c>
      <c r="BE735" s="5" t="b">
        <f ca="1">IFERROR(__xludf.DUMMYFUNCTION("""COMPUTED_VALUE"""),TRUE)</f>
        <v>1</v>
      </c>
    </row>
    <row r="736" spans="1:57" x14ac:dyDescent="0.25">
      <c r="A736" s="5">
        <f ca="1">IFERROR(__xludf.DUMMYFUNCTION("""COMPUTED_VALUE"""),773)</f>
        <v>773</v>
      </c>
      <c r="B736" s="5">
        <f ca="1">IFERROR(__xludf.DUMMYFUNCTION("""COMPUTED_VALUE"""),180084)</f>
        <v>180084</v>
      </c>
      <c r="C736" s="5" t="str">
        <f ca="1">IFERROR(__xludf.DUMMYFUNCTION("""COMPUTED_VALUE"""),"Redstone")</f>
        <v>Redstone</v>
      </c>
      <c r="D736" s="5" t="str">
        <f ca="1">IFERROR(__xludf.DUMMYFUNCTION("""COMPUTED_VALUE"""),"Chilli Double Christmas")</f>
        <v>Chilli Double Christmas</v>
      </c>
      <c r="E736" s="5" t="str">
        <f ca="1">IFERROR(__xludf.DUMMYFUNCTION("""COMPUTED_VALUE"""),"Redstone")</f>
        <v>Redstone</v>
      </c>
      <c r="F736" s="5" t="str">
        <f ca="1">IFERROR(__xludf.DUMMYFUNCTION("""COMPUTED_VALUE"""),"RedstoneChilliDoubleChristmas")</f>
        <v>RedstoneChilliDoubleChristmas</v>
      </c>
      <c r="G736" s="5" t="str">
        <f ca="1">IFERROR(__xludf.DUMMYFUNCTION("""COMPUTED_VALUE"""),"Deployed")</f>
        <v>Deployed</v>
      </c>
      <c r="H736" s="5"/>
      <c r="I736" s="5"/>
      <c r="J736" s="5" t="str">
        <f ca="1">IFERROR(__xludf.DUMMYFUNCTION("""COMPUTED_VALUE"""),"JSON")</f>
        <v>JSON</v>
      </c>
      <c r="K736" s="5" t="str">
        <f ca="1">IFERROR(__xludf.DUMMYFUNCTION("""COMPUTED_VALUE"""),"Slot")</f>
        <v>Slot</v>
      </c>
      <c r="L736" s="5"/>
      <c r="M736" s="5"/>
      <c r="N736" s="5"/>
      <c r="O736" s="5"/>
      <c r="P736" s="5"/>
      <c r="Q736" s="15">
        <f ca="1">IFERROR(__xludf.DUMMYFUNCTION("""COMPUTED_VALUE"""),46195)</f>
        <v>46195</v>
      </c>
      <c r="R736" s="5"/>
      <c r="S736" s="5"/>
      <c r="T736" s="5"/>
      <c r="U736" s="5" t="str">
        <f ca="1">IFERROR(__xludf.DUMMYFUNCTION("""COMPUTED_VALUE"""),"5x3")</f>
        <v>5x3</v>
      </c>
      <c r="V736" s="5">
        <f ca="1">IFERROR(__xludf.DUMMYFUNCTION("""COMPUTED_VALUE"""),5)</f>
        <v>5</v>
      </c>
      <c r="W736" s="5">
        <f ca="1">IFERROR(__xludf.DUMMYFUNCTION("""COMPUTED_VALUE"""),5)</f>
        <v>5</v>
      </c>
      <c r="X736" s="5">
        <f ca="1">IFERROR(__xludf.DUMMYFUNCTION("""COMPUTED_VALUE"""),96.45)</f>
        <v>96.45</v>
      </c>
      <c r="Y736" s="5"/>
      <c r="Z736" s="5">
        <f ca="1">IFERROR(__xludf.DUMMYFUNCTION("""COMPUTED_VALUE"""),14.23)</f>
        <v>14.23</v>
      </c>
      <c r="AA736" s="5">
        <f ca="1">IFERROR(__xludf.DUMMYFUNCTION("""COMPUTED_VALUE"""),2624)</f>
        <v>2624</v>
      </c>
      <c r="AB736" s="5"/>
      <c r="AC736" s="5" t="str">
        <f ca="1">IFERROR(__xludf.DUMMYFUNCTION("""COMPUTED_VALUE"""),"Expanding Wild, Scatter")</f>
        <v>Expanding Wild, Scatter</v>
      </c>
      <c r="AD736" s="5" t="str">
        <f ca="1">IFERROR(__xludf.DUMMYFUNCTION("""COMPUTED_VALUE"""),"0.10/50")</f>
        <v>0.10/50</v>
      </c>
      <c r="AE736" s="5"/>
      <c r="AF736" s="5"/>
      <c r="AG736" s="10">
        <f ca="1">IFERROR(__xludf.DUMMYFUNCTION("""COMPUTED_VALUE"""),46199.4721412037)</f>
        <v>46199.472141203703</v>
      </c>
      <c r="AH736" s="5" t="str">
        <f ca="1">IFERROR(__xludf.DUMMYFUNCTION("""COMPUTED_VALUE"""),"danica.petrovic@fazi.rs")</f>
        <v>danica.petrovic@fazi.rs</v>
      </c>
      <c r="AI736" s="5"/>
      <c r="AJ736" s="5"/>
      <c r="AK736" s="5">
        <f ca="1">IFERROR(__xludf.DUMMYFUNCTION("""COMPUTED_VALUE"""),1)</f>
        <v>1</v>
      </c>
      <c r="AL736" s="5" t="str">
        <f ca="1">IFERROR(__xludf.DUMMYFUNCTION("""COMPUTED_VALUE"""),"No")</f>
        <v>No</v>
      </c>
      <c r="AM736" s="5" t="str">
        <f ca="1">IFERROR(__xludf.DUMMYFUNCTION("""COMPUTED_VALUE"""),"No")</f>
        <v>No</v>
      </c>
      <c r="AN736" s="5"/>
      <c r="AO736" s="5" t="str">
        <f ca="1">IFERROR(__xludf.DUMMYFUNCTION("""COMPUTED_VALUE"""),"No")</f>
        <v>No</v>
      </c>
      <c r="AP736" s="5" t="str">
        <f ca="1">IFERROR(__xludf.DUMMYFUNCTION("""COMPUTED_VALUE"""),"No")</f>
        <v>No</v>
      </c>
      <c r="AQ736" s="5"/>
      <c r="AR736" s="5"/>
      <c r="AS736" s="5"/>
      <c r="AT736" s="5"/>
      <c r="AU736" s="5" t="str">
        <f ca="1">IFERROR(__xludf.DUMMYFUNCTION("""COMPUTED_VALUE"""),"Redstone")</f>
        <v>Redstone</v>
      </c>
      <c r="AV736" s="5">
        <f ca="1">IFERROR(__xludf.DUMMYFUNCTION("""COMPUTED_VALUE"""),10)</f>
        <v>10</v>
      </c>
      <c r="AW736" s="5"/>
      <c r="AX736" s="15">
        <f ca="1">IFERROR(__xludf.DUMMYFUNCTION("""COMPUTED_VALUE"""),46189)</f>
        <v>46189</v>
      </c>
      <c r="AY736" s="5"/>
      <c r="AZ736" s="5"/>
      <c r="BA736" s="5"/>
      <c r="BB736" s="5"/>
      <c r="BC736" s="5" t="str">
        <f ca="1">IFERROR(__xludf.DUMMYFUNCTION("""COMPUTED_VALUE"""),"Redstone")</f>
        <v>Redstone</v>
      </c>
      <c r="BD736" s="5"/>
      <c r="BE736" s="5"/>
    </row>
    <row r="737" spans="1:57" x14ac:dyDescent="0.25">
      <c r="A737" s="5">
        <f ca="1">IFERROR(__xludf.DUMMYFUNCTION("""COMPUTED_VALUE"""),774)</f>
        <v>774</v>
      </c>
      <c r="B737" s="5">
        <f ca="1">IFERROR(__xludf.DUMMYFUNCTION("""COMPUTED_VALUE"""),180085)</f>
        <v>180085</v>
      </c>
      <c r="C737" s="5" t="str">
        <f ca="1">IFERROR(__xludf.DUMMYFUNCTION("""COMPUTED_VALUE"""),"Redstone")</f>
        <v>Redstone</v>
      </c>
      <c r="D737" s="5" t="str">
        <f ca="1">IFERROR(__xludf.DUMMYFUNCTION("""COMPUTED_VALUE"""),"Multi Heart 5 Christmas")</f>
        <v>Multi Heart 5 Christmas</v>
      </c>
      <c r="E737" s="5" t="str">
        <f ca="1">IFERROR(__xludf.DUMMYFUNCTION("""COMPUTED_VALUE"""),"Redstone")</f>
        <v>Redstone</v>
      </c>
      <c r="F737" s="5" t="str">
        <f ca="1">IFERROR(__xludf.DUMMYFUNCTION("""COMPUTED_VALUE"""),"RedstoneMultiHeart5Christmas")</f>
        <v>RedstoneMultiHeart5Christmas</v>
      </c>
      <c r="G737" s="5" t="str">
        <f ca="1">IFERROR(__xludf.DUMMYFUNCTION("""COMPUTED_VALUE"""),"Deployed")</f>
        <v>Deployed</v>
      </c>
      <c r="H737" s="5"/>
      <c r="I737" s="5"/>
      <c r="J737" s="5" t="str">
        <f ca="1">IFERROR(__xludf.DUMMYFUNCTION("""COMPUTED_VALUE"""),"JSON")</f>
        <v>JSON</v>
      </c>
      <c r="K737" s="5" t="str">
        <f ca="1">IFERROR(__xludf.DUMMYFUNCTION("""COMPUTED_VALUE"""),"Slot")</f>
        <v>Slot</v>
      </c>
      <c r="L737" s="5"/>
      <c r="M737" s="5"/>
      <c r="N737" s="5"/>
      <c r="O737" s="5"/>
      <c r="P737" s="5"/>
      <c r="Q737" s="15">
        <f ca="1">IFERROR(__xludf.DUMMYFUNCTION("""COMPUTED_VALUE"""),46195)</f>
        <v>46195</v>
      </c>
      <c r="R737" s="5"/>
      <c r="S737" s="5"/>
      <c r="T737" s="5"/>
      <c r="U737" s="5" t="str">
        <f ca="1">IFERROR(__xludf.DUMMYFUNCTION("""COMPUTED_VALUE"""),"5x3")</f>
        <v>5x3</v>
      </c>
      <c r="V737" s="5">
        <f ca="1">IFERROR(__xludf.DUMMYFUNCTION("""COMPUTED_VALUE"""),5)</f>
        <v>5</v>
      </c>
      <c r="W737" s="5">
        <f ca="1">IFERROR(__xludf.DUMMYFUNCTION("""COMPUTED_VALUE"""),5)</f>
        <v>5</v>
      </c>
      <c r="X737" s="5">
        <f ca="1">IFERROR(__xludf.DUMMYFUNCTION("""COMPUTED_VALUE"""),95.96)</f>
        <v>95.96</v>
      </c>
      <c r="Y737" s="5"/>
      <c r="Z737" s="5">
        <f ca="1">IFERROR(__xludf.DUMMYFUNCTION("""COMPUTED_VALUE"""),10.7)</f>
        <v>10.7</v>
      </c>
      <c r="AA737" s="5">
        <f ca="1">IFERROR(__xludf.DUMMYFUNCTION("""COMPUTED_VALUE"""),2150)</f>
        <v>2150</v>
      </c>
      <c r="AB737" s="5"/>
      <c r="AC737" s="5" t="str">
        <f ca="1">IFERROR(__xludf.DUMMYFUNCTION("""COMPUTED_VALUE"""),"Expanding Wild, Win Multiplier")</f>
        <v>Expanding Wild, Win Multiplier</v>
      </c>
      <c r="AD737" s="5" t="str">
        <f ca="1">IFERROR(__xludf.DUMMYFUNCTION("""COMPUTED_VALUE"""),"0.10/50")</f>
        <v>0.10/50</v>
      </c>
      <c r="AE737" s="5"/>
      <c r="AF737" s="5"/>
      <c r="AG737" s="10">
        <f ca="1">IFERROR(__xludf.DUMMYFUNCTION("""COMPUTED_VALUE"""),46199.4722800925)</f>
        <v>46199.472280092501</v>
      </c>
      <c r="AH737" s="5" t="str">
        <f ca="1">IFERROR(__xludf.DUMMYFUNCTION("""COMPUTED_VALUE"""),"danica.petrovic@fazi.rs")</f>
        <v>danica.petrovic@fazi.rs</v>
      </c>
      <c r="AI737" s="5"/>
      <c r="AJ737" s="5"/>
      <c r="AK737" s="5">
        <f ca="1">IFERROR(__xludf.DUMMYFUNCTION("""COMPUTED_VALUE"""),1)</f>
        <v>1</v>
      </c>
      <c r="AL737" s="5" t="str">
        <f ca="1">IFERROR(__xludf.DUMMYFUNCTION("""COMPUTED_VALUE"""),"No")</f>
        <v>No</v>
      </c>
      <c r="AM737" s="5" t="str">
        <f ca="1">IFERROR(__xludf.DUMMYFUNCTION("""COMPUTED_VALUE"""),"No")</f>
        <v>No</v>
      </c>
      <c r="AN737" s="5"/>
      <c r="AO737" s="5" t="str">
        <f ca="1">IFERROR(__xludf.DUMMYFUNCTION("""COMPUTED_VALUE"""),"No")</f>
        <v>No</v>
      </c>
      <c r="AP737" s="5" t="str">
        <f ca="1">IFERROR(__xludf.DUMMYFUNCTION("""COMPUTED_VALUE"""),"No")</f>
        <v>No</v>
      </c>
      <c r="AQ737" s="5"/>
      <c r="AR737" s="5"/>
      <c r="AS737" s="5"/>
      <c r="AT737" s="5"/>
      <c r="AU737" s="5" t="str">
        <f ca="1">IFERROR(__xludf.DUMMYFUNCTION("""COMPUTED_VALUE"""),"Redstone")</f>
        <v>Redstone</v>
      </c>
      <c r="AV737" s="5">
        <f ca="1">IFERROR(__xludf.DUMMYFUNCTION("""COMPUTED_VALUE"""),10)</f>
        <v>10</v>
      </c>
      <c r="AW737" s="5"/>
      <c r="AX737" s="15">
        <f ca="1">IFERROR(__xludf.DUMMYFUNCTION("""COMPUTED_VALUE"""),46189)</f>
        <v>46189</v>
      </c>
      <c r="AY737" s="5"/>
      <c r="AZ737" s="5"/>
      <c r="BA737" s="5"/>
      <c r="BB737" s="5"/>
      <c r="BC737" s="5" t="str">
        <f ca="1">IFERROR(__xludf.DUMMYFUNCTION("""COMPUTED_VALUE"""),"Redstone")</f>
        <v>Redstone</v>
      </c>
      <c r="BD737" s="5"/>
      <c r="BE737" s="5"/>
    </row>
    <row r="738" spans="1:57" x14ac:dyDescent="0.25">
      <c r="A738" s="5">
        <f ca="1">IFERROR(__xludf.DUMMYFUNCTION("""COMPUTED_VALUE"""),775)</f>
        <v>775</v>
      </c>
      <c r="B738" s="5">
        <f ca="1">IFERROR(__xludf.DUMMYFUNCTION("""COMPUTED_VALUE"""),180086)</f>
        <v>180086</v>
      </c>
      <c r="C738" s="5" t="str">
        <f ca="1">IFERROR(__xludf.DUMMYFUNCTION("""COMPUTED_VALUE"""),"Redstone")</f>
        <v>Redstone</v>
      </c>
      <c r="D738" s="5" t="str">
        <f ca="1">IFERROR(__xludf.DUMMYFUNCTION("""COMPUTED_VALUE"""),"Double Wild Heart Halloween")</f>
        <v>Double Wild Heart Halloween</v>
      </c>
      <c r="E738" s="5" t="str">
        <f ca="1">IFERROR(__xludf.DUMMYFUNCTION("""COMPUTED_VALUE"""),"Redstone")</f>
        <v>Redstone</v>
      </c>
      <c r="F738" s="5" t="str">
        <f ca="1">IFERROR(__xludf.DUMMYFUNCTION("""COMPUTED_VALUE"""),"RedstoneDoubleWildHeartHalloween")</f>
        <v>RedstoneDoubleWildHeartHalloween</v>
      </c>
      <c r="G738" s="5" t="str">
        <f ca="1">IFERROR(__xludf.DUMMYFUNCTION("""COMPUTED_VALUE"""),"Deployed")</f>
        <v>Deployed</v>
      </c>
      <c r="H738" s="5"/>
      <c r="I738" s="5"/>
      <c r="J738" s="5" t="str">
        <f ca="1">IFERROR(__xludf.DUMMYFUNCTION("""COMPUTED_VALUE"""),"JSON")</f>
        <v>JSON</v>
      </c>
      <c r="K738" s="5" t="str">
        <f ca="1">IFERROR(__xludf.DUMMYFUNCTION("""COMPUTED_VALUE"""),"Slot")</f>
        <v>Slot</v>
      </c>
      <c r="L738" s="5"/>
      <c r="M738" s="5"/>
      <c r="N738" s="5"/>
      <c r="O738" s="5"/>
      <c r="P738" s="5"/>
      <c r="Q738" s="15">
        <f ca="1">IFERROR(__xludf.DUMMYFUNCTION("""COMPUTED_VALUE"""),46195)</f>
        <v>46195</v>
      </c>
      <c r="R738" s="5"/>
      <c r="S738" s="15">
        <f ca="1">IFERROR(__xludf.DUMMYFUNCTION("""COMPUTED_VALUE"""),46293)</f>
        <v>46293</v>
      </c>
      <c r="T738" s="5" t="b">
        <f ca="1">IFERROR(__xludf.DUMMYFUNCTION("""COMPUTED_VALUE"""),TRUE)</f>
        <v>1</v>
      </c>
      <c r="U738" s="5" t="str">
        <f ca="1">IFERROR(__xludf.DUMMYFUNCTION("""COMPUTED_VALUE"""),"5x3")</f>
        <v>5x3</v>
      </c>
      <c r="V738" s="5">
        <f ca="1">IFERROR(__xludf.DUMMYFUNCTION("""COMPUTED_VALUE"""),5)</f>
        <v>5</v>
      </c>
      <c r="W738" s="5">
        <f ca="1">IFERROR(__xludf.DUMMYFUNCTION("""COMPUTED_VALUE"""),5)</f>
        <v>5</v>
      </c>
      <c r="X738" s="5">
        <f ca="1">IFERROR(__xludf.DUMMYFUNCTION("""COMPUTED_VALUE"""),96.45)</f>
        <v>96.45</v>
      </c>
      <c r="Y738" s="5"/>
      <c r="Z738" s="5">
        <f ca="1">IFERROR(__xludf.DUMMYFUNCTION("""COMPUTED_VALUE"""),14.23)</f>
        <v>14.23</v>
      </c>
      <c r="AA738" s="5">
        <f ca="1">IFERROR(__xludf.DUMMYFUNCTION("""COMPUTED_VALUE"""),2624)</f>
        <v>2624</v>
      </c>
      <c r="AB738" s="5"/>
      <c r="AC738" s="5" t="str">
        <f ca="1">IFERROR(__xludf.DUMMYFUNCTION("""COMPUTED_VALUE"""),"Expanding Wild, Scatter")</f>
        <v>Expanding Wild, Scatter</v>
      </c>
      <c r="AD738" s="5" t="str">
        <f ca="1">IFERROR(__xludf.DUMMYFUNCTION("""COMPUTED_VALUE"""),"0.10/50")</f>
        <v>0.10/50</v>
      </c>
      <c r="AE738" s="5"/>
      <c r="AF738" s="5"/>
      <c r="AG738" s="10">
        <f ca="1">IFERROR(__xludf.DUMMYFUNCTION("""COMPUTED_VALUE"""),46199.4724652777)</f>
        <v>46199.4724652777</v>
      </c>
      <c r="AH738" s="5" t="str">
        <f ca="1">IFERROR(__xludf.DUMMYFUNCTION("""COMPUTED_VALUE"""),"danica.petrovic@fazi.rs")</f>
        <v>danica.petrovic@fazi.rs</v>
      </c>
      <c r="AI738" s="5"/>
      <c r="AJ738" s="5"/>
      <c r="AK738" s="5">
        <f ca="1">IFERROR(__xludf.DUMMYFUNCTION("""COMPUTED_VALUE"""),1)</f>
        <v>1</v>
      </c>
      <c r="AL738" s="5" t="str">
        <f ca="1">IFERROR(__xludf.DUMMYFUNCTION("""COMPUTED_VALUE"""),"No")</f>
        <v>No</v>
      </c>
      <c r="AM738" s="5" t="str">
        <f ca="1">IFERROR(__xludf.DUMMYFUNCTION("""COMPUTED_VALUE"""),"No")</f>
        <v>No</v>
      </c>
      <c r="AN738" s="5"/>
      <c r="AO738" s="5" t="str">
        <f ca="1">IFERROR(__xludf.DUMMYFUNCTION("""COMPUTED_VALUE"""),"No")</f>
        <v>No</v>
      </c>
      <c r="AP738" s="5" t="str">
        <f ca="1">IFERROR(__xludf.DUMMYFUNCTION("""COMPUTED_VALUE"""),"No")</f>
        <v>No</v>
      </c>
      <c r="AQ738" s="5"/>
      <c r="AR738" s="5"/>
      <c r="AS738" s="5"/>
      <c r="AT738" s="5"/>
      <c r="AU738" s="5" t="str">
        <f ca="1">IFERROR(__xludf.DUMMYFUNCTION("""COMPUTED_VALUE"""),"Redstone")</f>
        <v>Redstone</v>
      </c>
      <c r="AV738" s="5">
        <f ca="1">IFERROR(__xludf.DUMMYFUNCTION("""COMPUTED_VALUE"""),10)</f>
        <v>10</v>
      </c>
      <c r="AW738" s="5"/>
      <c r="AX738" s="15">
        <f ca="1">IFERROR(__xludf.DUMMYFUNCTION("""COMPUTED_VALUE"""),46189)</f>
        <v>46189</v>
      </c>
      <c r="AY738" s="5"/>
      <c r="AZ738" s="5"/>
      <c r="BA738" s="5"/>
      <c r="BB738" s="5"/>
      <c r="BC738" s="5" t="str">
        <f ca="1">IFERROR(__xludf.DUMMYFUNCTION("""COMPUTED_VALUE"""),"Redstone")</f>
        <v>Redstone</v>
      </c>
      <c r="BD738" s="5"/>
      <c r="BE738" s="5"/>
    </row>
    <row r="739" spans="1:57" x14ac:dyDescent="0.25">
      <c r="A739" s="5">
        <f ca="1">IFERROR(__xludf.DUMMYFUNCTION("""COMPUTED_VALUE"""),776)</f>
        <v>776</v>
      </c>
      <c r="B739" s="5">
        <f ca="1">IFERROR(__xludf.DUMMYFUNCTION("""COMPUTED_VALUE"""),-1)</f>
        <v>-1</v>
      </c>
      <c r="C739" s="5" t="str">
        <f ca="1">IFERROR(__xludf.DUMMYFUNCTION("""COMPUTED_VALUE"""),"Fazi")</f>
        <v>Fazi</v>
      </c>
      <c r="D739" s="5" t="str">
        <f ca="1">IFERROR(__xludf.DUMMYFUNCTION("""COMPUTED_VALUE"""),"Respin Joker 81 (Radni naziv)")</f>
        <v>Respin Joker 81 (Radni naziv)</v>
      </c>
      <c r="E739" s="5" t="str">
        <f ca="1">IFERROR(__xludf.DUMMYFUNCTION("""COMPUTED_VALUE"""),"V4-1")</f>
        <v>V4-1</v>
      </c>
      <c r="F739" s="5" t="str">
        <f ca="1">IFERROR(__xludf.DUMMYFUNCTION("""COMPUTED_VALUE"""),"TBD")</f>
        <v>TBD</v>
      </c>
      <c r="G739" s="5" t="str">
        <f ca="1">IFERROR(__xludf.DUMMYFUNCTION("""COMPUTED_VALUE"""),"In Development")</f>
        <v>In Development</v>
      </c>
      <c r="H739" s="5"/>
      <c r="I739" s="5" t="str">
        <f ca="1">IFERROR(__xludf.DUMMYFUNCTION("""COMPUTED_VALUE"""),"V4")</f>
        <v>V4</v>
      </c>
      <c r="J739" s="5" t="str">
        <f ca="1">IFERROR(__xludf.DUMMYFUNCTION("""COMPUTED_VALUE"""),"JSON")</f>
        <v>JSON</v>
      </c>
      <c r="K739" s="5" t="str">
        <f ca="1">IFERROR(__xludf.DUMMYFUNCTION("""COMPUTED_VALUE"""),"Slot")</f>
        <v>Slot</v>
      </c>
      <c r="L739" s="5" t="str">
        <f ca="1">IFERROR(__xludf.DUMMYFUNCTION("""COMPUTED_VALUE"""),"Master")</f>
        <v>Master</v>
      </c>
      <c r="M739" s="5"/>
      <c r="N739" s="5"/>
      <c r="O739" s="5"/>
      <c r="P739" s="5"/>
      <c r="Q739" s="5"/>
      <c r="R739" s="5"/>
      <c r="S739" s="5"/>
      <c r="T739" s="5"/>
      <c r="U739" s="5" t="str">
        <f ca="1">IFERROR(__xludf.DUMMYFUNCTION("""COMPUTED_VALUE"""),"4x3")</f>
        <v>4x3</v>
      </c>
      <c r="V739" s="5">
        <f ca="1">IFERROR(__xludf.DUMMYFUNCTION("""COMPUTED_VALUE"""),81)</f>
        <v>81</v>
      </c>
      <c r="W739" s="5">
        <f ca="1">IFERROR(__xludf.DUMMYFUNCTION("""COMPUTED_VALUE"""),81)</f>
        <v>81</v>
      </c>
      <c r="X739" s="5"/>
      <c r="Y739" s="5"/>
      <c r="Z739" s="5"/>
      <c r="AA739" s="5"/>
      <c r="AB739" s="5"/>
      <c r="AC739" s="5" t="str">
        <f ca="1">IFERROR(__xludf.DUMMYFUNCTION("""COMPUTED_VALUE"""),"Respin, Sticky Wild")</f>
        <v>Respin, Sticky Wild</v>
      </c>
      <c r="AD739" s="5"/>
      <c r="AE739" s="5"/>
      <c r="AF739" s="5"/>
      <c r="AG739" s="10">
        <f ca="1">IFERROR(__xludf.DUMMYFUNCTION("""COMPUTED_VALUE"""),46162.6218518518)</f>
        <v>46162.6218518518</v>
      </c>
      <c r="AH739" s="5" t="str">
        <f ca="1">IFERROR(__xludf.DUMMYFUNCTION("""COMPUTED_VALUE"""),"djordje.petrovic@fazi.rs")</f>
        <v>djordje.petrovic@fazi.rs</v>
      </c>
      <c r="AI739" s="5"/>
      <c r="AJ739" s="5"/>
      <c r="AK739" s="5"/>
      <c r="AL739" s="5" t="str">
        <f ca="1">IFERROR(__xludf.DUMMYFUNCTION("""COMPUTED_VALUE"""),"Yes")</f>
        <v>Yes</v>
      </c>
      <c r="AM739" s="5" t="str">
        <f ca="1">IFERROR(__xludf.DUMMYFUNCTION("""COMPUTED_VALUE"""),"Yes")</f>
        <v>Yes</v>
      </c>
      <c r="AN739" s="5"/>
      <c r="AO739" s="5" t="str">
        <f ca="1">IFERROR(__xludf.DUMMYFUNCTION("""COMPUTED_VALUE"""),"Yes")</f>
        <v>Yes</v>
      </c>
      <c r="AP739" s="5" t="str">
        <f ca="1">IFERROR(__xludf.DUMMYFUNCTION("""COMPUTED_VALUE"""),"Yes")</f>
        <v>Yes</v>
      </c>
      <c r="AQ739" s="5"/>
      <c r="AR739" s="5"/>
      <c r="AS739" s="5"/>
      <c r="AT739" s="5"/>
      <c r="AU739" s="5" t="str">
        <f ca="1">IFERROR(__xludf.DUMMYFUNCTION("""COMPUTED_VALUE"""),"Fazi")</f>
        <v>Fazi</v>
      </c>
      <c r="AV739" s="5"/>
      <c r="AW739" s="5"/>
      <c r="AX739" s="5"/>
      <c r="AY739" s="5"/>
      <c r="AZ739" s="5"/>
      <c r="BA739" s="5"/>
      <c r="BB739" s="5"/>
      <c r="BC739" s="5" t="str">
        <f ca="1">IFERROR(__xludf.DUMMYFUNCTION("""COMPUTED_VALUE"""),"Foxi")</f>
        <v>Foxi</v>
      </c>
      <c r="BD739" s="5" t="str">
        <f ca="1">IFERROR(__xludf.DUMMYFUNCTION("""COMPUTED_VALUE"""),"")</f>
        <v/>
      </c>
      <c r="BE739" s="5"/>
    </row>
    <row r="740" spans="1:57" x14ac:dyDescent="0.25">
      <c r="A740" s="5">
        <f ca="1">IFERROR(__xludf.DUMMYFUNCTION("""COMPUTED_VALUE"""),777)</f>
        <v>777</v>
      </c>
      <c r="B740" s="5">
        <f ca="1">IFERROR(__xludf.DUMMYFUNCTION("""COMPUTED_VALUE"""),-1)</f>
        <v>-1</v>
      </c>
      <c r="C740" s="5" t="str">
        <f ca="1">IFERROR(__xludf.DUMMYFUNCTION("""COMPUTED_VALUE"""),"Fazi")</f>
        <v>Fazi</v>
      </c>
      <c r="D740" s="5" t="str">
        <f ca="1">IFERROR(__xludf.DUMMYFUNCTION("""COMPUTED_VALUE"""),"Respin Joker 243 (Radni naziv)")</f>
        <v>Respin Joker 243 (Radni naziv)</v>
      </c>
      <c r="E740" s="5" t="str">
        <f ca="1">IFERROR(__xludf.DUMMYFUNCTION("""COMPUTED_VALUE"""),"V4-1")</f>
        <v>V4-1</v>
      </c>
      <c r="F740" s="5" t="str">
        <f ca="1">IFERROR(__xludf.DUMMYFUNCTION("""COMPUTED_VALUE"""),"TBD")</f>
        <v>TBD</v>
      </c>
      <c r="G740" s="5" t="str">
        <f ca="1">IFERROR(__xludf.DUMMYFUNCTION("""COMPUTED_VALUE"""),"In Development")</f>
        <v>In Development</v>
      </c>
      <c r="H740" s="5"/>
      <c r="I740" s="5" t="str">
        <f ca="1">IFERROR(__xludf.DUMMYFUNCTION("""COMPUTED_VALUE"""),"V4")</f>
        <v>V4</v>
      </c>
      <c r="J740" s="5" t="str">
        <f ca="1">IFERROR(__xludf.DUMMYFUNCTION("""COMPUTED_VALUE"""),"JSON")</f>
        <v>JSON</v>
      </c>
      <c r="K740" s="5" t="str">
        <f ca="1">IFERROR(__xludf.DUMMYFUNCTION("""COMPUTED_VALUE"""),"Slot")</f>
        <v>Slot</v>
      </c>
      <c r="L740" s="5" t="str">
        <f ca="1">IFERROR(__xludf.DUMMYFUNCTION("""COMPUTED_VALUE"""),"Master")</f>
        <v>Master</v>
      </c>
      <c r="M740" s="5"/>
      <c r="N740" s="5"/>
      <c r="O740" s="5"/>
      <c r="P740" s="5"/>
      <c r="Q740" s="5"/>
      <c r="R740" s="5"/>
      <c r="S740" s="5"/>
      <c r="T740" s="5"/>
      <c r="U740" s="5" t="str">
        <f ca="1">IFERROR(__xludf.DUMMYFUNCTION("""COMPUTED_VALUE"""),"5x3")</f>
        <v>5x3</v>
      </c>
      <c r="V740" s="5">
        <f ca="1">IFERROR(__xludf.DUMMYFUNCTION("""COMPUTED_VALUE"""),243)</f>
        <v>243</v>
      </c>
      <c r="W740" s="5">
        <f ca="1">IFERROR(__xludf.DUMMYFUNCTION("""COMPUTED_VALUE"""),243)</f>
        <v>243</v>
      </c>
      <c r="X740" s="5"/>
      <c r="Y740" s="5"/>
      <c r="Z740" s="5"/>
      <c r="AA740" s="5"/>
      <c r="AB740" s="5"/>
      <c r="AC740" s="5" t="str">
        <f ca="1">IFERROR(__xludf.DUMMYFUNCTION("""COMPUTED_VALUE"""),"Respin, Sticky Wild")</f>
        <v>Respin, Sticky Wild</v>
      </c>
      <c r="AD740" s="5"/>
      <c r="AE740" s="5"/>
      <c r="AF740" s="5"/>
      <c r="AG740" s="10">
        <f ca="1">IFERROR(__xludf.DUMMYFUNCTION("""COMPUTED_VALUE"""),46162.6243171296)</f>
        <v>46162.624317129601</v>
      </c>
      <c r="AH740" s="5" t="str">
        <f ca="1">IFERROR(__xludf.DUMMYFUNCTION("""COMPUTED_VALUE"""),"djordje.petrovic@fazi.rs")</f>
        <v>djordje.petrovic@fazi.rs</v>
      </c>
      <c r="AI740" s="5"/>
      <c r="AJ740" s="5"/>
      <c r="AK740" s="5"/>
      <c r="AL740" s="5" t="str">
        <f ca="1">IFERROR(__xludf.DUMMYFUNCTION("""COMPUTED_VALUE"""),"Yes")</f>
        <v>Yes</v>
      </c>
      <c r="AM740" s="5" t="str">
        <f ca="1">IFERROR(__xludf.DUMMYFUNCTION("""COMPUTED_VALUE"""),"Yes")</f>
        <v>Yes</v>
      </c>
      <c r="AN740" s="5"/>
      <c r="AO740" s="5" t="str">
        <f ca="1">IFERROR(__xludf.DUMMYFUNCTION("""COMPUTED_VALUE"""),"Yes")</f>
        <v>Yes</v>
      </c>
      <c r="AP740" s="5" t="str">
        <f ca="1">IFERROR(__xludf.DUMMYFUNCTION("""COMPUTED_VALUE"""),"Yes")</f>
        <v>Yes</v>
      </c>
      <c r="AQ740" s="5"/>
      <c r="AR740" s="5"/>
      <c r="AS740" s="5"/>
      <c r="AT740" s="5"/>
      <c r="AU740" s="5" t="str">
        <f ca="1">IFERROR(__xludf.DUMMYFUNCTION("""COMPUTED_VALUE"""),"Fazi")</f>
        <v>Fazi</v>
      </c>
      <c r="AV740" s="5"/>
      <c r="AW740" s="5"/>
      <c r="AX740" s="5"/>
      <c r="AY740" s="5"/>
      <c r="AZ740" s="5"/>
      <c r="BA740" s="5"/>
      <c r="BB740" s="5"/>
      <c r="BC740" s="5" t="str">
        <f ca="1">IFERROR(__xludf.DUMMYFUNCTION("""COMPUTED_VALUE"""),"Foxi")</f>
        <v>Foxi</v>
      </c>
      <c r="BD740" s="5" t="str">
        <f ca="1">IFERROR(__xludf.DUMMYFUNCTION("""COMPUTED_VALUE"""),"")</f>
        <v/>
      </c>
      <c r="BE740" s="5"/>
    </row>
    <row r="741" spans="1:57" x14ac:dyDescent="0.25">
      <c r="A741" s="5">
        <f ca="1">IFERROR(__xludf.DUMMYFUNCTION("""COMPUTED_VALUE"""),778)</f>
        <v>778</v>
      </c>
      <c r="B741" s="5">
        <f ca="1">IFERROR(__xludf.DUMMYFUNCTION("""COMPUTED_VALUE"""),-1)</f>
        <v>-1</v>
      </c>
      <c r="C741" s="5" t="str">
        <f ca="1">IFERROR(__xludf.DUMMYFUNCTION("""COMPUTED_VALUE"""),"Fazi")</f>
        <v>Fazi</v>
      </c>
      <c r="D741" s="5" t="str">
        <f ca="1">IFERROR(__xludf.DUMMYFUNCTION("""COMPUTED_VALUE"""),"Bonus Wu Kong 20")</f>
        <v>Bonus Wu Kong 20</v>
      </c>
      <c r="E741" s="5" t="str">
        <f ca="1">IFERROR(__xludf.DUMMYFUNCTION("""COMPUTED_VALUE"""),"V4-1")</f>
        <v>V4-1</v>
      </c>
      <c r="F741" s="5" t="str">
        <f ca="1">IFERROR(__xludf.DUMMYFUNCTION("""COMPUTED_VALUE"""),"TBD")</f>
        <v>TBD</v>
      </c>
      <c r="G741" s="5" t="str">
        <f ca="1">IFERROR(__xludf.DUMMYFUNCTION("""COMPUTED_VALUE"""),"In Development")</f>
        <v>In Development</v>
      </c>
      <c r="H741" s="5"/>
      <c r="I741" s="5" t="str">
        <f ca="1">IFERROR(__xludf.DUMMYFUNCTION("""COMPUTED_VALUE"""),"V4")</f>
        <v>V4</v>
      </c>
      <c r="J741" s="5" t="str">
        <f ca="1">IFERROR(__xludf.DUMMYFUNCTION("""COMPUTED_VALUE"""),"JSON")</f>
        <v>JSON</v>
      </c>
      <c r="K741" s="5" t="str">
        <f ca="1">IFERROR(__xludf.DUMMYFUNCTION("""COMPUTED_VALUE"""),"Slot")</f>
        <v>Slot</v>
      </c>
      <c r="L741" s="5" t="str">
        <f ca="1">IFERROR(__xludf.DUMMYFUNCTION("""COMPUTED_VALUE""")," Variant")</f>
        <v xml:space="preserve"> Variant</v>
      </c>
      <c r="M741" s="5"/>
      <c r="N741" s="5"/>
      <c r="O741" s="5"/>
      <c r="P741" s="5"/>
      <c r="Q741" s="5"/>
      <c r="R741" s="5"/>
      <c r="S741" s="5"/>
      <c r="T741" s="5"/>
      <c r="U741" s="5" t="str">
        <f ca="1">IFERROR(__xludf.DUMMYFUNCTION("""COMPUTED_VALUE"""),"5x3")</f>
        <v>5x3</v>
      </c>
      <c r="V741" s="5">
        <f ca="1">IFERROR(__xludf.DUMMYFUNCTION("""COMPUTED_VALUE"""),20)</f>
        <v>20</v>
      </c>
      <c r="W741" s="5">
        <f ca="1">IFERROR(__xludf.DUMMYFUNCTION("""COMPUTED_VALUE"""),20)</f>
        <v>20</v>
      </c>
      <c r="X741" s="5"/>
      <c r="Y741" s="5"/>
      <c r="Z741" s="5"/>
      <c r="AA741" s="5"/>
      <c r="AB741" s="5"/>
      <c r="AC741" s="5" t="str">
        <f ca="1">IFERROR(__xludf.DUMMYFUNCTION("""COMPUTED_VALUE"""),"Bonus Game with Free Spins, Buy Feature, Bonus Game with Sticky Wild, Bonus Game with Multiplier")</f>
        <v>Bonus Game with Free Spins, Buy Feature, Bonus Game with Sticky Wild, Bonus Game with Multiplier</v>
      </c>
      <c r="AD741" s="5"/>
      <c r="AE741" s="5"/>
      <c r="AF741" s="5"/>
      <c r="AG741" s="10">
        <f ca="1">IFERROR(__xludf.DUMMYFUNCTION("""COMPUTED_VALUE"""),46162.626724537)</f>
        <v>46162.626724537004</v>
      </c>
      <c r="AH741" s="5" t="str">
        <f ca="1">IFERROR(__xludf.DUMMYFUNCTION("""COMPUTED_VALUE"""),"djordje.petrovic@fazi.rs")</f>
        <v>djordje.petrovic@fazi.rs</v>
      </c>
      <c r="AI741" s="5"/>
      <c r="AJ741" s="5"/>
      <c r="AK741" s="5">
        <f ca="1">IFERROR(__xludf.DUMMYFUNCTION("""COMPUTED_VALUE"""),2)</f>
        <v>2</v>
      </c>
      <c r="AL741" s="5" t="str">
        <f ca="1">IFERROR(__xludf.DUMMYFUNCTION("""COMPUTED_VALUE"""),"No")</f>
        <v>No</v>
      </c>
      <c r="AM741" s="5" t="str">
        <f ca="1">IFERROR(__xludf.DUMMYFUNCTION("""COMPUTED_VALUE"""),"Yes")</f>
        <v>Yes</v>
      </c>
      <c r="AN741" s="5"/>
      <c r="AO741" s="5" t="str">
        <f ca="1">IFERROR(__xludf.DUMMYFUNCTION("""COMPUTED_VALUE"""),"Yes")</f>
        <v>Yes</v>
      </c>
      <c r="AP741" s="5" t="str">
        <f ca="1">IFERROR(__xludf.DUMMYFUNCTION("""COMPUTED_VALUE"""),"Yes")</f>
        <v>Yes</v>
      </c>
      <c r="AQ741" s="5"/>
      <c r="AR741" s="5"/>
      <c r="AS741" s="5"/>
      <c r="AT741" s="5"/>
      <c r="AU741" s="5" t="str">
        <f ca="1">IFERROR(__xludf.DUMMYFUNCTION("""COMPUTED_VALUE"""),"Fazi")</f>
        <v>Fazi</v>
      </c>
      <c r="AV741" s="5"/>
      <c r="AW741" s="5"/>
      <c r="AX741" s="5"/>
      <c r="AY741" s="5"/>
      <c r="AZ741" s="5"/>
      <c r="BA741" s="5"/>
      <c r="BB741" s="5"/>
      <c r="BC741" s="5" t="str">
        <f ca="1">IFERROR(__xludf.DUMMYFUNCTION("""COMPUTED_VALUE"""),"Foxi")</f>
        <v>Foxi</v>
      </c>
      <c r="BD741" s="5" t="str">
        <f ca="1">IFERROR(__xludf.DUMMYFUNCTION("""COMPUTED_VALUE"""),"")</f>
        <v/>
      </c>
      <c r="BE741" s="5"/>
    </row>
    <row r="742" spans="1:57" x14ac:dyDescent="0.25">
      <c r="A742" s="5">
        <f ca="1">IFERROR(__xludf.DUMMYFUNCTION("""COMPUTED_VALUE"""),779)</f>
        <v>779</v>
      </c>
      <c r="B742" s="5">
        <f ca="1">IFERROR(__xludf.DUMMYFUNCTION("""COMPUTED_VALUE"""),-1)</f>
        <v>-1</v>
      </c>
      <c r="C742" s="5" t="str">
        <f ca="1">IFERROR(__xludf.DUMMYFUNCTION("""COMPUTED_VALUE"""),"Fazi")</f>
        <v>Fazi</v>
      </c>
      <c r="D742" s="5" t="str">
        <f ca="1">IFERROR(__xludf.DUMMYFUNCTION("""COMPUTED_VALUE"""),"Bonus Wu Kong 40")</f>
        <v>Bonus Wu Kong 40</v>
      </c>
      <c r="E742" s="5" t="str">
        <f ca="1">IFERROR(__xludf.DUMMYFUNCTION("""COMPUTED_VALUE"""),"V4-1")</f>
        <v>V4-1</v>
      </c>
      <c r="F742" s="5" t="str">
        <f ca="1">IFERROR(__xludf.DUMMYFUNCTION("""COMPUTED_VALUE"""),"TBD")</f>
        <v>TBD</v>
      </c>
      <c r="G742" s="5" t="str">
        <f ca="1">IFERROR(__xludf.DUMMYFUNCTION("""COMPUTED_VALUE"""),"In Development")</f>
        <v>In Development</v>
      </c>
      <c r="H742" s="5"/>
      <c r="I742" s="5" t="str">
        <f ca="1">IFERROR(__xludf.DUMMYFUNCTION("""COMPUTED_VALUE"""),"V4")</f>
        <v>V4</v>
      </c>
      <c r="J742" s="5" t="str">
        <f ca="1">IFERROR(__xludf.DUMMYFUNCTION("""COMPUTED_VALUE"""),"JSON")</f>
        <v>JSON</v>
      </c>
      <c r="K742" s="5" t="str">
        <f ca="1">IFERROR(__xludf.DUMMYFUNCTION("""COMPUTED_VALUE"""),"Slot")</f>
        <v>Slot</v>
      </c>
      <c r="L742" s="5" t="str">
        <f ca="1">IFERROR(__xludf.DUMMYFUNCTION("""COMPUTED_VALUE""")," Variant")</f>
        <v xml:space="preserve"> Variant</v>
      </c>
      <c r="M742" s="5"/>
      <c r="N742" s="5"/>
      <c r="O742" s="5"/>
      <c r="P742" s="5"/>
      <c r="Q742" s="5"/>
      <c r="R742" s="5"/>
      <c r="S742" s="5"/>
      <c r="T742" s="5"/>
      <c r="U742" s="5" t="str">
        <f ca="1">IFERROR(__xludf.DUMMYFUNCTION("""COMPUTED_VALUE"""),"5x3")</f>
        <v>5x3</v>
      </c>
      <c r="V742" s="5">
        <f ca="1">IFERROR(__xludf.DUMMYFUNCTION("""COMPUTED_VALUE"""),40)</f>
        <v>40</v>
      </c>
      <c r="W742" s="5">
        <f ca="1">IFERROR(__xludf.DUMMYFUNCTION("""COMPUTED_VALUE"""),40)</f>
        <v>40</v>
      </c>
      <c r="X742" s="5"/>
      <c r="Y742" s="5"/>
      <c r="Z742" s="5"/>
      <c r="AA742" s="5"/>
      <c r="AB742" s="5"/>
      <c r="AC742" s="5" t="str">
        <f ca="1">IFERROR(__xludf.DUMMYFUNCTION("""COMPUTED_VALUE"""),"Bonus Game with Free Spins, Buy Feature, Bonus Game with Sticky Wild, Bonus Game with Multiplier")</f>
        <v>Bonus Game with Free Spins, Buy Feature, Bonus Game with Sticky Wild, Bonus Game with Multiplier</v>
      </c>
      <c r="AD742" s="5"/>
      <c r="AE742" s="5"/>
      <c r="AF742" s="5"/>
      <c r="AG742" s="10">
        <f ca="1">IFERROR(__xludf.DUMMYFUNCTION("""COMPUTED_VALUE"""),46162.6285185185)</f>
        <v>46162.628518518497</v>
      </c>
      <c r="AH742" s="5" t="str">
        <f ca="1">IFERROR(__xludf.DUMMYFUNCTION("""COMPUTED_VALUE"""),"djordje.petrovic@fazi.rs")</f>
        <v>djordje.petrovic@fazi.rs</v>
      </c>
      <c r="AI742" s="5"/>
      <c r="AJ742" s="5"/>
      <c r="AK742" s="5">
        <f ca="1">IFERROR(__xludf.DUMMYFUNCTION("""COMPUTED_VALUE"""),4)</f>
        <v>4</v>
      </c>
      <c r="AL742" s="5" t="str">
        <f ca="1">IFERROR(__xludf.DUMMYFUNCTION("""COMPUTED_VALUE"""),"No")</f>
        <v>No</v>
      </c>
      <c r="AM742" s="5" t="str">
        <f ca="1">IFERROR(__xludf.DUMMYFUNCTION("""COMPUTED_VALUE"""),"Yes")</f>
        <v>Yes</v>
      </c>
      <c r="AN742" s="5"/>
      <c r="AO742" s="5" t="str">
        <f ca="1">IFERROR(__xludf.DUMMYFUNCTION("""COMPUTED_VALUE"""),"Yes")</f>
        <v>Yes</v>
      </c>
      <c r="AP742" s="5" t="str">
        <f ca="1">IFERROR(__xludf.DUMMYFUNCTION("""COMPUTED_VALUE"""),"Yes")</f>
        <v>Yes</v>
      </c>
      <c r="AQ742" s="5"/>
      <c r="AR742" s="5"/>
      <c r="AS742" s="5"/>
      <c r="AT742" s="5"/>
      <c r="AU742" s="5" t="str">
        <f ca="1">IFERROR(__xludf.DUMMYFUNCTION("""COMPUTED_VALUE"""),"Fazi")</f>
        <v>Fazi</v>
      </c>
      <c r="AV742" s="5"/>
      <c r="AW742" s="5"/>
      <c r="AX742" s="5"/>
      <c r="AY742" s="5"/>
      <c r="AZ742" s="5"/>
      <c r="BA742" s="5"/>
      <c r="BB742" s="5"/>
      <c r="BC742" s="5" t="str">
        <f ca="1">IFERROR(__xludf.DUMMYFUNCTION("""COMPUTED_VALUE"""),"Foxi")</f>
        <v>Foxi</v>
      </c>
      <c r="BD742" s="5" t="str">
        <f ca="1">IFERROR(__xludf.DUMMYFUNCTION("""COMPUTED_VALUE"""),"")</f>
        <v/>
      </c>
      <c r="BE742" s="5"/>
    </row>
    <row r="743" spans="1:57" x14ac:dyDescent="0.25">
      <c r="A743" s="5">
        <f ca="1">IFERROR(__xludf.DUMMYFUNCTION("""COMPUTED_VALUE"""),780)</f>
        <v>780</v>
      </c>
      <c r="B743" s="5">
        <f ca="1">IFERROR(__xludf.DUMMYFUNCTION("""COMPUTED_VALUE"""),-1)</f>
        <v>-1</v>
      </c>
      <c r="C743" s="5" t="str">
        <f ca="1">IFERROR(__xludf.DUMMYFUNCTION("""COMPUTED_VALUE"""),"Fazi")</f>
        <v>Fazi</v>
      </c>
      <c r="D743" s="5" t="str">
        <f ca="1">IFERROR(__xludf.DUMMYFUNCTION("""COMPUTED_VALUE"""),"Bonus Wu Kong 5")</f>
        <v>Bonus Wu Kong 5</v>
      </c>
      <c r="E743" s="5" t="str">
        <f ca="1">IFERROR(__xludf.DUMMYFUNCTION("""COMPUTED_VALUE"""),"V4-1")</f>
        <v>V4-1</v>
      </c>
      <c r="F743" s="5" t="str">
        <f ca="1">IFERROR(__xludf.DUMMYFUNCTION("""COMPUTED_VALUE"""),"TBD")</f>
        <v>TBD</v>
      </c>
      <c r="G743" s="5" t="str">
        <f ca="1">IFERROR(__xludf.DUMMYFUNCTION("""COMPUTED_VALUE"""),"In Development")</f>
        <v>In Development</v>
      </c>
      <c r="H743" s="5"/>
      <c r="I743" s="5" t="str">
        <f ca="1">IFERROR(__xludf.DUMMYFUNCTION("""COMPUTED_VALUE"""),"V4")</f>
        <v>V4</v>
      </c>
      <c r="J743" s="5" t="str">
        <f ca="1">IFERROR(__xludf.DUMMYFUNCTION("""COMPUTED_VALUE"""),"JSON")</f>
        <v>JSON</v>
      </c>
      <c r="K743" s="5" t="str">
        <f ca="1">IFERROR(__xludf.DUMMYFUNCTION("""COMPUTED_VALUE"""),"Slot")</f>
        <v>Slot</v>
      </c>
      <c r="L743" s="5" t="str">
        <f ca="1">IFERROR(__xludf.DUMMYFUNCTION("""COMPUTED_VALUE""")," Variant")</f>
        <v xml:space="preserve"> Variant</v>
      </c>
      <c r="M743" s="5"/>
      <c r="N743" s="5"/>
      <c r="O743" s="5"/>
      <c r="P743" s="5"/>
      <c r="Q743" s="5"/>
      <c r="R743" s="5"/>
      <c r="S743" s="5"/>
      <c r="T743" s="5"/>
      <c r="U743" s="5" t="str">
        <f ca="1">IFERROR(__xludf.DUMMYFUNCTION("""COMPUTED_VALUE"""),"5x3")</f>
        <v>5x3</v>
      </c>
      <c r="V743" s="5">
        <f ca="1">IFERROR(__xludf.DUMMYFUNCTION("""COMPUTED_VALUE"""),5)</f>
        <v>5</v>
      </c>
      <c r="W743" s="5">
        <f ca="1">IFERROR(__xludf.DUMMYFUNCTION("""COMPUTED_VALUE"""),5)</f>
        <v>5</v>
      </c>
      <c r="X743" s="5"/>
      <c r="Y743" s="5"/>
      <c r="Z743" s="5"/>
      <c r="AA743" s="5"/>
      <c r="AB743" s="5"/>
      <c r="AC743" s="5" t="str">
        <f ca="1">IFERROR(__xludf.DUMMYFUNCTION("""COMPUTED_VALUE"""),"Bonus Game with Free Spins, Buy Feature, Bonus Game with Sticky Wild, Bonus Game with Multiplier")</f>
        <v>Bonus Game with Free Spins, Buy Feature, Bonus Game with Sticky Wild, Bonus Game with Multiplier</v>
      </c>
      <c r="AD743" s="5"/>
      <c r="AE743" s="5"/>
      <c r="AF743" s="5"/>
      <c r="AG743" s="10">
        <f ca="1">IFERROR(__xludf.DUMMYFUNCTION("""COMPUTED_VALUE"""),46162.6294675925)</f>
        <v>46162.629467592502</v>
      </c>
      <c r="AH743" s="5" t="str">
        <f ca="1">IFERROR(__xludf.DUMMYFUNCTION("""COMPUTED_VALUE"""),"djordje.petrovic@fazi.rs")</f>
        <v>djordje.petrovic@fazi.rs</v>
      </c>
      <c r="AI743" s="5"/>
      <c r="AJ743" s="5"/>
      <c r="AK743" s="5">
        <f ca="1">IFERROR(__xludf.DUMMYFUNCTION("""COMPUTED_VALUE"""),1)</f>
        <v>1</v>
      </c>
      <c r="AL743" s="5" t="str">
        <f ca="1">IFERROR(__xludf.DUMMYFUNCTION("""COMPUTED_VALUE"""),"No")</f>
        <v>No</v>
      </c>
      <c r="AM743" s="5" t="str">
        <f ca="1">IFERROR(__xludf.DUMMYFUNCTION("""COMPUTED_VALUE"""),"Yes")</f>
        <v>Yes</v>
      </c>
      <c r="AN743" s="5"/>
      <c r="AO743" s="5" t="str">
        <f ca="1">IFERROR(__xludf.DUMMYFUNCTION("""COMPUTED_VALUE"""),"Yes")</f>
        <v>Yes</v>
      </c>
      <c r="AP743" s="5" t="str">
        <f ca="1">IFERROR(__xludf.DUMMYFUNCTION("""COMPUTED_VALUE"""),"Yes")</f>
        <v>Yes</v>
      </c>
      <c r="AQ743" s="5"/>
      <c r="AR743" s="5"/>
      <c r="AS743" s="5"/>
      <c r="AT743" s="5"/>
      <c r="AU743" s="5" t="str">
        <f ca="1">IFERROR(__xludf.DUMMYFUNCTION("""COMPUTED_VALUE"""),"Fazi")</f>
        <v>Fazi</v>
      </c>
      <c r="AV743" s="5"/>
      <c r="AW743" s="5"/>
      <c r="AX743" s="5"/>
      <c r="AY743" s="5"/>
      <c r="AZ743" s="5"/>
      <c r="BA743" s="5"/>
      <c r="BB743" s="5"/>
      <c r="BC743" s="5" t="str">
        <f ca="1">IFERROR(__xludf.DUMMYFUNCTION("""COMPUTED_VALUE"""),"Foxi")</f>
        <v>Foxi</v>
      </c>
      <c r="BD743" s="5" t="str">
        <f ca="1">IFERROR(__xludf.DUMMYFUNCTION("""COMPUTED_VALUE"""),"")</f>
        <v/>
      </c>
      <c r="BE743" s="5"/>
    </row>
    <row r="744" spans="1:57" x14ac:dyDescent="0.25">
      <c r="A744" s="5">
        <f ca="1">IFERROR(__xludf.DUMMYFUNCTION("""COMPUTED_VALUE"""),781)</f>
        <v>781</v>
      </c>
      <c r="B744" s="5">
        <f ca="1">IFERROR(__xludf.DUMMYFUNCTION("""COMPUTED_VALUE"""),-1)</f>
        <v>-1</v>
      </c>
      <c r="C744" s="5" t="str">
        <f ca="1">IFERROR(__xludf.DUMMYFUNCTION("""COMPUTED_VALUE"""),"Fazi")</f>
        <v>Fazi</v>
      </c>
      <c r="D744" s="5" t="str">
        <f ca="1">IFERROR(__xludf.DUMMYFUNCTION("""COMPUTED_VALUE"""),"Kruna 4x3")</f>
        <v>Kruna 4x3</v>
      </c>
      <c r="E744" s="5" t="str">
        <f ca="1">IFERROR(__xludf.DUMMYFUNCTION("""COMPUTED_VALUE"""),"Sertifikacioni")</f>
        <v>Sertifikacioni</v>
      </c>
      <c r="F744" s="5" t="str">
        <f ca="1">IFERROR(__xludf.DUMMYFUNCTION("""COMPUTED_VALUE"""),"TBD")</f>
        <v>TBD</v>
      </c>
      <c r="G744" s="5" t="str">
        <f ca="1">IFERROR(__xludf.DUMMYFUNCTION("""COMPUTED_VALUE"""),"In Development")</f>
        <v>In Development</v>
      </c>
      <c r="H744" s="5"/>
      <c r="I744" s="5"/>
      <c r="J744" s="5"/>
      <c r="K744" s="5" t="str">
        <f ca="1">IFERROR(__xludf.DUMMYFUNCTION("""COMPUTED_VALUE"""),"Slot")</f>
        <v>Slot</v>
      </c>
      <c r="L744" s="5"/>
      <c r="M744" s="5"/>
      <c r="N744" s="5"/>
      <c r="O744" s="5"/>
      <c r="P744" s="5"/>
      <c r="Q744" s="5"/>
      <c r="R744" s="5"/>
      <c r="S744" s="5"/>
      <c r="T744" s="5"/>
      <c r="U744" s="5"/>
      <c r="V744" s="5"/>
      <c r="W744" s="5"/>
      <c r="X744" s="5"/>
      <c r="Y744" s="5"/>
      <c r="Z744" s="5"/>
      <c r="AA744" s="5"/>
      <c r="AB744" s="5"/>
      <c r="AC744" s="5" t="str">
        <f ca="1">IFERROR(__xludf.DUMMYFUNCTION("""COMPUTED_VALUE"""),"Poker machine")</f>
        <v>Poker machine</v>
      </c>
      <c r="AD744" s="5"/>
      <c r="AE744" s="5"/>
      <c r="AF744" s="5"/>
      <c r="AG744" s="10">
        <f ca="1">IFERROR(__xludf.DUMMYFUNCTION("""COMPUTED_VALUE"""),46162.6348611111)</f>
        <v>46162.634861111103</v>
      </c>
      <c r="AH744" s="5" t="str">
        <f ca="1">IFERROR(__xludf.DUMMYFUNCTION("""COMPUTED_VALUE"""),"petra.ilic@fazi.rs")</f>
        <v>petra.ilic@fazi.rs</v>
      </c>
      <c r="AI744" s="5"/>
      <c r="AJ744" s="5"/>
      <c r="AK744" s="5"/>
      <c r="AL744" s="5"/>
      <c r="AM744" s="5"/>
      <c r="AN744" s="5"/>
      <c r="AO744" s="5"/>
      <c r="AP744" s="5"/>
      <c r="AQ744" s="5"/>
      <c r="AR744" s="5"/>
      <c r="AS744" s="5"/>
      <c r="AT744" s="5"/>
      <c r="AU744" s="5"/>
      <c r="AV744" s="5"/>
      <c r="AW744" s="5"/>
      <c r="AX744" s="5"/>
      <c r="AY744" s="5"/>
      <c r="AZ744" s="5"/>
      <c r="BA744" s="5"/>
      <c r="BB744" s="5"/>
      <c r="BC744" s="5" t="str">
        <f ca="1">IFERROR(__xludf.DUMMYFUNCTION("""COMPUTED_VALUE"""),"Foxi")</f>
        <v>Foxi</v>
      </c>
      <c r="BD744" s="5" t="str">
        <f ca="1">IFERROR(__xludf.DUMMYFUNCTION("""COMPUTED_VALUE"""),"")</f>
        <v/>
      </c>
      <c r="BE744" s="5"/>
    </row>
    <row r="745" spans="1:57" x14ac:dyDescent="0.25">
      <c r="A745" s="5">
        <f ca="1">IFERROR(__xludf.DUMMYFUNCTION("""COMPUTED_VALUE"""),782)</f>
        <v>782</v>
      </c>
      <c r="B745" s="5">
        <f ca="1">IFERROR(__xludf.DUMMYFUNCTION("""COMPUTED_VALUE"""),-1)</f>
        <v>-1</v>
      </c>
      <c r="C745" s="5" t="str">
        <f ca="1">IFERROR(__xludf.DUMMYFUNCTION("""COMPUTED_VALUE"""),"Fazi")</f>
        <v>Fazi</v>
      </c>
      <c r="D745" s="5" t="str">
        <f ca="1">IFERROR(__xludf.DUMMYFUNCTION("""COMPUTED_VALUE"""),"Book Of Lob")</f>
        <v>Book Of Lob</v>
      </c>
      <c r="E745" s="5" t="str">
        <f ca="1">IFERROR(__xludf.DUMMYFUNCTION("""COMPUTED_VALUE"""),"Sertifikacioni")</f>
        <v>Sertifikacioni</v>
      </c>
      <c r="F745" s="5" t="str">
        <f ca="1">IFERROR(__xludf.DUMMYFUNCTION("""COMPUTED_VALUE"""),"TBD")</f>
        <v>TBD</v>
      </c>
      <c r="G745" s="5" t="str">
        <f ca="1">IFERROR(__xludf.DUMMYFUNCTION("""COMPUTED_VALUE"""),"In Development")</f>
        <v>In Development</v>
      </c>
      <c r="H745" s="5"/>
      <c r="I745" s="5"/>
      <c r="J745" s="5"/>
      <c r="K745" s="5" t="str">
        <f ca="1">IFERROR(__xludf.DUMMYFUNCTION("""COMPUTED_VALUE"""),"Slot")</f>
        <v>Slot</v>
      </c>
      <c r="L745" s="5"/>
      <c r="M745" s="5"/>
      <c r="N745" s="5"/>
      <c r="O745" s="5"/>
      <c r="P745" s="5"/>
      <c r="Q745" s="5"/>
      <c r="R745" s="5"/>
      <c r="S745" s="5"/>
      <c r="T745" s="5"/>
      <c r="U745" s="5"/>
      <c r="V745" s="5"/>
      <c r="W745" s="5"/>
      <c r="X745" s="5"/>
      <c r="Y745" s="5"/>
      <c r="Z745" s="5"/>
      <c r="AA745" s="5"/>
      <c r="AB745" s="5"/>
      <c r="AC745" s="5" t="str">
        <f ca="1">IFERROR(__xludf.DUMMYFUNCTION("""COMPUTED_VALUE"""),"Poker machine")</f>
        <v>Poker machine</v>
      </c>
      <c r="AD745" s="5"/>
      <c r="AE745" s="5"/>
      <c r="AF745" s="5"/>
      <c r="AG745" s="10">
        <f ca="1">IFERROR(__xludf.DUMMYFUNCTION("""COMPUTED_VALUE"""),46162.635474537)</f>
        <v>46162.635474536997</v>
      </c>
      <c r="AH745" s="5" t="str">
        <f ca="1">IFERROR(__xludf.DUMMYFUNCTION("""COMPUTED_VALUE"""),"petra.ilic@fazi.rs")</f>
        <v>petra.ilic@fazi.rs</v>
      </c>
      <c r="AI745" s="5"/>
      <c r="AJ745" s="5"/>
      <c r="AK745" s="5"/>
      <c r="AL745" s="5"/>
      <c r="AM745" s="5"/>
      <c r="AN745" s="5"/>
      <c r="AO745" s="5"/>
      <c r="AP745" s="5"/>
      <c r="AQ745" s="5"/>
      <c r="AR745" s="5" t="b">
        <f ca="1">IFERROR(__xludf.DUMMYFUNCTION("""COMPUTED_VALUE"""),TRUE)</f>
        <v>1</v>
      </c>
      <c r="AS745" s="5"/>
      <c r="AT745" s="5"/>
      <c r="AU745" s="5"/>
      <c r="AV745" s="5"/>
      <c r="AW745" s="5"/>
      <c r="AX745" s="5"/>
      <c r="AY745" s="5"/>
      <c r="AZ745" s="5"/>
      <c r="BA745" s="5"/>
      <c r="BB745" s="5"/>
      <c r="BC745" s="5" t="str">
        <f ca="1">IFERROR(__xludf.DUMMYFUNCTION("""COMPUTED_VALUE"""),"Foxi")</f>
        <v>Foxi</v>
      </c>
      <c r="BD745" s="5" t="str">
        <f ca="1">IFERROR(__xludf.DUMMYFUNCTION("""COMPUTED_VALUE"""),"")</f>
        <v/>
      </c>
      <c r="BE745" s="5"/>
    </row>
    <row r="746" spans="1:57" x14ac:dyDescent="0.25">
      <c r="A746" s="5">
        <f ca="1">IFERROR(__xludf.DUMMYFUNCTION("""COMPUTED_VALUE"""),783)</f>
        <v>783</v>
      </c>
      <c r="B746" s="5">
        <f ca="1">IFERROR(__xludf.DUMMYFUNCTION("""COMPUTED_VALUE"""),4043)</f>
        <v>4043</v>
      </c>
      <c r="C746" s="5" t="str">
        <f ca="1">IFERROR(__xludf.DUMMYFUNCTION("""COMPUTED_VALUE"""),"Fazi")</f>
        <v>Fazi</v>
      </c>
      <c r="D746" s="5" t="str">
        <f ca="1">IFERROR(__xludf.DUMMYFUNCTION("""COMPUTED_VALUE"""),"Ivan's Bonus Crown")</f>
        <v>Ivan's Bonus Crown</v>
      </c>
      <c r="E746" s="5" t="str">
        <f ca="1">IFERROR(__xludf.DUMMYFUNCTION("""COMPUTED_VALUE"""),"Sertifikacioni")</f>
        <v>Sertifikacioni</v>
      </c>
      <c r="F746" s="5" t="str">
        <f ca="1">IFERROR(__xludf.DUMMYFUNCTION("""COMPUTED_VALUE"""),"IvansBonusCrown")</f>
        <v>IvansBonusCrown</v>
      </c>
      <c r="G746" s="5" t="str">
        <f ca="1">IFERROR(__xludf.DUMMYFUNCTION("""COMPUTED_VALUE"""),"Deployed")</f>
        <v>Deployed</v>
      </c>
      <c r="H746" s="5" t="str">
        <f ca="1">IFERROR(__xludf.DUMMYFUNCTION("""COMPUTED_VALUE"""),"MaxBet")</f>
        <v>MaxBet</v>
      </c>
      <c r="I746" s="5" t="str">
        <f ca="1">IFERROR(__xludf.DUMMYFUNCTION("""COMPUTED_VALUE"""),"V4")</f>
        <v>V4</v>
      </c>
      <c r="J746" s="5" t="str">
        <f ca="1">IFERROR(__xludf.DUMMYFUNCTION("""COMPUTED_VALUE"""),"JSON")</f>
        <v>JSON</v>
      </c>
      <c r="K746" s="5" t="str">
        <f ca="1">IFERROR(__xludf.DUMMYFUNCTION("""COMPUTED_VALUE"""),"Slot")</f>
        <v>Slot</v>
      </c>
      <c r="L746" s="5" t="str">
        <f ca="1">IFERROR(__xludf.DUMMYFUNCTION("""COMPUTED_VALUE""")," Clone")</f>
        <v xml:space="preserve"> Clone</v>
      </c>
      <c r="M746" s="5" t="str">
        <f ca="1">IFERROR(__xludf.DUMMYFUNCTION("""COMPUTED_VALUE"""),"Bonus Epic Crown")</f>
        <v>Bonus Epic Crown</v>
      </c>
      <c r="N746" s="5"/>
      <c r="O746" s="5"/>
      <c r="P746" s="5"/>
      <c r="Q746" s="15">
        <f ca="1">IFERROR(__xludf.DUMMYFUNCTION("""COMPUTED_VALUE"""),46209)</f>
        <v>46209</v>
      </c>
      <c r="R746" s="5"/>
      <c r="S746" s="5"/>
      <c r="T746" s="5"/>
      <c r="U746" s="5" t="str">
        <f ca="1">IFERROR(__xludf.DUMMYFUNCTION("""COMPUTED_VALUE"""),"5x3")</f>
        <v>5x3</v>
      </c>
      <c r="V746" s="5">
        <f ca="1">IFERROR(__xludf.DUMMYFUNCTION("""COMPUTED_VALUE"""),10)</f>
        <v>10</v>
      </c>
      <c r="W746" s="5">
        <f ca="1">IFERROR(__xludf.DUMMYFUNCTION("""COMPUTED_VALUE"""),10)</f>
        <v>10</v>
      </c>
      <c r="X746" s="5">
        <f ca="1">IFERROR(__xludf.DUMMYFUNCTION("""COMPUTED_VALUE"""),96.533)</f>
        <v>96.533000000000001</v>
      </c>
      <c r="Y746" s="5" t="str">
        <f ca="1">IFERROR(__xludf.DUMMYFUNCTION("""COMPUTED_VALUE"""),"High")</f>
        <v>High</v>
      </c>
      <c r="Z746" s="5">
        <f ca="1">IFERROR(__xludf.DUMMYFUNCTION("""COMPUTED_VALUE"""),10.61)</f>
        <v>10.61</v>
      </c>
      <c r="AA746" s="5">
        <f ca="1">IFERROR(__xludf.DUMMYFUNCTION("""COMPUTED_VALUE"""),20108)</f>
        <v>20108</v>
      </c>
      <c r="AB746" s="5"/>
      <c r="AC746" s="5" t="str">
        <f ca="1">IFERROR(__xludf.DUMMYFUNCTION("""COMPUTED_VALUE"""),"Buy Bonus, Variable RTP, Free Rounds")</f>
        <v>Buy Bonus, Variable RTP, Free Rounds</v>
      </c>
      <c r="AD746" s="5"/>
      <c r="AE746" s="5"/>
      <c r="AF746" s="5"/>
      <c r="AG746" s="10">
        <f ca="1">IFERROR(__xludf.DUMMYFUNCTION("""COMPUTED_VALUE"""),46210.4424189814)</f>
        <v>46210.442418981402</v>
      </c>
      <c r="AH746" s="5" t="str">
        <f ca="1">IFERROR(__xludf.DUMMYFUNCTION("""COMPUTED_VALUE"""),"petra.ilic@fazi.rs")</f>
        <v>petra.ilic@fazi.rs</v>
      </c>
      <c r="AI746" s="5"/>
      <c r="AJ746" s="5"/>
      <c r="AK746" s="5">
        <f ca="1">IFERROR(__xludf.DUMMYFUNCTION("""COMPUTED_VALUE"""),10)</f>
        <v>10</v>
      </c>
      <c r="AL746" s="5" t="str">
        <f ca="1">IFERROR(__xludf.DUMMYFUNCTION("""COMPUTED_VALUE"""),"Yes")</f>
        <v>Yes</v>
      </c>
      <c r="AM746" s="5"/>
      <c r="AN746" s="5"/>
      <c r="AO746" s="5" t="str">
        <f ca="1">IFERROR(__xludf.DUMMYFUNCTION("""COMPUTED_VALUE"""),"Yes")</f>
        <v>Yes</v>
      </c>
      <c r="AP746" s="5" t="str">
        <f ca="1">IFERROR(__xludf.DUMMYFUNCTION("""COMPUTED_VALUE"""),"Yes")</f>
        <v>Yes</v>
      </c>
      <c r="AQ746" s="5"/>
      <c r="AR746" s="5" t="b">
        <f ca="1">IFERROR(__xludf.DUMMYFUNCTION("""COMPUTED_VALUE"""),TRUE)</f>
        <v>1</v>
      </c>
      <c r="AS746" s="5"/>
      <c r="AT746" s="5"/>
      <c r="AU746" s="5" t="str">
        <f ca="1">IFERROR(__xludf.DUMMYFUNCTION("""COMPUTED_VALUE"""),"Fazi")</f>
        <v>Fazi</v>
      </c>
      <c r="AV746" s="5"/>
      <c r="AW746" s="5"/>
      <c r="AX746" s="15">
        <f ca="1">IFERROR(__xludf.DUMMYFUNCTION("""COMPUTED_VALUE"""),46203)</f>
        <v>46203</v>
      </c>
      <c r="AY746" s="5" t="str">
        <f ca="1">IFERROR(__xludf.DUMMYFUNCTION("""COMPUTED_VALUE"""),"87.5%, 89.5%, 91.5%, 93.5%, 94.5%, 95.5%, 96.5%")</f>
        <v>87.5%, 89.5%, 91.5%, 93.5%, 94.5%, 95.5%, 96.5%</v>
      </c>
      <c r="AZ746" s="5"/>
      <c r="BA746" s="5"/>
      <c r="BB746" s="5"/>
      <c r="BC746" s="5" t="str">
        <f ca="1">IFERROR(__xludf.DUMMYFUNCTION("""COMPUTED_VALUE"""),"Foxi")</f>
        <v>Foxi</v>
      </c>
      <c r="BD746" s="5"/>
      <c r="BE746" s="5"/>
    </row>
    <row r="747" spans="1:57" x14ac:dyDescent="0.25">
      <c r="A747" s="5">
        <f ca="1">IFERROR(__xludf.DUMMYFUNCTION("""COMPUTED_VALUE"""),784)</f>
        <v>784</v>
      </c>
      <c r="B747" s="5">
        <f ca="1">IFERROR(__xludf.DUMMYFUNCTION("""COMPUTED_VALUE"""),4047)</f>
        <v>4047</v>
      </c>
      <c r="C747" s="5" t="str">
        <f ca="1">IFERROR(__xludf.DUMMYFUNCTION("""COMPUTED_VALUE"""),"Fazi")</f>
        <v>Fazi</v>
      </c>
      <c r="D747" s="5" t="str">
        <f ca="1">IFERROR(__xludf.DUMMYFUNCTION("""COMPUTED_VALUE"""),"Wild Hot 40 Triunfo")</f>
        <v>Wild Hot 40 Triunfo</v>
      </c>
      <c r="E747" s="5" t="str">
        <f ca="1">IFERROR(__xludf.DUMMYFUNCTION("""COMPUTED_VALUE"""),"Sertifikacioni")</f>
        <v>Sertifikacioni</v>
      </c>
      <c r="F747" s="5" t="str">
        <f ca="1">IFERROR(__xludf.DUMMYFUNCTION("""COMPUTED_VALUE"""),"WildHot40Triunfo")</f>
        <v>WildHot40Triunfo</v>
      </c>
      <c r="G747" s="5" t="str">
        <f ca="1">IFERROR(__xludf.DUMMYFUNCTION("""COMPUTED_VALUE"""),"Deployed")</f>
        <v>Deployed</v>
      </c>
      <c r="H747" s="5" t="str">
        <f ca="1">IFERROR(__xludf.DUMMYFUNCTION("""COMPUTED_VALUE"""),"Triunfobet")</f>
        <v>Triunfobet</v>
      </c>
      <c r="I747" s="5" t="str">
        <f ca="1">IFERROR(__xludf.DUMMYFUNCTION("""COMPUTED_VALUE"""),"V2")</f>
        <v>V2</v>
      </c>
      <c r="J747" s="5" t="str">
        <f ca="1">IFERROR(__xludf.DUMMYFUNCTION("""COMPUTED_VALUE"""),"JSON")</f>
        <v>JSON</v>
      </c>
      <c r="K747" s="5" t="str">
        <f ca="1">IFERROR(__xludf.DUMMYFUNCTION("""COMPUTED_VALUE"""),"Slot")</f>
        <v>Slot</v>
      </c>
      <c r="L747" s="5" t="str">
        <f ca="1">IFERROR(__xludf.DUMMYFUNCTION("""COMPUTED_VALUE""")," Clone")</f>
        <v xml:space="preserve"> Clone</v>
      </c>
      <c r="M747" s="5" t="str">
        <f ca="1">IFERROR(__xludf.DUMMYFUNCTION("""COMPUTED_VALUE"""),"Wild Hot 40")</f>
        <v>Wild Hot 40</v>
      </c>
      <c r="N747" s="5"/>
      <c r="O747" s="5"/>
      <c r="P747" s="5"/>
      <c r="Q747" s="15">
        <f ca="1">IFERROR(__xludf.DUMMYFUNCTION("""COMPUTED_VALUE"""),46209)</f>
        <v>46209</v>
      </c>
      <c r="R747" s="5"/>
      <c r="S747" s="5"/>
      <c r="T747" s="5"/>
      <c r="U747" s="5" t="str">
        <f ca="1">IFERROR(__xludf.DUMMYFUNCTION("""COMPUTED_VALUE"""),"5x4")</f>
        <v>5x4</v>
      </c>
      <c r="V747" s="5">
        <f ca="1">IFERROR(__xludf.DUMMYFUNCTION("""COMPUTED_VALUE"""),40)</f>
        <v>40</v>
      </c>
      <c r="W747" s="5">
        <f ca="1">IFERROR(__xludf.DUMMYFUNCTION("""COMPUTED_VALUE"""),40)</f>
        <v>40</v>
      </c>
      <c r="X747" s="5">
        <f ca="1">IFERROR(__xludf.DUMMYFUNCTION("""COMPUTED_VALUE"""),96.584)</f>
        <v>96.584000000000003</v>
      </c>
      <c r="Y747" s="5" t="str">
        <f ca="1">IFERROR(__xludf.DUMMYFUNCTION("""COMPUTED_VALUE"""),"Low")</f>
        <v>Low</v>
      </c>
      <c r="Z747" s="5">
        <f ca="1">IFERROR(__xludf.DUMMYFUNCTION("""COMPUTED_VALUE"""),16.73)</f>
        <v>16.73</v>
      </c>
      <c r="AA747" s="5">
        <f ca="1">IFERROR(__xludf.DUMMYFUNCTION("""COMPUTED_VALUE"""),1000)</f>
        <v>1000</v>
      </c>
      <c r="AB747" s="5"/>
      <c r="AC747" s="5" t="str">
        <f ca="1">IFERROR(__xludf.DUMMYFUNCTION("""COMPUTED_VALUE"""),"Free Rounds, Variable RTP, Scatter, Wild Symbol")</f>
        <v>Free Rounds, Variable RTP, Scatter, Wild Symbol</v>
      </c>
      <c r="AD747" s="5"/>
      <c r="AE747" s="5"/>
      <c r="AF747" s="5"/>
      <c r="AG747" s="10">
        <f ca="1">IFERROR(__xludf.DUMMYFUNCTION("""COMPUTED_VALUE"""),46210.4421296296)</f>
        <v>46210.442129629599</v>
      </c>
      <c r="AH747" s="5" t="str">
        <f ca="1">IFERROR(__xludf.DUMMYFUNCTION("""COMPUTED_VALUE"""),"petra.ilic@fazi.rs")</f>
        <v>petra.ilic@fazi.rs</v>
      </c>
      <c r="AI747" s="5"/>
      <c r="AJ747" s="5"/>
      <c r="AK747" s="5">
        <f ca="1">IFERROR(__xludf.DUMMYFUNCTION("""COMPUTED_VALUE"""),40)</f>
        <v>40</v>
      </c>
      <c r="AL747" s="5" t="str">
        <f ca="1">IFERROR(__xludf.DUMMYFUNCTION("""COMPUTED_VALUE"""),"Yes")</f>
        <v>Yes</v>
      </c>
      <c r="AM747" s="5"/>
      <c r="AN747" s="5"/>
      <c r="AO747" s="5" t="str">
        <f ca="1">IFERROR(__xludf.DUMMYFUNCTION("""COMPUTED_VALUE"""),"Yes")</f>
        <v>Yes</v>
      </c>
      <c r="AP747" s="5" t="str">
        <f ca="1">IFERROR(__xludf.DUMMYFUNCTION("""COMPUTED_VALUE"""),"Yes")</f>
        <v>Yes</v>
      </c>
      <c r="AQ747" s="5"/>
      <c r="AR747" s="5" t="b">
        <f ca="1">IFERROR(__xludf.DUMMYFUNCTION("""COMPUTED_VALUE"""),TRUE)</f>
        <v>1</v>
      </c>
      <c r="AS747" s="5"/>
      <c r="AT747" s="5"/>
      <c r="AU747" s="5" t="str">
        <f ca="1">IFERROR(__xludf.DUMMYFUNCTION("""COMPUTED_VALUE"""),"Fazi")</f>
        <v>Fazi</v>
      </c>
      <c r="AV747" s="5">
        <f ca="1">IFERROR(__xludf.DUMMYFUNCTION("""COMPUTED_VALUE"""),1)</f>
        <v>1</v>
      </c>
      <c r="AW747" s="5"/>
      <c r="AX747" s="15">
        <f ca="1">IFERROR(__xludf.DUMMYFUNCTION("""COMPUTED_VALUE"""),46203)</f>
        <v>46203</v>
      </c>
      <c r="AY747" s="5" t="str">
        <f ca="1">IFERROR(__xludf.DUMMYFUNCTION("""COMPUTED_VALUE"""),"87.5%, 89.5%, 91.5%, 93.5%, 94.5%, 95.5%, 96.5%")</f>
        <v>87.5%, 89.5%, 91.5%, 93.5%, 94.5%, 95.5%, 96.5%</v>
      </c>
      <c r="AZ747" s="5"/>
      <c r="BA747" s="5"/>
      <c r="BB747" s="5"/>
      <c r="BC747" s="5" t="str">
        <f ca="1">IFERROR(__xludf.DUMMYFUNCTION("""COMPUTED_VALUE"""),"Foxi")</f>
        <v>Foxi</v>
      </c>
      <c r="BD747" s="5"/>
      <c r="BE747" s="5"/>
    </row>
    <row r="748" spans="1:57" x14ac:dyDescent="0.25">
      <c r="A748" s="5">
        <f ca="1">IFERROR(__xludf.DUMMYFUNCTION("""COMPUTED_VALUE"""),785)</f>
        <v>785</v>
      </c>
      <c r="B748" s="5">
        <f ca="1">IFERROR(__xludf.DUMMYFUNCTION("""COMPUTED_VALUE"""),4042)</f>
        <v>4042</v>
      </c>
      <c r="C748" s="5" t="str">
        <f ca="1">IFERROR(__xludf.DUMMYFUNCTION("""COMPUTED_VALUE"""),"Fazi")</f>
        <v>Fazi</v>
      </c>
      <c r="D748" s="5" t="str">
        <f ca="1">IFERROR(__xludf.DUMMYFUNCTION("""COMPUTED_VALUE"""),"Wild Hot Gorilla")</f>
        <v>Wild Hot Gorilla</v>
      </c>
      <c r="E748" s="5" t="str">
        <f ca="1">IFERROR(__xludf.DUMMYFUNCTION("""COMPUTED_VALUE"""),"Sertifikacioni")</f>
        <v>Sertifikacioni</v>
      </c>
      <c r="F748" s="5" t="str">
        <f ca="1">IFERROR(__xludf.DUMMYFUNCTION("""COMPUTED_VALUE"""),"WildHotGorilla")</f>
        <v>WildHotGorilla</v>
      </c>
      <c r="G748" s="5" t="str">
        <f ca="1">IFERROR(__xludf.DUMMYFUNCTION("""COMPUTED_VALUE"""),"In Development")</f>
        <v>In Development</v>
      </c>
      <c r="H748" s="5" t="str">
        <f ca="1">IFERROR(__xludf.DUMMYFUNCTION("""COMPUTED_VALUE"""),"Gorilla")</f>
        <v>Gorilla</v>
      </c>
      <c r="I748" s="5" t="str">
        <f ca="1">IFERROR(__xludf.DUMMYFUNCTION("""COMPUTED_VALUE"""),"V2")</f>
        <v>V2</v>
      </c>
      <c r="J748" s="5" t="str">
        <f ca="1">IFERROR(__xludf.DUMMYFUNCTION("""COMPUTED_VALUE"""),"JSON")</f>
        <v>JSON</v>
      </c>
      <c r="K748" s="5" t="str">
        <f ca="1">IFERROR(__xludf.DUMMYFUNCTION("""COMPUTED_VALUE"""),"Slot")</f>
        <v>Slot</v>
      </c>
      <c r="L748" s="5" t="str">
        <f ca="1">IFERROR(__xludf.DUMMYFUNCTION("""COMPUTED_VALUE""")," Clone")</f>
        <v xml:space="preserve"> Clone</v>
      </c>
      <c r="M748" s="5" t="str">
        <f ca="1">IFERROR(__xludf.DUMMYFUNCTION("""COMPUTED_VALUE"""),"Wild Hot 40")</f>
        <v>Wild Hot 40</v>
      </c>
      <c r="N748" s="5"/>
      <c r="O748" s="5"/>
      <c r="P748" s="5"/>
      <c r="Q748" s="15">
        <f ca="1">IFERROR(__xludf.DUMMYFUNCTION("""COMPUTED_VALUE"""),46195)</f>
        <v>46195</v>
      </c>
      <c r="R748" s="5"/>
      <c r="S748" s="5"/>
      <c r="T748" s="5"/>
      <c r="U748" s="5">
        <f ca="1">IFERROR(__xludf.DUMMYFUNCTION("""COMPUTED_VALUE"""),40)</f>
        <v>40</v>
      </c>
      <c r="V748" s="5">
        <f ca="1">IFERROR(__xludf.DUMMYFUNCTION("""COMPUTED_VALUE"""),40)</f>
        <v>40</v>
      </c>
      <c r="W748" s="5"/>
      <c r="X748" s="5">
        <f ca="1">IFERROR(__xludf.DUMMYFUNCTION("""COMPUTED_VALUE"""),96.584)</f>
        <v>96.584000000000003</v>
      </c>
      <c r="Y748" s="5" t="str">
        <f ca="1">IFERROR(__xludf.DUMMYFUNCTION("""COMPUTED_VALUE"""),"Low")</f>
        <v>Low</v>
      </c>
      <c r="Z748" s="5">
        <f ca="1">IFERROR(__xludf.DUMMYFUNCTION("""COMPUTED_VALUE"""),16.73)</f>
        <v>16.73</v>
      </c>
      <c r="AA748" s="5">
        <f ca="1">IFERROR(__xludf.DUMMYFUNCTION("""COMPUTED_VALUE"""),1000)</f>
        <v>1000</v>
      </c>
      <c r="AB748" s="5"/>
      <c r="AC748" s="5" t="str">
        <f ca="1">IFERROR(__xludf.DUMMYFUNCTION("""COMPUTED_VALUE"""),"Buy Bonus, Scatter, Wild Symbol")</f>
        <v>Buy Bonus, Scatter, Wild Symbol</v>
      </c>
      <c r="AD748" s="5"/>
      <c r="AE748" s="5"/>
      <c r="AF748" s="5"/>
      <c r="AG748" s="10">
        <f ca="1">IFERROR(__xludf.DUMMYFUNCTION("""COMPUTED_VALUE"""),46185.6754398148)</f>
        <v>46185.675439814797</v>
      </c>
      <c r="AH748" s="5" t="str">
        <f ca="1">IFERROR(__xludf.DUMMYFUNCTION("""COMPUTED_VALUE"""),"petra.ilic@fazi.rs")</f>
        <v>petra.ilic@fazi.rs</v>
      </c>
      <c r="AI748" s="5"/>
      <c r="AJ748" s="5"/>
      <c r="AK748" s="5">
        <f ca="1">IFERROR(__xludf.DUMMYFUNCTION("""COMPUTED_VALUE"""),40)</f>
        <v>40</v>
      </c>
      <c r="AL748" s="5" t="str">
        <f ca="1">IFERROR(__xludf.DUMMYFUNCTION("""COMPUTED_VALUE"""),"Yes")</f>
        <v>Yes</v>
      </c>
      <c r="AM748" s="5"/>
      <c r="AN748" s="5"/>
      <c r="AO748" s="5" t="str">
        <f ca="1">IFERROR(__xludf.DUMMYFUNCTION("""COMPUTED_VALUE"""),"Yes")</f>
        <v>Yes</v>
      </c>
      <c r="AP748" s="5" t="str">
        <f ca="1">IFERROR(__xludf.DUMMYFUNCTION("""COMPUTED_VALUE"""),"Yes")</f>
        <v>Yes</v>
      </c>
      <c r="AQ748" s="5"/>
      <c r="AR748" s="5" t="b">
        <f ca="1">IFERROR(__xludf.DUMMYFUNCTION("""COMPUTED_VALUE"""),TRUE)</f>
        <v>1</v>
      </c>
      <c r="AS748" s="5"/>
      <c r="AT748" s="5"/>
      <c r="AU748" s="5" t="str">
        <f ca="1">IFERROR(__xludf.DUMMYFUNCTION("""COMPUTED_VALUE"""),"Fazi")</f>
        <v>Fazi</v>
      </c>
      <c r="AV748" s="5"/>
      <c r="AW748" s="5"/>
      <c r="AX748" s="15">
        <f ca="1">IFERROR(__xludf.DUMMYFUNCTION("""COMPUTED_VALUE"""),46189)</f>
        <v>46189</v>
      </c>
      <c r="AY748" s="5" t="str">
        <f ca="1">IFERROR(__xludf.DUMMYFUNCTION("""COMPUTED_VALUE"""),"87.5%, 89.5%, 91.5%, 93.5%, 94.5%, 95.5%, 96.5%")</f>
        <v>87.5%, 89.5%, 91.5%, 93.5%, 94.5%, 95.5%, 96.5%</v>
      </c>
      <c r="AZ748" s="5"/>
      <c r="BA748" s="5"/>
      <c r="BB748" s="5"/>
      <c r="BC748" s="5" t="str">
        <f ca="1">IFERROR(__xludf.DUMMYFUNCTION("""COMPUTED_VALUE"""),"Foxi")</f>
        <v>Foxi</v>
      </c>
      <c r="BD748" s="5" t="str">
        <f ca="1">IFERROR(__xludf.DUMMYFUNCTION("""COMPUTED_VALUE"""),"")</f>
        <v/>
      </c>
      <c r="BE748" s="5"/>
    </row>
    <row r="749" spans="1:57" x14ac:dyDescent="0.25">
      <c r="A749" s="5">
        <f ca="1">IFERROR(__xludf.DUMMYFUNCTION("""COMPUTED_VALUE"""),786)</f>
        <v>786</v>
      </c>
      <c r="B749" s="5">
        <f ca="1">IFERROR(__xludf.DUMMYFUNCTION("""COMPUTED_VALUE"""),4044)</f>
        <v>4044</v>
      </c>
      <c r="C749" s="5" t="str">
        <f ca="1">IFERROR(__xludf.DUMMYFUNCTION("""COMPUTED_VALUE"""),"Fazi")</f>
        <v>Fazi</v>
      </c>
      <c r="D749" s="5" t="str">
        <f ca="1">IFERROR(__xludf.DUMMYFUNCTION("""COMPUTED_VALUE"""),"Betking Wild 27")</f>
        <v>Betking Wild 27</v>
      </c>
      <c r="E749" s="5" t="str">
        <f ca="1">IFERROR(__xludf.DUMMYFUNCTION("""COMPUTED_VALUE"""),"Sertifikacioni")</f>
        <v>Sertifikacioni</v>
      </c>
      <c r="F749" s="5" t="str">
        <f ca="1">IFERROR(__xludf.DUMMYFUNCTION("""COMPUTED_VALUE"""),"BetkingWild27")</f>
        <v>BetkingWild27</v>
      </c>
      <c r="G749" s="5" t="str">
        <f ca="1">IFERROR(__xludf.DUMMYFUNCTION("""COMPUTED_VALUE"""),"Deployed")</f>
        <v>Deployed</v>
      </c>
      <c r="H749" s="5" t="str">
        <f ca="1">IFERROR(__xludf.DUMMYFUNCTION("""COMPUTED_VALUE"""),"Betking")</f>
        <v>Betking</v>
      </c>
      <c r="I749" s="5" t="str">
        <f ca="1">IFERROR(__xludf.DUMMYFUNCTION("""COMPUTED_VALUE"""),"V4")</f>
        <v>V4</v>
      </c>
      <c r="J749" s="5" t="str">
        <f ca="1">IFERROR(__xludf.DUMMYFUNCTION("""COMPUTED_VALUE"""),"JSON")</f>
        <v>JSON</v>
      </c>
      <c r="K749" s="5" t="str">
        <f ca="1">IFERROR(__xludf.DUMMYFUNCTION("""COMPUTED_VALUE"""),"Slot")</f>
        <v>Slot</v>
      </c>
      <c r="L749" s="5" t="str">
        <f ca="1">IFERROR(__xludf.DUMMYFUNCTION("""COMPUTED_VALUE""")," Clone")</f>
        <v xml:space="preserve"> Clone</v>
      </c>
      <c r="M749" s="5" t="str">
        <f ca="1">IFERROR(__xludf.DUMMYFUNCTION("""COMPUTED_VALUE"""),"Wild 27")</f>
        <v>Wild 27</v>
      </c>
      <c r="N749" s="5"/>
      <c r="O749" s="5"/>
      <c r="P749" s="5"/>
      <c r="Q749" s="15">
        <f ca="1">IFERROR(__xludf.DUMMYFUNCTION("""COMPUTED_VALUE"""),46209)</f>
        <v>46209</v>
      </c>
      <c r="R749" s="5"/>
      <c r="S749" s="5"/>
      <c r="T749" s="5"/>
      <c r="U749" s="5" t="str">
        <f ca="1">IFERROR(__xludf.DUMMYFUNCTION("""COMPUTED_VALUE"""),"3x3")</f>
        <v>3x3</v>
      </c>
      <c r="V749" s="5">
        <f ca="1">IFERROR(__xludf.DUMMYFUNCTION("""COMPUTED_VALUE"""),27)</f>
        <v>27</v>
      </c>
      <c r="W749" s="5">
        <f ca="1">IFERROR(__xludf.DUMMYFUNCTION("""COMPUTED_VALUE"""),27)</f>
        <v>27</v>
      </c>
      <c r="X749" s="5">
        <f ca="1">IFERROR(__xludf.DUMMYFUNCTION("""COMPUTED_VALUE"""),96.24)</f>
        <v>96.24</v>
      </c>
      <c r="Y749" s="5" t="str">
        <f ca="1">IFERROR(__xludf.DUMMYFUNCTION("""COMPUTED_VALUE"""),"Low")</f>
        <v>Low</v>
      </c>
      <c r="Z749" s="5">
        <f ca="1">IFERROR(__xludf.DUMMYFUNCTION("""COMPUTED_VALUE"""),6.58)</f>
        <v>6.58</v>
      </c>
      <c r="AA749" s="5">
        <f ca="1">IFERROR(__xludf.DUMMYFUNCTION("""COMPUTED_VALUE"""),108)</f>
        <v>108</v>
      </c>
      <c r="AB749" s="5"/>
      <c r="AC749" s="5" t="str">
        <f ca="1">IFERROR(__xludf.DUMMYFUNCTION("""COMPUTED_VALUE"""),"Free Rounds, Variable RTP")</f>
        <v>Free Rounds, Variable RTP</v>
      </c>
      <c r="AD749" s="5"/>
      <c r="AE749" s="5"/>
      <c r="AF749" s="5"/>
      <c r="AG749" s="10">
        <f ca="1">IFERROR(__xludf.DUMMYFUNCTION("""COMPUTED_VALUE"""),46210.4422685185)</f>
        <v>46210.442268518498</v>
      </c>
      <c r="AH749" s="5" t="str">
        <f ca="1">IFERROR(__xludf.DUMMYFUNCTION("""COMPUTED_VALUE"""),"petra.ilic@fazi.rs")</f>
        <v>petra.ilic@fazi.rs</v>
      </c>
      <c r="AI749" s="5"/>
      <c r="AJ749" s="5"/>
      <c r="AK749" s="5">
        <f ca="1">IFERROR(__xludf.DUMMYFUNCTION("""COMPUTED_VALUE"""),1)</f>
        <v>1</v>
      </c>
      <c r="AL749" s="5" t="str">
        <f ca="1">IFERROR(__xludf.DUMMYFUNCTION("""COMPUTED_VALUE"""),"Yes")</f>
        <v>Yes</v>
      </c>
      <c r="AM749" s="5"/>
      <c r="AN749" s="5"/>
      <c r="AO749" s="5" t="str">
        <f ca="1">IFERROR(__xludf.DUMMYFUNCTION("""COMPUTED_VALUE"""),"Yes")</f>
        <v>Yes</v>
      </c>
      <c r="AP749" s="5" t="str">
        <f ca="1">IFERROR(__xludf.DUMMYFUNCTION("""COMPUTED_VALUE"""),"Yes")</f>
        <v>Yes</v>
      </c>
      <c r="AQ749" s="5"/>
      <c r="AR749" s="5" t="b">
        <f ca="1">IFERROR(__xludf.DUMMYFUNCTION("""COMPUTED_VALUE"""),TRUE)</f>
        <v>1</v>
      </c>
      <c r="AS749" s="5"/>
      <c r="AT749" s="5"/>
      <c r="AU749" s="5" t="str">
        <f ca="1">IFERROR(__xludf.DUMMYFUNCTION("""COMPUTED_VALUE"""),"Fazi")</f>
        <v>Fazi</v>
      </c>
      <c r="AV749" s="5"/>
      <c r="AW749" s="5"/>
      <c r="AX749" s="15">
        <f ca="1">IFERROR(__xludf.DUMMYFUNCTION("""COMPUTED_VALUE"""),46203)</f>
        <v>46203</v>
      </c>
      <c r="AY749" s="5" t="str">
        <f ca="1">IFERROR(__xludf.DUMMYFUNCTION("""COMPUTED_VALUE"""),"87.5%, 89.5%, 91.5%, 93.5%, 94.5%, 95.5%, 96.5%")</f>
        <v>87.5%, 89.5%, 91.5%, 93.5%, 94.5%, 95.5%, 96.5%</v>
      </c>
      <c r="AZ749" s="5"/>
      <c r="BA749" s="5"/>
      <c r="BB749" s="5"/>
      <c r="BC749" s="5" t="str">
        <f ca="1">IFERROR(__xludf.DUMMYFUNCTION("""COMPUTED_VALUE"""),"Foxi")</f>
        <v>Foxi</v>
      </c>
      <c r="BD749" s="5"/>
      <c r="BE749" s="5"/>
    </row>
    <row r="750" spans="1:57" x14ac:dyDescent="0.25">
      <c r="A750" s="5">
        <f ca="1">IFERROR(__xludf.DUMMYFUNCTION("""COMPUTED_VALUE"""),787)</f>
        <v>787</v>
      </c>
      <c r="B750" s="5">
        <f ca="1">IFERROR(__xludf.DUMMYFUNCTION("""COMPUTED_VALUE"""),5000001)</f>
        <v>5000001</v>
      </c>
      <c r="C750" s="5" t="str">
        <f ca="1">IFERROR(__xludf.DUMMYFUNCTION("""COMPUTED_VALUE"""),"SOKO studio")</f>
        <v>SOKO studio</v>
      </c>
      <c r="D750" s="5" t="str">
        <f ca="1">IFERROR(__xludf.DUMMYFUNCTION("""COMPUTED_VALUE"""),"Lucky Crown 10")</f>
        <v>Lucky Crown 10</v>
      </c>
      <c r="E750" s="5" t="str">
        <f ca="1">IFERROR(__xludf.DUMMYFUNCTION("""COMPUTED_VALUE"""),"SOKO studio")</f>
        <v>SOKO studio</v>
      </c>
      <c r="F750" s="5" t="str">
        <f ca="1">IFERROR(__xludf.DUMMYFUNCTION("""COMPUTED_VALUE"""),"SokoLuckyCrown10")</f>
        <v>SokoLuckyCrown10</v>
      </c>
      <c r="G750" s="5" t="str">
        <f ca="1">IFERROR(__xludf.DUMMYFUNCTION("""COMPUTED_VALUE"""),"Live")</f>
        <v>Live</v>
      </c>
      <c r="H750" s="5"/>
      <c r="I750" s="5" t="str">
        <f ca="1">IFERROR(__xludf.DUMMYFUNCTION("""COMPUTED_VALUE"""),"SOKO studio")</f>
        <v>SOKO studio</v>
      </c>
      <c r="J750" s="5" t="str">
        <f ca="1">IFERROR(__xludf.DUMMYFUNCTION("""COMPUTED_VALUE"""),"JSON")</f>
        <v>JSON</v>
      </c>
      <c r="K750" s="5" t="str">
        <f ca="1">IFERROR(__xludf.DUMMYFUNCTION("""COMPUTED_VALUE"""),"Slot")</f>
        <v>Slot</v>
      </c>
      <c r="L750" s="5" t="str">
        <f ca="1">IFERROR(__xludf.DUMMYFUNCTION("""COMPUTED_VALUE"""),"Master")</f>
        <v>Master</v>
      </c>
      <c r="M750" s="5"/>
      <c r="N750" s="7" t="str">
        <f ca="1">IFERROR(__xludf.DUMMYFUNCTION("""COMPUTED_VALUE"""),"https://dicebyte.sharepoint.com/:w:/g/IQBMvZcM-ZEMSIz3gv35CviIAT5NyCws_wmwUJJ_l1POEws?e=rosiY8")</f>
        <v>https://dicebyte.sharepoint.com/:w:/g/IQBMvZcM-ZEMSIz3gv35CviIAT5NyCws_wmwUJJ_l1POEws?e=rosiY8</v>
      </c>
      <c r="O750" s="7" t="str">
        <f ca="1">IFERROR(__xludf.DUMMYFUNCTION("""COMPUTED_VALUE"""),"https://dicebyte.sharepoint.com/:w:/g/IQBkSwp3xWGoS6JWHr34lPnLAUTBake1SLvmEpk02u-x400?e=mDOD51")</f>
        <v>https://dicebyte.sharepoint.com/:w:/g/IQBkSwp3xWGoS6JWHr34lPnLAUTBake1SLvmEpk02u-x400?e=mDOD51</v>
      </c>
      <c r="P750" s="14">
        <f ca="1">IFERROR(__xludf.DUMMYFUNCTION("""COMPUTED_VALUE"""),20.8)</f>
        <v>20.8</v>
      </c>
      <c r="Q750" s="15">
        <f ca="1">IFERROR(__xludf.DUMMYFUNCTION("""COMPUTED_VALUE"""),46181)</f>
        <v>46181</v>
      </c>
      <c r="R750" s="15">
        <f ca="1">IFERROR(__xludf.DUMMYFUNCTION("""COMPUTED_VALUE"""),46197)</f>
        <v>46197</v>
      </c>
      <c r="S750" s="15">
        <f ca="1">IFERROR(__xludf.DUMMYFUNCTION("""COMPUTED_VALUE"""),46204)</f>
        <v>46204</v>
      </c>
      <c r="T750" s="5" t="b">
        <f ca="1">IFERROR(__xludf.DUMMYFUNCTION("""COMPUTED_VALUE"""),TRUE)</f>
        <v>1</v>
      </c>
      <c r="U750" s="5" t="str">
        <f ca="1">IFERROR(__xludf.DUMMYFUNCTION("""COMPUTED_VALUE"""),"5x3")</f>
        <v>5x3</v>
      </c>
      <c r="V750" s="5">
        <f ca="1">IFERROR(__xludf.DUMMYFUNCTION("""COMPUTED_VALUE"""),10)</f>
        <v>10</v>
      </c>
      <c r="W750" s="5">
        <f ca="1">IFERROR(__xludf.DUMMYFUNCTION("""COMPUTED_VALUE"""),10)</f>
        <v>10</v>
      </c>
      <c r="X750" s="5">
        <f ca="1">IFERROR(__xludf.DUMMYFUNCTION("""COMPUTED_VALUE"""),94.91)</f>
        <v>94.91</v>
      </c>
      <c r="Y750" s="5" t="str">
        <f ca="1">IFERROR(__xludf.DUMMYFUNCTION("""COMPUTED_VALUE"""),"High")</f>
        <v>High</v>
      </c>
      <c r="Z750" s="5">
        <f ca="1">IFERROR(__xludf.DUMMYFUNCTION("""COMPUTED_VALUE"""),9.5)</f>
        <v>9.5</v>
      </c>
      <c r="AA750" s="5">
        <f ca="1">IFERROR(__xludf.DUMMYFUNCTION("""COMPUTED_VALUE"""),2666)</f>
        <v>2666</v>
      </c>
      <c r="AB750" s="5"/>
      <c r="AC750" s="5" t="str">
        <f ca="1">IFERROR(__xludf.DUMMYFUNCTION("""COMPUTED_VALUE"""),"Expanding Wild, Scatter, Wild Symbol")</f>
        <v>Expanding Wild, Scatter, Wild Symbol</v>
      </c>
      <c r="AD750" s="5" t="str">
        <f ca="1">IFERROR(__xludf.DUMMYFUNCTION("""COMPUTED_VALUE"""),"0.10/100")</f>
        <v>0.10/100</v>
      </c>
      <c r="AE750" s="5"/>
      <c r="AF750" s="5"/>
      <c r="AG750" s="10">
        <f ca="1">IFERROR(__xludf.DUMMYFUNCTION("""COMPUTED_VALUE"""),46212.6683680555)</f>
        <v>46212.6683680555</v>
      </c>
      <c r="AH750" s="5"/>
      <c r="AI750" s="15">
        <f ca="1">IFERROR(__xludf.DUMMYFUNCTION("""COMPUTED_VALUE"""),46188)</f>
        <v>46188</v>
      </c>
      <c r="AJ750" s="5" t="str">
        <f ca="1">IFERROR(__xludf.DUMMYFUNCTION("""COMPUTED_VALUE"""),"AdmiralMne	15.06.")</f>
        <v>AdmiralMne	15.06.</v>
      </c>
      <c r="AK750" s="5">
        <f ca="1">IFERROR(__xludf.DUMMYFUNCTION("""COMPUTED_VALUE"""),10)</f>
        <v>10</v>
      </c>
      <c r="AL750" s="5" t="str">
        <f ca="1">IFERROR(__xludf.DUMMYFUNCTION("""COMPUTED_VALUE"""),"No")</f>
        <v>No</v>
      </c>
      <c r="AM750" s="5" t="str">
        <f ca="1">IFERROR(__xludf.DUMMYFUNCTION("""COMPUTED_VALUE"""),"No")</f>
        <v>No</v>
      </c>
      <c r="AN750" s="7" t="str">
        <f ca="1">IFERROR(__xludf.DUMMYFUNCTION("""COMPUTED_VALUE"""),"https://rgs-lucky-crown-10.soko.games/?demo=True&amp;locale=eng")</f>
        <v>https://rgs-lucky-crown-10.soko.games/?demo=True&amp;locale=eng</v>
      </c>
      <c r="AO750" s="5"/>
      <c r="AP750" s="5"/>
      <c r="AQ750" s="5" t="b">
        <f ca="1">IFERROR(__xludf.DUMMYFUNCTION("""COMPUTED_VALUE"""),TRUE)</f>
        <v>1</v>
      </c>
      <c r="AR750" s="5"/>
      <c r="AS750" s="5" t="str">
        <f ca="1">IFERROR(__xludf.DUMMYFUNCTION("""COMPUTED_VALUE"""),"Lucky Crown 10 is a vibrant fruit slot with a classic casino feel, built around 10 paylines, high volatility, and an expanding wild feature for bigger win potential. ")</f>
        <v xml:space="preserve">Lucky Crown 10 is a vibrant fruit slot with a classic casino feel, built around 10 paylines, high volatility, and an expanding wild feature for bigger win potential. </v>
      </c>
      <c r="AT750" s="5"/>
      <c r="AU750" s="5" t="str">
        <f ca="1">IFERROR(__xludf.DUMMYFUNCTION("""COMPUTED_VALUE"""),"SOKO studio")</f>
        <v>SOKO studio</v>
      </c>
      <c r="AV750" s="5">
        <f ca="1">IFERROR(__xludf.DUMMYFUNCTION("""COMPUTED_VALUE"""),1)</f>
        <v>1</v>
      </c>
      <c r="AW750" s="5"/>
      <c r="AX750" s="15">
        <f ca="1">IFERROR(__xludf.DUMMYFUNCTION("""COMPUTED_VALUE"""),46175)</f>
        <v>46175</v>
      </c>
      <c r="AY750" s="5"/>
      <c r="AZ750" s="5"/>
      <c r="BA750" s="5"/>
      <c r="BB750" s="5" t="b">
        <f ca="1">IFERROR(__xludf.DUMMYFUNCTION("""COMPUTED_VALUE"""),TRUE)</f>
        <v>1</v>
      </c>
      <c r="BC750" s="5" t="str">
        <f ca="1">IFERROR(__xludf.DUMMYFUNCTION("""COMPUTED_VALUE"""),"SOKO studio")</f>
        <v>SOKO studio</v>
      </c>
      <c r="BD750" s="7" t="str">
        <f ca="1">IFERROR(__xludf.DUMMYFUNCTION("""COMPUTED_VALUE"""),"https://rgs-lucky-crown-10.soko.games/")</f>
        <v>https://rgs-lucky-crown-10.soko.games/</v>
      </c>
      <c r="BE750" s="5" t="b">
        <f ca="1">IFERROR(__xludf.DUMMYFUNCTION("""COMPUTED_VALUE"""),TRUE)</f>
        <v>1</v>
      </c>
    </row>
    <row r="751" spans="1:57" x14ac:dyDescent="0.25">
      <c r="A751" s="5">
        <f ca="1">IFERROR(__xludf.DUMMYFUNCTION("""COMPUTED_VALUE"""),788)</f>
        <v>788</v>
      </c>
      <c r="B751" s="5">
        <f ca="1">IFERROR(__xludf.DUMMYFUNCTION("""COMPUTED_VALUE"""),2021)</f>
        <v>2021</v>
      </c>
      <c r="C751" s="5" t="str">
        <f ca="1">IFERROR(__xludf.DUMMYFUNCTION("""COMPUTED_VALUE"""),"Fazi")</f>
        <v>Fazi</v>
      </c>
      <c r="D751" s="5" t="str">
        <f ca="1">IFERROR(__xludf.DUMMYFUNCTION("""COMPUTED_VALUE"""),"Hot Clock Extreme")</f>
        <v>Hot Clock Extreme</v>
      </c>
      <c r="E751" s="5" t="str">
        <f ca="1">IFERROR(__xludf.DUMMYFUNCTION("""COMPUTED_VALUE"""),"V4-2")</f>
        <v>V4-2</v>
      </c>
      <c r="F751" s="5" t="str">
        <f ca="1">IFERROR(__xludf.DUMMYFUNCTION("""COMPUTED_VALUE"""),"HotClockExtreme")</f>
        <v>HotClockExtreme</v>
      </c>
      <c r="G751" s="5" t="str">
        <f ca="1">IFERROR(__xludf.DUMMYFUNCTION("""COMPUTED_VALUE"""),"Deployed")</f>
        <v>Deployed</v>
      </c>
      <c r="H751" s="5"/>
      <c r="I751" s="5" t="str">
        <f ca="1">IFERROR(__xludf.DUMMYFUNCTION("""COMPUTED_VALUE"""),"V4")</f>
        <v>V4</v>
      </c>
      <c r="J751" s="5" t="str">
        <f ca="1">IFERROR(__xludf.DUMMYFUNCTION("""COMPUTED_VALUE"""),"JSON")</f>
        <v>JSON</v>
      </c>
      <c r="K751" s="5" t="str">
        <f ca="1">IFERROR(__xludf.DUMMYFUNCTION("""COMPUTED_VALUE"""),"Slot")</f>
        <v>Slot</v>
      </c>
      <c r="L751" s="5" t="str">
        <f ca="1">IFERROR(__xludf.DUMMYFUNCTION("""COMPUTED_VALUE""")," Variant")</f>
        <v xml:space="preserve"> Variant</v>
      </c>
      <c r="M751" s="5" t="str">
        <f ca="1">IFERROR(__xludf.DUMMYFUNCTION("""COMPUTED_VALUE"""),"Hot Clock")</f>
        <v>Hot Clock</v>
      </c>
      <c r="N751" s="5"/>
      <c r="O751" s="5"/>
      <c r="P751" s="5">
        <f ca="1">IFERROR(__xludf.DUMMYFUNCTION("""COMPUTED_VALUE"""),18.4)</f>
        <v>18.399999999999999</v>
      </c>
      <c r="Q751" s="15">
        <f ca="1">IFERROR(__xludf.DUMMYFUNCTION("""COMPUTED_VALUE"""),46209)</f>
        <v>46209</v>
      </c>
      <c r="R751" s="5"/>
      <c r="S751" s="5"/>
      <c r="T751" s="5"/>
      <c r="U751" s="5" t="str">
        <f ca="1">IFERROR(__xludf.DUMMYFUNCTION("""COMPUTED_VALUE"""),"5x3")</f>
        <v>5x3</v>
      </c>
      <c r="V751" s="5">
        <f ca="1">IFERROR(__xludf.DUMMYFUNCTION("""COMPUTED_VALUE"""),10)</f>
        <v>10</v>
      </c>
      <c r="W751" s="5">
        <f ca="1">IFERROR(__xludf.DUMMYFUNCTION("""COMPUTED_VALUE"""),10)</f>
        <v>10</v>
      </c>
      <c r="X751" s="5">
        <f ca="1">IFERROR(__xludf.DUMMYFUNCTION("""COMPUTED_VALUE"""),96.5)</f>
        <v>96.5</v>
      </c>
      <c r="Y751" s="5" t="str">
        <f ca="1">IFERROR(__xludf.DUMMYFUNCTION("""COMPUTED_VALUE"""),"Medium")</f>
        <v>Medium</v>
      </c>
      <c r="Z751" s="5">
        <f ca="1">IFERROR(__xludf.DUMMYFUNCTION("""COMPUTED_VALUE"""),14.085)</f>
        <v>14.085000000000001</v>
      </c>
      <c r="AA751" s="5">
        <f ca="1">IFERROR(__xludf.DUMMYFUNCTION("""COMPUTED_VALUE"""),2500)</f>
        <v>2500</v>
      </c>
      <c r="AB751" s="5"/>
      <c r="AC751" s="5" t="str">
        <f ca="1">IFERROR(__xludf.DUMMYFUNCTION("""COMPUTED_VALUE"""),"Buy Feature, Wild Symbol, Jumping Wild")</f>
        <v>Buy Feature, Wild Symbol, Jumping Wild</v>
      </c>
      <c r="AD751" s="5" t="str">
        <f ca="1">IFERROR(__xludf.DUMMYFUNCTION("""COMPUTED_VALUE"""),"0.1/50")</f>
        <v>0.1/50</v>
      </c>
      <c r="AE751" s="5"/>
      <c r="AF751" s="5"/>
      <c r="AG751" s="10">
        <f ca="1">IFERROR(__xludf.DUMMYFUNCTION("""COMPUTED_VALUE"""),46213.6347106481)</f>
        <v>46213.634710648097</v>
      </c>
      <c r="AH751" s="5" t="str">
        <f ca="1">IFERROR(__xludf.DUMMYFUNCTION("""COMPUTED_VALUE"""),"aleksandar.trajkovic@fazi.rs")</f>
        <v>aleksandar.trajkovic@fazi.rs</v>
      </c>
      <c r="AI751" s="5"/>
      <c r="AJ751" s="5"/>
      <c r="AK751" s="5">
        <f ca="1">IFERROR(__xludf.DUMMYFUNCTION("""COMPUTED_VALUE"""),1)</f>
        <v>1</v>
      </c>
      <c r="AL751" s="5" t="str">
        <f ca="1">IFERROR(__xludf.DUMMYFUNCTION("""COMPUTED_VALUE"""),"Yes")</f>
        <v>Yes</v>
      </c>
      <c r="AM751" s="5" t="str">
        <f ca="1">IFERROR(__xludf.DUMMYFUNCTION("""COMPUTED_VALUE"""),"No")</f>
        <v>No</v>
      </c>
      <c r="AN751" s="7" t="str">
        <f ca="1">IFERROR(__xludf.DUMMYFUNCTION("""COMPUTED_VALUE"""),"https://onlinegamespromo.fazi.rs/Home/IntegrationGameLaunch?moneyType=0&amp;gameName=HotClockExtreme&amp;platform=desktop&amp;languageCode=eng&amp;currency=EUR")</f>
        <v>https://onlinegamespromo.fazi.rs/Home/IntegrationGameLaunch?moneyType=0&amp;gameName=HotClockExtreme&amp;platform=desktop&amp;languageCode=eng&amp;currency=EUR</v>
      </c>
      <c r="AO751" s="5" t="str">
        <f ca="1">IFERROR(__xludf.DUMMYFUNCTION("""COMPUTED_VALUE"""),"Yes")</f>
        <v>Yes</v>
      </c>
      <c r="AP751" s="5" t="str">
        <f ca="1">IFERROR(__xludf.DUMMYFUNCTION("""COMPUTED_VALUE"""),"Yes")</f>
        <v>Yes</v>
      </c>
      <c r="AQ751" s="5"/>
      <c r="AR751" s="5"/>
      <c r="AS751" s="5"/>
      <c r="AT751" s="5"/>
      <c r="AU751" s="5" t="str">
        <f ca="1">IFERROR(__xludf.DUMMYFUNCTION("""COMPUTED_VALUE"""),"Fazi")</f>
        <v>Fazi</v>
      </c>
      <c r="AV751" s="5">
        <f ca="1">IFERROR(__xludf.DUMMYFUNCTION("""COMPUTED_VALUE"""),1)</f>
        <v>1</v>
      </c>
      <c r="AW751" s="5"/>
      <c r="AX751" s="15">
        <f ca="1">IFERROR(__xludf.DUMMYFUNCTION("""COMPUTED_VALUE"""),46203)</f>
        <v>46203</v>
      </c>
      <c r="AY751" s="5"/>
      <c r="AZ751" s="5"/>
      <c r="BA751" s="5" t="str">
        <f ca="1">IFERROR(__xludf.DUMMYFUNCTION("""COMPUTED_VALUE"""),"x60")</f>
        <v>x60</v>
      </c>
      <c r="BB751" s="5"/>
      <c r="BC751" s="5" t="str">
        <f ca="1">IFERROR(__xludf.DUMMYFUNCTION("""COMPUTED_VALUE"""),"Foxi")</f>
        <v>Foxi</v>
      </c>
      <c r="BD751" s="7" t="str">
        <f ca="1">IFERROR(__xludf.DUMMYFUNCTION("""COMPUTED_VALUE"""),"https://gameserver-store-client-area.orbionlimited.com/Home/IntegrationGameLaunch/client-area?moneyType=0&amp;gameName=HotClockExtreme&amp;platform=desktop&amp;languageCode=eng&amp;currency=EUR")</f>
        <v>https://gameserver-store-client-area.orbionlimited.com/Home/IntegrationGameLaunch/client-area?moneyType=0&amp;gameName=HotClockExtreme&amp;platform=desktop&amp;languageCode=eng&amp;currency=EUR</v>
      </c>
      <c r="BE751" s="5"/>
    </row>
    <row r="752" spans="1:57" x14ac:dyDescent="0.25">
      <c r="A752" s="5">
        <f ca="1">IFERROR(__xludf.DUMMYFUNCTION("""COMPUTED_VALUE"""),789)</f>
        <v>789</v>
      </c>
      <c r="B752" s="5">
        <f ca="1">IFERROR(__xludf.DUMMYFUNCTION("""COMPUTED_VALUE"""),5000000)</f>
        <v>5000000</v>
      </c>
      <c r="C752" s="5" t="str">
        <f ca="1">IFERROR(__xludf.DUMMYFUNCTION("""COMPUTED_VALUE"""),"SOKO studio")</f>
        <v>SOKO studio</v>
      </c>
      <c r="D752" s="5" t="str">
        <f ca="1">IFERROR(__xludf.DUMMYFUNCTION("""COMPUTED_VALUE"""),"Hot Chili Fiesta")</f>
        <v>Hot Chili Fiesta</v>
      </c>
      <c r="E752" s="5" t="str">
        <f ca="1">IFERROR(__xludf.DUMMYFUNCTION("""COMPUTED_VALUE"""),"SOKO studio")</f>
        <v>SOKO studio</v>
      </c>
      <c r="F752" s="5" t="str">
        <f ca="1">IFERROR(__xludf.DUMMYFUNCTION("""COMPUTED_VALUE"""),"SokoHotChiliFiesta")</f>
        <v>SokoHotChiliFiesta</v>
      </c>
      <c r="G752" s="5" t="str">
        <f ca="1">IFERROR(__xludf.DUMMYFUNCTION("""COMPUTED_VALUE"""),"Live")</f>
        <v>Live</v>
      </c>
      <c r="H752" s="5"/>
      <c r="I752" s="5" t="str">
        <f ca="1">IFERROR(__xludf.DUMMYFUNCTION("""COMPUTED_VALUE"""),"SOKO studio")</f>
        <v>SOKO studio</v>
      </c>
      <c r="J752" s="5" t="str">
        <f ca="1">IFERROR(__xludf.DUMMYFUNCTION("""COMPUTED_VALUE"""),"JSON")</f>
        <v>JSON</v>
      </c>
      <c r="K752" s="5" t="str">
        <f ca="1">IFERROR(__xludf.DUMMYFUNCTION("""COMPUTED_VALUE"""),"Slot")</f>
        <v>Slot</v>
      </c>
      <c r="L752" s="5" t="str">
        <f ca="1">IFERROR(__xludf.DUMMYFUNCTION("""COMPUTED_VALUE"""),"Master")</f>
        <v>Master</v>
      </c>
      <c r="M752" s="5"/>
      <c r="N752" s="7" t="str">
        <f ca="1">IFERROR(__xludf.DUMMYFUNCTION("""COMPUTED_VALUE"""),"https://dicebyte.sharepoint.com/:w:/g/IQCmalLbiZrmQIgI2LtUxvBeAZOOO2FkUmehqQc_ao6RBk4?e=ldgg7g")</f>
        <v>https://dicebyte.sharepoint.com/:w:/g/IQCmalLbiZrmQIgI2LtUxvBeAZOOO2FkUmehqQc_ao6RBk4?e=ldgg7g</v>
      </c>
      <c r="O752" s="7" t="str">
        <f ca="1">IFERROR(__xludf.DUMMYFUNCTION("""COMPUTED_VALUE"""),"https://dicebyte.sharepoint.com/:w:/g/IQCdF4DCdHzrQIM4kGL3LM3tARwUDDmvdNwA98IbBO-rHXU?e=yR1hzV")</f>
        <v>https://dicebyte.sharepoint.com/:w:/g/IQCdF4DCdHzrQIM4kGL3LM3tARwUDDmvdNwA98IbBO-rHXU?e=yR1hzV</v>
      </c>
      <c r="P752" s="14">
        <f ca="1">IFERROR(__xludf.DUMMYFUNCTION("""COMPUTED_VALUE"""),29)</f>
        <v>29</v>
      </c>
      <c r="Q752" s="15">
        <f ca="1">IFERROR(__xludf.DUMMYFUNCTION("""COMPUTED_VALUE"""),46181)</f>
        <v>46181</v>
      </c>
      <c r="R752" s="15">
        <f ca="1">IFERROR(__xludf.DUMMYFUNCTION("""COMPUTED_VALUE"""),46205)</f>
        <v>46205</v>
      </c>
      <c r="S752" s="15">
        <f ca="1">IFERROR(__xludf.DUMMYFUNCTION("""COMPUTED_VALUE"""),46212)</f>
        <v>46212</v>
      </c>
      <c r="T752" s="5" t="b">
        <f ca="1">IFERROR(__xludf.DUMMYFUNCTION("""COMPUTED_VALUE"""),TRUE)</f>
        <v>1</v>
      </c>
      <c r="U752" s="5" t="str">
        <f ca="1">IFERROR(__xludf.DUMMYFUNCTION("""COMPUTED_VALUE"""),"5x3")</f>
        <v>5x3</v>
      </c>
      <c r="V752" s="5">
        <f ca="1">IFERROR(__xludf.DUMMYFUNCTION("""COMPUTED_VALUE"""),5)</f>
        <v>5</v>
      </c>
      <c r="W752" s="5">
        <f ca="1">IFERROR(__xludf.DUMMYFUNCTION("""COMPUTED_VALUE"""),5)</f>
        <v>5</v>
      </c>
      <c r="X752" s="5">
        <f ca="1">IFERROR(__xludf.DUMMYFUNCTION("""COMPUTED_VALUE"""),95.05)</f>
        <v>95.05</v>
      </c>
      <c r="Y752" s="5" t="str">
        <f ca="1">IFERROR(__xludf.DUMMYFUNCTION("""COMPUTED_VALUE"""),"High")</f>
        <v>High</v>
      </c>
      <c r="Z752" s="5">
        <f ca="1">IFERROR(__xludf.DUMMYFUNCTION("""COMPUTED_VALUE"""),10.78)</f>
        <v>10.78</v>
      </c>
      <c r="AA752" s="5">
        <f ca="1">IFERROR(__xludf.DUMMYFUNCTION("""COMPUTED_VALUE"""),2525)</f>
        <v>2525</v>
      </c>
      <c r="AB752" s="5"/>
      <c r="AC752" s="5" t="str">
        <f ca="1">IFERROR(__xludf.DUMMYFUNCTION("""COMPUTED_VALUE"""),"Hold and Win, Expanding Wild, Wild Multiplier, Wild Symbol, Scatter")</f>
        <v>Hold and Win, Expanding Wild, Wild Multiplier, Wild Symbol, Scatter</v>
      </c>
      <c r="AD752" s="5" t="str">
        <f ca="1">IFERROR(__xludf.DUMMYFUNCTION("""COMPUTED_VALUE"""),"0.10/100")</f>
        <v>0.10/100</v>
      </c>
      <c r="AE752" s="5"/>
      <c r="AF752" s="5"/>
      <c r="AG752" s="10">
        <f ca="1">IFERROR(__xludf.DUMMYFUNCTION("""COMPUTED_VALUE"""),46217.4810532407)</f>
        <v>46217.481053240699</v>
      </c>
      <c r="AH752" s="5" t="str">
        <f ca="1">IFERROR(__xludf.DUMMYFUNCTION("""COMPUTED_VALUE"""),"vanja.svetska@fazi.rs")</f>
        <v>vanja.svetska@fazi.rs</v>
      </c>
      <c r="AI752" s="15">
        <f ca="1">IFERROR(__xludf.DUMMYFUNCTION("""COMPUTED_VALUE"""),46204)</f>
        <v>46204</v>
      </c>
      <c r="AJ752" s="5" t="str">
        <f ca="1">IFERROR(__xludf.DUMMYFUNCTION("""COMPUTED_VALUE"""),"Millennium Bet - Zbet.rs ( Admiralbet SRB)	01.07.")</f>
        <v>Millennium Bet - Zbet.rs ( Admiralbet SRB)	01.07.</v>
      </c>
      <c r="AK752" s="5">
        <f ca="1">IFERROR(__xludf.DUMMYFUNCTION("""COMPUTED_VALUE"""),5)</f>
        <v>5</v>
      </c>
      <c r="AL752" s="5" t="str">
        <f ca="1">IFERROR(__xludf.DUMMYFUNCTION("""COMPUTED_VALUE"""),"No")</f>
        <v>No</v>
      </c>
      <c r="AM752" s="5" t="str">
        <f ca="1">IFERROR(__xludf.DUMMYFUNCTION("""COMPUTED_VALUE"""),"No")</f>
        <v>No</v>
      </c>
      <c r="AN752" s="7" t="str">
        <f ca="1">IFERROR(__xludf.DUMMYFUNCTION("""COMPUTED_VALUE"""),"https://rgs-hot-chili-fiesta.soko.games/?demo=True&amp;locale=eng")</f>
        <v>https://rgs-hot-chili-fiesta.soko.games/?demo=True&amp;locale=eng</v>
      </c>
      <c r="AO752" s="5"/>
      <c r="AP752" s="5"/>
      <c r="AQ752" s="5" t="b">
        <f ca="1">IFERROR(__xludf.DUMMYFUNCTION("""COMPUTED_VALUE"""),TRUE)</f>
        <v>1</v>
      </c>
      <c r="AR752" s="5"/>
      <c r="AS752" s="5" t="str">
        <f ca="1">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AT752" s="5"/>
      <c r="AU752" s="5" t="str">
        <f ca="1">IFERROR(__xludf.DUMMYFUNCTION("""COMPUTED_VALUE"""),"SOKO studio")</f>
        <v>SOKO studio</v>
      </c>
      <c r="AV752" s="5">
        <f ca="1">IFERROR(__xludf.DUMMYFUNCTION("""COMPUTED_VALUE"""),1)</f>
        <v>1</v>
      </c>
      <c r="AW752" s="5"/>
      <c r="AX752" s="15">
        <f ca="1">IFERROR(__xludf.DUMMYFUNCTION("""COMPUTED_VALUE"""),46175)</f>
        <v>46175</v>
      </c>
      <c r="AY752" s="5"/>
      <c r="AZ752" s="5"/>
      <c r="BA752" s="5"/>
      <c r="BB752" s="5" t="b">
        <f ca="1">IFERROR(__xludf.DUMMYFUNCTION("""COMPUTED_VALUE"""),TRUE)</f>
        <v>1</v>
      </c>
      <c r="BC752" s="5" t="str">
        <f ca="1">IFERROR(__xludf.DUMMYFUNCTION("""COMPUTED_VALUE"""),"SOKO studio")</f>
        <v>SOKO studio</v>
      </c>
      <c r="BD752" s="5" t="str">
        <f ca="1">IFERROR(__xludf.DUMMYFUNCTION("""COMPUTED_VALUE"""),"rgs-hot-chili-fiesta.soko.games")</f>
        <v>rgs-hot-chili-fiesta.soko.games</v>
      </c>
      <c r="BE752" s="5" t="b">
        <f ca="1">IFERROR(__xludf.DUMMYFUNCTION("""COMPUTED_VALUE"""),TRUE)</f>
        <v>1</v>
      </c>
    </row>
    <row r="753" spans="1:57" x14ac:dyDescent="0.25">
      <c r="A753" s="5">
        <f ca="1">IFERROR(__xludf.DUMMYFUNCTION("""COMPUTED_VALUE"""),790)</f>
        <v>790</v>
      </c>
      <c r="B753" s="5">
        <f ca="1">IFERROR(__xludf.DUMMYFUNCTION("""COMPUTED_VALUE"""),2024)</f>
        <v>2024</v>
      </c>
      <c r="C753" s="5" t="str">
        <f ca="1">IFERROR(__xludf.DUMMYFUNCTION("""COMPUTED_VALUE"""),"Fazi")</f>
        <v>Fazi</v>
      </c>
      <c r="D753" s="5" t="str">
        <f ca="1">IFERROR(__xludf.DUMMYFUNCTION("""COMPUTED_VALUE"""),"Coink Bank")</f>
        <v>Coink Bank</v>
      </c>
      <c r="E753" s="5" t="str">
        <f ca="1">IFERROR(__xludf.DUMMYFUNCTION("""COMPUTED_VALUE"""),"V4-2")</f>
        <v>V4-2</v>
      </c>
      <c r="F753" s="5" t="str">
        <f ca="1">IFERROR(__xludf.DUMMYFUNCTION("""COMPUTED_VALUE"""),"CoinkBank")</f>
        <v>CoinkBank</v>
      </c>
      <c r="G753" s="5" t="str">
        <f ca="1">IFERROR(__xludf.DUMMYFUNCTION("""COMPUTED_VALUE"""),"In Development")</f>
        <v>In Development</v>
      </c>
      <c r="H753" s="5"/>
      <c r="I753" s="5" t="str">
        <f ca="1">IFERROR(__xludf.DUMMYFUNCTION("""COMPUTED_VALUE"""),"V4")</f>
        <v>V4</v>
      </c>
      <c r="J753" s="5" t="str">
        <f ca="1">IFERROR(__xludf.DUMMYFUNCTION("""COMPUTED_VALUE"""),"JSON")</f>
        <v>JSON</v>
      </c>
      <c r="K753" s="5" t="str">
        <f ca="1">IFERROR(__xludf.DUMMYFUNCTION("""COMPUTED_VALUE"""),"Slot")</f>
        <v>Slot</v>
      </c>
      <c r="L753" s="5" t="str">
        <f ca="1">IFERROR(__xludf.DUMMYFUNCTION("""COMPUTED_VALUE"""),"Master")</f>
        <v>Master</v>
      </c>
      <c r="M753" s="5"/>
      <c r="N753" s="5"/>
      <c r="O753" s="5"/>
      <c r="P753" s="5">
        <f ca="1">IFERROR(__xludf.DUMMYFUNCTION("""COMPUTED_VALUE"""),-1)</f>
        <v>-1</v>
      </c>
      <c r="Q753" s="15">
        <f ca="1">IFERROR(__xludf.DUMMYFUNCTION("""COMPUTED_VALUE"""),46265)</f>
        <v>46265</v>
      </c>
      <c r="R753" s="5"/>
      <c r="S753" s="15">
        <f ca="1">IFERROR(__xludf.DUMMYFUNCTION("""COMPUTED_VALUE"""),46273)</f>
        <v>46273</v>
      </c>
      <c r="T753" s="5" t="b">
        <f ca="1">IFERROR(__xludf.DUMMYFUNCTION("""COMPUTED_VALUE"""),TRUE)</f>
        <v>1</v>
      </c>
      <c r="U753" s="5" t="str">
        <f ca="1">IFERROR(__xludf.DUMMYFUNCTION("""COMPUTED_VALUE"""),"3x3")</f>
        <v>3x3</v>
      </c>
      <c r="V753" s="5">
        <f ca="1">IFERROR(__xludf.DUMMYFUNCTION("""COMPUTED_VALUE"""),5)</f>
        <v>5</v>
      </c>
      <c r="W753" s="5"/>
      <c r="X753" s="5">
        <f ca="1">IFERROR(__xludf.DUMMYFUNCTION("""COMPUTED_VALUE"""),-1)</f>
        <v>-1</v>
      </c>
      <c r="Y753" s="5" t="str">
        <f ca="1">IFERROR(__xludf.DUMMYFUNCTION("""COMPUTED_VALUE"""),"Medium")</f>
        <v>Medium</v>
      </c>
      <c r="Z753" s="5">
        <f ca="1">IFERROR(__xludf.DUMMYFUNCTION("""COMPUTED_VALUE"""),-1)</f>
        <v>-1</v>
      </c>
      <c r="AA753" s="5">
        <f ca="1">IFERROR(__xludf.DUMMYFUNCTION("""COMPUTED_VALUE"""),-1)</f>
        <v>-1</v>
      </c>
      <c r="AB753" s="5"/>
      <c r="AC753" s="5"/>
      <c r="AD753" s="5">
        <f ca="1">IFERROR(__xludf.DUMMYFUNCTION("""COMPUTED_VALUE"""),-1)</f>
        <v>-1</v>
      </c>
      <c r="AE753" s="5"/>
      <c r="AF753" s="5"/>
      <c r="AG753" s="10">
        <f ca="1">IFERROR(__xludf.DUMMYFUNCTION("""COMPUTED_VALUE"""),46219.408136574)</f>
        <v>46219.408136573998</v>
      </c>
      <c r="AH753" s="5" t="str">
        <f ca="1">IFERROR(__xludf.DUMMYFUNCTION("""COMPUTED_VALUE"""),"aleksandar.trajkovic@fazi.rs")</f>
        <v>aleksandar.trajkovic@fazi.rs</v>
      </c>
      <c r="AI753" s="5"/>
      <c r="AJ753" s="5"/>
      <c r="AK753" s="5"/>
      <c r="AL753" s="5" t="str">
        <f ca="1">IFERROR(__xludf.DUMMYFUNCTION("""COMPUTED_VALUE"""),"Yes")</f>
        <v>Yes</v>
      </c>
      <c r="AM753" s="5" t="str">
        <f ca="1">IFERROR(__xludf.DUMMYFUNCTION("""COMPUTED_VALUE"""),"No")</f>
        <v>No</v>
      </c>
      <c r="AN753" s="5">
        <f ca="1">IFERROR(__xludf.DUMMYFUNCTION("""COMPUTED_VALUE"""),-1)</f>
        <v>-1</v>
      </c>
      <c r="AO753" s="5" t="str">
        <f ca="1">IFERROR(__xludf.DUMMYFUNCTION("""COMPUTED_VALUE"""),"Yes")</f>
        <v>Yes</v>
      </c>
      <c r="AP753" s="5" t="str">
        <f ca="1">IFERROR(__xludf.DUMMYFUNCTION("""COMPUTED_VALUE"""),"Yes")</f>
        <v>Yes</v>
      </c>
      <c r="AQ753" s="5"/>
      <c r="AR753" s="5"/>
      <c r="AS753" s="5">
        <f ca="1">IFERROR(__xludf.DUMMYFUNCTION("""COMPUTED_VALUE"""),-1)</f>
        <v>-1</v>
      </c>
      <c r="AT753" s="5"/>
      <c r="AU753" s="5" t="str">
        <f ca="1">IFERROR(__xludf.DUMMYFUNCTION("""COMPUTED_VALUE"""),"Fazi")</f>
        <v>Fazi</v>
      </c>
      <c r="AV753" s="5"/>
      <c r="AW753" s="5"/>
      <c r="AX753" s="15">
        <f ca="1">IFERROR(__xludf.DUMMYFUNCTION("""COMPUTED_VALUE"""),46259)</f>
        <v>46259</v>
      </c>
      <c r="AY753" s="5"/>
      <c r="AZ753" s="5"/>
      <c r="BA753" s="5"/>
      <c r="BB753" s="5"/>
      <c r="BC753" s="5" t="str">
        <f ca="1">IFERROR(__xludf.DUMMYFUNCTION("""COMPUTED_VALUE"""),"Foxi")</f>
        <v>Foxi</v>
      </c>
      <c r="BD753" s="5"/>
      <c r="BE753" s="5"/>
    </row>
    <row r="754" spans="1:57" x14ac:dyDescent="0.25">
      <c r="A754" s="5">
        <f ca="1">IFERROR(__xludf.DUMMYFUNCTION("""COMPUTED_VALUE"""),791)</f>
        <v>791</v>
      </c>
      <c r="B754" s="5">
        <f ca="1">IFERROR(__xludf.DUMMYFUNCTION("""COMPUTED_VALUE"""),5003)</f>
        <v>5003</v>
      </c>
      <c r="C754" s="5" t="str">
        <f ca="1">IFERROR(__xludf.DUMMYFUNCTION("""COMPUTED_VALUE"""),"Fazi")</f>
        <v>Fazi</v>
      </c>
      <c r="D754" s="5" t="str">
        <f ca="1">IFERROR(__xludf.DUMMYFUNCTION("""COMPUTED_VALUE"""),"Retro Flame 5")</f>
        <v>Retro Flame 5</v>
      </c>
      <c r="E754" s="5" t="str">
        <f ca="1">IFERROR(__xludf.DUMMYFUNCTION("""COMPUTED_VALUE"""),"V4-3")</f>
        <v>V4-3</v>
      </c>
      <c r="F754" s="5" t="str">
        <f ca="1">IFERROR(__xludf.DUMMYFUNCTION("""COMPUTED_VALUE"""),"RetroFlame5")</f>
        <v>RetroFlame5</v>
      </c>
      <c r="G754" s="5" t="str">
        <f ca="1">IFERROR(__xludf.DUMMYFUNCTION("""COMPUTED_VALUE"""),"In Development")</f>
        <v>In Development</v>
      </c>
      <c r="H754" s="5"/>
      <c r="I754" s="5" t="str">
        <f ca="1">IFERROR(__xludf.DUMMYFUNCTION("""COMPUTED_VALUE"""),"V4")</f>
        <v>V4</v>
      </c>
      <c r="J754" s="5" t="str">
        <f ca="1">IFERROR(__xludf.DUMMYFUNCTION("""COMPUTED_VALUE"""),"JSON")</f>
        <v>JSON</v>
      </c>
      <c r="K754" s="5" t="str">
        <f ca="1">IFERROR(__xludf.DUMMYFUNCTION("""COMPUTED_VALUE"""),"Slot")</f>
        <v>Slot</v>
      </c>
      <c r="L754" s="5" t="str">
        <f ca="1">IFERROR(__xludf.DUMMYFUNCTION("""COMPUTED_VALUE""")," Reskin")</f>
        <v xml:space="preserve"> Reskin</v>
      </c>
      <c r="M754" s="5"/>
      <c r="N754" s="5"/>
      <c r="O754" s="5"/>
      <c r="P754" s="14">
        <f ca="1">IFERROR(__xludf.DUMMYFUNCTION("""COMPUTED_VALUE"""),15.4)</f>
        <v>15.4</v>
      </c>
      <c r="Q754" s="15">
        <f ca="1">IFERROR(__xludf.DUMMYFUNCTION("""COMPUTED_VALUE"""),46223)</f>
        <v>46223</v>
      </c>
      <c r="R754" s="5"/>
      <c r="S754" s="5"/>
      <c r="T754" s="5"/>
      <c r="U754" s="5" t="str">
        <f ca="1">IFERROR(__xludf.DUMMYFUNCTION("""COMPUTED_VALUE"""),"5x3")</f>
        <v>5x3</v>
      </c>
      <c r="V754" s="5">
        <f ca="1">IFERROR(__xludf.DUMMYFUNCTION("""COMPUTED_VALUE"""),5)</f>
        <v>5</v>
      </c>
      <c r="W754" s="5">
        <f ca="1">IFERROR(__xludf.DUMMYFUNCTION("""COMPUTED_VALUE"""),5)</f>
        <v>5</v>
      </c>
      <c r="X754" s="5">
        <f ca="1">IFERROR(__xludf.DUMMYFUNCTION("""COMPUTED_VALUE"""),96.15)</f>
        <v>96.15</v>
      </c>
      <c r="Y754" s="5" t="str">
        <f ca="1">IFERROR(__xludf.DUMMYFUNCTION("""COMPUTED_VALUE"""),"Medium")</f>
        <v>Medium</v>
      </c>
      <c r="Z754" s="5">
        <f ca="1">IFERROR(__xludf.DUMMYFUNCTION("""COMPUTED_VALUE"""),12.581)</f>
        <v>12.581</v>
      </c>
      <c r="AA754" s="5">
        <f ca="1">IFERROR(__xludf.DUMMYFUNCTION("""COMPUTED_VALUE"""),1000)</f>
        <v>1000</v>
      </c>
      <c r="AB754" s="5"/>
      <c r="AC754" s="5" t="str">
        <f ca="1">IFERROR(__xludf.DUMMYFUNCTION("""COMPUTED_VALUE"""),"Scatter")</f>
        <v>Scatter</v>
      </c>
      <c r="AD754" s="5" t="str">
        <f ca="1">IFERROR(__xludf.DUMMYFUNCTION("""COMPUTED_VALUE"""),"0.1/50")</f>
        <v>0.1/50</v>
      </c>
      <c r="AE754" s="5"/>
      <c r="AF754" s="5"/>
      <c r="AG754" s="10">
        <f ca="1">IFERROR(__xludf.DUMMYFUNCTION("""COMPUTED_VALUE"""),46210.4421643518)</f>
        <v>46210.4421643518</v>
      </c>
      <c r="AH754" s="5" t="str">
        <f ca="1">IFERROR(__xludf.DUMMYFUNCTION("""COMPUTED_VALUE"""),"zdravkovic.predrag@fazi.rs")</f>
        <v>zdravkovic.predrag@fazi.rs</v>
      </c>
      <c r="AI754" s="5"/>
      <c r="AJ754" s="5"/>
      <c r="AK754" s="5">
        <f ca="1">IFERROR(__xludf.DUMMYFUNCTION("""COMPUTED_VALUE"""),5)</f>
        <v>5</v>
      </c>
      <c r="AL754" s="5" t="str">
        <f ca="1">IFERROR(__xludf.DUMMYFUNCTION("""COMPUTED_VALUE"""),"Yes")</f>
        <v>Yes</v>
      </c>
      <c r="AM754" s="5" t="str">
        <f ca="1">IFERROR(__xludf.DUMMYFUNCTION("""COMPUTED_VALUE"""),"No")</f>
        <v>No</v>
      </c>
      <c r="AN754" s="5"/>
      <c r="AO754" s="5" t="str">
        <f ca="1">IFERROR(__xludf.DUMMYFUNCTION("""COMPUTED_VALUE"""),"Yes")</f>
        <v>Yes</v>
      </c>
      <c r="AP754" s="5" t="str">
        <f ca="1">IFERROR(__xludf.DUMMYFUNCTION("""COMPUTED_VALUE"""),"Yes")</f>
        <v>Yes</v>
      </c>
      <c r="AQ754" s="5"/>
      <c r="AR754" s="5"/>
      <c r="AS754" s="5"/>
      <c r="AT754" s="5"/>
      <c r="AU754" s="5" t="str">
        <f ca="1">IFERROR(__xludf.DUMMYFUNCTION("""COMPUTED_VALUE"""),"Fazi")</f>
        <v>Fazi</v>
      </c>
      <c r="AV754" s="5">
        <f ca="1">IFERROR(__xludf.DUMMYFUNCTION("""COMPUTED_VALUE"""),5)</f>
        <v>5</v>
      </c>
      <c r="AW754" s="5"/>
      <c r="AX754" s="15">
        <f ca="1">IFERROR(__xludf.DUMMYFUNCTION("""COMPUTED_VALUE"""),46217)</f>
        <v>46217</v>
      </c>
      <c r="AY754" s="5"/>
      <c r="AZ754" s="5"/>
      <c r="BA754" s="5"/>
      <c r="BB754" s="5"/>
      <c r="BC754" s="5" t="str">
        <f ca="1">IFERROR(__xludf.DUMMYFUNCTION("""COMPUTED_VALUE"""),"Foxi")</f>
        <v>Foxi</v>
      </c>
      <c r="BD754" s="5"/>
      <c r="BE754" s="5"/>
    </row>
    <row r="755" spans="1:57" x14ac:dyDescent="0.25">
      <c r="A755" s="5">
        <f ca="1">IFERROR(__xludf.DUMMYFUNCTION("""COMPUTED_VALUE"""),792)</f>
        <v>792</v>
      </c>
      <c r="B755" s="5">
        <f ca="1">IFERROR(__xludf.DUMMYFUNCTION("""COMPUTED_VALUE"""),5005)</f>
        <v>5005</v>
      </c>
      <c r="C755" s="5" t="str">
        <f ca="1">IFERROR(__xludf.DUMMYFUNCTION("""COMPUTED_VALUE"""),"Fazi")</f>
        <v>Fazi</v>
      </c>
      <c r="D755" s="5" t="str">
        <f ca="1">IFERROR(__xludf.DUMMYFUNCTION("""COMPUTED_VALUE"""),"Winning Fruits 20")</f>
        <v>Winning Fruits 20</v>
      </c>
      <c r="E755" s="5" t="str">
        <f ca="1">IFERROR(__xludf.DUMMYFUNCTION("""COMPUTED_VALUE"""),"V4-3")</f>
        <v>V4-3</v>
      </c>
      <c r="F755" s="5" t="str">
        <f ca="1">IFERROR(__xludf.DUMMYFUNCTION("""COMPUTED_VALUE"""),"WinningFruits20")</f>
        <v>WinningFruits20</v>
      </c>
      <c r="G755" s="5" t="str">
        <f ca="1">IFERROR(__xludf.DUMMYFUNCTION("""COMPUTED_VALUE"""),"In Development")</f>
        <v>In Development</v>
      </c>
      <c r="H755" s="5"/>
      <c r="I755" s="5" t="str">
        <f ca="1">IFERROR(__xludf.DUMMYFUNCTION("""COMPUTED_VALUE"""),"V4")</f>
        <v>V4</v>
      </c>
      <c r="J755" s="5" t="str">
        <f ca="1">IFERROR(__xludf.DUMMYFUNCTION("""COMPUTED_VALUE"""),"JSON")</f>
        <v>JSON</v>
      </c>
      <c r="K755" s="5" t="str">
        <f ca="1">IFERROR(__xludf.DUMMYFUNCTION("""COMPUTED_VALUE"""),"Slot")</f>
        <v>Slot</v>
      </c>
      <c r="L755" s="5" t="str">
        <f ca="1">IFERROR(__xludf.DUMMYFUNCTION("""COMPUTED_VALUE""")," Reskin")</f>
        <v xml:space="preserve"> Reskin</v>
      </c>
      <c r="M755" s="5"/>
      <c r="N755" s="5"/>
      <c r="O755" s="5"/>
      <c r="P755" s="14">
        <f ca="1">IFERROR(__xludf.DUMMYFUNCTION("""COMPUTED_VALUE"""),16)</f>
        <v>16</v>
      </c>
      <c r="Q755" s="15">
        <f ca="1">IFERROR(__xludf.DUMMYFUNCTION("""COMPUTED_VALUE"""),46223)</f>
        <v>46223</v>
      </c>
      <c r="R755" s="5"/>
      <c r="S755" s="5"/>
      <c r="T755" s="5"/>
      <c r="U755" s="5" t="str">
        <f ca="1">IFERROR(__xludf.DUMMYFUNCTION("""COMPUTED_VALUE"""),"5x3")</f>
        <v>5x3</v>
      </c>
      <c r="V755" s="5">
        <f ca="1">IFERROR(__xludf.DUMMYFUNCTION("""COMPUTED_VALUE"""),20)</f>
        <v>20</v>
      </c>
      <c r="W755" s="5"/>
      <c r="X755" s="5">
        <f ca="1">IFERROR(__xludf.DUMMYFUNCTION("""COMPUTED_VALUE"""),96.194)</f>
        <v>96.194000000000003</v>
      </c>
      <c r="Y755" s="5" t="str">
        <f ca="1">IFERROR(__xludf.DUMMYFUNCTION("""COMPUTED_VALUE"""),"Low")</f>
        <v>Low</v>
      </c>
      <c r="Z755" s="5">
        <f ca="1">IFERROR(__xludf.DUMMYFUNCTION("""COMPUTED_VALUE"""),16.962)</f>
        <v>16.962</v>
      </c>
      <c r="AA755" s="5">
        <f ca="1">IFERROR(__xludf.DUMMYFUNCTION("""COMPUTED_VALUE"""),1000)</f>
        <v>1000</v>
      </c>
      <c r="AB755" s="5"/>
      <c r="AC755" s="5" t="str">
        <f ca="1">IFERROR(__xludf.DUMMYFUNCTION("""COMPUTED_VALUE"""),"Scatter, Wild Symbol")</f>
        <v>Scatter, Wild Symbol</v>
      </c>
      <c r="AD755" s="5" t="str">
        <f ca="1">IFERROR(__xludf.DUMMYFUNCTION("""COMPUTED_VALUE"""),"0.2 &amp; 50")</f>
        <v>0.2 &amp; 50</v>
      </c>
      <c r="AE755" s="5"/>
      <c r="AF755" s="5"/>
      <c r="AG755" s="10">
        <f ca="1">IFERROR(__xludf.DUMMYFUNCTION("""COMPUTED_VALUE"""),46209.6525231481)</f>
        <v>46209.652523148099</v>
      </c>
      <c r="AH755" s="5" t="str">
        <f ca="1">IFERROR(__xludf.DUMMYFUNCTION("""COMPUTED_VALUE"""),"zdravkovic.predrag@fazi.rs")</f>
        <v>zdravkovic.predrag@fazi.rs</v>
      </c>
      <c r="AI755" s="5"/>
      <c r="AJ755" s="5"/>
      <c r="AK755" s="5">
        <f ca="1">IFERROR(__xludf.DUMMYFUNCTION("""COMPUTED_VALUE"""),20)</f>
        <v>20</v>
      </c>
      <c r="AL755" s="5" t="str">
        <f ca="1">IFERROR(__xludf.DUMMYFUNCTION("""COMPUTED_VALUE"""),"Yes")</f>
        <v>Yes</v>
      </c>
      <c r="AM755" s="5" t="str">
        <f ca="1">IFERROR(__xludf.DUMMYFUNCTION("""COMPUTED_VALUE"""),"No")</f>
        <v>No</v>
      </c>
      <c r="AN755" s="5"/>
      <c r="AO755" s="5" t="str">
        <f ca="1">IFERROR(__xludf.DUMMYFUNCTION("""COMPUTED_VALUE"""),"Yes")</f>
        <v>Yes</v>
      </c>
      <c r="AP755" s="5" t="str">
        <f ca="1">IFERROR(__xludf.DUMMYFUNCTION("""COMPUTED_VALUE"""),"Yes")</f>
        <v>Yes</v>
      </c>
      <c r="AQ755" s="5"/>
      <c r="AR755" s="5"/>
      <c r="AS755" s="5"/>
      <c r="AT755" s="5"/>
      <c r="AU755" s="5" t="str">
        <f ca="1">IFERROR(__xludf.DUMMYFUNCTION("""COMPUTED_VALUE"""),"Fazi")</f>
        <v>Fazi</v>
      </c>
      <c r="AV755" s="5">
        <f ca="1">IFERROR(__xludf.DUMMYFUNCTION("""COMPUTED_VALUE"""),10)</f>
        <v>10</v>
      </c>
      <c r="AW755" s="5"/>
      <c r="AX755" s="15">
        <f ca="1">IFERROR(__xludf.DUMMYFUNCTION("""COMPUTED_VALUE"""),46217)</f>
        <v>46217</v>
      </c>
      <c r="AY755" s="5"/>
      <c r="AZ755" s="5"/>
      <c r="BA755" s="5"/>
      <c r="BB755" s="5"/>
      <c r="BC755" s="5" t="str">
        <f ca="1">IFERROR(__xludf.DUMMYFUNCTION("""COMPUTED_VALUE"""),"Foxi")</f>
        <v>Foxi</v>
      </c>
      <c r="BD755" s="5"/>
      <c r="BE755" s="5"/>
    </row>
    <row r="756" spans="1:57" x14ac:dyDescent="0.25">
      <c r="A756" s="5">
        <f ca="1">IFERROR(__xludf.DUMMYFUNCTION("""COMPUTED_VALUE"""),793)</f>
        <v>793</v>
      </c>
      <c r="B756" s="5">
        <f ca="1">IFERROR(__xludf.DUMMYFUNCTION("""COMPUTED_VALUE"""),5006)</f>
        <v>5006</v>
      </c>
      <c r="C756" s="5" t="str">
        <f ca="1">IFERROR(__xludf.DUMMYFUNCTION("""COMPUTED_VALUE"""),"Fazi")</f>
        <v>Fazi</v>
      </c>
      <c r="D756" s="5" t="str">
        <f ca="1">IFERROR(__xludf.DUMMYFUNCTION("""COMPUTED_VALUE"""),"Magic Multi Win")</f>
        <v>Magic Multi Win</v>
      </c>
      <c r="E756" s="5" t="str">
        <f ca="1">IFERROR(__xludf.DUMMYFUNCTION("""COMPUTED_VALUE"""),"V4-3")</f>
        <v>V4-3</v>
      </c>
      <c r="F756" s="5" t="str">
        <f ca="1">IFERROR(__xludf.DUMMYFUNCTION("""COMPUTED_VALUE"""),"MagicMultiWin")</f>
        <v>MagicMultiWin</v>
      </c>
      <c r="G756" s="5" t="str">
        <f ca="1">IFERROR(__xludf.DUMMYFUNCTION("""COMPUTED_VALUE"""),"In Development")</f>
        <v>In Development</v>
      </c>
      <c r="H756" s="5"/>
      <c r="I756" s="5" t="str">
        <f ca="1">IFERROR(__xludf.DUMMYFUNCTION("""COMPUTED_VALUE"""),"V4")</f>
        <v>V4</v>
      </c>
      <c r="J756" s="5" t="str">
        <f ca="1">IFERROR(__xludf.DUMMYFUNCTION("""COMPUTED_VALUE"""),"JSON")</f>
        <v>JSON</v>
      </c>
      <c r="K756" s="5" t="str">
        <f ca="1">IFERROR(__xludf.DUMMYFUNCTION("""COMPUTED_VALUE"""),"Slot")</f>
        <v>Slot</v>
      </c>
      <c r="L756" s="5" t="str">
        <f ca="1">IFERROR(__xludf.DUMMYFUNCTION("""COMPUTED_VALUE""")," Reskin")</f>
        <v xml:space="preserve"> Reskin</v>
      </c>
      <c r="M756" s="5"/>
      <c r="N756" s="5"/>
      <c r="O756" s="5"/>
      <c r="P756" s="5"/>
      <c r="Q756" s="5"/>
      <c r="R756" s="5"/>
      <c r="S756" s="5"/>
      <c r="T756" s="5"/>
      <c r="U756" s="5"/>
      <c r="V756" s="5"/>
      <c r="W756" s="5"/>
      <c r="X756" s="5"/>
      <c r="Y756" s="5"/>
      <c r="Z756" s="5"/>
      <c r="AA756" s="5"/>
      <c r="AB756" s="5"/>
      <c r="AC756" s="5"/>
      <c r="AD756" s="5"/>
      <c r="AE756" s="5"/>
      <c r="AF756" s="5"/>
      <c r="AG756" s="10">
        <f ca="1">IFERROR(__xludf.DUMMYFUNCTION("""COMPUTED_VALUE"""),46163.5133449074)</f>
        <v>46163.513344907398</v>
      </c>
      <c r="AH756" s="5" t="str">
        <f ca="1">IFERROR(__xludf.DUMMYFUNCTION("""COMPUTED_VALUE"""),"zdravkovic.predrag@fazi.rs")</f>
        <v>zdravkovic.predrag@fazi.rs</v>
      </c>
      <c r="AI756" s="5"/>
      <c r="AJ756" s="5"/>
      <c r="AK756" s="5"/>
      <c r="AL756" s="5"/>
      <c r="AM756" s="5"/>
      <c r="AN756" s="5"/>
      <c r="AO756" s="5"/>
      <c r="AP756" s="5"/>
      <c r="AQ756" s="5"/>
      <c r="AR756" s="5"/>
      <c r="AS756" s="5"/>
      <c r="AT756" s="5"/>
      <c r="AU756" s="5"/>
      <c r="AV756" s="5"/>
      <c r="AW756" s="5"/>
      <c r="AX756" s="5"/>
      <c r="AY756" s="5"/>
      <c r="AZ756" s="5"/>
      <c r="BA756" s="5"/>
      <c r="BB756" s="5"/>
      <c r="BC756" s="5" t="str">
        <f ca="1">IFERROR(__xludf.DUMMYFUNCTION("""COMPUTED_VALUE"""),"Foxi")</f>
        <v>Foxi</v>
      </c>
      <c r="BD756" s="5" t="str">
        <f ca="1">IFERROR(__xludf.DUMMYFUNCTION("""COMPUTED_VALUE"""),"")</f>
        <v/>
      </c>
      <c r="BE756" s="5"/>
    </row>
    <row r="757" spans="1:57" x14ac:dyDescent="0.25">
      <c r="A757" s="5">
        <f ca="1">IFERROR(__xludf.DUMMYFUNCTION("""COMPUTED_VALUE"""),794)</f>
        <v>794</v>
      </c>
      <c r="B757" s="5">
        <f ca="1">IFERROR(__xludf.DUMMYFUNCTION("""COMPUTED_VALUE"""),2022)</f>
        <v>2022</v>
      </c>
      <c r="C757" s="5" t="str">
        <f ca="1">IFERROR(__xludf.DUMMYFUNCTION("""COMPUTED_VALUE"""),"Fazi")</f>
        <v>Fazi</v>
      </c>
      <c r="D757" s="5" t="str">
        <f ca="1">IFERROR(__xludf.DUMMYFUNCTION("""COMPUTED_VALUE"""),"Chilli Burst")</f>
        <v>Chilli Burst</v>
      </c>
      <c r="E757" s="5" t="str">
        <f ca="1">IFERROR(__xludf.DUMMYFUNCTION("""COMPUTED_VALUE"""),"V4-2")</f>
        <v>V4-2</v>
      </c>
      <c r="F757" s="5" t="str">
        <f ca="1">IFERROR(__xludf.DUMMYFUNCTION("""COMPUTED_VALUE"""),"ChilliBurst")</f>
        <v>ChilliBurst</v>
      </c>
      <c r="G757" s="5" t="str">
        <f ca="1">IFERROR(__xludf.DUMMYFUNCTION("""COMPUTED_VALUE"""),"In Development")</f>
        <v>In Development</v>
      </c>
      <c r="H757" s="5"/>
      <c r="I757" s="5" t="str">
        <f ca="1">IFERROR(__xludf.DUMMYFUNCTION("""COMPUTED_VALUE"""),"V4")</f>
        <v>V4</v>
      </c>
      <c r="J757" s="5" t="str">
        <f ca="1">IFERROR(__xludf.DUMMYFUNCTION("""COMPUTED_VALUE"""),"JSON")</f>
        <v>JSON</v>
      </c>
      <c r="K757" s="5" t="str">
        <f ca="1">IFERROR(__xludf.DUMMYFUNCTION("""COMPUTED_VALUE"""),"Slot")</f>
        <v>Slot</v>
      </c>
      <c r="L757" s="5" t="str">
        <f ca="1">IFERROR(__xludf.DUMMYFUNCTION("""COMPUTED_VALUE"""),"Master")</f>
        <v>Master</v>
      </c>
      <c r="M757" s="5"/>
      <c r="N757" s="5"/>
      <c r="O757" s="5"/>
      <c r="P757" s="5">
        <f ca="1">IFERROR(__xludf.DUMMYFUNCTION("""COMPUTED_VALUE"""),-2)</f>
        <v>-2</v>
      </c>
      <c r="Q757" s="15">
        <f ca="1">IFERROR(__xludf.DUMMYFUNCTION("""COMPUTED_VALUE"""),46279)</f>
        <v>46279</v>
      </c>
      <c r="R757" s="5"/>
      <c r="S757" s="5"/>
      <c r="T757" s="5"/>
      <c r="U757" s="5" t="str">
        <f ca="1">IFERROR(__xludf.DUMMYFUNCTION("""COMPUTED_VALUE"""),"5x3")</f>
        <v>5x3</v>
      </c>
      <c r="V757" s="5">
        <f ca="1">IFERROR(__xludf.DUMMYFUNCTION("""COMPUTED_VALUE"""),10)</f>
        <v>10</v>
      </c>
      <c r="W757" s="5">
        <f ca="1">IFERROR(__xludf.DUMMYFUNCTION("""COMPUTED_VALUE"""),10)</f>
        <v>10</v>
      </c>
      <c r="X757" s="5">
        <f ca="1">IFERROR(__xludf.DUMMYFUNCTION("""COMPUTED_VALUE"""),96.5)</f>
        <v>96.5</v>
      </c>
      <c r="Y757" s="5" t="str">
        <f ca="1">IFERROR(__xludf.DUMMYFUNCTION("""COMPUTED_VALUE"""),"High")</f>
        <v>High</v>
      </c>
      <c r="Z757" s="5">
        <f ca="1">IFERROR(__xludf.DUMMYFUNCTION("""COMPUTED_VALUE"""),10.803)</f>
        <v>10.803000000000001</v>
      </c>
      <c r="AA757" s="5">
        <f ca="1">IFERROR(__xludf.DUMMYFUNCTION("""COMPUTED_VALUE"""),3000)</f>
        <v>3000</v>
      </c>
      <c r="AB757" s="5"/>
      <c r="AC757" s="5"/>
      <c r="AD757" s="5" t="str">
        <f ca="1">IFERROR(__xludf.DUMMYFUNCTION("""COMPUTED_VALUE"""),"0.1/50")</f>
        <v>0.1/50</v>
      </c>
      <c r="AE757" s="5"/>
      <c r="AF757" s="5"/>
      <c r="AG757" s="10">
        <f ca="1">IFERROR(__xludf.DUMMYFUNCTION("""COMPUTED_VALUE"""),46219.4783564814)</f>
        <v>46219.478356481399</v>
      </c>
      <c r="AH757" s="5" t="str">
        <f ca="1">IFERROR(__xludf.DUMMYFUNCTION("""COMPUTED_VALUE"""),"aleksandar.trajkovic@fazi.rs")</f>
        <v>aleksandar.trajkovic@fazi.rs</v>
      </c>
      <c r="AI757" s="5"/>
      <c r="AJ757" s="5"/>
      <c r="AK757" s="5">
        <f ca="1">IFERROR(__xludf.DUMMYFUNCTION("""COMPUTED_VALUE"""),10)</f>
        <v>10</v>
      </c>
      <c r="AL757" s="5" t="str">
        <f ca="1">IFERROR(__xludf.DUMMYFUNCTION("""COMPUTED_VALUE"""),"Yes")</f>
        <v>Yes</v>
      </c>
      <c r="AM757" s="5" t="str">
        <f ca="1">IFERROR(__xludf.DUMMYFUNCTION("""COMPUTED_VALUE"""),"No")</f>
        <v>No</v>
      </c>
      <c r="AN757" s="5">
        <f ca="1">IFERROR(__xludf.DUMMYFUNCTION("""COMPUTED_VALUE"""),-1)</f>
        <v>-1</v>
      </c>
      <c r="AO757" s="5" t="str">
        <f ca="1">IFERROR(__xludf.DUMMYFUNCTION("""COMPUTED_VALUE"""),"Yes")</f>
        <v>Yes</v>
      </c>
      <c r="AP757" s="5" t="str">
        <f ca="1">IFERROR(__xludf.DUMMYFUNCTION("""COMPUTED_VALUE"""),"Yes")</f>
        <v>Yes</v>
      </c>
      <c r="AQ757" s="5"/>
      <c r="AR757" s="5"/>
      <c r="AS757" s="5"/>
      <c r="AT757" s="5"/>
      <c r="AU757" s="5" t="str">
        <f ca="1">IFERROR(__xludf.DUMMYFUNCTION("""COMPUTED_VALUE"""),"Fazi")</f>
        <v>Fazi</v>
      </c>
      <c r="AV757" s="5"/>
      <c r="AW757" s="5"/>
      <c r="AX757" s="15">
        <f ca="1">IFERROR(__xludf.DUMMYFUNCTION("""COMPUTED_VALUE"""),46273)</f>
        <v>46273</v>
      </c>
      <c r="AY757" s="5" t="str">
        <f ca="1">IFERROR(__xludf.DUMMYFUNCTION("""COMPUTED_VALUE"""),"87.5%, 89.5%, 91.5%, 93.5%, 94.5%, 95.5%, 96.5%")</f>
        <v>87.5%, 89.5%, 91.5%, 93.5%, 94.5%, 95.5%, 96.5%</v>
      </c>
      <c r="AZ757" s="5"/>
      <c r="BA757" s="5"/>
      <c r="BB757" s="5"/>
      <c r="BC757" s="5" t="str">
        <f ca="1">IFERROR(__xludf.DUMMYFUNCTION("""COMPUTED_VALUE"""),"Foxi")</f>
        <v>Foxi</v>
      </c>
      <c r="BD757" s="5"/>
      <c r="BE757" s="5"/>
    </row>
    <row r="758" spans="1:57" x14ac:dyDescent="0.25">
      <c r="A758" s="5">
        <f ca="1">IFERROR(__xludf.DUMMYFUNCTION("""COMPUTED_VALUE"""),795)</f>
        <v>795</v>
      </c>
      <c r="B758" s="5">
        <f ca="1">IFERROR(__xludf.DUMMYFUNCTION("""COMPUTED_VALUE"""),2023)</f>
        <v>2023</v>
      </c>
      <c r="C758" s="5" t="str">
        <f ca="1">IFERROR(__xludf.DUMMYFUNCTION("""COMPUTED_VALUE"""),"Fazi")</f>
        <v>Fazi</v>
      </c>
      <c r="D758" s="5" t="str">
        <f ca="1">IFERROR(__xludf.DUMMYFUNCTION("""COMPUTED_VALUE"""),"Extreme Sticky Clover")</f>
        <v>Extreme Sticky Clover</v>
      </c>
      <c r="E758" s="5" t="str">
        <f ca="1">IFERROR(__xludf.DUMMYFUNCTION("""COMPUTED_VALUE"""),"V4-2")</f>
        <v>V4-2</v>
      </c>
      <c r="F758" s="5" t="str">
        <f ca="1">IFERROR(__xludf.DUMMYFUNCTION("""COMPUTED_VALUE"""),"ExtremeStickyClover")</f>
        <v>ExtremeStickyClover</v>
      </c>
      <c r="G758" s="5" t="str">
        <f ca="1">IFERROR(__xludf.DUMMYFUNCTION("""COMPUTED_VALUE"""),"In Development")</f>
        <v>In Development</v>
      </c>
      <c r="H758" s="5"/>
      <c r="I758" s="5" t="str">
        <f ca="1">IFERROR(__xludf.DUMMYFUNCTION("""COMPUTED_VALUE"""),"V4")</f>
        <v>V4</v>
      </c>
      <c r="J758" s="5" t="str">
        <f ca="1">IFERROR(__xludf.DUMMYFUNCTION("""COMPUTED_VALUE"""),"JSON")</f>
        <v>JSON</v>
      </c>
      <c r="K758" s="5" t="str">
        <f ca="1">IFERROR(__xludf.DUMMYFUNCTION("""COMPUTED_VALUE"""),"Slot")</f>
        <v>Slot</v>
      </c>
      <c r="L758" s="5" t="str">
        <f ca="1">IFERROR(__xludf.DUMMYFUNCTION("""COMPUTED_VALUE""")," Variant")</f>
        <v xml:space="preserve"> Variant</v>
      </c>
      <c r="M758" s="5" t="str">
        <f ca="1">IFERROR(__xludf.DUMMYFUNCTION("""COMPUTED_VALUE"""),"Wild Sticky Clover")</f>
        <v>Wild Sticky Clover</v>
      </c>
      <c r="N758" s="5"/>
      <c r="O758" s="5"/>
      <c r="P758" s="5">
        <f ca="1">IFERROR(__xludf.DUMMYFUNCTION("""COMPUTED_VALUE"""),19.6)</f>
        <v>19.600000000000001</v>
      </c>
      <c r="Q758" s="15">
        <f ca="1">IFERROR(__xludf.DUMMYFUNCTION("""COMPUTED_VALUE"""),46210)</f>
        <v>46210</v>
      </c>
      <c r="R758" s="5"/>
      <c r="S758" s="5"/>
      <c r="T758" s="5"/>
      <c r="U758" s="5" t="str">
        <f ca="1">IFERROR(__xludf.DUMMYFUNCTION("""COMPUTED_VALUE"""),"5x4")</f>
        <v>5x4</v>
      </c>
      <c r="V758" s="5">
        <f ca="1">IFERROR(__xludf.DUMMYFUNCTION("""COMPUTED_VALUE"""),40)</f>
        <v>40</v>
      </c>
      <c r="W758" s="5">
        <f ca="1">IFERROR(__xludf.DUMMYFUNCTION("""COMPUTED_VALUE"""),40)</f>
        <v>40</v>
      </c>
      <c r="X758" s="5">
        <f ca="1">IFERROR(__xludf.DUMMYFUNCTION("""COMPUTED_VALUE"""),96.5)</f>
        <v>96.5</v>
      </c>
      <c r="Y758" s="5" t="str">
        <f ca="1">IFERROR(__xludf.DUMMYFUNCTION("""COMPUTED_VALUE"""),"High")</f>
        <v>High</v>
      </c>
      <c r="Z758" s="5">
        <f ca="1">IFERROR(__xludf.DUMMYFUNCTION("""COMPUTED_VALUE"""),11.381)</f>
        <v>11.381</v>
      </c>
      <c r="AA758" s="5">
        <f ca="1">IFERROR(__xludf.DUMMYFUNCTION("""COMPUTED_VALUE"""),3000)</f>
        <v>3000</v>
      </c>
      <c r="AB758" s="5"/>
      <c r="AC758" s="5"/>
      <c r="AD758" s="5" t="str">
        <f ca="1">IFERROR(__xludf.DUMMYFUNCTION("""COMPUTED_VALUE"""),"0.4/40")</f>
        <v>0.4/40</v>
      </c>
      <c r="AE758" s="5"/>
      <c r="AF758" s="5"/>
      <c r="AG758" s="10">
        <f ca="1">IFERROR(__xludf.DUMMYFUNCTION("""COMPUTED_VALUE"""),46219.655787037)</f>
        <v>46219.655787037002</v>
      </c>
      <c r="AH758" s="5" t="str">
        <f ca="1">IFERROR(__xludf.DUMMYFUNCTION("""COMPUTED_VALUE"""),"aleksandar.trajkovic@fazi.rs")</f>
        <v>aleksandar.trajkovic@fazi.rs</v>
      </c>
      <c r="AI758" s="5"/>
      <c r="AJ758" s="5"/>
      <c r="AK758" s="5">
        <f ca="1">IFERROR(__xludf.DUMMYFUNCTION("""COMPUTED_VALUE"""),4)</f>
        <v>4</v>
      </c>
      <c r="AL758" s="5" t="str">
        <f ca="1">IFERROR(__xludf.DUMMYFUNCTION("""COMPUTED_VALUE"""),"Yes")</f>
        <v>Yes</v>
      </c>
      <c r="AM758" s="5" t="str">
        <f ca="1">IFERROR(__xludf.DUMMYFUNCTION("""COMPUTED_VALUE"""),"No")</f>
        <v>No</v>
      </c>
      <c r="AN758" s="7" t="str">
        <f ca="1">IFERROR(__xludf.DUMMYFUNCTION("""COMPUTED_VALUE"""),"https://onlinegamespromo.fazi.rs/Home/IntegrationGameLaunch?moneyType=0&amp;gameName=ExtremeStickyClover&amp;platform=desktop&amp;languageCode=eng&amp;currency=EUR")</f>
        <v>https://onlinegamespromo.fazi.rs/Home/IntegrationGameLaunch?moneyType=0&amp;gameName=ExtremeStickyClover&amp;platform=desktop&amp;languageCode=eng&amp;currency=EUR</v>
      </c>
      <c r="AO758" s="5" t="str">
        <f ca="1">IFERROR(__xludf.DUMMYFUNCTION("""COMPUTED_VALUE"""),"Yes")</f>
        <v>Yes</v>
      </c>
      <c r="AP758" s="5" t="str">
        <f ca="1">IFERROR(__xludf.DUMMYFUNCTION("""COMPUTED_VALUE"""),"Yes")</f>
        <v>Yes</v>
      </c>
      <c r="AQ758" s="5"/>
      <c r="AR758" s="5"/>
      <c r="AS758" s="5"/>
      <c r="AT758" s="5"/>
      <c r="AU758" s="5" t="str">
        <f ca="1">IFERROR(__xludf.DUMMYFUNCTION("""COMPUTED_VALUE"""),"Fazi")</f>
        <v>Fazi</v>
      </c>
      <c r="AV758" s="5">
        <f ca="1">IFERROR(__xludf.DUMMYFUNCTION("""COMPUTED_VALUE"""),4)</f>
        <v>4</v>
      </c>
      <c r="AW758" s="5"/>
      <c r="AX758" s="15">
        <f ca="1">IFERROR(__xludf.DUMMYFUNCTION("""COMPUTED_VALUE"""),46202)</f>
        <v>46202</v>
      </c>
      <c r="AY758" s="5"/>
      <c r="AZ758" s="5"/>
      <c r="BA758" s="5"/>
      <c r="BB758" s="5"/>
      <c r="BC758" s="5" t="str">
        <f ca="1">IFERROR(__xludf.DUMMYFUNCTION("""COMPUTED_VALUE"""),"Foxi")</f>
        <v>Foxi</v>
      </c>
      <c r="BD758" s="5"/>
      <c r="BE758" s="5"/>
    </row>
    <row r="759" spans="1:57" x14ac:dyDescent="0.25">
      <c r="A759" s="5">
        <f ca="1">IFERROR(__xludf.DUMMYFUNCTION("""COMPUTED_VALUE"""),796)</f>
        <v>796</v>
      </c>
      <c r="B759" s="5">
        <f ca="1">IFERROR(__xludf.DUMMYFUNCTION("""COMPUTED_VALUE"""),3045)</f>
        <v>3045</v>
      </c>
      <c r="C759" s="5" t="str">
        <f ca="1">IFERROR(__xludf.DUMMYFUNCTION("""COMPUTED_VALUE"""),"Fazi")</f>
        <v>Fazi</v>
      </c>
      <c r="D759" s="5" t="str">
        <f ca="1">IFERROR(__xludf.DUMMYFUNCTION("""COMPUTED_VALUE"""),"Extreme Heat 7s")</f>
        <v>Extreme Heat 7s</v>
      </c>
      <c r="E759" s="5" t="str">
        <f ca="1">IFERROR(__xludf.DUMMYFUNCTION("""COMPUTED_VALUE"""),"V2")</f>
        <v>V2</v>
      </c>
      <c r="F759" s="5" t="str">
        <f ca="1">IFERROR(__xludf.DUMMYFUNCTION("""COMPUTED_VALUE"""),"ExtremeHeat7s")</f>
        <v>ExtremeHeat7s</v>
      </c>
      <c r="G759" s="5" t="str">
        <f ca="1">IFERROR(__xludf.DUMMYFUNCTION("""COMPUTED_VALUE"""),"In Development")</f>
        <v>In Development</v>
      </c>
      <c r="H759" s="5"/>
      <c r="I759" s="5" t="str">
        <f ca="1">IFERROR(__xludf.DUMMYFUNCTION("""COMPUTED_VALUE"""),"V4")</f>
        <v>V4</v>
      </c>
      <c r="J759" s="5" t="str">
        <f ca="1">IFERROR(__xludf.DUMMYFUNCTION("""COMPUTED_VALUE"""),"JSON")</f>
        <v>JSON</v>
      </c>
      <c r="K759" s="5" t="str">
        <f ca="1">IFERROR(__xludf.DUMMYFUNCTION("""COMPUTED_VALUE"""),"Slot")</f>
        <v>Slot</v>
      </c>
      <c r="L759" s="5" t="str">
        <f ca="1">IFERROR(__xludf.DUMMYFUNCTION("""COMPUTED_VALUE"""),"Master")</f>
        <v>Master</v>
      </c>
      <c r="M759" s="5"/>
      <c r="N759" s="5"/>
      <c r="O759" s="5"/>
      <c r="P759" s="5"/>
      <c r="Q759" s="15">
        <f ca="1">IFERROR(__xludf.DUMMYFUNCTION("""COMPUTED_VALUE"""),46251)</f>
        <v>46251</v>
      </c>
      <c r="R759" s="15">
        <f ca="1">IFERROR(__xludf.DUMMYFUNCTION("""COMPUTED_VALUE"""),46244)</f>
        <v>46244</v>
      </c>
      <c r="S759" s="15">
        <f ca="1">IFERROR(__xludf.DUMMYFUNCTION("""COMPUTED_VALUE"""),46268)</f>
        <v>46268</v>
      </c>
      <c r="T759" s="5" t="b">
        <f ca="1">IFERROR(__xludf.DUMMYFUNCTION("""COMPUTED_VALUE"""),TRUE)</f>
        <v>1</v>
      </c>
      <c r="U759" s="5"/>
      <c r="V759" s="5"/>
      <c r="W759" s="5"/>
      <c r="X759" s="5"/>
      <c r="Y759" s="5"/>
      <c r="Z759" s="5"/>
      <c r="AA759" s="5"/>
      <c r="AB759" s="5"/>
      <c r="AC759" s="5"/>
      <c r="AD759" s="5"/>
      <c r="AE759" s="5"/>
      <c r="AF759" s="5"/>
      <c r="AG759" s="10">
        <f ca="1">IFERROR(__xludf.DUMMYFUNCTION("""COMPUTED_VALUE"""),46213.4599652777)</f>
        <v>46213.459965277703</v>
      </c>
      <c r="AH759" s="5" t="str">
        <f ca="1">IFERROR(__xludf.DUMMYFUNCTION("""COMPUTED_VALUE"""),"milena.kocic@fazi.rs")</f>
        <v>milena.kocic@fazi.rs</v>
      </c>
      <c r="AI759" s="5"/>
      <c r="AJ759" s="5"/>
      <c r="AK759" s="5"/>
      <c r="AL759" s="5"/>
      <c r="AM759" s="5"/>
      <c r="AN759" s="5"/>
      <c r="AO759" s="5"/>
      <c r="AP759" s="5"/>
      <c r="AQ759" s="5"/>
      <c r="AR759" s="5"/>
      <c r="AS759" s="5"/>
      <c r="AT759" s="5"/>
      <c r="AU759" s="5" t="str">
        <f ca="1">IFERROR(__xludf.DUMMYFUNCTION("""COMPUTED_VALUE"""),"Fazi")</f>
        <v>Fazi</v>
      </c>
      <c r="AV759" s="5"/>
      <c r="AW759" s="5"/>
      <c r="AX759" s="15">
        <f ca="1">IFERROR(__xludf.DUMMYFUNCTION("""COMPUTED_VALUE"""),46245)</f>
        <v>46245</v>
      </c>
      <c r="AY759" s="5"/>
      <c r="AZ759" s="5"/>
      <c r="BA759" s="5"/>
      <c r="BB759" s="5"/>
      <c r="BC759" s="5" t="str">
        <f ca="1">IFERROR(__xludf.DUMMYFUNCTION("""COMPUTED_VALUE"""),"Foxi")</f>
        <v>Foxi</v>
      </c>
      <c r="BD759" s="5"/>
      <c r="BE759" s="5"/>
    </row>
    <row r="760" spans="1:57" x14ac:dyDescent="0.25">
      <c r="A760" s="5">
        <f ca="1">IFERROR(__xludf.DUMMYFUNCTION("""COMPUTED_VALUE"""),797)</f>
        <v>797</v>
      </c>
      <c r="B760" s="5">
        <f ca="1">IFERROR(__xludf.DUMMYFUNCTION("""COMPUTED_VALUE"""),3038)</f>
        <v>3038</v>
      </c>
      <c r="C760" s="5" t="str">
        <f ca="1">IFERROR(__xludf.DUMMYFUNCTION("""COMPUTED_VALUE"""),"Fazi")</f>
        <v>Fazi</v>
      </c>
      <c r="D760" s="5" t="str">
        <f ca="1">IFERROR(__xludf.DUMMYFUNCTION("""COMPUTED_VALUE"""),"Bonus Wild 81 Extralines")</f>
        <v>Bonus Wild 81 Extralines</v>
      </c>
      <c r="E760" s="5" t="str">
        <f ca="1">IFERROR(__xludf.DUMMYFUNCTION("""COMPUTED_VALUE"""),"V2")</f>
        <v>V2</v>
      </c>
      <c r="F760" s="5" t="str">
        <f ca="1">IFERROR(__xludf.DUMMYFUNCTION("""COMPUTED_VALUE"""),"BonusWild81Extralines")</f>
        <v>BonusWild81Extralines</v>
      </c>
      <c r="G760" s="5" t="str">
        <f ca="1">IFERROR(__xludf.DUMMYFUNCTION("""COMPUTED_VALUE"""),"Deployed")</f>
        <v>Deployed</v>
      </c>
      <c r="H760" s="5"/>
      <c r="I760" s="5" t="str">
        <f ca="1">IFERROR(__xludf.DUMMYFUNCTION("""COMPUTED_VALUE"""),"V4")</f>
        <v>V4</v>
      </c>
      <c r="J760" s="5" t="str">
        <f ca="1">IFERROR(__xludf.DUMMYFUNCTION("""COMPUTED_VALUE"""),"JSON")</f>
        <v>JSON</v>
      </c>
      <c r="K760" s="5" t="str">
        <f ca="1">IFERROR(__xludf.DUMMYFUNCTION("""COMPUTED_VALUE"""),"Slot")</f>
        <v>Slot</v>
      </c>
      <c r="L760" s="5" t="str">
        <f ca="1">IFERROR(__xludf.DUMMYFUNCTION("""COMPUTED_VALUE"""),"Master")</f>
        <v>Master</v>
      </c>
      <c r="M760" s="5"/>
      <c r="N760" s="5"/>
      <c r="O760" s="5"/>
      <c r="P760" s="14">
        <f ca="1">IFERROR(__xludf.DUMMYFUNCTION("""COMPUTED_VALUE"""),25.5)</f>
        <v>25.5</v>
      </c>
      <c r="Q760" s="15">
        <f ca="1">IFERROR(__xludf.DUMMYFUNCTION("""COMPUTED_VALUE"""),46195)</f>
        <v>46195</v>
      </c>
      <c r="R760" s="5"/>
      <c r="S760" s="15">
        <f ca="1">IFERROR(__xludf.DUMMYFUNCTION("""COMPUTED_VALUE"""),46289)</f>
        <v>46289</v>
      </c>
      <c r="T760" s="5" t="b">
        <f ca="1">IFERROR(__xludf.DUMMYFUNCTION("""COMPUTED_VALUE"""),TRUE)</f>
        <v>1</v>
      </c>
      <c r="U760" s="5" t="str">
        <f ca="1">IFERROR(__xludf.DUMMYFUNCTION("""COMPUTED_VALUE"""),"4x3")</f>
        <v>4x3</v>
      </c>
      <c r="V760" s="5">
        <f ca="1">IFERROR(__xludf.DUMMYFUNCTION("""COMPUTED_VALUE"""),20)</f>
        <v>20</v>
      </c>
      <c r="W760" s="5">
        <f ca="1">IFERROR(__xludf.DUMMYFUNCTION("""COMPUTED_VALUE"""),20)</f>
        <v>20</v>
      </c>
      <c r="X760" s="5">
        <f ca="1">IFERROR(__xludf.DUMMYFUNCTION("""COMPUTED_VALUE"""),96.521)</f>
        <v>96.521000000000001</v>
      </c>
      <c r="Y760" s="5" t="str">
        <f ca="1">IFERROR(__xludf.DUMMYFUNCTION("""COMPUTED_VALUE"""),"Medium")</f>
        <v>Medium</v>
      </c>
      <c r="Z760" s="5">
        <f ca="1">IFERROR(__xludf.DUMMYFUNCTION("""COMPUTED_VALUE"""),7.441)</f>
        <v>7.4409999999999998</v>
      </c>
      <c r="AA760" s="5">
        <f ca="1">IFERROR(__xludf.DUMMYFUNCTION("""COMPUTED_VALUE"""),2440)</f>
        <v>2440</v>
      </c>
      <c r="AB760" s="5"/>
      <c r="AC760" s="5" t="str">
        <f ca="1">IFERROR(__xludf.DUMMYFUNCTION("""COMPUTED_VALUE"""),"Free Rounds, Buy Bonus, Extralines, Wild Symbol, Bonus Game with Free Spins, Variable RTP")</f>
        <v>Free Rounds, Buy Bonus, Extralines, Wild Symbol, Bonus Game with Free Spins, Variable RTP</v>
      </c>
      <c r="AD760" s="5" t="str">
        <f ca="1">IFERROR(__xludf.DUMMYFUNCTION("""COMPUTED_VALUE"""),"0.2/50")</f>
        <v>0.2/50</v>
      </c>
      <c r="AE760" s="5"/>
      <c r="AF760" s="5"/>
      <c r="AG760" s="10">
        <f ca="1">IFERROR(__xludf.DUMMYFUNCTION("""COMPUTED_VALUE"""),46226.6159606481)</f>
        <v>46226.615960648101</v>
      </c>
      <c r="AH760" s="5" t="str">
        <f ca="1">IFERROR(__xludf.DUMMYFUNCTION("""COMPUTED_VALUE"""),"milena.kocic@fazi.rs")</f>
        <v>milena.kocic@fazi.rs</v>
      </c>
      <c r="AI760" s="5"/>
      <c r="AJ760" s="5"/>
      <c r="AK760" s="5">
        <f ca="1">IFERROR(__xludf.DUMMYFUNCTION("""COMPUTED_VALUE"""),2)</f>
        <v>2</v>
      </c>
      <c r="AL760" s="5" t="str">
        <f ca="1">IFERROR(__xludf.DUMMYFUNCTION("""COMPUTED_VALUE"""),"Yes")</f>
        <v>Yes</v>
      </c>
      <c r="AM760" s="5" t="str">
        <f ca="1">IFERROR(__xludf.DUMMYFUNCTION("""COMPUTED_VALUE"""),"No")</f>
        <v>No</v>
      </c>
      <c r="AN760" s="7" t="str">
        <f ca="1">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AO760" s="5" t="str">
        <f ca="1">IFERROR(__xludf.DUMMYFUNCTION("""COMPUTED_VALUE"""),"Yes")</f>
        <v>Yes</v>
      </c>
      <c r="AP760" s="5" t="str">
        <f ca="1">IFERROR(__xludf.DUMMYFUNCTION("""COMPUTED_VALUE"""),"Yes")</f>
        <v>Yes</v>
      </c>
      <c r="AQ760" s="5"/>
      <c r="AR760" s="5"/>
      <c r="AS760" s="5"/>
      <c r="AT760" s="5"/>
      <c r="AU760" s="5" t="str">
        <f ca="1">IFERROR(__xludf.DUMMYFUNCTION("""COMPUTED_VALUE"""),"Fazi")</f>
        <v>Fazi</v>
      </c>
      <c r="AV760" s="5">
        <f ca="1">IFERROR(__xludf.DUMMYFUNCTION("""COMPUTED_VALUE"""),2)</f>
        <v>2</v>
      </c>
      <c r="AW760" s="5"/>
      <c r="AX760" s="15">
        <f ca="1">IFERROR(__xludf.DUMMYFUNCTION("""COMPUTED_VALUE"""),46189)</f>
        <v>46189</v>
      </c>
      <c r="AY760" s="5" t="str">
        <f ca="1">IFERROR(__xludf.DUMMYFUNCTION("""COMPUTED_VALUE"""),"87.5%, 89.5%, 91.5%, 93.5%, 94.5%, 95.5%, 96.5%")</f>
        <v>87.5%, 89.5%, 91.5%, 93.5%, 94.5%, 95.5%, 96.5%</v>
      </c>
      <c r="AZ760" s="5"/>
      <c r="BA760" s="5"/>
      <c r="BB760" s="5"/>
      <c r="BC760" s="5" t="str">
        <f ca="1">IFERROR(__xludf.DUMMYFUNCTION("""COMPUTED_VALUE"""),"Foxi")</f>
        <v>Foxi</v>
      </c>
      <c r="BD760" s="5"/>
      <c r="BE760" s="5"/>
    </row>
    <row r="761" spans="1:57" x14ac:dyDescent="0.25">
      <c r="A761" s="5">
        <f ca="1">IFERROR(__xludf.DUMMYFUNCTION("""COMPUTED_VALUE"""),798)</f>
        <v>798</v>
      </c>
      <c r="B761" s="5">
        <f ca="1">IFERROR(__xludf.DUMMYFUNCTION("""COMPUTED_VALUE"""),4000021)</f>
        <v>4000021</v>
      </c>
      <c r="C761" s="5" t="str">
        <f ca="1">IFERROR(__xludf.DUMMYFUNCTION("""COMPUTED_VALUE"""),"Tiptop")</f>
        <v>Tiptop</v>
      </c>
      <c r="D761" s="5" t="str">
        <f ca="1">IFERROR(__xludf.DUMMYFUNCTION("""COMPUTED_VALUE"""),"Flamy Fireballs")</f>
        <v>Flamy Fireballs</v>
      </c>
      <c r="E761" s="5" t="str">
        <f ca="1">IFERROR(__xludf.DUMMYFUNCTION("""COMPUTED_VALUE"""),"TipTop")</f>
        <v>TipTop</v>
      </c>
      <c r="F761" s="5" t="str">
        <f ca="1">IFERROR(__xludf.DUMMYFUNCTION("""COMPUTED_VALUE"""),"UnicornFlamyFireballs")</f>
        <v>UnicornFlamyFireballs</v>
      </c>
      <c r="G761" s="5" t="str">
        <f ca="1">IFERROR(__xludf.DUMMYFUNCTION("""COMPUTED_VALUE"""),"Live")</f>
        <v>Live</v>
      </c>
      <c r="H761" s="5"/>
      <c r="I761" s="5" t="str">
        <f ca="1">IFERROR(__xludf.DUMMYFUNCTION("""COMPUTED_VALUE"""),"TipTop")</f>
        <v>TipTop</v>
      </c>
      <c r="J761" s="5" t="str">
        <f ca="1">IFERROR(__xludf.DUMMYFUNCTION("""COMPUTED_VALUE"""),"JSON")</f>
        <v>JSON</v>
      </c>
      <c r="K761" s="5" t="str">
        <f ca="1">IFERROR(__xludf.DUMMYFUNCTION("""COMPUTED_VALUE"""),"Slot")</f>
        <v>Slot</v>
      </c>
      <c r="L761" s="5" t="str">
        <f ca="1">IFERROR(__xludf.DUMMYFUNCTION("""COMPUTED_VALUE"""),"Master")</f>
        <v>Master</v>
      </c>
      <c r="M761" s="5"/>
      <c r="N761" s="5"/>
      <c r="O761" s="5"/>
      <c r="P761" s="14">
        <f ca="1">IFERROR(__xludf.DUMMYFUNCTION("""COMPUTED_VALUE"""),14.08)</f>
        <v>14.08</v>
      </c>
      <c r="Q761" s="15">
        <f ca="1">IFERROR(__xludf.DUMMYFUNCTION("""COMPUTED_VALUE"""),46195)</f>
        <v>46195</v>
      </c>
      <c r="R761" s="15">
        <f ca="1">IFERROR(__xludf.DUMMYFUNCTION("""COMPUTED_VALUE"""),46197)</f>
        <v>46197</v>
      </c>
      <c r="S761" s="15">
        <f ca="1">IFERROR(__xludf.DUMMYFUNCTION("""COMPUTED_VALUE"""),46204)</f>
        <v>46204</v>
      </c>
      <c r="T761" s="5" t="b">
        <f ca="1">IFERROR(__xludf.DUMMYFUNCTION("""COMPUTED_VALUE"""),TRUE)</f>
        <v>1</v>
      </c>
      <c r="U761" s="5" t="str">
        <f ca="1">IFERROR(__xludf.DUMMYFUNCTION("""COMPUTED_VALUE"""),"5x4")</f>
        <v>5x4</v>
      </c>
      <c r="V761" s="5">
        <f ca="1">IFERROR(__xludf.DUMMYFUNCTION("""COMPUTED_VALUE"""),40)</f>
        <v>40</v>
      </c>
      <c r="W761" s="5">
        <f ca="1">IFERROR(__xludf.DUMMYFUNCTION("""COMPUTED_VALUE"""),40)</f>
        <v>40</v>
      </c>
      <c r="X761" s="5">
        <f ca="1">IFERROR(__xludf.DUMMYFUNCTION("""COMPUTED_VALUE"""),96)</f>
        <v>96</v>
      </c>
      <c r="Y761" s="5" t="str">
        <f ca="1">IFERROR(__xludf.DUMMYFUNCTION("""COMPUTED_VALUE"""),"Low")</f>
        <v>Low</v>
      </c>
      <c r="Z761" s="5">
        <f ca="1">IFERROR(__xludf.DUMMYFUNCTION("""COMPUTED_VALUE"""),14.45)</f>
        <v>14.45</v>
      </c>
      <c r="AA761" s="5">
        <f ca="1">IFERROR(__xludf.DUMMYFUNCTION("""COMPUTED_VALUE"""),1000)</f>
        <v>1000</v>
      </c>
      <c r="AB761" s="5"/>
      <c r="AC761" s="5"/>
      <c r="AD761" s="5" t="str">
        <f ca="1">IFERROR(__xludf.DUMMYFUNCTION("""COMPUTED_VALUE"""),"0.05/100")</f>
        <v>0.05/100</v>
      </c>
      <c r="AE761" s="5"/>
      <c r="AF761" s="5"/>
      <c r="AG761" s="10">
        <f ca="1">IFERROR(__xludf.DUMMYFUNCTION("""COMPUTED_VALUE"""),46212.4764004629)</f>
        <v>46212.476400462903</v>
      </c>
      <c r="AH761" s="5" t="str">
        <f ca="1">IFERROR(__xludf.DUMMYFUNCTION("""COMPUTED_VALUE"""),"selena.mihajlovic@fazi.rs")</f>
        <v>selena.mihajlovic@fazi.rs</v>
      </c>
      <c r="AI761" s="5"/>
      <c r="AJ761" s="5"/>
      <c r="AK761" s="5">
        <f ca="1">IFERROR(__xludf.DUMMYFUNCTION("""COMPUTED_VALUE"""),40)</f>
        <v>40</v>
      </c>
      <c r="AL761" s="5" t="str">
        <f ca="1">IFERROR(__xludf.DUMMYFUNCTION("""COMPUTED_VALUE"""),"No")</f>
        <v>No</v>
      </c>
      <c r="AM761" s="5"/>
      <c r="AN761" s="7" t="str">
        <f ca="1">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AO761" s="5"/>
      <c r="AP761" s="5"/>
      <c r="AQ761" s="5" t="b">
        <f ca="1">IFERROR(__xludf.DUMMYFUNCTION("""COMPUTED_VALUE"""),TRUE)</f>
        <v>1</v>
      </c>
      <c r="AR761" s="5"/>
      <c r="AS761" s="5" t="str">
        <f ca="1">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AT761" s="5"/>
      <c r="AU761" s="5" t="str">
        <f ca="1">IFERROR(__xludf.DUMMYFUNCTION("""COMPUTED_VALUE"""),"Tiptop")</f>
        <v>Tiptop</v>
      </c>
      <c r="AV761" s="5"/>
      <c r="AW761" s="5"/>
      <c r="AX761" s="15">
        <f ca="1">IFERROR(__xludf.DUMMYFUNCTION("""COMPUTED_VALUE"""),46189)</f>
        <v>46189</v>
      </c>
      <c r="AY761" s="5"/>
      <c r="AZ761" s="5"/>
      <c r="BA761" s="5"/>
      <c r="BB761" s="5" t="b">
        <f ca="1">IFERROR(__xludf.DUMMYFUNCTION("""COMPUTED_VALUE"""),TRUE)</f>
        <v>1</v>
      </c>
      <c r="BC761" s="5" t="str">
        <f ca="1">IFERROR(__xludf.DUMMYFUNCTION("""COMPUTED_VALUE"""),"Tiptop")</f>
        <v>Tiptop</v>
      </c>
      <c r="BD761" s="7" t="str">
        <f ca="1">IFERROR(__xludf.DUMMYFUNCTION("""COMPUTED_VALUE"""),"https://gameserver-store-client-area.orbionlimited.com/Home/IntegrationGameLaunch/client-area?moneyType=0&amp;gameName=UnicornFlamyFireballs&amp;platform=desktop&amp;languageCode=eng&amp;currency=EUR")</f>
        <v>https://gameserver-store-client-area.orbionlimited.com/Home/IntegrationGameLaunch/client-area?moneyType=0&amp;gameName=UnicornFlamyFireballs&amp;platform=desktop&amp;languageCode=eng&amp;currency=EUR</v>
      </c>
      <c r="BE761" s="5" t="b">
        <f ca="1">IFERROR(__xludf.DUMMYFUNCTION("""COMPUTED_VALUE"""),TRUE)</f>
        <v>1</v>
      </c>
    </row>
    <row r="762" spans="1:57" x14ac:dyDescent="0.25">
      <c r="A762" s="5">
        <f ca="1">IFERROR(__xludf.DUMMYFUNCTION("""COMPUTED_VALUE"""),799)</f>
        <v>799</v>
      </c>
      <c r="B762" s="5">
        <f ca="1">IFERROR(__xludf.DUMMYFUNCTION("""COMPUTED_VALUE"""),4000022)</f>
        <v>4000022</v>
      </c>
      <c r="C762" s="5" t="str">
        <f ca="1">IFERROR(__xludf.DUMMYFUNCTION("""COMPUTED_VALUE"""),"Tiptop")</f>
        <v>Tiptop</v>
      </c>
      <c r="D762" s="5" t="str">
        <f ca="1">IFERROR(__xludf.DUMMYFUNCTION("""COMPUTED_VALUE"""),"Fruit Play Dice")</f>
        <v>Fruit Play Dice</v>
      </c>
      <c r="E762" s="5" t="str">
        <f ca="1">IFERROR(__xludf.DUMMYFUNCTION("""COMPUTED_VALUE"""),"TipTop")</f>
        <v>TipTop</v>
      </c>
      <c r="F762" s="5" t="str">
        <f ca="1">IFERROR(__xludf.DUMMYFUNCTION("""COMPUTED_VALUE"""),"UnicornFruitPlayDice")</f>
        <v>UnicornFruitPlayDice</v>
      </c>
      <c r="G762" s="5" t="str">
        <f ca="1">IFERROR(__xludf.DUMMYFUNCTION("""COMPUTED_VALUE"""),"Live")</f>
        <v>Live</v>
      </c>
      <c r="H762" s="5"/>
      <c r="I762" s="5" t="str">
        <f ca="1">IFERROR(__xludf.DUMMYFUNCTION("""COMPUTED_VALUE"""),"TipTop")</f>
        <v>TipTop</v>
      </c>
      <c r="J762" s="5" t="str">
        <f ca="1">IFERROR(__xludf.DUMMYFUNCTION("""COMPUTED_VALUE"""),"JSON")</f>
        <v>JSON</v>
      </c>
      <c r="K762" s="5" t="str">
        <f ca="1">IFERROR(__xludf.DUMMYFUNCTION("""COMPUTED_VALUE"""),"Dice Slots")</f>
        <v>Dice Slots</v>
      </c>
      <c r="L762" s="5" t="str">
        <f ca="1">IFERROR(__xludf.DUMMYFUNCTION("""COMPUTED_VALUE""")," Clone")</f>
        <v xml:space="preserve"> Clone</v>
      </c>
      <c r="M762" s="5" t="str">
        <f ca="1">IFERROR(__xludf.DUMMYFUNCTION("""COMPUTED_VALUE"""),"Fruit Play")</f>
        <v>Fruit Play</v>
      </c>
      <c r="N762" s="5"/>
      <c r="O762" s="5"/>
      <c r="P762" s="14">
        <f ca="1">IFERROR(__xludf.DUMMYFUNCTION("""COMPUTED_VALUE"""),12.8)</f>
        <v>12.8</v>
      </c>
      <c r="Q762" s="15">
        <f ca="1">IFERROR(__xludf.DUMMYFUNCTION("""COMPUTED_VALUE"""),46195)</f>
        <v>46195</v>
      </c>
      <c r="R762" s="15">
        <f ca="1">IFERROR(__xludf.DUMMYFUNCTION("""COMPUTED_VALUE"""),46202)</f>
        <v>46202</v>
      </c>
      <c r="S762" s="15">
        <f ca="1">IFERROR(__xludf.DUMMYFUNCTION("""COMPUTED_VALUE"""),46209)</f>
        <v>46209</v>
      </c>
      <c r="T762" s="5" t="b">
        <f ca="1">IFERROR(__xludf.DUMMYFUNCTION("""COMPUTED_VALUE"""),TRUE)</f>
        <v>1</v>
      </c>
      <c r="U762" s="5" t="str">
        <f ca="1">IFERROR(__xludf.DUMMYFUNCTION("""COMPUTED_VALUE"""),"5x3")</f>
        <v>5x3</v>
      </c>
      <c r="V762" s="5">
        <f ca="1">IFERROR(__xludf.DUMMYFUNCTION("""COMPUTED_VALUE"""),10)</f>
        <v>10</v>
      </c>
      <c r="W762" s="5">
        <f ca="1">IFERROR(__xludf.DUMMYFUNCTION("""COMPUTED_VALUE"""),10)</f>
        <v>10</v>
      </c>
      <c r="X762" s="5">
        <f ca="1">IFERROR(__xludf.DUMMYFUNCTION("""COMPUTED_VALUE"""),96)</f>
        <v>96</v>
      </c>
      <c r="Y762" s="5" t="str">
        <f ca="1">IFERROR(__xludf.DUMMYFUNCTION("""COMPUTED_VALUE"""),"Low")</f>
        <v>Low</v>
      </c>
      <c r="Z762" s="5">
        <f ca="1">IFERROR(__xludf.DUMMYFUNCTION("""COMPUTED_VALUE"""),15.07)</f>
        <v>15.07</v>
      </c>
      <c r="AA762" s="5">
        <f ca="1">IFERROR(__xludf.DUMMYFUNCTION("""COMPUTED_VALUE"""),10000)</f>
        <v>10000</v>
      </c>
      <c r="AB762" s="5"/>
      <c r="AC762" s="5"/>
      <c r="AD762" s="5" t="str">
        <f ca="1">IFERROR(__xludf.DUMMYFUNCTION("""COMPUTED_VALUE"""),"0.01/100")</f>
        <v>0.01/100</v>
      </c>
      <c r="AE762" s="5"/>
      <c r="AF762" s="5"/>
      <c r="AG762" s="10">
        <f ca="1">IFERROR(__xludf.DUMMYFUNCTION("""COMPUTED_VALUE"""),46211.6082291666)</f>
        <v>46211.608229166603</v>
      </c>
      <c r="AH762" s="5" t="str">
        <f ca="1">IFERROR(__xludf.DUMMYFUNCTION("""COMPUTED_VALUE"""),"vanja.svetska@fazi.rs")</f>
        <v>vanja.svetska@fazi.rs</v>
      </c>
      <c r="AI762" s="5"/>
      <c r="AJ762" s="5"/>
      <c r="AK762" s="5">
        <f ca="1">IFERROR(__xludf.DUMMYFUNCTION("""COMPUTED_VALUE"""),10)</f>
        <v>10</v>
      </c>
      <c r="AL762" s="5" t="str">
        <f ca="1">IFERROR(__xludf.DUMMYFUNCTION("""COMPUTED_VALUE"""),"No")</f>
        <v>No</v>
      </c>
      <c r="AM762" s="5"/>
      <c r="AN762" s="7" t="str">
        <f ca="1">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AO762" s="5"/>
      <c r="AP762" s="5"/>
      <c r="AQ762" s="5" t="b">
        <f ca="1">IFERROR(__xludf.DUMMYFUNCTION("""COMPUTED_VALUE"""),TRUE)</f>
        <v>1</v>
      </c>
      <c r="AR762" s="5"/>
      <c r="AS762" s="5" t="str">
        <f ca="1">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AT762" s="5"/>
      <c r="AU762" s="5" t="str">
        <f ca="1">IFERROR(__xludf.DUMMYFUNCTION("""COMPUTED_VALUE"""),"Tiptop")</f>
        <v>Tiptop</v>
      </c>
      <c r="AV762" s="5"/>
      <c r="AW762" s="5"/>
      <c r="AX762" s="15">
        <f ca="1">IFERROR(__xludf.DUMMYFUNCTION("""COMPUTED_VALUE"""),46189)</f>
        <v>46189</v>
      </c>
      <c r="AY762" s="5"/>
      <c r="AZ762" s="5"/>
      <c r="BA762" s="5"/>
      <c r="BB762" s="5" t="b">
        <f ca="1">IFERROR(__xludf.DUMMYFUNCTION("""COMPUTED_VALUE"""),TRUE)</f>
        <v>1</v>
      </c>
      <c r="BC762" s="5" t="str">
        <f ca="1">IFERROR(__xludf.DUMMYFUNCTION("""COMPUTED_VALUE"""),"Tiptop")</f>
        <v>Tiptop</v>
      </c>
      <c r="BD762" s="7" t="str">
        <f ca="1">IFERROR(__xludf.DUMMYFUNCTION("""COMPUTED_VALUE"""),"https://gameserver-store-client-area.orbionlimited.com/Home/IntegrationGameLaunch/client-area?moneyType=0&amp;gameName=UnicornFruitPlayDice&amp;platform=desktop&amp;languageCode=eng&amp;currency=EUR")</f>
        <v>https://gameserver-store-client-area.orbionlimited.com/Home/IntegrationGameLaunch/client-area?moneyType=0&amp;gameName=UnicornFruitPlayDice&amp;platform=desktop&amp;languageCode=eng&amp;currency=EUR</v>
      </c>
      <c r="BE762" s="5" t="b">
        <f ca="1">IFERROR(__xludf.DUMMYFUNCTION("""COMPUTED_VALUE"""),TRUE)</f>
        <v>1</v>
      </c>
    </row>
    <row r="763" spans="1:57" x14ac:dyDescent="0.25">
      <c r="A763" s="5">
        <f ca="1">IFERROR(__xludf.DUMMYFUNCTION("""COMPUTED_VALUE"""),800)</f>
        <v>800</v>
      </c>
      <c r="B763" s="5">
        <f ca="1">IFERROR(__xludf.DUMMYFUNCTION("""COMPUTED_VALUE"""),4000024)</f>
        <v>4000024</v>
      </c>
      <c r="C763" s="5" t="str">
        <f ca="1">IFERROR(__xludf.DUMMYFUNCTION("""COMPUTED_VALUE"""),"Tiptop")</f>
        <v>Tiptop</v>
      </c>
      <c r="D763" s="5" t="str">
        <f ca="1">IFERROR(__xludf.DUMMYFUNCTION("""COMPUTED_VALUE"""),"Spin The Sevens")</f>
        <v>Spin The Sevens</v>
      </c>
      <c r="E763" s="5" t="str">
        <f ca="1">IFERROR(__xludf.DUMMYFUNCTION("""COMPUTED_VALUE"""),"TipTop")</f>
        <v>TipTop</v>
      </c>
      <c r="F763" s="5" t="str">
        <f ca="1">IFERROR(__xludf.DUMMYFUNCTION("""COMPUTED_VALUE"""),"UnicornSpinTheSevens")</f>
        <v>UnicornSpinTheSevens</v>
      </c>
      <c r="G763" s="5" t="str">
        <f ca="1">IFERROR(__xludf.DUMMYFUNCTION("""COMPUTED_VALUE"""),"Live")</f>
        <v>Live</v>
      </c>
      <c r="H763" s="5"/>
      <c r="I763" s="5" t="str">
        <f ca="1">IFERROR(__xludf.DUMMYFUNCTION("""COMPUTED_VALUE"""),"TipTop")</f>
        <v>TipTop</v>
      </c>
      <c r="J763" s="5" t="str">
        <f ca="1">IFERROR(__xludf.DUMMYFUNCTION("""COMPUTED_VALUE"""),"JSON")</f>
        <v>JSON</v>
      </c>
      <c r="K763" s="5" t="str">
        <f ca="1">IFERROR(__xludf.DUMMYFUNCTION("""COMPUTED_VALUE"""),"Slot")</f>
        <v>Slot</v>
      </c>
      <c r="L763" s="5" t="str">
        <f ca="1">IFERROR(__xludf.DUMMYFUNCTION("""COMPUTED_VALUE""")," Clone")</f>
        <v xml:space="preserve"> Clone</v>
      </c>
      <c r="M763" s="5" t="str">
        <f ca="1">IFERROR(__xludf.DUMMYFUNCTION("""COMPUTED_VALUE"""),"Big Hit Sevens")</f>
        <v>Big Hit Sevens</v>
      </c>
      <c r="N763" s="5"/>
      <c r="O763" s="5"/>
      <c r="P763" s="14">
        <f ca="1">IFERROR(__xludf.DUMMYFUNCTION("""COMPUTED_VALUE"""),10.7)</f>
        <v>10.7</v>
      </c>
      <c r="Q763" s="15">
        <f ca="1">IFERROR(__xludf.DUMMYFUNCTION("""COMPUTED_VALUE"""),46209)</f>
        <v>46209</v>
      </c>
      <c r="R763" s="15">
        <f ca="1">IFERROR(__xludf.DUMMYFUNCTION("""COMPUTED_VALUE"""),46211)</f>
        <v>46211</v>
      </c>
      <c r="S763" s="15">
        <f ca="1">IFERROR(__xludf.DUMMYFUNCTION("""COMPUTED_VALUE"""),46218)</f>
        <v>46218</v>
      </c>
      <c r="T763" s="5" t="b">
        <f ca="1">IFERROR(__xludf.DUMMYFUNCTION("""COMPUTED_VALUE"""),TRUE)</f>
        <v>1</v>
      </c>
      <c r="U763" s="5" t="str">
        <f ca="1">IFERROR(__xludf.DUMMYFUNCTION("""COMPUTED_VALUE"""),"5x3")</f>
        <v>5x3</v>
      </c>
      <c r="V763" s="5">
        <f ca="1">IFERROR(__xludf.DUMMYFUNCTION("""COMPUTED_VALUE"""),10)</f>
        <v>10</v>
      </c>
      <c r="W763" s="5">
        <f ca="1">IFERROR(__xludf.DUMMYFUNCTION("""COMPUTED_VALUE"""),10)</f>
        <v>10</v>
      </c>
      <c r="X763" s="5">
        <f ca="1">IFERROR(__xludf.DUMMYFUNCTION("""COMPUTED_VALUE"""),96)</f>
        <v>96</v>
      </c>
      <c r="Y763" s="5" t="str">
        <f ca="1">IFERROR(__xludf.DUMMYFUNCTION("""COMPUTED_VALUE"""),"Low")</f>
        <v>Low</v>
      </c>
      <c r="Z763" s="5">
        <f ca="1">IFERROR(__xludf.DUMMYFUNCTION("""COMPUTED_VALUE"""),10.84)</f>
        <v>10.84</v>
      </c>
      <c r="AA763" s="5">
        <f ca="1">IFERROR(__xludf.DUMMYFUNCTION("""COMPUTED_VALUE"""),1200)</f>
        <v>1200</v>
      </c>
      <c r="AB763" s="5"/>
      <c r="AC763" s="5"/>
      <c r="AD763" s="5" t="str">
        <f ca="1">IFERROR(__xludf.DUMMYFUNCTION("""COMPUTED_VALUE"""),"0.05/100")</f>
        <v>0.05/100</v>
      </c>
      <c r="AE763" s="5"/>
      <c r="AF763" s="5"/>
      <c r="AG763" s="10">
        <f ca="1">IFERROR(__xludf.DUMMYFUNCTION("""COMPUTED_VALUE"""),46223.4844097222)</f>
        <v>46223.484409722201</v>
      </c>
      <c r="AH763" s="5" t="str">
        <f ca="1">IFERROR(__xludf.DUMMYFUNCTION("""COMPUTED_VALUE"""),"selena.mihajlovic@fazi.rs")</f>
        <v>selena.mihajlovic@fazi.rs</v>
      </c>
      <c r="AI763" s="15">
        <f ca="1">IFERROR(__xludf.DUMMYFUNCTION("""COMPUTED_VALUE"""),46210)</f>
        <v>46210</v>
      </c>
      <c r="AJ763" s="5" t="str">
        <f ca="1">IFERROR(__xludf.DUMMYFUNCTION("""COMPUTED_VALUE"""),"Mojabet Africa	7.7.2026.")</f>
        <v>Mojabet Africa	7.7.2026.</v>
      </c>
      <c r="AK763" s="5">
        <f ca="1">IFERROR(__xludf.DUMMYFUNCTION("""COMPUTED_VALUE"""),10)</f>
        <v>10</v>
      </c>
      <c r="AL763" s="5" t="str">
        <f ca="1">IFERROR(__xludf.DUMMYFUNCTION("""COMPUTED_VALUE"""),"No")</f>
        <v>No</v>
      </c>
      <c r="AM763" s="5"/>
      <c r="AN763" s="7" t="str">
        <f ca="1">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AO763" s="5"/>
      <c r="AP763" s="5"/>
      <c r="AQ763" s="5" t="b">
        <f ca="1">IFERROR(__xludf.DUMMYFUNCTION("""COMPUTED_VALUE"""),TRUE)</f>
        <v>1</v>
      </c>
      <c r="AR763" s="5"/>
      <c r="AS763" s="5" t="str">
        <f ca="1">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AT763" s="5"/>
      <c r="AU763" s="5" t="str">
        <f ca="1">IFERROR(__xludf.DUMMYFUNCTION("""COMPUTED_VALUE"""),"Tiptop")</f>
        <v>Tiptop</v>
      </c>
      <c r="AV763" s="5"/>
      <c r="AW763" s="5"/>
      <c r="AX763" s="15">
        <f ca="1">IFERROR(__xludf.DUMMYFUNCTION("""COMPUTED_VALUE"""),46203)</f>
        <v>46203</v>
      </c>
      <c r="AY763" s="5"/>
      <c r="AZ763" s="5"/>
      <c r="BA763" s="5"/>
      <c r="BB763" s="5" t="b">
        <f ca="1">IFERROR(__xludf.DUMMYFUNCTION("""COMPUTED_VALUE"""),TRUE)</f>
        <v>1</v>
      </c>
      <c r="BC763" s="5" t="str">
        <f ca="1">IFERROR(__xludf.DUMMYFUNCTION("""COMPUTED_VALUE"""),"Tiptop")</f>
        <v>Tiptop</v>
      </c>
      <c r="BD763" s="7" t="str">
        <f ca="1">IFERROR(__xludf.DUMMYFUNCTION("""COMPUTED_VALUE"""),"https://gameserver-store-client-area.orbionlimited.com/Home/IntegrationGameLaunch/client-area?moneyType=0&amp;gameName=UnicornSpinTheSevens&amp;platform=desktop&amp;languageCode=eng&amp;currency=EUR")</f>
        <v>https://gameserver-store-client-area.orbionlimited.com/Home/IntegrationGameLaunch/client-area?moneyType=0&amp;gameName=UnicornSpinTheSevens&amp;platform=desktop&amp;languageCode=eng&amp;currency=EUR</v>
      </c>
      <c r="BE763" s="5" t="b">
        <f ca="1">IFERROR(__xludf.DUMMYFUNCTION("""COMPUTED_VALUE"""),TRUE)</f>
        <v>1</v>
      </c>
    </row>
    <row r="764" spans="1:57" x14ac:dyDescent="0.25">
      <c r="A764" s="5">
        <f ca="1">IFERROR(__xludf.DUMMYFUNCTION("""COMPUTED_VALUE"""),801)</f>
        <v>801</v>
      </c>
      <c r="B764" s="5">
        <f ca="1">IFERROR(__xludf.DUMMYFUNCTION("""COMPUTED_VALUE"""),4000025)</f>
        <v>4000025</v>
      </c>
      <c r="C764" s="5" t="str">
        <f ca="1">IFERROR(__xludf.DUMMYFUNCTION("""COMPUTED_VALUE"""),"Tiptop")</f>
        <v>Tiptop</v>
      </c>
      <c r="D764" s="5" t="str">
        <f ca="1">IFERROR(__xludf.DUMMYFUNCTION("""COMPUTED_VALUE"""),"Crazy Wild Sevens")</f>
        <v>Crazy Wild Sevens</v>
      </c>
      <c r="E764" s="5" t="str">
        <f ca="1">IFERROR(__xludf.DUMMYFUNCTION("""COMPUTED_VALUE"""),"TipTop")</f>
        <v>TipTop</v>
      </c>
      <c r="F764" s="5" t="str">
        <f ca="1">IFERROR(__xludf.DUMMYFUNCTION("""COMPUTED_VALUE"""),"UnicornCrazyWildSevens")</f>
        <v>UnicornCrazyWildSevens</v>
      </c>
      <c r="G764" s="5" t="str">
        <f ca="1">IFERROR(__xludf.DUMMYFUNCTION("""COMPUTED_VALUE"""),"Live")</f>
        <v>Live</v>
      </c>
      <c r="H764" s="5"/>
      <c r="I764" s="5" t="str">
        <f ca="1">IFERROR(__xludf.DUMMYFUNCTION("""COMPUTED_VALUE"""),"TipTop")</f>
        <v>TipTop</v>
      </c>
      <c r="J764" s="5" t="str">
        <f ca="1">IFERROR(__xludf.DUMMYFUNCTION("""COMPUTED_VALUE"""),"JSON")</f>
        <v>JSON</v>
      </c>
      <c r="K764" s="5" t="str">
        <f ca="1">IFERROR(__xludf.DUMMYFUNCTION("""COMPUTED_VALUE"""),"Slot")</f>
        <v>Slot</v>
      </c>
      <c r="L764" s="5" t="str">
        <f ca="1">IFERROR(__xludf.DUMMYFUNCTION("""COMPUTED_VALUE"""),"Master")</f>
        <v>Master</v>
      </c>
      <c r="M764" s="5"/>
      <c r="N764" s="5"/>
      <c r="O764" s="5"/>
      <c r="P764" s="14">
        <f ca="1">IFERROR(__xludf.DUMMYFUNCTION("""COMPUTED_VALUE"""),11.08)</f>
        <v>11.08</v>
      </c>
      <c r="Q764" s="15">
        <f ca="1">IFERROR(__xludf.DUMMYFUNCTION("""COMPUTED_VALUE"""),46223)</f>
        <v>46223</v>
      </c>
      <c r="R764" s="15">
        <f ca="1">IFERROR(__xludf.DUMMYFUNCTION("""COMPUTED_VALUE"""),46218)</f>
        <v>46218</v>
      </c>
      <c r="S764" s="15">
        <f ca="1">IFERROR(__xludf.DUMMYFUNCTION("""COMPUTED_VALUE"""),46225)</f>
        <v>46225</v>
      </c>
      <c r="T764" s="5" t="b">
        <f ca="1">IFERROR(__xludf.DUMMYFUNCTION("""COMPUTED_VALUE"""),TRUE)</f>
        <v>1</v>
      </c>
      <c r="U764" s="5" t="str">
        <f ca="1">IFERROR(__xludf.DUMMYFUNCTION("""COMPUTED_VALUE"""),"5x3")</f>
        <v>5x3</v>
      </c>
      <c r="V764" s="5">
        <f ca="1">IFERROR(__xludf.DUMMYFUNCTION("""COMPUTED_VALUE"""),5)</f>
        <v>5</v>
      </c>
      <c r="W764" s="5">
        <f ca="1">IFERROR(__xludf.DUMMYFUNCTION("""COMPUTED_VALUE"""),5)</f>
        <v>5</v>
      </c>
      <c r="X764" s="5">
        <f ca="1">IFERROR(__xludf.DUMMYFUNCTION("""COMPUTED_VALUE"""),96)</f>
        <v>96</v>
      </c>
      <c r="Y764" s="5" t="str">
        <f ca="1">IFERROR(__xludf.DUMMYFUNCTION("""COMPUTED_VALUE"""),"Low")</f>
        <v>Low</v>
      </c>
      <c r="Z764" s="5">
        <f ca="1">IFERROR(__xludf.DUMMYFUNCTION("""COMPUTED_VALUE"""),15.32)</f>
        <v>15.32</v>
      </c>
      <c r="AA764" s="5">
        <f ca="1">IFERROR(__xludf.DUMMYFUNCTION("""COMPUTED_VALUE"""),1150)</f>
        <v>1150</v>
      </c>
      <c r="AB764" s="5"/>
      <c r="AC764" s="5"/>
      <c r="AD764" s="5" t="str">
        <f ca="1">IFERROR(__xludf.DUMMYFUNCTION("""COMPUTED_VALUE"""),"0.05/100")</f>
        <v>0.05/100</v>
      </c>
      <c r="AE764" s="5"/>
      <c r="AF764" s="5"/>
      <c r="AG764" s="10">
        <f ca="1">IFERROR(__xludf.DUMMYFUNCTION("""COMPUTED_VALUE"""),46226.5075925925)</f>
        <v>46226.507592592498</v>
      </c>
      <c r="AH764" s="5" t="str">
        <f ca="1">IFERROR(__xludf.DUMMYFUNCTION("""COMPUTED_VALUE"""),"vanja.svetska@fazi.rs")</f>
        <v>vanja.svetska@fazi.rs</v>
      </c>
      <c r="AI764" s="5"/>
      <c r="AJ764" s="5"/>
      <c r="AK764" s="5">
        <f ca="1">IFERROR(__xludf.DUMMYFUNCTION("""COMPUTED_VALUE"""),5)</f>
        <v>5</v>
      </c>
      <c r="AL764" s="5" t="str">
        <f ca="1">IFERROR(__xludf.DUMMYFUNCTION("""COMPUTED_VALUE"""),"No")</f>
        <v>No</v>
      </c>
      <c r="AM764" s="5"/>
      <c r="AN764" s="7" t="str">
        <f ca="1">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AO764" s="5"/>
      <c r="AP764" s="5" t="str">
        <f ca="1">IFERROR(__xludf.DUMMYFUNCTION("""COMPUTED_VALUE"""),"Yes")</f>
        <v>Yes</v>
      </c>
      <c r="AQ764" s="5" t="b">
        <f ca="1">IFERROR(__xludf.DUMMYFUNCTION("""COMPUTED_VALUE"""),TRUE)</f>
        <v>1</v>
      </c>
      <c r="AR764" s="5"/>
      <c r="AS764" s="5" t="str">
        <f ca="1">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AT764" s="5"/>
      <c r="AU764" s="5" t="str">
        <f ca="1">IFERROR(__xludf.DUMMYFUNCTION("""COMPUTED_VALUE"""),"Tiptop")</f>
        <v>Tiptop</v>
      </c>
      <c r="AV764" s="5"/>
      <c r="AW764" s="5"/>
      <c r="AX764" s="15">
        <f ca="1">IFERROR(__xludf.DUMMYFUNCTION("""COMPUTED_VALUE"""),46217)</f>
        <v>46217</v>
      </c>
      <c r="AY764" s="5"/>
      <c r="AZ764" s="5"/>
      <c r="BA764" s="5"/>
      <c r="BB764" s="5" t="b">
        <f ca="1">IFERROR(__xludf.DUMMYFUNCTION("""COMPUTED_VALUE"""),TRUE)</f>
        <v>1</v>
      </c>
      <c r="BC764" s="5" t="str">
        <f ca="1">IFERROR(__xludf.DUMMYFUNCTION("""COMPUTED_VALUE"""),"Tiptop")</f>
        <v>Tiptop</v>
      </c>
      <c r="BD764" s="7" t="str">
        <f ca="1">IFERROR(__xludf.DUMMYFUNCTION("""COMPUTED_VALUE"""),"https://gameserver-store-client-area.orbionlimited.com/Home/IntegrationGameLaunch/client-area?moneyType=0&amp;gameName=UnicornCrazyWildSevens&amp;platform=desktop&amp;languageCode=eng&amp;currency=EUR")</f>
        <v>https://gameserver-store-client-area.orbionlimited.com/Home/IntegrationGameLaunch/client-area?moneyType=0&amp;gameName=UnicornCrazyWildSevens&amp;platform=desktop&amp;languageCode=eng&amp;currency=EUR</v>
      </c>
      <c r="BE764" s="5" t="b">
        <f ca="1">IFERROR(__xludf.DUMMYFUNCTION("""COMPUTED_VALUE"""),TRUE)</f>
        <v>1</v>
      </c>
    </row>
    <row r="765" spans="1:57" x14ac:dyDescent="0.25">
      <c r="A765" s="5">
        <f ca="1">IFERROR(__xludf.DUMMYFUNCTION("""COMPUTED_VALUE"""),802)</f>
        <v>802</v>
      </c>
      <c r="B765" s="5">
        <f ca="1">IFERROR(__xludf.DUMMYFUNCTION("""COMPUTED_VALUE"""),4000026)</f>
        <v>4000026</v>
      </c>
      <c r="C765" s="5" t="str">
        <f ca="1">IFERROR(__xludf.DUMMYFUNCTION("""COMPUTED_VALUE"""),"Tiptop")</f>
        <v>Tiptop</v>
      </c>
      <c r="D765" s="5" t="str">
        <f ca="1">IFERROR(__xludf.DUMMYFUNCTION("""COMPUTED_VALUE"""),"Sun Of The Nile")</f>
        <v>Sun Of The Nile</v>
      </c>
      <c r="E765" s="5" t="str">
        <f ca="1">IFERROR(__xludf.DUMMYFUNCTION("""COMPUTED_VALUE"""),"TipTop")</f>
        <v>TipTop</v>
      </c>
      <c r="F765" s="5" t="str">
        <f ca="1">IFERROR(__xludf.DUMMYFUNCTION("""COMPUTED_VALUE"""),"UnicornSunOfTheNile")</f>
        <v>UnicornSunOfTheNile</v>
      </c>
      <c r="G765" s="5" t="str">
        <f ca="1">IFERROR(__xludf.DUMMYFUNCTION("""COMPUTED_VALUE"""),"Deployed")</f>
        <v>Deployed</v>
      </c>
      <c r="H765" s="5"/>
      <c r="I765" s="5" t="str">
        <f ca="1">IFERROR(__xludf.DUMMYFUNCTION("""COMPUTED_VALUE"""),"TipTop")</f>
        <v>TipTop</v>
      </c>
      <c r="J765" s="5" t="str">
        <f ca="1">IFERROR(__xludf.DUMMYFUNCTION("""COMPUTED_VALUE"""),"JSON")</f>
        <v>JSON</v>
      </c>
      <c r="K765" s="5" t="str">
        <f ca="1">IFERROR(__xludf.DUMMYFUNCTION("""COMPUTED_VALUE"""),"Slot")</f>
        <v>Slot</v>
      </c>
      <c r="L765" s="5" t="str">
        <f ca="1">IFERROR(__xludf.DUMMYFUNCTION("""COMPUTED_VALUE""")," Clone")</f>
        <v xml:space="preserve"> Clone</v>
      </c>
      <c r="M765" s="5" t="str">
        <f ca="1">IFERROR(__xludf.DUMMYFUNCTION("""COMPUTED_VALUE"""),"Buffalo Sevens")</f>
        <v>Buffalo Sevens</v>
      </c>
      <c r="N765" s="5"/>
      <c r="O765" s="5"/>
      <c r="P765" s="14">
        <f ca="1">IFERROR(__xludf.DUMMYFUNCTION("""COMPUTED_VALUE"""),11.84)</f>
        <v>11.84</v>
      </c>
      <c r="Q765" s="15">
        <f ca="1">IFERROR(__xludf.DUMMYFUNCTION("""COMPUTED_VALUE"""),46223)</f>
        <v>46223</v>
      </c>
      <c r="R765" s="15">
        <f ca="1">IFERROR(__xludf.DUMMYFUNCTION("""COMPUTED_VALUE"""),46225)</f>
        <v>46225</v>
      </c>
      <c r="S765" s="15">
        <f ca="1">IFERROR(__xludf.DUMMYFUNCTION("""COMPUTED_VALUE"""),46232)</f>
        <v>46232</v>
      </c>
      <c r="T765" s="5" t="b">
        <f ca="1">IFERROR(__xludf.DUMMYFUNCTION("""COMPUTED_VALUE"""),TRUE)</f>
        <v>1</v>
      </c>
      <c r="U765" s="5" t="str">
        <f ca="1">IFERROR(__xludf.DUMMYFUNCTION("""COMPUTED_VALUE"""),"5x3")</f>
        <v>5x3</v>
      </c>
      <c r="V765" s="5">
        <f ca="1">IFERROR(__xludf.DUMMYFUNCTION("""COMPUTED_VALUE"""),10)</f>
        <v>10</v>
      </c>
      <c r="W765" s="5">
        <f ca="1">IFERROR(__xludf.DUMMYFUNCTION("""COMPUTED_VALUE"""),10)</f>
        <v>10</v>
      </c>
      <c r="X765" s="5">
        <f ca="1">IFERROR(__xludf.DUMMYFUNCTION("""COMPUTED_VALUE"""),96)</f>
        <v>96</v>
      </c>
      <c r="Y765" s="5" t="str">
        <f ca="1">IFERROR(__xludf.DUMMYFUNCTION("""COMPUTED_VALUE"""),"Low")</f>
        <v>Low</v>
      </c>
      <c r="Z765" s="5">
        <f ca="1">IFERROR(__xludf.DUMMYFUNCTION("""COMPUTED_VALUE"""),9.08)</f>
        <v>9.08</v>
      </c>
      <c r="AA765" s="5">
        <f ca="1">IFERROR(__xludf.DUMMYFUNCTION("""COMPUTED_VALUE"""),5000)</f>
        <v>5000</v>
      </c>
      <c r="AB765" s="5"/>
      <c r="AC765" s="5"/>
      <c r="AD765" s="5" t="str">
        <f ca="1">IFERROR(__xludf.DUMMYFUNCTION("""COMPUTED_VALUE"""),"0.05/100")</f>
        <v>0.05/100</v>
      </c>
      <c r="AE765" s="5"/>
      <c r="AF765" s="5"/>
      <c r="AG765" s="10">
        <f ca="1">IFERROR(__xludf.DUMMYFUNCTION("""COMPUTED_VALUE"""),46231.4909027777)</f>
        <v>46231.490902777703</v>
      </c>
      <c r="AH765" s="5" t="str">
        <f ca="1">IFERROR(__xludf.DUMMYFUNCTION("""COMPUTED_VALUE"""),"vanja.svetska@fazi.rs")</f>
        <v>vanja.svetska@fazi.rs</v>
      </c>
      <c r="AI765" s="5"/>
      <c r="AJ765" s="5"/>
      <c r="AK765" s="5">
        <f ca="1">IFERROR(__xludf.DUMMYFUNCTION("""COMPUTED_VALUE"""),10)</f>
        <v>10</v>
      </c>
      <c r="AL765" s="5" t="str">
        <f ca="1">IFERROR(__xludf.DUMMYFUNCTION("""COMPUTED_VALUE"""),"No")</f>
        <v>No</v>
      </c>
      <c r="AM765" s="5"/>
      <c r="AN765" s="7" t="str">
        <f ca="1">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AO765" s="5"/>
      <c r="AP765" s="5" t="str">
        <f ca="1">IFERROR(__xludf.DUMMYFUNCTION("""COMPUTED_VALUE"""),"Yes")</f>
        <v>Yes</v>
      </c>
      <c r="AQ765" s="5" t="b">
        <f ca="1">IFERROR(__xludf.DUMMYFUNCTION("""COMPUTED_VALUE"""),TRUE)</f>
        <v>1</v>
      </c>
      <c r="AR765" s="5"/>
      <c r="AS765" s="5" t="str">
        <f ca="1">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AT765" s="5"/>
      <c r="AU765" s="5" t="str">
        <f ca="1">IFERROR(__xludf.DUMMYFUNCTION("""COMPUTED_VALUE"""),"Tiptop")</f>
        <v>Tiptop</v>
      </c>
      <c r="AV765" s="5"/>
      <c r="AW765" s="5"/>
      <c r="AX765" s="15">
        <f ca="1">IFERROR(__xludf.DUMMYFUNCTION("""COMPUTED_VALUE"""),46217)</f>
        <v>46217</v>
      </c>
      <c r="AY765" s="5"/>
      <c r="AZ765" s="5"/>
      <c r="BA765" s="5"/>
      <c r="BB765" s="5" t="b">
        <f ca="1">IFERROR(__xludf.DUMMYFUNCTION("""COMPUTED_VALUE"""),TRUE)</f>
        <v>1</v>
      </c>
      <c r="BC765" s="5" t="str">
        <f ca="1">IFERROR(__xludf.DUMMYFUNCTION("""COMPUTED_VALUE"""),"Tiptop")</f>
        <v>Tiptop</v>
      </c>
      <c r="BD765" s="7" t="str">
        <f ca="1">IFERROR(__xludf.DUMMYFUNCTION("""COMPUTED_VALUE"""),"https://gameserver-store-client-area.orbionlimited.com/Home/IntegrationGameLaunch/client-area?moneyType=0&amp;gameName=UnicornSunOfTheNile&amp;platform=desktop&amp;languageCode=eng&amp;currency=EUR")</f>
        <v>https://gameserver-store-client-area.orbionlimited.com/Home/IntegrationGameLaunch/client-area?moneyType=0&amp;gameName=UnicornSunOfTheNile&amp;platform=desktop&amp;languageCode=eng&amp;currency=EUR</v>
      </c>
      <c r="BE765" s="5" t="b">
        <f ca="1">IFERROR(__xludf.DUMMYFUNCTION("""COMPUTED_VALUE"""),TRUE)</f>
        <v>1</v>
      </c>
    </row>
    <row r="766" spans="1:57" x14ac:dyDescent="0.25">
      <c r="A766" s="5">
        <f ca="1">IFERROR(__xludf.DUMMYFUNCTION("""COMPUTED_VALUE"""),803)</f>
        <v>803</v>
      </c>
      <c r="B766" s="5">
        <f ca="1">IFERROR(__xludf.DUMMYFUNCTION("""COMPUTED_VALUE"""),4000027)</f>
        <v>4000027</v>
      </c>
      <c r="C766" s="5" t="str">
        <f ca="1">IFERROR(__xludf.DUMMYFUNCTION("""COMPUTED_VALUE"""),"Tiptop")</f>
        <v>Tiptop</v>
      </c>
      <c r="D766" s="5" t="str">
        <f ca="1">IFERROR(__xludf.DUMMYFUNCTION("""COMPUTED_VALUE"""),"Dazzle Fireballs")</f>
        <v>Dazzle Fireballs</v>
      </c>
      <c r="E766" s="5" t="str">
        <f ca="1">IFERROR(__xludf.DUMMYFUNCTION("""COMPUTED_VALUE"""),"TipTop")</f>
        <v>TipTop</v>
      </c>
      <c r="F766" s="5" t="str">
        <f ca="1">IFERROR(__xludf.DUMMYFUNCTION("""COMPUTED_VALUE"""),"UnicornDazzleFireballs")</f>
        <v>UnicornDazzleFireballs</v>
      </c>
      <c r="G766" s="5" t="str">
        <f ca="1">IFERROR(__xludf.DUMMYFUNCTION("""COMPUTED_VALUE"""),"Planned")</f>
        <v>Planned</v>
      </c>
      <c r="H766" s="5"/>
      <c r="I766" s="5" t="str">
        <f ca="1">IFERROR(__xludf.DUMMYFUNCTION("""COMPUTED_VALUE"""),"TipTop")</f>
        <v>TipTop</v>
      </c>
      <c r="J766" s="5" t="str">
        <f ca="1">IFERROR(__xludf.DUMMYFUNCTION("""COMPUTED_VALUE"""),"JSON")</f>
        <v>JSON</v>
      </c>
      <c r="K766" s="5" t="str">
        <f ca="1">IFERROR(__xludf.DUMMYFUNCTION("""COMPUTED_VALUE"""),"Slot")</f>
        <v>Slot</v>
      </c>
      <c r="L766" s="5" t="str">
        <f ca="1">IFERROR(__xludf.DUMMYFUNCTION("""COMPUTED_VALUE"""),"Master")</f>
        <v>Master</v>
      </c>
      <c r="M766" s="5"/>
      <c r="N766" s="5"/>
      <c r="O766" s="5"/>
      <c r="P766" s="14">
        <f ca="1">IFERROR(__xludf.DUMMYFUNCTION("""COMPUTED_VALUE"""),12.96)</f>
        <v>12.96</v>
      </c>
      <c r="Q766" s="15">
        <f ca="1">IFERROR(__xludf.DUMMYFUNCTION("""COMPUTED_VALUE"""),46237)</f>
        <v>46237</v>
      </c>
      <c r="R766" s="15">
        <f ca="1">IFERROR(__xludf.DUMMYFUNCTION("""COMPUTED_VALUE"""),46232)</f>
        <v>46232</v>
      </c>
      <c r="S766" s="15">
        <f ca="1">IFERROR(__xludf.DUMMYFUNCTION("""COMPUTED_VALUE"""),46239)</f>
        <v>46239</v>
      </c>
      <c r="T766" s="5" t="b">
        <f ca="1">IFERROR(__xludf.DUMMYFUNCTION("""COMPUTED_VALUE"""),TRUE)</f>
        <v>1</v>
      </c>
      <c r="U766" s="5" t="str">
        <f ca="1">IFERROR(__xludf.DUMMYFUNCTION("""COMPUTED_VALUE"""),"5x3")</f>
        <v>5x3</v>
      </c>
      <c r="V766" s="5">
        <f ca="1">IFERROR(__xludf.DUMMYFUNCTION("""COMPUTED_VALUE"""),5)</f>
        <v>5</v>
      </c>
      <c r="W766" s="5">
        <f ca="1">IFERROR(__xludf.DUMMYFUNCTION("""COMPUTED_VALUE"""),5)</f>
        <v>5</v>
      </c>
      <c r="X766" s="5">
        <f ca="1">IFERROR(__xludf.DUMMYFUNCTION("""COMPUTED_VALUE"""),96)</f>
        <v>96</v>
      </c>
      <c r="Y766" s="5" t="str">
        <f ca="1">IFERROR(__xludf.DUMMYFUNCTION("""COMPUTED_VALUE"""),"Low")</f>
        <v>Low</v>
      </c>
      <c r="Z766" s="5">
        <f ca="1">IFERROR(__xludf.DUMMYFUNCTION("""COMPUTED_VALUE"""),11.53)</f>
        <v>11.53</v>
      </c>
      <c r="AA766" s="5">
        <f ca="1">IFERROR(__xludf.DUMMYFUNCTION("""COMPUTED_VALUE"""),1004)</f>
        <v>1004</v>
      </c>
      <c r="AB766" s="5"/>
      <c r="AC766" s="5"/>
      <c r="AD766" s="5" t="str">
        <f ca="1">IFERROR(__xludf.DUMMYFUNCTION("""COMPUTED_VALUE"""),"0.05/100")</f>
        <v>0.05/100</v>
      </c>
      <c r="AE766" s="5"/>
      <c r="AF766" s="5"/>
      <c r="AG766" s="10">
        <f ca="1">IFERROR(__xludf.DUMMYFUNCTION("""COMPUTED_VALUE"""),46227.4345601851)</f>
        <v>46227.434560185102</v>
      </c>
      <c r="AH766" s="5" t="str">
        <f ca="1">IFERROR(__xludf.DUMMYFUNCTION("""COMPUTED_VALUE"""),"selena.mihajlovic@fazi.rs")</f>
        <v>selena.mihajlovic@fazi.rs</v>
      </c>
      <c r="AI766" s="5"/>
      <c r="AJ766" s="5"/>
      <c r="AK766" s="5">
        <f ca="1">IFERROR(__xludf.DUMMYFUNCTION("""COMPUTED_VALUE"""),5)</f>
        <v>5</v>
      </c>
      <c r="AL766" s="5" t="str">
        <f ca="1">IFERROR(__xludf.DUMMYFUNCTION("""COMPUTED_VALUE"""),"No")</f>
        <v>No</v>
      </c>
      <c r="AM766" s="5"/>
      <c r="AN766" s="7" t="str">
        <f ca="1">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AO766" s="5"/>
      <c r="AP766" s="5" t="str">
        <f ca="1">IFERROR(__xludf.DUMMYFUNCTION("""COMPUTED_VALUE"""),"Yes")</f>
        <v>Yes</v>
      </c>
      <c r="AQ766" s="5" t="b">
        <f ca="1">IFERROR(__xludf.DUMMYFUNCTION("""COMPUTED_VALUE"""),TRUE)</f>
        <v>1</v>
      </c>
      <c r="AR766" s="5"/>
      <c r="AS766" s="5" t="str">
        <f ca="1">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AT766" s="5"/>
      <c r="AU766" s="5" t="str">
        <f ca="1">IFERROR(__xludf.DUMMYFUNCTION("""COMPUTED_VALUE"""),"Tiptop")</f>
        <v>Tiptop</v>
      </c>
      <c r="AV766" s="5"/>
      <c r="AW766" s="5"/>
      <c r="AX766" s="15">
        <f ca="1">IFERROR(__xludf.DUMMYFUNCTION("""COMPUTED_VALUE"""),46231)</f>
        <v>46231</v>
      </c>
      <c r="AY766" s="5"/>
      <c r="AZ766" s="5"/>
      <c r="BA766" s="5"/>
      <c r="BB766" s="5" t="b">
        <f ca="1">IFERROR(__xludf.DUMMYFUNCTION("""COMPUTED_VALUE"""),TRUE)</f>
        <v>1</v>
      </c>
      <c r="BC766" s="5" t="str">
        <f ca="1">IFERROR(__xludf.DUMMYFUNCTION("""COMPUTED_VALUE"""),"Tiptop")</f>
        <v>Tiptop</v>
      </c>
      <c r="BD766" s="7" t="str">
        <f ca="1">IFERROR(__xludf.DUMMYFUNCTION("""COMPUTED_VALUE"""),"https://gameserver-store-client-area.orbionlimited.com/Home/IntegrationGameLaunch/client-area?moneyType=0&amp;gameName=UnicornDazzleFireballs&amp;platform=desktop&amp;languageCode=eng&amp;currency=EUR")</f>
        <v>https://gameserver-store-client-area.orbionlimited.com/Home/IntegrationGameLaunch/client-area?moneyType=0&amp;gameName=UnicornDazzleFireballs&amp;platform=desktop&amp;languageCode=eng&amp;currency=EUR</v>
      </c>
      <c r="BE766" s="5" t="b">
        <f ca="1">IFERROR(__xludf.DUMMYFUNCTION("""COMPUTED_VALUE"""),TRUE)</f>
        <v>1</v>
      </c>
    </row>
    <row r="767" spans="1:57" x14ac:dyDescent="0.25">
      <c r="A767" s="5">
        <f ca="1">IFERROR(__xludf.DUMMYFUNCTION("""COMPUTED_VALUE"""),804)</f>
        <v>804</v>
      </c>
      <c r="B767" s="5">
        <f ca="1">IFERROR(__xludf.DUMMYFUNCTION("""COMPUTED_VALUE"""),4000028)</f>
        <v>4000028</v>
      </c>
      <c r="C767" s="5" t="str">
        <f ca="1">IFERROR(__xludf.DUMMYFUNCTION("""COMPUTED_VALUE"""),"Tiptop")</f>
        <v>Tiptop</v>
      </c>
      <c r="D767" s="5" t="str">
        <f ca="1">IFERROR(__xludf.DUMMYFUNCTION("""COMPUTED_VALUE"""),"Sevens Pay Dice")</f>
        <v>Sevens Pay Dice</v>
      </c>
      <c r="E767" s="5" t="str">
        <f ca="1">IFERROR(__xludf.DUMMYFUNCTION("""COMPUTED_VALUE"""),"TipTop")</f>
        <v>TipTop</v>
      </c>
      <c r="F767" s="5" t="str">
        <f ca="1">IFERROR(__xludf.DUMMYFUNCTION("""COMPUTED_VALUE"""),"UnicornSevensPayDice")</f>
        <v>UnicornSevensPayDice</v>
      </c>
      <c r="G767" s="5" t="str">
        <f ca="1">IFERROR(__xludf.DUMMYFUNCTION("""COMPUTED_VALUE"""),"Planned")</f>
        <v>Planned</v>
      </c>
      <c r="H767" s="5"/>
      <c r="I767" s="5" t="str">
        <f ca="1">IFERROR(__xludf.DUMMYFUNCTION("""COMPUTED_VALUE"""),"TipTop")</f>
        <v>TipTop</v>
      </c>
      <c r="J767" s="5" t="str">
        <f ca="1">IFERROR(__xludf.DUMMYFUNCTION("""COMPUTED_VALUE"""),"JSON")</f>
        <v>JSON</v>
      </c>
      <c r="K767" s="5" t="str">
        <f ca="1">IFERROR(__xludf.DUMMYFUNCTION("""COMPUTED_VALUE"""),"Dice Slots")</f>
        <v>Dice Slots</v>
      </c>
      <c r="L767" s="5" t="str">
        <f ca="1">IFERROR(__xludf.DUMMYFUNCTION("""COMPUTED_VALUE""")," Clone")</f>
        <v xml:space="preserve"> Clone</v>
      </c>
      <c r="M767" s="5" t="str">
        <f ca="1">IFERROR(__xludf.DUMMYFUNCTION("""COMPUTED_VALUE"""),"Sevens Pay")</f>
        <v>Sevens Pay</v>
      </c>
      <c r="N767" s="5"/>
      <c r="O767" s="5"/>
      <c r="P767" s="14">
        <f ca="1">IFERROR(__xludf.DUMMYFUNCTION("""COMPUTED_VALUE"""),10.24)</f>
        <v>10.24</v>
      </c>
      <c r="Q767" s="15">
        <f ca="1">IFERROR(__xludf.DUMMYFUNCTION("""COMPUTED_VALUE"""),46237)</f>
        <v>46237</v>
      </c>
      <c r="R767" s="15">
        <f ca="1">IFERROR(__xludf.DUMMYFUNCTION("""COMPUTED_VALUE"""),46239)</f>
        <v>46239</v>
      </c>
      <c r="S767" s="15">
        <f ca="1">IFERROR(__xludf.DUMMYFUNCTION("""COMPUTED_VALUE"""),46246)</f>
        <v>46246</v>
      </c>
      <c r="T767" s="5" t="b">
        <f ca="1">IFERROR(__xludf.DUMMYFUNCTION("""COMPUTED_VALUE"""),TRUE)</f>
        <v>1</v>
      </c>
      <c r="U767" s="5" t="str">
        <f ca="1">IFERROR(__xludf.DUMMYFUNCTION("""COMPUTED_VALUE"""),"5x3")</f>
        <v>5x3</v>
      </c>
      <c r="V767" s="5">
        <f ca="1">IFERROR(__xludf.DUMMYFUNCTION("""COMPUTED_VALUE"""),10)</f>
        <v>10</v>
      </c>
      <c r="W767" s="5">
        <f ca="1">IFERROR(__xludf.DUMMYFUNCTION("""COMPUTED_VALUE"""),10)</f>
        <v>10</v>
      </c>
      <c r="X767" s="5">
        <f ca="1">IFERROR(__xludf.DUMMYFUNCTION("""COMPUTED_VALUE"""),96)</f>
        <v>96</v>
      </c>
      <c r="Y767" s="5" t="str">
        <f ca="1">IFERROR(__xludf.DUMMYFUNCTION("""COMPUTED_VALUE"""),"Low")</f>
        <v>Low</v>
      </c>
      <c r="Z767" s="5">
        <f ca="1">IFERROR(__xludf.DUMMYFUNCTION("""COMPUTED_VALUE"""),9.85)</f>
        <v>9.85</v>
      </c>
      <c r="AA767" s="5">
        <f ca="1">IFERROR(__xludf.DUMMYFUNCTION("""COMPUTED_VALUE"""),1000)</f>
        <v>1000</v>
      </c>
      <c r="AB767" s="5"/>
      <c r="AC767" s="5"/>
      <c r="AD767" s="5" t="str">
        <f ca="1">IFERROR(__xludf.DUMMYFUNCTION("""COMPUTED_VALUE"""),"0.05/100")</f>
        <v>0.05/100</v>
      </c>
      <c r="AE767" s="5"/>
      <c r="AF767" s="5"/>
      <c r="AG767" s="10">
        <f ca="1">IFERROR(__xludf.DUMMYFUNCTION("""COMPUTED_VALUE"""),46227.4338310185)</f>
        <v>46227.433831018498</v>
      </c>
      <c r="AH767" s="5" t="str">
        <f ca="1">IFERROR(__xludf.DUMMYFUNCTION("""COMPUTED_VALUE"""),"selena.mihajlovic@fazi.rs")</f>
        <v>selena.mihajlovic@fazi.rs</v>
      </c>
      <c r="AI767" s="5"/>
      <c r="AJ767" s="5"/>
      <c r="AK767" s="5">
        <f ca="1">IFERROR(__xludf.DUMMYFUNCTION("""COMPUTED_VALUE"""),10)</f>
        <v>10</v>
      </c>
      <c r="AL767" s="5" t="str">
        <f ca="1">IFERROR(__xludf.DUMMYFUNCTION("""COMPUTED_VALUE"""),"No")</f>
        <v>No</v>
      </c>
      <c r="AM767" s="5"/>
      <c r="AN767" s="7" t="str">
        <f ca="1">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AO767" s="5"/>
      <c r="AP767" s="5" t="str">
        <f ca="1">IFERROR(__xludf.DUMMYFUNCTION("""COMPUTED_VALUE"""),"Yes")</f>
        <v>Yes</v>
      </c>
      <c r="AQ767" s="5" t="b">
        <f ca="1">IFERROR(__xludf.DUMMYFUNCTION("""COMPUTED_VALUE"""),TRUE)</f>
        <v>1</v>
      </c>
      <c r="AR767" s="5"/>
      <c r="AS767" s="5" t="str">
        <f ca="1">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AT767" s="5"/>
      <c r="AU767" s="5" t="str">
        <f ca="1">IFERROR(__xludf.DUMMYFUNCTION("""COMPUTED_VALUE"""),"Tiptop")</f>
        <v>Tiptop</v>
      </c>
      <c r="AV767" s="5"/>
      <c r="AW767" s="5"/>
      <c r="AX767" s="15">
        <f ca="1">IFERROR(__xludf.DUMMYFUNCTION("""COMPUTED_VALUE"""),46231)</f>
        <v>46231</v>
      </c>
      <c r="AY767" s="5"/>
      <c r="AZ767" s="5"/>
      <c r="BA767" s="5"/>
      <c r="BB767" s="5" t="b">
        <f ca="1">IFERROR(__xludf.DUMMYFUNCTION("""COMPUTED_VALUE"""),TRUE)</f>
        <v>1</v>
      </c>
      <c r="BC767" s="5" t="str">
        <f ca="1">IFERROR(__xludf.DUMMYFUNCTION("""COMPUTED_VALUE"""),"Tiptop")</f>
        <v>Tiptop</v>
      </c>
      <c r="BD767" s="7" t="str">
        <f ca="1">IFERROR(__xludf.DUMMYFUNCTION("""COMPUTED_VALUE"""),"https://gameserver-store-client-area.orbionlimited.com/Home/IntegrationGameLaunch/client-area?moneyType=0&amp;gameName=UnicornSevensPayDice&amp;platform=desktop&amp;languageCode=eng&amp;currency=EUR")</f>
        <v>https://gameserver-store-client-area.orbionlimited.com/Home/IntegrationGameLaunch/client-area?moneyType=0&amp;gameName=UnicornSevensPayDice&amp;platform=desktop&amp;languageCode=eng&amp;currency=EUR</v>
      </c>
      <c r="BE767" s="5" t="b">
        <f ca="1">IFERROR(__xludf.DUMMYFUNCTION("""COMPUTED_VALUE"""),TRUE)</f>
        <v>1</v>
      </c>
    </row>
    <row r="768" spans="1:57" x14ac:dyDescent="0.25">
      <c r="A768" s="5">
        <f ca="1">IFERROR(__xludf.DUMMYFUNCTION("""COMPUTED_VALUE"""),805)</f>
        <v>805</v>
      </c>
      <c r="B768" s="5">
        <f ca="1">IFERROR(__xludf.DUMMYFUNCTION("""COMPUTED_VALUE"""),4000023)</f>
        <v>4000023</v>
      </c>
      <c r="C768" s="5" t="str">
        <f ca="1">IFERROR(__xludf.DUMMYFUNCTION("""COMPUTED_VALUE"""),"Tiptop")</f>
        <v>Tiptop</v>
      </c>
      <c r="D768" s="5" t="str">
        <f ca="1">IFERROR(__xludf.DUMMYFUNCTION("""COMPUTED_VALUE"""),"Fruituristic Sevens")</f>
        <v>Fruituristic Sevens</v>
      </c>
      <c r="E768" s="5" t="str">
        <f ca="1">IFERROR(__xludf.DUMMYFUNCTION("""COMPUTED_VALUE"""),"TipTop")</f>
        <v>TipTop</v>
      </c>
      <c r="F768" s="5" t="str">
        <f ca="1">IFERROR(__xludf.DUMMYFUNCTION("""COMPUTED_VALUE"""),"UnicornFruituristicSevens")</f>
        <v>UnicornFruituristicSevens</v>
      </c>
      <c r="G768" s="5" t="str">
        <f ca="1">IFERROR(__xludf.DUMMYFUNCTION("""COMPUTED_VALUE"""),"Planned")</f>
        <v>Planned</v>
      </c>
      <c r="H768" s="5"/>
      <c r="I768" s="5" t="str">
        <f ca="1">IFERROR(__xludf.DUMMYFUNCTION("""COMPUTED_VALUE"""),"TipTop")</f>
        <v>TipTop</v>
      </c>
      <c r="J768" s="5" t="str">
        <f ca="1">IFERROR(__xludf.DUMMYFUNCTION("""COMPUTED_VALUE"""),"JSON")</f>
        <v>JSON</v>
      </c>
      <c r="K768" s="5" t="str">
        <f ca="1">IFERROR(__xludf.DUMMYFUNCTION("""COMPUTED_VALUE"""),"Slot")</f>
        <v>Slot</v>
      </c>
      <c r="L768" s="5" t="str">
        <f ca="1">IFERROR(__xludf.DUMMYFUNCTION("""COMPUTED_VALUE"""),"Master")</f>
        <v>Master</v>
      </c>
      <c r="M768" s="5"/>
      <c r="N768" s="5"/>
      <c r="O768" s="5"/>
      <c r="P768" s="5"/>
      <c r="Q768" s="15">
        <f ca="1">IFERROR(__xludf.DUMMYFUNCTION("""COMPUTED_VALUE"""),46251)</f>
        <v>46251</v>
      </c>
      <c r="R768" s="15">
        <f ca="1">IFERROR(__xludf.DUMMYFUNCTION("""COMPUTED_VALUE"""),46246)</f>
        <v>46246</v>
      </c>
      <c r="S768" s="15">
        <f ca="1">IFERROR(__xludf.DUMMYFUNCTION("""COMPUTED_VALUE"""),46253)</f>
        <v>46253</v>
      </c>
      <c r="T768" s="5" t="b">
        <f ca="1">IFERROR(__xludf.DUMMYFUNCTION("""COMPUTED_VALUE"""),TRUE)</f>
        <v>1</v>
      </c>
      <c r="U768" s="5" t="str">
        <f ca="1">IFERROR(__xludf.DUMMYFUNCTION("""COMPUTED_VALUE"""),"5x3")</f>
        <v>5x3</v>
      </c>
      <c r="V768" s="5">
        <f ca="1">IFERROR(__xludf.DUMMYFUNCTION("""COMPUTED_VALUE"""),10)</f>
        <v>10</v>
      </c>
      <c r="W768" s="5">
        <f ca="1">IFERROR(__xludf.DUMMYFUNCTION("""COMPUTED_VALUE"""),10)</f>
        <v>10</v>
      </c>
      <c r="X768" s="5">
        <f ca="1">IFERROR(__xludf.DUMMYFUNCTION("""COMPUTED_VALUE"""),96)</f>
        <v>96</v>
      </c>
      <c r="Y768" s="5" t="str">
        <f ca="1">IFERROR(__xludf.DUMMYFUNCTION("""COMPUTED_VALUE"""),"Low")</f>
        <v>Low</v>
      </c>
      <c r="Z768" s="5">
        <f ca="1">IFERROR(__xludf.DUMMYFUNCTION("""COMPUTED_VALUE"""),21.32)</f>
        <v>21.32</v>
      </c>
      <c r="AA768" s="5">
        <f ca="1">IFERROR(__xludf.DUMMYFUNCTION("""COMPUTED_VALUE"""),1000)</f>
        <v>1000</v>
      </c>
      <c r="AB768" s="5"/>
      <c r="AC768" s="5"/>
      <c r="AD768" s="5" t="str">
        <f ca="1">IFERROR(__xludf.DUMMYFUNCTION("""COMPUTED_VALUE"""),"0.05/100")</f>
        <v>0.05/100</v>
      </c>
      <c r="AE768" s="5"/>
      <c r="AF768" s="5"/>
      <c r="AG768" s="10">
        <f ca="1">IFERROR(__xludf.DUMMYFUNCTION("""COMPUTED_VALUE"""),46225.5287731481)</f>
        <v>46225.5287731481</v>
      </c>
      <c r="AH768" s="5"/>
      <c r="AI768" s="5"/>
      <c r="AJ768" s="5"/>
      <c r="AK768" s="5">
        <f ca="1">IFERROR(__xludf.DUMMYFUNCTION("""COMPUTED_VALUE"""),10)</f>
        <v>10</v>
      </c>
      <c r="AL768" s="5" t="str">
        <f ca="1">IFERROR(__xludf.DUMMYFUNCTION("""COMPUTED_VALUE"""),"No")</f>
        <v>No</v>
      </c>
      <c r="AM768" s="5"/>
      <c r="AN768" s="5"/>
      <c r="AO768" s="5"/>
      <c r="AP768" s="5" t="str">
        <f ca="1">IFERROR(__xludf.DUMMYFUNCTION("""COMPUTED_VALUE"""),"Yes")</f>
        <v>Yes</v>
      </c>
      <c r="AQ768" s="5"/>
      <c r="AR768" s="5"/>
      <c r="AS768" s="5"/>
      <c r="AT768" s="5"/>
      <c r="AU768" s="5" t="str">
        <f ca="1">IFERROR(__xludf.DUMMYFUNCTION("""COMPUTED_VALUE"""),"Tiptop")</f>
        <v>Tiptop</v>
      </c>
      <c r="AV768" s="5"/>
      <c r="AW768" s="5"/>
      <c r="AX768" s="15">
        <f ca="1">IFERROR(__xludf.DUMMYFUNCTION("""COMPUTED_VALUE"""),46245)</f>
        <v>46245</v>
      </c>
      <c r="AY768" s="5"/>
      <c r="AZ768" s="5"/>
      <c r="BA768" s="5"/>
      <c r="BB768" s="5"/>
      <c r="BC768" s="5" t="str">
        <f ca="1">IFERROR(__xludf.DUMMYFUNCTION("""COMPUTED_VALUE"""),"Tiptop")</f>
        <v>Tiptop</v>
      </c>
      <c r="BD768" s="5"/>
      <c r="BE768" s="5"/>
    </row>
    <row r="769" spans="1:57" x14ac:dyDescent="0.25">
      <c r="A769" s="5">
        <f ca="1">IFERROR(__xludf.DUMMYFUNCTION("""COMPUTED_VALUE"""),806)</f>
        <v>806</v>
      </c>
      <c r="B769" s="5">
        <f ca="1">IFERROR(__xludf.DUMMYFUNCTION("""COMPUTED_VALUE"""),-1)</f>
        <v>-1</v>
      </c>
      <c r="C769" s="5" t="str">
        <f ca="1">IFERROR(__xludf.DUMMYFUNCTION("""COMPUTED_VALUE"""),"Tiptop")</f>
        <v>Tiptop</v>
      </c>
      <c r="D769" s="5" t="str">
        <f ca="1">IFERROR(__xludf.DUMMYFUNCTION("""COMPUTED_VALUE"""),"Three Reel Fortune Wilds")</f>
        <v>Three Reel Fortune Wilds</v>
      </c>
      <c r="E769" s="5" t="str">
        <f ca="1">IFERROR(__xludf.DUMMYFUNCTION("""COMPUTED_VALUE"""),"TipTop")</f>
        <v>TipTop</v>
      </c>
      <c r="F769" s="5" t="str">
        <f ca="1">IFERROR(__xludf.DUMMYFUNCTION("""COMPUTED_VALUE"""),"TBD")</f>
        <v>TBD</v>
      </c>
      <c r="G769" s="5" t="str">
        <f ca="1">IFERROR(__xludf.DUMMYFUNCTION("""COMPUTED_VALUE"""),"Planned")</f>
        <v>Planned</v>
      </c>
      <c r="H769" s="5"/>
      <c r="I769" s="5" t="str">
        <f ca="1">IFERROR(__xludf.DUMMYFUNCTION("""COMPUTED_VALUE"""),"TipTop")</f>
        <v>TipTop</v>
      </c>
      <c r="J769" s="5" t="str">
        <f ca="1">IFERROR(__xludf.DUMMYFUNCTION("""COMPUTED_VALUE"""),"JSON")</f>
        <v>JSON</v>
      </c>
      <c r="K769" s="5" t="str">
        <f ca="1">IFERROR(__xludf.DUMMYFUNCTION("""COMPUTED_VALUE"""),"Slot")</f>
        <v>Slot</v>
      </c>
      <c r="L769" s="5" t="str">
        <f ca="1">IFERROR(__xludf.DUMMYFUNCTION("""COMPUTED_VALUE"""),"Master")</f>
        <v>Master</v>
      </c>
      <c r="M769" s="5"/>
      <c r="N769" s="5"/>
      <c r="O769" s="5"/>
      <c r="P769" s="5"/>
      <c r="Q769" s="15">
        <f ca="1">IFERROR(__xludf.DUMMYFUNCTION("""COMPUTED_VALUE"""),46251)</f>
        <v>46251</v>
      </c>
      <c r="R769" s="15">
        <f ca="1">IFERROR(__xludf.DUMMYFUNCTION("""COMPUTED_VALUE"""),46253)</f>
        <v>46253</v>
      </c>
      <c r="S769" s="15">
        <f ca="1">IFERROR(__xludf.DUMMYFUNCTION("""COMPUTED_VALUE"""),46260)</f>
        <v>46260</v>
      </c>
      <c r="T769" s="5" t="b">
        <f ca="1">IFERROR(__xludf.DUMMYFUNCTION("""COMPUTED_VALUE"""),TRUE)</f>
        <v>1</v>
      </c>
      <c r="U769" s="5" t="str">
        <f ca="1">IFERROR(__xludf.DUMMYFUNCTION("""COMPUTED_VALUE"""),"3x3")</f>
        <v>3x3</v>
      </c>
      <c r="V769" s="5">
        <f ca="1">IFERROR(__xludf.DUMMYFUNCTION("""COMPUTED_VALUE"""),5)</f>
        <v>5</v>
      </c>
      <c r="W769" s="5">
        <f ca="1">IFERROR(__xludf.DUMMYFUNCTION("""COMPUTED_VALUE"""),5)</f>
        <v>5</v>
      </c>
      <c r="X769" s="5">
        <f ca="1">IFERROR(__xludf.DUMMYFUNCTION("""COMPUTED_VALUE"""),96)</f>
        <v>96</v>
      </c>
      <c r="Y769" s="5" t="str">
        <f ca="1">IFERROR(__xludf.DUMMYFUNCTION("""COMPUTED_VALUE"""),"Low")</f>
        <v>Low</v>
      </c>
      <c r="Z769" s="5">
        <f ca="1">IFERROR(__xludf.DUMMYFUNCTION("""COMPUTED_VALUE"""),22.86)</f>
        <v>22.86</v>
      </c>
      <c r="AA769" s="5">
        <f ca="1">IFERROR(__xludf.DUMMYFUNCTION("""COMPUTED_VALUE"""),2500)</f>
        <v>2500</v>
      </c>
      <c r="AB769" s="5"/>
      <c r="AC769" s="5" t="str">
        <f ca="1">IFERROR(__xludf.DUMMYFUNCTION("""COMPUTED_VALUE"""),"Win Multiplier, Wild Symbol")</f>
        <v>Win Multiplier, Wild Symbol</v>
      </c>
      <c r="AD769" s="5" t="str">
        <f ca="1">IFERROR(__xludf.DUMMYFUNCTION("""COMPUTED_VALUE"""),"0.05/100")</f>
        <v>0.05/100</v>
      </c>
      <c r="AE769" s="5"/>
      <c r="AF769" s="5"/>
      <c r="AG769" s="10">
        <f ca="1">IFERROR(__xludf.DUMMYFUNCTION("""COMPUTED_VALUE"""),46231.5777662037)</f>
        <v>46231.5777662037</v>
      </c>
      <c r="AH769" s="5"/>
      <c r="AI769" s="5"/>
      <c r="AJ769" s="5"/>
      <c r="AK769" s="5">
        <f ca="1">IFERROR(__xludf.DUMMYFUNCTION("""COMPUTED_VALUE"""),5)</f>
        <v>5</v>
      </c>
      <c r="AL769" s="5" t="str">
        <f ca="1">IFERROR(__xludf.DUMMYFUNCTION("""COMPUTED_VALUE"""),"No")</f>
        <v>No</v>
      </c>
      <c r="AM769" s="5"/>
      <c r="AN769" s="5"/>
      <c r="AO769" s="5"/>
      <c r="AP769" s="5" t="str">
        <f ca="1">IFERROR(__xludf.DUMMYFUNCTION("""COMPUTED_VALUE"""),"Yes")</f>
        <v>Yes</v>
      </c>
      <c r="AQ769" s="5"/>
      <c r="AR769" s="5"/>
      <c r="AS769" s="5" t="str">
        <f ca="1">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AT769" s="5"/>
      <c r="AU769" s="5" t="str">
        <f ca="1">IFERROR(__xludf.DUMMYFUNCTION("""COMPUTED_VALUE"""),"Tiptop")</f>
        <v>Tiptop</v>
      </c>
      <c r="AV769" s="5"/>
      <c r="AW769" s="5"/>
      <c r="AX769" s="15">
        <f ca="1">IFERROR(__xludf.DUMMYFUNCTION("""COMPUTED_VALUE"""),46245)</f>
        <v>46245</v>
      </c>
      <c r="AY769" s="5"/>
      <c r="AZ769" s="5"/>
      <c r="BA769" s="5"/>
      <c r="BB769" s="5"/>
      <c r="BC769" s="5" t="str">
        <f ca="1">IFERROR(__xludf.DUMMYFUNCTION("""COMPUTED_VALUE"""),"Tiptop")</f>
        <v>Tiptop</v>
      </c>
      <c r="BD769" s="5"/>
      <c r="BE769" s="5"/>
    </row>
    <row r="770" spans="1:57" x14ac:dyDescent="0.25">
      <c r="A770" s="5">
        <f ca="1">IFERROR(__xludf.DUMMYFUNCTION("""COMPUTED_VALUE"""),807)</f>
        <v>807</v>
      </c>
      <c r="B770" s="5">
        <f ca="1">IFERROR(__xludf.DUMMYFUNCTION("""COMPUTED_VALUE"""),-1)</f>
        <v>-1</v>
      </c>
      <c r="C770" s="5" t="str">
        <f ca="1">IFERROR(__xludf.DUMMYFUNCTION("""COMPUTED_VALUE"""),"Tiptop")</f>
        <v>Tiptop</v>
      </c>
      <c r="D770" s="5" t="str">
        <f ca="1">IFERROR(__xludf.DUMMYFUNCTION("""COMPUTED_VALUE"""),"Super Fireballs")</f>
        <v>Super Fireballs</v>
      </c>
      <c r="E770" s="5" t="str">
        <f ca="1">IFERROR(__xludf.DUMMYFUNCTION("""COMPUTED_VALUE"""),"TipTop")</f>
        <v>TipTop</v>
      </c>
      <c r="F770" s="5" t="str">
        <f ca="1">IFERROR(__xludf.DUMMYFUNCTION("""COMPUTED_VALUE"""),"TBD")</f>
        <v>TBD</v>
      </c>
      <c r="G770" s="5" t="str">
        <f ca="1">IFERROR(__xludf.DUMMYFUNCTION("""COMPUTED_VALUE"""),"Planned")</f>
        <v>Planned</v>
      </c>
      <c r="H770" s="5"/>
      <c r="I770" s="5" t="str">
        <f ca="1">IFERROR(__xludf.DUMMYFUNCTION("""COMPUTED_VALUE"""),"TipTop")</f>
        <v>TipTop</v>
      </c>
      <c r="J770" s="5" t="str">
        <f ca="1">IFERROR(__xludf.DUMMYFUNCTION("""COMPUTED_VALUE"""),"JSON")</f>
        <v>JSON</v>
      </c>
      <c r="K770" s="5" t="str">
        <f ca="1">IFERROR(__xludf.DUMMYFUNCTION("""COMPUTED_VALUE"""),"Slot")</f>
        <v>Slot</v>
      </c>
      <c r="L770" s="5" t="str">
        <f ca="1">IFERROR(__xludf.DUMMYFUNCTION("""COMPUTED_VALUE"""),"Master")</f>
        <v>Master</v>
      </c>
      <c r="M770" s="5"/>
      <c r="N770" s="5"/>
      <c r="O770" s="5"/>
      <c r="P770" s="5"/>
      <c r="Q770" s="15">
        <f ca="1">IFERROR(__xludf.DUMMYFUNCTION("""COMPUTED_VALUE"""),46265)</f>
        <v>46265</v>
      </c>
      <c r="R770" s="5"/>
      <c r="S770" s="15">
        <f ca="1">IFERROR(__xludf.DUMMYFUNCTION("""COMPUTED_VALUE"""),46267)</f>
        <v>46267</v>
      </c>
      <c r="T770" s="5" t="b">
        <f ca="1">IFERROR(__xludf.DUMMYFUNCTION("""COMPUTED_VALUE"""),TRUE)</f>
        <v>1</v>
      </c>
      <c r="U770" s="5" t="str">
        <f ca="1">IFERROR(__xludf.DUMMYFUNCTION("""COMPUTED_VALUE"""),"5x4")</f>
        <v>5x4</v>
      </c>
      <c r="V770" s="5">
        <f ca="1">IFERROR(__xludf.DUMMYFUNCTION("""COMPUTED_VALUE"""),40)</f>
        <v>40</v>
      </c>
      <c r="W770" s="5">
        <f ca="1">IFERROR(__xludf.DUMMYFUNCTION("""COMPUTED_VALUE"""),40)</f>
        <v>40</v>
      </c>
      <c r="X770" s="5">
        <f ca="1">IFERROR(__xludf.DUMMYFUNCTION("""COMPUTED_VALUE"""),96)</f>
        <v>96</v>
      </c>
      <c r="Y770" s="5" t="str">
        <f ca="1">IFERROR(__xludf.DUMMYFUNCTION("""COMPUTED_VALUE"""),"Low")</f>
        <v>Low</v>
      </c>
      <c r="Z770" s="5">
        <f ca="1">IFERROR(__xludf.DUMMYFUNCTION("""COMPUTED_VALUE"""),13.68)</f>
        <v>13.68</v>
      </c>
      <c r="AA770" s="5">
        <f ca="1">IFERROR(__xludf.DUMMYFUNCTION("""COMPUTED_VALUE"""),1000)</f>
        <v>1000</v>
      </c>
      <c r="AB770" s="5"/>
      <c r="AC770" s="5"/>
      <c r="AD770" s="5" t="str">
        <f ca="1">IFERROR(__xludf.DUMMYFUNCTION("""COMPUTED_VALUE"""),"0.05/100")</f>
        <v>0.05/100</v>
      </c>
      <c r="AE770" s="5"/>
      <c r="AF770" s="5"/>
      <c r="AG770" s="10">
        <f ca="1">IFERROR(__xludf.DUMMYFUNCTION("""COMPUTED_VALUE"""),46227.4334259259)</f>
        <v>46227.433425925898</v>
      </c>
      <c r="AH770" s="5"/>
      <c r="AI770" s="5"/>
      <c r="AJ770" s="5"/>
      <c r="AK770" s="5">
        <f ca="1">IFERROR(__xludf.DUMMYFUNCTION("""COMPUTED_VALUE"""),40)</f>
        <v>40</v>
      </c>
      <c r="AL770" s="5" t="str">
        <f ca="1">IFERROR(__xludf.DUMMYFUNCTION("""COMPUTED_VALUE"""),"No")</f>
        <v>No</v>
      </c>
      <c r="AM770" s="5"/>
      <c r="AN770" s="7" t="str">
        <f ca="1">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770" s="5"/>
      <c r="AP770" s="5" t="str">
        <f ca="1">IFERROR(__xludf.DUMMYFUNCTION("""COMPUTED_VALUE"""),"Yes")</f>
        <v>Yes</v>
      </c>
      <c r="AQ770" s="5"/>
      <c r="AR770" s="5"/>
      <c r="AS770" s="5" t="str">
        <f ca="1">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AT770" s="5"/>
      <c r="AU770" s="5" t="str">
        <f ca="1">IFERROR(__xludf.DUMMYFUNCTION("""COMPUTED_VALUE"""),"Tiptop")</f>
        <v>Tiptop</v>
      </c>
      <c r="AV770" s="5"/>
      <c r="AW770" s="5"/>
      <c r="AX770" s="15">
        <f ca="1">IFERROR(__xludf.DUMMYFUNCTION("""COMPUTED_VALUE"""),46259)</f>
        <v>46259</v>
      </c>
      <c r="AY770" s="5"/>
      <c r="AZ770" s="5"/>
      <c r="BA770" s="5"/>
      <c r="BB770" s="5"/>
      <c r="BC770" s="5" t="str">
        <f ca="1">IFERROR(__xludf.DUMMYFUNCTION("""COMPUTED_VALUE"""),"Tiptop")</f>
        <v>Tiptop</v>
      </c>
      <c r="BD770" s="5"/>
      <c r="BE770" s="5"/>
    </row>
    <row r="771" spans="1:57" x14ac:dyDescent="0.25">
      <c r="A771" s="5">
        <f ca="1">IFERROR(__xludf.DUMMYFUNCTION("""COMPUTED_VALUE"""),808)</f>
        <v>808</v>
      </c>
      <c r="B771" s="5">
        <f ca="1">IFERROR(__xludf.DUMMYFUNCTION("""COMPUTED_VALUE"""),-1)</f>
        <v>-1</v>
      </c>
      <c r="C771" s="5" t="str">
        <f ca="1">IFERROR(__xludf.DUMMYFUNCTION("""COMPUTED_VALUE"""),"Tiptop")</f>
        <v>Tiptop</v>
      </c>
      <c r="D771" s="5" t="str">
        <f ca="1">IFERROR(__xludf.DUMMYFUNCTION("""COMPUTED_VALUE"""),"Lions Dice Extreme")</f>
        <v>Lions Dice Extreme</v>
      </c>
      <c r="E771" s="5" t="str">
        <f ca="1">IFERROR(__xludf.DUMMYFUNCTION("""COMPUTED_VALUE"""),"TipTop")</f>
        <v>TipTop</v>
      </c>
      <c r="F771" s="5" t="str">
        <f ca="1">IFERROR(__xludf.DUMMYFUNCTION("""COMPUTED_VALUE"""),"TBD")</f>
        <v>TBD</v>
      </c>
      <c r="G771" s="5" t="str">
        <f ca="1">IFERROR(__xludf.DUMMYFUNCTION("""COMPUTED_VALUE"""),"Planned")</f>
        <v>Planned</v>
      </c>
      <c r="H771" s="5"/>
      <c r="I771" s="5" t="str">
        <f ca="1">IFERROR(__xludf.DUMMYFUNCTION("""COMPUTED_VALUE"""),"TipTop")</f>
        <v>TipTop</v>
      </c>
      <c r="J771" s="5" t="str">
        <f ca="1">IFERROR(__xludf.DUMMYFUNCTION("""COMPUTED_VALUE"""),"JSON")</f>
        <v>JSON</v>
      </c>
      <c r="K771" s="5" t="str">
        <f ca="1">IFERROR(__xludf.DUMMYFUNCTION("""COMPUTED_VALUE"""),"Dice Slots")</f>
        <v>Dice Slots</v>
      </c>
      <c r="L771" s="5" t="str">
        <f ca="1">IFERROR(__xludf.DUMMYFUNCTION("""COMPUTED_VALUE""")," Clone")</f>
        <v xml:space="preserve"> Clone</v>
      </c>
      <c r="M771" s="5" t="str">
        <f ca="1">IFERROR(__xludf.DUMMYFUNCTION("""COMPUTED_VALUE"""),"Lions Sevens Extreme")</f>
        <v>Lions Sevens Extreme</v>
      </c>
      <c r="N771" s="5"/>
      <c r="O771" s="5"/>
      <c r="P771" s="5"/>
      <c r="Q771" s="15">
        <f ca="1">IFERROR(__xludf.DUMMYFUNCTION("""COMPUTED_VALUE"""),46265)</f>
        <v>46265</v>
      </c>
      <c r="R771" s="5"/>
      <c r="S771" s="15">
        <f ca="1">IFERROR(__xludf.DUMMYFUNCTION("""COMPUTED_VALUE"""),46274)</f>
        <v>46274</v>
      </c>
      <c r="T771" s="5" t="b">
        <f ca="1">IFERROR(__xludf.DUMMYFUNCTION("""COMPUTED_VALUE"""),TRUE)</f>
        <v>1</v>
      </c>
      <c r="U771" s="5" t="str">
        <f ca="1">IFERROR(__xludf.DUMMYFUNCTION("""COMPUTED_VALUE"""),"5x3")</f>
        <v>5x3</v>
      </c>
      <c r="V771" s="5">
        <f ca="1">IFERROR(__xludf.DUMMYFUNCTION("""COMPUTED_VALUE"""),5)</f>
        <v>5</v>
      </c>
      <c r="W771" s="5">
        <f ca="1">IFERROR(__xludf.DUMMYFUNCTION("""COMPUTED_VALUE"""),5)</f>
        <v>5</v>
      </c>
      <c r="X771" s="5">
        <f ca="1">IFERROR(__xludf.DUMMYFUNCTION("""COMPUTED_VALUE"""),96)</f>
        <v>96</v>
      </c>
      <c r="Y771" s="5" t="str">
        <f ca="1">IFERROR(__xludf.DUMMYFUNCTION("""COMPUTED_VALUE"""),"Low")</f>
        <v>Low</v>
      </c>
      <c r="Z771" s="5">
        <f ca="1">IFERROR(__xludf.DUMMYFUNCTION("""COMPUTED_VALUE"""),10.5)</f>
        <v>10.5</v>
      </c>
      <c r="AA771" s="5">
        <f ca="1">IFERROR(__xludf.DUMMYFUNCTION("""COMPUTED_VALUE"""),10000)</f>
        <v>10000</v>
      </c>
      <c r="AB771" s="5"/>
      <c r="AC771" s="5"/>
      <c r="AD771" s="5" t="str">
        <f ca="1">IFERROR(__xludf.DUMMYFUNCTION("""COMPUTED_VALUE"""),"0.05/100")</f>
        <v>0.05/100</v>
      </c>
      <c r="AE771" s="5"/>
      <c r="AF771" s="5"/>
      <c r="AG771" s="10">
        <f ca="1">IFERROR(__xludf.DUMMYFUNCTION("""COMPUTED_VALUE"""),46227.5150578703)</f>
        <v>46227.515057870303</v>
      </c>
      <c r="AH771" s="5"/>
      <c r="AI771" s="5"/>
      <c r="AJ771" s="5"/>
      <c r="AK771" s="5">
        <f ca="1">IFERROR(__xludf.DUMMYFUNCTION("""COMPUTED_VALUE"""),5)</f>
        <v>5</v>
      </c>
      <c r="AL771" s="5" t="str">
        <f ca="1">IFERROR(__xludf.DUMMYFUNCTION("""COMPUTED_VALUE"""),"No")</f>
        <v>No</v>
      </c>
      <c r="AM771" s="5"/>
      <c r="AN771" s="5"/>
      <c r="AO771" s="5"/>
      <c r="AP771" s="5" t="str">
        <f ca="1">IFERROR(__xludf.DUMMYFUNCTION("""COMPUTED_VALUE"""),"Yes")</f>
        <v>Yes</v>
      </c>
      <c r="AQ771" s="5"/>
      <c r="AR771" s="5"/>
      <c r="AS771" s="5" t="str">
        <f ca="1">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AT771" s="5"/>
      <c r="AU771" s="5" t="str">
        <f ca="1">IFERROR(__xludf.DUMMYFUNCTION("""COMPUTED_VALUE"""),"Tiptop")</f>
        <v>Tiptop</v>
      </c>
      <c r="AV771" s="5"/>
      <c r="AW771" s="5"/>
      <c r="AX771" s="15">
        <f ca="1">IFERROR(__xludf.DUMMYFUNCTION("""COMPUTED_VALUE"""),46259)</f>
        <v>46259</v>
      </c>
      <c r="AY771" s="5"/>
      <c r="AZ771" s="5"/>
      <c r="BA771" s="5"/>
      <c r="BB771" s="5"/>
      <c r="BC771" s="5" t="str">
        <f ca="1">IFERROR(__xludf.DUMMYFUNCTION("""COMPUTED_VALUE"""),"Tiptop")</f>
        <v>Tiptop</v>
      </c>
      <c r="BD771" s="5"/>
      <c r="BE771" s="5"/>
    </row>
    <row r="772" spans="1:57" x14ac:dyDescent="0.25">
      <c r="A772" s="5">
        <f ca="1">IFERROR(__xludf.DUMMYFUNCTION("""COMPUTED_VALUE"""),809)</f>
        <v>809</v>
      </c>
      <c r="B772" s="5">
        <f ca="1">IFERROR(__xludf.DUMMYFUNCTION("""COMPUTED_VALUE"""),-1)</f>
        <v>-1</v>
      </c>
      <c r="C772" s="5" t="str">
        <f ca="1">IFERROR(__xludf.DUMMYFUNCTION("""COMPUTED_VALUE"""),"Tiptop")</f>
        <v>Tiptop</v>
      </c>
      <c r="D772" s="5" t="str">
        <f ca="1">IFERROR(__xludf.DUMMYFUNCTION("""COMPUTED_VALUE"""),"Lucky Pay Reels")</f>
        <v>Lucky Pay Reels</v>
      </c>
      <c r="E772" s="5" t="str">
        <f ca="1">IFERROR(__xludf.DUMMYFUNCTION("""COMPUTED_VALUE"""),"TipTop")</f>
        <v>TipTop</v>
      </c>
      <c r="F772" s="5" t="str">
        <f ca="1">IFERROR(__xludf.DUMMYFUNCTION("""COMPUTED_VALUE"""),"TBD")</f>
        <v>TBD</v>
      </c>
      <c r="G772" s="5" t="str">
        <f ca="1">IFERROR(__xludf.DUMMYFUNCTION("""COMPUTED_VALUE"""),"Planned")</f>
        <v>Planned</v>
      </c>
      <c r="H772" s="5"/>
      <c r="I772" s="5" t="str">
        <f ca="1">IFERROR(__xludf.DUMMYFUNCTION("""COMPUTED_VALUE"""),"TipTop")</f>
        <v>TipTop</v>
      </c>
      <c r="J772" s="5" t="str">
        <f ca="1">IFERROR(__xludf.DUMMYFUNCTION("""COMPUTED_VALUE"""),"JSON")</f>
        <v>JSON</v>
      </c>
      <c r="K772" s="5" t="str">
        <f ca="1">IFERROR(__xludf.DUMMYFUNCTION("""COMPUTED_VALUE"""),"Slot")</f>
        <v>Slot</v>
      </c>
      <c r="L772" s="5" t="str">
        <f ca="1">IFERROR(__xludf.DUMMYFUNCTION("""COMPUTED_VALUE""")," Clone")</f>
        <v xml:space="preserve"> Clone</v>
      </c>
      <c r="M772" s="5" t="str">
        <f ca="1">IFERROR(__xludf.DUMMYFUNCTION("""COMPUTED_VALUE"""),"Sevens Pay")</f>
        <v>Sevens Pay</v>
      </c>
      <c r="N772" s="5"/>
      <c r="O772" s="5"/>
      <c r="P772" s="5"/>
      <c r="Q772" s="15">
        <f ca="1">IFERROR(__xludf.DUMMYFUNCTION("""COMPUTED_VALUE"""),46279)</f>
        <v>46279</v>
      </c>
      <c r="R772" s="5"/>
      <c r="S772" s="15">
        <f ca="1">IFERROR(__xludf.DUMMYFUNCTION("""COMPUTED_VALUE"""),46281)</f>
        <v>46281</v>
      </c>
      <c r="T772" s="5" t="b">
        <f ca="1">IFERROR(__xludf.DUMMYFUNCTION("""COMPUTED_VALUE"""),TRUE)</f>
        <v>1</v>
      </c>
      <c r="U772" s="5" t="str">
        <f ca="1">IFERROR(__xludf.DUMMYFUNCTION("""COMPUTED_VALUE"""),"5x3")</f>
        <v>5x3</v>
      </c>
      <c r="V772" s="5">
        <f ca="1">IFERROR(__xludf.DUMMYFUNCTION("""COMPUTED_VALUE"""),10)</f>
        <v>10</v>
      </c>
      <c r="W772" s="5">
        <f ca="1">IFERROR(__xludf.DUMMYFUNCTION("""COMPUTED_VALUE"""),10)</f>
        <v>10</v>
      </c>
      <c r="X772" s="5">
        <f ca="1">IFERROR(__xludf.DUMMYFUNCTION("""COMPUTED_VALUE"""),96)</f>
        <v>96</v>
      </c>
      <c r="Y772" s="5" t="str">
        <f ca="1">IFERROR(__xludf.DUMMYFUNCTION("""COMPUTED_VALUE"""),"Low")</f>
        <v>Low</v>
      </c>
      <c r="Z772" s="5">
        <f ca="1">IFERROR(__xludf.DUMMYFUNCTION("""COMPUTED_VALUE"""),9.85)</f>
        <v>9.85</v>
      </c>
      <c r="AA772" s="5">
        <f ca="1">IFERROR(__xludf.DUMMYFUNCTION("""COMPUTED_VALUE"""),1000)</f>
        <v>1000</v>
      </c>
      <c r="AB772" s="5"/>
      <c r="AC772" s="5"/>
      <c r="AD772" s="5" t="str">
        <f ca="1">IFERROR(__xludf.DUMMYFUNCTION("""COMPUTED_VALUE"""),"0.05/100")</f>
        <v>0.05/100</v>
      </c>
      <c r="AE772" s="5"/>
      <c r="AF772" s="5"/>
      <c r="AG772" s="10">
        <f ca="1">IFERROR(__xludf.DUMMYFUNCTION("""COMPUTED_VALUE"""),46227.4368518518)</f>
        <v>46227.436851851802</v>
      </c>
      <c r="AH772" s="5"/>
      <c r="AI772" s="5"/>
      <c r="AJ772" s="5"/>
      <c r="AK772" s="5">
        <f ca="1">IFERROR(__xludf.DUMMYFUNCTION("""COMPUTED_VALUE"""),10)</f>
        <v>10</v>
      </c>
      <c r="AL772" s="5" t="str">
        <f ca="1">IFERROR(__xludf.DUMMYFUNCTION("""COMPUTED_VALUE"""),"No")</f>
        <v>No</v>
      </c>
      <c r="AM772" s="5"/>
      <c r="AN772" s="5"/>
      <c r="AO772" s="5"/>
      <c r="AP772" s="5" t="str">
        <f ca="1">IFERROR(__xludf.DUMMYFUNCTION("""COMPUTED_VALUE"""),"Yes")</f>
        <v>Yes</v>
      </c>
      <c r="AQ772" s="5"/>
      <c r="AR772" s="5"/>
      <c r="AS772" s="5" t="str">
        <f ca="1">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1,000x your bet!")</f>
        <v>Lucky Pay Reels is a bright 5x3 fruit slot with 10 fixed paylines and a smooth classic game flow. Cherries, lemons, golden symbols, and lucky Sevens keep the reels rolling with simple, rewarding charm. Every spin feels like a little stroke of luck, with wins of up to 1,000x your bet!</v>
      </c>
      <c r="AT772" s="5"/>
      <c r="AU772" s="5" t="str">
        <f ca="1">IFERROR(__xludf.DUMMYFUNCTION("""COMPUTED_VALUE"""),"Tiptop")</f>
        <v>Tiptop</v>
      </c>
      <c r="AV772" s="5"/>
      <c r="AW772" s="5"/>
      <c r="AX772" s="15">
        <f ca="1">IFERROR(__xludf.DUMMYFUNCTION("""COMPUTED_VALUE"""),46273)</f>
        <v>46273</v>
      </c>
      <c r="AY772" s="5"/>
      <c r="AZ772" s="5"/>
      <c r="BA772" s="5"/>
      <c r="BB772" s="5"/>
      <c r="BC772" s="5" t="str">
        <f ca="1">IFERROR(__xludf.DUMMYFUNCTION("""COMPUTED_VALUE"""),"Tiptop")</f>
        <v>Tiptop</v>
      </c>
      <c r="BD772" s="5"/>
      <c r="BE772" s="5"/>
    </row>
    <row r="773" spans="1:57" x14ac:dyDescent="0.25">
      <c r="A773" s="5">
        <f ca="1">IFERROR(__xludf.DUMMYFUNCTION("""COMPUTED_VALUE"""),810)</f>
        <v>810</v>
      </c>
      <c r="B773" s="5">
        <f ca="1">IFERROR(__xludf.DUMMYFUNCTION("""COMPUTED_VALUE"""),-1)</f>
        <v>-1</v>
      </c>
      <c r="C773" s="5" t="str">
        <f ca="1">IFERROR(__xludf.DUMMYFUNCTION("""COMPUTED_VALUE"""),"Tiptop")</f>
        <v>Tiptop</v>
      </c>
      <c r="D773" s="5" t="str">
        <f ca="1">IFERROR(__xludf.DUMMYFUNCTION("""COMPUTED_VALUE"""),"Stack Wild Attack")</f>
        <v>Stack Wild Attack</v>
      </c>
      <c r="E773" s="5" t="str">
        <f ca="1">IFERROR(__xludf.DUMMYFUNCTION("""COMPUTED_VALUE"""),"TipTop")</f>
        <v>TipTop</v>
      </c>
      <c r="F773" s="5" t="str">
        <f ca="1">IFERROR(__xludf.DUMMYFUNCTION("""COMPUTED_VALUE"""),"TBD")</f>
        <v>TBD</v>
      </c>
      <c r="G773" s="5" t="str">
        <f ca="1">IFERROR(__xludf.DUMMYFUNCTION("""COMPUTED_VALUE"""),"Planned")</f>
        <v>Planned</v>
      </c>
      <c r="H773" s="5"/>
      <c r="I773" s="5" t="str">
        <f ca="1">IFERROR(__xludf.DUMMYFUNCTION("""COMPUTED_VALUE"""),"TipTop")</f>
        <v>TipTop</v>
      </c>
      <c r="J773" s="5" t="str">
        <f ca="1">IFERROR(__xludf.DUMMYFUNCTION("""COMPUTED_VALUE"""),"JSON")</f>
        <v>JSON</v>
      </c>
      <c r="K773" s="5" t="str">
        <f ca="1">IFERROR(__xludf.DUMMYFUNCTION("""COMPUTED_VALUE"""),"Slot")</f>
        <v>Slot</v>
      </c>
      <c r="L773" s="5" t="str">
        <f ca="1">IFERROR(__xludf.DUMMYFUNCTION("""COMPUTED_VALUE"""),"Master")</f>
        <v>Master</v>
      </c>
      <c r="M773" s="5"/>
      <c r="N773" s="5"/>
      <c r="O773" s="5"/>
      <c r="P773" s="5"/>
      <c r="Q773" s="15">
        <f ca="1">IFERROR(__xludf.DUMMYFUNCTION("""COMPUTED_VALUE"""),46279)</f>
        <v>46279</v>
      </c>
      <c r="R773" s="5"/>
      <c r="S773" s="15">
        <f ca="1">IFERROR(__xludf.DUMMYFUNCTION("""COMPUTED_VALUE"""),46288)</f>
        <v>46288</v>
      </c>
      <c r="T773" s="5" t="b">
        <f ca="1">IFERROR(__xludf.DUMMYFUNCTION("""COMPUTED_VALUE"""),TRUE)</f>
        <v>1</v>
      </c>
      <c r="U773" s="5" t="str">
        <f ca="1">IFERROR(__xludf.DUMMYFUNCTION("""COMPUTED_VALUE"""),"5x3")</f>
        <v>5x3</v>
      </c>
      <c r="V773" s="5">
        <f ca="1">IFERROR(__xludf.DUMMYFUNCTION("""COMPUTED_VALUE"""),5)</f>
        <v>5</v>
      </c>
      <c r="W773" s="5">
        <f ca="1">IFERROR(__xludf.DUMMYFUNCTION("""COMPUTED_VALUE"""),5)</f>
        <v>5</v>
      </c>
      <c r="X773" s="5">
        <f ca="1">IFERROR(__xludf.DUMMYFUNCTION("""COMPUTED_VALUE"""),96)</f>
        <v>96</v>
      </c>
      <c r="Y773" s="5" t="str">
        <f ca="1">IFERROR(__xludf.DUMMYFUNCTION("""COMPUTED_VALUE"""),"Low")</f>
        <v>Low</v>
      </c>
      <c r="Z773" s="5">
        <f ca="1">IFERROR(__xludf.DUMMYFUNCTION("""COMPUTED_VALUE"""),10.5)</f>
        <v>10.5</v>
      </c>
      <c r="AA773" s="5">
        <f ca="1">IFERROR(__xludf.DUMMYFUNCTION("""COMPUTED_VALUE"""),1000)</f>
        <v>1000</v>
      </c>
      <c r="AB773" s="5"/>
      <c r="AC773" s="5" t="str">
        <f ca="1">IFERROR(__xludf.DUMMYFUNCTION("""COMPUTED_VALUE"""),"Bonus Game with Free Spins")</f>
        <v>Bonus Game with Free Spins</v>
      </c>
      <c r="AD773" s="5" t="str">
        <f ca="1">IFERROR(__xludf.DUMMYFUNCTION("""COMPUTED_VALUE"""),"0.05/100")</f>
        <v>0.05/100</v>
      </c>
      <c r="AE773" s="5"/>
      <c r="AF773" s="5"/>
      <c r="AG773" s="10">
        <f ca="1">IFERROR(__xludf.DUMMYFUNCTION("""COMPUTED_VALUE"""),46227.438449074)</f>
        <v>46227.438449073998</v>
      </c>
      <c r="AH773" s="5"/>
      <c r="AI773" s="5"/>
      <c r="AJ773" s="5"/>
      <c r="AK773" s="5">
        <f ca="1">IFERROR(__xludf.DUMMYFUNCTION("""COMPUTED_VALUE"""),5)</f>
        <v>5</v>
      </c>
      <c r="AL773" s="5" t="str">
        <f ca="1">IFERROR(__xludf.DUMMYFUNCTION("""COMPUTED_VALUE"""),"No")</f>
        <v>No</v>
      </c>
      <c r="AM773" s="5"/>
      <c r="AN773" s="5"/>
      <c r="AO773" s="5"/>
      <c r="AP773" s="5" t="str">
        <f ca="1">IFERROR(__xludf.DUMMYFUNCTION("""COMPUTED_VALUE"""),"Yes")</f>
        <v>Yes</v>
      </c>
      <c r="AQ773" s="5"/>
      <c r="AR773" s="5"/>
      <c r="AS773" s="5" t="str">
        <f ca="1">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1,000x your bet!")</f>
        <v>Stack Wild Attack is a burning 5x3 classic slot with 5 fixed paylines and stacked Wild symbols storming the reels. Bold fruit symbols, rising heat, and full-force Wild action create explosive winning moments on every spin. Launch the attack and chase wins of up to 1,000x your bet!</v>
      </c>
      <c r="AT773" s="5"/>
      <c r="AU773" s="5" t="str">
        <f ca="1">IFERROR(__xludf.DUMMYFUNCTION("""COMPUTED_VALUE"""),"Tiptop")</f>
        <v>Tiptop</v>
      </c>
      <c r="AV773" s="5"/>
      <c r="AW773" s="5"/>
      <c r="AX773" s="15">
        <f ca="1">IFERROR(__xludf.DUMMYFUNCTION("""COMPUTED_VALUE"""),46273)</f>
        <v>46273</v>
      </c>
      <c r="AY773" s="5"/>
      <c r="AZ773" s="5"/>
      <c r="BA773" s="5"/>
      <c r="BB773" s="5"/>
      <c r="BC773" s="5" t="str">
        <f ca="1">IFERROR(__xludf.DUMMYFUNCTION("""COMPUTED_VALUE"""),"Tiptop")</f>
        <v>Tiptop</v>
      </c>
      <c r="BD773" s="5"/>
      <c r="BE773" s="5"/>
    </row>
    <row r="774" spans="1:57" x14ac:dyDescent="0.25">
      <c r="A774" s="5">
        <f ca="1">IFERROR(__xludf.DUMMYFUNCTION("""COMPUTED_VALUE"""),811)</f>
        <v>811</v>
      </c>
      <c r="B774" s="5">
        <f ca="1">IFERROR(__xludf.DUMMYFUNCTION("""COMPUTED_VALUE"""),-1)</f>
        <v>-1</v>
      </c>
      <c r="C774" s="5" t="str">
        <f ca="1">IFERROR(__xludf.DUMMYFUNCTION("""COMPUTED_VALUE"""),"Tiptop")</f>
        <v>Tiptop</v>
      </c>
      <c r="D774" s="5" t="str">
        <f ca="1">IFERROR(__xludf.DUMMYFUNCTION("""COMPUTED_VALUE"""),"Forever Fruit")</f>
        <v>Forever Fruit</v>
      </c>
      <c r="E774" s="5" t="str">
        <f ca="1">IFERROR(__xludf.DUMMYFUNCTION("""COMPUTED_VALUE"""),"TipTop")</f>
        <v>TipTop</v>
      </c>
      <c r="F774" s="5" t="str">
        <f ca="1">IFERROR(__xludf.DUMMYFUNCTION("""COMPUTED_VALUE"""),"TBD")</f>
        <v>TBD</v>
      </c>
      <c r="G774" s="5" t="str">
        <f ca="1">IFERROR(__xludf.DUMMYFUNCTION("""COMPUTED_VALUE"""),"Planned")</f>
        <v>Planned</v>
      </c>
      <c r="H774" s="5"/>
      <c r="I774" s="5" t="str">
        <f ca="1">IFERROR(__xludf.DUMMYFUNCTION("""COMPUTED_VALUE"""),"TipTop")</f>
        <v>TipTop</v>
      </c>
      <c r="J774" s="5" t="str">
        <f ca="1">IFERROR(__xludf.DUMMYFUNCTION("""COMPUTED_VALUE"""),"JSON")</f>
        <v>JSON</v>
      </c>
      <c r="K774" s="5" t="str">
        <f ca="1">IFERROR(__xludf.DUMMYFUNCTION("""COMPUTED_VALUE"""),"Slot")</f>
        <v>Slot</v>
      </c>
      <c r="L774" s="5" t="str">
        <f ca="1">IFERROR(__xludf.DUMMYFUNCTION("""COMPUTED_VALUE""")," Clone")</f>
        <v xml:space="preserve"> Clone</v>
      </c>
      <c r="M774" s="5" t="str">
        <f ca="1">IFERROR(__xludf.DUMMYFUNCTION("""COMPUTED_VALUE"""),"Fruit Island")</f>
        <v>Fruit Island</v>
      </c>
      <c r="N774" s="5"/>
      <c r="O774" s="5"/>
      <c r="P774" s="5"/>
      <c r="Q774" s="15">
        <f ca="1">IFERROR(__xludf.DUMMYFUNCTION("""COMPUTED_VALUE"""),46293)</f>
        <v>46293</v>
      </c>
      <c r="R774" s="5"/>
      <c r="S774" s="15">
        <f ca="1">IFERROR(__xludf.DUMMYFUNCTION("""COMPUTED_VALUE"""),46295)</f>
        <v>46295</v>
      </c>
      <c r="T774" s="5" t="b">
        <f ca="1">IFERROR(__xludf.DUMMYFUNCTION("""COMPUTED_VALUE"""),TRUE)</f>
        <v>1</v>
      </c>
      <c r="U774" s="5" t="str">
        <f ca="1">IFERROR(__xludf.DUMMYFUNCTION("""COMPUTED_VALUE"""),"5x3")</f>
        <v>5x3</v>
      </c>
      <c r="V774" s="5">
        <f ca="1">IFERROR(__xludf.DUMMYFUNCTION("""COMPUTED_VALUE"""),5)</f>
        <v>5</v>
      </c>
      <c r="W774" s="5">
        <f ca="1">IFERROR(__xludf.DUMMYFUNCTION("""COMPUTED_VALUE"""),5)</f>
        <v>5</v>
      </c>
      <c r="X774" s="5">
        <f ca="1">IFERROR(__xludf.DUMMYFUNCTION("""COMPUTED_VALUE"""),96)</f>
        <v>96</v>
      </c>
      <c r="Y774" s="5" t="str">
        <f ca="1">IFERROR(__xludf.DUMMYFUNCTION("""COMPUTED_VALUE"""),"Low")</f>
        <v>Low</v>
      </c>
      <c r="Z774" s="5">
        <f ca="1">IFERROR(__xludf.DUMMYFUNCTION("""COMPUTED_VALUE"""),11.6)</f>
        <v>11.6</v>
      </c>
      <c r="AA774" s="5">
        <f ca="1">IFERROR(__xludf.DUMMYFUNCTION("""COMPUTED_VALUE"""),1000)</f>
        <v>1000</v>
      </c>
      <c r="AB774" s="5"/>
      <c r="AC774" s="5"/>
      <c r="AD774" s="5" t="str">
        <f ca="1">IFERROR(__xludf.DUMMYFUNCTION("""COMPUTED_VALUE"""),"0.05/100")</f>
        <v>0.05/100</v>
      </c>
      <c r="AE774" s="5"/>
      <c r="AF774" s="5"/>
      <c r="AG774" s="10">
        <f ca="1">IFERROR(__xludf.DUMMYFUNCTION("""COMPUTED_VALUE"""),46227.4485648148)</f>
        <v>46227.448564814797</v>
      </c>
      <c r="AH774" s="5"/>
      <c r="AI774" s="5"/>
      <c r="AJ774" s="5"/>
      <c r="AK774" s="5">
        <f ca="1">IFERROR(__xludf.DUMMYFUNCTION("""COMPUTED_VALUE"""),5)</f>
        <v>5</v>
      </c>
      <c r="AL774" s="5" t="str">
        <f ca="1">IFERROR(__xludf.DUMMYFUNCTION("""COMPUTED_VALUE"""),"No")</f>
        <v>No</v>
      </c>
      <c r="AM774" s="5"/>
      <c r="AN774" s="5"/>
      <c r="AO774" s="5"/>
      <c r="AP774" s="5" t="str">
        <f ca="1">IFERROR(__xludf.DUMMYFUNCTION("""COMPUTED_VALUE"""),"Yes")</f>
        <v>Yes</v>
      </c>
      <c r="AQ774" s="5"/>
      <c r="AR774" s="5"/>
      <c r="AS774" s="5" t="str">
        <f ca="1">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AT774" s="5"/>
      <c r="AU774" s="5" t="str">
        <f ca="1">IFERROR(__xludf.DUMMYFUNCTION("""COMPUTED_VALUE"""),"Tiptop")</f>
        <v>Tiptop</v>
      </c>
      <c r="AV774" s="5"/>
      <c r="AW774" s="5"/>
      <c r="AX774" s="15">
        <f ca="1">IFERROR(__xludf.DUMMYFUNCTION("""COMPUTED_VALUE"""),46287)</f>
        <v>46287</v>
      </c>
      <c r="AY774" s="5"/>
      <c r="AZ774" s="5"/>
      <c r="BA774" s="5"/>
      <c r="BB774" s="5"/>
      <c r="BC774" s="5" t="str">
        <f ca="1">IFERROR(__xludf.DUMMYFUNCTION("""COMPUTED_VALUE"""),"Tiptop")</f>
        <v>Tiptop</v>
      </c>
      <c r="BD774" s="5"/>
      <c r="BE774" s="5"/>
    </row>
    <row r="775" spans="1:57" x14ac:dyDescent="0.25">
      <c r="A775" s="5">
        <f ca="1">IFERROR(__xludf.DUMMYFUNCTION("""COMPUTED_VALUE"""),812)</f>
        <v>812</v>
      </c>
      <c r="B775" s="5">
        <f ca="1">IFERROR(__xludf.DUMMYFUNCTION("""COMPUTED_VALUE"""),5000002)</f>
        <v>5000002</v>
      </c>
      <c r="C775" s="5" t="str">
        <f ca="1">IFERROR(__xludf.DUMMYFUNCTION("""COMPUTED_VALUE"""),"SOKO studio")</f>
        <v>SOKO studio</v>
      </c>
      <c r="D775" s="5" t="str">
        <f ca="1">IFERROR(__xludf.DUMMYFUNCTION("""COMPUTED_VALUE"""),"Double Hot Chili")</f>
        <v>Double Hot Chili</v>
      </c>
      <c r="E775" s="5" t="str">
        <f ca="1">IFERROR(__xludf.DUMMYFUNCTION("""COMPUTED_VALUE"""),"SOKO studio")</f>
        <v>SOKO studio</v>
      </c>
      <c r="F775" s="5" t="str">
        <f ca="1">IFERROR(__xludf.DUMMYFUNCTION("""COMPUTED_VALUE"""),"SokoDoubleHotChili")</f>
        <v>SokoDoubleHotChili</v>
      </c>
      <c r="G775" s="5" t="str">
        <f ca="1">IFERROR(__xludf.DUMMYFUNCTION("""COMPUTED_VALUE"""),"Live")</f>
        <v>Live</v>
      </c>
      <c r="H775" s="5"/>
      <c r="I775" s="5" t="str">
        <f ca="1">IFERROR(__xludf.DUMMYFUNCTION("""COMPUTED_VALUE"""),"SOKO studio")</f>
        <v>SOKO studio</v>
      </c>
      <c r="J775" s="5" t="str">
        <f ca="1">IFERROR(__xludf.DUMMYFUNCTION("""COMPUTED_VALUE"""),"JSON")</f>
        <v>JSON</v>
      </c>
      <c r="K775" s="5" t="str">
        <f ca="1">IFERROR(__xludf.DUMMYFUNCTION("""COMPUTED_VALUE"""),"Slot")</f>
        <v>Slot</v>
      </c>
      <c r="L775" s="5" t="str">
        <f ca="1">IFERROR(__xludf.DUMMYFUNCTION("""COMPUTED_VALUE""")," Clone")</f>
        <v xml:space="preserve"> Clone</v>
      </c>
      <c r="M775" s="5"/>
      <c r="N775" s="7" t="str">
        <f ca="1">IFERROR(__xludf.DUMMYFUNCTION("""COMPUTED_VALUE"""),"https://dicebyte.sharepoint.com/:b:/g/IQDyDKwN3M1gR4amzH0TthN7AcNPbN6DwC2M6XiCCfylpy4?e=esZJ4K")</f>
        <v>https://dicebyte.sharepoint.com/:b:/g/IQDyDKwN3M1gR4amzH0TthN7AcNPbN6DwC2M6XiCCfylpy4?e=esZJ4K</v>
      </c>
      <c r="O775" s="7" t="str">
        <f ca="1">IFERROR(__xludf.DUMMYFUNCTION("""COMPUTED_VALUE"""),"https://dicebyte.sharepoint.com/:b:/g/IQBqtyhY_ZLRQ6faRGOE-Es_AfS0vDfGoIZBB1phUqxZx48?e=bKLICK")</f>
        <v>https://dicebyte.sharepoint.com/:b:/g/IQBqtyhY_ZLRQ6faRGOE-Es_AfS0vDfGoIZBB1phUqxZx48?e=bKLICK</v>
      </c>
      <c r="P775" s="14">
        <f ca="1">IFERROR(__xludf.DUMMYFUNCTION("""COMPUTED_VALUE"""),20)</f>
        <v>20</v>
      </c>
      <c r="Q775" s="15">
        <f ca="1">IFERROR(__xludf.DUMMYFUNCTION("""COMPUTED_VALUE"""),46209)</f>
        <v>46209</v>
      </c>
      <c r="R775" s="15">
        <f ca="1">IFERROR(__xludf.DUMMYFUNCTION("""COMPUTED_VALUE"""),46211)</f>
        <v>46211</v>
      </c>
      <c r="S775" s="15">
        <f ca="1">IFERROR(__xludf.DUMMYFUNCTION("""COMPUTED_VALUE"""),46218)</f>
        <v>46218</v>
      </c>
      <c r="T775" s="5" t="b">
        <f ca="1">IFERROR(__xludf.DUMMYFUNCTION("""COMPUTED_VALUE"""),TRUE)</f>
        <v>1</v>
      </c>
      <c r="U775" s="5" t="str">
        <f ca="1">IFERROR(__xludf.DUMMYFUNCTION("""COMPUTED_VALUE"""),"5x3")</f>
        <v>5x3</v>
      </c>
      <c r="V775" s="5">
        <f ca="1">IFERROR(__xludf.DUMMYFUNCTION("""COMPUTED_VALUE"""),10)</f>
        <v>10</v>
      </c>
      <c r="W775" s="5">
        <f ca="1">IFERROR(__xludf.DUMMYFUNCTION("""COMPUTED_VALUE"""),10)</f>
        <v>10</v>
      </c>
      <c r="X775" s="5">
        <f ca="1">IFERROR(__xludf.DUMMYFUNCTION("""COMPUTED_VALUE"""),94.91)</f>
        <v>94.91</v>
      </c>
      <c r="Y775" s="5" t="str">
        <f ca="1">IFERROR(__xludf.DUMMYFUNCTION("""COMPUTED_VALUE"""),"High")</f>
        <v>High</v>
      </c>
      <c r="Z775" s="5">
        <f ca="1">IFERROR(__xludf.DUMMYFUNCTION("""COMPUTED_VALUE"""),9.5)</f>
        <v>9.5</v>
      </c>
      <c r="AA775" s="5">
        <f ca="1">IFERROR(__xludf.DUMMYFUNCTION("""COMPUTED_VALUE"""),2666)</f>
        <v>2666</v>
      </c>
      <c r="AB775" s="5"/>
      <c r="AC775" s="5" t="str">
        <f ca="1">IFERROR(__xludf.DUMMYFUNCTION("""COMPUTED_VALUE"""),"Wild Symbol, Expanding Wild, Scatter")</f>
        <v>Wild Symbol, Expanding Wild, Scatter</v>
      </c>
      <c r="AD775" s="5" t="str">
        <f ca="1">IFERROR(__xludf.DUMMYFUNCTION("""COMPUTED_VALUE"""),"0.10/100")</f>
        <v>0.10/100</v>
      </c>
      <c r="AE775" s="5"/>
      <c r="AF775" s="5"/>
      <c r="AG775" s="10">
        <f ca="1">IFERROR(__xludf.DUMMYFUNCTION("""COMPUTED_VALUE"""),46220.5117708333)</f>
        <v>46220.511770833298</v>
      </c>
      <c r="AH775" s="5" t="str">
        <f ca="1">IFERROR(__xludf.DUMMYFUNCTION("""COMPUTED_VALUE"""),"vanja.svetska@fazi.rs")</f>
        <v>vanja.svetska@fazi.rs</v>
      </c>
      <c r="AI775" s="5"/>
      <c r="AJ775" s="5"/>
      <c r="AK775" s="5">
        <f ca="1">IFERROR(__xludf.DUMMYFUNCTION("""COMPUTED_VALUE"""),10)</f>
        <v>10</v>
      </c>
      <c r="AL775" s="5" t="str">
        <f ca="1">IFERROR(__xludf.DUMMYFUNCTION("""COMPUTED_VALUE"""),"No")</f>
        <v>No</v>
      </c>
      <c r="AM775" s="5" t="str">
        <f ca="1">IFERROR(__xludf.DUMMYFUNCTION("""COMPUTED_VALUE"""),"No")</f>
        <v>No</v>
      </c>
      <c r="AN775" s="7" t="str">
        <f ca="1">IFERROR(__xludf.DUMMYFUNCTION("""COMPUTED_VALUE"""),"https://rgs-double-hot-chili.soko.games/?demo=True&amp;locale=eng")</f>
        <v>https://rgs-double-hot-chili.soko.games/?demo=True&amp;locale=eng</v>
      </c>
      <c r="AO775" s="5" t="str">
        <f ca="1">IFERROR(__xludf.DUMMYFUNCTION("""COMPUTED_VALUE"""),"No")</f>
        <v>No</v>
      </c>
      <c r="AP775" s="5" t="str">
        <f ca="1">IFERROR(__xludf.DUMMYFUNCTION("""COMPUTED_VALUE"""),"No")</f>
        <v>No</v>
      </c>
      <c r="AQ775" s="5" t="b">
        <f ca="1">IFERROR(__xludf.DUMMYFUNCTION("""COMPUTED_VALUE"""),TRUE)</f>
        <v>1</v>
      </c>
      <c r="AR775" s="5"/>
      <c r="AS775" s="5" t="str">
        <f ca="1">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AT775" s="5"/>
      <c r="AU775" s="5" t="str">
        <f ca="1">IFERROR(__xludf.DUMMYFUNCTION("""COMPUTED_VALUE"""),"SOKO studio")</f>
        <v>SOKO studio</v>
      </c>
      <c r="AV775" s="5">
        <f ca="1">IFERROR(__xludf.DUMMYFUNCTION("""COMPUTED_VALUE"""),1)</f>
        <v>1</v>
      </c>
      <c r="AW775" s="5"/>
      <c r="AX775" s="15">
        <f ca="1">IFERROR(__xludf.DUMMYFUNCTION("""COMPUTED_VALUE"""),46203)</f>
        <v>46203</v>
      </c>
      <c r="AY775" s="5"/>
      <c r="AZ775" s="5"/>
      <c r="BA775" s="5"/>
      <c r="BB775" s="5" t="b">
        <f ca="1">IFERROR(__xludf.DUMMYFUNCTION("""COMPUTED_VALUE"""),TRUE)</f>
        <v>1</v>
      </c>
      <c r="BC775" s="5" t="str">
        <f ca="1">IFERROR(__xludf.DUMMYFUNCTION("""COMPUTED_VALUE"""),"SOKO studio")</f>
        <v>SOKO studio</v>
      </c>
      <c r="BD775" s="7" t="str">
        <f ca="1">IFERROR(__xludf.DUMMYFUNCTION("""COMPUTED_VALUE"""),"https://rgs-double-hot-chili.soko.games/?demo=True&amp;locale=eng")</f>
        <v>https://rgs-double-hot-chili.soko.games/?demo=True&amp;locale=eng</v>
      </c>
      <c r="BE775" s="5" t="b">
        <f ca="1">IFERROR(__xludf.DUMMYFUNCTION("""COMPUTED_VALUE"""),TRUE)</f>
        <v>1</v>
      </c>
    </row>
    <row r="776" spans="1:57" x14ac:dyDescent="0.25">
      <c r="A776" s="5">
        <f ca="1">IFERROR(__xludf.DUMMYFUNCTION("""COMPUTED_VALUE"""),813)</f>
        <v>813</v>
      </c>
      <c r="B776" s="5">
        <f ca="1">IFERROR(__xludf.DUMMYFUNCTION("""COMPUTED_VALUE"""),5000003)</f>
        <v>5000003</v>
      </c>
      <c r="C776" s="5" t="str">
        <f ca="1">IFERROR(__xludf.DUMMYFUNCTION("""COMPUTED_VALUE"""),"SOKO studio")</f>
        <v>SOKO studio</v>
      </c>
      <c r="D776" s="5" t="str">
        <f ca="1">IFERROR(__xludf.DUMMYFUNCTION("""COMPUTED_VALUE"""),"Golden Sheriff Wilds")</f>
        <v>Golden Sheriff Wilds</v>
      </c>
      <c r="E776" s="5" t="str">
        <f ca="1">IFERROR(__xludf.DUMMYFUNCTION("""COMPUTED_VALUE"""),"SOKO studio")</f>
        <v>SOKO studio</v>
      </c>
      <c r="F776" s="5" t="str">
        <f ca="1">IFERROR(__xludf.DUMMYFUNCTION("""COMPUTED_VALUE"""),"SokoGoldenSheriffWilds")</f>
        <v>SokoGoldenSheriffWilds</v>
      </c>
      <c r="G776" s="5" t="str">
        <f ca="1">IFERROR(__xludf.DUMMYFUNCTION("""COMPUTED_VALUE"""),"Live")</f>
        <v>Live</v>
      </c>
      <c r="H776" s="5"/>
      <c r="I776" s="5"/>
      <c r="J776" s="5" t="str">
        <f ca="1">IFERROR(__xludf.DUMMYFUNCTION("""COMPUTED_VALUE"""),"JSON")</f>
        <v>JSON</v>
      </c>
      <c r="K776" s="5" t="str">
        <f ca="1">IFERROR(__xludf.DUMMYFUNCTION("""COMPUTED_VALUE"""),"Slot")</f>
        <v>Slot</v>
      </c>
      <c r="L776" s="5"/>
      <c r="M776" s="5"/>
      <c r="N776" s="5"/>
      <c r="O776" s="5"/>
      <c r="P776" s="5"/>
      <c r="Q776" s="15">
        <f ca="1">IFERROR(__xludf.DUMMYFUNCTION("""COMPUTED_VALUE"""),46223)</f>
        <v>46223</v>
      </c>
      <c r="R776" s="15">
        <f ca="1">IFERROR(__xludf.DUMMYFUNCTION("""COMPUTED_VALUE"""),46217)</f>
        <v>46217</v>
      </c>
      <c r="S776" s="15">
        <f ca="1">IFERROR(__xludf.DUMMYFUNCTION("""COMPUTED_VALUE"""),46224)</f>
        <v>46224</v>
      </c>
      <c r="T776" s="5" t="b">
        <f ca="1">IFERROR(__xludf.DUMMYFUNCTION("""COMPUTED_VALUE"""),TRUE)</f>
        <v>1</v>
      </c>
      <c r="U776" s="5"/>
      <c r="V776" s="5"/>
      <c r="W776" s="5"/>
      <c r="X776" s="5"/>
      <c r="Y776" s="5"/>
      <c r="Z776" s="5"/>
      <c r="AA776" s="5"/>
      <c r="AB776" s="5"/>
      <c r="AC776" s="5"/>
      <c r="AD776" s="5"/>
      <c r="AE776" s="5"/>
      <c r="AF776" s="5"/>
      <c r="AG776" s="10">
        <f ca="1">IFERROR(__xludf.DUMMYFUNCTION("""COMPUTED_VALUE"""),46226.5072916666)</f>
        <v>46226.507291666603</v>
      </c>
      <c r="AH776" s="5" t="str">
        <f ca="1">IFERROR(__xludf.DUMMYFUNCTION("""COMPUTED_VALUE"""),"vanja.svetska@fazi.rs")</f>
        <v>vanja.svetska@fazi.rs</v>
      </c>
      <c r="AI776" s="5"/>
      <c r="AJ776" s="5"/>
      <c r="AK776" s="5"/>
      <c r="AL776" s="5"/>
      <c r="AM776" s="5"/>
      <c r="AN776" s="5"/>
      <c r="AO776" s="5"/>
      <c r="AP776" s="5"/>
      <c r="AQ776" s="5"/>
      <c r="AR776" s="5"/>
      <c r="AS776" s="5"/>
      <c r="AT776" s="5"/>
      <c r="AU776" s="5" t="str">
        <f ca="1">IFERROR(__xludf.DUMMYFUNCTION("""COMPUTED_VALUE"""),"SOKO studio")</f>
        <v>SOKO studio</v>
      </c>
      <c r="AV776" s="5"/>
      <c r="AW776" s="5"/>
      <c r="AX776" s="15">
        <f ca="1">IFERROR(__xludf.DUMMYFUNCTION("""COMPUTED_VALUE"""),46217)</f>
        <v>46217</v>
      </c>
      <c r="AY776" s="5"/>
      <c r="AZ776" s="5"/>
      <c r="BA776" s="5"/>
      <c r="BB776" s="5"/>
      <c r="BC776" s="5" t="str">
        <f ca="1">IFERROR(__xludf.DUMMYFUNCTION("""COMPUTED_VALUE"""),"SOKO studio")</f>
        <v>SOKO studio</v>
      </c>
      <c r="BD776" s="5"/>
      <c r="BE776" s="5"/>
    </row>
    <row r="777" spans="1:57" x14ac:dyDescent="0.25">
      <c r="A777" s="5">
        <f ca="1">IFERROR(__xludf.DUMMYFUNCTION("""COMPUTED_VALUE"""),814)</f>
        <v>814</v>
      </c>
      <c r="B777" s="5">
        <f ca="1">IFERROR(__xludf.DUMMYFUNCTION("""COMPUTED_VALUE"""),5000004)</f>
        <v>5000004</v>
      </c>
      <c r="C777" s="5" t="str">
        <f ca="1">IFERROR(__xludf.DUMMYFUNCTION("""COMPUTED_VALUE"""),"SOKO studio")</f>
        <v>SOKO studio</v>
      </c>
      <c r="D777" s="5" t="str">
        <f ca="1">IFERROR(__xludf.DUMMYFUNCTION("""COMPUTED_VALUE"""),"Lucky Crown 5")</f>
        <v>Lucky Crown 5</v>
      </c>
      <c r="E777" s="5" t="str">
        <f ca="1">IFERROR(__xludf.DUMMYFUNCTION("""COMPUTED_VALUE"""),"SOKO studio")</f>
        <v>SOKO studio</v>
      </c>
      <c r="F777" s="5" t="str">
        <f ca="1">IFERROR(__xludf.DUMMYFUNCTION("""COMPUTED_VALUE"""),"SokoLuckyCrown5")</f>
        <v>SokoLuckyCrown5</v>
      </c>
      <c r="G777" s="5" t="str">
        <f ca="1">IFERROR(__xludf.DUMMYFUNCTION("""COMPUTED_VALUE"""),"Deployed")</f>
        <v>Deployed</v>
      </c>
      <c r="H777" s="5"/>
      <c r="I777" s="5"/>
      <c r="J777" s="5" t="str">
        <f ca="1">IFERROR(__xludf.DUMMYFUNCTION("""COMPUTED_VALUE"""),"JSON")</f>
        <v>JSON</v>
      </c>
      <c r="K777" s="5" t="str">
        <f ca="1">IFERROR(__xludf.DUMMYFUNCTION("""COMPUTED_VALUE"""),"Slot")</f>
        <v>Slot</v>
      </c>
      <c r="L777" s="5"/>
      <c r="M777" s="5"/>
      <c r="N777" s="5"/>
      <c r="O777" s="5"/>
      <c r="P777" s="5"/>
      <c r="Q777" s="15">
        <f ca="1">IFERROR(__xludf.DUMMYFUNCTION("""COMPUTED_VALUE"""),46223)</f>
        <v>46223</v>
      </c>
      <c r="R777" s="15">
        <f ca="1">IFERROR(__xludf.DUMMYFUNCTION("""COMPUTED_VALUE"""),46225)</f>
        <v>46225</v>
      </c>
      <c r="S777" s="15">
        <f ca="1">IFERROR(__xludf.DUMMYFUNCTION("""COMPUTED_VALUE"""),46232)</f>
        <v>46232</v>
      </c>
      <c r="T777" s="5" t="b">
        <f ca="1">IFERROR(__xludf.DUMMYFUNCTION("""COMPUTED_VALUE"""),TRUE)</f>
        <v>1</v>
      </c>
      <c r="U777" s="5"/>
      <c r="V777" s="5"/>
      <c r="W777" s="5"/>
      <c r="X777" s="5"/>
      <c r="Y777" s="5"/>
      <c r="Z777" s="5"/>
      <c r="AA777" s="5"/>
      <c r="AB777" s="5"/>
      <c r="AC777" s="5"/>
      <c r="AD777" s="5"/>
      <c r="AE777" s="5"/>
      <c r="AF777" s="5"/>
      <c r="AG777" s="10">
        <f ca="1">IFERROR(__xludf.DUMMYFUNCTION("""COMPUTED_VALUE"""),46231.4911805555)</f>
        <v>46231.491180555502</v>
      </c>
      <c r="AH777" s="5" t="str">
        <f ca="1">IFERROR(__xludf.DUMMYFUNCTION("""COMPUTED_VALUE"""),"vanja.svetska@fazi.rs")</f>
        <v>vanja.svetska@fazi.rs</v>
      </c>
      <c r="AI777" s="5"/>
      <c r="AJ777" s="5"/>
      <c r="AK777" s="5"/>
      <c r="AL777" s="5"/>
      <c r="AM777" s="5"/>
      <c r="AN777" s="5"/>
      <c r="AO777" s="5"/>
      <c r="AP777" s="5"/>
      <c r="AQ777" s="5"/>
      <c r="AR777" s="5"/>
      <c r="AS777" s="5"/>
      <c r="AT777" s="5"/>
      <c r="AU777" s="5" t="str">
        <f ca="1">IFERROR(__xludf.DUMMYFUNCTION("""COMPUTED_VALUE"""),"SOKO studio")</f>
        <v>SOKO studio</v>
      </c>
      <c r="AV777" s="5"/>
      <c r="AW777" s="5"/>
      <c r="AX777" s="15">
        <f ca="1">IFERROR(__xludf.DUMMYFUNCTION("""COMPUTED_VALUE"""),46217)</f>
        <v>46217</v>
      </c>
      <c r="AY777" s="5"/>
      <c r="AZ777" s="5"/>
      <c r="BA777" s="5"/>
      <c r="BB777" s="5"/>
      <c r="BC777" s="5" t="str">
        <f ca="1">IFERROR(__xludf.DUMMYFUNCTION("""COMPUTED_VALUE"""),"SOKO studio")</f>
        <v>SOKO studio</v>
      </c>
      <c r="BD777" s="5"/>
      <c r="BE777" s="5"/>
    </row>
    <row r="778" spans="1:57" x14ac:dyDescent="0.25">
      <c r="A778" s="5">
        <f ca="1">IFERROR(__xludf.DUMMYFUNCTION("""COMPUTED_VALUE"""),815)</f>
        <v>815</v>
      </c>
      <c r="B778" s="5">
        <f ca="1">IFERROR(__xludf.DUMMYFUNCTION("""COMPUTED_VALUE"""),5000005)</f>
        <v>5000005</v>
      </c>
      <c r="C778" s="5" t="str">
        <f ca="1">IFERROR(__xludf.DUMMYFUNCTION("""COMPUTED_VALUE"""),"SOKO studio")</f>
        <v>SOKO studio</v>
      </c>
      <c r="D778" s="5" t="str">
        <f ca="1">IFERROR(__xludf.DUMMYFUNCTION("""COMPUTED_VALUE"""),"Royal Jewels Fortune Deluxe")</f>
        <v>Royal Jewels Fortune Deluxe</v>
      </c>
      <c r="E778" s="5" t="str">
        <f ca="1">IFERROR(__xludf.DUMMYFUNCTION("""COMPUTED_VALUE"""),"SOKO studio")</f>
        <v>SOKO studio</v>
      </c>
      <c r="F778" s="5" t="str">
        <f ca="1">IFERROR(__xludf.DUMMYFUNCTION("""COMPUTED_VALUE"""),"SokoRoyalJewelsFortuneDeluxe")</f>
        <v>SokoRoyalJewelsFortuneDeluxe</v>
      </c>
      <c r="G778" s="5" t="str">
        <f ca="1">IFERROR(__xludf.DUMMYFUNCTION("""COMPUTED_VALUE"""),"Planned")</f>
        <v>Planned</v>
      </c>
      <c r="H778" s="5"/>
      <c r="I778" s="5" t="str">
        <f ca="1">IFERROR(__xludf.DUMMYFUNCTION("""COMPUTED_VALUE"""),"SOKO studio")</f>
        <v>SOKO studio</v>
      </c>
      <c r="J778" s="5" t="str">
        <f ca="1">IFERROR(__xludf.DUMMYFUNCTION("""COMPUTED_VALUE"""),"JSON")</f>
        <v>JSON</v>
      </c>
      <c r="K778" s="5" t="str">
        <f ca="1">IFERROR(__xludf.DUMMYFUNCTION("""COMPUTED_VALUE"""),"Slot")</f>
        <v>Slot</v>
      </c>
      <c r="L778" s="5" t="str">
        <f ca="1">IFERROR(__xludf.DUMMYFUNCTION("""COMPUTED_VALUE"""),"Master")</f>
        <v>Master</v>
      </c>
      <c r="M778" s="5"/>
      <c r="N778" s="7" t="str">
        <f ca="1">IFERROR(__xludf.DUMMYFUNCTION("""COMPUTED_VALUE"""),"https://dicebyte.sharepoint.com/:b:/g/IQBvJ2CS3yR_QoURHTzPMA3aAQRvpUy2WDetN09DdU0VOac?e=doH5cg")</f>
        <v>https://dicebyte.sharepoint.com/:b:/g/IQBvJ2CS3yR_QoURHTzPMA3aAQRvpUy2WDetN09DdU0VOac?e=doH5cg</v>
      </c>
      <c r="O778" s="7" t="str">
        <f ca="1">IFERROR(__xludf.DUMMYFUNCTION("""COMPUTED_VALUE"""),"https://dicebyte.sharepoint.com/:b:/g/IQBk427fhJxFRqJu3RDzN5j7AWRQQ5sgDQ-UUgTcLVfZu9I?e=kSsSNb")</f>
        <v>https://dicebyte.sharepoint.com/:b:/g/IQBk427fhJxFRqJu3RDzN5j7AWRQQ5sgDQ-UUgTcLVfZu9I?e=kSsSNb</v>
      </c>
      <c r="P778" s="14">
        <f ca="1">IFERROR(__xludf.DUMMYFUNCTION("""COMPUTED_VALUE"""),21.06)</f>
        <v>21.06</v>
      </c>
      <c r="Q778" s="15">
        <f ca="1">IFERROR(__xludf.DUMMYFUNCTION("""COMPUTED_VALUE"""),46237)</f>
        <v>46237</v>
      </c>
      <c r="R778" s="15">
        <f ca="1">IFERROR(__xludf.DUMMYFUNCTION("""COMPUTED_VALUE"""),46233)</f>
        <v>46233</v>
      </c>
      <c r="S778" s="15">
        <f ca="1">IFERROR(__xludf.DUMMYFUNCTION("""COMPUTED_VALUE"""),46240)</f>
        <v>46240</v>
      </c>
      <c r="T778" s="5" t="b">
        <f ca="1">IFERROR(__xludf.DUMMYFUNCTION("""COMPUTED_VALUE"""),TRUE)</f>
        <v>1</v>
      </c>
      <c r="U778" s="5" t="str">
        <f ca="1">IFERROR(__xludf.DUMMYFUNCTION("""COMPUTED_VALUE"""),"5x3")</f>
        <v>5x3</v>
      </c>
      <c r="V778" s="5">
        <f ca="1">IFERROR(__xludf.DUMMYFUNCTION("""COMPUTED_VALUE"""),5)</f>
        <v>5</v>
      </c>
      <c r="W778" s="5">
        <f ca="1">IFERROR(__xludf.DUMMYFUNCTION("""COMPUTED_VALUE"""),5)</f>
        <v>5</v>
      </c>
      <c r="X778" s="5">
        <f ca="1">IFERROR(__xludf.DUMMYFUNCTION("""COMPUTED_VALUE"""),94.91)</f>
        <v>94.91</v>
      </c>
      <c r="Y778" s="5" t="str">
        <f ca="1">IFERROR(__xludf.DUMMYFUNCTION("""COMPUTED_VALUE"""),"High")</f>
        <v>High</v>
      </c>
      <c r="Z778" s="5">
        <f ca="1">IFERROR(__xludf.DUMMYFUNCTION("""COMPUTED_VALUE"""),10.5)</f>
        <v>10.5</v>
      </c>
      <c r="AA778" s="5">
        <f ca="1">IFERROR(__xludf.DUMMYFUNCTION("""COMPUTED_VALUE"""),1234)</f>
        <v>1234</v>
      </c>
      <c r="AB778" s="5"/>
      <c r="AC778" s="5" t="str">
        <f ca="1">IFERROR(__xludf.DUMMYFUNCTION("""COMPUTED_VALUE"""),"Expanding Wild, Wild Symbol")</f>
        <v>Expanding Wild, Wild Symbol</v>
      </c>
      <c r="AD778" s="5" t="str">
        <f ca="1">IFERROR(__xludf.DUMMYFUNCTION("""COMPUTED_VALUE"""),"0.05€/50€")</f>
        <v>0.05€/50€</v>
      </c>
      <c r="AE778" s="5"/>
      <c r="AF778" s="5"/>
      <c r="AG778" s="10">
        <f ca="1">IFERROR(__xludf.DUMMYFUNCTION("""COMPUTED_VALUE"""),46226.4746296296)</f>
        <v>46226.4746296296</v>
      </c>
      <c r="AH778" s="5" t="str">
        <f ca="1">IFERROR(__xludf.DUMMYFUNCTION("""COMPUTED_VALUE"""),"selena.mihajlovic@fazi.rs")</f>
        <v>selena.mihajlovic@fazi.rs</v>
      </c>
      <c r="AI778" s="5"/>
      <c r="AJ778" s="5"/>
      <c r="AK778" s="5">
        <f ca="1">IFERROR(__xludf.DUMMYFUNCTION("""COMPUTED_VALUE"""),5)</f>
        <v>5</v>
      </c>
      <c r="AL778" s="5" t="str">
        <f ca="1">IFERROR(__xludf.DUMMYFUNCTION("""COMPUTED_VALUE"""),"No")</f>
        <v>No</v>
      </c>
      <c r="AM778" s="5" t="str">
        <f ca="1">IFERROR(__xludf.DUMMYFUNCTION("""COMPUTED_VALUE"""),"No")</f>
        <v>No</v>
      </c>
      <c r="AN778" s="7" t="str">
        <f ca="1">IFERROR(__xludf.DUMMYFUNCTION("""COMPUTED_VALUE"""),"https://rgs-royal-jewels-fortune-deluxe.soko.games/?demo=True&amp;locale=eng")</f>
        <v>https://rgs-royal-jewels-fortune-deluxe.soko.games/?demo=True&amp;locale=eng</v>
      </c>
      <c r="AO778" s="5" t="str">
        <f ca="1">IFERROR(__xludf.DUMMYFUNCTION("""COMPUTED_VALUE"""),"No")</f>
        <v>No</v>
      </c>
      <c r="AP778" s="5" t="str">
        <f ca="1">IFERROR(__xludf.DUMMYFUNCTION("""COMPUTED_VALUE"""),"No")</f>
        <v>No</v>
      </c>
      <c r="AQ778" s="5" t="b">
        <f ca="1">IFERROR(__xludf.DUMMYFUNCTION("""COMPUTED_VALUE"""),TRUE)</f>
        <v>1</v>
      </c>
      <c r="AR778" s="5"/>
      <c r="AS778" s="5" t="str">
        <f ca="1">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AT778" s="5"/>
      <c r="AU778" s="5" t="str">
        <f ca="1">IFERROR(__xludf.DUMMYFUNCTION("""COMPUTED_VALUE"""),"SOKO studio")</f>
        <v>SOKO studio</v>
      </c>
      <c r="AV778" s="5">
        <f ca="1">IFERROR(__xludf.DUMMYFUNCTION("""COMPUTED_VALUE"""),1)</f>
        <v>1</v>
      </c>
      <c r="AW778" s="5"/>
      <c r="AX778" s="15">
        <f ca="1">IFERROR(__xludf.DUMMYFUNCTION("""COMPUTED_VALUE"""),46231)</f>
        <v>46231</v>
      </c>
      <c r="AY778" s="5"/>
      <c r="AZ778" s="5"/>
      <c r="BA778" s="5"/>
      <c r="BB778" s="5" t="b">
        <f ca="1">IFERROR(__xludf.DUMMYFUNCTION("""COMPUTED_VALUE"""),TRUE)</f>
        <v>1</v>
      </c>
      <c r="BC778" s="5" t="str">
        <f ca="1">IFERROR(__xludf.DUMMYFUNCTION("""COMPUTED_VALUE"""),"SOKO studio")</f>
        <v>SOKO studio</v>
      </c>
      <c r="BD778" s="7" t="str">
        <f ca="1">IFERROR(__xludf.DUMMYFUNCTION("""COMPUTED_VALUE"""),"https://rgs-royal-jewels-fortune-deluxe.soko.games/?demo=True&amp;locale=eng")</f>
        <v>https://rgs-royal-jewels-fortune-deluxe.soko.games/?demo=True&amp;locale=eng</v>
      </c>
      <c r="BE778" s="5" t="b">
        <f ca="1">IFERROR(__xludf.DUMMYFUNCTION("""COMPUTED_VALUE"""),TRUE)</f>
        <v>1</v>
      </c>
    </row>
    <row r="779" spans="1:57" x14ac:dyDescent="0.25">
      <c r="A779" s="5">
        <f ca="1">IFERROR(__xludf.DUMMYFUNCTION("""COMPUTED_VALUE"""),816)</f>
        <v>816</v>
      </c>
      <c r="B779" s="5">
        <f ca="1">IFERROR(__xludf.DUMMYFUNCTION("""COMPUTED_VALUE"""),-1)</f>
        <v>-1</v>
      </c>
      <c r="C779" s="5" t="str">
        <f ca="1">IFERROR(__xludf.DUMMYFUNCTION("""COMPUTED_VALUE"""),"SOKO studio")</f>
        <v>SOKO studio</v>
      </c>
      <c r="D779" s="5" t="str">
        <f ca="1">IFERROR(__xludf.DUMMYFUNCTION("""COMPUTED_VALUE"""),"Triple Hot Chili")</f>
        <v>Triple Hot Chili</v>
      </c>
      <c r="E779" s="5" t="str">
        <f ca="1">IFERROR(__xludf.DUMMYFUNCTION("""COMPUTED_VALUE"""),"SOKO studio")</f>
        <v>SOKO studio</v>
      </c>
      <c r="F779" s="5" t="str">
        <f ca="1">IFERROR(__xludf.DUMMYFUNCTION("""COMPUTED_VALUE"""),"TBD")</f>
        <v>TBD</v>
      </c>
      <c r="G779" s="5" t="str">
        <f ca="1">IFERROR(__xludf.DUMMYFUNCTION("""COMPUTED_VALUE"""),"Planned")</f>
        <v>Planned</v>
      </c>
      <c r="H779" s="5"/>
      <c r="I779" s="5"/>
      <c r="J779" s="5" t="str">
        <f ca="1">IFERROR(__xludf.DUMMYFUNCTION("""COMPUTED_VALUE"""),"JSON")</f>
        <v>JSON</v>
      </c>
      <c r="K779" s="5" t="str">
        <f ca="1">IFERROR(__xludf.DUMMYFUNCTION("""COMPUTED_VALUE"""),"Slot")</f>
        <v>Slot</v>
      </c>
      <c r="L779" s="5"/>
      <c r="M779" s="5"/>
      <c r="N779" s="5"/>
      <c r="O779" s="5"/>
      <c r="P779" s="5"/>
      <c r="Q779" s="15">
        <f ca="1">IFERROR(__xludf.DUMMYFUNCTION("""COMPUTED_VALUE"""),46237)</f>
        <v>46237</v>
      </c>
      <c r="R779" s="15">
        <f ca="1">IFERROR(__xludf.DUMMYFUNCTION("""COMPUTED_VALUE"""),46247)</f>
        <v>46247</v>
      </c>
      <c r="S779" s="15">
        <f ca="1">IFERROR(__xludf.DUMMYFUNCTION("""COMPUTED_VALUE"""),46254)</f>
        <v>46254</v>
      </c>
      <c r="T779" s="5" t="b">
        <f ca="1">IFERROR(__xludf.DUMMYFUNCTION("""COMPUTED_VALUE"""),TRUE)</f>
        <v>1</v>
      </c>
      <c r="U779" s="5"/>
      <c r="V779" s="5"/>
      <c r="W779" s="5"/>
      <c r="X779" s="5"/>
      <c r="Y779" s="5"/>
      <c r="Z779" s="5"/>
      <c r="AA779" s="5"/>
      <c r="AB779" s="5"/>
      <c r="AC779" s="5"/>
      <c r="AD779" s="5"/>
      <c r="AE779" s="5"/>
      <c r="AF779" s="5"/>
      <c r="AG779" s="10">
        <f ca="1">IFERROR(__xludf.DUMMYFUNCTION("""COMPUTED_VALUE"""),46206.5310763888)</f>
        <v>46206.531076388797</v>
      </c>
      <c r="AH779" s="5" t="str">
        <f ca="1">IFERROR(__xludf.DUMMYFUNCTION("""COMPUTED_VALUE"""),"selena.mihajlovic@fazi.rs")</f>
        <v>selena.mihajlovic@fazi.rs</v>
      </c>
      <c r="AI779" s="5"/>
      <c r="AJ779" s="5"/>
      <c r="AK779" s="5"/>
      <c r="AL779" s="5"/>
      <c r="AM779" s="5"/>
      <c r="AN779" s="5"/>
      <c r="AO779" s="5"/>
      <c r="AP779" s="5"/>
      <c r="AQ779" s="5"/>
      <c r="AR779" s="5"/>
      <c r="AS779" s="5"/>
      <c r="AT779" s="5"/>
      <c r="AU779" s="5" t="str">
        <f ca="1">IFERROR(__xludf.DUMMYFUNCTION("""COMPUTED_VALUE"""),"SOKO studio")</f>
        <v>SOKO studio</v>
      </c>
      <c r="AV779" s="5"/>
      <c r="AW779" s="5"/>
      <c r="AX779" s="15">
        <f ca="1">IFERROR(__xludf.DUMMYFUNCTION("""COMPUTED_VALUE"""),46231)</f>
        <v>46231</v>
      </c>
      <c r="AY779" s="5"/>
      <c r="AZ779" s="5"/>
      <c r="BA779" s="5"/>
      <c r="BB779" s="5"/>
      <c r="BC779" s="5" t="str">
        <f ca="1">IFERROR(__xludf.DUMMYFUNCTION("""COMPUTED_VALUE"""),"SOKO studio")</f>
        <v>SOKO studio</v>
      </c>
      <c r="BD779" s="5"/>
      <c r="BE779" s="5"/>
    </row>
    <row r="780" spans="1:57" x14ac:dyDescent="0.25">
      <c r="A780" s="5">
        <f ca="1">IFERROR(__xludf.DUMMYFUNCTION("""COMPUTED_VALUE"""),817)</f>
        <v>817</v>
      </c>
      <c r="B780" s="5">
        <f ca="1">IFERROR(__xludf.DUMMYFUNCTION("""COMPUTED_VALUE"""),-1)</f>
        <v>-1</v>
      </c>
      <c r="C780" s="5" t="str">
        <f ca="1">IFERROR(__xludf.DUMMYFUNCTION("""COMPUTED_VALUE"""),"SOKO studio")</f>
        <v>SOKO studio</v>
      </c>
      <c r="D780" s="5" t="str">
        <f ca="1">IFERROR(__xludf.DUMMYFUNCTION("""COMPUTED_VALUE"""),"Wild Chili Fiesta")</f>
        <v>Wild Chili Fiesta</v>
      </c>
      <c r="E780" s="5" t="str">
        <f ca="1">IFERROR(__xludf.DUMMYFUNCTION("""COMPUTED_VALUE"""),"SOKO studio")</f>
        <v>SOKO studio</v>
      </c>
      <c r="F780" s="5" t="str">
        <f ca="1">IFERROR(__xludf.DUMMYFUNCTION("""COMPUTED_VALUE"""),"TBD")</f>
        <v>TBD</v>
      </c>
      <c r="G780" s="5" t="str">
        <f ca="1">IFERROR(__xludf.DUMMYFUNCTION("""COMPUTED_VALUE"""),"Planned")</f>
        <v>Planned</v>
      </c>
      <c r="H780" s="5"/>
      <c r="I780" s="5"/>
      <c r="J780" s="5" t="str">
        <f ca="1">IFERROR(__xludf.DUMMYFUNCTION("""COMPUTED_VALUE"""),"JSON")</f>
        <v>JSON</v>
      </c>
      <c r="K780" s="5" t="str">
        <f ca="1">IFERROR(__xludf.DUMMYFUNCTION("""COMPUTED_VALUE"""),"Slot")</f>
        <v>Slot</v>
      </c>
      <c r="L780" s="5"/>
      <c r="M780" s="5"/>
      <c r="N780" s="5"/>
      <c r="O780" s="5"/>
      <c r="P780" s="5"/>
      <c r="Q780" s="15">
        <f ca="1">IFERROR(__xludf.DUMMYFUNCTION("""COMPUTED_VALUE"""),46251)</f>
        <v>46251</v>
      </c>
      <c r="R780" s="15">
        <f ca="1">IFERROR(__xludf.DUMMYFUNCTION("""COMPUTED_VALUE"""),46253)</f>
        <v>46253</v>
      </c>
      <c r="S780" s="15">
        <f ca="1">IFERROR(__xludf.DUMMYFUNCTION("""COMPUTED_VALUE"""),46260)</f>
        <v>46260</v>
      </c>
      <c r="T780" s="5" t="b">
        <f ca="1">IFERROR(__xludf.DUMMYFUNCTION("""COMPUTED_VALUE"""),TRUE)</f>
        <v>1</v>
      </c>
      <c r="U780" s="5"/>
      <c r="V780" s="5"/>
      <c r="W780" s="5"/>
      <c r="X780" s="5"/>
      <c r="Y780" s="5"/>
      <c r="Z780" s="5"/>
      <c r="AA780" s="5"/>
      <c r="AB780" s="5"/>
      <c r="AC780" s="5"/>
      <c r="AD780" s="5"/>
      <c r="AE780" s="5"/>
      <c r="AF780" s="5"/>
      <c r="AG780" s="10">
        <f ca="1">IFERROR(__xludf.DUMMYFUNCTION("""COMPUTED_VALUE"""),46206.5320254629)</f>
        <v>46206.532025462897</v>
      </c>
      <c r="AH780" s="5" t="str">
        <f ca="1">IFERROR(__xludf.DUMMYFUNCTION("""COMPUTED_VALUE"""),"selena.mihajlovic@fazi.rs")</f>
        <v>selena.mihajlovic@fazi.rs</v>
      </c>
      <c r="AI780" s="5"/>
      <c r="AJ780" s="5"/>
      <c r="AK780" s="5"/>
      <c r="AL780" s="5"/>
      <c r="AM780" s="5"/>
      <c r="AN780" s="5"/>
      <c r="AO780" s="5"/>
      <c r="AP780" s="5"/>
      <c r="AQ780" s="5"/>
      <c r="AR780" s="5"/>
      <c r="AS780" s="5"/>
      <c r="AT780" s="5"/>
      <c r="AU780" s="5" t="str">
        <f ca="1">IFERROR(__xludf.DUMMYFUNCTION("""COMPUTED_VALUE"""),"SOKO studio")</f>
        <v>SOKO studio</v>
      </c>
      <c r="AV780" s="5"/>
      <c r="AW780" s="5"/>
      <c r="AX780" s="15">
        <f ca="1">IFERROR(__xludf.DUMMYFUNCTION("""COMPUTED_VALUE"""),46245)</f>
        <v>46245</v>
      </c>
      <c r="AY780" s="5"/>
      <c r="AZ780" s="5"/>
      <c r="BA780" s="5"/>
      <c r="BB780" s="5"/>
      <c r="BC780" s="5" t="str">
        <f ca="1">IFERROR(__xludf.DUMMYFUNCTION("""COMPUTED_VALUE"""),"SOKO studio")</f>
        <v>SOKO studio</v>
      </c>
      <c r="BD780" s="5"/>
      <c r="BE780" s="5"/>
    </row>
    <row r="781" spans="1:57" x14ac:dyDescent="0.25">
      <c r="A781" s="5">
        <f ca="1">IFERROR(__xludf.DUMMYFUNCTION("""COMPUTED_VALUE"""),818)</f>
        <v>818</v>
      </c>
      <c r="B781" s="5">
        <f ca="1">IFERROR(__xludf.DUMMYFUNCTION("""COMPUTED_VALUE"""),5000006)</f>
        <v>5000006</v>
      </c>
      <c r="C781" s="5" t="str">
        <f ca="1">IFERROR(__xludf.DUMMYFUNCTION("""COMPUTED_VALUE"""),"SOKO studio")</f>
        <v>SOKO studio</v>
      </c>
      <c r="D781" s="5" t="str">
        <f ca="1">IFERROR(__xludf.DUMMYFUNCTION("""COMPUTED_VALUE"""),"Royal Crown Delight Deluxe")</f>
        <v>Royal Crown Delight Deluxe</v>
      </c>
      <c r="E781" s="5" t="str">
        <f ca="1">IFERROR(__xludf.DUMMYFUNCTION("""COMPUTED_VALUE"""),"SOKO studio")</f>
        <v>SOKO studio</v>
      </c>
      <c r="F781" s="5" t="str">
        <f ca="1">IFERROR(__xludf.DUMMYFUNCTION("""COMPUTED_VALUE"""),"SokoRoyalCrownDelightDeluxe")</f>
        <v>SokoRoyalCrownDelightDeluxe</v>
      </c>
      <c r="G781" s="5" t="str">
        <f ca="1">IFERROR(__xludf.DUMMYFUNCTION("""COMPUTED_VALUE"""),"Planned")</f>
        <v>Planned</v>
      </c>
      <c r="H781" s="5"/>
      <c r="I781" s="5" t="str">
        <f ca="1">IFERROR(__xludf.DUMMYFUNCTION("""COMPUTED_VALUE"""),"SOKO studio")</f>
        <v>SOKO studio</v>
      </c>
      <c r="J781" s="5" t="str">
        <f ca="1">IFERROR(__xludf.DUMMYFUNCTION("""COMPUTED_VALUE"""),"JSON")</f>
        <v>JSON</v>
      </c>
      <c r="K781" s="5" t="str">
        <f ca="1">IFERROR(__xludf.DUMMYFUNCTION("""COMPUTED_VALUE"""),"Slot")</f>
        <v>Slot</v>
      </c>
      <c r="L781" s="5" t="str">
        <f ca="1">IFERROR(__xludf.DUMMYFUNCTION("""COMPUTED_VALUE"""),"Master")</f>
        <v>Master</v>
      </c>
      <c r="M781" s="5"/>
      <c r="N781" s="7" t="str">
        <f ca="1">IFERROR(__xludf.DUMMYFUNCTION("""COMPUTED_VALUE"""),"https://dicebyte.sharepoint.com/:b:/g/IQCj9mj7Y3GfQ5tXjcWXnck3AYO2YmBM14UsIodZ8zaTNZc?e=LJRWkK")</f>
        <v>https://dicebyte.sharepoint.com/:b:/g/IQCj9mj7Y3GfQ5tXjcWXnck3AYO2YmBM14UsIodZ8zaTNZc?e=LJRWkK</v>
      </c>
      <c r="O781" s="7" t="str">
        <f ca="1">IFERROR(__xludf.DUMMYFUNCTION("""COMPUTED_VALUE"""),"https://dicebyte.sharepoint.com/:b:/g/IQCiyboszEg3TZVpBPMB0OBtARHST5yo7KI-AmCa0pmyibc?e=GihBYO")</f>
        <v>https://dicebyte.sharepoint.com/:b:/g/IQCiyboszEg3TZVpBPMB0OBtARHST5yo7KI-AmCa0pmyibc?e=GihBYO</v>
      </c>
      <c r="P781" s="14">
        <f ca="1">IFERROR(__xludf.DUMMYFUNCTION("""COMPUTED_VALUE"""),21.06)</f>
        <v>21.06</v>
      </c>
      <c r="Q781" s="15">
        <f ca="1">IFERROR(__xludf.DUMMYFUNCTION("""COMPUTED_VALUE"""),46237)</f>
        <v>46237</v>
      </c>
      <c r="R781" s="15">
        <f ca="1">IFERROR(__xludf.DUMMYFUNCTION("""COMPUTED_VALUE"""),46239)</f>
        <v>46239</v>
      </c>
      <c r="S781" s="15">
        <f ca="1">IFERROR(__xludf.DUMMYFUNCTION("""COMPUTED_VALUE"""),46246)</f>
        <v>46246</v>
      </c>
      <c r="T781" s="5" t="b">
        <f ca="1">IFERROR(__xludf.DUMMYFUNCTION("""COMPUTED_VALUE"""),TRUE)</f>
        <v>1</v>
      </c>
      <c r="U781" s="5" t="str">
        <f ca="1">IFERROR(__xludf.DUMMYFUNCTION("""COMPUTED_VALUE"""),"5x3")</f>
        <v>5x3</v>
      </c>
      <c r="V781" s="5">
        <f ca="1">IFERROR(__xludf.DUMMYFUNCTION("""COMPUTED_VALUE"""),5)</f>
        <v>5</v>
      </c>
      <c r="W781" s="5">
        <f ca="1">IFERROR(__xludf.DUMMYFUNCTION("""COMPUTED_VALUE"""),5)</f>
        <v>5</v>
      </c>
      <c r="X781" s="5">
        <f ca="1">IFERROR(__xludf.DUMMYFUNCTION("""COMPUTED_VALUE"""),95.13)</f>
        <v>95.13</v>
      </c>
      <c r="Y781" s="5" t="str">
        <f ca="1">IFERROR(__xludf.DUMMYFUNCTION("""COMPUTED_VALUE"""),"High")</f>
        <v>High</v>
      </c>
      <c r="Z781" s="5">
        <f ca="1">IFERROR(__xludf.DUMMYFUNCTION("""COMPUTED_VALUE"""),16.4)</f>
        <v>16.399999999999999</v>
      </c>
      <c r="AA781" s="5">
        <f ca="1">IFERROR(__xludf.DUMMYFUNCTION("""COMPUTED_VALUE"""),1234)</f>
        <v>1234</v>
      </c>
      <c r="AB781" s="5"/>
      <c r="AC781" s="5" t="str">
        <f ca="1">IFERROR(__xludf.DUMMYFUNCTION("""COMPUTED_VALUE"""),"Wild Symbol, Expanding Wild")</f>
        <v>Wild Symbol, Expanding Wild</v>
      </c>
      <c r="AD781" s="5" t="str">
        <f ca="1">IFERROR(__xludf.DUMMYFUNCTION("""COMPUTED_VALUE"""),"0.05€/50€")</f>
        <v>0.05€/50€</v>
      </c>
      <c r="AE781" s="5"/>
      <c r="AF781" s="5"/>
      <c r="AG781" s="10">
        <f ca="1">IFERROR(__xludf.DUMMYFUNCTION("""COMPUTED_VALUE"""),46232.4604282407)</f>
        <v>46232.460428240702</v>
      </c>
      <c r="AH781" s="5" t="str">
        <f ca="1">IFERROR(__xludf.DUMMYFUNCTION("""COMPUTED_VALUE"""),"danica.petrovic@fazi.rs")</f>
        <v>danica.petrovic@fazi.rs</v>
      </c>
      <c r="AI781" s="5"/>
      <c r="AJ781" s="5"/>
      <c r="AK781" s="5">
        <f ca="1">IFERROR(__xludf.DUMMYFUNCTION("""COMPUTED_VALUE"""),5)</f>
        <v>5</v>
      </c>
      <c r="AL781" s="5" t="str">
        <f ca="1">IFERROR(__xludf.DUMMYFUNCTION("""COMPUTED_VALUE"""),"No")</f>
        <v>No</v>
      </c>
      <c r="AM781" s="5" t="str">
        <f ca="1">IFERROR(__xludf.DUMMYFUNCTION("""COMPUTED_VALUE"""),"No")</f>
        <v>No</v>
      </c>
      <c r="AN781" s="7" t="str">
        <f ca="1">IFERROR(__xludf.DUMMYFUNCTION("""COMPUTED_VALUE"""),"https://rgs-royal-crown-delight.soko.games/?demo=True&amp;locale=eng")</f>
        <v>https://rgs-royal-crown-delight.soko.games/?demo=True&amp;locale=eng</v>
      </c>
      <c r="AO781" s="5" t="str">
        <f ca="1">IFERROR(__xludf.DUMMYFUNCTION("""COMPUTED_VALUE"""),"No")</f>
        <v>No</v>
      </c>
      <c r="AP781" s="5" t="str">
        <f ca="1">IFERROR(__xludf.DUMMYFUNCTION("""COMPUTED_VALUE"""),"No")</f>
        <v>No</v>
      </c>
      <c r="AQ781" s="5" t="b">
        <f ca="1">IFERROR(__xludf.DUMMYFUNCTION("""COMPUTED_VALUE"""),TRUE)</f>
        <v>1</v>
      </c>
      <c r="AR781" s="5"/>
      <c r="AS781" s="5" t="str">
        <f ca="1">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AT781" s="5"/>
      <c r="AU781" s="5" t="str">
        <f ca="1">IFERROR(__xludf.DUMMYFUNCTION("""COMPUTED_VALUE"""),"SOKO studio")</f>
        <v>SOKO studio</v>
      </c>
      <c r="AV781" s="5">
        <f ca="1">IFERROR(__xludf.DUMMYFUNCTION("""COMPUTED_VALUE"""),1)</f>
        <v>1</v>
      </c>
      <c r="AW781" s="5"/>
      <c r="AX781" s="15">
        <f ca="1">IFERROR(__xludf.DUMMYFUNCTION("""COMPUTED_VALUE"""),46231)</f>
        <v>46231</v>
      </c>
      <c r="AY781" s="5"/>
      <c r="AZ781" s="5"/>
      <c r="BA781" s="5"/>
      <c r="BB781" s="5" t="b">
        <f ca="1">IFERROR(__xludf.DUMMYFUNCTION("""COMPUTED_VALUE"""),TRUE)</f>
        <v>1</v>
      </c>
      <c r="BC781" s="5" t="str">
        <f ca="1">IFERROR(__xludf.DUMMYFUNCTION("""COMPUTED_VALUE"""),"SOKO studio")</f>
        <v>SOKO studio</v>
      </c>
      <c r="BD781" s="7" t="str">
        <f ca="1">IFERROR(__xludf.DUMMYFUNCTION("""COMPUTED_VALUE"""),"https://rgs-royal-crown-delight.soko.games/?demo=True&amp;locale=eng")</f>
        <v>https://rgs-royal-crown-delight.soko.games/?demo=True&amp;locale=eng</v>
      </c>
      <c r="BE781" s="5" t="b">
        <f ca="1">IFERROR(__xludf.DUMMYFUNCTION("""COMPUTED_VALUE"""),TRUE)</f>
        <v>1</v>
      </c>
    </row>
    <row r="782" spans="1:57" x14ac:dyDescent="0.25">
      <c r="A782" s="5">
        <f ca="1">IFERROR(__xludf.DUMMYFUNCTION("""COMPUTED_VALUE"""),819)</f>
        <v>819</v>
      </c>
      <c r="B782" s="5">
        <f ca="1">IFERROR(__xludf.DUMMYFUNCTION("""COMPUTED_VALUE"""),-1)</f>
        <v>-1</v>
      </c>
      <c r="C782" s="5" t="str">
        <f ca="1">IFERROR(__xludf.DUMMYFUNCTION("""COMPUTED_VALUE"""),"SOKO studio")</f>
        <v>SOKO studio</v>
      </c>
      <c r="D782" s="5" t="str">
        <f ca="1">IFERROR(__xludf.DUMMYFUNCTION("""COMPUTED_VALUE"""),"Wild Sheriff Fortune")</f>
        <v>Wild Sheriff Fortune</v>
      </c>
      <c r="E782" s="5" t="str">
        <f ca="1">IFERROR(__xludf.DUMMYFUNCTION("""COMPUTED_VALUE"""),"SOKO studio")</f>
        <v>SOKO studio</v>
      </c>
      <c r="F782" s="5" t="str">
        <f ca="1">IFERROR(__xludf.DUMMYFUNCTION("""COMPUTED_VALUE"""),"TBD")</f>
        <v>TBD</v>
      </c>
      <c r="G782" s="5" t="str">
        <f ca="1">IFERROR(__xludf.DUMMYFUNCTION("""COMPUTED_VALUE"""),"Planned")</f>
        <v>Planned</v>
      </c>
      <c r="H782" s="5"/>
      <c r="I782" s="5"/>
      <c r="J782" s="5" t="str">
        <f ca="1">IFERROR(__xludf.DUMMYFUNCTION("""COMPUTED_VALUE"""),"JSON")</f>
        <v>JSON</v>
      </c>
      <c r="K782" s="5" t="str">
        <f ca="1">IFERROR(__xludf.DUMMYFUNCTION("""COMPUTED_VALUE"""),"Slot")</f>
        <v>Slot</v>
      </c>
      <c r="L782" s="5"/>
      <c r="M782" s="5"/>
      <c r="N782" s="5"/>
      <c r="O782" s="5"/>
      <c r="P782" s="5"/>
      <c r="Q782" s="15">
        <f ca="1">IFERROR(__xludf.DUMMYFUNCTION("""COMPUTED_VALUE"""),46265)</f>
        <v>46265</v>
      </c>
      <c r="R782" s="5"/>
      <c r="S782" s="15">
        <f ca="1">IFERROR(__xludf.DUMMYFUNCTION("""COMPUTED_VALUE"""),46266)</f>
        <v>46266</v>
      </c>
      <c r="T782" s="5" t="b">
        <f ca="1">IFERROR(__xludf.DUMMYFUNCTION("""COMPUTED_VALUE"""),TRUE)</f>
        <v>1</v>
      </c>
      <c r="U782" s="5"/>
      <c r="V782" s="5"/>
      <c r="W782" s="5"/>
      <c r="X782" s="5"/>
      <c r="Y782" s="5"/>
      <c r="Z782" s="5"/>
      <c r="AA782" s="5"/>
      <c r="AB782" s="5"/>
      <c r="AC782" s="5"/>
      <c r="AD782" s="5"/>
      <c r="AE782" s="5"/>
      <c r="AF782" s="5"/>
      <c r="AG782" s="10">
        <f ca="1">IFERROR(__xludf.DUMMYFUNCTION("""COMPUTED_VALUE"""),46183.6547222222)</f>
        <v>46183.6547222222</v>
      </c>
      <c r="AH782" s="5" t="str">
        <f ca="1">IFERROR(__xludf.DUMMYFUNCTION("""COMPUTED_VALUE"""),"vanja.svetska@fazi.rs")</f>
        <v>vanja.svetska@fazi.rs</v>
      </c>
      <c r="AI782" s="5"/>
      <c r="AJ782" s="5"/>
      <c r="AK782" s="5"/>
      <c r="AL782" s="5"/>
      <c r="AM782" s="5"/>
      <c r="AN782" s="5"/>
      <c r="AO782" s="5"/>
      <c r="AP782" s="5"/>
      <c r="AQ782" s="5"/>
      <c r="AR782" s="5"/>
      <c r="AS782" s="5"/>
      <c r="AT782" s="5"/>
      <c r="AU782" s="5" t="str">
        <f ca="1">IFERROR(__xludf.DUMMYFUNCTION("""COMPUTED_VALUE"""),"SOKO studio")</f>
        <v>SOKO studio</v>
      </c>
      <c r="AV782" s="5"/>
      <c r="AW782" s="5"/>
      <c r="AX782" s="15">
        <f ca="1">IFERROR(__xludf.DUMMYFUNCTION("""COMPUTED_VALUE"""),46259)</f>
        <v>46259</v>
      </c>
      <c r="AY782" s="5"/>
      <c r="AZ782" s="5"/>
      <c r="BA782" s="5"/>
      <c r="BB782" s="5"/>
      <c r="BC782" s="5" t="str">
        <f ca="1">IFERROR(__xludf.DUMMYFUNCTION("""COMPUTED_VALUE"""),"SOKO studio")</f>
        <v>SOKO studio</v>
      </c>
      <c r="BD782" s="5"/>
      <c r="BE782" s="5"/>
    </row>
    <row r="783" spans="1:57" x14ac:dyDescent="0.25">
      <c r="A783" s="5">
        <f ca="1">IFERROR(__xludf.DUMMYFUNCTION("""COMPUTED_VALUE"""),820)</f>
        <v>820</v>
      </c>
      <c r="B783" s="5">
        <f ca="1">IFERROR(__xludf.DUMMYFUNCTION("""COMPUTED_VALUE"""),-1)</f>
        <v>-1</v>
      </c>
      <c r="C783" s="5" t="str">
        <f ca="1">IFERROR(__xludf.DUMMYFUNCTION("""COMPUTED_VALUE"""),"SOKO studio")</f>
        <v>SOKO studio</v>
      </c>
      <c r="D783" s="5" t="str">
        <f ca="1">IFERROR(__xludf.DUMMYFUNCTION("""COMPUTED_VALUE"""),"Nile Queen Temple Legacy")</f>
        <v>Nile Queen Temple Legacy</v>
      </c>
      <c r="E783" s="5" t="str">
        <f ca="1">IFERROR(__xludf.DUMMYFUNCTION("""COMPUTED_VALUE"""),"SOKO studio")</f>
        <v>SOKO studio</v>
      </c>
      <c r="F783" s="5" t="str">
        <f ca="1">IFERROR(__xludf.DUMMYFUNCTION("""COMPUTED_VALUE"""),"TBD")</f>
        <v>TBD</v>
      </c>
      <c r="G783" s="5" t="str">
        <f ca="1">IFERROR(__xludf.DUMMYFUNCTION("""COMPUTED_VALUE"""),"Planned")</f>
        <v>Planned</v>
      </c>
      <c r="H783" s="5"/>
      <c r="I783" s="5"/>
      <c r="J783" s="5" t="str">
        <f ca="1">IFERROR(__xludf.DUMMYFUNCTION("""COMPUTED_VALUE"""),"JSON")</f>
        <v>JSON</v>
      </c>
      <c r="K783" s="5" t="str">
        <f ca="1">IFERROR(__xludf.DUMMYFUNCTION("""COMPUTED_VALUE"""),"Slot")</f>
        <v>Slot</v>
      </c>
      <c r="L783" s="5"/>
      <c r="M783" s="5"/>
      <c r="N783" s="5"/>
      <c r="O783" s="5"/>
      <c r="P783" s="5"/>
      <c r="Q783" s="15">
        <f ca="1">IFERROR(__xludf.DUMMYFUNCTION("""COMPUTED_VALUE"""),46265)</f>
        <v>46265</v>
      </c>
      <c r="R783" s="5"/>
      <c r="S783" s="15">
        <f ca="1">IFERROR(__xludf.DUMMYFUNCTION("""COMPUTED_VALUE"""),46274)</f>
        <v>46274</v>
      </c>
      <c r="T783" s="5" t="b">
        <f ca="1">IFERROR(__xludf.DUMMYFUNCTION("""COMPUTED_VALUE"""),TRUE)</f>
        <v>1</v>
      </c>
      <c r="U783" s="5"/>
      <c r="V783" s="5"/>
      <c r="W783" s="5"/>
      <c r="X783" s="5"/>
      <c r="Y783" s="5"/>
      <c r="Z783" s="5"/>
      <c r="AA783" s="5"/>
      <c r="AB783" s="5"/>
      <c r="AC783" s="5"/>
      <c r="AD783" s="5"/>
      <c r="AE783" s="5"/>
      <c r="AF783" s="5"/>
      <c r="AG783" s="10">
        <f ca="1">IFERROR(__xludf.DUMMYFUNCTION("""COMPUTED_VALUE"""),46183.657974537)</f>
        <v>46183.657974537004</v>
      </c>
      <c r="AH783" s="5" t="str">
        <f ca="1">IFERROR(__xludf.DUMMYFUNCTION("""COMPUTED_VALUE"""),"vanja.svetska@fazi.rs")</f>
        <v>vanja.svetska@fazi.rs</v>
      </c>
      <c r="AI783" s="5"/>
      <c r="AJ783" s="5"/>
      <c r="AK783" s="5"/>
      <c r="AL783" s="5"/>
      <c r="AM783" s="5"/>
      <c r="AN783" s="5"/>
      <c r="AO783" s="5"/>
      <c r="AP783" s="5"/>
      <c r="AQ783" s="5"/>
      <c r="AR783" s="5"/>
      <c r="AS783" s="5"/>
      <c r="AT783" s="5"/>
      <c r="AU783" s="5" t="str">
        <f ca="1">IFERROR(__xludf.DUMMYFUNCTION("""COMPUTED_VALUE"""),"SOKO studio")</f>
        <v>SOKO studio</v>
      </c>
      <c r="AV783" s="5"/>
      <c r="AW783" s="5"/>
      <c r="AX783" s="15">
        <f ca="1">IFERROR(__xludf.DUMMYFUNCTION("""COMPUTED_VALUE"""),46259)</f>
        <v>46259</v>
      </c>
      <c r="AY783" s="5"/>
      <c r="AZ783" s="5"/>
      <c r="BA783" s="5"/>
      <c r="BB783" s="5"/>
      <c r="BC783" s="5" t="str">
        <f ca="1">IFERROR(__xludf.DUMMYFUNCTION("""COMPUTED_VALUE"""),"SOKO studio")</f>
        <v>SOKO studio</v>
      </c>
      <c r="BD783" s="5"/>
      <c r="BE783" s="5"/>
    </row>
    <row r="784" spans="1:57" x14ac:dyDescent="0.25">
      <c r="A784" s="5">
        <f ca="1">IFERROR(__xludf.DUMMYFUNCTION("""COMPUTED_VALUE"""),821)</f>
        <v>821</v>
      </c>
      <c r="B784" s="5">
        <f ca="1">IFERROR(__xludf.DUMMYFUNCTION("""COMPUTED_VALUE"""),-1)</f>
        <v>-1</v>
      </c>
      <c r="C784" s="5" t="str">
        <f ca="1">IFERROR(__xludf.DUMMYFUNCTION("""COMPUTED_VALUE"""),"SOKO studio")</f>
        <v>SOKO studio</v>
      </c>
      <c r="D784" s="5" t="str">
        <f ca="1">IFERROR(__xludf.DUMMYFUNCTION("""COMPUTED_VALUE"""),"Triple Crown Jewels")</f>
        <v>Triple Crown Jewels</v>
      </c>
      <c r="E784" s="5" t="str">
        <f ca="1">IFERROR(__xludf.DUMMYFUNCTION("""COMPUTED_VALUE"""),"SOKO studio")</f>
        <v>SOKO studio</v>
      </c>
      <c r="F784" s="5" t="str">
        <f ca="1">IFERROR(__xludf.DUMMYFUNCTION("""COMPUTED_VALUE"""),"TBD")</f>
        <v>TBD</v>
      </c>
      <c r="G784" s="5" t="str">
        <f ca="1">IFERROR(__xludf.DUMMYFUNCTION("""COMPUTED_VALUE"""),"Planned")</f>
        <v>Planned</v>
      </c>
      <c r="H784" s="5"/>
      <c r="I784" s="5"/>
      <c r="J784" s="5" t="str">
        <f ca="1">IFERROR(__xludf.DUMMYFUNCTION("""COMPUTED_VALUE"""),"JSON")</f>
        <v>JSON</v>
      </c>
      <c r="K784" s="5" t="str">
        <f ca="1">IFERROR(__xludf.DUMMYFUNCTION("""COMPUTED_VALUE"""),"Slot")</f>
        <v>Slot</v>
      </c>
      <c r="L784" s="5"/>
      <c r="M784" s="5"/>
      <c r="N784" s="5"/>
      <c r="O784" s="5"/>
      <c r="P784" s="5"/>
      <c r="Q784" s="15">
        <f ca="1">IFERROR(__xludf.DUMMYFUNCTION("""COMPUTED_VALUE"""),46279)</f>
        <v>46279</v>
      </c>
      <c r="R784" s="5"/>
      <c r="S784" s="15">
        <f ca="1">IFERROR(__xludf.DUMMYFUNCTION("""COMPUTED_VALUE"""),46282)</f>
        <v>46282</v>
      </c>
      <c r="T784" s="5" t="b">
        <f ca="1">IFERROR(__xludf.DUMMYFUNCTION("""COMPUTED_VALUE"""),TRUE)</f>
        <v>1</v>
      </c>
      <c r="U784" s="5"/>
      <c r="V784" s="5"/>
      <c r="W784" s="5"/>
      <c r="X784" s="5"/>
      <c r="Y784" s="5"/>
      <c r="Z784" s="5"/>
      <c r="AA784" s="5"/>
      <c r="AB784" s="5"/>
      <c r="AC784" s="5"/>
      <c r="AD784" s="5"/>
      <c r="AE784" s="5"/>
      <c r="AF784" s="5"/>
      <c r="AG784" s="10">
        <f ca="1">IFERROR(__xludf.DUMMYFUNCTION("""COMPUTED_VALUE"""),46183.6593055555)</f>
        <v>46183.659305555499</v>
      </c>
      <c r="AH784" s="5" t="str">
        <f ca="1">IFERROR(__xludf.DUMMYFUNCTION("""COMPUTED_VALUE"""),"vanja.svetska@fazi.rs")</f>
        <v>vanja.svetska@fazi.rs</v>
      </c>
      <c r="AI784" s="5"/>
      <c r="AJ784" s="5"/>
      <c r="AK784" s="5"/>
      <c r="AL784" s="5"/>
      <c r="AM784" s="5"/>
      <c r="AN784" s="5"/>
      <c r="AO784" s="5"/>
      <c r="AP784" s="5"/>
      <c r="AQ784" s="5"/>
      <c r="AR784" s="5"/>
      <c r="AS784" s="5"/>
      <c r="AT784" s="5"/>
      <c r="AU784" s="5" t="str">
        <f ca="1">IFERROR(__xludf.DUMMYFUNCTION("""COMPUTED_VALUE"""),"SOKO studio")</f>
        <v>SOKO studio</v>
      </c>
      <c r="AV784" s="5"/>
      <c r="AW784" s="5"/>
      <c r="AX784" s="15">
        <f ca="1">IFERROR(__xludf.DUMMYFUNCTION("""COMPUTED_VALUE"""),46273)</f>
        <v>46273</v>
      </c>
      <c r="AY784" s="5"/>
      <c r="AZ784" s="5"/>
      <c r="BA784" s="5"/>
      <c r="BB784" s="5"/>
      <c r="BC784" s="5" t="str">
        <f ca="1">IFERROR(__xludf.DUMMYFUNCTION("""COMPUTED_VALUE"""),"SOKO studio")</f>
        <v>SOKO studio</v>
      </c>
      <c r="BD784" s="5"/>
      <c r="BE784" s="5"/>
    </row>
    <row r="785" spans="1:57" x14ac:dyDescent="0.25">
      <c r="A785" s="5">
        <f ca="1">IFERROR(__xludf.DUMMYFUNCTION("""COMPUTED_VALUE"""),822)</f>
        <v>822</v>
      </c>
      <c r="B785" s="5">
        <f ca="1">IFERROR(__xludf.DUMMYFUNCTION("""COMPUTED_VALUE"""),-1)</f>
        <v>-1</v>
      </c>
      <c r="C785" s="5" t="str">
        <f ca="1">IFERROR(__xludf.DUMMYFUNCTION("""COMPUTED_VALUE"""),"SOKO studio")</f>
        <v>SOKO studio</v>
      </c>
      <c r="D785" s="5" t="str">
        <f ca="1">IFERROR(__xludf.DUMMYFUNCTION("""COMPUTED_VALUE"""),"Laurels of Olympus")</f>
        <v>Laurels of Olympus</v>
      </c>
      <c r="E785" s="5" t="str">
        <f ca="1">IFERROR(__xludf.DUMMYFUNCTION("""COMPUTED_VALUE"""),"SOKO studio")</f>
        <v>SOKO studio</v>
      </c>
      <c r="F785" s="5" t="str">
        <f ca="1">IFERROR(__xludf.DUMMYFUNCTION("""COMPUTED_VALUE"""),"TBD")</f>
        <v>TBD</v>
      </c>
      <c r="G785" s="5" t="str">
        <f ca="1">IFERROR(__xludf.DUMMYFUNCTION("""COMPUTED_VALUE"""),"Planned")</f>
        <v>Planned</v>
      </c>
      <c r="H785" s="5"/>
      <c r="I785" s="5"/>
      <c r="J785" s="5" t="str">
        <f ca="1">IFERROR(__xludf.DUMMYFUNCTION("""COMPUTED_VALUE"""),"JSON")</f>
        <v>JSON</v>
      </c>
      <c r="K785" s="5" t="str">
        <f ca="1">IFERROR(__xludf.DUMMYFUNCTION("""COMPUTED_VALUE"""),"Slot")</f>
        <v>Slot</v>
      </c>
      <c r="L785" s="5"/>
      <c r="M785" s="5"/>
      <c r="N785" s="5"/>
      <c r="O785" s="5"/>
      <c r="P785" s="5"/>
      <c r="Q785" s="15">
        <f ca="1">IFERROR(__xludf.DUMMYFUNCTION("""COMPUTED_VALUE"""),46279)</f>
        <v>46279</v>
      </c>
      <c r="R785" s="5"/>
      <c r="S785" s="15">
        <f ca="1">IFERROR(__xludf.DUMMYFUNCTION("""COMPUTED_VALUE"""),46288)</f>
        <v>46288</v>
      </c>
      <c r="T785" s="5" t="b">
        <f ca="1">IFERROR(__xludf.DUMMYFUNCTION("""COMPUTED_VALUE"""),TRUE)</f>
        <v>1</v>
      </c>
      <c r="U785" s="5"/>
      <c r="V785" s="5"/>
      <c r="W785" s="5"/>
      <c r="X785" s="5"/>
      <c r="Y785" s="5"/>
      <c r="Z785" s="5"/>
      <c r="AA785" s="5"/>
      <c r="AB785" s="5"/>
      <c r="AC785" s="5"/>
      <c r="AD785" s="5"/>
      <c r="AE785" s="5"/>
      <c r="AF785" s="5"/>
      <c r="AG785" s="10">
        <f ca="1">IFERROR(__xludf.DUMMYFUNCTION("""COMPUTED_VALUE"""),46183.6659837962)</f>
        <v>46183.6659837962</v>
      </c>
      <c r="AH785" s="5" t="str">
        <f ca="1">IFERROR(__xludf.DUMMYFUNCTION("""COMPUTED_VALUE"""),"vanja.svetska@fazi.rs")</f>
        <v>vanja.svetska@fazi.rs</v>
      </c>
      <c r="AI785" s="5"/>
      <c r="AJ785" s="5"/>
      <c r="AK785" s="5"/>
      <c r="AL785" s="5"/>
      <c r="AM785" s="5"/>
      <c r="AN785" s="5"/>
      <c r="AO785" s="5"/>
      <c r="AP785" s="5"/>
      <c r="AQ785" s="5"/>
      <c r="AR785" s="5"/>
      <c r="AS785" s="5"/>
      <c r="AT785" s="5"/>
      <c r="AU785" s="5" t="str">
        <f ca="1">IFERROR(__xludf.DUMMYFUNCTION("""COMPUTED_VALUE"""),"SOKO studio")</f>
        <v>SOKO studio</v>
      </c>
      <c r="AV785" s="5"/>
      <c r="AW785" s="5"/>
      <c r="AX785" s="15">
        <f ca="1">IFERROR(__xludf.DUMMYFUNCTION("""COMPUTED_VALUE"""),46273)</f>
        <v>46273</v>
      </c>
      <c r="AY785" s="5"/>
      <c r="AZ785" s="5"/>
      <c r="BA785" s="5"/>
      <c r="BB785" s="5"/>
      <c r="BC785" s="5" t="str">
        <f ca="1">IFERROR(__xludf.DUMMYFUNCTION("""COMPUTED_VALUE"""),"SOKO studio")</f>
        <v>SOKO studio</v>
      </c>
      <c r="BD785" s="5"/>
      <c r="BE785" s="5"/>
    </row>
    <row r="786" spans="1:57" x14ac:dyDescent="0.25">
      <c r="A786" s="5">
        <f ca="1">IFERROR(__xludf.DUMMYFUNCTION("""COMPUTED_VALUE"""),823)</f>
        <v>823</v>
      </c>
      <c r="B786" s="5">
        <f ca="1">IFERROR(__xludf.DUMMYFUNCTION("""COMPUTED_VALUE"""),-1)</f>
        <v>-1</v>
      </c>
      <c r="C786" s="5" t="str">
        <f ca="1">IFERROR(__xludf.DUMMYFUNCTION("""COMPUTED_VALUE"""),"Redstone")</f>
        <v>Redstone</v>
      </c>
      <c r="D786" s="5" t="str">
        <f ca="1">IFERROR(__xludf.DUMMYFUNCTION("""COMPUTED_VALUE"""),"Cash Bell Ringers")</f>
        <v>Cash Bell Ringers</v>
      </c>
      <c r="E786" s="5" t="str">
        <f ca="1">IFERROR(__xludf.DUMMYFUNCTION("""COMPUTED_VALUE"""),"Redstone")</f>
        <v>Redstone</v>
      </c>
      <c r="F786" s="5" t="str">
        <f ca="1">IFERROR(__xludf.DUMMYFUNCTION("""COMPUTED_VALUE"""),"TBD")</f>
        <v>TBD</v>
      </c>
      <c r="G786" s="5" t="str">
        <f ca="1">IFERROR(__xludf.DUMMYFUNCTION("""COMPUTED_VALUE"""),"Planned")</f>
        <v>Planned</v>
      </c>
      <c r="H786" s="5"/>
      <c r="I786" s="5"/>
      <c r="J786" s="5" t="str">
        <f ca="1">IFERROR(__xludf.DUMMYFUNCTION("""COMPUTED_VALUE"""),"JSON")</f>
        <v>JSON</v>
      </c>
      <c r="K786" s="5" t="str">
        <f ca="1">IFERROR(__xludf.DUMMYFUNCTION("""COMPUTED_VALUE"""),"Slot")</f>
        <v>Slot</v>
      </c>
      <c r="L786" s="5"/>
      <c r="M786" s="5"/>
      <c r="N786" s="5"/>
      <c r="O786" s="5"/>
      <c r="P786" s="5"/>
      <c r="Q786" s="5"/>
      <c r="R786" s="5"/>
      <c r="S786" s="5"/>
      <c r="T786" s="5"/>
      <c r="U786" s="5"/>
      <c r="V786" s="5"/>
      <c r="W786" s="5"/>
      <c r="X786" s="5"/>
      <c r="Y786" s="5"/>
      <c r="Z786" s="5"/>
      <c r="AA786" s="5"/>
      <c r="AB786" s="5"/>
      <c r="AC786" s="5"/>
      <c r="AD786" s="5"/>
      <c r="AE786" s="5"/>
      <c r="AF786" s="5"/>
      <c r="AG786" s="10">
        <f ca="1">IFERROR(__xludf.DUMMYFUNCTION("""COMPUTED_VALUE"""),46184.5531597222)</f>
        <v>46184.5531597222</v>
      </c>
      <c r="AH786" s="5" t="str">
        <f ca="1">IFERROR(__xludf.DUMMYFUNCTION("""COMPUTED_VALUE"""),"selena.mihajlovic@fazi.rs")</f>
        <v>selena.mihajlovic@fazi.rs</v>
      </c>
      <c r="AI786" s="5"/>
      <c r="AJ786" s="5"/>
      <c r="AK786" s="5"/>
      <c r="AL786" s="5"/>
      <c r="AM786" s="5"/>
      <c r="AN786" s="5"/>
      <c r="AO786" s="5"/>
      <c r="AP786" s="5"/>
      <c r="AQ786" s="5"/>
      <c r="AR786" s="5"/>
      <c r="AS786" s="5"/>
      <c r="AT786" s="5"/>
      <c r="AU786" s="5" t="str">
        <f ca="1">IFERROR(__xludf.DUMMYFUNCTION("""COMPUTED_VALUE"""),"Redstone")</f>
        <v>Redstone</v>
      </c>
      <c r="AV786" s="5"/>
      <c r="AW786" s="5"/>
      <c r="AX786" s="5"/>
      <c r="AY786" s="5"/>
      <c r="AZ786" s="5"/>
      <c r="BA786" s="5"/>
      <c r="BB786" s="5"/>
      <c r="BC786" s="5" t="str">
        <f ca="1">IFERROR(__xludf.DUMMYFUNCTION("""COMPUTED_VALUE"""),"Redstone")</f>
        <v>Redstone</v>
      </c>
      <c r="BD786" s="5"/>
      <c r="BE786" s="5"/>
    </row>
    <row r="787" spans="1:57" x14ac:dyDescent="0.25">
      <c r="A787" s="5">
        <f ca="1">IFERROR(__xludf.DUMMYFUNCTION("""COMPUTED_VALUE"""),825)</f>
        <v>825</v>
      </c>
      <c r="B787" s="5">
        <f ca="1">IFERROR(__xludf.DUMMYFUNCTION("""COMPUTED_VALUE"""),-1)</f>
        <v>-1</v>
      </c>
      <c r="C787" s="5" t="str">
        <f ca="1">IFERROR(__xludf.DUMMYFUNCTION("""COMPUTED_VALUE"""),"Redstone")</f>
        <v>Redstone</v>
      </c>
      <c r="D787" s="5" t="str">
        <f ca="1">IFERROR(__xludf.DUMMYFUNCTION("""COMPUTED_VALUE"""),"Gold Eruption")</f>
        <v>Gold Eruption</v>
      </c>
      <c r="E787" s="5" t="str">
        <f ca="1">IFERROR(__xludf.DUMMYFUNCTION("""COMPUTED_VALUE"""),"Redstone")</f>
        <v>Redstone</v>
      </c>
      <c r="F787" s="5" t="str">
        <f ca="1">IFERROR(__xludf.DUMMYFUNCTION("""COMPUTED_VALUE"""),"TBD")</f>
        <v>TBD</v>
      </c>
      <c r="G787" s="5" t="str">
        <f ca="1">IFERROR(__xludf.DUMMYFUNCTION("""COMPUTED_VALUE"""),"Planned")</f>
        <v>Planned</v>
      </c>
      <c r="H787" s="5"/>
      <c r="I787" s="5"/>
      <c r="J787" s="5" t="str">
        <f ca="1">IFERROR(__xludf.DUMMYFUNCTION("""COMPUTED_VALUE"""),"JSON")</f>
        <v>JSON</v>
      </c>
      <c r="K787" s="5" t="str">
        <f ca="1">IFERROR(__xludf.DUMMYFUNCTION("""COMPUTED_VALUE"""),"Slot")</f>
        <v>Slot</v>
      </c>
      <c r="L787" s="5"/>
      <c r="M787" s="5"/>
      <c r="N787" s="5"/>
      <c r="O787" s="5"/>
      <c r="P787" s="5"/>
      <c r="Q787" s="15">
        <f ca="1">IFERROR(__xludf.DUMMYFUNCTION("""COMPUTED_VALUE"""),46237)</f>
        <v>46237</v>
      </c>
      <c r="R787" s="5"/>
      <c r="S787" s="5"/>
      <c r="T787" s="5"/>
      <c r="U787" s="5"/>
      <c r="V787" s="5"/>
      <c r="W787" s="5"/>
      <c r="X787" s="5"/>
      <c r="Y787" s="5"/>
      <c r="Z787" s="5"/>
      <c r="AA787" s="5"/>
      <c r="AB787" s="5"/>
      <c r="AC787" s="5"/>
      <c r="AD787" s="5"/>
      <c r="AE787" s="5"/>
      <c r="AF787" s="5"/>
      <c r="AG787" s="10">
        <f ca="1">IFERROR(__xludf.DUMMYFUNCTION("""COMPUTED_VALUE"""),46175.5156134259)</f>
        <v>46175.515613425901</v>
      </c>
      <c r="AH787" s="5" t="str">
        <f ca="1">IFERROR(__xludf.DUMMYFUNCTION("""COMPUTED_VALUE"""),"vanja.svetska@fazi.rs")</f>
        <v>vanja.svetska@fazi.rs</v>
      </c>
      <c r="AI787" s="5"/>
      <c r="AJ787" s="5"/>
      <c r="AK787" s="5"/>
      <c r="AL787" s="5"/>
      <c r="AM787" s="5"/>
      <c r="AN787" s="5"/>
      <c r="AO787" s="5"/>
      <c r="AP787" s="5"/>
      <c r="AQ787" s="5"/>
      <c r="AR787" s="5"/>
      <c r="AS787" s="5"/>
      <c r="AT787" s="5"/>
      <c r="AU787" s="5" t="str">
        <f ca="1">IFERROR(__xludf.DUMMYFUNCTION("""COMPUTED_VALUE"""),"Redstone")</f>
        <v>Redstone</v>
      </c>
      <c r="AV787" s="5"/>
      <c r="AW787" s="5"/>
      <c r="AX787" s="15">
        <f ca="1">IFERROR(__xludf.DUMMYFUNCTION("""COMPUTED_VALUE"""),46231)</f>
        <v>46231</v>
      </c>
      <c r="AY787" s="5"/>
      <c r="AZ787" s="5"/>
      <c r="BA787" s="5"/>
      <c r="BB787" s="5"/>
      <c r="BC787" s="5" t="str">
        <f ca="1">IFERROR(__xludf.DUMMYFUNCTION("""COMPUTED_VALUE"""),"Redstone")</f>
        <v>Redstone</v>
      </c>
      <c r="BD787" s="5"/>
      <c r="BE787" s="5"/>
    </row>
    <row r="788" spans="1:57" x14ac:dyDescent="0.25">
      <c r="A788" s="5">
        <f ca="1">IFERROR(__xludf.DUMMYFUNCTION("""COMPUTED_VALUE"""),826)</f>
        <v>826</v>
      </c>
      <c r="B788" s="5">
        <f ca="1">IFERROR(__xludf.DUMMYFUNCTION("""COMPUTED_VALUE"""),-1)</f>
        <v>-1</v>
      </c>
      <c r="C788" s="5" t="str">
        <f ca="1">IFERROR(__xludf.DUMMYFUNCTION("""COMPUTED_VALUE"""),"Redstone")</f>
        <v>Redstone</v>
      </c>
      <c r="D788" s="5" t="str">
        <f ca="1">IFERROR(__xludf.DUMMYFUNCTION("""COMPUTED_VALUE"""),"3 Chilli Pots")</f>
        <v>3 Chilli Pots</v>
      </c>
      <c r="E788" s="5" t="str">
        <f ca="1">IFERROR(__xludf.DUMMYFUNCTION("""COMPUTED_VALUE"""),"Redstone")</f>
        <v>Redstone</v>
      </c>
      <c r="F788" s="5" t="str">
        <f ca="1">IFERROR(__xludf.DUMMYFUNCTION("""COMPUTED_VALUE"""),"TBD")</f>
        <v>TBD</v>
      </c>
      <c r="G788" s="5" t="str">
        <f ca="1">IFERROR(__xludf.DUMMYFUNCTION("""COMPUTED_VALUE"""),"Planned")</f>
        <v>Planned</v>
      </c>
      <c r="H788" s="5"/>
      <c r="I788" s="5"/>
      <c r="J788" s="5" t="str">
        <f ca="1">IFERROR(__xludf.DUMMYFUNCTION("""COMPUTED_VALUE"""),"JSON")</f>
        <v>JSON</v>
      </c>
      <c r="K788" s="5" t="str">
        <f ca="1">IFERROR(__xludf.DUMMYFUNCTION("""COMPUTED_VALUE"""),"Slot")</f>
        <v>Slot</v>
      </c>
      <c r="L788" s="5"/>
      <c r="M788" s="5"/>
      <c r="N788" s="5"/>
      <c r="O788" s="5"/>
      <c r="P788" s="5"/>
      <c r="Q788" s="5"/>
      <c r="R788" s="5"/>
      <c r="S788" s="5"/>
      <c r="T788" s="5"/>
      <c r="U788" s="5"/>
      <c r="V788" s="5"/>
      <c r="W788" s="5"/>
      <c r="X788" s="5"/>
      <c r="Y788" s="5"/>
      <c r="Z788" s="5"/>
      <c r="AA788" s="5"/>
      <c r="AB788" s="5"/>
      <c r="AC788" s="5"/>
      <c r="AD788" s="5"/>
      <c r="AE788" s="5"/>
      <c r="AF788" s="5"/>
      <c r="AG788" s="10">
        <f ca="1">IFERROR(__xludf.DUMMYFUNCTION("""COMPUTED_VALUE"""),46181.5789699074)</f>
        <v>46181.578969907401</v>
      </c>
      <c r="AH788" s="5" t="str">
        <f ca="1">IFERROR(__xludf.DUMMYFUNCTION("""COMPUTED_VALUE"""),"danica.stojanovic@fazi.rs")</f>
        <v>danica.stojanovic@fazi.rs</v>
      </c>
      <c r="AI788" s="5"/>
      <c r="AJ788" s="5"/>
      <c r="AK788" s="5"/>
      <c r="AL788" s="5"/>
      <c r="AM788" s="5"/>
      <c r="AN788" s="5"/>
      <c r="AO788" s="5"/>
      <c r="AP788" s="5"/>
      <c r="AQ788" s="5"/>
      <c r="AR788" s="5"/>
      <c r="AS788" s="5"/>
      <c r="AT788" s="5"/>
      <c r="AU788" s="5" t="str">
        <f ca="1">IFERROR(__xludf.DUMMYFUNCTION("""COMPUTED_VALUE"""),"Redstone")</f>
        <v>Redstone</v>
      </c>
      <c r="AV788" s="5"/>
      <c r="AW788" s="5"/>
      <c r="AX788" s="5"/>
      <c r="AY788" s="5"/>
      <c r="AZ788" s="5"/>
      <c r="BA788" s="5"/>
      <c r="BB788" s="5"/>
      <c r="BC788" s="5" t="str">
        <f ca="1">IFERROR(__xludf.DUMMYFUNCTION("""COMPUTED_VALUE"""),"Redstone")</f>
        <v>Redstone</v>
      </c>
      <c r="BD788" s="5"/>
      <c r="BE788" s="5"/>
    </row>
    <row r="789" spans="1:57" x14ac:dyDescent="0.25">
      <c r="A789" s="5">
        <f ca="1">IFERROR(__xludf.DUMMYFUNCTION("""COMPUTED_VALUE"""),827)</f>
        <v>827</v>
      </c>
      <c r="B789" s="5">
        <f ca="1">IFERROR(__xludf.DUMMYFUNCTION("""COMPUTED_VALUE"""),-1)</f>
        <v>-1</v>
      </c>
      <c r="C789" s="5" t="str">
        <f ca="1">IFERROR(__xludf.DUMMYFUNCTION("""COMPUTED_VALUE"""),"Redstone")</f>
        <v>Redstone</v>
      </c>
      <c r="D789" s="5" t="str">
        <f ca="1">IFERROR(__xludf.DUMMYFUNCTION("""COMPUTED_VALUE"""),"Shell Fortune")</f>
        <v>Shell Fortune</v>
      </c>
      <c r="E789" s="5" t="str">
        <f ca="1">IFERROR(__xludf.DUMMYFUNCTION("""COMPUTED_VALUE"""),"Redstone")</f>
        <v>Redstone</v>
      </c>
      <c r="F789" s="5" t="str">
        <f ca="1">IFERROR(__xludf.DUMMYFUNCTION("""COMPUTED_VALUE"""),"TBD")</f>
        <v>TBD</v>
      </c>
      <c r="G789" s="5" t="str">
        <f ca="1">IFERROR(__xludf.DUMMYFUNCTION("""COMPUTED_VALUE"""),"Planned")</f>
        <v>Planned</v>
      </c>
      <c r="H789" s="5"/>
      <c r="I789" s="5"/>
      <c r="J789" s="5" t="str">
        <f ca="1">IFERROR(__xludf.DUMMYFUNCTION("""COMPUTED_VALUE"""),"JSON")</f>
        <v>JSON</v>
      </c>
      <c r="K789" s="5" t="str">
        <f ca="1">IFERROR(__xludf.DUMMYFUNCTION("""COMPUTED_VALUE"""),"Slot")</f>
        <v>Slot</v>
      </c>
      <c r="L789" s="5"/>
      <c r="M789" s="5"/>
      <c r="N789" s="5"/>
      <c r="O789" s="5"/>
      <c r="P789" s="5"/>
      <c r="Q789" s="5"/>
      <c r="R789" s="5"/>
      <c r="S789" s="5"/>
      <c r="T789" s="5"/>
      <c r="U789" s="5"/>
      <c r="V789" s="5"/>
      <c r="W789" s="5"/>
      <c r="X789" s="5"/>
      <c r="Y789" s="5"/>
      <c r="Z789" s="5"/>
      <c r="AA789" s="5"/>
      <c r="AB789" s="5"/>
      <c r="AC789" s="5"/>
      <c r="AD789" s="5"/>
      <c r="AE789" s="5"/>
      <c r="AF789" s="5"/>
      <c r="AG789" s="10">
        <f ca="1">IFERROR(__xludf.DUMMYFUNCTION("""COMPUTED_VALUE"""),46181.5796412037)</f>
        <v>46181.579641203702</v>
      </c>
      <c r="AH789" s="5" t="str">
        <f ca="1">IFERROR(__xludf.DUMMYFUNCTION("""COMPUTED_VALUE"""),"danica.stojanovic@fazi.rs")</f>
        <v>danica.stojanovic@fazi.rs</v>
      </c>
      <c r="AI789" s="5"/>
      <c r="AJ789" s="5"/>
      <c r="AK789" s="5"/>
      <c r="AL789" s="5"/>
      <c r="AM789" s="5"/>
      <c r="AN789" s="5"/>
      <c r="AO789" s="5"/>
      <c r="AP789" s="5"/>
      <c r="AQ789" s="5"/>
      <c r="AR789" s="5"/>
      <c r="AS789" s="5"/>
      <c r="AT789" s="5"/>
      <c r="AU789" s="5" t="str">
        <f ca="1">IFERROR(__xludf.DUMMYFUNCTION("""COMPUTED_VALUE"""),"Redstone")</f>
        <v>Redstone</v>
      </c>
      <c r="AV789" s="5"/>
      <c r="AW789" s="5"/>
      <c r="AX789" s="5"/>
      <c r="AY789" s="5"/>
      <c r="AZ789" s="5"/>
      <c r="BA789" s="5"/>
      <c r="BB789" s="5"/>
      <c r="BC789" s="5" t="str">
        <f ca="1">IFERROR(__xludf.DUMMYFUNCTION("""COMPUTED_VALUE"""),"Redstone")</f>
        <v>Redstone</v>
      </c>
      <c r="BD789" s="5"/>
      <c r="BE789" s="5"/>
    </row>
    <row r="790" spans="1:57" x14ac:dyDescent="0.25">
      <c r="A790" s="5">
        <f ca="1">IFERROR(__xludf.DUMMYFUNCTION("""COMPUTED_VALUE"""),828)</f>
        <v>828</v>
      </c>
      <c r="B790" s="5">
        <f ca="1">IFERROR(__xludf.DUMMYFUNCTION("""COMPUTED_VALUE"""),-1)</f>
        <v>-1</v>
      </c>
      <c r="C790" s="5" t="str">
        <f ca="1">IFERROR(__xludf.DUMMYFUNCTION("""COMPUTED_VALUE"""),"Redstone")</f>
        <v>Redstone</v>
      </c>
      <c r="D790" s="5" t="str">
        <f ca="1">IFERROR(__xludf.DUMMYFUNCTION("""COMPUTED_VALUE"""),"20 Bass Collect")</f>
        <v>20 Bass Collect</v>
      </c>
      <c r="E790" s="5" t="str">
        <f ca="1">IFERROR(__xludf.DUMMYFUNCTION("""COMPUTED_VALUE"""),"Redstone")</f>
        <v>Redstone</v>
      </c>
      <c r="F790" s="5" t="str">
        <f ca="1">IFERROR(__xludf.DUMMYFUNCTION("""COMPUTED_VALUE"""),"TBD")</f>
        <v>TBD</v>
      </c>
      <c r="G790" s="5" t="str">
        <f ca="1">IFERROR(__xludf.DUMMYFUNCTION("""COMPUTED_VALUE"""),"Planned")</f>
        <v>Planned</v>
      </c>
      <c r="H790" s="5"/>
      <c r="I790" s="5"/>
      <c r="J790" s="5" t="str">
        <f ca="1">IFERROR(__xludf.DUMMYFUNCTION("""COMPUTED_VALUE"""),"JSON")</f>
        <v>JSON</v>
      </c>
      <c r="K790" s="5" t="str">
        <f ca="1">IFERROR(__xludf.DUMMYFUNCTION("""COMPUTED_VALUE"""),"Slot")</f>
        <v>Slot</v>
      </c>
      <c r="L790" s="5"/>
      <c r="M790" s="5"/>
      <c r="N790" s="5"/>
      <c r="O790" s="5"/>
      <c r="P790" s="5"/>
      <c r="Q790" s="5"/>
      <c r="R790" s="5"/>
      <c r="S790" s="5"/>
      <c r="T790" s="5"/>
      <c r="U790" s="5"/>
      <c r="V790" s="5"/>
      <c r="W790" s="5"/>
      <c r="X790" s="5"/>
      <c r="Y790" s="5"/>
      <c r="Z790" s="5"/>
      <c r="AA790" s="5"/>
      <c r="AB790" s="5"/>
      <c r="AC790" s="5"/>
      <c r="AD790" s="5"/>
      <c r="AE790" s="5"/>
      <c r="AF790" s="5"/>
      <c r="AG790" s="10">
        <f ca="1">IFERROR(__xludf.DUMMYFUNCTION("""COMPUTED_VALUE"""),46181.5825694444)</f>
        <v>46181.582569444399</v>
      </c>
      <c r="AH790" s="5" t="str">
        <f ca="1">IFERROR(__xludf.DUMMYFUNCTION("""COMPUTED_VALUE"""),"danica.stojanovic@fazi.rs")</f>
        <v>danica.stojanovic@fazi.rs</v>
      </c>
      <c r="AI790" s="5"/>
      <c r="AJ790" s="5"/>
      <c r="AK790" s="5"/>
      <c r="AL790" s="5"/>
      <c r="AM790" s="5"/>
      <c r="AN790" s="5"/>
      <c r="AO790" s="5"/>
      <c r="AP790" s="5"/>
      <c r="AQ790" s="5"/>
      <c r="AR790" s="5"/>
      <c r="AS790" s="5"/>
      <c r="AT790" s="5"/>
      <c r="AU790" s="5" t="str">
        <f ca="1">IFERROR(__xludf.DUMMYFUNCTION("""COMPUTED_VALUE"""),"Redstone")</f>
        <v>Redstone</v>
      </c>
      <c r="AV790" s="5"/>
      <c r="AW790" s="5"/>
      <c r="AX790" s="5"/>
      <c r="AY790" s="5"/>
      <c r="AZ790" s="5"/>
      <c r="BA790" s="5"/>
      <c r="BB790" s="5"/>
      <c r="BC790" s="5" t="str">
        <f ca="1">IFERROR(__xludf.DUMMYFUNCTION("""COMPUTED_VALUE"""),"Redstone")</f>
        <v>Redstone</v>
      </c>
      <c r="BD790" s="5"/>
      <c r="BE790" s="5"/>
    </row>
    <row r="791" spans="1:57" x14ac:dyDescent="0.25">
      <c r="A791" s="5">
        <f ca="1">IFERROR(__xludf.DUMMYFUNCTION("""COMPUTED_VALUE"""),829)</f>
        <v>829</v>
      </c>
      <c r="B791" s="5">
        <f ca="1">IFERROR(__xludf.DUMMYFUNCTION("""COMPUTED_VALUE"""),-1)</f>
        <v>-1</v>
      </c>
      <c r="C791" s="5" t="str">
        <f ca="1">IFERROR(__xludf.DUMMYFUNCTION("""COMPUTED_VALUE"""),"Redstone")</f>
        <v>Redstone</v>
      </c>
      <c r="D791" s="5" t="str">
        <f ca="1">IFERROR(__xludf.DUMMYFUNCTION("""COMPUTED_VALUE"""),"3 Energy Clovers")</f>
        <v>3 Energy Clovers</v>
      </c>
      <c r="E791" s="5" t="str">
        <f ca="1">IFERROR(__xludf.DUMMYFUNCTION("""COMPUTED_VALUE"""),"Redstone")</f>
        <v>Redstone</v>
      </c>
      <c r="F791" s="5" t="str">
        <f ca="1">IFERROR(__xludf.DUMMYFUNCTION("""COMPUTED_VALUE"""),"TBD")</f>
        <v>TBD</v>
      </c>
      <c r="G791" s="5" t="str">
        <f ca="1">IFERROR(__xludf.DUMMYFUNCTION("""COMPUTED_VALUE"""),"Planned")</f>
        <v>Planned</v>
      </c>
      <c r="H791" s="5"/>
      <c r="I791" s="5"/>
      <c r="J791" s="5" t="str">
        <f ca="1">IFERROR(__xludf.DUMMYFUNCTION("""COMPUTED_VALUE"""),"JSON")</f>
        <v>JSON</v>
      </c>
      <c r="K791" s="5" t="str">
        <f ca="1">IFERROR(__xludf.DUMMYFUNCTION("""COMPUTED_VALUE"""),"Slot")</f>
        <v>Slot</v>
      </c>
      <c r="L791" s="5"/>
      <c r="M791" s="5"/>
      <c r="N791" s="5"/>
      <c r="O791" s="5"/>
      <c r="P791" s="5"/>
      <c r="Q791" s="5"/>
      <c r="R791" s="5"/>
      <c r="S791" s="5"/>
      <c r="T791" s="5"/>
      <c r="U791" s="5"/>
      <c r="V791" s="5"/>
      <c r="W791" s="5"/>
      <c r="X791" s="5"/>
      <c r="Y791" s="5"/>
      <c r="Z791" s="5"/>
      <c r="AA791" s="5"/>
      <c r="AB791" s="5"/>
      <c r="AC791" s="5"/>
      <c r="AD791" s="5"/>
      <c r="AE791" s="5"/>
      <c r="AF791" s="5"/>
      <c r="AG791" s="10">
        <f ca="1">IFERROR(__xludf.DUMMYFUNCTION("""COMPUTED_VALUE"""),46181.5894444444)</f>
        <v>46181.589444444398</v>
      </c>
      <c r="AH791" s="5" t="str">
        <f ca="1">IFERROR(__xludf.DUMMYFUNCTION("""COMPUTED_VALUE"""),"danica.stojanovic@fazi.rs")</f>
        <v>danica.stojanovic@fazi.rs</v>
      </c>
      <c r="AI791" s="5"/>
      <c r="AJ791" s="5"/>
      <c r="AK791" s="5"/>
      <c r="AL791" s="5"/>
      <c r="AM791" s="5"/>
      <c r="AN791" s="5"/>
      <c r="AO791" s="5"/>
      <c r="AP791" s="5"/>
      <c r="AQ791" s="5"/>
      <c r="AR791" s="5"/>
      <c r="AS791" s="5"/>
      <c r="AT791" s="5"/>
      <c r="AU791" s="5" t="str">
        <f ca="1">IFERROR(__xludf.DUMMYFUNCTION("""COMPUTED_VALUE"""),"Redstone")</f>
        <v>Redstone</v>
      </c>
      <c r="AV791" s="5"/>
      <c r="AW791" s="5"/>
      <c r="AX791" s="5"/>
      <c r="AY791" s="5"/>
      <c r="AZ791" s="5"/>
      <c r="BA791" s="5"/>
      <c r="BB791" s="5"/>
      <c r="BC791" s="5" t="str">
        <f ca="1">IFERROR(__xludf.DUMMYFUNCTION("""COMPUTED_VALUE"""),"Redstone")</f>
        <v>Redstone</v>
      </c>
      <c r="BD791" s="5"/>
      <c r="BE791" s="5"/>
    </row>
    <row r="792" spans="1:57" x14ac:dyDescent="0.25">
      <c r="A792" s="5">
        <f ca="1">IFERROR(__xludf.DUMMYFUNCTION("""COMPUTED_VALUE"""),830)</f>
        <v>830</v>
      </c>
      <c r="B792" s="5">
        <f ca="1">IFERROR(__xludf.DUMMYFUNCTION("""COMPUTED_VALUE"""),2025)</f>
        <v>2025</v>
      </c>
      <c r="C792" s="5" t="str">
        <f ca="1">IFERROR(__xludf.DUMMYFUNCTION("""COMPUTED_VALUE"""),"Fazi")</f>
        <v>Fazi</v>
      </c>
      <c r="D792" s="5" t="str">
        <f ca="1">IFERROR(__xludf.DUMMYFUNCTION("""COMPUTED_VALUE"""),"Wu Kong 5 ")</f>
        <v xml:space="preserve">Wu Kong 5 </v>
      </c>
      <c r="E792" s="5" t="str">
        <f ca="1">IFERROR(__xludf.DUMMYFUNCTION("""COMPUTED_VALUE"""),"V4-2")</f>
        <v>V4-2</v>
      </c>
      <c r="F792" s="5" t="str">
        <f ca="1">IFERROR(__xludf.DUMMYFUNCTION("""COMPUTED_VALUE"""),"WuKong5")</f>
        <v>WuKong5</v>
      </c>
      <c r="G792" s="5" t="str">
        <f ca="1">IFERROR(__xludf.DUMMYFUNCTION("""COMPUTED_VALUE"""),"In Development")</f>
        <v>In Development</v>
      </c>
      <c r="H792" s="5"/>
      <c r="I792" s="5" t="str">
        <f ca="1">IFERROR(__xludf.DUMMYFUNCTION("""COMPUTED_VALUE"""),"V4")</f>
        <v>V4</v>
      </c>
      <c r="J792" s="5" t="str">
        <f ca="1">IFERROR(__xludf.DUMMYFUNCTION("""COMPUTED_VALUE"""),"JSON")</f>
        <v>JSON</v>
      </c>
      <c r="K792" s="5" t="str">
        <f ca="1">IFERROR(__xludf.DUMMYFUNCTION("""COMPUTED_VALUE"""),"Slot")</f>
        <v>Slot</v>
      </c>
      <c r="L792" s="5" t="str">
        <f ca="1">IFERROR(__xludf.DUMMYFUNCTION("""COMPUTED_VALUE""")," Reskin")</f>
        <v xml:space="preserve"> Reskin</v>
      </c>
      <c r="M792" s="5" t="str">
        <f ca="1">IFERROR(__xludf.DUMMYFUNCTION("""COMPUTED_VALUE"""),"Wild 5")</f>
        <v>Wild 5</v>
      </c>
      <c r="N792" s="5"/>
      <c r="O792" s="5"/>
      <c r="P792" s="5">
        <f ca="1">IFERROR(__xludf.DUMMYFUNCTION("""COMPUTED_VALUE"""),-1)</f>
        <v>-1</v>
      </c>
      <c r="Q792" s="15">
        <f ca="1">IFERROR(__xludf.DUMMYFUNCTION("""COMPUTED_VALUE"""),46251)</f>
        <v>46251</v>
      </c>
      <c r="R792" s="5"/>
      <c r="S792" s="5"/>
      <c r="T792" s="5"/>
      <c r="U792" s="5" t="str">
        <f ca="1">IFERROR(__xludf.DUMMYFUNCTION("""COMPUTED_VALUE"""),"3x3")</f>
        <v>3x3</v>
      </c>
      <c r="V792" s="5">
        <f ca="1">IFERROR(__xludf.DUMMYFUNCTION("""COMPUTED_VALUE"""),5)</f>
        <v>5</v>
      </c>
      <c r="W792" s="5">
        <f ca="1">IFERROR(__xludf.DUMMYFUNCTION("""COMPUTED_VALUE"""),5)</f>
        <v>5</v>
      </c>
      <c r="X792" s="5">
        <f ca="1">IFERROR(__xludf.DUMMYFUNCTION("""COMPUTED_VALUE"""),96.327)</f>
        <v>96.326999999999998</v>
      </c>
      <c r="Y792" s="5" t="str">
        <f ca="1">IFERROR(__xludf.DUMMYFUNCTION("""COMPUTED_VALUE"""),"High")</f>
        <v>High</v>
      </c>
      <c r="Z792" s="5">
        <f ca="1">IFERROR(__xludf.DUMMYFUNCTION("""COMPUTED_VALUE"""),5.553)</f>
        <v>5.5529999999999999</v>
      </c>
      <c r="AA792" s="5">
        <f ca="1">IFERROR(__xludf.DUMMYFUNCTION("""COMPUTED_VALUE"""),100)</f>
        <v>100</v>
      </c>
      <c r="AB792" s="5"/>
      <c r="AC792" s="5" t="str">
        <f ca="1">IFERROR(__xludf.DUMMYFUNCTION("""COMPUTED_VALUE"""),"Win Multiplier")</f>
        <v>Win Multiplier</v>
      </c>
      <c r="AD792" s="5" t="str">
        <f ca="1">IFERROR(__xludf.DUMMYFUNCTION("""COMPUTED_VALUE"""),"0.1/50")</f>
        <v>0.1/50</v>
      </c>
      <c r="AE792" s="5"/>
      <c r="AF792" s="5"/>
      <c r="AG792" s="10">
        <f ca="1">IFERROR(__xludf.DUMMYFUNCTION("""COMPUTED_VALUE"""),46169.428599537)</f>
        <v>46169.428599537001</v>
      </c>
      <c r="AH792" s="5" t="str">
        <f ca="1">IFERROR(__xludf.DUMMYFUNCTION("""COMPUTED_VALUE"""),"aleksandar.trajkovic@fazi.rs")</f>
        <v>aleksandar.trajkovic@fazi.rs</v>
      </c>
      <c r="AI792" s="5"/>
      <c r="AJ792" s="5"/>
      <c r="AK792" s="5">
        <f ca="1">IFERROR(__xludf.DUMMYFUNCTION("""COMPUTED_VALUE"""),1)</f>
        <v>1</v>
      </c>
      <c r="AL792" s="5" t="str">
        <f ca="1">IFERROR(__xludf.DUMMYFUNCTION("""COMPUTED_VALUE"""),"No")</f>
        <v>No</v>
      </c>
      <c r="AM792" s="5" t="str">
        <f ca="1">IFERROR(__xludf.DUMMYFUNCTION("""COMPUTED_VALUE"""),"No")</f>
        <v>No</v>
      </c>
      <c r="AN792" s="5">
        <f ca="1">IFERROR(__xludf.DUMMYFUNCTION("""COMPUTED_VALUE"""),-1)</f>
        <v>-1</v>
      </c>
      <c r="AO792" s="5" t="str">
        <f ca="1">IFERROR(__xludf.DUMMYFUNCTION("""COMPUTED_VALUE"""),"Yes")</f>
        <v>Yes</v>
      </c>
      <c r="AP792" s="5" t="str">
        <f ca="1">IFERROR(__xludf.DUMMYFUNCTION("""COMPUTED_VALUE"""),"Yes")</f>
        <v>Yes</v>
      </c>
      <c r="AQ792" s="5"/>
      <c r="AR792" s="5"/>
      <c r="AS792" s="5">
        <f ca="1">IFERROR(__xludf.DUMMYFUNCTION("""COMPUTED_VALUE"""),-1)</f>
        <v>-1</v>
      </c>
      <c r="AT792" s="5"/>
      <c r="AU792" s="5" t="str">
        <f ca="1">IFERROR(__xludf.DUMMYFUNCTION("""COMPUTED_VALUE"""),"Fazi")</f>
        <v>Fazi</v>
      </c>
      <c r="AV792" s="5">
        <f ca="1">IFERROR(__xludf.DUMMYFUNCTION("""COMPUTED_VALUE"""),1)</f>
        <v>1</v>
      </c>
      <c r="AW792" s="5"/>
      <c r="AX792" s="15">
        <f ca="1">IFERROR(__xludf.DUMMYFUNCTION("""COMPUTED_VALUE"""),46245)</f>
        <v>46245</v>
      </c>
      <c r="AY792" s="5" t="str">
        <f ca="1">IFERROR(__xludf.DUMMYFUNCTION("""COMPUTED_VALUE"""),"87.5%, 89.5%, 91.5%, 93.5%, 94.5%, 95.5%, 96.5%")</f>
        <v>87.5%, 89.5%, 91.5%, 93.5%, 94.5%, 95.5%, 96.5%</v>
      </c>
      <c r="AZ792" s="5"/>
      <c r="BA792" s="5"/>
      <c r="BB792" s="5"/>
      <c r="BC792" s="5" t="str">
        <f ca="1">IFERROR(__xludf.DUMMYFUNCTION("""COMPUTED_VALUE"""),"Foxi")</f>
        <v>Foxi</v>
      </c>
      <c r="BD792" s="5" t="str">
        <f ca="1">IFERROR(__xludf.DUMMYFUNCTION("""COMPUTED_VALUE"""),"")</f>
        <v/>
      </c>
      <c r="BE792" s="5"/>
    </row>
    <row r="793" spans="1:57" x14ac:dyDescent="0.25">
      <c r="A793" s="5">
        <f ca="1">IFERROR(__xludf.DUMMYFUNCTION("""COMPUTED_VALUE"""),831)</f>
        <v>831</v>
      </c>
      <c r="B793" s="5">
        <f ca="1">IFERROR(__xludf.DUMMYFUNCTION("""COMPUTED_VALUE"""),542)</f>
        <v>542</v>
      </c>
      <c r="C793" s="5" t="str">
        <f ca="1">IFERROR(__xludf.DUMMYFUNCTION("""COMPUTED_VALUE"""),"Playnet")</f>
        <v>Playnet</v>
      </c>
      <c r="D793" s="5" t="str">
        <f ca="1">IFERROR(__xludf.DUMMYFUNCTION("""COMPUTED_VALUE"""),"Joker's Crown x2")</f>
        <v>Joker's Crown x2</v>
      </c>
      <c r="E793" s="5" t="str">
        <f ca="1">IFERROR(__xludf.DUMMYFUNCTION("""COMPUTED_VALUE"""),"Sertifikacioni")</f>
        <v>Sertifikacioni</v>
      </c>
      <c r="F793" s="5" t="str">
        <f ca="1">IFERROR(__xludf.DUMMYFUNCTION("""COMPUTED_VALUE"""),"PlayNetJokersCrownX2")</f>
        <v>PlayNetJokersCrownX2</v>
      </c>
      <c r="G793" s="5" t="str">
        <f ca="1">IFERROR(__xludf.DUMMYFUNCTION("""COMPUTED_VALUE"""),"Live")</f>
        <v>Live</v>
      </c>
      <c r="H793" s="5"/>
      <c r="I793" s="5"/>
      <c r="J793" s="5" t="str">
        <f ca="1">IFERROR(__xludf.DUMMYFUNCTION("""COMPUTED_VALUE"""),"JSON")</f>
        <v>JSON</v>
      </c>
      <c r="K793" s="5" t="str">
        <f ca="1">IFERROR(__xludf.DUMMYFUNCTION("""COMPUTED_VALUE"""),"Slot")</f>
        <v>Slot</v>
      </c>
      <c r="L793" s="5" t="str">
        <f ca="1">IFERROR(__xludf.DUMMYFUNCTION("""COMPUTED_VALUE""")," Clone")</f>
        <v xml:space="preserve"> Clone</v>
      </c>
      <c r="M793" s="5" t="str">
        <f ca="1">IFERROR(__xludf.DUMMYFUNCTION("""COMPUTED_VALUE"""),"Very Hot 5 Extreme")</f>
        <v>Very Hot 5 Extreme</v>
      </c>
      <c r="N793" s="7" t="str">
        <f ca="1">IFERROR(__xludf.DUMMYFUNCTION("""COMPUTED_VALUE"""),"https://drive.google.com/drive/u/1/folders/1ynyT9fcb2h_07JXG8_TQpj3twv80L7TQ")</f>
        <v>https://drive.google.com/drive/u/1/folders/1ynyT9fcb2h_07JXG8_TQpj3twv80L7TQ</v>
      </c>
      <c r="O793" s="7" t="str">
        <f ca="1">IFERROR(__xludf.DUMMYFUNCTION("""COMPUTED_VALUE"""),"https://drive.google.com/drive/u/1/folders/1ynyT9fcb2h_07JXG8_TQpj3twv80L7TQ")</f>
        <v>https://drive.google.com/drive/u/1/folders/1ynyT9fcb2h_07JXG8_TQpj3twv80L7TQ</v>
      </c>
      <c r="P793" s="14">
        <f ca="1">IFERROR(__xludf.DUMMYFUNCTION("""COMPUTED_VALUE"""),15)</f>
        <v>15</v>
      </c>
      <c r="Q793" s="15">
        <f ca="1">IFERROR(__xludf.DUMMYFUNCTION("""COMPUTED_VALUE"""),46209)</f>
        <v>46209</v>
      </c>
      <c r="R793" s="15">
        <f ca="1">IFERROR(__xludf.DUMMYFUNCTION("""COMPUTED_VALUE"""),46203)</f>
        <v>46203</v>
      </c>
      <c r="S793" s="15">
        <f ca="1">IFERROR(__xludf.DUMMYFUNCTION("""COMPUTED_VALUE"""),46210)</f>
        <v>46210</v>
      </c>
      <c r="T793" s="5" t="b">
        <f ca="1">IFERROR(__xludf.DUMMYFUNCTION("""COMPUTED_VALUE"""),TRUE)</f>
        <v>1</v>
      </c>
      <c r="U793" s="5" t="str">
        <f ca="1">IFERROR(__xludf.DUMMYFUNCTION("""COMPUTED_VALUE"""),"5x3")</f>
        <v>5x3</v>
      </c>
      <c r="V793" s="5">
        <f ca="1">IFERROR(__xludf.DUMMYFUNCTION("""COMPUTED_VALUE"""),5)</f>
        <v>5</v>
      </c>
      <c r="W793" s="5">
        <f ca="1">IFERROR(__xludf.DUMMYFUNCTION("""COMPUTED_VALUE"""),5)</f>
        <v>5</v>
      </c>
      <c r="X793" s="5">
        <f ca="1">IFERROR(__xludf.DUMMYFUNCTION("""COMPUTED_VALUE"""),96.453)</f>
        <v>96.453000000000003</v>
      </c>
      <c r="Y793" s="5" t="str">
        <f ca="1">IFERROR(__xludf.DUMMYFUNCTION("""COMPUTED_VALUE"""),"Medium")</f>
        <v>Medium</v>
      </c>
      <c r="Z793" s="5">
        <f ca="1">IFERROR(__xludf.DUMMYFUNCTION("""COMPUTED_VALUE"""),14.234)</f>
        <v>14.234</v>
      </c>
      <c r="AA793" s="5">
        <f ca="1">IFERROR(__xludf.DUMMYFUNCTION("""COMPUTED_VALUE"""),2642)</f>
        <v>2642</v>
      </c>
      <c r="AB793" s="5"/>
      <c r="AC793" s="5" t="str">
        <f ca="1">IFERROR(__xludf.DUMMYFUNCTION("""COMPUTED_VALUE"""),"Scatter, Expanding Wild, Wild Multiplier")</f>
        <v>Scatter, Expanding Wild, Wild Multiplier</v>
      </c>
      <c r="AD793" s="5" t="str">
        <f ca="1">IFERROR(__xludf.DUMMYFUNCTION("""COMPUTED_VALUE"""),"0.05/30")</f>
        <v>0.05/30</v>
      </c>
      <c r="AE793" s="5"/>
      <c r="AF793" s="5"/>
      <c r="AG793" s="10">
        <f ca="1">IFERROR(__xludf.DUMMYFUNCTION("""COMPUTED_VALUE"""),46220.5096875)</f>
        <v>46220.509687500002</v>
      </c>
      <c r="AH793" s="5" t="str">
        <f ca="1">IFERROR(__xludf.DUMMYFUNCTION("""COMPUTED_VALUE"""),"selena.mihajlovic@fazi.rs")</f>
        <v>selena.mihajlovic@fazi.rs</v>
      </c>
      <c r="AI793" s="5"/>
      <c r="AJ793" s="5"/>
      <c r="AK793" s="5"/>
      <c r="AL793" s="5" t="str">
        <f ca="1">IFERROR(__xludf.DUMMYFUNCTION("""COMPUTED_VALUE"""),"No")</f>
        <v>No</v>
      </c>
      <c r="AM793" s="5" t="str">
        <f ca="1">IFERROR(__xludf.DUMMYFUNCTION("""COMPUTED_VALUE"""),"No")</f>
        <v>No</v>
      </c>
      <c r="AN793" s="7" t="str">
        <f ca="1">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AO793" s="5" t="str">
        <f ca="1">IFERROR(__xludf.DUMMYFUNCTION("""COMPUTED_VALUE"""),"No")</f>
        <v>No</v>
      </c>
      <c r="AP793" s="5" t="str">
        <f ca="1">IFERROR(__xludf.DUMMYFUNCTION("""COMPUTED_VALUE"""),"No")</f>
        <v>No</v>
      </c>
      <c r="AQ793" s="5" t="b">
        <f ca="1">IFERROR(__xludf.DUMMYFUNCTION("""COMPUTED_VALUE"""),TRUE)</f>
        <v>1</v>
      </c>
      <c r="AR793" s="5"/>
      <c r="AS793" s="5" t="str">
        <f ca="1">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AT793" s="5"/>
      <c r="AU793" s="5" t="str">
        <f ca="1">IFERROR(__xludf.DUMMYFUNCTION("""COMPUTED_VALUE"""),"Fazi")</f>
        <v>Fazi</v>
      </c>
      <c r="AV793" s="5"/>
      <c r="AW793" s="5"/>
      <c r="AX793" s="15">
        <f ca="1">IFERROR(__xludf.DUMMYFUNCTION("""COMPUTED_VALUE"""),46203)</f>
        <v>46203</v>
      </c>
      <c r="AY793" s="5"/>
      <c r="AZ793" s="5"/>
      <c r="BA793" s="5"/>
      <c r="BB793" s="5" t="b">
        <f ca="1">IFERROR(__xludf.DUMMYFUNCTION("""COMPUTED_VALUE"""),TRUE)</f>
        <v>1</v>
      </c>
      <c r="BC793" s="5" t="str">
        <f ca="1">IFERROR(__xludf.DUMMYFUNCTION("""COMPUTED_VALUE"""),"Playnet")</f>
        <v>Playnet</v>
      </c>
      <c r="BD793" s="7" t="str">
        <f ca="1">IFERROR(__xludf.DUMMYFUNCTION("""COMPUTED_VALUE"""),"https://gameserver-store-client-area.orbionlimited.com/Home/IntegrationGameLaunch/client-area?moneyType=0&amp;gameName=PlayNetJokersCrownX2&amp;platform=desktop&amp;languageCode=eng&amp;currency=EUR")</f>
        <v>https://gameserver-store-client-area.orbionlimited.com/Home/IntegrationGameLaunch/client-area?moneyType=0&amp;gameName=PlayNetJokersCrownX2&amp;platform=desktop&amp;languageCode=eng&amp;currency=EUR</v>
      </c>
      <c r="BE793" s="5" t="b">
        <f ca="1">IFERROR(__xludf.DUMMYFUNCTION("""COMPUTED_VALUE"""),TRUE)</f>
        <v>1</v>
      </c>
    </row>
    <row r="794" spans="1:57" x14ac:dyDescent="0.25">
      <c r="A794" s="5">
        <f ca="1">IFERROR(__xludf.DUMMYFUNCTION("""COMPUTED_VALUE"""),832)</f>
        <v>832</v>
      </c>
      <c r="B794" s="5">
        <f ca="1">IFERROR(__xludf.DUMMYFUNCTION("""COMPUTED_VALUE"""),543)</f>
        <v>543</v>
      </c>
      <c r="C794" s="5" t="str">
        <f ca="1">IFERROR(__xludf.DUMMYFUNCTION("""COMPUTED_VALUE"""),"Playnet")</f>
        <v>Playnet</v>
      </c>
      <c r="D794" s="5" t="str">
        <f ca="1">IFERROR(__xludf.DUMMYFUNCTION("""COMPUTED_VALUE"""),"Roxy: Undercover")</f>
        <v>Roxy: Undercover</v>
      </c>
      <c r="E794" s="5" t="str">
        <f ca="1">IFERROR(__xludf.DUMMYFUNCTION("""COMPUTED_VALUE"""),"Sertifikacioni")</f>
        <v>Sertifikacioni</v>
      </c>
      <c r="F794" s="5" t="str">
        <f ca="1">IFERROR(__xludf.DUMMYFUNCTION("""COMPUTED_VALUE"""),"PlayNetRoxyUndercover")</f>
        <v>PlayNetRoxyUndercover</v>
      </c>
      <c r="G794" s="5" t="str">
        <f ca="1">IFERROR(__xludf.DUMMYFUNCTION("""COMPUTED_VALUE"""),"Live")</f>
        <v>Live</v>
      </c>
      <c r="H794" s="5"/>
      <c r="I794" s="5"/>
      <c r="J794" s="5" t="str">
        <f ca="1">IFERROR(__xludf.DUMMYFUNCTION("""COMPUTED_VALUE"""),"JSON")</f>
        <v>JSON</v>
      </c>
      <c r="K794" s="5" t="str">
        <f ca="1">IFERROR(__xludf.DUMMYFUNCTION("""COMPUTED_VALUE"""),"Slot")</f>
        <v>Slot</v>
      </c>
      <c r="L794" s="5" t="str">
        <f ca="1">IFERROR(__xludf.DUMMYFUNCTION("""COMPUTED_VALUE""")," Clone")</f>
        <v xml:space="preserve"> Clone</v>
      </c>
      <c r="M794" s="5" t="str">
        <f ca="1">IFERROR(__xludf.DUMMYFUNCTION("""COMPUTED_VALUE"""),"Lolla's World")</f>
        <v>Lolla's World</v>
      </c>
      <c r="N794" s="7" t="str">
        <f ca="1">IFERROR(__xludf.DUMMYFUNCTION("""COMPUTED_VALUE"""),"https://drive.google.com/drive/u/1/folders/1VUsqF4POYyLYFTpmPADn7kSJ-Mhd9zC-")</f>
        <v>https://drive.google.com/drive/u/1/folders/1VUsqF4POYyLYFTpmPADn7kSJ-Mhd9zC-</v>
      </c>
      <c r="O794" s="7" t="str">
        <f ca="1">IFERROR(__xludf.DUMMYFUNCTION("""COMPUTED_VALUE"""),"https://drive.google.com/drive/u/1/folders/1VUsqF4POYyLYFTpmPADn7kSJ-Mhd9zC-")</f>
        <v>https://drive.google.com/drive/u/1/folders/1VUsqF4POYyLYFTpmPADn7kSJ-Mhd9zC-</v>
      </c>
      <c r="P794" s="14">
        <f ca="1">IFERROR(__xludf.DUMMYFUNCTION("""COMPUTED_VALUE"""),15)</f>
        <v>15</v>
      </c>
      <c r="Q794" s="15">
        <f ca="1">IFERROR(__xludf.DUMMYFUNCTION("""COMPUTED_VALUE"""),46209)</f>
        <v>46209</v>
      </c>
      <c r="R794" s="15">
        <f ca="1">IFERROR(__xludf.DUMMYFUNCTION("""COMPUTED_VALUE"""),46209)</f>
        <v>46209</v>
      </c>
      <c r="S794" s="15">
        <f ca="1">IFERROR(__xludf.DUMMYFUNCTION("""COMPUTED_VALUE"""),46216)</f>
        <v>46216</v>
      </c>
      <c r="T794" s="5" t="b">
        <f ca="1">IFERROR(__xludf.DUMMYFUNCTION("""COMPUTED_VALUE"""),TRUE)</f>
        <v>1</v>
      </c>
      <c r="U794" s="5" t="str">
        <f ca="1">IFERROR(__xludf.DUMMYFUNCTION("""COMPUTED_VALUE"""),"5x4")</f>
        <v>5x4</v>
      </c>
      <c r="V794" s="5">
        <f ca="1">IFERROR(__xludf.DUMMYFUNCTION("""COMPUTED_VALUE"""),40)</f>
        <v>40</v>
      </c>
      <c r="W794" s="5">
        <f ca="1">IFERROR(__xludf.DUMMYFUNCTION("""COMPUTED_VALUE"""),40)</f>
        <v>40</v>
      </c>
      <c r="X794" s="5">
        <f ca="1">IFERROR(__xludf.DUMMYFUNCTION("""COMPUTED_VALUE"""),95.479)</f>
        <v>95.478999999999999</v>
      </c>
      <c r="Y794" s="5" t="str">
        <f ca="1">IFERROR(__xludf.DUMMYFUNCTION("""COMPUTED_VALUE"""),"Medium")</f>
        <v>Medium</v>
      </c>
      <c r="Z794" s="5">
        <f ca="1">IFERROR(__xludf.DUMMYFUNCTION("""COMPUTED_VALUE"""),14.804)</f>
        <v>14.804</v>
      </c>
      <c r="AA794" s="5">
        <f ca="1">IFERROR(__xludf.DUMMYFUNCTION("""COMPUTED_VALUE"""),1000)</f>
        <v>1000</v>
      </c>
      <c r="AB794" s="5"/>
      <c r="AC794" s="5" t="str">
        <f ca="1">IFERROR(__xludf.DUMMYFUNCTION("""COMPUTED_VALUE"""),"Scatter, Wild Symbol")</f>
        <v>Scatter, Wild Symbol</v>
      </c>
      <c r="AD794" s="5" t="str">
        <f ca="1">IFERROR(__xludf.DUMMYFUNCTION("""COMPUTED_VALUE"""),"0.4/60")</f>
        <v>0.4/60</v>
      </c>
      <c r="AE794" s="5"/>
      <c r="AF794" s="5"/>
      <c r="AG794" s="10">
        <f ca="1">IFERROR(__xludf.DUMMYFUNCTION("""COMPUTED_VALUE"""),46220.5098611111)</f>
        <v>46220.509861111103</v>
      </c>
      <c r="AH794" s="5" t="str">
        <f ca="1">IFERROR(__xludf.DUMMYFUNCTION("""COMPUTED_VALUE"""),"selena.mihajlovic@fazi.rs")</f>
        <v>selena.mihajlovic@fazi.rs</v>
      </c>
      <c r="AI794" s="5"/>
      <c r="AJ794" s="5"/>
      <c r="AK794" s="5"/>
      <c r="AL794" s="5" t="str">
        <f ca="1">IFERROR(__xludf.DUMMYFUNCTION("""COMPUTED_VALUE"""),"No")</f>
        <v>No</v>
      </c>
      <c r="AM794" s="5" t="str">
        <f ca="1">IFERROR(__xludf.DUMMYFUNCTION("""COMPUTED_VALUE"""),"No")</f>
        <v>No</v>
      </c>
      <c r="AN794" s="7" t="str">
        <f ca="1">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AO794" s="5" t="str">
        <f ca="1">IFERROR(__xludf.DUMMYFUNCTION("""COMPUTED_VALUE"""),"No")</f>
        <v>No</v>
      </c>
      <c r="AP794" s="5" t="str">
        <f ca="1">IFERROR(__xludf.DUMMYFUNCTION("""COMPUTED_VALUE"""),"No")</f>
        <v>No</v>
      </c>
      <c r="AQ794" s="5" t="b">
        <f ca="1">IFERROR(__xludf.DUMMYFUNCTION("""COMPUTED_VALUE"""),TRUE)</f>
        <v>1</v>
      </c>
      <c r="AR794" s="5"/>
      <c r="AS794" s="5" t="str">
        <f ca="1">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AT794" s="5"/>
      <c r="AU794" s="5" t="str">
        <f ca="1">IFERROR(__xludf.DUMMYFUNCTION("""COMPUTED_VALUE"""),"Fazi")</f>
        <v>Fazi</v>
      </c>
      <c r="AV794" s="5"/>
      <c r="AW794" s="5"/>
      <c r="AX794" s="15">
        <f ca="1">IFERROR(__xludf.DUMMYFUNCTION("""COMPUTED_VALUE"""),46203)</f>
        <v>46203</v>
      </c>
      <c r="AY794" s="5"/>
      <c r="AZ794" s="5"/>
      <c r="BA794" s="5"/>
      <c r="BB794" s="5" t="b">
        <f ca="1">IFERROR(__xludf.DUMMYFUNCTION("""COMPUTED_VALUE"""),TRUE)</f>
        <v>1</v>
      </c>
      <c r="BC794" s="5" t="str">
        <f ca="1">IFERROR(__xludf.DUMMYFUNCTION("""COMPUTED_VALUE"""),"Playnet")</f>
        <v>Playnet</v>
      </c>
      <c r="BD794" s="7" t="str">
        <f ca="1">IFERROR(__xludf.DUMMYFUNCTION("""COMPUTED_VALUE"""),"https://gameserver-store-client-area.orbionlimited.com/Home/IntegrationGameLaunch/client-area?moneyType=0&amp;gameName=PlayNetRoxyUndercover&amp;platform=desktop&amp;languageCode=eng&amp;currency=EUR")</f>
        <v>https://gameserver-store-client-area.orbionlimited.com/Home/IntegrationGameLaunch/client-area?moneyType=0&amp;gameName=PlayNetRoxyUndercover&amp;platform=desktop&amp;languageCode=eng&amp;currency=EUR</v>
      </c>
      <c r="BE794" s="5" t="b">
        <f ca="1">IFERROR(__xludf.DUMMYFUNCTION("""COMPUTED_VALUE"""),TRUE)</f>
        <v>1</v>
      </c>
    </row>
    <row r="795" spans="1:57" x14ac:dyDescent="0.25">
      <c r="A795" s="5">
        <f ca="1">IFERROR(__xludf.DUMMYFUNCTION("""COMPUTED_VALUE"""),833)</f>
        <v>833</v>
      </c>
      <c r="B795" s="5">
        <f ca="1">IFERROR(__xludf.DUMMYFUNCTION("""COMPUTED_VALUE"""),544)</f>
        <v>544</v>
      </c>
      <c r="C795" s="5" t="str">
        <f ca="1">IFERROR(__xludf.DUMMYFUNCTION("""COMPUTED_VALUE"""),"Playnet")</f>
        <v>Playnet</v>
      </c>
      <c r="D795" s="5" t="str">
        <f ca="1">IFERROR(__xludf.DUMMYFUNCTION("""COMPUTED_VALUE"""),"Heart Gem 100")</f>
        <v>Heart Gem 100</v>
      </c>
      <c r="E795" s="5" t="str">
        <f ca="1">IFERROR(__xludf.DUMMYFUNCTION("""COMPUTED_VALUE"""),"Sertifikacioni")</f>
        <v>Sertifikacioni</v>
      </c>
      <c r="F795" s="5" t="str">
        <f ca="1">IFERROR(__xludf.DUMMYFUNCTION("""COMPUTED_VALUE"""),"PlayNetHeartGem100")</f>
        <v>PlayNetHeartGem100</v>
      </c>
      <c r="G795" s="5" t="str">
        <f ca="1">IFERROR(__xludf.DUMMYFUNCTION("""COMPUTED_VALUE"""),"Live")</f>
        <v>Live</v>
      </c>
      <c r="H795" s="5"/>
      <c r="I795" s="5"/>
      <c r="J795" s="5" t="str">
        <f ca="1">IFERROR(__xludf.DUMMYFUNCTION("""COMPUTED_VALUE"""),"JSON")</f>
        <v>JSON</v>
      </c>
      <c r="K795" s="5" t="str">
        <f ca="1">IFERROR(__xludf.DUMMYFUNCTION("""COMPUTED_VALUE"""),"Slot")</f>
        <v>Slot</v>
      </c>
      <c r="L795" s="5" t="str">
        <f ca="1">IFERROR(__xludf.DUMMYFUNCTION("""COMPUTED_VALUE""")," Clone")</f>
        <v xml:space="preserve"> Clone</v>
      </c>
      <c r="M795" s="5" t="str">
        <f ca="1">IFERROR(__xludf.DUMMYFUNCTION("""COMPUTED_VALUE"""),"Epic Clover 100")</f>
        <v>Epic Clover 100</v>
      </c>
      <c r="N795" s="5"/>
      <c r="O795" s="5"/>
      <c r="P795" s="14">
        <f ca="1">IFERROR(__xludf.DUMMYFUNCTION("""COMPUTED_VALUE"""),15)</f>
        <v>15</v>
      </c>
      <c r="Q795" s="15">
        <f ca="1">IFERROR(__xludf.DUMMYFUNCTION("""COMPUTED_VALUE"""),46209)</f>
        <v>46209</v>
      </c>
      <c r="R795" s="15">
        <f ca="1">IFERROR(__xludf.DUMMYFUNCTION("""COMPUTED_VALUE"""),46216)</f>
        <v>46216</v>
      </c>
      <c r="S795" s="15">
        <f ca="1">IFERROR(__xludf.DUMMYFUNCTION("""COMPUTED_VALUE"""),46223)</f>
        <v>46223</v>
      </c>
      <c r="T795" s="5" t="b">
        <f ca="1">IFERROR(__xludf.DUMMYFUNCTION("""COMPUTED_VALUE"""),TRUE)</f>
        <v>1</v>
      </c>
      <c r="U795" s="5" t="str">
        <f ca="1">IFERROR(__xludf.DUMMYFUNCTION("""COMPUTED_VALUE"""),"5x4")</f>
        <v>5x4</v>
      </c>
      <c r="V795" s="5">
        <f ca="1">IFERROR(__xludf.DUMMYFUNCTION("""COMPUTED_VALUE"""),100)</f>
        <v>100</v>
      </c>
      <c r="W795" s="5">
        <f ca="1">IFERROR(__xludf.DUMMYFUNCTION("""COMPUTED_VALUE"""),100)</f>
        <v>100</v>
      </c>
      <c r="X795" s="5">
        <f ca="1">IFERROR(__xludf.DUMMYFUNCTION("""COMPUTED_VALUE"""),96.502)</f>
        <v>96.501999999999995</v>
      </c>
      <c r="Y795" s="5" t="str">
        <f ca="1">IFERROR(__xludf.DUMMYFUNCTION("""COMPUTED_VALUE"""),"Medium")</f>
        <v>Medium</v>
      </c>
      <c r="Z795" s="5">
        <f ca="1">IFERROR(__xludf.DUMMYFUNCTION("""COMPUTED_VALUE"""),13.309)</f>
        <v>13.308999999999999</v>
      </c>
      <c r="AA795" s="5">
        <f ca="1">IFERROR(__xludf.DUMMYFUNCTION("""COMPUTED_VALUE"""),3000)</f>
        <v>3000</v>
      </c>
      <c r="AB795" s="5"/>
      <c r="AC795" s="5" t="str">
        <f ca="1">IFERROR(__xludf.DUMMYFUNCTION("""COMPUTED_VALUE"""),"Scatter, Expanding Wild")</f>
        <v>Scatter, Expanding Wild</v>
      </c>
      <c r="AD795" s="5" t="str">
        <f ca="1">IFERROR(__xludf.DUMMYFUNCTION("""COMPUTED_VALUE"""),"1/100")</f>
        <v>1/100</v>
      </c>
      <c r="AE795" s="5"/>
      <c r="AF795" s="5"/>
      <c r="AG795" s="10">
        <f ca="1">IFERROR(__xludf.DUMMYFUNCTION("""COMPUTED_VALUE"""),46226.5066898148)</f>
        <v>46226.5066898148</v>
      </c>
      <c r="AH795" s="5" t="str">
        <f ca="1">IFERROR(__xludf.DUMMYFUNCTION("""COMPUTED_VALUE"""),"vanja.svetska@fazi.rs")</f>
        <v>vanja.svetska@fazi.rs</v>
      </c>
      <c r="AI795" s="5"/>
      <c r="AJ795" s="5"/>
      <c r="AK795" s="5"/>
      <c r="AL795" s="5" t="str">
        <f ca="1">IFERROR(__xludf.DUMMYFUNCTION("""COMPUTED_VALUE"""),"No")</f>
        <v>No</v>
      </c>
      <c r="AM795" s="5" t="str">
        <f ca="1">IFERROR(__xludf.DUMMYFUNCTION("""COMPUTED_VALUE"""),"No")</f>
        <v>No</v>
      </c>
      <c r="AN795" s="7" t="str">
        <f ca="1">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AO795" s="5" t="str">
        <f ca="1">IFERROR(__xludf.DUMMYFUNCTION("""COMPUTED_VALUE"""),"No")</f>
        <v>No</v>
      </c>
      <c r="AP795" s="5" t="str">
        <f ca="1">IFERROR(__xludf.DUMMYFUNCTION("""COMPUTED_VALUE"""),"No")</f>
        <v>No</v>
      </c>
      <c r="AQ795" s="5" t="b">
        <f ca="1">IFERROR(__xludf.DUMMYFUNCTION("""COMPUTED_VALUE"""),TRUE)</f>
        <v>1</v>
      </c>
      <c r="AR795" s="5"/>
      <c r="AS795" s="5" t="str">
        <f ca="1">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AT795" s="5"/>
      <c r="AU795" s="5" t="str">
        <f ca="1">IFERROR(__xludf.DUMMYFUNCTION("""COMPUTED_VALUE"""),"Fazi")</f>
        <v>Fazi</v>
      </c>
      <c r="AV795" s="5"/>
      <c r="AW795" s="5"/>
      <c r="AX795" s="15">
        <f ca="1">IFERROR(__xludf.DUMMYFUNCTION("""COMPUTED_VALUE"""),46203)</f>
        <v>46203</v>
      </c>
      <c r="AY795" s="5"/>
      <c r="AZ795" s="5"/>
      <c r="BA795" s="5"/>
      <c r="BB795" s="5" t="b">
        <f ca="1">IFERROR(__xludf.DUMMYFUNCTION("""COMPUTED_VALUE"""),TRUE)</f>
        <v>1</v>
      </c>
      <c r="BC795" s="5" t="str">
        <f ca="1">IFERROR(__xludf.DUMMYFUNCTION("""COMPUTED_VALUE"""),"Playnet")</f>
        <v>Playnet</v>
      </c>
      <c r="BD795" s="7" t="str">
        <f ca="1">IFERROR(__xludf.DUMMYFUNCTION("""COMPUTED_VALUE"""),"https://gameserver-store-client-area.orbionlimited.com/Home/IntegrationGameLaunch/client-area?moneyType=0&amp;gameName=PlayNetHeartGem100&amp;platform=desktop&amp;languageCode=eng&amp;currency=EUR")</f>
        <v>https://gameserver-store-client-area.orbionlimited.com/Home/IntegrationGameLaunch/client-area?moneyType=0&amp;gameName=PlayNetHeartGem100&amp;platform=desktop&amp;languageCode=eng&amp;currency=EUR</v>
      </c>
      <c r="BE795" s="5" t="b">
        <f ca="1">IFERROR(__xludf.DUMMYFUNCTION("""COMPUTED_VALUE"""),TRUE)</f>
        <v>1</v>
      </c>
    </row>
    <row r="796" spans="1:57" x14ac:dyDescent="0.25">
      <c r="A796" s="5">
        <f ca="1">IFERROR(__xludf.DUMMYFUNCTION("""COMPUTED_VALUE"""),834)</f>
        <v>834</v>
      </c>
      <c r="B796" s="5">
        <f ca="1">IFERROR(__xludf.DUMMYFUNCTION("""COMPUTED_VALUE"""),545)</f>
        <v>545</v>
      </c>
      <c r="C796" s="5" t="str">
        <f ca="1">IFERROR(__xludf.DUMMYFUNCTION("""COMPUTED_VALUE"""),"Playnet")</f>
        <v>Playnet</v>
      </c>
      <c r="D796" s="5" t="str">
        <f ca="1">IFERROR(__xludf.DUMMYFUNCTION("""COMPUTED_VALUE"""),"Crown Treasure 10")</f>
        <v>Crown Treasure 10</v>
      </c>
      <c r="E796" s="5" t="str">
        <f ca="1">IFERROR(__xludf.DUMMYFUNCTION("""COMPUTED_VALUE"""),"Sertifikacioni")</f>
        <v>Sertifikacioni</v>
      </c>
      <c r="F796" s="5" t="str">
        <f ca="1">IFERROR(__xludf.DUMMYFUNCTION("""COMPUTED_VALUE"""),"PlayNetCrownTreasure10")</f>
        <v>PlayNetCrownTreasure10</v>
      </c>
      <c r="G796" s="5" t="str">
        <f ca="1">IFERROR(__xludf.DUMMYFUNCTION("""COMPUTED_VALUE"""),"Live")</f>
        <v>Live</v>
      </c>
      <c r="H796" s="5"/>
      <c r="I796" s="5"/>
      <c r="J796" s="5" t="str">
        <f ca="1">IFERROR(__xludf.DUMMYFUNCTION("""COMPUTED_VALUE"""),"JSON")</f>
        <v>JSON</v>
      </c>
      <c r="K796" s="5" t="str">
        <f ca="1">IFERROR(__xludf.DUMMYFUNCTION("""COMPUTED_VALUE"""),"Slot")</f>
        <v>Slot</v>
      </c>
      <c r="L796" s="5" t="str">
        <f ca="1">IFERROR(__xludf.DUMMYFUNCTION("""COMPUTED_VALUE""")," Clone")</f>
        <v xml:space="preserve"> Clone</v>
      </c>
      <c r="M796" s="5" t="str">
        <f ca="1">IFERROR(__xludf.DUMMYFUNCTION("""COMPUTED_VALUE"""),"Golden Crown")</f>
        <v>Golden Crown</v>
      </c>
      <c r="N796" s="7" t="str">
        <f ca="1">IFERROR(__xludf.DUMMYFUNCTION("""COMPUTED_VALUE"""),"https://drive.google.com/drive/u/1/folders/1BLuE2WJvCB2-CMTqcQovdwwyoTEQF3gl")</f>
        <v>https://drive.google.com/drive/u/1/folders/1BLuE2WJvCB2-CMTqcQovdwwyoTEQF3gl</v>
      </c>
      <c r="O796" s="7" t="str">
        <f ca="1">IFERROR(__xludf.DUMMYFUNCTION("""COMPUTED_VALUE"""),"https://drive.google.com/drive/u/1/folders/1BLuE2WJvCB2-CMTqcQovdwwyoTEQF3gl")</f>
        <v>https://drive.google.com/drive/u/1/folders/1BLuE2WJvCB2-CMTqcQovdwwyoTEQF3gl</v>
      </c>
      <c r="P796" s="14">
        <f ca="1">IFERROR(__xludf.DUMMYFUNCTION("""COMPUTED_VALUE"""),15)</f>
        <v>15</v>
      </c>
      <c r="Q796" s="15">
        <f ca="1">IFERROR(__xludf.DUMMYFUNCTION("""COMPUTED_VALUE"""),46223)</f>
        <v>46223</v>
      </c>
      <c r="R796" s="15">
        <f ca="1">IFERROR(__xludf.DUMMYFUNCTION("""COMPUTED_VALUE"""),46223)</f>
        <v>46223</v>
      </c>
      <c r="S796" s="15">
        <f ca="1">IFERROR(__xludf.DUMMYFUNCTION("""COMPUTED_VALUE"""),46230)</f>
        <v>46230</v>
      </c>
      <c r="T796" s="5" t="b">
        <f ca="1">IFERROR(__xludf.DUMMYFUNCTION("""COMPUTED_VALUE"""),TRUE)</f>
        <v>1</v>
      </c>
      <c r="U796" s="5" t="str">
        <f ca="1">IFERROR(__xludf.DUMMYFUNCTION("""COMPUTED_VALUE"""),"5x3")</f>
        <v>5x3</v>
      </c>
      <c r="V796" s="5">
        <f ca="1">IFERROR(__xludf.DUMMYFUNCTION("""COMPUTED_VALUE"""),10)</f>
        <v>10</v>
      </c>
      <c r="W796" s="5">
        <f ca="1">IFERROR(__xludf.DUMMYFUNCTION("""COMPUTED_VALUE"""),10)</f>
        <v>10</v>
      </c>
      <c r="X796" s="5">
        <f ca="1">IFERROR(__xludf.DUMMYFUNCTION("""COMPUTED_VALUE"""),95.962)</f>
        <v>95.962000000000003</v>
      </c>
      <c r="Y796" s="5" t="str">
        <f ca="1">IFERROR(__xludf.DUMMYFUNCTION("""COMPUTED_VALUE"""),"Medium")</f>
        <v>Medium</v>
      </c>
      <c r="Z796" s="5">
        <f ca="1">IFERROR(__xludf.DUMMYFUNCTION("""COMPUTED_VALUE"""),14.634)</f>
        <v>14.634</v>
      </c>
      <c r="AA796" s="5">
        <f ca="1">IFERROR(__xludf.DUMMYFUNCTION("""COMPUTED_VALUE"""),1538)</f>
        <v>1538</v>
      </c>
      <c r="AB796" s="5"/>
      <c r="AC796" s="5" t="str">
        <f ca="1">IFERROR(__xludf.DUMMYFUNCTION("""COMPUTED_VALUE"""),"Scatter, Expanding Wild")</f>
        <v>Scatter, Expanding Wild</v>
      </c>
      <c r="AD796" s="5" t="str">
        <f ca="1">IFERROR(__xludf.DUMMYFUNCTION("""COMPUTED_VALUE"""),"0.1/40")</f>
        <v>0.1/40</v>
      </c>
      <c r="AE796" s="5"/>
      <c r="AF796" s="5"/>
      <c r="AG796" s="10">
        <f ca="1">IFERROR(__xludf.DUMMYFUNCTION("""COMPUTED_VALUE"""),46231.4899652777)</f>
        <v>46231.489965277702</v>
      </c>
      <c r="AH796" s="5" t="str">
        <f ca="1">IFERROR(__xludf.DUMMYFUNCTION("""COMPUTED_VALUE"""),"vanja.svetska@fazi.rs")</f>
        <v>vanja.svetska@fazi.rs</v>
      </c>
      <c r="AI796" s="5"/>
      <c r="AJ796" s="5"/>
      <c r="AK796" s="5"/>
      <c r="AL796" s="5" t="str">
        <f ca="1">IFERROR(__xludf.DUMMYFUNCTION("""COMPUTED_VALUE"""),"No")</f>
        <v>No</v>
      </c>
      <c r="AM796" s="5" t="str">
        <f ca="1">IFERROR(__xludf.DUMMYFUNCTION("""COMPUTED_VALUE"""),"No")</f>
        <v>No</v>
      </c>
      <c r="AN796" s="7" t="str">
        <f ca="1">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AO796" s="5" t="str">
        <f ca="1">IFERROR(__xludf.DUMMYFUNCTION("""COMPUTED_VALUE"""),"No")</f>
        <v>No</v>
      </c>
      <c r="AP796" s="5" t="str">
        <f ca="1">IFERROR(__xludf.DUMMYFUNCTION("""COMPUTED_VALUE"""),"No")</f>
        <v>No</v>
      </c>
      <c r="AQ796" s="5" t="b">
        <f ca="1">IFERROR(__xludf.DUMMYFUNCTION("""COMPUTED_VALUE"""),TRUE)</f>
        <v>1</v>
      </c>
      <c r="AR796" s="5"/>
      <c r="AS796" s="5" t="str">
        <f ca="1">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AT796" s="5"/>
      <c r="AU796" s="5" t="str">
        <f ca="1">IFERROR(__xludf.DUMMYFUNCTION("""COMPUTED_VALUE"""),"Fazi")</f>
        <v>Fazi</v>
      </c>
      <c r="AV796" s="5"/>
      <c r="AW796" s="5"/>
      <c r="AX796" s="15">
        <f ca="1">IFERROR(__xludf.DUMMYFUNCTION("""COMPUTED_VALUE"""),46217)</f>
        <v>46217</v>
      </c>
      <c r="AY796" s="5"/>
      <c r="AZ796" s="5"/>
      <c r="BA796" s="5"/>
      <c r="BB796" s="5" t="b">
        <f ca="1">IFERROR(__xludf.DUMMYFUNCTION("""COMPUTED_VALUE"""),TRUE)</f>
        <v>1</v>
      </c>
      <c r="BC796" s="5" t="str">
        <f ca="1">IFERROR(__xludf.DUMMYFUNCTION("""COMPUTED_VALUE"""),"Playnet")</f>
        <v>Playnet</v>
      </c>
      <c r="BD796" s="7" t="str">
        <f ca="1">IFERROR(__xludf.DUMMYFUNCTION("""COMPUTED_VALUE"""),"https://gameserver-store-client-area.orbionlimited.com/Home/IntegrationGameLaunch/client-area?moneyType=0&amp;gameName=PlayNetCrownTreasure10&amp;platform=desktop&amp;languageCode=eng&amp;currency=EUR")</f>
        <v>https://gameserver-store-client-area.orbionlimited.com/Home/IntegrationGameLaunch/client-area?moneyType=0&amp;gameName=PlayNetCrownTreasure10&amp;platform=desktop&amp;languageCode=eng&amp;currency=EUR</v>
      </c>
      <c r="BE796" s="5" t="b">
        <f ca="1">IFERROR(__xludf.DUMMYFUNCTION("""COMPUTED_VALUE"""),TRUE)</f>
        <v>1</v>
      </c>
    </row>
    <row r="797" spans="1:57" x14ac:dyDescent="0.25">
      <c r="A797" s="5">
        <f ca="1">IFERROR(__xludf.DUMMYFUNCTION("""COMPUTED_VALUE"""),835)</f>
        <v>835</v>
      </c>
      <c r="B797" s="5">
        <f ca="1">IFERROR(__xludf.DUMMYFUNCTION("""COMPUTED_VALUE"""),546)</f>
        <v>546</v>
      </c>
      <c r="C797" s="5" t="str">
        <f ca="1">IFERROR(__xludf.DUMMYFUNCTION("""COMPUTED_VALUE"""),"Playnet")</f>
        <v>Playnet</v>
      </c>
      <c r="D797" s="5" t="str">
        <f ca="1">IFERROR(__xludf.DUMMYFUNCTION("""COMPUTED_VALUE"""),"Tropic Twist Extreme")</f>
        <v>Tropic Twist Extreme</v>
      </c>
      <c r="E797" s="5" t="str">
        <f ca="1">IFERROR(__xludf.DUMMYFUNCTION("""COMPUTED_VALUE"""),"Sertifikacioni")</f>
        <v>Sertifikacioni</v>
      </c>
      <c r="F797" s="5" t="str">
        <f ca="1">IFERROR(__xludf.DUMMYFUNCTION("""COMPUTED_VALUE"""),"PlayNetTropicTwistExtreme")</f>
        <v>PlayNetTropicTwistExtreme</v>
      </c>
      <c r="G797" s="5" t="str">
        <f ca="1">IFERROR(__xludf.DUMMYFUNCTION("""COMPUTED_VALUE"""),"Deployed")</f>
        <v>Deployed</v>
      </c>
      <c r="H797" s="5"/>
      <c r="I797" s="5"/>
      <c r="J797" s="5" t="str">
        <f ca="1">IFERROR(__xludf.DUMMYFUNCTION("""COMPUTED_VALUE"""),"JSON")</f>
        <v>JSON</v>
      </c>
      <c r="K797" s="5" t="str">
        <f ca="1">IFERROR(__xludf.DUMMYFUNCTION("""COMPUTED_VALUE"""),"Slot")</f>
        <v>Slot</v>
      </c>
      <c r="L797" s="5" t="str">
        <f ca="1">IFERROR(__xludf.DUMMYFUNCTION("""COMPUTED_VALUE""")," Clone")</f>
        <v xml:space="preserve"> Clone</v>
      </c>
      <c r="M797" s="5" t="str">
        <f ca="1">IFERROR(__xludf.DUMMYFUNCTION("""COMPUTED_VALUE"""),"Wild 27 Extreme")</f>
        <v>Wild 27 Extreme</v>
      </c>
      <c r="N797" s="7" t="str">
        <f ca="1">IFERROR(__xludf.DUMMYFUNCTION("""COMPUTED_VALUE"""),"https://drive.google.com/drive/u/1/folders/1u9zSqrdT7upTpz3uiJRAuTNt3RZYGlWX")</f>
        <v>https://drive.google.com/drive/u/1/folders/1u9zSqrdT7upTpz3uiJRAuTNt3RZYGlWX</v>
      </c>
      <c r="O797" s="7" t="str">
        <f ca="1">IFERROR(__xludf.DUMMYFUNCTION("""COMPUTED_VALUE"""),"https://drive.google.com/drive/u/1/folders/1u9zSqrdT7upTpz3uiJRAuTNt3RZYGlWX")</f>
        <v>https://drive.google.com/drive/u/1/folders/1u9zSqrdT7upTpz3uiJRAuTNt3RZYGlWX</v>
      </c>
      <c r="P797" s="14">
        <f ca="1">IFERROR(__xludf.DUMMYFUNCTION("""COMPUTED_VALUE"""),14)</f>
        <v>14</v>
      </c>
      <c r="Q797" s="15">
        <f ca="1">IFERROR(__xludf.DUMMYFUNCTION("""COMPUTED_VALUE"""),46223)</f>
        <v>46223</v>
      </c>
      <c r="R797" s="15">
        <f ca="1">IFERROR(__xludf.DUMMYFUNCTION("""COMPUTED_VALUE"""),46230)</f>
        <v>46230</v>
      </c>
      <c r="S797" s="15">
        <f ca="1">IFERROR(__xludf.DUMMYFUNCTION("""COMPUTED_VALUE"""),46237)</f>
        <v>46237</v>
      </c>
      <c r="T797" s="5" t="b">
        <f ca="1">IFERROR(__xludf.DUMMYFUNCTION("""COMPUTED_VALUE"""),TRUE)</f>
        <v>1</v>
      </c>
      <c r="U797" s="5" t="str">
        <f ca="1">IFERROR(__xludf.DUMMYFUNCTION("""COMPUTED_VALUE"""),"3x3")</f>
        <v>3x3</v>
      </c>
      <c r="V797" s="5">
        <f ca="1">IFERROR(__xludf.DUMMYFUNCTION("""COMPUTED_VALUE"""),27)</f>
        <v>27</v>
      </c>
      <c r="W797" s="5">
        <f ca="1">IFERROR(__xludf.DUMMYFUNCTION("""COMPUTED_VALUE"""),27)</f>
        <v>27</v>
      </c>
      <c r="X797" s="5">
        <f ca="1">IFERROR(__xludf.DUMMYFUNCTION("""COMPUTED_VALUE"""),96.516)</f>
        <v>96.516000000000005</v>
      </c>
      <c r="Y797" s="5" t="str">
        <f ca="1">IFERROR(__xludf.DUMMYFUNCTION("""COMPUTED_VALUE"""),"High")</f>
        <v>High</v>
      </c>
      <c r="Z797" s="5">
        <f ca="1">IFERROR(__xludf.DUMMYFUNCTION("""COMPUTED_VALUE"""),6.72)</f>
        <v>6.72</v>
      </c>
      <c r="AA797" s="5">
        <f ca="1">IFERROR(__xludf.DUMMYFUNCTION("""COMPUTED_VALUE"""),3240)</f>
        <v>3240</v>
      </c>
      <c r="AB797" s="5"/>
      <c r="AC797" s="5" t="str">
        <f ca="1">IFERROR(__xludf.DUMMYFUNCTION("""COMPUTED_VALUE"""),"Win Multiplier")</f>
        <v>Win Multiplier</v>
      </c>
      <c r="AD797" s="5" t="str">
        <f ca="1">IFERROR(__xludf.DUMMYFUNCTION("""COMPUTED_VALUE"""),"0.1/50")</f>
        <v>0.1/50</v>
      </c>
      <c r="AE797" s="5"/>
      <c r="AF797" s="5"/>
      <c r="AG797" s="10">
        <f ca="1">IFERROR(__xludf.DUMMYFUNCTION("""COMPUTED_VALUE"""),46224.4603819444)</f>
        <v>46224.460381944402</v>
      </c>
      <c r="AH797" s="5" t="str">
        <f ca="1">IFERROR(__xludf.DUMMYFUNCTION("""COMPUTED_VALUE"""),"danica.petrovic@fazi.rs")</f>
        <v>danica.petrovic@fazi.rs</v>
      </c>
      <c r="AI797" s="5"/>
      <c r="AJ797" s="5"/>
      <c r="AK797" s="5"/>
      <c r="AL797" s="5" t="str">
        <f ca="1">IFERROR(__xludf.DUMMYFUNCTION("""COMPUTED_VALUE"""),"No")</f>
        <v>No</v>
      </c>
      <c r="AM797" s="5" t="str">
        <f ca="1">IFERROR(__xludf.DUMMYFUNCTION("""COMPUTED_VALUE"""),"No")</f>
        <v>No</v>
      </c>
      <c r="AN797" s="7" t="str">
        <f ca="1">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AO797" s="5" t="str">
        <f ca="1">IFERROR(__xludf.DUMMYFUNCTION("""COMPUTED_VALUE"""),"No")</f>
        <v>No</v>
      </c>
      <c r="AP797" s="5" t="str">
        <f ca="1">IFERROR(__xludf.DUMMYFUNCTION("""COMPUTED_VALUE"""),"No")</f>
        <v>No</v>
      </c>
      <c r="AQ797" s="5" t="b">
        <f ca="1">IFERROR(__xludf.DUMMYFUNCTION("""COMPUTED_VALUE"""),TRUE)</f>
        <v>1</v>
      </c>
      <c r="AR797" s="5"/>
      <c r="AS797" s="5" t="str">
        <f ca="1">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AT797" s="5"/>
      <c r="AU797" s="5" t="str">
        <f ca="1">IFERROR(__xludf.DUMMYFUNCTION("""COMPUTED_VALUE"""),"Fazi")</f>
        <v>Fazi</v>
      </c>
      <c r="AV797" s="5"/>
      <c r="AW797" s="5"/>
      <c r="AX797" s="15">
        <f ca="1">IFERROR(__xludf.DUMMYFUNCTION("""COMPUTED_VALUE"""),46217)</f>
        <v>46217</v>
      </c>
      <c r="AY797" s="5"/>
      <c r="AZ797" s="5"/>
      <c r="BA797" s="5"/>
      <c r="BB797" s="5" t="b">
        <f ca="1">IFERROR(__xludf.DUMMYFUNCTION("""COMPUTED_VALUE"""),TRUE)</f>
        <v>1</v>
      </c>
      <c r="BC797" s="5" t="str">
        <f ca="1">IFERROR(__xludf.DUMMYFUNCTION("""COMPUTED_VALUE"""),"Playnet")</f>
        <v>Playnet</v>
      </c>
      <c r="BD797" s="7" t="str">
        <f ca="1">IFERROR(__xludf.DUMMYFUNCTION("""COMPUTED_VALUE"""),"https://gameserver-store-client-area.orbionlimited.com/Home/IntegrationGameLaunch/client-area?moneyType=0&amp;gameName=PlayNetTropicTwistExtreme&amp;platform=desktop&amp;languageCode=eng&amp;currency=EUR")</f>
        <v>https://gameserver-store-client-area.orbionlimited.com/Home/IntegrationGameLaunch/client-area?moneyType=0&amp;gameName=PlayNetTropicTwistExtreme&amp;platform=desktop&amp;languageCode=eng&amp;currency=EUR</v>
      </c>
      <c r="BE797" s="5" t="b">
        <f ca="1">IFERROR(__xludf.DUMMYFUNCTION("""COMPUTED_VALUE"""),TRUE)</f>
        <v>1</v>
      </c>
    </row>
    <row r="798" spans="1:57" x14ac:dyDescent="0.25">
      <c r="A798" s="5">
        <f ca="1">IFERROR(__xludf.DUMMYFUNCTION("""COMPUTED_VALUE"""),836)</f>
        <v>836</v>
      </c>
      <c r="B798" s="5">
        <f ca="1">IFERROR(__xludf.DUMMYFUNCTION("""COMPUTED_VALUE"""),547)</f>
        <v>547</v>
      </c>
      <c r="C798" s="5" t="str">
        <f ca="1">IFERROR(__xludf.DUMMYFUNCTION("""COMPUTED_VALUE"""),"Playnet")</f>
        <v>Playnet</v>
      </c>
      <c r="D798" s="5" t="str">
        <f ca="1">IFERROR(__xludf.DUMMYFUNCTION("""COMPUTED_VALUE"""),"Clover Wealth 5")</f>
        <v>Clover Wealth 5</v>
      </c>
      <c r="E798" s="5" t="str">
        <f ca="1">IFERROR(__xludf.DUMMYFUNCTION("""COMPUTED_VALUE"""),"Sertifikacioni")</f>
        <v>Sertifikacioni</v>
      </c>
      <c r="F798" s="5" t="str">
        <f ca="1">IFERROR(__xludf.DUMMYFUNCTION("""COMPUTED_VALUE"""),"PlayNetCloverWealth5")</f>
        <v>PlayNetCloverWealth5</v>
      </c>
      <c r="G798" s="5" t="str">
        <f ca="1">IFERROR(__xludf.DUMMYFUNCTION("""COMPUTED_VALUE"""),"Planned")</f>
        <v>Planned</v>
      </c>
      <c r="H798" s="5"/>
      <c r="I798" s="5"/>
      <c r="J798" s="5" t="str">
        <f ca="1">IFERROR(__xludf.DUMMYFUNCTION("""COMPUTED_VALUE"""),"JSON")</f>
        <v>JSON</v>
      </c>
      <c r="K798" s="5" t="str">
        <f ca="1">IFERROR(__xludf.DUMMYFUNCTION("""COMPUTED_VALUE"""),"Slot")</f>
        <v>Slot</v>
      </c>
      <c r="L798" s="5" t="str">
        <f ca="1">IFERROR(__xludf.DUMMYFUNCTION("""COMPUTED_VALUE""")," Clone")</f>
        <v xml:space="preserve"> Clone</v>
      </c>
      <c r="M798" s="5" t="str">
        <f ca="1">IFERROR(__xludf.DUMMYFUNCTION("""COMPUTED_VALUE"""),"Very Hot 5")</f>
        <v>Very Hot 5</v>
      </c>
      <c r="N798" s="5"/>
      <c r="O798" s="5"/>
      <c r="P798" s="14">
        <f ca="1">IFERROR(__xludf.DUMMYFUNCTION("""COMPUTED_VALUE"""),15)</f>
        <v>15</v>
      </c>
      <c r="Q798" s="15">
        <f ca="1">IFERROR(__xludf.DUMMYFUNCTION("""COMPUTED_VALUE"""),46237)</f>
        <v>46237</v>
      </c>
      <c r="R798" s="15">
        <f ca="1">IFERROR(__xludf.DUMMYFUNCTION("""COMPUTED_VALUE"""),46240)</f>
        <v>46240</v>
      </c>
      <c r="S798" s="15">
        <f ca="1">IFERROR(__xludf.DUMMYFUNCTION("""COMPUTED_VALUE"""),46247)</f>
        <v>46247</v>
      </c>
      <c r="T798" s="5" t="b">
        <f ca="1">IFERROR(__xludf.DUMMYFUNCTION("""COMPUTED_VALUE"""),TRUE)</f>
        <v>1</v>
      </c>
      <c r="U798" s="5" t="str">
        <f ca="1">IFERROR(__xludf.DUMMYFUNCTION("""COMPUTED_VALUE"""),"5x3")</f>
        <v>5x3</v>
      </c>
      <c r="V798" s="5">
        <f ca="1">IFERROR(__xludf.DUMMYFUNCTION("""COMPUTED_VALUE"""),5)</f>
        <v>5</v>
      </c>
      <c r="W798" s="5">
        <f ca="1">IFERROR(__xludf.DUMMYFUNCTION("""COMPUTED_VALUE"""),5)</f>
        <v>5</v>
      </c>
      <c r="X798" s="5">
        <f ca="1">IFERROR(__xludf.DUMMYFUNCTION("""COMPUTED_VALUE"""),96.447)</f>
        <v>96.447000000000003</v>
      </c>
      <c r="Y798" s="5" t="str">
        <f ca="1">IFERROR(__xludf.DUMMYFUNCTION("""COMPUTED_VALUE"""),"Medium")</f>
        <v>Medium</v>
      </c>
      <c r="Z798" s="5">
        <f ca="1">IFERROR(__xludf.DUMMYFUNCTION("""COMPUTED_VALUE"""),14.505)</f>
        <v>14.505000000000001</v>
      </c>
      <c r="AA798" s="5">
        <f ca="1">IFERROR(__xludf.DUMMYFUNCTION("""COMPUTED_VALUE"""),1222)</f>
        <v>1222</v>
      </c>
      <c r="AB798" s="5"/>
      <c r="AC798" s="5" t="str">
        <f ca="1">IFERROR(__xludf.DUMMYFUNCTION("""COMPUTED_VALUE"""),"Expanding Wild, Scatter")</f>
        <v>Expanding Wild, Scatter</v>
      </c>
      <c r="AD798" s="5" t="str">
        <f ca="1">IFERROR(__xludf.DUMMYFUNCTION("""COMPUTED_VALUE"""),"0.05/30")</f>
        <v>0.05/30</v>
      </c>
      <c r="AE798" s="5"/>
      <c r="AF798" s="5"/>
      <c r="AG798" s="10">
        <f ca="1">IFERROR(__xludf.DUMMYFUNCTION("""COMPUTED_VALUE"""),46224.6272453703)</f>
        <v>46224.627245370299</v>
      </c>
      <c r="AH798" s="5" t="str">
        <f ca="1">IFERROR(__xludf.DUMMYFUNCTION("""COMPUTED_VALUE"""),"danica.petrovic@fazi.rs")</f>
        <v>danica.petrovic@fazi.rs</v>
      </c>
      <c r="AI798" s="5"/>
      <c r="AJ798" s="5"/>
      <c r="AK798" s="5">
        <f ca="1">IFERROR(__xludf.DUMMYFUNCTION("""COMPUTED_VALUE"""),5)</f>
        <v>5</v>
      </c>
      <c r="AL798" s="5" t="str">
        <f ca="1">IFERROR(__xludf.DUMMYFUNCTION("""COMPUTED_VALUE"""),"No")</f>
        <v>No</v>
      </c>
      <c r="AM798" s="5" t="str">
        <f ca="1">IFERROR(__xludf.DUMMYFUNCTION("""COMPUTED_VALUE"""),"No")</f>
        <v>No</v>
      </c>
      <c r="AN798" s="7" t="str">
        <f ca="1">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AO798" s="5" t="str">
        <f ca="1">IFERROR(__xludf.DUMMYFUNCTION("""COMPUTED_VALUE"""),"No")</f>
        <v>No</v>
      </c>
      <c r="AP798" s="5" t="str">
        <f ca="1">IFERROR(__xludf.DUMMYFUNCTION("""COMPUTED_VALUE"""),"No")</f>
        <v>No</v>
      </c>
      <c r="AQ798" s="5" t="b">
        <f ca="1">IFERROR(__xludf.DUMMYFUNCTION("""COMPUTED_VALUE"""),TRUE)</f>
        <v>1</v>
      </c>
      <c r="AR798" s="5"/>
      <c r="AS798" s="5" t="str">
        <f ca="1">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AT798" s="5"/>
      <c r="AU798" s="5" t="str">
        <f ca="1">IFERROR(__xludf.DUMMYFUNCTION("""COMPUTED_VALUE"""),"Fazi")</f>
        <v>Fazi</v>
      </c>
      <c r="AV798" s="5">
        <f ca="1">IFERROR(__xludf.DUMMYFUNCTION("""COMPUTED_VALUE"""),1)</f>
        <v>1</v>
      </c>
      <c r="AW798" s="5"/>
      <c r="AX798" s="15">
        <f ca="1">IFERROR(__xludf.DUMMYFUNCTION("""COMPUTED_VALUE"""),46231)</f>
        <v>46231</v>
      </c>
      <c r="AY798" s="5"/>
      <c r="AZ798" s="5"/>
      <c r="BA798" s="5"/>
      <c r="BB798" s="5" t="b">
        <f ca="1">IFERROR(__xludf.DUMMYFUNCTION("""COMPUTED_VALUE"""),TRUE)</f>
        <v>1</v>
      </c>
      <c r="BC798" s="5" t="str">
        <f ca="1">IFERROR(__xludf.DUMMYFUNCTION("""COMPUTED_VALUE"""),"Playnet")</f>
        <v>Playnet</v>
      </c>
      <c r="BD798" s="7" t="str">
        <f ca="1">IFERROR(__xludf.DUMMYFUNCTION("""COMPUTED_VALUE"""),"https://gameserver-store-client-area.orbionlimited.com/Home/IntegrationGameLaunch/client-area?moneyType=0&amp;gameName=PlayNetCloverWealth5&amp;platform=desktop&amp;languageCode=eng&amp;currency=EUR")</f>
        <v>https://gameserver-store-client-area.orbionlimited.com/Home/IntegrationGameLaunch/client-area?moneyType=0&amp;gameName=PlayNetCloverWealth5&amp;platform=desktop&amp;languageCode=eng&amp;currency=EUR</v>
      </c>
      <c r="BE798" s="5" t="b">
        <f ca="1">IFERROR(__xludf.DUMMYFUNCTION("""COMPUTED_VALUE"""),TRUE)</f>
        <v>1</v>
      </c>
    </row>
    <row r="799" spans="1:57" x14ac:dyDescent="0.25">
      <c r="A799" s="5">
        <f ca="1">IFERROR(__xludf.DUMMYFUNCTION("""COMPUTED_VALUE"""),837)</f>
        <v>837</v>
      </c>
      <c r="B799" s="5">
        <f ca="1">IFERROR(__xludf.DUMMYFUNCTION("""COMPUTED_VALUE"""),548)</f>
        <v>548</v>
      </c>
      <c r="C799" s="5" t="str">
        <f ca="1">IFERROR(__xludf.DUMMYFUNCTION("""COMPUTED_VALUE"""),"Playnet")</f>
        <v>Playnet</v>
      </c>
      <c r="D799" s="5" t="str">
        <f ca="1">IFERROR(__xludf.DUMMYFUNCTION("""COMPUTED_VALUE"""),"27 Lucky Crown")</f>
        <v>27 Lucky Crown</v>
      </c>
      <c r="E799" s="5" t="str">
        <f ca="1">IFERROR(__xludf.DUMMYFUNCTION("""COMPUTED_VALUE"""),"Sertifikacioni")</f>
        <v>Sertifikacioni</v>
      </c>
      <c r="F799" s="5" t="str">
        <f ca="1">IFERROR(__xludf.DUMMYFUNCTION("""COMPUTED_VALUE"""),"PlayNet27LuckyCrown")</f>
        <v>PlayNet27LuckyCrown</v>
      </c>
      <c r="G799" s="5" t="str">
        <f ca="1">IFERROR(__xludf.DUMMYFUNCTION("""COMPUTED_VALUE"""),"Planned")</f>
        <v>Planned</v>
      </c>
      <c r="H799" s="5"/>
      <c r="I799" s="5"/>
      <c r="J799" s="5" t="str">
        <f ca="1">IFERROR(__xludf.DUMMYFUNCTION("""COMPUTED_VALUE"""),"JSON")</f>
        <v>JSON</v>
      </c>
      <c r="K799" s="5" t="str">
        <f ca="1">IFERROR(__xludf.DUMMYFUNCTION("""COMPUTED_VALUE"""),"Slot")</f>
        <v>Slot</v>
      </c>
      <c r="L799" s="5" t="str">
        <f ca="1">IFERROR(__xludf.DUMMYFUNCTION("""COMPUTED_VALUE""")," Clone")</f>
        <v xml:space="preserve"> Clone</v>
      </c>
      <c r="M799" s="5" t="str">
        <f ca="1">IFERROR(__xludf.DUMMYFUNCTION("""COMPUTED_VALUE"""),"Wild 27 Extreme")</f>
        <v>Wild 27 Extreme</v>
      </c>
      <c r="N799" s="5"/>
      <c r="O799" s="5"/>
      <c r="P799" s="14">
        <f ca="1">IFERROR(__xludf.DUMMYFUNCTION("""COMPUTED_VALUE"""),13)</f>
        <v>13</v>
      </c>
      <c r="Q799" s="15">
        <f ca="1">IFERROR(__xludf.DUMMYFUNCTION("""COMPUTED_VALUE"""),46237)</f>
        <v>46237</v>
      </c>
      <c r="R799" s="15">
        <f ca="1">IFERROR(__xludf.DUMMYFUNCTION("""COMPUTED_VALUE"""),46244)</f>
        <v>46244</v>
      </c>
      <c r="S799" s="15">
        <f ca="1">IFERROR(__xludf.DUMMYFUNCTION("""COMPUTED_VALUE"""),46251)</f>
        <v>46251</v>
      </c>
      <c r="T799" s="5" t="b">
        <f ca="1">IFERROR(__xludf.DUMMYFUNCTION("""COMPUTED_VALUE"""),TRUE)</f>
        <v>1</v>
      </c>
      <c r="U799" s="5" t="str">
        <f ca="1">IFERROR(__xludf.DUMMYFUNCTION("""COMPUTED_VALUE"""),"3x3")</f>
        <v>3x3</v>
      </c>
      <c r="V799" s="5">
        <f ca="1">IFERROR(__xludf.DUMMYFUNCTION("""COMPUTED_VALUE"""),27)</f>
        <v>27</v>
      </c>
      <c r="W799" s="5">
        <f ca="1">IFERROR(__xludf.DUMMYFUNCTION("""COMPUTED_VALUE"""),27)</f>
        <v>27</v>
      </c>
      <c r="X799" s="5">
        <f ca="1">IFERROR(__xludf.DUMMYFUNCTION("""COMPUTED_VALUE"""),96.516)</f>
        <v>96.516000000000005</v>
      </c>
      <c r="Y799" s="5" t="str">
        <f ca="1">IFERROR(__xludf.DUMMYFUNCTION("""COMPUTED_VALUE"""),"High")</f>
        <v>High</v>
      </c>
      <c r="Z799" s="5">
        <f ca="1">IFERROR(__xludf.DUMMYFUNCTION("""COMPUTED_VALUE"""),6.72)</f>
        <v>6.72</v>
      </c>
      <c r="AA799" s="5">
        <f ca="1">IFERROR(__xludf.DUMMYFUNCTION("""COMPUTED_VALUE"""),3240)</f>
        <v>3240</v>
      </c>
      <c r="AB799" s="5"/>
      <c r="AC799" s="5" t="str">
        <f ca="1">IFERROR(__xludf.DUMMYFUNCTION("""COMPUTED_VALUE"""),"Win Multiplier")</f>
        <v>Win Multiplier</v>
      </c>
      <c r="AD799" s="5" t="str">
        <f ca="1">IFERROR(__xludf.DUMMYFUNCTION("""COMPUTED_VALUE"""),"0.1/50")</f>
        <v>0.1/50</v>
      </c>
      <c r="AE799" s="5"/>
      <c r="AF799" s="5"/>
      <c r="AG799" s="10">
        <f ca="1">IFERROR(__xludf.DUMMYFUNCTION("""COMPUTED_VALUE"""),46224.6267939814)</f>
        <v>46224.626793981399</v>
      </c>
      <c r="AH799" s="5" t="str">
        <f ca="1">IFERROR(__xludf.DUMMYFUNCTION("""COMPUTED_VALUE"""),"danica.petrovic@fazi.rs")</f>
        <v>danica.petrovic@fazi.rs</v>
      </c>
      <c r="AI799" s="5"/>
      <c r="AJ799" s="5"/>
      <c r="AK799" s="5">
        <f ca="1">IFERROR(__xludf.DUMMYFUNCTION("""COMPUTED_VALUE"""),1)</f>
        <v>1</v>
      </c>
      <c r="AL799" s="5" t="str">
        <f ca="1">IFERROR(__xludf.DUMMYFUNCTION("""COMPUTED_VALUE"""),"No")</f>
        <v>No</v>
      </c>
      <c r="AM799" s="5" t="str">
        <f ca="1">IFERROR(__xludf.DUMMYFUNCTION("""COMPUTED_VALUE"""),"No")</f>
        <v>No</v>
      </c>
      <c r="AN799" s="7" t="str">
        <f ca="1">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AO799" s="5" t="str">
        <f ca="1">IFERROR(__xludf.DUMMYFUNCTION("""COMPUTED_VALUE"""),"No")</f>
        <v>No</v>
      </c>
      <c r="AP799" s="5" t="str">
        <f ca="1">IFERROR(__xludf.DUMMYFUNCTION("""COMPUTED_VALUE"""),"No")</f>
        <v>No</v>
      </c>
      <c r="AQ799" s="5" t="b">
        <f ca="1">IFERROR(__xludf.DUMMYFUNCTION("""COMPUTED_VALUE"""),TRUE)</f>
        <v>1</v>
      </c>
      <c r="AR799" s="5"/>
      <c r="AS799" s="5" t="str">
        <f ca="1">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AT799" s="5"/>
      <c r="AU799" s="5" t="str">
        <f ca="1">IFERROR(__xludf.DUMMYFUNCTION("""COMPUTED_VALUE"""),"Fazi")</f>
        <v>Fazi</v>
      </c>
      <c r="AV799" s="5">
        <f ca="1">IFERROR(__xludf.DUMMYFUNCTION("""COMPUTED_VALUE"""),1)</f>
        <v>1</v>
      </c>
      <c r="AW799" s="5"/>
      <c r="AX799" s="15">
        <f ca="1">IFERROR(__xludf.DUMMYFUNCTION("""COMPUTED_VALUE"""),46231)</f>
        <v>46231</v>
      </c>
      <c r="AY799" s="5"/>
      <c r="AZ799" s="5"/>
      <c r="BA799" s="5"/>
      <c r="BB799" s="5" t="b">
        <f ca="1">IFERROR(__xludf.DUMMYFUNCTION("""COMPUTED_VALUE"""),TRUE)</f>
        <v>1</v>
      </c>
      <c r="BC799" s="5" t="str">
        <f ca="1">IFERROR(__xludf.DUMMYFUNCTION("""COMPUTED_VALUE"""),"Playnet")</f>
        <v>Playnet</v>
      </c>
      <c r="BD799" s="7" t="str">
        <f ca="1">IFERROR(__xludf.DUMMYFUNCTION("""COMPUTED_VALUE"""),"https://gameserver-store-client-area.orbionlimited.com/Home/IntegrationGameLaunch/client-area?moneyType=0&amp;gameName=PlayNet27LuckyCrown&amp;platform=desktop&amp;languageCode=eng&amp;currency=EUR")</f>
        <v>https://gameserver-store-client-area.orbionlimited.com/Home/IntegrationGameLaunch/client-area?moneyType=0&amp;gameName=PlayNet27LuckyCrown&amp;platform=desktop&amp;languageCode=eng&amp;currency=EUR</v>
      </c>
      <c r="BE799" s="5" t="b">
        <f ca="1">IFERROR(__xludf.DUMMYFUNCTION("""COMPUTED_VALUE"""),TRUE)</f>
        <v>1</v>
      </c>
    </row>
    <row r="800" spans="1:57" x14ac:dyDescent="0.25">
      <c r="A800" s="5">
        <f ca="1">IFERROR(__xludf.DUMMYFUNCTION("""COMPUTED_VALUE"""),838)</f>
        <v>838</v>
      </c>
      <c r="B800" s="5">
        <f ca="1">IFERROR(__xludf.DUMMYFUNCTION("""COMPUTED_VALUE"""),549)</f>
        <v>549</v>
      </c>
      <c r="C800" s="5" t="str">
        <f ca="1">IFERROR(__xludf.DUMMYFUNCTION("""COMPUTED_VALUE"""),"Playnet")</f>
        <v>Playnet</v>
      </c>
      <c r="D800" s="5" t="str">
        <f ca="1">IFERROR(__xludf.DUMMYFUNCTION("""COMPUTED_VALUE"""),"Royal Flame x2")</f>
        <v>Royal Flame x2</v>
      </c>
      <c r="E800" s="5" t="str">
        <f ca="1">IFERROR(__xludf.DUMMYFUNCTION("""COMPUTED_VALUE"""),"Sertifikacioni")</f>
        <v>Sertifikacioni</v>
      </c>
      <c r="F800" s="5" t="str">
        <f ca="1">IFERROR(__xludf.DUMMYFUNCTION("""COMPUTED_VALUE"""),"PlayNetRoyalFlameX2")</f>
        <v>PlayNetRoyalFlameX2</v>
      </c>
      <c r="G800" s="5" t="str">
        <f ca="1">IFERROR(__xludf.DUMMYFUNCTION("""COMPUTED_VALUE"""),"Planned")</f>
        <v>Planned</v>
      </c>
      <c r="H800" s="5"/>
      <c r="I800" s="5"/>
      <c r="J800" s="5" t="str">
        <f ca="1">IFERROR(__xludf.DUMMYFUNCTION("""COMPUTED_VALUE"""),"JSON")</f>
        <v>JSON</v>
      </c>
      <c r="K800" s="5" t="str">
        <f ca="1">IFERROR(__xludf.DUMMYFUNCTION("""COMPUTED_VALUE"""),"Slot")</f>
        <v>Slot</v>
      </c>
      <c r="L800" s="5" t="str">
        <f ca="1">IFERROR(__xludf.DUMMYFUNCTION("""COMPUTED_VALUE""")," Clone")</f>
        <v xml:space="preserve"> Clone</v>
      </c>
      <c r="M800" s="5" t="str">
        <f ca="1">IFERROR(__xludf.DUMMYFUNCTION("""COMPUTED_VALUE"""),"Golden Crown Extreme")</f>
        <v>Golden Crown Extreme</v>
      </c>
      <c r="N800" s="5"/>
      <c r="O800" s="5"/>
      <c r="P800" s="5"/>
      <c r="Q800" s="15">
        <f ca="1">IFERROR(__xludf.DUMMYFUNCTION("""COMPUTED_VALUE"""),46251)</f>
        <v>46251</v>
      </c>
      <c r="R800" s="15">
        <f ca="1">IFERROR(__xludf.DUMMYFUNCTION("""COMPUTED_VALUE"""),46251)</f>
        <v>46251</v>
      </c>
      <c r="S800" s="15">
        <f ca="1">IFERROR(__xludf.DUMMYFUNCTION("""COMPUTED_VALUE"""),46258)</f>
        <v>46258</v>
      </c>
      <c r="T800" s="5" t="b">
        <f ca="1">IFERROR(__xludf.DUMMYFUNCTION("""COMPUTED_VALUE"""),TRUE)</f>
        <v>1</v>
      </c>
      <c r="U800" s="5"/>
      <c r="V800" s="5"/>
      <c r="W800" s="5"/>
      <c r="X800" s="5"/>
      <c r="Y800" s="5"/>
      <c r="Z800" s="5"/>
      <c r="AA800" s="5"/>
      <c r="AB800" s="5"/>
      <c r="AC800" s="5"/>
      <c r="AD800" s="5"/>
      <c r="AE800" s="5"/>
      <c r="AF800" s="5"/>
      <c r="AG800" s="10">
        <f ca="1">IFERROR(__xludf.DUMMYFUNCTION("""COMPUTED_VALUE"""),46231.4321064814)</f>
        <v>46231.432106481399</v>
      </c>
      <c r="AH800" s="5" t="str">
        <f ca="1">IFERROR(__xludf.DUMMYFUNCTION("""COMPUTED_VALUE"""),"danica.petrovic@fazi.rs")</f>
        <v>danica.petrovic@fazi.rs</v>
      </c>
      <c r="AI800" s="5"/>
      <c r="AJ800" s="5"/>
      <c r="AK800" s="5"/>
      <c r="AL800" s="5"/>
      <c r="AM800" s="5"/>
      <c r="AN800" s="5"/>
      <c r="AO800" s="5"/>
      <c r="AP800" s="5"/>
      <c r="AQ800" s="5"/>
      <c r="AR800" s="5"/>
      <c r="AS800" s="5"/>
      <c r="AT800" s="5"/>
      <c r="AU800" s="5" t="str">
        <f ca="1">IFERROR(__xludf.DUMMYFUNCTION("""COMPUTED_VALUE"""),"Fazi")</f>
        <v>Fazi</v>
      </c>
      <c r="AV800" s="5"/>
      <c r="AW800" s="5"/>
      <c r="AX800" s="15">
        <f ca="1">IFERROR(__xludf.DUMMYFUNCTION("""COMPUTED_VALUE"""),46245)</f>
        <v>46245</v>
      </c>
      <c r="AY800" s="5"/>
      <c r="AZ800" s="5"/>
      <c r="BA800" s="5"/>
      <c r="BB800" s="5"/>
      <c r="BC800" s="5" t="str">
        <f ca="1">IFERROR(__xludf.DUMMYFUNCTION("""COMPUTED_VALUE"""),"Playnet")</f>
        <v>Playnet</v>
      </c>
      <c r="BD800" s="5"/>
      <c r="BE800" s="5"/>
    </row>
    <row r="801" spans="1:57" x14ac:dyDescent="0.25">
      <c r="A801" s="5">
        <f ca="1">IFERROR(__xludf.DUMMYFUNCTION("""COMPUTED_VALUE"""),839)</f>
        <v>839</v>
      </c>
      <c r="B801" s="5">
        <f ca="1">IFERROR(__xludf.DUMMYFUNCTION("""COMPUTED_VALUE"""),550)</f>
        <v>550</v>
      </c>
      <c r="C801" s="5" t="str">
        <f ca="1">IFERROR(__xludf.DUMMYFUNCTION("""COMPUTED_VALUE"""),"Playnet")</f>
        <v>Playnet</v>
      </c>
      <c r="D801" s="5" t="str">
        <f ca="1">IFERROR(__xludf.DUMMYFUNCTION("""COMPUTED_VALUE"""),"Heart Gem 5")</f>
        <v>Heart Gem 5</v>
      </c>
      <c r="E801" s="5" t="str">
        <f ca="1">IFERROR(__xludf.DUMMYFUNCTION("""COMPUTED_VALUE"""),"Sertifikacioni")</f>
        <v>Sertifikacioni</v>
      </c>
      <c r="F801" s="5" t="str">
        <f ca="1">IFERROR(__xludf.DUMMYFUNCTION("""COMPUTED_VALUE"""),"PlayNetHeartGem5")</f>
        <v>PlayNetHeartGem5</v>
      </c>
      <c r="G801" s="5" t="str">
        <f ca="1">IFERROR(__xludf.DUMMYFUNCTION("""COMPUTED_VALUE"""),"Planned")</f>
        <v>Planned</v>
      </c>
      <c r="H801" s="5"/>
      <c r="I801" s="5"/>
      <c r="J801" s="5" t="str">
        <f ca="1">IFERROR(__xludf.DUMMYFUNCTION("""COMPUTED_VALUE"""),"JSON")</f>
        <v>JSON</v>
      </c>
      <c r="K801" s="5" t="str">
        <f ca="1">IFERROR(__xludf.DUMMYFUNCTION("""COMPUTED_VALUE"""),"Slot")</f>
        <v>Slot</v>
      </c>
      <c r="L801" s="5" t="str">
        <f ca="1">IFERROR(__xludf.DUMMYFUNCTION("""COMPUTED_VALUE""")," Clone")</f>
        <v xml:space="preserve"> Clone</v>
      </c>
      <c r="M801" s="5" t="str">
        <f ca="1">IFERROR(__xludf.DUMMYFUNCTION("""COMPUTED_VALUE"""),"Very Hot 5")</f>
        <v>Very Hot 5</v>
      </c>
      <c r="N801" s="5"/>
      <c r="O801" s="5"/>
      <c r="P801" s="5"/>
      <c r="Q801" s="15">
        <f ca="1">IFERROR(__xludf.DUMMYFUNCTION("""COMPUTED_VALUE"""),46279)</f>
        <v>46279</v>
      </c>
      <c r="R801" s="5"/>
      <c r="S801" s="15">
        <f ca="1">IFERROR(__xludf.DUMMYFUNCTION("""COMPUTED_VALUE"""),46286)</f>
        <v>46286</v>
      </c>
      <c r="T801" s="5" t="b">
        <f ca="1">IFERROR(__xludf.DUMMYFUNCTION("""COMPUTED_VALUE"""),TRUE)</f>
        <v>1</v>
      </c>
      <c r="U801" s="5"/>
      <c r="V801" s="5"/>
      <c r="W801" s="5"/>
      <c r="X801" s="5"/>
      <c r="Y801" s="5"/>
      <c r="Z801" s="5"/>
      <c r="AA801" s="5"/>
      <c r="AB801" s="5"/>
      <c r="AC801" s="5"/>
      <c r="AD801" s="5"/>
      <c r="AE801" s="5"/>
      <c r="AF801" s="5"/>
      <c r="AG801" s="10">
        <f ca="1">IFERROR(__xludf.DUMMYFUNCTION("""COMPUTED_VALUE"""),46231.4797337962)</f>
        <v>46231.479733796201</v>
      </c>
      <c r="AH801" s="5" t="str">
        <f ca="1">IFERROR(__xludf.DUMMYFUNCTION("""COMPUTED_VALUE"""),"danica.petrovic@fazi.rs")</f>
        <v>danica.petrovic@fazi.rs</v>
      </c>
      <c r="AI801" s="5"/>
      <c r="AJ801" s="5"/>
      <c r="AK801" s="5"/>
      <c r="AL801" s="5"/>
      <c r="AM801" s="5"/>
      <c r="AN801" s="5"/>
      <c r="AO801" s="5"/>
      <c r="AP801" s="5"/>
      <c r="AQ801" s="5"/>
      <c r="AR801" s="5"/>
      <c r="AS801" s="5"/>
      <c r="AT801" s="5"/>
      <c r="AU801" s="5" t="str">
        <f ca="1">IFERROR(__xludf.DUMMYFUNCTION("""COMPUTED_VALUE"""),"Fazi")</f>
        <v>Fazi</v>
      </c>
      <c r="AV801" s="5"/>
      <c r="AW801" s="5"/>
      <c r="AX801" s="15">
        <f ca="1">IFERROR(__xludf.DUMMYFUNCTION("""COMPUTED_VALUE"""),46273)</f>
        <v>46273</v>
      </c>
      <c r="AY801" s="5"/>
      <c r="AZ801" s="5"/>
      <c r="BA801" s="5"/>
      <c r="BB801" s="5"/>
      <c r="BC801" s="5" t="str">
        <f ca="1">IFERROR(__xludf.DUMMYFUNCTION("""COMPUTED_VALUE"""),"Playnet")</f>
        <v>Playnet</v>
      </c>
      <c r="BD801" s="5"/>
      <c r="BE801" s="5"/>
    </row>
    <row r="802" spans="1:57" x14ac:dyDescent="0.25">
      <c r="A802" s="5">
        <f ca="1">IFERROR(__xludf.DUMMYFUNCTION("""COMPUTED_VALUE"""),840)</f>
        <v>840</v>
      </c>
      <c r="B802" s="5">
        <f ca="1">IFERROR(__xludf.DUMMYFUNCTION("""COMPUTED_VALUE"""),552)</f>
        <v>552</v>
      </c>
      <c r="C802" s="5" t="str">
        <f ca="1">IFERROR(__xludf.DUMMYFUNCTION("""COMPUTED_VALUE"""),"Playnet")</f>
        <v>Playnet</v>
      </c>
      <c r="D802" s="5" t="str">
        <f ca="1">IFERROR(__xludf.DUMMYFUNCTION("""COMPUTED_VALUE"""),"Empress of Flame 20")</f>
        <v>Empress of Flame 20</v>
      </c>
      <c r="E802" s="5" t="str">
        <f ca="1">IFERROR(__xludf.DUMMYFUNCTION("""COMPUTED_VALUE"""),"Sertifikacioni")</f>
        <v>Sertifikacioni</v>
      </c>
      <c r="F802" s="5" t="str">
        <f ca="1">IFERROR(__xludf.DUMMYFUNCTION("""COMPUTED_VALUE"""),"PlayNetEmpressOfFlame20")</f>
        <v>PlayNetEmpressOfFlame20</v>
      </c>
      <c r="G802" s="5" t="str">
        <f ca="1">IFERROR(__xludf.DUMMYFUNCTION("""COMPUTED_VALUE"""),"Planned")</f>
        <v>Planned</v>
      </c>
      <c r="H802" s="5"/>
      <c r="I802" s="5"/>
      <c r="J802" s="5" t="str">
        <f ca="1">IFERROR(__xludf.DUMMYFUNCTION("""COMPUTED_VALUE"""),"JSON")</f>
        <v>JSON</v>
      </c>
      <c r="K802" s="5" t="str">
        <f ca="1">IFERROR(__xludf.DUMMYFUNCTION("""COMPUTED_VALUE"""),"Slot")</f>
        <v>Slot</v>
      </c>
      <c r="L802" s="5" t="str">
        <f ca="1">IFERROR(__xludf.DUMMYFUNCTION("""COMPUTED_VALUE""")," Clone")</f>
        <v xml:space="preserve"> Clone</v>
      </c>
      <c r="M802" s="5" t="str">
        <f ca="1">IFERROR(__xludf.DUMMYFUNCTION("""COMPUTED_VALUE"""),"Turbo Stars 20")</f>
        <v>Turbo Stars 20</v>
      </c>
      <c r="N802" s="5"/>
      <c r="O802" s="5"/>
      <c r="P802" s="5"/>
      <c r="Q802" s="15">
        <f ca="1">IFERROR(__xludf.DUMMYFUNCTION("""COMPUTED_VALUE"""),46265)</f>
        <v>46265</v>
      </c>
      <c r="R802" s="5"/>
      <c r="S802" s="15">
        <f ca="1">IFERROR(__xludf.DUMMYFUNCTION("""COMPUTED_VALUE"""),46272)</f>
        <v>46272</v>
      </c>
      <c r="T802" s="5" t="b">
        <f ca="1">IFERROR(__xludf.DUMMYFUNCTION("""COMPUTED_VALUE"""),TRUE)</f>
        <v>1</v>
      </c>
      <c r="U802" s="5"/>
      <c r="V802" s="5"/>
      <c r="W802" s="5"/>
      <c r="X802" s="5"/>
      <c r="Y802" s="5"/>
      <c r="Z802" s="5"/>
      <c r="AA802" s="5"/>
      <c r="AB802" s="5"/>
      <c r="AC802" s="5"/>
      <c r="AD802" s="5"/>
      <c r="AE802" s="5"/>
      <c r="AF802" s="5"/>
      <c r="AG802" s="10">
        <f ca="1">IFERROR(__xludf.DUMMYFUNCTION("""COMPUTED_VALUE"""),46231.4781134259)</f>
        <v>46231.478113425903</v>
      </c>
      <c r="AH802" s="5" t="str">
        <f ca="1">IFERROR(__xludf.DUMMYFUNCTION("""COMPUTED_VALUE"""),"danica.petrovic@fazi.rs")</f>
        <v>danica.petrovic@fazi.rs</v>
      </c>
      <c r="AI802" s="5"/>
      <c r="AJ802" s="5"/>
      <c r="AK802" s="5"/>
      <c r="AL802" s="5"/>
      <c r="AM802" s="5"/>
      <c r="AN802" s="5"/>
      <c r="AO802" s="5"/>
      <c r="AP802" s="5"/>
      <c r="AQ802" s="5"/>
      <c r="AR802" s="5"/>
      <c r="AS802" s="5"/>
      <c r="AT802" s="5"/>
      <c r="AU802" s="5" t="str">
        <f ca="1">IFERROR(__xludf.DUMMYFUNCTION("""COMPUTED_VALUE"""),"Fazi")</f>
        <v>Fazi</v>
      </c>
      <c r="AV802" s="5"/>
      <c r="AW802" s="5"/>
      <c r="AX802" s="15">
        <f ca="1">IFERROR(__xludf.DUMMYFUNCTION("""COMPUTED_VALUE"""),46259)</f>
        <v>46259</v>
      </c>
      <c r="AY802" s="5"/>
      <c r="AZ802" s="5"/>
      <c r="BA802" s="5"/>
      <c r="BB802" s="5"/>
      <c r="BC802" s="5" t="str">
        <f ca="1">IFERROR(__xludf.DUMMYFUNCTION("""COMPUTED_VALUE"""),"Playnet")</f>
        <v>Playnet</v>
      </c>
      <c r="BD802" s="5"/>
      <c r="BE802" s="5"/>
    </row>
    <row r="803" spans="1:57" x14ac:dyDescent="0.25">
      <c r="A803" s="5">
        <f ca="1">IFERROR(__xludf.DUMMYFUNCTION("""COMPUTED_VALUE"""),841)</f>
        <v>841</v>
      </c>
      <c r="B803" s="5">
        <f ca="1">IFERROR(__xludf.DUMMYFUNCTION("""COMPUTED_VALUE"""),551)</f>
        <v>551</v>
      </c>
      <c r="C803" s="5" t="str">
        <f ca="1">IFERROR(__xludf.DUMMYFUNCTION("""COMPUTED_VALUE"""),"Playnet")</f>
        <v>Playnet</v>
      </c>
      <c r="D803" s="5" t="str">
        <f ca="1">IFERROR(__xludf.DUMMYFUNCTION("""COMPUTED_VALUE"""),"Shadow Hunt 20")</f>
        <v>Shadow Hunt 20</v>
      </c>
      <c r="E803" s="5" t="str">
        <f ca="1">IFERROR(__xludf.DUMMYFUNCTION("""COMPUTED_VALUE"""),"Sertifikacioni")</f>
        <v>Sertifikacioni</v>
      </c>
      <c r="F803" s="5" t="str">
        <f ca="1">IFERROR(__xludf.DUMMYFUNCTION("""COMPUTED_VALUE"""),"PlayNetShadowHunt20")</f>
        <v>PlayNetShadowHunt20</v>
      </c>
      <c r="G803" s="5" t="str">
        <f ca="1">IFERROR(__xludf.DUMMYFUNCTION("""COMPUTED_VALUE"""),"Planned")</f>
        <v>Planned</v>
      </c>
      <c r="H803" s="5"/>
      <c r="I803" s="5"/>
      <c r="J803" s="5" t="str">
        <f ca="1">IFERROR(__xludf.DUMMYFUNCTION("""COMPUTED_VALUE"""),"JSON")</f>
        <v>JSON</v>
      </c>
      <c r="K803" s="5" t="str">
        <f ca="1">IFERROR(__xludf.DUMMYFUNCTION("""COMPUTED_VALUE"""),"Slot")</f>
        <v>Slot</v>
      </c>
      <c r="L803" s="5" t="str">
        <f ca="1">IFERROR(__xludf.DUMMYFUNCTION("""COMPUTED_VALUE""")," Clone")</f>
        <v xml:space="preserve"> Clone</v>
      </c>
      <c r="M803" s="5" t="str">
        <f ca="1">IFERROR(__xludf.DUMMYFUNCTION("""COMPUTED_VALUE"""),"Mega Hot 20")</f>
        <v>Mega Hot 20</v>
      </c>
      <c r="N803" s="5"/>
      <c r="O803" s="5"/>
      <c r="P803" s="5"/>
      <c r="Q803" s="15">
        <f ca="1">IFERROR(__xludf.DUMMYFUNCTION("""COMPUTED_VALUE"""),46265)</f>
        <v>46265</v>
      </c>
      <c r="R803" s="5"/>
      <c r="S803" s="15">
        <f ca="1">IFERROR(__xludf.DUMMYFUNCTION("""COMPUTED_VALUE"""),46279)</f>
        <v>46279</v>
      </c>
      <c r="T803" s="5" t="b">
        <f ca="1">IFERROR(__xludf.DUMMYFUNCTION("""COMPUTED_VALUE"""),TRUE)</f>
        <v>1</v>
      </c>
      <c r="U803" s="5"/>
      <c r="V803" s="5"/>
      <c r="W803" s="5"/>
      <c r="X803" s="5"/>
      <c r="Y803" s="5"/>
      <c r="Z803" s="5"/>
      <c r="AA803" s="5"/>
      <c r="AB803" s="5"/>
      <c r="AC803" s="5"/>
      <c r="AD803" s="5"/>
      <c r="AE803" s="5"/>
      <c r="AF803" s="5"/>
      <c r="AG803" s="10">
        <f ca="1">IFERROR(__xludf.DUMMYFUNCTION("""COMPUTED_VALUE"""),46231.4787037037)</f>
        <v>46231.478703703702</v>
      </c>
      <c r="AH803" s="5" t="str">
        <f ca="1">IFERROR(__xludf.DUMMYFUNCTION("""COMPUTED_VALUE"""),"danica.petrovic@fazi.rs")</f>
        <v>danica.petrovic@fazi.rs</v>
      </c>
      <c r="AI803" s="5"/>
      <c r="AJ803" s="5"/>
      <c r="AK803" s="5"/>
      <c r="AL803" s="5"/>
      <c r="AM803" s="5"/>
      <c r="AN803" s="5"/>
      <c r="AO803" s="5"/>
      <c r="AP803" s="5"/>
      <c r="AQ803" s="5"/>
      <c r="AR803" s="5"/>
      <c r="AS803" s="5"/>
      <c r="AT803" s="5"/>
      <c r="AU803" s="5" t="str">
        <f ca="1">IFERROR(__xludf.DUMMYFUNCTION("""COMPUTED_VALUE"""),"Fazi")</f>
        <v>Fazi</v>
      </c>
      <c r="AV803" s="5"/>
      <c r="AW803" s="5"/>
      <c r="AX803" s="15">
        <f ca="1">IFERROR(__xludf.DUMMYFUNCTION("""COMPUTED_VALUE"""),46259)</f>
        <v>46259</v>
      </c>
      <c r="AY803" s="5"/>
      <c r="AZ803" s="5"/>
      <c r="BA803" s="5"/>
      <c r="BB803" s="5"/>
      <c r="BC803" s="5" t="str">
        <f ca="1">IFERROR(__xludf.DUMMYFUNCTION("""COMPUTED_VALUE"""),"Playnet")</f>
        <v>Playnet</v>
      </c>
      <c r="BD803" s="5"/>
      <c r="BE803" s="5"/>
    </row>
    <row r="804" spans="1:57" x14ac:dyDescent="0.25">
      <c r="A804" s="5">
        <f ca="1">IFERROR(__xludf.DUMMYFUNCTION("""COMPUTED_VALUE"""),842)</f>
        <v>842</v>
      </c>
      <c r="B804" s="5">
        <f ca="1">IFERROR(__xludf.DUMMYFUNCTION("""COMPUTED_VALUE"""),-1)</f>
        <v>-1</v>
      </c>
      <c r="C804" s="5" t="str">
        <f ca="1">IFERROR(__xludf.DUMMYFUNCTION("""COMPUTED_VALUE"""),"Playnet")</f>
        <v>Playnet</v>
      </c>
      <c r="D804" s="5" t="str">
        <f ca="1">IFERROR(__xludf.DUMMYFUNCTION("""COMPUTED_VALUE"""),"27 Wild Stacks Extreme")</f>
        <v>27 Wild Stacks Extreme</v>
      </c>
      <c r="E804" s="5" t="str">
        <f ca="1">IFERROR(__xludf.DUMMYFUNCTION("""COMPUTED_VALUE"""),"Sertifikacioni")</f>
        <v>Sertifikacioni</v>
      </c>
      <c r="F804" s="5" t="str">
        <f ca="1">IFERROR(__xludf.DUMMYFUNCTION("""COMPUTED_VALUE"""),"TBD")</f>
        <v>TBD</v>
      </c>
      <c r="G804" s="5" t="str">
        <f ca="1">IFERROR(__xludf.DUMMYFUNCTION("""COMPUTED_VALUE"""),"Planned")</f>
        <v>Planned</v>
      </c>
      <c r="H804" s="5"/>
      <c r="I804" s="5"/>
      <c r="J804" s="5" t="str">
        <f ca="1">IFERROR(__xludf.DUMMYFUNCTION("""COMPUTED_VALUE"""),"JSON")</f>
        <v>JSON</v>
      </c>
      <c r="K804" s="5" t="str">
        <f ca="1">IFERROR(__xludf.DUMMYFUNCTION("""COMPUTED_VALUE"""),"Slot")</f>
        <v>Slot</v>
      </c>
      <c r="L804" s="5" t="str">
        <f ca="1">IFERROR(__xludf.DUMMYFUNCTION("""COMPUTED_VALUE""")," Clone")</f>
        <v xml:space="preserve"> Clone</v>
      </c>
      <c r="M804" s="5" t="str">
        <f ca="1">IFERROR(__xludf.DUMMYFUNCTION("""COMPUTED_VALUE"""),"Wild 27 Extreme")</f>
        <v>Wild 27 Extreme</v>
      </c>
      <c r="N804" s="5"/>
      <c r="O804" s="5"/>
      <c r="P804" s="5"/>
      <c r="Q804" s="15">
        <f ca="1">IFERROR(__xludf.DUMMYFUNCTION("""COMPUTED_VALUE"""),46265)</f>
        <v>46265</v>
      </c>
      <c r="R804" s="5"/>
      <c r="S804" s="15">
        <f ca="1">IFERROR(__xludf.DUMMYFUNCTION("""COMPUTED_VALUE"""),46267)</f>
        <v>46267</v>
      </c>
      <c r="T804" s="5" t="b">
        <f ca="1">IFERROR(__xludf.DUMMYFUNCTION("""COMPUTED_VALUE"""),TRUE)</f>
        <v>1</v>
      </c>
      <c r="U804" s="5"/>
      <c r="V804" s="5"/>
      <c r="W804" s="5"/>
      <c r="X804" s="5"/>
      <c r="Y804" s="5"/>
      <c r="Z804" s="5"/>
      <c r="AA804" s="5"/>
      <c r="AB804" s="5"/>
      <c r="AC804" s="5"/>
      <c r="AD804" s="5"/>
      <c r="AE804" s="5"/>
      <c r="AF804" s="5"/>
      <c r="AG804" s="10">
        <f ca="1">IFERROR(__xludf.DUMMYFUNCTION("""COMPUTED_VALUE"""),46183.6550231481)</f>
        <v>46183.655023148101</v>
      </c>
      <c r="AH804" s="5" t="str">
        <f ca="1">IFERROR(__xludf.DUMMYFUNCTION("""COMPUTED_VALUE"""),"vanja.svetska@fazi.rs")</f>
        <v>vanja.svetska@fazi.rs</v>
      </c>
      <c r="AI804" s="5"/>
      <c r="AJ804" s="5"/>
      <c r="AK804" s="5"/>
      <c r="AL804" s="5"/>
      <c r="AM804" s="5"/>
      <c r="AN804" s="5"/>
      <c r="AO804" s="5"/>
      <c r="AP804" s="5"/>
      <c r="AQ804" s="5"/>
      <c r="AR804" s="5"/>
      <c r="AS804" s="5"/>
      <c r="AT804" s="5"/>
      <c r="AU804" s="5" t="str">
        <f ca="1">IFERROR(__xludf.DUMMYFUNCTION("""COMPUTED_VALUE"""),"Fazi")</f>
        <v>Fazi</v>
      </c>
      <c r="AV804" s="5"/>
      <c r="AW804" s="5"/>
      <c r="AX804" s="15">
        <f ca="1">IFERROR(__xludf.DUMMYFUNCTION("""COMPUTED_VALUE"""),46259)</f>
        <v>46259</v>
      </c>
      <c r="AY804" s="5"/>
      <c r="AZ804" s="5"/>
      <c r="BA804" s="5"/>
      <c r="BB804" s="5"/>
      <c r="BC804" s="5" t="str">
        <f ca="1">IFERROR(__xludf.DUMMYFUNCTION("""COMPUTED_VALUE"""),"Playnet")</f>
        <v>Playnet</v>
      </c>
      <c r="BD804" s="5"/>
      <c r="BE804" s="5"/>
    </row>
    <row r="805" spans="1:57" x14ac:dyDescent="0.25">
      <c r="A805" s="5">
        <f ca="1">IFERROR(__xludf.DUMMYFUNCTION("""COMPUTED_VALUE"""),843)</f>
        <v>843</v>
      </c>
      <c r="B805" s="5">
        <f ca="1">IFERROR(__xludf.DUMMYFUNCTION("""COMPUTED_VALUE"""),180087)</f>
        <v>180087</v>
      </c>
      <c r="C805" s="5" t="str">
        <f ca="1">IFERROR(__xludf.DUMMYFUNCTION("""COMPUTED_VALUE"""),"Redstone")</f>
        <v>Redstone</v>
      </c>
      <c r="D805" s="5" t="str">
        <f ca="1">IFERROR(__xludf.DUMMYFUNCTION("""COMPUTED_VALUE"""),"Lucky Lucky Bells")</f>
        <v>Lucky Lucky Bells</v>
      </c>
      <c r="E805" s="5" t="str">
        <f ca="1">IFERROR(__xludf.DUMMYFUNCTION("""COMPUTED_VALUE"""),"Redstone")</f>
        <v>Redstone</v>
      </c>
      <c r="F805" s="5" t="str">
        <f ca="1">IFERROR(__xludf.DUMMYFUNCTION("""COMPUTED_VALUE"""),"RedstoneLuckyLuckyBells")</f>
        <v>RedstoneLuckyLuckyBells</v>
      </c>
      <c r="G805" s="5" t="str">
        <f ca="1">IFERROR(__xludf.DUMMYFUNCTION("""COMPUTED_VALUE"""),"Deployed")</f>
        <v>Deployed</v>
      </c>
      <c r="H805" s="5"/>
      <c r="I805" s="5"/>
      <c r="J805" s="5" t="str">
        <f ca="1">IFERROR(__xludf.DUMMYFUNCTION("""COMPUTED_VALUE"""),"JSON")</f>
        <v>JSON</v>
      </c>
      <c r="K805" s="5" t="str">
        <f ca="1">IFERROR(__xludf.DUMMYFUNCTION("""COMPUTED_VALUE"""),"Slot")</f>
        <v>Slot</v>
      </c>
      <c r="L805" s="5" t="str">
        <f ca="1">IFERROR(__xludf.DUMMYFUNCTION("""COMPUTED_VALUE"""),"Master")</f>
        <v>Master</v>
      </c>
      <c r="M805" s="5"/>
      <c r="N805" s="7" t="str">
        <f ca="1">IFERROR(__xludf.DUMMYFUNCTION("""COMPUTED_VALUE"""),"https://drive.google.com/file/d/1OcQy9RzN8DA0FHZWrpaWZWvZVvkB8v4f/view?usp=drive_link")</f>
        <v>https://drive.google.com/file/d/1OcQy9RzN8DA0FHZWrpaWZWvZVvkB8v4f/view?usp=drive_link</v>
      </c>
      <c r="O805" s="7" t="str">
        <f ca="1">IFERROR(__xludf.DUMMYFUNCTION("""COMPUTED_VALUE"""),"https://drive.google.com/file/d/1JHdeWf7t5_oOGjzMNPMThT3v8di0qzBX/view?usp=drive_link")</f>
        <v>https://drive.google.com/file/d/1JHdeWf7t5_oOGjzMNPMThT3v8di0qzBX/view?usp=drive_link</v>
      </c>
      <c r="P805" s="14">
        <f ca="1">IFERROR(__xludf.DUMMYFUNCTION("""COMPUTED_VALUE"""),12.3)</f>
        <v>12.3</v>
      </c>
      <c r="Q805" s="15">
        <f ca="1">IFERROR(__xludf.DUMMYFUNCTION("""COMPUTED_VALUE"""),46223)</f>
        <v>46223</v>
      </c>
      <c r="R805" s="15">
        <f ca="1">IFERROR(__xludf.DUMMYFUNCTION("""COMPUTED_VALUE"""),46226)</f>
        <v>46226</v>
      </c>
      <c r="S805" s="15">
        <f ca="1">IFERROR(__xludf.DUMMYFUNCTION("""COMPUTED_VALUE"""),46233)</f>
        <v>46233</v>
      </c>
      <c r="T805" s="5" t="b">
        <f ca="1">IFERROR(__xludf.DUMMYFUNCTION("""COMPUTED_VALUE"""),TRUE)</f>
        <v>1</v>
      </c>
      <c r="U805" s="5" t="str">
        <f ca="1">IFERROR(__xludf.DUMMYFUNCTION("""COMPUTED_VALUE"""),"3x3")</f>
        <v>3x3</v>
      </c>
      <c r="V805" s="5">
        <f ca="1">IFERROR(__xludf.DUMMYFUNCTION("""COMPUTED_VALUE"""),5)</f>
        <v>5</v>
      </c>
      <c r="W805" s="5">
        <f ca="1">IFERROR(__xludf.DUMMYFUNCTION("""COMPUTED_VALUE"""),5)</f>
        <v>5</v>
      </c>
      <c r="X805" s="5">
        <f ca="1">IFERROR(__xludf.DUMMYFUNCTION("""COMPUTED_VALUE"""),96.64)</f>
        <v>96.64</v>
      </c>
      <c r="Y805" s="5" t="str">
        <f ca="1">IFERROR(__xludf.DUMMYFUNCTION("""COMPUTED_VALUE"""),"Low")</f>
        <v>Low</v>
      </c>
      <c r="Z805" s="5">
        <f ca="1">IFERROR(__xludf.DUMMYFUNCTION("""COMPUTED_VALUE"""),10.5)</f>
        <v>10.5</v>
      </c>
      <c r="AA805" s="5">
        <f ca="1">IFERROR(__xludf.DUMMYFUNCTION("""COMPUTED_VALUE"""),1003)</f>
        <v>1003</v>
      </c>
      <c r="AB805" s="5"/>
      <c r="AC805" s="5" t="str">
        <f ca="1">IFERROR(__xludf.DUMMYFUNCTION("""COMPUTED_VALUE"""),"Wild Symbol, Scatter")</f>
        <v>Wild Symbol, Scatter</v>
      </c>
      <c r="AD805" s="5" t="str">
        <f ca="1">IFERROR(__xludf.DUMMYFUNCTION("""COMPUTED_VALUE"""),"0.10/50")</f>
        <v>0.10/50</v>
      </c>
      <c r="AE805" s="5"/>
      <c r="AF805" s="5"/>
      <c r="AG805" s="10">
        <f ca="1">IFERROR(__xludf.DUMMYFUNCTION("""COMPUTED_VALUE"""),46225.4270486111)</f>
        <v>46225.427048611098</v>
      </c>
      <c r="AH805" s="5" t="str">
        <f ca="1">IFERROR(__xludf.DUMMYFUNCTION("""COMPUTED_VALUE"""),"danica.petrovic@fazi.rs")</f>
        <v>danica.petrovic@fazi.rs</v>
      </c>
      <c r="AI805" s="5"/>
      <c r="AJ805" s="5"/>
      <c r="AK805" s="5">
        <f ca="1">IFERROR(__xludf.DUMMYFUNCTION("""COMPUTED_VALUE"""),1)</f>
        <v>1</v>
      </c>
      <c r="AL805" s="5" t="str">
        <f ca="1">IFERROR(__xludf.DUMMYFUNCTION("""COMPUTED_VALUE"""),"No")</f>
        <v>No</v>
      </c>
      <c r="AM805" s="5" t="str">
        <f ca="1">IFERROR(__xludf.DUMMYFUNCTION("""COMPUTED_VALUE"""),"No")</f>
        <v>No</v>
      </c>
      <c r="AN805" s="7" t="str">
        <f ca="1">IFERROR(__xludf.DUMMYFUNCTION("""COMPUTED_VALUE"""),"https://static.redstone.rs/games/lucky-lucky-bells/")</f>
        <v>https://static.redstone.rs/games/lucky-lucky-bells/</v>
      </c>
      <c r="AO805" s="5" t="str">
        <f ca="1">IFERROR(__xludf.DUMMYFUNCTION("""COMPUTED_VALUE"""),"No")</f>
        <v>No</v>
      </c>
      <c r="AP805" s="5" t="str">
        <f ca="1">IFERROR(__xludf.DUMMYFUNCTION("""COMPUTED_VALUE"""),"No")</f>
        <v>No</v>
      </c>
      <c r="AQ805" s="5" t="b">
        <f ca="1">IFERROR(__xludf.DUMMYFUNCTION("""COMPUTED_VALUE"""),TRUE)</f>
        <v>1</v>
      </c>
      <c r="AR805" s="5"/>
      <c r="AS805" s="5" t="str">
        <f ca="1">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AT805" s="5"/>
      <c r="AU805" s="5" t="str">
        <f ca="1">IFERROR(__xludf.DUMMYFUNCTION("""COMPUTED_VALUE"""),"Redstone")</f>
        <v>Redstone</v>
      </c>
      <c r="AV805" s="5">
        <f ca="1">IFERROR(__xludf.DUMMYFUNCTION("""COMPUTED_VALUE"""),10)</f>
        <v>10</v>
      </c>
      <c r="AW805" s="5"/>
      <c r="AX805" s="15">
        <f ca="1">IFERROR(__xludf.DUMMYFUNCTION("""COMPUTED_VALUE"""),46217)</f>
        <v>46217</v>
      </c>
      <c r="AY805" s="5"/>
      <c r="AZ805" s="5"/>
      <c r="BA805" s="5"/>
      <c r="BB805" s="5" t="b">
        <f ca="1">IFERROR(__xludf.DUMMYFUNCTION("""COMPUTED_VALUE"""),TRUE)</f>
        <v>1</v>
      </c>
      <c r="BC805" s="5" t="str">
        <f ca="1">IFERROR(__xludf.DUMMYFUNCTION("""COMPUTED_VALUE"""),"Redstone")</f>
        <v>Redstone</v>
      </c>
      <c r="BD805" s="7" t="str">
        <f ca="1">IFERROR(__xludf.DUMMYFUNCTION("""COMPUTED_VALUE"""),"https://gameserver-store-client-area.orbionlimited.com/Home/IntegrationGameLaunch/client-area?moneyType=0&amp;gameName=RedstoneLuckyLuckyBells&amp;platform=desktop&amp;languageCode=eng&amp;currency=EUR")</f>
        <v>https://gameserver-store-client-area.orbionlimited.com/Home/IntegrationGameLaunch/client-area?moneyType=0&amp;gameName=RedstoneLuckyLuckyBells&amp;platform=desktop&amp;languageCode=eng&amp;currency=EUR</v>
      </c>
      <c r="BE805" s="5" t="b">
        <f ca="1">IFERROR(__xludf.DUMMYFUNCTION("""COMPUTED_VALUE"""),TRUE)</f>
        <v>1</v>
      </c>
    </row>
    <row r="806" spans="1:57" x14ac:dyDescent="0.25">
      <c r="A806" s="5">
        <f ca="1">IFERROR(__xludf.DUMMYFUNCTION("""COMPUTED_VALUE"""),844)</f>
        <v>844</v>
      </c>
      <c r="B806" s="5">
        <f ca="1">IFERROR(__xludf.DUMMYFUNCTION("""COMPUTED_VALUE"""),180088)</f>
        <v>180088</v>
      </c>
      <c r="C806" s="5" t="str">
        <f ca="1">IFERROR(__xludf.DUMMYFUNCTION("""COMPUTED_VALUE"""),"Redstone")</f>
        <v>Redstone</v>
      </c>
      <c r="D806" s="5" t="str">
        <f ca="1">IFERROR(__xludf.DUMMYFUNCTION("""COMPUTED_VALUE"""),"Clover Fire 1000")</f>
        <v>Clover Fire 1000</v>
      </c>
      <c r="E806" s="5" t="str">
        <f ca="1">IFERROR(__xludf.DUMMYFUNCTION("""COMPUTED_VALUE"""),"Redstone")</f>
        <v>Redstone</v>
      </c>
      <c r="F806" s="5" t="str">
        <f ca="1">IFERROR(__xludf.DUMMYFUNCTION("""COMPUTED_VALUE"""),"RedstoneCloverFire1000")</f>
        <v>RedstoneCloverFire1000</v>
      </c>
      <c r="G806" s="5" t="str">
        <f ca="1">IFERROR(__xludf.DUMMYFUNCTION("""COMPUTED_VALUE"""),"Deployed")</f>
        <v>Deployed</v>
      </c>
      <c r="H806" s="5"/>
      <c r="I806" s="5" t="str">
        <f ca="1">IFERROR(__xludf.DUMMYFUNCTION("""COMPUTED_VALUE"""),"Redstone")</f>
        <v>Redstone</v>
      </c>
      <c r="J806" s="5" t="str">
        <f ca="1">IFERROR(__xludf.DUMMYFUNCTION("""COMPUTED_VALUE"""),"JSON")</f>
        <v>JSON</v>
      </c>
      <c r="K806" s="5" t="str">
        <f ca="1">IFERROR(__xludf.DUMMYFUNCTION("""COMPUTED_VALUE"""),"Slot")</f>
        <v>Slot</v>
      </c>
      <c r="L806" s="5" t="str">
        <f ca="1">IFERROR(__xludf.DUMMYFUNCTION("""COMPUTED_VALUE"""),"Master")</f>
        <v>Master</v>
      </c>
      <c r="M806" s="5"/>
      <c r="N806" s="7" t="str">
        <f ca="1">IFERROR(__xludf.DUMMYFUNCTION("""COMPUTED_VALUE"""),"https://drive.google.com/file/d/1s18KWxLBweWnNBhm5gcm9LIcbFlTRTX_/view?usp=drive_link")</f>
        <v>https://drive.google.com/file/d/1s18KWxLBweWnNBhm5gcm9LIcbFlTRTX_/view?usp=drive_link</v>
      </c>
      <c r="O806" s="7" t="str">
        <f ca="1">IFERROR(__xludf.DUMMYFUNCTION("""COMPUTED_VALUE"""),"https://drive.google.com/file/d/10rV4fotC8qoSNCHiRcLITCnXVGI7dtFg/view?usp=drive_link")</f>
        <v>https://drive.google.com/file/d/10rV4fotC8qoSNCHiRcLITCnXVGI7dtFg/view?usp=drive_link</v>
      </c>
      <c r="P806" s="14">
        <f ca="1">IFERROR(__xludf.DUMMYFUNCTION("""COMPUTED_VALUE"""),8.8)</f>
        <v>8.8000000000000007</v>
      </c>
      <c r="Q806" s="15">
        <f ca="1">IFERROR(__xludf.DUMMYFUNCTION("""COMPUTED_VALUE"""),46237)</f>
        <v>46237</v>
      </c>
      <c r="R806" s="15">
        <f ca="1">IFERROR(__xludf.DUMMYFUNCTION("""COMPUTED_VALUE"""),46237)</f>
        <v>46237</v>
      </c>
      <c r="S806" s="15">
        <f ca="1">IFERROR(__xludf.DUMMYFUNCTION("""COMPUTED_VALUE"""),46244)</f>
        <v>46244</v>
      </c>
      <c r="T806" s="5" t="b">
        <f ca="1">IFERROR(__xludf.DUMMYFUNCTION("""COMPUTED_VALUE"""),TRUE)</f>
        <v>1</v>
      </c>
      <c r="U806" s="5" t="str">
        <f ca="1">IFERROR(__xludf.DUMMYFUNCTION("""COMPUTED_VALUE"""),"5x3")</f>
        <v>5x3</v>
      </c>
      <c r="V806" s="5">
        <f ca="1">IFERROR(__xludf.DUMMYFUNCTION("""COMPUTED_VALUE"""),5)</f>
        <v>5</v>
      </c>
      <c r="W806" s="5">
        <f ca="1">IFERROR(__xludf.DUMMYFUNCTION("""COMPUTED_VALUE"""),5)</f>
        <v>5</v>
      </c>
      <c r="X806" s="5">
        <f ca="1">IFERROR(__xludf.DUMMYFUNCTION("""COMPUTED_VALUE"""),96.03)</f>
        <v>96.03</v>
      </c>
      <c r="Y806" s="5" t="str">
        <f ca="1">IFERROR(__xludf.DUMMYFUNCTION("""COMPUTED_VALUE"""),"Medium")</f>
        <v>Medium</v>
      </c>
      <c r="Z806" s="5">
        <f ca="1">IFERROR(__xludf.DUMMYFUNCTION("""COMPUTED_VALUE"""),13.54)</f>
        <v>13.54</v>
      </c>
      <c r="AA806" s="5">
        <f ca="1">IFERROR(__xludf.DUMMYFUNCTION("""COMPUTED_VALUE"""),1000)</f>
        <v>1000</v>
      </c>
      <c r="AB806" s="5"/>
      <c r="AC806" s="5" t="str">
        <f ca="1">IFERROR(__xludf.DUMMYFUNCTION("""COMPUTED_VALUE"""),"Expanding Wild, Scatter")</f>
        <v>Expanding Wild, Scatter</v>
      </c>
      <c r="AD806" s="5" t="str">
        <f ca="1">IFERROR(__xludf.DUMMYFUNCTION("""COMPUTED_VALUE"""),"0.10/50")</f>
        <v>0.10/50</v>
      </c>
      <c r="AE806" s="5"/>
      <c r="AF806" s="5"/>
      <c r="AG806" s="10">
        <f ca="1">IFERROR(__xludf.DUMMYFUNCTION("""COMPUTED_VALUE"""),46232.5671643518)</f>
        <v>46232.5671643518</v>
      </c>
      <c r="AH806" s="5" t="str">
        <f ca="1">IFERROR(__xludf.DUMMYFUNCTION("""COMPUTED_VALUE"""),"selena.mihajlovic@fazi.rs")</f>
        <v>selena.mihajlovic@fazi.rs</v>
      </c>
      <c r="AI806" s="5"/>
      <c r="AJ806" s="5"/>
      <c r="AK806" s="5">
        <f ca="1">IFERROR(__xludf.DUMMYFUNCTION("""COMPUTED_VALUE"""),1)</f>
        <v>1</v>
      </c>
      <c r="AL806" s="5" t="str">
        <f ca="1">IFERROR(__xludf.DUMMYFUNCTION("""COMPUTED_VALUE"""),"No")</f>
        <v>No</v>
      </c>
      <c r="AM806" s="5" t="str">
        <f ca="1">IFERROR(__xludf.DUMMYFUNCTION("""COMPUTED_VALUE"""),"No")</f>
        <v>No</v>
      </c>
      <c r="AN806" s="7" t="str">
        <f ca="1">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AO806" s="5" t="str">
        <f ca="1">IFERROR(__xludf.DUMMYFUNCTION("""COMPUTED_VALUE"""),"No")</f>
        <v>No</v>
      </c>
      <c r="AP806" s="5" t="str">
        <f ca="1">IFERROR(__xludf.DUMMYFUNCTION("""COMPUTED_VALUE"""),"No")</f>
        <v>No</v>
      </c>
      <c r="AQ806" s="5" t="b">
        <f ca="1">IFERROR(__xludf.DUMMYFUNCTION("""COMPUTED_VALUE"""),TRUE)</f>
        <v>1</v>
      </c>
      <c r="AR806" s="5"/>
      <c r="AS806" s="5" t="str">
        <f ca="1">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AT806" s="5"/>
      <c r="AU806" s="5" t="str">
        <f ca="1">IFERROR(__xludf.DUMMYFUNCTION("""COMPUTED_VALUE"""),"Redstone")</f>
        <v>Redstone</v>
      </c>
      <c r="AV806" s="5"/>
      <c r="AW806" s="5"/>
      <c r="AX806" s="15">
        <f ca="1">IFERROR(__xludf.DUMMYFUNCTION("""COMPUTED_VALUE"""),46231)</f>
        <v>46231</v>
      </c>
      <c r="AY806" s="5"/>
      <c r="AZ806" s="5"/>
      <c r="BA806" s="5"/>
      <c r="BB806" s="5" t="b">
        <f ca="1">IFERROR(__xludf.DUMMYFUNCTION("""COMPUTED_VALUE"""),TRUE)</f>
        <v>1</v>
      </c>
      <c r="BC806" s="5" t="str">
        <f ca="1">IFERROR(__xludf.DUMMYFUNCTION("""COMPUTED_VALUE"""),"Redstone")</f>
        <v>Redstone</v>
      </c>
      <c r="BD806" s="7" t="str">
        <f ca="1">IFERROR(__xludf.DUMMYFUNCTION("""COMPUTED_VALUE"""),"https://gameserver-store-client-area.orbionlimited.com/Home/IntegrationGameLaunch/client-area?moneyType=0&amp;gameName=RedstoneCloverFire1000&amp;platform=desktop&amp;languageCode=eng&amp;currency=EUR")</f>
        <v>https://gameserver-store-client-area.orbionlimited.com/Home/IntegrationGameLaunch/client-area?moneyType=0&amp;gameName=RedstoneCloverFire1000&amp;platform=desktop&amp;languageCode=eng&amp;currency=EUR</v>
      </c>
      <c r="BE806" s="5" t="b">
        <f ca="1">IFERROR(__xludf.DUMMYFUNCTION("""COMPUTED_VALUE"""),TRUE)</f>
        <v>1</v>
      </c>
    </row>
    <row r="807" spans="1:57" x14ac:dyDescent="0.25">
      <c r="A807" s="5">
        <f ca="1">IFERROR(__xludf.DUMMYFUNCTION("""COMPUTED_VALUE"""),845)</f>
        <v>845</v>
      </c>
      <c r="B807" s="5">
        <f ca="1">IFERROR(__xludf.DUMMYFUNCTION("""COMPUTED_VALUE"""),180089)</f>
        <v>180089</v>
      </c>
      <c r="C807" s="5" t="str">
        <f ca="1">IFERROR(__xludf.DUMMYFUNCTION("""COMPUTED_VALUE"""),"Redstone")</f>
        <v>Redstone</v>
      </c>
      <c r="D807" s="5" t="str">
        <f ca="1">IFERROR(__xludf.DUMMYFUNCTION("""COMPUTED_VALUE"""),"Wild Heart 1000")</f>
        <v>Wild Heart 1000</v>
      </c>
      <c r="E807" s="5" t="str">
        <f ca="1">IFERROR(__xludf.DUMMYFUNCTION("""COMPUTED_VALUE"""),"Redstone")</f>
        <v>Redstone</v>
      </c>
      <c r="F807" s="5" t="str">
        <f ca="1">IFERROR(__xludf.DUMMYFUNCTION("""COMPUTED_VALUE"""),"RedstoneWildHeart1000")</f>
        <v>RedstoneWildHeart1000</v>
      </c>
      <c r="G807" s="5" t="str">
        <f ca="1">IFERROR(__xludf.DUMMYFUNCTION("""COMPUTED_VALUE"""),"Deployed")</f>
        <v>Deployed</v>
      </c>
      <c r="H807" s="5"/>
      <c r="I807" s="5" t="str">
        <f ca="1">IFERROR(__xludf.DUMMYFUNCTION("""COMPUTED_VALUE"""),"Redstone")</f>
        <v>Redstone</v>
      </c>
      <c r="J807" s="5" t="str">
        <f ca="1">IFERROR(__xludf.DUMMYFUNCTION("""COMPUTED_VALUE"""),"JSON")</f>
        <v>JSON</v>
      </c>
      <c r="K807" s="5" t="str">
        <f ca="1">IFERROR(__xludf.DUMMYFUNCTION("""COMPUTED_VALUE"""),"Slot")</f>
        <v>Slot</v>
      </c>
      <c r="L807" s="5"/>
      <c r="M807" s="5"/>
      <c r="N807" s="7" t="str">
        <f ca="1">IFERROR(__xludf.DUMMYFUNCTION("""COMPUTED_VALUE"""),"https://drive.google.com/file/d/1O52UGr6YBo2Bg0Dy0xPSY9xtFETqmMjW/view?usp=drive_link")</f>
        <v>https://drive.google.com/file/d/1O52UGr6YBo2Bg0Dy0xPSY9xtFETqmMjW/view?usp=drive_link</v>
      </c>
      <c r="O807" s="7" t="str">
        <f ca="1">IFERROR(__xludf.DUMMYFUNCTION("""COMPUTED_VALUE"""),"https://drive.google.com/file/d/17XbSts2nKODexFcKfBq2IOAyMVhi7UqQ/view?usp=drive_link")</f>
        <v>https://drive.google.com/file/d/17XbSts2nKODexFcKfBq2IOAyMVhi7UqQ/view?usp=drive_link</v>
      </c>
      <c r="P807" s="14">
        <f ca="1">IFERROR(__xludf.DUMMYFUNCTION("""COMPUTED_VALUE"""),8.7)</f>
        <v>8.6999999999999993</v>
      </c>
      <c r="Q807" s="15">
        <f ca="1">IFERROR(__xludf.DUMMYFUNCTION("""COMPUTED_VALUE"""),46251)</f>
        <v>46251</v>
      </c>
      <c r="R807" s="15">
        <f ca="1">IFERROR(__xludf.DUMMYFUNCTION("""COMPUTED_VALUE"""),46252)</f>
        <v>46252</v>
      </c>
      <c r="S807" s="15">
        <f ca="1">IFERROR(__xludf.DUMMYFUNCTION("""COMPUTED_VALUE"""),46259)</f>
        <v>46259</v>
      </c>
      <c r="T807" s="5" t="b">
        <f ca="1">IFERROR(__xludf.DUMMYFUNCTION("""COMPUTED_VALUE"""),TRUE)</f>
        <v>1</v>
      </c>
      <c r="U807" s="5" t="str">
        <f ca="1">IFERROR(__xludf.DUMMYFUNCTION("""COMPUTED_VALUE"""),"5x3")</f>
        <v>5x3</v>
      </c>
      <c r="V807" s="5">
        <f ca="1">IFERROR(__xludf.DUMMYFUNCTION("""COMPUTED_VALUE"""),5)</f>
        <v>5</v>
      </c>
      <c r="W807" s="5">
        <f ca="1">IFERROR(__xludf.DUMMYFUNCTION("""COMPUTED_VALUE"""),5)</f>
        <v>5</v>
      </c>
      <c r="X807" s="5">
        <f ca="1">IFERROR(__xludf.DUMMYFUNCTION("""COMPUTED_VALUE"""),96.03)</f>
        <v>96.03</v>
      </c>
      <c r="Y807" s="5" t="str">
        <f ca="1">IFERROR(__xludf.DUMMYFUNCTION("""COMPUTED_VALUE"""),"Medium")</f>
        <v>Medium</v>
      </c>
      <c r="Z807" s="5">
        <f ca="1">IFERROR(__xludf.DUMMYFUNCTION("""COMPUTED_VALUE"""),13.54)</f>
        <v>13.54</v>
      </c>
      <c r="AA807" s="5">
        <f ca="1">IFERROR(__xludf.DUMMYFUNCTION("""COMPUTED_VALUE"""),1000)</f>
        <v>1000</v>
      </c>
      <c r="AB807" s="5"/>
      <c r="AC807" s="5" t="str">
        <f ca="1">IFERROR(__xludf.DUMMYFUNCTION("""COMPUTED_VALUE"""),"Expanding Wild, Scatter")</f>
        <v>Expanding Wild, Scatter</v>
      </c>
      <c r="AD807" s="5" t="str">
        <f ca="1">IFERROR(__xludf.DUMMYFUNCTION("""COMPUTED_VALUE"""),"0.10/50")</f>
        <v>0.10/50</v>
      </c>
      <c r="AE807" s="5"/>
      <c r="AF807" s="5"/>
      <c r="AG807" s="10">
        <f ca="1">IFERROR(__xludf.DUMMYFUNCTION("""COMPUTED_VALUE"""),46232.5700347222)</f>
        <v>46232.570034722201</v>
      </c>
      <c r="AH807" s="5" t="str">
        <f ca="1">IFERROR(__xludf.DUMMYFUNCTION("""COMPUTED_VALUE"""),"selena.mihajlovic@fazi.rs")</f>
        <v>selena.mihajlovic@fazi.rs</v>
      </c>
      <c r="AI807" s="5"/>
      <c r="AJ807" s="5"/>
      <c r="AK807" s="5">
        <f ca="1">IFERROR(__xludf.DUMMYFUNCTION("""COMPUTED_VALUE"""),1)</f>
        <v>1</v>
      </c>
      <c r="AL807" s="5" t="str">
        <f ca="1">IFERROR(__xludf.DUMMYFUNCTION("""COMPUTED_VALUE"""),"No")</f>
        <v>No</v>
      </c>
      <c r="AM807" s="5" t="str">
        <f ca="1">IFERROR(__xludf.DUMMYFUNCTION("""COMPUTED_VALUE"""),"No")</f>
        <v>No</v>
      </c>
      <c r="AN807" s="7" t="str">
        <f ca="1">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AO807" s="5" t="str">
        <f ca="1">IFERROR(__xludf.DUMMYFUNCTION("""COMPUTED_VALUE"""),"No")</f>
        <v>No</v>
      </c>
      <c r="AP807" s="5" t="str">
        <f ca="1">IFERROR(__xludf.DUMMYFUNCTION("""COMPUTED_VALUE"""),"No")</f>
        <v>No</v>
      </c>
      <c r="AQ807" s="5" t="b">
        <f ca="1">IFERROR(__xludf.DUMMYFUNCTION("""COMPUTED_VALUE"""),TRUE)</f>
        <v>1</v>
      </c>
      <c r="AR807" s="5"/>
      <c r="AS807" s="5" t="str">
        <f ca="1">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AT807" s="5"/>
      <c r="AU807" s="5" t="str">
        <f ca="1">IFERROR(__xludf.DUMMYFUNCTION("""COMPUTED_VALUE"""),"Redstone")</f>
        <v>Redstone</v>
      </c>
      <c r="AV807" s="5">
        <f ca="1">IFERROR(__xludf.DUMMYFUNCTION("""COMPUTED_VALUE"""),10)</f>
        <v>10</v>
      </c>
      <c r="AW807" s="5"/>
      <c r="AX807" s="15">
        <f ca="1">IFERROR(__xludf.DUMMYFUNCTION("""COMPUTED_VALUE"""),46245)</f>
        <v>46245</v>
      </c>
      <c r="AY807" s="5"/>
      <c r="AZ807" s="5"/>
      <c r="BA807" s="5"/>
      <c r="BB807" s="5" t="b">
        <f ca="1">IFERROR(__xludf.DUMMYFUNCTION("""COMPUTED_VALUE"""),TRUE)</f>
        <v>1</v>
      </c>
      <c r="BC807" s="5" t="str">
        <f ca="1">IFERROR(__xludf.DUMMYFUNCTION("""COMPUTED_VALUE"""),"Redstone")</f>
        <v>Redstone</v>
      </c>
      <c r="BD807" s="7" t="str">
        <f ca="1">IFERROR(__xludf.DUMMYFUNCTION("""COMPUTED_VALUE"""),"https://gameserver-store-client-area.orbionlimited.com/Home/IntegrationGameLaunch/client-area?moneyType=0&amp;gameName=RedstoneWildHeart1000&amp;platform=desktop&amp;languageCode=eng&amp;currency=EUR")</f>
        <v>https://gameserver-store-client-area.orbionlimited.com/Home/IntegrationGameLaunch/client-area?moneyType=0&amp;gameName=RedstoneWildHeart1000&amp;platform=desktop&amp;languageCode=eng&amp;currency=EUR</v>
      </c>
      <c r="BE807" s="5" t="b">
        <f ca="1">IFERROR(__xludf.DUMMYFUNCTION("""COMPUTED_VALUE"""),TRUE)</f>
        <v>1</v>
      </c>
    </row>
    <row r="808" spans="1:57" x14ac:dyDescent="0.25">
      <c r="A808" s="5">
        <f ca="1">IFERROR(__xludf.DUMMYFUNCTION("""COMPUTED_VALUE"""),846)</f>
        <v>846</v>
      </c>
      <c r="B808" s="5">
        <f ca="1">IFERROR(__xludf.DUMMYFUNCTION("""COMPUTED_VALUE"""),180090)</f>
        <v>180090</v>
      </c>
      <c r="C808" s="5" t="str">
        <f ca="1">IFERROR(__xludf.DUMMYFUNCTION("""COMPUTED_VALUE"""),"Redstone")</f>
        <v>Redstone</v>
      </c>
      <c r="D808" s="5" t="str">
        <f ca="1">IFERROR(__xludf.DUMMYFUNCTION("""COMPUTED_VALUE"""),"Wild Crown 1000")</f>
        <v>Wild Crown 1000</v>
      </c>
      <c r="E808" s="5" t="str">
        <f ca="1">IFERROR(__xludf.DUMMYFUNCTION("""COMPUTED_VALUE"""),"Redstone")</f>
        <v>Redstone</v>
      </c>
      <c r="F808" s="5" t="str">
        <f ca="1">IFERROR(__xludf.DUMMYFUNCTION("""COMPUTED_VALUE"""),"RedstoneWildCrown1000")</f>
        <v>RedstoneWildCrown1000</v>
      </c>
      <c r="G808" s="5" t="str">
        <f ca="1">IFERROR(__xludf.DUMMYFUNCTION("""COMPUTED_VALUE"""),"Deployed")</f>
        <v>Deployed</v>
      </c>
      <c r="H808" s="5"/>
      <c r="I808" s="5" t="str">
        <f ca="1">IFERROR(__xludf.DUMMYFUNCTION("""COMPUTED_VALUE"""),"Redstone")</f>
        <v>Redstone</v>
      </c>
      <c r="J808" s="5" t="str">
        <f ca="1">IFERROR(__xludf.DUMMYFUNCTION("""COMPUTED_VALUE"""),"JSON")</f>
        <v>JSON</v>
      </c>
      <c r="K808" s="5" t="str">
        <f ca="1">IFERROR(__xludf.DUMMYFUNCTION("""COMPUTED_VALUE"""),"Slot")</f>
        <v>Slot</v>
      </c>
      <c r="L808" s="5"/>
      <c r="M808" s="5"/>
      <c r="N808" s="7" t="str">
        <f ca="1">IFERROR(__xludf.DUMMYFUNCTION("""COMPUTED_VALUE"""),"https://drive.google.com/file/d/1OeRwzK0jpkY2oMN3vSTjTspcEjbdvF04/view?usp=drive_link")</f>
        <v>https://drive.google.com/file/d/1OeRwzK0jpkY2oMN3vSTjTspcEjbdvF04/view?usp=drive_link</v>
      </c>
      <c r="O808" s="7" t="str">
        <f ca="1">IFERROR(__xludf.DUMMYFUNCTION("""COMPUTED_VALUE"""),"https://drive.google.com/file/d/1Y8d2xqBTOeIyprsumhn8cASXF85S0wcQ/view?usp=drive_link")</f>
        <v>https://drive.google.com/file/d/1Y8d2xqBTOeIyprsumhn8cASXF85S0wcQ/view?usp=drive_link</v>
      </c>
      <c r="P808" s="14">
        <f ca="1">IFERROR(__xludf.DUMMYFUNCTION("""COMPUTED_VALUE"""),8.7)</f>
        <v>8.6999999999999993</v>
      </c>
      <c r="Q808" s="15">
        <f ca="1">IFERROR(__xludf.DUMMYFUNCTION("""COMPUTED_VALUE"""),46279)</f>
        <v>46279</v>
      </c>
      <c r="R808" s="5"/>
      <c r="S808" s="15">
        <f ca="1">IFERROR(__xludf.DUMMYFUNCTION("""COMPUTED_VALUE"""),46287)</f>
        <v>46287</v>
      </c>
      <c r="T808" s="5" t="b">
        <f ca="1">IFERROR(__xludf.DUMMYFUNCTION("""COMPUTED_VALUE"""),TRUE)</f>
        <v>1</v>
      </c>
      <c r="U808" s="5" t="str">
        <f ca="1">IFERROR(__xludf.DUMMYFUNCTION("""COMPUTED_VALUE"""),"5x3")</f>
        <v>5x3</v>
      </c>
      <c r="V808" s="5">
        <f ca="1">IFERROR(__xludf.DUMMYFUNCTION("""COMPUTED_VALUE"""),5)</f>
        <v>5</v>
      </c>
      <c r="W808" s="5">
        <f ca="1">IFERROR(__xludf.DUMMYFUNCTION("""COMPUTED_VALUE"""),5)</f>
        <v>5</v>
      </c>
      <c r="X808" s="5">
        <f ca="1">IFERROR(__xludf.DUMMYFUNCTION("""COMPUTED_VALUE"""),96.03)</f>
        <v>96.03</v>
      </c>
      <c r="Y808" s="5" t="str">
        <f ca="1">IFERROR(__xludf.DUMMYFUNCTION("""COMPUTED_VALUE"""),"Medium")</f>
        <v>Medium</v>
      </c>
      <c r="Z808" s="5">
        <f ca="1">IFERROR(__xludf.DUMMYFUNCTION("""COMPUTED_VALUE"""),13.54)</f>
        <v>13.54</v>
      </c>
      <c r="AA808" s="5">
        <f ca="1">IFERROR(__xludf.DUMMYFUNCTION("""COMPUTED_VALUE"""),1000)</f>
        <v>1000</v>
      </c>
      <c r="AB808" s="5"/>
      <c r="AC808" s="5" t="str">
        <f ca="1">IFERROR(__xludf.DUMMYFUNCTION("""COMPUTED_VALUE"""),"Expanding Wild, Scatter")</f>
        <v>Expanding Wild, Scatter</v>
      </c>
      <c r="AD808" s="5" t="str">
        <f ca="1">IFERROR(__xludf.DUMMYFUNCTION("""COMPUTED_VALUE"""),"0.10/50")</f>
        <v>0.10/50</v>
      </c>
      <c r="AE808" s="5"/>
      <c r="AF808" s="5"/>
      <c r="AG808" s="10">
        <f ca="1">IFERROR(__xludf.DUMMYFUNCTION("""COMPUTED_VALUE"""),46232.5688888888)</f>
        <v>46232.568888888803</v>
      </c>
      <c r="AH808" s="5" t="str">
        <f ca="1">IFERROR(__xludf.DUMMYFUNCTION("""COMPUTED_VALUE"""),"selena.mihajlovic@fazi.rs")</f>
        <v>selena.mihajlovic@fazi.rs</v>
      </c>
      <c r="AI808" s="5"/>
      <c r="AJ808" s="5"/>
      <c r="AK808" s="5">
        <f ca="1">IFERROR(__xludf.DUMMYFUNCTION("""COMPUTED_VALUE"""),1)</f>
        <v>1</v>
      </c>
      <c r="AL808" s="5" t="str">
        <f ca="1">IFERROR(__xludf.DUMMYFUNCTION("""COMPUTED_VALUE"""),"No")</f>
        <v>No</v>
      </c>
      <c r="AM808" s="5" t="str">
        <f ca="1">IFERROR(__xludf.DUMMYFUNCTION("""COMPUTED_VALUE"""),"No")</f>
        <v>No</v>
      </c>
      <c r="AN808" s="7" t="str">
        <f ca="1">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AO808" s="5" t="str">
        <f ca="1">IFERROR(__xludf.DUMMYFUNCTION("""COMPUTED_VALUE"""),"No")</f>
        <v>No</v>
      </c>
      <c r="AP808" s="5" t="str">
        <f ca="1">IFERROR(__xludf.DUMMYFUNCTION("""COMPUTED_VALUE"""),"No")</f>
        <v>No</v>
      </c>
      <c r="AQ808" s="5" t="b">
        <f ca="1">IFERROR(__xludf.DUMMYFUNCTION("""COMPUTED_VALUE"""),TRUE)</f>
        <v>1</v>
      </c>
      <c r="AR808" s="5"/>
      <c r="AS808" s="5" t="str">
        <f ca="1">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AT808" s="5"/>
      <c r="AU808" s="5" t="str">
        <f ca="1">IFERROR(__xludf.DUMMYFUNCTION("""COMPUTED_VALUE"""),"Redstone")</f>
        <v>Redstone</v>
      </c>
      <c r="AV808" s="5">
        <f ca="1">IFERROR(__xludf.DUMMYFUNCTION("""COMPUTED_VALUE"""),10)</f>
        <v>10</v>
      </c>
      <c r="AW808" s="5"/>
      <c r="AX808" s="15">
        <f ca="1">IFERROR(__xludf.DUMMYFUNCTION("""COMPUTED_VALUE"""),46273)</f>
        <v>46273</v>
      </c>
      <c r="AY808" s="5"/>
      <c r="AZ808" s="5"/>
      <c r="BA808" s="5"/>
      <c r="BB808" s="5" t="b">
        <f ca="1">IFERROR(__xludf.DUMMYFUNCTION("""COMPUTED_VALUE"""),TRUE)</f>
        <v>1</v>
      </c>
      <c r="BC808" s="5" t="str">
        <f ca="1">IFERROR(__xludf.DUMMYFUNCTION("""COMPUTED_VALUE"""),"Redstone")</f>
        <v>Redstone</v>
      </c>
      <c r="BD808" s="7" t="str">
        <f ca="1">IFERROR(__xludf.DUMMYFUNCTION("""COMPUTED_VALUE"""),"https://gameserver-store-client-area.orbionlimited.com/Home/IntegrationGameLaunch/client-area?moneyType=0&amp;gameName=RedstoneWildCrown1000&amp;platform=desktop&amp;languageCode=eng&amp;currency=EUR")</f>
        <v>https://gameserver-store-client-area.orbionlimited.com/Home/IntegrationGameLaunch/client-area?moneyType=0&amp;gameName=RedstoneWildCrown1000&amp;platform=desktop&amp;languageCode=eng&amp;currency=EUR</v>
      </c>
      <c r="BE808" s="5" t="b">
        <f ca="1">IFERROR(__xludf.DUMMYFUNCTION("""COMPUTED_VALUE"""),TRUE)</f>
        <v>1</v>
      </c>
    </row>
    <row r="809" spans="1:57" x14ac:dyDescent="0.25">
      <c r="A809" s="5">
        <f ca="1">IFERROR(__xludf.DUMMYFUNCTION("""COMPUTED_VALUE"""),847)</f>
        <v>847</v>
      </c>
      <c r="B809" s="5">
        <f ca="1">IFERROR(__xludf.DUMMYFUNCTION("""COMPUTED_VALUE"""),1024)</f>
        <v>1024</v>
      </c>
      <c r="C809" s="5" t="str">
        <f ca="1">IFERROR(__xludf.DUMMYFUNCTION("""COMPUTED_VALUE"""),"Fazi")</f>
        <v>Fazi</v>
      </c>
      <c r="D809" s="5" t="str">
        <f ca="1">IFERROR(__xludf.DUMMYFUNCTION("""COMPUTED_VALUE"""),"Clover 81")</f>
        <v>Clover 81</v>
      </c>
      <c r="E809" s="5" t="str">
        <f ca="1">IFERROR(__xludf.DUMMYFUNCTION("""COMPUTED_VALUE"""),"V4-1")</f>
        <v>V4-1</v>
      </c>
      <c r="F809" s="5" t="str">
        <f ca="1">IFERROR(__xludf.DUMMYFUNCTION("""COMPUTED_VALUE"""),"Clover81")</f>
        <v>Clover81</v>
      </c>
      <c r="G809" s="5" t="str">
        <f ca="1">IFERROR(__xludf.DUMMYFUNCTION("""COMPUTED_VALUE"""),"Deployed")</f>
        <v>Deployed</v>
      </c>
      <c r="H809" s="5"/>
      <c r="I809" s="5" t="str">
        <f ca="1">IFERROR(__xludf.DUMMYFUNCTION("""COMPUTED_VALUE"""),"V4")</f>
        <v>V4</v>
      </c>
      <c r="J809" s="5" t="str">
        <f ca="1">IFERROR(__xludf.DUMMYFUNCTION("""COMPUTED_VALUE"""),"JSON")</f>
        <v>JSON</v>
      </c>
      <c r="K809" s="5" t="str">
        <f ca="1">IFERROR(__xludf.DUMMYFUNCTION("""COMPUTED_VALUE"""),"Slot")</f>
        <v>Slot</v>
      </c>
      <c r="L809" s="5" t="str">
        <f ca="1">IFERROR(__xludf.DUMMYFUNCTION("""COMPUTED_VALUE""")," Variant")</f>
        <v xml:space="preserve"> Variant</v>
      </c>
      <c r="M809" s="5" t="str">
        <f ca="1">IFERROR(__xludf.DUMMYFUNCTION("""COMPUTED_VALUE"""),"Clover 27")</f>
        <v>Clover 27</v>
      </c>
      <c r="N809" s="5"/>
      <c r="O809" s="5"/>
      <c r="P809" s="14">
        <f ca="1">IFERROR(__xludf.DUMMYFUNCTION("""COMPUTED_VALUE"""),15.8)</f>
        <v>15.8</v>
      </c>
      <c r="Q809" s="15">
        <f ca="1">IFERROR(__xludf.DUMMYFUNCTION("""COMPUTED_VALUE"""),46209)</f>
        <v>46209</v>
      </c>
      <c r="R809" s="5"/>
      <c r="S809" s="5"/>
      <c r="T809" s="5"/>
      <c r="U809" s="5" t="str">
        <f ca="1">IFERROR(__xludf.DUMMYFUNCTION("""COMPUTED_VALUE"""),"4x3")</f>
        <v>4x3</v>
      </c>
      <c r="V809" s="5">
        <f ca="1">IFERROR(__xludf.DUMMYFUNCTION("""COMPUTED_VALUE"""),81)</f>
        <v>81</v>
      </c>
      <c r="W809" s="5">
        <f ca="1">IFERROR(__xludf.DUMMYFUNCTION("""COMPUTED_VALUE"""),81)</f>
        <v>81</v>
      </c>
      <c r="X809" s="5">
        <f ca="1">IFERROR(__xludf.DUMMYFUNCTION("""COMPUTED_VALUE"""),96.5)</f>
        <v>96.5</v>
      </c>
      <c r="Y809" s="5" t="str">
        <f ca="1">IFERROR(__xludf.DUMMYFUNCTION("""COMPUTED_VALUE"""),"Medium")</f>
        <v>Medium</v>
      </c>
      <c r="Z809" s="5">
        <f ca="1">IFERROR(__xludf.DUMMYFUNCTION("""COMPUTED_VALUE"""),7.669)</f>
        <v>7.6689999999999996</v>
      </c>
      <c r="AA809" s="5">
        <f ca="1">IFERROR(__xludf.DUMMYFUNCTION("""COMPUTED_VALUE"""),522)</f>
        <v>522</v>
      </c>
      <c r="AB809" s="5"/>
      <c r="AC809" s="5" t="str">
        <f ca="1">IFERROR(__xludf.DUMMYFUNCTION("""COMPUTED_VALUE"""),"Expanding Wild")</f>
        <v>Expanding Wild</v>
      </c>
      <c r="AD809" s="5" t="str">
        <f ca="1">IFERROR(__xludf.DUMMYFUNCTION("""COMPUTED_VALUE"""),"0.1/50")</f>
        <v>0.1/50</v>
      </c>
      <c r="AE809" s="5"/>
      <c r="AF809" s="5"/>
      <c r="AG809" s="10">
        <f ca="1">IFERROR(__xludf.DUMMYFUNCTION("""COMPUTED_VALUE"""),46230.6368055555)</f>
        <v>46230.636805555499</v>
      </c>
      <c r="AH809" s="5" t="str">
        <f ca="1">IFERROR(__xludf.DUMMYFUNCTION("""COMPUTED_VALUE"""),"djordje.petrovic@fazi.rs")</f>
        <v>djordje.petrovic@fazi.rs</v>
      </c>
      <c r="AI809" s="5"/>
      <c r="AJ809" s="5"/>
      <c r="AK809" s="5">
        <f ca="1">IFERROR(__xludf.DUMMYFUNCTION("""COMPUTED_VALUE"""),1)</f>
        <v>1</v>
      </c>
      <c r="AL809" s="5" t="str">
        <f ca="1">IFERROR(__xludf.DUMMYFUNCTION("""COMPUTED_VALUE"""),"Yes")</f>
        <v>Yes</v>
      </c>
      <c r="AM809" s="5" t="str">
        <f ca="1">IFERROR(__xludf.DUMMYFUNCTION("""COMPUTED_VALUE"""),"No")</f>
        <v>No</v>
      </c>
      <c r="AN809" s="5"/>
      <c r="AO809" s="5" t="str">
        <f ca="1">IFERROR(__xludf.DUMMYFUNCTION("""COMPUTED_VALUE"""),"Yes")</f>
        <v>Yes</v>
      </c>
      <c r="AP809" s="5" t="str">
        <f ca="1">IFERROR(__xludf.DUMMYFUNCTION("""COMPUTED_VALUE"""),"Yes")</f>
        <v>Yes</v>
      </c>
      <c r="AQ809" s="5"/>
      <c r="AR809" s="5"/>
      <c r="AS809" s="5"/>
      <c r="AT809" s="5"/>
      <c r="AU809" s="5" t="str">
        <f ca="1">IFERROR(__xludf.DUMMYFUNCTION("""COMPUTED_VALUE"""),"Fazi")</f>
        <v>Fazi</v>
      </c>
      <c r="AV809" s="5">
        <f ca="1">IFERROR(__xludf.DUMMYFUNCTION("""COMPUTED_VALUE"""),1)</f>
        <v>1</v>
      </c>
      <c r="AW809" s="5"/>
      <c r="AX809" s="15">
        <f ca="1">IFERROR(__xludf.DUMMYFUNCTION("""COMPUTED_VALUE"""),46203)</f>
        <v>46203</v>
      </c>
      <c r="AY809" s="5" t="str">
        <f ca="1">IFERROR(__xludf.DUMMYFUNCTION("""COMPUTED_VALUE"""),"95.5, 94.5, 93.5, 91.5, 89.5, 87.5")</f>
        <v>95.5, 94.5, 93.5, 91.5, 89.5, 87.5</v>
      </c>
      <c r="AZ809" s="5"/>
      <c r="BA809" s="5"/>
      <c r="BB809" s="5"/>
      <c r="BC809" s="5" t="str">
        <f ca="1">IFERROR(__xludf.DUMMYFUNCTION("""COMPUTED_VALUE"""),"Foxi")</f>
        <v>Foxi</v>
      </c>
      <c r="BD809" s="5"/>
      <c r="BE809" s="5"/>
    </row>
    <row r="810" spans="1:57" x14ac:dyDescent="0.25">
      <c r="A810" s="5">
        <f ca="1">IFERROR(__xludf.DUMMYFUNCTION("""COMPUTED_VALUE"""),848)</f>
        <v>848</v>
      </c>
      <c r="B810" s="5">
        <f ca="1">IFERROR(__xludf.DUMMYFUNCTION("""COMPUTED_VALUE"""),1025)</f>
        <v>1025</v>
      </c>
      <c r="C810" s="5" t="str">
        <f ca="1">IFERROR(__xludf.DUMMYFUNCTION("""COMPUTED_VALUE"""),"Fazi")</f>
        <v>Fazi</v>
      </c>
      <c r="D810" s="5" t="str">
        <f ca="1">IFERROR(__xludf.DUMMYFUNCTION("""COMPUTED_VALUE"""),"Clover 5")</f>
        <v>Clover 5</v>
      </c>
      <c r="E810" s="5" t="str">
        <f ca="1">IFERROR(__xludf.DUMMYFUNCTION("""COMPUTED_VALUE"""),"V4-1")</f>
        <v>V4-1</v>
      </c>
      <c r="F810" s="5" t="str">
        <f ca="1">IFERROR(__xludf.DUMMYFUNCTION("""COMPUTED_VALUE"""),"Clover5")</f>
        <v>Clover5</v>
      </c>
      <c r="G810" s="5" t="str">
        <f ca="1">IFERROR(__xludf.DUMMYFUNCTION("""COMPUTED_VALUE"""),"In Development")</f>
        <v>In Development</v>
      </c>
      <c r="H810" s="5"/>
      <c r="I810" s="5" t="str">
        <f ca="1">IFERROR(__xludf.DUMMYFUNCTION("""COMPUTED_VALUE"""),"V4")</f>
        <v>V4</v>
      </c>
      <c r="J810" s="5" t="str">
        <f ca="1">IFERROR(__xludf.DUMMYFUNCTION("""COMPUTED_VALUE"""),"JSON")</f>
        <v>JSON</v>
      </c>
      <c r="K810" s="5" t="str">
        <f ca="1">IFERROR(__xludf.DUMMYFUNCTION("""COMPUTED_VALUE"""),"Slot")</f>
        <v>Slot</v>
      </c>
      <c r="L810" s="5" t="str">
        <f ca="1">IFERROR(__xludf.DUMMYFUNCTION("""COMPUTED_VALUE""")," Variant")</f>
        <v xml:space="preserve"> Variant</v>
      </c>
      <c r="M810" s="5" t="str">
        <f ca="1">IFERROR(__xludf.DUMMYFUNCTION("""COMPUTED_VALUE"""),"Clover 27")</f>
        <v>Clover 27</v>
      </c>
      <c r="N810" s="5"/>
      <c r="O810" s="5"/>
      <c r="P810" s="14">
        <f ca="1">IFERROR(__xludf.DUMMYFUNCTION("""COMPUTED_VALUE"""),16.3)</f>
        <v>16.3</v>
      </c>
      <c r="Q810" s="5"/>
      <c r="R810" s="5"/>
      <c r="S810" s="5"/>
      <c r="T810" s="5"/>
      <c r="U810" s="5" t="str">
        <f ca="1">IFERROR(__xludf.DUMMYFUNCTION("""COMPUTED_VALUE"""),"3x3")</f>
        <v>3x3</v>
      </c>
      <c r="V810" s="5">
        <f ca="1">IFERROR(__xludf.DUMMYFUNCTION("""COMPUTED_VALUE"""),5)</f>
        <v>5</v>
      </c>
      <c r="W810" s="5">
        <f ca="1">IFERROR(__xludf.DUMMYFUNCTION("""COMPUTED_VALUE"""),5)</f>
        <v>5</v>
      </c>
      <c r="X810" s="5">
        <f ca="1">IFERROR(__xludf.DUMMYFUNCTION("""COMPUTED_VALUE"""),96.5)</f>
        <v>96.5</v>
      </c>
      <c r="Y810" s="5" t="str">
        <f ca="1">IFERROR(__xludf.DUMMYFUNCTION("""COMPUTED_VALUE"""),"Low")</f>
        <v>Low</v>
      </c>
      <c r="Z810" s="5">
        <f ca="1">IFERROR(__xludf.DUMMYFUNCTION("""COMPUTED_VALUE"""),5.731)</f>
        <v>5.7309999999999999</v>
      </c>
      <c r="AA810" s="5">
        <f ca="1">IFERROR(__xludf.DUMMYFUNCTION("""COMPUTED_VALUE"""),84)</f>
        <v>84</v>
      </c>
      <c r="AB810" s="5"/>
      <c r="AC810" s="5" t="str">
        <f ca="1">IFERROR(__xludf.DUMMYFUNCTION("""COMPUTED_VALUE"""),"Expanding Wild")</f>
        <v>Expanding Wild</v>
      </c>
      <c r="AD810" s="5" t="str">
        <f ca="1">IFERROR(__xludf.DUMMYFUNCTION("""COMPUTED_VALUE"""),"0.1 / 50")</f>
        <v>0.1 / 50</v>
      </c>
      <c r="AE810" s="5"/>
      <c r="AF810" s="5"/>
      <c r="AG810" s="10">
        <f ca="1">IFERROR(__xludf.DUMMYFUNCTION("""COMPUTED_VALUE"""),46217.4467708333)</f>
        <v>46217.446770833303</v>
      </c>
      <c r="AH810" s="5" t="str">
        <f ca="1">IFERROR(__xludf.DUMMYFUNCTION("""COMPUTED_VALUE"""),"djordje.petrovic@fazi.rs")</f>
        <v>djordje.petrovic@fazi.rs</v>
      </c>
      <c r="AI810" s="5"/>
      <c r="AJ810" s="5"/>
      <c r="AK810" s="5">
        <f ca="1">IFERROR(__xludf.DUMMYFUNCTION("""COMPUTED_VALUE"""),1)</f>
        <v>1</v>
      </c>
      <c r="AL810" s="5" t="str">
        <f ca="1">IFERROR(__xludf.DUMMYFUNCTION("""COMPUTED_VALUE"""),"Yes")</f>
        <v>Yes</v>
      </c>
      <c r="AM810" s="5" t="str">
        <f ca="1">IFERROR(__xludf.DUMMYFUNCTION("""COMPUTED_VALUE"""),"No")</f>
        <v>No</v>
      </c>
      <c r="AN810" s="7" t="str">
        <f ca="1">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10" s="5" t="str">
        <f ca="1">IFERROR(__xludf.DUMMYFUNCTION("""COMPUTED_VALUE"""),"Yes")</f>
        <v>Yes</v>
      </c>
      <c r="AP810" s="5" t="str">
        <f ca="1">IFERROR(__xludf.DUMMYFUNCTION("""COMPUTED_VALUE"""),"Yes")</f>
        <v>Yes</v>
      </c>
      <c r="AQ810" s="5"/>
      <c r="AR810" s="5"/>
      <c r="AS810" s="5"/>
      <c r="AT810" s="5"/>
      <c r="AU810" s="5" t="str">
        <f ca="1">IFERROR(__xludf.DUMMYFUNCTION("""COMPUTED_VALUE"""),"Fazi")</f>
        <v>Fazi</v>
      </c>
      <c r="AV810" s="5">
        <f ca="1">IFERROR(__xludf.DUMMYFUNCTION("""COMPUTED_VALUE"""),1)</f>
        <v>1</v>
      </c>
      <c r="AW810" s="5"/>
      <c r="AX810" s="5"/>
      <c r="AY810" s="5" t="str">
        <f ca="1">IFERROR(__xludf.DUMMYFUNCTION("""COMPUTED_VALUE"""),"95.5, 94,5, 93.5, 91.5, 89.5, 87.5")</f>
        <v>95.5, 94,5, 93.5, 91.5, 89.5, 87.5</v>
      </c>
      <c r="AZ810" s="5"/>
      <c r="BA810" s="5"/>
      <c r="BB810" s="5"/>
      <c r="BC810" s="5" t="str">
        <f ca="1">IFERROR(__xludf.DUMMYFUNCTION("""COMPUTED_VALUE"""),"Foxi")</f>
        <v>Foxi</v>
      </c>
      <c r="BD810" s="5"/>
      <c r="BE810" s="5"/>
    </row>
    <row r="811" spans="1:57" x14ac:dyDescent="0.25">
      <c r="A811" s="5">
        <f ca="1">IFERROR(__xludf.DUMMYFUNCTION("""COMPUTED_VALUE"""),849)</f>
        <v>849</v>
      </c>
      <c r="B811" s="5">
        <f ca="1">IFERROR(__xludf.DUMMYFUNCTION("""COMPUTED_VALUE"""),1026)</f>
        <v>1026</v>
      </c>
      <c r="C811" s="5" t="str">
        <f ca="1">IFERROR(__xludf.DUMMYFUNCTION("""COMPUTED_VALUE"""),"Fazi")</f>
        <v>Fazi</v>
      </c>
      <c r="D811" s="5" t="str">
        <f ca="1">IFERROR(__xludf.DUMMYFUNCTION("""COMPUTED_VALUE"""),"Clover 10")</f>
        <v>Clover 10</v>
      </c>
      <c r="E811" s="5" t="str">
        <f ca="1">IFERROR(__xludf.DUMMYFUNCTION("""COMPUTED_VALUE"""),"V4-1")</f>
        <v>V4-1</v>
      </c>
      <c r="F811" s="5" t="str">
        <f ca="1">IFERROR(__xludf.DUMMYFUNCTION("""COMPUTED_VALUE"""),"Clover10")</f>
        <v>Clover10</v>
      </c>
      <c r="G811" s="5" t="str">
        <f ca="1">IFERROR(__xludf.DUMMYFUNCTION("""COMPUTED_VALUE"""),"In Development")</f>
        <v>In Development</v>
      </c>
      <c r="H811" s="5"/>
      <c r="I811" s="5" t="str">
        <f ca="1">IFERROR(__xludf.DUMMYFUNCTION("""COMPUTED_VALUE"""),"V4")</f>
        <v>V4</v>
      </c>
      <c r="J811" s="5" t="str">
        <f ca="1">IFERROR(__xludf.DUMMYFUNCTION("""COMPUTED_VALUE"""),"JSON")</f>
        <v>JSON</v>
      </c>
      <c r="K811" s="5" t="str">
        <f ca="1">IFERROR(__xludf.DUMMYFUNCTION("""COMPUTED_VALUE"""),"Slot")</f>
        <v>Slot</v>
      </c>
      <c r="L811" s="5" t="str">
        <f ca="1">IFERROR(__xludf.DUMMYFUNCTION("""COMPUTED_VALUE""")," Variant")</f>
        <v xml:space="preserve"> Variant</v>
      </c>
      <c r="M811" s="5" t="str">
        <f ca="1">IFERROR(__xludf.DUMMYFUNCTION("""COMPUTED_VALUE"""),"Clover 81")</f>
        <v>Clover 81</v>
      </c>
      <c r="N811" s="5"/>
      <c r="O811" s="5"/>
      <c r="P811" s="5"/>
      <c r="Q811" s="5"/>
      <c r="R811" s="5"/>
      <c r="S811" s="5"/>
      <c r="T811" s="5"/>
      <c r="U811" s="5" t="str">
        <f ca="1">IFERROR(__xludf.DUMMYFUNCTION("""COMPUTED_VALUE"""),"4x3")</f>
        <v>4x3</v>
      </c>
      <c r="V811" s="5">
        <f ca="1">IFERROR(__xludf.DUMMYFUNCTION("""COMPUTED_VALUE"""),10)</f>
        <v>10</v>
      </c>
      <c r="W811" s="5">
        <f ca="1">IFERROR(__xludf.DUMMYFUNCTION("""COMPUTED_VALUE"""),10)</f>
        <v>10</v>
      </c>
      <c r="X811" s="5">
        <f ca="1">IFERROR(__xludf.DUMMYFUNCTION("""COMPUTED_VALUE"""),96.5)</f>
        <v>96.5</v>
      </c>
      <c r="Y811" s="5" t="str">
        <f ca="1">IFERROR(__xludf.DUMMYFUNCTION("""COMPUTED_VALUE"""),"Medium")</f>
        <v>Medium</v>
      </c>
      <c r="Z811" s="5">
        <f ca="1">IFERROR(__xludf.DUMMYFUNCTION("""COMPUTED_VALUE"""),9.529)</f>
        <v>9.5289999999999999</v>
      </c>
      <c r="AA811" s="5">
        <f ca="1">IFERROR(__xludf.DUMMYFUNCTION("""COMPUTED_VALUE"""),933)</f>
        <v>933</v>
      </c>
      <c r="AB811" s="5"/>
      <c r="AC811" s="5" t="str">
        <f ca="1">IFERROR(__xludf.DUMMYFUNCTION("""COMPUTED_VALUE"""),"Expanding Wild")</f>
        <v>Expanding Wild</v>
      </c>
      <c r="AD811" s="5" t="str">
        <f ca="1">IFERROR(__xludf.DUMMYFUNCTION("""COMPUTED_VALUE"""),"0.1 / 50")</f>
        <v>0.1 / 50</v>
      </c>
      <c r="AE811" s="5"/>
      <c r="AF811" s="5"/>
      <c r="AG811" s="10">
        <f ca="1">IFERROR(__xludf.DUMMYFUNCTION("""COMPUTED_VALUE"""),46217.4471180555)</f>
        <v>46217.447118055497</v>
      </c>
      <c r="AH811" s="5" t="str">
        <f ca="1">IFERROR(__xludf.DUMMYFUNCTION("""COMPUTED_VALUE"""),"djordje.petrovic@fazi.rs")</f>
        <v>djordje.petrovic@fazi.rs</v>
      </c>
      <c r="AI811" s="5"/>
      <c r="AJ811" s="5"/>
      <c r="AK811" s="5">
        <f ca="1">IFERROR(__xludf.DUMMYFUNCTION("""COMPUTED_VALUE"""),1)</f>
        <v>1</v>
      </c>
      <c r="AL811" s="5" t="str">
        <f ca="1">IFERROR(__xludf.DUMMYFUNCTION("""COMPUTED_VALUE"""),"Yes")</f>
        <v>Yes</v>
      </c>
      <c r="AM811" s="5" t="str">
        <f ca="1">IFERROR(__xludf.DUMMYFUNCTION("""COMPUTED_VALUE"""),"No")</f>
        <v>No</v>
      </c>
      <c r="AN811" s="5"/>
      <c r="AO811" s="5" t="str">
        <f ca="1">IFERROR(__xludf.DUMMYFUNCTION("""COMPUTED_VALUE"""),"Yes")</f>
        <v>Yes</v>
      </c>
      <c r="AP811" s="5" t="str">
        <f ca="1">IFERROR(__xludf.DUMMYFUNCTION("""COMPUTED_VALUE"""),"Yes")</f>
        <v>Yes</v>
      </c>
      <c r="AQ811" s="5"/>
      <c r="AR811" s="5"/>
      <c r="AS811" s="5"/>
      <c r="AT811" s="5"/>
      <c r="AU811" s="5" t="str">
        <f ca="1">IFERROR(__xludf.DUMMYFUNCTION("""COMPUTED_VALUE"""),"Fazi")</f>
        <v>Fazi</v>
      </c>
      <c r="AV811" s="5">
        <f ca="1">IFERROR(__xludf.DUMMYFUNCTION("""COMPUTED_VALUE"""),1)</f>
        <v>1</v>
      </c>
      <c r="AW811" s="5"/>
      <c r="AX811" s="5"/>
      <c r="AY811" s="5" t="str">
        <f ca="1">IFERROR(__xludf.DUMMYFUNCTION("""COMPUTED_VALUE"""),"95.5, 94.5, 93.5, 91.5, 89.5, 87.5")</f>
        <v>95.5, 94.5, 93.5, 91.5, 89.5, 87.5</v>
      </c>
      <c r="AZ811" s="5"/>
      <c r="BA811" s="5"/>
      <c r="BB811" s="5"/>
      <c r="BC811" s="5" t="str">
        <f ca="1">IFERROR(__xludf.DUMMYFUNCTION("""COMPUTED_VALUE"""),"Foxi")</f>
        <v>Foxi</v>
      </c>
      <c r="BD811" s="5"/>
      <c r="BE811" s="5"/>
    </row>
    <row r="812" spans="1:57" x14ac:dyDescent="0.25">
      <c r="A812" s="5">
        <f ca="1">IFERROR(__xludf.DUMMYFUNCTION("""COMPUTED_VALUE"""),850)</f>
        <v>850</v>
      </c>
      <c r="B812" s="5">
        <f ca="1">IFERROR(__xludf.DUMMYFUNCTION("""COMPUTED_VALUE"""),3046)</f>
        <v>3046</v>
      </c>
      <c r="C812" s="5" t="str">
        <f ca="1">IFERROR(__xludf.DUMMYFUNCTION("""COMPUTED_VALUE"""),"Fazi")</f>
        <v>Fazi</v>
      </c>
      <c r="D812" s="5" t="str">
        <f ca="1">IFERROR(__xludf.DUMMYFUNCTION("""COMPUTED_VALUE"""),"Power Lucky 7")</f>
        <v>Power Lucky 7</v>
      </c>
      <c r="E812" s="5" t="str">
        <f ca="1">IFERROR(__xludf.DUMMYFUNCTION("""COMPUTED_VALUE"""),"V2")</f>
        <v>V2</v>
      </c>
      <c r="F812" s="5" t="str">
        <f ca="1">IFERROR(__xludf.DUMMYFUNCTION("""COMPUTED_VALUE"""),"PowerLucky7")</f>
        <v>PowerLucky7</v>
      </c>
      <c r="G812" s="5" t="str">
        <f ca="1">IFERROR(__xludf.DUMMYFUNCTION("""COMPUTED_VALUE"""),"Deployed")</f>
        <v>Deployed</v>
      </c>
      <c r="H812" s="5"/>
      <c r="I812" s="5" t="str">
        <f ca="1">IFERROR(__xludf.DUMMYFUNCTION("""COMPUTED_VALUE"""),"V4")</f>
        <v>V4</v>
      </c>
      <c r="J812" s="5" t="str">
        <f ca="1">IFERROR(__xludf.DUMMYFUNCTION("""COMPUTED_VALUE"""),"JSON")</f>
        <v>JSON</v>
      </c>
      <c r="K812" s="5" t="str">
        <f ca="1">IFERROR(__xludf.DUMMYFUNCTION("""COMPUTED_VALUE"""),"Slot")</f>
        <v>Slot</v>
      </c>
      <c r="L812" s="5" t="str">
        <f ca="1">IFERROR(__xludf.DUMMYFUNCTION("""COMPUTED_VALUE"""),"Master")</f>
        <v>Master</v>
      </c>
      <c r="M812" s="5"/>
      <c r="N812" s="5"/>
      <c r="O812" s="5"/>
      <c r="P812" s="14">
        <f ca="1">IFERROR(__xludf.DUMMYFUNCTION("""COMPUTED_VALUE"""),16.4)</f>
        <v>16.399999999999999</v>
      </c>
      <c r="Q812" s="15">
        <f ca="1">IFERROR(__xludf.DUMMYFUNCTION("""COMPUTED_VALUE"""),46209)</f>
        <v>46209</v>
      </c>
      <c r="R812" s="5"/>
      <c r="S812" s="5"/>
      <c r="T812" s="5"/>
      <c r="U812" s="5" t="str">
        <f ca="1">IFERROR(__xludf.DUMMYFUNCTION("""COMPUTED_VALUE"""),"5x3")</f>
        <v>5x3</v>
      </c>
      <c r="V812" s="5">
        <f ca="1">IFERROR(__xludf.DUMMYFUNCTION("""COMPUTED_VALUE"""),10)</f>
        <v>10</v>
      </c>
      <c r="W812" s="5">
        <f ca="1">IFERROR(__xludf.DUMMYFUNCTION("""COMPUTED_VALUE"""),10)</f>
        <v>10</v>
      </c>
      <c r="X812" s="5">
        <f ca="1">IFERROR(__xludf.DUMMYFUNCTION("""COMPUTED_VALUE"""),96.269)</f>
        <v>96.269000000000005</v>
      </c>
      <c r="Y812" s="5" t="str">
        <f ca="1">IFERROR(__xludf.DUMMYFUNCTION("""COMPUTED_VALUE"""),"High")</f>
        <v>High</v>
      </c>
      <c r="Z812" s="5">
        <f ca="1">IFERROR(__xludf.DUMMYFUNCTION("""COMPUTED_VALUE"""),10.612)</f>
        <v>10.612</v>
      </c>
      <c r="AA812" s="5">
        <f ca="1">IFERROR(__xludf.DUMMYFUNCTION("""COMPUTED_VALUE"""),5000)</f>
        <v>5000</v>
      </c>
      <c r="AB812" s="5"/>
      <c r="AC812" s="5" t="str">
        <f ca="1">IFERROR(__xludf.DUMMYFUNCTION("""COMPUTED_VALUE"""),"Variable RTP, Scatter, Free Rounds ")</f>
        <v xml:space="preserve">Variable RTP, Scatter, Free Rounds </v>
      </c>
      <c r="AD812" s="5" t="str">
        <f ca="1">IFERROR(__xludf.DUMMYFUNCTION("""COMPUTED_VALUE"""),"0.1/40")</f>
        <v>0.1/40</v>
      </c>
      <c r="AE812" s="5"/>
      <c r="AF812" s="5"/>
      <c r="AG812" s="10">
        <f ca="1">IFERROR(__xludf.DUMMYFUNCTION("""COMPUTED_VALUE"""),46226.7113194444)</f>
        <v>46226.711319444403</v>
      </c>
      <c r="AH812" s="5" t="str">
        <f ca="1">IFERROR(__xludf.DUMMYFUNCTION("""COMPUTED_VALUE"""),"milena.kocic@fazi.rs")</f>
        <v>milena.kocic@fazi.rs</v>
      </c>
      <c r="AI812" s="5"/>
      <c r="AJ812" s="5"/>
      <c r="AK812" s="5">
        <f ca="1">IFERROR(__xludf.DUMMYFUNCTION("""COMPUTED_VALUE"""),1)</f>
        <v>1</v>
      </c>
      <c r="AL812" s="5" t="str">
        <f ca="1">IFERROR(__xludf.DUMMYFUNCTION("""COMPUTED_VALUE"""),"Yes")</f>
        <v>Yes</v>
      </c>
      <c r="AM812" s="5" t="str">
        <f ca="1">IFERROR(__xludf.DUMMYFUNCTION("""COMPUTED_VALUE"""),"No")</f>
        <v>No</v>
      </c>
      <c r="AN812" s="7" t="str">
        <f ca="1">IFERROR(__xludf.DUMMYFUNCTION("""COMPUTED_VALUE"""),"https://onlinegamespromo.fazi.rs/Home/IntegrationGameLaunch?moneyType=0&amp;gameName=PowerLucky7&amp;platform=desktop&amp;languageCode=eng&amp;currency=EUR")</f>
        <v>https://onlinegamespromo.fazi.rs/Home/IntegrationGameLaunch?moneyType=0&amp;gameName=PowerLucky7&amp;platform=desktop&amp;languageCode=eng&amp;currency=EUR</v>
      </c>
      <c r="AO812" s="5" t="str">
        <f ca="1">IFERROR(__xludf.DUMMYFUNCTION("""COMPUTED_VALUE"""),"Yes")</f>
        <v>Yes</v>
      </c>
      <c r="AP812" s="5" t="str">
        <f ca="1">IFERROR(__xludf.DUMMYFUNCTION("""COMPUTED_VALUE"""),"Yes")</f>
        <v>Yes</v>
      </c>
      <c r="AQ812" s="5"/>
      <c r="AR812" s="5"/>
      <c r="AS812" s="5"/>
      <c r="AT812" s="5"/>
      <c r="AU812" s="5" t="str">
        <f ca="1">IFERROR(__xludf.DUMMYFUNCTION("""COMPUTED_VALUE"""),"Fazi")</f>
        <v>Fazi</v>
      </c>
      <c r="AV812" s="5">
        <f ca="1">IFERROR(__xludf.DUMMYFUNCTION("""COMPUTED_VALUE"""),1)</f>
        <v>1</v>
      </c>
      <c r="AW812" s="5"/>
      <c r="AX812" s="15">
        <f ca="1">IFERROR(__xludf.DUMMYFUNCTION("""COMPUTED_VALUE"""),46203)</f>
        <v>46203</v>
      </c>
      <c r="AY812" s="5" t="str">
        <f ca="1">IFERROR(__xludf.DUMMYFUNCTION("""COMPUTED_VALUE"""),"87.5%, 89.5%, 91.5%, 93.5%, 94.5%, 95.5%, 96.5%")</f>
        <v>87.5%, 89.5%, 91.5%, 93.5%, 94.5%, 95.5%, 96.5%</v>
      </c>
      <c r="AZ812" s="5"/>
      <c r="BA812" s="5"/>
      <c r="BB812" s="5"/>
      <c r="BC812" s="5" t="str">
        <f ca="1">IFERROR(__xludf.DUMMYFUNCTION("""COMPUTED_VALUE"""),"Foxi")</f>
        <v>Foxi</v>
      </c>
      <c r="BD812" s="5"/>
      <c r="BE812" s="5"/>
    </row>
    <row r="813" spans="1:57" x14ac:dyDescent="0.25">
      <c r="A813" s="5">
        <f ca="1">IFERROR(__xludf.DUMMYFUNCTION("""COMPUTED_VALUE"""),851)</f>
        <v>851</v>
      </c>
      <c r="B813" s="5">
        <f ca="1">IFERROR(__xludf.DUMMYFUNCTION("""COMPUTED_VALUE"""),180091)</f>
        <v>180091</v>
      </c>
      <c r="C813" s="5" t="str">
        <f ca="1">IFERROR(__xludf.DUMMYFUNCTION("""COMPUTED_VALUE"""),"Redstone")</f>
        <v>Redstone</v>
      </c>
      <c r="D813" s="5" t="str">
        <f ca="1">IFERROR(__xludf.DUMMYFUNCTION("""COMPUTED_VALUE"""),"X Bomb Fire")</f>
        <v>X Bomb Fire</v>
      </c>
      <c r="E813" s="5" t="str">
        <f ca="1">IFERROR(__xludf.DUMMYFUNCTION("""COMPUTED_VALUE"""),"Redstone")</f>
        <v>Redstone</v>
      </c>
      <c r="F813" s="5" t="str">
        <f ca="1">IFERROR(__xludf.DUMMYFUNCTION("""COMPUTED_VALUE"""),"RedstoneXBombFire")</f>
        <v>RedstoneXBombFire</v>
      </c>
      <c r="G813" s="5" t="str">
        <f ca="1">IFERROR(__xludf.DUMMYFUNCTION("""COMPUTED_VALUE"""),"Planned")</f>
        <v>Planned</v>
      </c>
      <c r="H813" s="5"/>
      <c r="I813" s="5"/>
      <c r="J813" s="5" t="str">
        <f ca="1">IFERROR(__xludf.DUMMYFUNCTION("""COMPUTED_VALUE"""),"JSON")</f>
        <v>JSON</v>
      </c>
      <c r="K813" s="5" t="str">
        <f ca="1">IFERROR(__xludf.DUMMYFUNCTION("""COMPUTED_VALUE"""),"Slot")</f>
        <v>Slot</v>
      </c>
      <c r="L813" s="5"/>
      <c r="M813" s="5"/>
      <c r="N813" s="5"/>
      <c r="O813" s="5"/>
      <c r="P813" s="5"/>
      <c r="Q813" s="15">
        <f ca="1">IFERROR(__xludf.DUMMYFUNCTION("""COMPUTED_VALUE"""),46251)</f>
        <v>46251</v>
      </c>
      <c r="R813" s="5"/>
      <c r="S813" s="5"/>
      <c r="T813" s="5"/>
      <c r="U813" s="5"/>
      <c r="V813" s="5"/>
      <c r="W813" s="5"/>
      <c r="X813" s="5"/>
      <c r="Y813" s="5"/>
      <c r="Z813" s="5"/>
      <c r="AA813" s="5"/>
      <c r="AB813" s="5"/>
      <c r="AC813" s="5" t="str">
        <f ca="1">IFERROR(__xludf.DUMMYFUNCTION("""COMPUTED_VALUE"""),"Cascade Game, Expanding Wild, Win Multiplier")</f>
        <v>Cascade Game, Expanding Wild, Win Multiplier</v>
      </c>
      <c r="AD813" s="5"/>
      <c r="AE813" s="5"/>
      <c r="AF813" s="5"/>
      <c r="AG813" s="10">
        <f ca="1">IFERROR(__xludf.DUMMYFUNCTION("""COMPUTED_VALUE"""),46232.4613773148)</f>
        <v>46232.461377314801</v>
      </c>
      <c r="AH813" s="5" t="str">
        <f ca="1">IFERROR(__xludf.DUMMYFUNCTION("""COMPUTED_VALUE"""),"danica.petrovic@fazi.rs")</f>
        <v>danica.petrovic@fazi.rs</v>
      </c>
      <c r="AI813" s="5"/>
      <c r="AJ813" s="5"/>
      <c r="AK813" s="5"/>
      <c r="AL813" s="5" t="str">
        <f ca="1">IFERROR(__xludf.DUMMYFUNCTION("""COMPUTED_VALUE"""),"No")</f>
        <v>No</v>
      </c>
      <c r="AM813" s="5" t="str">
        <f ca="1">IFERROR(__xludf.DUMMYFUNCTION("""COMPUTED_VALUE"""),"No")</f>
        <v>No</v>
      </c>
      <c r="AN813" s="5"/>
      <c r="AO813" s="5" t="str">
        <f ca="1">IFERROR(__xludf.DUMMYFUNCTION("""COMPUTED_VALUE"""),"No")</f>
        <v>No</v>
      </c>
      <c r="AP813" s="5" t="str">
        <f ca="1">IFERROR(__xludf.DUMMYFUNCTION("""COMPUTED_VALUE"""),"No")</f>
        <v>No</v>
      </c>
      <c r="AQ813" s="5"/>
      <c r="AR813" s="5"/>
      <c r="AS813" s="5"/>
      <c r="AT813" s="5"/>
      <c r="AU813" s="5" t="str">
        <f ca="1">IFERROR(__xludf.DUMMYFUNCTION("""COMPUTED_VALUE"""),"Redstone")</f>
        <v>Redstone</v>
      </c>
      <c r="AV813" s="5"/>
      <c r="AW813" s="5"/>
      <c r="AX813" s="15">
        <f ca="1">IFERROR(__xludf.DUMMYFUNCTION("""COMPUTED_VALUE"""),46245)</f>
        <v>46245</v>
      </c>
      <c r="AY813" s="5"/>
      <c r="AZ813" s="5"/>
      <c r="BA813" s="5"/>
      <c r="BB813" s="5"/>
      <c r="BC813" s="5" t="str">
        <f ca="1">IFERROR(__xludf.DUMMYFUNCTION("""COMPUTED_VALUE"""),"Redstone")</f>
        <v>Redstone</v>
      </c>
      <c r="BD813" s="5"/>
      <c r="BE813" s="5"/>
    </row>
    <row r="814" spans="1:57"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row>
    <row r="815" spans="1:57"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row>
    <row r="816" spans="1:57"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row>
    <row r="817" spans="1:57"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row>
    <row r="818" spans="1:57"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row>
    <row r="819" spans="1:57"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row>
    <row r="820" spans="1:57"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row>
    <row r="821" spans="1:57"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row>
    <row r="822" spans="1:57"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row>
    <row r="823" spans="1:57"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row>
    <row r="824" spans="1:57"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row>
    <row r="825" spans="1:57"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row>
    <row r="826" spans="1:57"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row>
    <row r="827" spans="1:57"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row>
    <row r="828" spans="1:57"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row>
    <row r="829" spans="1:57"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row>
    <row r="830" spans="1:57"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row>
    <row r="831" spans="1:57"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row>
    <row r="832" spans="1:57"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row>
    <row r="833" spans="1:57"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row>
    <row r="834" spans="1:57"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row>
    <row r="835" spans="1:57"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row>
    <row r="836" spans="1:57"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row>
    <row r="837" spans="1:57"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row>
    <row r="838" spans="1:57"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row>
    <row r="839" spans="1:57"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row>
    <row r="840" spans="1:57"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row>
    <row r="841" spans="1:57"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row>
    <row r="842" spans="1:57"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row>
    <row r="843" spans="1:57"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row>
    <row r="844" spans="1:57"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row>
    <row r="845" spans="1:57"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row>
    <row r="846" spans="1:57"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row>
    <row r="847" spans="1:57"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row>
    <row r="848" spans="1:57"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row>
    <row r="849" spans="1:57"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row>
    <row r="850" spans="1:57"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row>
    <row r="851" spans="1:57"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row>
    <row r="852" spans="1:57"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row>
    <row r="853" spans="1:57"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row>
    <row r="854" spans="1:57"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row>
    <row r="855" spans="1:57"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row>
    <row r="856" spans="1:57"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row>
    <row r="857" spans="1:57"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row>
    <row r="858" spans="1:57"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row>
    <row r="859" spans="1:57"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row>
    <row r="860" spans="1:57"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row>
    <row r="861" spans="1:57"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row>
    <row r="862" spans="1:57"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row>
    <row r="863" spans="1:57"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row>
    <row r="864" spans="1:57"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row>
    <row r="865" spans="1:57"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row>
    <row r="866" spans="1:57"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row>
    <row r="867" spans="1:57"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row>
    <row r="868" spans="1:57"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row>
    <row r="869" spans="1:57"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row>
    <row r="870" spans="1:57"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row>
    <row r="871" spans="1:57"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row>
    <row r="872" spans="1:57"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row>
    <row r="873" spans="1:57"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row>
    <row r="874" spans="1:57"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row>
    <row r="875" spans="1:57"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row>
    <row r="876" spans="1:57"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row>
    <row r="877" spans="1:57"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row>
    <row r="878" spans="1:57"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row>
    <row r="879" spans="1:57"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row>
    <row r="880" spans="1:57"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row>
    <row r="881" spans="1:57"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row>
    <row r="882" spans="1:57"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row>
    <row r="883" spans="1:57"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row>
    <row r="884" spans="1:57"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row>
    <row r="885" spans="1:57"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row>
    <row r="886" spans="1:57"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row>
    <row r="887" spans="1:57"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row>
    <row r="888" spans="1:57"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row>
    <row r="889" spans="1:57"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row>
    <row r="890" spans="1:57"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row>
    <row r="891" spans="1:57"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row>
    <row r="892" spans="1:57"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row>
    <row r="893" spans="1:57"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row>
    <row r="894" spans="1:57"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row>
    <row r="895" spans="1:57"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row>
    <row r="896" spans="1:57"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row>
    <row r="897" spans="1:57"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row>
    <row r="898" spans="1:57"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row>
    <row r="899" spans="1:57"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row>
    <row r="900" spans="1:57"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row>
    <row r="901" spans="1:57"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row>
    <row r="902" spans="1:57"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row>
    <row r="903" spans="1:57"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row>
    <row r="904" spans="1:57"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row>
    <row r="905" spans="1:57"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row>
    <row r="906" spans="1:57"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row>
    <row r="907" spans="1:57"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row>
    <row r="908" spans="1:57"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row>
    <row r="909" spans="1:57"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row>
    <row r="910" spans="1:57"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row>
    <row r="911" spans="1:57"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row>
    <row r="912" spans="1:57"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row>
    <row r="913" spans="1:57"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row>
    <row r="914" spans="1:57"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row>
    <row r="915" spans="1:57"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row>
    <row r="916" spans="1:57"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row>
    <row r="917" spans="1:57"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row>
    <row r="918" spans="1:57"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row>
    <row r="919" spans="1:57"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row>
    <row r="920" spans="1:57"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row>
    <row r="921" spans="1:57"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row>
    <row r="922" spans="1:57"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row>
    <row r="923" spans="1:57"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row>
    <row r="924" spans="1:57"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row>
    <row r="925" spans="1:57"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row>
    <row r="926" spans="1:57"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row>
    <row r="927" spans="1:57"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row>
    <row r="928" spans="1:57"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row>
    <row r="929" spans="1:57"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row>
    <row r="930" spans="1:57"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row>
    <row r="931" spans="1:57"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row>
    <row r="932" spans="1:57"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row>
    <row r="933" spans="1:57"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row>
    <row r="934" spans="1:57"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row>
    <row r="935" spans="1:57"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row>
    <row r="936" spans="1:57"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row>
    <row r="937" spans="1:57"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row>
    <row r="938" spans="1:57"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row>
    <row r="939" spans="1:57"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row>
    <row r="940" spans="1:57"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row>
    <row r="941" spans="1:57"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row>
    <row r="942" spans="1:57"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row>
    <row r="943" spans="1:57"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row>
    <row r="944" spans="1:57"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row>
    <row r="945" spans="1:57"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row>
    <row r="946" spans="1:57"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row>
    <row r="947" spans="1:57"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row>
    <row r="948" spans="1:57"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row>
    <row r="949" spans="1:57"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row>
    <row r="950" spans="1:57"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row>
    <row r="951" spans="1:57"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row>
    <row r="952" spans="1:57"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row>
    <row r="953" spans="1:57"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row>
    <row r="954" spans="1:57"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row>
    <row r="955" spans="1:57"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row>
    <row r="956" spans="1:57"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row>
    <row r="957" spans="1:57"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row>
    <row r="958" spans="1:57"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row>
    <row r="959" spans="1:57"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row>
    <row r="960" spans="1:57"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row>
    <row r="961" spans="1:57"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row>
    <row r="962" spans="1:57"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row>
    <row r="963" spans="1:57"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row>
    <row r="964" spans="1:57"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row>
    <row r="965" spans="1:57"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row>
    <row r="966" spans="1:57"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row>
    <row r="967" spans="1:57"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row>
    <row r="968" spans="1:57"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row>
    <row r="969" spans="1:57"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row>
    <row r="970" spans="1:57"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row>
    <row r="971" spans="1:57"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row>
    <row r="972" spans="1:57"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row>
    <row r="973" spans="1:57"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row>
    <row r="974" spans="1:57"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row>
    <row r="975" spans="1:57"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row>
    <row r="976" spans="1:57"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row>
    <row r="977" spans="1:57"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row>
    <row r="978" spans="1:57"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row>
    <row r="979" spans="1:57"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row>
    <row r="980" spans="1:57"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row>
    <row r="981" spans="1:57"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row>
    <row r="982" spans="1:57"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row>
    <row r="983" spans="1:57"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row>
    <row r="984" spans="1:57"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row>
    <row r="985" spans="1:57"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row>
    <row r="986" spans="1:57"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row>
    <row r="987" spans="1:57"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row>
    <row r="988" spans="1:57"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row>
    <row r="989" spans="1:57"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row>
    <row r="990" spans="1:57"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row>
    <row r="991" spans="1:57"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row>
    <row r="992" spans="1:57"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row>
    <row r="993" spans="1:57"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row>
    <row r="994" spans="1:57"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row>
    <row r="995" spans="1:57"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row>
    <row r="996" spans="1:57"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row>
    <row r="997" spans="1:57"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row>
    <row r="998" spans="1:57"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row>
    <row r="999" spans="1:57"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row>
    <row r="1000" spans="1:57"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row>
  </sheetData>
  <hyperlinks>
    <hyperlink ref="AN2" r:id="rId1" display="https://onlinegamespromo.fazi.rs/Home/IntegrationGameLaunch?moneyType=0&amp;gameName=POSTMAN&amp;platform=desktop&amp;languageCode=eng&amp;currency=EUR" xr:uid="{00000000-0004-0000-0B00-000000000000}"/>
    <hyperlink ref="BD2" r:id="rId2" display="https://gameserver-store-client-area.orbionlimited.com/Home/IntegrationGameLaunch/client-area?moneyType=0&amp;gameName=Postman&amp;platform=desktop&amp;languageCode=eng&amp;currency=EUR" xr:uid="{00000000-0004-0000-0B00-000001000000}"/>
    <hyperlink ref="AN3" r:id="rId3" display="https://onlinegamespromo.fazi.rs/Home/IntegrationGameLaunch?moneyType=0&amp;gameName=DEEPJUNGLE&amp;platform=desktop&amp;languageCode=eng&amp;currency=EUR" xr:uid="{00000000-0004-0000-0B00-000002000000}"/>
    <hyperlink ref="AZ3" r:id="rId4" display="https://drive.google.com/drive/folders/1eAhqfN9MTsssPa1gNwX2PQPL_WHWv2MA" xr:uid="{00000000-0004-0000-0B00-000003000000}"/>
    <hyperlink ref="BD3" r:id="rId5" display="https://gameserver-store-client-area.orbionlimited.com/Home/IntegrationGameLaunch/client-area?moneyType=0&amp;gameName=DeepJungle&amp;platform=desktop&amp;languageCode=eng&amp;currency=EUR" xr:uid="{00000000-0004-0000-0B00-000004000000}"/>
    <hyperlink ref="AN4" r:id="rId6" display="https://onlinegamespromo.fazi.rs/Home/IntegrationGameLaunch?moneyType=0&amp;gameName=WIZARD&amp;platform=desktop&amp;languageCode=eng&amp;currency=EUR" xr:uid="{00000000-0004-0000-0B00-000005000000}"/>
    <hyperlink ref="AZ4" r:id="rId7" display="https://drive.google.com/drive/folders/1q7qLsDD3MeXJAtJq5qGDM--q3a9mnJVA" xr:uid="{00000000-0004-0000-0B00-000006000000}"/>
    <hyperlink ref="BD4" r:id="rId8" display="https://gameserver-store-client-area.orbionlimited.com/Home/IntegrationGameLaunch/client-area?moneyType=0&amp;gameName=Wizard&amp;platform=desktop&amp;languageCode=eng&amp;currency=EUR" xr:uid="{00000000-0004-0000-0B00-000007000000}"/>
    <hyperlink ref="AN5" r:id="rId9" display="https://onlinegamespromo.fazi.rs/Home/IntegrationGameLaunch?moneyType=0&amp;gameName=FRUITSANDSTARS&amp;platform=desktop&amp;languageCode=eng&amp;currency=EUR" xr:uid="{00000000-0004-0000-0B00-000008000000}"/>
    <hyperlink ref="AZ5" r:id="rId10" display="https://drive.google.com/drive/folders/1F58FR3Kzj28XzgM5QV9dzINmVlxd4PoB" xr:uid="{00000000-0004-0000-0B00-000009000000}"/>
    <hyperlink ref="BD5" r:id="rId11" display="https://gameserver-store-client-area.orbionlimited.com/Home/IntegrationGameLaunch/client-area?moneyType=0&amp;gameName=FruitsAndStars&amp;platform=desktop&amp;languageCode=eng&amp;currency=EUR" xr:uid="{00000000-0004-0000-0B00-00000A000000}"/>
    <hyperlink ref="AN12" r:id="rId12" display="https://onlinegamespromo.fazi.rs/Home/IntegrationGameLaunch?moneyType=0&amp;gameName=Hot777&amp;platform=desktop&amp;languageCode=eng&amp;currency=EUR" xr:uid="{00000000-0004-0000-0B00-00000B000000}"/>
    <hyperlink ref="AZ12" r:id="rId13" display="https://drive.google.com/drive/folders/1VWYsrqnjTUG7-oda2zHN8BriOazH8oro" xr:uid="{00000000-0004-0000-0B00-00000C000000}"/>
    <hyperlink ref="BD12" r:id="rId14" display="https://gameserver-store-client-area.orbionlimited.com/Home/IntegrationGameLaunch/client-area?moneyType=0&amp;gameName=Hot777&amp;platform=desktop&amp;languageCode=eng&amp;currency=EUR" xr:uid="{00000000-0004-0000-0B00-00000D000000}"/>
    <hyperlink ref="AN15" r:id="rId15" display="https://onlinegamespromo.fazi.rs/Home/IntegrationGameLaunch?moneyType=0&amp;gameName=WILDWEST&amp;platform=desktop&amp;languageCode=eng&amp;currency=EUR" xr:uid="{00000000-0004-0000-0B00-00000E000000}"/>
    <hyperlink ref="BD15" r:id="rId16" display="https://gameserver-store-client-area.orbionlimited.com/Home/IntegrationGameLaunch/client-area?moneyType=0&amp;gameName=WildWest&amp;platform=desktop&amp;languageCode=eng&amp;currency=EUR" xr:uid="{00000000-0004-0000-0B00-00000F000000}"/>
    <hyperlink ref="AN17" r:id="rId17" display="https://onlinegamespromo.fazi.rs/Home/IntegrationGameLaunch?moneyType=0&amp;gameName=PYRAMID&amp;platform=desktop&amp;languageCode=eng&amp;currency=EUR" xr:uid="{00000000-0004-0000-0B00-000010000000}"/>
    <hyperlink ref="BD17" r:id="rId18" display="https://gameserver-store-client-area.orbionlimited.com/Home/IntegrationGameLaunch/client-area?moneyType=0&amp;gameName=Pyramid&amp;platform=desktop&amp;languageCode=eng&amp;currency=EUR" xr:uid="{00000000-0004-0000-0B00-000011000000}"/>
    <hyperlink ref="AN18" r:id="rId19" display="https://onlinegamespromo.fazi.rs/Home/IntegrationGameLaunch?moneyType=0&amp;gameName=ROULETTE&amp;platform=desktop&amp;languageCode=eng&amp;currency=EUR" xr:uid="{00000000-0004-0000-0B00-000012000000}"/>
    <hyperlink ref="BD18" r:id="rId20" display="https://gameserver-store-client-area.orbionlimited.com/Home/IntegrationGameLaunch/client-area?moneyType=0&amp;gameName=Roulette&amp;platform=desktop&amp;languageCode=eng&amp;currency=EUR" xr:uid="{00000000-0004-0000-0B00-000013000000}"/>
    <hyperlink ref="AN19" r:id="rId21" display="https://onlinegamespromo.fazi.rs/Home/IntegrationGameLaunch?moneyType=0&amp;gameName=JOLLYPOKER&amp;platform=desktop&amp;languageCode=eng&amp;currency=EUR" xr:uid="{00000000-0004-0000-0B00-000014000000}"/>
    <hyperlink ref="BD19" r:id="rId22" display="https://gameserver-store-client-area.orbionlimited.com/Home/IntegrationGameLaunch/client-area?moneyType=0&amp;gameName=JollyPoker&amp;platform=desktop&amp;languageCode=eng&amp;currency=EUR" xr:uid="{00000000-0004-0000-0B00-000015000000}"/>
    <hyperlink ref="AN22" r:id="rId23" display="https://onlinegamespromo.fazi.rs/Home/IntegrationGameLaunch?moneyType=0&amp;gameName=JUICYHOT&amp;platform=desktop&amp;languageCode=eng&amp;currency=EUR" xr:uid="{00000000-0004-0000-0B00-000016000000}"/>
    <hyperlink ref="BD22" r:id="rId24" display="https://gameserver-store-client-area.orbionlimited.com/Home/IntegrationGameLaunch/client-area?moneyType=0&amp;gameName=JuicyHot&amp;platform=desktop&amp;languageCode=eng&amp;currency=EUR" xr:uid="{00000000-0004-0000-0B00-000017000000}"/>
    <hyperlink ref="AN23" r:id="rId25" display="https://onlinegamespromo.fazi.rs/Home/IntegrationGameLaunch?moneyType=0&amp;gameName=HOTSTARS&amp;platform=desktop&amp;languageCode=eng&amp;currency=EUR" xr:uid="{00000000-0004-0000-0B00-000018000000}"/>
    <hyperlink ref="BD23" r:id="rId26" display="https://gameserver-store-client-area.orbionlimited.com/Home/IntegrationGameLaunch/client-area?moneyType=0&amp;gameName=HotStars&amp;platform=desktop&amp;languageCode=eng&amp;currency=EUR" xr:uid="{00000000-0004-0000-0B00-000019000000}"/>
    <hyperlink ref="AN25" r:id="rId27" display="https://onlinegamespromo.fazi.rs/Home/IntegrationGameLaunch?moneyType=0&amp;gameName=BOOKOFSPELLS&amp;platform=desktop&amp;languageCode=eng&amp;currency=EUR" xr:uid="{00000000-0004-0000-0B00-00001A000000}"/>
    <hyperlink ref="BD25" r:id="rId28" display="https://gameserver-store-client-area.orbionlimited.com/Home/IntegrationGameLaunch/client-area?moneyType=0&amp;gameName=BookOfSpells&amp;platform=desktop&amp;languageCode=eng&amp;currency=EUR" xr:uid="{00000000-0004-0000-0B00-00001B000000}"/>
    <hyperlink ref="AN26" r:id="rId29" display="https://onlinegamespromo.fazi.rs/Home/IntegrationGameLaunch?moneyType=0&amp;gameName=MEGAHOT&amp;platform=desktop&amp;languageCode=eng&amp;currency=EUR" xr:uid="{00000000-0004-0000-0B00-00001C000000}"/>
    <hyperlink ref="BD26" r:id="rId30" display="https://gameserver-store-client-area.orbionlimited.com/Home/IntegrationGameLaunch/client-area?moneyType=0&amp;gameName=MegaHot&amp;platform=desktop&amp;languageCode=eng&amp;currency=EUR" xr:uid="{00000000-0004-0000-0B00-00001D000000}"/>
    <hyperlink ref="AN30" r:id="rId31" display="https://onlinegamespromo.fazi.rs/Home/IntegrationGameLaunch?moneyType=0&amp;gameName=TURBOHOT40&amp;platform=desktop&amp;languageCode=eng&amp;currency=EUR" xr:uid="{00000000-0004-0000-0B00-00001E000000}"/>
    <hyperlink ref="BD30" r:id="rId32" display="https://gameserver-store-client-area.orbionlimited.com/Home/IntegrationGameLaunch/client-area?moneyType=0&amp;gameName=TurboHot40&amp;platform=desktop&amp;languageCode=eng&amp;currency=EUR" xr:uid="{00000000-0004-0000-0B00-00001F000000}"/>
    <hyperlink ref="AN31" r:id="rId33" display="https://onlinegamespromo.fazi.rs/Home/IntegrationGameLaunch?moneyType=0&amp;gameName=CRYSTALSOFMAGIC&amp;platform=desktop&amp;languageCode=eng&amp;currency=EUR" xr:uid="{00000000-0004-0000-0B00-000020000000}"/>
    <hyperlink ref="BD31" r:id="rId34" display="https://gameserver-store-client-area.orbionlimited.com/Home/IntegrationGameLaunch/client-area?moneyType=0&amp;gameName=CrystalsOfMagic&amp;platform=desktop&amp;languageCode=eng&amp;currency=EUR" xr:uid="{00000000-0004-0000-0B00-000021000000}"/>
    <hyperlink ref="AN32" r:id="rId35" display="https://onlinegamespromo.fazi.rs/Home/IntegrationGameLaunch?moneyType=0&amp;gameName=PiratesFazi&amp;lobbyUrl=https://www.fazi-interactive.com/" xr:uid="{00000000-0004-0000-0B00-000022000000}"/>
    <hyperlink ref="BD32" r:id="rId36" display="https://gameserver-store-client-area.orbionlimited.com/Home/IntegrationGameLaunch/client-area?moneyType=0&amp;gameName=Pirates&amp;platform=desktop&amp;languageCode=eng&amp;currency=EUR" xr:uid="{00000000-0004-0000-0B00-000023000000}"/>
    <hyperlink ref="AN33" r:id="rId37" display="https://onlinegamespromo.fazi.rs/Home/IntegrationGameLaunch?moneyType=0&amp;gameName=BOOKOFBRUNO&amp;platform=desktop&amp;languageCode=eng&amp;currency=EUR" xr:uid="{00000000-0004-0000-0B00-000024000000}"/>
    <hyperlink ref="BD33" r:id="rId38" display="https://gameserver-store-client-area.orbionlimited.com/Home/IntegrationGameLaunch/client-area?moneyType=0&amp;gameName=BookOfBruno&amp;platform=desktop&amp;languageCode=eng&amp;currency=EUR" xr:uid="{00000000-0004-0000-0B00-000025000000}"/>
    <hyperlink ref="AN34" r:id="rId39" display="https://onlinegamespromo.fazi.rs/Home/IntegrationGameLaunch?moneyType=0&amp;gameName=TROPICALHOT&amp;platform=desktop&amp;languageCode=eng&amp;currency=EUR" xr:uid="{00000000-0004-0000-0B00-000026000000}"/>
    <hyperlink ref="BD34" r:id="rId40" display="https://gameserver-store-client-area.orbionlimited.com/Home/IntegrationGameLaunch/client-area?moneyType=0&amp;gameName=TropicalHot&amp;platform=desktop&amp;languageCode=eng&amp;currency=EUR" xr:uid="{00000000-0004-0000-0B00-000027000000}"/>
    <hyperlink ref="AN35" r:id="rId41" display="https://onlinegamespromo.fazi.rs/Home/IntegrationGameLaunch?moneyType=0&amp;gameName=MONSTERS&amp;platform=desktop&amp;languageCode=eng&amp;currency=EUR" xr:uid="{00000000-0004-0000-0B00-000028000000}"/>
    <hyperlink ref="BD35" r:id="rId42" display="https://gameserver-store-client-area.orbionlimited.com/Home/IntegrationGameLaunch/client-area?moneyType=0&amp;gameName=Monsters&amp;platform=desktop&amp;languageCode=eng&amp;currency=EUR" xr:uid="{00000000-0004-0000-0B00-000029000000}"/>
    <hyperlink ref="AN36" r:id="rId43" display="https://onlinegamespromo.fazi.rs/Home/IntegrationGameLaunch?moneyType=0&amp;gameName=FORESTFRUITS&amp;platform=desktop&amp;languageCode=eng&amp;currency=EUR" xr:uid="{00000000-0004-0000-0B00-00002A000000}"/>
    <hyperlink ref="BD36" r:id="rId44" display="https://gameserver-store-client-area.orbionlimited.com/Home/IntegrationGameLaunch/client-area?moneyType=0&amp;gameName=ForestFruits&amp;platform=desktop&amp;languageCode=eng&amp;currency=EUR" xr:uid="{00000000-0004-0000-0B00-00002B000000}"/>
    <hyperlink ref="AN37" r:id="rId45" display="https://onlinegamespromo.fazi.rs/Home/IntegrationGameLaunch?moneyType=0&amp;gameName=VIKINGGOLD&amp;platform=desktop&amp;languageCode=eng&amp;currency=EUR" xr:uid="{00000000-0004-0000-0B00-00002C000000}"/>
    <hyperlink ref="BD37" r:id="rId46" display="https://gameserver-store-client-area.orbionlimited.com/Home/IntegrationGameLaunch/client-area?moneyType=0&amp;gameName=VikingGold&amp;platform=desktop&amp;languageCode=eng&amp;currency=EUR" xr:uid="{00000000-0004-0000-0B00-00002D000000}"/>
    <hyperlink ref="AN38" r:id="rId47" display="https://onlinegamespromo.fazi.rs/Home/IntegrationGameLaunch?moneyType=0&amp;gameName=STARGEMS&amp;platform=desktop&amp;languageCode=eng&amp;currency=EUR" xr:uid="{00000000-0004-0000-0B00-00002E000000}"/>
    <hyperlink ref="BD38" r:id="rId48" display="https://gameserver-store-client-area.orbionlimited.com/Home/IntegrationGameLaunch/client-area?moneyType=0&amp;gameName=StarGems&amp;platform=desktop&amp;languageCode=eng&amp;currency=EUR" xr:uid="{00000000-0004-0000-0B00-00002F000000}"/>
    <hyperlink ref="AN40" r:id="rId49" display="https://onlinegamespromo.fazi.rs/Home/IntegrationGameLaunch?moneyType=0&amp;gameName=TEMPLARSQUEST&amp;platform=desktop&amp;languageCode=eng&amp;currency=EUR" xr:uid="{00000000-0004-0000-0B00-000030000000}"/>
    <hyperlink ref="BD40" r:id="rId50" display="https://gameserver-store-client-area.orbionlimited.com/Home/IntegrationGameLaunch/client-area?moneyType=0&amp;gameName=TemplarsQuest&amp;platform=desktop&amp;languageCode=eng&amp;currency=EUR" xr:uid="{00000000-0004-0000-0B00-000031000000}"/>
    <hyperlink ref="AN41" r:id="rId51" display="https://onlinegamespromo.fazi.rs/Home/IntegrationGameLaunch?moneyType=0&amp;gameName=SpaceGuardians&amp;platform=desktop&amp;languageCode=eng&amp;currency=EUR" xr:uid="{00000000-0004-0000-0B00-000032000000}"/>
    <hyperlink ref="BD41" r:id="rId52" display="https://gameserver-store-client-area.orbionlimited.com/Home/IntegrationGameLaunch/client-area?moneyType=0&amp;gameName=SpaceGuardians&amp;platform=desktop&amp;languageCode=eng&amp;currency=EUR" xr:uid="{00000000-0004-0000-0B00-000033000000}"/>
    <hyperlink ref="AN43" r:id="rId53" display="https://onlinegamespromo.fazi.rs/Home/IntegrationGameLaunch?moneyType=0&amp;gameName=STARLIGHT&amp;platform=desktop&amp;languageCode=eng&amp;currency=EUR" xr:uid="{00000000-0004-0000-0B00-000034000000}"/>
    <hyperlink ref="BD43" r:id="rId54" display="https://gameserver-store-client-area.orbionlimited.com/Home/IntegrationGameLaunch/client-area?moneyType=0&amp;gameName=Starlight&amp;platform=desktop&amp;languageCode=eng&amp;currency=EUR" xr:uid="{00000000-0004-0000-0B00-000035000000}"/>
    <hyperlink ref="AN44" r:id="rId55" display="https://onlinegamespromo.fazi.rs/Home/IntegrationGameLaunch?moneyType=0&amp;gameName=TRIPLEHOT&amp;platform=desktop&amp;languageCode=eng&amp;currency=EUR" xr:uid="{00000000-0004-0000-0B00-000036000000}"/>
    <hyperlink ref="BD44" r:id="rId56" display="https://gameserver-store-client-area.orbionlimited.com/Home/IntegrationGameLaunch/client-area?moneyType=0&amp;gameName=TripleHot&amp;platform=desktop&amp;languageCode=eng&amp;currency=EUR" xr:uid="{00000000-0004-0000-0B00-000037000000}"/>
    <hyperlink ref="AN45" r:id="rId57" display="https://onlinegamespromo.fazi.rs/Home/IntegrationGameLaunch?moneyType=0&amp;gameName=CRYSTALHOT40&amp;platform=desktop&amp;languageCode=eng&amp;currency=EUR" xr:uid="{00000000-0004-0000-0B00-000038000000}"/>
    <hyperlink ref="BD45" r:id="rId58" display="https://gameserver-store-client-area.orbionlimited.com/Home/IntegrationGameLaunch/client-area?moneyType=0&amp;gameName=CrystalHot40&amp;platform=desktop&amp;languageCode=eng&amp;currency=EUR" xr:uid="{00000000-0004-0000-0B00-000039000000}"/>
    <hyperlink ref="AN48" r:id="rId59" display="https://onlinegamespromo.fazi.rs/Home/IntegrationGameLaunch?moneyType=0&amp;gameName=TurboDice40&amp;platform=desktop&amp;languageCode=eng&amp;currency=EUR" xr:uid="{00000000-0004-0000-0B00-00003A000000}"/>
    <hyperlink ref="BD48" r:id="rId60" display="https://gameserver-store-client-area.orbionlimited.com/Home/IntegrationGameLaunch/client-area?moneyType=0&amp;gameName=TurboDice40&amp;platform=desktop&amp;languageCode=eng&amp;currency=EUR" xr:uid="{00000000-0004-0000-0B00-00003B000000}"/>
    <hyperlink ref="AN49" r:id="rId61" display="https://onlinegamespromo.fazi.rs/Home/IntegrationGameLaunch?moneyType=0&amp;gameName=TripleDice&amp;platform=desktop&amp;languageCode=eng&amp;currency=EUR" xr:uid="{00000000-0004-0000-0B00-00003C000000}"/>
    <hyperlink ref="BD49" r:id="rId62" display="https://gameserver-store-client-area.orbionlimited.com/Home/IntegrationGameLaunch/client-area?moneyType=0&amp;gameName=TripleDice&amp;platform=desktop&amp;languageCode=eng&amp;currency=EUR" xr:uid="{00000000-0004-0000-0B00-00003D000000}"/>
    <hyperlink ref="AN53" r:id="rId63" display="https://onlinegamespromo.fazi.rs/Home/IntegrationGameLaunch?moneyType=0&amp;gameName=KATANASOFTIME&amp;platform=desktop&amp;languageCode=eng&amp;currency=EUR" xr:uid="{00000000-0004-0000-0B00-00003E000000}"/>
    <hyperlink ref="BD53" r:id="rId64" display="https://gameserver-store-client-area.orbionlimited.com/Home/IntegrationGameLaunch/client-area?moneyType=0&amp;gameName=KatanasOfTime&amp;platform=desktop&amp;languageCode=eng&amp;currency=EUR" xr:uid="{00000000-0004-0000-0B00-00003F000000}"/>
    <hyperlink ref="AN54" r:id="rId65" display="https://onlinegamespromo.fazi.rs/Home/IntegrationGameLaunch?moneyType=0&amp;gameName=RETRO7HOT&amp;platform=desktop&amp;languageCode=eng&amp;currency=EUR" xr:uid="{00000000-0004-0000-0B00-000040000000}"/>
    <hyperlink ref="BD54" r:id="rId66" display="https://gameserver-store-client-area.orbionlimited.com/Home/IntegrationGameLaunch/client-area?moneyType=0&amp;gameName=Retro7Hot&amp;platform=desktop&amp;languageCode=eng&amp;currency=EUR" xr:uid="{00000000-0004-0000-0B00-000041000000}"/>
    <hyperlink ref="AN55" r:id="rId67" display="https://onlinegamespromo.fazi.rs/Home/IntegrationGameLaunch?moneyType=0&amp;gameName=VIPROULETTE&amp;platform=desktop&amp;languageCode=eng&amp;currency=EUR" xr:uid="{00000000-0004-0000-0B00-000042000000}"/>
    <hyperlink ref="BD55" r:id="rId68" display="https://gameserver-store-client-area.orbionlimited.com/Home/IntegrationGameLaunch/client-area?moneyType=0&amp;gameName=VipRoulette&amp;platform=desktop&amp;languageCode=eng&amp;currency=EUR" xr:uid="{00000000-0004-0000-0B00-000043000000}"/>
    <hyperlink ref="AN56" r:id="rId69" display="https://onlinegamespromo.fazi.rs/Home/IntegrationGameLaunch?moneyType=0&amp;gameName=StarRunner&amp;platform=desktop&amp;languageCode=eng&amp;currency=EUR" xr:uid="{00000000-0004-0000-0B00-000044000000}"/>
    <hyperlink ref="BD56" r:id="rId70" display="https://gameserver-store-client-area.orbionlimited.com/Home/IntegrationGameLaunch/client-area?moneyType=0&amp;gameName=StarRunner&amp;platform=desktop&amp;languageCode=eng&amp;currency=EUR" xr:uid="{00000000-0004-0000-0B00-000045000000}"/>
    <hyperlink ref="AN57" r:id="rId71" display="https://onlinegamespromo.fazi.rs/Home/IntegrationGameLaunch?moneyType=0&amp;gameName=AlohaCharm&amp;platform=desktop&amp;languageCode=eng&amp;currency=EUR" xr:uid="{00000000-0004-0000-0B00-000046000000}"/>
    <hyperlink ref="BD57" r:id="rId72" display="https://gameserver-store-client-area.orbionlimited.com/Home/IntegrationGameLaunch/client-area?moneyType=0&amp;gameName=AlohaCharm&amp;platform=desktop&amp;languageCode=eng&amp;currency=EUR" xr:uid="{00000000-0004-0000-0B00-000047000000}"/>
    <hyperlink ref="AN59" r:id="rId73" display="https://onlinegamespromo.fazi.rs/Home/IntegrationGameLaunch?moneyType=0&amp;gameName=FruitsAndStars40&amp;platform=desktop&amp;languageCode=eng&amp;currency=EUR" xr:uid="{00000000-0004-0000-0B00-000048000000}"/>
    <hyperlink ref="BD59" r:id="rId74" display="https://gameserver-store-client-area.orbionlimited.com/Home/IntegrationGameLaunch/client-area?moneyType=0&amp;gameName=FruitsAndStars40&amp;platform=desktop&amp;languageCode=eng&amp;currency=EUR" xr:uid="{00000000-0004-0000-0B00-000049000000}"/>
    <hyperlink ref="AN60" r:id="rId75" display="https://onlinegamespromo.fazi.rs/Home/IntegrationGameLaunch?moneyType=0&amp;gameName=TwinklingHot5&amp;platform=desktop&amp;languageCode=eng&amp;currency=EUR" xr:uid="{00000000-0004-0000-0B00-00004A000000}"/>
    <hyperlink ref="BD60" r:id="rId76" display="https://gameserver-store-client-area.orbionlimited.com/Home/IntegrationGameLaunch/client-area?moneyType=0&amp;gameName=TwinklingHot5&amp;platform=desktop&amp;languageCode=eng&amp;currency=EUR" xr:uid="{00000000-0004-0000-0B00-00004B000000}"/>
    <hyperlink ref="AN61" r:id="rId77" display="https://onlinegamespromo.fazi.rs/Home/IntegrationGameLaunch?moneyType=0&amp;gameName=DiceOfSpells&amp;platform=desktop&amp;languageCode=eng&amp;currency=EUR" xr:uid="{00000000-0004-0000-0B00-00004C000000}"/>
    <hyperlink ref="BD61" r:id="rId78" display="https://gameserver-store-client-area.orbionlimited.com/Home/IntegrationGameLaunch/client-area?moneyType=0&amp;gameName=DiceOfSpells&amp;platform=desktop&amp;languageCode=eng&amp;currency=EUR" xr:uid="{00000000-0004-0000-0B00-00004D000000}"/>
    <hyperlink ref="AN62" r:id="rId79" display="https://onlinegamespromo.fazi.rs/Home/IntegrationGameLaunch?moneyType=0&amp;gameName=CubesAndStars&amp;platform=desktop&amp;languageCode=eng&amp;currency=EUR" xr:uid="{00000000-0004-0000-0B00-00004E000000}"/>
    <hyperlink ref="BD62" r:id="rId80" display="https://gameserver-store-client-area.orbionlimited.com/Home/IntegrationGameLaunch/client-area?moneyType=0&amp;gameName=CubesAndStars&amp;platform=desktop&amp;languageCode=eng&amp;currency=EUR" xr:uid="{00000000-0004-0000-0B00-00004F000000}"/>
    <hyperlink ref="AN63" r:id="rId81" display="https://onlinegamespromo.fazi.rs/Home/IntegrationGameLaunch?moneyType=0&amp;gameName=TwinklingHot40&amp;platform=desktop&amp;languageCode=eng&amp;currency=EUR" xr:uid="{00000000-0004-0000-0B00-000050000000}"/>
    <hyperlink ref="BD63" r:id="rId82" display="https://gameserver-store-client-area.orbionlimited.com/Home/IntegrationGameLaunch/client-area?moneyType=0&amp;gameName=TwinklingHot40&amp;platform=desktop&amp;languageCode=eng&amp;currency=EUR" xr:uid="{00000000-0004-0000-0B00-000051000000}"/>
    <hyperlink ref="AN64" r:id="rId83" display="https://onlinegamespromo.fazi.rs/Home/IntegrationGameLaunch?moneyType=0&amp;gameName=BookOfSpellsDeluxe&amp;platform=desktop&amp;languageCode=eng&amp;currency=EUR" xr:uid="{00000000-0004-0000-0B00-000052000000}"/>
    <hyperlink ref="BD64" r:id="rId84" display="https://gameserver-store-client-area.orbionlimited.com/Home/IntegrationGameLaunch/client-area?moneyType=0&amp;gameName=BookOfSpellsDeluxe&amp;platform=desktop&amp;languageCode=eng&amp;currency=EUR" xr:uid="{00000000-0004-0000-0B00-000053000000}"/>
    <hyperlink ref="AN65" r:id="rId85" display="https://onlinegamespromo.fazi.rs/Home/IntegrationGameLaunch?moneyType=0&amp;gameName=JazzyFruits&amp;platform=desktop&amp;languageCode=eng&amp;currency=EUR" xr:uid="{00000000-0004-0000-0B00-000054000000}"/>
    <hyperlink ref="BD65" r:id="rId86" display="https://gameserver-store-client-area.orbionlimited.com/Home/IntegrationGameLaunch/client-area?moneyType=0&amp;gameName=JazzyFruits&amp;platform=desktop&amp;languageCode=eng&amp;currency=EUR" xr:uid="{00000000-0004-0000-0B00-000055000000}"/>
    <hyperlink ref="AN66" r:id="rId87" display="https://onlinegamespromo.fazi.rs/Home/IntegrationGameLaunch?moneyType=0&amp;gameName=CrystalHot80&amp;platform=desktop&amp;languageCode=eng&amp;currency=EUR" xr:uid="{00000000-0004-0000-0B00-000056000000}"/>
    <hyperlink ref="BD66" r:id="rId88" display="https://gameserver-store-client-area.orbionlimited.com/Home/IntegrationGameLaunch/client-area?moneyType=0&amp;gameName=CrystalHot80&amp;platform=desktop&amp;languageCode=eng&amp;currency=EUR" xr:uid="{00000000-0004-0000-0B00-000057000000}"/>
    <hyperlink ref="AN68" r:id="rId89" display="https://onlinegamespromo.fazi.rs/Home/IntegrationGameLaunch?moneyType=0&amp;gameName=CrystalHot40Deluxe&amp;platform=desktop&amp;languageCode=eng&amp;currency=EUR" xr:uid="{00000000-0004-0000-0B00-000058000000}"/>
    <hyperlink ref="BD68" r:id="rId90" display="https://gameserver-store-client-area.orbionlimited.com/Home/IntegrationGameLaunch/client-area?moneyType=0&amp;gameName=CrystalHot40Deluxe&amp;platform=desktop&amp;languageCode=eng&amp;currency=EUR" xr:uid="{00000000-0004-0000-0B00-000059000000}"/>
    <hyperlink ref="AN69" r:id="rId91" display="https://onlinegamespromo.fazi.rs/Home/IntegrationGameLaunch?moneyType=0&amp;gameName=CrystalHot40Deluxe&amp;platform=desktop&amp;languageCode=eng&amp;currency=EUR" xr:uid="{00000000-0004-0000-0B00-00005A000000}"/>
    <hyperlink ref="BD69" r:id="rId92" display="https://gameserver-store-client-area.orbionlimited.com/Home/IntegrationGameLaunch/client-area?moneyType=0&amp;gameName=LiveFaziRoulette&amp;platform=desktop&amp;languageCode=eng&amp;currency=EUR" xr:uid="{00000000-0004-0000-0B00-00005B000000}"/>
    <hyperlink ref="AN70" r:id="rId93" display="https://onlinegamespromo.fazi.rs/Home/IntegrationGameLaunch?moneyType=0&amp;gameName=CrystalHot40Deluxe&amp;platform=desktop&amp;languageCode=eng&amp;currency=EUR" xr:uid="{00000000-0004-0000-0B00-00005C000000}"/>
    <hyperlink ref="BD70" r:id="rId94" display="https://gameserver-store-client-area.orbionlimited.com/Home/IntegrationGameLaunch/client-area?moneyType=0&amp;gameName=GoldenClover&amp;platform=desktop&amp;languageCode=eng&amp;currency=EUR" xr:uid="{00000000-0004-0000-0B00-00005D000000}"/>
    <hyperlink ref="AN73" r:id="rId95" display="https://onlinegamespromo.fazi.rs/Home/IntegrationGameLaunch?moneyType=0&amp;gameName=UnicornVegasDice&amp;platform=desktop&amp;languageCode=eng&amp;currency=EUR" xr:uid="{00000000-0004-0000-0B00-00005E000000}"/>
    <hyperlink ref="BD73" r:id="rId96" display="https://gameserver-store-client-area.orbionlimited.com/Home/IntegrationGameLaunch/client-area?moneyType=0&amp;gameName=UnicornVegasDice&amp;platform=desktop&amp;languageCode=eng&amp;currency=EUR" xr:uid="{00000000-0004-0000-0B00-00005F000000}"/>
    <hyperlink ref="AN74" r:id="rId97" display="https://onlinegamespromo.fazi.rs/Home/IntegrationGameLaunch?moneyType=0&amp;gameName=UnicornVegasDice&amp;platform=desktop&amp;languageCode=eng&amp;currency=EUR" xr:uid="{00000000-0004-0000-0B00-000060000000}"/>
    <hyperlink ref="BD74" r:id="rId98" display="https://gameserver-store-client-area.orbionlimited.com/Home/IntegrationGameLaunch/client-area?moneyType=0&amp;gameName=BookOfMayanGold&amp;platform=desktop&amp;languageCode=eng&amp;currency=EUR" xr:uid="{00000000-0004-0000-0B00-000061000000}"/>
    <hyperlink ref="AN76" r:id="rId99" display="https://onlinegamespromo.fazi.rs/Home/IntegrationGameLaunch?moneyType=0&amp;gameName=WildHot40&amp;platform=desktop&amp;languageCode=eng&amp;currency=EUR" xr:uid="{00000000-0004-0000-0B00-000062000000}"/>
    <hyperlink ref="BD76" r:id="rId100" display="https://gameserver-store-client-area.orbionlimited.com/Home/IntegrationGameLaunch/client-area?moneyType=0&amp;gameName=WildHot40&amp;platform=desktop&amp;languageCode=eng&amp;currency=EUR" xr:uid="{00000000-0004-0000-0B00-000063000000}"/>
    <hyperlink ref="AN78" r:id="rId101" display="https://onlinegamespromo.fazi.rs/Home/IntegrationGameLaunch?moneyType=0&amp;gameName=UnicornReelDice&amp;platform=desktop&amp;languageCode=eng&amp;currency=EUR" xr:uid="{00000000-0004-0000-0B00-000064000000}"/>
    <hyperlink ref="BD78" r:id="rId102" display="https://gameserver-store-client-area.orbionlimited.com/Home/IntegrationGameLaunch/client-area?moneyType=0&amp;gameName=UnicornReelDice&amp;platform=desktop&amp;languageCode=eng&amp;currency=EUR" xr:uid="{00000000-0004-0000-0B00-000065000000}"/>
    <hyperlink ref="AN81" r:id="rId103" display="https://onlinegamespromo.fazi.rs/Home/IntegrationGameLaunch?moneyType=0&amp;gameName=DolphinsShine&amp;platform=desktop&amp;languageCode=eng&amp;currency=EUR" xr:uid="{00000000-0004-0000-0B00-000066000000}"/>
    <hyperlink ref="BD81" r:id="rId104" display="https://gameserver-store-client-area.orbionlimited.com/Home/IntegrationGameLaunch/client-area?moneyType=0&amp;gameName=DolphinsShine&amp;platform=desktop&amp;languageCode=eng&amp;currency=EUR" xr:uid="{00000000-0004-0000-0B00-000067000000}"/>
    <hyperlink ref="AN82" r:id="rId105" display="https://onlinegamespromo.fazi.rs/Home/IntegrationGameLaunch?moneyType=0&amp;gameName=GoldenCrown&amp;platform=desktop&amp;languageCode=eng&amp;currency=EUR" xr:uid="{00000000-0004-0000-0B00-000068000000}"/>
    <hyperlink ref="BD82" r:id="rId106" display="https://gameserver-store-client-area.orbionlimited.com/Home/IntegrationGameLaunch/client-area?moneyType=0&amp;gameName=GoldenCrown&amp;platform=desktop&amp;languageCode=eng&amp;currency=EUR" xr:uid="{00000000-0004-0000-0B00-000069000000}"/>
    <hyperlink ref="N84" r:id="rId107" display="https://docs.google.com/document/d/1Uy4tt6hjEDARsEKbYmUXlmaGTBet09gC/edit?usp=drive_link&amp;ouid=107596163405648766688&amp;rtpof=true&amp;sd=true" xr:uid="{00000000-0004-0000-0B00-00006A000000}"/>
    <hyperlink ref="O84" r:id="rId108" display="https://docs.google.com/document/d/1h3ldOOr6x6wyMw4LsEKfr6TQVCocTUMs/edit?usp=drive_link&amp;ouid=107596163405648766688&amp;rtpof=true&amp;sd=true" xr:uid="{00000000-0004-0000-0B00-00006B000000}"/>
    <hyperlink ref="AN84" r:id="rId109" display="https://static.redstone.rs/games/40-wild-clover/" xr:uid="{00000000-0004-0000-0B00-00006C000000}"/>
    <hyperlink ref="BD84" r:id="rId110" display="https://static.redstone.rs/games/40-wild-clover/" xr:uid="{00000000-0004-0000-0B00-00006D000000}"/>
    <hyperlink ref="AN85" r:id="rId111" display="https://onlinegamespromo.fazi.rs/Home/IntegrationGameLaunch?moneyType=0&amp;gameName=MysteryJokerHot&amp;platform=desktop&amp;languageCode=eng&amp;currency=EUR" xr:uid="{00000000-0004-0000-0B00-00006E000000}"/>
    <hyperlink ref="BD85" r:id="rId112" display="https://gameserver-store-client-area.orbionlimited.com/Home/IntegrationGameLaunch/client-area?moneyType=0&amp;gameName=MysteryJokerHot&amp;platform=desktop&amp;languageCode=eng&amp;currency=EUR" xr:uid="{00000000-0004-0000-0B00-00006F000000}"/>
    <hyperlink ref="AN86" r:id="rId113" display="https://onlinegamespromo.fazi.rs/Home/IntegrationGameLaunch?moneyType=0&amp;gameName=CrystalJokerHot&amp;platform=desktop&amp;languageCode=eng&amp;currency=EUR" xr:uid="{00000000-0004-0000-0B00-000070000000}"/>
    <hyperlink ref="BD86" r:id="rId114" display="https://gameserver-store-client-area.orbionlimited.com/Home/IntegrationGameLaunch/client-area?moneyType=0&amp;gameName=CrystalJokerHot&amp;platform=desktop&amp;languageCode=eng&amp;currency=EUR" xr:uid="{00000000-0004-0000-0B00-000071000000}"/>
    <hyperlink ref="AN87" r:id="rId115" display="https://onlinegamespromo.fazi.rs/Home/IntegrationGameLaunch?moneyType=0&amp;gameName=UnicornFruitIsland&amp;platform=desktop&amp;languageCode=eng&amp;currency=EUR" xr:uid="{00000000-0004-0000-0B00-000072000000}"/>
    <hyperlink ref="BD87" r:id="rId116" display="https://gameserver-store-client-area.orbionlimited.com/Home/IntegrationGameLaunch/client-area?moneyType=0&amp;gameName=UnicornFruitIsland&amp;platform=desktop&amp;languageCode=eng&amp;currency=EUR" xr:uid="{00000000-0004-0000-0B00-000073000000}"/>
    <hyperlink ref="AN88" r:id="rId117" display="https://onlinegamespromo.fazi.rs/Home/IntegrationGameLaunch?moneyType=0&amp;gameName=FruityJokerHot&amp;platform=desktop&amp;languageCode=eng&amp;currency=EUR" xr:uid="{00000000-0004-0000-0B00-000074000000}"/>
    <hyperlink ref="BD88" r:id="rId118" display="https://gameserver-store-client-area.orbionlimited.com/Home/IntegrationGameLaunch/client-area?moneyType=0&amp;gameName=FruityJokerHot&amp;platform=desktop&amp;languageCode=eng&amp;currency=EUR" xr:uid="{00000000-0004-0000-0B00-000075000000}"/>
    <hyperlink ref="AN89" r:id="rId119" display="https://onlinegamespromo.fazi.rs/Home/IntegrationGameLaunch?moneyType=0&amp;gameName=UnicornWildParadise&amp;platform=desktop&amp;languageCode=eng&amp;currency=EUR" xr:uid="{00000000-0004-0000-0B00-000076000000}"/>
    <hyperlink ref="BD89" r:id="rId120" display="https://gameserver-store-client-area.orbionlimited.com/Home/IntegrationGameLaunch/client-area?moneyType=0&amp;gameName=UnicornWildParadise&amp;platform=desktop&amp;languageCode=eng&amp;currency=EUR" xr:uid="{00000000-0004-0000-0B00-000077000000}"/>
    <hyperlink ref="AN90" r:id="rId121" display="https://onlinegamespromo.fazi.rs/Home/IntegrationGameLaunch?moneyType=0&amp;gameName=UnicornRainbowSevens&amp;platform=desktop&amp;languageCode=eng&amp;currency=EUR" xr:uid="{00000000-0004-0000-0B00-000078000000}"/>
    <hyperlink ref="BD90" r:id="rId122" display="https://gameserver-store-client-area.orbionlimited.com/Home/IntegrationGameLaunch/client-area?moneyType=0&amp;gameName=UnicornRainbowSevens&amp;platform=desktop&amp;languageCode=eng&amp;currency=EUR" xr:uid="{00000000-0004-0000-0B00-000079000000}"/>
    <hyperlink ref="AN91" r:id="rId123" display="https://onlinegamespromo.fazi.rs/Home/IntegrationGameLaunch?moneyType=0&amp;gameName=UnicornHavanaDice&amp;platform=desktop&amp;languageCode=eng&amp;currency=EUR" xr:uid="{00000000-0004-0000-0B00-00007A000000}"/>
    <hyperlink ref="BD91" r:id="rId124" display="https://gameserver-store-client-area.orbionlimited.com/Home/IntegrationGameLaunch/client-area?moneyType=0&amp;gameName=UnicornHavanaDice&amp;platform=desktop&amp;languageCode=eng&amp;currency=EUR" xr:uid="{00000000-0004-0000-0B00-00007B000000}"/>
    <hyperlink ref="N92" r:id="rId125" display="https://docs.google.com/document/d/1mq8xqqryq1MA1Lb8eRerXA0Qu4oy9dK8/edit?usp=drive_link&amp;ouid=107596163405648766688&amp;rtpof=true&amp;sd=true" xr:uid="{00000000-0004-0000-0B00-00007C000000}"/>
    <hyperlink ref="O92" r:id="rId126" display="https://docs.google.com/document/d/1f4hwx73fZvTmit9C3Wj6HjLYQHHt_GGS/edit?usp=drive_link&amp;ouid=107596163405648766688&amp;rtpof=true&amp;sd=true" xr:uid="{00000000-0004-0000-0B00-00007D000000}"/>
    <hyperlink ref="AN92" r:id="rId127" display="https://static.redstone.rs/games/mayan-coins/" xr:uid="{00000000-0004-0000-0B00-00007E000000}"/>
    <hyperlink ref="BD92" r:id="rId128" display="https://static.redstone.rs/games/mayan-coins/" xr:uid="{00000000-0004-0000-0B00-00007F000000}"/>
    <hyperlink ref="N93" r:id="rId129" display="https://docs.google.com/document/d/1W6yZna9lcBlDEKAPvgpVg91_F4apPdmQ/edit?usp=drive_link&amp;ouid=107596163405648766688&amp;rtpof=true&amp;sd=true" xr:uid="{00000000-0004-0000-0B00-000080000000}"/>
    <hyperlink ref="O93" r:id="rId130" display="https://docs.google.com/document/d/1a-k-sqrXxJhyaIYI-IrLVx4jyIToz-pP/edit" xr:uid="{00000000-0004-0000-0B00-000081000000}"/>
    <hyperlink ref="AN93" r:id="rId131" display="https://onlinegamespromo.fazi.rs/Home/IntegrationGameLaunch?moneyType=0&amp;gameName=FireClover5&amp;platform=desktop&amp;languageCode=eng&amp;currency=EUR" xr:uid="{00000000-0004-0000-0B00-000082000000}"/>
    <hyperlink ref="BD93" r:id="rId132" display="https://gameserver-store-client-area.orbionlimited.com/Home/IntegrationGameLaunch/client-area?moneyType=0&amp;gameName=FireClover5&amp;platform=desktop&amp;languageCode=eng&amp;currency=EUR" xr:uid="{00000000-0004-0000-0B00-000083000000}"/>
    <hyperlink ref="N95" r:id="rId133" display="https://docs.google.com/document/d/1Z50Fp4FF6DZh_40cGOxFXNzQViVYjCjD/edit?usp=drive_link&amp;ouid=107596163405648766688&amp;rtpof=true&amp;sd=true" xr:uid="{00000000-0004-0000-0B00-000084000000}"/>
    <hyperlink ref="O95" r:id="rId134" display="https://docs.google.com/document/d/1uWE3sLTOc515kbSKJU7txNkRg8MstcLU/edit?usp=drive_link&amp;ouid=107596163405648766688&amp;rtpof=true&amp;sd=true" xr:uid="{00000000-0004-0000-0B00-000085000000}"/>
    <hyperlink ref="AN95" r:id="rId135" display="https://static.redstone.rs/games/10-wild-crown/" xr:uid="{00000000-0004-0000-0B00-000086000000}"/>
    <hyperlink ref="BD95" r:id="rId136" display="https://static.redstone.rs/games/10-wild-crown/" xr:uid="{00000000-0004-0000-0B00-000087000000}"/>
    <hyperlink ref="AN96" r:id="rId137" display="https://onlinegamespromo.fazi.rs/Home/IntegrationGameLaunch?moneyType=0&amp;gameName=UnicornCasinoFruits&amp;platform=desktop&amp;languageCode=eng&amp;currency=EUR" xr:uid="{00000000-0004-0000-0B00-000088000000}"/>
    <hyperlink ref="BD96" r:id="rId138" display="https://gameserver-store-client-area.orbionlimited.com/Home/IntegrationGameLaunch/client-area?moneyType=0&amp;gameName=UnicornCasinoFruits&amp;platform=desktop&amp;languageCode=eng&amp;currency=EUR" xr:uid="{00000000-0004-0000-0B00-000089000000}"/>
    <hyperlink ref="AN97" r:id="rId139" display="https://onlinegamespromo.fazi.rs/Home/IntegrationGameLaunch?moneyType=0&amp;gameName=UnicornTheCrownFruit&amp;platform=desktop&amp;languageCode=eng&amp;currency=EUR" xr:uid="{00000000-0004-0000-0B00-00008A000000}"/>
    <hyperlink ref="BD97" r:id="rId140" display="https://gameserver-store-client-area.orbionlimited.com/Home/IntegrationGameLaunch/client-area?moneyType=0&amp;gameName=UnicornTheCrownFruit&amp;platform=desktop&amp;languageCode=eng&amp;currency=EUR" xr:uid="{00000000-0004-0000-0B00-00008B000000}"/>
    <hyperlink ref="N98" r:id="rId141" display="https://docs.google.com/document/d/1NYlpxxRJH491AIbshvguO-Dek5JfEaq3/edit?usp=drive_link&amp;ouid=107596163405648766688&amp;rtpof=true&amp;sd=true" xr:uid="{00000000-0004-0000-0B00-00008C000000}"/>
    <hyperlink ref="O98" r:id="rId142" display="https://docs.google.com/document/d/1jTAe-G3pX4INF9Td2YQ1ubQZXahSBYKw/edit?usp=drive_link&amp;ouid=107596163405648766688&amp;rtpof=true&amp;sd=true" xr:uid="{00000000-0004-0000-0B00-00008D000000}"/>
    <hyperlink ref="AN98" r:id="rId143" display="https://static.redstone.rs/games/40-wild-dice/" xr:uid="{00000000-0004-0000-0B00-00008E000000}"/>
    <hyperlink ref="BD98" r:id="rId144" display="https://static.redstone.rs/games/40-wild-dice/" xr:uid="{00000000-0004-0000-0B00-00008F000000}"/>
    <hyperlink ref="AN99" r:id="rId145" display="https://onlinegamespromo.fazi.rs/Home/IntegrationGameLaunch?moneyType=0&amp;gameName=UnicornTwentyFruits&amp;platform=desktop&amp;languageCode=eng&amp;currency=EUR" xr:uid="{00000000-0004-0000-0B00-000090000000}"/>
    <hyperlink ref="BD99" r:id="rId146" display="https://gameserver-store-client-area.orbionlimited.com/Home/IntegrationGameLaunch/client-area?moneyType=0&amp;gameName=UnicornTwentyFruits&amp;platform=desktop&amp;languageCode=eng&amp;currency=EUR" xr:uid="{00000000-0004-0000-0B00-000091000000}"/>
    <hyperlink ref="AN100" r:id="rId147" display="https://onlinegamespromo.fazi.rs/Home/IntegrationGameLaunch?moneyType=0&amp;gameName=UnicornTwentyDice&amp;platform=desktop&amp;languageCode=eng&amp;currency=EUR" xr:uid="{00000000-0004-0000-0B00-000092000000}"/>
    <hyperlink ref="BD100" r:id="rId148" display="https://gameserver-store-client-area.orbionlimited.com/Home/IntegrationGameLaunch/client-area?moneyType=0&amp;gameName=UnicornTwentyDice&amp;platform=desktop&amp;languageCode=eng&amp;currency=EUR" xr:uid="{00000000-0004-0000-0B00-000093000000}"/>
    <hyperlink ref="N101" r:id="rId149" display="https://docs.google.com/document/d/1xvhBFQylMfwPlUAxAQg05J1BzFnLy581/edit?usp=drive_link&amp;ouid=107596163405648766688&amp;rtpof=true&amp;sd=true" xr:uid="{00000000-0004-0000-0B00-000094000000}"/>
    <hyperlink ref="O101" r:id="rId150" display="https://docs.google.com/document/d/1o5-igOWhrvuBtMNzHLshyzuuLZgY5hE3/edit?usp=drive_link&amp;ouid=107596163405648766688&amp;rtpof=true&amp;sd=true" xr:uid="{00000000-0004-0000-0B00-000095000000}"/>
    <hyperlink ref="AN101" r:id="rId151" display="https://static.redstone.rs/games/5-dice-fire/" xr:uid="{00000000-0004-0000-0B00-000096000000}"/>
    <hyperlink ref="BD101" r:id="rId152" display="https://static.redstone.rs/games/5-dice-fire/" xr:uid="{00000000-0004-0000-0B00-000097000000}"/>
    <hyperlink ref="AN102" r:id="rId153" display="https://onlinegamespromo.fazi.rs/Home/IntegrationGameLaunch?moneyType=0&amp;gameName=WildKingdom&amp;platform=desktop&amp;languageCode=eng&amp;currency=EUR" xr:uid="{00000000-0004-0000-0B00-000098000000}"/>
    <hyperlink ref="BD102" r:id="rId154" display="https://gameserver-store-client-area.orbionlimited.com/Home/IntegrationGameLaunch/client-area?moneyType=0&amp;gameName=WildKingdom&amp;platform=desktop&amp;languageCode=eng&amp;currency=EUR" xr:uid="{00000000-0004-0000-0B00-000099000000}"/>
    <hyperlink ref="AN103" r:id="rId155" display="https://onlinegamespromo.fazi.rs/Home/IntegrationGameLaunch?moneyType=0&amp;gameName=BookOfLuxorDouble&amp;platform=desktop&amp;languageCode=eng&amp;currency=EUR" xr:uid="{00000000-0004-0000-0B00-00009A000000}"/>
    <hyperlink ref="BD103" r:id="rId156" display="https://gameserver-store-client-area.orbionlimited.com/Home/IntegrationGameLaunch/client-area?moneyType=0&amp;gameName=BookOfLuxorDouble&amp;platform=desktop&amp;languageCode=eng&amp;currency=EUR" xr:uid="{00000000-0004-0000-0B00-00009B000000}"/>
    <hyperlink ref="AN104" r:id="rId157" display="https://onlinegamespromo.fazi.rs/Home/IntegrationGameLaunch?moneyType=0&amp;gameName=MegaCubesDeluxe&amp;platform=desktop&amp;languageCode=eng&amp;currency=EUR" xr:uid="{00000000-0004-0000-0B00-00009C000000}"/>
    <hyperlink ref="BD104" r:id="rId158" display="https://gameserver-store-client-area.orbionlimited.com/Home/IntegrationGameLaunch/client-area?moneyType=0&amp;gameName=MegaCubesDeluxe&amp;platform=desktop&amp;languageCode=eng&amp;currency=EUR" xr:uid="{00000000-0004-0000-0B00-00009D000000}"/>
    <hyperlink ref="AN105" r:id="rId159" display="https://onlinegamespromo.fazi.rs/Home/IntegrationGameLaunch?moneyType=0&amp;gameName=LollasWorld&amp;platform=desktop&amp;languageCode=eng&amp;currency=EUR" xr:uid="{00000000-0004-0000-0B00-00009E000000}"/>
    <hyperlink ref="BD105" r:id="rId160" display="https://gameserver-store-client-area.orbionlimited.com/Home/IntegrationGameLaunch/client-area?moneyType=0&amp;gameName=LollasWorld&amp;platform=desktop&amp;languageCode=eng&amp;currency=EUR" xr:uid="{00000000-0004-0000-0B00-00009F000000}"/>
    <hyperlink ref="N106" r:id="rId161" display="https://docs.google.com/document/d/134OvURJFj6vy5RZvoh-CfV3klcsPJgiz/edit?usp=drive_link&amp;ouid=107596163405648766688&amp;rtpof=true&amp;sd=true" xr:uid="{00000000-0004-0000-0B00-0000A0000000}"/>
    <hyperlink ref="O106" r:id="rId162" display="https://docs.google.com/document/d/1UeCqpU91M7Y1Yb7b65rSY0_PdJaQkUld/edit?usp=drive_link&amp;ouid=107596163405648766688&amp;rtpof=true&amp;sd=true" xr:uid="{00000000-0004-0000-0B00-0000A1000000}"/>
    <hyperlink ref="AN106" r:id="rId163" display="https://static.redstone.rs/games/40-clover-fire/" xr:uid="{00000000-0004-0000-0B00-0000A2000000}"/>
    <hyperlink ref="BD106" r:id="rId164" display="https://static.redstone.rs/games/40-clover-fire/" xr:uid="{00000000-0004-0000-0B00-0000A3000000}"/>
    <hyperlink ref="AN107" r:id="rId165" display="https://onlinegamespromo.fazi.rs/Home/IntegrationGameLaunch?moneyType=0&amp;gameName=VeryHot5&amp;platform=desktop&amp;languageCode=eng&amp;currency=EUR" xr:uid="{00000000-0004-0000-0B00-0000A4000000}"/>
    <hyperlink ref="BD107" r:id="rId166" display="https://gameserver-store-client-area.orbionlimited.com/Home/IntegrationGameLaunch/client-area?moneyType=0&amp;gameName=VeryHot5&amp;platform=desktop&amp;languageCode=eng&amp;currency=EUR" xr:uid="{00000000-0004-0000-0B00-0000A5000000}"/>
    <hyperlink ref="AN108" r:id="rId167" display="https://onlinegamespromo.fazi.rs/Home/IntegrationGameLaunch?moneyType=0&amp;gameName=VeryHot40&amp;platform=desktop&amp;languageCode=eng&amp;currency=EUR" xr:uid="{00000000-0004-0000-0B00-0000A6000000}"/>
    <hyperlink ref="BD108" r:id="rId168" display="https://gameserver-store-client-area.orbionlimited.com/Home/IntegrationGameLaunch/client-area?moneyType=0&amp;gameName=VeryHot40&amp;platform=desktop&amp;languageCode=eng&amp;currency=EUR" xr:uid="{00000000-0004-0000-0B00-0000A7000000}"/>
    <hyperlink ref="AN109" r:id="rId169" display="https://onlinegamespromo.fazi.rs/Home/IntegrationGameLaunch?moneyType=0&amp;gameName=JewelsBeat&amp;platform=desktop&amp;languageCode=eng&amp;currency=EUR" xr:uid="{00000000-0004-0000-0B00-0000A8000000}"/>
    <hyperlink ref="BD109" r:id="rId170" display="https://gameserver-store-client-area.orbionlimited.com/Home/IntegrationGameLaunch/client-area?moneyType=0&amp;gameName=JewelsBeat&amp;platform=desktop&amp;languageCode=eng&amp;currency=EUR" xr:uid="{00000000-0004-0000-0B00-0000A9000000}"/>
    <hyperlink ref="AN110" r:id="rId171" display="https://onlinegamespromo.fazi.rs/Home/IntegrationGameLaunch?moneyType=0&amp;gameName=HeatingIce&amp;platform=desktop&amp;languageCode=eng&amp;currency=EUR" xr:uid="{00000000-0004-0000-0B00-0000AA000000}"/>
    <hyperlink ref="BD110" r:id="rId172" display="https://gameserver-store-client-area.orbionlimited.com/Home/IntegrationGameLaunch/client-area?moneyType=0&amp;gameName=HeatingIce&amp;platform=desktop&amp;languageCode=eng&amp;currency=EUR" xr:uid="{00000000-0004-0000-0B00-0000AB000000}"/>
    <hyperlink ref="AN111" r:id="rId173" display="https://onlinegamespromo.fazi.rs/Home/IntegrationGameLaunch?moneyType=0&amp;gameName=HeatingIceDeluxe&amp;platform=desktop&amp;languageCode=eng&amp;currency=EUR" xr:uid="{00000000-0004-0000-0B00-0000AC000000}"/>
    <hyperlink ref="BD111" r:id="rId174" display="https://gameserver-store-client-area.orbionlimited.com/Home/IntegrationGameLaunch/client-area?moneyType=0&amp;gameName=HeatingIceDeluxe&amp;platform=desktop&amp;languageCode=eng&amp;currency=EUR" xr:uid="{00000000-0004-0000-0B00-0000AD000000}"/>
    <hyperlink ref="AN112" r:id="rId175" display="https://onlinegamespromo.fazi.rs/Home/IntegrationGameLaunch?moneyType=0&amp;gameName=FluoDice5&amp;platform=desktop&amp;languageCode=eng&amp;currency=EUR" xr:uid="{00000000-0004-0000-0B00-0000AE000000}"/>
    <hyperlink ref="BD112" r:id="rId176" display="https://gameserver-store-client-area.orbionlimited.com/Home/IntegrationGameLaunch/client-area?moneyType=0&amp;gameName=FluoDice5&amp;platform=desktop&amp;languageCode=eng&amp;currency=EUR" xr:uid="{00000000-0004-0000-0B00-0000AF000000}"/>
    <hyperlink ref="AN113" r:id="rId177" display="https://onlinegamespromo.fazi.rs/Home/IntegrationGameLaunch?moneyType=0&amp;gameName=FluoHot5&amp;platform=desktop&amp;languageCode=eng&amp;currency=EUR" xr:uid="{00000000-0004-0000-0B00-0000B0000000}"/>
    <hyperlink ref="BD113" r:id="rId178" display="https://gameserver-store-client-area.orbionlimited.com/Home/IntegrationGameLaunch/client-area?moneyType=0&amp;gameName=FluoHot5&amp;platform=desktop&amp;languageCode=eng&amp;currency=EUR" xr:uid="{00000000-0004-0000-0B00-0000B1000000}"/>
    <hyperlink ref="AN114" r:id="rId179" display="https://onlinegamespromo.fazi.rs/Home/IntegrationGameLaunch?moneyType=0&amp;gameName=HeatingDice&amp;platform=desktop&amp;languageCode=eng&amp;currency=EUR" xr:uid="{00000000-0004-0000-0B00-0000B2000000}"/>
    <hyperlink ref="BD114" r:id="rId180" display="https://gameserver-store-client-area.orbionlimited.com/Home/IntegrationGameLaunch/client-area?moneyType=0&amp;gameName=HeatingDice&amp;platform=desktop&amp;languageCode=eng&amp;currency=EUR" xr:uid="{00000000-0004-0000-0B00-0000B3000000}"/>
    <hyperlink ref="AN115" r:id="rId181" display="https://onlinegamespromo.fazi.rs/Home/IntegrationGameLaunch?moneyType=0&amp;gameName=CrystalJewels&amp;platform=desktop&amp;languageCode=eng&amp;currency=EUR" xr:uid="{00000000-0004-0000-0B00-0000B4000000}"/>
    <hyperlink ref="BD115" r:id="rId182" display="https://gameserver-store-client-area.orbionlimited.com/Home/IntegrationGameLaunch/client-area?moneyType=0&amp;gameName=CrystalJewels&amp;platform=desktop&amp;languageCode=eng&amp;currency=EUR" xr:uid="{00000000-0004-0000-0B00-0000B5000000}"/>
    <hyperlink ref="N116" r:id="rId183" display="https://docs.google.com/document/d/1hethQ-7BhyW7C1czw_h-bGgzvJVp0qmK/edit?usp=drive_link&amp;ouid=107596163405648766688&amp;rtpof=true&amp;sd=true" xr:uid="{00000000-0004-0000-0B00-0000B6000000}"/>
    <hyperlink ref="O116" r:id="rId184" display="https://docs.google.com/document/d/1ztiv_8kAahTieT52oxOwMehAb_szRHvc/edit?usp=drive_link&amp;ouid=107596163405648766688&amp;rtpof=true&amp;sd=true" xr:uid="{00000000-0004-0000-0B00-0000B7000000}"/>
    <hyperlink ref="AN116" r:id="rId185" display="https://static.redstone.rs/games/50-wild-cash/" xr:uid="{00000000-0004-0000-0B00-0000B8000000}"/>
    <hyperlink ref="BD116" r:id="rId186" display="https://static.redstone.rs/games/50-wild-cash/" xr:uid="{00000000-0004-0000-0B00-0000B9000000}"/>
    <hyperlink ref="AN117" r:id="rId187" display="https://onlinegamespromo.fazi.rs/Home/IntegrationGameLaunch?moneyType=0&amp;gameName=TwinklingHot80&amp;platform=desktop&amp;languageCode=eng&amp;currency=EUR" xr:uid="{00000000-0004-0000-0B00-0000BA000000}"/>
    <hyperlink ref="BD117" r:id="rId188" display="https://gameserver-store-client-area.orbionlimited.com/Home/IntegrationGameLaunch/client-area?moneyType=0&amp;gameName=TwinklingHot80&amp;platform=desktop&amp;languageCode=eng&amp;currency=EUR" xr:uid="{00000000-0004-0000-0B00-0000BB000000}"/>
    <hyperlink ref="AN118" r:id="rId189" display="https://onlinegamespromo.fazi.rs/Home/IntegrationGameLaunch?moneyType=0&amp;gameName=UnicornIslandRespins&amp;platform=desktop&amp;languageCode=eng&amp;currency=EUR" xr:uid="{00000000-0004-0000-0B00-0000BC000000}"/>
    <hyperlink ref="BD118" r:id="rId190" display="https://gameserver-store-client-area.orbionlimited.com/Home/IntegrationGameLaunch/client-area?moneyType=0&amp;gameName=UnicornIslandRespins&amp;platform=desktop&amp;languageCode=eng&amp;currency=EUR" xr:uid="{00000000-0004-0000-0B00-0000BD000000}"/>
    <hyperlink ref="N120" r:id="rId191" display="https://docs.google.com/document/d/1gUX7LG55yGx6j3tAxRhlcmJiDfTj2tUl/edit?usp=drive_link&amp;ouid=107596163405648766688&amp;rtpof=true&amp;sd=true" xr:uid="{00000000-0004-0000-0B00-0000BE000000}"/>
    <hyperlink ref="O120" r:id="rId192" display="https://docs.google.com/document/d/1hJ7uzVuMAnWzme7nHV7odsYNjxqkNDWu/edit?usp=drive_link&amp;ouid=107596163405648766688&amp;rtpof=true&amp;sd=true" xr:uid="{00000000-0004-0000-0B00-0000BF000000}"/>
    <hyperlink ref="AN120" r:id="rId193" display="https://static.redstone.rs/games/lost-book/" xr:uid="{00000000-0004-0000-0B00-0000C0000000}"/>
    <hyperlink ref="BD120" r:id="rId194" display="https://static.redstone.rs/games/lost-book/" xr:uid="{00000000-0004-0000-0B00-0000C1000000}"/>
    <hyperlink ref="N123" r:id="rId195" display="https://docs.google.com/document/d/1MJ3lFrASukAREOdpS2C0i7nDu4-kGpJk/edit?usp=drive_link&amp;ouid=107596163405648766688&amp;rtpof=true&amp;sd=true" xr:uid="{00000000-0004-0000-0B00-0000C2000000}"/>
    <hyperlink ref="O123" r:id="rId196" display="https://docs.google.com/document/d/1Bmk7HWKas2YhSSQsbvIW7F9KZLsVT-9m/edit?usp=drive_link&amp;ouid=107596163405648766688&amp;rtpof=true&amp;sd=true" xr:uid="{00000000-0004-0000-0B00-0000C3000000}"/>
    <hyperlink ref="AN123" r:id="rId197" display="https://static.redstone.rs/games/40-dice-fire/" xr:uid="{00000000-0004-0000-0B00-0000C4000000}"/>
    <hyperlink ref="BD123" r:id="rId198" display="https://static.redstone.rs/games/40-dice-fire/" xr:uid="{00000000-0004-0000-0B00-0000C5000000}"/>
    <hyperlink ref="AN125" r:id="rId199" display="https://onlinegamespromo.fazi.rs/Home/IntegrationGameLaunch?moneyType=0&amp;gameName=LuckyBrilliants&amp;platform=desktop&amp;languageCode=eng&amp;currency=EUR" xr:uid="{00000000-0004-0000-0B00-0000C6000000}"/>
    <hyperlink ref="BD125" r:id="rId200" display="https://gameserver-store-client-area.orbionlimited.com/Home/IntegrationGameLaunch/client-area?moneyType=0&amp;gameName=LuckyBrilliants&amp;platform=desktop&amp;languageCode=eng&amp;currency=EUR" xr:uid="{00000000-0004-0000-0B00-0000C7000000}"/>
    <hyperlink ref="AN130" r:id="rId201" display="https://onlinegamespromo.fazi.rs/Home/IntegrationGameLaunch?moneyType=0&amp;gameName=CrystalHot40Free&amp;platform=desktop&amp;languageCode=eng&amp;currency=EUR" xr:uid="{00000000-0004-0000-0B00-0000C8000000}"/>
    <hyperlink ref="BD130" r:id="rId202" display="https://gameserver-store-client-area.orbionlimited.com/Home/IntegrationGameLaunch/client-area?moneyType=0&amp;gameName=CrystalHot40Free&amp;platform=desktop&amp;languageCode=eng&amp;currency=EUR" xr:uid="{00000000-0004-0000-0B00-0000C9000000}"/>
    <hyperlink ref="AN132" r:id="rId203" display="https://onlinegamespromo.fazi.rs/Home/IntegrationGameLaunch?moneyType=0&amp;gameName=ElGrandeToro&amp;platform=desktop&amp;languageCode=eng&amp;currency=EUR" xr:uid="{00000000-0004-0000-0B00-0000CA000000}"/>
    <hyperlink ref="BD132" r:id="rId204" display="https://gameserver-store-client-area.orbionlimited.com/Home/IntegrationGameLaunch/client-area?moneyType=0&amp;gameName=ElGrandeToro&amp;platform=desktop&amp;languageCode=eng&amp;currency=EUR" xr:uid="{00000000-0004-0000-0B00-0000CB000000}"/>
    <hyperlink ref="AN133" r:id="rId205" display="https://onlinegamespromo.fazi.rs/Home/IntegrationGameLaunch?moneyType=0&amp;gameName=UnicornGreatWhale&amp;platform=desktop&amp;languageCode=eng&amp;currency=EUR" xr:uid="{00000000-0004-0000-0B00-0000CC000000}"/>
    <hyperlink ref="BD133" r:id="rId206" display="https://gameserver-store-client-area.orbionlimited.com/Home/IntegrationGameLaunch/client-area?moneyType=0&amp;gameName=UnicornGreatWhale&amp;platform=desktop&amp;languageCode=eng&amp;currency=EUR" xr:uid="{00000000-0004-0000-0B00-0000CD000000}"/>
    <hyperlink ref="AN134" r:id="rId207" display="https://onlinegamespromo.fazi.rs/Home/IntegrationGameLaunch?moneyType=0&amp;gameName=WinningStars&amp;platform=desktop&amp;languageCode=eng&amp;currency=EUR" xr:uid="{00000000-0004-0000-0B00-0000CE000000}"/>
    <hyperlink ref="BD134" r:id="rId208" display="https://gameserver-store-client-area.orbionlimited.com/Home/IntegrationGameLaunch/client-area?moneyType=0&amp;gameName=WinningStars&amp;platform=desktop&amp;languageCode=eng&amp;currency=EUR" xr:uid="{00000000-0004-0000-0B00-0000CF000000}"/>
    <hyperlink ref="AN136" r:id="rId209" display="https://onlinegamespromo.fazi.rs/Home/IntegrationGameLaunch?moneyType=0&amp;gameName=CrystalHot100&amp;platform=desktop&amp;languageCode=eng&amp;currency=EUR" xr:uid="{00000000-0004-0000-0B00-0000D0000000}"/>
    <hyperlink ref="BD136" r:id="rId210" display="https://gameserver-store-client-area.orbionlimited.com/Home/IntegrationGameLaunch/client-area?moneyType=0&amp;gameName=CrystalHot100&amp;platform=desktop&amp;languageCode=eng&amp;currency=EUR" xr:uid="{00000000-0004-0000-0B00-0000D1000000}"/>
    <hyperlink ref="AN137" r:id="rId211" display="https://onlinegamespromo.fazi.rs/Home/IntegrationGameLaunch?moneyType=0&amp;gameName=TurboHot80&amp;platform=desktop&amp;languageCode=eng&amp;currency=EUR" xr:uid="{00000000-0004-0000-0B00-0000D2000000}"/>
    <hyperlink ref="BD137" r:id="rId212" display="https://gameserver-store-client-area.orbionlimited.com/Home/IntegrationGameLaunch/client-area?moneyType=0&amp;gameName=TurboHot80&amp;platform=desktop&amp;languageCode=eng&amp;currency=EUR" xr:uid="{00000000-0004-0000-0B00-0000D3000000}"/>
    <hyperlink ref="AN138" r:id="rId213" display="https://onlinegamespromo.fazi.rs/Home/IntegrationGameLaunch?moneyType=0&amp;gameName=SevenClassicHot&amp;platform=desktop&amp;languageCode=eng&amp;currency=EUR" xr:uid="{00000000-0004-0000-0B00-0000D4000000}"/>
    <hyperlink ref="BD138" r:id="rId214" display="https://gameserver-store-client-area.orbionlimited.com/Home/IntegrationGameLaunch/client-area?moneyType=0&amp;gameName=SevenClassicHot&amp;platform=desktop&amp;languageCode=eng&amp;currency=EUR" xr:uid="{00000000-0004-0000-0B00-0000D5000000}"/>
    <hyperlink ref="AN139" r:id="rId215" display="https://onlinegamespromo.fazi.rs/Home/IntegrationGameLaunch?moneyType=0&amp;gameName=TurboHot100&amp;platform=desktop&amp;languageCode=eng&amp;currency=EUR" xr:uid="{00000000-0004-0000-0B00-0000D6000000}"/>
    <hyperlink ref="BD139" r:id="rId216" display="https://gameserver-store-client-area.orbionlimited.com/Home/IntegrationGameLaunch/client-area?moneyType=0&amp;gameName=TurboHot100&amp;platform=desktop&amp;languageCode=eng&amp;currency=EUR" xr:uid="{00000000-0004-0000-0B00-0000D7000000}"/>
    <hyperlink ref="AN140" r:id="rId217" display="https://onlinegamespromo.fazi.rs/Home/IntegrationGameLaunch?moneyType=0&amp;gameName=BonusBells&amp;platform=desktop&amp;languageCode=eng&amp;currency=EUR" xr:uid="{00000000-0004-0000-0B00-0000D8000000}"/>
    <hyperlink ref="BD140" r:id="rId218" display="https://gameserver-store-client-area.orbionlimited.com/Home/IntegrationGameLaunch/client-area?moneyType=0&amp;gameName=BonusBells&amp;platform=desktop&amp;languageCode=eng&amp;currency=EUR" xr:uid="{00000000-0004-0000-0B00-0000D9000000}"/>
    <hyperlink ref="AN141" r:id="rId219" display="https://onlinegamespromo.fazi.rs/Home/IntegrationGameLaunch?moneyType=0&amp;gameName=FruityHot&amp;platform=desktop&amp;languageCode=eng&amp;currency=EUR" xr:uid="{00000000-0004-0000-0B00-0000DA000000}"/>
    <hyperlink ref="BD141" r:id="rId220" display="https://gameserver-store-client-area.orbionlimited.com/Home/IntegrationGameLaunch/client-area?moneyType=0&amp;gameName=FruityHot&amp;platform=desktop&amp;languageCode=eng&amp;currency=EUR" xr:uid="{00000000-0004-0000-0B00-0000DB000000}"/>
    <hyperlink ref="N142" r:id="rId221" display="https://docs.google.com/document/d/1nwnNzfl7oxEDxlJw4311vi-yBfC_ahNs/edit?usp=drive_link&amp;ouid=107596163405648766688&amp;rtpof=true&amp;sd=true" xr:uid="{00000000-0004-0000-0B00-0000DC000000}"/>
    <hyperlink ref="O142" r:id="rId222" display="https://docs.google.com/document/d/18iFKQdk7iCjneYcv34WRQOkNafpeBq1O/edit?usp=drive_link&amp;ouid=107596163405648766688&amp;rtpof=true&amp;sd=true" xr:uid="{00000000-0004-0000-0B00-0000DD000000}"/>
    <hyperlink ref="AN142" r:id="rId223" display="https://static.redstone.rs/games/action-hot-40/" xr:uid="{00000000-0004-0000-0B00-0000DE000000}"/>
    <hyperlink ref="BD142" r:id="rId224" display="https://static.redstone.rs/games/action-hot-40/" xr:uid="{00000000-0004-0000-0B00-0000DF000000}"/>
    <hyperlink ref="AN145" r:id="rId225" display="https://onlinegamespromo.fazi.rs/Home/IntegrationGameLaunch?moneyType=0&amp;gameName=EyeOfTut&amp;platform=desktop&amp;languageCode=eng&amp;currency=EUR" xr:uid="{00000000-0004-0000-0B00-0000E0000000}"/>
    <hyperlink ref="BD145" r:id="rId226" display="https://gameserver-store-client-area.orbionlimited.com/Home/IntegrationGameLaunch/client-area?moneyType=0&amp;gameName=EyeOfTut&amp;platform=desktop&amp;languageCode=eng&amp;currency=EUR" xr:uid="{00000000-0004-0000-0B00-0000E1000000}"/>
    <hyperlink ref="AN146" r:id="rId227" display="https://onlinegamespromo.fazi.rs/Home/IntegrationGameLaunch?moneyType=0&amp;gameName=FruityWin40&amp;platform=desktop&amp;languageCode=eng&amp;currency=EUR" xr:uid="{00000000-0004-0000-0B00-0000E2000000}"/>
    <hyperlink ref="BD146" r:id="rId228" display="https://gameserver-store-client-area.orbionlimited.com/Home/IntegrationGameLaunch/client-area?moneyType=0&amp;gameName=FruityWin40&amp;platform=desktop&amp;languageCode=eng&amp;currency=EUR" xr:uid="{00000000-0004-0000-0B00-0000E3000000}"/>
    <hyperlink ref="N147" r:id="rId229" display="https://docs.google.com/document/d/1I70szBKiznP9PJN0ObllSPE8NEvHilKj/edit?usp=drive_link&amp;ouid=107596163405648766688&amp;rtpof=true&amp;sd=true" xr:uid="{00000000-0004-0000-0B00-0000E4000000}"/>
    <hyperlink ref="O147" r:id="rId230" display="https://docs.google.com/document/d/1WNid3PmWjnfKjctAJN3sdrKWqZpmswUe/edit?usp=drive_link&amp;ouid=107596163405648766688&amp;rtpof=true&amp;sd=true" xr:uid="{00000000-0004-0000-0B00-0000E5000000}"/>
    <hyperlink ref="AN147" r:id="rId231" display="https://static.redstone.rs/games/action-hot-20/" xr:uid="{00000000-0004-0000-0B00-0000E6000000}"/>
    <hyperlink ref="BD147" r:id="rId232" display="https://static.redstone.rs/games/action-hot-20/" xr:uid="{00000000-0004-0000-0B00-0000E7000000}"/>
    <hyperlink ref="N151" r:id="rId233" display="https://docs.google.com/document/d/1CyErVCulJFeM4crdjcdYPGw9WRRQG_bT/edit?usp=drive_link&amp;ouid=107596163405648766688&amp;rtpof=true&amp;sd=true" xr:uid="{00000000-0004-0000-0B00-0000E8000000}"/>
    <hyperlink ref="O151" r:id="rId234" display="https://docs.google.com/document/d/1HKXxFgVjWiTtUnMBPA35r0ReKfgvUw3E/edit?usp=drive_link&amp;ouid=107596163405648766688&amp;rtpof=true&amp;sd=true" xr:uid="{00000000-0004-0000-0B00-0000E9000000}"/>
    <hyperlink ref="AN151" r:id="rId235" display="https://static.redstone.rs/games/40-cash-bells/" xr:uid="{00000000-0004-0000-0B00-0000EA000000}"/>
    <hyperlink ref="BD151" r:id="rId236" display="https://static.redstone.rs/games/40-cash-bells/" xr:uid="{00000000-0004-0000-0B00-0000EB000000}"/>
    <hyperlink ref="AN153" r:id="rId237" display="https://onlinegamespromo.fazi.rs/Home/IntegrationGameLaunch?moneyType=0&amp;gameName=Unicorn20MegaFlames&amp;platform=desktop&amp;languageCode=eng&amp;currency=EUR" xr:uid="{00000000-0004-0000-0B00-0000EC000000}"/>
    <hyperlink ref="BD153" r:id="rId238" display="https://gameserver-store-client-area.orbionlimited.com/Home/IntegrationGameLaunch/client-area?moneyType=0&amp;gameName=Unicorn20MegaFlames&amp;platform=desktop&amp;languageCode=eng&amp;currency=EUR" xr:uid="{00000000-0004-0000-0B00-0000ED000000}"/>
    <hyperlink ref="AN154" r:id="rId239" display="https://onlinegamespromo.fazi.rs/Home/IntegrationGameLaunch?moneyType=0&amp;gameName=VeryHot20&amp;platform=desktop&amp;languageCode=eng&amp;currency=EUR" xr:uid="{00000000-0004-0000-0B00-0000EE000000}"/>
    <hyperlink ref="BD154" r:id="rId240" display="https://gameserver-store-client-area.orbionlimited.com/Home/IntegrationGameLaunch/client-area?moneyType=0&amp;gameName=VeryHot20&amp;platform=desktop&amp;languageCode=eng&amp;currency=EUR" xr:uid="{00000000-0004-0000-0B00-0000EF000000}"/>
    <hyperlink ref="AN155" r:id="rId241" display="https://onlinegamespromo.fazi.rs/Home/IntegrationGameLaunch?moneyType=0&amp;gameName=KingOfThunder&amp;platform=desktop&amp;languageCode=eng&amp;currency=EUR" xr:uid="{00000000-0004-0000-0B00-0000F0000000}"/>
    <hyperlink ref="BD155" r:id="rId242" display="https://gameserver-store-client-area.orbionlimited.com/Home/IntegrationGameLaunch/client-area?moneyType=0&amp;gameName=KingOfThunder&amp;platform=desktop&amp;languageCode=eng&amp;currency=EUR" xr:uid="{00000000-0004-0000-0B00-0000F1000000}"/>
    <hyperlink ref="AN156" r:id="rId243" display="https://onlinegamespromo.fazi.rs/Home/IntegrationGameLaunch?moneyType=0&amp;gameName=BookOfSpells2&amp;platform=desktop&amp;languageCode=eng&amp;currency=EUR" xr:uid="{00000000-0004-0000-0B00-0000F2000000}"/>
    <hyperlink ref="BD156" r:id="rId244" display="https://gameserver-store-client-area.orbionlimited.com/Home/IntegrationGameLaunch/client-area?moneyType=0&amp;gameName=BookOfSpells2&amp;platform=desktop&amp;languageCode=eng&amp;currency=EUR" xr:uid="{00000000-0004-0000-0B00-0000F3000000}"/>
    <hyperlink ref="AN157" r:id="rId245" display="https://onlinegamespromo.fazi.rs/Home/IntegrationGameLaunch?moneyType=0&amp;gameName=CrystalHot40Max&amp;platform=desktop&amp;languageCode=eng&amp;currency=EUR" xr:uid="{00000000-0004-0000-0B00-0000F4000000}"/>
    <hyperlink ref="BD157" r:id="rId246" display="https://gameserver-store-client-area.orbionlimited.com/Home/IntegrationGameLaunch/client-area?moneyType=0&amp;gameName=CrystalHot40Max&amp;platform=desktop&amp;languageCode=eng&amp;currency=EUR" xr:uid="{00000000-0004-0000-0B00-0000F5000000}"/>
    <hyperlink ref="AN160" r:id="rId247" display="https://onlinegamespromo.fazi.rs/Home/IntegrationGameLaunch?moneyType=0&amp;gameName=FruityWin20&amp;platform=desktop&amp;languageCode=eng&amp;currency=EUR" xr:uid="{00000000-0004-0000-0B00-0000F6000000}"/>
    <hyperlink ref="BD160" r:id="rId248" display="https://gameserver-store-client-area.orbionlimited.com/Home/IntegrationGameLaunch/client-area?moneyType=0&amp;gameName=FruityWin20&amp;platform=desktop&amp;languageCode=eng&amp;currency=EUR" xr:uid="{00000000-0004-0000-0B00-0000F7000000}"/>
    <hyperlink ref="AN161" r:id="rId249" display="https://onlinegamespromo.fazi.rs/Home/IntegrationGameLaunch?moneyType=0&amp;gameName=FruityHot5&amp;platform=desktop&amp;languageCode=eng&amp;currency=EUR" xr:uid="{00000000-0004-0000-0B00-0000F8000000}"/>
    <hyperlink ref="BD161" r:id="rId250" display="https://gameserver-store-client-area.orbionlimited.com/Home/IntegrationGameLaunch/client-area?moneyType=0&amp;gameName=FruityHot5&amp;platform=desktop&amp;languageCode=eng&amp;currency=EUR" xr:uid="{00000000-0004-0000-0B00-0000F9000000}"/>
    <hyperlink ref="AN162" r:id="rId251" display="https://onlinegamespromo.fazi.rs/Home/IntegrationGameLaunch?moneyType=0&amp;gameName=GigaHot40&amp;platform=desktop&amp;languageCode=eng&amp;currency=EUR" xr:uid="{00000000-0004-0000-0B00-0000FA000000}"/>
    <hyperlink ref="BD162" r:id="rId252" display="https://gameserver-store-client-area.orbionlimited.com/Home/IntegrationGameLaunch/client-area?moneyType=0&amp;gameName=GigaHot40&amp;platform=desktop&amp;languageCode=eng&amp;currency=EUR" xr:uid="{00000000-0004-0000-0B00-0000FB000000}"/>
    <hyperlink ref="AN163" r:id="rId253" display="https://onlinegamespromo.fazi.rs/Home/IntegrationGameLaunch?moneyType=0&amp;gameName=UnicornDaVincisFruits&amp;platform=desktop&amp;languageCode=eng&amp;currency=EUR" xr:uid="{00000000-0004-0000-0B00-0000FC000000}"/>
    <hyperlink ref="BD163" r:id="rId254" display="https://gameserver-store-client-area.orbionlimited.com/Home/IntegrationGameLaunch/client-area?moneyType=0&amp;gameName=UnicornDaVincisFruits&amp;platform=desktop&amp;languageCode=eng&amp;currency=EUR" xr:uid="{00000000-0004-0000-0B00-0000FD000000}"/>
    <hyperlink ref="AN164" r:id="rId255" display="https://onlinegamespromo.fazi.rs/Home/IntegrationGameLaunch?moneyType=0&amp;gameName=UnicornFruitMagic&amp;platform=desktop&amp;languageCode=eng&amp;currency=EUR" xr:uid="{00000000-0004-0000-0B00-0000FE000000}"/>
    <hyperlink ref="BD164" r:id="rId256" display="https://gameserver-store-client-area.orbionlimited.com/Home/IntegrationGameLaunch/client-area?moneyType=0&amp;gameName=UnicornFruitMagic&amp;platform=desktop&amp;languageCode=eng&amp;currency=EUR" xr:uid="{00000000-0004-0000-0B00-0000FF000000}"/>
    <hyperlink ref="AN165" r:id="rId257" display="https://onlinegamespromo.fazi.rs/Home/IntegrationGameLaunch?moneyType=0&amp;gameName=UnicornMoneyStandard&amp;platform=desktop&amp;languageCode=eng&amp;currency=EUR" xr:uid="{00000000-0004-0000-0B00-000000010000}"/>
    <hyperlink ref="BD165" r:id="rId258" display="https://gameserver-store-client-area.orbionlimited.com/Home/IntegrationGameLaunch/client-area?moneyType=0&amp;gameName=UnicornMoneyStandard&amp;platform=desktop&amp;languageCode=eng&amp;currency=EUR" xr:uid="{00000000-0004-0000-0B00-000001010000}"/>
    <hyperlink ref="N166" r:id="rId259" display="https://docs.google.com/document/d/1lhnxNwHSO0QNRkNdhECb9Bi16w892Bip/edit?usp=drive_link&amp;ouid=107596163405648766688&amp;rtpof=true&amp;sd=true" xr:uid="{00000000-0004-0000-0B00-000002010000}"/>
    <hyperlink ref="O166" r:id="rId260" display="https://docs.google.com/document/d/1SwHALhIgoYMx1a02Y-AvihYWtrIoigje/edit?usp=drive_link&amp;ouid=107596163405648766688&amp;rtpof=true&amp;sd=true" xr:uid="{00000000-0004-0000-0B00-000003010000}"/>
    <hyperlink ref="AN166" r:id="rId261" display="https://static.redstone.rs/games/10-wild-diamond/" xr:uid="{00000000-0004-0000-0B00-000004010000}"/>
    <hyperlink ref="BD166" r:id="rId262" display="https://static.redstone.rs/games/10-wild-diamond/" xr:uid="{00000000-0004-0000-0B00-000005010000}"/>
    <hyperlink ref="AN167" r:id="rId263" display="https://onlinegamespromo.fazi.rs/Home/IntegrationGameLaunch?moneyType=0&amp;gameName=UnicornMiniMegaCash&amp;platform=desktop&amp;languageCode=eng&amp;currency=EUR" xr:uid="{00000000-0004-0000-0B00-000006010000}"/>
    <hyperlink ref="BD167" r:id="rId264" display="https://gameserver-store-client-area.orbionlimited.com/Home/IntegrationGameLaunch/client-area?moneyType=0&amp;gameName=UnicornMiniMegaCash&amp;platform=desktop&amp;languageCode=eng&amp;currency=EUR" xr:uid="{00000000-0004-0000-0B00-000007010000}"/>
    <hyperlink ref="AN168" r:id="rId265" display="https://onlinegamespromo.fazi.rs/Home/IntegrationGameLaunch?moneyType=0&amp;gameName=FruityFace&amp;platform=desktop&amp;languageCode=eng&amp;currency=EUR" xr:uid="{00000000-0004-0000-0B00-000008010000}"/>
    <hyperlink ref="BD168" r:id="rId266" display="https://gameserver-store-client-area.orbionlimited.com/Home/IntegrationGameLaunch/client-area?moneyType=0&amp;gameName=FruityFace&amp;platform=desktop&amp;languageCode=eng&amp;currency=EUR" xr:uid="{00000000-0004-0000-0B00-000009010000}"/>
    <hyperlink ref="N169" r:id="rId267" display="https://docs.google.com/document/d/1CFAxxeOYIm8nYNAV6SbqnXJxfqQo4KjA/edit?usp=drive_link&amp;ouid=107596163405648766688&amp;rtpof=true&amp;sd=true" xr:uid="{00000000-0004-0000-0B00-00000A010000}"/>
    <hyperlink ref="O169" r:id="rId268" display="https://docs.google.com/document/d/1yrDTw_s-LHjdBDnRcPJ85sWW6-bjGyoX/edit?usp=drive_link&amp;ouid=107596163405648766688&amp;rtpof=true&amp;sd=true" xr:uid="{00000000-0004-0000-0B00-00000B010000}"/>
    <hyperlink ref="AN169" r:id="rId269" display="https://static.redstone.rs/games/5-wild-heart/" xr:uid="{00000000-0004-0000-0B00-00000C010000}"/>
    <hyperlink ref="BD169" r:id="rId270" display="https://static.redstone.rs/games/5-wild-heart/" xr:uid="{00000000-0004-0000-0B00-00000D010000}"/>
    <hyperlink ref="AN170" r:id="rId271" display="https://onlinegamespromo.fazi.rs/Home/IntegrationGameLaunch?moneyType=0&amp;gameName=ClassicLuckySpin&amp;platform=desktop&amp;languageCode=eng&amp;currency=EUR" xr:uid="{00000000-0004-0000-0B00-00000E010000}"/>
    <hyperlink ref="BD170" r:id="rId272" display="https://gameserver-store-client-area.orbionlimited.com/Home/IntegrationGameLaunch/client-area?moneyType=0&amp;gameName=ClassicLuckySpin&amp;platform=desktop&amp;languageCode=eng&amp;currency=EUR" xr:uid="{00000000-0004-0000-0B00-00000F010000}"/>
    <hyperlink ref="AN171" r:id="rId273" display="https://onlinegamespromo.fazi.rs/Home/IntegrationGameLaunch?moneyType=0&amp;gameName=Unicorn20DiceFlames&amp;platform=desktop&amp;languageCode=eng&amp;currency=EUR" xr:uid="{00000000-0004-0000-0B00-000010010000}"/>
    <hyperlink ref="BD171" r:id="rId274" display="https://gameserver-store-client-area.orbionlimited.com/Home/IntegrationGameLaunch/client-area?moneyType=0&amp;gameName=Unicorn20DiceFlames&amp;platform=desktop&amp;languageCode=eng&amp;currency=EUR" xr:uid="{00000000-0004-0000-0B00-000011010000}"/>
    <hyperlink ref="AN175" r:id="rId275" display="https://onlinegamespromo.fazi.rs/Home/IntegrationGameLaunch?moneyType=0&amp;gameName=WildJokerHot&amp;platform=desktop&amp;languageCode=eng&amp;currency=EUR" xr:uid="{00000000-0004-0000-0B00-000012010000}"/>
    <hyperlink ref="BD175" r:id="rId276" display="https://gameserver-store-client-area.orbionlimited.com/Home/IntegrationGameLaunch/client-area?moneyType=0&amp;gameName=WildJokerHot&amp;platform=desktop&amp;languageCode=eng&amp;currency=EUR" xr:uid="{00000000-0004-0000-0B00-000013010000}"/>
    <hyperlink ref="N176" r:id="rId277" display="https://docs.google.com/document/d/1GFgTEmo88EJNNTrmzAJSqmEZoh735-y2/edit?usp=drive_link&amp;ouid=107596163405648766688&amp;rtpof=true&amp;sd=true" xr:uid="{00000000-0004-0000-0B00-000014010000}"/>
    <hyperlink ref="O176" r:id="rId278" display="https://docs.google.com/document/d/1DFnKS4tOtiSdA6ISE_dYMHPCHPfa41sU/edit?usp=drive_link&amp;ouid=107596163405648766688&amp;rtpof=true&amp;sd=true" xr:uid="{00000000-0004-0000-0B00-000015010000}"/>
    <hyperlink ref="AN176" r:id="rId279" display="https://static.redstone.rs/games/10-wild-dice/" xr:uid="{00000000-0004-0000-0B00-000016010000}"/>
    <hyperlink ref="BD176" r:id="rId280" display="https://static.redstone.rs/games/10-wild-dice/" xr:uid="{00000000-0004-0000-0B00-000017010000}"/>
    <hyperlink ref="AN177" r:id="rId281" display="https://onlinegamespromo.fazi.rs/Home/IntegrationGameLaunch?moneyType=0&amp;gameName=HeatingFruits&amp;platform=desktop&amp;languageCode=eng&amp;currency=EUR" xr:uid="{00000000-0004-0000-0B00-000018010000}"/>
    <hyperlink ref="BD177" r:id="rId282" display="https://gameserver-store-client-area.orbionlimited.com/Home/IntegrationGameLaunch/client-area?moneyType=0&amp;gameName=HeatingFruits&amp;platform=desktop&amp;languageCode=eng&amp;currency=EUR" xr:uid="{00000000-0004-0000-0B00-000019010000}"/>
    <hyperlink ref="N179" r:id="rId283" display="https://docs.google.com/document/d/1MivnwLSbu2QueQOrF8UNz9NMC6gxsLlN/edit?usp=drive_link&amp;ouid=107596163405648766688&amp;rtpof=true&amp;sd=true" xr:uid="{00000000-0004-0000-0B00-00001A010000}"/>
    <hyperlink ref="O179" r:id="rId284" display="https://docs.google.com/document/d/1qt2u8fQ-xA0ELDkx6NartD2WsSj2h-it/edit?usp=drive_link&amp;ouid=107596163405648766688&amp;rtpof=true&amp;sd=true" xr:uid="{00000000-0004-0000-0B00-00001B010000}"/>
    <hyperlink ref="AN179" r:id="rId285" display="https://static.redstone.rs/games/book-of-ibis/" xr:uid="{00000000-0004-0000-0B00-00001C010000}"/>
    <hyperlink ref="BD179" r:id="rId286" display="https://static.redstone.rs/games/book-of-ibis/" xr:uid="{00000000-0004-0000-0B00-00001D010000}"/>
    <hyperlink ref="N180" r:id="rId287" display="https://docs.google.com/document/d/14aPa2HfOnXmUmLJGS13FiqvIHOpYGrPI/edit?usp=drive_link&amp;ouid=107596163405648766688&amp;rtpof=true&amp;sd=true" xr:uid="{00000000-0004-0000-0B00-00001E010000}"/>
    <hyperlink ref="O180" r:id="rId288" display="https://docs.google.com/document/d/1P9j-AAe4GCAxkE2GQcnFdtiXIolt7YNE/edit?usp=drive_link&amp;ouid=107596163405648766688&amp;rtpof=true&amp;sd=true" xr:uid="{00000000-0004-0000-0B00-00001F010000}"/>
    <hyperlink ref="AN180" r:id="rId289" display="https://static.redstone.rs/games/clover-coin/" xr:uid="{00000000-0004-0000-0B00-000020010000}"/>
    <hyperlink ref="BD180" r:id="rId290" display="https://static.redstone.rs/games/clover-coin/" xr:uid="{00000000-0004-0000-0B00-000021010000}"/>
    <hyperlink ref="AN189" r:id="rId291" display="https://onlinegamespromo.fazi.rs/Home/IntegrationGameLaunch?moneyType=0&amp;gameName=PowerOfTheGreat&amp;platform=desktop&amp;languageCode=eng&amp;currency=EUR" xr:uid="{00000000-0004-0000-0B00-000022010000}"/>
    <hyperlink ref="BD189" r:id="rId292" display="https://gameserver-store-client-area.orbionlimited.com/Home/IntegrationGameLaunch/client-area?moneyType=0&amp;gameName=PowerOfTheGreat&amp;platform=desktop&amp;languageCode=eng&amp;currency=EUR" xr:uid="{00000000-0004-0000-0B00-000023010000}"/>
    <hyperlink ref="AN190" r:id="rId293" display="https://onlinegamespromo.fazi.rs/Home/IntegrationGameLaunch?moneyType=0&amp;gameName=Unicorn40MegaFlames&amp;platform=desktop&amp;languageCode=eng&amp;currency=EUR" xr:uid="{00000000-0004-0000-0B00-000024010000}"/>
    <hyperlink ref="BD190" r:id="rId294" display="https://gameserver-store-client-area.orbionlimited.com/Home/IntegrationGameLaunch/client-area?moneyType=0&amp;gameName=Unicorn40MegaFlames&amp;platform=desktop&amp;languageCode=eng&amp;currency=EUR" xr:uid="{00000000-0004-0000-0B00-000025010000}"/>
    <hyperlink ref="AN191" r:id="rId295" display="https://onlinegamespromo.fazi.rs/Home/IntegrationGameLaunch?moneyType=0&amp;gameName=Unicorn40DiceFlames&amp;platform=desktop&amp;languageCode=eng&amp;currency=EUR" xr:uid="{00000000-0004-0000-0B00-000026010000}"/>
    <hyperlink ref="BD191" r:id="rId296" display="https://gameserver-store-client-area.orbionlimited.com/Home/IntegrationGameLaunch/client-area?moneyType=0&amp;gameName=Unicorn40DiceFlames&amp;platform=desktop&amp;languageCode=eng&amp;currency=EUR" xr:uid="{00000000-0004-0000-0B00-000027010000}"/>
    <hyperlink ref="N192" r:id="rId297" display="https://docs.google.com/document/d/1cDh7kaMF1Gk9vxVOneSDdYzfVvqIeA4l/edit?usp=drive_link&amp;ouid=107596163405648766688&amp;rtpof=true&amp;sd=true" xr:uid="{00000000-0004-0000-0B00-000028010000}"/>
    <hyperlink ref="O192" r:id="rId298" display="https://docs.google.com/document/d/1NMkfRF8FQvCOJiqleoPSFcu-P1GHuxJx/edit?usp=drive_link&amp;ouid=107596163405648766688&amp;rtpof=true&amp;sd=true" xr:uid="{00000000-0004-0000-0B00-000029010000}"/>
    <hyperlink ref="AN192" r:id="rId299" display="https://static.redstone.rs/games/heat-classic-5/" xr:uid="{00000000-0004-0000-0B00-00002A010000}"/>
    <hyperlink ref="BD192" r:id="rId300" display="https://static.redstone.rs/games/heat-classic-5/" xr:uid="{00000000-0004-0000-0B00-00002B010000}"/>
    <hyperlink ref="AN195" r:id="rId301" display="https://onlinegamespromo.fazi.rs/Home/IntegrationGameLaunch?moneyType=0&amp;gameName=VeryHot40Dice&amp;platform=desktop&amp;languageCode=eng&amp;currency=EUR" xr:uid="{00000000-0004-0000-0B00-00002C010000}"/>
    <hyperlink ref="BD195" r:id="rId302" display="https://gameserver-store-client-area.orbionlimited.com/Home/IntegrationGameLaunch/client-area?moneyType=0&amp;gameName=VeryHot40Dice&amp;platform=desktop&amp;languageCode=eng&amp;currency=EUR" xr:uid="{00000000-0004-0000-0B00-00002D010000}"/>
    <hyperlink ref="AN196" r:id="rId303" display="https://onlinegamespromo.fazi.rs/Home/IntegrationGameLaunch?moneyType=0&amp;gameName=WildLuckyClover&amp;platform=desktop&amp;languageCode=eng&amp;currency=EUR" xr:uid="{00000000-0004-0000-0B00-00002E010000}"/>
    <hyperlink ref="BD196" r:id="rId304" display="https://gameserver-store-client-area.orbionlimited.com/Home/IntegrationGameLaunch/client-area?moneyType=0&amp;gameName=WildLuckyClover&amp;platform=desktop&amp;languageCode=eng&amp;currency=EUR" xr:uid="{00000000-0004-0000-0B00-00002F010000}"/>
    <hyperlink ref="AN197" r:id="rId305" display="https://onlinegamespromo.fazi.rs/Home/IntegrationGameLaunch?moneyType=0&amp;gameName=FruitsAndStars20Deluxe&amp;platform=desktop&amp;languageCode=eng&amp;currency=EUR" xr:uid="{00000000-0004-0000-0B00-000030010000}"/>
    <hyperlink ref="BD197" r:id="rId306" display="https://gameserver-store-client-area.orbionlimited.com/Home/IntegrationGameLaunch/client-area?moneyType=0&amp;gameName=FruitsAndStars20Deluxe&amp;platform=desktop&amp;languageCode=eng&amp;currency=EUR" xr:uid="{00000000-0004-0000-0B00-000031010000}"/>
    <hyperlink ref="AN198" r:id="rId307" display="https://onlinegamespromo.fazi.rs/Home/IntegrationGameLaunch?moneyType=0&amp;gameName=VeryHot40Respin&amp;platform=desktop&amp;languageCode=eng&amp;currency=EUR" xr:uid="{00000000-0004-0000-0B00-000032010000}"/>
    <hyperlink ref="BD198" r:id="rId308" display="https://gameserver-store-client-area.orbionlimited.com/Home/IntegrationGameLaunch/client-area?moneyType=0&amp;gameName=VeryHot40Respin&amp;platform=desktop&amp;languageCode=eng&amp;currency=EUR" xr:uid="{00000000-0004-0000-0B00-000033010000}"/>
    <hyperlink ref="N199" r:id="rId309" display="https://docs.google.com/document/d/1VNqF32o_m9--56Cn7BCeuFYPW_6L_fHn/edit?usp=drive_link&amp;ouid=107596163405648766688&amp;rtpof=true&amp;sd=true" xr:uid="{00000000-0004-0000-0B00-000034010000}"/>
    <hyperlink ref="O199" r:id="rId310" display="https://docs.google.com/document/d/1xxoKQXYlaMHZTqDBiQqslbsvJiiOhLpz/edit?usp=drive_link&amp;ouid=107596163405648766688&amp;rtpof=true&amp;sd=true" xr:uid="{00000000-0004-0000-0B00-000035010000}"/>
    <hyperlink ref="AN199" r:id="rId311" display="https://static.redstone.rs/games/book-of-dread/" xr:uid="{00000000-0004-0000-0B00-000036010000}"/>
    <hyperlink ref="BD199" r:id="rId312" display="https://static.redstone.rs/games/book-of-dread/" xr:uid="{00000000-0004-0000-0B00-000037010000}"/>
    <hyperlink ref="N200" r:id="rId313" display="https://docs.google.com/document/d/1m3xk6ar59rXJEwU_BOJnc6s3k2cwRZ_o/edit?usp=drive_link&amp;ouid=107596163405648766688&amp;rtpof=true&amp;sd=true" xr:uid="{00000000-0004-0000-0B00-000038010000}"/>
    <hyperlink ref="O200" r:id="rId314" display="https://docs.google.com/document/d/1bLFVaEPJXVXgIFdQ624LMlKjIAvfMl3r/edit?usp=drive_link&amp;ouid=107596163405648766688&amp;rtpof=true&amp;sd=true" xr:uid="{00000000-0004-0000-0B00-000039010000}"/>
    <hyperlink ref="AN200" r:id="rId315" display="https://static.redstone.rs/games/10-wild-pumpkin/" xr:uid="{00000000-0004-0000-0B00-00003A010000}"/>
    <hyperlink ref="BD200" r:id="rId316" display="https://static.redstone.rs/games/10-wild-pumpkin/" xr:uid="{00000000-0004-0000-0B00-00003B010000}"/>
    <hyperlink ref="AN201" r:id="rId317" display="https://onlinegamespromo.fazi.rs/Home/IntegrationGameLaunch?moneyType=0&amp;gameName=AfricanTreasure&amp;platform=desktop&amp;languageCode=eng&amp;currency=EUR" xr:uid="{00000000-0004-0000-0B00-00003C010000}"/>
    <hyperlink ref="BD201" r:id="rId318" display="https://gameserver-store-client-area.orbionlimited.com/Home/IntegrationGameLaunch/client-area?moneyType=0&amp;gameName=AfricanTreasure&amp;platform=desktop&amp;languageCode=eng&amp;currency=EUR" xr:uid="{00000000-0004-0000-0B00-00003D010000}"/>
    <hyperlink ref="AN202" r:id="rId319" display="https://onlinegamespromo.fazi.rs/Home/IntegrationGameLaunch?moneyType=0&amp;gameName=UnicornDaVincisDice&amp;platform=desktop&amp;languageCode=eng&amp;currency=EUR" xr:uid="{00000000-0004-0000-0B00-00003E010000}"/>
    <hyperlink ref="BD202" r:id="rId320" display="https://gameserver-store-client-area.orbionlimited.com/Home/IntegrationGameLaunch/client-area?moneyType=0&amp;gameName=UnicornDaVincisDice&amp;platform=desktop&amp;languageCode=eng&amp;currency=EUR" xr:uid="{00000000-0004-0000-0B00-00003F010000}"/>
    <hyperlink ref="AN203" r:id="rId321" display="https://onlinegamespromo.fazi.rs/Home/IntegrationGameLaunch?moneyType=0&amp;gameName=UnicornWinterFruits&amp;platform=desktop&amp;languageCode=eng&amp;currency=EUR" xr:uid="{00000000-0004-0000-0B00-000040010000}"/>
    <hyperlink ref="BD203" r:id="rId322" display="https://gameserver-store-client-area.orbionlimited.com/Home/IntegrationGameLaunch/client-area?moneyType=0&amp;gameName=UnicornWinterFruits&amp;platform=desktop&amp;languageCode=eng&amp;currency=EUR" xr:uid="{00000000-0004-0000-0B00-000041010000}"/>
    <hyperlink ref="BD211" r:id="rId323" display="https://gameserver-store-client-area.orbionlimited.com/Home/IntegrationGameLaunch/client-area?moneyType=0&amp;gameName=GoldenCrownChristmas&amp;platform=desktop&amp;languageCode=eng&amp;currency=EUR" xr:uid="{00000000-0004-0000-0B00-000042010000}"/>
    <hyperlink ref="BD214" r:id="rId324" display="https://gameserver-store-client-area.orbionlimited.com/Home/IntegrationGameLaunch/client-area?moneyType=0&amp;gameName=VeryHot5Christmas&amp;platform=desktop&amp;languageCode=eng&amp;currency=EUR" xr:uid="{00000000-0004-0000-0B00-000043010000}"/>
    <hyperlink ref="N216" r:id="rId325" display="https://docs.google.com/document/d/1fDWyZ7abUTboXh9dpo8Ipp9KfenSXeH9/edit?usp=drive_link&amp;ouid=107596163405648766688&amp;rtpof=true&amp;sd=true" xr:uid="{00000000-0004-0000-0B00-000044010000}"/>
    <hyperlink ref="O216" r:id="rId326" display="https://docs.google.com/document/d/1SpmLw2SDEhPZa5TzK3I3v6VPCx7Ett_4/edit?usp=drive_link&amp;ouid=107596163405648766688&amp;rtpof=true&amp;sd=true" xr:uid="{00000000-0004-0000-0B00-000045010000}"/>
    <hyperlink ref="AN216" r:id="rId327" display="https://static.redstone.rs/games/5-crown-fire/" xr:uid="{00000000-0004-0000-0B00-000046010000}"/>
    <hyperlink ref="BD216" r:id="rId328" display="https://static.redstone.rs/games/5-crown-fire/" xr:uid="{00000000-0004-0000-0B00-000047010000}"/>
    <hyperlink ref="N218" r:id="rId329" display="https://docs.google.com/document/d/1ii0_QkxaCFxXavCrS8KNhdx3kzW9zbwY/edit?usp=drive_link&amp;ouid=107596163405648766688&amp;rtpof=true&amp;sd=true" xr:uid="{00000000-0004-0000-0B00-000048010000}"/>
    <hyperlink ref="O218" r:id="rId330" display="https://docs.google.com/document/d/1txtwr-pAHX9QQRScOW9XMiBsl6PAZZkH/edit?usp=drive_link&amp;ouid=107596163405648766688&amp;rtpof=true&amp;sd=true" xr:uid="{00000000-0004-0000-0B00-000049010000}"/>
    <hyperlink ref="AN218" r:id="rId331" display="https://static.redstone.rs/games/10-wild-santa/" xr:uid="{00000000-0004-0000-0B00-00004A010000}"/>
    <hyperlink ref="BD218" r:id="rId332" display="https://static.redstone.rs/games/10-wild-santa/" xr:uid="{00000000-0004-0000-0B00-00004B010000}"/>
    <hyperlink ref="AN219" r:id="rId333" display="https://onlinegamespromo.fazi.rs/Home/IntegrationGameLaunch?moneyType=0&amp;gameName=UnicornFastFruits&amp;platform=desktop&amp;languageCode=eng&amp;currency=EUR" xr:uid="{00000000-0004-0000-0B00-00004C010000}"/>
    <hyperlink ref="BD219" r:id="rId334" display="https://gameserver-store-client-area.orbionlimited.com/Home/IntegrationGameLaunch/client-area?moneyType=0&amp;gameName=UnicornFastFruits&amp;platform=desktop&amp;languageCode=eng&amp;currency=EUR" xr:uid="{00000000-0004-0000-0B00-00004D010000}"/>
    <hyperlink ref="AN220" r:id="rId335" display="https://onlinegamespromo.fazi.rs/Home/IntegrationGameLaunch?moneyType=0&amp;gameName=UnicornMoneyStandardWild&amp;platform=desktop&amp;languageCode=eng&amp;currency=EUR" xr:uid="{00000000-0004-0000-0B00-00004E010000}"/>
    <hyperlink ref="BD220" r:id="rId336" display="https://gameserver-store-client-area.orbionlimited.com/Home/IntegrationGameLaunch/client-area?moneyType=0&amp;gameName=UnicornMoneyStandardWild&amp;platform=desktop&amp;languageCode=eng&amp;currency=EUR" xr:uid="{00000000-0004-0000-0B00-00004F010000}"/>
    <hyperlink ref="AN221" r:id="rId337" display="https://onlinegamespromo.fazi.rs/Home/IntegrationGameLaunch?moneyType=0&amp;gameName=WildHot40Blow&amp;platform=desktop&amp;languageCode=eng&amp;currency=EUR" xr:uid="{00000000-0004-0000-0B00-000050010000}"/>
    <hyperlink ref="BD221" r:id="rId338" display="https://gameserver-store-client-area.orbionlimited.com/Home/IntegrationGameLaunch/client-area?moneyType=0&amp;gameName=WildHot40Blow&amp;platform=desktop&amp;languageCode=eng&amp;currency=EUR" xr:uid="{00000000-0004-0000-0B00-000051010000}"/>
    <hyperlink ref="AN222" r:id="rId339" display="https://onlinegamespromo.fazi.rs/Home/IntegrationGameLaunch?moneyType=0&amp;gameName=UnicornDiceMegaCash&amp;platform=desktop&amp;languageCode=eng&amp;currency=EUR" xr:uid="{00000000-0004-0000-0B00-000052010000}"/>
    <hyperlink ref="BD222" r:id="rId340" display="https://gameserver-store-client-area.orbionlimited.com/Home/IntegrationGameLaunch/client-area?moneyType=0&amp;gameName=UnicornDiceMegaCash&amp;platform=desktop&amp;languageCode=eng&amp;currency=EUR" xr:uid="{00000000-0004-0000-0B00-000053010000}"/>
    <hyperlink ref="AN223" r:id="rId341" display="https://onlinegamespromo.fazi.rs/Home/IntegrationGameLaunch?moneyType=0&amp;gameName=Unicorn40HotStrike&amp;platform=desktop&amp;languageCode=eng&amp;currency=EUR" xr:uid="{00000000-0004-0000-0B00-000054010000}"/>
    <hyperlink ref="BD223" r:id="rId342" display="https://gameserver-store-client-area.orbionlimited.com/Home/IntegrationGameLaunch/client-area?moneyType=0&amp;gameName=Unicorn40HotStrike&amp;platform=desktop&amp;languageCode=eng&amp;currency=EUR" xr:uid="{00000000-0004-0000-0B00-000055010000}"/>
    <hyperlink ref="AN225" r:id="rId343" display="https://onlinegamespromo.fazi.rs/Home/IntegrationGameLaunch?moneyType=0&amp;gameName=GoldenExplosion&amp;platform=desktop&amp;languageCode=eng&amp;currency=EUR" xr:uid="{00000000-0004-0000-0B00-000056010000}"/>
    <hyperlink ref="BD225" r:id="rId344" display="https://gameserver-store-client-area.orbionlimited.com/Home/IntegrationGameLaunch/client-area?moneyType=0&amp;gameName=GoldenExplosion&amp;platform=desktop&amp;languageCode=eng&amp;currency=EUR" xr:uid="{00000000-0004-0000-0B00-000057010000}"/>
    <hyperlink ref="AN226" r:id="rId345" display="https://onlinegamespromo.fazi.rs/Home/IntegrationGameLaunch?moneyType=0&amp;gameName=VeryHot5Extreme&amp;platform=desktop&amp;languageCode=eng&amp;currency=EUR" xr:uid="{00000000-0004-0000-0B00-000058010000}"/>
    <hyperlink ref="BD226" r:id="rId346" display="https://gameserver-store-client-area.orbionlimited.com/Home/IntegrationGameLaunch/client-area?moneyType=0&amp;gameName=VeryHot5Extreme&amp;platform=desktop&amp;languageCode=eng&amp;currency=EUR" xr:uid="{00000000-0004-0000-0B00-000059010000}"/>
    <hyperlink ref="AN227" r:id="rId347" display="https://onlinegamespromo.fazi.rs/Home/IntegrationGameLaunch?moneyType=0&amp;gameName=PixelHot40&amp;platform=desktop&amp;languageCode=eng&amp;currency=EUR" xr:uid="{00000000-0004-0000-0B00-00005A010000}"/>
    <hyperlink ref="BD227" r:id="rId348" display="https://gameserver-store-client-area.orbionlimited.com/Home/IntegrationGameLaunch/client-area?moneyType=0&amp;gameName=PixelHot40&amp;platform=desktop&amp;languageCode=eng&amp;currency=EUR" xr:uid="{00000000-0004-0000-0B00-00005B010000}"/>
    <hyperlink ref="AN228" r:id="rId349" display="https://onlinegamespromo.fazi.rs/Home/IntegrationGameLaunch?moneyType=0&amp;gameName=Unicorn40HotStrikeDice&amp;platform=desktop&amp;languageCode=eng&amp;currency=EUR" xr:uid="{00000000-0004-0000-0B00-00005C010000}"/>
    <hyperlink ref="BD228" r:id="rId350" display="https://gameserver-store-client-area.orbionlimited.com/Home/IntegrationGameLaunch/client-area?moneyType=0&amp;gameName=Unicorn40HotStrikeDice&amp;platform=desktop&amp;languageCode=eng&amp;currency=EUR" xr:uid="{00000000-0004-0000-0B00-00005D010000}"/>
    <hyperlink ref="AN229" r:id="rId351" display="https://onlinegamespromo.fazi.rs/Home/IntegrationGameLaunch?moneyType=0&amp;gameName=Unicorn20HotStrike&amp;platform=desktop&amp;languageCode=eng&amp;currency=EUR" xr:uid="{00000000-0004-0000-0B00-00005E010000}"/>
    <hyperlink ref="BD229" r:id="rId352" display="https://gameserver-store-client-area.orbionlimited.com/Home/IntegrationGameLaunch/client-area?moneyType=0&amp;gameName=Unicorn20HotStrike&amp;platform=desktop&amp;languageCode=eng&amp;currency=EUR" xr:uid="{00000000-0004-0000-0B00-00005F010000}"/>
    <hyperlink ref="N230" r:id="rId353" display="https://docs.google.com/document/d/1dRme9Y9ZCWbSWakSwsLt31xwA12AH3_l/edit?usp=drive_link&amp;ouid=107596163405648766688&amp;rtpof=true&amp;sd=true" xr:uid="{00000000-0004-0000-0B00-000060010000}"/>
    <hyperlink ref="O230" r:id="rId354" display="https://docs.google.com/document/d/1UeKapwW5j_iL8jkPhskA_IB-etulcFA5/edit?usp=drive_link&amp;ouid=107596163405648766688&amp;rtpof=true&amp;sd=true" xr:uid="{00000000-0004-0000-0B00-000061010000}"/>
    <hyperlink ref="AN230" r:id="rId355" display="https://static.redstone.rs/games/20-fire-cash/" xr:uid="{00000000-0004-0000-0B00-000062010000}"/>
    <hyperlink ref="BD230" r:id="rId356" display="https://static.redstone.rs/games/20-fire-cash/" xr:uid="{00000000-0004-0000-0B00-000063010000}"/>
    <hyperlink ref="AN231" r:id="rId357" display="https://onlinegamespromo.fazi.rs/Home/IntegrationGameLaunch?moneyType=0&amp;gameName=UnicornCoyoteSevens&amp;platform=desktop&amp;languageCode=eng&amp;currency=EUR" xr:uid="{00000000-0004-0000-0B00-000064010000}"/>
    <hyperlink ref="BD231" r:id="rId358" display="https://gameserver-store-client-area.orbionlimited.com/Home/IntegrationGameLaunch/client-area?moneyType=0&amp;gameName=UnicornCoyoteSevens&amp;platform=desktop&amp;languageCode=eng&amp;currency=EUR" xr:uid="{00000000-0004-0000-0B00-000065010000}"/>
    <hyperlink ref="AN232" r:id="rId359" display="https://onlinegamespromo.fazi.rs/Home/IntegrationGameLaunch?moneyType=0&amp;gameName=EpicFire40&amp;platform=desktop&amp;languageCode=eng&amp;currency=EUR" xr:uid="{00000000-0004-0000-0B00-000066010000}"/>
    <hyperlink ref="BD232" r:id="rId360" display="https://gameserver-store-client-area.orbionlimited.com/Home/IntegrationGameLaunch/client-area?moneyType=0&amp;gameName=EpicFire40&amp;platform=desktop&amp;languageCode=eng&amp;currency=EUR" xr:uid="{00000000-0004-0000-0B00-000067010000}"/>
    <hyperlink ref="AN233" r:id="rId361" display="https://onlinegamespromo.fazi.rs/Home/IntegrationGameLaunch?moneyType=0&amp;gameName=GoldenCrown40&amp;platform=desktop&amp;languageCode=eng&amp;currency=EUR" xr:uid="{00000000-0004-0000-0B00-000068010000}"/>
    <hyperlink ref="BD233" r:id="rId362" display="https://gameserver-store-client-area.orbionlimited.com/Home/IntegrationGameLaunch/client-area?moneyType=0&amp;gameName=GoldenCrown40&amp;platform=desktop&amp;languageCode=eng&amp;currency=EUR" xr:uid="{00000000-0004-0000-0B00-000069010000}"/>
    <hyperlink ref="AN234" r:id="rId363" display="https://onlinegamespromo.fazi.rs/Home/IntegrationGameLaunch?moneyType=0&amp;gameName=UnicornCoyoteDice&amp;platform=desktop&amp;languageCode=eng&amp;currency=EUR" xr:uid="{00000000-0004-0000-0B00-00006A010000}"/>
    <hyperlink ref="BD234" r:id="rId364" display="https://gameserver-store-client-area.orbionlimited.com/Home/IntegrationGameLaunch/client-area?moneyType=0&amp;gameName=UnicornCoyoteDice&amp;platform=desktop&amp;languageCode=eng&amp;currency=EUR" xr:uid="{00000000-0004-0000-0B00-00006B010000}"/>
    <hyperlink ref="AN235" r:id="rId365" display="https://onlinegamespromo.fazi.rs/Home/IntegrationGameLaunch?moneyType=0&amp;gameName=Wild27&amp;lobbyUrl=https://www.fazi-interactive.com/" xr:uid="{00000000-0004-0000-0B00-00006C010000}"/>
    <hyperlink ref="BD235" r:id="rId366" display="https://gameserver-store-client-area.orbionlimited.com/Home/IntegrationGameLaunch/client-area?moneyType=0&amp;gameName=Wild27&amp;platform=desktop&amp;languageCode=eng&amp;currency=EUR" xr:uid="{00000000-0004-0000-0B00-00006D010000}"/>
    <hyperlink ref="AN236" r:id="rId367" display="https://onlinegamespromo.fazi.rs/Home/IntegrationGameLaunch?moneyType=0&amp;gameName=UnicornFruitWildLines&amp;platform=desktop&amp;languageCode=eng&amp;currency=EUR" xr:uid="{00000000-0004-0000-0B00-00006E010000}"/>
    <hyperlink ref="BD236" r:id="rId368" display="https://gameserver-store-client-area.orbionlimited.com/Home/IntegrationGameLaunch/client-area?moneyType=0&amp;gameName=UnicornFruitWildLines&amp;platform=desktop&amp;languageCode=eng&amp;currency=EUR" xr:uid="{00000000-0004-0000-0B00-00006F010000}"/>
    <hyperlink ref="N237" r:id="rId369" display="https://docs.google.com/document/d/111SmKqSJn2i3j0x3Z04f2x68NQoWe0BE/edit?usp=drive_link&amp;ouid=107596163405648766688&amp;rtpof=true&amp;sd=true" xr:uid="{00000000-0004-0000-0B00-000070010000}"/>
    <hyperlink ref="O237" r:id="rId370" display="https://docs.google.com/document/d/1EX4ZT-c4JC-13yZUX_DJVYP7rGc7gfJq/edit?usp=drive_link&amp;ouid=107596163405648766688&amp;rtpof=true&amp;sd=true" xr:uid="{00000000-0004-0000-0B00-000071010000}"/>
    <hyperlink ref="AN237" r:id="rId371" display="https://static.redstone.rs/games/40-fire-cash/" xr:uid="{00000000-0004-0000-0B00-000072010000}"/>
    <hyperlink ref="BD237" r:id="rId372" display="https://static.redstone.rs/games/40-fire-cash/" xr:uid="{00000000-0004-0000-0B00-000073010000}"/>
    <hyperlink ref="AN238" r:id="rId373" display="https://onlinegamespromo.fazi.rs/Home/IntegrationGameLaunch?moneyType=0&amp;gameName=WildHot40FreeSpins&amp;platform=desktop&amp;languageCode=eng&amp;currency=EUR" xr:uid="{00000000-0004-0000-0B00-000074010000}"/>
    <hyperlink ref="BD238" r:id="rId374" display="https://gameserver-store-client-area.orbionlimited.com/Home/IntegrationGameLaunch/client-area?moneyType=0&amp;gameName=WildHot40FreeSpins&amp;platform=desktop&amp;languageCode=eng&amp;currency=EUR" xr:uid="{00000000-0004-0000-0B00-000075010000}"/>
    <hyperlink ref="AN239" r:id="rId375" display="https://onlinegamespromo.fazi.rs/Home/IntegrationGameLaunch?moneyType=0&amp;gameName=UnicornMoneyStandardDice&amp;platform=desktop&amp;languageCode=eng&amp;currency=EUR" xr:uid="{00000000-0004-0000-0B00-000076010000}"/>
    <hyperlink ref="BD239" r:id="rId376" display="https://gameserver-store-client-area.orbionlimited.com/Home/IntegrationGameLaunch/client-area?moneyType=0&amp;gameName=UnicornMoneyStandardDice&amp;platform=desktop&amp;languageCode=eng&amp;currency=EUR" xr:uid="{00000000-0004-0000-0B00-000077010000}"/>
    <hyperlink ref="AN240" r:id="rId377" display="https://onlinegamespromo.fazi.rs/Home/IntegrationGameLaunch?moneyType=0&amp;gameName=UnicornDoubleWildDice&amp;platform=desktop&amp;languageCode=eng&amp;currency=EUR" xr:uid="{00000000-0004-0000-0B00-000078010000}"/>
    <hyperlink ref="BD240" r:id="rId378" display="https://gameserver-store-client-area.orbionlimited.com/Home/IntegrationGameLaunch/client-area?moneyType=0&amp;gameName=UnicornDoubleWildDice&amp;platform=desktop&amp;languageCode=eng&amp;currency=EUR" xr:uid="{00000000-0004-0000-0B00-000079010000}"/>
    <hyperlink ref="AN241" r:id="rId379" display="https://onlinegamespromo.fazi.rs/Home/IntegrationGameLaunch?moneyType=0&amp;gameName=PiratesFazi&amp;lobbyUrl=https://www.fazi-interactive.com/" xr:uid="{00000000-0004-0000-0B00-00007A010000}"/>
    <hyperlink ref="BD241" r:id="rId380" display="https://gameserver-store-client-area.orbionlimited.com/Home/IntegrationGameLaunch/client-area?moneyType=0&amp;gameName=PiratesFazi&amp;platform=desktop&amp;languageCode=eng&amp;currency=EUR" xr:uid="{00000000-0004-0000-0B00-00007B010000}"/>
    <hyperlink ref="N242" r:id="rId381" display="https://docs.google.com/document/d/1unGyD9fIdvSZ12VhaMcxyRt9peTuo-fU/edit?usp=drive_link&amp;ouid=107596163405648766688&amp;rtpof=true&amp;sd=true" xr:uid="{00000000-0004-0000-0B00-00007C010000}"/>
    <hyperlink ref="O242" r:id="rId382" display="https://docs.google.com/document/d/1Y_P7lHz3H_xjUFJ7tySSjnjMgUHbSWMi/edit?usp=drive_link&amp;ouid=107596163405648766688&amp;rtpof=true&amp;sd=true" xr:uid="{00000000-0004-0000-0B00-00007D010000}"/>
    <hyperlink ref="AN242" r:id="rId383" display="https://static.redstone.rs/games/super-lucky/" xr:uid="{00000000-0004-0000-0B00-00007E010000}"/>
    <hyperlink ref="BD242" r:id="rId384" display="https://static.redstone.rs/games/super-lucky/" xr:uid="{00000000-0004-0000-0B00-00007F010000}"/>
    <hyperlink ref="AN243" r:id="rId385" display="https://onlinegamespromo.fazi.rs/Home/IntegrationGameLaunch?moneyType=0&amp;gameName=EpicClover40&amp;platform=desktop&amp;languageCode=eng&amp;currency=EUR" xr:uid="{00000000-0004-0000-0B00-000080010000}"/>
    <hyperlink ref="BD243" r:id="rId386" display="https://gameserver-store-client-area.orbionlimited.com/Home/IntegrationGameLaunch/client-area?moneyType=0&amp;gameName=EpicClover40&amp;platform=desktop&amp;languageCode=eng&amp;currency=EUR" xr:uid="{00000000-0004-0000-0B00-000081010000}"/>
    <hyperlink ref="AN244" r:id="rId387" display="https://onlinegamespromo.fazi.rs/Home/IntegrationGameLaunch?moneyType=0&amp;gameName=WildLuckyClover2&amp;platform=desktop&amp;languageCode=eng&amp;currency=EUR" xr:uid="{00000000-0004-0000-0B00-000082010000}"/>
    <hyperlink ref="BD244" r:id="rId388" display="https://gameserver-store-client-area.orbionlimited.com/Home/IntegrationGameLaunch/client-area?moneyType=0&amp;gameName=WildLuckyClover2&amp;platform=desktop&amp;languageCode=eng&amp;currency=EUR" xr:uid="{00000000-0004-0000-0B00-000083010000}"/>
    <hyperlink ref="AN245" r:id="rId389" display="https://onlinegamespromo.fazi.rs/Home/IntegrationGameLaunch?moneyType=0&amp;gameName=Unicorn40FruitReels&amp;platform=desktop&amp;languageCode=eng&amp;currency=EUR" xr:uid="{00000000-0004-0000-0B00-000084010000}"/>
    <hyperlink ref="BD245" r:id="rId390" display="https://gameserver-store-client-area.orbionlimited.com/Home/IntegrationGameLaunch/client-area?moneyType=0&amp;gameName=Unicorn40FruitReels&amp;platform=desktop&amp;languageCode=eng&amp;currency=EUR" xr:uid="{00000000-0004-0000-0B00-000085010000}"/>
    <hyperlink ref="AN246" r:id="rId391" display="https://onlinegamespromo.fazi.rs/Home/IntegrationGameLaunch?moneyType=0&amp;gameName=EpicCrown10&amp;platform=desktop&amp;languageCode=eng&amp;currency=EUR" xr:uid="{00000000-0004-0000-0B00-000086010000}"/>
    <hyperlink ref="BD246" r:id="rId392" display="https://gameserver-store-client-area.orbionlimited.com/Home/IntegrationGameLaunch/client-area?moneyType=0&amp;gameName=EpicCrown10&amp;platform=desktop&amp;languageCode=eng&amp;currency=EUR" xr:uid="{00000000-0004-0000-0B00-000087010000}"/>
    <hyperlink ref="AN247" r:id="rId393" display="https://onlinegamespromo.fazi.rs/Home/IntegrationGameLaunch?moneyType=0&amp;gameName=JokerTripleDouble&amp;lobbyUrl=https://www.fazi-interactive.com/" xr:uid="{00000000-0004-0000-0B00-000088010000}"/>
    <hyperlink ref="BD247" r:id="rId394" display="https://gameserver-store-client-area.orbionlimited.com/Home/IntegrationGameLaunch/client-area?moneyType=0&amp;gameName=JokerTripleDouble&amp;platform=desktop&amp;languageCode=eng&amp;currency=EUR" xr:uid="{00000000-0004-0000-0B00-000089010000}"/>
    <hyperlink ref="N248" r:id="rId395" display="https://docs.google.com/document/d/12wJkghBsZEm-qAvIyc60s4oCbhRi_Kwe/edit?usp=drive_link&amp;ouid=107596163405648766688&amp;rtpof=true&amp;sd=true" xr:uid="{00000000-0004-0000-0B00-00008A010000}"/>
    <hyperlink ref="O248" r:id="rId396" display="https://docs.google.com/document/d/1W7xAXul48Vs8maiVUeKLt8R0JKrL7yRh/edit?usp=drive_link&amp;ouid=107596163405648766688&amp;rtpof=true&amp;sd=true" xr:uid="{00000000-0004-0000-0B00-00008B010000}"/>
    <hyperlink ref="AN248" r:id="rId397" display="https://static.redstone.rs/games/heat-double/" xr:uid="{00000000-0004-0000-0B00-00008C010000}"/>
    <hyperlink ref="BD248" r:id="rId398" display="https://static.redstone.rs/games/heat-double/" xr:uid="{00000000-0004-0000-0B00-00008D010000}"/>
    <hyperlink ref="AN249" r:id="rId399" display="https://onlinegamespromo.fazi.rs/Home/IntegrationGameLaunch?moneyType=0&amp;gameName=Unicorn5HotStrike&amp;platform=desktop&amp;languageCode=eng&amp;currency=EUR" xr:uid="{00000000-0004-0000-0B00-00008E010000}"/>
    <hyperlink ref="BD249" r:id="rId400" display="https://gameserver-store-client-area.orbionlimited.com/Home/IntegrationGameLaunch/client-area?moneyType=0&amp;gameName=Unicorn5HotStrike&amp;platform=desktop&amp;languageCode=eng&amp;currency=EUR" xr:uid="{00000000-0004-0000-0B00-00008F010000}"/>
    <hyperlink ref="AN250" r:id="rId401" display="https://onlinegamespromo.fazi.rs/Home/IntegrationGameLaunch?moneyType=0&amp;gameName=UnicornBikiniFruits&amp;platform=desktop&amp;languageCode=eng&amp;currency=EUR" xr:uid="{00000000-0004-0000-0B00-000090010000}"/>
    <hyperlink ref="BD250" r:id="rId402" display="https://gameserver-store-client-area.orbionlimited.com/Home/IntegrationGameLaunch/client-area?moneyType=0&amp;gameName=UnicornBikiniFruits&amp;platform=desktop&amp;languageCode=eng&amp;currency=EUR" xr:uid="{00000000-0004-0000-0B00-000091010000}"/>
    <hyperlink ref="AN252" r:id="rId403" display="https://onlinegamespromo.fazi.rs/Home/IntegrationGameLaunch?moneyType=0&amp;gameName=KettysFashionWorld&amp;platform=desktop&amp;languageCode=eng&amp;currency=EUR" xr:uid="{00000000-0004-0000-0B00-000092010000}"/>
    <hyperlink ref="BD252" r:id="rId404" display="https://gameserver-store-client-area.orbionlimited.com/Home/IntegrationGameLaunch/client-area?moneyType=0&amp;gameName=KettysFashionWorld&amp;platform=desktop&amp;languageCode=eng&amp;currency=EUR" xr:uid="{00000000-0004-0000-0B00-000093010000}"/>
    <hyperlink ref="AN253" r:id="rId405" display="https://onlinegamespromo.fazi.rs/Home/IntegrationGameLaunch?moneyType=0&amp;gameName=RetroFire&amp;platform=desktop&amp;languageCode=eng&amp;currency=EUR" xr:uid="{00000000-0004-0000-0B00-000094010000}"/>
    <hyperlink ref="BD253" r:id="rId406" display="https://gameserver-store-client-area.orbionlimited.com/Home/IntegrationGameLaunch/client-area?moneyType=0&amp;gameName=RetroFire&amp;platform=desktop&amp;languageCode=eng&amp;currency=EUR" xr:uid="{00000000-0004-0000-0B00-000095010000}"/>
    <hyperlink ref="AN254" r:id="rId407" display="https://onlinegamespromo.fazi.rs/Home/IntegrationGameLaunch?moneyType=0&amp;gameName=Money5&amp;platform=desktop&amp;languageCode=eng&amp;currency=EUR" xr:uid="{00000000-0004-0000-0B00-000096010000}"/>
    <hyperlink ref="BD254" r:id="rId408" display="https://gameserver-store-client-area.orbionlimited.com/Home/IntegrationGameLaunch/client-area?moneyType=0&amp;gameName=Money5&amp;platform=desktop&amp;languageCode=eng&amp;currency=EUR" xr:uid="{00000000-0004-0000-0B00-000097010000}"/>
    <hyperlink ref="N255" r:id="rId409" display="https://docs.google.com/document/d/1Lo21HE-04Rwp0EgxYQqy6Pl0lYtK_VWc/edit?usp=drive_link&amp;ouid=107596163405648766688&amp;rtpof=true&amp;sd=true" xr:uid="{00000000-0004-0000-0B00-000098010000}"/>
    <hyperlink ref="O255" r:id="rId410" display="https://docs.google.com/document/d/14McTj69knWbyzMrjp4z8p18Njc6HjKFL/edit?usp=drive_link&amp;ouid=107596163405648766688&amp;rtpof=true&amp;sd=true" xr:uid="{00000000-0004-0000-0B00-000099010000}"/>
    <hyperlink ref="AN255" r:id="rId411" display="https://static.redstone.rs/games/blazing-heat/" xr:uid="{00000000-0004-0000-0B00-00009A010000}"/>
    <hyperlink ref="BD255" r:id="rId412" display="https://static.redstone.rs/games/blazing-heat/" xr:uid="{00000000-0004-0000-0B00-00009B010000}"/>
    <hyperlink ref="AN257" r:id="rId413" display="https://onlinegamespromo.fazi.rs/Home/IntegrationGameLaunch?moneyType=0&amp;gameName=UnicornFireStars&amp;platform=desktop&amp;languageCode=eng&amp;currency=EUR" xr:uid="{00000000-0004-0000-0B00-00009C010000}"/>
    <hyperlink ref="BD257" r:id="rId414" display="https://gameserver-store-client-area.orbionlimited.com/Home/IntegrationGameLaunch/client-area?moneyType=0&amp;gameName=UnicornFireStars&amp;platform=desktop&amp;languageCode=eng&amp;currency=EUR" xr:uid="{00000000-0004-0000-0B00-00009D010000}"/>
    <hyperlink ref="AN258" r:id="rId415" display="https://onlinegamespromo.fazi.rs/Home/IntegrationGameLaunch?moneyType=0&amp;gameName=Unicorn20HotStrikeDice&amp;platform=desktop&amp;languageCode=eng&amp;currency=EUR" xr:uid="{00000000-0004-0000-0B00-00009E010000}"/>
    <hyperlink ref="BD258" r:id="rId416" display="https://gameserver-store-client-area.orbionlimited.com/Home/IntegrationGameLaunch/client-area?moneyType=0&amp;gameName=Unicorn20HotStrikeDice&amp;platform=desktop&amp;languageCode=eng&amp;currency=EUR" xr:uid="{00000000-0004-0000-0B00-00009F010000}"/>
    <hyperlink ref="AN259" r:id="rId417" display="https://onlinegamespromo.fazi.rs/Home/IntegrationGameLaunch?moneyType=0&amp;gameName=UnicornBikiniDice&amp;platform=desktop&amp;languageCode=eng&amp;currency=EUR" xr:uid="{00000000-0004-0000-0B00-0000A0010000}"/>
    <hyperlink ref="BD259" r:id="rId418" display="https://gameserver-store-client-area.orbionlimited.com/Home/IntegrationGameLaunch/client-area?moneyType=0&amp;gameName=UnicornBikiniDice&amp;platform=desktop&amp;languageCode=eng&amp;currency=EUR" xr:uid="{00000000-0004-0000-0B00-0000A1010000}"/>
    <hyperlink ref="N260" r:id="rId419" display="https://docs.google.com/document/d/1BZ7cF2yWPuXXcXJuGQ0_VsCbLBKuTKnU/edit?usp=drive_link&amp;ouid=107596163405648766688&amp;rtpof=true&amp;sd=true" xr:uid="{00000000-0004-0000-0B00-0000A2010000}"/>
    <hyperlink ref="O260" r:id="rId420" display="https://docs.google.com/document/d/1ATbuBx6ppewruKxRt72H2RFPKHP6uH4g/edit?usp=drive_link&amp;ouid=107596163405648766688&amp;rtpof=true&amp;sd=true" xr:uid="{00000000-0004-0000-0B00-0000A3010000}"/>
    <hyperlink ref="AN260" r:id="rId421" display="https://static.redstone.rs/games/hot-hot/" xr:uid="{00000000-0004-0000-0B00-0000A4010000}"/>
    <hyperlink ref="BD260" r:id="rId422" display="https://static.redstone.rs/games/hot-hot/" xr:uid="{00000000-0004-0000-0B00-0000A5010000}"/>
    <hyperlink ref="AN261" r:id="rId423" display="https://onlinegamespromo.fazi.rs/Home/IntegrationGameLaunch?moneyType=0&amp;gameName=EpicCrown5&amp;platform=desktop&amp;languageCode=eng&amp;currency=EUR" xr:uid="{00000000-0004-0000-0B00-0000A6010000}"/>
    <hyperlink ref="BD261" r:id="rId424" display="https://gameserver-store-client-area.orbionlimited.com/Home/IntegrationGameLaunch/client-area?moneyType=0&amp;gameName=EpicCrown5&amp;platform=desktop&amp;languageCode=eng&amp;currency=EUR" xr:uid="{00000000-0004-0000-0B00-0000A7010000}"/>
    <hyperlink ref="AN262" r:id="rId425" display="https://onlinegamespromo.fazi.rs/Home/IntegrationGameLaunch?moneyType=0&amp;gameName=UnicornSimplySevens&amp;platform=desktop&amp;languageCode=eng&amp;currency=EUR" xr:uid="{00000000-0004-0000-0B00-0000A8010000}"/>
    <hyperlink ref="BD262" r:id="rId426" display="https://gameserver-store-client-area.orbionlimited.com/Home/IntegrationGameLaunch/client-area?moneyType=0&amp;gameName=UnicornSimplySevens&amp;platform=desktop&amp;languageCode=eng&amp;currency=EUR" xr:uid="{00000000-0004-0000-0B00-0000A9010000}"/>
    <hyperlink ref="AN263" r:id="rId427" display="https://onlinegamespromo.fazi.rs/Home/IntegrationGameLaunch?moneyType=0&amp;gameName=DeadNight&amp;platform=desktop&amp;languageCode=eng&amp;currency=EUR" xr:uid="{00000000-0004-0000-0B00-0000AA010000}"/>
    <hyperlink ref="BD263" r:id="rId428" display="https://gameserver-store-client-area.orbionlimited.com/Home/IntegrationGameLaunch/client-area?moneyType=0&amp;gameName=DeadNight&amp;platform=desktop&amp;languageCode=eng&amp;currency=EUR" xr:uid="{00000000-0004-0000-0B00-0000AB010000}"/>
    <hyperlink ref="AN264" r:id="rId429" display="https://onlinegamespromo.fazi.rs/Home/IntegrationGameLaunch?moneyType=0&amp;gameName=WinningClover5&amp;lobbyUrl=https://www.fazi-interactive.com/" xr:uid="{00000000-0004-0000-0B00-0000AC010000}"/>
    <hyperlink ref="BD264" r:id="rId430" display="https://gameserver-store-client-area.orbionlimited.com/Home/IntegrationGameLaunch/client-area?moneyType=0&amp;gameName=WinningClover5&amp;platform=desktop&amp;languageCode=eng&amp;currency=EUR" xr:uid="{00000000-0004-0000-0B00-0000AD010000}"/>
    <hyperlink ref="AN265" r:id="rId431" display="https://onlinegamespromo.fazi.rs/Home/IntegrationGameLaunch?moneyType=0&amp;gameName=TurboFire&amp;lobbyUrl=https://www.fazi-interactive.com/" xr:uid="{00000000-0004-0000-0B00-0000AE010000}"/>
    <hyperlink ref="BD265" r:id="rId432" display="https://gameserver-store-client-area.orbionlimited.com/Home/IntegrationGameLaunch/client-area?moneyType=0&amp;gameName=TurboFire&amp;platform=desktop&amp;languageCode=eng&amp;currency=EUR" xr:uid="{00000000-0004-0000-0B00-0000AF010000}"/>
    <hyperlink ref="AN266" r:id="rId433" display="https://onlinegamespromo.fazi.rs/Home/IntegrationGameLaunch?moneyType=0&amp;gameName=Unicorn10JingleFruits&amp;platform=desktop&amp;languageCode=eng&amp;currency=EUR" xr:uid="{00000000-0004-0000-0B00-0000B0010000}"/>
    <hyperlink ref="BD266" r:id="rId434" display="https://gameserver-store-client-area.orbionlimited.com/Home/IntegrationGameLaunch/client-area?moneyType=0&amp;gameName=Unicorn10JingleFruits&amp;platform=desktop&amp;languageCode=eng&amp;currency=EUR" xr:uid="{00000000-0004-0000-0B00-0000B1010000}"/>
    <hyperlink ref="AN267" r:id="rId435" display="https://onlinegamespromo.fazi.rs/Home/IntegrationGameLaunch?moneyType=0&amp;gameName=WinningClover5Extreme&amp;lobbyUrl=https://www.fazi-interactive.com/" xr:uid="{00000000-0004-0000-0B00-0000B2010000}"/>
    <hyperlink ref="BD267" r:id="rId436" display="https://gameserver-store-client-area.orbionlimited.com/Home/IntegrationGameLaunch/client-area?moneyType=0&amp;gameName=WinningClover5Extreme&amp;platform=desktop&amp;languageCode=eng&amp;currency=EUR" xr:uid="{00000000-0004-0000-0B00-0000B3010000}"/>
    <hyperlink ref="N268" r:id="rId437" display="https://docs.google.com/document/d/1-DcLI-tOHLxDhFJu89mRnLghXEFFzgNY/edit?usp=drive_link&amp;ouid=107596163405648766688&amp;rtpof=true&amp;sd=true" xr:uid="{00000000-0004-0000-0B00-0000B4010000}"/>
    <hyperlink ref="O268" r:id="rId438" display="https://docs.google.com/document/d/1JRWwKCTfAAr13XFrmwOPqrlKDi2Z5V4W/edit?usp=drive_link&amp;ouid=107596163405648766688&amp;rtpof=true&amp;sd=true" xr:uid="{00000000-0004-0000-0B00-0000B5010000}"/>
    <hyperlink ref="AN268" r:id="rId439" display="https://play.redstone.rs/games/clover-blast-5/index.html" xr:uid="{00000000-0004-0000-0B00-0000B6010000}"/>
    <hyperlink ref="BD268" r:id="rId440" display="https://play.redstone.rs/games/clover-blast-5/index.html" xr:uid="{00000000-0004-0000-0B00-0000B7010000}"/>
    <hyperlink ref="AN269" r:id="rId441" display="https://onlinegamespromo.fazi.rs/Home/IntegrationGameLaunch?moneyType=0&amp;gameName=WildHot40Dice&amp;platform=desktop&amp;languageCode=eng&amp;currency=EUR" xr:uid="{00000000-0004-0000-0B00-0000B8010000}"/>
    <hyperlink ref="BD269" r:id="rId442" display="https://gameserver-store-client-area.orbionlimited.com/Home/IntegrationGameLaunch/client-area?moneyType=0&amp;gameName=WildHot40Dice&amp;platform=desktop&amp;languageCode=eng&amp;currency=EUR" xr:uid="{00000000-0004-0000-0B00-0000B9010000}"/>
    <hyperlink ref="AN270" r:id="rId443" display="https://onlinegamespromo.fazi.rs/Home/IntegrationGameLaunch?moneyType=0&amp;gameName=UnicornGoldLine&amp;platform=desktop&amp;languageCode=eng&amp;currency=EUR" xr:uid="{00000000-0004-0000-0B00-0000BA010000}"/>
    <hyperlink ref="BD270" r:id="rId444" display="https://gameserver-store-client-area.orbionlimited.com/Home/IntegrationGameLaunch/client-area?moneyType=0&amp;gameName=UnicornGoldLine&amp;platform=desktop&amp;languageCode=eng&amp;currency=EUR" xr:uid="{00000000-0004-0000-0B00-0000BB010000}"/>
    <hyperlink ref="AN272" r:id="rId445" display="https://onlinegamespromo.fazi.rs/Home/IntegrationGameLaunch?moneyType=0&amp;gameName=WildHot40BlowDice&amp;platform=desktop&amp;languageCode=eng&amp;currency=EUR" xr:uid="{00000000-0004-0000-0B00-0000BC010000}"/>
    <hyperlink ref="BD272" r:id="rId446" display="https://gameserver-store-client-area.orbionlimited.com/Home/IntegrationGameLaunch/client-area?moneyType=0&amp;gameName=WildHot40BlowDice&amp;platform=desktop&amp;languageCode=eng&amp;currency=EUR" xr:uid="{00000000-0004-0000-0B00-0000BD010000}"/>
    <hyperlink ref="AN273" r:id="rId447" display="https://onlinegamespromo.fazi.rs/Home/IntegrationGameLaunch?moneyType=0&amp;gameName=FashionNight&amp;platform=desktop&amp;languageCode=eng&amp;currency=EUR" xr:uid="{00000000-0004-0000-0B00-0000BE010000}"/>
    <hyperlink ref="BD273" r:id="rId448" display="https://gameserver-store-client-area.orbionlimited.com/Home/IntegrationGameLaunch/client-area?moneyType=0&amp;gameName=FashionNight&amp;platform=desktop&amp;languageCode=eng&amp;currency=EUR" xr:uid="{00000000-0004-0000-0B00-0000BF010000}"/>
    <hyperlink ref="AN274" r:id="rId449" display="https://onlinegamespromo.fazi.rs/Home/IntegrationGameLaunch?moneyType=0&amp;gameName=MayansBattle&amp;platform=desktop&amp;languageCode=eng&amp;currency=EUR" xr:uid="{00000000-0004-0000-0B00-0000C0010000}"/>
    <hyperlink ref="BD274" r:id="rId450" display="https://gameserver-store-client-area.orbionlimited.com/Home/IntegrationGameLaunch/client-area?moneyType=0&amp;gameName=MayansBattle&amp;platform=desktop&amp;languageCode=eng&amp;currency=EUR" xr:uid="{00000000-0004-0000-0B00-0000C1010000}"/>
    <hyperlink ref="AN275" r:id="rId451" display="https://onlinegamespromo.fazi.rs/Home/IntegrationGameLaunch?moneyType=0&amp;gameName=UnicornFrootMachine&amp;platform=desktop&amp;languageCode=eng&amp;currency=EUR" xr:uid="{00000000-0004-0000-0B00-0000C2010000}"/>
    <hyperlink ref="BD275" r:id="rId452" display="https://gameserver-store-client-area.orbionlimited.com/Home/IntegrationGameLaunch/client-area?moneyType=0&amp;gameName=UnicornFrootMachine&amp;platform=desktop&amp;languageCode=eng&amp;currency=EUR" xr:uid="{00000000-0004-0000-0B00-0000C3010000}"/>
    <hyperlink ref="AN276" r:id="rId453" display="https://onlinegamespromo.fazi.rs/Home/IntegrationGameLaunch?moneyType=0&amp;gameName=UnicornSimplySevensDice&amp;platform=desktop&amp;languageCode=eng&amp;currency=EUR" xr:uid="{00000000-0004-0000-0B00-0000C4010000}"/>
    <hyperlink ref="BD276" r:id="rId454" display="https://gameserver-store-client-area.orbionlimited.com/Home/IntegrationGameLaunch/client-area?moneyType=0&amp;gameName=UnicornSimplySevensDice&amp;platform=desktop&amp;languageCode=eng&amp;currency=EUR" xr:uid="{00000000-0004-0000-0B00-0000C5010000}"/>
    <hyperlink ref="AN277" r:id="rId455" display="https://onlinegamespromo.fazi.rs/Home/IntegrationGameLaunch?moneyType=0&amp;gameName=WildCraps&amp;platform=desktop&amp;languageCode=eng&amp;currency=EUR" xr:uid="{00000000-0004-0000-0B00-0000C6010000}"/>
    <hyperlink ref="BD277" r:id="rId456" display="https://gameserver-store-client-area.orbionlimited.com/Home/IntegrationGameLaunch/client-area?moneyType=0&amp;gameName=WildCraps&amp;platform=desktop&amp;languageCode=eng&amp;currency=EUR" xr:uid="{00000000-0004-0000-0B00-0000C7010000}"/>
    <hyperlink ref="N278" r:id="rId457" display="https://docs.google.com/document/d/1QP-EtzlhgKGHFJ_tSJU92n3GAb-kqF2e/edit?usp=drive_link&amp;ouid=107596163405648766688&amp;rtpof=true&amp;sd=true" xr:uid="{00000000-0004-0000-0B00-0000C8010000}"/>
    <hyperlink ref="O278" r:id="rId458" display="https://docs.google.com/document/d/1G3Uy96MnESsRXYh1UJ3F4jpCVPLG-sSl/edit?usp=drive_link&amp;ouid=107596163405648766688&amp;rtpof=true&amp;sd=true" xr:uid="{00000000-0004-0000-0B00-0000C9010000}"/>
    <hyperlink ref="AN278" r:id="rId459" display="https://play.redstone.rs/games/fear-of-dark/index.html" xr:uid="{00000000-0004-0000-0B00-0000CA010000}"/>
    <hyperlink ref="BD278" r:id="rId460" display="https://play.redstone.rs/games/fear-of-dark/index.html" xr:uid="{00000000-0004-0000-0B00-0000CB010000}"/>
    <hyperlink ref="AN279" r:id="rId461" display="https://onlinegamespromo.fazi.rs/Home/IntegrationGameLaunch?moneyType=0&amp;gameName=MrFirstCryptonium&amp;platform=desktop&amp;languageCode=eng&amp;currency=EUR" xr:uid="{00000000-0004-0000-0B00-0000CC010000}"/>
    <hyperlink ref="BD279" r:id="rId462" display="https://gameserver-store-client-area.orbionlimited.com/Home/IntegrationGameLaunch/client-area?moneyType=0&amp;gameName=MrFirstCryptonium&amp;platform=desktop&amp;languageCode=eng&amp;currency=EUR" xr:uid="{00000000-0004-0000-0B00-0000CD010000}"/>
    <hyperlink ref="AN280" r:id="rId463" display="https://onlinegamespromo.fazi.rs/Home/IntegrationGameLaunch?moneyType=0&amp;gameName=UnicornFruitIslandChristmas&amp;platform=desktop&amp;languageCode=eng&amp;currency=EUR" xr:uid="{00000000-0004-0000-0B00-0000CE010000}"/>
    <hyperlink ref="BD280" r:id="rId464" display="https://gameserver-store-client-area.orbionlimited.com/Home/IntegrationGameLaunch/client-area?moneyType=0&amp;gameName=UnicornFruitIslandChristmas&amp;platform=desktop&amp;languageCode=eng&amp;currency=EUR" xr:uid="{00000000-0004-0000-0B00-0000CF010000}"/>
    <hyperlink ref="AN282" r:id="rId465" display="https://onlinegamespromo.fazi.rs/Home/IntegrationGameLaunch?moneyType=0&amp;gameName=UnicornChristmasPresents&amp;platform=desktop&amp;languageCode=eng&amp;currency=EUR" xr:uid="{00000000-0004-0000-0B00-0000D0010000}"/>
    <hyperlink ref="BD282" r:id="rId466" display="https://gameserver-store-client-area.orbionlimited.com/Home/IntegrationGameLaunch/client-area?moneyType=0&amp;gameName=UnicornChristmasPresents&amp;platform=desktop&amp;languageCode=eng&amp;currency=EUR" xr:uid="{00000000-0004-0000-0B00-0000D1010000}"/>
    <hyperlink ref="AN283" r:id="rId467" display="https://onlinegamespromo.fazi.rs/Home/IntegrationGameLaunch?moneyType=0&amp;gameName=SantasPresents&amp;lobbyUrl=https://www.fazi-interactive.com/" xr:uid="{00000000-0004-0000-0B00-0000D2010000}"/>
    <hyperlink ref="BD283" r:id="rId468" display="https://gameserver-store-client-area.orbionlimited.com/Home/IntegrationGameLaunch/client-area?moneyType=0&amp;gameName=SantasPresents&amp;platform=desktop&amp;languageCode=eng&amp;currency=EUR" xr:uid="{00000000-0004-0000-0B00-0000D3010000}"/>
    <hyperlink ref="AN285" r:id="rId469" display="https://onlinegamespromo.fazi.rs/Home/IntegrationGameLaunch?moneyType=0&amp;gameName=ChilliRespin&amp;lobbyUrl=https://www.fazi-interactive.com/" xr:uid="{00000000-0004-0000-0B00-0000D4010000}"/>
    <hyperlink ref="BD285" r:id="rId470" display="https://gameserver-store-client-area.orbionlimited.com/Home/IntegrationGameLaunch/client-area?moneyType=0&amp;gameName=ChilliRespin&amp;platform=desktop&amp;languageCode=eng&amp;currency=EUR" xr:uid="{00000000-0004-0000-0B00-0000D5010000}"/>
    <hyperlink ref="N286" r:id="rId471" display="https://docs.google.com/document/d/1QhQ9OIh7uTbWVJjt6gFntvyUFTO_g0du/edit?usp=drive_link&amp;ouid=107596163405648766688&amp;rtpof=true&amp;sd=true" xr:uid="{00000000-0004-0000-0B00-0000D6010000}"/>
    <hyperlink ref="O286" r:id="rId472" display="https://docs.google.com/document/d/1EomMxtAJIKfvOoAN8Z_-9xNBF48P1jBO/edit?usp=drive_link&amp;ouid=107596163405648766688&amp;rtpof=true&amp;sd=true" xr:uid="{00000000-0004-0000-0B00-0000D7010000}"/>
    <hyperlink ref="AN286" r:id="rId473" display="https://play.redstone.rs/games/chilli-hot-5/index.html" xr:uid="{00000000-0004-0000-0B00-0000D8010000}"/>
    <hyperlink ref="BD286" r:id="rId474" display="https://play.redstone.rs/games/chilli-hot-5/index.html" xr:uid="{00000000-0004-0000-0B00-0000D9010000}"/>
    <hyperlink ref="N287" r:id="rId475" display="https://docs.google.com/document/d/1V6_yXejXQjXpCvxO5wF7JvaRzpKuPNDZ/edit?usp=drive_link&amp;ouid=107596163405648766688&amp;rtpof=true&amp;sd=true" xr:uid="{00000000-0004-0000-0B00-0000DA010000}"/>
    <hyperlink ref="O287" r:id="rId476" display="https://docs.google.com/document/d/1tVV48E1kzpopmbpJDlGt5Lp7cqHzzqTq/edit?usp=drive_link&amp;ouid=107596163405648766688&amp;rtpof=true&amp;sd=true" xr:uid="{00000000-0004-0000-0B00-0000DB010000}"/>
    <hyperlink ref="AN287" r:id="rId477" display="https://play.redstone.rs/games/40-hot-joker/index.html" xr:uid="{00000000-0004-0000-0B00-0000DC010000}"/>
    <hyperlink ref="BD287" r:id="rId478" display="https://play.redstone.rs/games/40-hot-joker/index.html" xr:uid="{00000000-0004-0000-0B00-0000DD010000}"/>
    <hyperlink ref="N288" r:id="rId479" display="https://docs.google.com/document/d/1ZjS1T6mut0Ix_FZS9rgixFhkYfzymPvd/edit?usp=drive_link&amp;ouid=107596163405648766688&amp;rtpof=true&amp;sd=true" xr:uid="{00000000-0004-0000-0B00-0000DE010000}"/>
    <hyperlink ref="O288" r:id="rId480" display="https://docs.google.com/document/d/1X5yxoV9aeO4hmnBorYm0rR4SJnZAjO1U/edit?usp=drive_link&amp;ouid=107596163405648766688&amp;rtpof=true&amp;sd=true" xr:uid="{00000000-0004-0000-0B00-0000DF010000}"/>
    <hyperlink ref="AN288" r:id="rId481" display="https://play.redstone.rs/games/jolly-presents/index.html" xr:uid="{00000000-0004-0000-0B00-0000E0010000}"/>
    <hyperlink ref="BD288" r:id="rId482" display="https://play.redstone.rs/games/jolly-presents/index.html" xr:uid="{00000000-0004-0000-0B00-0000E1010000}"/>
    <hyperlink ref="N289" r:id="rId483" display="https://docs.google.com/document/d/1lKG2J44Z3XobSwTrd9QvOmLKxuDAT9gT/edit?usp=drive_link&amp;ouid=107596163405648766688&amp;rtpof=true&amp;sd=true" xr:uid="{00000000-0004-0000-0B00-0000E2010000}"/>
    <hyperlink ref="O289" r:id="rId484" display="https://docs.google.com/document/d/1brLhaUzYeRZigMCFlrbWhCZ4Gmwkbd-L/edit?usp=drive_link&amp;ouid=107596163405648766688&amp;rtpof=true&amp;sd=true" xr:uid="{00000000-0004-0000-0B00-0000E3010000}"/>
    <hyperlink ref="AN289" r:id="rId485" display="https://play.redstone.rs/games/20-fruit-frenzy/index.html" xr:uid="{00000000-0004-0000-0B00-0000E4010000}"/>
    <hyperlink ref="BD289" r:id="rId486" display="https://play.redstone.rs/games/20-fruit-frenzy/index.html" xr:uid="{00000000-0004-0000-0B00-0000E5010000}"/>
    <hyperlink ref="N290" r:id="rId487" display="https://docs.google.com/document/d/1mMkb52UZ9BZKxmFAxoGbc-e-tcJbsAq4/edit?usp=drive_link&amp;ouid=107596163405648766688&amp;rtpof=true&amp;sd=true" xr:uid="{00000000-0004-0000-0B00-0000E6010000}"/>
    <hyperlink ref="O290" r:id="rId488" display="https://docs.google.com/document/d/1DY8X7hAgBj5u5gZiTi5xhZwo2C6oO69V/edit?usp=drive_link&amp;ouid=107596163405648766688&amp;rtpof=true&amp;sd=true" xr:uid="{00000000-0004-0000-0B00-0000E7010000}"/>
    <hyperlink ref="AN290" r:id="rId489" display="https://play.redstone.rs/games/40-fruit-frenzy/index.html" xr:uid="{00000000-0004-0000-0B00-0000E8010000}"/>
    <hyperlink ref="BD290" r:id="rId490" display="https://play.redstone.rs/games/40-fruit-frenzy/index.html" xr:uid="{00000000-0004-0000-0B00-0000E9010000}"/>
    <hyperlink ref="N291" r:id="rId491" display="https://docs.google.com/document/d/1iXG_raCxlresDsCqMTqpIlfeAFtjbTIP/edit?usp=drive_link&amp;ouid=107596163405648766688&amp;rtpof=true&amp;sd=true" xr:uid="{00000000-0004-0000-0B00-0000EA010000}"/>
    <hyperlink ref="O291" r:id="rId492" display="https://docs.google.com/document/d/1YbEQ9PohM2jYE-QEuHfCCQRDf1ijSLJY/edit?usp=drive_link&amp;ouid=107596163405648766688&amp;rtpof=true&amp;sd=true" xr:uid="{00000000-0004-0000-0B00-0000EB010000}"/>
    <hyperlink ref="AN291" r:id="rId493" display="https://play.redstone.rs/games/wild-heart-beat/index.html" xr:uid="{00000000-0004-0000-0B00-0000EC010000}"/>
    <hyperlink ref="BD291" r:id="rId494" display="https://play.redstone.rs/games/wild-heart-beat/index.html" xr:uid="{00000000-0004-0000-0B00-0000ED010000}"/>
    <hyperlink ref="N292" r:id="rId495" display="https://docs.google.com/document/d/1R9VdFan2BxscNoqqq7JAP2usk36VI-Fn/edit?usp=drive_link&amp;ouid=107596163405648766688&amp;rtpof=true&amp;sd=true" xr:uid="{00000000-0004-0000-0B00-0000EE010000}"/>
    <hyperlink ref="O292" r:id="rId496" display="https://docs.google.com/document/d/1_YdJijpySmgTmfVs44Ae7uAJHDSTwF64/edit?usp=drive_link&amp;ouid=107596163405648766688&amp;rtpof=true&amp;sd=true" xr:uid="{00000000-0004-0000-0B00-0000EF010000}"/>
    <hyperlink ref="AN292" r:id="rId497" display="https://play.redstone.rs/games/wild-trail/index.html" xr:uid="{00000000-0004-0000-0B00-0000F0010000}"/>
    <hyperlink ref="BD292" r:id="rId498" display="https://play.redstone.rs/games/wild-trail/index.html" xr:uid="{00000000-0004-0000-0B00-0000F1010000}"/>
    <hyperlink ref="N293" r:id="rId499" display="https://docs.google.com/document/d/15b1HM0l4KpfaiAAKNvC0nHSXb8d6Mk1v/edit?usp=drive_link&amp;ouid=107596163405648766688&amp;rtpof=true&amp;sd=true" xr:uid="{00000000-0004-0000-0B00-0000F2010000}"/>
    <hyperlink ref="O293" r:id="rId500" display="https://docs.google.com/document/d/1IQGnVcn_YqWL36Yv2DxCR6fILZrQehOS/edit?usp=drive_link&amp;ouid=107596163405648766688&amp;rtpof=true&amp;sd=true" xr:uid="{00000000-0004-0000-0B00-0000F3010000}"/>
    <hyperlink ref="AN293" r:id="rId501" display="https://play.redstone.rs/games/40-jokers-free-games/index.html" xr:uid="{00000000-0004-0000-0B00-0000F4010000}"/>
    <hyperlink ref="BD293" r:id="rId502" display="https://play.redstone.rs/games/40-jokers-free-games/index.html" xr:uid="{00000000-0004-0000-0B00-0000F5010000}"/>
    <hyperlink ref="N294" r:id="rId503" display="https://docs.google.com/document/d/1NvnqrHz45jHN7kIAdXe5gJQaiubaEy9B/edit?usp=drive_link&amp;ouid=107596163405648766688&amp;rtpof=true&amp;sd=true" xr:uid="{00000000-0004-0000-0B00-0000F6010000}"/>
    <hyperlink ref="O294" r:id="rId504" display="https://docs.google.com/document/d/1AAJQVtDH1FNoV_SlZ4_kQ1GUK5TFTf9J/edit?usp=drive_link&amp;ouid=107596163405648766688&amp;rtpof=true&amp;sd=true" xr:uid="{00000000-0004-0000-0B00-0000F7010000}"/>
    <hyperlink ref="AN294" r:id="rId505" display="https://static.redstone.rs/games/moon-dog/" xr:uid="{00000000-0004-0000-0B00-0000F8010000}"/>
    <hyperlink ref="BD294" r:id="rId506" display="https://static.redstone.rs/games/moon-dog/" xr:uid="{00000000-0004-0000-0B00-0000F9010000}"/>
    <hyperlink ref="AN295" r:id="rId507" display="https://onlinegamespromo.fazi.rs/Home/IntegrationGameLaunch?moneyType=0&amp;gameName=BonusEpicCrown&amp;lobbyUrl=https://www.fazi-interactive.com/" xr:uid="{00000000-0004-0000-0B00-0000FA010000}"/>
    <hyperlink ref="BD295" r:id="rId508" display="https://gameserver-store-client-area.orbionlimited.com/Home/IntegrationGameLaunch/client-area?moneyType=0&amp;gameName=BonusEpicCrown&amp;platform=desktop&amp;languageCode=eng&amp;currency=EUR" xr:uid="{00000000-0004-0000-0B00-0000FB010000}"/>
    <hyperlink ref="N296" r:id="rId509" display="https://docs.google.com/document/d/1xZfjh3I85tXFS4VTeVhFyQUmcXUmdotx/edit?usp=drive_link&amp;ouid=107596163405648766688&amp;rtpof=true&amp;sd=true" xr:uid="{00000000-0004-0000-0B00-0000FC010000}"/>
    <hyperlink ref="O296" r:id="rId510" display="https://docs.google.com/document/d/17U5ep68w6t9myafb3f5gTSGNEdDaOxSk/edit?usp=drive_link&amp;ouid=107596163405648766688&amp;rtpof=true&amp;sd=true" xr:uid="{00000000-0004-0000-0B00-0000FD010000}"/>
    <hyperlink ref="AN296" r:id="rId511" display="https://play.redstone.rs/games/20-wild-crown/index.html" xr:uid="{00000000-0004-0000-0B00-0000FE010000}"/>
    <hyperlink ref="BD296" r:id="rId512" display="https://play.redstone.rs/games/20-wild-crown/index.html" xr:uid="{00000000-0004-0000-0B00-0000FF010000}"/>
    <hyperlink ref="AN297" r:id="rId513" display="https://onlinegamespromo.fazi.rs/Home/IntegrationGameLaunch?moneyType=0&amp;gameName=EpicClover100&amp;platform=desktop&amp;languageCode=eng&amp;currency=EUR" xr:uid="{00000000-0004-0000-0B00-000000020000}"/>
    <hyperlink ref="BD297" r:id="rId514" display="https://gameserver-store-client-area.orbionlimited.com/Home/IntegrationGameLaunch/client-area?moneyType=0&amp;gameName=EpicClover100&amp;platform=desktop&amp;languageCode=eng&amp;currency=EUR" xr:uid="{00000000-0004-0000-0B00-000001020000}"/>
    <hyperlink ref="AN298" r:id="rId515" display="https://onlinegamespromo.fazi.rs/Home/IntegrationGameLaunch?moneyType=0&amp;gameName=amazingjoker&amp;platform=desktop&amp;languageCode=eng&amp;currency=EUR" xr:uid="{00000000-0004-0000-0B00-000002020000}"/>
    <hyperlink ref="BD298" r:id="rId516" display="https://gameserver-store-client-area.orbionlimited.com/Home/IntegrationGameLaunch/client-area?moneyType=0&amp;gameName=AmazingJoker&amp;platform=desktop&amp;languageCode=eng&amp;currency=EUR" xr:uid="{00000000-0004-0000-0B00-000003020000}"/>
    <hyperlink ref="AN300" r:id="rId517" display="https://onlinegamespromo.fazi.rs/Home/IntegrationGameLaunch?moneyType=0&amp;gameName=TripleFieldsOfLuck&amp;platform=desktop&amp;languageCode=eng&amp;currency=EUR" xr:uid="{00000000-0004-0000-0B00-000004020000}"/>
    <hyperlink ref="BD300" r:id="rId518" display="https://gameserver-store-client-area.orbionlimited.com/Home/IntegrationGameLaunch/client-area?moneyType=0&amp;gameName=TripleFieldsOfLuck&amp;platform=desktop&amp;languageCode=eng&amp;currency=EUR" xr:uid="{00000000-0004-0000-0B00-000005020000}"/>
    <hyperlink ref="N301" r:id="rId519" display="https://docs.google.com/document/d/1PYxXsTRixVUGoPQjGyncmfz5LXWWNYRg/edit?usp=drive_link&amp;ouid=107596163405648766688&amp;rtpof=true&amp;sd=true" xr:uid="{00000000-0004-0000-0B00-000006020000}"/>
    <hyperlink ref="O301" r:id="rId520" display="https://docs.google.com/document/d/1wEnLmJFmrg49N5YjNDqPdbpoWHjyekQY/edit?usp=drive_link&amp;ouid=107596163405648766688&amp;rtpof=true&amp;sd=true" xr:uid="{00000000-0004-0000-0B00-000007020000}"/>
    <hyperlink ref="AN301" r:id="rId521" display="https://static.redstone.rs/games/chilli-double/" xr:uid="{00000000-0004-0000-0B00-000008020000}"/>
    <hyperlink ref="BD301" r:id="rId522" display="https://static.redstone.rs/games/chilli-double/" xr:uid="{00000000-0004-0000-0B00-000009020000}"/>
    <hyperlink ref="N302" r:id="rId523" display="https://docs.google.com/document/d/1VsxFGG6KMJSMeHNfFC2m7P-sd-0f4mbD/edit?usp=drive_link&amp;ouid=107596163405648766688&amp;rtpof=true&amp;sd=true" xr:uid="{00000000-0004-0000-0B00-00000A020000}"/>
    <hyperlink ref="O302" r:id="rId524" display="https://docs.google.com/document/d/1ps3hC3q69Tm1vXTvhMOtz6pha6fh6E9E/edit?usp=drive_link&amp;ouid=107596163405648766688&amp;rtpof=true&amp;sd=true" xr:uid="{00000000-0004-0000-0B00-00000B020000}"/>
    <hyperlink ref="AN302" r:id="rId525" display="https://static.redstone.rs/games/hot-rush-crown-burst/" xr:uid="{00000000-0004-0000-0B00-00000C020000}"/>
    <hyperlink ref="BD302" r:id="rId526" display="https://static.redstone.rs/games/hot-rush-crown-burst/" xr:uid="{00000000-0004-0000-0B00-00000D020000}"/>
    <hyperlink ref="N309" r:id="rId527" display="https://docs.google.com/document/d/1ndIePfFS0_TcjpuBGGaHFj_FhC-sPHsD/edit?usp=drive_link&amp;ouid=107596163405648766688&amp;rtpof=true&amp;sd=true" xr:uid="{00000000-0004-0000-0B00-00000E020000}"/>
    <hyperlink ref="O309" r:id="rId528" display="https://docs.google.com/document/d/1vsKjcSFcAQ0muEWNhXX0HDyQi4ZCD2FP/edit?usp=drive_link&amp;ouid=107596163405648766688&amp;rtpof=true&amp;sd=true" xr:uid="{00000000-0004-0000-0B00-00000F020000}"/>
    <hyperlink ref="AN309" r:id="rId529" display="https://static.redstone.rs/games/lady-triple-fortune/" xr:uid="{00000000-0004-0000-0B00-000010020000}"/>
    <hyperlink ref="BD309" r:id="rId530" display="https://static.redstone.rs/games/lady-triple-fortune/" xr:uid="{00000000-0004-0000-0B00-000011020000}"/>
    <hyperlink ref="N310" r:id="rId531" display="https://docs.google.com/document/d/1qojyhg6StEvl3u5X0MaSIIahYXE51idz/edit?usp=drive_link&amp;ouid=107596163405648766688&amp;rtpof=true&amp;sd=true" xr:uid="{00000000-0004-0000-0B00-000012020000}"/>
    <hyperlink ref="O310" r:id="rId532" display="https://docs.google.com/document/d/18GNqOxG-IfrZF7FgIDbx__reQdjcDGUy/edit?usp=drive_link&amp;ouid=107596163405648766688&amp;rtpof=true&amp;sd=true" xr:uid="{00000000-0004-0000-0B00-000013020000}"/>
    <hyperlink ref="AN310" r:id="rId533" display="https://static.redstone.rs/games/hot-rush-stars-deluxe/" xr:uid="{00000000-0004-0000-0B00-000014020000}"/>
    <hyperlink ref="BD310" r:id="rId534" display="https://static.redstone.rs/games/hot-rush-stars-deluxe/" xr:uid="{00000000-0004-0000-0B00-000015020000}"/>
    <hyperlink ref="AN311" r:id="rId535" display="https://onlinegamespromo.fazi.rs/Home/IntegrationGameLaunch?moneyType=0&amp;gameName=Wild81&amp;lobbyUrl=https://www.fazi-interactive.com/" xr:uid="{00000000-0004-0000-0B00-000016020000}"/>
    <hyperlink ref="BD311" r:id="rId536" display="https://gameserver-store-client-area.orbionlimited.com/Home/IntegrationGameLaunch/client-area?moneyType=0&amp;gameName=Wild81&amp;platform=desktop&amp;languageCode=eng&amp;currency=EUR" xr:uid="{00000000-0004-0000-0B00-000017020000}"/>
    <hyperlink ref="AN312" r:id="rId537" display="https://onlinegamespromo.fazi.rs/Home/IntegrationGameLaunch?moneyType=0&amp;gameName=MysticJungle&amp;lobbyUrl=https://www.fazi-interactive.com/" xr:uid="{00000000-0004-0000-0B00-000018020000}"/>
    <hyperlink ref="BD312" r:id="rId538" display="https://gameserver-store-client-area.orbionlimited.com/Home/IntegrationGameLaunch/client-area?moneyType=0&amp;gameName=MysticJungle&amp;platform=desktop&amp;languageCode=eng&amp;currency=EUR" xr:uid="{00000000-0004-0000-0B00-000019020000}"/>
    <hyperlink ref="N313" r:id="rId539" display="https://docs.google.com/document/d/1U4DNn9-d1b6GRqHeFhj0MRXSPX_A91CH/edit?usp=drive_link&amp;ouid=107596163405648766688&amp;rtpof=true&amp;sd=true" xr:uid="{00000000-0004-0000-0B00-00001A020000}"/>
    <hyperlink ref="O313" r:id="rId540" display="https://docs.google.com/document/d/1MIVYMaF7eJW5PpLAKh85bop6buH12dCh/edit?usp=drive_link&amp;ouid=107596163405648766688&amp;rtpof=true&amp;sd=true" xr:uid="{00000000-0004-0000-0B00-00001B020000}"/>
    <hyperlink ref="AN313" r:id="rId541" display="https://static.redstone.rs/games/slot-royale/" xr:uid="{00000000-0004-0000-0B00-00001C020000}"/>
    <hyperlink ref="BD313" r:id="rId542" display="https://static.redstone.rs/games/slot-royale/" xr:uid="{00000000-0004-0000-0B00-00001D020000}"/>
    <hyperlink ref="N314" r:id="rId543" display="https://docs.google.com/document/d/1BOjvv_UWQz5V_QEQa2pNmq14p68Cjoxe/edit?usp=drive_link&amp;ouid=107596163405648766688&amp;rtpof=true&amp;sd=true" xr:uid="{00000000-0004-0000-0B00-00001E020000}"/>
    <hyperlink ref="O314" r:id="rId544" display="https://docs.google.com/document/d/1q3SbJQgO6U4tBqX5B5iQU_icjsA4S6GH/edit?usp=drive_link&amp;ouid=107596163405648766688&amp;rtpof=true&amp;sd=true" xr:uid="{00000000-0004-0000-0B00-00001F020000}"/>
    <hyperlink ref="AN314" r:id="rId545" display="https://static.redstone.rs/games/5-clover-fire-lnc/" xr:uid="{00000000-0004-0000-0B00-000020020000}"/>
    <hyperlink ref="BD314" r:id="rId546" display="https://static.redstone.rs/games/5-clover-fire-lnc/" xr:uid="{00000000-0004-0000-0B00-000021020000}"/>
    <hyperlink ref="AN315" r:id="rId547" display="https://onlinegamespromo.fazi.rs/Home/IntegrationGameLaunch?moneyType=0&amp;gameName=WildLuckyDice&amp;platform=desktop&amp;languageCode=eng&amp;currency=EUR" xr:uid="{00000000-0004-0000-0B00-000022020000}"/>
    <hyperlink ref="BD315" r:id="rId548" display="https://gameserver-store-client-area.orbionlimited.com/Home/IntegrationGameLaunch/client-area?moneyType=0&amp;gameName=WildLuckyDice&amp;platform=desktop&amp;languageCode=eng&amp;currency=EUR" xr:uid="{00000000-0004-0000-0B00-000023020000}"/>
    <hyperlink ref="AN316" r:id="rId549" display="https://onlinegamespromo.fazi.rs/Home/IntegrationGameLaunch?moneyType=0&amp;gameName=EggspandingRush&amp;platform=desktop&amp;languageCode=eng&amp;currency=EUR" xr:uid="{00000000-0004-0000-0B00-000024020000}"/>
    <hyperlink ref="BD316" r:id="rId550" display="https://gameserver-store-client-area.orbionlimited.com/Home/IntegrationGameLaunch/client-area?moneyType=0&amp;gameName=EggspandingRush&amp;platform=desktop&amp;languageCode=eng&amp;currency=EUR" xr:uid="{00000000-0004-0000-0B00-000025020000}"/>
    <hyperlink ref="AN321" r:id="rId551" display="https://onlinegamespromo.fazi.rs/Home/IntegrationGameLaunch?moneyType=0&amp;gameName=VintageFruits40&amp;platform=desktop&amp;languageCode=eng&amp;currency=EUR" xr:uid="{00000000-0004-0000-0B00-000026020000}"/>
    <hyperlink ref="BD321" r:id="rId552" display="https://gameserver-store-client-area.orbionlimited.com/Home/IntegrationGameLaunch/client-area?moneyType=0&amp;gameName=VintageFruits40&amp;platform=desktop&amp;languageCode=eng&amp;currency=EUR" xr:uid="{00000000-0004-0000-0B00-000027020000}"/>
    <hyperlink ref="AN322" r:id="rId553" display="https://onlinegamespromo.fazi.rs/Home/IntegrationGameLaunch?moneyType=0&amp;gameName=SummerRush&amp;platform=desktop&amp;languageCode=eng&amp;currency=EUR" xr:uid="{00000000-0004-0000-0B00-000028020000}"/>
    <hyperlink ref="BD322" r:id="rId554" display="https://gameserver-store-client-area.orbionlimited.com/Home/IntegrationGameLaunch/client-area?moneyType=0&amp;gameName=SummerRush&amp;platform=desktop&amp;languageCode=eng&amp;currency=EUR" xr:uid="{00000000-0004-0000-0B00-000029020000}"/>
    <hyperlink ref="AN323" r:id="rId555" display="https://onlinegamespromo.fazi.rs/Home/IntegrationGameLaunch?moneyType=0&amp;gameName=FootballVictory&amp;platform=desktop&amp;languageCode=eng&amp;currency=EUR" xr:uid="{00000000-0004-0000-0B00-00002A020000}"/>
    <hyperlink ref="BD323" r:id="rId556" display="https://gameserver-store-client-area.orbionlimited.com/Home/IntegrationGameLaunch/client-area?moneyType=0&amp;gameName=FootballVictory&amp;platform=desktop&amp;languageCode=eng&amp;currency=EUR" xr:uid="{00000000-0004-0000-0B00-00002B020000}"/>
    <hyperlink ref="N324" r:id="rId557" display="https://docs.google.com/document/d/1jtuk8s7n3DxZm8QVJKAl2DJTlsG7cf8H/edit?usp=drive_link&amp;ouid=107596163405648766688&amp;rtpof=true&amp;sd=true" xr:uid="{00000000-0004-0000-0B00-00002C020000}"/>
    <hyperlink ref="O324" r:id="rId558" display="https://docs.google.com/document/d/133EFX9Kmc_ni_odAawnqEsToy2VaVDRX/edit?usp=drive_link&amp;ouid=107596163405648766688&amp;rtpof=true&amp;sd=true" xr:uid="{00000000-0004-0000-0B00-00002D020000}"/>
    <hyperlink ref="AN324" r:id="rId559" display="https://static.redstone.rs/games/caps-and-crowns/" xr:uid="{00000000-0004-0000-0B00-00002E020000}"/>
    <hyperlink ref="BD324" r:id="rId560" display="https://static.redstone.rs/games/caps-and-crowns/" xr:uid="{00000000-0004-0000-0B00-00002F020000}"/>
    <hyperlink ref="AN325" r:id="rId561" display="https://onlinegamespromo.fazi.rs/Home/IntegrationGameLaunch?moneyType=0&amp;gameName=UnicornLavaDiamonds&amp;platform=desktop&amp;languageCode=eng&amp;currency=EUR" xr:uid="{00000000-0004-0000-0B00-000030020000}"/>
    <hyperlink ref="BD325" r:id="rId562" display="https://gameserver-store-client-area.orbionlimited.com/Home/IntegrationGameLaunch/client-area?moneyType=0&amp;gameName=UnicornLavaDiamonds&amp;platform=desktop&amp;languageCode=eng&amp;currency=EUR" xr:uid="{00000000-0004-0000-0B00-000031020000}"/>
    <hyperlink ref="AN326" r:id="rId563" display="https://onlinegamespromo.fazi.rs/Home/IntegrationGameLaunch?moneyType=0&amp;gameName=Unicorn5HotStrikeDice&amp;platform=desktop&amp;languageCode=eng&amp;currency=EUR" xr:uid="{00000000-0004-0000-0B00-000032020000}"/>
    <hyperlink ref="BD326" r:id="rId564" display="https://gameserver-store-client-area.orbionlimited.com/Home/IntegrationGameLaunch/client-area?moneyType=0&amp;gameName=Unicorn5HotStrikeDice&amp;platform=desktop&amp;languageCode=eng&amp;currency=EUR" xr:uid="{00000000-0004-0000-0B00-000033020000}"/>
    <hyperlink ref="N327" r:id="rId565" display="https://docs.google.com/document/d/1yDUchn8GrW3WRFURTjL1B4zxCM5AfF-t/edit?usp=drive_link&amp;ouid=107596163405648766688&amp;rtpof=true&amp;sd=true" xr:uid="{00000000-0004-0000-0B00-000034020000}"/>
    <hyperlink ref="O327" r:id="rId566" display="https://docs.google.com/document/d/1LP-773KOGjSB_rZ6WHFgqj6HeerAZfgT/edit?usp=drive_link&amp;ouid=107596163405648766688&amp;rtpof=true&amp;sd=true" xr:uid="{00000000-0004-0000-0B00-000035020000}"/>
    <hyperlink ref="AN327" r:id="rId567" display="https://static.redstone.rs/games/hot-rush-both-ways/" xr:uid="{00000000-0004-0000-0B00-000036020000}"/>
    <hyperlink ref="BD327" r:id="rId568" display="https://static.redstone.rs/games/hot-rush-both-ways/" xr:uid="{00000000-0004-0000-0B00-000037020000}"/>
    <hyperlink ref="N328" r:id="rId569" display="https://docs.google.com/document/d/1V5vML2_cYkD_jgU9nNxokYIDq2owyKOV/edit?usp=drive_link&amp;ouid=107596163405648766688&amp;rtpof=true&amp;sd=true" xr:uid="{00000000-0004-0000-0B00-000038020000}"/>
    <hyperlink ref="O328" r:id="rId570" display="https://docs.google.com/document/d/1MmyOm1Zuhp3punU29AoQc9ItHlFyFed_/edit?usp=drive_link&amp;ouid=107596163405648766688&amp;rtpof=true&amp;sd=true" xr:uid="{00000000-0004-0000-0B00-000039020000}"/>
    <hyperlink ref="AN328" r:id="rId571" display="https://static.redstone.rs/games/book-of-scorpio/" xr:uid="{00000000-0004-0000-0B00-00003A020000}"/>
    <hyperlink ref="BD328" r:id="rId572" display="https://static.redstone.rs/games/book-of-scorpio/" xr:uid="{00000000-0004-0000-0B00-00003B020000}"/>
    <hyperlink ref="AN329" r:id="rId573" display="https://onlinegamespromo.fazi.rs/Home/IntegrationGameLaunch?moneyType=0&amp;gameName=UnicornBuffaloSevens&amp;platform=desktop&amp;languageCode=eng&amp;currency=EUR" xr:uid="{00000000-0004-0000-0B00-00003C020000}"/>
    <hyperlink ref="BD329" r:id="rId574" display="https://gameserver-store-client-area.orbionlimited.com/Home/IntegrationGameLaunch/client-area?moneyType=0&amp;gameName=UnicornBuffaloSevens&amp;platform=desktop&amp;languageCode=eng&amp;currency=EUR" xr:uid="{00000000-0004-0000-0B00-00003D020000}"/>
    <hyperlink ref="AN330" r:id="rId575" display="https://onlinegamespromo.fazi.rs/Home/IntegrationGameLaunch?moneyType=0&amp;gameName=UnicornMisterLuck&amp;platform=desktop&amp;languageCode=eng&amp;currency=EUR" xr:uid="{00000000-0004-0000-0B00-00003E020000}"/>
    <hyperlink ref="BD330" r:id="rId576" display="https://gameserver-store-client-area.orbionlimited.com/Home/IntegrationGameLaunch/client-area?moneyType=0&amp;gameName=UnicornMisterLuck&amp;platform=desktop&amp;languageCode=eng&amp;currency=EUR" xr:uid="{00000000-0004-0000-0B00-00003F020000}"/>
    <hyperlink ref="N331" r:id="rId577" display="https://drive.google.com/file/d/16yachCE10tU0GkEF5-A7M4MsArXU5EsH/view?usp=drive_link" xr:uid="{00000000-0004-0000-0B00-000040020000}"/>
    <hyperlink ref="O331" r:id="rId578" display="https://drive.google.com/file/d/1vSIAX07YqAaggMDQW2hqGetso4iIxqC2/view?usp=drive_link" xr:uid="{00000000-0004-0000-0B00-000041020000}"/>
    <hyperlink ref="AN331" r:id="rId579" display="https://onlinegamespromo.fazi.rs/Home/IntegrationGameLaunch?moneyType=0&amp;gameName=WildSunburst&amp;lobbyUrl=https://www.fazi-interactive.com/" xr:uid="{00000000-0004-0000-0B00-000042020000}"/>
    <hyperlink ref="BD331" r:id="rId580" display="https://gameserver-store-client-area.orbionlimited.com/Home/IntegrationGameLaunch/client-area?moneyType=0&amp;gameName=WildSunburst&amp;platform=desktop&amp;languageCode=eng&amp;currency=EUR" xr:uid="{00000000-0004-0000-0B00-000043020000}"/>
    <hyperlink ref="AN332" r:id="rId581" display="https://onlinegamespromo.fazi.rs/Home/IntegrationGameLaunch?moneyType=0&amp;gameName=ToxicHaze&amp;platform=desktop&amp;languageCode=eng&amp;currency=EUR" xr:uid="{00000000-0004-0000-0B00-000044020000}"/>
    <hyperlink ref="BD332" r:id="rId582" display="https://gameserver-store-client-area.orbionlimited.com/Home/IntegrationGameLaunch/client-area?moneyType=0&amp;gameName=ToxicHaze&amp;platform=desktop&amp;languageCode=eng&amp;currency=EUR" xr:uid="{00000000-0004-0000-0B00-000045020000}"/>
    <hyperlink ref="AN333" r:id="rId583" display="https://onlinegamespromo.fazi.rs/Home/IntegrationGameLaunch?moneyType=0&amp;gameName=UnicornFrootClassic&amp;platform=desktop&amp;languageCode=eng&amp;currency=EUR" xr:uid="{00000000-0004-0000-0B00-000046020000}"/>
    <hyperlink ref="BD333" r:id="rId584" display="https://gameserver-store-client-area.orbionlimited.com/Home/IntegrationGameLaunch/client-area?moneyType=0&amp;gameName=UnicornFrootClassic&amp;platform=desktop&amp;languageCode=eng&amp;currency=EUR" xr:uid="{00000000-0004-0000-0B00-000047020000}"/>
    <hyperlink ref="AN334" r:id="rId585" display="https://onlinegamespromo.fazi.rs/Home/IntegrationGameLaunch?moneyType=0&amp;gameName=UnicornDiceWildLines&amp;platform=desktop&amp;languageCode=eng&amp;currency=EUR" xr:uid="{00000000-0004-0000-0B00-000048020000}"/>
    <hyperlink ref="BD334" r:id="rId586" display="https://gameserver-store-client-area.orbionlimited.com/Home/IntegrationGameLaunch/client-area?moneyType=0&amp;gameName=UnicornDiceWildLines&amp;platform=desktop&amp;languageCode=eng&amp;currency=EUR" xr:uid="{00000000-0004-0000-0B00-000049020000}"/>
    <hyperlink ref="N335" r:id="rId587" display="https://docs.google.com/document/d/1zNXXdgwpk0wY_p-WflsEbpxMSjnrtoYH/edit?usp=drive_link&amp;ouid=107596163405648766688&amp;rtpof=true&amp;sd=true" xr:uid="{00000000-0004-0000-0B00-00004A020000}"/>
    <hyperlink ref="O335" r:id="rId588" display="https://docs.google.com/document/d/1l_7cKdNbv28fsvSV1onRbMphPBpdLsOZ/edit?usp=drive_link&amp;ouid=107596163405648766688&amp;rtpof=true&amp;sd=true" xr:uid="{00000000-0004-0000-0B00-00004B020000}"/>
    <hyperlink ref="AN335" r:id="rId589" display="https://static.redstone.rs/games/spin-up/" xr:uid="{00000000-0004-0000-0B00-00004C020000}"/>
    <hyperlink ref="BD335" r:id="rId590" display="https://static.redstone.rs/games/spin-up/" xr:uid="{00000000-0004-0000-0B00-00004D020000}"/>
    <hyperlink ref="AN336" r:id="rId591" display="https://onlinegamespromo.fazi.rs/Home/IntegrationGameLaunch?moneyType=0&amp;gameName=UnicornStickyHot&amp;platform=desktop&amp;languageCode=eng&amp;currency=EUR" xr:uid="{00000000-0004-0000-0B00-00004E020000}"/>
    <hyperlink ref="BD336" r:id="rId592" display="https://gameserver-store-client-area.orbionlimited.com/Home/IntegrationGameLaunch/client-area?moneyType=0&amp;gameName=UnicornStickyHot&amp;platform=desktop&amp;languageCode=eng&amp;currency=EUR" xr:uid="{00000000-0004-0000-0B00-00004F020000}"/>
    <hyperlink ref="AN337" r:id="rId593" display="https://onlinegamespromo.fazi.rs/Home/IntegrationGameLaunch?moneyType=0&amp;gameName=MEGAHOT10&amp;platform=desktop&amp;languageCode=eng&amp;currency=EUR" xr:uid="{00000000-0004-0000-0B00-000050020000}"/>
    <hyperlink ref="BD337" r:id="rId594" display="https://gameserver-store-client-area.orbionlimited.com/Home/IntegrationGameLaunch/client-area?moneyType=0&amp;gameName=MegaHot10&amp;platform=desktop&amp;languageCode=eng&amp;currency=EUR" xr:uid="{00000000-0004-0000-0B00-000051020000}"/>
    <hyperlink ref="N338" r:id="rId595" display="https://drive.google.com/file/d/1gp0lAf8_G5l6Gwzm1XC85yZzwG7h5yC4/view?usp=drive_link" xr:uid="{00000000-0004-0000-0B00-000052020000}"/>
    <hyperlink ref="O338" r:id="rId596" display="https://drive.google.com/file/d/1I1mdL7JQIpfe3awcmJxwX4wXF8Aj0Lgr/view?usp=drive_link" xr:uid="{00000000-0004-0000-0B00-000053020000}"/>
    <hyperlink ref="AN338" r:id="rId597" display="https://onlinegamespromo.fazi.rs/Home/IntegrationGameLaunch?moneyType=0&amp;gameName=WildHeat40&amp;lobbyUrl=https://www.fazi-interactive.com/" xr:uid="{00000000-0004-0000-0B00-000054020000}"/>
    <hyperlink ref="BD338" r:id="rId598" display="https://gameserver-store-client-area.orbionlimited.com/Home/IntegrationGameLaunch/client-area?moneyType=0&amp;gameName=WildHeat40&amp;platform=desktop&amp;languageCode=eng&amp;currency=EUR" xr:uid="{00000000-0004-0000-0B00-000055020000}"/>
    <hyperlink ref="AN339" r:id="rId599" display="https://onlinegamespromo.fazi.rs/Home/IntegrationGameLaunch?moneyType=0&amp;gameName=BlowFruits40&amp;platform=desktop&amp;languageCode=eng&amp;currency=EUR" xr:uid="{00000000-0004-0000-0B00-000056020000}"/>
    <hyperlink ref="BD339" r:id="rId600" display="https://gameserver-store-client-area.orbionlimited.com/Home/IntegrationGameLaunch/client-area?moneyType=0&amp;gameName=BlowFruits40&amp;platform=desktop&amp;languageCode=eng&amp;currency=EUR" xr:uid="{00000000-0004-0000-0B00-000057020000}"/>
    <hyperlink ref="N340" r:id="rId601" display="https://drive.google.com/file/d/14yOLKz6xQ-f2rXoAd31NAfoZfcclkWkd/view?usp=drive_link" xr:uid="{00000000-0004-0000-0B00-000058020000}"/>
    <hyperlink ref="O340" r:id="rId602" display="https://drive.google.com/file/d/1oV_sbQ1uPYps71br5FN121qUs1JHr-hc/view?usp=drive_link" xr:uid="{00000000-0004-0000-0B00-000059020000}"/>
    <hyperlink ref="AN340" r:id="rId603" display="https://onlinegamespromo.fazi.rs/Home/IntegrationGameLaunch?moneyType=0&amp;gameName=AgeOfRome&amp;platform=desktop&amp;languageCode=eng&amp;currency=EUR" xr:uid="{00000000-0004-0000-0B00-00005A020000}"/>
    <hyperlink ref="BD340" r:id="rId604" display="https://gameserver-store-client-area.orbionlimited.com/Home/IntegrationGameLaunch/client-area?moneyType=0&amp;gameName=AgeOfRome&amp;platform=desktop&amp;languageCode=eng&amp;currency=EUR" xr:uid="{00000000-0004-0000-0B00-00005B020000}"/>
    <hyperlink ref="N341" r:id="rId605" display="https://drive.google.com/file/d/1Bzk5T4MRXZAiUngZZUNnNYIqLHVoexC2/view?usp=drive_link" xr:uid="{00000000-0004-0000-0B00-00005C020000}"/>
    <hyperlink ref="O341" r:id="rId606" display="https://drive.google.com/file/d/1m2cQxpCNQfIiTNBZum4iZQ4bQKcgPfnP/view?usp=drive_link" xr:uid="{00000000-0004-0000-0B00-00005D020000}"/>
    <hyperlink ref="AN341" r:id="rId607" display="https://onlinegamespromo.fazi.rs/Home/IntegrationGameLaunch?moneyType=0&amp;gameName=FruityForce40&amp;platform=desktop&amp;languageCode=eng&amp;currency=EUR" xr:uid="{00000000-0004-0000-0B00-00005E020000}"/>
    <hyperlink ref="BD341" r:id="rId608" display="https://gameserver-store-client-area.orbionlimited.com/Home/IntegrationGameLaunch/client-area?moneyType=0&amp;gameName=FruityForce40&amp;platform=desktop&amp;languageCode=eng&amp;currency=EUR" xr:uid="{00000000-0004-0000-0B00-00005F020000}"/>
    <hyperlink ref="N342" r:id="rId609" display="https://drive.google.com/file/d/1cxG6mU16qcu_ClB03Mcybh8Phw3vHxjf/view?usp=drive_link" xr:uid="{00000000-0004-0000-0B00-000060020000}"/>
    <hyperlink ref="O342" r:id="rId610" display="https://drive.google.com/file/d/19S8lEmrFJHzmRlgOTArf8w7jWrtdVwFJ/view?usp=drive_link" xr:uid="{00000000-0004-0000-0B00-000061020000}"/>
    <hyperlink ref="AN342" r:id="rId611" display="https://onlinegamespromo.fazi.rs/Home/IntegrationGameLaunch?moneyType=0&amp;gameName=BonusCrown&amp;lobbyUrl=https://www.fazi-interactive.com/" xr:uid="{00000000-0004-0000-0B00-000062020000}"/>
    <hyperlink ref="BD342" r:id="rId612" display="https://gameserver-store-client-area.orbionlimited.com/Home/IntegrationGameLaunch/client-area?moneyType=0&amp;gameName=BonusCrown&amp;platform=desktop&amp;languageCode=eng&amp;currency=EUR" xr:uid="{00000000-0004-0000-0B00-000063020000}"/>
    <hyperlink ref="N343" r:id="rId613" display="https://drive.google.com/file/d/1QczkBEtF6aigPVs3NS4sPtWhw_oLqrwO/view?usp=drive_link" xr:uid="{00000000-0004-0000-0B00-000064020000}"/>
    <hyperlink ref="O343" r:id="rId614" display="https://drive.google.com/file/d/1Esuvc7EPZgNNggegkws6JPLTIltpZczW/view?usp=drive_link" xr:uid="{00000000-0004-0000-0B00-000065020000}"/>
    <hyperlink ref="AN343" r:id="rId615" display="https://onlinegamespromo.fazi.rs/Home/IntegrationGameLaunch?moneyType=0&amp;gameName=AquaFlame&amp;platform=desktop&amp;languageCode=eng&amp;currency=EUR" xr:uid="{00000000-0004-0000-0B00-000066020000}"/>
    <hyperlink ref="BD343" r:id="rId616" display="https://gameserver-store-client-area.orbionlimited.com/Home/IntegrationGameLaunch/client-area?moneyType=0&amp;gameName=AquaFlame&amp;platform=desktop&amp;languageCode=eng&amp;currency=EUR" xr:uid="{00000000-0004-0000-0B00-000067020000}"/>
    <hyperlink ref="N344" r:id="rId617" display="https://drive.google.com/file/d/1OF2eJheSz_4wQpBcWHtnC8Mk-6SqQj9O/view?usp=drive_link" xr:uid="{00000000-0004-0000-0B00-000068020000}"/>
    <hyperlink ref="O344" r:id="rId618" display="https://drive.google.com/file/d/1dmckAxO5UBCW7cPMCN2QYkQYI3YuBe-A/view?usp=drive_link" xr:uid="{00000000-0004-0000-0B00-000069020000}"/>
    <hyperlink ref="AN344" r:id="rId619" display="https://onlinegamespromo.fazi.rs/Home/IntegrationGameLaunch?moneyType=0&amp;gameName=CrownOfSecret&amp;lobbyUrl=https://www.fazi-interactive.com/" xr:uid="{00000000-0004-0000-0B00-00006A020000}"/>
    <hyperlink ref="BD344" r:id="rId620" display="https://gameserver-store-client-area.orbionlimited.com/Home/IntegrationGameLaunch/client-area?moneyType=0&amp;gameName=CrownOfSecret&amp;platform=desktop&amp;languageCode=eng&amp;currency=EUR" xr:uid="{00000000-0004-0000-0B00-00006B020000}"/>
    <hyperlink ref="AN345" r:id="rId621" display="https://onlinegamespromo.fazi.rs/Home/IntegrationGameLaunch?moneyType=0&amp;gameName=VeryHot40Extreme&amp;platform=desktop&amp;languageCode=eng&amp;currency=EUR" xr:uid="{00000000-0004-0000-0B00-00006C020000}"/>
    <hyperlink ref="BD345" r:id="rId622" display="https://gameserver-store-client-area.orbionlimited.com/Home/IntegrationGameLaunch/client-area?moneyType=0&amp;gameName=VeryHot40Extreme&amp;platform=desktop&amp;languageCode=eng&amp;currency=EUR" xr:uid="{00000000-0004-0000-0B00-00006D020000}"/>
    <hyperlink ref="N346" r:id="rId623" display="https://drive.google.com/file/d/1ONtonMDeJcghue58HcLhnu0yFju2iU8F/view?usp=sharing" xr:uid="{00000000-0004-0000-0B00-00006E020000}"/>
    <hyperlink ref="O346" r:id="rId624" display="https://drive.google.com/file/d/1DGkweW3DZ3diqU5wsDwo0vzr6CsSQCzO/view?usp=sharing" xr:uid="{00000000-0004-0000-0B00-00006F020000}"/>
    <hyperlink ref="AN346" r:id="rId625" display="https://onlinegamespromo.fazi.rs/Home/IntegrationGameLaunch?moneyType=0&amp;gameName=SpecialFruits&amp;platform=desktop&amp;languageCode=eng&amp;currency=EUR" xr:uid="{00000000-0004-0000-0B00-000070020000}"/>
    <hyperlink ref="BD346" r:id="rId626" display="https://gameserver-store-client-area.orbionlimited.com/Home/IntegrationGameLaunch/client-area?moneyType=0&amp;gameName=SpecialFruits&amp;platform=desktop&amp;languageCode=eng&amp;currency=EUR" xr:uid="{00000000-0004-0000-0B00-000071020000}"/>
    <hyperlink ref="AN347" r:id="rId627" display="https://onlinegamespromo.fazi.rs/Home/IntegrationGameLaunch?moneyType=0&amp;gameName=TurboStars10&amp;platform=desktop&amp;languageCode=eng&amp;currency=EUR" xr:uid="{00000000-0004-0000-0B00-000072020000}"/>
    <hyperlink ref="BD347" r:id="rId628" display="https://gameserver-store-client-area.orbionlimited.com/Home/IntegrationGameLaunch/client-area?moneyType=0&amp;gameName=TurboStars10&amp;platform=desktop&amp;languageCode=eng&amp;currency=EUR" xr:uid="{00000000-0004-0000-0B00-000073020000}"/>
    <hyperlink ref="AN348" r:id="rId629" display="https://onlinegamespromo.fazi.rs/Home/IntegrationGameLaunch?moneyType=0&amp;gameName=TurboStars40&amp;platform=desktop&amp;languageCode=eng&amp;currency=EUR" xr:uid="{00000000-0004-0000-0B00-000074020000}"/>
    <hyperlink ref="BD348" r:id="rId630" display="https://gameserver-store-client-area.orbionlimited.com/Home/IntegrationGameLaunch/client-area?moneyType=0&amp;gameName=TurboStars40&amp;platform=desktop&amp;languageCode=eng&amp;currency=EUR" xr:uid="{00000000-0004-0000-0B00-000075020000}"/>
    <hyperlink ref="AN349" r:id="rId631" display="https://onlinegamespromo.fazi.rs/Home/IntegrationGameLaunch?moneyType=0&amp;gameName=TurboStars20&amp;platform=desktop&amp;languageCode=eng&amp;currency=EUR" xr:uid="{00000000-0004-0000-0B00-000076020000}"/>
    <hyperlink ref="BD349" r:id="rId632" display="https://gameserver-store-client-area.orbionlimited.com/Home/IntegrationGameLaunch/client-area?moneyType=0&amp;gameName=TurboStars20&amp;platform=desktop&amp;languageCode=eng&amp;currency=EUR" xr:uid="{00000000-0004-0000-0B00-000077020000}"/>
    <hyperlink ref="AN357" r:id="rId633" display="https://onlinegamespromo.fazi.rs/Home/IntegrationGameLaunch?moneyType=0&amp;gameName=EpicDice100&amp;platform=desktop&amp;languageCode=eng&amp;currency=EUR" xr:uid="{00000000-0004-0000-0B00-000078020000}"/>
    <hyperlink ref="BD357" r:id="rId634" display="https://gameserver-store-client-area.orbionlimited.com/Home/IntegrationGameLaunch/client-area?moneyType=0&amp;gameName=EpicDice100&amp;platform=desktop&amp;languageCode=eng&amp;currency=EUR" xr:uid="{00000000-0004-0000-0B00-000079020000}"/>
    <hyperlink ref="AN358" r:id="rId635" display="https://onlinegamespromo.fazi.rs/Home/IntegrationGameLaunch?moneyType=0&amp;gameName=MegaHot20&amp;platform=desktop&amp;languageCode=eng&amp;currency=EUR" xr:uid="{00000000-0004-0000-0B00-00007A020000}"/>
    <hyperlink ref="BD358" r:id="rId636" display="https://gameserver-store-client-area.orbionlimited.com/Home/IntegrationGameLaunch/client-area?moneyType=0&amp;gameName=MegaHot20&amp;platform=desktop&amp;languageCode=eng&amp;currency=EUR" xr:uid="{00000000-0004-0000-0B00-00007B020000}"/>
    <hyperlink ref="AN359" r:id="rId637" display="https://onlinegamespromo.fazi.rs/Home/IntegrationGameLaunch?moneyType=0&amp;gameName=CloversAndStars&amp;platform=desktop&amp;languageCode=eng&amp;currency=EUR" xr:uid="{00000000-0004-0000-0B00-00007C020000}"/>
    <hyperlink ref="BD359" r:id="rId638" display="https://gameserver-store-client-area.orbionlimited.com/Home/IntegrationGameLaunch/client-area?moneyType=0&amp;gameName=CloversAndStars&amp;platform=desktop&amp;languageCode=eng&amp;currency=EUR" xr:uid="{00000000-0004-0000-0B00-00007D020000}"/>
    <hyperlink ref="AN360" r:id="rId639" display="https://onlinegamespromo.fazi.rs/Home/IntegrationGameLaunch?moneyType=0&amp;gameName=FortuneParrot&amp;platform=desktop&amp;languageCode=eng&amp;currency=EUR" xr:uid="{00000000-0004-0000-0B00-00007E020000}"/>
    <hyperlink ref="BD360" r:id="rId640" display="https://gameserver-store-client-area.orbionlimited.com/Home/IntegrationGameLaunch/client-area?moneyType=0&amp;gameName=FortuneParrot&amp;platform=desktop&amp;languageCode=eng&amp;currency=EUR" xr:uid="{00000000-0004-0000-0B00-00007F020000}"/>
    <hyperlink ref="N361" r:id="rId641" display="https://drive.google.com/file/d/1ivbG8UXxIAnTfkAgUJByvwfzugx0b1Hb/view?usp=drive_link" xr:uid="{00000000-0004-0000-0B00-000080020000}"/>
    <hyperlink ref="O361" r:id="rId642" display="https://drive.google.com/file/d/1mpJlWtYm8PvapZgmNiyB45GyxGZIbeVT/view?usp=drive_link" xr:uid="{00000000-0004-0000-0B00-000081020000}"/>
    <hyperlink ref="AN361" r:id="rId643" display="https://onlinegamespromo.fazi.rs/Home/IntegrationGameLaunch?moneyType=0&amp;gameName=GoldenCrownMax&amp;platform=desktop&amp;languageCode=eng&amp;currency=EUR" xr:uid="{00000000-0004-0000-0B00-000082020000}"/>
    <hyperlink ref="BD361" r:id="rId644" display="https://gameserver-store-client-area.orbionlimited.com/Home/IntegrationGameLaunch/client-area?moneyType=0&amp;gameName=GoldenCrownMax&amp;platform=desktop&amp;languageCode=eng&amp;currency=EUR" xr:uid="{00000000-0004-0000-0B00-000083020000}"/>
    <hyperlink ref="AN362" r:id="rId645" display="https://onlinegamespromo.fazi.rs/Home/IntegrationGameLaunch?moneyType=0&amp;gameName=UnicornBuffaloDice&amp;platform=desktop&amp;languageCode=eng&amp;currency=EUR" xr:uid="{00000000-0004-0000-0B00-000084020000}"/>
    <hyperlink ref="BD362" r:id="rId646" display="https://gameserver-store-client-area.orbionlimited.com/Home/IntegrationGameLaunch/client-area?moneyType=0&amp;gameName=UnicornBuffaloDice&amp;platform=desktop&amp;languageCode=eng&amp;currency=EUR" xr:uid="{00000000-0004-0000-0B00-000085020000}"/>
    <hyperlink ref="N363" r:id="rId647" display="https://docs.google.com/document/d/1CSew7JVTaSjsayubl0fP_ZN45adE4_6i/edit?usp=drive_link&amp;ouid=107596163405648766688&amp;rtpof=true&amp;sd=true" xr:uid="{00000000-0004-0000-0B00-000086020000}"/>
    <hyperlink ref="O363" r:id="rId648" display="https://docs.google.com/document/d/1nQVyH1x0d989Rumpnub0fo7iBBNmuumm/edit?usp=drive_link&amp;ouid=107596163405648766688&amp;rtpof=true&amp;sd=true" xr:uid="{00000000-0004-0000-0B00-000087020000}"/>
    <hyperlink ref="AN363" r:id="rId649" display="https://static.redstone.rs/games/81-vegas-crown/" xr:uid="{00000000-0004-0000-0B00-000088020000}"/>
    <hyperlink ref="BD363" r:id="rId650" display="https://static.redstone.rs/games/81-vegas-crown/" xr:uid="{00000000-0004-0000-0B00-000089020000}"/>
    <hyperlink ref="AN364" r:id="rId651" display="https://onlinegamespromo.fazi.rs/Home/IntegrationGameLaunch?moneyType=0&amp;gameName=UnicornLavaDice&amp;platform=desktop&amp;languageCode=eng&amp;currency=EUR" xr:uid="{00000000-0004-0000-0B00-00008A020000}"/>
    <hyperlink ref="BD364" r:id="rId652" display="https://gameserver-store-client-area.orbionlimited.com/Home/IntegrationGameLaunch/client-area?moneyType=0&amp;gameName=UnicornLavaDice&amp;platform=desktop&amp;languageCode=eng&amp;currency=EUR" xr:uid="{00000000-0004-0000-0B00-00008B020000}"/>
    <hyperlink ref="N365" r:id="rId653" display="https://docs.google.com/document/d/1U8Oko8zxhZUB-T_GMeF5oSqREzEyeBXj/edit?usp=drive_link&amp;ouid=107596163405648766688&amp;rtpof=true&amp;sd=true" xr:uid="{00000000-0004-0000-0B00-00008C020000}"/>
    <hyperlink ref="O365" r:id="rId654" display="https://docs.google.com/document/d/1oou0d1yvLwRN0xVZsxval7CIO-R8ZPqx/edit?usp=drive_link&amp;ouid=107596163405648766688&amp;rtpof=true&amp;sd=true" xr:uid="{00000000-0004-0000-0B00-00008D020000}"/>
    <hyperlink ref="AN365" r:id="rId655" display="https://static.redstone.rs/games/apollo-27-classic/" xr:uid="{00000000-0004-0000-0B00-00008E020000}"/>
    <hyperlink ref="BD365" r:id="rId656" display="https://static.redstone.rs/games/apollo-27-classic/" xr:uid="{00000000-0004-0000-0B00-00008F020000}"/>
    <hyperlink ref="AN366" r:id="rId657" display="https://onlinegamespromo.fazi.rs/Home/IntegrationGameLaunch?moneyType=0&amp;gameName=FortuneClover5&amp;platform=desktop&amp;languageCode=eng&amp;currency=EUR" xr:uid="{00000000-0004-0000-0B00-000090020000}"/>
    <hyperlink ref="BD366" r:id="rId658" display="https://gameserver-store-client-area.orbionlimited.com/Home/IntegrationGameLaunch/client-area?moneyType=0&amp;gameName=FortuneClover5&amp;platform=desktop&amp;languageCode=eng&amp;currency=EUR" xr:uid="{00000000-0004-0000-0B00-000091020000}"/>
    <hyperlink ref="AN367" r:id="rId659" display="https://onlinegamespromo.fazi.rs/Home/IntegrationGameLaunch?moneyType=0&amp;gameName=MajesticCrown10&amp;platform=desktop&amp;languageCode=eng&amp;currency=EUR" xr:uid="{00000000-0004-0000-0B00-000092020000}"/>
    <hyperlink ref="BD367" r:id="rId660" display="https://gameserver-store-client-area.orbionlimited.com/Home/IntegrationGameLaunch/client-area?moneyType=0&amp;gameName=MajesticCrown10&amp;platform=desktop&amp;languageCode=eng&amp;currency=EUR" xr:uid="{00000000-0004-0000-0B00-000093020000}"/>
    <hyperlink ref="N368" r:id="rId661" display="https://docs.google.com/document/d/1GjMjFhDDra5S98Eu8oW327f3zalMBGyI/edit?usp=drive_link&amp;ouid=107596163405648766688&amp;rtpof=true&amp;sd=true" xr:uid="{00000000-0004-0000-0B00-000094020000}"/>
    <hyperlink ref="O368" r:id="rId662" display="https://docs.google.com/document/d/1mXBnKRVcNAjM-HC47zcxr6236JVcRFYE/edit?usp=drive_link&amp;ouid=107596163405648766688&amp;rtpof=true&amp;sd=true" xr:uid="{00000000-0004-0000-0B00-000095020000}"/>
    <hyperlink ref="AN368" r:id="rId663" display="https://static.redstone.rs/games/double-clover-fire/" xr:uid="{00000000-0004-0000-0B00-000096020000}"/>
    <hyperlink ref="BD368" r:id="rId664" display="https://static.redstone.rs/games/double-clover-fire/" xr:uid="{00000000-0004-0000-0B00-000097020000}"/>
    <hyperlink ref="AN369" r:id="rId665" display="https://onlinegamespromo.fazi.rs/Home/IntegrationGameLaunch?moneyType=0&amp;gameName=PlayNetFortuneClover40&amp;platform=desktop&amp;languageCode=eng&amp;currency=EUR" xr:uid="{00000000-0004-0000-0B00-000098020000}"/>
    <hyperlink ref="BD369" r:id="rId666" display="https://gameserver-store-client-area.orbionlimited.com/Home/IntegrationGameLaunch/client-area?moneyType=0&amp;gameName=PlayNetFortuneClover40&amp;platform=desktop&amp;languageCode=eng&amp;currency=EUR" xr:uid="{00000000-0004-0000-0B00-000099020000}"/>
    <hyperlink ref="AN370" r:id="rId667" display="https://onlinegamespromo.fazi.rs/Home/IntegrationGameLaunch?moneyType=0&amp;gameName=PlayNetDiamondHeart5&amp;platform=desktop&amp;languageCode=eng&amp;currency=EUR" xr:uid="{00000000-0004-0000-0B00-00009A020000}"/>
    <hyperlink ref="BD370" r:id="rId668" display="https://gameserver-store-client-area.orbionlimited.com/Home/IntegrationGameLaunch/client-area?moneyType=0&amp;gameName=PlayNetDiamondHeart5&amp;platform=desktop&amp;languageCode=eng&amp;currency=EUR" xr:uid="{00000000-0004-0000-0B00-00009B020000}"/>
    <hyperlink ref="N371" r:id="rId669" display="https://docs.google.com/document/d/1W3Ba_cSXNdHIMN1RMBvGdFZYpyMiDgSn/edit?usp=drive_link&amp;ouid=107596163405648766688&amp;rtpof=true&amp;sd=true" xr:uid="{00000000-0004-0000-0B00-00009C020000}"/>
    <hyperlink ref="O371" r:id="rId670" display="https://docs.google.com/document/d/1BAKVXe_X6jiqGNaK1MEqCP2ls_MEsc5Y/edit?usp=drive_link&amp;ouid=107596163405648766688&amp;rtpof=true&amp;sd=true" xr:uid="{00000000-0004-0000-0B00-00009D020000}"/>
    <hyperlink ref="AN371" r:id="rId671" display="https://static.redstone.rs/games/100-clover-fire/" xr:uid="{00000000-0004-0000-0B00-00009E020000}"/>
    <hyperlink ref="BD371" r:id="rId672" display="https://static.redstone.rs/games/100-clover-fire/" xr:uid="{00000000-0004-0000-0B00-00009F020000}"/>
    <hyperlink ref="N372" r:id="rId673" display="https://docs.google.com/document/d/1622RXsaCRk6kddwwmUtbQISmOIoVvd5e/edit?usp=drive_link&amp;ouid=107596163405648766688&amp;rtpof=true&amp;sd=true" xr:uid="{00000000-0004-0000-0B00-0000A0020000}"/>
    <hyperlink ref="O372" r:id="rId674" display="https://docs.google.com/document/d/1qsiqXRneZgmrDYvIQRnYXZ8s2fzskp4C/edit?usp=drive_link&amp;ouid=107596163405648766688&amp;rtpof=true&amp;sd=true" xr:uid="{00000000-0004-0000-0B00-0000A1020000}"/>
    <hyperlink ref="AN372" r:id="rId675" display="https://static.redstone.rs/games/volcano-crown/" xr:uid="{00000000-0004-0000-0B00-0000A2020000}"/>
    <hyperlink ref="BD372" r:id="rId676" display="https://static.redstone.rs/games/volcano-crown/" xr:uid="{00000000-0004-0000-0B00-0000A3020000}"/>
    <hyperlink ref="AN373" r:id="rId677" display="https://onlinegamespromo.fazi.rs/Home/IntegrationGameLaunch?moneyType=0&amp;gameName=UnicornGoldLineDice&amp;platform=desktop&amp;languageCode=eng&amp;currency=EUR" xr:uid="{00000000-0004-0000-0B00-0000A4020000}"/>
    <hyperlink ref="BD373" r:id="rId678" display="https://gameserver-store-client-area.orbionlimited.com/Home/IntegrationGameLaunch/client-area?moneyType=0&amp;gameName=UnicornGoldLineDice&amp;platform=desktop&amp;languageCode=eng&amp;currency=EUR" xr:uid="{00000000-0004-0000-0B00-0000A5020000}"/>
    <hyperlink ref="AN374" r:id="rId679" display="https://onlinegamespromo.fazi.rs/Home/IntegrationGameLaunch?moneyType=0&amp;gameName=UnicornLavaDiamondsChristmas&amp;platform=desktop&amp;languageCode=eng&amp;currency=EUR" xr:uid="{00000000-0004-0000-0B00-0000A6020000}"/>
    <hyperlink ref="BD374" r:id="rId680" display="https://gameserver-store-client-area.orbionlimited.com/Home/IntegrationGameLaunch/client-area?moneyType=0&amp;gameName=UnicornLavaDiamondsChristmas&amp;platform=desktop&amp;languageCode=eng&amp;currency=EUR" xr:uid="{00000000-0004-0000-0B00-0000A7020000}"/>
    <hyperlink ref="AN375" r:id="rId681" display="https://onlinegamespromo.fazi.rs/Home/IntegrationGameLaunch?moneyType=0&amp;gameName=UnicornPumpkinHorror&amp;platform=desktop&amp;languageCode=eng&amp;currency=EUR" xr:uid="{00000000-0004-0000-0B00-0000A8020000}"/>
    <hyperlink ref="BD375" r:id="rId682" display="https://gameserver-store-client-area.orbionlimited.com/Home/IntegrationGameLaunch/client-area?moneyType=0&amp;gameName=UnicornPumpkinHorror&amp;platform=desktop&amp;languageCode=eng&amp;currency=EUR" xr:uid="{00000000-0004-0000-0B00-0000A9020000}"/>
    <hyperlink ref="AN376" r:id="rId683" display="https://onlinegamespromo.fazi.rs/Home/IntegrationGameLaunch?moneyType=0&amp;gameName=PlayNetMajesticCrown20&amp;platform=desktop&amp;languageCode=eng&amp;currency=EUR" xr:uid="{00000000-0004-0000-0B00-0000AA020000}"/>
    <hyperlink ref="BD376" r:id="rId684" display="https://gameserver-store-client-area.orbionlimited.com/Home/IntegrationGameLaunch/client-area?moneyType=0&amp;gameName=PlayNetMajesticCrown20&amp;platform=desktop&amp;languageCode=eng&amp;currency=EUR" xr:uid="{00000000-0004-0000-0B00-0000AB020000}"/>
    <hyperlink ref="AN377" r:id="rId685" display="https://onlinegamespromo.fazi.rs/Home/IntegrationGameLaunch?moneyType=0&amp;gameName=PlayNetDiamondHeart40&amp;platform=desktop&amp;languageCode=eng&amp;currency=EUR" xr:uid="{00000000-0004-0000-0B00-0000AC020000}"/>
    <hyperlink ref="BD377" r:id="rId686" display="https://gameserver-store-client-area.orbionlimited.com/Home/IntegrationGameLaunch/client-area?moneyType=0&amp;gameName=PlayNetDiamondHeart40&amp;platform=desktop&amp;languageCode=eng&amp;currency=EUR" xr:uid="{00000000-0004-0000-0B00-0000AD020000}"/>
    <hyperlink ref="AN378" r:id="rId687" display="https://onlinegamespromo.fazi.rs/Home/IntegrationGameLaunch?moneyType=0&amp;gameName=UnicornHitLine&amp;platform=desktop&amp;languageCode=eng&amp;currency=EUR" xr:uid="{00000000-0004-0000-0B00-0000AE020000}"/>
    <hyperlink ref="BD378" r:id="rId688" display="https://gameserver-store-client-area.orbionlimited.com/Home/IntegrationGameLaunch/client-area?moneyType=0&amp;gameName=UnicornHitLine&amp;platform=desktop&amp;languageCode=eng&amp;currency=EUR" xr:uid="{00000000-0004-0000-0B00-0000AF020000}"/>
    <hyperlink ref="N379" r:id="rId689" display="https://drive.google.com/file/d/16Oz2qdJrgfgOytfKWbOZ9JQQQuXI4TGK/view?usp=drive_link" xr:uid="{00000000-0004-0000-0B00-0000B0020000}"/>
    <hyperlink ref="O379" r:id="rId690" display="https://drive.google.com/file/d/12CNoGZjqaGvqwtItrZMz6E9UyZ8XsoJZ/view?usp=drive_link" xr:uid="{00000000-0004-0000-0B00-0000B1020000}"/>
    <hyperlink ref="AN379" r:id="rId691" display="https://static.redstone.rs/games/spooky-spins/" xr:uid="{00000000-0004-0000-0B00-0000B2020000}"/>
    <hyperlink ref="BD379" r:id="rId692" display="https://static.redstone.rs/games/spooky-spins/" xr:uid="{00000000-0004-0000-0B00-0000B3020000}"/>
    <hyperlink ref="AN380" r:id="rId693" display="https://onlinegamespromo.fazi.rs/Home/IntegrationGameLaunch?moneyType=0&amp;gameName=Unicorn20SuperFlames&amp;platform=desktop&amp;languageCode=eng&amp;currency=EUR" xr:uid="{00000000-0004-0000-0B00-0000B4020000}"/>
    <hyperlink ref="BD380" r:id="rId694" display="https://gameserver-store-client-area.orbionlimited.com/Home/IntegrationGameLaunch/client-area?moneyType=0&amp;gameName=Unicorn20SuperFlames&amp;platform=desktop&amp;languageCode=eng&amp;currency=EUR" xr:uid="{00000000-0004-0000-0B00-0000B5020000}"/>
    <hyperlink ref="AN381" r:id="rId695" display="https://onlinegamespromo.fazi.rs/Home/IntegrationGameLaunch?moneyType=0&amp;gameName=PlayNet27WildStacks&amp;platform=desktop&amp;languageCode=eng&amp;currency=EUR" xr:uid="{00000000-0004-0000-0B00-0000B6020000}"/>
    <hyperlink ref="BD381" r:id="rId696" display="https://gameserver-store-client-area.orbionlimited.com/Home/IntegrationGameLaunch/client-area?moneyType=0&amp;gameName=PlayNet27WildStacks&amp;platform=desktop&amp;languageCode=eng&amp;currency=EUR" xr:uid="{00000000-0004-0000-0B00-0000B7020000}"/>
    <hyperlink ref="AN382" r:id="rId697" display="https://onlinegamespromo.fazi.rs/Home/IntegrationGameLaunch?moneyType=0&amp;gameName=PlayNetDashingHot5&amp;platform=desktop&amp;languageCode=eng&amp;currency=EUR" xr:uid="{00000000-0004-0000-0B00-0000B8020000}"/>
    <hyperlink ref="BD382" r:id="rId698" display="https://gameserver-store-client-area.orbionlimited.com/Home/IntegrationGameLaunch/client-area?moneyType=0&amp;gameName=PlayNetDashingHot5&amp;platform=desktop&amp;languageCode=eng&amp;currency=EUR" xr:uid="{00000000-0004-0000-0B00-0000B9020000}"/>
    <hyperlink ref="AN383" r:id="rId699" display="https://onlinegamespromo.fazi.rs/Home/IntegrationGameLaunch?moneyType=0&amp;gameName=Unicorn20HotStrikeJackpot&amp;platform=desktop&amp;languageCode=eng&amp;currency=EUR" xr:uid="{00000000-0004-0000-0B00-0000BA020000}"/>
    <hyperlink ref="BD383" r:id="rId700" display="https://gameserver-store-client-area.orbionlimited.com/Home/IntegrationGameLaunch/client-area?moneyType=0&amp;gameName=Unicorn20HotStrikeJackpot&amp;platform=desktop&amp;languageCode=eng&amp;currency=EUR" xr:uid="{00000000-0004-0000-0B00-0000BB020000}"/>
    <hyperlink ref="N384" r:id="rId701" display="https://drive.google.com/file/d/1CnPNsoW7A8gDqsGH0QmYIC5F1rDUvStJ/view?usp=drive_link" xr:uid="{00000000-0004-0000-0B00-0000BC020000}"/>
    <hyperlink ref="O384" r:id="rId702" display="https://drive.google.com/file/d/10GFfdufP0A_6r3dlwLlKQ77wnmqVJaDU/view?usp=drive_link" xr:uid="{00000000-0004-0000-0B00-0000BD020000}"/>
    <hyperlink ref="AN384" r:id="rId703" display="https://static.redstone.rs/games/5-wild-fire/" xr:uid="{00000000-0004-0000-0B00-0000BE020000}"/>
    <hyperlink ref="BD384" r:id="rId704" display="https://static.redstone.rs/games/5-wild-fire/" xr:uid="{00000000-0004-0000-0B00-0000BF020000}"/>
    <hyperlink ref="AN385" r:id="rId705" display="https://onlinegamespromo.fazi.rs/Home/IntegrationGameLaunch?moneyType=0&amp;gameName=PlayNetWildForties&amp;platform=desktop&amp;languageCode=eng&amp;currency=EUR" xr:uid="{00000000-0004-0000-0B00-0000C0020000}"/>
    <hyperlink ref="BD385" r:id="rId706" display="https://gameserver-store-client-area.orbionlimited.com/Home/IntegrationGameLaunch/client-area?moneyType=0&amp;gameName=PlayNetWildForties&amp;platform=desktop&amp;languageCode=eng&amp;currency=EUR" xr:uid="{00000000-0004-0000-0B00-0000C1020000}"/>
    <hyperlink ref="AN386" r:id="rId707" display="https://onlinegamespromo.fazi.rs/Home/IntegrationGameLaunch?moneyType=0&amp;gameName=UnicornHitLineDice&amp;platform=desktop&amp;languageCode=eng&amp;currency=EUR" xr:uid="{00000000-0004-0000-0B00-0000C2020000}"/>
    <hyperlink ref="BD386" r:id="rId708" display="https://gameserver-store-client-area.orbionlimited.com/Home/IntegrationGameLaunch/client-area?moneyType=0&amp;gameName=UnicornHitLineDice&amp;platform=desktop&amp;languageCode=eng&amp;currency=EUR" xr:uid="{00000000-0004-0000-0B00-0000C3020000}"/>
    <hyperlink ref="AN387" r:id="rId709" display="https://onlinegamespromo.fazi.rs/Home/IntegrationGameLaunch?moneyType=0&amp;gameName=PlayNetBookOfAmun&amp;platform=desktop&amp;languageCode=eng&amp;currency=EUR" xr:uid="{00000000-0004-0000-0B00-0000C4020000}"/>
    <hyperlink ref="BD387" r:id="rId710" display="https://gameserver-store-client-area.orbionlimited.com/Home/IntegrationGameLaunch/client-area?moneyType=0&amp;gameName=PlayNetBookOfAmun&amp;platform=desktop&amp;languageCode=eng&amp;currency=EUR" xr:uid="{00000000-0004-0000-0B00-0000C5020000}"/>
    <hyperlink ref="N388" r:id="rId711" display="https://docs.google.com/document/d/1CSew7JVTaSjsayubl0fP_ZN45adE4_6i/edit?usp=drive_link&amp;ouid=107596163405648766688&amp;rtpof=true&amp;sd=true" xr:uid="{00000000-0004-0000-0B00-0000C6020000}"/>
    <hyperlink ref="O388" r:id="rId712" display="https://docs.google.com/document/d/1nQVyH1x0d989Rumpnub0fo7iBBNmuumm/edit?usp=drive_link&amp;ouid=107596163405648766688&amp;rtpof=true&amp;sd=true" xr:uid="{00000000-0004-0000-0B00-0000C7020000}"/>
    <hyperlink ref="AN388" r:id="rId713" display="https://static.redstone.rs/games/81-double-magic/" xr:uid="{00000000-0004-0000-0B00-0000C8020000}"/>
    <hyperlink ref="BD388" r:id="rId714" display="https://static.redstone.rs/games/81-double-magic/" xr:uid="{00000000-0004-0000-0B00-0000C9020000}"/>
    <hyperlink ref="AN389" r:id="rId715" display="https://onlinegamespromo.fazi.rs/Home/IntegrationGameLaunch?moneyType=0&amp;gameName=UnicornDynamiteRun&amp;platform=desktop&amp;languageCode=eng&amp;currency=EUR" xr:uid="{00000000-0004-0000-0B00-0000CA020000}"/>
    <hyperlink ref="BD389" r:id="rId716" display="https://gameserver-store-client-area.orbionlimited.com/Home/IntegrationGameLaunch/client-area?moneyType=0&amp;gameName=UnicornDynamiteRun&amp;platform=desktop&amp;languageCode=eng&amp;currency=EUR" xr:uid="{00000000-0004-0000-0B00-0000CB020000}"/>
    <hyperlink ref="N390" r:id="rId717" display="https://drive.google.com/file/d/19k5oZnvVV_HIMJQy22Kac8uBOSmgadyn/view?usp=drive_link" xr:uid="{00000000-0004-0000-0B00-0000CC020000}"/>
    <hyperlink ref="O390" r:id="rId718" display="https://drive.google.com/file/d/1-I-7paFu6ZRTeGNBBK3AzEis6T2kyLPY/view?usp=drive_link" xr:uid="{00000000-0004-0000-0B00-0000CD020000}"/>
    <hyperlink ref="AN390" r:id="rId719" display="https://static.redstone.rs/games/only-anime/" xr:uid="{00000000-0004-0000-0B00-0000CE020000}"/>
    <hyperlink ref="BD390" r:id="rId720" display="https://static.redstone.rs/games/only-anime/" xr:uid="{00000000-0004-0000-0B00-0000CF020000}"/>
    <hyperlink ref="N391" r:id="rId721" display="https://drive.google.com/file/d/1WvgU430EFQf7ooLSL3f6fKZDBoTMbRkG/view?usp=drive_link" xr:uid="{00000000-0004-0000-0B00-0000D0020000}"/>
    <hyperlink ref="O391" r:id="rId722" display="https://drive.google.com/file/d/1rEbycdA6TxvvOeCgks6cSjRZsmDRxjog/view?usp=drive_link" xr:uid="{00000000-0004-0000-0B00-0000D1020000}"/>
    <hyperlink ref="AN391" r:id="rId723" display="https://static.redstone.rs/games/27-double-fruits/" xr:uid="{00000000-0004-0000-0B00-0000D2020000}"/>
    <hyperlink ref="BD391" r:id="rId724" display="https://static.redstone.rs/games/27-double-fruits/" xr:uid="{00000000-0004-0000-0B00-0000D3020000}"/>
    <hyperlink ref="AN392" r:id="rId725" display="https://onlinegamespromo.fazi.rs/Home/IntegrationGameLaunch?moneyType=0&amp;gameName=PlayNet27WildStacksXmas&amp;platform=desktop&amp;languageCode=eng&amp;currency=EUR" xr:uid="{00000000-0004-0000-0B00-0000D4020000}"/>
    <hyperlink ref="BD392" r:id="rId726" display="https://gameserver-store-client-area.orbionlimited.com/Home/IntegrationGameLaunch/client-area?moneyType=0&amp;gameName=PlayNet27WildStacksXmas&amp;platform=desktop&amp;languageCode=eng&amp;currency=EUR" xr:uid="{00000000-0004-0000-0B00-0000D5020000}"/>
    <hyperlink ref="AN393" r:id="rId727" display="https://onlinegamespromo.fazi.rs/Home/IntegrationGameLaunch?moneyType=0&amp;gameName=PlayNetMajesticCrown20Xmas&amp;platform=desktop&amp;languageCode=eng&amp;currency=EUR" xr:uid="{00000000-0004-0000-0B00-0000D6020000}"/>
    <hyperlink ref="BD393" r:id="rId728" display="https://gameserver-store-client-area.orbionlimited.com/Home/IntegrationGameLaunch/client-area?moneyType=0&amp;gameName=PlayNetMajesticCrown20Xmas&amp;platform=desktop&amp;languageCode=eng&amp;currency=EUR" xr:uid="{00000000-0004-0000-0B00-0000D7020000}"/>
    <hyperlink ref="AN394" r:id="rId729" display="https://onlinegamespromo.fazi.rs/Home/IntegrationGameLaunch?moneyType=0&amp;gameName=PlayNetWildFortiesXmas&amp;platform=desktop&amp;languageCode=eng&amp;currency=EUR" xr:uid="{00000000-0004-0000-0B00-0000D8020000}"/>
    <hyperlink ref="BD394" r:id="rId730" display="https://gameserver-store-client-area.orbionlimited.com/Home/IntegrationGameLaunch/client-area?moneyType=0&amp;gameName=PlayNetWildFortiesXmas&amp;platform=desktop&amp;languageCode=eng&amp;currency=EUR" xr:uid="{00000000-0004-0000-0B00-0000D9020000}"/>
    <hyperlink ref="N395" r:id="rId731" display="https://docs.google.com/document/d/1Qo2KjaT3kEptoNDLQOy3QuX7PJwEt22J/edit?usp=drive_link&amp;ouid=107596163405648766688&amp;rtpof=true&amp;sd=true" xr:uid="{00000000-0004-0000-0B00-0000DA020000}"/>
    <hyperlink ref="O395" r:id="rId732" display="https://docs.google.com/document/d/1213J-9PEpD_CkhkZdtihAaAaWjKDzVPT/edit?usp=drive_link&amp;ouid=107596163405648766688&amp;rtpof=true&amp;sd=true" xr:uid="{00000000-0004-0000-0B00-0000DB020000}"/>
    <hyperlink ref="AN395" r:id="rId733" display="https://static.redstone.rs/games/juicy-heat-20/" xr:uid="{00000000-0004-0000-0B00-0000DC020000}"/>
    <hyperlink ref="BD395" r:id="rId734" display="https://static.redstone.rs/games/juicy-heat-20/" xr:uid="{00000000-0004-0000-0B00-0000DD020000}"/>
    <hyperlink ref="N396" r:id="rId735" display="https://drive.google.com/file/d/1JLmg9yqgKR9pWUI2pPankCp5JO38HPMl/view?usp=drive_link" xr:uid="{00000000-0004-0000-0B00-0000DE020000}"/>
    <hyperlink ref="O396" r:id="rId736" display="https://drive.google.com/file/d/1kLHUR8NNfLffwEHlNKvQ6N7hvCPspAYY/view?usp=drive_link" xr:uid="{00000000-0004-0000-0B00-0000DF020000}"/>
    <hyperlink ref="AN396" r:id="rId737" display="https://static.redstone.rs/games/christmas-delight/" xr:uid="{00000000-0004-0000-0B00-0000E0020000}"/>
    <hyperlink ref="BD396" r:id="rId738" display="https://static.redstone.rs/games/christmas-delight/" xr:uid="{00000000-0004-0000-0B00-0000E1020000}"/>
    <hyperlink ref="N397" r:id="rId739" display="https://drive.google.com/file/d/1dfI9pBuaRN9WtXDJR91Zt7NejVPTF9pw/view?usp=drive_link" xr:uid="{00000000-0004-0000-0B00-0000E2020000}"/>
    <hyperlink ref="O397" r:id="rId740" display="https://drive.google.com/file/d/1yFW_DFZpZEz8k9eLcehKH_MYcKX2SXKy/view?usp=drive_link" xr:uid="{00000000-0004-0000-0B00-0000E3020000}"/>
    <hyperlink ref="AN397" r:id="rId741" display="https://static.redstone.rs/games/funky-fruits/" xr:uid="{00000000-0004-0000-0B00-0000E4020000}"/>
    <hyperlink ref="BD397" r:id="rId742" display="https://static.redstone.rs/games/funky-fruits/" xr:uid="{00000000-0004-0000-0B00-0000E5020000}"/>
    <hyperlink ref="N398" r:id="rId743" display="https://docs.google.com/document/d/1wxcgajZpfBwjzRG61wJUdl-Ya0-Xcpri/edit?usp=drive_link&amp;ouid=107596163405648766688&amp;rtpof=true&amp;sd=true" xr:uid="{00000000-0004-0000-0B00-0000E6020000}"/>
    <hyperlink ref="O398" r:id="rId744" display="https://docs.google.com/document/d/16mtDOc_tx8TXaxsQ0hi3FNv8JZf8Z6hC/edit?usp=drive_link&amp;ouid=107596163405648766688&amp;rtpof=true&amp;sd=true" xr:uid="{00000000-0004-0000-0B00-0000E7020000}"/>
    <hyperlink ref="AN398" r:id="rId745" display="https://static.redstone.rs/games/dice-double/" xr:uid="{00000000-0004-0000-0B00-0000E8020000}"/>
    <hyperlink ref="BD398" r:id="rId746" display="https://static.redstone.rs/games/dice-double/" xr:uid="{00000000-0004-0000-0B00-0000E9020000}"/>
    <hyperlink ref="N399" r:id="rId747" display="https://drive.google.com/file/d/1TIDXrQqfVRm2CVG_wBa8hrOS0YKT3vAF/view?usp=drive_link" xr:uid="{00000000-0004-0000-0B00-0000EA020000}"/>
    <hyperlink ref="O399" r:id="rId748" display="https://drive.google.com/file/d/166wIewWhocd1jH7pxyQpKQESUAJhpHdt/view?usp=drive_link" xr:uid="{00000000-0004-0000-0B00-0000EB020000}"/>
    <hyperlink ref="AN399" r:id="rId749" display="https://static.redstone.rs/games/volcano-hot/" xr:uid="{00000000-0004-0000-0B00-0000EC020000}"/>
    <hyperlink ref="BD399" r:id="rId750" display="https://static.redstone.rs/games/volcano-hot/" xr:uid="{00000000-0004-0000-0B00-0000ED020000}"/>
    <hyperlink ref="N400" r:id="rId751" display="https://docs.google.com/document/d/1TZm4cFN3pLqqLsQDht7QeFxb_bqDb1Jo/edit?usp=drive_link&amp;ouid=107596163405648766688&amp;rtpof=true&amp;sd=true" xr:uid="{00000000-0004-0000-0B00-0000EE020000}"/>
    <hyperlink ref="O400" r:id="rId752" display="https://docs.google.com/document/d/1GbD7Xr2mxOwa_hwLj37fj-PYGBhDbBCh/edit?usp=drive_link&amp;ouid=107596163405648766688&amp;rtpof=true&amp;sd=true" xr:uid="{00000000-0004-0000-0B00-0000EF020000}"/>
    <hyperlink ref="AN400" r:id="rId753" display="https://static.redstone.rs/games/10-clover-fire/" xr:uid="{00000000-0004-0000-0B00-0000F0020000}"/>
    <hyperlink ref="BD400" r:id="rId754" display="https://static.redstone.rs/games/10-clover-fire/" xr:uid="{00000000-0004-0000-0B00-0000F1020000}"/>
    <hyperlink ref="N402" r:id="rId755" display="https://drive.google.com/file/d/1MagzLGH8WOcAl7avhVNFyMA7HKX2TYKo/view?usp=sharing" xr:uid="{00000000-0004-0000-0B00-0000F2020000}"/>
    <hyperlink ref="O402" r:id="rId756" display="https://drive.google.com/file/d/1s1mvKjVqp4KPPhHWwEIdwZY3oCvr48sm/view?usp=sharing" xr:uid="{00000000-0004-0000-0B00-0000F3020000}"/>
    <hyperlink ref="AN402" r:id="rId757" display="https://onlinegamespromo.fazi.rs/Home/IntegrationGameLaunch?moneyType=0&amp;gameName=CrownAndStars&amp;platform=desktop&amp;languageCode=eng&amp;currency=EUR" xr:uid="{00000000-0004-0000-0B00-0000F4020000}"/>
    <hyperlink ref="BD402" r:id="rId758" display="https://gameserver-store-client-area.orbionlimited.com/Home/IntegrationGameLaunch/client-area?moneyType=0&amp;gameName=CrownsAndStars&amp;platform=desktop&amp;languageCode=eng&amp;currency=EUR" xr:uid="{00000000-0004-0000-0B00-0000F5020000}"/>
    <hyperlink ref="AN403" r:id="rId759" display="https://onlinegamespromo.fazi.rs/Home/IntegrationGameLaunch?moneyType=0&amp;gameName=PlayNetFortuneCloverX2&amp;platform=desktop&amp;languageCode=eng&amp;currency=EUR" xr:uid="{00000000-0004-0000-0B00-0000F6020000}"/>
    <hyperlink ref="BD403" r:id="rId760" display="https://gameserver-store-client-area.orbionlimited.com/Home/IntegrationGameLaunch/client-area?moneyType=0&amp;gameName=PlayNetFortuneCloverX2&amp;platform=desktop&amp;languageCode=eng&amp;currency=EUR" xr:uid="{00000000-0004-0000-0B00-0000F7020000}"/>
    <hyperlink ref="AN404" r:id="rId761" display="https://onlinegamespromo.fazi.rs/Home/IntegrationGameLaunch?moneyType=0&amp;gameName=PlayNetDiamondHeartX2&amp;platform=desktop&amp;languageCode=eng&amp;currency=EUR" xr:uid="{00000000-0004-0000-0B00-0000F8020000}"/>
    <hyperlink ref="BD404" r:id="rId762" display="https://gameserver-store-client-area.orbionlimited.com/Home/IntegrationGameLaunch/client-area?moneyType=0&amp;gameName=PlayNetDiamondHeartX2&amp;platform=desktop&amp;languageCode=eng&amp;currency=EUR" xr:uid="{00000000-0004-0000-0B00-0000F9020000}"/>
    <hyperlink ref="AN405" r:id="rId763" display="https://onlinegamespromo.fazi.rs/Home/IntegrationGameLaunch?moneyType=0&amp;gameName=PlayNetFortuneClover100&amp;platform=desktop&amp;languageCode=eng&amp;currency=EUR" xr:uid="{00000000-0004-0000-0B00-0000FA020000}"/>
    <hyperlink ref="BD405" r:id="rId764" display="https://gameserver-store-client-area.orbionlimited.com/Home/IntegrationGameLaunch/client-area?moneyType=0&amp;gameName=PlayNetFortuneClover100&amp;platform=desktop&amp;languageCode=eng&amp;currency=EUR" xr:uid="{00000000-0004-0000-0B00-0000FB020000}"/>
    <hyperlink ref="N406" r:id="rId765" display="https://drive.google.com/file/d/1hY7sDKOVoR3lt4VsKh-H2CdHH5RM6AJ1/view?usp=drive_link" xr:uid="{00000000-0004-0000-0B00-0000FC020000}"/>
    <hyperlink ref="O406" r:id="rId766" display="https://drive.google.com/file/d/16oPbWrM8ByDIEHp6tJjyzjJKpxREI28r/view?usp=drive_link" xr:uid="{00000000-0004-0000-0B00-0000FD020000}"/>
    <hyperlink ref="AN406" r:id="rId767" display="https://static.redstone.rs/games/cosmic-sevens/" xr:uid="{00000000-0004-0000-0B00-0000FE020000}"/>
    <hyperlink ref="BD406" r:id="rId768" display="https://static.redstone.rs/games/cosmic-sevens/" xr:uid="{00000000-0004-0000-0B00-0000FF020000}"/>
    <hyperlink ref="AN407" r:id="rId769" display="https://onlinegamespromo.fazi.rs/Home/IntegrationGameLaunch?moneyType=0&amp;gameName=Unicorn20HotStrikeDiceJackpot&amp;platform=desktop&amp;languageCode=eng&amp;currency=EUR" xr:uid="{00000000-0004-0000-0B00-000000030000}"/>
    <hyperlink ref="BD407" r:id="rId770" display="https://gameserver-store-client-area.orbionlimited.com/Home/IntegrationGameLaunch/client-area?moneyType=0&amp;gameName=Unicorn20HotStrikeDiceJackpot&amp;platform=desktop&amp;languageCode=eng&amp;currency=EUR" xr:uid="{00000000-0004-0000-0B00-000001030000}"/>
    <hyperlink ref="AN408" r:id="rId771" display="https://onlinegamespromo.fazi.rs/Home/IntegrationGameLaunch?moneyType=0&amp;gameName=UnicornDiceMachine&amp;platform=desktop&amp;languageCode=eng&amp;currency=EUR" xr:uid="{00000000-0004-0000-0B00-000002030000}"/>
    <hyperlink ref="BD408" r:id="rId772" display="https://gameserver-store-client-area.orbionlimited.com/Home/IntegrationGameLaunch/client-area?moneyType=0&amp;gameName=UnicornDiceMachine&amp;platform=desktop&amp;languageCode=eng&amp;currency=EUR" xr:uid="{00000000-0004-0000-0B00-000003030000}"/>
    <hyperlink ref="N409" r:id="rId773" display="https://drive.google.com/file/d/1W_BPHrrUARyMXmK7K4qDLrMjxipREg4L/view?usp=drive_link" xr:uid="{00000000-0004-0000-0B00-000004030000}"/>
    <hyperlink ref="O409" r:id="rId774" display="https://drive.google.com/file/d/1HdoaxLQhloVgaTyCDIWWJPfPgT3XsCsI/view?usp=drive_link" xr:uid="{00000000-0004-0000-0B00-000005030000}"/>
    <hyperlink ref="AN409" r:id="rId775" display="https://static.redstone.rs/games/clover-royale/" xr:uid="{00000000-0004-0000-0B00-000006030000}"/>
    <hyperlink ref="BD409" r:id="rId776" display="https://static.redstone.rs/games/clover-royale/" xr:uid="{00000000-0004-0000-0B00-000007030000}"/>
    <hyperlink ref="AN410" r:id="rId777" display="https://onlinegamespromo.fazi.rs/Home/IntegrationGameLaunch?moneyType=0&amp;gameName=UnicornThunderFruits&amp;platform=desktop&amp;languageCode=eng&amp;currency=EUR" xr:uid="{00000000-0004-0000-0B00-000008030000}"/>
    <hyperlink ref="BD410" r:id="rId778" display="https://gameserver-store-client-area.orbionlimited.com/Home/IntegrationGameLaunch/client-area?moneyType=0&amp;gameName=UnicornThunderFruits&amp;platform=desktop&amp;languageCode=eng&amp;currency=EUR" xr:uid="{00000000-0004-0000-0B00-000009030000}"/>
    <hyperlink ref="AN411" r:id="rId779" display="https://onlinegamespromo.fazi.rs/Home/IntegrationGameLaunch?moneyType=0&amp;gameName=UnicornEpicMegaCash&amp;platform=desktop&amp;languageCode=eng&amp;currency=EUR" xr:uid="{00000000-0004-0000-0B00-00000A030000}"/>
    <hyperlink ref="BD411" r:id="rId780" display="https://gameserver-store-client-area.orbionlimited.com/Home/IntegrationGameLaunch/client-area?moneyType=0&amp;gameName=UnicornEpicMegaCash&amp;platform=desktop&amp;languageCode=eng&amp;currency=EUR" xr:uid="{00000000-0004-0000-0B00-00000B030000}"/>
    <hyperlink ref="N412" r:id="rId781" display="https://drive.google.com/file/d/1_XF5fB_2OqLxjOLOl7IyL6jS9pEUmJLh/view?usp=drive_link" xr:uid="{00000000-0004-0000-0B00-00000C030000}"/>
    <hyperlink ref="O412" r:id="rId782" display="https://drive.google.com/file/d/1Br-aQhMsrkbl4TIl3PpwgNlJJm4d_Y4N/view?usp=drive_link" xr:uid="{00000000-0004-0000-0B00-00000D030000}"/>
    <hyperlink ref="AN412" r:id="rId783" display="https://static.redstone.rs/games/eternal-hearts-10/" xr:uid="{00000000-0004-0000-0B00-00000E030000}"/>
    <hyperlink ref="BD412" r:id="rId784" display="https://static.redstone.rs/games/eternal-hearts-10/" xr:uid="{00000000-0004-0000-0B00-00000F030000}"/>
    <hyperlink ref="N413" r:id="rId785" display="https://drive.google.com/file/d/1r-U96WcbZ3z5FYIESmrnhZU5w6rvEH0T/view?usp=drive_link" xr:uid="{00000000-0004-0000-0B00-000010030000}"/>
    <hyperlink ref="O413" r:id="rId786" display="https://drive.google.com/file/d/1UwaXMw5PZnR5qVXiFJJw_mRVc3jTktte/view?usp=drive_link" xr:uid="{00000000-0004-0000-0B00-000011030000}"/>
    <hyperlink ref="AN413" r:id="rId787" display="https://static.redstone.rs/games/star-chaser/" xr:uid="{00000000-0004-0000-0B00-000012030000}"/>
    <hyperlink ref="BD413" r:id="rId788" display="https://static.redstone.rs/games/star-chaser/" xr:uid="{00000000-0004-0000-0B00-000013030000}"/>
    <hyperlink ref="AN414" r:id="rId789" display="https://onlinegamespromo.fazi.rs/Home/IntegrationGameLaunch?moneyType=0&amp;gameName=UnicornWildHoppers&amp;platform=desktop&amp;languageCode=eng&amp;currency=EUR" xr:uid="{00000000-0004-0000-0B00-000014030000}"/>
    <hyperlink ref="BD414" r:id="rId790" display="https://gameserver-store-client-area.orbionlimited.com/Home/IntegrationGameLaunch/client-area?moneyType=0&amp;gameName=UnicornWildHoppers&amp;platform=desktop&amp;languageCode=eng&amp;currency=EUR" xr:uid="{00000000-0004-0000-0B00-000015030000}"/>
    <hyperlink ref="AN415" r:id="rId791" display="https://onlinegamespromo.fazi.rs/Home/IntegrationGameLaunch?moneyType=0&amp;gameName=UnicornSimplySevensDiceEaster&amp;platform=desktop&amp;languageCode=eng&amp;currency=EUR" xr:uid="{00000000-0004-0000-0B00-000016030000}"/>
    <hyperlink ref="BD415" r:id="rId792" display="https://gameserver-store-client-area.orbionlimited.com/Home/IntegrationGameLaunch/client-area?moneyType=0&amp;gameName=UnicornSimplySevensDiceEaster&amp;platform=desktop&amp;languageCode=eng&amp;currency=EUR" xr:uid="{00000000-0004-0000-0B00-000017030000}"/>
    <hyperlink ref="N416" r:id="rId793" display="https://drive.google.com/file/d/1y5Y6SBY1LdfTNoAKADaYoL-I5VyQPl2Y/view?usp=drive_link" xr:uid="{00000000-0004-0000-0B00-000018030000}"/>
    <hyperlink ref="O416" r:id="rId794" display="https://drive.google.com/file/d/1CXLi8GgMycV3GyC6LKQGBLvP-rq9jtHE/view?usp=drive_link" xr:uid="{00000000-0004-0000-0B00-000019030000}"/>
    <hyperlink ref="AN416" r:id="rId795" display="https://static.redstone.rs/games/multi-clover-10/" xr:uid="{00000000-0004-0000-0B00-00001A030000}"/>
    <hyperlink ref="BD416" r:id="rId796" display="https://static.redstone.rs/games/multi-clover-10/" xr:uid="{00000000-0004-0000-0B00-00001B030000}"/>
    <hyperlink ref="N417" r:id="rId797" display="https://drive.google.com/file/d/1FxBFAxIrdGHCkC_EQhDHoc4aQjSLDKuk/view?usp=drive_link" xr:uid="{00000000-0004-0000-0B00-00001C030000}"/>
    <hyperlink ref="O417" r:id="rId798" display="https://drive.google.com/file/d/11ZuJz99MnzBEN9Wu2mO6F5qgjg1UQxMe/view?usp=drive_link" xr:uid="{00000000-0004-0000-0B00-00001D030000}"/>
    <hyperlink ref="AN417" r:id="rId799" display="https://static.redstone.rs/games/reel-x5/" xr:uid="{00000000-0004-0000-0B00-00001E030000}"/>
    <hyperlink ref="BD417" r:id="rId800" display="https://static.redstone.rs/games/reel-x5/" xr:uid="{00000000-0004-0000-0B00-00001F030000}"/>
    <hyperlink ref="AN418" r:id="rId801" display="https://onlinegamespromo.fazi.rs/Home/IntegrationGameLaunch?moneyType=0&amp;gameName=UnicornFruitIslandGems&amp;platform=desktop&amp;languageCode=eng&amp;currency=EUR" xr:uid="{00000000-0004-0000-0B00-000020030000}"/>
    <hyperlink ref="BD418" r:id="rId802" display="https://gameserver-store-client-area.orbionlimited.com/Home/IntegrationGameLaunch/client-area?moneyType=0&amp;gameName=UnicornFruitIslandGems&amp;platform=desktop&amp;languageCode=eng&amp;currency=EUR" xr:uid="{00000000-0004-0000-0B00-000021030000}"/>
    <hyperlink ref="AN419" r:id="rId803" display="https://onlinegamespromo.fazi.rs/Home/IntegrationGameLaunch?moneyType=0&amp;gameName=UnicornBunnyDice&amp;platform=desktop&amp;languageCode=eng&amp;currency=EUR" xr:uid="{00000000-0004-0000-0B00-000022030000}"/>
    <hyperlink ref="BD419" r:id="rId804" display="https://gameserver-store-client-area.orbionlimited.com/Home/IntegrationGameLaunch/client-area?moneyType=0&amp;gameName=UnicornBunnyDice&amp;platform=desktop&amp;languageCode=eng&amp;currency=EUR" xr:uid="{00000000-0004-0000-0B00-000023030000}"/>
    <hyperlink ref="N420" r:id="rId805" display="https://docs.google.com/document/d/1DdYXTKFFkRj34SDHVCAwvpT3sxtvhBr0/edit?usp=drive_link&amp;ouid=107596163405648766688&amp;rtpof=true&amp;sd=true" xr:uid="{00000000-0004-0000-0B00-000024030000}"/>
    <hyperlink ref="O420" r:id="rId806" display="https://docs.google.com/document/d/1iWTO0Oacvjv2ikz7_9v_gkTjRfs47CM6/edit?usp=drive_link&amp;ouid=107596163405648766688&amp;rtpof=true&amp;sd=true" xr:uid="{00000000-0004-0000-0B00-000025030000}"/>
    <hyperlink ref="AN420" r:id="rId807" display="https://static.redstone.rs/games/farm-fiesta/" xr:uid="{00000000-0004-0000-0B00-000026030000}"/>
    <hyperlink ref="BD420" r:id="rId808" display="https://static.redstone.rs/games/farm-fiesta/" xr:uid="{00000000-0004-0000-0B00-000027030000}"/>
    <hyperlink ref="N421" r:id="rId809" display="https://drive.google.com/file/d/1NBpzN0MPuuw6DJLjEkH_qHfLuxDx6OcM/view?usp=drive_link" xr:uid="{00000000-0004-0000-0B00-000028030000}"/>
    <hyperlink ref="O421" r:id="rId810" display="https://drive.google.com/file/d/1IS1lcx8cIUZ1FAcAGfjHbVWaBX3qs_tT/view?usp=drive_link" xr:uid="{00000000-0004-0000-0B00-000029030000}"/>
    <hyperlink ref="AN421" r:id="rId811" display="https://static.redstone.rs/games/sweet-respins/" xr:uid="{00000000-0004-0000-0B00-00002A030000}"/>
    <hyperlink ref="BD421" r:id="rId812" display="https://static.redstone.rs/games/sweet-respins/" xr:uid="{00000000-0004-0000-0B00-00002B030000}"/>
    <hyperlink ref="AN423" r:id="rId813" display="https://onlinegamespromo.fazi.rs/Home/IntegrationGameLaunch?moneyType=0&amp;gameName=UnicornSavanaFruits&amp;platform=desktop&amp;languageCode=eng&amp;currency=EUR" xr:uid="{00000000-0004-0000-0B00-00002C030000}"/>
    <hyperlink ref="BD423" r:id="rId814" display="https://gameserver-store-client-area.orbionlimited.com/Home/IntegrationGameLaunch/client-area?moneyType=0&amp;gameName=UnicornSavanaFruits&amp;platform=desktop&amp;languageCode=eng&amp;currency=EUR" xr:uid="{00000000-0004-0000-0B00-00002D030000}"/>
    <hyperlink ref="N424" r:id="rId815" display="https://drive.google.com/file/d/12vGsFllmq9UMDItMEAf7XkGL9ui00F1k/view?usp=drive_link" xr:uid="{00000000-0004-0000-0B00-00002E030000}"/>
    <hyperlink ref="O424" r:id="rId816" display="https://drive.google.com/file/d/1ei-DJnGnfC4ikq8YZZ6BD0vM0O5OSpUY/view?usp=drive_link" xr:uid="{00000000-0004-0000-0B00-00002F030000}"/>
    <hyperlink ref="AN424" r:id="rId817" display="https://static.redstone.rs/games/sticky-tiki/" xr:uid="{00000000-0004-0000-0B00-000030030000}"/>
    <hyperlink ref="BD424" r:id="rId818" display="https://static.redstone.rs/games/sticky-tiki/" xr:uid="{00000000-0004-0000-0B00-000031030000}"/>
    <hyperlink ref="N425" r:id="rId819" display="https://docs.google.com/document/d/16vQ_zLf_GhGAUkK1ezFbrXJIhbbcuZQj/edit?usp=drive_link&amp;ouid=107596163405648766688&amp;rtpof=true&amp;sd=true" xr:uid="{00000000-0004-0000-0B00-000032030000}"/>
    <hyperlink ref="O425" r:id="rId820" display="https://docs.google.com/document/d/1geperOvJzuAYghHRkA3ii6iO17WD-9W9/edit?usp=drive_link&amp;ouid=107596163405648766688&amp;rtpof=true&amp;sd=true" xr:uid="{00000000-0004-0000-0B00-000033030000}"/>
    <hyperlink ref="AN425" r:id="rId821" display="https://static.redstone.rs/games/hot-rush-triple-star/" xr:uid="{00000000-0004-0000-0B00-000034030000}"/>
    <hyperlink ref="BD425" r:id="rId822" display="https://static.redstone.rs/games/hot-rush-triple-star/" xr:uid="{00000000-0004-0000-0B00-000035030000}"/>
    <hyperlink ref="N426" r:id="rId823" display="https://drive.google.com/drive/folders/1rUqrqNmV28Bdn42G5Tw6B4dajdJakbwM" xr:uid="{00000000-0004-0000-0B00-000036030000}"/>
    <hyperlink ref="O426" r:id="rId824" display="https://drive.google.com/drive/folders/1rUqrqNmV28Bdn42G5Tw6B4dajdJakbwM" xr:uid="{00000000-0004-0000-0B00-000037030000}"/>
    <hyperlink ref="N427" r:id="rId825" display="https://drive.google.com/drive/folders/16_OhPd98nkLRrPr2Hoep9zEW80bS1S9y" xr:uid="{00000000-0004-0000-0B00-000038030000}"/>
    <hyperlink ref="O427" r:id="rId826" display="https://drive.google.com/drive/folders/16_OhPd98nkLRrPr2Hoep9zEW80bS1S9y" xr:uid="{00000000-0004-0000-0B00-000039030000}"/>
    <hyperlink ref="AN427" r:id="rId827" display="https://onlinegamespromo.fazi.rs/Home/IntegrationGameLaunch?moneyType=0&amp;gameName=TopHot5&amp;platform=desktop&amp;languageCode=eng&amp;currency=EURR" xr:uid="{00000000-0004-0000-0B00-00003A030000}"/>
    <hyperlink ref="BD427" r:id="rId828" display="https://gameserver-store-client-area.orbionlimited.com/Home/IntegrationGameLaunch/client-area?moneyType=0&amp;gameName=TopHot5&amp;platform=desktop&amp;languageCode=eng&amp;currency=EUR" xr:uid="{00000000-0004-0000-0B00-00003B030000}"/>
    <hyperlink ref="AN428" r:id="rId829" display="https://onlinegamespromo.fazi.rs/Home/IntegrationGameLaunch?moneyType=0&amp;gameName=UnicornBigSpinSevens&amp;platform=desktop&amp;languageCode=eng&amp;currency=EUR" xr:uid="{00000000-0004-0000-0B00-00003C030000}"/>
    <hyperlink ref="BD428" r:id="rId830" display="https://gameserver-store-client-area.orbionlimited.com/Home/IntegrationGameLaunch/client-area?moneyType=0&amp;gameName=UnicornBigSpinSevens&amp;platform=desktop&amp;languageCode=eng&amp;currency=EUR" xr:uid="{00000000-0004-0000-0B00-00003D030000}"/>
    <hyperlink ref="N429" r:id="rId831" display="https://docs.google.com/document/d/1MDzFpw1Ba1ZwjHnP3dPjDDT4cZqBv_J_/edit?usp=drive_link&amp;ouid=107596163405648766688&amp;rtpof=true&amp;sd=true" xr:uid="{00000000-0004-0000-0B00-00003E030000}"/>
    <hyperlink ref="O429" r:id="rId832" display="https://docs.google.com/document/d/1MShAbhMzYV_ictGwDjX6Sn27uuCG2Ms-/edit?usp=drive_link&amp;ouid=107596163405648766688&amp;rtpof=true&amp;sd=true" xr:uid="{00000000-0004-0000-0B00-00003F030000}"/>
    <hyperlink ref="AN429" r:id="rId833" display="https://static.redstone.rs/games/hot-rush-fruit-lines/" xr:uid="{00000000-0004-0000-0B00-000040030000}"/>
    <hyperlink ref="BD429" r:id="rId834" display="https://static.redstone.rs/games/hot-rush-fruit-lines/" xr:uid="{00000000-0004-0000-0B00-000041030000}"/>
    <hyperlink ref="N432" r:id="rId835" display="https://drive.google.com/file/d/1d-3kCKBdZXLlvGz9vxVk8oWs8zGTsxln/view?usp=sharing" xr:uid="{00000000-0004-0000-0B00-000042030000}"/>
    <hyperlink ref="O432" r:id="rId836" display="https://drive.google.com/file/d/10mce7DaE2ruwhtSFdWdSsoQV1nSqOwQY/view?usp=sharing" xr:uid="{00000000-0004-0000-0B00-000043030000}"/>
    <hyperlink ref="AN432" r:id="rId837" display="https://onlinegamespromo.fazi.rs/Home/IntegrationGameLaunch?moneyType=0&amp;gameName=Wild5&amp;lobbyUrl=https://www.fazi-interactive.com/" xr:uid="{00000000-0004-0000-0B00-000044030000}"/>
    <hyperlink ref="BD432" r:id="rId838" display="https://gameserver-store-client-area.orbionlimited.com/Home/IntegrationGameLaunch/client-area?moneyType=0&amp;gameName=Wild5&amp;platform=desktop&amp;languageCode=eng&amp;currency=EUR" xr:uid="{00000000-0004-0000-0B00-000045030000}"/>
    <hyperlink ref="N433" r:id="rId839" display="https://drive.google.com/drive/folders/1kbglFJ5oU8iGhS6Kx0DglZ_vC6RUsXi9" xr:uid="{00000000-0004-0000-0B00-000046030000}"/>
    <hyperlink ref="O433" r:id="rId840" display="https://drive.google.com/drive/folders/1kbglFJ5oU8iGhS6Kx0DglZ_vC6RUsXi9" xr:uid="{00000000-0004-0000-0B00-000047030000}"/>
    <hyperlink ref="AN433" r:id="rId841" display="https://onlinegamespromo.fazi.rs/Home/IntegrationGameLaunch?moneyType=0&amp;gameName=BrilliantHeart&amp;platform=desktop&amp;languageCode=eng&amp;currency=EUR" xr:uid="{00000000-0004-0000-0B00-000048030000}"/>
    <hyperlink ref="BD433" r:id="rId842" display="https://gameserver-store-client-area.orbionlimited.com/Home/IntegrationGameLaunch/client-area?moneyType=0&amp;gameName=BrilliantHeart&amp;platform=desktop&amp;languageCode=eng&amp;currency=EUR" xr:uid="{00000000-0004-0000-0B00-000049030000}"/>
    <hyperlink ref="AN434" r:id="rId843" display="https://onlinegamespromo.fazi.rs/Home/IntegrationGameLaunch?moneyType=0&amp;gameName=PlayNetCrownStacks40&amp;platform=desktop&amp;languageCode=eng&amp;currency=EUR" xr:uid="{00000000-0004-0000-0B00-00004A030000}"/>
    <hyperlink ref="BD434" r:id="rId844" display="https://gameserver-store-client-area.orbionlimited.com/Home/IntegrationGameLaunch/client-area?moneyType=0&amp;gameName=PlayNetCrownStacks40&amp;platform=desktop&amp;languageCode=eng&amp;currency=EUR" xr:uid="{00000000-0004-0000-0B00-00004B030000}"/>
    <hyperlink ref="AN435" r:id="rId845" display="https://onlinegamespromo.fazi.rs/Home/IntegrationGameLaunch?moneyType=0&amp;gameName=PlayNetWildSpread40&amp;platform=desktop&amp;languageCode=eng&amp;currency=EUR" xr:uid="{00000000-0004-0000-0B00-00004C030000}"/>
    <hyperlink ref="BD435" r:id="rId846" display="https://gameserver-store-client-area.orbionlimited.com/Home/IntegrationGameLaunch/client-area?moneyType=0&amp;gameName=PlayNetWildSpread40&amp;platform=desktop&amp;languageCode=eng&amp;currency=EUR" xr:uid="{00000000-0004-0000-0B00-00004D030000}"/>
    <hyperlink ref="AN436" r:id="rId847" display="https://onlinegamespromo.fazi.rs/Home/IntegrationGameLaunch?moneyType=0&amp;gameName=PlayNetCrownSpread40&amp;platform=desktop&amp;languageCode=eng&amp;currency=EUR" xr:uid="{00000000-0004-0000-0B00-00004E030000}"/>
    <hyperlink ref="BD436" r:id="rId848" display="https://gameserver-store-client-area.orbionlimited.com/Home/IntegrationGameLaunch/client-area?moneyType=0&amp;gameName=PlayNetCrownSpread40&amp;platform=desktop&amp;languageCode=eng&amp;currency=EUR" xr:uid="{00000000-0004-0000-0B00-00004F030000}"/>
    <hyperlink ref="AN437" r:id="rId849" display="https://onlinegamespromo.fazi.rs/Home/IntegrationGameLaunch?moneyType=0&amp;gameName=UnicornDynamiteRunPlatinum&amp;platform=desktop&amp;languageCode=eng&amp;currency=EUR" xr:uid="{00000000-0004-0000-0B00-000050030000}"/>
    <hyperlink ref="BD437" r:id="rId850" display="https://gameserver-store-client-area.orbionlimited.com/Home/IntegrationGameLaunch/client-area?moneyType=0&amp;gameName=UnicornDynamiteRunPlatinum&amp;platform=desktop&amp;languageCode=eng&amp;currency=EUR" xr:uid="{00000000-0004-0000-0B00-000051030000}"/>
    <hyperlink ref="AN438" r:id="rId851" display="https://onlinegamespromo.fazi.rs/Home/IntegrationGameLaunch?moneyType=0&amp;gameName=UnicornBigHitSevens&amp;platform=desktop&amp;languageCode=eng&amp;currency=EUR" xr:uid="{00000000-0004-0000-0B00-000052030000}"/>
    <hyperlink ref="BD438" r:id="rId852" display="https://gameserver-store-client-area.orbionlimited.com/Home/IntegrationGameLaunch/client-area?moneyType=0&amp;gameName=UnicornBigHitSevens&amp;platform=desktop&amp;languageCode=eng&amp;currency=EUR" xr:uid="{00000000-0004-0000-0B00-000053030000}"/>
    <hyperlink ref="AN443" r:id="rId853" display="https://onlinegamespromo.fazi.rs/Home/IntegrationGameLaunch?moneyType=0&amp;gameName=UnicornSupremeSevens&amp;platform=desktop&amp;languageCode=eng&amp;currency=EUR" xr:uid="{00000000-0004-0000-0B00-000054030000}"/>
    <hyperlink ref="BD443" r:id="rId854" display="https://gameserver-store-client-area.orbionlimited.com/Home/IntegrationGameLaunch/client-area?moneyType=0&amp;gameName=UnicornSupremeSevens&amp;platform=desktop&amp;languageCode=eng&amp;currency=EUR" xr:uid="{00000000-0004-0000-0B00-000055030000}"/>
    <hyperlink ref="AN444" r:id="rId855" display="https://onlinegamespromo.fazi.rs/Home/IntegrationGameLaunch?moneyType=0&amp;gameName=UnicornTripleStackedDiamonds&amp;platform=desktop&amp;languageCode=eng&amp;currency=EUR" xr:uid="{00000000-0004-0000-0B00-000056030000}"/>
    <hyperlink ref="BD444" r:id="rId856" display="https://gameserver-store-client-area.orbionlimited.com/Home/IntegrationGameLaunch/client-area?moneyType=0&amp;gameName=UnicornTripleStackedDiamonds&amp;platform=desktop&amp;languageCode=eng&amp;currency=EUR" xr:uid="{00000000-0004-0000-0B00-000057030000}"/>
    <hyperlink ref="AN445" r:id="rId857" display="https://onlinegamespromo.fazi.rs/Home/IntegrationGameLaunch?moneyType=0&amp;gameName=UnicornDynamiteBoom&amp;platform=desktop&amp;languageCode=eng&amp;currency=EUR" xr:uid="{00000000-0004-0000-0B00-000058030000}"/>
    <hyperlink ref="BD445" r:id="rId858" display="https://gameserver-store-client-area.orbionlimited.com/Home/IntegrationGameLaunch/client-area?moneyType=0&amp;gameName=UnicornDynamiteBoom&amp;platform=desktop&amp;languageCode=eng&amp;currency=EUR" xr:uid="{00000000-0004-0000-0B00-000059030000}"/>
    <hyperlink ref="AN446" r:id="rId859" display="https://onlinegamespromo.fazi.rs/Home/IntegrationGameLaunch?moneyType=0&amp;gameName=UnicornFastPay&amp;platform=desktop&amp;languageCode=eng&amp;currency=EUR" xr:uid="{00000000-0004-0000-0B00-00005A030000}"/>
    <hyperlink ref="BD446" r:id="rId860" display="https://gameserver-store-client-area.orbionlimited.com/Home/IntegrationGameLaunch/client-area?moneyType=0&amp;gameName=UnicornFastPay&amp;platform=desktop&amp;languageCode=eng&amp;currency=EUR" xr:uid="{00000000-0004-0000-0B00-00005B030000}"/>
    <hyperlink ref="AN447" r:id="rId861" display="https://onlinegamespromo.fazi.rs/Home/IntegrationGameLaunch?moneyType=0&amp;gameName=UnicornSuperFireJackpot&amp;platform=desktop&amp;languageCode=eng&amp;currency=EUR" xr:uid="{00000000-0004-0000-0B00-00005C030000}"/>
    <hyperlink ref="BD447" r:id="rId862" display="https://gameserver-store-client-area.orbionlimited.com/Home/IntegrationGameLaunch/client-area?moneyType=0&amp;gameName=UnicornSuperFireJackpot&amp;platform=desktop&amp;languageCode=eng&amp;currency=EUR" xr:uid="{00000000-0004-0000-0B00-00005D030000}"/>
    <hyperlink ref="AN448" r:id="rId863" display="https://onlinegamespromo.fazi.rs/Home/IntegrationGameLaunch?moneyType=0&amp;gameName=UnicornCoyoteGems&amp;platform=desktop&amp;languageCode=eng&amp;currency=EUR" xr:uid="{00000000-0004-0000-0B00-00005E030000}"/>
    <hyperlink ref="BD448" r:id="rId864" display="https://gameserver-store-client-area.orbionlimited.com/Home/IntegrationGameLaunch/client-area?moneyType=0&amp;gameName=UnicornCoyoteGems&amp;platform=desktop&amp;languageCode=eng&amp;currency=EUR" xr:uid="{00000000-0004-0000-0B00-00005F030000}"/>
    <hyperlink ref="AN449" r:id="rId865" display="https://onlinegamespromo.fazi.rs/Home/IntegrationGameLaunch?moneyType=0&amp;gameName=UnicornDynamiteRunDice&amp;platform=desktop&amp;languageCode=eng&amp;currency=EUR" xr:uid="{00000000-0004-0000-0B00-000060030000}"/>
    <hyperlink ref="BD449" r:id="rId866" display="https://gameserver-store-client-area.orbionlimited.com/Home/IntegrationGameLaunch/client-area?moneyType=0&amp;gameName=UnicornDynamiteRunDice&amp;platform=desktop&amp;languageCode=eng&amp;currency=EUR" xr:uid="{00000000-0004-0000-0B00-000061030000}"/>
    <hyperlink ref="AN450" r:id="rId867" display="https://onlinegamespromo.fazi.rs/Home/IntegrationGameLaunch?moneyType=0&amp;gameName=UnicornBigSpinDragons&amp;platform=desktop&amp;languageCode=eng&amp;currency=EUR" xr:uid="{00000000-0004-0000-0B00-000062030000}"/>
    <hyperlink ref="BD450" r:id="rId868" display="https://gameserver-store-client-area.orbionlimited.com/Home/IntegrationGameLaunch/client-area?moneyType=0&amp;gameName=UnicornBigSpinDragons&amp;platform=desktop&amp;languageCode=eng&amp;currency=EUR" xr:uid="{00000000-0004-0000-0B00-000063030000}"/>
    <hyperlink ref="AN451" r:id="rId869" display="https://onlinegamespromo.fazi.rs/Home/IntegrationGameLaunch?moneyType=0&amp;gameName=UnicornSimplySevensGems&amp;platform=desktop&amp;languageCode=eng&amp;currency=EUR" xr:uid="{00000000-0004-0000-0B00-000064030000}"/>
    <hyperlink ref="BD451" r:id="rId870" display="https://gameserver-store-client-area.orbionlimited.com/Home/IntegrationGameLaunch/client-area?moneyType=0&amp;gameName=UnicornSimplySevensGems&amp;platform=desktop&amp;languageCode=eng&amp;currency=EUR" xr:uid="{00000000-0004-0000-0B00-000065030000}"/>
    <hyperlink ref="AN452" r:id="rId871" display="https://onlinegamespromo.fazi.rs/Home/IntegrationGameLaunch?moneyType=0&amp;gameName=UnicornSuperFireDiceJackpot&amp;platform=desktop&amp;languageCode=eng&amp;currency=EUR" xr:uid="{00000000-0004-0000-0B00-000066030000}"/>
    <hyperlink ref="BD452" r:id="rId872" display="https://gameserver-store-client-area.orbionlimited.com/Home/IntegrationGameLaunch/client-area?moneyType=0&amp;gameName=UnicornSuperFireDiceJackpot&amp;platform=desktop&amp;languageCode=eng&amp;currency=EUR" xr:uid="{00000000-0004-0000-0B00-000067030000}"/>
    <hyperlink ref="AN453" r:id="rId873" display="https://onlinegamespromo.fazi.rs/Home/IntegrationGameLaunch?moneyType=0&amp;gameName=UnicornMisterDice&amp;platform=desktop&amp;languageCode=eng&amp;currency=EUR" xr:uid="{00000000-0004-0000-0B00-000068030000}"/>
    <hyperlink ref="BD453" r:id="rId874" display="https://gameserver-store-client-area.orbionlimited.com/Home/IntegrationGameLaunch/client-area?moneyType=0&amp;gameName=UnicornMisterDice&amp;platform=desktop&amp;languageCode=eng&amp;currency=EUR" xr:uid="{00000000-0004-0000-0B00-000069030000}"/>
    <hyperlink ref="AN454" r:id="rId875" display="https://onlinegamespromo.fazi.rs/Home/IntegrationGameLaunch?moneyType=0&amp;gameName=UnicornThreeReelSevens&amp;platform=desktop&amp;languageCode=eng&amp;currency=EUR" xr:uid="{00000000-0004-0000-0B00-00006A030000}"/>
    <hyperlink ref="BD454" r:id="rId876" display="https://gameserver-store-client-area.orbionlimited.com/Home/IntegrationGameLaunch/client-area?moneyType=0&amp;gameName=UnicornThreeReelSevens&amp;platform=desktop&amp;languageCode=eng&amp;currency=EUR" xr:uid="{00000000-0004-0000-0B00-00006B030000}"/>
    <hyperlink ref="AN455" r:id="rId877" display="https://onlinegamespromo.fazi.rs/Home/IntegrationGameLaunch?moneyType=0&amp;gameName=LuckySheriff&amp;lobbyUrl=https://www.fazi-interactive.com/" xr:uid="{00000000-0004-0000-0B00-00006C030000}"/>
    <hyperlink ref="BD455" r:id="rId878" display="https://gameserver-store-client-area.orbionlimited.com/Home/IntegrationGameLaunch/client-area?moneyType=0&amp;gameName=LuckySheriff&amp;platform=desktop&amp;languageCode=eng&amp;currency=EUR" xr:uid="{00000000-0004-0000-0B00-00006D030000}"/>
    <hyperlink ref="N456" r:id="rId879" display="https://drive.google.com/file/d/1rrWTfY4LMCdgbEbfmhrvsVsKCd2w4bvO/view?usp=sharing" xr:uid="{00000000-0004-0000-0B00-00006E030000}"/>
    <hyperlink ref="O456" r:id="rId880" display="https://drive.google.com/file/d/1TMpX-3d-GMrkiWUaYstT8weMYDI2yoSD/view?usp=sharing" xr:uid="{00000000-0004-0000-0B00-00006F030000}"/>
    <hyperlink ref="AN456" r:id="rId881" display="https://gameserver-store-msstg.fazi.rs/Home/IntegrationGameLaunch/fazi-stg16?moneyType=0&amp;currency=EUR&amp;gameName=CoinSplash" xr:uid="{00000000-0004-0000-0B00-000070030000}"/>
    <hyperlink ref="BD456" r:id="rId882" display="https://gameserver-store-client-area.orbionlimited.com/Home/IntegrationGameLaunch/client-area?moneyType=0&amp;gameName=CoinSplash&amp;platform=desktop&amp;languageCode=eng&amp;currency=EUR" xr:uid="{00000000-0004-0000-0B00-000071030000}"/>
    <hyperlink ref="N457" r:id="rId883" display="https://drive.google.com/file/d/1ab3ESJmNaQTYQ2yRtk3CzvhG5e61AzoG/view?usp=drive_link" xr:uid="{00000000-0004-0000-0B00-000072030000}"/>
    <hyperlink ref="O457" r:id="rId884" display="https://drive.google.com/file/d/1-3HYx5EH8g8nTtAydEBMqfN6nNh_Jre2/view?usp=drive_link" xr:uid="{00000000-0004-0000-0B00-000073030000}"/>
    <hyperlink ref="AN457" r:id="rId885" display="https://static.redstone.rs/games/10-wild-heart/" xr:uid="{00000000-0004-0000-0B00-000074030000}"/>
    <hyperlink ref="BD457" r:id="rId886" display="https://static.redstone.rs/games/10-wild-heart/" xr:uid="{00000000-0004-0000-0B00-000075030000}"/>
    <hyperlink ref="N458" r:id="rId887" display="https://drive.google.com/file/d/1u1cVt2r3D74ZWE5qJ4FseBw5PY-Ib4yK/view?usp=drive_link" xr:uid="{00000000-0004-0000-0B00-000076030000}"/>
    <hyperlink ref="O458" r:id="rId888" display="https://drive.google.com/file/d/1yckcih0apcYhGCwgqTCD9bPSWnkOLgox/view?usp=drive_link" xr:uid="{00000000-0004-0000-0B00-000077030000}"/>
    <hyperlink ref="AN458" r:id="rId889" display="https://static.redstone.rs/games/40-joker-fire/" xr:uid="{00000000-0004-0000-0B00-000078030000}"/>
    <hyperlink ref="BD458" r:id="rId890" display="https://static.redstone.rs/games/40-joker-fire/" xr:uid="{00000000-0004-0000-0B00-000079030000}"/>
    <hyperlink ref="N459" r:id="rId891" display="https://drive.google.com/file/d/1TUmCnus95of-VOgrsOFgtYLc-yHhQAK4/view?usp=drive_link" xr:uid="{00000000-0004-0000-0B00-00007A030000}"/>
    <hyperlink ref="O459" r:id="rId892" display="https://drive.google.com/file/d/1B52c455_iGqdn6Gcz68rQ2OHYortgt9T/view?usp=drive_link" xr:uid="{00000000-0004-0000-0B00-00007B030000}"/>
    <hyperlink ref="AN459" r:id="rId893" display="https://static.redstone.rs/games/bonus-stars/" xr:uid="{00000000-0004-0000-0B00-00007C030000}"/>
    <hyperlink ref="BD459" r:id="rId894" display="https://static.redstone.rs/games/bonus-stars/" xr:uid="{00000000-0004-0000-0B00-00007D030000}"/>
    <hyperlink ref="N460" r:id="rId895" display="https://drive.google.com/file/d/1h60qO101Dh-UU8dwVTfqnDytuQbjlzZh/view?usp=drive_link" xr:uid="{00000000-0004-0000-0B00-00007E030000}"/>
    <hyperlink ref="O460" r:id="rId896" display="https://drive.google.com/file/d/1aTMHsD7ChuP1pBEt37vm_24Ec2OmjgzM/view?usp=drive_link" xr:uid="{00000000-0004-0000-0B00-00007F030000}"/>
    <hyperlink ref="AN460" r:id="rId897" display="https://static.redstone.rs/games/5-star-fire/" xr:uid="{00000000-0004-0000-0B00-000080030000}"/>
    <hyperlink ref="BD460" r:id="rId898" display="https://static.redstone.rs/games/5-star-fire/" xr:uid="{00000000-0004-0000-0B00-000081030000}"/>
    <hyperlink ref="N464" r:id="rId899" display="https://drive.google.com/file/d/1KpdYiCmVfigVnXOC9uMf7jQVuYIILwMl/view?usp=drive_link" xr:uid="{00000000-0004-0000-0B00-000082030000}"/>
    <hyperlink ref="O464" r:id="rId900" display="https://drive.google.com/file/d/1kYwrHltkbiRkd1GIHWbjvR1fTvCX6lKX/view?usp=drive_link" xr:uid="{00000000-0004-0000-0B00-000083030000}"/>
    <hyperlink ref="AN464" r:id="rId901" display="https://static.redstone.rs/games/clover-drop/" xr:uid="{00000000-0004-0000-0B00-000084030000}"/>
    <hyperlink ref="BD464" r:id="rId902" display="https://static.redstone.rs/games/clover-drop/" xr:uid="{00000000-0004-0000-0B00-000085030000}"/>
    <hyperlink ref="AN465" r:id="rId903" display="https://onlinegamespromo.fazi.rs/Home/IntegrationGameLaunch?moneyType=0&amp;gameName=PlayNetCloverSpread40&amp;platform=desktop&amp;languageCode=eng&amp;currency=EUR" xr:uid="{00000000-0004-0000-0B00-000086030000}"/>
    <hyperlink ref="BD465" r:id="rId904" display="https://gameserver-store-client-area.orbionlimited.com/Home/IntegrationGameLaunch/client-area?moneyType=0&amp;gameName=PlayNetCloverSpread40&amp;platform=desktop&amp;languageCode=eng&amp;currency=EUR" xr:uid="{00000000-0004-0000-0B00-000087030000}"/>
    <hyperlink ref="AN466" r:id="rId905" display="https://onlinegamespromo.fazi.rs/Home/IntegrationGameLaunch?moneyType=0&amp;gameName=PlayNetMajesticCrownX2&amp;platform=desktop&amp;languageCode=eng&amp;currency=EUR" xr:uid="{00000000-0004-0000-0B00-000088030000}"/>
    <hyperlink ref="BD466" r:id="rId906" display="https://gameserver-store-client-area.orbionlimited.com/Home/IntegrationGameLaunch/client-area?moneyType=0&amp;gameName=PlayNetMajesticCrownX2&amp;platform=desktop&amp;languageCode=eng&amp;currency=EUR" xr:uid="{00000000-0004-0000-0B00-000089030000}"/>
    <hyperlink ref="AN467" r:id="rId907" display="https://onlinegamespromo.fazi.rs/Home/IntegrationGameLaunch?moneyType=0&amp;gameName=PlayNetBitSlot&amp;platform=desktop&amp;languageCode=eng&amp;currency=EUR" xr:uid="{00000000-0004-0000-0B00-00008A030000}"/>
    <hyperlink ref="BD467" r:id="rId908" display="https://gameserver-store-client-area.orbionlimited.com/Home/IntegrationGameLaunch/client-area?moneyType=0&amp;gameName=PlayNetBitSlot&amp;platform=desktop&amp;languageCode=eng&amp;currency=EUR" xr:uid="{00000000-0004-0000-0B00-00008B030000}"/>
    <hyperlink ref="AN468" r:id="rId909" display="https://onlinegamespromo.fazi.rs/Home/IntegrationGameLaunch?moneyType=0&amp;gameName=PlayNetFortuneClover10&amp;platform=desktop&amp;languageCode=eng&amp;currency=EUR" xr:uid="{00000000-0004-0000-0B00-00008C030000}"/>
    <hyperlink ref="BD468" r:id="rId910" display="https://gameserver-store-client-area.orbionlimited.com/Home/IntegrationGameLaunch/client-area?moneyType=0&amp;gameName=PlayNetFortuneClover10&amp;platform=desktop&amp;languageCode=eng&amp;currency=EUR" xr:uid="{00000000-0004-0000-0B00-00008D030000}"/>
    <hyperlink ref="AN469" r:id="rId911" display="https://onlinegamespromo.fazi.rs/Home/IntegrationGameLaunch?moneyType=0&amp;gameName=PlayNetMajesticCrown100&amp;platform=desktop&amp;languageCode=eng&amp;currency=EUR" xr:uid="{00000000-0004-0000-0B00-00008E030000}"/>
    <hyperlink ref="BD469" r:id="rId912" display="https://gameserver-store-client-area.orbionlimited.com/Home/IntegrationGameLaunch/client-area?moneyType=0&amp;gameName=PlayNetMajesticCrown100&amp;platform=desktop&amp;languageCode=eng&amp;currency=EUR" xr:uid="{00000000-0004-0000-0B00-00008F030000}"/>
    <hyperlink ref="AN470" r:id="rId913" display="https://onlinegamespromo.fazi.rs/Home/IntegrationGameLaunch?moneyType=0&amp;gameName=PlayNetFortuneClover20&amp;platform=desktop&amp;languageCode=eng&amp;currency=EUR" xr:uid="{00000000-0004-0000-0B00-000090030000}"/>
    <hyperlink ref="BD470" r:id="rId914" display="https://gameserver-store-client-area.orbionlimited.com/Home/IntegrationGameLaunch/client-area?moneyType=0&amp;gameName=PlayNetFortuneClover20&amp;platform=desktop&amp;languageCode=eng&amp;currency=EUR" xr:uid="{00000000-0004-0000-0B00-000091030000}"/>
    <hyperlink ref="N474" r:id="rId915" display="https://drive.google.com/drive/folders/1E7Mxi22KXbprgaL9JSeePsLAKW7oSG31" xr:uid="{00000000-0004-0000-0B00-000092030000}"/>
    <hyperlink ref="O474" r:id="rId916" display="https://drive.google.com/drive/folders/1E7Mxi22KXbprgaL9JSeePsLAKW7oSG31" xr:uid="{00000000-0004-0000-0B00-000093030000}"/>
    <hyperlink ref="AN474" r:id="rId917" display="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B00-000094030000}"/>
    <hyperlink ref="BD474" r:id="rId918" display="https://gameserver-store-client-area.orbionlimited.com/Home/IntegrationGameLaunch/client-area?moneyType=0&amp;gameName=GoldenCrownBooster&amp;platform=desktop&amp;languageCode=eng&amp;currency=EUR" xr:uid="{00000000-0004-0000-0B00-000095030000}"/>
    <hyperlink ref="N475" r:id="rId919" display="https://drive.google.com/drive/folders/1v8TLyjtbLiw7CDi6_PxsR9MjBAwfoDTs" xr:uid="{00000000-0004-0000-0B00-000096030000}"/>
    <hyperlink ref="O475" r:id="rId920" display="https://drive.google.com/drive/folders/1v8TLyjtbLiw7CDi6_PxsR9MjBAwfoDTs" xr:uid="{00000000-0004-0000-0B00-000097030000}"/>
    <hyperlink ref="AN475" r:id="rId921" display="https://onlinegamespromo.fazi.rs/Home/IntegrationGameLaunch?moneyType=0&amp;gameName=VeryHot5Booster&amp;platform=desktop&amp;languageCode=eng&amp;currency=EUR" xr:uid="{00000000-0004-0000-0B00-000098030000}"/>
    <hyperlink ref="BD475" r:id="rId922" display="https://gameserver-store-client-area.orbionlimited.com/Home/IntegrationGameLaunch/client-area?moneyType=0&amp;gameName=VeryHot5Booster&amp;platform=desktop&amp;languageCode=eng&amp;currency=EUR" xr:uid="{00000000-0004-0000-0B00-000099030000}"/>
    <hyperlink ref="N476" r:id="rId923" display="https://drive.google.com/drive/folders/1YXBfTlfZhbE8STuraiERB1FtF1PzqAXe" xr:uid="{00000000-0004-0000-0B00-00009A030000}"/>
    <hyperlink ref="O476" r:id="rId924" display="https://drive.google.com/drive/folders/1YXBfTlfZhbE8STuraiERB1FtF1PzqAXe" xr:uid="{00000000-0004-0000-0B00-00009B030000}"/>
    <hyperlink ref="AN476" r:id="rId925" display="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B00-00009C030000}"/>
    <hyperlink ref="BD476" r:id="rId926" display="https://gameserver-store-client-area.orbionlimited.com/Home/IntegrationGameLaunch/client-area?moneyType=0&amp;gameName=EpicClover40Booster&amp;platform=desktop&amp;languageCode=eng&amp;currency=EUR" xr:uid="{00000000-0004-0000-0B00-00009D030000}"/>
    <hyperlink ref="N477" r:id="rId927" display="https://drive.google.com/file/d/1FxFMrh81jeZhmR9kjvgWSmBDo91kdkwg/view?usp=drive_link" xr:uid="{00000000-0004-0000-0B00-00009E030000}"/>
    <hyperlink ref="O477" r:id="rId928" display="https://drive.google.com/file/d/16Ns6l8sIiUoNONSVIlMt5kSv8VXKHB3b/view?usp=drive_link" xr:uid="{00000000-0004-0000-0B00-00009F030000}"/>
    <hyperlink ref="AN477" r:id="rId929" display="https://static.redstone.rs/games/multi-crown-10/" xr:uid="{00000000-0004-0000-0B00-0000A0030000}"/>
    <hyperlink ref="BD477" r:id="rId930" display="https://static.redstone.rs/games/multi-crown-10/" xr:uid="{00000000-0004-0000-0B00-0000A1030000}"/>
    <hyperlink ref="N479" r:id="rId931" display="https://drive.google.com/drive/folders/1rfagR-Gq8bh6HT3DqZCroCVSfPzgTrJO" xr:uid="{00000000-0004-0000-0B00-0000A2030000}"/>
    <hyperlink ref="O479" r:id="rId932" display="https://drive.google.com/drive/folders/1rfagR-Gq8bh6HT3DqZCroCVSfPzgTrJO" xr:uid="{00000000-0004-0000-0B00-0000A3030000}"/>
    <hyperlink ref="AN479" r:id="rId933" display="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B00-0000A4030000}"/>
    <hyperlink ref="BD479" r:id="rId934" display="https://gameserver-store-client-area.orbionlimited.com/Home/IntegrationGameLaunch/client-area?moneyType=0&amp;gameName=GoldenCrownExtreme&amp;platform=desktop&amp;languageCode=eng&amp;currency=EUR" xr:uid="{00000000-0004-0000-0B00-0000A5030000}"/>
    <hyperlink ref="AN480" r:id="rId935" display="https://onlinegamespromo.fazi.rs/Home/IntegrationGameLaunch?moneyType=0&amp;gameName=PlayNetMajesticCrown5&amp;platform=desktop&amp;languageCode=eng&amp;currency=EUR" xr:uid="{00000000-0004-0000-0B00-0000A6030000}"/>
    <hyperlink ref="BD480" r:id="rId936" display="https://gameserver-store-client-area.orbionlimited.com/Home/IntegrationGameLaunch/client-area?moneyType=0&amp;gameName=PlayNetMajesticCrown5&amp;platform=desktop&amp;languageCode=eng&amp;currency=EUR" xr:uid="{00000000-0004-0000-0B00-0000A7030000}"/>
    <hyperlink ref="AN481" r:id="rId937" display="https://onlinegamespromo.fazi.rs/Home/IntegrationGameLaunch?moneyType=0&amp;gameName=PlayNetRoyalFlame&amp;platform=desktop&amp;languageCode=eng&amp;currency=EUR" xr:uid="{00000000-0004-0000-0B00-0000A8030000}"/>
    <hyperlink ref="BD481" r:id="rId938" display="https://gameserver-store-client-area.orbionlimited.com/Home/IntegrationGameLaunch/client-area?moneyType=0&amp;gameName=PlayNetRoyalFlame&amp;platform=desktop&amp;languageCode=eng&amp;currency=EUR" xr:uid="{00000000-0004-0000-0B00-0000A9030000}"/>
    <hyperlink ref="AN482" r:id="rId939" display="https://onlinegamespromo.fazi.rs/Home/IntegrationGameLaunch?moneyType=0&amp;gameName=PlayNetDiamondHeart100&amp;platform=desktop&amp;languageCode=eng&amp;currency=EUR" xr:uid="{00000000-0004-0000-0B00-0000AA030000}"/>
    <hyperlink ref="BD482" r:id="rId940" display="https://gameserver-store-client-area.orbionlimited.com/Home/IntegrationGameLaunch/client-area?moneyType=0&amp;gameName=PlayNetDiamondHeart100&amp;platform=desktop&amp;languageCode=eng&amp;currency=EUR" xr:uid="{00000000-0004-0000-0B00-0000AB030000}"/>
    <hyperlink ref="AN483" r:id="rId941" display="https://onlinegamespromo.fazi.rs/Home/IntegrationGameLaunch?moneyType=0&amp;gameName=PlayNetGoldenGetsby&amp;platform=desktop&amp;languageCode=eng&amp;currency=EUR" xr:uid="{00000000-0004-0000-0B00-0000AC030000}"/>
    <hyperlink ref="BD483" r:id="rId942" display="https://gameserver-store-client-area.orbionlimited.com/Home/IntegrationGameLaunch/client-area?moneyType=0&amp;gameName=PlayNetGoldenGetsby&amp;platform=desktop&amp;languageCode=eng&amp;currency=EUR" xr:uid="{00000000-0004-0000-0B00-0000AD030000}"/>
    <hyperlink ref="AN484" r:id="rId943" display="https://onlinegamespromo.fazi.rs/Home/IntegrationGameLaunch?moneyType=0&amp;gameName=PlayNetDashingHot20&amp;platform=desktop&amp;languageCode=eng&amp;currency=EUR" xr:uid="{00000000-0004-0000-0B00-0000AE030000}"/>
    <hyperlink ref="BD484" r:id="rId944" display="https://gameserver-store-client-area.orbionlimited.com/Home/IntegrationGameLaunch/client-area?moneyType=0&amp;gameName=PlayNetDashingHot20&amp;platform=desktop&amp;languageCode=eng&amp;currency=EUR" xr:uid="{00000000-0004-0000-0B00-0000AF030000}"/>
    <hyperlink ref="AN485" r:id="rId945" display="https://onlinegamespromo.fazi.rs/Home/IntegrationGameLaunch?moneyType=0&amp;gameName=PlayNetDarkTemptress&amp;platform=desktop&amp;languageCode=eng&amp;currency=EUR" xr:uid="{00000000-0004-0000-0B00-0000B0030000}"/>
    <hyperlink ref="BD485" r:id="rId946" display="https://gameserver-store-client-area.orbionlimited.com/Home/IntegrationGameLaunch/client-area?moneyType=0&amp;gameName=PlayNetDarkTemptress&amp;platform=desktop&amp;languageCode=eng&amp;currency=EUR" xr:uid="{00000000-0004-0000-0B00-0000B1030000}"/>
    <hyperlink ref="BD486" r:id="rId947" display="https://gameserver-store-client-area.orbionlimited.com/Home/IntegrationGameLaunch/client-area?moneyType=0&amp;gameName=WildStickyClover&amp;platform=desktop&amp;languageCode=eng&amp;currency=EUR" xr:uid="{00000000-0004-0000-0B00-0000B2030000}"/>
    <hyperlink ref="N487" r:id="rId948" display="https://drive.google.com/drive/folders/1K0XeNmIwEJ7Qvyb5qEjhBQGruLxRdiMG?usp=drive_link" xr:uid="{00000000-0004-0000-0B00-0000B3030000}"/>
    <hyperlink ref="O487" r:id="rId949" display="https://drive.google.com/drive/folders/1K0XeNmIwEJ7Qvyb5qEjhBQGruLxRdiMG?usp=drive_link" xr:uid="{00000000-0004-0000-0B00-0000B4030000}"/>
    <hyperlink ref="AN487" r:id="rId950" display="https://onlinegamespromo.fazi.rs/Home/IntegrationGameLaunch?moneyType=0&amp;gameName=XSpins&amp;platform=desktop&amp;languageCode=eng&amp;currency=EUR" xr:uid="{00000000-0004-0000-0B00-0000B5030000}"/>
    <hyperlink ref="AZ487" r:id="rId951" display="https://drive.google.com/drive/folders/19YB-AjLXFU0pCCykpndBLg1UN-7aTI1K" xr:uid="{00000000-0004-0000-0B00-0000B6030000}"/>
    <hyperlink ref="BD487" r:id="rId952" display="https://gameserver-store-client-area.orbionlimited.com/Home/IntegrationGameLaunch/client-area?moneyType=0&amp;gameName=XSpins&amp;platform=desktop&amp;languageCode=eng&amp;currency=EUR" xr:uid="{00000000-0004-0000-0B00-0000B7030000}"/>
    <hyperlink ref="AN488" r:id="rId953" display="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xr:uid="{00000000-0004-0000-0B00-0000B8030000}"/>
    <hyperlink ref="BD488" r:id="rId954" display="https://gameserver-store-client-area.orbionlimited.com/Home/IntegrationGameLaunch/client-area?moneyType=0&amp;gameName=EpicCrown5Booster&amp;platform=desktop&amp;languageCode=eng&amp;currency=EUR" xr:uid="{00000000-0004-0000-0B00-0000B9030000}"/>
    <hyperlink ref="AN489" r:id="rId955" display="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xr:uid="{00000000-0004-0000-0B00-0000BA030000}"/>
    <hyperlink ref="BD489" r:id="rId956" display="https://gameserver-store-client-area.orbionlimited.com/Home/IntegrationGameLaunch/client-area?moneyType=0&amp;gameName=EpicCrown10Booster&amp;platform=desktop&amp;languageCode=eng&amp;currency=EUR" xr:uid="{00000000-0004-0000-0B00-0000BB030000}"/>
    <hyperlink ref="N490" r:id="rId957" display="https://drive.google.com/file/d/1f4lhNBlzwu96nXqSardoriE05sNVeNbC/view?usp=drive_link" xr:uid="{00000000-0004-0000-0B00-0000BC030000}"/>
    <hyperlink ref="O490" r:id="rId958" display="https://drive.google.com/file/d/1TcFXfNxWA4OqQvlxID9tuaaRrNrBPlyn/view?usp=drive_link" xr:uid="{00000000-0004-0000-0B00-0000BD030000}"/>
    <hyperlink ref="AN490" r:id="rId959" display="https://static.redstone.rs/games/777-expand/" xr:uid="{00000000-0004-0000-0B00-0000BE030000}"/>
    <hyperlink ref="BD490" r:id="rId960" display="https://static.redstone.rs/games/777-expand/" xr:uid="{00000000-0004-0000-0B00-0000BF030000}"/>
    <hyperlink ref="N491" r:id="rId961" display="https://drive.google.com/file/d/1aJouosXBdyj2Wk9aS-0qVDymlWZQ5Mb_/view?usp=drive_link" xr:uid="{00000000-0004-0000-0B00-0000C0030000}"/>
    <hyperlink ref="O491" r:id="rId962" display="https://drive.google.com/file/d/1zIRHFJQ_rufNyGH5m48RMyBrcv6KJEfn/view?usp=drive_link" xr:uid="{00000000-0004-0000-0B00-0000C1030000}"/>
    <hyperlink ref="AN491" r:id="rId963" display="https://static.redstone.rs/games/double-wild-crown/" xr:uid="{00000000-0004-0000-0B00-0000C2030000}"/>
    <hyperlink ref="BD491" r:id="rId964" display="https://static.redstone.rs/games/double-wild-crown/" xr:uid="{00000000-0004-0000-0B00-0000C3030000}"/>
    <hyperlink ref="N492" r:id="rId965" display="https://drive.google.com/file/d/1aJouosXBdyj2Wk9aS-0qVDymlWZQ5Mb_/view?usp=drive_link" xr:uid="{00000000-0004-0000-0B00-0000C4030000}"/>
    <hyperlink ref="O492" r:id="rId966" display="https://drive.google.com/file/d/1zIRHFJQ_rufNyGH5m48RMyBrcv6KJEfn/view?usp=drive_link" xr:uid="{00000000-0004-0000-0B00-0000C5030000}"/>
    <hyperlink ref="AN492" r:id="rId967" display="https://static.redstone.rs/games/double-wild-crown/" xr:uid="{00000000-0004-0000-0B00-0000C6030000}"/>
    <hyperlink ref="BD492" r:id="rId968" display="https://static.redstone.rs/games/double-wild-crown/" xr:uid="{00000000-0004-0000-0B00-0000C7030000}"/>
    <hyperlink ref="AN493" r:id="rId969" display="https://gameserver-store-msstg.fazi.rs/Home/IntegrationGameLaunch/fazi-stg16?moneyType=0&amp;gameName=NovaPixelWheelOfJoker&amp;platform=desktop&amp;languageCode=eng&amp;currency=EUR" xr:uid="{00000000-0004-0000-0B00-0000C8030000}"/>
    <hyperlink ref="BD493" r:id="rId970" display="https://gameserver-store-client-area.orbionlimited.com/Home/IntegrationGameLaunch/client-area?moneyType=0&amp;gameName=NovaPixelWheelOfJoker&amp;platform=desktop&amp;languageCode=eng&amp;currency=EUR" xr:uid="{00000000-0004-0000-0B00-0000C9030000}"/>
    <hyperlink ref="N506" r:id="rId971" display="https://drive.google.com/file/d/1ChDrkhCI27hZry0ILWOPTx_uPeueAvMZ/view?usp=drive_link" xr:uid="{00000000-0004-0000-0B00-0000CA030000}"/>
    <hyperlink ref="O506" r:id="rId972" display="https://drive.google.com/file/d/1ztU0U7_kgwbIaRZ_UCS6mO_iZYclWO1A/view?usp=drive_link" xr:uid="{00000000-0004-0000-0B00-0000CB030000}"/>
    <hyperlink ref="AN506" r:id="rId973" display="https://static.redstone.rs/games/40-wild-crown/" xr:uid="{00000000-0004-0000-0B00-0000CC030000}"/>
    <hyperlink ref="BD506" r:id="rId974" display="https://static.redstone.rs/games/40-wild-crown/" xr:uid="{00000000-0004-0000-0B00-0000CD030000}"/>
    <hyperlink ref="N507" r:id="rId975" display="https://drive.google.com/file/d/1-amw2f6rGQxPdLmoRqPQ4B4OnBMCaUiT/view?usp=drive_link" xr:uid="{00000000-0004-0000-0B00-0000CE030000}"/>
    <hyperlink ref="O507" r:id="rId976" display="https://drive.google.com/file/d/1YcfrIj3IZ2DKPIWzXEqRg38PA6964GYy/view?usp=drive_link" xr:uid="{00000000-0004-0000-0B00-0000CF030000}"/>
    <hyperlink ref="AN507" r:id="rId977" display="https://static.redstone.rs/games/double-crown-5/" xr:uid="{00000000-0004-0000-0B00-0000D0030000}"/>
    <hyperlink ref="BD507" r:id="rId978" display="https://static.redstone.rs/games/double-crown-5/" xr:uid="{00000000-0004-0000-0B00-0000D1030000}"/>
    <hyperlink ref="N508" r:id="rId979" display="https://drive.google.com/file/d/1oz6yW5qnOMRoaFkZSgqtFto3q_2PdbZ6/view?usp=drive_link" xr:uid="{00000000-0004-0000-0B00-0000D2030000}"/>
    <hyperlink ref="O508" r:id="rId980" display="https://drive.google.com/file/d/1LZlXE5diYEEbyW4iyCuBT6KsdLU41E_9/view?usp=drive_link" xr:uid="{00000000-0004-0000-0B00-0000D3030000}"/>
    <hyperlink ref="AN508" r:id="rId981" display="https://static.redstone.rs/games/heart-royale/" xr:uid="{00000000-0004-0000-0B00-0000D4030000}"/>
    <hyperlink ref="BD508" r:id="rId982" display="https://static.redstone.rs/games/heart-royale/" xr:uid="{00000000-0004-0000-0B00-0000D5030000}"/>
    <hyperlink ref="N509" r:id="rId983" display="https://drive.google.com/file/d/1aQMoqx1Q0PxgTRx-QfcLaCK7eHBA4cDj/view?usp=drive_link" xr:uid="{00000000-0004-0000-0B00-0000D6030000}"/>
    <hyperlink ref="O509" r:id="rId984" display="https://drive.google.com/file/d/1ezyMekXOVMpheGJbphiWWp4EOr-96GWP/view?usp=drive_link" xr:uid="{00000000-0004-0000-0B00-0000D7030000}"/>
    <hyperlink ref="AN509" r:id="rId985" display="https://static.redstone.rs/games/reel-x5-27-ways/" xr:uid="{00000000-0004-0000-0B00-0000D8030000}"/>
    <hyperlink ref="BD509" r:id="rId986" display="https://static.redstone.rs/games/reel-x5-27-ways/" xr:uid="{00000000-0004-0000-0B00-0000D9030000}"/>
    <hyperlink ref="N510" r:id="rId987" display="https://drive.google.com/file/d/12E3WH7zMmakKE9xQtqyckajMvhnbC-Hr/view?usp=drive_link" xr:uid="{00000000-0004-0000-0B00-0000DA030000}"/>
    <hyperlink ref="O510" r:id="rId988" display="https://drive.google.com/file/d/19ze_Zg77kWqTu22_FVM6AbHjo7vnCW-j/view?usp=drive_link" xr:uid="{00000000-0004-0000-0B00-0000DB030000}"/>
    <hyperlink ref="AN510" r:id="rId989" display="https://static.redstone.rs/games/crown-drop/" xr:uid="{00000000-0004-0000-0B00-0000DC030000}"/>
    <hyperlink ref="BD510" r:id="rId990" display="https://static.redstone.rs/games/crown-drop/" xr:uid="{00000000-0004-0000-0B00-0000DD030000}"/>
    <hyperlink ref="N511" r:id="rId991" display="https://drive.google.com/file/d/12E3WH7zMmakKE9xQtqyckajMvhnbC-Hr/view?usp=drive_link" xr:uid="{00000000-0004-0000-0B00-0000DE030000}"/>
    <hyperlink ref="O511" r:id="rId992" display="https://drive.google.com/file/d/19ze_Zg77kWqTu22_FVM6AbHjo7vnCW-j/view?usp=drive_link" xr:uid="{00000000-0004-0000-0B00-0000DF030000}"/>
    <hyperlink ref="AN511" r:id="rId993" display="https://static.redstone.rs/games/5-clover-fire-6-reels/" xr:uid="{00000000-0004-0000-0B00-0000E0030000}"/>
    <hyperlink ref="BD511" r:id="rId994" display="https://static.redstone.rs/games/5-clover-fire-6-reels/" xr:uid="{00000000-0004-0000-0B00-0000E1030000}"/>
    <hyperlink ref="N512" r:id="rId995" display="https://drive.google.com/file/d/1VacTNVGL_aAgcRqDK1PiGT2sJWAclThw/view?usp=drive_link" xr:uid="{00000000-0004-0000-0B00-0000E2030000}"/>
    <hyperlink ref="O512" r:id="rId996" display="https://drive.google.com/file/d/1o6AJewj4icCYI4peF3C-aGmSVPa12E4c/view?usp=drive_link" xr:uid="{00000000-0004-0000-0B00-0000E3030000}"/>
    <hyperlink ref="AN512" r:id="rId997" display="https://static.redstone.rs/games/10-extra-bank/" xr:uid="{00000000-0004-0000-0B00-0000E4030000}"/>
    <hyperlink ref="BD512" r:id="rId998" display="https://static.redstone.rs/games/10-extra-bank/" xr:uid="{00000000-0004-0000-0B00-0000E5030000}"/>
    <hyperlink ref="N513" r:id="rId999" display="https://drive.google.com/file/d/1Lm3CxFfwVfVgcvTRH5RvbJ6oclwLuqtI/view?usp=drive_link" xr:uid="{00000000-0004-0000-0B00-0000E6030000}"/>
    <hyperlink ref="O513" r:id="rId1000" display="https://drive.google.com/file/d/1PNTSXbNOv7IUVWEaPyuY1S9I2kNKYxok/view?usp=drive_link" xr:uid="{00000000-0004-0000-0B00-0000E7030000}"/>
    <hyperlink ref="AN513" r:id="rId1001" display="https://static.redstone.rs/games/sevens-heaven/" xr:uid="{00000000-0004-0000-0B00-0000E8030000}"/>
    <hyperlink ref="BD513" r:id="rId1002" display="https://static.redstone.rs/games/sevens-heaven/" xr:uid="{00000000-0004-0000-0B00-0000E9030000}"/>
    <hyperlink ref="N514" r:id="rId1003" display="https://drive.google.com/file/d/14aIlIqcZg1Skq3bwzv1xwbhfZKAM3Afg/view?usp=drive_link" xr:uid="{00000000-0004-0000-0B00-0000EA030000}"/>
    <hyperlink ref="O514" r:id="rId1004" display="https://drive.google.com/file/d/1yBoSRTbPDKFVw5zsHcyLBdPtQIqkS0QY/view?usp=drive_link" xr:uid="{00000000-0004-0000-0B00-0000EB030000}"/>
    <hyperlink ref="AN514" r:id="rId1005" display="https://static.redstone.rs/games/777-extra-chance/" xr:uid="{00000000-0004-0000-0B00-0000EC030000}"/>
    <hyperlink ref="BD514" r:id="rId1006" display="https://static.redstone.rs/games/777-extra-chance/" xr:uid="{00000000-0004-0000-0B00-0000ED030000}"/>
    <hyperlink ref="N517" r:id="rId1007" display="https://drive.google.com/file/d/1sozgxAOMJhmouetXB1qT8TA_QKMRoOeC/view?usp=drive_link" xr:uid="{00000000-0004-0000-0B00-0000EE030000}"/>
    <hyperlink ref="O517" r:id="rId1008" display="https://drive.google.com/file/d/1wVT1F3jhJ2gCAvE-C8Xt1INuqdOIXZPh/view?usp=drive_link" xr:uid="{00000000-0004-0000-0B00-0000EF030000}"/>
    <hyperlink ref="AN517" r:id="rId1009" display="https://static.redstone.rs/games/divine-strike/" xr:uid="{00000000-0004-0000-0B00-0000F0030000}"/>
    <hyperlink ref="BD517" r:id="rId1010" display="https://static.redstone.rs/games/divine-strike/" xr:uid="{00000000-0004-0000-0B00-0000F1030000}"/>
    <hyperlink ref="AN526" r:id="rId1011" display="https://onlinegamespromo.fazi.rs/Home/IntegrationGameLaunch?moneyType=0&amp;gameName=UnicornEnchantedGems&amp;platform=desktop&amp;languageCode=eng&amp;currency=EUR" xr:uid="{00000000-0004-0000-0B00-0000F2030000}"/>
    <hyperlink ref="BD526" r:id="rId1012" display="https://gameserver-store-client-area.orbionlimited.com/Home/IntegrationGameLaunch/client-area?moneyType=0&amp;gameName=UnicornEnchantedGems&amp;platform=desktop&amp;languageCode=eng&amp;currency=EUR" xr:uid="{00000000-0004-0000-0B00-0000F3030000}"/>
    <hyperlink ref="AN527" r:id="rId1013" display="https://onlinegamespromo.fazi.rs/Home/IntegrationGameLaunch?moneyType=0&amp;gameName=UnicornSupremeSevensDice&amp;platform=desktop&amp;languageCode=eng&amp;currency=EUR" xr:uid="{00000000-0004-0000-0B00-0000F4030000}"/>
    <hyperlink ref="BD527" r:id="rId1014" display="https://gameserver-store-client-area.orbionlimited.com/Home/IntegrationGameLaunch/client-area?moneyType=0&amp;gameName=UnicornSupremeSevensDice&amp;platform=desktop&amp;languageCode=eng&amp;currency=EUR" xr:uid="{00000000-0004-0000-0B00-0000F5030000}"/>
    <hyperlink ref="AN528" r:id="rId1015" display="https://onlinegamespromo.fazi.rs/Home/IntegrationGameLaunch?moneyType=0&amp;gameName=UnicornReelyWildReels&amp;platform=desktop&amp;languageCode=eng&amp;currency=EUR" xr:uid="{00000000-0004-0000-0B00-0000F6030000}"/>
    <hyperlink ref="BD528" r:id="rId1016" display="https://gameserver-store-client-area.orbionlimited.com/Home/IntegrationGameLaunch/client-area?moneyType=0&amp;gameName=UnicornReelyWildReels&amp;platform=desktop&amp;languageCode=eng&amp;currency=EUR" xr:uid="{00000000-0004-0000-0B00-0000F7030000}"/>
    <hyperlink ref="AN529" r:id="rId1017" display="https://onlinegamespromo.fazi.rs/Home/IntegrationGameLaunch?moneyType=0&amp;gameName=UnicornDynamiteEscape&amp;platform=desktop&amp;languageCode=eng&amp;currency=EUR" xr:uid="{00000000-0004-0000-0B00-0000F8030000}"/>
    <hyperlink ref="BD529" r:id="rId1018" display="https://gameserver-store-client-area.orbionlimited.com/Home/IntegrationGameLaunch/client-area?moneyType=0&amp;gameName=UnicornDynamiteEscape&amp;platform=desktop&amp;languageCode=eng&amp;currency=EUR" xr:uid="{00000000-0004-0000-0B00-0000F9030000}"/>
    <hyperlink ref="AN530" r:id="rId1019" display="https://onlinegamespromo.fazi.rs/Home/IntegrationGameLaunch?moneyType=0&amp;gameName=UnicornBuffaloSevensJackpot&amp;platform=desktop&amp;languageCode=eng&amp;currency=EUR" xr:uid="{00000000-0004-0000-0B00-0000FA030000}"/>
    <hyperlink ref="BD530" r:id="rId1020" display="https://gameserver-store-client-area.orbionlimited.com/Home/IntegrationGameLaunch/client-area?moneyType=0&amp;gameName=UnicornBuffaloSevensJackpot&amp;platform=desktop&amp;languageCode=eng&amp;currency=EUR" xr:uid="{00000000-0004-0000-0B00-0000FB030000}"/>
    <hyperlink ref="AN531" r:id="rId1021" display="https://onlinegamespromo.fazi.rs/Home/IntegrationGameLaunch?moneyType=0&amp;gameName=UnicornScatterKaChing&amp;platform=desktop&amp;languageCode=eng&amp;currency=EUR" xr:uid="{00000000-0004-0000-0B00-0000FC030000}"/>
    <hyperlink ref="BD531" r:id="rId1022" display="https://gameserver-store-client-area.orbionlimited.com/Home/IntegrationGameLaunch/client-area?moneyType=0&amp;gameName=UnicornScatterKaChing&amp;platform=desktop&amp;languageCode=eng&amp;currency=EUR" xr:uid="{00000000-0004-0000-0B00-0000FD030000}"/>
    <hyperlink ref="AN532" r:id="rId1023" display="https://onlinegamespromo.fazi.rs/Home/IntegrationGameLaunch?moneyType=0&amp;gameName=UnicornFruitPlay&amp;platform=desktop&amp;languageCode=eng&amp;currency=EUR" xr:uid="{00000000-0004-0000-0B00-0000FE030000}"/>
    <hyperlink ref="BD532" r:id="rId1024" display="https://gameserver-store-client-area.orbionlimited.com/Home/IntegrationGameLaunch/client-area?moneyType=0&amp;gameName=UnicornFruitPlay&amp;platform=desktop&amp;languageCode=eng&amp;currency=EUR" xr:uid="{00000000-0004-0000-0B00-0000FF030000}"/>
    <hyperlink ref="AN533" r:id="rId1025" display="https://onlinegamespromo.fazi.rs/Home/IntegrationGameLaunch?moneyType=0&amp;gameName=UnicornFruitIslandJackpot&amp;platform=desktop&amp;languageCode=eng&amp;currency=EUR" xr:uid="{00000000-0004-0000-0B00-000000040000}"/>
    <hyperlink ref="BD533" r:id="rId1026" display="https://gameserver-store-client-area.orbionlimited.com/Home/IntegrationGameLaunch/client-area?moneyType=0&amp;gameName=UnicornFruitIslandJackpot&amp;platform=desktop&amp;languageCode=eng&amp;currency=EUR" xr:uid="{00000000-0004-0000-0B00-000001040000}"/>
    <hyperlink ref="AN534" r:id="rId1027" display="https://onlinegamespromo.fazi.rs/Home/IntegrationGameLaunch?moneyType=0&amp;gameName=UnicornCollectCall&amp;platform=desktop&amp;languageCode=eng&amp;currency=EUR" xr:uid="{00000000-0004-0000-0B00-000002040000}"/>
    <hyperlink ref="BD534" r:id="rId1028" display="https://gameserver-store-client-area.orbionlimited.com/Home/IntegrationGameLaunch/client-area?moneyType=0&amp;gameName=UnicornCollectCall&amp;platform=desktop&amp;languageCode=eng&amp;currency=EUR" xr:uid="{00000000-0004-0000-0B00-000003040000}"/>
    <hyperlink ref="AN535" r:id="rId1029" display="https://onlinegamespromo.fazi.rs/Home/IntegrationGameLaunch?moneyType=0&amp;gameName=UnicornCoyoteSevensHalloween&amp;platform=desktop&amp;languageCode=eng&amp;currency=EUR" xr:uid="{00000000-0004-0000-0B00-000004040000}"/>
    <hyperlink ref="BD535" r:id="rId1030" display="https://gameserver-store-client-area.orbionlimited.com/Home/IntegrationGameLaunch/client-area?moneyType=0&amp;gameName=UnicornCoyoteSevensHalloween&amp;platform=desktop&amp;languageCode=eng&amp;currency=EUR" xr:uid="{00000000-0004-0000-0B00-000005040000}"/>
    <hyperlink ref="AN536" r:id="rId1031" display="https://onlinegamespromo.fazi.rs/Home/IntegrationGameLaunch?moneyType=0&amp;gameName=UnicornLavaGems&amp;platform=desktop&amp;languageCode=eng&amp;currency=EUR" xr:uid="{00000000-0004-0000-0B00-000006040000}"/>
    <hyperlink ref="BD536" r:id="rId1032" display="https://gameserver-store-client-area.orbionlimited.com/Home/IntegrationGameLaunch/client-area?moneyType=0&amp;gameName=UnicornLavaGems&amp;platform=desktop&amp;languageCode=eng&amp;currency=EUR" xr:uid="{00000000-0004-0000-0B00-000007040000}"/>
    <hyperlink ref="AN537" r:id="rId1033" display="https://onlinegamespromo.fazi.rs/Home/IntegrationGameLaunch?moneyType=0&amp;gameName=UnicornTheKingsHalloween&amp;platform=desktop&amp;languageCode=eng&amp;currency=EUR" xr:uid="{00000000-0004-0000-0B00-000008040000}"/>
    <hyperlink ref="BD537" r:id="rId1034" display="https://gameserver-store-client-area.orbionlimited.com/Home/IntegrationGameLaunch/client-area?moneyType=0&amp;gameName=UnicornTheKingsHalloween&amp;platform=desktop&amp;languageCode=eng&amp;currency=EUR" xr:uid="{00000000-0004-0000-0B00-000009040000}"/>
    <hyperlink ref="AN538" r:id="rId1035" display="https://onlinegamespromo.fazi.rs/Home/IntegrationGameLaunch?moneyType=0&amp;gameName=WildSunFlower&amp;lobbyUrl=https://www.fazi-interactive.com/" xr:uid="{00000000-0004-0000-0B00-00000A040000}"/>
    <hyperlink ref="BD538" r:id="rId1036" display="https://gameserver-store-client-area.orbionlimited.com/Home/IntegrationGameLaunch/client-area?moneyType=0&amp;gameName=WildSunflower&amp;platform=desktop&amp;languageCode=eng&amp;currency=EUR" xr:uid="{00000000-0004-0000-0B00-00000B040000}"/>
    <hyperlink ref="AN539" r:id="rId1037" display="https://onlinegamespromo.fazi.rs/Home/IntegrationGameLaunch?moneyType=0&amp;gameName=GoldenCrownMaxBooster&amp;platform=desktop&amp;languageCode=eng&amp;currency=EUR" xr:uid="{00000000-0004-0000-0B00-00000C040000}"/>
    <hyperlink ref="BD539" r:id="rId1038" display="https://gameserver-store-client-area.orbionlimited.com/Home/IntegrationGameLaunch/client-area?moneyType=0&amp;gameName=GoldenCrownMaxBooster&amp;platform=desktop&amp;languageCode=eng&amp;currency=EUR" xr:uid="{00000000-0004-0000-0B00-00000D040000}"/>
    <hyperlink ref="AN540" r:id="rId1039" display="https://onlinegamespromo.fazi.rs/Home/IntegrationGameLaunch?moneyType=0&amp;gameName=VeryHot40Booster&amp;platform=desktop&amp;languageCode=eng&amp;currency=EUR" xr:uid="{00000000-0004-0000-0B00-00000E040000}"/>
    <hyperlink ref="BD540" r:id="rId1040" display="https://gameserver-store-client-area.orbionlimited.com/Home/IntegrationGameLaunch/client-area?moneyType=0&amp;gameName=VeryHot40Booster&amp;platform=desktop&amp;languageCode=eng&amp;currency=EUR" xr:uid="{00000000-0004-0000-0B00-00000F040000}"/>
    <hyperlink ref="AN541" r:id="rId1041" display="https://onlinegamespromo.fazi.rs/Home/IntegrationGameLaunch?moneyType=0&amp;gameName=GoldenCrown40&amp;platform=desktop&amp;languageCode=eng&amp;currency=EUR" xr:uid="{00000000-0004-0000-0B00-000010040000}"/>
    <hyperlink ref="BD541" r:id="rId1042" display="https://gameserver-store-client-area.orbionlimited.com/Home/IntegrationGameLaunch/client-area?moneyType=0&amp;gameName=GoldenCrown40Booster&amp;platform=desktop&amp;languageCode=eng&amp;currency=EUR" xr:uid="{00000000-0004-0000-0B00-000011040000}"/>
    <hyperlink ref="AN542" r:id="rId1043" display="https://onlinegamespromo.fazi.rs/Home/IntegrationGameLaunch?moneyType=0&amp;gameName=BlowFruits40&amp;platform=desktop&amp;languageCode=eng&amp;currency=EUR" xr:uid="{00000000-0004-0000-0B00-000012040000}"/>
    <hyperlink ref="BD542" r:id="rId1044" display="https://gameserver-store-client-area.orbionlimited.com/Home/IntegrationGameLaunch/client-area?moneyType=0&amp;gameName=BrilliantHeartBooster&amp;platform=desktop&amp;languageCode=eng&amp;currency=EUR" xr:uid="{00000000-0004-0000-0B00-000013040000}"/>
    <hyperlink ref="AN543" r:id="rId1045" display="https://onlinegamespromo.fazi.rs/Home/IntegrationGameLaunch?moneyType=0&amp;gameName=EpicClover100Booster&amp;platform=desktop&amp;languageCode=eng&amp;currency=EUR" xr:uid="{00000000-0004-0000-0B00-000014040000}"/>
    <hyperlink ref="BD543" r:id="rId1046" display="https://gameserver-store-client-area.orbionlimited.com/Home/IntegrationGameLaunch/client-area?moneyType=0&amp;gameName=EpicClover100Booster&amp;platform=desktop&amp;languageCode=eng&amp;currency=EUR" xr:uid="{00000000-0004-0000-0B00-000015040000}"/>
    <hyperlink ref="N545" r:id="rId1047" display="https://docs.google.com/document/d/1z_oBmRrusRG8QoBsKB7r1hO9I9nEW2i3/edit?usp=drive_link&amp;ouid=114298052477200652286&amp;rtpof=true&amp;sd=true" xr:uid="{00000000-0004-0000-0B00-000016040000}"/>
    <hyperlink ref="O545" r:id="rId1048" display="https://docs.google.com/document/d/1rFw9hKKp68GvTh-Nl3jKCE82IHC5AboA/edit?usp=drive_link&amp;ouid=114298052477200652286&amp;rtpof=true&amp;sd=true" xr:uid="{00000000-0004-0000-0B00-000017040000}"/>
    <hyperlink ref="AN545" r:id="rId1049" display="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xr:uid="{00000000-0004-0000-0B00-000018040000}"/>
    <hyperlink ref="BD545" r:id="rId1050" display="https://gameserver-store-client-area.orbionlimited.com/Home/IntegrationGameLaunch/client-area?moneyType=0&amp;gameName=CoinSplashExtreme&amp;platform=desktop&amp;languageCode=eng&amp;currency=EUR" xr:uid="{00000000-0004-0000-0B00-000019040000}"/>
    <hyperlink ref="N546" r:id="rId1051" display="https://drive.google.com/drive/folders/15If-w8kO7AuO2xHYBS8w2z47YmBhdYIa?usp=drive_link" xr:uid="{00000000-0004-0000-0B00-00001A040000}"/>
    <hyperlink ref="O546" r:id="rId1052" display="https://drive.google.com/drive/folders/15If-w8kO7AuO2xHYBS8w2z47YmBhdYIa?usp=drive_link" xr:uid="{00000000-0004-0000-0B00-00001B040000}"/>
    <hyperlink ref="AN546" r:id="rId1053" display="https://gameserver-store-dev-03.fazi.rs/Home/IntegrationGameLaunch/fazi-stg16-03?moneyType=0&amp;gameName=HotClock&amp;currency=eur&amp;languageCode=eng" xr:uid="{00000000-0004-0000-0B00-00001C040000}"/>
    <hyperlink ref="BD546" r:id="rId1054" display="https://gameserver-store-client-area.orbionlimited.com/Home/IntegrationGameLaunch/client-area?moneyType=0&amp;gameName=HotClock&amp;platform=desktop&amp;languageCode=eng&amp;currency=EUR" xr:uid="{00000000-0004-0000-0B00-00001D040000}"/>
    <hyperlink ref="N547" r:id="rId1055" display="https://docs.google.com/document/d/1wQKvroH717U3Tz5iLDLHctfsGMzwXNTX/edit?usp=drive_link&amp;ouid=107596163405648766688&amp;rtpof=true&amp;sd=true" xr:uid="{00000000-0004-0000-0B00-00001E040000}"/>
    <hyperlink ref="O547" r:id="rId1056" display="https://docs.google.com/document/d/1IwYx_XrjmbWMYmCnxTslCwFx2GC9xycX/edit?usp=drive_link&amp;ouid=107596163405648766688&amp;rtpof=true&amp;sd=true" xr:uid="{00000000-0004-0000-0B00-00001F040000}"/>
    <hyperlink ref="AN547" r:id="rId1057" display="https://static.redstone.rs/games/10-wild-crown-halloween/" xr:uid="{00000000-0004-0000-0B00-000020040000}"/>
    <hyperlink ref="BD547" r:id="rId1058" display="https://static.redstone.rs/games/10-wild-crown-halloween/" xr:uid="{00000000-0004-0000-0B00-000021040000}"/>
    <hyperlink ref="N548" r:id="rId1059" display="https://docs.google.com/document/d/1JUWW4nQltXBbyiLWnANAsePI56Gc7bx6/edit?usp=drive_link&amp;ouid=107596163405648766688&amp;rtpof=true&amp;sd=true" xr:uid="{00000000-0004-0000-0B00-000022040000}"/>
    <hyperlink ref="O548" r:id="rId1060" display="https://docs.google.com/document/d/1s_5ZB5oz6OlIkYiPyUg17u852A4cHd_l/edit?usp=drive_link&amp;ouid=107596163405648766688&amp;rtpof=true&amp;sd=true" xr:uid="{00000000-0004-0000-0B00-000023040000}"/>
    <hyperlink ref="AN548" r:id="rId1061" display="https://static.redstone.rs/games/5-clover-fire-halloween/" xr:uid="{00000000-0004-0000-0B00-000024040000}"/>
    <hyperlink ref="BD548" r:id="rId1062" display="https://static.redstone.rs/games/5-clover-fire-halloween/" xr:uid="{00000000-0004-0000-0B00-000025040000}"/>
    <hyperlink ref="AN549" r:id="rId1063" display="https://onlinegamespromo.fazi.rs/Home/IntegrationGameLaunch?moneyType=0&amp;gameName=FruitLock7&amp;platform=desktop&amp;languageCode=eng&amp;currency=EUR" xr:uid="{00000000-0004-0000-0B00-000026040000}"/>
    <hyperlink ref="BD549" r:id="rId1064" display="https://gameserver-store-client-area.orbionlimited.com/Home/IntegrationGameLaunch/client-area?moneyType=0&amp;gameName=FruitLock7&amp;platform=desktop&amp;languageCode=eng&amp;currency=EUR" xr:uid="{00000000-0004-0000-0B00-000027040000}"/>
    <hyperlink ref="AN550" r:id="rId1065" display="https://onlinegamespromo.fazi.rs/Home/IntegrationGameLaunch?moneyType=0&amp;gameName=GoldenCrown&amp;platform=desktop&amp;languageCode=eng&amp;currency=EUR" xr:uid="{00000000-0004-0000-0B00-000028040000}"/>
    <hyperlink ref="BD550" r:id="rId1066" display="https://gameserver-store-client-area.orbionlimited.com/Home/IntegrationGameLaunch/client-area?moneyType=0&amp;gameName=GoldenCrownHalloween&amp;platform=desktop&amp;languageCode=eng&amp;currency=EUR" xr:uid="{00000000-0004-0000-0B00-000029040000}"/>
    <hyperlink ref="AN551" r:id="rId1067" display="https://onlinegamespromo.fazi.rs/Home/IntegrationGameLaunch?moneyType=0&amp;gameName=Wild27Halloween&amp;lobbyUrl=https://www.fazi-interactive.com/" xr:uid="{00000000-0004-0000-0B00-00002A040000}"/>
    <hyperlink ref="BD551" r:id="rId1068" display="https://gameserver-store-client-area.orbionlimited.com/Home/IntegrationGameLaunch/client-area?moneyType=0&amp;gameName=Wild27Halloween&amp;platform=desktop&amp;languageCode=eng&amp;currency=EUR" xr:uid="{00000000-0004-0000-0B00-00002B040000}"/>
    <hyperlink ref="AN557" r:id="rId1069" display="https://onlinegamespromo.fazi.rs/Home/IntegrationGameLaunch?moneyType=0&amp;gameName=UnicornSuperHighRunner&amp;platform=desktop&amp;languageCode=eng&amp;currency=EUR" xr:uid="{00000000-0004-0000-0B00-00002C040000}"/>
    <hyperlink ref="BD557" r:id="rId1070" display="https://gameserver-store-client-area.orbionlimited.com/Home/IntegrationGameLaunch/client-area?moneyType=0&amp;gameName=UnicornSuperHighRunner&amp;platform=desktop&amp;languageCode=eng&amp;currency=EUR" xr:uid="{00000000-0004-0000-0B00-00002D040000}"/>
    <hyperlink ref="AN558" r:id="rId1071" display="https://onlinegamespromo.fazi.rs/Home/IntegrationGameLaunch?moneyType=0&amp;gameName=PlayNetBrewmastersBank&amp;platform=desktop&amp;languageCode=eng&amp;currency=EUR" xr:uid="{00000000-0004-0000-0B00-00002E040000}"/>
    <hyperlink ref="BD558" r:id="rId1072" display="https://gameserver-store-client-area.orbionlimited.com/Home/IntegrationGameLaunch/client-area?moneyType=0&amp;gameName=PlayNetBrewmastersBank&amp;platform=desktop&amp;languageCode=eng&amp;currency=EUR" xr:uid="{00000000-0004-0000-0B00-00002F040000}"/>
    <hyperlink ref="AN559" r:id="rId1073" display="https://onlinegamespromo.fazi.rs/Home/IntegrationGameLaunch?moneyType=0&amp;gameName=UnicornBigSpinDice&amp;platform=desktop&amp;languageCode=eng&amp;currency=EUR" xr:uid="{00000000-0004-0000-0B00-000030040000}"/>
    <hyperlink ref="BD559" r:id="rId1074" display="https://gameserver-store-client-area.orbionlimited.com/Home/IntegrationGameLaunch/client-area?moneyType=0&amp;gameName=UnicornBigSpinDice&amp;platform=desktop&amp;languageCode=eng&amp;currency=EUR" xr:uid="{00000000-0004-0000-0B00-000031040000}"/>
    <hyperlink ref="AN560" r:id="rId1075" display="https://onlinegamespromo.fazi.rs/Home/IntegrationGameLaunch?moneyType=0&amp;gameName=UnicornFruitIslandDice&amp;platform=desktop&amp;languageCode=eng&amp;currency=EUR" xr:uid="{00000000-0004-0000-0B00-000032040000}"/>
    <hyperlink ref="BD560" r:id="rId1076" display="https://gameserver-store-client-area.orbionlimited.com/Home/IntegrationGameLaunch/client-area?moneyType=0&amp;gameName=UnicornFruitIslandDice&amp;platform=desktop&amp;languageCode=eng&amp;currency=EUR" xr:uid="{00000000-0004-0000-0B00-000033040000}"/>
    <hyperlink ref="AN561" r:id="rId1077" display="https://onlinegamespromo.fazi.rs/Home/IntegrationGameLaunch?moneyType=0&amp;gameName=UnicornStormDice&amp;platform=desktop&amp;languageCode=eng&amp;currency=EUR" xr:uid="{00000000-0004-0000-0B00-000034040000}"/>
    <hyperlink ref="BD561" r:id="rId1078" display="https://gameserver-store-client-area.orbionlimited.com/Home/IntegrationGameLaunch/client-area?moneyType=0&amp;gameName=UnicornStormDice&amp;platform=desktop&amp;languageCode=eng&amp;currency=EUR" xr:uid="{00000000-0004-0000-0B00-000035040000}"/>
    <hyperlink ref="AN562" r:id="rId1079" display="https://onlinegamespromo.fazi.rs/Home/IntegrationGameLaunch?moneyType=0&amp;gameName=UnicornSantasRudolf&amp;platform=desktop&amp;languageCode=eng&amp;currency=EUR" xr:uid="{00000000-0004-0000-0B00-000036040000}"/>
    <hyperlink ref="BD562" r:id="rId1080" display="https://gameserver-store-client-area.orbionlimited.com/Home/IntegrationGameLaunch/client-area?moneyType=0&amp;gameName=UnicornSantasRudolf&amp;platform=desktop&amp;languageCode=eng&amp;currency=EUR" xr:uid="{00000000-0004-0000-0B00-000037040000}"/>
    <hyperlink ref="AN563" r:id="rId1081" display="https://onlinegamespromo.fazi.rs/Home/IntegrationGameLaunch?moneyType=0&amp;gameName=UnicornGoldLineGems&amp;platform=desktop&amp;languageCode=eng&amp;currency=EUR" xr:uid="{00000000-0004-0000-0B00-000038040000}"/>
    <hyperlink ref="BD563" r:id="rId1082" display="https://gameserver-store-client-area.orbionlimited.com/Home/IntegrationGameLaunch/client-area?moneyType=0&amp;gameName=UnicornGoldLineGems&amp;platform=desktop&amp;languageCode=eng&amp;currency=EUR" xr:uid="{00000000-0004-0000-0B00-000039040000}"/>
    <hyperlink ref="AN564" r:id="rId1083" display="https://onlinegamespromo.fazi.rs/Home/IntegrationGameLaunch?moneyType=0&amp;gameName=UnicornChristmasPresents2025&amp;platform=desktop&amp;languageCode=eng&amp;currency=EUR" xr:uid="{00000000-0004-0000-0B00-00003A040000}"/>
    <hyperlink ref="BD564" r:id="rId1084" display="https://gameserver-store-client-area.orbionlimited.com/Home/IntegrationGameLaunch/client-area?moneyType=0&amp;gameName=UnicornChristmasPresents2025&amp;platform=desktop&amp;languageCode=eng&amp;currency=EUR" xr:uid="{00000000-0004-0000-0B00-00003B040000}"/>
    <hyperlink ref="AN565" r:id="rId1085" display="https://onlinegamespromo.fazi.rs/Home/IntegrationGameLaunch?moneyType=0&amp;gameName=UnicornMoneyStandardPlatinum&amp;platform=desktop&amp;languageCode=eng&amp;currency=EUR" xr:uid="{00000000-0004-0000-0B00-00003C040000}"/>
    <hyperlink ref="BD565" r:id="rId1086" display="https://gameserver-store-client-area.orbionlimited.com/Home/IntegrationGameLaunch/client-area?moneyType=0&amp;gameName=UnicornMoneyStandardPlatinum&amp;platform=desktop&amp;languageCode=eng&amp;currency=EUR" xr:uid="{00000000-0004-0000-0B00-00003D040000}"/>
    <hyperlink ref="AN566" r:id="rId1087" display="https://onlinegamespromo.fazi.rs/Home/IntegrationGameLaunch?moneyType=0&amp;gameName=UnicornFruitMultipliers&amp;platform=desktop&amp;languageCode=eng&amp;currency=EUR" xr:uid="{00000000-0004-0000-0B00-00003E040000}"/>
    <hyperlink ref="BD566" r:id="rId1088" display="https://gameserver-store-client-area.orbionlimited.com/Home/IntegrationGameLaunch/client-area?moneyType=0&amp;gameName=UnicornFruitMultipliers&amp;platform=desktop&amp;languageCode=eng&amp;currency=EUR" xr:uid="{00000000-0004-0000-0B00-00003F040000}"/>
    <hyperlink ref="AN567" r:id="rId1089" display="https://onlinegamespromo.fazi.rs/Home/IntegrationGameLaunch?moneyType=0&amp;gameName=UnicornSevensPay&amp;platform=desktop&amp;languageCode=eng&amp;currency=EUR" xr:uid="{00000000-0004-0000-0B00-000040040000}"/>
    <hyperlink ref="BD567" r:id="rId1090" display="https://gameserver-store-client-area.orbionlimited.com/Home/IntegrationGameLaunch/client-area?moneyType=0&amp;gameName=UnicornSevensPay&amp;platform=desktop&amp;languageCode=eng&amp;currency=EUR" xr:uid="{00000000-0004-0000-0B00-000041040000}"/>
    <hyperlink ref="AN568" r:id="rId1091" display="https://onlinegamespromo.fazi.rs/Home/IntegrationGameLaunch?moneyType=0&amp;gameName=PlayNetMajesticCrown40&amp;platform=desktop&amp;languageCode=eng&amp;currency=EUR" xr:uid="{00000000-0004-0000-0B00-000042040000}"/>
    <hyperlink ref="BD568" r:id="rId1092" display="https://gameserver-store-client-area.orbionlimited.com/Home/IntegrationGameLaunch/client-area?moneyType=0&amp;gameName=PlayNetMajesticCrown40&amp;platform=desktop&amp;languageCode=eng&amp;currency=EUR" xr:uid="{00000000-0004-0000-0B00-000043040000}"/>
    <hyperlink ref="AN569" r:id="rId1093" display="https://onlinegamespromo.fazi.rs/Home/IntegrationGameLaunch?moneyType=0&amp;gameName=PlayNetNeptunesJewels&amp;platform=desktop&amp;languageCode=eng&amp;currency=EUR" xr:uid="{00000000-0004-0000-0B00-000044040000}"/>
    <hyperlink ref="BD569" r:id="rId1094" display="https://gameserver-store-client-area.orbionlimited.com/Home/IntegrationGameLaunch/client-area?moneyType=0&amp;gameName=PlayNetNeptunesJewels&amp;platform=desktop&amp;languageCode=eng&amp;currency=EUR" xr:uid="{00000000-0004-0000-0B00-000045040000}"/>
    <hyperlink ref="AN570" r:id="rId1095" display="https://onlinegamespromo.fazi.rs/Home/IntegrationGameLaunch?moneyType=0&amp;gameName=PlayNet81MagicStars&amp;platform=desktop&amp;languageCode=eng&amp;currency=EUR" xr:uid="{00000000-0004-0000-0B00-000046040000}"/>
    <hyperlink ref="BD570" r:id="rId1096" display="https://gameserver-store-client-area.orbionlimited.com/Home/IntegrationGameLaunch/client-area?moneyType=0&amp;gameName=PlayNet81MagicStars&amp;platform=desktop&amp;languageCode=eng&amp;currency=EUR" xr:uid="{00000000-0004-0000-0B00-000047040000}"/>
    <hyperlink ref="N571" r:id="rId1097" display="https://docs.google.com/document/d/1sH6XUlpwEM0tyHiJJZHQSuyJNQCPan13/edit?usp=drive_link&amp;ouid=107596163405648766688&amp;rtpof=true&amp;sd=true" xr:uid="{00000000-0004-0000-0B00-000048040000}"/>
    <hyperlink ref="O571" r:id="rId1098" display="https://docs.google.com/document/d/1JYKWuP-KVnSWFW5rQ1bh3IyFyT5Gyik5/edit?usp=drive_link&amp;ouid=107596163405648766688&amp;rtpof=true&amp;sd=true" xr:uid="{00000000-0004-0000-0B00-000049040000}"/>
    <hyperlink ref="AN571" r:id="rId1099" display="https://static.redstone.rs/games/clover-field-40/" xr:uid="{00000000-0004-0000-0B00-00004A040000}"/>
    <hyperlink ref="BD571" r:id="rId1100" display="https://static.redstone.rs/games/clover-field-40/" xr:uid="{00000000-0004-0000-0B00-00004B040000}"/>
    <hyperlink ref="AN572" r:id="rId1101" display="https://onlinegamespromo.fazi.rs/Home/IntegrationGameLaunch?moneyType=0&amp;gameName=PlayNetElfAndRoll&amp;platform=desktop&amp;languageCode=eng&amp;currency=EUR" xr:uid="{00000000-0004-0000-0B00-00004C040000}"/>
    <hyperlink ref="BD572" r:id="rId1102" display="https://gameserver-store-client-area.orbionlimited.com/Home/IntegrationGameLaunch/client-area?moneyType=0&amp;gameName=PlayNetElfAndRoll&amp;platform=desktop&amp;languageCode=eng&amp;currency=EUR" xr:uid="{00000000-0004-0000-0B00-00004D040000}"/>
    <hyperlink ref="N573" r:id="rId1103" display="https://docs.google.com/document/d/1xtsilRluhzm1KI6FDEQ7opNOnITAA9Tw/edit?usp=drive_link&amp;ouid=107596163405648766688&amp;rtpof=true&amp;sd=true" xr:uid="{00000000-0004-0000-0B00-00004E040000}"/>
    <hyperlink ref="O573" r:id="rId1104" display="https://docs.google.com/document/d/11FY-e__Z3N_KJDK2EjKnCASsruOiCOfn/edit?usp=drive_link&amp;ouid=107596163405648766688&amp;rtpof=true&amp;sd=true" xr:uid="{00000000-0004-0000-0B00-00004F040000}"/>
    <hyperlink ref="AN573" r:id="rId1105" display="https://static.redstone.rs/games/multi-heart-5/" xr:uid="{00000000-0004-0000-0B00-000050040000}"/>
    <hyperlink ref="BD573" r:id="rId1106" display="https://static.redstone.rs/games/multi-heart-5/" xr:uid="{00000000-0004-0000-0B00-000051040000}"/>
    <hyperlink ref="AN574" r:id="rId1107" display="https://static.redstone.rs/games/20-wild-heart/" xr:uid="{00000000-0004-0000-0B00-000052040000}"/>
    <hyperlink ref="BD574" r:id="rId1108" display="https://static.redstone.rs/games/20-wild-heart/" xr:uid="{00000000-0004-0000-0B00-000053040000}"/>
    <hyperlink ref="AN575" r:id="rId1109" display="https://onlinegamespromo.fazi.rs/Home/IntegrationGameLaunch?moneyType=0&amp;gameName=PlayNetFortuneCloverX2Xmas&amp;platform=desktop&amp;languageCode=eng&amp;currency=EUR" xr:uid="{00000000-0004-0000-0B00-000054040000}"/>
    <hyperlink ref="N576" r:id="rId1110" display="https://docs.google.com/document/d/1VivZXUXDZhRUzt9BX4F04ZPfuh1BOlLX/edit?usp=drive_link&amp;ouid=107596163405648766688&amp;rtpof=true&amp;sd=true" xr:uid="{00000000-0004-0000-0B00-000055040000}"/>
    <hyperlink ref="O576" r:id="rId1111" display="https://docs.google.com/document/d/1LSKczJRKVsnUMYp-FOykWGNmy_rW_iFt/edit?usp=drive_link&amp;ouid=107596163405648766688&amp;rtpof=true&amp;sd=true" xr:uid="{00000000-0004-0000-0B00-000056040000}"/>
    <hyperlink ref="AN576" r:id="rId1112" display="https://static.redstone.rs/games/chilli-hot-40/" xr:uid="{00000000-0004-0000-0B00-000057040000}"/>
    <hyperlink ref="BD576" r:id="rId1113" display="https://static.redstone.rs/games/chilli-hot-40/" xr:uid="{00000000-0004-0000-0B00-000058040000}"/>
    <hyperlink ref="N577" r:id="rId1114" display="https://drive.google.com/drive/u/1/folders/1xobLzwkTCpqNacZe9peJ5JCe2x1v25FW" xr:uid="{00000000-0004-0000-0B00-000059040000}"/>
    <hyperlink ref="O577" r:id="rId1115" display="https://drive.google.com/drive/u/1/folders/1xobLzwkTCpqNacZe9peJ5JCe2x1v25FW" xr:uid="{00000000-0004-0000-0B00-00005A040000}"/>
    <hyperlink ref="N578" r:id="rId1116" display="https://docs.google.com/document/d/1eB8Zj8GpDRP7UX4wYyRxIQ6j_NzzOI15/edit?usp=drive_link&amp;ouid=107596163405648766688&amp;rtpof=true&amp;sd=true" xr:uid="{00000000-0004-0000-0B00-00005B040000}"/>
    <hyperlink ref="O578" r:id="rId1117" display="https://docs.google.com/document/d/1lt4c7fu2mMR24TV6mjkpAD6uJd9uRARo/edit?usp=drive_link&amp;ouid=107596163405648766688&amp;rtpof=true&amp;sd=true" xr:uid="{00000000-0004-0000-0B00-00005C040000}"/>
    <hyperlink ref="AN578" r:id="rId1118" display="https://static.redstone.rs/games/inferno-hot-20/" xr:uid="{00000000-0004-0000-0B00-00005D040000}"/>
    <hyperlink ref="BD578" r:id="rId1119" display="https://static.redstone.rs/games/inferno-hot-20/" xr:uid="{00000000-0004-0000-0B00-00005E040000}"/>
    <hyperlink ref="N579" r:id="rId1120" display="https://docs.google.com/document/d/1qmAXqo_q_BkgcnoVk1ggWiCI9AKtUCcO/edit?usp=drive_link&amp;ouid=107596163405648766688&amp;rtpof=true&amp;sd=true" xr:uid="{00000000-0004-0000-0B00-00005F040000}"/>
    <hyperlink ref="O579" r:id="rId1121" display="https://docs.google.com/document/d/175yAHEGjGKnpzip5wEvUxeOsdQLpQ2kU/edit?usp=drive_link&amp;ouid=107596163405648766688&amp;rtpof=true&amp;sd=true" xr:uid="{00000000-0004-0000-0B00-000060040000}"/>
    <hyperlink ref="AN579" r:id="rId1122" display="https://static.redstone.rs/games/crown-blast-40/" xr:uid="{00000000-0004-0000-0B00-000061040000}"/>
    <hyperlink ref="BD579" r:id="rId1123" display="https://static.redstone.rs/games/crown-blast-40/" xr:uid="{00000000-0004-0000-0B00-000062040000}"/>
    <hyperlink ref="AN580" r:id="rId1124" display="https://static.redstone.rs/games/crown-royale/" xr:uid="{00000000-0004-0000-0B00-000063040000}"/>
    <hyperlink ref="BD580" r:id="rId1125" display="https://static.redstone.rs/games/crown-royale/" xr:uid="{00000000-0004-0000-0B00-000064040000}"/>
    <hyperlink ref="AN581" r:id="rId1126" display="https://static.redstone.rs/games/double-clover-fire-christmas/" xr:uid="{00000000-0004-0000-0B00-000065040000}"/>
    <hyperlink ref="BD581" r:id="rId1127" display="https://static.redstone.rs/games/double-clover-fire-christmas/" xr:uid="{00000000-0004-0000-0B00-000066040000}"/>
    <hyperlink ref="N582" r:id="rId1128" display="https://docs.google.com/document/d/1pGz8v4wEYOaOb3oRWonm64YBQQLWyukQ/edit?usp=drive_link&amp;ouid=107596163405648766688&amp;rtpof=true&amp;sd=true" xr:uid="{00000000-0004-0000-0B00-000067040000}"/>
    <hyperlink ref="O582" r:id="rId1129" display="https://docs.google.com/document/d/1P0OLybWJSmCwl1aJINFLKqWmFR4_1TKT/edit?usp=drive_link&amp;ouid=107596163405648766688&amp;rtpof=true&amp;sd=true" xr:uid="{00000000-0004-0000-0B00-000068040000}"/>
    <hyperlink ref="AN582" r:id="rId1130" display="https://static.redstone.rs/games/chilli-double-40/" xr:uid="{00000000-0004-0000-0B00-000069040000}"/>
    <hyperlink ref="BD582" r:id="rId1131" display="https://static.redstone.rs/games/chilli-double-40/" xr:uid="{00000000-0004-0000-0B00-00006A040000}"/>
    <hyperlink ref="N585" r:id="rId1132" display="https://docs.google.com/document/d/14qfdOa4DH6f1LMLro6CIQl5qhYhqBTv_/edit?usp=drive_link&amp;ouid=107596163405648766688&amp;rtpof=true&amp;sd=true" xr:uid="{00000000-0004-0000-0B00-00006B040000}"/>
    <hyperlink ref="O585" r:id="rId1133" display="https://docs.google.com/document/d/1GX-x1OumJ4cDvfNLgsM7VpoBD-1Sp7L6/edit?usp=drive_link&amp;ouid=107596163405648766688&amp;rtpof=true&amp;sd=true" xr:uid="{00000000-0004-0000-0B00-00006C040000}"/>
    <hyperlink ref="AN585" r:id="rId1134" display="https://static.redstone.rs/games/respin-gems/" xr:uid="{00000000-0004-0000-0B00-00006D040000}"/>
    <hyperlink ref="BD585" r:id="rId1135" display="https://static.redstone.rs/games/respin-gems/" xr:uid="{00000000-0004-0000-0B00-00006E040000}"/>
    <hyperlink ref="N586" r:id="rId1136" display="https://docs.google.com/document/d/16mVOqNDHj0YfOy86pbA6dbbJw00ix8XV/edit?usp=drive_link&amp;ouid=107596163405648766688&amp;rtpof=true&amp;sd=true" xr:uid="{00000000-0004-0000-0B00-00006F040000}"/>
    <hyperlink ref="O586" r:id="rId1137" display="https://docs.google.com/document/d/1n3iagnwoNQgP7OEszAJZ7lrySjhjx3fU/edit?usp=drive_link&amp;ouid=107596163405648766688&amp;rtpof=true&amp;sd=true" xr:uid="{00000000-0004-0000-0B00-000070040000}"/>
    <hyperlink ref="AN586" r:id="rId1138" display="https://static.redstone.rs/games/9-of-a-kind/" xr:uid="{00000000-0004-0000-0B00-000071040000}"/>
    <hyperlink ref="BD586" r:id="rId1139" display="https://static.redstone.rs/games/9-of-a-kind/" xr:uid="{00000000-0004-0000-0B00-000072040000}"/>
    <hyperlink ref="AN587" r:id="rId1140" display="https://gameserver-store-dev-01.fazi.rs/Home/IntegrationGameLaunch/fazi-stg16?moneyType=0&amp;gameName=WildJokerHotBooster&amp;platform=desktop&amp;languageCode=eng&amp;currency=EUR" xr:uid="{00000000-0004-0000-0B00-000073040000}"/>
    <hyperlink ref="BD587" r:id="rId1141" display="https://gameserver-store-client-area.orbionlimited.com/Home/IntegrationGameLaunch/client-area?moneyType=0&amp;gameName=WildJokerHotBooster&amp;platform=desktop&amp;languageCode=eng&amp;currency=EUR" xr:uid="{00000000-0004-0000-0B00-000074040000}"/>
    <hyperlink ref="AN588" r:id="rId1142" display="https://gameserver-store-dev-01.fazi.rs/Home/IntegrationGameLaunch/fazi-stg16?moneyType=0&amp;ga%5B%E2%80%A6%5Dooster&amp;platform=desktop&amp;languageCode=eng&amp;currency=EUR" xr:uid="{00000000-0004-0000-0B00-000075040000}"/>
    <hyperlink ref="BD588" r:id="rId1143" display="https://gameserver-store-client-area.orbionlimited.com/Home/IntegrationGameLaunch/client-area?moneyType=0&amp;gameName=Money5Booster&amp;platform=desktop&amp;languageCode=eng&amp;currency=EUR" xr:uid="{00000000-0004-0000-0B00-000076040000}"/>
    <hyperlink ref="AN589" r:id="rId1144" display="https://gameserver-store-dev-01.fazi.rs/Home/IntegrationGameLaunch/fazi-stg16?moneyType=0&amp;gameName=GoldenCrownChristmasBooster&amp;platform=desktop&amp;languageCode=eng&amp;currency=EUR" xr:uid="{00000000-0004-0000-0B00-000077040000}"/>
    <hyperlink ref="BD589" r:id="rId1145" display="https://gameserver-store-client-area.orbionlimited.com/Home/IntegrationGameLaunch/client-area?moneyType=0&amp;gameName=GoldenCrownChristmasBooster&amp;platform=desktop&amp;languageCode=eng&amp;currency=EUR" xr:uid="{00000000-0004-0000-0B00-000078040000}"/>
    <hyperlink ref="N590" r:id="rId1146" display="https://drive.google.com/drive/folders/1GZelJ4WbdaZbsXFcj-RTy7MWNcV0zsX4?usp=drive_link" xr:uid="{00000000-0004-0000-0B00-000079040000}"/>
    <hyperlink ref="O590" r:id="rId1147" display="https://drive.google.com/drive/folders/1GZelJ4WbdaZbsXFcj-RTy7MWNcV0zsX4?usp=drive_link" xr:uid="{00000000-0004-0000-0B00-00007A040000}"/>
    <hyperlink ref="AN590" r:id="rId1148" display="https://gameserver-store-dev-01.fazi.rs/Home/IntegrationGameLaunch/fazi-stg16?moneyType=0&amp;gameName=BellasWorld&amp;platform=desktop&amp;languageCode=eng&amp;currency=EURR" xr:uid="{00000000-0004-0000-0B00-00007B040000}"/>
    <hyperlink ref="BD590" r:id="rId1149" display="https://gameserver-store-client-area.orbionlimited.com/Home/IntegrationGameLaunch/client-area?moneyType=0&amp;gameName=BellasWorld&amp;platform=desktop&amp;languageCode=eng&amp;currency=EUR" xr:uid="{00000000-0004-0000-0B00-00007C040000}"/>
    <hyperlink ref="AN591" r:id="rId1150" display="https://onlinegamespromo.fazi.rs/Home/IntegrationGameLaunch?moneyType=0&amp;gameName=Wild27Extreme&amp;platform=desktop&amp;languageCode=eng&amp;currency=EUR" xr:uid="{00000000-0004-0000-0B00-00007D040000}"/>
    <hyperlink ref="BD591" r:id="rId1151" display="https://gameserver-store-client-area.orbionlimited.com/Home/IntegrationGameLaunch/client-area?moneyType=0&amp;gameName=Wild27Extreme&amp;platform=desktop&amp;languageCode=eng&amp;currency=EUR" xr:uid="{00000000-0004-0000-0B00-00007E040000}"/>
    <hyperlink ref="AN592" r:id="rId1152" display="https://onlinegamespromo.fazi.rs/Home/IntegrationGameLaunch?moneyType=0&amp;gameName=MacacoDaFortuna&amp;platform=desktop&amp;languageCode=eng&amp;currency=EUR" xr:uid="{00000000-0004-0000-0B00-00007F040000}"/>
    <hyperlink ref="BD592" r:id="rId1153" display="https://gameserver-store-client-area.orbionlimited.com/Home/IntegrationGameLaunch/client-area?moneyType=0&amp;gameName=MacacoDaFortuna&amp;platform=desktop&amp;languageCode=eng&amp;currency=EUR" xr:uid="{00000000-0004-0000-0B00-000080040000}"/>
    <hyperlink ref="N593" r:id="rId1154" display="https://drive.google.com/file/d/11nqspWdKwJLxCnv99VNV3vo-0_o1Wn4b/view?usp=drive_link" xr:uid="{00000000-0004-0000-0B00-000081040000}"/>
    <hyperlink ref="O593" r:id="rId1155" display="https://drive.google.com/file/d/1rtmq9pPb1_XNqUr3ktqWB_elDLzzFtQy/view?usp=drive_link" xr:uid="{00000000-0004-0000-0B00-000082040000}"/>
    <hyperlink ref="AN593" r:id="rId1156" display="https://onlinegamespromo.fazi.rs/Home/IntegrationGameLaunch?moneyType=0&amp;gameName=GigaHot40FreeSpins&amp;platform=desktop&amp;languageCode=eng&amp;currency=EUR" xr:uid="{00000000-0004-0000-0B00-000083040000}"/>
    <hyperlink ref="BD593" r:id="rId1157" display="https://gameserver-store-client-area.orbionlimited.com/Home/IntegrationGameLaunch/client-area?moneyType=0&amp;gameName=GigaHot40FreeSpins&amp;platform=desktop&amp;languageCode=eng&amp;currency=EUR" xr:uid="{00000000-0004-0000-0B00-000084040000}"/>
    <hyperlink ref="AN595" r:id="rId1158" display="https://gameserver-store-dev-01.fazi.rs/Home/IntegrationGameLaunch/fazi-stg16?moneyType=0&amp;gameName=VeryHot5ChristmasBooster&amp;platform=desktop&amp;languageCode=eng&amp;currency=EUR" xr:uid="{00000000-0004-0000-0B00-000085040000}"/>
    <hyperlink ref="BD595" r:id="rId1159" display="https://gameserver-store-client-area.orbionlimited.com/Home/IntegrationGameLaunch/client-area?moneyType=0&amp;gameName=VeryHot5ChristmasBooster&amp;platform=desktop&amp;languageCode=eng&amp;currency=EUR" xr:uid="{00000000-0004-0000-0B00-000086040000}"/>
    <hyperlink ref="N597" r:id="rId1160" display="https://drive.google.com/drive/folders/19wze01OCqWkObIFrTigTyuzJjYXUlgk9?usp=drive_link" xr:uid="{00000000-0004-0000-0B00-000087040000}"/>
    <hyperlink ref="O597" r:id="rId1161" display="https://drive.google.com/drive/folders/19wze01OCqWkObIFrTigTyuzJjYXUlgk9?usp=drive_link" xr:uid="{00000000-0004-0000-0B00-000088040000}"/>
    <hyperlink ref="AN597" r:id="rId1162" display="https://gameserver-store-msstg.fazi.rs/Home/integrationgamelaunch/faziplatformonlinegamespromorsd?currency=RSD&amp;moneyType=0&amp;gameName=TaxiRush&amp;platform=desktop&amp;languageCode=eng&amp;currency=EUR" xr:uid="{00000000-0004-0000-0B00-000089040000}"/>
    <hyperlink ref="BD597" r:id="rId1163" display="https://gameserver-store-client-area.orbionlimited.com/Home/IntegrationGameLaunch/client-area?moneyType=0&amp;gameName=TaxiRush&amp;platform=desktop&amp;languageCode=eng&amp;currency=EUR" xr:uid="{00000000-0004-0000-0B00-00008A040000}"/>
    <hyperlink ref="N598" r:id="rId1164" display="https://drive.google.com/drive/folders/1aYvN7XLSW87H6DxUxwws3PZknweDxVY8?usp=drive_link" xr:uid="{00000000-0004-0000-0B00-00008B040000}"/>
    <hyperlink ref="O598" r:id="rId1165" display="https://drive.google.com/drive/folders/1aYvN7XLSW87H6DxUxwws3PZknweDxVY8?usp=drive_link" xr:uid="{00000000-0004-0000-0B00-00008C040000}"/>
    <hyperlink ref="AN598" r:id="rId1166" display="https://onlinegamespromo.fazi.rs/Home/IntegrationGameLaunch?moneyType=0&amp;gameName=WildHot40HoldAndWin&amp;platform=desktop&amp;languageCode=eng&amp;currency=EUR" xr:uid="{00000000-0004-0000-0B00-00008D040000}"/>
    <hyperlink ref="BD598" r:id="rId1167" display="https://gameserver-store-client-area.orbionlimited.com/Home/IntegrationGameLaunch/client-area?moneyType=0&amp;gameName=WildHot40HoldAndWin&amp;platform=desktop&amp;languageCode=eng&amp;currency=EUR" xr:uid="{00000000-0004-0000-0B00-00008E040000}"/>
    <hyperlink ref="BD600" r:id="rId1168" display="https://gameserver-store-client-area.orbionlimited.com/Home/IntegrationGameLaunch/client-area?moneyType=0&amp;gameName=WildHot40BlowBooster&amp;platform=desktop&amp;languageCode=eng&amp;currency=EUR" xr:uid="{00000000-0004-0000-0B00-00008F040000}"/>
    <hyperlink ref="N601" r:id="rId1169" display="https://docs.google.com/document/d/1nyoPmhgfwHrvoXXt_3Xv7d10pcKzixSK8GLZz0JaP90/edit?usp=sharing" xr:uid="{00000000-0004-0000-0B00-000090040000}"/>
    <hyperlink ref="AN601" r:id="rId1170" display="https://bluff-and-bite.soko.games/" xr:uid="{00000000-0004-0000-0B00-000091040000}"/>
    <hyperlink ref="BD601" r:id="rId1171" display="https://bluff-and-bite.soko.games/" xr:uid="{00000000-0004-0000-0B00-000092040000}"/>
    <hyperlink ref="N602" r:id="rId1172" display="https://docs.google.com/document/d/1wsxv80TasNJSVPDmBEYitjsMJWzttW8ePuy1g7fNqbs/edit?usp=sharing" xr:uid="{00000000-0004-0000-0B00-000093040000}"/>
    <hyperlink ref="AN602" r:id="rId1173" display="https://royal-crown-delight.soko.games/" xr:uid="{00000000-0004-0000-0B00-000094040000}"/>
    <hyperlink ref="BD602" r:id="rId1174" display="https://royal-crown-delight.soko.games/" xr:uid="{00000000-0004-0000-0B00-000095040000}"/>
    <hyperlink ref="N605" r:id="rId1175" display="https://docs.google.com/document/d/1iu0RrgAD6QmQzXKSZ8XsXqF5xa9Try95/edit?usp=sharing&amp;ouid=111339991327238394179&amp;rtpof=true&amp;sd=true" xr:uid="{00000000-0004-0000-0B00-000096040000}"/>
    <hyperlink ref="AN605" r:id="rId1176" display="https://planet-dice-escape.soko.games/" xr:uid="{00000000-0004-0000-0B00-000097040000}"/>
    <hyperlink ref="BD605" r:id="rId1177" display="https://planet-dice-escape.soko.games/" xr:uid="{00000000-0004-0000-0B00-000098040000}"/>
    <hyperlink ref="N606" r:id="rId1178" display="https://docs.google.com/document/d/1kZ4kAh-gpuF_5xP4c2lczTY31oFixz7T/edit?usp=sharing&amp;ouid=111339991327238394179&amp;rtpof=true&amp;sd=true" xr:uid="{00000000-0004-0000-0B00-000099040000}"/>
    <hyperlink ref="AN606" r:id="rId1179" display="https://wild-tiki-mayhem.soko.games/" xr:uid="{00000000-0004-0000-0B00-00009A040000}"/>
    <hyperlink ref="BD606" r:id="rId1180" display="https://wild-tiki-mayhem.soko.games/" xr:uid="{00000000-0004-0000-0B00-00009B040000}"/>
    <hyperlink ref="N608" r:id="rId1181" display="https://docs.google.com/document/d/1-wqW8xdzjNitvuyufm3GsLU75GnufP5F/edit?usp=drive_link&amp;ouid=107596163405648766688&amp;rtpof=true&amp;sd=true" xr:uid="{00000000-0004-0000-0B00-00009C040000}"/>
    <hyperlink ref="O608" r:id="rId1182" display="https://docs.google.com/document/d/1BMCkTR-TX6Vk19Z3mA0o0cp0QhfG4mI1/edit?usp=drive_link&amp;ouid=107596163405648766688&amp;rtpof=true&amp;sd=true" xr:uid="{00000000-0004-0000-0B00-00009D040000}"/>
    <hyperlink ref="AN608" r:id="rId1183" display="https://static.redstone.rs/games/5-wild-diamond/" xr:uid="{00000000-0004-0000-0B00-00009E040000}"/>
    <hyperlink ref="BD608" r:id="rId1184" display="https://static.redstone.rs/games/5-wild-diamond/" xr:uid="{00000000-0004-0000-0B00-00009F040000}"/>
    <hyperlink ref="N609" r:id="rId1185" display="https://docs.google.com/document/d/1ups8VbsyAU1YSsAfJMMhW8VBCHE40rFtctJjZw8g4cE/edit?usp=sharing" xr:uid="{00000000-0004-0000-0B00-0000A0040000}"/>
    <hyperlink ref="AN609" r:id="rId1186" display="https://christmas-sugar-luck.soko.games/" xr:uid="{00000000-0004-0000-0B00-0000A1040000}"/>
    <hyperlink ref="BD609" r:id="rId1187" display="https://christmas-sugar-luck.soko.games/" xr:uid="{00000000-0004-0000-0B00-0000A2040000}"/>
    <hyperlink ref="AN611" r:id="rId1188" display="https://onlinegamespromo.fazi.rs/Home/IntegrationGameLaunch?moneyType=0&amp;gameName=UnicornDynamiteBoomDice&amp;platform=desktop&amp;languageCode=eng&amp;currency=EUR" xr:uid="{00000000-0004-0000-0B00-0000A3040000}"/>
    <hyperlink ref="BD611" r:id="rId1189" display="https://gameserver-store-client-area.orbionlimited.com/Home/IntegrationGameLaunch/client-area?moneyType=0&amp;gameName=UnicornDynamiteBoomDice&amp;platform=desktop&amp;languageCode=eng&amp;currency=EUR" xr:uid="{00000000-0004-0000-0B00-0000A4040000}"/>
    <hyperlink ref="AN612" r:id="rId1190" display="https://onlinegamespromo.fazi.rs/Home/IntegrationGameLaunch?moneyType=0&amp;gameName=UnicornBuffaloDiceJackpot&amp;platform=desktop&amp;languageCode=eng&amp;currency=EUR" xr:uid="{00000000-0004-0000-0B00-0000A5040000}"/>
    <hyperlink ref="BD612" r:id="rId1191" display="https://gameserver-store-client-area.orbionlimited.com/Home/IntegrationGameLaunch/client-area?moneyType=0&amp;gameName=UnicornBuffaloDiceJackpot&amp;platform=desktop&amp;languageCode=eng&amp;currency=EUR" xr:uid="{00000000-0004-0000-0B00-0000A6040000}"/>
    <hyperlink ref="AN613" r:id="rId1192" display="https://onlinegamespromo.fazi.rs/Home/IntegrationGameLaunch?moneyType=0&amp;gameName=UnicornTripleStackedDiamondJackpot&amp;platform=desktop&amp;languageCode=eng&amp;currency=EUR" xr:uid="{00000000-0004-0000-0B00-0000A7040000}"/>
    <hyperlink ref="BD613" r:id="rId1193" display="https://gameserver-store-client-area.orbionlimited.com/Home/IntegrationGameLaunch/client-area?moneyType=0&amp;gameName=UnicornTripleStackedDiamondJackpot&amp;platform=desktop&amp;languageCode=eng&amp;currency=EUR" xr:uid="{00000000-0004-0000-0B00-0000A8040000}"/>
    <hyperlink ref="N615" r:id="rId1194" display="https://docs.google.com/document/d/1iB-fYOYIBEHV0AW9G05ZA_tWHmZN4mxl/edit?usp=drive_link&amp;ouid=107596163405648766688&amp;rtpof=true&amp;sd=true" xr:uid="{00000000-0004-0000-0B00-0000A9040000}"/>
    <hyperlink ref="O615" r:id="rId1195" display="https://docs.google.com/document/d/16R_As6-ZUQyJ_Hez5_opOQ2sGzAJZNjB/edit?usp=drive_link&amp;ouid=107596163405648766688&amp;rtpof=true&amp;sd=true" xr:uid="{00000000-0004-0000-0B00-0000AA040000}"/>
    <hyperlink ref="AN615" r:id="rId1196" display="https://static.redstone.rs/games/inferno-hot-40/" xr:uid="{00000000-0004-0000-0B00-0000AB040000}"/>
    <hyperlink ref="BD615" r:id="rId1197" display="https://static.redstone.rs/games/inferno-hot-40/" xr:uid="{00000000-0004-0000-0B00-0000AC040000}"/>
    <hyperlink ref="N616" r:id="rId1198" display="https://docs.google.com/document/d/1OKaK17fVSvw2seE-5WVKSmYfAzFV6uzr/edit?usp=drive_link&amp;ouid=107596163405648766688&amp;rtpof=true&amp;sd=true" xr:uid="{00000000-0004-0000-0B00-0000AD040000}"/>
    <hyperlink ref="O616" r:id="rId1199" display="https://docs.google.com/document/d/1BmVvjc8oNoRk258RUZV_8Ak95o41mJ9l/edit?usp=drive_link&amp;ouid=107596163405648766688&amp;rtpof=true&amp;sd=true" xr:uid="{00000000-0004-0000-0B00-0000AE040000}"/>
    <hyperlink ref="AN616" r:id="rId1200" display="https://static.redstone.rs/games/rolling-hearts-10/" xr:uid="{00000000-0004-0000-0B00-0000AF040000}"/>
    <hyperlink ref="BD616" r:id="rId1201" display="https://static.redstone.rs/games/rolling-hearts-10/" xr:uid="{00000000-0004-0000-0B00-0000B0040000}"/>
    <hyperlink ref="N617" r:id="rId1202" display="https://docs.google.com/document/d/1V_pbVs9VNOGhh-Bmmu7VWHYfyDU_sZV-/edit?usp=drive_link&amp;ouid=107596163405648766688&amp;rtpof=true&amp;sd=true" xr:uid="{00000000-0004-0000-0B00-0000B1040000}"/>
    <hyperlink ref="O617" r:id="rId1203" display="https://docs.google.com/document/d/1xf3OyPgMTEXRmzWDnN_TPxxIpINZ1-hf/edit?usp=drive_link&amp;ouid=107596163405648766688&amp;rtpof=true&amp;sd=true" xr:uid="{00000000-0004-0000-0B00-0000B2040000}"/>
    <hyperlink ref="AN617" r:id="rId1204" display="https://static.redstone.rs/games/cupids-wild-hearts/" xr:uid="{00000000-0004-0000-0B00-0000B3040000}"/>
    <hyperlink ref="BD617" r:id="rId1205" display="https://static.redstone.rs/games/cupids-wild-hearts/" xr:uid="{00000000-0004-0000-0B00-0000B4040000}"/>
    <hyperlink ref="N618" r:id="rId1206" display="https://docs.google.com/document/d/1jC0UVytQOVQFSLVZ3aljFKvtQvdFaFOY/edit?usp=drive_link&amp;ouid=107596163405648766688&amp;rtpof=true&amp;sd=true" xr:uid="{00000000-0004-0000-0B00-0000B5040000}"/>
    <hyperlink ref="O618" r:id="rId1207" display="https://docs.google.com/document/d/1VLSxKu5PELHE5vo69Dem-Dw5_wwquqfd/edit?usp=drive_link&amp;ouid=107596163405648766688&amp;rtpof=true&amp;sd=true" xr:uid="{00000000-0004-0000-0B00-0000B6040000}"/>
    <hyperlink ref="AN618" r:id="rId1208" display="https://static.redstone.rs/games/double-wild-diamond/" xr:uid="{00000000-0004-0000-0B00-0000B7040000}"/>
    <hyperlink ref="BD618" r:id="rId1209" display="https://static.redstone.rs/games/double-wild-diamond/" xr:uid="{00000000-0004-0000-0B00-0000B8040000}"/>
    <hyperlink ref="AN619" r:id="rId1210" display="https://onlinegamespromo.fazi.rs/Home/IntegrationGameLaunch?moneyType=0&amp;gameName=PlayNetDiamondHeart10&amp;platform=desktop&amp;languageCode=eng&amp;currency=EUR" xr:uid="{00000000-0004-0000-0B00-0000B9040000}"/>
    <hyperlink ref="BD619" r:id="rId1211" display="https://gameserver-store-client-area.orbionlimited.com/Home/IntegrationGameLaunch/client-area?moneyType=0&amp;gameName=PlayNetDiamondHeart10&amp;platform=desktop&amp;languageCode=eng&amp;currency=EUR" xr:uid="{00000000-0004-0000-0B00-0000BA040000}"/>
    <hyperlink ref="AN620" r:id="rId1212" display="https://onlinegamespromo.fazi.rs/Home/IntegrationGameLaunch?moneyType=0&amp;gameName=PlayNetLeprechaunsFortuneClover&amp;platform=desktop&amp;languageCode=eng&amp;currency=EUR" xr:uid="{00000000-0004-0000-0B00-0000BB040000}"/>
    <hyperlink ref="BD620" r:id="rId1213" display="https://gameserver-store-client-area.orbionlimited.com/Home/IntegrationGameLaunch/client-area?moneyType=0&amp;gameName=PlayNetLeprechaunsFortuneClover&amp;platform=desktop&amp;languageCode=eng&amp;currency=EUR" xr:uid="{00000000-0004-0000-0B00-0000BC040000}"/>
    <hyperlink ref="AN621" r:id="rId1214" display="https://onlinegamespromo.fazi.rs/Home/IntegrationGameLaunch?moneyType=0&amp;gameName=PlayNetEmpressOfFlame&amp;platform=desktop&amp;languageCode=eng&amp;currency=EUR" xr:uid="{00000000-0004-0000-0B00-0000BD040000}"/>
    <hyperlink ref="BD621" r:id="rId1215" display="https://gameserver-store-client-area.orbionlimited.com/Home/IntegrationGameLaunch/client-area?moneyType=0&amp;gameName=PlayNetEmpressOfFlame&amp;platform=desktop&amp;languageCode=eng&amp;currency=EUR" xr:uid="{00000000-0004-0000-0B00-0000BE040000}"/>
    <hyperlink ref="AN622" r:id="rId1216" display="https://onlinegamespromo.fazi.rs/Home/IntegrationGameLaunch?moneyType=0&amp;gameName=UnicornThreeReelFruitBoost&amp;platform=desktop&amp;languageCode=eng&amp;currency=EUR" xr:uid="{00000000-0004-0000-0B00-0000BF040000}"/>
    <hyperlink ref="BD622" r:id="rId1217" display="https://gameserver-store-client-area.orbionlimited.com/Home/IntegrationGameLaunch/client-area?moneyType=0&amp;gameName=UnicornThreeReelFruitBoost&amp;platform=desktop&amp;languageCode=eng&amp;currency=EUR" xr:uid="{00000000-0004-0000-0B00-0000C0040000}"/>
    <hyperlink ref="AN623" r:id="rId1218" display="https://onlinegamespromo.fazi.rs/Home/IntegrationGameLaunch?moneyType=0&amp;gameName=StarHeat40&amp;platform=desktop&amp;languageCode=eng&amp;currency=EUR" xr:uid="{00000000-0004-0000-0B00-0000C1040000}"/>
    <hyperlink ref="BD623" r:id="rId1219" display="https://gameserver-store-client-area.orbionlimited.com/Home/IntegrationGameLaunch/client-area?moneyType=0&amp;gameName=StarHeat40&amp;platform=desktop&amp;languageCode=eng&amp;currency=EUR" xr:uid="{00000000-0004-0000-0B00-0000C2040000}"/>
    <hyperlink ref="N624" r:id="rId1220" display="https://drive.google.com/drive/folders/1tMhNZrKJW7jv95Njoh8q7n6Ykhm_Zs5h?usp=drive_link" xr:uid="{00000000-0004-0000-0B00-0000C3040000}"/>
    <hyperlink ref="O624" r:id="rId1221" display="https://drive.google.com/drive/folders/1tMhNZrKJW7jv95Njoh8q7n6Ykhm_Zs5h?usp=drive_link" xr:uid="{00000000-0004-0000-0B00-0000C4040000}"/>
    <hyperlink ref="AN624" r:id="rId1222" display="https://onlinegamespromo.fazi.rs/Home/IntegrationGameLaunch?moneyType=0&amp;gameName=Retro27&amp;platform=desktop&amp;languageCode=eng&amp;currency=EUR" xr:uid="{00000000-0004-0000-0B00-0000C5040000}"/>
    <hyperlink ref="BD624" r:id="rId1223" display="https://gameserver-store-client-area.orbionlimited.com/Home/IntegrationGameLaunch/client-area?moneyType=0&amp;gameName=Retro27&amp;platform=desktop&amp;languageCode=eng&amp;currency=EUR" xr:uid="{00000000-0004-0000-0B00-0000C6040000}"/>
    <hyperlink ref="AN625" r:id="rId1224" display="https://onlinegamespromo.fazi.rs/Home/IntegrationGameLaunch?moneyType=0&amp;gameName=Wild27Dice&amp;platform=desktop&amp;languageCode=eng&amp;currency=EUR" xr:uid="{00000000-0004-0000-0B00-0000C7040000}"/>
    <hyperlink ref="AZ625" r:id="rId1225" display="https://drive.google.com/drive/folders/1BSYsvknXDCekqp50LbxTSCM23ajx0cxl" xr:uid="{00000000-0004-0000-0B00-0000C8040000}"/>
    <hyperlink ref="BD625" r:id="rId1226" display="https://gameserver-store-client-area.orbionlimited.com/Home/IntegrationGameLaunch/client-area?moneyType=0&amp;gameName=Wild27Dice&amp;platform=desktop&amp;languageCode=eng&amp;currency=EUR" xr:uid="{00000000-0004-0000-0B00-0000C9040000}"/>
    <hyperlink ref="AN626" r:id="rId1227" display="https://gameserver-store.fazi.rs/Home/IntegrationGameLaunch/admiralmne?moneyType=0&amp;currency=EUR&amp;gameName=CoinSplashDice" xr:uid="{00000000-0004-0000-0B00-0000CA040000}"/>
    <hyperlink ref="BD626" r:id="rId1228" display="https://gameserver-store-client-area.orbionlimited.com/Home/IntegrationGameLaunch/client-area?moneyType=0&amp;gameName=CoinSplashDice&amp;platform=desktop&amp;languageCode=eng&amp;currency=EUR" xr:uid="{00000000-0004-0000-0B00-0000CB040000}"/>
    <hyperlink ref="AN630" r:id="rId1229" display="https://onlinegamespromo.fazi.rs/Home/IntegrationGameLaunch?moneyType=0&amp;gameName=WildHot40Deluxe&amp;platform=desktop&amp;languageCode=eng&amp;currency=EUR" xr:uid="{00000000-0004-0000-0B00-0000CC040000}"/>
    <hyperlink ref="BD630" r:id="rId1230" display="https://gameserver-store-client-area.orbionlimited.com/Home/IntegrationGameLaunch/client-area?moneyType=0&amp;gameName=WildHot40Deluxe&amp;platform=desktop&amp;languageCode=eng&amp;currency=EUR" xr:uid="{00000000-0004-0000-0B00-0000CD040000}"/>
    <hyperlink ref="AN631" r:id="rId1231" display="https://onlinegamespromo.fazi.rs/Home/IntegrationGameLaunch?moneyType=0&amp;gameName=BonusEpicCrownDice&amp;platform=desktop&amp;languageCode=eng&amp;currency=EUR" xr:uid="{00000000-0004-0000-0B00-0000CE040000}"/>
    <hyperlink ref="BD631" r:id="rId1232" display="https://gameserver-store-client-area.orbionlimited.com/Home/IntegrationGameLaunch/client-area?moneyType=0&amp;gameName=BonusEpicCrownDice&amp;platform=desktop&amp;languageCode=eng&amp;currency=EUR" xr:uid="{00000000-0004-0000-0B00-0000CF040000}"/>
    <hyperlink ref="AN632" r:id="rId1233" display="https://onlinegamespromo.fazi.rs/Home/IntegrationGameLaunch?moneyType=0&amp;gameName=GoldenCrownHoldAndWin&amp;platform=desktop&amp;languageCode=eng&amp;currency=EUR" xr:uid="{00000000-0004-0000-0B00-0000D0040000}"/>
    <hyperlink ref="BD632" r:id="rId1234" display="https://gameserver-store-client-area.orbionlimited.com/Home/IntegrationGameLaunch/client-area?moneyType=0&amp;gameName=GoldenCrownHoldAndWin&amp;platform=desktop&amp;languageCode=eng&amp;currency=EUR" xr:uid="{00000000-0004-0000-0B00-0000D1040000}"/>
    <hyperlink ref="N633" r:id="rId1235" display="https://docs.google.com/document/d/1dlazeHdTqsOJJ_1gZ2T5RwwEiDm_pWyU/edit?usp=drive_link&amp;ouid=107596163405648766688&amp;rtpof=true&amp;sd=true" xr:uid="{00000000-0004-0000-0B00-0000D2040000}"/>
    <hyperlink ref="O633" r:id="rId1236" display="https://docs.google.com/document/d/1vCl789hTRT35JFWgszyR3eEvAdvaWhBB/edit?usp=drive_link&amp;ouid=107596163405648766688&amp;rtpof=true&amp;sd=true" xr:uid="{00000000-0004-0000-0B00-0000D3040000}"/>
    <hyperlink ref="AN633" r:id="rId1237" display="https://static.redstone.rs/games/respin-fortune/" xr:uid="{00000000-0004-0000-0B00-0000D4040000}"/>
    <hyperlink ref="BD633" r:id="rId1238" display="https://static.redstone.rs/games/respin-fortune/" xr:uid="{00000000-0004-0000-0B00-0000D5040000}"/>
    <hyperlink ref="N634" r:id="rId1239" display="https://docs.google.com/document/d/1wzPBJWwXuvufljN6Kmgln2SP6MhSZMou/edit?usp=drive_link&amp;ouid=107596163405648766688&amp;rtpof=true&amp;sd=true" xr:uid="{00000000-0004-0000-0B00-0000D6040000}"/>
    <hyperlink ref="O634" r:id="rId1240" display="https://docs.google.com/document/d/1CA-DOGHXNfL6fj5zr4jY8e8HJzEtG5oz/edit?usp=drive_link&amp;ouid=107596163405648766688&amp;rtpof=true&amp;sd=true" xr:uid="{00000000-0004-0000-0B00-0000D7040000}"/>
    <hyperlink ref="AN634" r:id="rId1241" display="https://static.redstone.rs/games/multi-clover-5/" xr:uid="{00000000-0004-0000-0B00-0000D8040000}"/>
    <hyperlink ref="BD634" r:id="rId1242" display="https://static.redstone.rs/games/multi-clover-5/" xr:uid="{00000000-0004-0000-0B00-0000D9040000}"/>
    <hyperlink ref="N635" r:id="rId1243" display="https://docs.google.com/document/d/13VQCcA2uI4ImiSslyB6pgz9y_3Z85CL_/edit?usp=drive_link&amp;ouid=107596163405648766688&amp;rtpof=true&amp;sd=true" xr:uid="{00000000-0004-0000-0B00-0000DA040000}"/>
    <hyperlink ref="O635" r:id="rId1244" display="https://docs.google.com/document/d/1tgJ-m4QeO4h1NF64p-_ADVba9SjKryZ4/edit?usp=drive_link&amp;ouid=107596163405648766688&amp;rtpof=true&amp;sd=true" xr:uid="{00000000-0004-0000-0B00-0000DB040000}"/>
    <hyperlink ref="AN635" r:id="rId1245" display="https://static.redstone.rs/games/joker-x5/" xr:uid="{00000000-0004-0000-0B00-0000DC040000}"/>
    <hyperlink ref="BD635" r:id="rId1246" display="https://static.redstone.rs/games/joker-x5/" xr:uid="{00000000-0004-0000-0B00-0000DD040000}"/>
    <hyperlink ref="N636" r:id="rId1247" display="https://docs.google.com/document/d/1FMg9--0MWZeZFnRKqkBGifB1FHm8gU5l/edit?usp=drive_link&amp;ouid=107596163405648766688&amp;rtpof=true&amp;sd=true" xr:uid="{00000000-0004-0000-0B00-0000DE040000}"/>
    <hyperlink ref="O636" r:id="rId1248" display="https://docs.google.com/document/d/10ybc6vdKmjHZzpC4LGSCTb-5Sb3kS4i1/edit?usp=drive_link&amp;ouid=107596163405648766688&amp;rtpof=true&amp;sd=true" xr:uid="{00000000-0004-0000-0B00-0000DF040000}"/>
    <hyperlink ref="AN636" r:id="rId1249" display="https://static.redstone.rs/games/clover-rush-5/" xr:uid="{00000000-0004-0000-0B00-0000E0040000}"/>
    <hyperlink ref="BD636" r:id="rId1250" display="https://static.redstone.rs/games/clover-rush-5/" xr:uid="{00000000-0004-0000-0B00-0000E1040000}"/>
    <hyperlink ref="N637" r:id="rId1251" display="https://docs.google.com/document/d/1o1jIoDbRbS_pavC8Wn4PLnvu4UPh4BR2/edit?usp=drive_link&amp;ouid=107596163405648766688&amp;rtpof=true&amp;sd=true" xr:uid="{00000000-0004-0000-0B00-0000E2040000}"/>
    <hyperlink ref="O637" r:id="rId1252" display="https://docs.google.com/document/d/1d0syaxpX5IuTfLZ9M4igW7N80Ay2svZd/edit?usp=drive_link&amp;ouid=107596163405648766688&amp;rtpof=true&amp;sd=true" xr:uid="{00000000-0004-0000-0B00-0000E3040000}"/>
    <hyperlink ref="AN637" r:id="rId1253" display="https://static.redstone.rs/games/5-bell-fire/" xr:uid="{00000000-0004-0000-0B00-0000E4040000}"/>
    <hyperlink ref="BD637" r:id="rId1254" display="https://static.redstone.rs/games/5-bell-fire/" xr:uid="{00000000-0004-0000-0B00-0000E5040000}"/>
    <hyperlink ref="N638" r:id="rId1255" display="https://docs.google.com/document/d/1Y7pRn33TMzJVBoyNmikLXLoa8IRcPXbB/edit" xr:uid="{00000000-0004-0000-0B00-0000E6040000}"/>
    <hyperlink ref="O638" r:id="rId1256" display="https://docs.google.com/document/d/1KAGZ2Kte4juDs-45JJ1fMdGUWL0vXPpc/edit" xr:uid="{00000000-0004-0000-0B00-0000E7040000}"/>
    <hyperlink ref="AN638" r:id="rId1257" display="https://static.redstone.rs/games/dice-drop-10/" xr:uid="{00000000-0004-0000-0B00-0000E8040000}"/>
    <hyperlink ref="BD638" r:id="rId1258" display="https://static.redstone.rs/games/dice-drop-10/" xr:uid="{00000000-0004-0000-0B00-0000E9040000}"/>
    <hyperlink ref="N640" r:id="rId1259" display="https://docs.google.com/document/d/15MPHkUleag_t9MkVTHodrHsxXS-NPPKX/edit?usp=drive_link&amp;ouid=107596163405648766688&amp;rtpof=true&amp;sd=true" xr:uid="{00000000-0004-0000-0B00-0000EA040000}"/>
    <hyperlink ref="O640" r:id="rId1260" display="https://docs.google.com/document/d/1Y3nrs5qSX7m9lwvMLRGFOXAuc7bRaS3m/edit?usp=drive_link&amp;ouid=107596163405648766688&amp;rtpof=true&amp;sd=true" xr:uid="{00000000-0004-0000-0B00-0000EB040000}"/>
    <hyperlink ref="AN640" r:id="rId1261" display="https://static.redstone.rs/games/5-clover-fire-blast/" xr:uid="{00000000-0004-0000-0B00-0000EC040000}"/>
    <hyperlink ref="BD640" r:id="rId1262" display="https://static.redstone.rs/games/5-clover-fire-blast/" xr:uid="{00000000-0004-0000-0B00-0000ED040000}"/>
    <hyperlink ref="AN641" r:id="rId1263" display="https://onlinegamespromo.fazi.rs/Home/IntegrationGameLaunch?moneyType=0&amp;gameName=PlayNetMajesticCrownEaster&amp;platform=desktop&amp;languageCode=eng&amp;currency=EUR" xr:uid="{00000000-0004-0000-0B00-0000EE040000}"/>
    <hyperlink ref="BD641" r:id="rId1264" display="https://gameserver-store-client-area.orbionlimited.com/Home/IntegrationGameLaunch/client-area?moneyType=0&amp;gameName=PlayNetMajesticCrownEaster&amp;platform=desktop&amp;languageCode=eng&amp;currency=EUR" xr:uid="{00000000-0004-0000-0B00-0000EF040000}"/>
    <hyperlink ref="AN642" r:id="rId1265" display="https://onlinegamespromo.fazi.rs/Home/IntegrationGameLaunch?moneyType=0&amp;gameName=PlayNetTropicTwist&amp;platform=desktop&amp;languageCode=eng&amp;currency=EUR" xr:uid="{00000000-0004-0000-0B00-0000F0040000}"/>
    <hyperlink ref="BD642" r:id="rId1266" display="https://gameserver-store-client-area.orbionlimited.com/Home/IntegrationGameLaunch/client-area?moneyType=0&amp;gameName=PlayNetTropicTwist&amp;platform=desktop&amp;languageCode=eng&amp;currency=EUR" xr:uid="{00000000-0004-0000-0B00-0000F1040000}"/>
    <hyperlink ref="AN643" r:id="rId1267" display="https://onlinegamespromo.fazi.rs/Home/IntegrationGameLaunch?moneyType=0&amp;gameName=UnicornSuperDiceRunner&amp;platform=desktop&amp;languageCode=eng&amp;currency=EUR" xr:uid="{00000000-0004-0000-0B00-0000F2040000}"/>
    <hyperlink ref="BD643" r:id="rId1268" display="https://gameserver-store-client-area.orbionlimited.com/Home/IntegrationGameLaunch/client-area?moneyType=0&amp;gameName=UnicornSuperDiceRunner&amp;platform=desktop&amp;languageCode=eng&amp;currency=EUR" xr:uid="{00000000-0004-0000-0B00-0000F3040000}"/>
    <hyperlink ref="AN644" r:id="rId1269" display="https://onlinegamespromo.fazi.rs/Home/IntegrationGameLaunch?moneyType=0&amp;gameName=UnicornLuckyGinger&amp;platform=desktop&amp;languageCode=eng&amp;currency=EUR" xr:uid="{00000000-0004-0000-0B00-0000F4040000}"/>
    <hyperlink ref="BD644" r:id="rId1270" display="https://gameserver-store-client-area.orbionlimited.com/Home/IntegrationGameLaunch/client-area?moneyType=0&amp;gameName=UnicornLuckyGinger&amp;platform=desktop&amp;languageCode=eng&amp;currency=EUR" xr:uid="{00000000-0004-0000-0B00-0000F5040000}"/>
    <hyperlink ref="AN645" r:id="rId1271" display="https://onlinegamespromo.fazi.rs/Home/IntegrationGameLaunch?moneyType=0&amp;gameName=UnicornLionsSevensExtreme&amp;platform=desktop&amp;languageCode=eng&amp;currency=EUR" xr:uid="{00000000-0004-0000-0B00-0000F6040000}"/>
    <hyperlink ref="BD645" r:id="rId1272" display="https://gameserver-store-client-area.orbionlimited.com/Home/IntegrationGameLaunch/client-area?moneyType=0&amp;gameName=UnicornLionsSevensExtreme&amp;platform=desktop&amp;languageCode=eng&amp;currency=EUR" xr:uid="{00000000-0004-0000-0B00-0000F7040000}"/>
    <hyperlink ref="AN646" r:id="rId1273" display="https://onlinegamespromo.fazi.rs/Home/IntegrationGameLaunch?moneyType=0&amp;gameName=UnicornCoyoteSevensJackpot&amp;platform=desktop&amp;languageCode=eng&amp;currency=EUR" xr:uid="{00000000-0004-0000-0B00-0000F8040000}"/>
    <hyperlink ref="BD646" r:id="rId1274" display="https://gameserver-store-client-area.orbionlimited.com/Home/IntegrationGameLaunch/client-area?moneyType=0&amp;gameName=UnicornCoyoteSevensJackpot&amp;platform=desktop&amp;languageCode=eng&amp;currency=EUR" xr:uid="{00000000-0004-0000-0B00-0000F9040000}"/>
    <hyperlink ref="AN647" r:id="rId1275" display="https://onlinegamespromo.fazi.rs/Home/IntegrationGameLaunch?moneyType=0&amp;gameName=UnicornDragonGems&amp;platform=desktop&amp;languageCode=eng&amp;currency=EUR" xr:uid="{00000000-0004-0000-0B00-0000FA040000}"/>
    <hyperlink ref="BD647" r:id="rId1276" display="https://gameserver-store-client-area.orbionlimited.com/Home/IntegrationGameLaunch/client-area?moneyType=0&amp;gameName=UnicornDragonGems&amp;platform=desktop&amp;languageCode=eng&amp;currency=EUR" xr:uid="{00000000-0004-0000-0B00-0000FB040000}"/>
    <hyperlink ref="AN648" r:id="rId1277" display="https://onlinegamespromo.fazi.rs/Home/IntegrationGameLaunch?moneyType=0&amp;gameName=UnicornByeBouse&amp;platform=desktop&amp;languageCode=eng&amp;currency=EUR" xr:uid="{00000000-0004-0000-0B00-0000FC040000}"/>
    <hyperlink ref="BD648" r:id="rId1278" display="https://gameserver-store-client-area.orbionlimited.com/Home/IntegrationGameLaunch/client-area?moneyType=0&amp;gameName=UnicornByeBouse&amp;platform=desktop&amp;languageCode=eng&amp;currency=EUR" xr:uid="{00000000-0004-0000-0B00-0000FD040000}"/>
    <hyperlink ref="AN649" r:id="rId1279" display="https://onlinegamespromo.fazi.rs/Home/IntegrationGameLaunch?moneyType=0&amp;gameName=UnicornTripleRoyalWilds&amp;platform=desktop&amp;languageCode=eng&amp;currency=EUR" xr:uid="{00000000-0004-0000-0B00-0000FE040000}"/>
    <hyperlink ref="BD649" r:id="rId1280" display="https://gameserver-store-client-area.orbionlimited.com/Home/IntegrationGameLaunch/client-area?moneyType=0&amp;gameName=UnicornTripleRoyalWilds&amp;platform=desktop&amp;languageCode=eng&amp;currency=EUR" xr:uid="{00000000-0004-0000-0B00-0000FF040000}"/>
    <hyperlink ref="N650" r:id="rId1281" display="https://drive.google.com/file/d/1x44az3aQtpIw5MUPC7Tlxd0m5EFMs2bt/view?usp=sharing" xr:uid="{00000000-0004-0000-0B00-000000050000}"/>
    <hyperlink ref="O650" r:id="rId1282" display="https://drive.google.com/file/d/1yREKQrMOjoXdfeIiLZapwVLAmDxEmnLN/view?usp=sharing" xr:uid="{00000000-0004-0000-0B00-000001050000}"/>
    <hyperlink ref="AN650" r:id="rId1283" display="https://onlinegamespromo.fazi.rs/Home/IntegrationGameLaunch?moneyType=0&amp;gameName=GoldenDiamonds5Extreme&amp;platform=desktop&amp;languageCode=eng&amp;currency=EUR" xr:uid="{00000000-0004-0000-0B00-000002050000}"/>
    <hyperlink ref="BD650" r:id="rId1284" display="https://gameserver-store-client-area.orbionlimited.com/Home/IntegrationGameLaunch/client-area?moneyType=0&amp;gameName=GoldenDiamonds5Extreme&amp;platform=desktop&amp;languageCode=eng&amp;currency=EUR" xr:uid="{00000000-0004-0000-0B00-000003050000}"/>
    <hyperlink ref="N651" r:id="rId1285" display="https://drive.google.com/file/d/1ARsFO2So3R8sFL4rirWY9LvE_bLaWXcO/view?usp=sharing" xr:uid="{00000000-0004-0000-0B00-000004050000}"/>
    <hyperlink ref="O651" r:id="rId1286" display="https://drive.google.com/file/d/1KOfqXXdYTAFXEN82MumL9YiluW04u2nw/view?usp=sharing" xr:uid="{00000000-0004-0000-0B00-000005050000}"/>
    <hyperlink ref="AN651" r:id="rId1287" display="https://onlinegamespromo.fazi.rs/Home/IntegrationGameLaunch?moneyType=0&amp;gameName=GoldenDiamonds10Extreme&amp;platform=desktop&amp;languageCode=eng&amp;currency=EUR" xr:uid="{00000000-0004-0000-0B00-000006050000}"/>
    <hyperlink ref="BD651" r:id="rId1288" display="https://gameserver-store-client-area.orbionlimited.com/Home/IntegrationGameLaunch/client-area?moneyType=0&amp;gameName=GoldenDiamonds10Extreme&amp;platform=desktop&amp;languageCode=eng&amp;currency=EUR" xr:uid="{00000000-0004-0000-0B00-000007050000}"/>
    <hyperlink ref="N652" r:id="rId1289" display="https://drive.google.com/drive/folders/1HnVHEi4PxXKbJ6EWbWx4tNUyr2IpnDyp" xr:uid="{00000000-0004-0000-0B00-000008050000}"/>
    <hyperlink ref="O652" r:id="rId1290" display="https://drive.google.com/drive/folders/1HnVHEi4PxXKbJ6EWbWx4tNUyr2IpnDyp" xr:uid="{00000000-0004-0000-0B00-000009050000}"/>
    <hyperlink ref="AN652" r:id="rId1291" display="https://onlinegamespromo.fazi.rs/Home/IntegrationGameLaunch?moneyType=0&amp;gameName=GoldenDiamonds20Extreme&amp;platform=desktop&amp;languageCode=eng&amp;currency=EUR" xr:uid="{00000000-0004-0000-0B00-00000A050000}"/>
    <hyperlink ref="BD652" r:id="rId1292" display="https://gameserver-store-client-area.orbionlimited.com/Home/IntegrationGameLaunch/client-area?moneyType=0&amp;gameName=GoldenDiamonds20Extreme&amp;platform=desktop&amp;languageCode=eng&amp;currency=EUR" xr:uid="{00000000-0004-0000-0B00-00000B050000}"/>
    <hyperlink ref="N653" r:id="rId1293" display="https://drive.google.com/drive/folders/15W_JO143whU1jyoTzq8StwjWT4vJ7trZ" xr:uid="{00000000-0004-0000-0B00-00000C050000}"/>
    <hyperlink ref="O653" r:id="rId1294" display="https://drive.google.com/drive/folders/15W_JO143whU1jyoTzq8StwjWT4vJ7trZ" xr:uid="{00000000-0004-0000-0B00-00000D050000}"/>
    <hyperlink ref="AN653" r:id="rId1295" display="https://onlinegamespromo.fazi.rs/Home/IntegrationGameLaunch?moneyType=0&amp;gameName=GoldenDiamonds40Extreme&amp;platform=desktop&amp;languageCode=eng&amp;currency=EUR" xr:uid="{00000000-0004-0000-0B00-00000E050000}"/>
    <hyperlink ref="BD653" r:id="rId1296" display="https://gameserver-store-client-area.orbionlimited.com/Home/IntegrationGameLaunch/client-area?moneyType=0&amp;gameName=GoldenDiamonds40Extreme&amp;platform=desktop&amp;languageCode=eng&amp;currency=EUR" xr:uid="{00000000-0004-0000-0B00-00000F050000}"/>
    <hyperlink ref="N654" r:id="rId1297" display="https://drive.google.com/file/d/1uKxsK28uuel4f8owE_hN_qMDkruf2IIT/view?usp=sharing" xr:uid="{00000000-0004-0000-0B00-000010050000}"/>
    <hyperlink ref="O654" r:id="rId1298" display="https://drive.google.com/file/d/1KJayTqepJFhYyOf6YZSno32J8lstTtX1/view?usp=sharing" xr:uid="{00000000-0004-0000-0B00-000011050000}"/>
    <hyperlink ref="AN654" r:id="rId1299" display="https://onlinegamespromo.fazi.rs/Home/IntegrationGameLaunch?moneyType=0&amp;gameName=VeryHot5ExtremeBooster&amp;platform=desktop&amp;languageCode=eng&amp;currency=EUR" xr:uid="{00000000-0004-0000-0B00-000012050000}"/>
    <hyperlink ref="BD654" r:id="rId1300" display="https://gameserver-store-client-area.orbionlimited.com/Home/IntegrationGameLaunch/client-area?moneyType=0&amp;gameName=VeryHot5ExtremeBooster&amp;platform=desktop&amp;languageCode=eng&amp;currency=EUR" xr:uid="{00000000-0004-0000-0B00-000013050000}"/>
    <hyperlink ref="AN655" r:id="rId1301" display="https://onlinegamespromo.fazi.rs/Home/IntegrationGameLaunch?moneyType=0&amp;gameName=LockedHearts10&amp;platform=desktop&amp;languageCode=eng&amp;currency=EUR" xr:uid="{00000000-0004-0000-0B00-000014050000}"/>
    <hyperlink ref="BD655" r:id="rId1302" display="https://gameserver-store-client-area.orbionlimited.com/Home/IntegrationGameLaunch/client-area?moneyType=0&amp;gameName=LockedHearts10&amp;platform=desktop&amp;languageCode=eng&amp;currency=EUR" xr:uid="{00000000-0004-0000-0B00-000015050000}"/>
    <hyperlink ref="N656" r:id="rId1303" display="https://drive.google.com/drive/folders/1bXlt7cMiEKnlMZtBB43dP0-Em2ggzBUA" xr:uid="{00000000-0004-0000-0B00-000016050000}"/>
    <hyperlink ref="O656" r:id="rId1304" display="https://drive.google.com/drive/folders/1bXlt7cMiEKnlMZtBB43dP0-Em2ggzBUA" xr:uid="{00000000-0004-0000-0B00-000017050000}"/>
    <hyperlink ref="AN656" r:id="rId1305" display="https://onlinegamespromo.fazi.rs/Home/IntegrationGameLaunch?moneyType=0&amp;gameName=LockedHearts5&amp;platform=desktop&amp;languageCode=eng&amp;currency=EUR" xr:uid="{00000000-0004-0000-0B00-000018050000}"/>
    <hyperlink ref="BD656" r:id="rId1306" display="https://gameserver-store-client-area.orbionlimited.com/Home/IntegrationGameLaunch/client-area?moneyType=0&amp;gameName=LockedHearts5&amp;platform=desktop&amp;languageCode=eng&amp;currency=EUR" xr:uid="{00000000-0004-0000-0B00-000019050000}"/>
    <hyperlink ref="AN657" r:id="rId1307" display="https://onlinegamespromo.fazi.rs/Home/IntegrationGameLaunch?moneyType=0&amp;gameName=LockedHearts20&amp;platform=desktop&amp;languageCode=eng&amp;currency=EUR" xr:uid="{00000000-0004-0000-0B00-00001A050000}"/>
    <hyperlink ref="BD657" r:id="rId1308" display="https://gameserver-store-client-area.orbionlimited.com/Home/IntegrationGameLaunch/client-area?moneyType=0&amp;gameName=LockedHearts20&amp;platform=desktop&amp;languageCode=eng&amp;currency=EUR" xr:uid="{00000000-0004-0000-0B00-00001B050000}"/>
    <hyperlink ref="N658" r:id="rId1309" display="https://drive.google.com/drive/folders/15W_JO143whU1jyoTzq8StwjWT4vJ7trZ" xr:uid="{00000000-0004-0000-0B00-00001C050000}"/>
    <hyperlink ref="O658" r:id="rId1310" display="https://drive.google.com/drive/folders/15W_JO143whU1jyoTzq8StwjWT4vJ7trZ" xr:uid="{00000000-0004-0000-0B00-00001D050000}"/>
    <hyperlink ref="AN658" r:id="rId1311" display="https://onlinegamespromo.fazi.rs/Home/IntegrationGameLaunch?moneyType=0&amp;gameName=LockedHearts40&amp;platform=desktop&amp;languageCode=eng&amp;currency=EUR" xr:uid="{00000000-0004-0000-0B00-00001E050000}"/>
    <hyperlink ref="BD658" r:id="rId1312" display="https://gameserver-store-client-area.orbionlimited.com/Home/IntegrationGameLaunch/client-area?moneyType=0&amp;gameName=LockedHearts40&amp;platform=desktop&amp;languageCode=eng&amp;currency=EUR" xr:uid="{00000000-0004-0000-0B00-00001F050000}"/>
    <hyperlink ref="N659" r:id="rId1313" display="https://drive.google.com/file/d/1Vn58CAYspcK7dlg8j5FsFnRlRnzB32Uo/view?usp=sharing" xr:uid="{00000000-0004-0000-0B00-000020050000}"/>
    <hyperlink ref="O659" r:id="rId1314" display="https://drive.google.com/file/d/1Tri9k-wrdy2cNSdRo6z5eZtGUuS0qpyk/view?usp=sharing" xr:uid="{00000000-0004-0000-0B00-000021050000}"/>
    <hyperlink ref="AN659" r:id="rId1315" display="https://onlinegamespromo.fazi.rs/Home/IntegrationGameLaunch?moneyType=0&amp;gameName=WinningClover5HoldAndWin&amp;platform=desktop&amp;languageCode=eng&amp;currency=EUR" xr:uid="{00000000-0004-0000-0B00-000022050000}"/>
    <hyperlink ref="BD659" r:id="rId1316" display="https://gameserver-store-client-area.orbionlimited.com/Home/IntegrationGameLaunch/client-area?moneyType=0&amp;gameName=WinningClover5HoldAndWin&amp;platform=desktop&amp;languageCode=eng&amp;currency=EUR" xr:uid="{00000000-0004-0000-0B00-000023050000}"/>
    <hyperlink ref="AN661" r:id="rId1317" display="https://onlinegamespromo.fazi.rs/Home/IntegrationGameLaunch?moneyType=0&amp;gameName=CloversAndDiamonds5&amp;platform=desktop&amp;languageCode=eng&amp;currency=EUR" xr:uid="{00000000-0004-0000-0B00-000024050000}"/>
    <hyperlink ref="BD661" r:id="rId1318" display="https://gameserver-store-client-area.orbionlimited.com/Home/IntegrationGameLaunch/client-area?moneyType=0&amp;gameName=CloversAndDiamonds5&amp;platform=desktop&amp;languageCode=eng&amp;currency=EUR" xr:uid="{00000000-0004-0000-0B00-000025050000}"/>
    <hyperlink ref="AN662" r:id="rId1319" display="https://onlinegamespromo.fazi.rs/Home/IntegrationGameLaunch?moneyType=0&amp;gameName=UnicornThreeReelTripleFruit&amp;platform=desktop&amp;languageCode=eng&amp;currency=EUR" xr:uid="{00000000-0004-0000-0B00-000026050000}"/>
    <hyperlink ref="AN663" r:id="rId1320" display="https://onlinegamespromo.fazi.rs/Home/IntegrationGameLaunch?moneyType=0&amp;gameName=EpicDice100Booster&amp;platform=desktop&amp;languageCode=eng&amp;currency=EUR" xr:uid="{00000000-0004-0000-0B00-000027050000}"/>
    <hyperlink ref="BD663" r:id="rId1321" display="https://gameserver-store-client-area.orbionlimited.com/Home/IntegrationGameLaunch/client-area?moneyType=0&amp;gameName=EpicDice100Booster&amp;platform=desktop&amp;languageCode=eng&amp;currency=EUR" xr:uid="{00000000-0004-0000-0B00-000028050000}"/>
    <hyperlink ref="AN664" r:id="rId1322" display="https://onlinegamespromo.fazi.rs/Home/IntegrationGameLaunch?moneyType=0&amp;gameName=VeryHot40DiceBooster&amp;platform=desktop&amp;languageCode=eng&amp;currency=EUR" xr:uid="{00000000-0004-0000-0B00-000029050000}"/>
    <hyperlink ref="BD664" r:id="rId1323" display="https://gameserver-store-client-area.orbionlimited.com/Home/IntegrationGameLaunch/client-area?moneyType=0&amp;gameName=VeryHot40DiceBooster&amp;platform=desktop&amp;languageCode=eng&amp;currency=EUR" xr:uid="{00000000-0004-0000-0B00-00002A050000}"/>
    <hyperlink ref="H665" r:id="rId1324" display="http://pasino.ch/" xr:uid="{00000000-0004-0000-0B00-00002B050000}"/>
    <hyperlink ref="AN666" r:id="rId1325" display="https://onlinegamespromo.fazi.rs/Home/IntegrationGameLaunch?moneyType=0&amp;gameName=GoldenCrownExtremeDice&amp;platform=desktop&amp;languageCode=eng&amp;currency=EUR" xr:uid="{00000000-0004-0000-0B00-00002C050000}"/>
    <hyperlink ref="BD666" r:id="rId1326" display="https://gameserver-store-client-area.orbionlimited.com/Home/IntegrationGameLaunch/client-area?moneyType=0&amp;gameName=GoldenCrownExtremeDice&amp;platform=desktop&amp;languageCode=eng&amp;currency=EUR" xr:uid="{00000000-0004-0000-0B00-00002D050000}"/>
    <hyperlink ref="AN667" r:id="rId1327" display="https://onlinegamespromo.fazi.rs/Home/IntegrationGameLaunch?moneyType=0&amp;gameName=WinningClover5ExtremeBooster&amp;platform=desktop&amp;languageCode=eng&amp;currency=EUR" xr:uid="{00000000-0004-0000-0B00-00002E050000}"/>
    <hyperlink ref="BD667" r:id="rId1328" display="https://gameserver-store-client-area.orbionlimited.com/Home/IntegrationGameLaunch/client-area?moneyType=0&amp;gameName=WinningClover5ExtremeBooster&amp;platform=desktop&amp;languageCode=eng&amp;currency=EUR" xr:uid="{00000000-0004-0000-0B00-00002F050000}"/>
    <hyperlink ref="AN668" r:id="rId1329" display="https://onlinegamespromo.fazi.rs/Home/IntegrationGameLaunch?moneyType=0&amp;gameName=VeryHot40ExtremeBooster&amp;platform=desktop&amp;languageCode=eng&amp;currency=EUR" xr:uid="{00000000-0004-0000-0B00-000030050000}"/>
    <hyperlink ref="BD668" r:id="rId1330" display="https://gameserver-store-client-area.orbionlimited.com/Home/IntegrationGameLaunch/client-area?moneyType=0&amp;gameName=VeryHot40ExtremeBooster&amp;platform=desktop&amp;languageCode=eng&amp;currency=EUR" xr:uid="{00000000-0004-0000-0B00-000031050000}"/>
    <hyperlink ref="N670" r:id="rId1331" display="https://drive.google.com/drive/folders/15rWQH-CBK5xGg6xMmpPR3P6hRE9IdqFf" xr:uid="{00000000-0004-0000-0B00-000032050000}"/>
    <hyperlink ref="O670" r:id="rId1332" display="https://drive.google.com/drive/folders/15rWQH-CBK5xGg6xMmpPR3P6hRE9IdqFf" xr:uid="{00000000-0004-0000-0B00-000033050000}"/>
    <hyperlink ref="AN670" r:id="rId1333" display="https://onlinegamespromo.fazi.rs/Home/IntegrationGameLaunch?moneyType=0&amp;gameName=FortuneOfWuKong&amp;platform=desktop&amp;languageCode=eng&amp;currency=EUR" xr:uid="{00000000-0004-0000-0B00-000034050000}"/>
    <hyperlink ref="BD670" r:id="rId1334" display="https://gameserver-store-client-area.orbionlimited.com/Home/IntegrationGameLaunch/client-area?moneyType=0&amp;gameName=FortuneOfWuKong&amp;platform=desktop&amp;languageCode=eng&amp;currency=EUR" xr:uid="{00000000-0004-0000-0B00-000035050000}"/>
    <hyperlink ref="AN671" r:id="rId1335" display="https://onlinegamespromo.fazi.rs/Home/IntegrationGameLaunch?moneyType=0&amp;gameName=CloversAndDiamonds10&amp;platform=desktop&amp;languageCode=eng&amp;currency=EUR" xr:uid="{00000000-0004-0000-0B00-000036050000}"/>
    <hyperlink ref="BD671" r:id="rId1336" display="https://gameserver-store-client-area.orbionlimited.com/Home/IntegrationGameLaunch/client-area?moneyType=0&amp;gameName=CloversAndDiamonds10&amp;platform=desktop&amp;languageCode=eng&amp;currency=EUR" xr:uid="{00000000-0004-0000-0B00-000037050000}"/>
    <hyperlink ref="AN672" r:id="rId1337" display="https://onlinegamespromo.fazi.rs/Home/IntegrationGameLaunch?moneyType=0&amp;gameName=CloversAndDiamonds20&amp;platform=desktop&amp;languageCode=eng&amp;currency=EUR" xr:uid="{00000000-0004-0000-0B00-000038050000}"/>
    <hyperlink ref="BD672" r:id="rId1338" display="https://gameserver-store-client-area.orbionlimited.com/Home/IntegrationGameLaunch/client-area?moneyType=0&amp;gameName=CloversAndDiamonds20&amp;platform=desktop&amp;languageCode=eng&amp;currency=EUR" xr:uid="{00000000-0004-0000-0B00-000039050000}"/>
    <hyperlink ref="AN673" r:id="rId1339" display="https://onlinegamespromo.fazi.rs/Home/IntegrationGameLaunch?moneyType=0&amp;gameName=CloversAndDiamonds40&amp;platform=desktop&amp;languageCode=eng&amp;currency=EUR" xr:uid="{00000000-0004-0000-0B00-00003A050000}"/>
    <hyperlink ref="BD673" r:id="rId1340" display="https://gameserver-store-client-area.orbionlimited.com/Home/IntegrationGameLaunch/client-area?moneyType=0&amp;gameName=CloversAndDiamonds40&amp;platform=desktop&amp;languageCode=eng&amp;currency=EUR" xr:uid="{00000000-0004-0000-0B00-00003B050000}"/>
    <hyperlink ref="AN674" r:id="rId1341" display="https://onlinegamespromo.fazi.rs/Home/IntegrationGameLaunch?moneyType=0&amp;gameName=RoyalGardenKing&amp;platform=desktop&amp;languageCode=eng&amp;currency=EUR" xr:uid="{00000000-0004-0000-0B00-00003C050000}"/>
    <hyperlink ref="BD674" r:id="rId1342" display="https://gameserver-store-client-area.orbionlimited.com/Home/IntegrationGameLaunch/client-area?moneyType=0&amp;gameName=RoyalgardenKing&amp;platform=desktop&amp;languageCode=eng&amp;currency=EUR" xr:uid="{00000000-0004-0000-0B00-00003D050000}"/>
    <hyperlink ref="N675" r:id="rId1343" display="https://docs.google.com/document/d/1V2AsHCrmfW7_UwtgR_YnT2bqsuhjmNHC/edit" xr:uid="{00000000-0004-0000-0B00-00003E050000}"/>
    <hyperlink ref="O675" r:id="rId1344" display="https://docs.google.com/document/d/1vyPdbTiGJiKkYnnELDaLeavVn6alUl8O/edit" xr:uid="{00000000-0004-0000-0B00-00003F050000}"/>
    <hyperlink ref="AN675" r:id="rId1345" display="https://onlinegamespromo.fazi.rs/Home/IntegrationGameLaunch?moneyType=0&amp;gameName=RoyalgardenQueen&amp;platform=desktop&amp;languageCode=eng&amp;currency=EUR" xr:uid="{00000000-0004-0000-0B00-000040050000}"/>
    <hyperlink ref="BD675" r:id="rId1346" display="https://gameserver-store-client-area.orbionlimited.com/Home/IntegrationGameLaunch/client-area?moneyType=0&amp;gameName=RoyalgardenQueen&amp;platform=desktop&amp;languageCode=eng&amp;currency=EUR" xr:uid="{00000000-0004-0000-0B00-000041050000}"/>
    <hyperlink ref="H676" r:id="rId1347" display="http://jacks.nl/" xr:uid="{00000000-0004-0000-0B00-000042050000}"/>
    <hyperlink ref="AN680" r:id="rId1348" display="https://onlinegamespromo.fazi.rs/Home/IntegrationGameLaunch?moneyType=0&amp;gameName=UnicornHotFireballs&amp;platform=desktop&amp;languageCode=eng&amp;currency=EUR" xr:uid="{00000000-0004-0000-0B00-000043050000}"/>
    <hyperlink ref="BD680" r:id="rId1349" display="https://gameserver-store-client-area.orbionlimited.com/Home/IntegrationGameLaunch/client-area?moneyType=0&amp;gameName=UnicornHotFireballs&amp;platform=desktop&amp;languageCode=eng&amp;currency=EUR" xr:uid="{00000000-0004-0000-0B00-000044050000}"/>
    <hyperlink ref="AN681" r:id="rId1350" display="https://onlinegamespromo.fazi.rs/Home/IntegrationGameLaunch?moneyType=0&amp;gameName=UnicornThreeReelDice&amp;platform=desktop&amp;languageCode=eng&amp;currency=EUR" xr:uid="{00000000-0004-0000-0B00-000045050000}"/>
    <hyperlink ref="BD681" r:id="rId1351" display="https://gameserver-store-client-area.orbionlimited.com/Home/IntegrationGameLaunch/client-area?moneyType=0&amp;gameName=UnicornThreeReelDice&amp;platform=desktop&amp;languageCode=eng&amp;currency=EUR" xr:uid="{00000000-0004-0000-0B00-000046050000}"/>
    <hyperlink ref="AN682" r:id="rId1352" display="https://onlinegamespromo.fazi.rs/Home/IntegrationGameLaunch?moneyType=0&amp;gameName=UnicornTropicalTreasure&amp;platform=desktop&amp;languageCode=eng&amp;currency=EUR" xr:uid="{00000000-0004-0000-0B00-000047050000}"/>
    <hyperlink ref="BD682" r:id="rId1353" display="https://gameserver-store-client-area.orbionlimited.com/Home/IntegrationGameLaunch/client-area?moneyType=0&amp;gameName=UnicornTropicalTreasure&amp;platform=desktop&amp;languageCode=eng&amp;currency=EUR" xr:uid="{00000000-0004-0000-0B00-000048050000}"/>
    <hyperlink ref="AN683" r:id="rId1354" display="https://onlinegamespromo.fazi.rs/Home/IntegrationGameLaunch?moneyType=0&amp;gameName=UnicornGoldenGateFruit&amp;platform=desktop&amp;languageCode=eng&amp;currency=EUR" xr:uid="{00000000-0004-0000-0B00-000049050000}"/>
    <hyperlink ref="BD683" r:id="rId1355" display="https://gameserver-store-client-area.orbionlimited.com/Home/IntegrationGameLaunch/client-area?moneyType=0&amp;gameName=UnicornGoldenGateFruit&amp;platform=desktop&amp;languageCode=eng&amp;currency=EUR" xr:uid="{00000000-0004-0000-0B00-00004A050000}"/>
    <hyperlink ref="AN684" r:id="rId1356" display="https://onlinegamespromo.fazi.rs/Home/IntegrationGameLaunch?moneyType=0&amp;gameName=UnicornMoneyStandardJackpot&amp;platform=desktop&amp;languageCode=eng&amp;currency=EUR" xr:uid="{00000000-0004-0000-0B00-00004B050000}"/>
    <hyperlink ref="BD684" r:id="rId1357" display="https://gameserver-store-client-area.orbionlimited.com/Home/IntegrationGameLaunch/client-area?moneyType=0&amp;gameName=UnicornMoneyStandardJackpot&amp;platform=desktop&amp;languageCode=eng&amp;currency=EUR" xr:uid="{00000000-0004-0000-0B00-00004C050000}"/>
    <hyperlink ref="AN685" r:id="rId1358" display="https://onlinegamespromo.fazi.rs/Home/IntegrationGameLaunch?moneyType=0&amp;gameName=UnicornShinyFireballs&amp;platform=desktop&amp;languageCode=eng&amp;currency=EUR" xr:uid="{00000000-0004-0000-0B00-00004D050000}"/>
    <hyperlink ref="BD685" r:id="rId1359" display="https://gameserver-store-client-area.orbionlimited.com/Home/IntegrationGameLaunch/client-area?moneyType=0&amp;gameName=UnicornShinyFireballs&amp;platform=desktop&amp;languageCode=eng&amp;currency=EUR" xr:uid="{00000000-0004-0000-0B00-00004E050000}"/>
    <hyperlink ref="AN686" r:id="rId1360" display="https://onlinegamespromo.fazi.rs/Home/IntegrationGameLaunch?moneyType=0&amp;gameName=UnicornHotEightyOne&amp;platform=desktop&amp;languageCode=eng&amp;currency=EUR" xr:uid="{00000000-0004-0000-0B00-00004F050000}"/>
    <hyperlink ref="BD686" r:id="rId1361" display="https://gameserver-store-client-area.orbionlimited.com/Home/IntegrationGameLaunch/client-area?moneyType=0&amp;gameName=UnicornHotEightyOne&amp;platform=desktop&amp;languageCode=eng&amp;currency=EUR" xr:uid="{00000000-0004-0000-0B00-000050050000}"/>
    <hyperlink ref="AN687" r:id="rId1362" display="https://onlinegamespromo.fazi.rs/Home/IntegrationGameLaunch?moneyType=0&amp;gameName=UnicornHotFiredice&amp;platform=desktop&amp;languageCode=eng&amp;currency=EUR" xr:uid="{00000000-0004-0000-0B00-000051050000}"/>
    <hyperlink ref="BD687" r:id="rId1363" display="https://gameserver-store-client-area.orbionlimited.com/Home/IntegrationGameLaunch/client-area?moneyType=0&amp;gameName=UnicornHotFiredice&amp;platform=desktop&amp;languageCode=eng&amp;currency=EUR" xr:uid="{00000000-0004-0000-0B00-000052050000}"/>
    <hyperlink ref="AN688" r:id="rId1364" display="https://onlinegamespromo.fazi.rs/Home/IntegrationGameLaunch?moneyType=0&amp;gameName=UnicornMysticTreasure&amp;platform=desktop&amp;languageCode=eng&amp;currency=EUR" xr:uid="{00000000-0004-0000-0B00-000053050000}"/>
    <hyperlink ref="BD688" r:id="rId1365" display="https://gameserver-store-client-area.orbionlimited.com/Home/IntegrationGameLaunch/client-area?moneyType=0&amp;gameName=UnicornMysticTreasure&amp;platform=desktop&amp;languageCode=eng&amp;currency=EUR" xr:uid="{00000000-0004-0000-0B00-000054050000}"/>
    <hyperlink ref="AN689" r:id="rId1366" display="https://onlinegamespromo.fazi.rs/Home/IntegrationGameLaunch?moneyType=0&amp;gameName=UnicornGoldenGateDice&amp;platform=desktop&amp;languageCode=eng&amp;currency=EUR" xr:uid="{00000000-0004-0000-0B00-000055050000}"/>
    <hyperlink ref="BD689" r:id="rId1367" display="https://gameserver-store-client-area.orbionlimited.com/Home/IntegrationGameLaunch/client-area?moneyType=0&amp;gameName=UnicornGoldenGateDice&amp;platform=desktop&amp;languageCode=eng&amp;currency=EUR" xr:uid="{00000000-0004-0000-0B00-000056050000}"/>
    <hyperlink ref="AN690" r:id="rId1368" display="https://onlinegamespromo.fazi.rs/Home/IntegrationGameLaunch?moneyType=0&amp;gameName=UnicornBarrelsOfRiches&amp;platform=desktop&amp;languageCode=eng&amp;currency=EUR" xr:uid="{00000000-0004-0000-0B00-000057050000}"/>
    <hyperlink ref="BD690" r:id="rId1369" display="https://gameserver-store-client-area.orbionlimited.com/Home/IntegrationGameLaunch/client-area?moneyType=0&amp;gameName=UnicornBarrelsOfRiches&amp;platform=desktop&amp;languageCode=eng&amp;currency=EUR" xr:uid="{00000000-0004-0000-0B00-000058050000}"/>
    <hyperlink ref="N691" r:id="rId1370" display="https://docs.google.com/document/d/1YSsz_jLJlreA3qN9Lt9RMXC863ydho0G/edit?usp=drive_link&amp;ouid=107596163405648766688&amp;rtpof=true&amp;sd=true" xr:uid="{00000000-0004-0000-0B00-000059050000}"/>
    <hyperlink ref="O691" r:id="rId1371" display="https://docs.google.com/document/d/1zdUMedTsqXfN0F48MzFbai0UoUjBCsgb/edit?usp=drive_link&amp;ouid=107596163405648766688&amp;rtpof=true&amp;sd=true" xr:uid="{00000000-0004-0000-0B00-00005A050000}"/>
    <hyperlink ref="AN691" r:id="rId1372" display="https://static.redstone.rs/games/fruit-fire/" xr:uid="{00000000-0004-0000-0B00-00005B050000}"/>
    <hyperlink ref="BD691" r:id="rId1373" display="https://static.redstone.rs/games/fruit-fire/" xr:uid="{00000000-0004-0000-0B00-00005C050000}"/>
    <hyperlink ref="N692" r:id="rId1374" display="https://docs.google.com/document/d/1wjAA9dVrysXRFWD6hDLMhXgTp1vFJXxU/edit" xr:uid="{00000000-0004-0000-0B00-00005D050000}"/>
    <hyperlink ref="O692" r:id="rId1375" display="https://docs.google.com/document/d/1wjAA9dVrysXRFWD6hDLMhXgTp1vFJXxU/edit" xr:uid="{00000000-0004-0000-0B00-00005E050000}"/>
    <hyperlink ref="AN692" r:id="rId1376" display="https://static.redstone.rs/games/x-clover-fire/" xr:uid="{00000000-0004-0000-0B00-00005F050000}"/>
    <hyperlink ref="BD692" r:id="rId1377" display="https://static.redstone.rs/games/x-clover-fire/" xr:uid="{00000000-0004-0000-0B00-000060050000}"/>
    <hyperlink ref="N693" r:id="rId1378" display="https://docs.google.com/document/d/1FpkbA-AdLoL-JLYpZ6MRGHBx-ZEaymBO/edit?usp=drive_link&amp;ouid=107596163405648766688&amp;rtpof=true&amp;sd=true" xr:uid="{00000000-0004-0000-0B00-000061050000}"/>
    <hyperlink ref="O693" r:id="rId1379" display="https://docs.google.com/document/d/12Am11-4mtpE7Vt3O5Za5EBDo3bJWky8h/edit?usp=drive_link&amp;ouid=107596163405648766688&amp;rtpof=true&amp;sd=true" xr:uid="{00000000-0004-0000-0B00-000062050000}"/>
    <hyperlink ref="AN693" r:id="rId1380" display="https://static.redstone.rs/games/5-heart-deluxe/" xr:uid="{00000000-0004-0000-0B00-000063050000}"/>
    <hyperlink ref="BD693" r:id="rId1381" display="https://static.redstone.rs/games/5-heart-deluxe/" xr:uid="{00000000-0004-0000-0B00-000064050000}"/>
    <hyperlink ref="N694" r:id="rId1382" display="https://docs.google.com/document/d/1-6PcnJ06SjYueBh39-ZuoVgt9p51TmOA/edit?usp=drive_link&amp;ouid=107596163405648766688&amp;rtpof=true&amp;sd=true" xr:uid="{00000000-0004-0000-0B00-000065050000}"/>
    <hyperlink ref="O694" r:id="rId1383" display="https://docs.google.com/document/d/1KHwmVd0v96F5rocHLZGBtfkluMqsRMvs/edit?usp=drive_link&amp;ouid=107596163405648766688&amp;rtpof=true&amp;sd=true" xr:uid="{00000000-0004-0000-0B00-000066050000}"/>
    <hyperlink ref="AN694" r:id="rId1384" display="https://static.redstone.rs/games/heart-deluxe-2x/" xr:uid="{00000000-0004-0000-0B00-000067050000}"/>
    <hyperlink ref="BD694" r:id="rId1385" display="https://static.redstone.rs/games/heart-deluxe-2x/" xr:uid="{00000000-0004-0000-0B00-000068050000}"/>
    <hyperlink ref="N695" r:id="rId1386" display="https://docs.google.com/document/d/1OM9irwnSHXhkrqcPxaDoezRuDMEm--4_/edit?usp=drive_link&amp;ouid=107596163405648766688&amp;rtpof=true&amp;sd=true" xr:uid="{00000000-0004-0000-0B00-000069050000}"/>
    <hyperlink ref="O695" r:id="rId1387" display="https://docs.google.com/document/d/1SxO--5av61GOCZydyJnliOy8uqCPfzd9/edit?usp=drive_link&amp;ouid=107596163405648766688&amp;rtpof=true&amp;sd=true" xr:uid="{00000000-0004-0000-0B00-00006A050000}"/>
    <hyperlink ref="AN695" r:id="rId1388" display="https://static.redstone.rs/games/pure-hot-5/" xr:uid="{00000000-0004-0000-0B00-00006B050000}"/>
    <hyperlink ref="BD695" r:id="rId1389" display="https://static.redstone.rs/games/pure-hot-5/" xr:uid="{00000000-0004-0000-0B00-00006C050000}"/>
    <hyperlink ref="AN696" r:id="rId1390" display="https://onlinegamespromo.fazi.rs/Home/IntegrationGameLaunch?moneyType=0&amp;gameName=GoldenCrownExtremeBooster&amp;platform=desktop&amp;languageCode=eng&amp;currency=EUR" xr:uid="{00000000-0004-0000-0B00-00006D050000}"/>
    <hyperlink ref="BD696" r:id="rId1391" display="https://gameserver-store-client-area.orbionlimited.com/Home/IntegrationGameLaunch/client-area?moneyType=0&amp;gameName=GoldenCrownExtremeBooster&amp;platform=desktop&amp;languageCode=eng&amp;currency=EUR" xr:uid="{00000000-0004-0000-0B00-00006E050000}"/>
    <hyperlink ref="N697" r:id="rId1392" display="https://docs.google.com/document/d/1WrluwbWAmyc0wWS3PAGQlrTo2xpZ5lYg/edit?usp=drive_link&amp;ouid=107596163405648766688&amp;rtpof=true&amp;sd=true" xr:uid="{00000000-0004-0000-0B00-00006F050000}"/>
    <hyperlink ref="O697" r:id="rId1393" display="https://docs.google.com/document/d/1HUV4QGpaaDjKmgNJLGFq3pRMRKgFUtm2/edit?usp=drive_link&amp;ouid=107596163405648766688&amp;rtpof=true&amp;sd=true" xr:uid="{00000000-0004-0000-0B00-000070050000}"/>
    <hyperlink ref="AN697" r:id="rId1394" display="https://static.redstone.rs/games/x-wild-crown/" xr:uid="{00000000-0004-0000-0B00-000071050000}"/>
    <hyperlink ref="BD697" r:id="rId1395" display="https://static.redstone.rs/games/x-wild-crown/" xr:uid="{00000000-0004-0000-0B00-000072050000}"/>
    <hyperlink ref="N698" r:id="rId1396" display="https://docs.google.com/document/d/12UFllm5BMu7NxIzOKCh4kg98vFkZkLkR/edit?usp=drive_link&amp;ouid=107596163405648766688&amp;rtpof=true&amp;sd=true" xr:uid="{00000000-0004-0000-0B00-000073050000}"/>
    <hyperlink ref="O698" r:id="rId1397" display="https://docs.google.com/document/d/1ZLIW__zySyCWziF_dXa9g43UImM4EpOH/edit?usp=drive_link&amp;ouid=107596163405648766688&amp;rtpof=true&amp;sd=true" xr:uid="{00000000-0004-0000-0B00-000074050000}"/>
    <hyperlink ref="AN698" r:id="rId1398" display="https://static.redstone.rs/games/5-clover-deluxe/" xr:uid="{00000000-0004-0000-0B00-000075050000}"/>
    <hyperlink ref="BD698" r:id="rId1399" display="https://static.redstone.rs/games/5-clover-deluxe/" xr:uid="{00000000-0004-0000-0B00-000076050000}"/>
    <hyperlink ref="N699" r:id="rId1400" display="https://docs.google.com/document/d/1fpidL62Ny3kJUn37vG10XhM9AHGg2FDt/edit?usp=drive_link&amp;ouid=107596163405648766688&amp;rtpof=true&amp;sd=true" xr:uid="{00000000-0004-0000-0B00-000077050000}"/>
    <hyperlink ref="O699" r:id="rId1401" display="https://docs.google.com/document/d/13hptVNdjfkN_JG3U1UHmaHQEMcK2oWHD/edit?usp=drive_link&amp;ouid=107596163405648766688&amp;rtpof=true&amp;sd=true" xr:uid="{00000000-0004-0000-0B00-000078050000}"/>
    <hyperlink ref="AN699" r:id="rId1402" display="https://static.redstone.rs/games/heart-deluxe-2x/" xr:uid="{00000000-0004-0000-0B00-000079050000}"/>
    <hyperlink ref="BD699" r:id="rId1403" display="https://static.redstone.rs/games/heart-deluxe-2x/" xr:uid="{00000000-0004-0000-0B00-00007A050000}"/>
    <hyperlink ref="N700" r:id="rId1404" display="https://drive.google.com/file/d/1S0-fHVRS6bsEy3Ks1h5GDkyMb0QVP33n/view?usp=drive_link" xr:uid="{00000000-0004-0000-0B00-00007B050000}"/>
    <hyperlink ref="O700" r:id="rId1405" display="https://drive.google.com/file/d/1WYJFt9Qh_YOO8s37ig8lDz5BW3MROTcj/view?usp=drive_link" xr:uid="{00000000-0004-0000-0B00-00007C050000}"/>
    <hyperlink ref="AN700" r:id="rId1406" display="https://static.redstone.rs/games/cosmic-fruits/" xr:uid="{00000000-0004-0000-0B00-00007D050000}"/>
    <hyperlink ref="BD700" r:id="rId1407" display="https://static.redstone.rs/games/cosmic-fruits/" xr:uid="{00000000-0004-0000-0B00-00007E050000}"/>
    <hyperlink ref="N701" r:id="rId1408" display="https://docs.google.com/document/d/1ixR3rP6c5RAoL7tETZ5aWdSCyz5h6p8X/edit?usp=drive_link&amp;ouid=107596163405648766688&amp;rtpof=true&amp;sd=true" xr:uid="{00000000-0004-0000-0B00-00007F050000}"/>
    <hyperlink ref="O701" r:id="rId1409" display="https://docs.google.com/document/d/1tNB9UAntH_Ow2expZVnP_6rc5b7mJggd/edit?usp=drive_link&amp;ouid=107596163405648766688&amp;rtpof=true&amp;sd=true" xr:uid="{00000000-0004-0000-0B00-000080050000}"/>
    <hyperlink ref="AN701" r:id="rId1410" display="https://static.redstone.rs/games/x-wild-heart/" xr:uid="{00000000-0004-0000-0B00-000081050000}"/>
    <hyperlink ref="BD701" r:id="rId1411" display="https://static.redstone.rs/games/x-wild-heart/" xr:uid="{00000000-0004-0000-0B00-000082050000}"/>
    <hyperlink ref="N702" r:id="rId1412" display="https://docs.google.com/document/d/1OjZOchQ0XNxKdCKZBU_goFxCAC9yjUgM/edit?usp=drive_link&amp;ouid=107596163405648766688&amp;rtpof=true&amp;sd=true" xr:uid="{00000000-0004-0000-0B00-000083050000}"/>
    <hyperlink ref="O702" r:id="rId1413" display="https://docs.google.com/document/d/1vRhIkDYysLL_zxj3-EOsRRAyKL69H-Ul/edit?usp=drive_link&amp;ouid=107596163405648766688&amp;rtpof=true&amp;sd=true" xr:uid="{00000000-0004-0000-0B00-000084050000}"/>
    <hyperlink ref="AN702" r:id="rId1414" display="https://static.redstone.rs/games/5-crown-deluxe/" xr:uid="{00000000-0004-0000-0B00-000085050000}"/>
    <hyperlink ref="BD702" r:id="rId1415" display="https://static.redstone.rs/games/5-crown-deluxe/" xr:uid="{00000000-0004-0000-0B00-000086050000}"/>
    <hyperlink ref="N703" r:id="rId1416" display="https://docs.google.com/document/d/1NOemN7WwBlOyX71LJKPeTfmPYKuw9CGx/edit?usp=drive_link&amp;ouid=107596163405648766688&amp;rtpof=true&amp;sd=true" xr:uid="{00000000-0004-0000-0B00-000087050000}"/>
    <hyperlink ref="O703" r:id="rId1417" display="https://docs.google.com/document/d/1Zv7vX6pvIoLzVRjNAVRElBLfN7d3625I/edit?usp=drive_link&amp;ouid=107596163405648766688&amp;rtpof=true&amp;sd=true" xr:uid="{00000000-0004-0000-0B00-000088050000}"/>
    <hyperlink ref="AN703" r:id="rId1418" display="https://static.redstone.rs/games/crown-deluxe-2x/" xr:uid="{00000000-0004-0000-0B00-000089050000}"/>
    <hyperlink ref="BD703" r:id="rId1419" display="https://static.redstone.rs/games/crown-deluxe-2x/" xr:uid="{00000000-0004-0000-0B00-00008A050000}"/>
    <hyperlink ref="AN704" r:id="rId1420" display="https://onlinegamespromo.fazi.rs/Home/IntegrationGameLaunch?moneyType=0&amp;gameName=PlayNetRoyalFlame40&amp;platform=desktop&amp;languageCode=eng&amp;currency=EUR" xr:uid="{00000000-0004-0000-0B00-00008B050000}"/>
    <hyperlink ref="BD704" r:id="rId1421" display="https://gameserver-store-client-area.orbionlimited.com/Home/IntegrationGameLaunch/client-area?moneyType=0&amp;gameName=PlayNetRoyalFlame40&amp;platform=desktop&amp;languageCode=eng&amp;currency=EUR" xr:uid="{00000000-0004-0000-0B00-00008C050000}"/>
    <hyperlink ref="AN705" r:id="rId1422" display="https://onlinegamespromo.fazi.rs/Home/IntegrationGameLaunch?moneyType=0&amp;gameName=PlayNetFruitJackPotx10000&amp;platform=desktop&amp;languageCode=eng&amp;currency=EUR" xr:uid="{00000000-0004-0000-0B00-00008D050000}"/>
    <hyperlink ref="BD705" r:id="rId1423" display="https://gameserver-store-client-area.orbionlimited.com/Home/IntegrationGameLaunch/client-area?moneyType=0&amp;gameName=PlayNetFruitJackPotx10000&amp;platform=desktop&amp;languageCode=eng&amp;currency=EUR" xr:uid="{00000000-0004-0000-0B00-00008E050000}"/>
    <hyperlink ref="AN706" r:id="rId1424" display="https://onlinegamespromo.fazi.rs/Home/IntegrationGameLaunch?moneyType=0&amp;gameName=PlayNet27LuckyFruits&amp;platform=desktop&amp;languageCode=eng&amp;currency=EUR" xr:uid="{00000000-0004-0000-0B00-00008F050000}"/>
    <hyperlink ref="BD706" r:id="rId1425" display="https://gameserver-store-client-area.orbionlimited.com/Home/IntegrationGameLaunch/client-area?moneyType=0&amp;gameName=PlayNet27LuckyFruits&amp;platform=desktop&amp;languageCode=eng&amp;currency=EUR" xr:uid="{00000000-0004-0000-0B00-000090050000}"/>
    <hyperlink ref="AN707" r:id="rId1426" display="https://onlinegamespromo.fazi.rs/Home/IntegrationGameLaunch?moneyType=0&amp;gameName=PlayNetShadowHunt10&amp;platform=desktop&amp;languageCode=eng&amp;currency=EUR" xr:uid="{00000000-0004-0000-0B00-000091050000}"/>
    <hyperlink ref="BD707" r:id="rId1427" display="https://gameserver-store-client-area.orbionlimited.com/Home/IntegrationGameLaunch/client-area?moneyType=0&amp;gameName=PlayNetShadowHunt10&amp;platform=desktop&amp;languageCode=eng&amp;currency=EUR" xr:uid="{00000000-0004-0000-0B00-000092050000}"/>
    <hyperlink ref="AN708" r:id="rId1428" display="https://onlinegamespromo.fazi.rs/Home/IntegrationGameLaunch?moneyType=0&amp;gameName=PlayNetDiamondHeart20&amp;platform=desktop&amp;languageCode=eng&amp;currency=EUR" xr:uid="{00000000-0004-0000-0B00-000093050000}"/>
    <hyperlink ref="BD708" r:id="rId1429" display="https://gameserver-store-client-area.orbionlimited.com/Home/IntegrationGameLaunch/client-area?moneyType=0&amp;gameName=PlayNetDiamondHeart20&amp;platform=desktop&amp;languageCode=eng&amp;currency=EUR" xr:uid="{00000000-0004-0000-0B00-000094050000}"/>
    <hyperlink ref="AN709" r:id="rId1430" display="https://onlinegamespromo.fazi.rs/Home/IntegrationGameLaunch?moneyType=0&amp;gameName=PlayNetBitQueen&amp;platform=desktop&amp;languageCode=eng&amp;currency=EUR" xr:uid="{00000000-0004-0000-0B00-000095050000}"/>
    <hyperlink ref="BD709" r:id="rId1431" display="https://gameserver-store-client-area.orbionlimited.com/Home/IntegrationGameLaunch/client-area?moneyType=0&amp;gameName=PlayNetBitQueen&amp;platform=desktop&amp;languageCode=eng&amp;currency=EUR" xr:uid="{00000000-0004-0000-0B00-000096050000}"/>
    <hyperlink ref="AN710" r:id="rId1432" display="https://onlinegamespromo.fazi.rs/Home/IntegrationGameLaunch?moneyType=0&amp;gameName=PlayNetDashingHot40&amp;platform=desktop&amp;languageCode=eng&amp;currency=EUR" xr:uid="{00000000-0004-0000-0B00-000097050000}"/>
    <hyperlink ref="BD710" r:id="rId1433" display="https://gameserver-store-client-area.orbionlimited.com/Home/IntegrationGameLaunch/client-area?moneyType=0&amp;gameName=PlayNetDashingHot40&amp;platform=desktop&amp;languageCode=eng&amp;currency=EUR" xr:uid="{00000000-0004-0000-0B00-000098050000}"/>
    <hyperlink ref="AN711" r:id="rId1434" display="https://onlinegamespromo.fazi.rs/Home/IntegrationGameLaunch?moneyType=0&amp;gameName=PlayNetDarkTemptress100&amp;platform=desktop&amp;languageCode=eng&amp;currency=EUR" xr:uid="{00000000-0004-0000-0B00-000099050000}"/>
    <hyperlink ref="BD711" r:id="rId1435" display="https://gameserver-store-client-area.orbionlimited.com/Home/IntegrationGameLaunch/client-area?moneyType=0&amp;gameName=PlayNetDarkTemptress100&amp;platform=desktop&amp;languageCode=eng&amp;currency=EUR" xr:uid="{00000000-0004-0000-0B00-00009A050000}"/>
    <hyperlink ref="N712" r:id="rId1436" display="https://drive.google.com/drive/u/1/folders/1zeR0z-jJdHjt59KLlD0fbWBs3G_ZmNJ5" xr:uid="{00000000-0004-0000-0B00-00009B050000}"/>
    <hyperlink ref="O712" r:id="rId1437" display="https://drive.google.com/drive/u/1/folders/1zeR0z-jJdHjt59KLlD0fbWBs3G_ZmNJ5" xr:uid="{00000000-0004-0000-0B00-00009C050000}"/>
    <hyperlink ref="AN712" r:id="rId1438" display="https://onlinegamespromo.fazi.rs/Home/IntegrationGameLaunch?moneyType=0&amp;gameName=PlayNetBarkinRiches&amp;platform=desktop&amp;languageCode=eng&amp;currency=EUR" xr:uid="{00000000-0004-0000-0B00-00009D050000}"/>
    <hyperlink ref="BD712" r:id="rId1439" display="https://gameserver-store-client-area.orbionlimited.com/Home/IntegrationGameLaunch/client-area?moneyType=0&amp;gameName=PlayNetBarkinRiches&amp;platform=desktop&amp;languageCode=eng&amp;currency=EUR" xr:uid="{00000000-0004-0000-0B00-00009E050000}"/>
    <hyperlink ref="AN714" r:id="rId1440" display="https://onlinegamespromo.fazi.rs/Home/IntegrationGameLaunch?moneyType=0&amp;gameName=MultihotPot&amp;platform=desktop&amp;languageCode=eng&amp;currency=EUR" xr:uid="{00000000-0004-0000-0B00-00009F050000}"/>
    <hyperlink ref="BD714" r:id="rId1441" display="https://gameserver-store-client-area.orbionlimited.com/Home/IntegrationGameLaunch/client-area?moneyType=0&amp;gameName=MultihotPot&amp;platform=desktop&amp;languageCode=eng&amp;currency=EUR" xr:uid="{00000000-0004-0000-0B00-0000A0050000}"/>
    <hyperlink ref="AN715" r:id="rId1442" display="https://onlinegamespromo.fazi.rs/Home/IntegrationGameLaunch?moneyType=0&amp;gameName=TripleWildCrown&amp;platform=desktop&amp;languageCode=eng&amp;currency=EUR" xr:uid="{00000000-0004-0000-0B00-0000A1050000}"/>
    <hyperlink ref="BD715" r:id="rId1443" display="https://gameserver-store-client-area.orbionlimited.com/Home/IntegrationGameLaunch/client-area?moneyType=0&amp;gameName=TripleWildCrown&amp;platform=desktop&amp;languageCode=eng&amp;currency=EUR" xr:uid="{00000000-0004-0000-0B00-0000A2050000}"/>
    <hyperlink ref="AN717" r:id="rId1444" display="https://gameserver-store-stg.fazi.rs/Home/IntegrationGameLaunch/fazi-stg16?moneyType=0&amp;gameName=BonusEpicWildExtralines&amp;platform=desktop&amp;languageCode=eng&amp;currency=EUR" xr:uid="{00000000-0004-0000-0B00-0000A3050000}"/>
    <hyperlink ref="BD717" r:id="rId1445" display="https://gameserver-store-client-area.orbionlimited.com/Home/IntegrationGameLaunch/client-area?moneyType=0&amp;gameName=BonusEpicWildExtralines&amp;platform=desktop&amp;languageCode=eng&amp;currency=EUR" xr:uid="{00000000-0004-0000-0B00-0000A4050000}"/>
    <hyperlink ref="AN726" r:id="rId1446" display="https://onlinegamespromo.fazi.rs/Home/IntegrationGameLaunch?moneyType=0&amp;gameName=Clover27&amp;platform=desktop&amp;languageCode=eng&amp;currency=EUR" xr:uid="{00000000-0004-0000-0B00-0000A5050000}"/>
    <hyperlink ref="N729" r:id="rId1447" display="https://drive.google.com/file/d/17tr6SmcEn9_MyDE_b5WH0MDvojMLQHRS/view?usp=drive_link" xr:uid="{00000000-0004-0000-0B00-0000A6050000}"/>
    <hyperlink ref="O729" r:id="rId1448" display="https://drive.google.com/file/d/1TW2wwLq99f2bqF9Zy4cnGc4aR9pY3kjS/view?usp=drive_link" xr:uid="{00000000-0004-0000-0B00-0000A7050000}"/>
    <hyperlink ref="AN729" r:id="rId1449" display="https://static.redstone.rs/games/x-chilli-hot/" xr:uid="{00000000-0004-0000-0B00-0000A8050000}"/>
    <hyperlink ref="N730" r:id="rId1450" display="https://drive.google.com/file/d/145sR3350PwACoVVVWMY_-dBjMT607I5s/view?usp=drive_link" xr:uid="{00000000-0004-0000-0B00-0000A9050000}"/>
    <hyperlink ref="O730" r:id="rId1451" display="https://drive.google.com/file/d/13--XJoIX1ZInVjZapgdVvvDbmo2ewyUq/view?usp=drive_link" xr:uid="{00000000-0004-0000-0B00-0000AA050000}"/>
    <hyperlink ref="AN730" r:id="rId1452" display="https://static.redstone.rs/games/x-crown-fire/" xr:uid="{00000000-0004-0000-0B00-0000AB050000}"/>
    <hyperlink ref="BD730" r:id="rId1453" display="https://gameserver-store-client-area.orbionlimited.com/Home/IntegrationGameLaunch/client-area?moneyType=0&amp;gameName=RedstoneXCrownFire&amp;platform=desktop&amp;languageCode=eng&amp;currency=EUR" xr:uid="{00000000-0004-0000-0B00-0000AC050000}"/>
    <hyperlink ref="N731" r:id="rId1454" display="https://drive.google.com/file/d/1ZFEOse_feOc6LN0IsqPUiwQ_4lTogSPc/view?usp=drive_link" xr:uid="{00000000-0004-0000-0B00-0000AD050000}"/>
    <hyperlink ref="O731" r:id="rId1455" display="https://drive.google.com/file/d/1CmGESi6rC-uXvuNncsMqXffnwfUVyPTW/view?usp=drive_link" xr:uid="{00000000-0004-0000-0B00-0000AE050000}"/>
    <hyperlink ref="AN731" r:id="rId1456" display="https://static.redstone.rs/games/10-clover-deluxe/" xr:uid="{00000000-0004-0000-0B00-0000AF050000}"/>
    <hyperlink ref="BD731" r:id="rId1457" display="https://gameserver-store-client-area.orbionlimited.com/Home/IntegrationGameLaunch/client-area?moneyType=0&amp;gameName=Redstone10CloverDeluxe&amp;platform=desktop&amp;languageCode=eng&amp;currency=EUR" xr:uid="{00000000-0004-0000-0B00-0000B0050000}"/>
    <hyperlink ref="N732" r:id="rId1458" display="https://drive.google.com/file/d/1Lr8L5PDJ4ArhtIrekH4b7W6OQ40pW5z3/view?usp=drive_link" xr:uid="{00000000-0004-0000-0B00-0000B1050000}"/>
    <hyperlink ref="O732" r:id="rId1459" display="https://drive.google.com/file/d/19M1g4OSbBoQNUuEpDv6qHF5EGlD_YWfL/view?usp=drive_link" xr:uid="{00000000-0004-0000-0B00-0000B2050000}"/>
    <hyperlink ref="AN732" r:id="rId1460" display="https://static.redstone.rs/games/10-crown-deluxe/" xr:uid="{00000000-0004-0000-0B00-0000B3050000}"/>
    <hyperlink ref="BD732" r:id="rId1461" display="https://gameserver-store-client-area.orbionlimited.com/Home/IntegrationGameLaunch/client-area?moneyType=0&amp;gameName=Redstone10CrownDeluxe&amp;platform=desktop&amp;languageCode=eng&amp;currency=EUR" xr:uid="{00000000-0004-0000-0B00-0000B4050000}"/>
    <hyperlink ref="N733" r:id="rId1462" display="https://drive.google.com/file/d/1UXlO04i5CFextE2cQm_x6W4x1ksPCMwv/view?usp=drive_link" xr:uid="{00000000-0004-0000-0B00-0000B5050000}"/>
    <hyperlink ref="O733" r:id="rId1463" display="https://drive.google.com/file/d/1fG4olvFV2Azv3PAxhyn-hOZT8IQD-3sZ/view?usp=drive_link" xr:uid="{00000000-0004-0000-0B00-0000B6050000}"/>
    <hyperlink ref="AN733" r:id="rId1464" display="https://static.redstone.rs/games/10-heart-deluxe/" xr:uid="{00000000-0004-0000-0B00-0000B7050000}"/>
    <hyperlink ref="BD733" r:id="rId1465" display="https://gameserver-store-client-area.orbionlimited.com/Home/IntegrationGameLaunch/client-area?moneyType=0&amp;gameName=Redstone10HeartDeluxe&amp;platform=desktop&amp;languageCode=eng&amp;currency=EUR" xr:uid="{00000000-0004-0000-0B00-0000B8050000}"/>
    <hyperlink ref="N735" r:id="rId1466" display="https://drive.google.com/file/d/16FDmdUMiyHsJPqF1umynLQitn8iTXGyF/view?usp=drive_link" xr:uid="{00000000-0004-0000-0B00-0000B9050000}"/>
    <hyperlink ref="O735" r:id="rId1467" display="https://drive.google.com/file/d/1CClaLQ3IDpQCDIhVduwyLDasvl7TxyYD/view?usp=drive_link" xr:uid="{00000000-0004-0000-0B00-0000BA050000}"/>
    <hyperlink ref="AN735" r:id="rId1468" display="https://static.redstone.rs/games/multi-heart-10/" xr:uid="{00000000-0004-0000-0B00-0000BB050000}"/>
    <hyperlink ref="BD735" r:id="rId1469" display="https://gameserver-store-client-area.orbionlimited.com/Home/IntegrationGameLaunch/client-area?moneyType=0&amp;gameName=RedstoneMultiHeart10&amp;platform=desktop&amp;languageCode=eng&amp;currency=EUR" xr:uid="{00000000-0004-0000-0B00-0000BC050000}"/>
    <hyperlink ref="N750" r:id="rId1470" display="https://dicebyte.sharepoint.com/:w:/g/IQBMvZcM-ZEMSIz3gv35CviIAT5NyCws_wmwUJJ_l1POEws?e=rosiY8" xr:uid="{00000000-0004-0000-0B00-0000BD050000}"/>
    <hyperlink ref="O750" r:id="rId1471" display="https://dicebyte.sharepoint.com/:w:/g/IQBkSwp3xWGoS6JWHr34lPnLAUTBake1SLvmEpk02u-x400?e=mDOD51" xr:uid="{00000000-0004-0000-0B00-0000BE050000}"/>
    <hyperlink ref="AN750" r:id="rId1472" display="https://rgs-lucky-crown-10.soko.games/?demo=True&amp;locale=eng" xr:uid="{00000000-0004-0000-0B00-0000BF050000}"/>
    <hyperlink ref="BD750" r:id="rId1473" display="https://rgs-lucky-crown-10.soko.games/" xr:uid="{00000000-0004-0000-0B00-0000C0050000}"/>
    <hyperlink ref="AN751" r:id="rId1474" display="https://onlinegamespromo.fazi.rs/Home/IntegrationGameLaunch?moneyType=0&amp;gameName=HotClockExtreme&amp;platform=desktop&amp;languageCode=eng&amp;currency=EUR" xr:uid="{00000000-0004-0000-0B00-0000C1050000}"/>
    <hyperlink ref="BD751" r:id="rId1475" display="https://gameserver-store-client-area.orbionlimited.com/Home/IntegrationGameLaunch/client-area?moneyType=0&amp;gameName=HotClockExtreme&amp;platform=desktop&amp;languageCode=eng&amp;currency=EUR" xr:uid="{00000000-0004-0000-0B00-0000C2050000}"/>
    <hyperlink ref="N752" r:id="rId1476" display="https://dicebyte.sharepoint.com/:w:/g/IQCmalLbiZrmQIgI2LtUxvBeAZOOO2FkUmehqQc_ao6RBk4?e=ldgg7g" xr:uid="{00000000-0004-0000-0B00-0000C3050000}"/>
    <hyperlink ref="O752" r:id="rId1477" display="https://dicebyte.sharepoint.com/:w:/g/IQCdF4DCdHzrQIM4kGL3LM3tARwUDDmvdNwA98IbBO-rHXU?e=yR1hzV" xr:uid="{00000000-0004-0000-0B00-0000C4050000}"/>
    <hyperlink ref="AN752" r:id="rId1478" display="https://rgs-hot-chili-fiesta.soko.games/?demo=True&amp;locale=eng" xr:uid="{00000000-0004-0000-0B00-0000C5050000}"/>
    <hyperlink ref="AN758" r:id="rId1479" display="https://onlinegamespromo.fazi.rs/Home/IntegrationGameLaunch?moneyType=0&amp;gameName=ExtremeStickyClover&amp;platform=desktop&amp;languageCode=eng&amp;currency=EUR" xr:uid="{00000000-0004-0000-0B00-0000C6050000}"/>
    <hyperlink ref="AN760" r:id="rId1480" display="https://onlinegamespromo.fazi.rs/Home/IntegrationGameLaunch?moneyType=0&amp;gameName=BonusWild81Extralines&amp;platform=desktop&amp;languageCode=eng&amp;currency=EUR" xr:uid="{00000000-0004-0000-0B00-0000C7050000}"/>
    <hyperlink ref="AN761" r:id="rId1481" display="https://onlinegamespromo.fazi.rs/Home/IntegrationGameLaunch?moneyType=0&amp;gameName=UnicornFlamyFireballs&amp;platform=desktop&amp;languageCode=eng&amp;currency=EUR" xr:uid="{00000000-0004-0000-0B00-0000C8050000}"/>
    <hyperlink ref="BD761" r:id="rId1482" display="https://gameserver-store-client-area.orbionlimited.com/Home/IntegrationGameLaunch/client-area?moneyType=0&amp;gameName=UnicornFlamyFireballs&amp;platform=desktop&amp;languageCode=eng&amp;currency=EUR" xr:uid="{00000000-0004-0000-0B00-0000C9050000}"/>
    <hyperlink ref="AN762" r:id="rId1483" display="https://onlinegamespromo.fazi.rs/Home/IntegrationGameLaunch?moneyType=0&amp;gameName=UnicornFruitPlayDice&amp;platform=desktop&amp;languageCode=eng&amp;currency=EUR" xr:uid="{00000000-0004-0000-0B00-0000CA050000}"/>
    <hyperlink ref="BD762" r:id="rId1484" display="https://gameserver-store-client-area.orbionlimited.com/Home/IntegrationGameLaunch/client-area?moneyType=0&amp;gameName=UnicornFruitPlayDice&amp;platform=desktop&amp;languageCode=eng&amp;currency=EUR" xr:uid="{00000000-0004-0000-0B00-0000CB050000}"/>
    <hyperlink ref="AN763" r:id="rId1485" display="https://onlinegamespromo.fazi.rs/Home/IntegrationGameLaunch?moneyType=0&amp;gameName=UnicornSpinTheSevens&amp;platform=desktop&amp;languageCode=eng&amp;currency=EUR" xr:uid="{00000000-0004-0000-0B00-0000CC050000}"/>
    <hyperlink ref="BD763" r:id="rId1486" display="https://gameserver-store-client-area.orbionlimited.com/Home/IntegrationGameLaunch/client-area?moneyType=0&amp;gameName=UnicornSpinTheSevens&amp;platform=desktop&amp;languageCode=eng&amp;currency=EUR" xr:uid="{00000000-0004-0000-0B00-0000CD050000}"/>
    <hyperlink ref="AN764" r:id="rId1487" display="https://onlinegamespromo.fazi.rs/Home/IntegrationGameLaunch?moneyType=0&amp;gameName=UnicornCrazyWildSevens&amp;platform=desktop&amp;languageCode=eng&amp;currency=EUR" xr:uid="{00000000-0004-0000-0B00-0000CE050000}"/>
    <hyperlink ref="BD764" r:id="rId1488" display="https://gameserver-store-client-area.orbionlimited.com/Home/IntegrationGameLaunch/client-area?moneyType=0&amp;gameName=UnicornCrazyWildSevens&amp;platform=desktop&amp;languageCode=eng&amp;currency=EUR" xr:uid="{00000000-0004-0000-0B00-0000CF050000}"/>
    <hyperlink ref="AN765" r:id="rId1489" display="https://onlinegamespromo.fazi.rs/Home/IntegrationGameLaunch?moneyType=0&amp;gameName=UnicornSunOfTheNile&amp;platform=desktop&amp;languageCode=eng&amp;currency=EUR" xr:uid="{00000000-0004-0000-0B00-0000D0050000}"/>
    <hyperlink ref="BD765" r:id="rId1490" display="https://gameserver-store-client-area.orbionlimited.com/Home/IntegrationGameLaunch/client-area?moneyType=0&amp;gameName=UnicornSunOfTheNile&amp;platform=desktop&amp;languageCode=eng&amp;currency=EUR" xr:uid="{00000000-0004-0000-0B00-0000D1050000}"/>
    <hyperlink ref="AN766" r:id="rId1491" display="https://onlinegamespromo.fazi.rs/Home/IntegrationGameLaunch?moneyType=0&amp;gameName=UnicornDazzleFireballs&amp;platform=desktop&amp;languageCode=eng&amp;currency=EUR" xr:uid="{00000000-0004-0000-0B00-0000D2050000}"/>
    <hyperlink ref="BD766" r:id="rId1492" display="https://gameserver-store-client-area.orbionlimited.com/Home/IntegrationGameLaunch/client-area?moneyType=0&amp;gameName=UnicornDazzleFireballs&amp;platform=desktop&amp;languageCode=eng&amp;currency=EUR" xr:uid="{00000000-0004-0000-0B00-0000D3050000}"/>
    <hyperlink ref="AN767" r:id="rId1493" display="https://onlinegamespromo.fazi.rs/Home/IntegrationGameLaunch?moneyType=0&amp;gameName=UnicornSevensPayDice&amp;platform=desktop&amp;languageCode=eng&amp;currency=EUR" xr:uid="{00000000-0004-0000-0B00-0000D4050000}"/>
    <hyperlink ref="BD767" r:id="rId1494" display="https://gameserver-store-client-area.orbionlimited.com/Home/IntegrationGameLaunch/client-area?moneyType=0&amp;gameName=UnicornSevensPayDice&amp;platform=desktop&amp;languageCode=eng&amp;currency=EUR" xr:uid="{00000000-0004-0000-0B00-0000D5050000}"/>
    <hyperlink ref="AN770" r:id="rId1495" display="https://onlinegamespromo.fazi.rs/Home/IntegrationGameLaunch?moneyType=0&amp;gameName=TBD&amp;platform=desktop&amp;languageCode=eng&amp;currency=EUR" xr:uid="{00000000-0004-0000-0B00-0000D6050000}"/>
    <hyperlink ref="N775" r:id="rId1496" display="https://dicebyte.sharepoint.com/:b:/g/IQDyDKwN3M1gR4amzH0TthN7AcNPbN6DwC2M6XiCCfylpy4?e=esZJ4K" xr:uid="{00000000-0004-0000-0B00-0000D7050000}"/>
    <hyperlink ref="O775" r:id="rId1497" display="https://dicebyte.sharepoint.com/:b:/g/IQBqtyhY_ZLRQ6faRGOE-Es_AfS0vDfGoIZBB1phUqxZx48?e=bKLICK" xr:uid="{00000000-0004-0000-0B00-0000D8050000}"/>
    <hyperlink ref="AN775" r:id="rId1498" display="https://rgs-double-hot-chili.soko.games/?demo=True&amp;locale=eng" xr:uid="{00000000-0004-0000-0B00-0000D9050000}"/>
    <hyperlink ref="BD775" r:id="rId1499" display="https://rgs-double-hot-chili.soko.games/?demo=True&amp;locale=eng" xr:uid="{00000000-0004-0000-0B00-0000DA050000}"/>
    <hyperlink ref="N778" r:id="rId1500" display="https://dicebyte.sharepoint.com/:b:/g/IQBvJ2CS3yR_QoURHTzPMA3aAQRvpUy2WDetN09DdU0VOac?e=doH5cg" xr:uid="{00000000-0004-0000-0B00-0000DB050000}"/>
    <hyperlink ref="O778" r:id="rId1501" display="https://dicebyte.sharepoint.com/:b:/g/IQBk427fhJxFRqJu3RDzN5j7AWRQQ5sgDQ-UUgTcLVfZu9I?e=kSsSNb" xr:uid="{00000000-0004-0000-0B00-0000DC050000}"/>
    <hyperlink ref="AN778" r:id="rId1502" display="https://rgs-royal-jewels-fortune-deluxe.soko.games/?demo=True&amp;locale=eng" xr:uid="{00000000-0004-0000-0B00-0000DD050000}"/>
    <hyperlink ref="BD778" r:id="rId1503" display="https://rgs-royal-jewels-fortune-deluxe.soko.games/?demo=True&amp;locale=eng" xr:uid="{00000000-0004-0000-0B00-0000DE050000}"/>
    <hyperlink ref="N781" r:id="rId1504" display="https://dicebyte.sharepoint.com/:b:/g/IQCj9mj7Y3GfQ5tXjcWXnck3AYO2YmBM14UsIodZ8zaTNZc?e=LJRWkK" xr:uid="{00000000-0004-0000-0B00-0000DF050000}"/>
    <hyperlink ref="O781" r:id="rId1505" display="https://dicebyte.sharepoint.com/:b:/g/IQCiyboszEg3TZVpBPMB0OBtARHST5yo7KI-AmCa0pmyibc?e=GihBYO" xr:uid="{00000000-0004-0000-0B00-0000E0050000}"/>
    <hyperlink ref="AN781" r:id="rId1506" display="https://rgs-royal-crown-delight.soko.games/?demo=True&amp;locale=eng" xr:uid="{00000000-0004-0000-0B00-0000E1050000}"/>
    <hyperlink ref="BD781" r:id="rId1507" display="https://rgs-royal-crown-delight.soko.games/?demo=True&amp;locale=eng" xr:uid="{00000000-0004-0000-0B00-0000E2050000}"/>
    <hyperlink ref="N793" r:id="rId1508" display="https://drive.google.com/drive/u/1/folders/1ynyT9fcb2h_07JXG8_TQpj3twv80L7TQ" xr:uid="{00000000-0004-0000-0B00-0000E3050000}"/>
    <hyperlink ref="O793" r:id="rId1509" display="https://drive.google.com/drive/u/1/folders/1ynyT9fcb2h_07JXG8_TQpj3twv80L7TQ" xr:uid="{00000000-0004-0000-0B00-0000E4050000}"/>
    <hyperlink ref="AN793" r:id="rId1510" display="https://onlinegamespromo.fazi.rs/Home/IntegrationGameLaunch?moneyType=0&amp;gameName=PlayNetJokersCrownX2&amp;platform=desktop&amp;languageCode=eng&amp;currency=EUR" xr:uid="{00000000-0004-0000-0B00-0000E5050000}"/>
    <hyperlink ref="BD793" r:id="rId1511" display="https://gameserver-store-client-area.orbionlimited.com/Home/IntegrationGameLaunch/client-area?moneyType=0&amp;gameName=PlayNetJokersCrownX2&amp;platform=desktop&amp;languageCode=eng&amp;currency=EUR" xr:uid="{00000000-0004-0000-0B00-0000E6050000}"/>
    <hyperlink ref="N794" r:id="rId1512" display="https://drive.google.com/drive/u/1/folders/1VUsqF4POYyLYFTpmPADn7kSJ-Mhd9zC-" xr:uid="{00000000-0004-0000-0B00-0000E7050000}"/>
    <hyperlink ref="O794" r:id="rId1513" display="https://drive.google.com/drive/u/1/folders/1VUsqF4POYyLYFTpmPADn7kSJ-Mhd9zC-" xr:uid="{00000000-0004-0000-0B00-0000E8050000}"/>
    <hyperlink ref="AN794" r:id="rId1514" display="https://onlinegamespromo.fazi.rs/Home/IntegrationGameLaunch?moneyType=0&amp;gameName=PlayNetRoxyUndercover&amp;platform=desktop&amp;languageCode=eng&amp;currency=EUR" xr:uid="{00000000-0004-0000-0B00-0000E9050000}"/>
    <hyperlink ref="BD794" r:id="rId1515" display="https://gameserver-store-client-area.orbionlimited.com/Home/IntegrationGameLaunch/client-area?moneyType=0&amp;gameName=PlayNetRoxyUndercover&amp;platform=desktop&amp;languageCode=eng&amp;currency=EUR" xr:uid="{00000000-0004-0000-0B00-0000EA050000}"/>
    <hyperlink ref="AN795" r:id="rId1516" display="https://onlinegamespromo.fazi.rs/Home/IntegrationGameLaunch?moneyType=0&amp;gameName=PlayNetHeartGem100&amp;platform=desktop&amp;languageCode=eng&amp;currency=EUR" xr:uid="{00000000-0004-0000-0B00-0000EB050000}"/>
    <hyperlink ref="BD795" r:id="rId1517" display="https://gameserver-store-client-area.orbionlimited.com/Home/IntegrationGameLaunch/client-area?moneyType=0&amp;gameName=PlayNetHeartGem100&amp;platform=desktop&amp;languageCode=eng&amp;currency=EUR" xr:uid="{00000000-0004-0000-0B00-0000EC050000}"/>
    <hyperlink ref="N796" r:id="rId1518" display="https://drive.google.com/drive/u/1/folders/1BLuE2WJvCB2-CMTqcQovdwwyoTEQF3gl" xr:uid="{00000000-0004-0000-0B00-0000ED050000}"/>
    <hyperlink ref="O796" r:id="rId1519" display="https://drive.google.com/drive/u/1/folders/1BLuE2WJvCB2-CMTqcQovdwwyoTEQF3gl" xr:uid="{00000000-0004-0000-0B00-0000EE050000}"/>
    <hyperlink ref="AN796" r:id="rId1520" display="https://onlinegamespromo.fazi.rs/Home/IntegrationGameLaunch?moneyType=0&amp;gameName=PlayNetCrownTreasure10&amp;platform=desktop&amp;languageCode=eng&amp;currency=EUR" xr:uid="{00000000-0004-0000-0B00-0000EF050000}"/>
    <hyperlink ref="BD796" r:id="rId1521" display="https://gameserver-store-client-area.orbionlimited.com/Home/IntegrationGameLaunch/client-area?moneyType=0&amp;gameName=PlayNetCrownTreasure10&amp;platform=desktop&amp;languageCode=eng&amp;currency=EUR" xr:uid="{00000000-0004-0000-0B00-0000F0050000}"/>
    <hyperlink ref="N797" r:id="rId1522" display="https://drive.google.com/drive/u/1/folders/1u9zSqrdT7upTpz3uiJRAuTNt3RZYGlWX" xr:uid="{00000000-0004-0000-0B00-0000F1050000}"/>
    <hyperlink ref="O797" r:id="rId1523" display="https://drive.google.com/drive/u/1/folders/1u9zSqrdT7upTpz3uiJRAuTNt3RZYGlWX" xr:uid="{00000000-0004-0000-0B00-0000F2050000}"/>
    <hyperlink ref="AN797" r:id="rId1524" display="https://onlinegamespromo.fazi.rs/Home/IntegrationGameLaunch?moneyType=0&amp;gameName=PlayNetTropicTwistExtreme&amp;platform=desktop&amp;languageCode=eng&amp;currency=EUR" xr:uid="{00000000-0004-0000-0B00-0000F3050000}"/>
    <hyperlink ref="BD797" r:id="rId1525" display="https://gameserver-store-client-area.orbionlimited.com/Home/IntegrationGameLaunch/client-area?moneyType=0&amp;gameName=PlayNetTropicTwistExtreme&amp;platform=desktop&amp;languageCode=eng&amp;currency=EUR" xr:uid="{00000000-0004-0000-0B00-0000F4050000}"/>
    <hyperlink ref="AN798" r:id="rId1526" display="https://onlinegamespromo.fazi.rs/Home/IntegrationGameLaunch?moneyType=0&amp;gameName=PlayNetCloverWealth5&amp;platform=desktop&amp;languageCode=eng&amp;currency=EUR" xr:uid="{00000000-0004-0000-0B00-0000F5050000}"/>
    <hyperlink ref="BD798" r:id="rId1527" display="https://gameserver-store-client-area.orbionlimited.com/Home/IntegrationGameLaunch/client-area?moneyType=0&amp;gameName=PlayNetCloverWealth5&amp;platform=desktop&amp;languageCode=eng&amp;currency=EUR" xr:uid="{00000000-0004-0000-0B00-0000F6050000}"/>
    <hyperlink ref="AN799" r:id="rId1528" display="https://onlinegamespromo.fazi.rs/Home/IntegrationGameLaunch?moneyType=0&amp;gameName=PlayNet27LuckyCrown&amp;platform=desktop&amp;languageCode=eng&amp;currency=EUR" xr:uid="{00000000-0004-0000-0B00-0000F7050000}"/>
    <hyperlink ref="BD799" r:id="rId1529" display="https://gameserver-store-client-area.orbionlimited.com/Home/IntegrationGameLaunch/client-area?moneyType=0&amp;gameName=PlayNet27LuckyCrown&amp;platform=desktop&amp;languageCode=eng&amp;currency=EUR" xr:uid="{00000000-0004-0000-0B00-0000F8050000}"/>
    <hyperlink ref="N805" r:id="rId1530" display="https://drive.google.com/file/d/1OcQy9RzN8DA0FHZWrpaWZWvZVvkB8v4f/view?usp=drive_link" xr:uid="{00000000-0004-0000-0B00-0000F9050000}"/>
    <hyperlink ref="O805" r:id="rId1531" display="https://drive.google.com/file/d/1JHdeWf7t5_oOGjzMNPMThT3v8di0qzBX/view?usp=drive_link" xr:uid="{00000000-0004-0000-0B00-0000FA050000}"/>
    <hyperlink ref="AN805" r:id="rId1532" display="https://static.redstone.rs/games/lucky-lucky-bells/" xr:uid="{00000000-0004-0000-0B00-0000FB050000}"/>
    <hyperlink ref="BD805" r:id="rId1533" display="https://gameserver-store-client-area.orbionlimited.com/Home/IntegrationGameLaunch/client-area?moneyType=0&amp;gameName=RedstoneLuckyLuckyBells&amp;platform=desktop&amp;languageCode=eng&amp;currency=EUR" xr:uid="{00000000-0004-0000-0B00-0000FC050000}"/>
    <hyperlink ref="N806" r:id="rId1534" display="https://drive.google.com/file/d/1s18KWxLBweWnNBhm5gcm9LIcbFlTRTX_/view?usp=drive_link" xr:uid="{00000000-0004-0000-0B00-0000FD050000}"/>
    <hyperlink ref="O806" r:id="rId1535" display="https://drive.google.com/file/d/10rV4fotC8qoSNCHiRcLITCnXVGI7dtFg/view?usp=drive_link" xr:uid="{00000000-0004-0000-0B00-0000FE050000}"/>
    <hyperlink ref="AN806" r:id="rId1536" display="https://onlinegamespromo.fazi.rs/Home/IntegrationGameLaunch?moneyType=0&amp;gameName=RedstoneCloverFire1000&amp;platform=desktop&amp;languageCode=eng&amp;currency=EUR" xr:uid="{00000000-0004-0000-0B00-0000FF050000}"/>
    <hyperlink ref="BD806" r:id="rId1537" display="https://gameserver-store-client-area.orbionlimited.com/Home/IntegrationGameLaunch/client-area?moneyType=0&amp;gameName=RedstoneCloverFire1000&amp;platform=desktop&amp;languageCode=eng&amp;currency=EUR" xr:uid="{00000000-0004-0000-0B00-000000060000}"/>
    <hyperlink ref="N807" r:id="rId1538" display="https://drive.google.com/file/d/1O52UGr6YBo2Bg0Dy0xPSY9xtFETqmMjW/view?usp=drive_link" xr:uid="{00000000-0004-0000-0B00-000001060000}"/>
    <hyperlink ref="O807" r:id="rId1539" display="https://drive.google.com/file/d/17XbSts2nKODexFcKfBq2IOAyMVhi7UqQ/view?usp=drive_link" xr:uid="{00000000-0004-0000-0B00-000002060000}"/>
    <hyperlink ref="AN807" r:id="rId1540" display="https://onlinegamespromo.fazi.rs/Home/IntegrationGameLaunch?moneyType=0&amp;gameName=RedstoneWildHeart1000&amp;platform=desktop&amp;languageCode=eng&amp;currency=EUR" xr:uid="{00000000-0004-0000-0B00-000003060000}"/>
    <hyperlink ref="BD807" r:id="rId1541" display="https://gameserver-store-client-area.orbionlimited.com/Home/IntegrationGameLaunch/client-area?moneyType=0&amp;gameName=RedstoneWildHeart1000&amp;platform=desktop&amp;languageCode=eng&amp;currency=EUR" xr:uid="{00000000-0004-0000-0B00-000004060000}"/>
    <hyperlink ref="N808" r:id="rId1542" display="https://drive.google.com/file/d/1OeRwzK0jpkY2oMN3vSTjTspcEjbdvF04/view?usp=drive_link" xr:uid="{00000000-0004-0000-0B00-000005060000}"/>
    <hyperlink ref="O808" r:id="rId1543" display="https://drive.google.com/file/d/1Y8d2xqBTOeIyprsumhn8cASXF85S0wcQ/view?usp=drive_link" xr:uid="{00000000-0004-0000-0B00-000006060000}"/>
    <hyperlink ref="AN808" r:id="rId1544" display="https://onlinegamespromo.fazi.rs/Home/IntegrationGameLaunch?moneyType=0&amp;gameName=RedstoneWildCrown1000&amp;platform=desktop&amp;languageCode=eng&amp;currency=EUR" xr:uid="{00000000-0004-0000-0B00-000007060000}"/>
    <hyperlink ref="BD808" r:id="rId1545" display="https://gameserver-store-client-area.orbionlimited.com/Home/IntegrationGameLaunch/client-area?moneyType=0&amp;gameName=RedstoneWildCrown1000&amp;platform=desktop&amp;languageCode=eng&amp;currency=EUR" xr:uid="{00000000-0004-0000-0B00-000008060000}"/>
    <hyperlink ref="AN810" r:id="rId1546" display="https://onlinegamespromo.fazi.rs/Home/IntegrationGameLaunch?moneyType=0&amp;gameName=TBD&amp;platform=desktop&amp;languageCode=eng&amp;currency=EUR" xr:uid="{00000000-0004-0000-0B00-000009060000}"/>
    <hyperlink ref="AN812" r:id="rId1547" display="https://onlinegamespromo.fazi.rs/Home/IntegrationGameLaunch?moneyType=0&amp;gameName=PowerLucky7&amp;platform=desktop&amp;languageCode=eng&amp;currency=EUR" xr:uid="{00000000-0004-0000-0B00-00000A06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Y1001"/>
  <sheetViews>
    <sheetView workbookViewId="0">
      <pane ySplit="2" topLeftCell="A3" activePane="bottomLeft" state="frozen"/>
      <selection pane="bottomLeft" activeCell="B4" sqref="B4"/>
    </sheetView>
  </sheetViews>
  <sheetFormatPr defaultColWidth="12.6640625" defaultRowHeight="15.75" customHeight="1" x14ac:dyDescent="0.25"/>
  <cols>
    <col min="17" max="17" width="34.109375" customWidth="1"/>
  </cols>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""Redstone"",
  all_rows, IFERROR(FILTER(AllGames_Games!A2:BZ1001, (AllGames_Games!BE2:BE1001 = TRUE) + (AllGames_Games!BE2:BE1001 = ""TRUE"")), """"),
  base_games, IFERROR(FILTER(all_rows, IF(studio_filter = """", 1, CHOOSECOLS("&amp;"all_rows, 55) = studio_filter)), """"),
  IF(INDEX(base_games, 1, 1) = """", ""Nema rezultata za filter"",
    LET(
      gamename_keys, CHOOSECOLS(base_games, 4),
      gameid_keys, CHOOSECOLS(base_games, 6),
      studio, VSTACK(""GameStudio"""&amp;", CHOOSECOLS(base_games, 55)),
      name, VSTACK(""GameName"", gamename_keys),
      gameID, VSTACK(""GameID"", gameid_keys),
      release, VSTACK(""ReleaseDate"", CHOOSECOLS(base_games, 19)),
      category, VSTACK(""GameCategoryID"", CHOOSECOLS(base_g"&amp;"ames, 11)),
      size, VSTACK(""GameSize"", CHOOSECOLS(base_games, 16)),
      reels, VSTACK(""ReelsAndRows"", CHOOSECOLS(base_games, 21)),
      lines, VSTACK(""Paylines"", CHOOSECOLS(base_games, 22)),
      payLines, VSTACK(""PayableLines"", CHOOSECOLS"&amp;"(base_games, 23)),
      rtp, VSTACK(""RTP%"", ARRAYFORMULA(IF(CHOOSECOLS(base_games, 24)="""", """", CHOOSECOLS(base_games, 24) &amp; ""%""))),
      volatility, VSTACK(""VolatilityID"", CHOOSECOLS(base_games, 25)),
      hit, VSTACK(""HitFrequency%"", ARRAY"&amp;"FORMULA(IF(CHOOSECOLS(base_games, 26)="""", """", CHOOSECOLS(base_games, 26) &amp; ""%""))),
      exposure, VSTACK(""MaxExposure"", ARRAYFORMULA(IF(CHOOSECOLS(base_games, 27)="""", """", ""x"" &amp; CHOOSECOLS(base_games, 27)))),
      bet, VSTACK(""MinandMaxBet"&amp;"(EUR)"", CHOOSECOLS(base_games, 30)),
      jackpot, VSTACK(""Jackpot"", CHOOSECOLS(base_games, 38)),
      features, VSTACK(""Features"", CHOOSECOLS(base_games, 29)),
      demo, VSTACK(""DemoLink"", CHOOSECOLS(base_games, 56)),
      promo, VSTACK(""Pro"&amp;"moText"", CHOOSECOLS(base_games, 45)),
      part1, HSTACK(studio, name, gameID, release, category, size, reels, lines, payLines, rtp, volatility, hit, exposure, bet, jackpot, features, demo, promo),
      lang_headers, GameLanguages_za_CA!B"&amp;"1:AD1,
      lang_data, ARRAYFORMULA(IFERROR(VLOOKUP(gameid_keys, GameLanguages_za_CA!A:AD, SEQUENCE(1, COLUMNS(lang_headers), 2), 0), """")),
      part2, VSTACK(lang_headers, lang_data),
      jur_headers, FILTER(Jurisdiction_report!B1:BY1, Juris"&amp;"diction_report!B1:BY1 &lt;&gt; """"),
      jur_data_raw, ARRAYFORMULA(IFERROR(VLOOKUP(gamename_keys, Jurisdiction_report!A:ZZ, SEQUENCE(1, COLUMNS(jur_headers), 2), 0), """")),
      has_available, BYCOL(jur_data_raw, LAMBDA(col, COUNTIF(col, ""Availabl"&amp;"e"") &gt; 0)),
      valid_col_indices, IFERROR(FILTER(SEQUENCE(1, COLUMNS(jur_headers)), has_available), 0),
      part3, IF(INDEX(valid_col_indices, 1, 1) = 0,
        MAKEARRAY(ROWS(base_games) + 1, 1, LAMBDA(r, c, IF(r = 1, ""Jurisdictions (None A"&amp;"vailable)"", """"))),
        LET(
          filtered_headers, CHOOSECOLS(jur_headers, valid_col_indices),
          filtered_data_raw, CHOOSECOLS(jur_data_raw, valid_col_indices),
          filtered_data, ARRAYFORMULA(IF(filtered_data_raw = ""Available"""&amp;", ""Available"", """")),
          VSTACK(filtered_headers, filtered_data)
        )
      ),
      HSTACK(part1, part2)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IFERROR(__xludf.DUMMYFUNCTION("""COMPUTED_VALUE"""),"Redstone")</f>
        <v>Redstone</v>
      </c>
      <c r="B3" s="5" t="str">
        <f ca="1">IFERROR(__xludf.DUMMYFUNCTION("""COMPUTED_VALUE"""),"40 Wild Clover")</f>
        <v>40 Wild Clover</v>
      </c>
      <c r="C3" s="5" t="str">
        <f ca="1">IFERROR(__xludf.DUMMYFUNCTION("""COMPUTED_VALUE"""),"WildClover40")</f>
        <v>WildClover40</v>
      </c>
      <c r="D3" s="6">
        <f ca="1">IFERROR(__xludf.DUMMYFUNCTION("""COMPUTED_VALUE"""),44350)</f>
        <v>44350</v>
      </c>
      <c r="E3" s="5" t="str">
        <f ca="1">IFERROR(__xludf.DUMMYFUNCTION("""COMPUTED_VALUE"""),"Slot")</f>
        <v>Slot</v>
      </c>
      <c r="F3" s="5">
        <f ca="1">IFERROR(__xludf.DUMMYFUNCTION("""COMPUTED_VALUE"""),9.73)</f>
        <v>9.73</v>
      </c>
      <c r="G3" s="5" t="str">
        <f ca="1">IFERROR(__xludf.DUMMYFUNCTION("""COMPUTED_VALUE"""),"5x4")</f>
        <v>5x4</v>
      </c>
      <c r="H3" s="5" t="str">
        <f ca="1">IFERROR(__xludf.DUMMYFUNCTION("""COMPUTED_VALUE"""),"40")</f>
        <v>40</v>
      </c>
      <c r="I3" s="5" t="str">
        <f ca="1">IFERROR(__xludf.DUMMYFUNCTION("""COMPUTED_VALUE"""),"40")</f>
        <v>40</v>
      </c>
      <c r="J3" s="5" t="str">
        <f ca="1">IFERROR(__xludf.DUMMYFUNCTION("""COMPUTED_VALUE"""),"95.32%")</f>
        <v>95.32%</v>
      </c>
      <c r="K3" s="5" t="str">
        <f ca="1">IFERROR(__xludf.DUMMYFUNCTION("""COMPUTED_VALUE"""),"Medium")</f>
        <v>Medium</v>
      </c>
      <c r="L3" s="5" t="str">
        <f ca="1">IFERROR(__xludf.DUMMYFUNCTION("""COMPUTED_VALUE"""),"12.34%")</f>
        <v>12.34%</v>
      </c>
      <c r="M3" s="5" t="str">
        <f ca="1">IFERROR(__xludf.DUMMYFUNCTION("""COMPUTED_VALUE"""),"x2000")</f>
        <v>x2000</v>
      </c>
      <c r="N3" s="5" t="str">
        <f ca="1">IFERROR(__xludf.DUMMYFUNCTION("""COMPUTED_VALUE"""),"0.40/60")</f>
        <v>0.40/60</v>
      </c>
      <c r="O3" s="5" t="str">
        <f ca="1">IFERROR(__xludf.DUMMYFUNCTION("""COMPUTED_VALUE"""),"No")</f>
        <v>No</v>
      </c>
      <c r="P3" s="5" t="str">
        <f ca="1">IFERROR(__xludf.DUMMYFUNCTION("""COMPUTED_VALUE"""),"Wild Symbol, Scatter, Bonus Game with Free Spins")</f>
        <v>Wild Symbol, Scatter, Bonus Game with Free Spins</v>
      </c>
      <c r="Q3" s="7" t="str">
        <f ca="1">IFERROR(__xludf.DUMMYFUNCTION("""COMPUTED_VALUE"""),"https://static.redstone.rs/games/40-wild-clover/")</f>
        <v>https://static.redstone.rs/games/40-wild-clover/</v>
      </c>
      <c r="R3" s="5" t="str">
        <f ca="1">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S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 s="5" t="str">
        <f ca="1">IFERROR(__xludf.DUMMYFUNCTION("""COMPUTED_VALUE"""),"Yes")</f>
        <v>Yes</v>
      </c>
      <c r="U3" s="5" t="str">
        <f ca="1">IFERROR(__xludf.DUMMYFUNCTION("""COMPUTED_VALUE"""),"Yes")</f>
        <v>Yes</v>
      </c>
      <c r="V3" s="5" t="str">
        <f ca="1">IFERROR(__xludf.DUMMYFUNCTION("""COMPUTED_VALUE"""),"No")</f>
        <v>No</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IFERROR(__xludf.DUMMYFUNCTION("""COMPUTED_VALUE"""),"Yes")</f>
        <v>Yes</v>
      </c>
      <c r="AH3" s="5" t="str">
        <f ca="1">IFERROR(__xludf.DUMMYFUNCTION("""COMPUTED_VALUE"""),"Yes")</f>
        <v>Yes</v>
      </c>
      <c r="AI3" s="5" t="str">
        <f ca="1">IFERROR(__xludf.DUMMYFUNCTION("""COMPUTED_VALUE"""),"No")</f>
        <v>No</v>
      </c>
      <c r="AJ3" s="5" t="str">
        <f ca="1">IFERROR(__xludf.DUMMYFUNCTION("""COMPUTED_VALUE"""),"No")</f>
        <v>No</v>
      </c>
      <c r="AK3" s="5" t="str">
        <f ca="1">IFERROR(__xludf.DUMMYFUNCTION("""COMPUTED_VALUE"""),"No")</f>
        <v>No</v>
      </c>
      <c r="AL3" s="5" t="str">
        <f ca="1">IFERROR(__xludf.DUMMYFUNCTION("""COMPUTED_VALUE"""),"No")</f>
        <v>No</v>
      </c>
      <c r="AM3" s="5" t="str">
        <f ca="1">IFERROR(__xludf.DUMMYFUNCTION("""COMPUTED_VALUE"""),"No")</f>
        <v>No</v>
      </c>
      <c r="AN3" s="5" t="str">
        <f ca="1">IFERROR(__xludf.DUMMYFUNCTION("""COMPUTED_VALUE"""),"No")</f>
        <v>No</v>
      </c>
      <c r="AO3" s="5" t="str">
        <f ca="1">IFERROR(__xludf.DUMMYFUNCTION("""COMPUTED_VALUE"""),"No")</f>
        <v>No</v>
      </c>
      <c r="AP3" s="5" t="str">
        <f ca="1">IFERROR(__xludf.DUMMYFUNCTION("""COMPUTED_VALUE"""),"No")</f>
        <v>No</v>
      </c>
      <c r="AQ3" s="5" t="str">
        <f ca="1">IFERROR(__xludf.DUMMYFUNCTION("""COMPUTED_VALUE"""),"No")</f>
        <v>No</v>
      </c>
      <c r="AR3" s="5" t="str">
        <f ca="1">IFERROR(__xludf.DUMMYFUNCTION("""COMPUTED_VALUE"""),"No")</f>
        <v>No</v>
      </c>
      <c r="AS3" s="5" t="str">
        <f ca="1">IFERROR(__xludf.DUMMYFUNCTION("""COMPUTED_VALUE"""),"Yes")</f>
        <v>Yes</v>
      </c>
      <c r="AT3" s="5" t="str">
        <f ca="1">IFERROR(__xludf.DUMMYFUNCTION("""COMPUTED_VALUE"""),"No")</f>
        <v>No</v>
      </c>
      <c r="AU3" s="5"/>
    </row>
    <row r="4" spans="1:77" x14ac:dyDescent="0.25">
      <c r="A4" s="5" t="str">
        <f ca="1">IFERROR(__xludf.DUMMYFUNCTION("""COMPUTED_VALUE"""),"Redstone")</f>
        <v>Redstone</v>
      </c>
      <c r="B4" s="5" t="str">
        <f ca="1">IFERROR(__xludf.DUMMYFUNCTION("""COMPUTED_VALUE"""),"Mayan Coins")</f>
        <v>Mayan Coins</v>
      </c>
      <c r="C4" s="5" t="str">
        <f ca="1">IFERROR(__xludf.DUMMYFUNCTION("""COMPUTED_VALUE"""),"MayanCoins")</f>
        <v>MayanCoins</v>
      </c>
      <c r="D4" s="6">
        <f ca="1">IFERROR(__xludf.DUMMYFUNCTION("""COMPUTED_VALUE"""),44669)</f>
        <v>44669</v>
      </c>
      <c r="E4" s="5" t="str">
        <f ca="1">IFERROR(__xludf.DUMMYFUNCTION("""COMPUTED_VALUE"""),"Slot")</f>
        <v>Slot</v>
      </c>
      <c r="F4" s="5">
        <f ca="1">IFERROR(__xludf.DUMMYFUNCTION("""COMPUTED_VALUE"""),15)</f>
        <v>15</v>
      </c>
      <c r="G4" s="5" t="str">
        <f ca="1">IFERROR(__xludf.DUMMYFUNCTION("""COMPUTED_VALUE"""),"5x3")</f>
        <v>5x3</v>
      </c>
      <c r="H4" s="5" t="str">
        <f ca="1">IFERROR(__xludf.DUMMYFUNCTION("""COMPUTED_VALUE"""),"10")</f>
        <v>10</v>
      </c>
      <c r="I4" s="5" t="str">
        <f ca="1">IFERROR(__xludf.DUMMYFUNCTION("""COMPUTED_VALUE"""),"10")</f>
        <v>10</v>
      </c>
      <c r="J4" s="5" t="str">
        <f ca="1">IFERROR(__xludf.DUMMYFUNCTION("""COMPUTED_VALUE"""),"95.45%")</f>
        <v>95.45%</v>
      </c>
      <c r="K4" s="5" t="str">
        <f ca="1">IFERROR(__xludf.DUMMYFUNCTION("""COMPUTED_VALUE"""),"Medium")</f>
        <v>Medium</v>
      </c>
      <c r="L4" s="5" t="str">
        <f ca="1">IFERROR(__xludf.DUMMYFUNCTION("""COMPUTED_VALUE"""),"12.54%")</f>
        <v>12.54%</v>
      </c>
      <c r="M4" s="5" t="str">
        <f ca="1">IFERROR(__xludf.DUMMYFUNCTION("""COMPUTED_VALUE"""),"x1250")</f>
        <v>x1250</v>
      </c>
      <c r="N4" s="5" t="str">
        <f ca="1">IFERROR(__xludf.DUMMYFUNCTION("""COMPUTED_VALUE"""),"0.10/40")</f>
        <v>0.10/40</v>
      </c>
      <c r="O4" s="5" t="str">
        <f ca="1">IFERROR(__xludf.DUMMYFUNCTION("""COMPUTED_VALUE"""),"No")</f>
        <v>No</v>
      </c>
      <c r="P4" s="5" t="str">
        <f ca="1">IFERROR(__xludf.DUMMYFUNCTION("""COMPUTED_VALUE"""),"Hold and Win, Wild Symbol")</f>
        <v>Hold and Win, Wild Symbol</v>
      </c>
      <c r="Q4" s="7" t="str">
        <f ca="1">IFERROR(__xludf.DUMMYFUNCTION("""COMPUTED_VALUE"""),"https://static.redstone.rs/games/mayan-coins/")</f>
        <v>https://static.redstone.rs/games/mayan-coins/</v>
      </c>
      <c r="R4" s="5" t="str">
        <f ca="1">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S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 s="5" t="str">
        <f ca="1">IFERROR(__xludf.DUMMYFUNCTION("""COMPUTED_VALUE"""),"Yes")</f>
        <v>Yes</v>
      </c>
      <c r="U4" s="5" t="str">
        <f ca="1">IFERROR(__xludf.DUMMYFUNCTION("""COMPUTED_VALUE"""),"Yes")</f>
        <v>Yes</v>
      </c>
      <c r="V4" s="5" t="str">
        <f ca="1">IFERROR(__xludf.DUMMYFUNCTION("""COMPUTED_VALUE"""),"No")</f>
        <v>No</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IFERROR(__xludf.DUMMYFUNCTION("""COMPUTED_VALUE"""),"Yes")</f>
        <v>Yes</v>
      </c>
      <c r="AF4" s="5" t="str">
        <f ca="1">IFERROR(__xludf.DUMMYFUNCTION("""COMPUTED_VALUE"""),"Yes")</f>
        <v>Yes</v>
      </c>
      <c r="AG4" s="5" t="str">
        <f ca="1">IFERROR(__xludf.DUMMYFUNCTION("""COMPUTED_VALUE"""),"Yes")</f>
        <v>Yes</v>
      </c>
      <c r="AH4" s="5" t="str">
        <f ca="1">IFERROR(__xludf.DUMMYFUNCTION("""COMPUTED_VALUE"""),"Yes")</f>
        <v>Yes</v>
      </c>
      <c r="AI4" s="5" t="str">
        <f ca="1">IFERROR(__xludf.DUMMYFUNCTION("""COMPUTED_VALUE"""),"No")</f>
        <v>No</v>
      </c>
      <c r="AJ4" s="5" t="str">
        <f ca="1">IFERROR(__xludf.DUMMYFUNCTION("""COMPUTED_VALUE"""),"No")</f>
        <v>No</v>
      </c>
      <c r="AK4" s="5" t="str">
        <f ca="1">IFERROR(__xludf.DUMMYFUNCTION("""COMPUTED_VALUE"""),"No")</f>
        <v>No</v>
      </c>
      <c r="AL4" s="5" t="str">
        <f ca="1">IFERROR(__xludf.DUMMYFUNCTION("""COMPUTED_VALUE"""),"No")</f>
        <v>No</v>
      </c>
      <c r="AM4" s="5" t="str">
        <f ca="1">IFERROR(__xludf.DUMMYFUNCTION("""COMPUTED_VALUE"""),"No")</f>
        <v>No</v>
      </c>
      <c r="AN4" s="5" t="str">
        <f ca="1">IFERROR(__xludf.DUMMYFUNCTION("""COMPUTED_VALUE"""),"No")</f>
        <v>No</v>
      </c>
      <c r="AO4" s="5" t="str">
        <f ca="1">IFERROR(__xludf.DUMMYFUNCTION("""COMPUTED_VALUE"""),"No")</f>
        <v>No</v>
      </c>
      <c r="AP4" s="5" t="str">
        <f ca="1">IFERROR(__xludf.DUMMYFUNCTION("""COMPUTED_VALUE"""),"No")</f>
        <v>No</v>
      </c>
      <c r="AQ4" s="5" t="str">
        <f ca="1">IFERROR(__xludf.DUMMYFUNCTION("""COMPUTED_VALUE"""),"No")</f>
        <v>No</v>
      </c>
      <c r="AR4" s="5" t="str">
        <f ca="1">IFERROR(__xludf.DUMMYFUNCTION("""COMPUTED_VALUE"""),"No")</f>
        <v>No</v>
      </c>
      <c r="AS4" s="5" t="str">
        <f ca="1">IFERROR(__xludf.DUMMYFUNCTION("""COMPUTED_VALUE"""),"Yes")</f>
        <v>Yes</v>
      </c>
      <c r="AT4" s="5" t="str">
        <f ca="1">IFERROR(__xludf.DUMMYFUNCTION("""COMPUTED_VALUE"""),"No")</f>
        <v>No</v>
      </c>
      <c r="AU4" s="5"/>
    </row>
    <row r="5" spans="1:77" x14ac:dyDescent="0.25">
      <c r="A5" s="5" t="str">
        <f ca="1">IFERROR(__xludf.DUMMYFUNCTION("""COMPUTED_VALUE"""),"Redstone")</f>
        <v>Redstone</v>
      </c>
      <c r="B5" s="5" t="str">
        <f ca="1">IFERROR(__xludf.DUMMYFUNCTION("""COMPUTED_VALUE"""),"5 Clover Fire")</f>
        <v>5 Clover Fire</v>
      </c>
      <c r="C5" s="5" t="str">
        <f ca="1">IFERROR(__xludf.DUMMYFUNCTION("""COMPUTED_VALUE"""),"FireClover5")</f>
        <v>FireClover5</v>
      </c>
      <c r="D5" s="6">
        <f ca="1">IFERROR(__xludf.DUMMYFUNCTION("""COMPUTED_VALUE"""),44368)</f>
        <v>44368</v>
      </c>
      <c r="E5" s="5" t="str">
        <f ca="1">IFERROR(__xludf.DUMMYFUNCTION("""COMPUTED_VALUE"""),"Slot")</f>
        <v>Slot</v>
      </c>
      <c r="F5" s="5">
        <f ca="1">IFERROR(__xludf.DUMMYFUNCTION("""COMPUTED_VALUE"""),8.7)</f>
        <v>8.6999999999999993</v>
      </c>
      <c r="G5" s="5" t="str">
        <f ca="1">IFERROR(__xludf.DUMMYFUNCTION("""COMPUTED_VALUE"""),"5x3")</f>
        <v>5x3</v>
      </c>
      <c r="H5" s="5" t="str">
        <f ca="1">IFERROR(__xludf.DUMMYFUNCTION("""COMPUTED_VALUE"""),"5")</f>
        <v>5</v>
      </c>
      <c r="I5" s="5" t="str">
        <f ca="1">IFERROR(__xludf.DUMMYFUNCTION("""COMPUTED_VALUE"""),"5")</f>
        <v>5</v>
      </c>
      <c r="J5" s="5" t="str">
        <f ca="1">IFERROR(__xludf.DUMMYFUNCTION("""COMPUTED_VALUE"""),"96.45%")</f>
        <v>96.45%</v>
      </c>
      <c r="K5" s="5" t="str">
        <f ca="1">IFERROR(__xludf.DUMMYFUNCTION("""COMPUTED_VALUE"""),"Medium")</f>
        <v>Medium</v>
      </c>
      <c r="L5" s="5" t="str">
        <f ca="1">IFERROR(__xludf.DUMMYFUNCTION("""COMPUTED_VALUE"""),"14.5%")</f>
        <v>14.5%</v>
      </c>
      <c r="M5" s="5" t="str">
        <f ca="1">IFERROR(__xludf.DUMMYFUNCTION("""COMPUTED_VALUE"""),"x1222")</f>
        <v>x1222</v>
      </c>
      <c r="N5" s="5" t="str">
        <f ca="1">IFERROR(__xludf.DUMMYFUNCTION("""COMPUTED_VALUE"""),"0.05/30")</f>
        <v>0.05/30</v>
      </c>
      <c r="O5" s="5" t="str">
        <f ca="1">IFERROR(__xludf.DUMMYFUNCTION("""COMPUTED_VALUE"""),"No")</f>
        <v>No</v>
      </c>
      <c r="P5" s="5" t="str">
        <f ca="1">IFERROR(__xludf.DUMMYFUNCTION("""COMPUTED_VALUE"""),"Expanding Wild, Scatter")</f>
        <v>Expanding Wild, Scatter</v>
      </c>
      <c r="Q5" s="7" t="str">
        <f ca="1">IFERROR(__xludf.DUMMYFUNCTION("""COMPUTED_VALUE"""),"https://gameserver-store-client-area.orbionlimited.com/Home/IntegrationGameLaunch/client-area?moneyType=0&amp;gameName=FireClover5&amp;platform=desktop&amp;languageCode=eng&amp;currency=EUR")</f>
        <v>https://gameserver-store-client-area.orbionlimited.com/Home/IntegrationGameLaunch/client-area?moneyType=0&amp;gameName=FireClover5&amp;platform=desktop&amp;languageCode=eng&amp;currency=EUR</v>
      </c>
      <c r="R5" s="5" t="str">
        <f ca="1">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S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IFERROR(__xludf.DUMMYFUNCTION("""COMPUTED_VALUE"""),"Yes")</f>
        <v>Yes</v>
      </c>
      <c r="AH5" s="5" t="str">
        <f ca="1">IFERROR(__xludf.DUMMYFUNCTION("""COMPUTED_VALUE"""),"Yes")</f>
        <v>Yes</v>
      </c>
      <c r="AI5" s="5" t="str">
        <f ca="1">IFERROR(__xludf.DUMMYFUNCTION("""COMPUTED_VALUE"""),"Yes")</f>
        <v>Yes</v>
      </c>
      <c r="AJ5" s="5" t="str">
        <f ca="1">IFERROR(__xludf.DUMMYFUNCTION("""COMPUTED_VALUE"""),"Yes")</f>
        <v>Yes</v>
      </c>
      <c r="AK5" s="5" t="str">
        <f ca="1">IFERROR(__xludf.DUMMYFUNCTION("""COMPUTED_VALUE"""),"Yes")</f>
        <v>Yes</v>
      </c>
      <c r="AL5" s="5" t="str">
        <f ca="1">IFERROR(__xludf.DUMMYFUNCTION("""COMPUTED_VALUE"""),"Yes")</f>
        <v>Yes</v>
      </c>
      <c r="AM5" s="5" t="str">
        <f ca="1">IFERROR(__xludf.DUMMYFUNCTION("""COMPUTED_VALUE"""),"Yes")</f>
        <v>Yes</v>
      </c>
      <c r="AN5" s="5"/>
      <c r="AO5" s="5"/>
      <c r="AP5" s="5"/>
      <c r="AQ5" s="5" t="str">
        <f ca="1">IFERROR(__xludf.DUMMYFUNCTION("""COMPUTED_VALUE"""),"Yes")</f>
        <v>Yes</v>
      </c>
      <c r="AR5" s="5"/>
      <c r="AS5" s="5" t="str">
        <f ca="1">IFERROR(__xludf.DUMMYFUNCTION("""COMPUTED_VALUE"""),"Yes")</f>
        <v>Yes</v>
      </c>
      <c r="AT5" s="5"/>
      <c r="AU5" s="5"/>
    </row>
    <row r="6" spans="1:77" x14ac:dyDescent="0.25">
      <c r="A6" s="5" t="str">
        <f ca="1">IFERROR(__xludf.DUMMYFUNCTION("""COMPUTED_VALUE"""),"Redstone")</f>
        <v>Redstone</v>
      </c>
      <c r="B6" s="5" t="str">
        <f ca="1">IFERROR(__xludf.DUMMYFUNCTION("""COMPUTED_VALUE"""),"10 Wild Crown")</f>
        <v>10 Wild Crown</v>
      </c>
      <c r="C6" s="5" t="str">
        <f ca="1">IFERROR(__xludf.DUMMYFUNCTION("""COMPUTED_VALUE"""),"WildCrown10")</f>
        <v>WildCrown10</v>
      </c>
      <c r="D6" s="6">
        <f ca="1">IFERROR(__xludf.DUMMYFUNCTION("""COMPUTED_VALUE"""),44398)</f>
        <v>44398</v>
      </c>
      <c r="E6" s="5" t="str">
        <f ca="1">IFERROR(__xludf.DUMMYFUNCTION("""COMPUTED_VALUE"""),"Slot")</f>
        <v>Slot</v>
      </c>
      <c r="F6" s="5">
        <f ca="1">IFERROR(__xludf.DUMMYFUNCTION("""COMPUTED_VALUE"""),7.39)</f>
        <v>7.39</v>
      </c>
      <c r="G6" s="5" t="str">
        <f ca="1">IFERROR(__xludf.DUMMYFUNCTION("""COMPUTED_VALUE"""),"5x3")</f>
        <v>5x3</v>
      </c>
      <c r="H6" s="5" t="str">
        <f ca="1">IFERROR(__xludf.DUMMYFUNCTION("""COMPUTED_VALUE"""),"10")</f>
        <v>10</v>
      </c>
      <c r="I6" s="5" t="str">
        <f ca="1">IFERROR(__xludf.DUMMYFUNCTION("""COMPUTED_VALUE"""),"10")</f>
        <v>10</v>
      </c>
      <c r="J6" s="5" t="str">
        <f ca="1">IFERROR(__xludf.DUMMYFUNCTION("""COMPUTED_VALUE"""),"95.96%")</f>
        <v>95.96%</v>
      </c>
      <c r="K6" s="5" t="str">
        <f ca="1">IFERROR(__xludf.DUMMYFUNCTION("""COMPUTED_VALUE"""),"Medium")</f>
        <v>Medium</v>
      </c>
      <c r="L6" s="5" t="str">
        <f ca="1">IFERROR(__xludf.DUMMYFUNCTION("""COMPUTED_VALUE"""),"14.63%")</f>
        <v>14.63%</v>
      </c>
      <c r="M6" s="5" t="str">
        <f ca="1">IFERROR(__xludf.DUMMYFUNCTION("""COMPUTED_VALUE"""),"x1538")</f>
        <v>x1538</v>
      </c>
      <c r="N6" s="5" t="str">
        <f ca="1">IFERROR(__xludf.DUMMYFUNCTION("""COMPUTED_VALUE"""),"0.10/40")</f>
        <v>0.10/40</v>
      </c>
      <c r="O6" s="5" t="str">
        <f ca="1">IFERROR(__xludf.DUMMYFUNCTION("""COMPUTED_VALUE"""),"No")</f>
        <v>No</v>
      </c>
      <c r="P6" s="5" t="str">
        <f ca="1">IFERROR(__xludf.DUMMYFUNCTION("""COMPUTED_VALUE"""),"Expanding Wild, Scatter")</f>
        <v>Expanding Wild, Scatter</v>
      </c>
      <c r="Q6" s="7" t="str">
        <f ca="1">IFERROR(__xludf.DUMMYFUNCTION("""COMPUTED_VALUE"""),"https://static.redstone.rs/games/10-wild-crown/")</f>
        <v>https://static.redstone.rs/games/10-wild-crown/</v>
      </c>
      <c r="R6" s="5" t="str">
        <f ca="1">IFERROR(__xludf.DUMMYFUNCTION("""COMPUTED_VALUE"""),"Hot and explosive experience. Conquer luck and land up to 3 Expanding Wilds for massive wins. The Crown is yours!")</f>
        <v>Hot and explosive experience. Conquer luck and land up to 3 Expanding Wilds for massive wins. The Crown is yours!</v>
      </c>
      <c r="S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 s="5" t="str">
        <f ca="1">IFERROR(__xludf.DUMMYFUNCTION("""COMPUTED_VALUE"""),"Yes")</f>
        <v>Yes</v>
      </c>
      <c r="U6" s="5" t="str">
        <f ca="1">IFERROR(__xludf.DUMMYFUNCTION("""COMPUTED_VALUE"""),"Yes")</f>
        <v>Yes</v>
      </c>
      <c r="V6" s="5" t="str">
        <f ca="1">IFERROR(__xludf.DUMMYFUNCTION("""COMPUTED_VALUE"""),"No")</f>
        <v>No</v>
      </c>
      <c r="W6" s="5" t="str">
        <f ca="1">IFERROR(__xludf.DUMMYFUNCTION("""COMPUTED_VALUE"""),"Yes")</f>
        <v>Yes</v>
      </c>
      <c r="X6" s="5" t="str">
        <f ca="1">IFERROR(__xludf.DUMMYFUNCTION("""COMPUTED_VALUE"""),"Yes")</f>
        <v>Yes</v>
      </c>
      <c r="Y6" s="5" t="str">
        <f ca="1">IFERROR(__xludf.DUMMYFUNCTION("""COMPUTED_VALUE"""),"Yes")</f>
        <v>Yes</v>
      </c>
      <c r="Z6" s="5" t="str">
        <f ca="1">IFERROR(__xludf.DUMMYFUNCTION("""COMPUTED_VALUE"""),"Yes")</f>
        <v>Yes</v>
      </c>
      <c r="AA6" s="5" t="str">
        <f ca="1">IFERROR(__xludf.DUMMYFUNCTION("""COMPUTED_VALUE"""),"Yes")</f>
        <v>Yes</v>
      </c>
      <c r="AB6" s="5" t="str">
        <f ca="1">IFERROR(__xludf.DUMMYFUNCTION("""COMPUTED_VALUE"""),"Yes")</f>
        <v>Yes</v>
      </c>
      <c r="AC6" s="5" t="str">
        <f ca="1">IFERROR(__xludf.DUMMYFUNCTION("""COMPUTED_VALUE"""),"Yes")</f>
        <v>Yes</v>
      </c>
      <c r="AD6" s="5" t="str">
        <f ca="1">IFERROR(__xludf.DUMMYFUNCTION("""COMPUTED_VALUE"""),"Yes")</f>
        <v>Yes</v>
      </c>
      <c r="AE6" s="5" t="str">
        <f ca="1">IFERROR(__xludf.DUMMYFUNCTION("""COMPUTED_VALUE"""),"Yes")</f>
        <v>Yes</v>
      </c>
      <c r="AF6" s="5" t="str">
        <f ca="1">IFERROR(__xludf.DUMMYFUNCTION("""COMPUTED_VALUE"""),"Yes")</f>
        <v>Yes</v>
      </c>
      <c r="AG6" s="5" t="str">
        <f ca="1">IFERROR(__xludf.DUMMYFUNCTION("""COMPUTED_VALUE"""),"Yes")</f>
        <v>Yes</v>
      </c>
      <c r="AH6" s="5" t="str">
        <f ca="1">IFERROR(__xludf.DUMMYFUNCTION("""COMPUTED_VALUE"""),"Yes")</f>
        <v>Yes</v>
      </c>
      <c r="AI6" s="5" t="str">
        <f ca="1">IFERROR(__xludf.DUMMYFUNCTION("""COMPUTED_VALUE"""),"No")</f>
        <v>No</v>
      </c>
      <c r="AJ6" s="5" t="str">
        <f ca="1">IFERROR(__xludf.DUMMYFUNCTION("""COMPUTED_VALUE"""),"No")</f>
        <v>No</v>
      </c>
      <c r="AK6" s="5" t="str">
        <f ca="1">IFERROR(__xludf.DUMMYFUNCTION("""COMPUTED_VALUE"""),"No")</f>
        <v>No</v>
      </c>
      <c r="AL6" s="5" t="str">
        <f ca="1">IFERROR(__xludf.DUMMYFUNCTION("""COMPUTED_VALUE"""),"No")</f>
        <v>No</v>
      </c>
      <c r="AM6" s="5" t="str">
        <f ca="1">IFERROR(__xludf.DUMMYFUNCTION("""COMPUTED_VALUE"""),"No")</f>
        <v>No</v>
      </c>
      <c r="AN6" s="5" t="str">
        <f ca="1">IFERROR(__xludf.DUMMYFUNCTION("""COMPUTED_VALUE"""),"No")</f>
        <v>No</v>
      </c>
      <c r="AO6" s="5" t="str">
        <f ca="1">IFERROR(__xludf.DUMMYFUNCTION("""COMPUTED_VALUE"""),"No")</f>
        <v>No</v>
      </c>
      <c r="AP6" s="5" t="str">
        <f ca="1">IFERROR(__xludf.DUMMYFUNCTION("""COMPUTED_VALUE"""),"No")</f>
        <v>No</v>
      </c>
      <c r="AQ6" s="5" t="str">
        <f ca="1">IFERROR(__xludf.DUMMYFUNCTION("""COMPUTED_VALUE"""),"No")</f>
        <v>No</v>
      </c>
      <c r="AR6" s="5" t="str">
        <f ca="1">IFERROR(__xludf.DUMMYFUNCTION("""COMPUTED_VALUE"""),"No")</f>
        <v>No</v>
      </c>
      <c r="AS6" s="5" t="str">
        <f ca="1">IFERROR(__xludf.DUMMYFUNCTION("""COMPUTED_VALUE"""),"Yes")</f>
        <v>Yes</v>
      </c>
      <c r="AT6" s="5" t="str">
        <f ca="1">IFERROR(__xludf.DUMMYFUNCTION("""COMPUTED_VALUE"""),"No")</f>
        <v>No</v>
      </c>
      <c r="AU6" s="5"/>
    </row>
    <row r="7" spans="1:77" x14ac:dyDescent="0.25">
      <c r="A7" s="5" t="str">
        <f ca="1">IFERROR(__xludf.DUMMYFUNCTION("""COMPUTED_VALUE"""),"Redstone")</f>
        <v>Redstone</v>
      </c>
      <c r="B7" s="5" t="str">
        <f ca="1">IFERROR(__xludf.DUMMYFUNCTION("""COMPUTED_VALUE"""),"40 Wild Dice")</f>
        <v>40 Wild Dice</v>
      </c>
      <c r="C7" s="5" t="str">
        <f ca="1">IFERROR(__xludf.DUMMYFUNCTION("""COMPUTED_VALUE"""),"WildCloverDice40")</f>
        <v>WildCloverDice40</v>
      </c>
      <c r="D7" s="6">
        <f ca="1">IFERROR(__xludf.DUMMYFUNCTION("""COMPUTED_VALUE"""),44433)</f>
        <v>44433</v>
      </c>
      <c r="E7" s="5" t="str">
        <f ca="1">IFERROR(__xludf.DUMMYFUNCTION("""COMPUTED_VALUE"""),"Dice Slots")</f>
        <v>Dice Slots</v>
      </c>
      <c r="F7" s="5">
        <f ca="1">IFERROR(__xludf.DUMMYFUNCTION("""COMPUTED_VALUE"""),9.25)</f>
        <v>9.25</v>
      </c>
      <c r="G7" s="5" t="str">
        <f ca="1">IFERROR(__xludf.DUMMYFUNCTION("""COMPUTED_VALUE"""),"5x4")</f>
        <v>5x4</v>
      </c>
      <c r="H7" s="5" t="str">
        <f ca="1">IFERROR(__xludf.DUMMYFUNCTION("""COMPUTED_VALUE"""),"40")</f>
        <v>40</v>
      </c>
      <c r="I7" s="5" t="str">
        <f ca="1">IFERROR(__xludf.DUMMYFUNCTION("""COMPUTED_VALUE"""),"40")</f>
        <v>40</v>
      </c>
      <c r="J7" s="5" t="str">
        <f ca="1">IFERROR(__xludf.DUMMYFUNCTION("""COMPUTED_VALUE"""),"95.32%")</f>
        <v>95.32%</v>
      </c>
      <c r="K7" s="5" t="str">
        <f ca="1">IFERROR(__xludf.DUMMYFUNCTION("""COMPUTED_VALUE"""),"Medium")</f>
        <v>Medium</v>
      </c>
      <c r="L7" s="5" t="str">
        <f ca="1">IFERROR(__xludf.DUMMYFUNCTION("""COMPUTED_VALUE"""),"12.34%")</f>
        <v>12.34%</v>
      </c>
      <c r="M7" s="5" t="str">
        <f ca="1">IFERROR(__xludf.DUMMYFUNCTION("""COMPUTED_VALUE"""),"x2000")</f>
        <v>x2000</v>
      </c>
      <c r="N7" s="5" t="str">
        <f ca="1">IFERROR(__xludf.DUMMYFUNCTION("""COMPUTED_VALUE"""),"0.40/60")</f>
        <v>0.40/60</v>
      </c>
      <c r="O7" s="5" t="str">
        <f ca="1">IFERROR(__xludf.DUMMYFUNCTION("""COMPUTED_VALUE"""),"No")</f>
        <v>No</v>
      </c>
      <c r="P7" s="5" t="str">
        <f ca="1">IFERROR(__xludf.DUMMYFUNCTION("""COMPUTED_VALUE"""),"Bonus Game with Free Spins, Wild Symbol, Scatter")</f>
        <v>Bonus Game with Free Spins, Wild Symbol, Scatter</v>
      </c>
      <c r="Q7" s="7" t="str">
        <f ca="1">IFERROR(__xludf.DUMMYFUNCTION("""COMPUTED_VALUE"""),"https://static.redstone.rs/games/40-wild-dice/")</f>
        <v>https://static.redstone.rs/games/40-wild-dice/</v>
      </c>
      <c r="R7" s="5" t="str">
        <f ca="1">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S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7" s="5" t="str">
        <f ca="1">IFERROR(__xludf.DUMMYFUNCTION("""COMPUTED_VALUE"""),"Yes")</f>
        <v>Yes</v>
      </c>
      <c r="U7" s="5" t="str">
        <f ca="1">IFERROR(__xludf.DUMMYFUNCTION("""COMPUTED_VALUE"""),"Yes")</f>
        <v>Yes</v>
      </c>
      <c r="V7" s="5" t="str">
        <f ca="1">IFERROR(__xludf.DUMMYFUNCTION("""COMPUTED_VALUE"""),"No")</f>
        <v>No</v>
      </c>
      <c r="W7" s="5" t="str">
        <f ca="1">IFERROR(__xludf.DUMMYFUNCTION("""COMPUTED_VALUE"""),"Yes")</f>
        <v>Yes</v>
      </c>
      <c r="X7" s="5" t="str">
        <f ca="1">IFERROR(__xludf.DUMMYFUNCTION("""COMPUTED_VALUE"""),"Yes")</f>
        <v>Yes</v>
      </c>
      <c r="Y7" s="5" t="str">
        <f ca="1">IFERROR(__xludf.DUMMYFUNCTION("""COMPUTED_VALUE"""),"Yes")</f>
        <v>Yes</v>
      </c>
      <c r="Z7" s="5" t="str">
        <f ca="1">IFERROR(__xludf.DUMMYFUNCTION("""COMPUTED_VALUE"""),"Yes")</f>
        <v>Yes</v>
      </c>
      <c r="AA7" s="5" t="str">
        <f ca="1">IFERROR(__xludf.DUMMYFUNCTION("""COMPUTED_VALUE"""),"Yes")</f>
        <v>Yes</v>
      </c>
      <c r="AB7" s="5" t="str">
        <f ca="1">IFERROR(__xludf.DUMMYFUNCTION("""COMPUTED_VALUE"""),"Yes")</f>
        <v>Yes</v>
      </c>
      <c r="AC7" s="5" t="str">
        <f ca="1">IFERROR(__xludf.DUMMYFUNCTION("""COMPUTED_VALUE"""),"Yes")</f>
        <v>Yes</v>
      </c>
      <c r="AD7" s="5" t="str">
        <f ca="1">IFERROR(__xludf.DUMMYFUNCTION("""COMPUTED_VALUE"""),"Yes")</f>
        <v>Yes</v>
      </c>
      <c r="AE7" s="5" t="str">
        <f ca="1">IFERROR(__xludf.DUMMYFUNCTION("""COMPUTED_VALUE"""),"Yes")</f>
        <v>Yes</v>
      </c>
      <c r="AF7" s="5" t="str">
        <f ca="1">IFERROR(__xludf.DUMMYFUNCTION("""COMPUTED_VALUE"""),"Yes")</f>
        <v>Yes</v>
      </c>
      <c r="AG7" s="5" t="str">
        <f ca="1">IFERROR(__xludf.DUMMYFUNCTION("""COMPUTED_VALUE"""),"Yes")</f>
        <v>Yes</v>
      </c>
      <c r="AH7" s="5" t="str">
        <f ca="1">IFERROR(__xludf.DUMMYFUNCTION("""COMPUTED_VALUE"""),"Yes")</f>
        <v>Yes</v>
      </c>
      <c r="AI7" s="5" t="str">
        <f ca="1">IFERROR(__xludf.DUMMYFUNCTION("""COMPUTED_VALUE"""),"No")</f>
        <v>No</v>
      </c>
      <c r="AJ7" s="5" t="str">
        <f ca="1">IFERROR(__xludf.DUMMYFUNCTION("""COMPUTED_VALUE"""),"No")</f>
        <v>No</v>
      </c>
      <c r="AK7" s="5" t="str">
        <f ca="1">IFERROR(__xludf.DUMMYFUNCTION("""COMPUTED_VALUE"""),"No")</f>
        <v>No</v>
      </c>
      <c r="AL7" s="5" t="str">
        <f ca="1">IFERROR(__xludf.DUMMYFUNCTION("""COMPUTED_VALUE"""),"No")</f>
        <v>No</v>
      </c>
      <c r="AM7" s="5" t="str">
        <f ca="1">IFERROR(__xludf.DUMMYFUNCTION("""COMPUTED_VALUE"""),"No")</f>
        <v>No</v>
      </c>
      <c r="AN7" s="5" t="str">
        <f ca="1">IFERROR(__xludf.DUMMYFUNCTION("""COMPUTED_VALUE"""),"No")</f>
        <v>No</v>
      </c>
      <c r="AO7" s="5" t="str">
        <f ca="1">IFERROR(__xludf.DUMMYFUNCTION("""COMPUTED_VALUE"""),"No")</f>
        <v>No</v>
      </c>
      <c r="AP7" s="5" t="str">
        <f ca="1">IFERROR(__xludf.DUMMYFUNCTION("""COMPUTED_VALUE"""),"No")</f>
        <v>No</v>
      </c>
      <c r="AQ7" s="5" t="str">
        <f ca="1">IFERROR(__xludf.DUMMYFUNCTION("""COMPUTED_VALUE"""),"No")</f>
        <v>No</v>
      </c>
      <c r="AR7" s="5" t="str">
        <f ca="1">IFERROR(__xludf.DUMMYFUNCTION("""COMPUTED_VALUE"""),"No")</f>
        <v>No</v>
      </c>
      <c r="AS7" s="5" t="str">
        <f ca="1">IFERROR(__xludf.DUMMYFUNCTION("""COMPUTED_VALUE"""),"Yes")</f>
        <v>Yes</v>
      </c>
      <c r="AT7" s="5" t="str">
        <f ca="1">IFERROR(__xludf.DUMMYFUNCTION("""COMPUTED_VALUE"""),"No")</f>
        <v>No</v>
      </c>
      <c r="AU7" s="5"/>
    </row>
    <row r="8" spans="1:77" x14ac:dyDescent="0.25">
      <c r="A8" s="5" t="str">
        <f ca="1">IFERROR(__xludf.DUMMYFUNCTION("""COMPUTED_VALUE"""),"Redstone")</f>
        <v>Redstone</v>
      </c>
      <c r="B8" s="5" t="str">
        <f ca="1">IFERROR(__xludf.DUMMYFUNCTION("""COMPUTED_VALUE"""),"5 Dice Fire")</f>
        <v>5 Dice Fire</v>
      </c>
      <c r="C8" s="5" t="str">
        <f ca="1">IFERROR(__xludf.DUMMYFUNCTION("""COMPUTED_VALUE"""),"FireCloverDice5")</f>
        <v>FireCloverDice5</v>
      </c>
      <c r="D8" s="6">
        <f ca="1">IFERROR(__xludf.DUMMYFUNCTION("""COMPUTED_VALUE"""),44439)</f>
        <v>44439</v>
      </c>
      <c r="E8" s="5" t="str">
        <f ca="1">IFERROR(__xludf.DUMMYFUNCTION("""COMPUTED_VALUE"""),"Dice Slots")</f>
        <v>Dice Slots</v>
      </c>
      <c r="F8" s="5">
        <f ca="1">IFERROR(__xludf.DUMMYFUNCTION("""COMPUTED_VALUE"""),6.25)</f>
        <v>6.25</v>
      </c>
      <c r="G8" s="5" t="str">
        <f ca="1">IFERROR(__xludf.DUMMYFUNCTION("""COMPUTED_VALUE"""),"5x3")</f>
        <v>5x3</v>
      </c>
      <c r="H8" s="5" t="str">
        <f ca="1">IFERROR(__xludf.DUMMYFUNCTION("""COMPUTED_VALUE"""),"5")</f>
        <v>5</v>
      </c>
      <c r="I8" s="5" t="str">
        <f ca="1">IFERROR(__xludf.DUMMYFUNCTION("""COMPUTED_VALUE"""),"5")</f>
        <v>5</v>
      </c>
      <c r="J8" s="5" t="str">
        <f ca="1">IFERROR(__xludf.DUMMYFUNCTION("""COMPUTED_VALUE"""),"96.45%")</f>
        <v>96.45%</v>
      </c>
      <c r="K8" s="5" t="str">
        <f ca="1">IFERROR(__xludf.DUMMYFUNCTION("""COMPUTED_VALUE"""),"Medium")</f>
        <v>Medium</v>
      </c>
      <c r="L8" s="5" t="str">
        <f ca="1">IFERROR(__xludf.DUMMYFUNCTION("""COMPUTED_VALUE"""),"14.5%")</f>
        <v>14.5%</v>
      </c>
      <c r="M8" s="5" t="str">
        <f ca="1">IFERROR(__xludf.DUMMYFUNCTION("""COMPUTED_VALUE"""),"x1222")</f>
        <v>x1222</v>
      </c>
      <c r="N8" s="5" t="str">
        <f ca="1">IFERROR(__xludf.DUMMYFUNCTION("""COMPUTED_VALUE"""),"0.05/30")</f>
        <v>0.05/30</v>
      </c>
      <c r="O8" s="5" t="str">
        <f ca="1">IFERROR(__xludf.DUMMYFUNCTION("""COMPUTED_VALUE"""),"No")</f>
        <v>No</v>
      </c>
      <c r="P8" s="5" t="str">
        <f ca="1">IFERROR(__xludf.DUMMYFUNCTION("""COMPUTED_VALUE"""),"Expanding Wild, Scatter")</f>
        <v>Expanding Wild, Scatter</v>
      </c>
      <c r="Q8" s="7" t="str">
        <f ca="1">IFERROR(__xludf.DUMMYFUNCTION("""COMPUTED_VALUE"""),"https://static.redstone.rs/games/5-dice-fire/")</f>
        <v>https://static.redstone.rs/games/5-dice-fire/</v>
      </c>
      <c r="R8" s="5" t="str">
        <f ca="1">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S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8" s="5" t="str">
        <f ca="1">IFERROR(__xludf.DUMMYFUNCTION("""COMPUTED_VALUE"""),"Yes")</f>
        <v>Yes</v>
      </c>
      <c r="U8" s="5" t="str">
        <f ca="1">IFERROR(__xludf.DUMMYFUNCTION("""COMPUTED_VALUE"""),"Yes")</f>
        <v>Yes</v>
      </c>
      <c r="V8" s="5" t="str">
        <f ca="1">IFERROR(__xludf.DUMMYFUNCTION("""COMPUTED_VALUE"""),"No")</f>
        <v>No</v>
      </c>
      <c r="W8" s="5" t="str">
        <f ca="1">IFERROR(__xludf.DUMMYFUNCTION("""COMPUTED_VALUE"""),"Yes")</f>
        <v>Yes</v>
      </c>
      <c r="X8" s="5" t="str">
        <f ca="1">IFERROR(__xludf.DUMMYFUNCTION("""COMPUTED_VALUE"""),"Yes")</f>
        <v>Yes</v>
      </c>
      <c r="Y8" s="5" t="str">
        <f ca="1">IFERROR(__xludf.DUMMYFUNCTION("""COMPUTED_VALUE"""),"Yes")</f>
        <v>Yes</v>
      </c>
      <c r="Z8" s="5" t="str">
        <f ca="1">IFERROR(__xludf.DUMMYFUNCTION("""COMPUTED_VALUE"""),"Yes")</f>
        <v>Yes</v>
      </c>
      <c r="AA8" s="5" t="str">
        <f ca="1">IFERROR(__xludf.DUMMYFUNCTION("""COMPUTED_VALUE"""),"Yes")</f>
        <v>Yes</v>
      </c>
      <c r="AB8" s="5" t="str">
        <f ca="1">IFERROR(__xludf.DUMMYFUNCTION("""COMPUTED_VALUE"""),"Yes")</f>
        <v>Yes</v>
      </c>
      <c r="AC8" s="5" t="str">
        <f ca="1">IFERROR(__xludf.DUMMYFUNCTION("""COMPUTED_VALUE"""),"Yes")</f>
        <v>Yes</v>
      </c>
      <c r="AD8" s="5" t="str">
        <f ca="1">IFERROR(__xludf.DUMMYFUNCTION("""COMPUTED_VALUE"""),"Yes")</f>
        <v>Yes</v>
      </c>
      <c r="AE8" s="5" t="str">
        <f ca="1">IFERROR(__xludf.DUMMYFUNCTION("""COMPUTED_VALUE"""),"Yes")</f>
        <v>Yes</v>
      </c>
      <c r="AF8" s="5" t="str">
        <f ca="1">IFERROR(__xludf.DUMMYFUNCTION("""COMPUTED_VALUE"""),"Yes")</f>
        <v>Yes</v>
      </c>
      <c r="AG8" s="5" t="str">
        <f ca="1">IFERROR(__xludf.DUMMYFUNCTION("""COMPUTED_VALUE"""),"Yes")</f>
        <v>Yes</v>
      </c>
      <c r="AH8" s="5" t="str">
        <f ca="1">IFERROR(__xludf.DUMMYFUNCTION("""COMPUTED_VALUE"""),"Yes")</f>
        <v>Yes</v>
      </c>
      <c r="AI8" s="5" t="str">
        <f ca="1">IFERROR(__xludf.DUMMYFUNCTION("""COMPUTED_VALUE"""),"No")</f>
        <v>No</v>
      </c>
      <c r="AJ8" s="5" t="str">
        <f ca="1">IFERROR(__xludf.DUMMYFUNCTION("""COMPUTED_VALUE"""),"No")</f>
        <v>No</v>
      </c>
      <c r="AK8" s="5" t="str">
        <f ca="1">IFERROR(__xludf.DUMMYFUNCTION("""COMPUTED_VALUE"""),"No")</f>
        <v>No</v>
      </c>
      <c r="AL8" s="5" t="str">
        <f ca="1">IFERROR(__xludf.DUMMYFUNCTION("""COMPUTED_VALUE"""),"No")</f>
        <v>No</v>
      </c>
      <c r="AM8" s="5" t="str">
        <f ca="1">IFERROR(__xludf.DUMMYFUNCTION("""COMPUTED_VALUE"""),"No")</f>
        <v>No</v>
      </c>
      <c r="AN8" s="5" t="str">
        <f ca="1">IFERROR(__xludf.DUMMYFUNCTION("""COMPUTED_VALUE"""),"No")</f>
        <v>No</v>
      </c>
      <c r="AO8" s="5" t="str">
        <f ca="1">IFERROR(__xludf.DUMMYFUNCTION("""COMPUTED_VALUE"""),"No")</f>
        <v>No</v>
      </c>
      <c r="AP8" s="5" t="str">
        <f ca="1">IFERROR(__xludf.DUMMYFUNCTION("""COMPUTED_VALUE"""),"No")</f>
        <v>No</v>
      </c>
      <c r="AQ8" s="5" t="str">
        <f ca="1">IFERROR(__xludf.DUMMYFUNCTION("""COMPUTED_VALUE"""),"No")</f>
        <v>No</v>
      </c>
      <c r="AR8" s="5" t="str">
        <f ca="1">IFERROR(__xludf.DUMMYFUNCTION("""COMPUTED_VALUE"""),"No")</f>
        <v>No</v>
      </c>
      <c r="AS8" s="5" t="str">
        <f ca="1">IFERROR(__xludf.DUMMYFUNCTION("""COMPUTED_VALUE"""),"Yes")</f>
        <v>Yes</v>
      </c>
      <c r="AT8" s="5" t="str">
        <f ca="1">IFERROR(__xludf.DUMMYFUNCTION("""COMPUTED_VALUE"""),"No")</f>
        <v>No</v>
      </c>
      <c r="AU8" s="5"/>
    </row>
    <row r="9" spans="1:77" x14ac:dyDescent="0.25">
      <c r="A9" s="5" t="str">
        <f ca="1">IFERROR(__xludf.DUMMYFUNCTION("""COMPUTED_VALUE"""),"Redstone")</f>
        <v>Redstone</v>
      </c>
      <c r="B9" s="5" t="str">
        <f ca="1">IFERROR(__xludf.DUMMYFUNCTION("""COMPUTED_VALUE"""),"40 Clover Fire")</f>
        <v>40 Clover Fire</v>
      </c>
      <c r="C9" s="5" t="str">
        <f ca="1">IFERROR(__xludf.DUMMYFUNCTION("""COMPUTED_VALUE"""),"FireClover40")</f>
        <v>FireClover40</v>
      </c>
      <c r="D9" s="6">
        <f ca="1">IFERROR(__xludf.DUMMYFUNCTION("""COMPUTED_VALUE"""),44420)</f>
        <v>44420</v>
      </c>
      <c r="E9" s="5" t="str">
        <f ca="1">IFERROR(__xludf.DUMMYFUNCTION("""COMPUTED_VALUE"""),"Slot")</f>
        <v>Slot</v>
      </c>
      <c r="F9" s="5">
        <f ca="1">IFERROR(__xludf.DUMMYFUNCTION("""COMPUTED_VALUE"""),8.56)</f>
        <v>8.56</v>
      </c>
      <c r="G9" s="5" t="str">
        <f ca="1">IFERROR(__xludf.DUMMYFUNCTION("""COMPUTED_VALUE"""),"5x3")</f>
        <v>5x3</v>
      </c>
      <c r="H9" s="5" t="str">
        <f ca="1">IFERROR(__xludf.DUMMYFUNCTION("""COMPUTED_VALUE"""),"40")</f>
        <v>40</v>
      </c>
      <c r="I9" s="5" t="str">
        <f ca="1">IFERROR(__xludf.DUMMYFUNCTION("""COMPUTED_VALUE"""),"40")</f>
        <v>40</v>
      </c>
      <c r="J9" s="5" t="str">
        <f ca="1">IFERROR(__xludf.DUMMYFUNCTION("""COMPUTED_VALUE"""),"96.53%")</f>
        <v>96.53%</v>
      </c>
      <c r="K9" s="5" t="str">
        <f ca="1">IFERROR(__xludf.DUMMYFUNCTION("""COMPUTED_VALUE"""),"Low")</f>
        <v>Low</v>
      </c>
      <c r="L9" s="5" t="str">
        <f ca="1">IFERROR(__xludf.DUMMYFUNCTION("""COMPUTED_VALUE"""),"23.37%")</f>
        <v>23.37%</v>
      </c>
      <c r="M9" s="5" t="str">
        <f ca="1">IFERROR(__xludf.DUMMYFUNCTION("""COMPUTED_VALUE"""),"x3507")</f>
        <v>x3507</v>
      </c>
      <c r="N9" s="5" t="str">
        <f ca="1">IFERROR(__xludf.DUMMYFUNCTION("""COMPUTED_VALUE"""),"0.40/60")</f>
        <v>0.40/60</v>
      </c>
      <c r="O9" s="5" t="str">
        <f ca="1">IFERROR(__xludf.DUMMYFUNCTION("""COMPUTED_VALUE"""),"No")</f>
        <v>No</v>
      </c>
      <c r="P9" s="5" t="str">
        <f ca="1">IFERROR(__xludf.DUMMYFUNCTION("""COMPUTED_VALUE"""),"Expanding Wild, Scatter")</f>
        <v>Expanding Wild, Scatter</v>
      </c>
      <c r="Q9" s="7" t="str">
        <f ca="1">IFERROR(__xludf.DUMMYFUNCTION("""COMPUTED_VALUE"""),"https://static.redstone.rs/games/40-clover-fire/")</f>
        <v>https://static.redstone.rs/games/40-clover-fire/</v>
      </c>
      <c r="R9" s="5" t="str">
        <f ca="1">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S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9" s="5" t="str">
        <f ca="1">IFERROR(__xludf.DUMMYFUNCTION("""COMPUTED_VALUE"""),"Yes")</f>
        <v>Yes</v>
      </c>
      <c r="U9" s="5" t="str">
        <f ca="1">IFERROR(__xludf.DUMMYFUNCTION("""COMPUTED_VALUE"""),"Yes")</f>
        <v>Yes</v>
      </c>
      <c r="V9" s="5" t="str">
        <f ca="1">IFERROR(__xludf.DUMMYFUNCTION("""COMPUTED_VALUE"""),"No")</f>
        <v>No</v>
      </c>
      <c r="W9" s="5" t="str">
        <f ca="1">IFERROR(__xludf.DUMMYFUNCTION("""COMPUTED_VALUE"""),"Yes")</f>
        <v>Yes</v>
      </c>
      <c r="X9" s="5" t="str">
        <f ca="1">IFERROR(__xludf.DUMMYFUNCTION("""COMPUTED_VALUE"""),"Yes")</f>
        <v>Yes</v>
      </c>
      <c r="Y9" s="5" t="str">
        <f ca="1">IFERROR(__xludf.DUMMYFUNCTION("""COMPUTED_VALUE"""),"Yes")</f>
        <v>Yes</v>
      </c>
      <c r="Z9" s="5" t="str">
        <f ca="1">IFERROR(__xludf.DUMMYFUNCTION("""COMPUTED_VALUE"""),"Yes")</f>
        <v>Yes</v>
      </c>
      <c r="AA9" s="5" t="str">
        <f ca="1">IFERROR(__xludf.DUMMYFUNCTION("""COMPUTED_VALUE"""),"Yes")</f>
        <v>Yes</v>
      </c>
      <c r="AB9" s="5" t="str">
        <f ca="1">IFERROR(__xludf.DUMMYFUNCTION("""COMPUTED_VALUE"""),"Yes")</f>
        <v>Yes</v>
      </c>
      <c r="AC9" s="5" t="str">
        <f ca="1">IFERROR(__xludf.DUMMYFUNCTION("""COMPUTED_VALUE"""),"Yes")</f>
        <v>Yes</v>
      </c>
      <c r="AD9" s="5" t="str">
        <f ca="1">IFERROR(__xludf.DUMMYFUNCTION("""COMPUTED_VALUE"""),"Yes")</f>
        <v>Yes</v>
      </c>
      <c r="AE9" s="5" t="str">
        <f ca="1">IFERROR(__xludf.DUMMYFUNCTION("""COMPUTED_VALUE"""),"Yes")</f>
        <v>Yes</v>
      </c>
      <c r="AF9" s="5" t="str">
        <f ca="1">IFERROR(__xludf.DUMMYFUNCTION("""COMPUTED_VALUE"""),"Yes")</f>
        <v>Yes</v>
      </c>
      <c r="AG9" s="5" t="str">
        <f ca="1">IFERROR(__xludf.DUMMYFUNCTION("""COMPUTED_VALUE"""),"Yes")</f>
        <v>Yes</v>
      </c>
      <c r="AH9" s="5" t="str">
        <f ca="1">IFERROR(__xludf.DUMMYFUNCTION("""COMPUTED_VALUE"""),"Yes")</f>
        <v>Yes</v>
      </c>
      <c r="AI9" s="5" t="str">
        <f ca="1">IFERROR(__xludf.DUMMYFUNCTION("""COMPUTED_VALUE"""),"No")</f>
        <v>No</v>
      </c>
      <c r="AJ9" s="5" t="str">
        <f ca="1">IFERROR(__xludf.DUMMYFUNCTION("""COMPUTED_VALUE"""),"No")</f>
        <v>No</v>
      </c>
      <c r="AK9" s="5" t="str">
        <f ca="1">IFERROR(__xludf.DUMMYFUNCTION("""COMPUTED_VALUE"""),"No")</f>
        <v>No</v>
      </c>
      <c r="AL9" s="5" t="str">
        <f ca="1">IFERROR(__xludf.DUMMYFUNCTION("""COMPUTED_VALUE"""),"No")</f>
        <v>No</v>
      </c>
      <c r="AM9" s="5" t="str">
        <f ca="1">IFERROR(__xludf.DUMMYFUNCTION("""COMPUTED_VALUE"""),"No")</f>
        <v>No</v>
      </c>
      <c r="AN9" s="5" t="str">
        <f ca="1">IFERROR(__xludf.DUMMYFUNCTION("""COMPUTED_VALUE"""),"No")</f>
        <v>No</v>
      </c>
      <c r="AO9" s="5" t="str">
        <f ca="1">IFERROR(__xludf.DUMMYFUNCTION("""COMPUTED_VALUE"""),"No")</f>
        <v>No</v>
      </c>
      <c r="AP9" s="5" t="str">
        <f ca="1">IFERROR(__xludf.DUMMYFUNCTION("""COMPUTED_VALUE"""),"No")</f>
        <v>No</v>
      </c>
      <c r="AQ9" s="5" t="str">
        <f ca="1">IFERROR(__xludf.DUMMYFUNCTION("""COMPUTED_VALUE"""),"No")</f>
        <v>No</v>
      </c>
      <c r="AR9" s="5" t="str">
        <f ca="1">IFERROR(__xludf.DUMMYFUNCTION("""COMPUTED_VALUE"""),"No")</f>
        <v>No</v>
      </c>
      <c r="AS9" s="5" t="str">
        <f ca="1">IFERROR(__xludf.DUMMYFUNCTION("""COMPUTED_VALUE"""),"Yes")</f>
        <v>Yes</v>
      </c>
      <c r="AT9" s="5" t="str">
        <f ca="1">IFERROR(__xludf.DUMMYFUNCTION("""COMPUTED_VALUE"""),"No")</f>
        <v>No</v>
      </c>
      <c r="AU9" s="5"/>
    </row>
    <row r="10" spans="1:77" x14ac:dyDescent="0.25">
      <c r="A10" s="5" t="str">
        <f ca="1">IFERROR(__xludf.DUMMYFUNCTION("""COMPUTED_VALUE"""),"Redstone")</f>
        <v>Redstone</v>
      </c>
      <c r="B10" s="5" t="str">
        <f ca="1">IFERROR(__xludf.DUMMYFUNCTION("""COMPUTED_VALUE"""),"50 Wild Cash")</f>
        <v>50 Wild Cash</v>
      </c>
      <c r="C10" s="5" t="str">
        <f ca="1">IFERROR(__xludf.DUMMYFUNCTION("""COMPUTED_VALUE"""),"WildClover506")</f>
        <v>WildClover506</v>
      </c>
      <c r="D10" s="6">
        <f ca="1">IFERROR(__xludf.DUMMYFUNCTION("""COMPUTED_VALUE"""),44462)</f>
        <v>44462</v>
      </c>
      <c r="E10" s="5" t="str">
        <f ca="1">IFERROR(__xludf.DUMMYFUNCTION("""COMPUTED_VALUE"""),"Slot")</f>
        <v>Slot</v>
      </c>
      <c r="F10" s="5">
        <f ca="1">IFERROR(__xludf.DUMMYFUNCTION("""COMPUTED_VALUE"""),7.02)</f>
        <v>7.02</v>
      </c>
      <c r="G10" s="5" t="str">
        <f ca="1">IFERROR(__xludf.DUMMYFUNCTION("""COMPUTED_VALUE"""),"6x4")</f>
        <v>6x4</v>
      </c>
      <c r="H10" s="5" t="str">
        <f ca="1">IFERROR(__xludf.DUMMYFUNCTION("""COMPUTED_VALUE"""),"50")</f>
        <v>50</v>
      </c>
      <c r="I10" s="5" t="str">
        <f ca="1">IFERROR(__xludf.DUMMYFUNCTION("""COMPUTED_VALUE"""),"50")</f>
        <v>50</v>
      </c>
      <c r="J10" s="5" t="str">
        <f ca="1">IFERROR(__xludf.DUMMYFUNCTION("""COMPUTED_VALUE"""),"95.26%")</f>
        <v>95.26%</v>
      </c>
      <c r="K10" s="5" t="str">
        <f ca="1">IFERROR(__xludf.DUMMYFUNCTION("""COMPUTED_VALUE"""),"Medium")</f>
        <v>Medium</v>
      </c>
      <c r="L10" s="5" t="str">
        <f ca="1">IFERROR(__xludf.DUMMYFUNCTION("""COMPUTED_VALUE"""),"13.33%")</f>
        <v>13.33%</v>
      </c>
      <c r="M10" s="5" t="str">
        <f ca="1">IFERROR(__xludf.DUMMYFUNCTION("""COMPUTED_VALUE"""),"x2500")</f>
        <v>x2500</v>
      </c>
      <c r="N10" s="5" t="str">
        <f ca="1">IFERROR(__xludf.DUMMYFUNCTION("""COMPUTED_VALUE"""),"0.5/75")</f>
        <v>0.5/75</v>
      </c>
      <c r="O10" s="5" t="str">
        <f ca="1">IFERROR(__xludf.DUMMYFUNCTION("""COMPUTED_VALUE"""),"No")</f>
        <v>No</v>
      </c>
      <c r="P10" s="5" t="str">
        <f ca="1">IFERROR(__xludf.DUMMYFUNCTION("""COMPUTED_VALUE"""),"Bonus Game with Free Spins, Special Wild, Scatter")</f>
        <v>Bonus Game with Free Spins, Special Wild, Scatter</v>
      </c>
      <c r="Q10" s="7" t="str">
        <f ca="1">IFERROR(__xludf.DUMMYFUNCTION("""COMPUTED_VALUE"""),"https://static.redstone.rs/games/50-wild-cash/")</f>
        <v>https://static.redstone.rs/games/50-wild-cash/</v>
      </c>
      <c r="R10" s="5" t="str">
        <f ca="1">IFERROR(__xludf.DUMMYFUNCTION("""COMPUTED_VALUE"""),"Wild Pots full of gold! With a little bit of luck you can land full reels of stacked Wild Pots for massive wins. Free Games symbols trigger Free Spins feature. ")</f>
        <v xml:space="preserve">Wild Pots full of gold! With a little bit of luck you can land full reels of stacked Wild Pots for massive wins. Free Games symbols trigger Free Spins feature. </v>
      </c>
      <c r="S10" s="5" t="str">
        <f ca="1">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0" s="5" t="str">
        <f ca="1">IFERROR(__xludf.DUMMYFUNCTION("""COMPUTED_VALUE"""),"Yes")</f>
        <v>Yes</v>
      </c>
      <c r="U10" s="5" t="str">
        <f ca="1">IFERROR(__xludf.DUMMYFUNCTION("""COMPUTED_VALUE"""),"Yes")</f>
        <v>Yes</v>
      </c>
      <c r="V10" s="5" t="str">
        <f ca="1">IFERROR(__xludf.DUMMYFUNCTION("""COMPUTED_VALUE"""),"No")</f>
        <v>No</v>
      </c>
      <c r="W10" s="5" t="str">
        <f ca="1">IFERROR(__xludf.DUMMYFUNCTION("""COMPUTED_VALUE"""),"Yes")</f>
        <v>Yes</v>
      </c>
      <c r="X10" s="5" t="str">
        <f ca="1">IFERROR(__xludf.DUMMYFUNCTION("""COMPUTED_VALUE"""),"Yes")</f>
        <v>Yes</v>
      </c>
      <c r="Y10" s="5" t="str">
        <f ca="1">IFERROR(__xludf.DUMMYFUNCTION("""COMPUTED_VALUE"""),"Yes")</f>
        <v>Yes</v>
      </c>
      <c r="Z10" s="5" t="str">
        <f ca="1">IFERROR(__xludf.DUMMYFUNCTION("""COMPUTED_VALUE"""),"Yes")</f>
        <v>Yes</v>
      </c>
      <c r="AA10" s="5" t="str">
        <f ca="1">IFERROR(__xludf.DUMMYFUNCTION("""COMPUTED_VALUE"""),"Yes")</f>
        <v>Yes</v>
      </c>
      <c r="AB10" s="5" t="str">
        <f ca="1">IFERROR(__xludf.DUMMYFUNCTION("""COMPUTED_VALUE"""),"Yes")</f>
        <v>Yes</v>
      </c>
      <c r="AC10" s="5" t="str">
        <f ca="1">IFERROR(__xludf.DUMMYFUNCTION("""COMPUTED_VALUE"""),"Yes")</f>
        <v>Yes</v>
      </c>
      <c r="AD10" s="5" t="str">
        <f ca="1">IFERROR(__xludf.DUMMYFUNCTION("""COMPUTED_VALUE"""),"Yes")</f>
        <v>Yes</v>
      </c>
      <c r="AE10" s="5" t="str">
        <f ca="1">IFERROR(__xludf.DUMMYFUNCTION("""COMPUTED_VALUE"""),"Yes")</f>
        <v>Yes</v>
      </c>
      <c r="AF10" s="5" t="str">
        <f ca="1">IFERROR(__xludf.DUMMYFUNCTION("""COMPUTED_VALUE"""),"No")</f>
        <v>No</v>
      </c>
      <c r="AG10" s="5" t="str">
        <f ca="1">IFERROR(__xludf.DUMMYFUNCTION("""COMPUTED_VALUE"""),"No")</f>
        <v>No</v>
      </c>
      <c r="AH10" s="5" t="str">
        <f ca="1">IFERROR(__xludf.DUMMYFUNCTION("""COMPUTED_VALUE"""),"Yes")</f>
        <v>Yes</v>
      </c>
      <c r="AI10" s="5" t="str">
        <f ca="1">IFERROR(__xludf.DUMMYFUNCTION("""COMPUTED_VALUE"""),"No")</f>
        <v>No</v>
      </c>
      <c r="AJ10" s="5" t="str">
        <f ca="1">IFERROR(__xludf.DUMMYFUNCTION("""COMPUTED_VALUE"""),"No")</f>
        <v>No</v>
      </c>
      <c r="AK10" s="5" t="str">
        <f ca="1">IFERROR(__xludf.DUMMYFUNCTION("""COMPUTED_VALUE"""),"No")</f>
        <v>No</v>
      </c>
      <c r="AL10" s="5" t="str">
        <f ca="1">IFERROR(__xludf.DUMMYFUNCTION("""COMPUTED_VALUE"""),"No")</f>
        <v>No</v>
      </c>
      <c r="AM10" s="5" t="str">
        <f ca="1">IFERROR(__xludf.DUMMYFUNCTION("""COMPUTED_VALUE"""),"No")</f>
        <v>No</v>
      </c>
      <c r="AN10" s="5" t="str">
        <f ca="1">IFERROR(__xludf.DUMMYFUNCTION("""COMPUTED_VALUE"""),"No")</f>
        <v>No</v>
      </c>
      <c r="AO10" s="5" t="str">
        <f ca="1">IFERROR(__xludf.DUMMYFUNCTION("""COMPUTED_VALUE"""),"No")</f>
        <v>No</v>
      </c>
      <c r="AP10" s="5" t="str">
        <f ca="1">IFERROR(__xludf.DUMMYFUNCTION("""COMPUTED_VALUE"""),"No")</f>
        <v>No</v>
      </c>
      <c r="AQ10" s="5" t="str">
        <f ca="1">IFERROR(__xludf.DUMMYFUNCTION("""COMPUTED_VALUE"""),"No")</f>
        <v>No</v>
      </c>
      <c r="AR10" s="5" t="str">
        <f ca="1">IFERROR(__xludf.DUMMYFUNCTION("""COMPUTED_VALUE"""),"No")</f>
        <v>No</v>
      </c>
      <c r="AS10" s="5" t="str">
        <f ca="1">IFERROR(__xludf.DUMMYFUNCTION("""COMPUTED_VALUE"""),"Yes")</f>
        <v>Yes</v>
      </c>
      <c r="AT10" s="5" t="str">
        <f ca="1">IFERROR(__xludf.DUMMYFUNCTION("""COMPUTED_VALUE"""),"No")</f>
        <v>No</v>
      </c>
      <c r="AU10" s="5"/>
    </row>
    <row r="11" spans="1:77" x14ac:dyDescent="0.25">
      <c r="A11" s="5" t="str">
        <f ca="1">IFERROR(__xludf.DUMMYFUNCTION("""COMPUTED_VALUE"""),"Redstone")</f>
        <v>Redstone</v>
      </c>
      <c r="B11" s="5" t="str">
        <f ca="1">IFERROR(__xludf.DUMMYFUNCTION("""COMPUTED_VALUE"""),"Lost Book")</f>
        <v>Lost Book</v>
      </c>
      <c r="C11" s="5" t="str">
        <f ca="1">IFERROR(__xludf.DUMMYFUNCTION("""COMPUTED_VALUE"""),"LostBook")</f>
        <v>LostBook</v>
      </c>
      <c r="D11" s="6">
        <f ca="1">IFERROR(__xludf.DUMMYFUNCTION("""COMPUTED_VALUE"""),44522)</f>
        <v>44522</v>
      </c>
      <c r="E11" s="5" t="str">
        <f ca="1">IFERROR(__xludf.DUMMYFUNCTION("""COMPUTED_VALUE"""),"Slot")</f>
        <v>Slot</v>
      </c>
      <c r="F11" s="5">
        <f ca="1">IFERROR(__xludf.DUMMYFUNCTION("""COMPUTED_VALUE"""),12)</f>
        <v>12</v>
      </c>
      <c r="G11" s="5" t="str">
        <f ca="1">IFERROR(__xludf.DUMMYFUNCTION("""COMPUTED_VALUE"""),"5x3")</f>
        <v>5x3</v>
      </c>
      <c r="H11" s="5" t="str">
        <f ca="1">IFERROR(__xludf.DUMMYFUNCTION("""COMPUTED_VALUE"""),"10")</f>
        <v>10</v>
      </c>
      <c r="I11" s="5" t="str">
        <f ca="1">IFERROR(__xludf.DUMMYFUNCTION("""COMPUTED_VALUE"""),"10")</f>
        <v>10</v>
      </c>
      <c r="J11" s="5" t="str">
        <f ca="1">IFERROR(__xludf.DUMMYFUNCTION("""COMPUTED_VALUE"""),"96.2%")</f>
        <v>96.2%</v>
      </c>
      <c r="K11" s="5" t="str">
        <f ca="1">IFERROR(__xludf.DUMMYFUNCTION("""COMPUTED_VALUE"""),"High")</f>
        <v>High</v>
      </c>
      <c r="L11" s="5" t="str">
        <f ca="1">IFERROR(__xludf.DUMMYFUNCTION("""COMPUTED_VALUE"""),"12.34%")</f>
        <v>12.34%</v>
      </c>
      <c r="M11" s="5" t="str">
        <f ca="1">IFERROR(__xludf.DUMMYFUNCTION("""COMPUTED_VALUE"""),"x5512")</f>
        <v>x5512</v>
      </c>
      <c r="N11" s="5" t="str">
        <f ca="1">IFERROR(__xludf.DUMMYFUNCTION("""COMPUTED_VALUE"""),"0.10/40")</f>
        <v>0.10/40</v>
      </c>
      <c r="O11" s="5" t="str">
        <f ca="1">IFERROR(__xludf.DUMMYFUNCTION("""COMPUTED_VALUE"""),"No")</f>
        <v>No</v>
      </c>
      <c r="P11" s="5" t="str">
        <f ca="1">IFERROR(__xludf.DUMMYFUNCTION("""COMPUTED_VALUE"""),"Bonus Game with Free Spins, Wild Symbol, Scatter")</f>
        <v>Bonus Game with Free Spins, Wild Symbol, Scatter</v>
      </c>
      <c r="Q11" s="7" t="str">
        <f ca="1">IFERROR(__xludf.DUMMYFUNCTION("""COMPUTED_VALUE"""),"https://static.redstone.rs/games/lost-book/")</f>
        <v>https://static.redstone.rs/games/lost-book/</v>
      </c>
      <c r="R11" s="5" t="str">
        <f ca="1">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S11" s="5" t="str">
        <f ca="1">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1" s="5" t="str">
        <f ca="1">IFERROR(__xludf.DUMMYFUNCTION("""COMPUTED_VALUE"""),"Yes")</f>
        <v>Yes</v>
      </c>
      <c r="U11" s="5" t="str">
        <f ca="1">IFERROR(__xludf.DUMMYFUNCTION("""COMPUTED_VALUE"""),"Yes")</f>
        <v>Yes</v>
      </c>
      <c r="V11" s="5" t="str">
        <f ca="1">IFERROR(__xludf.DUMMYFUNCTION("""COMPUTED_VALUE"""),"No")</f>
        <v>No</v>
      </c>
      <c r="W11" s="5" t="str">
        <f ca="1">IFERROR(__xludf.DUMMYFUNCTION("""COMPUTED_VALUE"""),"Yes")</f>
        <v>Yes</v>
      </c>
      <c r="X11" s="5" t="str">
        <f ca="1">IFERROR(__xludf.DUMMYFUNCTION("""COMPUTED_VALUE"""),"Yes")</f>
        <v>Yes</v>
      </c>
      <c r="Y11" s="5" t="str">
        <f ca="1">IFERROR(__xludf.DUMMYFUNCTION("""COMPUTED_VALUE"""),"Yes")</f>
        <v>Yes</v>
      </c>
      <c r="Z11" s="5" t="str">
        <f ca="1">IFERROR(__xludf.DUMMYFUNCTION("""COMPUTED_VALUE"""),"Yes")</f>
        <v>Yes</v>
      </c>
      <c r="AA11" s="5" t="str">
        <f ca="1">IFERROR(__xludf.DUMMYFUNCTION("""COMPUTED_VALUE"""),"Yes")</f>
        <v>Yes</v>
      </c>
      <c r="AB11" s="5" t="str">
        <f ca="1">IFERROR(__xludf.DUMMYFUNCTION("""COMPUTED_VALUE"""),"Yes")</f>
        <v>Yes</v>
      </c>
      <c r="AC11" s="5" t="str">
        <f ca="1">IFERROR(__xludf.DUMMYFUNCTION("""COMPUTED_VALUE"""),"Yes")</f>
        <v>Yes</v>
      </c>
      <c r="AD11" s="5" t="str">
        <f ca="1">IFERROR(__xludf.DUMMYFUNCTION("""COMPUTED_VALUE"""),"Yes")</f>
        <v>Yes</v>
      </c>
      <c r="AE11" s="5" t="str">
        <f ca="1">IFERROR(__xludf.DUMMYFUNCTION("""COMPUTED_VALUE"""),"Yes")</f>
        <v>Yes</v>
      </c>
      <c r="AF11" s="5" t="str">
        <f ca="1">IFERROR(__xludf.DUMMYFUNCTION("""COMPUTED_VALUE"""),"No")</f>
        <v>No</v>
      </c>
      <c r="AG11" s="5" t="str">
        <f ca="1">IFERROR(__xludf.DUMMYFUNCTION("""COMPUTED_VALUE"""),"No")</f>
        <v>No</v>
      </c>
      <c r="AH11" s="5" t="str">
        <f ca="1">IFERROR(__xludf.DUMMYFUNCTION("""COMPUTED_VALUE"""),"Yes")</f>
        <v>Yes</v>
      </c>
      <c r="AI11" s="5" t="str">
        <f ca="1">IFERROR(__xludf.DUMMYFUNCTION("""COMPUTED_VALUE"""),"No")</f>
        <v>No</v>
      </c>
      <c r="AJ11" s="5" t="str">
        <f ca="1">IFERROR(__xludf.DUMMYFUNCTION("""COMPUTED_VALUE"""),"No")</f>
        <v>No</v>
      </c>
      <c r="AK11" s="5" t="str">
        <f ca="1">IFERROR(__xludf.DUMMYFUNCTION("""COMPUTED_VALUE"""),"No")</f>
        <v>No</v>
      </c>
      <c r="AL11" s="5" t="str">
        <f ca="1">IFERROR(__xludf.DUMMYFUNCTION("""COMPUTED_VALUE"""),"No")</f>
        <v>No</v>
      </c>
      <c r="AM11" s="5" t="str">
        <f ca="1">IFERROR(__xludf.DUMMYFUNCTION("""COMPUTED_VALUE"""),"No")</f>
        <v>No</v>
      </c>
      <c r="AN11" s="5" t="str">
        <f ca="1">IFERROR(__xludf.DUMMYFUNCTION("""COMPUTED_VALUE"""),"No")</f>
        <v>No</v>
      </c>
      <c r="AO11" s="5" t="str">
        <f ca="1">IFERROR(__xludf.DUMMYFUNCTION("""COMPUTED_VALUE"""),"No")</f>
        <v>No</v>
      </c>
      <c r="AP11" s="5" t="str">
        <f ca="1">IFERROR(__xludf.DUMMYFUNCTION("""COMPUTED_VALUE"""),"No")</f>
        <v>No</v>
      </c>
      <c r="AQ11" s="5" t="str">
        <f ca="1">IFERROR(__xludf.DUMMYFUNCTION("""COMPUTED_VALUE"""),"No")</f>
        <v>No</v>
      </c>
      <c r="AR11" s="5" t="str">
        <f ca="1">IFERROR(__xludf.DUMMYFUNCTION("""COMPUTED_VALUE"""),"No")</f>
        <v>No</v>
      </c>
      <c r="AS11" s="5" t="str">
        <f ca="1">IFERROR(__xludf.DUMMYFUNCTION("""COMPUTED_VALUE"""),"Yes")</f>
        <v>Yes</v>
      </c>
      <c r="AT11" s="5" t="str">
        <f ca="1">IFERROR(__xludf.DUMMYFUNCTION("""COMPUTED_VALUE"""),"No")</f>
        <v>No</v>
      </c>
      <c r="AU11" s="5"/>
    </row>
    <row r="12" spans="1:77" x14ac:dyDescent="0.25">
      <c r="A12" s="5" t="str">
        <f ca="1">IFERROR(__xludf.DUMMYFUNCTION("""COMPUTED_VALUE"""),"Redstone")</f>
        <v>Redstone</v>
      </c>
      <c r="B12" s="5" t="str">
        <f ca="1">IFERROR(__xludf.DUMMYFUNCTION("""COMPUTED_VALUE"""),"Fire Dice 40")</f>
        <v>Fire Dice 40</v>
      </c>
      <c r="C12" s="5" t="str">
        <f ca="1">IFERROR(__xludf.DUMMYFUNCTION("""COMPUTED_VALUE"""),"FireDice40")</f>
        <v>FireDice40</v>
      </c>
      <c r="D12" s="6">
        <f ca="1">IFERROR(__xludf.DUMMYFUNCTION("""COMPUTED_VALUE"""),44438)</f>
        <v>44438</v>
      </c>
      <c r="E12" s="5" t="str">
        <f ca="1">IFERROR(__xludf.DUMMYFUNCTION("""COMPUTED_VALUE"""),"Dice Slots")</f>
        <v>Dice Slots</v>
      </c>
      <c r="F12" s="5">
        <f ca="1">IFERROR(__xludf.DUMMYFUNCTION("""COMPUTED_VALUE"""),7.03)</f>
        <v>7.03</v>
      </c>
      <c r="G12" s="5" t="str">
        <f ca="1">IFERROR(__xludf.DUMMYFUNCTION("""COMPUTED_VALUE"""),"5x3")</f>
        <v>5x3</v>
      </c>
      <c r="H12" s="5" t="str">
        <f ca="1">IFERROR(__xludf.DUMMYFUNCTION("""COMPUTED_VALUE"""),"40")</f>
        <v>40</v>
      </c>
      <c r="I12" s="5" t="str">
        <f ca="1">IFERROR(__xludf.DUMMYFUNCTION("""COMPUTED_VALUE"""),"40")</f>
        <v>40</v>
      </c>
      <c r="J12" s="5" t="str">
        <f ca="1">IFERROR(__xludf.DUMMYFUNCTION("""COMPUTED_VALUE"""),"96.53%")</f>
        <v>96.53%</v>
      </c>
      <c r="K12" s="5" t="str">
        <f ca="1">IFERROR(__xludf.DUMMYFUNCTION("""COMPUTED_VALUE"""),"Low")</f>
        <v>Low</v>
      </c>
      <c r="L12" s="5" t="str">
        <f ca="1">IFERROR(__xludf.DUMMYFUNCTION("""COMPUTED_VALUE"""),"23.38%")</f>
        <v>23.38%</v>
      </c>
      <c r="M12" s="5" t="str">
        <f ca="1">IFERROR(__xludf.DUMMYFUNCTION("""COMPUTED_VALUE"""),"x3507")</f>
        <v>x3507</v>
      </c>
      <c r="N12" s="5" t="str">
        <f ca="1">IFERROR(__xludf.DUMMYFUNCTION("""COMPUTED_VALUE"""),"0.40/60")</f>
        <v>0.40/60</v>
      </c>
      <c r="O12" s="5" t="str">
        <f ca="1">IFERROR(__xludf.DUMMYFUNCTION("""COMPUTED_VALUE"""),"No")</f>
        <v>No</v>
      </c>
      <c r="P12" s="5" t="str">
        <f ca="1">IFERROR(__xludf.DUMMYFUNCTION("""COMPUTED_VALUE"""),"Expanding Wild, Scatter")</f>
        <v>Expanding Wild, Scatter</v>
      </c>
      <c r="Q12" s="7" t="str">
        <f ca="1">IFERROR(__xludf.DUMMYFUNCTION("""COMPUTED_VALUE"""),"https://static.redstone.rs/games/40-dice-fire/")</f>
        <v>https://static.redstone.rs/games/40-dice-fire/</v>
      </c>
      <c r="R12" s="5" t="str">
        <f ca="1">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S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IFERROR(__xludf.DUMMYFUNCTION("""COMPUTED_VALUE"""),"Yes")</f>
        <v>Yes</v>
      </c>
      <c r="X12" s="5" t="str">
        <f ca="1">IFERROR(__xludf.DUMMYFUNCTION("""COMPUTED_VALUE"""),"Yes")</f>
        <v>Yes</v>
      </c>
      <c r="Y12" s="5" t="str">
        <f ca="1">IFERROR(__xludf.DUMMYFUNCTION("""COMPUTED_VALUE"""),"Yes")</f>
        <v>Yes</v>
      </c>
      <c r="Z12" s="5" t="str">
        <f ca="1">IFERROR(__xludf.DUMMYFUNCTION("""COMPUTED_VALUE"""),"Yes")</f>
        <v>Yes</v>
      </c>
      <c r="AA12" s="5" t="str">
        <f ca="1">IFERROR(__xludf.DUMMYFUNCTION("""COMPUTED_VALUE"""),"Yes")</f>
        <v>Yes</v>
      </c>
      <c r="AB12" s="5" t="str">
        <f ca="1">IFERROR(__xludf.DUMMYFUNCTION("""COMPUTED_VALUE"""),"Yes")</f>
        <v>Yes</v>
      </c>
      <c r="AC12" s="5" t="str">
        <f ca="1">IFERROR(__xludf.DUMMYFUNCTION("""COMPUTED_VALUE"""),"Yes")</f>
        <v>Yes</v>
      </c>
      <c r="AD12" s="5" t="str">
        <f ca="1">IFERROR(__xludf.DUMMYFUNCTION("""COMPUTED_VALUE"""),"Yes")</f>
        <v>Yes</v>
      </c>
      <c r="AE12" s="5" t="str">
        <f ca="1">IFERROR(__xludf.DUMMYFUNCTION("""COMPUTED_VALUE"""),"Yes")</f>
        <v>Yes</v>
      </c>
      <c r="AF12" s="5" t="str">
        <f ca="1">IFERROR(__xludf.DUMMYFUNCTION("""COMPUTED_VALUE"""),"Yes")</f>
        <v>Yes</v>
      </c>
      <c r="AG12" s="5" t="str">
        <f ca="1">IFERROR(__xludf.DUMMYFUNCTION("""COMPUTED_VALUE"""),"Yes")</f>
        <v>Yes</v>
      </c>
      <c r="AH12" s="5" t="str">
        <f ca="1">IFERROR(__xludf.DUMMYFUNCTION("""COMPUTED_VALUE"""),"Yes")</f>
        <v>Yes</v>
      </c>
      <c r="AI12" s="5" t="str">
        <f ca="1">IFERROR(__xludf.DUMMYFUNCTION("""COMPUTED_VALUE"""),"Yes")</f>
        <v>Yes</v>
      </c>
      <c r="AJ12" s="5" t="str">
        <f ca="1">IFERROR(__xludf.DUMMYFUNCTION("""COMPUTED_VALUE"""),"Yes")</f>
        <v>Yes</v>
      </c>
      <c r="AK12" s="5" t="str">
        <f ca="1">IFERROR(__xludf.DUMMYFUNCTION("""COMPUTED_VALUE"""),"Yes")</f>
        <v>Yes</v>
      </c>
      <c r="AL12" s="5" t="str">
        <f ca="1">IFERROR(__xludf.DUMMYFUNCTION("""COMPUTED_VALUE"""),"Yes")</f>
        <v>Yes</v>
      </c>
      <c r="AM12" s="5" t="str">
        <f ca="1">IFERROR(__xludf.DUMMYFUNCTION("""COMPUTED_VALUE"""),"Yes")</f>
        <v>Yes</v>
      </c>
      <c r="AN12" s="5"/>
      <c r="AO12" s="5"/>
      <c r="AP12" s="5"/>
      <c r="AQ12" s="5" t="str">
        <f ca="1">IFERROR(__xludf.DUMMYFUNCTION("""COMPUTED_VALUE"""),"Yes")</f>
        <v>Yes</v>
      </c>
      <c r="AR12" s="5"/>
      <c r="AS12" s="5"/>
      <c r="AT12" s="5"/>
      <c r="AU12" s="5"/>
    </row>
    <row r="13" spans="1:77" x14ac:dyDescent="0.25">
      <c r="A13" s="5" t="str">
        <f ca="1">IFERROR(__xludf.DUMMYFUNCTION("""COMPUTED_VALUE"""),"Redstone")</f>
        <v>Redstone</v>
      </c>
      <c r="B13" s="5" t="str">
        <f ca="1">IFERROR(__xludf.DUMMYFUNCTION("""COMPUTED_VALUE"""),"Action Hot 40")</f>
        <v>Action Hot 40</v>
      </c>
      <c r="C13" s="5" t="str">
        <f ca="1">IFERROR(__xludf.DUMMYFUNCTION("""COMPUTED_VALUE"""),"ActionHot40")</f>
        <v>ActionHot40</v>
      </c>
      <c r="D13" s="6">
        <f ca="1">IFERROR(__xludf.DUMMYFUNCTION("""COMPUTED_VALUE"""),44588)</f>
        <v>44588</v>
      </c>
      <c r="E13" s="5" t="str">
        <f ca="1">IFERROR(__xludf.DUMMYFUNCTION("""COMPUTED_VALUE"""),"Slot")</f>
        <v>Slot</v>
      </c>
      <c r="F13" s="5">
        <f ca="1">IFERROR(__xludf.DUMMYFUNCTION("""COMPUTED_VALUE"""),9.3)</f>
        <v>9.3000000000000007</v>
      </c>
      <c r="G13" s="5" t="str">
        <f ca="1">IFERROR(__xludf.DUMMYFUNCTION("""COMPUTED_VALUE"""),"5x4")</f>
        <v>5x4</v>
      </c>
      <c r="H13" s="5" t="str">
        <f ca="1">IFERROR(__xludf.DUMMYFUNCTION("""COMPUTED_VALUE"""),"40")</f>
        <v>40</v>
      </c>
      <c r="I13" s="5" t="str">
        <f ca="1">IFERROR(__xludf.DUMMYFUNCTION("""COMPUTED_VALUE"""),"40")</f>
        <v>40</v>
      </c>
      <c r="J13" s="5" t="str">
        <f ca="1">IFERROR(__xludf.DUMMYFUNCTION("""COMPUTED_VALUE"""),"96.58%")</f>
        <v>96.58%</v>
      </c>
      <c r="K13" s="5" t="str">
        <f ca="1">IFERROR(__xludf.DUMMYFUNCTION("""COMPUTED_VALUE"""),"Low")</f>
        <v>Low</v>
      </c>
      <c r="L13" s="5" t="str">
        <f ca="1">IFERROR(__xludf.DUMMYFUNCTION("""COMPUTED_VALUE"""),"16.725%")</f>
        <v>16.725%</v>
      </c>
      <c r="M13" s="5" t="str">
        <f ca="1">IFERROR(__xludf.DUMMYFUNCTION("""COMPUTED_VALUE"""),"x1000")</f>
        <v>x1000</v>
      </c>
      <c r="N13" s="5" t="str">
        <f ca="1">IFERROR(__xludf.DUMMYFUNCTION("""COMPUTED_VALUE"""),"0.40/60")</f>
        <v>0.40/60</v>
      </c>
      <c r="O13" s="5" t="str">
        <f ca="1">IFERROR(__xludf.DUMMYFUNCTION("""COMPUTED_VALUE"""),"No")</f>
        <v>No</v>
      </c>
      <c r="P13" s="5" t="str">
        <f ca="1">IFERROR(__xludf.DUMMYFUNCTION("""COMPUTED_VALUE"""),"Scatter, Special Wild")</f>
        <v>Scatter, Special Wild</v>
      </c>
      <c r="Q13" s="7" t="str">
        <f ca="1">IFERROR(__xludf.DUMMYFUNCTION("""COMPUTED_VALUE"""),"https://static.redstone.rs/games/action-hot-40/")</f>
        <v>https://static.redstone.rs/games/action-hot-40/</v>
      </c>
      <c r="R13" s="5" t="str">
        <f ca="1">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S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IFERROR(__xludf.DUMMYFUNCTION("""COMPUTED_VALUE"""),"Yes")</f>
        <v>Yes</v>
      </c>
      <c r="X13" s="5" t="str">
        <f ca="1">IFERROR(__xludf.DUMMYFUNCTION("""COMPUTED_VALUE"""),"Yes")</f>
        <v>Yes</v>
      </c>
      <c r="Y13" s="5" t="str">
        <f ca="1">IFERROR(__xludf.DUMMYFUNCTION("""COMPUTED_VALUE"""),"Yes")</f>
        <v>Yes</v>
      </c>
      <c r="Z13" s="5" t="str">
        <f ca="1">IFERROR(__xludf.DUMMYFUNCTION("""COMPUTED_VALUE"""),"Yes")</f>
        <v>Yes</v>
      </c>
      <c r="AA13" s="5" t="str">
        <f ca="1">IFERROR(__xludf.DUMMYFUNCTION("""COMPUTED_VALUE"""),"Yes")</f>
        <v>Yes</v>
      </c>
      <c r="AB13" s="5" t="str">
        <f ca="1">IFERROR(__xludf.DUMMYFUNCTION("""COMPUTED_VALUE"""),"Yes")</f>
        <v>Yes</v>
      </c>
      <c r="AC13" s="5" t="str">
        <f ca="1">IFERROR(__xludf.DUMMYFUNCTION("""COMPUTED_VALUE"""),"Yes")</f>
        <v>Yes</v>
      </c>
      <c r="AD13" s="5" t="str">
        <f ca="1">IFERROR(__xludf.DUMMYFUNCTION("""COMPUTED_VALUE"""),"Yes")</f>
        <v>Yes</v>
      </c>
      <c r="AE13" s="5" t="str">
        <f ca="1">IFERROR(__xludf.DUMMYFUNCTION("""COMPUTED_VALUE"""),"Yes")</f>
        <v>Yes</v>
      </c>
      <c r="AF13" s="5" t="str">
        <f ca="1">IFERROR(__xludf.DUMMYFUNCTION("""COMPUTED_VALUE"""),"Yes")</f>
        <v>Yes</v>
      </c>
      <c r="AG13" s="5" t="str">
        <f ca="1">IFERROR(__xludf.DUMMYFUNCTION("""COMPUTED_VALUE"""),"Yes")</f>
        <v>Yes</v>
      </c>
      <c r="AH13" s="5" t="str">
        <f ca="1">IFERROR(__xludf.DUMMYFUNCTION("""COMPUTED_VALUE"""),"Yes")</f>
        <v>Yes</v>
      </c>
      <c r="AI13" s="5" t="str">
        <f ca="1">IFERROR(__xludf.DUMMYFUNCTION("""COMPUTED_VALUE"""),"Yes")</f>
        <v>Yes</v>
      </c>
      <c r="AJ13" s="5" t="str">
        <f ca="1">IFERROR(__xludf.DUMMYFUNCTION("""COMPUTED_VALUE"""),"Yes")</f>
        <v>Yes</v>
      </c>
      <c r="AK13" s="5" t="str">
        <f ca="1">IFERROR(__xludf.DUMMYFUNCTION("""COMPUTED_VALUE"""),"Yes")</f>
        <v>Yes</v>
      </c>
      <c r="AL13" s="5" t="str">
        <f ca="1">IFERROR(__xludf.DUMMYFUNCTION("""COMPUTED_VALUE"""),"Yes")</f>
        <v>Yes</v>
      </c>
      <c r="AM13" s="5" t="str">
        <f ca="1">IFERROR(__xludf.DUMMYFUNCTION("""COMPUTED_VALUE"""),"Yes")</f>
        <v>Yes</v>
      </c>
      <c r="AN13" s="5" t="str">
        <f ca="1">IFERROR(__xludf.DUMMYFUNCTION("""COMPUTED_VALUE"""),"Yes")</f>
        <v>Yes</v>
      </c>
      <c r="AO13" s="5" t="str">
        <f ca="1">IFERROR(__xludf.DUMMYFUNCTION("""COMPUTED_VALUE"""),"Yes")</f>
        <v>Yes</v>
      </c>
      <c r="AP13" s="5" t="str">
        <f ca="1">IFERROR(__xludf.DUMMYFUNCTION("""COMPUTED_VALUE"""),"Yes")</f>
        <v>Yes</v>
      </c>
      <c r="AQ13" s="5" t="str">
        <f ca="1">IFERROR(__xludf.DUMMYFUNCTION("""COMPUTED_VALUE"""),"Yes")</f>
        <v>Yes</v>
      </c>
      <c r="AR13" s="5" t="str">
        <f ca="1">IFERROR(__xludf.DUMMYFUNCTION("""COMPUTED_VALUE"""),"Yes")</f>
        <v>Yes</v>
      </c>
      <c r="AS13" s="5" t="str">
        <f ca="1">IFERROR(__xludf.DUMMYFUNCTION("""COMPUTED_VALUE"""),"Yes")</f>
        <v>Yes</v>
      </c>
      <c r="AT13" s="5"/>
      <c r="AU13" s="5"/>
    </row>
    <row r="14" spans="1:77" x14ac:dyDescent="0.25">
      <c r="A14" s="5" t="str">
        <f ca="1">IFERROR(__xludf.DUMMYFUNCTION("""COMPUTED_VALUE"""),"Redstone")</f>
        <v>Redstone</v>
      </c>
      <c r="B14" s="5" t="str">
        <f ca="1">IFERROR(__xludf.DUMMYFUNCTION("""COMPUTED_VALUE"""),"Action Hot 20")</f>
        <v>Action Hot 20</v>
      </c>
      <c r="C14" s="5" t="str">
        <f ca="1">IFERROR(__xludf.DUMMYFUNCTION("""COMPUTED_VALUE"""),"ActionHot20")</f>
        <v>ActionHot20</v>
      </c>
      <c r="D14" s="6">
        <f ca="1">IFERROR(__xludf.DUMMYFUNCTION("""COMPUTED_VALUE"""),44588)</f>
        <v>44588</v>
      </c>
      <c r="E14" s="5" t="str">
        <f ca="1">IFERROR(__xludf.DUMMYFUNCTION("""COMPUTED_VALUE"""),"Slot")</f>
        <v>Slot</v>
      </c>
      <c r="F14" s="5">
        <f ca="1">IFERROR(__xludf.DUMMYFUNCTION("""COMPUTED_VALUE"""),9.3)</f>
        <v>9.3000000000000007</v>
      </c>
      <c r="G14" s="5" t="str">
        <f ca="1">IFERROR(__xludf.DUMMYFUNCTION("""COMPUTED_VALUE"""),"5x3")</f>
        <v>5x3</v>
      </c>
      <c r="H14" s="5" t="str">
        <f ca="1">IFERROR(__xludf.DUMMYFUNCTION("""COMPUTED_VALUE"""),"20")</f>
        <v>20</v>
      </c>
      <c r="I14" s="5" t="str">
        <f ca="1">IFERROR(__xludf.DUMMYFUNCTION("""COMPUTED_VALUE"""),"20")</f>
        <v>20</v>
      </c>
      <c r="J14" s="5" t="str">
        <f ca="1">IFERROR(__xludf.DUMMYFUNCTION("""COMPUTED_VALUE"""),"95.79%")</f>
        <v>95.79%</v>
      </c>
      <c r="K14" s="5" t="str">
        <f ca="1">IFERROR(__xludf.DUMMYFUNCTION("""COMPUTED_VALUE"""),"Low")</f>
        <v>Low</v>
      </c>
      <c r="L14" s="5" t="str">
        <f ca="1">IFERROR(__xludf.DUMMYFUNCTION("""COMPUTED_VALUE"""),"17.45%")</f>
        <v>17.45%</v>
      </c>
      <c r="M14" s="5" t="str">
        <f ca="1">IFERROR(__xludf.DUMMYFUNCTION("""COMPUTED_VALUE"""),"x1000")</f>
        <v>x1000</v>
      </c>
      <c r="N14" s="5" t="str">
        <f ca="1">IFERROR(__xludf.DUMMYFUNCTION("""COMPUTED_VALUE"""),"0.20/50")</f>
        <v>0.20/50</v>
      </c>
      <c r="O14" s="5" t="str">
        <f ca="1">IFERROR(__xludf.DUMMYFUNCTION("""COMPUTED_VALUE"""),"No")</f>
        <v>No</v>
      </c>
      <c r="P14" s="5" t="str">
        <f ca="1">IFERROR(__xludf.DUMMYFUNCTION("""COMPUTED_VALUE"""),"Scatter, Special Wild")</f>
        <v>Scatter, Special Wild</v>
      </c>
      <c r="Q14" s="7" t="str">
        <f ca="1">IFERROR(__xludf.DUMMYFUNCTION("""COMPUTED_VALUE"""),"https://static.redstone.rs/games/action-hot-20/")</f>
        <v>https://static.redstone.rs/games/action-hot-20/</v>
      </c>
      <c r="R14" s="5" t="str">
        <f ca="1">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S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IFERROR(__xludf.DUMMYFUNCTION("""COMPUTED_VALUE"""),"Yes")</f>
        <v>Yes</v>
      </c>
      <c r="AF14" s="5" t="str">
        <f ca="1">IFERROR(__xludf.DUMMYFUNCTION("""COMPUTED_VALUE"""),"Yes")</f>
        <v>Yes</v>
      </c>
      <c r="AG14" s="5" t="str">
        <f ca="1">IFERROR(__xludf.DUMMYFUNCTION("""COMPUTED_VALUE"""),"Yes")</f>
        <v>Yes</v>
      </c>
      <c r="AH14" s="5" t="str">
        <f ca="1">IFERROR(__xludf.DUMMYFUNCTION("""COMPUTED_VALUE"""),"Yes")</f>
        <v>Yes</v>
      </c>
      <c r="AI14" s="5" t="str">
        <f ca="1">IFERROR(__xludf.DUMMYFUNCTION("""COMPUTED_VALUE"""),"Yes")</f>
        <v>Yes</v>
      </c>
      <c r="AJ14" s="5" t="str">
        <f ca="1">IFERROR(__xludf.DUMMYFUNCTION("""COMPUTED_VALUE"""),"Yes")</f>
        <v>Yes</v>
      </c>
      <c r="AK14" s="5" t="str">
        <f ca="1">IFERROR(__xludf.DUMMYFUNCTION("""COMPUTED_VALUE"""),"Yes")</f>
        <v>Yes</v>
      </c>
      <c r="AL14" s="5" t="str">
        <f ca="1">IFERROR(__xludf.DUMMYFUNCTION("""COMPUTED_VALUE"""),"Yes")</f>
        <v>Yes</v>
      </c>
      <c r="AM14" s="5" t="str">
        <f ca="1">IFERROR(__xludf.DUMMYFUNCTION("""COMPUTED_VALUE"""),"Yes")</f>
        <v>Yes</v>
      </c>
      <c r="AN14" s="5" t="str">
        <f ca="1">IFERROR(__xludf.DUMMYFUNCTION("""COMPUTED_VALUE"""),"Yes")</f>
        <v>Yes</v>
      </c>
      <c r="AO14" s="5" t="str">
        <f ca="1">IFERROR(__xludf.DUMMYFUNCTION("""COMPUTED_VALUE"""),"Yes")</f>
        <v>Yes</v>
      </c>
      <c r="AP14" s="5" t="str">
        <f ca="1">IFERROR(__xludf.DUMMYFUNCTION("""COMPUTED_VALUE"""),"Yes")</f>
        <v>Yes</v>
      </c>
      <c r="AQ14" s="5" t="str">
        <f ca="1">IFERROR(__xludf.DUMMYFUNCTION("""COMPUTED_VALUE"""),"Yes")</f>
        <v>Yes</v>
      </c>
      <c r="AR14" s="5" t="str">
        <f ca="1">IFERROR(__xludf.DUMMYFUNCTION("""COMPUTED_VALUE"""),"Yes")</f>
        <v>Yes</v>
      </c>
      <c r="AS14" s="5" t="str">
        <f ca="1">IFERROR(__xludf.DUMMYFUNCTION("""COMPUTED_VALUE"""),"Yes")</f>
        <v>Yes</v>
      </c>
      <c r="AT14" s="5"/>
      <c r="AU14" s="5"/>
    </row>
    <row r="15" spans="1:77" x14ac:dyDescent="0.25">
      <c r="A15" s="5" t="str">
        <f ca="1">IFERROR(__xludf.DUMMYFUNCTION("""COMPUTED_VALUE"""),"Redstone")</f>
        <v>Redstone</v>
      </c>
      <c r="B15" s="5" t="str">
        <f ca="1">IFERROR(__xludf.DUMMYFUNCTION("""COMPUTED_VALUE"""),"40 Cash Bells")</f>
        <v>40 Cash Bells</v>
      </c>
      <c r="C15" s="5" t="str">
        <f ca="1">IFERROR(__xludf.DUMMYFUNCTION("""COMPUTED_VALUE"""),"CashBells40")</f>
        <v>CashBells40</v>
      </c>
      <c r="D15" s="6">
        <f ca="1">IFERROR(__xludf.DUMMYFUNCTION("""COMPUTED_VALUE"""),44602)</f>
        <v>44602</v>
      </c>
      <c r="E15" s="5" t="str">
        <f ca="1">IFERROR(__xludf.DUMMYFUNCTION("""COMPUTED_VALUE"""),"Slot")</f>
        <v>Slot</v>
      </c>
      <c r="F15" s="5">
        <f ca="1">IFERROR(__xludf.DUMMYFUNCTION("""COMPUTED_VALUE"""),8.4)</f>
        <v>8.4</v>
      </c>
      <c r="G15" s="5" t="str">
        <f ca="1">IFERROR(__xludf.DUMMYFUNCTION("""COMPUTED_VALUE"""),"6x4")</f>
        <v>6x4</v>
      </c>
      <c r="H15" s="5" t="str">
        <f ca="1">IFERROR(__xludf.DUMMYFUNCTION("""COMPUTED_VALUE"""),"40")</f>
        <v>40</v>
      </c>
      <c r="I15" s="5" t="str">
        <f ca="1">IFERROR(__xludf.DUMMYFUNCTION("""COMPUTED_VALUE"""),"40")</f>
        <v>40</v>
      </c>
      <c r="J15" s="5" t="str">
        <f ca="1">IFERROR(__xludf.DUMMYFUNCTION("""COMPUTED_VALUE"""),"95.41%")</f>
        <v>95.41%</v>
      </c>
      <c r="K15" s="5" t="str">
        <f ca="1">IFERROR(__xludf.DUMMYFUNCTION("""COMPUTED_VALUE"""),"Medium")</f>
        <v>Medium</v>
      </c>
      <c r="L15" s="5" t="str">
        <f ca="1">IFERROR(__xludf.DUMMYFUNCTION("""COMPUTED_VALUE"""),"13.33%")</f>
        <v>13.33%</v>
      </c>
      <c r="M15" s="5" t="str">
        <f ca="1">IFERROR(__xludf.DUMMYFUNCTION("""COMPUTED_VALUE"""),"x2400")</f>
        <v>x2400</v>
      </c>
      <c r="N15" s="5" t="str">
        <f ca="1">IFERROR(__xludf.DUMMYFUNCTION("""COMPUTED_VALUE"""),"0.40/60")</f>
        <v>0.40/60</v>
      </c>
      <c r="O15" s="5" t="str">
        <f ca="1">IFERROR(__xludf.DUMMYFUNCTION("""COMPUTED_VALUE"""),"No")</f>
        <v>No</v>
      </c>
      <c r="P15" s="5" t="str">
        <f ca="1">IFERROR(__xludf.DUMMYFUNCTION("""COMPUTED_VALUE"""),"Bonus Game with Free Spins, Scatter, Special Wild")</f>
        <v>Bonus Game with Free Spins, Scatter, Special Wild</v>
      </c>
      <c r="Q15" s="7" t="str">
        <f ca="1">IFERROR(__xludf.DUMMYFUNCTION("""COMPUTED_VALUE"""),"https://static.redstone.rs/games/40-cash-bells/")</f>
        <v>https://static.redstone.rs/games/40-cash-bells/</v>
      </c>
      <c r="R15" s="5" t="str">
        <f ca="1">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S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IFERROR(__xludf.DUMMYFUNCTION("""COMPUTED_VALUE"""),"Yes")</f>
        <v>Yes</v>
      </c>
      <c r="AF15" s="5" t="str">
        <f ca="1">IFERROR(__xludf.DUMMYFUNCTION("""COMPUTED_VALUE"""),"Yes")</f>
        <v>Yes</v>
      </c>
      <c r="AG15" s="5" t="str">
        <f ca="1">IFERROR(__xludf.DUMMYFUNCTION("""COMPUTED_VALUE"""),"Yes")</f>
        <v>Yes</v>
      </c>
      <c r="AH15" s="5" t="str">
        <f ca="1">IFERROR(__xludf.DUMMYFUNCTION("""COMPUTED_VALUE"""),"Yes")</f>
        <v>Yes</v>
      </c>
      <c r="AI15" s="5" t="str">
        <f ca="1">IFERROR(__xludf.DUMMYFUNCTION("""COMPUTED_VALUE"""),"Yes")</f>
        <v>Yes</v>
      </c>
      <c r="AJ15" s="5" t="str">
        <f ca="1">IFERROR(__xludf.DUMMYFUNCTION("""COMPUTED_VALUE"""),"Yes")</f>
        <v>Yes</v>
      </c>
      <c r="AK15" s="5" t="str">
        <f ca="1">IFERROR(__xludf.DUMMYFUNCTION("""COMPUTED_VALUE"""),"Yes")</f>
        <v>Yes</v>
      </c>
      <c r="AL15" s="5" t="str">
        <f ca="1">IFERROR(__xludf.DUMMYFUNCTION("""COMPUTED_VALUE"""),"Yes")</f>
        <v>Yes</v>
      </c>
      <c r="AM15" s="5" t="str">
        <f ca="1">IFERROR(__xludf.DUMMYFUNCTION("""COMPUTED_VALUE"""),"Yes")</f>
        <v>Yes</v>
      </c>
      <c r="AN15" s="5"/>
      <c r="AO15" s="5"/>
      <c r="AP15" s="5"/>
      <c r="AQ15" s="5" t="str">
        <f ca="1">IFERROR(__xludf.DUMMYFUNCTION("""COMPUTED_VALUE"""),"Yes")</f>
        <v>Yes</v>
      </c>
      <c r="AR15" s="5"/>
      <c r="AS15" s="5"/>
      <c r="AT15" s="5"/>
      <c r="AU15" s="5"/>
    </row>
    <row r="16" spans="1:77" x14ac:dyDescent="0.25">
      <c r="A16" s="5" t="str">
        <f ca="1">IFERROR(__xludf.DUMMYFUNCTION("""COMPUTED_VALUE"""),"Redstone")</f>
        <v>Redstone</v>
      </c>
      <c r="B16" s="5" t="str">
        <f ca="1">IFERROR(__xludf.DUMMYFUNCTION("""COMPUTED_VALUE"""),"10 Wild Diamond")</f>
        <v>10 Wild Diamond</v>
      </c>
      <c r="C16" s="5" t="str">
        <f ca="1">IFERROR(__xludf.DUMMYFUNCTION("""COMPUTED_VALUE"""),"WildDiamond10")</f>
        <v>WildDiamond10</v>
      </c>
      <c r="D16" s="6">
        <f ca="1">IFERROR(__xludf.DUMMYFUNCTION("""COMPUTED_VALUE"""),44699)</f>
        <v>44699</v>
      </c>
      <c r="E16" s="5" t="str">
        <f ca="1">IFERROR(__xludf.DUMMYFUNCTION("""COMPUTED_VALUE"""),"Slot")</f>
        <v>Slot</v>
      </c>
      <c r="F16" s="5">
        <f ca="1">IFERROR(__xludf.DUMMYFUNCTION("""COMPUTED_VALUE"""),7.39)</f>
        <v>7.39</v>
      </c>
      <c r="G16" s="5" t="str">
        <f ca="1">IFERROR(__xludf.DUMMYFUNCTION("""COMPUTED_VALUE"""),"5x3")</f>
        <v>5x3</v>
      </c>
      <c r="H16" s="5" t="str">
        <f ca="1">IFERROR(__xludf.DUMMYFUNCTION("""COMPUTED_VALUE"""),"10")</f>
        <v>10</v>
      </c>
      <c r="I16" s="5" t="str">
        <f ca="1">IFERROR(__xludf.DUMMYFUNCTION("""COMPUTED_VALUE"""),"10")</f>
        <v>10</v>
      </c>
      <c r="J16" s="5" t="str">
        <f ca="1">IFERROR(__xludf.DUMMYFUNCTION("""COMPUTED_VALUE"""),"95.96%")</f>
        <v>95.96%</v>
      </c>
      <c r="K16" s="5" t="str">
        <f ca="1">IFERROR(__xludf.DUMMYFUNCTION("""COMPUTED_VALUE"""),"Medium")</f>
        <v>Medium</v>
      </c>
      <c r="L16" s="5" t="str">
        <f ca="1">IFERROR(__xludf.DUMMYFUNCTION("""COMPUTED_VALUE"""),"14.63%")</f>
        <v>14.63%</v>
      </c>
      <c r="M16" s="5" t="str">
        <f ca="1">IFERROR(__xludf.DUMMYFUNCTION("""COMPUTED_VALUE"""),"x1538")</f>
        <v>x1538</v>
      </c>
      <c r="N16" s="5" t="str">
        <f ca="1">IFERROR(__xludf.DUMMYFUNCTION("""COMPUTED_VALUE"""),"0.10/40")</f>
        <v>0.10/40</v>
      </c>
      <c r="O16" s="5" t="str">
        <f ca="1">IFERROR(__xludf.DUMMYFUNCTION("""COMPUTED_VALUE"""),"No")</f>
        <v>No</v>
      </c>
      <c r="P16" s="5" t="str">
        <f ca="1">IFERROR(__xludf.DUMMYFUNCTION("""COMPUTED_VALUE"""),"Expanding Wild, Scatter")</f>
        <v>Expanding Wild, Scatter</v>
      </c>
      <c r="Q16" s="7" t="str">
        <f ca="1">IFERROR(__xludf.DUMMYFUNCTION("""COMPUTED_VALUE"""),"https://static.redstone.rs/games/10-wild-diamond/")</f>
        <v>https://static.redstone.rs/games/10-wild-diamond/</v>
      </c>
      <c r="R16" s="5" t="str">
        <f ca="1">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 xml:space="preserve">"10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S1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IFERROR(__xludf.DUMMYFUNCTION("""COMPUTED_VALUE"""),"No")</f>
        <v>No</v>
      </c>
      <c r="X16" s="5" t="str">
        <f ca="1">IFERROR(__xludf.DUMMYFUNCTION("""COMPUTED_VALUE"""),"No")</f>
        <v>No</v>
      </c>
      <c r="Y16" s="5" t="str">
        <f ca="1">IFERROR(__xludf.DUMMYFUNCTION("""COMPUTED_VALUE"""),"No")</f>
        <v>No</v>
      </c>
      <c r="Z16" s="5" t="str">
        <f ca="1">IFERROR(__xludf.DUMMYFUNCTION("""COMPUTED_VALUE"""),"No")</f>
        <v>No</v>
      </c>
      <c r="AA16" s="5" t="str">
        <f ca="1">IFERROR(__xludf.DUMMYFUNCTION("""COMPUTED_VALUE"""),"No")</f>
        <v>No</v>
      </c>
      <c r="AB16" s="5" t="str">
        <f ca="1">IFERROR(__xludf.DUMMYFUNCTION("""COMPUTED_VALUE"""),"Yes")</f>
        <v>Yes</v>
      </c>
      <c r="AC16" s="5" t="str">
        <f ca="1">IFERROR(__xludf.DUMMYFUNCTION("""COMPUTED_VALUE"""),"Yes")</f>
        <v>Yes</v>
      </c>
      <c r="AD16" s="5" t="str">
        <f ca="1">IFERROR(__xludf.DUMMYFUNCTION("""COMPUTED_VALUE"""),"Yes")</f>
        <v>Yes</v>
      </c>
      <c r="AE16" s="5" t="str">
        <f ca="1">IFERROR(__xludf.DUMMYFUNCTION("""COMPUTED_VALUE"""),"Yes")</f>
        <v>Yes</v>
      </c>
      <c r="AF16" s="5" t="str">
        <f ca="1">IFERROR(__xludf.DUMMYFUNCTION("""COMPUTED_VALUE"""),"Yes")</f>
        <v>Yes</v>
      </c>
      <c r="AG16" s="5" t="str">
        <f ca="1">IFERROR(__xludf.DUMMYFUNCTION("""COMPUTED_VALUE"""),"No")</f>
        <v>No</v>
      </c>
      <c r="AH16" s="5" t="str">
        <f ca="1">IFERROR(__xludf.DUMMYFUNCTION("""COMPUTED_VALUE"""),"Yes")</f>
        <v>Yes</v>
      </c>
      <c r="AI16" s="5" t="str">
        <f ca="1">IFERROR(__xludf.DUMMYFUNCTION("""COMPUTED_VALUE"""),"No")</f>
        <v>No</v>
      </c>
      <c r="AJ16" s="5" t="str">
        <f ca="1">IFERROR(__xludf.DUMMYFUNCTION("""COMPUTED_VALUE"""),"No")</f>
        <v>No</v>
      </c>
      <c r="AK16" s="5" t="str">
        <f ca="1">IFERROR(__xludf.DUMMYFUNCTION("""COMPUTED_VALUE"""),"No")</f>
        <v>No</v>
      </c>
      <c r="AL16" s="5" t="str">
        <f ca="1">IFERROR(__xludf.DUMMYFUNCTION("""COMPUTED_VALUE"""),"No")</f>
        <v>No</v>
      </c>
      <c r="AM16" s="5" t="str">
        <f ca="1">IFERROR(__xludf.DUMMYFUNCTION("""COMPUTED_VALUE"""),"No")</f>
        <v>No</v>
      </c>
      <c r="AN16" s="5"/>
      <c r="AO16" s="5"/>
      <c r="AP16" s="5"/>
      <c r="AQ16" s="5" t="str">
        <f ca="1">IFERROR(__xludf.DUMMYFUNCTION("""COMPUTED_VALUE"""),"No")</f>
        <v>No</v>
      </c>
      <c r="AR16" s="5"/>
      <c r="AS16" s="5"/>
      <c r="AT16" s="5"/>
      <c r="AU16" s="5"/>
    </row>
    <row r="17" spans="1:47" x14ac:dyDescent="0.25">
      <c r="A17" s="5" t="str">
        <f ca="1">IFERROR(__xludf.DUMMYFUNCTION("""COMPUTED_VALUE"""),"Redstone")</f>
        <v>Redstone</v>
      </c>
      <c r="B17" s="5" t="str">
        <f ca="1">IFERROR(__xludf.DUMMYFUNCTION("""COMPUTED_VALUE"""),"5 Wild Heart")</f>
        <v>5 Wild Heart</v>
      </c>
      <c r="C17" s="5" t="str">
        <f ca="1">IFERROR(__xludf.DUMMYFUNCTION("""COMPUTED_VALUE"""),"WildHeart5")</f>
        <v>WildHeart5</v>
      </c>
      <c r="D17" s="6">
        <f ca="1">IFERROR(__xludf.DUMMYFUNCTION("""COMPUTED_VALUE"""),44718)</f>
        <v>44718</v>
      </c>
      <c r="E17" s="5" t="str">
        <f ca="1">IFERROR(__xludf.DUMMYFUNCTION("""COMPUTED_VALUE"""),"Slot")</f>
        <v>Slot</v>
      </c>
      <c r="F17" s="5">
        <f ca="1">IFERROR(__xludf.DUMMYFUNCTION("""COMPUTED_VALUE"""),8.7)</f>
        <v>8.6999999999999993</v>
      </c>
      <c r="G17" s="5" t="str">
        <f ca="1">IFERROR(__xludf.DUMMYFUNCTION("""COMPUTED_VALUE"""),"5x3")</f>
        <v>5x3</v>
      </c>
      <c r="H17" s="5" t="str">
        <f ca="1">IFERROR(__xludf.DUMMYFUNCTION("""COMPUTED_VALUE"""),"5")</f>
        <v>5</v>
      </c>
      <c r="I17" s="5" t="str">
        <f ca="1">IFERROR(__xludf.DUMMYFUNCTION("""COMPUTED_VALUE"""),"5")</f>
        <v>5</v>
      </c>
      <c r="J17" s="5" t="str">
        <f ca="1">IFERROR(__xludf.DUMMYFUNCTION("""COMPUTED_VALUE"""),"96.45%")</f>
        <v>96.45%</v>
      </c>
      <c r="K17" s="5" t="str">
        <f ca="1">IFERROR(__xludf.DUMMYFUNCTION("""COMPUTED_VALUE"""),"Medium")</f>
        <v>Medium</v>
      </c>
      <c r="L17" s="5" t="str">
        <f ca="1">IFERROR(__xludf.DUMMYFUNCTION("""COMPUTED_VALUE"""),"14.5%")</f>
        <v>14.5%</v>
      </c>
      <c r="M17" s="5" t="str">
        <f ca="1">IFERROR(__xludf.DUMMYFUNCTION("""COMPUTED_VALUE"""),"x1222")</f>
        <v>x1222</v>
      </c>
      <c r="N17" s="5" t="str">
        <f ca="1">IFERROR(__xludf.DUMMYFUNCTION("""COMPUTED_VALUE"""),"0.05/30")</f>
        <v>0.05/30</v>
      </c>
      <c r="O17" s="5" t="str">
        <f ca="1">IFERROR(__xludf.DUMMYFUNCTION("""COMPUTED_VALUE"""),"No")</f>
        <v>No</v>
      </c>
      <c r="P17" s="5" t="str">
        <f ca="1">IFERROR(__xludf.DUMMYFUNCTION("""COMPUTED_VALUE"""),"Expanding Wild, Scatter")</f>
        <v>Expanding Wild, Scatter</v>
      </c>
      <c r="Q17" s="7" t="str">
        <f ca="1">IFERROR(__xludf.DUMMYFUNCTION("""COMPUTED_VALUE"""),"https://static.redstone.rs/games/5-wild-heart/")</f>
        <v>https://static.redstone.rs/games/5-wild-heart/</v>
      </c>
      <c r="R17" s="5" t="str">
        <f ca="1">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S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IFERROR(__xludf.DUMMYFUNCTION("""COMPUTED_VALUE"""),"Yes")</f>
        <v>Yes</v>
      </c>
      <c r="AA17" s="5" t="str">
        <f ca="1">IFERROR(__xludf.DUMMYFUNCTION("""COMPUTED_VALUE"""),"Yes")</f>
        <v>Yes</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IFERROR(__xludf.DUMMYFUNCTION("""COMPUTED_VALUE"""),"Yes")</f>
        <v>Yes</v>
      </c>
      <c r="AF17" s="5" t="str">
        <f ca="1">IFERROR(__xludf.DUMMYFUNCTION("""COMPUTED_VALUE"""),"Yes")</f>
        <v>Yes</v>
      </c>
      <c r="AG17" s="5" t="str">
        <f ca="1">IFERROR(__xludf.DUMMYFUNCTION("""COMPUTED_VALUE"""),"Yes")</f>
        <v>Yes</v>
      </c>
      <c r="AH17" s="5" t="str">
        <f ca="1">IFERROR(__xludf.DUMMYFUNCTION("""COMPUTED_VALUE"""),"Yes")</f>
        <v>Yes</v>
      </c>
      <c r="AI17" s="5" t="str">
        <f ca="1">IFERROR(__xludf.DUMMYFUNCTION("""COMPUTED_VALUE"""),"Yes")</f>
        <v>Yes</v>
      </c>
      <c r="AJ17" s="5" t="str">
        <f ca="1">IFERROR(__xludf.DUMMYFUNCTION("""COMPUTED_VALUE"""),"Yes")</f>
        <v>Yes</v>
      </c>
      <c r="AK17" s="5" t="str">
        <f ca="1">IFERROR(__xludf.DUMMYFUNCTION("""COMPUTED_VALUE"""),"Yes")</f>
        <v>Yes</v>
      </c>
      <c r="AL17" s="5" t="str">
        <f ca="1">IFERROR(__xludf.DUMMYFUNCTION("""COMPUTED_VALUE"""),"Yes")</f>
        <v>Yes</v>
      </c>
      <c r="AM17" s="5" t="str">
        <f ca="1">IFERROR(__xludf.DUMMYFUNCTION("""COMPUTED_VALUE"""),"Yes")</f>
        <v>Yes</v>
      </c>
      <c r="AN17" s="5" t="str">
        <f ca="1">IFERROR(__xludf.DUMMYFUNCTION("""COMPUTED_VALUE"""),"Yes")</f>
        <v>Yes</v>
      </c>
      <c r="AO17" s="5" t="str">
        <f ca="1">IFERROR(__xludf.DUMMYFUNCTION("""COMPUTED_VALUE"""),"Yes")</f>
        <v>Yes</v>
      </c>
      <c r="AP17" s="5" t="str">
        <f ca="1">IFERROR(__xludf.DUMMYFUNCTION("""COMPUTED_VALUE"""),"Yes")</f>
        <v>Yes</v>
      </c>
      <c r="AQ17" s="5" t="str">
        <f ca="1">IFERROR(__xludf.DUMMYFUNCTION("""COMPUTED_VALUE"""),"Yes")</f>
        <v>Yes</v>
      </c>
      <c r="AR17" s="5" t="str">
        <f ca="1">IFERROR(__xludf.DUMMYFUNCTION("""COMPUTED_VALUE"""),"Yes")</f>
        <v>Yes</v>
      </c>
      <c r="AS17" s="5" t="str">
        <f ca="1">IFERROR(__xludf.DUMMYFUNCTION("""COMPUTED_VALUE"""),"Yes")</f>
        <v>Yes</v>
      </c>
      <c r="AT17" s="5"/>
      <c r="AU17" s="5"/>
    </row>
    <row r="18" spans="1:47" x14ac:dyDescent="0.25">
      <c r="A18" s="5" t="str">
        <f ca="1">IFERROR(__xludf.DUMMYFUNCTION("""COMPUTED_VALUE"""),"Redstone")</f>
        <v>Redstone</v>
      </c>
      <c r="B18" s="5" t="str">
        <f ca="1">IFERROR(__xludf.DUMMYFUNCTION("""COMPUTED_VALUE"""),"10 Wild Dice")</f>
        <v>10 Wild Dice</v>
      </c>
      <c r="C18" s="5" t="str">
        <f ca="1">IFERROR(__xludf.DUMMYFUNCTION("""COMPUTED_VALUE"""),"WildDice10")</f>
        <v>WildDice10</v>
      </c>
      <c r="D18" s="6">
        <f ca="1">IFERROR(__xludf.DUMMYFUNCTION("""COMPUTED_VALUE"""),44761)</f>
        <v>44761</v>
      </c>
      <c r="E18" s="5" t="str">
        <f ca="1">IFERROR(__xludf.DUMMYFUNCTION("""COMPUTED_VALUE"""),"Slot")</f>
        <v>Slot</v>
      </c>
      <c r="F18" s="5">
        <f ca="1">IFERROR(__xludf.DUMMYFUNCTION("""COMPUTED_VALUE"""),7.8)</f>
        <v>7.8</v>
      </c>
      <c r="G18" s="5" t="str">
        <f ca="1">IFERROR(__xludf.DUMMYFUNCTION("""COMPUTED_VALUE"""),"5x3")</f>
        <v>5x3</v>
      </c>
      <c r="H18" s="5" t="str">
        <f ca="1">IFERROR(__xludf.DUMMYFUNCTION("""COMPUTED_VALUE"""),"10")</f>
        <v>10</v>
      </c>
      <c r="I18" s="5" t="str">
        <f ca="1">IFERROR(__xludf.DUMMYFUNCTION("""COMPUTED_VALUE"""),"10")</f>
        <v>10</v>
      </c>
      <c r="J18" s="5" t="str">
        <f ca="1">IFERROR(__xludf.DUMMYFUNCTION("""COMPUTED_VALUE"""),"95.96%")</f>
        <v>95.96%</v>
      </c>
      <c r="K18" s="5" t="str">
        <f ca="1">IFERROR(__xludf.DUMMYFUNCTION("""COMPUTED_VALUE"""),"Medium")</f>
        <v>Medium</v>
      </c>
      <c r="L18" s="5" t="str">
        <f ca="1">IFERROR(__xludf.DUMMYFUNCTION("""COMPUTED_VALUE"""),"14.63%")</f>
        <v>14.63%</v>
      </c>
      <c r="M18" s="5" t="str">
        <f ca="1">IFERROR(__xludf.DUMMYFUNCTION("""COMPUTED_VALUE"""),"x1538")</f>
        <v>x1538</v>
      </c>
      <c r="N18" s="5" t="str">
        <f ca="1">IFERROR(__xludf.DUMMYFUNCTION("""COMPUTED_VALUE"""),"0.10/40")</f>
        <v>0.10/40</v>
      </c>
      <c r="O18" s="5" t="str">
        <f ca="1">IFERROR(__xludf.DUMMYFUNCTION("""COMPUTED_VALUE"""),"No")</f>
        <v>No</v>
      </c>
      <c r="P18" s="5" t="str">
        <f ca="1">IFERROR(__xludf.DUMMYFUNCTION("""COMPUTED_VALUE"""),"Expanding Wild, Scatter")</f>
        <v>Expanding Wild, Scatter</v>
      </c>
      <c r="Q18" s="7" t="str">
        <f ca="1">IFERROR(__xludf.DUMMYFUNCTION("""COMPUTED_VALUE"""),"https://static.redstone.rs/games/10-wild-dice/")</f>
        <v>https://static.redstone.rs/games/10-wild-dice/</v>
      </c>
      <c r="R18" s="5" t="str">
        <f ca="1">IFERROR(__xludf.DUMMYFUNCTION("""COMPUTED_VALUE"""),"It's time to roll the dice. So, spin for victory and get a chance to win big in REDSTONE's latest release 10 Wild Dice.")</f>
        <v>It's time to roll the dice. So, spin for victory and get a chance to win big in REDSTONE's latest release 10 Wild Dice.</v>
      </c>
      <c r="S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IFERROR(__xludf.DUMMYFUNCTION("""COMPUTED_VALUE"""),"Yes")</f>
        <v>Yes</v>
      </c>
      <c r="AA18" s="5" t="str">
        <f ca="1">IFERROR(__xludf.DUMMYFUNCTION("""COMPUTED_VALUE"""),"Yes")</f>
        <v>Yes</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IFERROR(__xludf.DUMMYFUNCTION("""COMPUTED_VALUE"""),"Yes")</f>
        <v>Yes</v>
      </c>
      <c r="AF18" s="5" t="str">
        <f ca="1">IFERROR(__xludf.DUMMYFUNCTION("""COMPUTED_VALUE"""),"Yes")</f>
        <v>Yes</v>
      </c>
      <c r="AG18" s="5" t="str">
        <f ca="1">IFERROR(__xludf.DUMMYFUNCTION("""COMPUTED_VALUE"""),"Yes")</f>
        <v>Yes</v>
      </c>
      <c r="AH18" s="5" t="str">
        <f ca="1">IFERROR(__xludf.DUMMYFUNCTION("""COMPUTED_VALUE"""),"Yes")</f>
        <v>Yes</v>
      </c>
      <c r="AI18" s="5" t="str">
        <f ca="1">IFERROR(__xludf.DUMMYFUNCTION("""COMPUTED_VALUE"""),"Yes")</f>
        <v>Yes</v>
      </c>
      <c r="AJ18" s="5" t="str">
        <f ca="1">IFERROR(__xludf.DUMMYFUNCTION("""COMPUTED_VALUE"""),"Yes")</f>
        <v>Yes</v>
      </c>
      <c r="AK18" s="5" t="str">
        <f ca="1">IFERROR(__xludf.DUMMYFUNCTION("""COMPUTED_VALUE"""),"Yes")</f>
        <v>Yes</v>
      </c>
      <c r="AL18" s="5" t="str">
        <f ca="1">IFERROR(__xludf.DUMMYFUNCTION("""COMPUTED_VALUE"""),"Yes")</f>
        <v>Yes</v>
      </c>
      <c r="AM18" s="5" t="str">
        <f ca="1">IFERROR(__xludf.DUMMYFUNCTION("""COMPUTED_VALUE"""),"Yes")</f>
        <v>Yes</v>
      </c>
      <c r="AN18" s="5" t="str">
        <f ca="1">IFERROR(__xludf.DUMMYFUNCTION("""COMPUTED_VALUE"""),"Yes")</f>
        <v>Yes</v>
      </c>
      <c r="AO18" s="5" t="str">
        <f ca="1">IFERROR(__xludf.DUMMYFUNCTION("""COMPUTED_VALUE"""),"Yes")</f>
        <v>Yes</v>
      </c>
      <c r="AP18" s="5" t="str">
        <f ca="1">IFERROR(__xludf.DUMMYFUNCTION("""COMPUTED_VALUE"""),"Yes")</f>
        <v>Yes</v>
      </c>
      <c r="AQ18" s="5" t="str">
        <f ca="1">IFERROR(__xludf.DUMMYFUNCTION("""COMPUTED_VALUE"""),"Yes")</f>
        <v>Yes</v>
      </c>
      <c r="AR18" s="5" t="str">
        <f ca="1">IFERROR(__xludf.DUMMYFUNCTION("""COMPUTED_VALUE"""),"Yes")</f>
        <v>Yes</v>
      </c>
      <c r="AS18" s="5" t="str">
        <f ca="1">IFERROR(__xludf.DUMMYFUNCTION("""COMPUTED_VALUE"""),"Yes")</f>
        <v>Yes</v>
      </c>
      <c r="AT18" s="5"/>
      <c r="AU18" s="5"/>
    </row>
    <row r="19" spans="1:47" x14ac:dyDescent="0.25">
      <c r="A19" s="5" t="str">
        <f ca="1">IFERROR(__xludf.DUMMYFUNCTION("""COMPUTED_VALUE"""),"Redstone")</f>
        <v>Redstone</v>
      </c>
      <c r="B19" s="5" t="str">
        <f ca="1">IFERROR(__xludf.DUMMYFUNCTION("""COMPUTED_VALUE"""),"Book Of Ibis")</f>
        <v>Book Of Ibis</v>
      </c>
      <c r="C19" s="5" t="str">
        <f ca="1">IFERROR(__xludf.DUMMYFUNCTION("""COMPUTED_VALUE"""),"BookOfIbis")</f>
        <v>BookOfIbis</v>
      </c>
      <c r="D19" s="6">
        <f ca="1">IFERROR(__xludf.DUMMYFUNCTION("""COMPUTED_VALUE"""),44791)</f>
        <v>44791</v>
      </c>
      <c r="E19" s="5" t="str">
        <f ca="1">IFERROR(__xludf.DUMMYFUNCTION("""COMPUTED_VALUE"""),"Slot")</f>
        <v>Slot</v>
      </c>
      <c r="F19" s="5">
        <f ca="1">IFERROR(__xludf.DUMMYFUNCTION("""COMPUTED_VALUE"""),13.9)</f>
        <v>13.9</v>
      </c>
      <c r="G19" s="5" t="str">
        <f ca="1">IFERROR(__xludf.DUMMYFUNCTION("""COMPUTED_VALUE"""),"5x3")</f>
        <v>5x3</v>
      </c>
      <c r="H19" s="5" t="str">
        <f ca="1">IFERROR(__xludf.DUMMYFUNCTION("""COMPUTED_VALUE"""),"10")</f>
        <v>10</v>
      </c>
      <c r="I19" s="5" t="str">
        <f ca="1">IFERROR(__xludf.DUMMYFUNCTION("""COMPUTED_VALUE"""),"10")</f>
        <v>10</v>
      </c>
      <c r="J19" s="5" t="str">
        <f ca="1">IFERROR(__xludf.DUMMYFUNCTION("""COMPUTED_VALUE"""),"96.2%")</f>
        <v>96.2%</v>
      </c>
      <c r="K19" s="5" t="str">
        <f ca="1">IFERROR(__xludf.DUMMYFUNCTION("""COMPUTED_VALUE"""),"High")</f>
        <v>High</v>
      </c>
      <c r="L19" s="5" t="str">
        <f ca="1">IFERROR(__xludf.DUMMYFUNCTION("""COMPUTED_VALUE"""),"12.34%")</f>
        <v>12.34%</v>
      </c>
      <c r="M19" s="5" t="str">
        <f ca="1">IFERROR(__xludf.DUMMYFUNCTION("""COMPUTED_VALUE"""),"x5512")</f>
        <v>x5512</v>
      </c>
      <c r="N19" s="5" t="str">
        <f ca="1">IFERROR(__xludf.DUMMYFUNCTION("""COMPUTED_VALUE"""),"0.10/40")</f>
        <v>0.10/40</v>
      </c>
      <c r="O19" s="5" t="str">
        <f ca="1">IFERROR(__xludf.DUMMYFUNCTION("""COMPUTED_VALUE"""),"No")</f>
        <v>No</v>
      </c>
      <c r="P19" s="5" t="str">
        <f ca="1">IFERROR(__xludf.DUMMYFUNCTION("""COMPUTED_VALUE"""),"Bonus Game with Free Spins, Scatter, Expanding Wild")</f>
        <v>Bonus Game with Free Spins, Scatter, Expanding Wild</v>
      </c>
      <c r="Q19" s="7" t="str">
        <f ca="1">IFERROR(__xludf.DUMMYFUNCTION("""COMPUTED_VALUE"""),"https://static.redstone.rs/games/book-of-ibis/")</f>
        <v>https://static.redstone.rs/games/book-of-ibis/</v>
      </c>
      <c r="R19" s="5" t="str">
        <f ca="1">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S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IFERROR(__xludf.DUMMYFUNCTION("""COMPUTED_VALUE"""),"Yes")</f>
        <v>Yes</v>
      </c>
      <c r="AF19" s="5" t="str">
        <f ca="1">IFERROR(__xludf.DUMMYFUNCTION("""COMPUTED_VALUE"""),"Yes")</f>
        <v>Yes</v>
      </c>
      <c r="AG19" s="5" t="str">
        <f ca="1">IFERROR(__xludf.DUMMYFUNCTION("""COMPUTED_VALUE"""),"Yes")</f>
        <v>Yes</v>
      </c>
      <c r="AH19" s="5" t="str">
        <f ca="1">IFERROR(__xludf.DUMMYFUNCTION("""COMPUTED_VALUE"""),"Yes")</f>
        <v>Yes</v>
      </c>
      <c r="AI19" s="5" t="str">
        <f ca="1">IFERROR(__xludf.DUMMYFUNCTION("""COMPUTED_VALUE"""),"Yes")</f>
        <v>Yes</v>
      </c>
      <c r="AJ19" s="5" t="str">
        <f ca="1">IFERROR(__xludf.DUMMYFUNCTION("""COMPUTED_VALUE"""),"Yes")</f>
        <v>Yes</v>
      </c>
      <c r="AK19" s="5" t="str">
        <f ca="1">IFERROR(__xludf.DUMMYFUNCTION("""COMPUTED_VALUE"""),"Yes")</f>
        <v>Yes</v>
      </c>
      <c r="AL19" s="5" t="str">
        <f ca="1">IFERROR(__xludf.DUMMYFUNCTION("""COMPUTED_VALUE"""),"Yes")</f>
        <v>Yes</v>
      </c>
      <c r="AM19" s="5" t="str">
        <f ca="1">IFERROR(__xludf.DUMMYFUNCTION("""COMPUTED_VALUE"""),"Yes")</f>
        <v>Yes</v>
      </c>
      <c r="AN19" s="5"/>
      <c r="AO19" s="5"/>
      <c r="AP19" s="5"/>
      <c r="AQ19" s="5" t="str">
        <f ca="1">IFERROR(__xludf.DUMMYFUNCTION("""COMPUTED_VALUE"""),"Yes")</f>
        <v>Yes</v>
      </c>
      <c r="AR19" s="5"/>
      <c r="AS19" s="5"/>
      <c r="AT19" s="5"/>
      <c r="AU19" s="5"/>
    </row>
    <row r="20" spans="1:47" x14ac:dyDescent="0.25">
      <c r="A20" s="5" t="str">
        <f ca="1">IFERROR(__xludf.DUMMYFUNCTION("""COMPUTED_VALUE"""),"Redstone")</f>
        <v>Redstone</v>
      </c>
      <c r="B20" s="5" t="str">
        <f ca="1">IFERROR(__xludf.DUMMYFUNCTION("""COMPUTED_VALUE"""),"Clover Coin")</f>
        <v>Clover Coin</v>
      </c>
      <c r="C20" s="5" t="str">
        <f ca="1">IFERROR(__xludf.DUMMYFUNCTION("""COMPUTED_VALUE"""),"CloverCoin")</f>
        <v>CloverCoin</v>
      </c>
      <c r="D20" s="6">
        <f ca="1">IFERROR(__xludf.DUMMYFUNCTION("""COMPUTED_VALUE"""),44810)</f>
        <v>44810</v>
      </c>
      <c r="E20" s="5" t="str">
        <f ca="1">IFERROR(__xludf.DUMMYFUNCTION("""COMPUTED_VALUE"""),"Slot")</f>
        <v>Slot</v>
      </c>
      <c r="F20" s="5">
        <f ca="1">IFERROR(__xludf.DUMMYFUNCTION("""COMPUTED_VALUE"""),11.9)</f>
        <v>11.9</v>
      </c>
      <c r="G20" s="5" t="str">
        <f ca="1">IFERROR(__xludf.DUMMYFUNCTION("""COMPUTED_VALUE"""),"5x3")</f>
        <v>5x3</v>
      </c>
      <c r="H20" s="5" t="str">
        <f ca="1">IFERROR(__xludf.DUMMYFUNCTION("""COMPUTED_VALUE"""),"10")</f>
        <v>10</v>
      </c>
      <c r="I20" s="5" t="str">
        <f ca="1">IFERROR(__xludf.DUMMYFUNCTION("""COMPUTED_VALUE"""),"10")</f>
        <v>10</v>
      </c>
      <c r="J20" s="5" t="str">
        <f ca="1">IFERROR(__xludf.DUMMYFUNCTION("""COMPUTED_VALUE"""),"94.45%")</f>
        <v>94.45%</v>
      </c>
      <c r="K20" s="5" t="str">
        <f ca="1">IFERROR(__xludf.DUMMYFUNCTION("""COMPUTED_VALUE"""),"Medium")</f>
        <v>Medium</v>
      </c>
      <c r="L20" s="5" t="str">
        <f ca="1">IFERROR(__xludf.DUMMYFUNCTION("""COMPUTED_VALUE"""),"12.54%")</f>
        <v>12.54%</v>
      </c>
      <c r="M20" s="5" t="str">
        <f ca="1">IFERROR(__xludf.DUMMYFUNCTION("""COMPUTED_VALUE"""),"x1250")</f>
        <v>x1250</v>
      </c>
      <c r="N20" s="5" t="str">
        <f ca="1">IFERROR(__xludf.DUMMYFUNCTION("""COMPUTED_VALUE"""),"0.10/40")</f>
        <v>0.10/40</v>
      </c>
      <c r="O20" s="5" t="str">
        <f ca="1">IFERROR(__xludf.DUMMYFUNCTION("""COMPUTED_VALUE"""),"No")</f>
        <v>No</v>
      </c>
      <c r="P20" s="5" t="str">
        <f ca="1">IFERROR(__xludf.DUMMYFUNCTION("""COMPUTED_VALUE"""),"Bonus Game with Free Spins, Wild Symbol")</f>
        <v>Bonus Game with Free Spins, Wild Symbol</v>
      </c>
      <c r="Q20" s="7" t="str">
        <f ca="1">IFERROR(__xludf.DUMMYFUNCTION("""COMPUTED_VALUE"""),"https://static.redstone.rs/games/clover-coin/")</f>
        <v>https://static.redstone.rs/games/clover-coin/</v>
      </c>
      <c r="R20" s="5" t="str">
        <f ca="1">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S2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0" s="5" t="str">
        <f ca="1">IFERROR(__xludf.DUMMYFUNCTION("""COMPUTED_VALUE"""),"Yes")</f>
        <v>Yes</v>
      </c>
      <c r="U20" s="5" t="str">
        <f ca="1">IFERROR(__xludf.DUMMYFUNCTION("""COMPUTED_VALUE"""),"Yes")</f>
        <v>Yes</v>
      </c>
      <c r="V20" s="5" t="str">
        <f ca="1">IFERROR(__xludf.DUMMYFUNCTION("""COMPUTED_VALUE"""),"No")</f>
        <v>No</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IFERROR(__xludf.DUMMYFUNCTION("""COMPUTED_VALUE"""),"Yes")</f>
        <v>Yes</v>
      </c>
      <c r="AF20" s="5" t="str">
        <f ca="1">IFERROR(__xludf.DUMMYFUNCTION("""COMPUTED_VALUE"""),"Yes")</f>
        <v>Yes</v>
      </c>
      <c r="AG20" s="5" t="str">
        <f ca="1">IFERROR(__xludf.DUMMYFUNCTION("""COMPUTED_VALUE"""),"Yes")</f>
        <v>Yes</v>
      </c>
      <c r="AH20" s="5" t="str">
        <f ca="1">IFERROR(__xludf.DUMMYFUNCTION("""COMPUTED_VALUE"""),"Yes")</f>
        <v>Yes</v>
      </c>
      <c r="AI20" s="5" t="str">
        <f ca="1">IFERROR(__xludf.DUMMYFUNCTION("""COMPUTED_VALUE"""),"No")</f>
        <v>No</v>
      </c>
      <c r="AJ20" s="5" t="str">
        <f ca="1">IFERROR(__xludf.DUMMYFUNCTION("""COMPUTED_VALUE"""),"No")</f>
        <v>No</v>
      </c>
      <c r="AK20" s="5" t="str">
        <f ca="1">IFERROR(__xludf.DUMMYFUNCTION("""COMPUTED_VALUE"""),"No")</f>
        <v>No</v>
      </c>
      <c r="AL20" s="5" t="str">
        <f ca="1">IFERROR(__xludf.DUMMYFUNCTION("""COMPUTED_VALUE"""),"No")</f>
        <v>No</v>
      </c>
      <c r="AM20" s="5" t="str">
        <f ca="1">IFERROR(__xludf.DUMMYFUNCTION("""COMPUTED_VALUE"""),"No")</f>
        <v>No</v>
      </c>
      <c r="AN20" s="5" t="str">
        <f ca="1">IFERROR(__xludf.DUMMYFUNCTION("""COMPUTED_VALUE"""),"No")</f>
        <v>No</v>
      </c>
      <c r="AO20" s="5" t="str">
        <f ca="1">IFERROR(__xludf.DUMMYFUNCTION("""COMPUTED_VALUE"""),"No")</f>
        <v>No</v>
      </c>
      <c r="AP20" s="5" t="str">
        <f ca="1">IFERROR(__xludf.DUMMYFUNCTION("""COMPUTED_VALUE"""),"No")</f>
        <v>No</v>
      </c>
      <c r="AQ20" s="5" t="str">
        <f ca="1">IFERROR(__xludf.DUMMYFUNCTION("""COMPUTED_VALUE"""),"No")</f>
        <v>No</v>
      </c>
      <c r="AR20" s="5" t="str">
        <f ca="1">IFERROR(__xludf.DUMMYFUNCTION("""COMPUTED_VALUE"""),"No")</f>
        <v>No</v>
      </c>
      <c r="AS20" s="5" t="str">
        <f ca="1">IFERROR(__xludf.DUMMYFUNCTION("""COMPUTED_VALUE"""),"Yes")</f>
        <v>Yes</v>
      </c>
      <c r="AT20" s="5" t="str">
        <f ca="1">IFERROR(__xludf.DUMMYFUNCTION("""COMPUTED_VALUE"""),"No")</f>
        <v>No</v>
      </c>
      <c r="AU20" s="5"/>
    </row>
    <row r="21" spans="1:47" x14ac:dyDescent="0.25">
      <c r="A21" s="5" t="str">
        <f ca="1">IFERROR(__xludf.DUMMYFUNCTION("""COMPUTED_VALUE"""),"Redstone")</f>
        <v>Redstone</v>
      </c>
      <c r="B21" s="5" t="str">
        <f ca="1">IFERROR(__xludf.DUMMYFUNCTION("""COMPUTED_VALUE"""),"Heat Classic 5")</f>
        <v>Heat Classic 5</v>
      </c>
      <c r="C21" s="5" t="str">
        <f ca="1">IFERROR(__xludf.DUMMYFUNCTION("""COMPUTED_VALUE"""),"HeatClassic5")</f>
        <v>HeatClassic5</v>
      </c>
      <c r="D21" s="6">
        <f ca="1">IFERROR(__xludf.DUMMYFUNCTION("""COMPUTED_VALUE"""),44866)</f>
        <v>44866</v>
      </c>
      <c r="E21" s="5" t="str">
        <f ca="1">IFERROR(__xludf.DUMMYFUNCTION("""COMPUTED_VALUE"""),"Slot")</f>
        <v>Slot</v>
      </c>
      <c r="F21" s="5">
        <f ca="1">IFERROR(__xludf.DUMMYFUNCTION("""COMPUTED_VALUE"""),6.5)</f>
        <v>6.5</v>
      </c>
      <c r="G21" s="5" t="str">
        <f ca="1">IFERROR(__xludf.DUMMYFUNCTION("""COMPUTED_VALUE"""),"3x3")</f>
        <v>3x3</v>
      </c>
      <c r="H21" s="5" t="str">
        <f ca="1">IFERROR(__xludf.DUMMYFUNCTION("""COMPUTED_VALUE"""),"5")</f>
        <v>5</v>
      </c>
      <c r="I21" s="5" t="str">
        <f ca="1">IFERROR(__xludf.DUMMYFUNCTION("""COMPUTED_VALUE"""),"5")</f>
        <v>5</v>
      </c>
      <c r="J21" s="5" t="str">
        <f ca="1">IFERROR(__xludf.DUMMYFUNCTION("""COMPUTED_VALUE"""),"95.95%")</f>
        <v>95.95%</v>
      </c>
      <c r="K21" s="5" t="str">
        <f ca="1">IFERROR(__xludf.DUMMYFUNCTION("""COMPUTED_VALUE"""),"Medium")</f>
        <v>Medium</v>
      </c>
      <c r="L21" s="5" t="str">
        <f ca="1">IFERROR(__xludf.DUMMYFUNCTION("""COMPUTED_VALUE"""),"8.63%")</f>
        <v>8.63%</v>
      </c>
      <c r="M21" s="5" t="str">
        <f ca="1">IFERROR(__xludf.DUMMYFUNCTION("""COMPUTED_VALUE"""),"x60")</f>
        <v>x60</v>
      </c>
      <c r="N21" s="5" t="str">
        <f ca="1">IFERROR(__xludf.DUMMYFUNCTION("""COMPUTED_VALUE"""),"0.05/30")</f>
        <v>0.05/30</v>
      </c>
      <c r="O21" s="5" t="str">
        <f ca="1">IFERROR(__xludf.DUMMYFUNCTION("""COMPUTED_VALUE"""),"No")</f>
        <v>No</v>
      </c>
      <c r="P21" s="5"/>
      <c r="Q21" s="7" t="str">
        <f ca="1">IFERROR(__xludf.DUMMYFUNCTION("""COMPUTED_VALUE"""),"https://static.redstone.rs/games/heat-classic-5/")</f>
        <v>https://static.redstone.rs/games/heat-classic-5/</v>
      </c>
      <c r="R21" s="5" t="str">
        <f ca="1">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S2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IFERROR(__xludf.DUMMYFUNCTION("""COMPUTED_VALUE"""),"No")</f>
        <v>No</v>
      </c>
      <c r="X21" s="5" t="str">
        <f ca="1">IFERROR(__xludf.DUMMYFUNCTION("""COMPUTED_VALUE"""),"No")</f>
        <v>No</v>
      </c>
      <c r="Y21" s="5" t="str">
        <f ca="1">IFERROR(__xludf.DUMMYFUNCTION("""COMPUTED_VALUE"""),"No")</f>
        <v>No</v>
      </c>
      <c r="Z21" s="5" t="str">
        <f ca="1">IFERROR(__xludf.DUMMYFUNCTION("""COMPUTED_VALUE"""),"No")</f>
        <v>No</v>
      </c>
      <c r="AA21" s="5" t="str">
        <f ca="1">IFERROR(__xludf.DUMMYFUNCTION("""COMPUTED_VALUE"""),"No")</f>
        <v>No</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IFERROR(__xludf.DUMMYFUNCTION("""COMPUTED_VALUE"""),"Yes")</f>
        <v>Yes</v>
      </c>
      <c r="AF21" s="5" t="str">
        <f ca="1">IFERROR(__xludf.DUMMYFUNCTION("""COMPUTED_VALUE"""),"Yes")</f>
        <v>Yes</v>
      </c>
      <c r="AG21" s="5" t="str">
        <f ca="1">IFERROR(__xludf.DUMMYFUNCTION("""COMPUTED_VALUE"""),"No")</f>
        <v>No</v>
      </c>
      <c r="AH21" s="5" t="str">
        <f ca="1">IFERROR(__xludf.DUMMYFUNCTION("""COMPUTED_VALUE"""),"Yes")</f>
        <v>Yes</v>
      </c>
      <c r="AI21" s="5" t="str">
        <f ca="1">IFERROR(__xludf.DUMMYFUNCTION("""COMPUTED_VALUE"""),"No")</f>
        <v>No</v>
      </c>
      <c r="AJ21" s="5" t="str">
        <f ca="1">IFERROR(__xludf.DUMMYFUNCTION("""COMPUTED_VALUE"""),"No")</f>
        <v>No</v>
      </c>
      <c r="AK21" s="5" t="str">
        <f ca="1">IFERROR(__xludf.DUMMYFUNCTION("""COMPUTED_VALUE"""),"No")</f>
        <v>No</v>
      </c>
      <c r="AL21" s="5" t="str">
        <f ca="1">IFERROR(__xludf.DUMMYFUNCTION("""COMPUTED_VALUE"""),"No")</f>
        <v>No</v>
      </c>
      <c r="AM21" s="5" t="str">
        <f ca="1">IFERROR(__xludf.DUMMYFUNCTION("""COMPUTED_VALUE"""),"No")</f>
        <v>No</v>
      </c>
      <c r="AN21" s="5"/>
      <c r="AO21" s="5"/>
      <c r="AP21" s="5"/>
      <c r="AQ21" s="5" t="str">
        <f ca="1">IFERROR(__xludf.DUMMYFUNCTION("""COMPUTED_VALUE"""),"No")</f>
        <v>No</v>
      </c>
      <c r="AR21" s="5"/>
      <c r="AS21" s="5"/>
      <c r="AT21" s="5"/>
      <c r="AU21" s="5"/>
    </row>
    <row r="22" spans="1:47" x14ac:dyDescent="0.25">
      <c r="A22" s="5" t="str">
        <f ca="1">IFERROR(__xludf.DUMMYFUNCTION("""COMPUTED_VALUE"""),"Redstone")</f>
        <v>Redstone</v>
      </c>
      <c r="B22" s="5" t="str">
        <f ca="1">IFERROR(__xludf.DUMMYFUNCTION("""COMPUTED_VALUE"""),"Book Of Dread")</f>
        <v>Book Of Dread</v>
      </c>
      <c r="C22" s="5" t="str">
        <f ca="1">IFERROR(__xludf.DUMMYFUNCTION("""COMPUTED_VALUE"""),"BookOfDread")</f>
        <v>BookOfDread</v>
      </c>
      <c r="D22" s="6">
        <f ca="1">IFERROR(__xludf.DUMMYFUNCTION("""COMPUTED_VALUE"""),44846)</f>
        <v>44846</v>
      </c>
      <c r="E22" s="5" t="str">
        <f ca="1">IFERROR(__xludf.DUMMYFUNCTION("""COMPUTED_VALUE"""),"Slot")</f>
        <v>Slot</v>
      </c>
      <c r="F22" s="5">
        <f ca="1">IFERROR(__xludf.DUMMYFUNCTION("""COMPUTED_VALUE"""),15)</f>
        <v>15</v>
      </c>
      <c r="G22" s="5" t="str">
        <f ca="1">IFERROR(__xludf.DUMMYFUNCTION("""COMPUTED_VALUE"""),"5x3")</f>
        <v>5x3</v>
      </c>
      <c r="H22" s="5" t="str">
        <f ca="1">IFERROR(__xludf.DUMMYFUNCTION("""COMPUTED_VALUE"""),"10")</f>
        <v>10</v>
      </c>
      <c r="I22" s="5" t="str">
        <f ca="1">IFERROR(__xludf.DUMMYFUNCTION("""COMPUTED_VALUE"""),"10")</f>
        <v>10</v>
      </c>
      <c r="J22" s="5" t="str">
        <f ca="1">IFERROR(__xludf.DUMMYFUNCTION("""COMPUTED_VALUE"""),"96.2%")</f>
        <v>96.2%</v>
      </c>
      <c r="K22" s="5" t="str">
        <f ca="1">IFERROR(__xludf.DUMMYFUNCTION("""COMPUTED_VALUE"""),"High")</f>
        <v>High</v>
      </c>
      <c r="L22" s="5" t="str">
        <f ca="1">IFERROR(__xludf.DUMMYFUNCTION("""COMPUTED_VALUE"""),"30.81%")</f>
        <v>30.81%</v>
      </c>
      <c r="M22" s="5" t="str">
        <f ca="1">IFERROR(__xludf.DUMMYFUNCTION("""COMPUTED_VALUE"""),"x5456")</f>
        <v>x5456</v>
      </c>
      <c r="N22" s="5" t="str">
        <f ca="1">IFERROR(__xludf.DUMMYFUNCTION("""COMPUTED_VALUE"""),"0.10/40")</f>
        <v>0.10/40</v>
      </c>
      <c r="O22" s="5" t="str">
        <f ca="1">IFERROR(__xludf.DUMMYFUNCTION("""COMPUTED_VALUE"""),"No")</f>
        <v>No</v>
      </c>
      <c r="P22" s="5" t="str">
        <f ca="1">IFERROR(__xludf.DUMMYFUNCTION("""COMPUTED_VALUE"""),"Wild Symbol, Bonus Game with Free Spins, Expanding Wild")</f>
        <v>Wild Symbol, Bonus Game with Free Spins, Expanding Wild</v>
      </c>
      <c r="Q22" s="7" t="str">
        <f ca="1">IFERROR(__xludf.DUMMYFUNCTION("""COMPUTED_VALUE"""),"https://static.redstone.rs/games/book-of-dread/")</f>
        <v>https://static.redstone.rs/games/book-of-dread/</v>
      </c>
      <c r="R22" s="5" t="str">
        <f ca="1">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S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IFERROR(__xludf.DUMMYFUNCTION("""COMPUTED_VALUE"""),"Yes")</f>
        <v>Yes</v>
      </c>
      <c r="AA22" s="5" t="str">
        <f ca="1">IFERROR(__xludf.DUMMYFUNCTION("""COMPUTED_VALUE"""),"Yes")</f>
        <v>Yes</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IFERROR(__xludf.DUMMYFUNCTION("""COMPUTED_VALUE"""),"Yes")</f>
        <v>Yes</v>
      </c>
      <c r="AF22" s="5" t="str">
        <f ca="1">IFERROR(__xludf.DUMMYFUNCTION("""COMPUTED_VALUE"""),"Yes")</f>
        <v>Yes</v>
      </c>
      <c r="AG22" s="5" t="str">
        <f ca="1">IFERROR(__xludf.DUMMYFUNCTION("""COMPUTED_VALUE"""),"Yes")</f>
        <v>Yes</v>
      </c>
      <c r="AH22" s="5" t="str">
        <f ca="1">IFERROR(__xludf.DUMMYFUNCTION("""COMPUTED_VALUE"""),"Yes")</f>
        <v>Yes</v>
      </c>
      <c r="AI22" s="5" t="str">
        <f ca="1">IFERROR(__xludf.DUMMYFUNCTION("""COMPUTED_VALUE"""),"Yes")</f>
        <v>Yes</v>
      </c>
      <c r="AJ22" s="5" t="str">
        <f ca="1">IFERROR(__xludf.DUMMYFUNCTION("""COMPUTED_VALUE"""),"Yes")</f>
        <v>Yes</v>
      </c>
      <c r="AK22" s="5" t="str">
        <f ca="1">IFERROR(__xludf.DUMMYFUNCTION("""COMPUTED_VALUE"""),"Yes")</f>
        <v>Yes</v>
      </c>
      <c r="AL22" s="5" t="str">
        <f ca="1">IFERROR(__xludf.DUMMYFUNCTION("""COMPUTED_VALUE"""),"Yes")</f>
        <v>Yes</v>
      </c>
      <c r="AM22" s="5" t="str">
        <f ca="1">IFERROR(__xludf.DUMMYFUNCTION("""COMPUTED_VALUE"""),"Yes")</f>
        <v>Yes</v>
      </c>
      <c r="AN22" s="5" t="str">
        <f ca="1">IFERROR(__xludf.DUMMYFUNCTION("""COMPUTED_VALUE"""),"Yes")</f>
        <v>Yes</v>
      </c>
      <c r="AO22" s="5" t="str">
        <f ca="1">IFERROR(__xludf.DUMMYFUNCTION("""COMPUTED_VALUE"""),"Yes")</f>
        <v>Yes</v>
      </c>
      <c r="AP22" s="5" t="str">
        <f ca="1">IFERROR(__xludf.DUMMYFUNCTION("""COMPUTED_VALUE"""),"Yes")</f>
        <v>Yes</v>
      </c>
      <c r="AQ22" s="5" t="str">
        <f ca="1">IFERROR(__xludf.DUMMYFUNCTION("""COMPUTED_VALUE"""),"Yes")</f>
        <v>Yes</v>
      </c>
      <c r="AR22" s="5" t="str">
        <f ca="1">IFERROR(__xludf.DUMMYFUNCTION("""COMPUTED_VALUE"""),"Yes")</f>
        <v>Yes</v>
      </c>
      <c r="AS22" s="5" t="str">
        <f ca="1">IFERROR(__xludf.DUMMYFUNCTION("""COMPUTED_VALUE"""),"Yes")</f>
        <v>Yes</v>
      </c>
      <c r="AT22" s="5"/>
      <c r="AU22" s="5"/>
    </row>
    <row r="23" spans="1:47" x14ac:dyDescent="0.25">
      <c r="A23" s="5" t="str">
        <f ca="1">IFERROR(__xludf.DUMMYFUNCTION("""COMPUTED_VALUE"""),"Redstone")</f>
        <v>Redstone</v>
      </c>
      <c r="B23" s="5" t="str">
        <f ca="1">IFERROR(__xludf.DUMMYFUNCTION("""COMPUTED_VALUE"""),"10 Wild Pumpkin")</f>
        <v>10 Wild Pumpkin</v>
      </c>
      <c r="C23" s="5" t="str">
        <f ca="1">IFERROR(__xludf.DUMMYFUNCTION("""COMPUTED_VALUE"""),"WildPumpkin10")</f>
        <v>WildPumpkin10</v>
      </c>
      <c r="D23" s="6">
        <f ca="1">IFERROR(__xludf.DUMMYFUNCTION("""COMPUTED_VALUE"""),44831)</f>
        <v>44831</v>
      </c>
      <c r="E23" s="5" t="str">
        <f ca="1">IFERROR(__xludf.DUMMYFUNCTION("""COMPUTED_VALUE"""),"Slot")</f>
        <v>Slot</v>
      </c>
      <c r="F23" s="5">
        <f ca="1">IFERROR(__xludf.DUMMYFUNCTION("""COMPUTED_VALUE"""),6.7)</f>
        <v>6.7</v>
      </c>
      <c r="G23" s="5" t="str">
        <f ca="1">IFERROR(__xludf.DUMMYFUNCTION("""COMPUTED_VALUE"""),"5x3")</f>
        <v>5x3</v>
      </c>
      <c r="H23" s="5" t="str">
        <f ca="1">IFERROR(__xludf.DUMMYFUNCTION("""COMPUTED_VALUE"""),"10")</f>
        <v>10</v>
      </c>
      <c r="I23" s="5" t="str">
        <f ca="1">IFERROR(__xludf.DUMMYFUNCTION("""COMPUTED_VALUE"""),"10")</f>
        <v>10</v>
      </c>
      <c r="J23" s="5" t="str">
        <f ca="1">IFERROR(__xludf.DUMMYFUNCTION("""COMPUTED_VALUE"""),"95.96%")</f>
        <v>95.96%</v>
      </c>
      <c r="K23" s="5" t="str">
        <f ca="1">IFERROR(__xludf.DUMMYFUNCTION("""COMPUTED_VALUE"""),"Medium")</f>
        <v>Medium</v>
      </c>
      <c r="L23" s="5" t="str">
        <f ca="1">IFERROR(__xludf.DUMMYFUNCTION("""COMPUTED_VALUE"""),"14.63%")</f>
        <v>14.63%</v>
      </c>
      <c r="M23" s="5" t="str">
        <f ca="1">IFERROR(__xludf.DUMMYFUNCTION("""COMPUTED_VALUE"""),"x1538")</f>
        <v>x1538</v>
      </c>
      <c r="N23" s="5" t="str">
        <f ca="1">IFERROR(__xludf.DUMMYFUNCTION("""COMPUTED_VALUE"""),"0.10/40")</f>
        <v>0.10/40</v>
      </c>
      <c r="O23" s="5" t="str">
        <f ca="1">IFERROR(__xludf.DUMMYFUNCTION("""COMPUTED_VALUE"""),"No")</f>
        <v>No</v>
      </c>
      <c r="P23" s="5" t="str">
        <f ca="1">IFERROR(__xludf.DUMMYFUNCTION("""COMPUTED_VALUE"""),"Expanding Wild, Scatter")</f>
        <v>Expanding Wild, Scatter</v>
      </c>
      <c r="Q23" s="7" t="str">
        <f ca="1">IFERROR(__xludf.DUMMYFUNCTION("""COMPUTED_VALUE"""),"https://static.redstone.rs/games/10-wild-pumpkin/")</f>
        <v>https://static.redstone.rs/games/10-wild-pumpkin/</v>
      </c>
      <c r="R23" s="5" t="str">
        <f ca="1">IFERROR(__xludf.DUMMYFUNCTION("""COMPUTED_VALUE"""),"’Tis the spooky season. Land up to 3 expanding Wild Pumpkins for massive wins on up to 10 lines. ")</f>
        <v xml:space="preserve">’Tis the spooky season. Land up to 3 expanding Wild Pumpkins for massive wins on up to 10 lines. </v>
      </c>
      <c r="S2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3" s="5" t="str">
        <f ca="1">IFERROR(__xludf.DUMMYFUNCTION("""COMPUTED_VALUE"""),"Yes")</f>
        <v>Yes</v>
      </c>
      <c r="U23" s="5" t="str">
        <f ca="1">IFERROR(__xludf.DUMMYFUNCTION("""COMPUTED_VALUE"""),"Yes")</f>
        <v>Yes</v>
      </c>
      <c r="V23" s="5" t="str">
        <f ca="1">IFERROR(__xludf.DUMMYFUNCTION("""COMPUTED_VALUE"""),"No")</f>
        <v>No</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IFERROR(__xludf.DUMMYFUNCTION("""COMPUTED_VALUE"""),"Yes")</f>
        <v>Yes</v>
      </c>
      <c r="AF23" s="5" t="str">
        <f ca="1">IFERROR(__xludf.DUMMYFUNCTION("""COMPUTED_VALUE"""),"Yes")</f>
        <v>Yes</v>
      </c>
      <c r="AG23" s="5" t="str">
        <f ca="1">IFERROR(__xludf.DUMMYFUNCTION("""COMPUTED_VALUE"""),"Yes")</f>
        <v>Yes</v>
      </c>
      <c r="AH23" s="5" t="str">
        <f ca="1">IFERROR(__xludf.DUMMYFUNCTION("""COMPUTED_VALUE"""),"Yes")</f>
        <v>Yes</v>
      </c>
      <c r="AI23" s="5" t="str">
        <f ca="1">IFERROR(__xludf.DUMMYFUNCTION("""COMPUTED_VALUE"""),"No")</f>
        <v>No</v>
      </c>
      <c r="AJ23" s="5" t="str">
        <f ca="1">IFERROR(__xludf.DUMMYFUNCTION("""COMPUTED_VALUE"""),"No")</f>
        <v>No</v>
      </c>
      <c r="AK23" s="5" t="str">
        <f ca="1">IFERROR(__xludf.DUMMYFUNCTION("""COMPUTED_VALUE"""),"No")</f>
        <v>No</v>
      </c>
      <c r="AL23" s="5" t="str">
        <f ca="1">IFERROR(__xludf.DUMMYFUNCTION("""COMPUTED_VALUE"""),"No")</f>
        <v>No</v>
      </c>
      <c r="AM23" s="5" t="str">
        <f ca="1">IFERROR(__xludf.DUMMYFUNCTION("""COMPUTED_VALUE"""),"No")</f>
        <v>No</v>
      </c>
      <c r="AN23" s="5" t="str">
        <f ca="1">IFERROR(__xludf.DUMMYFUNCTION("""COMPUTED_VALUE"""),"No")</f>
        <v>No</v>
      </c>
      <c r="AO23" s="5" t="str">
        <f ca="1">IFERROR(__xludf.DUMMYFUNCTION("""COMPUTED_VALUE"""),"No")</f>
        <v>No</v>
      </c>
      <c r="AP23" s="5" t="str">
        <f ca="1">IFERROR(__xludf.DUMMYFUNCTION("""COMPUTED_VALUE"""),"No")</f>
        <v>No</v>
      </c>
      <c r="AQ23" s="5" t="str">
        <f ca="1">IFERROR(__xludf.DUMMYFUNCTION("""COMPUTED_VALUE"""),"No")</f>
        <v>No</v>
      </c>
      <c r="AR23" s="5" t="str">
        <f ca="1">IFERROR(__xludf.DUMMYFUNCTION("""COMPUTED_VALUE"""),"No")</f>
        <v>No</v>
      </c>
      <c r="AS23" s="5" t="str">
        <f ca="1">IFERROR(__xludf.DUMMYFUNCTION("""COMPUTED_VALUE"""),"Yes")</f>
        <v>Yes</v>
      </c>
      <c r="AT23" s="5" t="str">
        <f ca="1">IFERROR(__xludf.DUMMYFUNCTION("""COMPUTED_VALUE"""),"No")</f>
        <v>No</v>
      </c>
      <c r="AU23" s="5"/>
    </row>
    <row r="24" spans="1:47" x14ac:dyDescent="0.25">
      <c r="A24" s="5" t="str">
        <f ca="1">IFERROR(__xludf.DUMMYFUNCTION("""COMPUTED_VALUE"""),"Redstone")</f>
        <v>Redstone</v>
      </c>
      <c r="B24" s="5" t="str">
        <f ca="1">IFERROR(__xludf.DUMMYFUNCTION("""COMPUTED_VALUE"""),"5 Crown Fire")</f>
        <v>5 Crown Fire</v>
      </c>
      <c r="C24" s="5" t="str">
        <f ca="1">IFERROR(__xludf.DUMMYFUNCTION("""COMPUTED_VALUE"""),"CrownFire5")</f>
        <v>CrownFire5</v>
      </c>
      <c r="D24" s="6">
        <f ca="1">IFERROR(__xludf.DUMMYFUNCTION("""COMPUTED_VALUE"""),44889)</f>
        <v>44889</v>
      </c>
      <c r="E24" s="5" t="str">
        <f ca="1">IFERROR(__xludf.DUMMYFUNCTION("""COMPUTED_VALUE"""),"Slot")</f>
        <v>Slot</v>
      </c>
      <c r="F24" s="5">
        <f ca="1">IFERROR(__xludf.DUMMYFUNCTION("""COMPUTED_VALUE"""),6.5)</f>
        <v>6.5</v>
      </c>
      <c r="G24" s="5" t="str">
        <f ca="1">IFERROR(__xludf.DUMMYFUNCTION("""COMPUTED_VALUE"""),"5x3")</f>
        <v>5x3</v>
      </c>
      <c r="H24" s="5" t="str">
        <f ca="1">IFERROR(__xludf.DUMMYFUNCTION("""COMPUTED_VALUE"""),"5")</f>
        <v>5</v>
      </c>
      <c r="I24" s="5" t="str">
        <f ca="1">IFERROR(__xludf.DUMMYFUNCTION("""COMPUTED_VALUE"""),"5")</f>
        <v>5</v>
      </c>
      <c r="J24" s="5" t="str">
        <f ca="1">IFERROR(__xludf.DUMMYFUNCTION("""COMPUTED_VALUE"""),"96.45%")</f>
        <v>96.45%</v>
      </c>
      <c r="K24" s="5" t="str">
        <f ca="1">IFERROR(__xludf.DUMMYFUNCTION("""COMPUTED_VALUE"""),"Medium")</f>
        <v>Medium</v>
      </c>
      <c r="L24" s="5" t="str">
        <f ca="1">IFERROR(__xludf.DUMMYFUNCTION("""COMPUTED_VALUE"""),"14.5%")</f>
        <v>14.5%</v>
      </c>
      <c r="M24" s="5" t="str">
        <f ca="1">IFERROR(__xludf.DUMMYFUNCTION("""COMPUTED_VALUE"""),"x1222")</f>
        <v>x1222</v>
      </c>
      <c r="N24" s="5" t="str">
        <f ca="1">IFERROR(__xludf.DUMMYFUNCTION("""COMPUTED_VALUE"""),"0.05/30")</f>
        <v>0.05/30</v>
      </c>
      <c r="O24" s="5" t="str">
        <f ca="1">IFERROR(__xludf.DUMMYFUNCTION("""COMPUTED_VALUE"""),"No")</f>
        <v>No</v>
      </c>
      <c r="P24" s="5" t="str">
        <f ca="1">IFERROR(__xludf.DUMMYFUNCTION("""COMPUTED_VALUE"""),"Expanding Wild, Scatter")</f>
        <v>Expanding Wild, Scatter</v>
      </c>
      <c r="Q24" s="7" t="str">
        <f ca="1">IFERROR(__xludf.DUMMYFUNCTION("""COMPUTED_VALUE"""),"https://static.redstone.rs/games/5-crown-fire/")</f>
        <v>https://static.redstone.rs/games/5-crown-fire/</v>
      </c>
      <c r="R24" s="5" t="str">
        <f ca="1">IFERROR(__xludf.DUMMYFUNCTION("""COMPUTED_VALUE"""),"Royal games give royal wins! Find your lucky crown and feel the power of fruits with new 5 lined game.")</f>
        <v>Royal games give royal wins! Find your lucky crown and feel the power of fruits with new 5 lined game.</v>
      </c>
      <c r="S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IFERROR(__xludf.DUMMYFUNCTION("""COMPUTED_VALUE"""),"Yes")</f>
        <v>Yes</v>
      </c>
      <c r="X24" s="5" t="str">
        <f ca="1">IFERROR(__xludf.DUMMYFUNCTION("""COMPUTED_VALUE"""),"Yes")</f>
        <v>Yes</v>
      </c>
      <c r="Y24" s="5" t="str">
        <f ca="1">IFERROR(__xludf.DUMMYFUNCTION("""COMPUTED_VALUE"""),"Yes")</f>
        <v>Yes</v>
      </c>
      <c r="Z24" s="5" t="str">
        <f ca="1">IFERROR(__xludf.DUMMYFUNCTION("""COMPUTED_VALUE"""),"Yes")</f>
        <v>Yes</v>
      </c>
      <c r="AA24" s="5" t="str">
        <f ca="1">IFERROR(__xludf.DUMMYFUNCTION("""COMPUTED_VALUE"""),"Yes")</f>
        <v>Yes</v>
      </c>
      <c r="AB24" s="5" t="str">
        <f ca="1">IFERROR(__xludf.DUMMYFUNCTION("""COMPUTED_VALUE"""),"Yes")</f>
        <v>Yes</v>
      </c>
      <c r="AC24" s="5" t="str">
        <f ca="1">IFERROR(__xludf.DUMMYFUNCTION("""COMPUTED_VALUE"""),"Yes")</f>
        <v>Yes</v>
      </c>
      <c r="AD24" s="5" t="str">
        <f ca="1">IFERROR(__xludf.DUMMYFUNCTION("""COMPUTED_VALUE"""),"Yes")</f>
        <v>Yes</v>
      </c>
      <c r="AE24" s="5" t="str">
        <f ca="1">IFERROR(__xludf.DUMMYFUNCTION("""COMPUTED_VALUE"""),"Yes")</f>
        <v>Yes</v>
      </c>
      <c r="AF24" s="5" t="str">
        <f ca="1">IFERROR(__xludf.DUMMYFUNCTION("""COMPUTED_VALUE"""),"Yes")</f>
        <v>Yes</v>
      </c>
      <c r="AG24" s="5" t="str">
        <f ca="1">IFERROR(__xludf.DUMMYFUNCTION("""COMPUTED_VALUE"""),"Yes")</f>
        <v>Yes</v>
      </c>
      <c r="AH24" s="5" t="str">
        <f ca="1">IFERROR(__xludf.DUMMYFUNCTION("""COMPUTED_VALUE"""),"Yes")</f>
        <v>Yes</v>
      </c>
      <c r="AI24" s="5" t="str">
        <f ca="1">IFERROR(__xludf.DUMMYFUNCTION("""COMPUTED_VALUE"""),"Yes")</f>
        <v>Yes</v>
      </c>
      <c r="AJ24" s="5" t="str">
        <f ca="1">IFERROR(__xludf.DUMMYFUNCTION("""COMPUTED_VALUE"""),"Yes")</f>
        <v>Yes</v>
      </c>
      <c r="AK24" s="5" t="str">
        <f ca="1">IFERROR(__xludf.DUMMYFUNCTION("""COMPUTED_VALUE"""),"Yes")</f>
        <v>Yes</v>
      </c>
      <c r="AL24" s="5" t="str">
        <f ca="1">IFERROR(__xludf.DUMMYFUNCTION("""COMPUTED_VALUE"""),"Yes")</f>
        <v>Yes</v>
      </c>
      <c r="AM24" s="5" t="str">
        <f ca="1">IFERROR(__xludf.DUMMYFUNCTION("""COMPUTED_VALUE"""),"Yes")</f>
        <v>Yes</v>
      </c>
      <c r="AN24" s="5"/>
      <c r="AO24" s="5"/>
      <c r="AP24" s="5"/>
      <c r="AQ24" s="5" t="str">
        <f ca="1">IFERROR(__xludf.DUMMYFUNCTION("""COMPUTED_VALUE"""),"Yes")</f>
        <v>Yes</v>
      </c>
      <c r="AR24" s="5"/>
      <c r="AS24" s="5"/>
      <c r="AT24" s="5"/>
      <c r="AU24" s="5"/>
    </row>
    <row r="25" spans="1:47" x14ac:dyDescent="0.25">
      <c r="A25" s="5" t="str">
        <f ca="1">IFERROR(__xludf.DUMMYFUNCTION("""COMPUTED_VALUE"""),"Redstone")</f>
        <v>Redstone</v>
      </c>
      <c r="B25" s="5" t="str">
        <f ca="1">IFERROR(__xludf.DUMMYFUNCTION("""COMPUTED_VALUE"""),"10 Wild Santa")</f>
        <v>10 Wild Santa</v>
      </c>
      <c r="C25" s="5" t="str">
        <f ca="1">IFERROR(__xludf.DUMMYFUNCTION("""COMPUTED_VALUE"""),"WildSanta10")</f>
        <v>WildSanta10</v>
      </c>
      <c r="D25" s="6">
        <f ca="1">IFERROR(__xludf.DUMMYFUNCTION("""COMPUTED_VALUE"""),44901)</f>
        <v>44901</v>
      </c>
      <c r="E25" s="5" t="str">
        <f ca="1">IFERROR(__xludf.DUMMYFUNCTION("""COMPUTED_VALUE"""),"Slot")</f>
        <v>Slot</v>
      </c>
      <c r="F25" s="5">
        <f ca="1">IFERROR(__xludf.DUMMYFUNCTION("""COMPUTED_VALUE"""),8.5)</f>
        <v>8.5</v>
      </c>
      <c r="G25" s="5" t="str">
        <f ca="1">IFERROR(__xludf.DUMMYFUNCTION("""COMPUTED_VALUE"""),"5x3")</f>
        <v>5x3</v>
      </c>
      <c r="H25" s="5" t="str">
        <f ca="1">IFERROR(__xludf.DUMMYFUNCTION("""COMPUTED_VALUE"""),"10")</f>
        <v>10</v>
      </c>
      <c r="I25" s="5" t="str">
        <f ca="1">IFERROR(__xludf.DUMMYFUNCTION("""COMPUTED_VALUE"""),"10")</f>
        <v>10</v>
      </c>
      <c r="J25" s="5" t="str">
        <f ca="1">IFERROR(__xludf.DUMMYFUNCTION("""COMPUTED_VALUE"""),"95.96%")</f>
        <v>95.96%</v>
      </c>
      <c r="K25" s="5" t="str">
        <f ca="1">IFERROR(__xludf.DUMMYFUNCTION("""COMPUTED_VALUE"""),"Medium")</f>
        <v>Medium</v>
      </c>
      <c r="L25" s="5" t="str">
        <f ca="1">IFERROR(__xludf.DUMMYFUNCTION("""COMPUTED_VALUE"""),"14.63%")</f>
        <v>14.63%</v>
      </c>
      <c r="M25" s="5" t="str">
        <f ca="1">IFERROR(__xludf.DUMMYFUNCTION("""COMPUTED_VALUE"""),"x1538")</f>
        <v>x1538</v>
      </c>
      <c r="N25" s="5" t="str">
        <f ca="1">IFERROR(__xludf.DUMMYFUNCTION("""COMPUTED_VALUE"""),"0.10/40")</f>
        <v>0.10/40</v>
      </c>
      <c r="O25" s="5" t="str">
        <f ca="1">IFERROR(__xludf.DUMMYFUNCTION("""COMPUTED_VALUE"""),"No")</f>
        <v>No</v>
      </c>
      <c r="P25" s="5" t="str">
        <f ca="1">IFERROR(__xludf.DUMMYFUNCTION("""COMPUTED_VALUE"""),"Expanding Wild, Scatter")</f>
        <v>Expanding Wild, Scatter</v>
      </c>
      <c r="Q25" s="7" t="str">
        <f ca="1">IFERROR(__xludf.DUMMYFUNCTION("""COMPUTED_VALUE"""),"https://static.redstone.rs/games/10-wild-santa/")</f>
        <v>https://static.redstone.rs/games/10-wild-santa/</v>
      </c>
      <c r="R25" s="5" t="str">
        <f ca="1">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S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IFERROR(__xludf.DUMMYFUNCTION("""COMPUTED_VALUE"""),"Yes")</f>
        <v>Yes</v>
      </c>
      <c r="AF25" s="5" t="str">
        <f ca="1">IFERROR(__xludf.DUMMYFUNCTION("""COMPUTED_VALUE"""),"Yes")</f>
        <v>Yes</v>
      </c>
      <c r="AG25" s="5" t="str">
        <f ca="1">IFERROR(__xludf.DUMMYFUNCTION("""COMPUTED_VALUE"""),"Yes")</f>
        <v>Yes</v>
      </c>
      <c r="AH25" s="5" t="str">
        <f ca="1">IFERROR(__xludf.DUMMYFUNCTION("""COMPUTED_VALUE"""),"Yes")</f>
        <v>Yes</v>
      </c>
      <c r="AI25" s="5" t="str">
        <f ca="1">IFERROR(__xludf.DUMMYFUNCTION("""COMPUTED_VALUE"""),"Yes")</f>
        <v>Yes</v>
      </c>
      <c r="AJ25" s="5" t="str">
        <f ca="1">IFERROR(__xludf.DUMMYFUNCTION("""COMPUTED_VALUE"""),"Yes")</f>
        <v>Yes</v>
      </c>
      <c r="AK25" s="5" t="str">
        <f ca="1">IFERROR(__xludf.DUMMYFUNCTION("""COMPUTED_VALUE"""),"Yes")</f>
        <v>Yes</v>
      </c>
      <c r="AL25" s="5" t="str">
        <f ca="1">IFERROR(__xludf.DUMMYFUNCTION("""COMPUTED_VALUE"""),"Yes")</f>
        <v>Yes</v>
      </c>
      <c r="AM25" s="5" t="str">
        <f ca="1">IFERROR(__xludf.DUMMYFUNCTION("""COMPUTED_VALUE"""),"Yes")</f>
        <v>Yes</v>
      </c>
      <c r="AN25" s="5"/>
      <c r="AO25" s="5"/>
      <c r="AP25" s="5"/>
      <c r="AQ25" s="5" t="str">
        <f ca="1">IFERROR(__xludf.DUMMYFUNCTION("""COMPUTED_VALUE"""),"Yes")</f>
        <v>Yes</v>
      </c>
      <c r="AR25" s="5"/>
      <c r="AS25" s="5"/>
      <c r="AT25" s="5"/>
      <c r="AU25" s="5"/>
    </row>
    <row r="26" spans="1:47" x14ac:dyDescent="0.25">
      <c r="A26" s="5" t="str">
        <f ca="1">IFERROR(__xludf.DUMMYFUNCTION("""COMPUTED_VALUE"""),"Redstone")</f>
        <v>Redstone</v>
      </c>
      <c r="B26" s="5" t="str">
        <f ca="1">IFERROR(__xludf.DUMMYFUNCTION("""COMPUTED_VALUE"""),"20 Fire Cash")</f>
        <v>20 Fire Cash</v>
      </c>
      <c r="C26" s="5" t="str">
        <f ca="1">IFERROR(__xludf.DUMMYFUNCTION("""COMPUTED_VALUE"""),"FireCash20")</f>
        <v>FireCash20</v>
      </c>
      <c r="D26" s="6">
        <f ca="1">IFERROR(__xludf.DUMMYFUNCTION("""COMPUTED_VALUE"""),44958)</f>
        <v>44958</v>
      </c>
      <c r="E26" s="5" t="str">
        <f ca="1">IFERROR(__xludf.DUMMYFUNCTION("""COMPUTED_VALUE"""),"Slot")</f>
        <v>Slot</v>
      </c>
      <c r="F26" s="5">
        <f ca="1">IFERROR(__xludf.DUMMYFUNCTION("""COMPUTED_VALUE"""),6.5)</f>
        <v>6.5</v>
      </c>
      <c r="G26" s="5" t="str">
        <f ca="1">IFERROR(__xludf.DUMMYFUNCTION("""COMPUTED_VALUE"""),"5x3")</f>
        <v>5x3</v>
      </c>
      <c r="H26" s="5" t="str">
        <f ca="1">IFERROR(__xludf.DUMMYFUNCTION("""COMPUTED_VALUE"""),"20")</f>
        <v>20</v>
      </c>
      <c r="I26" s="5" t="str">
        <f ca="1">IFERROR(__xludf.DUMMYFUNCTION("""COMPUTED_VALUE"""),"20")</f>
        <v>20</v>
      </c>
      <c r="J26" s="5" t="str">
        <f ca="1">IFERROR(__xludf.DUMMYFUNCTION("""COMPUTED_VALUE"""),"96.47%")</f>
        <v>96.47%</v>
      </c>
      <c r="K26" s="5" t="str">
        <f ca="1">IFERROR(__xludf.DUMMYFUNCTION("""COMPUTED_VALUE"""),"Medium")</f>
        <v>Medium</v>
      </c>
      <c r="L26" s="5" t="str">
        <f ca="1">IFERROR(__xludf.DUMMYFUNCTION("""COMPUTED_VALUE"""),"17.73%")</f>
        <v>17.73%</v>
      </c>
      <c r="M26" s="5" t="str">
        <f ca="1">IFERROR(__xludf.DUMMYFUNCTION("""COMPUTED_VALUE"""),"x1000")</f>
        <v>x1000</v>
      </c>
      <c r="N26" s="5" t="str">
        <f ca="1">IFERROR(__xludf.DUMMYFUNCTION("""COMPUTED_VALUE"""),"0.02/50")</f>
        <v>0.02/50</v>
      </c>
      <c r="O26" s="5" t="str">
        <f ca="1">IFERROR(__xludf.DUMMYFUNCTION("""COMPUTED_VALUE"""),"No")</f>
        <v>No</v>
      </c>
      <c r="P26" s="5" t="str">
        <f ca="1">IFERROR(__xludf.DUMMYFUNCTION("""COMPUTED_VALUE"""),"Special Wild, Scatter")</f>
        <v>Special Wild, Scatter</v>
      </c>
      <c r="Q26" s="7" t="str">
        <f ca="1">IFERROR(__xludf.DUMMYFUNCTION("""COMPUTED_VALUE"""),"https://static.redstone.rs/games/20-fire-cash/")</f>
        <v>https://static.redstone.rs/games/20-fire-cash/</v>
      </c>
      <c r="R26" s="5" t="str">
        <f ca="1">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S2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IFERROR(__xludf.DUMMYFUNCTION("""COMPUTED_VALUE"""),"No")</f>
        <v>No</v>
      </c>
      <c r="X26" s="5" t="str">
        <f ca="1">IFERROR(__xludf.DUMMYFUNCTION("""COMPUTED_VALUE"""),"No")</f>
        <v>No</v>
      </c>
      <c r="Y26" s="5" t="str">
        <f ca="1">IFERROR(__xludf.DUMMYFUNCTION("""COMPUTED_VALUE"""),"No")</f>
        <v>No</v>
      </c>
      <c r="Z26" s="5" t="str">
        <f ca="1">IFERROR(__xludf.DUMMYFUNCTION("""COMPUTED_VALUE"""),"No")</f>
        <v>No</v>
      </c>
      <c r="AA26" s="5" t="str">
        <f ca="1">IFERROR(__xludf.DUMMYFUNCTION("""COMPUTED_VALUE"""),"No")</f>
        <v>No</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IFERROR(__xludf.DUMMYFUNCTION("""COMPUTED_VALUE"""),"Yes")</f>
        <v>Yes</v>
      </c>
      <c r="AF26" s="5" t="str">
        <f ca="1">IFERROR(__xludf.DUMMYFUNCTION("""COMPUTED_VALUE"""),"Yes")</f>
        <v>Yes</v>
      </c>
      <c r="AG26" s="5" t="str">
        <f ca="1">IFERROR(__xludf.DUMMYFUNCTION("""COMPUTED_VALUE"""),"No")</f>
        <v>No</v>
      </c>
      <c r="AH26" s="5" t="str">
        <f ca="1">IFERROR(__xludf.DUMMYFUNCTION("""COMPUTED_VALUE"""),"Yes")</f>
        <v>Yes</v>
      </c>
      <c r="AI26" s="5" t="str">
        <f ca="1">IFERROR(__xludf.DUMMYFUNCTION("""COMPUTED_VALUE"""),"No")</f>
        <v>No</v>
      </c>
      <c r="AJ26" s="5" t="str">
        <f ca="1">IFERROR(__xludf.DUMMYFUNCTION("""COMPUTED_VALUE"""),"No")</f>
        <v>No</v>
      </c>
      <c r="AK26" s="5" t="str">
        <f ca="1">IFERROR(__xludf.DUMMYFUNCTION("""COMPUTED_VALUE"""),"No")</f>
        <v>No</v>
      </c>
      <c r="AL26" s="5" t="str">
        <f ca="1">IFERROR(__xludf.DUMMYFUNCTION("""COMPUTED_VALUE"""),"No")</f>
        <v>No</v>
      </c>
      <c r="AM26" s="5" t="str">
        <f ca="1">IFERROR(__xludf.DUMMYFUNCTION("""COMPUTED_VALUE"""),"No")</f>
        <v>No</v>
      </c>
      <c r="AN26" s="5"/>
      <c r="AO26" s="5"/>
      <c r="AP26" s="5"/>
      <c r="AQ26" s="5" t="str">
        <f ca="1">IFERROR(__xludf.DUMMYFUNCTION("""COMPUTED_VALUE"""),"No")</f>
        <v>No</v>
      </c>
      <c r="AR26" s="5"/>
      <c r="AS26" s="5"/>
      <c r="AT26" s="5"/>
      <c r="AU26" s="5"/>
    </row>
    <row r="27" spans="1:47" x14ac:dyDescent="0.25">
      <c r="A27" s="5" t="str">
        <f ca="1">IFERROR(__xludf.DUMMYFUNCTION("""COMPUTED_VALUE"""),"Redstone")</f>
        <v>Redstone</v>
      </c>
      <c r="B27" s="5" t="str">
        <f ca="1">IFERROR(__xludf.DUMMYFUNCTION("""COMPUTED_VALUE"""),"40 Fire Cash")</f>
        <v>40 Fire Cash</v>
      </c>
      <c r="C27" s="5" t="str">
        <f ca="1">IFERROR(__xludf.DUMMYFUNCTION("""COMPUTED_VALUE"""),"FireCash40")</f>
        <v>FireCash40</v>
      </c>
      <c r="D27" s="6">
        <f ca="1">IFERROR(__xludf.DUMMYFUNCTION("""COMPUTED_VALUE"""),45021)</f>
        <v>45021</v>
      </c>
      <c r="E27" s="5" t="str">
        <f ca="1">IFERROR(__xludf.DUMMYFUNCTION("""COMPUTED_VALUE"""),"Slot")</f>
        <v>Slot</v>
      </c>
      <c r="F27" s="5">
        <f ca="1">IFERROR(__xludf.DUMMYFUNCTION("""COMPUTED_VALUE"""),7.3)</f>
        <v>7.3</v>
      </c>
      <c r="G27" s="5" t="str">
        <f ca="1">IFERROR(__xludf.DUMMYFUNCTION("""COMPUTED_VALUE"""),"5x4")</f>
        <v>5x4</v>
      </c>
      <c r="H27" s="5" t="str">
        <f ca="1">IFERROR(__xludf.DUMMYFUNCTION("""COMPUTED_VALUE"""),"40")</f>
        <v>40</v>
      </c>
      <c r="I27" s="5" t="str">
        <f ca="1">IFERROR(__xludf.DUMMYFUNCTION("""COMPUTED_VALUE"""),"40")</f>
        <v>40</v>
      </c>
      <c r="J27" s="5" t="str">
        <f ca="1">IFERROR(__xludf.DUMMYFUNCTION("""COMPUTED_VALUE"""),"96.23%")</f>
        <v>96.23%</v>
      </c>
      <c r="K27" s="5" t="str">
        <f ca="1">IFERROR(__xludf.DUMMYFUNCTION("""COMPUTED_VALUE"""),"Medium")</f>
        <v>Medium</v>
      </c>
      <c r="L27" s="5" t="str">
        <f ca="1">IFERROR(__xludf.DUMMYFUNCTION("""COMPUTED_VALUE"""),"16.93%")</f>
        <v>16.93%</v>
      </c>
      <c r="M27" s="5" t="str">
        <f ca="1">IFERROR(__xludf.DUMMYFUNCTION("""COMPUTED_VALUE"""),"x1000")</f>
        <v>x1000</v>
      </c>
      <c r="N27" s="5" t="str">
        <f ca="1">IFERROR(__xludf.DUMMYFUNCTION("""COMPUTED_VALUE"""),"0.40/60")</f>
        <v>0.40/60</v>
      </c>
      <c r="O27" s="5" t="str">
        <f ca="1">IFERROR(__xludf.DUMMYFUNCTION("""COMPUTED_VALUE"""),"No")</f>
        <v>No</v>
      </c>
      <c r="P27" s="5" t="str">
        <f ca="1">IFERROR(__xludf.DUMMYFUNCTION("""COMPUTED_VALUE"""),"Special Wild, Scatter, Wild Symbol")</f>
        <v>Special Wild, Scatter, Wild Symbol</v>
      </c>
      <c r="Q27" s="7" t="str">
        <f ca="1">IFERROR(__xludf.DUMMYFUNCTION("""COMPUTED_VALUE"""),"https://static.redstone.rs/games/40-fire-cash/")</f>
        <v>https://static.redstone.rs/games/40-fire-cash/</v>
      </c>
      <c r="R27" s="5" t="str">
        <f ca="1">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S2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IFERROR(__xludf.DUMMYFUNCTION("""COMPUTED_VALUE"""),"No")</f>
        <v>No</v>
      </c>
      <c r="X27" s="5" t="str">
        <f ca="1">IFERROR(__xludf.DUMMYFUNCTION("""COMPUTED_VALUE"""),"No")</f>
        <v>No</v>
      </c>
      <c r="Y27" s="5" t="str">
        <f ca="1">IFERROR(__xludf.DUMMYFUNCTION("""COMPUTED_VALUE"""),"No")</f>
        <v>No</v>
      </c>
      <c r="Z27" s="5" t="str">
        <f ca="1">IFERROR(__xludf.DUMMYFUNCTION("""COMPUTED_VALUE"""),"No")</f>
        <v>No</v>
      </c>
      <c r="AA27" s="5" t="str">
        <f ca="1">IFERROR(__xludf.DUMMYFUNCTION("""COMPUTED_VALUE"""),"No")</f>
        <v>No</v>
      </c>
      <c r="AB27" s="5" t="str">
        <f ca="1">IFERROR(__xludf.DUMMYFUNCTION("""COMPUTED_VALUE"""),"Yes")</f>
        <v>Yes</v>
      </c>
      <c r="AC27" s="5" t="str">
        <f ca="1">IFERROR(__xludf.DUMMYFUNCTION("""COMPUTED_VALUE"""),"Yes")</f>
        <v>Yes</v>
      </c>
      <c r="AD27" s="5" t="str">
        <f ca="1">IFERROR(__xludf.DUMMYFUNCTION("""COMPUTED_VALUE"""),"Yes")</f>
        <v>Yes</v>
      </c>
      <c r="AE27" s="5" t="str">
        <f ca="1">IFERROR(__xludf.DUMMYFUNCTION("""COMPUTED_VALUE"""),"Yes")</f>
        <v>Yes</v>
      </c>
      <c r="AF27" s="5" t="str">
        <f ca="1">IFERROR(__xludf.DUMMYFUNCTION("""COMPUTED_VALUE"""),"Yes")</f>
        <v>Yes</v>
      </c>
      <c r="AG27" s="5" t="str">
        <f ca="1">IFERROR(__xludf.DUMMYFUNCTION("""COMPUTED_VALUE"""),"No")</f>
        <v>No</v>
      </c>
      <c r="AH27" s="5" t="str">
        <f ca="1">IFERROR(__xludf.DUMMYFUNCTION("""COMPUTED_VALUE"""),"Yes")</f>
        <v>Yes</v>
      </c>
      <c r="AI27" s="5" t="str">
        <f ca="1">IFERROR(__xludf.DUMMYFUNCTION("""COMPUTED_VALUE"""),"No")</f>
        <v>No</v>
      </c>
      <c r="AJ27" s="5" t="str">
        <f ca="1">IFERROR(__xludf.DUMMYFUNCTION("""COMPUTED_VALUE"""),"No")</f>
        <v>No</v>
      </c>
      <c r="AK27" s="5" t="str">
        <f ca="1">IFERROR(__xludf.DUMMYFUNCTION("""COMPUTED_VALUE"""),"No")</f>
        <v>No</v>
      </c>
      <c r="AL27" s="5" t="str">
        <f ca="1">IFERROR(__xludf.DUMMYFUNCTION("""COMPUTED_VALUE"""),"No")</f>
        <v>No</v>
      </c>
      <c r="AM27" s="5" t="str">
        <f ca="1">IFERROR(__xludf.DUMMYFUNCTION("""COMPUTED_VALUE"""),"No")</f>
        <v>No</v>
      </c>
      <c r="AN27" s="5"/>
      <c r="AO27" s="5"/>
      <c r="AP27" s="5"/>
      <c r="AQ27" s="5" t="str">
        <f ca="1">IFERROR(__xludf.DUMMYFUNCTION("""COMPUTED_VALUE"""),"No")</f>
        <v>No</v>
      </c>
      <c r="AR27" s="5"/>
      <c r="AS27" s="5"/>
      <c r="AT27" s="5"/>
      <c r="AU27" s="5"/>
    </row>
    <row r="28" spans="1:47" x14ac:dyDescent="0.25">
      <c r="A28" s="5" t="str">
        <f ca="1">IFERROR(__xludf.DUMMYFUNCTION("""COMPUTED_VALUE"""),"Redstone")</f>
        <v>Redstone</v>
      </c>
      <c r="B28" s="5" t="str">
        <f ca="1">IFERROR(__xludf.DUMMYFUNCTION("""COMPUTED_VALUE"""),"Super Lucky")</f>
        <v>Super Lucky</v>
      </c>
      <c r="C28" s="5" t="str">
        <f ca="1">IFERROR(__xludf.DUMMYFUNCTION("""COMPUTED_VALUE"""),"SuperLucky")</f>
        <v>SuperLucky</v>
      </c>
      <c r="D28" s="6">
        <f ca="1">IFERROR(__xludf.DUMMYFUNCTION("""COMPUTED_VALUE"""),45049)</f>
        <v>45049</v>
      </c>
      <c r="E28" s="5" t="str">
        <f ca="1">IFERROR(__xludf.DUMMYFUNCTION("""COMPUTED_VALUE"""),"Slot")</f>
        <v>Slot</v>
      </c>
      <c r="F28" s="5">
        <f ca="1">IFERROR(__xludf.DUMMYFUNCTION("""COMPUTED_VALUE"""),10.9)</f>
        <v>10.9</v>
      </c>
      <c r="G28" s="5" t="str">
        <f ca="1">IFERROR(__xludf.DUMMYFUNCTION("""COMPUTED_VALUE"""),"5x3")</f>
        <v>5x3</v>
      </c>
      <c r="H28" s="5" t="str">
        <f ca="1">IFERROR(__xludf.DUMMYFUNCTION("""COMPUTED_VALUE"""),"5")</f>
        <v>5</v>
      </c>
      <c r="I28" s="5" t="str">
        <f ca="1">IFERROR(__xludf.DUMMYFUNCTION("""COMPUTED_VALUE"""),"5")</f>
        <v>5</v>
      </c>
      <c r="J28" s="5" t="str">
        <f ca="1">IFERROR(__xludf.DUMMYFUNCTION("""COMPUTED_VALUE"""),"95.45%")</f>
        <v>95.45%</v>
      </c>
      <c r="K28" s="5" t="str">
        <f ca="1">IFERROR(__xludf.DUMMYFUNCTION("""COMPUTED_VALUE"""),"High")</f>
        <v>High</v>
      </c>
      <c r="L28" s="5" t="str">
        <f ca="1">IFERROR(__xludf.DUMMYFUNCTION("""COMPUTED_VALUE"""),"12.54%")</f>
        <v>12.54%</v>
      </c>
      <c r="M28" s="5" t="str">
        <f ca="1">IFERROR(__xludf.DUMMYFUNCTION("""COMPUTED_VALUE"""),"x1250")</f>
        <v>x1250</v>
      </c>
      <c r="N28" s="5" t="str">
        <f ca="1">IFERROR(__xludf.DUMMYFUNCTION("""COMPUTED_VALUE"""),"0.10/40")</f>
        <v>0.10/40</v>
      </c>
      <c r="O28" s="5" t="str">
        <f ca="1">IFERROR(__xludf.DUMMYFUNCTION("""COMPUTED_VALUE"""),"No")</f>
        <v>No</v>
      </c>
      <c r="P28" s="5" t="str">
        <f ca="1">IFERROR(__xludf.DUMMYFUNCTION("""COMPUTED_VALUE"""),"Hold and Win, Wild Symbol")</f>
        <v>Hold and Win, Wild Symbol</v>
      </c>
      <c r="Q28" s="7" t="str">
        <f ca="1">IFERROR(__xludf.DUMMYFUNCTION("""COMPUTED_VALUE"""),"https://static.redstone.rs/games/super-lucky/")</f>
        <v>https://static.redstone.rs/games/super-lucky/</v>
      </c>
      <c r="R28" s="5" t="str">
        <f ca="1">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S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IFERROR(__xludf.DUMMYFUNCTION("""COMPUTED_VALUE"""),"Yes")</f>
        <v>Yes</v>
      </c>
      <c r="X28" s="5" t="str">
        <f ca="1">IFERROR(__xludf.DUMMYFUNCTION("""COMPUTED_VALUE"""),"Yes")</f>
        <v>Yes</v>
      </c>
      <c r="Y28" s="5" t="str">
        <f ca="1">IFERROR(__xludf.DUMMYFUNCTION("""COMPUTED_VALUE"""),"Yes")</f>
        <v>Yes</v>
      </c>
      <c r="Z28" s="5" t="str">
        <f ca="1">IFERROR(__xludf.DUMMYFUNCTION("""COMPUTED_VALUE"""),"Yes")</f>
        <v>Yes</v>
      </c>
      <c r="AA28" s="5" t="str">
        <f ca="1">IFERROR(__xludf.DUMMYFUNCTION("""COMPUTED_VALUE"""),"Yes")</f>
        <v>Yes</v>
      </c>
      <c r="AB28" s="5" t="str">
        <f ca="1">IFERROR(__xludf.DUMMYFUNCTION("""COMPUTED_VALUE"""),"Yes")</f>
        <v>Yes</v>
      </c>
      <c r="AC28" s="5" t="str">
        <f ca="1">IFERROR(__xludf.DUMMYFUNCTION("""COMPUTED_VALUE"""),"Yes")</f>
        <v>Yes</v>
      </c>
      <c r="AD28" s="5" t="str">
        <f ca="1">IFERROR(__xludf.DUMMYFUNCTION("""COMPUTED_VALUE"""),"Yes")</f>
        <v>Yes</v>
      </c>
      <c r="AE28" s="5" t="str">
        <f ca="1">IFERROR(__xludf.DUMMYFUNCTION("""COMPUTED_VALUE"""),"Yes")</f>
        <v>Yes</v>
      </c>
      <c r="AF28" s="5" t="str">
        <f ca="1">IFERROR(__xludf.DUMMYFUNCTION("""COMPUTED_VALUE"""),"Yes")</f>
        <v>Yes</v>
      </c>
      <c r="AG28" s="5" t="str">
        <f ca="1">IFERROR(__xludf.DUMMYFUNCTION("""COMPUTED_VALUE"""),"Yes")</f>
        <v>Yes</v>
      </c>
      <c r="AH28" s="5" t="str">
        <f ca="1">IFERROR(__xludf.DUMMYFUNCTION("""COMPUTED_VALUE"""),"Yes")</f>
        <v>Yes</v>
      </c>
      <c r="AI28" s="5" t="str">
        <f ca="1">IFERROR(__xludf.DUMMYFUNCTION("""COMPUTED_VALUE"""),"Yes")</f>
        <v>Yes</v>
      </c>
      <c r="AJ28" s="5" t="str">
        <f ca="1">IFERROR(__xludf.DUMMYFUNCTION("""COMPUTED_VALUE"""),"Yes")</f>
        <v>Yes</v>
      </c>
      <c r="AK28" s="5" t="str">
        <f ca="1">IFERROR(__xludf.DUMMYFUNCTION("""COMPUTED_VALUE"""),"Yes")</f>
        <v>Yes</v>
      </c>
      <c r="AL28" s="5" t="str">
        <f ca="1">IFERROR(__xludf.DUMMYFUNCTION("""COMPUTED_VALUE"""),"Yes")</f>
        <v>Yes</v>
      </c>
      <c r="AM28" s="5" t="str">
        <f ca="1">IFERROR(__xludf.DUMMYFUNCTION("""COMPUTED_VALUE"""),"Yes")</f>
        <v>Yes</v>
      </c>
      <c r="AN28" s="5" t="str">
        <f ca="1">IFERROR(__xludf.DUMMYFUNCTION("""COMPUTED_VALUE"""),"Yes")</f>
        <v>Yes</v>
      </c>
      <c r="AO28" s="5"/>
      <c r="AP28" s="5"/>
      <c r="AQ28" s="5" t="str">
        <f ca="1">IFERROR(__xludf.DUMMYFUNCTION("""COMPUTED_VALUE"""),"Yes")</f>
        <v>Yes</v>
      </c>
      <c r="AR28" s="5"/>
      <c r="AS28" s="5"/>
      <c r="AT28" s="5"/>
      <c r="AU28" s="5"/>
    </row>
    <row r="29" spans="1:47" x14ac:dyDescent="0.25">
      <c r="A29" s="5" t="str">
        <f ca="1">IFERROR(__xludf.DUMMYFUNCTION("""COMPUTED_VALUE"""),"Redstone")</f>
        <v>Redstone</v>
      </c>
      <c r="B29" s="5" t="str">
        <f ca="1">IFERROR(__xludf.DUMMYFUNCTION("""COMPUTED_VALUE"""),"Heat Double")</f>
        <v>Heat Double</v>
      </c>
      <c r="C29" s="5" t="str">
        <f ca="1">IFERROR(__xludf.DUMMYFUNCTION("""COMPUTED_VALUE"""),"HeatDouble")</f>
        <v>HeatDouble</v>
      </c>
      <c r="D29" s="6">
        <f ca="1">IFERROR(__xludf.DUMMYFUNCTION("""COMPUTED_VALUE"""),45089)</f>
        <v>45089</v>
      </c>
      <c r="E29" s="5" t="str">
        <f ca="1">IFERROR(__xludf.DUMMYFUNCTION("""COMPUTED_VALUE"""),"Slot")</f>
        <v>Slot</v>
      </c>
      <c r="F29" s="5">
        <f ca="1">IFERROR(__xludf.DUMMYFUNCTION("""COMPUTED_VALUE"""),10.9)</f>
        <v>10.9</v>
      </c>
      <c r="G29" s="5" t="str">
        <f ca="1">IFERROR(__xludf.DUMMYFUNCTION("""COMPUTED_VALUE"""),"3x3")</f>
        <v>3x3</v>
      </c>
      <c r="H29" s="5" t="str">
        <f ca="1">IFERROR(__xludf.DUMMYFUNCTION("""COMPUTED_VALUE"""),"5")</f>
        <v>5</v>
      </c>
      <c r="I29" s="5" t="str">
        <f ca="1">IFERROR(__xludf.DUMMYFUNCTION("""COMPUTED_VALUE"""),"5")</f>
        <v>5</v>
      </c>
      <c r="J29" s="5" t="str">
        <f ca="1">IFERROR(__xludf.DUMMYFUNCTION("""COMPUTED_VALUE"""),"96.33%")</f>
        <v>96.33%</v>
      </c>
      <c r="K29" s="5" t="str">
        <f ca="1">IFERROR(__xludf.DUMMYFUNCTION("""COMPUTED_VALUE"""),"Low")</f>
        <v>Low</v>
      </c>
      <c r="L29" s="5" t="str">
        <f ca="1">IFERROR(__xludf.DUMMYFUNCTION("""COMPUTED_VALUE"""),"8.08%")</f>
        <v>8.08%</v>
      </c>
      <c r="M29" s="5" t="str">
        <f ca="1">IFERROR(__xludf.DUMMYFUNCTION("""COMPUTED_VALUE"""),"x150")</f>
        <v>x150</v>
      </c>
      <c r="N29" s="5" t="str">
        <f ca="1">IFERROR(__xludf.DUMMYFUNCTION("""COMPUTED_VALUE"""),"0.05/30")</f>
        <v>0.05/30</v>
      </c>
      <c r="O29" s="5" t="str">
        <f ca="1">IFERROR(__xludf.DUMMYFUNCTION("""COMPUTED_VALUE"""),"No")</f>
        <v>No</v>
      </c>
      <c r="P29" s="5" t="str">
        <f ca="1">IFERROR(__xludf.DUMMYFUNCTION("""COMPUTED_VALUE"""),"Win Multiplier")</f>
        <v>Win Multiplier</v>
      </c>
      <c r="Q29" s="7" t="str">
        <f ca="1">IFERROR(__xludf.DUMMYFUNCTION("""COMPUTED_VALUE"""),"https://static.redstone.rs/games/heat-double/")</f>
        <v>https://static.redstone.rs/games/heat-double/</v>
      </c>
      <c r="R29" s="5" t="str">
        <f ca="1">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S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IFERROR(__xludf.DUMMYFUNCTION("""COMPUTED_VALUE"""),"Yes")</f>
        <v>Yes</v>
      </c>
      <c r="AF29" s="5" t="str">
        <f ca="1">IFERROR(__xludf.DUMMYFUNCTION("""COMPUTED_VALUE"""),"Yes")</f>
        <v>Yes</v>
      </c>
      <c r="AG29" s="5" t="str">
        <f ca="1">IFERROR(__xludf.DUMMYFUNCTION("""COMPUTED_VALUE"""),"Yes")</f>
        <v>Yes</v>
      </c>
      <c r="AH29" s="5" t="str">
        <f ca="1">IFERROR(__xludf.DUMMYFUNCTION("""COMPUTED_VALUE"""),"Yes")</f>
        <v>Yes</v>
      </c>
      <c r="AI29" s="5" t="str">
        <f ca="1">IFERROR(__xludf.DUMMYFUNCTION("""COMPUTED_VALUE"""),"Yes")</f>
        <v>Yes</v>
      </c>
      <c r="AJ29" s="5" t="str">
        <f ca="1">IFERROR(__xludf.DUMMYFUNCTION("""COMPUTED_VALUE"""),"Yes")</f>
        <v>Yes</v>
      </c>
      <c r="AK29" s="5" t="str">
        <f ca="1">IFERROR(__xludf.DUMMYFUNCTION("""COMPUTED_VALUE"""),"Yes")</f>
        <v>Yes</v>
      </c>
      <c r="AL29" s="5" t="str">
        <f ca="1">IFERROR(__xludf.DUMMYFUNCTION("""COMPUTED_VALUE"""),"Yes")</f>
        <v>Yes</v>
      </c>
      <c r="AM29" s="5" t="str">
        <f ca="1">IFERROR(__xludf.DUMMYFUNCTION("""COMPUTED_VALUE"""),"Yes")</f>
        <v>Yes</v>
      </c>
      <c r="AN29" s="5" t="str">
        <f ca="1">IFERROR(__xludf.DUMMYFUNCTION("""COMPUTED_VALUE"""),"Yes")</f>
        <v>Yes</v>
      </c>
      <c r="AO29" s="5"/>
      <c r="AP29" s="5"/>
      <c r="AQ29" s="5" t="str">
        <f ca="1">IFERROR(__xludf.DUMMYFUNCTION("""COMPUTED_VALUE"""),"Yes")</f>
        <v>Yes</v>
      </c>
      <c r="AR29" s="5"/>
      <c r="AS29" s="5"/>
      <c r="AT29" s="5"/>
      <c r="AU29" s="5"/>
    </row>
    <row r="30" spans="1:47" x14ac:dyDescent="0.25">
      <c r="A30" s="5" t="str">
        <f ca="1">IFERROR(__xludf.DUMMYFUNCTION("""COMPUTED_VALUE"""),"Redstone")</f>
        <v>Redstone</v>
      </c>
      <c r="B30" s="5" t="str">
        <f ca="1">IFERROR(__xludf.DUMMYFUNCTION("""COMPUTED_VALUE"""),"Blazing Heat")</f>
        <v>Blazing Heat</v>
      </c>
      <c r="C30" s="5" t="str">
        <f ca="1">IFERROR(__xludf.DUMMYFUNCTION("""COMPUTED_VALUE"""),"BlazingHeat")</f>
        <v>BlazingHeat</v>
      </c>
      <c r="D30" s="6">
        <f ca="1">IFERROR(__xludf.DUMMYFUNCTION("""COMPUTED_VALUE"""),45112)</f>
        <v>45112</v>
      </c>
      <c r="E30" s="5" t="str">
        <f ca="1">IFERROR(__xludf.DUMMYFUNCTION("""COMPUTED_VALUE"""),"Slot")</f>
        <v>Slot</v>
      </c>
      <c r="F30" s="5">
        <f ca="1">IFERROR(__xludf.DUMMYFUNCTION("""COMPUTED_VALUE"""),7.7)</f>
        <v>7.7</v>
      </c>
      <c r="G30" s="5" t="str">
        <f ca="1">IFERROR(__xludf.DUMMYFUNCTION("""COMPUTED_VALUE"""),"5x3")</f>
        <v>5x3</v>
      </c>
      <c r="H30" s="5" t="str">
        <f ca="1">IFERROR(__xludf.DUMMYFUNCTION("""COMPUTED_VALUE"""),"5")</f>
        <v>5</v>
      </c>
      <c r="I30" s="5" t="str">
        <f ca="1">IFERROR(__xludf.DUMMYFUNCTION("""COMPUTED_VALUE"""),"5")</f>
        <v>5</v>
      </c>
      <c r="J30" s="5" t="str">
        <f ca="1">IFERROR(__xludf.DUMMYFUNCTION("""COMPUTED_VALUE"""),"96.15%")</f>
        <v>96.15%</v>
      </c>
      <c r="K30" s="5" t="str">
        <f ca="1">IFERROR(__xludf.DUMMYFUNCTION("""COMPUTED_VALUE"""),"Medium")</f>
        <v>Medium</v>
      </c>
      <c r="L30" s="5" t="str">
        <f ca="1">IFERROR(__xludf.DUMMYFUNCTION("""COMPUTED_VALUE"""),"12.88%")</f>
        <v>12.88%</v>
      </c>
      <c r="M30" s="5" t="str">
        <f ca="1">IFERROR(__xludf.DUMMYFUNCTION("""COMPUTED_VALUE"""),"x1000")</f>
        <v>x1000</v>
      </c>
      <c r="N30" s="5" t="str">
        <f ca="1">IFERROR(__xludf.DUMMYFUNCTION("""COMPUTED_VALUE"""),"0.01/50")</f>
        <v>0.01/50</v>
      </c>
      <c r="O30" s="5" t="str">
        <f ca="1">IFERROR(__xludf.DUMMYFUNCTION("""COMPUTED_VALUE"""),"No")</f>
        <v>No</v>
      </c>
      <c r="P30" s="5" t="str">
        <f ca="1">IFERROR(__xludf.DUMMYFUNCTION("""COMPUTED_VALUE"""),"Scatter")</f>
        <v>Scatter</v>
      </c>
      <c r="Q30" s="7" t="str">
        <f ca="1">IFERROR(__xludf.DUMMYFUNCTION("""COMPUTED_VALUE"""),"https://static.redstone.rs/games/blazing-heat/")</f>
        <v>https://static.redstone.rs/games/blazing-heat/</v>
      </c>
      <c r="R30" s="5" t="str">
        <f ca="1">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S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IFERROR(__xludf.DUMMYFUNCTION("""COMPUTED_VALUE"""),"Yes")</f>
        <v>Yes</v>
      </c>
      <c r="AA30" s="5" t="str">
        <f ca="1">IFERROR(__xludf.DUMMYFUNCTION("""COMPUTED_VALUE"""),"Yes")</f>
        <v>Yes</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IFERROR(__xludf.DUMMYFUNCTION("""COMPUTED_VALUE"""),"Yes")</f>
        <v>Yes</v>
      </c>
      <c r="AF30" s="5" t="str">
        <f ca="1">IFERROR(__xludf.DUMMYFUNCTION("""COMPUTED_VALUE"""),"Yes")</f>
        <v>Yes</v>
      </c>
      <c r="AG30" s="5" t="str">
        <f ca="1">IFERROR(__xludf.DUMMYFUNCTION("""COMPUTED_VALUE"""),"Yes")</f>
        <v>Yes</v>
      </c>
      <c r="AH30" s="5" t="str">
        <f ca="1">IFERROR(__xludf.DUMMYFUNCTION("""COMPUTED_VALUE"""),"Yes")</f>
        <v>Yes</v>
      </c>
      <c r="AI30" s="5" t="str">
        <f ca="1">IFERROR(__xludf.DUMMYFUNCTION("""COMPUTED_VALUE"""),"Yes")</f>
        <v>Yes</v>
      </c>
      <c r="AJ30" s="5" t="str">
        <f ca="1">IFERROR(__xludf.DUMMYFUNCTION("""COMPUTED_VALUE"""),"Yes")</f>
        <v>Yes</v>
      </c>
      <c r="AK30" s="5" t="str">
        <f ca="1">IFERROR(__xludf.DUMMYFUNCTION("""COMPUTED_VALUE"""),"Yes")</f>
        <v>Yes</v>
      </c>
      <c r="AL30" s="5" t="str">
        <f ca="1">IFERROR(__xludf.DUMMYFUNCTION("""COMPUTED_VALUE"""),"Yes")</f>
        <v>Yes</v>
      </c>
      <c r="AM30" s="5" t="str">
        <f ca="1">IFERROR(__xludf.DUMMYFUNCTION("""COMPUTED_VALUE"""),"Yes")</f>
        <v>Yes</v>
      </c>
      <c r="AN30" s="5" t="str">
        <f ca="1">IFERROR(__xludf.DUMMYFUNCTION("""COMPUTED_VALUE"""),"Yes")</f>
        <v>Yes</v>
      </c>
      <c r="AO30" s="5" t="str">
        <f ca="1">IFERROR(__xludf.DUMMYFUNCTION("""COMPUTED_VALUE"""),"Yes")</f>
        <v>Yes</v>
      </c>
      <c r="AP30" s="5" t="str">
        <f ca="1">IFERROR(__xludf.DUMMYFUNCTION("""COMPUTED_VALUE"""),"Yes")</f>
        <v>Yes</v>
      </c>
      <c r="AQ30" s="5" t="str">
        <f ca="1">IFERROR(__xludf.DUMMYFUNCTION("""COMPUTED_VALUE"""),"Yes")</f>
        <v>Yes</v>
      </c>
      <c r="AR30" s="5" t="str">
        <f ca="1">IFERROR(__xludf.DUMMYFUNCTION("""COMPUTED_VALUE"""),"Yes")</f>
        <v>Yes</v>
      </c>
      <c r="AS30" s="5" t="str">
        <f ca="1">IFERROR(__xludf.DUMMYFUNCTION("""COMPUTED_VALUE"""),"Yes")</f>
        <v>Yes</v>
      </c>
      <c r="AT30" s="5"/>
      <c r="AU30" s="5"/>
    </row>
    <row r="31" spans="1:47" x14ac:dyDescent="0.25">
      <c r="A31" s="5" t="str">
        <f ca="1">IFERROR(__xludf.DUMMYFUNCTION("""COMPUTED_VALUE"""),"Redstone")</f>
        <v>Redstone</v>
      </c>
      <c r="B31" s="5" t="str">
        <f ca="1">IFERROR(__xludf.DUMMYFUNCTION("""COMPUTED_VALUE"""),"Hot Hot Stereo Win")</f>
        <v>Hot Hot Stereo Win</v>
      </c>
      <c r="C31" s="5" t="str">
        <f ca="1">IFERROR(__xludf.DUMMYFUNCTION("""COMPUTED_VALUE"""),"HotHotStereoWin")</f>
        <v>HotHotStereoWin</v>
      </c>
      <c r="D31" s="6">
        <f ca="1">IFERROR(__xludf.DUMMYFUNCTION("""COMPUTED_VALUE"""),45141)</f>
        <v>45141</v>
      </c>
      <c r="E31" s="5" t="str">
        <f ca="1">IFERROR(__xludf.DUMMYFUNCTION("""COMPUTED_VALUE"""),"Slot")</f>
        <v>Slot</v>
      </c>
      <c r="F31" s="5">
        <f ca="1">IFERROR(__xludf.DUMMYFUNCTION("""COMPUTED_VALUE"""),16.2)</f>
        <v>16.2</v>
      </c>
      <c r="G31" s="5" t="str">
        <f ca="1">IFERROR(__xludf.DUMMYFUNCTION("""COMPUTED_VALUE"""),"5x3")</f>
        <v>5x3</v>
      </c>
      <c r="H31" s="5" t="str">
        <f ca="1">IFERROR(__xludf.DUMMYFUNCTION("""COMPUTED_VALUE"""),"5")</f>
        <v>5</v>
      </c>
      <c r="I31" s="5" t="str">
        <f ca="1">IFERROR(__xludf.DUMMYFUNCTION("""COMPUTED_VALUE"""),"5")</f>
        <v>5</v>
      </c>
      <c r="J31" s="5" t="str">
        <f ca="1">IFERROR(__xludf.DUMMYFUNCTION("""COMPUTED_VALUE"""),"95.01%")</f>
        <v>95.01%</v>
      </c>
      <c r="K31" s="5" t="str">
        <f ca="1">IFERROR(__xludf.DUMMYFUNCTION("""COMPUTED_VALUE"""),"Low")</f>
        <v>Low</v>
      </c>
      <c r="L31" s="5" t="str">
        <f ca="1">IFERROR(__xludf.DUMMYFUNCTION("""COMPUTED_VALUE"""),"18.95%")</f>
        <v>18.95%</v>
      </c>
      <c r="M31" s="5" t="str">
        <f ca="1">IFERROR(__xludf.DUMMYFUNCTION("""COMPUTED_VALUE"""),"x1000")</f>
        <v>x1000</v>
      </c>
      <c r="N31" s="5" t="str">
        <f ca="1">IFERROR(__xludf.DUMMYFUNCTION("""COMPUTED_VALUE"""),"0.01/50")</f>
        <v>0.01/50</v>
      </c>
      <c r="O31" s="5" t="str">
        <f ca="1">IFERROR(__xludf.DUMMYFUNCTION("""COMPUTED_VALUE"""),"No")</f>
        <v>No</v>
      </c>
      <c r="P31" s="5" t="str">
        <f ca="1">IFERROR(__xludf.DUMMYFUNCTION("""COMPUTED_VALUE"""),"Bothways")</f>
        <v>Bothways</v>
      </c>
      <c r="Q31" s="7" t="str">
        <f ca="1">IFERROR(__xludf.DUMMYFUNCTION("""COMPUTED_VALUE"""),"https://static.redstone.rs/games/hot-hot/")</f>
        <v>https://static.redstone.rs/games/hot-hot/</v>
      </c>
      <c r="R31" s="5"/>
      <c r="S3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IFERROR(__xludf.DUMMYFUNCTION("""COMPUTED_VALUE"""),"No")</f>
        <v>No</v>
      </c>
      <c r="X31" s="5" t="str">
        <f ca="1">IFERROR(__xludf.DUMMYFUNCTION("""COMPUTED_VALUE"""),"No")</f>
        <v>No</v>
      </c>
      <c r="Y31" s="5" t="str">
        <f ca="1">IFERROR(__xludf.DUMMYFUNCTION("""COMPUTED_VALUE"""),"No")</f>
        <v>No</v>
      </c>
      <c r="Z31" s="5" t="str">
        <f ca="1">IFERROR(__xludf.DUMMYFUNCTION("""COMPUTED_VALUE"""),"No")</f>
        <v>No</v>
      </c>
      <c r="AA31" s="5" t="str">
        <f ca="1">IFERROR(__xludf.DUMMYFUNCTION("""COMPUTED_VALUE"""),"No")</f>
        <v>No</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IFERROR(__xludf.DUMMYFUNCTION("""COMPUTED_VALUE"""),"Yes")</f>
        <v>Yes</v>
      </c>
      <c r="AF31" s="5" t="str">
        <f ca="1">IFERROR(__xludf.DUMMYFUNCTION("""COMPUTED_VALUE"""),"Yes")</f>
        <v>Yes</v>
      </c>
      <c r="AG31" s="5" t="str">
        <f ca="1">IFERROR(__xludf.DUMMYFUNCTION("""COMPUTED_VALUE"""),"No")</f>
        <v>No</v>
      </c>
      <c r="AH31" s="5" t="str">
        <f ca="1">IFERROR(__xludf.DUMMYFUNCTION("""COMPUTED_VALUE"""),"Yes")</f>
        <v>Yes</v>
      </c>
      <c r="AI31" s="5" t="str">
        <f ca="1">IFERROR(__xludf.DUMMYFUNCTION("""COMPUTED_VALUE"""),"No")</f>
        <v>No</v>
      </c>
      <c r="AJ31" s="5" t="str">
        <f ca="1">IFERROR(__xludf.DUMMYFUNCTION("""COMPUTED_VALUE"""),"No")</f>
        <v>No</v>
      </c>
      <c r="AK31" s="5" t="str">
        <f ca="1">IFERROR(__xludf.DUMMYFUNCTION("""COMPUTED_VALUE"""),"No")</f>
        <v>No</v>
      </c>
      <c r="AL31" s="5" t="str">
        <f ca="1">IFERROR(__xludf.DUMMYFUNCTION("""COMPUTED_VALUE"""),"No")</f>
        <v>No</v>
      </c>
      <c r="AM31" s="5"/>
      <c r="AN31" s="5"/>
      <c r="AO31" s="5"/>
      <c r="AP31" s="5"/>
      <c r="AQ31" s="5" t="str">
        <f ca="1">IFERROR(__xludf.DUMMYFUNCTION("""COMPUTED_VALUE"""),"No")</f>
        <v>No</v>
      </c>
      <c r="AR31" s="5"/>
      <c r="AS31" s="5"/>
      <c r="AT31" s="5"/>
      <c r="AU31" s="5"/>
    </row>
    <row r="32" spans="1:47" x14ac:dyDescent="0.25">
      <c r="A32" s="5" t="str">
        <f ca="1">IFERROR(__xludf.DUMMYFUNCTION("""COMPUTED_VALUE"""),"Redstone")</f>
        <v>Redstone</v>
      </c>
      <c r="B32" s="5" t="str">
        <f ca="1">IFERROR(__xludf.DUMMYFUNCTION("""COMPUTED_VALUE"""),"Clover Blast 5")</f>
        <v>Clover Blast 5</v>
      </c>
      <c r="C32" s="5" t="str">
        <f ca="1">IFERROR(__xludf.DUMMYFUNCTION("""COMPUTED_VALUE"""),"CloverBlast5")</f>
        <v>CloverBlast5</v>
      </c>
      <c r="D32" s="6">
        <f ca="1">IFERROR(__xludf.DUMMYFUNCTION("""COMPUTED_VALUE"""),45172)</f>
        <v>45172</v>
      </c>
      <c r="E32" s="5" t="str">
        <f ca="1">IFERROR(__xludf.DUMMYFUNCTION("""COMPUTED_VALUE"""),"Slot")</f>
        <v>Slot</v>
      </c>
      <c r="F32" s="5">
        <f ca="1">IFERROR(__xludf.DUMMYFUNCTION("""COMPUTED_VALUE"""),8.8)</f>
        <v>8.8000000000000007</v>
      </c>
      <c r="G32" s="5" t="str">
        <f ca="1">IFERROR(__xludf.DUMMYFUNCTION("""COMPUTED_VALUE"""),"5x3")</f>
        <v>5x3</v>
      </c>
      <c r="H32" s="5" t="str">
        <f ca="1">IFERROR(__xludf.DUMMYFUNCTION("""COMPUTED_VALUE"""),"5")</f>
        <v>5</v>
      </c>
      <c r="I32" s="5" t="str">
        <f ca="1">IFERROR(__xludf.DUMMYFUNCTION("""COMPUTED_VALUE"""),"5")</f>
        <v>5</v>
      </c>
      <c r="J32" s="5" t="str">
        <f ca="1">IFERROR(__xludf.DUMMYFUNCTION("""COMPUTED_VALUE"""),"96.2%")</f>
        <v>96.2%</v>
      </c>
      <c r="K32" s="5" t="str">
        <f ca="1">IFERROR(__xludf.DUMMYFUNCTION("""COMPUTED_VALUE"""),"Medium")</f>
        <v>Medium</v>
      </c>
      <c r="L32" s="5" t="str">
        <f ca="1">IFERROR(__xludf.DUMMYFUNCTION("""COMPUTED_VALUE"""),"11.91%")</f>
        <v>11.91%</v>
      </c>
      <c r="M32" s="5" t="str">
        <f ca="1">IFERROR(__xludf.DUMMYFUNCTION("""COMPUTED_VALUE"""),"x2000")</f>
        <v>x2000</v>
      </c>
      <c r="N32" s="5" t="str">
        <f ca="1">IFERROR(__xludf.DUMMYFUNCTION("""COMPUTED_VALUE"""),"0.01/50")</f>
        <v>0.01/50</v>
      </c>
      <c r="O32" s="5" t="str">
        <f ca="1">IFERROR(__xludf.DUMMYFUNCTION("""COMPUTED_VALUE"""),"No")</f>
        <v>No</v>
      </c>
      <c r="P32" s="5" t="str">
        <f ca="1">IFERROR(__xludf.DUMMYFUNCTION("""COMPUTED_VALUE"""),"Expanding Wild")</f>
        <v>Expanding Wild</v>
      </c>
      <c r="Q32" s="7" t="str">
        <f ca="1">IFERROR(__xludf.DUMMYFUNCTION("""COMPUTED_VALUE"""),"https://play.redstone.rs/games/clover-blast-5/index.html")</f>
        <v>https://play.redstone.rs/games/clover-blast-5/index.html</v>
      </c>
      <c r="R32" s="5" t="str">
        <f ca="1">IFERROR(__xludf.DUMMYFUNCTION("""COMPUTED_VALUE"""),"Immerse yourself in the glamorous atmosphere, where the clover expands on all five reels for incredible winnings!")</f>
        <v>Immerse yourself in the glamorous atmosphere, where the clover expands on all five reels for incredible winnings!</v>
      </c>
      <c r="S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IFERROR(__xludf.DUMMYFUNCTION("""COMPUTED_VALUE"""),"Yes")</f>
        <v>Yes</v>
      </c>
      <c r="AF32" s="5" t="str">
        <f ca="1">IFERROR(__xludf.DUMMYFUNCTION("""COMPUTED_VALUE"""),"Yes")</f>
        <v>Yes</v>
      </c>
      <c r="AG32" s="5" t="str">
        <f ca="1">IFERROR(__xludf.DUMMYFUNCTION("""COMPUTED_VALUE"""),"Yes")</f>
        <v>Yes</v>
      </c>
      <c r="AH32" s="5" t="str">
        <f ca="1">IFERROR(__xludf.DUMMYFUNCTION("""COMPUTED_VALUE"""),"Yes")</f>
        <v>Yes</v>
      </c>
      <c r="AI32" s="5" t="str">
        <f ca="1">IFERROR(__xludf.DUMMYFUNCTION("""COMPUTED_VALUE"""),"Yes")</f>
        <v>Yes</v>
      </c>
      <c r="AJ32" s="5" t="str">
        <f ca="1">IFERROR(__xludf.DUMMYFUNCTION("""COMPUTED_VALUE"""),"Yes")</f>
        <v>Yes</v>
      </c>
      <c r="AK32" s="5" t="str">
        <f ca="1">IFERROR(__xludf.DUMMYFUNCTION("""COMPUTED_VALUE"""),"Yes")</f>
        <v>Yes</v>
      </c>
      <c r="AL32" s="5" t="str">
        <f ca="1">IFERROR(__xludf.DUMMYFUNCTION("""COMPUTED_VALUE"""),"Yes")</f>
        <v>Yes</v>
      </c>
      <c r="AM32" s="5"/>
      <c r="AN32" s="5" t="str">
        <f ca="1">IFERROR(__xludf.DUMMYFUNCTION("""COMPUTED_VALUE"""),"Yes")</f>
        <v>Yes</v>
      </c>
      <c r="AO32" s="5"/>
      <c r="AP32" s="5"/>
      <c r="AQ32" s="5" t="str">
        <f ca="1">IFERROR(__xludf.DUMMYFUNCTION("""COMPUTED_VALUE"""),"Yes")</f>
        <v>Yes</v>
      </c>
      <c r="AR32" s="5"/>
      <c r="AS32" s="5"/>
      <c r="AT32" s="5"/>
      <c r="AU32" s="5"/>
    </row>
    <row r="33" spans="1:47" x14ac:dyDescent="0.25">
      <c r="A33" s="5" t="str">
        <f ca="1">IFERROR(__xludf.DUMMYFUNCTION("""COMPUTED_VALUE"""),"Redstone")</f>
        <v>Redstone</v>
      </c>
      <c r="B33" s="5" t="str">
        <f ca="1">IFERROR(__xludf.DUMMYFUNCTION("""COMPUTED_VALUE"""),"Fear Of Dark")</f>
        <v>Fear Of Dark</v>
      </c>
      <c r="C33" s="5" t="str">
        <f ca="1">IFERROR(__xludf.DUMMYFUNCTION("""COMPUTED_VALUE"""),"RedstoneFearOfDark")</f>
        <v>RedstoneFearOfDark</v>
      </c>
      <c r="D33" s="6">
        <f ca="1">IFERROR(__xludf.DUMMYFUNCTION("""COMPUTED_VALUE"""),45217)</f>
        <v>45217</v>
      </c>
      <c r="E33" s="5" t="str">
        <f ca="1">IFERROR(__xludf.DUMMYFUNCTION("""COMPUTED_VALUE"""),"Slot")</f>
        <v>Slot</v>
      </c>
      <c r="F33" s="5">
        <f ca="1">IFERROR(__xludf.DUMMYFUNCTION("""COMPUTED_VALUE"""),9.3)</f>
        <v>9.3000000000000007</v>
      </c>
      <c r="G33" s="5" t="str">
        <f ca="1">IFERROR(__xludf.DUMMYFUNCTION("""COMPUTED_VALUE"""),"5x4")</f>
        <v>5x4</v>
      </c>
      <c r="H33" s="5" t="str">
        <f ca="1">IFERROR(__xludf.DUMMYFUNCTION("""COMPUTED_VALUE"""),"40")</f>
        <v>40</v>
      </c>
      <c r="I33" s="5" t="str">
        <f ca="1">IFERROR(__xludf.DUMMYFUNCTION("""COMPUTED_VALUE"""),"40")</f>
        <v>40</v>
      </c>
      <c r="J33" s="5" t="str">
        <f ca="1">IFERROR(__xludf.DUMMYFUNCTION("""COMPUTED_VALUE"""),"96.24%")</f>
        <v>96.24%</v>
      </c>
      <c r="K33" s="5" t="str">
        <f ca="1">IFERROR(__xludf.DUMMYFUNCTION("""COMPUTED_VALUE"""),"Medium")</f>
        <v>Medium</v>
      </c>
      <c r="L33" s="5" t="str">
        <f ca="1">IFERROR(__xludf.DUMMYFUNCTION("""COMPUTED_VALUE"""),"11.27%")</f>
        <v>11.27%</v>
      </c>
      <c r="M33" s="5" t="str">
        <f ca="1">IFERROR(__xludf.DUMMYFUNCTION("""COMPUTED_VALUE"""),"x3000")</f>
        <v>x3000</v>
      </c>
      <c r="N33" s="5" t="str">
        <f ca="1">IFERROR(__xludf.DUMMYFUNCTION("""COMPUTED_VALUE"""),"0.04/50")</f>
        <v>0.04/50</v>
      </c>
      <c r="O33" s="5" t="str">
        <f ca="1">IFERROR(__xludf.DUMMYFUNCTION("""COMPUTED_VALUE"""),"No")</f>
        <v>No</v>
      </c>
      <c r="P33" s="5" t="str">
        <f ca="1">IFERROR(__xludf.DUMMYFUNCTION("""COMPUTED_VALUE"""),"Expanding Wild, Scatter")</f>
        <v>Expanding Wild, Scatter</v>
      </c>
      <c r="Q33" s="7" t="str">
        <f ca="1">IFERROR(__xludf.DUMMYFUNCTION("""COMPUTED_VALUE"""),"https://play.redstone.rs/games/fear-of-dark/index.html")</f>
        <v>https://play.redstone.rs/games/fear-of-dark/index.html</v>
      </c>
      <c r="R33" s="5" t="str">
        <f ca="1">IFERROR(__xludf.DUMMYFUNCTION("""COMPUTED_VALUE"""),"Are you ready to face the Fear of Dark? The brave will walk away with x3000 in clutches!")</f>
        <v>Are you ready to face the Fear of Dark? The brave will walk away with x3000 in clutches!</v>
      </c>
      <c r="S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IFERROR(__xludf.DUMMYFUNCTION("""COMPUTED_VALUE"""),"Yes")</f>
        <v>Yes</v>
      </c>
      <c r="AF33" s="5" t="str">
        <f ca="1">IFERROR(__xludf.DUMMYFUNCTION("""COMPUTED_VALUE"""),"Yes")</f>
        <v>Yes</v>
      </c>
      <c r="AG33" s="5" t="str">
        <f ca="1">IFERROR(__xludf.DUMMYFUNCTION("""COMPUTED_VALUE"""),"Yes")</f>
        <v>Yes</v>
      </c>
      <c r="AH33" s="5" t="str">
        <f ca="1">IFERROR(__xludf.DUMMYFUNCTION("""COMPUTED_VALUE"""),"Yes")</f>
        <v>Yes</v>
      </c>
      <c r="AI33" s="5" t="str">
        <f ca="1">IFERROR(__xludf.DUMMYFUNCTION("""COMPUTED_VALUE"""),"Yes")</f>
        <v>Yes</v>
      </c>
      <c r="AJ33" s="5" t="str">
        <f ca="1">IFERROR(__xludf.DUMMYFUNCTION("""COMPUTED_VALUE"""),"Yes")</f>
        <v>Yes</v>
      </c>
      <c r="AK33" s="5" t="str">
        <f ca="1">IFERROR(__xludf.DUMMYFUNCTION("""COMPUTED_VALUE"""),"Yes")</f>
        <v>Yes</v>
      </c>
      <c r="AL33" s="5" t="str">
        <f ca="1">IFERROR(__xludf.DUMMYFUNCTION("""COMPUTED_VALUE"""),"Yes")</f>
        <v>Yes</v>
      </c>
      <c r="AM33" s="5"/>
      <c r="AN33" s="5" t="str">
        <f ca="1">IFERROR(__xludf.DUMMYFUNCTION("""COMPUTED_VALUE"""),"Yes")</f>
        <v>Yes</v>
      </c>
      <c r="AO33" s="5" t="str">
        <f ca="1">IFERROR(__xludf.DUMMYFUNCTION("""COMPUTED_VALUE"""),"Yes")</f>
        <v>Yes</v>
      </c>
      <c r="AP33" s="5" t="str">
        <f ca="1">IFERROR(__xludf.DUMMYFUNCTION("""COMPUTED_VALUE"""),"Yes")</f>
        <v>Yes</v>
      </c>
      <c r="AQ33" s="5" t="str">
        <f ca="1">IFERROR(__xludf.DUMMYFUNCTION("""COMPUTED_VALUE"""),"Yes")</f>
        <v>Yes</v>
      </c>
      <c r="AR33" s="5" t="str">
        <f ca="1">IFERROR(__xludf.DUMMYFUNCTION("""COMPUTED_VALUE"""),"Yes")</f>
        <v>Yes</v>
      </c>
      <c r="AS33" s="5" t="str">
        <f ca="1">IFERROR(__xludf.DUMMYFUNCTION("""COMPUTED_VALUE"""),"Yes")</f>
        <v>Yes</v>
      </c>
      <c r="AT33" s="5"/>
      <c r="AU33" s="5"/>
    </row>
    <row r="34" spans="1:47" x14ac:dyDescent="0.25">
      <c r="A34" s="5" t="str">
        <f ca="1">IFERROR(__xludf.DUMMYFUNCTION("""COMPUTED_VALUE"""),"Redstone")</f>
        <v>Redstone</v>
      </c>
      <c r="B34" s="5" t="str">
        <f ca="1">IFERROR(__xludf.DUMMYFUNCTION("""COMPUTED_VALUE"""),"Chilli Hot 5")</f>
        <v>Chilli Hot 5</v>
      </c>
      <c r="C34" s="5" t="str">
        <f ca="1">IFERROR(__xludf.DUMMYFUNCTION("""COMPUTED_VALUE"""),"RedstoneChilliHot5")</f>
        <v>RedstoneChilliHot5</v>
      </c>
      <c r="D34" s="6">
        <f ca="1">IFERROR(__xludf.DUMMYFUNCTION("""COMPUTED_VALUE"""),45232)</f>
        <v>45232</v>
      </c>
      <c r="E34" s="5" t="str">
        <f ca="1">IFERROR(__xludf.DUMMYFUNCTION("""COMPUTED_VALUE"""),"Slot")</f>
        <v>Slot</v>
      </c>
      <c r="F34" s="5">
        <f ca="1">IFERROR(__xludf.DUMMYFUNCTION("""COMPUTED_VALUE"""),6.9)</f>
        <v>6.9</v>
      </c>
      <c r="G34" s="5" t="str">
        <f ca="1">IFERROR(__xludf.DUMMYFUNCTION("""COMPUTED_VALUE"""),"5x3")</f>
        <v>5x3</v>
      </c>
      <c r="H34" s="5" t="str">
        <f ca="1">IFERROR(__xludf.DUMMYFUNCTION("""COMPUTED_VALUE"""),"5")</f>
        <v>5</v>
      </c>
      <c r="I34" s="5" t="str">
        <f ca="1">IFERROR(__xludf.DUMMYFUNCTION("""COMPUTED_VALUE"""),"5")</f>
        <v>5</v>
      </c>
      <c r="J34" s="5" t="str">
        <f ca="1">IFERROR(__xludf.DUMMYFUNCTION("""COMPUTED_VALUE"""),"96.45%")</f>
        <v>96.45%</v>
      </c>
      <c r="K34" s="5" t="str">
        <f ca="1">IFERROR(__xludf.DUMMYFUNCTION("""COMPUTED_VALUE"""),"Medium")</f>
        <v>Medium</v>
      </c>
      <c r="L34" s="5" t="str">
        <f ca="1">IFERROR(__xludf.DUMMYFUNCTION("""COMPUTED_VALUE"""),"14.5%")</f>
        <v>14.5%</v>
      </c>
      <c r="M34" s="5" t="str">
        <f ca="1">IFERROR(__xludf.DUMMYFUNCTION("""COMPUTED_VALUE"""),"x1222")</f>
        <v>x1222</v>
      </c>
      <c r="N34" s="5" t="str">
        <f ca="1">IFERROR(__xludf.DUMMYFUNCTION("""COMPUTED_VALUE"""),"0.01/50")</f>
        <v>0.01/50</v>
      </c>
      <c r="O34" s="5" t="str">
        <f ca="1">IFERROR(__xludf.DUMMYFUNCTION("""COMPUTED_VALUE"""),"No")</f>
        <v>No</v>
      </c>
      <c r="P34" s="5" t="str">
        <f ca="1">IFERROR(__xludf.DUMMYFUNCTION("""COMPUTED_VALUE"""),"Expanding Wild, Scatter")</f>
        <v>Expanding Wild, Scatter</v>
      </c>
      <c r="Q34" s="7" t="str">
        <f ca="1">IFERROR(__xludf.DUMMYFUNCTION("""COMPUTED_VALUE"""),"https://play.redstone.rs/games/chilli-hot-5/index.html")</f>
        <v>https://play.redstone.rs/games/chilli-hot-5/index.html</v>
      </c>
      <c r="R34" s="5" t="str">
        <f ca="1">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S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IFERROR(__xludf.DUMMYFUNCTION("""COMPUTED_VALUE"""),"Yes")</f>
        <v>Yes</v>
      </c>
      <c r="AF34" s="5" t="str">
        <f ca="1">IFERROR(__xludf.DUMMYFUNCTION("""COMPUTED_VALUE"""),"Yes")</f>
        <v>Yes</v>
      </c>
      <c r="AG34" s="5" t="str">
        <f ca="1">IFERROR(__xludf.DUMMYFUNCTION("""COMPUTED_VALUE"""),"Yes")</f>
        <v>Yes</v>
      </c>
      <c r="AH34" s="5" t="str">
        <f ca="1">IFERROR(__xludf.DUMMYFUNCTION("""COMPUTED_VALUE"""),"Yes")</f>
        <v>Yes</v>
      </c>
      <c r="AI34" s="5" t="str">
        <f ca="1">IFERROR(__xludf.DUMMYFUNCTION("""COMPUTED_VALUE"""),"Yes")</f>
        <v>Yes</v>
      </c>
      <c r="AJ34" s="5" t="str">
        <f ca="1">IFERROR(__xludf.DUMMYFUNCTION("""COMPUTED_VALUE"""),"Yes")</f>
        <v>Yes</v>
      </c>
      <c r="AK34" s="5" t="str">
        <f ca="1">IFERROR(__xludf.DUMMYFUNCTION("""COMPUTED_VALUE"""),"Yes")</f>
        <v>Yes</v>
      </c>
      <c r="AL34" s="5" t="str">
        <f ca="1">IFERROR(__xludf.DUMMYFUNCTION("""COMPUTED_VALUE"""),"Yes")</f>
        <v>Yes</v>
      </c>
      <c r="AM34" s="5"/>
      <c r="AN34" s="5" t="str">
        <f ca="1">IFERROR(__xludf.DUMMYFUNCTION("""COMPUTED_VALUE"""),"Yes")</f>
        <v>Yes</v>
      </c>
      <c r="AO34" s="5"/>
      <c r="AP34" s="5"/>
      <c r="AQ34" s="5" t="str">
        <f ca="1">IFERROR(__xludf.DUMMYFUNCTION("""COMPUTED_VALUE"""),"Yes")</f>
        <v>Yes</v>
      </c>
      <c r="AR34" s="5"/>
      <c r="AS34" s="5"/>
      <c r="AT34" s="5"/>
      <c r="AU34" s="5"/>
    </row>
    <row r="35" spans="1:47" x14ac:dyDescent="0.25">
      <c r="A35" s="5" t="str">
        <f ca="1">IFERROR(__xludf.DUMMYFUNCTION("""COMPUTED_VALUE"""),"Redstone")</f>
        <v>Redstone</v>
      </c>
      <c r="B35" s="5" t="str">
        <f ca="1">IFERROR(__xludf.DUMMYFUNCTION("""COMPUTED_VALUE"""),"40 Hot Joker")</f>
        <v>40 Hot Joker</v>
      </c>
      <c r="C35" s="5" t="str">
        <f ca="1">IFERROR(__xludf.DUMMYFUNCTION("""COMPUTED_VALUE"""),"Redstone40HotJoker")</f>
        <v>Redstone40HotJoker</v>
      </c>
      <c r="D35" s="6">
        <f ca="1">IFERROR(__xludf.DUMMYFUNCTION("""COMPUTED_VALUE"""),45230)</f>
        <v>45230</v>
      </c>
      <c r="E35" s="5" t="str">
        <f ca="1">IFERROR(__xludf.DUMMYFUNCTION("""COMPUTED_VALUE"""),"Slot")</f>
        <v>Slot</v>
      </c>
      <c r="F35" s="5">
        <f ca="1">IFERROR(__xludf.DUMMYFUNCTION("""COMPUTED_VALUE"""),7.1)</f>
        <v>7.1</v>
      </c>
      <c r="G35" s="5" t="str">
        <f ca="1">IFERROR(__xludf.DUMMYFUNCTION("""COMPUTED_VALUE"""),"5x4")</f>
        <v>5x4</v>
      </c>
      <c r="H35" s="5" t="str">
        <f ca="1">IFERROR(__xludf.DUMMYFUNCTION("""COMPUTED_VALUE"""),"40")</f>
        <v>40</v>
      </c>
      <c r="I35" s="5" t="str">
        <f ca="1">IFERROR(__xludf.DUMMYFUNCTION("""COMPUTED_VALUE"""),"40")</f>
        <v>40</v>
      </c>
      <c r="J35" s="5" t="str">
        <f ca="1">IFERROR(__xludf.DUMMYFUNCTION("""COMPUTED_VALUE"""),"96.24%")</f>
        <v>96.24%</v>
      </c>
      <c r="K35" s="5" t="str">
        <f ca="1">IFERROR(__xludf.DUMMYFUNCTION("""COMPUTED_VALUE"""),"Medium")</f>
        <v>Medium</v>
      </c>
      <c r="L35" s="5" t="str">
        <f ca="1">IFERROR(__xludf.DUMMYFUNCTION("""COMPUTED_VALUE"""),"11.27%")</f>
        <v>11.27%</v>
      </c>
      <c r="M35" s="5" t="str">
        <f ca="1">IFERROR(__xludf.DUMMYFUNCTION("""COMPUTED_VALUE"""),"x3000")</f>
        <v>x3000</v>
      </c>
      <c r="N35" s="5" t="str">
        <f ca="1">IFERROR(__xludf.DUMMYFUNCTION("""COMPUTED_VALUE"""),"0.04/50")</f>
        <v>0.04/50</v>
      </c>
      <c r="O35" s="5" t="str">
        <f ca="1">IFERROR(__xludf.DUMMYFUNCTION("""COMPUTED_VALUE"""),"No")</f>
        <v>No</v>
      </c>
      <c r="P35" s="5" t="str">
        <f ca="1">IFERROR(__xludf.DUMMYFUNCTION("""COMPUTED_VALUE"""),"Expanding Wild, Scatter")</f>
        <v>Expanding Wild, Scatter</v>
      </c>
      <c r="Q35" s="7" t="str">
        <f ca="1">IFERROR(__xludf.DUMMYFUNCTION("""COMPUTED_VALUE"""),"https://play.redstone.rs/games/40-hot-joker/index.html")</f>
        <v>https://play.redstone.rs/games/40-hot-joker/index.html</v>
      </c>
      <c r="R35" s="5" t="str">
        <f ca="1">IFERROR(__xludf.DUMMYFUNCTION("""COMPUTED_VALUE"""),"Get lucky with triple expanding Hot Joker for a win up to 3000x on 40 lines!")</f>
        <v>Get lucky with triple expanding Hot Joker for a win up to 3000x on 40 lines!</v>
      </c>
      <c r="S3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5" s="5" t="str">
        <f ca="1">IFERROR(__xludf.DUMMYFUNCTION("""COMPUTED_VALUE"""),"Yes")</f>
        <v>Yes</v>
      </c>
      <c r="U35" s="5" t="str">
        <f ca="1">IFERROR(__xludf.DUMMYFUNCTION("""COMPUTED_VALUE"""),"Yes")</f>
        <v>Yes</v>
      </c>
      <c r="V35" s="5" t="str">
        <f ca="1">IFERROR(__xludf.DUMMYFUNCTION("""COMPUTED_VALUE"""),"No")</f>
        <v>No</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IFERROR(__xludf.DUMMYFUNCTION("""COMPUTED_VALUE"""),"Yes")</f>
        <v>Yes</v>
      </c>
      <c r="AA35" s="5" t="str">
        <f ca="1">IFERROR(__xludf.DUMMYFUNCTION("""COMPUTED_VALUE"""),"Yes")</f>
        <v>Yes</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IFERROR(__xludf.DUMMYFUNCTION("""COMPUTED_VALUE"""),"Yes")</f>
        <v>Yes</v>
      </c>
      <c r="AF35" s="5" t="str">
        <f ca="1">IFERROR(__xludf.DUMMYFUNCTION("""COMPUTED_VALUE"""),"Yes")</f>
        <v>Yes</v>
      </c>
      <c r="AG35" s="5" t="str">
        <f ca="1">IFERROR(__xludf.DUMMYFUNCTION("""COMPUTED_VALUE"""),"Yes")</f>
        <v>Yes</v>
      </c>
      <c r="AH35" s="5" t="str">
        <f ca="1">IFERROR(__xludf.DUMMYFUNCTION("""COMPUTED_VALUE"""),"Yes")</f>
        <v>Yes</v>
      </c>
      <c r="AI35" s="5" t="str">
        <f ca="1">IFERROR(__xludf.DUMMYFUNCTION("""COMPUTED_VALUE"""),"No")</f>
        <v>No</v>
      </c>
      <c r="AJ35" s="5" t="str">
        <f ca="1">IFERROR(__xludf.DUMMYFUNCTION("""COMPUTED_VALUE"""),"No")</f>
        <v>No</v>
      </c>
      <c r="AK35" s="5" t="str">
        <f ca="1">IFERROR(__xludf.DUMMYFUNCTION("""COMPUTED_VALUE"""),"No")</f>
        <v>No</v>
      </c>
      <c r="AL35" s="5" t="str">
        <f ca="1">IFERROR(__xludf.DUMMYFUNCTION("""COMPUTED_VALUE"""),"No")</f>
        <v>No</v>
      </c>
      <c r="AM35" s="5" t="str">
        <f ca="1">IFERROR(__xludf.DUMMYFUNCTION("""COMPUTED_VALUE"""),"No")</f>
        <v>No</v>
      </c>
      <c r="AN35" s="5" t="str">
        <f ca="1">IFERROR(__xludf.DUMMYFUNCTION("""COMPUTED_VALUE"""),"No")</f>
        <v>No</v>
      </c>
      <c r="AO35" s="5" t="str">
        <f ca="1">IFERROR(__xludf.DUMMYFUNCTION("""COMPUTED_VALUE"""),"No")</f>
        <v>No</v>
      </c>
      <c r="AP35" s="5" t="str">
        <f ca="1">IFERROR(__xludf.DUMMYFUNCTION("""COMPUTED_VALUE"""),"No")</f>
        <v>No</v>
      </c>
      <c r="AQ35" s="5" t="str">
        <f ca="1">IFERROR(__xludf.DUMMYFUNCTION("""COMPUTED_VALUE"""),"No")</f>
        <v>No</v>
      </c>
      <c r="AR35" s="5" t="str">
        <f ca="1">IFERROR(__xludf.DUMMYFUNCTION("""COMPUTED_VALUE"""),"No")</f>
        <v>No</v>
      </c>
      <c r="AS35" s="5" t="str">
        <f ca="1">IFERROR(__xludf.DUMMYFUNCTION("""COMPUTED_VALUE"""),"Yes")</f>
        <v>Yes</v>
      </c>
      <c r="AT35" s="5" t="str">
        <f ca="1">IFERROR(__xludf.DUMMYFUNCTION("""COMPUTED_VALUE"""),"No")</f>
        <v>No</v>
      </c>
      <c r="AU35" s="5"/>
    </row>
    <row r="36" spans="1:47" x14ac:dyDescent="0.25">
      <c r="A36" s="5" t="str">
        <f ca="1">IFERROR(__xludf.DUMMYFUNCTION("""COMPUTED_VALUE"""),"Redstone")</f>
        <v>Redstone</v>
      </c>
      <c r="B36" s="5" t="str">
        <f ca="1">IFERROR(__xludf.DUMMYFUNCTION("""COMPUTED_VALUE"""),"Jolly Presents")</f>
        <v>Jolly Presents</v>
      </c>
      <c r="C36" s="5" t="str">
        <f ca="1">IFERROR(__xludf.DUMMYFUNCTION("""COMPUTED_VALUE"""),"RedstoneJollyPresents")</f>
        <v>RedstoneJollyPresents</v>
      </c>
      <c r="D36" s="6">
        <f ca="1">IFERROR(__xludf.DUMMYFUNCTION("""COMPUTED_VALUE"""),45259)</f>
        <v>45259</v>
      </c>
      <c r="E36" s="5" t="str">
        <f ca="1">IFERROR(__xludf.DUMMYFUNCTION("""COMPUTED_VALUE"""),"Slot")</f>
        <v>Slot</v>
      </c>
      <c r="F36" s="5">
        <f ca="1">IFERROR(__xludf.DUMMYFUNCTION("""COMPUTED_VALUE"""),6.9)</f>
        <v>6.9</v>
      </c>
      <c r="G36" s="5" t="str">
        <f ca="1">IFERROR(__xludf.DUMMYFUNCTION("""COMPUTED_VALUE"""),"5x3")</f>
        <v>5x3</v>
      </c>
      <c r="H36" s="5" t="str">
        <f ca="1">IFERROR(__xludf.DUMMYFUNCTION("""COMPUTED_VALUE"""),"5")</f>
        <v>5</v>
      </c>
      <c r="I36" s="5" t="str">
        <f ca="1">IFERROR(__xludf.DUMMYFUNCTION("""COMPUTED_VALUE"""),"5")</f>
        <v>5</v>
      </c>
      <c r="J36" s="5" t="str">
        <f ca="1">IFERROR(__xludf.DUMMYFUNCTION("""COMPUTED_VALUE"""),"96%")</f>
        <v>96%</v>
      </c>
      <c r="K36" s="5" t="str">
        <f ca="1">IFERROR(__xludf.DUMMYFUNCTION("""COMPUTED_VALUE"""),"Medium")</f>
        <v>Medium</v>
      </c>
      <c r="L36" s="5" t="str">
        <f ca="1">IFERROR(__xludf.DUMMYFUNCTION("""COMPUTED_VALUE"""),"14.5%")</f>
        <v>14.5%</v>
      </c>
      <c r="M36" s="5" t="str">
        <f ca="1">IFERROR(__xludf.DUMMYFUNCTION("""COMPUTED_VALUE"""),"x1222")</f>
        <v>x1222</v>
      </c>
      <c r="N36" s="5" t="str">
        <f ca="1">IFERROR(__xludf.DUMMYFUNCTION("""COMPUTED_VALUE"""),"0.01/50")</f>
        <v>0.01/50</v>
      </c>
      <c r="O36" s="5" t="str">
        <f ca="1">IFERROR(__xludf.DUMMYFUNCTION("""COMPUTED_VALUE"""),"No")</f>
        <v>No</v>
      </c>
      <c r="P36" s="5" t="str">
        <f ca="1">IFERROR(__xludf.DUMMYFUNCTION("""COMPUTED_VALUE"""),"Expanding Wild, Scatter")</f>
        <v>Expanding Wild, Scatter</v>
      </c>
      <c r="Q36" s="7" t="str">
        <f ca="1">IFERROR(__xludf.DUMMYFUNCTION("""COMPUTED_VALUE"""),"https://play.redstone.rs/games/jolly-presents/index.html")</f>
        <v>https://play.redstone.rs/games/jolly-presents/index.html</v>
      </c>
      <c r="R36" s="5" t="str">
        <f ca="1">IFERROR(__xludf.DUMMYFUNCTION("""COMPUTED_VALUE"""),"Get wrapped up in the fun of Jolly Presents, where expanding wilds mean big wins up to 1200x are just a spin away!")</f>
        <v>Get wrapped up in the fun of Jolly Presents, where expanding wilds mean big wins up to 1200x are just a spin away!</v>
      </c>
      <c r="S3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6" s="5" t="str">
        <f ca="1">IFERROR(__xludf.DUMMYFUNCTION("""COMPUTED_VALUE"""),"Yes")</f>
        <v>Yes</v>
      </c>
      <c r="U36" s="5" t="str">
        <f ca="1">IFERROR(__xludf.DUMMYFUNCTION("""COMPUTED_VALUE"""),"Yes")</f>
        <v>Yes</v>
      </c>
      <c r="V36" s="5" t="str">
        <f ca="1">IFERROR(__xludf.DUMMYFUNCTION("""COMPUTED_VALUE"""),"No")</f>
        <v>No</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IFERROR(__xludf.DUMMYFUNCTION("""COMPUTED_VALUE"""),"Yes")</f>
        <v>Yes</v>
      </c>
      <c r="AF36" s="5" t="str">
        <f ca="1">IFERROR(__xludf.DUMMYFUNCTION("""COMPUTED_VALUE"""),"Yes")</f>
        <v>Yes</v>
      </c>
      <c r="AG36" s="5" t="str">
        <f ca="1">IFERROR(__xludf.DUMMYFUNCTION("""COMPUTED_VALUE"""),"Yes")</f>
        <v>Yes</v>
      </c>
      <c r="AH36" s="5" t="str">
        <f ca="1">IFERROR(__xludf.DUMMYFUNCTION("""COMPUTED_VALUE"""),"Yes")</f>
        <v>Yes</v>
      </c>
      <c r="AI36" s="5" t="str">
        <f ca="1">IFERROR(__xludf.DUMMYFUNCTION("""COMPUTED_VALUE"""),"No")</f>
        <v>No</v>
      </c>
      <c r="AJ36" s="5" t="str">
        <f ca="1">IFERROR(__xludf.DUMMYFUNCTION("""COMPUTED_VALUE"""),"No")</f>
        <v>No</v>
      </c>
      <c r="AK36" s="5" t="str">
        <f ca="1">IFERROR(__xludf.DUMMYFUNCTION("""COMPUTED_VALUE"""),"No")</f>
        <v>No</v>
      </c>
      <c r="AL36" s="5" t="str">
        <f ca="1">IFERROR(__xludf.DUMMYFUNCTION("""COMPUTED_VALUE"""),"No")</f>
        <v>No</v>
      </c>
      <c r="AM36" s="5" t="str">
        <f ca="1">IFERROR(__xludf.DUMMYFUNCTION("""COMPUTED_VALUE"""),"No")</f>
        <v>No</v>
      </c>
      <c r="AN36" s="5" t="str">
        <f ca="1">IFERROR(__xludf.DUMMYFUNCTION("""COMPUTED_VALUE"""),"No")</f>
        <v>No</v>
      </c>
      <c r="AO36" s="5" t="str">
        <f ca="1">IFERROR(__xludf.DUMMYFUNCTION("""COMPUTED_VALUE"""),"No")</f>
        <v>No</v>
      </c>
      <c r="AP36" s="5" t="str">
        <f ca="1">IFERROR(__xludf.DUMMYFUNCTION("""COMPUTED_VALUE"""),"No")</f>
        <v>No</v>
      </c>
      <c r="AQ36" s="5" t="str">
        <f ca="1">IFERROR(__xludf.DUMMYFUNCTION("""COMPUTED_VALUE"""),"No")</f>
        <v>No</v>
      </c>
      <c r="AR36" s="5" t="str">
        <f ca="1">IFERROR(__xludf.DUMMYFUNCTION("""COMPUTED_VALUE"""),"No")</f>
        <v>No</v>
      </c>
      <c r="AS36" s="5" t="str">
        <f ca="1">IFERROR(__xludf.DUMMYFUNCTION("""COMPUTED_VALUE"""),"Yes")</f>
        <v>Yes</v>
      </c>
      <c r="AT36" s="5" t="str">
        <f ca="1">IFERROR(__xludf.DUMMYFUNCTION("""COMPUTED_VALUE"""),"No")</f>
        <v>No</v>
      </c>
      <c r="AU36" s="5"/>
    </row>
    <row r="37" spans="1:47" x14ac:dyDescent="0.25">
      <c r="A37" s="5" t="str">
        <f ca="1">IFERROR(__xludf.DUMMYFUNCTION("""COMPUTED_VALUE"""),"Redstone")</f>
        <v>Redstone</v>
      </c>
      <c r="B37" s="5" t="str">
        <f ca="1">IFERROR(__xludf.DUMMYFUNCTION("""COMPUTED_VALUE"""),"20 Fruit Frenzy")</f>
        <v>20 Fruit Frenzy</v>
      </c>
      <c r="C37" s="5" t="str">
        <f ca="1">IFERROR(__xludf.DUMMYFUNCTION("""COMPUTED_VALUE"""),"Redstone20FruitFrenzy")</f>
        <v>Redstone20FruitFrenzy</v>
      </c>
      <c r="D37" s="6">
        <f ca="1">IFERROR(__xludf.DUMMYFUNCTION("""COMPUTED_VALUE"""),45243)</f>
        <v>45243</v>
      </c>
      <c r="E37" s="5" t="str">
        <f ca="1">IFERROR(__xludf.DUMMYFUNCTION("""COMPUTED_VALUE"""),"Slot")</f>
        <v>Slot</v>
      </c>
      <c r="F37" s="5">
        <f ca="1">IFERROR(__xludf.DUMMYFUNCTION("""COMPUTED_VALUE"""),7.6)</f>
        <v>7.6</v>
      </c>
      <c r="G37" s="5" t="str">
        <f ca="1">IFERROR(__xludf.DUMMYFUNCTION("""COMPUTED_VALUE"""),"5x3")</f>
        <v>5x3</v>
      </c>
      <c r="H37" s="5" t="str">
        <f ca="1">IFERROR(__xludf.DUMMYFUNCTION("""COMPUTED_VALUE"""),"20")</f>
        <v>20</v>
      </c>
      <c r="I37" s="5" t="str">
        <f ca="1">IFERROR(__xludf.DUMMYFUNCTION("""COMPUTED_VALUE"""),"20")</f>
        <v>20</v>
      </c>
      <c r="J37" s="5" t="str">
        <f ca="1">IFERROR(__xludf.DUMMYFUNCTION("""COMPUTED_VALUE"""),"96.47%")</f>
        <v>96.47%</v>
      </c>
      <c r="K37" s="5" t="str">
        <f ca="1">IFERROR(__xludf.DUMMYFUNCTION("""COMPUTED_VALUE"""),"Medium")</f>
        <v>Medium</v>
      </c>
      <c r="L37" s="5" t="str">
        <f ca="1">IFERROR(__xludf.DUMMYFUNCTION("""COMPUTED_VALUE"""),"17.73%")</f>
        <v>17.73%</v>
      </c>
      <c r="M37" s="5" t="str">
        <f ca="1">IFERROR(__xludf.DUMMYFUNCTION("""COMPUTED_VALUE"""),"x1000")</f>
        <v>x1000</v>
      </c>
      <c r="N37" s="5" t="str">
        <f ca="1">IFERROR(__xludf.DUMMYFUNCTION("""COMPUTED_VALUE"""),"0.02/50")</f>
        <v>0.02/50</v>
      </c>
      <c r="O37" s="5" t="str">
        <f ca="1">IFERROR(__xludf.DUMMYFUNCTION("""COMPUTED_VALUE"""),"No")</f>
        <v>No</v>
      </c>
      <c r="P37" s="5" t="str">
        <f ca="1">IFERROR(__xludf.DUMMYFUNCTION("""COMPUTED_VALUE"""),"Special Wild, Scatter")</f>
        <v>Special Wild, Scatter</v>
      </c>
      <c r="Q37" s="7" t="str">
        <f ca="1">IFERROR(__xludf.DUMMYFUNCTION("""COMPUTED_VALUE"""),"https://play.redstone.rs/games/20-fruit-frenzy/index.html")</f>
        <v>https://play.redstone.rs/games/20-fruit-frenzy/index.html</v>
      </c>
      <c r="R37" s="5" t="str">
        <f ca="1">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S3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7" s="5" t="str">
        <f ca="1">IFERROR(__xludf.DUMMYFUNCTION("""COMPUTED_VALUE"""),"Yes")</f>
        <v>Yes</v>
      </c>
      <c r="U37" s="5" t="str">
        <f ca="1">IFERROR(__xludf.DUMMYFUNCTION("""COMPUTED_VALUE"""),"Yes")</f>
        <v>Yes</v>
      </c>
      <c r="V37" s="5" t="str">
        <f ca="1">IFERROR(__xludf.DUMMYFUNCTION("""COMPUTED_VALUE"""),"No")</f>
        <v>No</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IFERROR(__xludf.DUMMYFUNCTION("""COMPUTED_VALUE"""),"Yes")</f>
        <v>Yes</v>
      </c>
      <c r="AF37" s="5" t="str">
        <f ca="1">IFERROR(__xludf.DUMMYFUNCTION("""COMPUTED_VALUE"""),"Yes")</f>
        <v>Yes</v>
      </c>
      <c r="AG37" s="5" t="str">
        <f ca="1">IFERROR(__xludf.DUMMYFUNCTION("""COMPUTED_VALUE"""),"Yes")</f>
        <v>Yes</v>
      </c>
      <c r="AH37" s="5" t="str">
        <f ca="1">IFERROR(__xludf.DUMMYFUNCTION("""COMPUTED_VALUE"""),"Yes")</f>
        <v>Yes</v>
      </c>
      <c r="AI37" s="5" t="str">
        <f ca="1">IFERROR(__xludf.DUMMYFUNCTION("""COMPUTED_VALUE"""),"No")</f>
        <v>No</v>
      </c>
      <c r="AJ37" s="5" t="str">
        <f ca="1">IFERROR(__xludf.DUMMYFUNCTION("""COMPUTED_VALUE"""),"No")</f>
        <v>No</v>
      </c>
      <c r="AK37" s="5" t="str">
        <f ca="1">IFERROR(__xludf.DUMMYFUNCTION("""COMPUTED_VALUE"""),"No")</f>
        <v>No</v>
      </c>
      <c r="AL37" s="5" t="str">
        <f ca="1">IFERROR(__xludf.DUMMYFUNCTION("""COMPUTED_VALUE"""),"No")</f>
        <v>No</v>
      </c>
      <c r="AM37" s="5" t="str">
        <f ca="1">IFERROR(__xludf.DUMMYFUNCTION("""COMPUTED_VALUE"""),"No")</f>
        <v>No</v>
      </c>
      <c r="AN37" s="5" t="str">
        <f ca="1">IFERROR(__xludf.DUMMYFUNCTION("""COMPUTED_VALUE"""),"No")</f>
        <v>No</v>
      </c>
      <c r="AO37" s="5" t="str">
        <f ca="1">IFERROR(__xludf.DUMMYFUNCTION("""COMPUTED_VALUE"""),"No")</f>
        <v>No</v>
      </c>
      <c r="AP37" s="5" t="str">
        <f ca="1">IFERROR(__xludf.DUMMYFUNCTION("""COMPUTED_VALUE"""),"No")</f>
        <v>No</v>
      </c>
      <c r="AQ37" s="5" t="str">
        <f ca="1">IFERROR(__xludf.DUMMYFUNCTION("""COMPUTED_VALUE"""),"No")</f>
        <v>No</v>
      </c>
      <c r="AR37" s="5" t="str">
        <f ca="1">IFERROR(__xludf.DUMMYFUNCTION("""COMPUTED_VALUE"""),"No")</f>
        <v>No</v>
      </c>
      <c r="AS37" s="5" t="str">
        <f ca="1">IFERROR(__xludf.DUMMYFUNCTION("""COMPUTED_VALUE"""),"Yes")</f>
        <v>Yes</v>
      </c>
      <c r="AT37" s="5" t="str">
        <f ca="1">IFERROR(__xludf.DUMMYFUNCTION("""COMPUTED_VALUE"""),"No")</f>
        <v>No</v>
      </c>
      <c r="AU37" s="5"/>
    </row>
    <row r="38" spans="1:47" x14ac:dyDescent="0.25">
      <c r="A38" s="5" t="str">
        <f ca="1">IFERROR(__xludf.DUMMYFUNCTION("""COMPUTED_VALUE"""),"Redstone")</f>
        <v>Redstone</v>
      </c>
      <c r="B38" s="5" t="str">
        <f ca="1">IFERROR(__xludf.DUMMYFUNCTION("""COMPUTED_VALUE"""),"40 Fruit Frenzy")</f>
        <v>40 Fruit Frenzy</v>
      </c>
      <c r="C38" s="5" t="str">
        <f ca="1">IFERROR(__xludf.DUMMYFUNCTION("""COMPUTED_VALUE"""),"Redstone40FruitFrenzy")</f>
        <v>Redstone40FruitFrenzy</v>
      </c>
      <c r="D38" s="6">
        <f ca="1">IFERROR(__xludf.DUMMYFUNCTION("""COMPUTED_VALUE"""),45254)</f>
        <v>45254</v>
      </c>
      <c r="E38" s="5" t="str">
        <f ca="1">IFERROR(__xludf.DUMMYFUNCTION("""COMPUTED_VALUE"""),"Slot")</f>
        <v>Slot</v>
      </c>
      <c r="F38" s="5">
        <f ca="1">IFERROR(__xludf.DUMMYFUNCTION("""COMPUTED_VALUE"""),7.4)</f>
        <v>7.4</v>
      </c>
      <c r="G38" s="5" t="str">
        <f ca="1">IFERROR(__xludf.DUMMYFUNCTION("""COMPUTED_VALUE"""),"5x4")</f>
        <v>5x4</v>
      </c>
      <c r="H38" s="5" t="str">
        <f ca="1">IFERROR(__xludf.DUMMYFUNCTION("""COMPUTED_VALUE"""),"40")</f>
        <v>40</v>
      </c>
      <c r="I38" s="5" t="str">
        <f ca="1">IFERROR(__xludf.DUMMYFUNCTION("""COMPUTED_VALUE"""),"40")</f>
        <v>40</v>
      </c>
      <c r="J38" s="5" t="str">
        <f ca="1">IFERROR(__xludf.DUMMYFUNCTION("""COMPUTED_VALUE"""),"96.23%")</f>
        <v>96.23%</v>
      </c>
      <c r="K38" s="5" t="str">
        <f ca="1">IFERROR(__xludf.DUMMYFUNCTION("""COMPUTED_VALUE"""),"Medium")</f>
        <v>Medium</v>
      </c>
      <c r="L38" s="5" t="str">
        <f ca="1">IFERROR(__xludf.DUMMYFUNCTION("""COMPUTED_VALUE"""),"16.93%")</f>
        <v>16.93%</v>
      </c>
      <c r="M38" s="5" t="str">
        <f ca="1">IFERROR(__xludf.DUMMYFUNCTION("""COMPUTED_VALUE"""),"x1000")</f>
        <v>x1000</v>
      </c>
      <c r="N38" s="5" t="str">
        <f ca="1">IFERROR(__xludf.DUMMYFUNCTION("""COMPUTED_VALUE"""),"0.04/50")</f>
        <v>0.04/50</v>
      </c>
      <c r="O38" s="5" t="str">
        <f ca="1">IFERROR(__xludf.DUMMYFUNCTION("""COMPUTED_VALUE"""),"No")</f>
        <v>No</v>
      </c>
      <c r="P38" s="5" t="str">
        <f ca="1">IFERROR(__xludf.DUMMYFUNCTION("""COMPUTED_VALUE"""),"Special Wild, Scatter")</f>
        <v>Special Wild, Scatter</v>
      </c>
      <c r="Q38" s="7" t="str">
        <f ca="1">IFERROR(__xludf.DUMMYFUNCTION("""COMPUTED_VALUE"""),"https://play.redstone.rs/games/40-fruit-frenzy/index.html")</f>
        <v>https://play.redstone.rs/games/40-fruit-frenzy/index.html</v>
      </c>
      <c r="R38" s="5" t="str">
        <f ca="1">IFERROR(__xludf.DUMMYFUNCTION("""COMPUTED_VALUE"""),"New adventure awaits! Fruit Frenzy is stacked with 40 lines and offers frenzied wins that can rack up huge rewards.")</f>
        <v>New adventure awaits! Fruit Frenzy is stacked with 40 lines and offers frenzied wins that can rack up huge rewards.</v>
      </c>
      <c r="S3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 ca="1">IFERROR(__xludf.DUMMYFUNCTION("""COMPUTED_VALUE"""),"Yes")</f>
        <v>Yes</v>
      </c>
      <c r="U38" s="5" t="str">
        <f ca="1">IFERROR(__xludf.DUMMYFUNCTION("""COMPUTED_VALUE"""),"Yes")</f>
        <v>Yes</v>
      </c>
      <c r="V38" s="5" t="str">
        <f ca="1">IFERROR(__xludf.DUMMYFUNCTION("""COMPUTED_VALUE"""),"No")</f>
        <v>No</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IFERROR(__xludf.DUMMYFUNCTION("""COMPUTED_VALUE"""),"Yes")</f>
        <v>Yes</v>
      </c>
      <c r="AA38" s="5" t="str">
        <f ca="1">IFERROR(__xludf.DUMMYFUNCTION("""COMPUTED_VALUE"""),"Yes")</f>
        <v>Yes</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IFERROR(__xludf.DUMMYFUNCTION("""COMPUTED_VALUE"""),"Yes")</f>
        <v>Yes</v>
      </c>
      <c r="AF38" s="5" t="str">
        <f ca="1">IFERROR(__xludf.DUMMYFUNCTION("""COMPUTED_VALUE"""),"Yes")</f>
        <v>Yes</v>
      </c>
      <c r="AG38" s="5" t="str">
        <f ca="1">IFERROR(__xludf.DUMMYFUNCTION("""COMPUTED_VALUE"""),"Yes")</f>
        <v>Yes</v>
      </c>
      <c r="AH38" s="5" t="str">
        <f ca="1">IFERROR(__xludf.DUMMYFUNCTION("""COMPUTED_VALUE"""),"Yes")</f>
        <v>Yes</v>
      </c>
      <c r="AI38" s="5" t="str">
        <f ca="1">IFERROR(__xludf.DUMMYFUNCTION("""COMPUTED_VALUE"""),"No")</f>
        <v>No</v>
      </c>
      <c r="AJ38" s="5" t="str">
        <f ca="1">IFERROR(__xludf.DUMMYFUNCTION("""COMPUTED_VALUE"""),"No")</f>
        <v>No</v>
      </c>
      <c r="AK38" s="5" t="str">
        <f ca="1">IFERROR(__xludf.DUMMYFUNCTION("""COMPUTED_VALUE"""),"No")</f>
        <v>No</v>
      </c>
      <c r="AL38" s="5" t="str">
        <f ca="1">IFERROR(__xludf.DUMMYFUNCTION("""COMPUTED_VALUE"""),"No")</f>
        <v>No</v>
      </c>
      <c r="AM38" s="5" t="str">
        <f ca="1">IFERROR(__xludf.DUMMYFUNCTION("""COMPUTED_VALUE"""),"No")</f>
        <v>No</v>
      </c>
      <c r="AN38" s="5" t="str">
        <f ca="1">IFERROR(__xludf.DUMMYFUNCTION("""COMPUTED_VALUE"""),"No")</f>
        <v>No</v>
      </c>
      <c r="AO38" s="5" t="str">
        <f ca="1">IFERROR(__xludf.DUMMYFUNCTION("""COMPUTED_VALUE"""),"No")</f>
        <v>No</v>
      </c>
      <c r="AP38" s="5" t="str">
        <f ca="1">IFERROR(__xludf.DUMMYFUNCTION("""COMPUTED_VALUE"""),"No")</f>
        <v>No</v>
      </c>
      <c r="AQ38" s="5" t="str">
        <f ca="1">IFERROR(__xludf.DUMMYFUNCTION("""COMPUTED_VALUE"""),"No")</f>
        <v>No</v>
      </c>
      <c r="AR38" s="5" t="str">
        <f ca="1">IFERROR(__xludf.DUMMYFUNCTION("""COMPUTED_VALUE"""),"No")</f>
        <v>No</v>
      </c>
      <c r="AS38" s="5" t="str">
        <f ca="1">IFERROR(__xludf.DUMMYFUNCTION("""COMPUTED_VALUE"""),"Yes")</f>
        <v>Yes</v>
      </c>
      <c r="AT38" s="5" t="str">
        <f ca="1">IFERROR(__xludf.DUMMYFUNCTION("""COMPUTED_VALUE"""),"No")</f>
        <v>No</v>
      </c>
      <c r="AU38" s="5"/>
    </row>
    <row r="39" spans="1:47" x14ac:dyDescent="0.25">
      <c r="A39" s="5" t="str">
        <f ca="1">IFERROR(__xludf.DUMMYFUNCTION("""COMPUTED_VALUE"""),"Redstone")</f>
        <v>Redstone</v>
      </c>
      <c r="B39" s="5" t="str">
        <f ca="1">IFERROR(__xludf.DUMMYFUNCTION("""COMPUTED_VALUE"""),"Wild Heart Beat")</f>
        <v>Wild Heart Beat</v>
      </c>
      <c r="C39" s="5" t="str">
        <f ca="1">IFERROR(__xludf.DUMMYFUNCTION("""COMPUTED_VALUE"""),"RedstoneWildHeartBeat")</f>
        <v>RedstoneWildHeartBeat</v>
      </c>
      <c r="D39" s="6">
        <f ca="1">IFERROR(__xludf.DUMMYFUNCTION("""COMPUTED_VALUE"""),45257)</f>
        <v>45257</v>
      </c>
      <c r="E39" s="5" t="str">
        <f ca="1">IFERROR(__xludf.DUMMYFUNCTION("""COMPUTED_VALUE"""),"Slot")</f>
        <v>Slot</v>
      </c>
      <c r="F39" s="5">
        <f ca="1">IFERROR(__xludf.DUMMYFUNCTION("""COMPUTED_VALUE"""),8.2)</f>
        <v>8.1999999999999993</v>
      </c>
      <c r="G39" s="5" t="str">
        <f ca="1">IFERROR(__xludf.DUMMYFUNCTION("""COMPUTED_VALUE"""),"5x3")</f>
        <v>5x3</v>
      </c>
      <c r="H39" s="5" t="str">
        <f ca="1">IFERROR(__xludf.DUMMYFUNCTION("""COMPUTED_VALUE"""),"5")</f>
        <v>5</v>
      </c>
      <c r="I39" s="5" t="str">
        <f ca="1">IFERROR(__xludf.DUMMYFUNCTION("""COMPUTED_VALUE"""),"5")</f>
        <v>5</v>
      </c>
      <c r="J39" s="5" t="str">
        <f ca="1">IFERROR(__xludf.DUMMYFUNCTION("""COMPUTED_VALUE"""),"96.36%")</f>
        <v>96.36%</v>
      </c>
      <c r="K39" s="5" t="str">
        <f ca="1">IFERROR(__xludf.DUMMYFUNCTION("""COMPUTED_VALUE"""),"Medium")</f>
        <v>Medium</v>
      </c>
      <c r="L39" s="5" t="str">
        <f ca="1">IFERROR(__xludf.DUMMYFUNCTION("""COMPUTED_VALUE"""),"11.87%")</f>
        <v>11.87%</v>
      </c>
      <c r="M39" s="5" t="str">
        <f ca="1">IFERROR(__xludf.DUMMYFUNCTION("""COMPUTED_VALUE"""),"x2000")</f>
        <v>x2000</v>
      </c>
      <c r="N39" s="5" t="str">
        <f ca="1">IFERROR(__xludf.DUMMYFUNCTION("""COMPUTED_VALUE"""),"0.01/50")</f>
        <v>0.01/50</v>
      </c>
      <c r="O39" s="5" t="str">
        <f ca="1">IFERROR(__xludf.DUMMYFUNCTION("""COMPUTED_VALUE"""),"No")</f>
        <v>No</v>
      </c>
      <c r="P39" s="5" t="str">
        <f ca="1">IFERROR(__xludf.DUMMYFUNCTION("""COMPUTED_VALUE"""),"Expanding Wild, Scatter")</f>
        <v>Expanding Wild, Scatter</v>
      </c>
      <c r="Q39" s="7" t="str">
        <f ca="1">IFERROR(__xludf.DUMMYFUNCTION("""COMPUTED_VALUE"""),"https://play.redstone.rs/games/wild-heart-beat/index.html")</f>
        <v>https://play.redstone.rs/games/wild-heart-beat/index.html</v>
      </c>
      <c r="R39" s="5" t="str">
        <f ca="1">IFERROR(__xludf.DUMMYFUNCTION("""COMPUTED_VALUE"""),"Wild HEART Beat sets the rhythm for big wins, with expanding wilds that could lead to a heart-stopping 2000x payout!")</f>
        <v>Wild HEART Beat sets the rhythm for big wins, with expanding wilds that could lead to a heart-stopping 2000x payout!</v>
      </c>
      <c r="S3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 ca="1">IFERROR(__xludf.DUMMYFUNCTION("""COMPUTED_VALUE"""),"Yes")</f>
        <v>Yes</v>
      </c>
      <c r="U39" s="5" t="str">
        <f ca="1">IFERROR(__xludf.DUMMYFUNCTION("""COMPUTED_VALUE"""),"Yes")</f>
        <v>Yes</v>
      </c>
      <c r="V39" s="5" t="str">
        <f ca="1">IFERROR(__xludf.DUMMYFUNCTION("""COMPUTED_VALUE"""),"No")</f>
        <v>No</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IFERROR(__xludf.DUMMYFUNCTION("""COMPUTED_VALUE"""),"Yes")</f>
        <v>Yes</v>
      </c>
      <c r="AA39" s="5" t="str">
        <f ca="1">IFERROR(__xludf.DUMMYFUNCTION("""COMPUTED_VALUE"""),"Yes")</f>
        <v>Yes</v>
      </c>
      <c r="AB39" s="5" t="str">
        <f ca="1">IFERROR(__xludf.DUMMYFUNCTION("""COMPUTED_VALUE"""),"Yes")</f>
        <v>Yes</v>
      </c>
      <c r="AC39" s="5" t="str">
        <f ca="1">IFERROR(__xludf.DUMMYFUNCTION("""COMPUTED_VALUE"""),"Yes")</f>
        <v>Yes</v>
      </c>
      <c r="AD39" s="5" t="str">
        <f ca="1">IFERROR(__xludf.DUMMYFUNCTION("""COMPUTED_VALUE"""),"Yes")</f>
        <v>Yes</v>
      </c>
      <c r="AE39" s="5" t="str">
        <f ca="1">IFERROR(__xludf.DUMMYFUNCTION("""COMPUTED_VALUE"""),"Yes")</f>
        <v>Yes</v>
      </c>
      <c r="AF39" s="5" t="str">
        <f ca="1">IFERROR(__xludf.DUMMYFUNCTION("""COMPUTED_VALUE"""),"Yes")</f>
        <v>Yes</v>
      </c>
      <c r="AG39" s="5" t="str">
        <f ca="1">IFERROR(__xludf.DUMMYFUNCTION("""COMPUTED_VALUE"""),"Yes")</f>
        <v>Yes</v>
      </c>
      <c r="AH39" s="5" t="str">
        <f ca="1">IFERROR(__xludf.DUMMYFUNCTION("""COMPUTED_VALUE"""),"Yes")</f>
        <v>Yes</v>
      </c>
      <c r="AI39" s="5" t="str">
        <f ca="1">IFERROR(__xludf.DUMMYFUNCTION("""COMPUTED_VALUE"""),"No")</f>
        <v>No</v>
      </c>
      <c r="AJ39" s="5" t="str">
        <f ca="1">IFERROR(__xludf.DUMMYFUNCTION("""COMPUTED_VALUE"""),"No")</f>
        <v>No</v>
      </c>
      <c r="AK39" s="5" t="str">
        <f ca="1">IFERROR(__xludf.DUMMYFUNCTION("""COMPUTED_VALUE"""),"No")</f>
        <v>No</v>
      </c>
      <c r="AL39" s="5" t="str">
        <f ca="1">IFERROR(__xludf.DUMMYFUNCTION("""COMPUTED_VALUE"""),"No")</f>
        <v>No</v>
      </c>
      <c r="AM39" s="5" t="str">
        <f ca="1">IFERROR(__xludf.DUMMYFUNCTION("""COMPUTED_VALUE"""),"No")</f>
        <v>No</v>
      </c>
      <c r="AN39" s="5" t="str">
        <f ca="1">IFERROR(__xludf.DUMMYFUNCTION("""COMPUTED_VALUE"""),"No")</f>
        <v>No</v>
      </c>
      <c r="AO39" s="5" t="str">
        <f ca="1">IFERROR(__xludf.DUMMYFUNCTION("""COMPUTED_VALUE"""),"No")</f>
        <v>No</v>
      </c>
      <c r="AP39" s="5" t="str">
        <f ca="1">IFERROR(__xludf.DUMMYFUNCTION("""COMPUTED_VALUE"""),"No")</f>
        <v>No</v>
      </c>
      <c r="AQ39" s="5" t="str">
        <f ca="1">IFERROR(__xludf.DUMMYFUNCTION("""COMPUTED_VALUE"""),"No")</f>
        <v>No</v>
      </c>
      <c r="AR39" s="5" t="str">
        <f ca="1">IFERROR(__xludf.DUMMYFUNCTION("""COMPUTED_VALUE"""),"No")</f>
        <v>No</v>
      </c>
      <c r="AS39" s="5" t="str">
        <f ca="1">IFERROR(__xludf.DUMMYFUNCTION("""COMPUTED_VALUE"""),"Yes")</f>
        <v>Yes</v>
      </c>
      <c r="AT39" s="5" t="str">
        <f ca="1">IFERROR(__xludf.DUMMYFUNCTION("""COMPUTED_VALUE"""),"No")</f>
        <v>No</v>
      </c>
      <c r="AU39" s="5"/>
    </row>
    <row r="40" spans="1:47" x14ac:dyDescent="0.25">
      <c r="A40" s="5" t="str">
        <f ca="1">IFERROR(__xludf.DUMMYFUNCTION("""COMPUTED_VALUE"""),"Redstone")</f>
        <v>Redstone</v>
      </c>
      <c r="B40" s="5" t="str">
        <f ca="1">IFERROR(__xludf.DUMMYFUNCTION("""COMPUTED_VALUE"""),"Wild Trail")</f>
        <v>Wild Trail</v>
      </c>
      <c r="C40" s="5" t="str">
        <f ca="1">IFERROR(__xludf.DUMMYFUNCTION("""COMPUTED_VALUE"""),"RedstoneWildTrail")</f>
        <v>RedstoneWildTrail</v>
      </c>
      <c r="D40" s="6">
        <f ca="1">IFERROR(__xludf.DUMMYFUNCTION("""COMPUTED_VALUE"""),45261)</f>
        <v>45261</v>
      </c>
      <c r="E40" s="5" t="str">
        <f ca="1">IFERROR(__xludf.DUMMYFUNCTION("""COMPUTED_VALUE"""),"Slot")</f>
        <v>Slot</v>
      </c>
      <c r="F40" s="5">
        <f ca="1">IFERROR(__xludf.DUMMYFUNCTION("""COMPUTED_VALUE"""),7.6)</f>
        <v>7.6</v>
      </c>
      <c r="G40" s="5" t="str">
        <f ca="1">IFERROR(__xludf.DUMMYFUNCTION("""COMPUTED_VALUE"""),"5x4")</f>
        <v>5x4</v>
      </c>
      <c r="H40" s="5" t="str">
        <f ca="1">IFERROR(__xludf.DUMMYFUNCTION("""COMPUTED_VALUE"""),"40")</f>
        <v>40</v>
      </c>
      <c r="I40" s="5" t="str">
        <f ca="1">IFERROR(__xludf.DUMMYFUNCTION("""COMPUTED_VALUE"""),"40")</f>
        <v>40</v>
      </c>
      <c r="J40" s="5" t="str">
        <f ca="1">IFERROR(__xludf.DUMMYFUNCTION("""COMPUTED_VALUE"""),"95.32%")</f>
        <v>95.32%</v>
      </c>
      <c r="K40" s="5" t="str">
        <f ca="1">IFERROR(__xludf.DUMMYFUNCTION("""COMPUTED_VALUE"""),"Medium")</f>
        <v>Medium</v>
      </c>
      <c r="L40" s="5" t="str">
        <f ca="1">IFERROR(__xludf.DUMMYFUNCTION("""COMPUTED_VALUE"""),"12.34%")</f>
        <v>12.34%</v>
      </c>
      <c r="M40" s="5" t="str">
        <f ca="1">IFERROR(__xludf.DUMMYFUNCTION("""COMPUTED_VALUE"""),"x2000")</f>
        <v>x2000</v>
      </c>
      <c r="N40" s="5" t="str">
        <f ca="1">IFERROR(__xludf.DUMMYFUNCTION("""COMPUTED_VALUE"""),"0.40/60")</f>
        <v>0.40/60</v>
      </c>
      <c r="O40" s="5" t="str">
        <f ca="1">IFERROR(__xludf.DUMMYFUNCTION("""COMPUTED_VALUE"""),"No")</f>
        <v>No</v>
      </c>
      <c r="P40" s="5" t="str">
        <f ca="1">IFERROR(__xludf.DUMMYFUNCTION("""COMPUTED_VALUE"""),"Special Wild, Scatter, Bonus Game with Free Spins")</f>
        <v>Special Wild, Scatter, Bonus Game with Free Spins</v>
      </c>
      <c r="Q40" s="7" t="str">
        <f ca="1">IFERROR(__xludf.DUMMYFUNCTION("""COMPUTED_VALUE"""),"https://play.redstone.rs/games/wild-trail/index.html")</f>
        <v>https://play.redstone.rs/games/wild-trail/index.html</v>
      </c>
      <c r="R40" s="5" t="str">
        <f ca="1">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S4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0" s="5" t="str">
        <f ca="1">IFERROR(__xludf.DUMMYFUNCTION("""COMPUTED_VALUE"""),"Yes")</f>
        <v>Yes</v>
      </c>
      <c r="U40" s="5" t="str">
        <f ca="1">IFERROR(__xludf.DUMMYFUNCTION("""COMPUTED_VALUE"""),"Yes")</f>
        <v>Yes</v>
      </c>
      <c r="V40" s="5" t="str">
        <f ca="1">IFERROR(__xludf.DUMMYFUNCTION("""COMPUTED_VALUE"""),"No")</f>
        <v>No</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IFERROR(__xludf.DUMMYFUNCTION("""COMPUTED_VALUE"""),"Yes")</f>
        <v>Yes</v>
      </c>
      <c r="AA40" s="5" t="str">
        <f ca="1">IFERROR(__xludf.DUMMYFUNCTION("""COMPUTED_VALUE"""),"Yes")</f>
        <v>Yes</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IFERROR(__xludf.DUMMYFUNCTION("""COMPUTED_VALUE"""),"Yes")</f>
        <v>Yes</v>
      </c>
      <c r="AF40" s="5" t="str">
        <f ca="1">IFERROR(__xludf.DUMMYFUNCTION("""COMPUTED_VALUE"""),"Yes")</f>
        <v>Yes</v>
      </c>
      <c r="AG40" s="5" t="str">
        <f ca="1">IFERROR(__xludf.DUMMYFUNCTION("""COMPUTED_VALUE"""),"Yes")</f>
        <v>Yes</v>
      </c>
      <c r="AH40" s="5" t="str">
        <f ca="1">IFERROR(__xludf.DUMMYFUNCTION("""COMPUTED_VALUE"""),"Yes")</f>
        <v>Yes</v>
      </c>
      <c r="AI40" s="5" t="str">
        <f ca="1">IFERROR(__xludf.DUMMYFUNCTION("""COMPUTED_VALUE"""),"No")</f>
        <v>No</v>
      </c>
      <c r="AJ40" s="5" t="str">
        <f ca="1">IFERROR(__xludf.DUMMYFUNCTION("""COMPUTED_VALUE"""),"No")</f>
        <v>No</v>
      </c>
      <c r="AK40" s="5" t="str">
        <f ca="1">IFERROR(__xludf.DUMMYFUNCTION("""COMPUTED_VALUE"""),"No")</f>
        <v>No</v>
      </c>
      <c r="AL40" s="5" t="str">
        <f ca="1">IFERROR(__xludf.DUMMYFUNCTION("""COMPUTED_VALUE"""),"No")</f>
        <v>No</v>
      </c>
      <c r="AM40" s="5" t="str">
        <f ca="1">IFERROR(__xludf.DUMMYFUNCTION("""COMPUTED_VALUE"""),"No")</f>
        <v>No</v>
      </c>
      <c r="AN40" s="5" t="str">
        <f ca="1">IFERROR(__xludf.DUMMYFUNCTION("""COMPUTED_VALUE"""),"No")</f>
        <v>No</v>
      </c>
      <c r="AO40" s="5" t="str">
        <f ca="1">IFERROR(__xludf.DUMMYFUNCTION("""COMPUTED_VALUE"""),"No")</f>
        <v>No</v>
      </c>
      <c r="AP40" s="5" t="str">
        <f ca="1">IFERROR(__xludf.DUMMYFUNCTION("""COMPUTED_VALUE"""),"No")</f>
        <v>No</v>
      </c>
      <c r="AQ40" s="5" t="str">
        <f ca="1">IFERROR(__xludf.DUMMYFUNCTION("""COMPUTED_VALUE"""),"No")</f>
        <v>No</v>
      </c>
      <c r="AR40" s="5" t="str">
        <f ca="1">IFERROR(__xludf.DUMMYFUNCTION("""COMPUTED_VALUE"""),"No")</f>
        <v>No</v>
      </c>
      <c r="AS40" s="5" t="str">
        <f ca="1">IFERROR(__xludf.DUMMYFUNCTION("""COMPUTED_VALUE"""),"Yes")</f>
        <v>Yes</v>
      </c>
      <c r="AT40" s="5" t="str">
        <f ca="1">IFERROR(__xludf.DUMMYFUNCTION("""COMPUTED_VALUE"""),"No")</f>
        <v>No</v>
      </c>
      <c r="AU40" s="5"/>
    </row>
    <row r="41" spans="1:47" x14ac:dyDescent="0.25">
      <c r="A41" s="5" t="str">
        <f ca="1">IFERROR(__xludf.DUMMYFUNCTION("""COMPUTED_VALUE"""),"Redstone")</f>
        <v>Redstone</v>
      </c>
      <c r="B41" s="5" t="str">
        <f ca="1">IFERROR(__xludf.DUMMYFUNCTION("""COMPUTED_VALUE"""),"40 Jokers Free Games")</f>
        <v>40 Jokers Free Games</v>
      </c>
      <c r="C41" s="5" t="str">
        <f ca="1">IFERROR(__xludf.DUMMYFUNCTION("""COMPUTED_VALUE"""),"Redstone40JokersFreeGames")</f>
        <v>Redstone40JokersFreeGames</v>
      </c>
      <c r="D41" s="6">
        <f ca="1">IFERROR(__xludf.DUMMYFUNCTION("""COMPUTED_VALUE"""),45271)</f>
        <v>45271</v>
      </c>
      <c r="E41" s="5" t="str">
        <f ca="1">IFERROR(__xludf.DUMMYFUNCTION("""COMPUTED_VALUE"""),"Slot")</f>
        <v>Slot</v>
      </c>
      <c r="F41" s="5">
        <f ca="1">IFERROR(__xludf.DUMMYFUNCTION("""COMPUTED_VALUE"""),7.6)</f>
        <v>7.6</v>
      </c>
      <c r="G41" s="5" t="str">
        <f ca="1">IFERROR(__xludf.DUMMYFUNCTION("""COMPUTED_VALUE"""),"5x4")</f>
        <v>5x4</v>
      </c>
      <c r="H41" s="5" t="str">
        <f ca="1">IFERROR(__xludf.DUMMYFUNCTION("""COMPUTED_VALUE"""),"40")</f>
        <v>40</v>
      </c>
      <c r="I41" s="5" t="str">
        <f ca="1">IFERROR(__xludf.DUMMYFUNCTION("""COMPUTED_VALUE"""),"40")</f>
        <v>40</v>
      </c>
      <c r="J41" s="5" t="str">
        <f ca="1">IFERROR(__xludf.DUMMYFUNCTION("""COMPUTED_VALUE"""),"95.32%")</f>
        <v>95.32%</v>
      </c>
      <c r="K41" s="5" t="str">
        <f ca="1">IFERROR(__xludf.DUMMYFUNCTION("""COMPUTED_VALUE"""),"Medium")</f>
        <v>Medium</v>
      </c>
      <c r="L41" s="5" t="str">
        <f ca="1">IFERROR(__xludf.DUMMYFUNCTION("""COMPUTED_VALUE"""),"12.34%")</f>
        <v>12.34%</v>
      </c>
      <c r="M41" s="5" t="str">
        <f ca="1">IFERROR(__xludf.DUMMYFUNCTION("""COMPUTED_VALUE"""),"x2000")</f>
        <v>x2000</v>
      </c>
      <c r="N41" s="5" t="str">
        <f ca="1">IFERROR(__xludf.DUMMYFUNCTION("""COMPUTED_VALUE"""),"0.40/60")</f>
        <v>0.40/60</v>
      </c>
      <c r="O41" s="5" t="str">
        <f ca="1">IFERROR(__xludf.DUMMYFUNCTION("""COMPUTED_VALUE"""),"No")</f>
        <v>No</v>
      </c>
      <c r="P41" s="5" t="str">
        <f ca="1">IFERROR(__xludf.DUMMYFUNCTION("""COMPUTED_VALUE"""),"Special Wild, Scatter, Bonus Game with Free Spins")</f>
        <v>Special Wild, Scatter, Bonus Game with Free Spins</v>
      </c>
      <c r="Q41" s="7" t="str">
        <f ca="1">IFERROR(__xludf.DUMMYFUNCTION("""COMPUTED_VALUE"""),"https://play.redstone.rs/games/40-jokers-free-games/index.html")</f>
        <v>https://play.redstone.rs/games/40-jokers-free-games/index.html</v>
      </c>
      <c r="R41" s="5" t="str">
        <f ca="1">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S4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1" s="5" t="str">
        <f ca="1">IFERROR(__xludf.DUMMYFUNCTION("""COMPUTED_VALUE"""),"Yes")</f>
        <v>Yes</v>
      </c>
      <c r="U41" s="5" t="str">
        <f ca="1">IFERROR(__xludf.DUMMYFUNCTION("""COMPUTED_VALUE"""),"Yes")</f>
        <v>Yes</v>
      </c>
      <c r="V41" s="5" t="str">
        <f ca="1">IFERROR(__xludf.DUMMYFUNCTION("""COMPUTED_VALUE"""),"No")</f>
        <v>No</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IFERROR(__xludf.DUMMYFUNCTION("""COMPUTED_VALUE"""),"Yes")</f>
        <v>Yes</v>
      </c>
      <c r="AA41" s="5" t="str">
        <f ca="1">IFERROR(__xludf.DUMMYFUNCTION("""COMPUTED_VALUE"""),"Yes")</f>
        <v>Yes</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IFERROR(__xludf.DUMMYFUNCTION("""COMPUTED_VALUE"""),"Yes")</f>
        <v>Yes</v>
      </c>
      <c r="AF41" s="5" t="str">
        <f ca="1">IFERROR(__xludf.DUMMYFUNCTION("""COMPUTED_VALUE"""),"Yes")</f>
        <v>Yes</v>
      </c>
      <c r="AG41" s="5" t="str">
        <f ca="1">IFERROR(__xludf.DUMMYFUNCTION("""COMPUTED_VALUE"""),"Yes")</f>
        <v>Yes</v>
      </c>
      <c r="AH41" s="5" t="str">
        <f ca="1">IFERROR(__xludf.DUMMYFUNCTION("""COMPUTED_VALUE"""),"Yes")</f>
        <v>Yes</v>
      </c>
      <c r="AI41" s="5" t="str">
        <f ca="1">IFERROR(__xludf.DUMMYFUNCTION("""COMPUTED_VALUE"""),"No")</f>
        <v>No</v>
      </c>
      <c r="AJ41" s="5" t="str">
        <f ca="1">IFERROR(__xludf.DUMMYFUNCTION("""COMPUTED_VALUE"""),"No")</f>
        <v>No</v>
      </c>
      <c r="AK41" s="5" t="str">
        <f ca="1">IFERROR(__xludf.DUMMYFUNCTION("""COMPUTED_VALUE"""),"No")</f>
        <v>No</v>
      </c>
      <c r="AL41" s="5" t="str">
        <f ca="1">IFERROR(__xludf.DUMMYFUNCTION("""COMPUTED_VALUE"""),"No")</f>
        <v>No</v>
      </c>
      <c r="AM41" s="5" t="str">
        <f ca="1">IFERROR(__xludf.DUMMYFUNCTION("""COMPUTED_VALUE"""),"No")</f>
        <v>No</v>
      </c>
      <c r="AN41" s="5" t="str">
        <f ca="1">IFERROR(__xludf.DUMMYFUNCTION("""COMPUTED_VALUE"""),"No")</f>
        <v>No</v>
      </c>
      <c r="AO41" s="5" t="str">
        <f ca="1">IFERROR(__xludf.DUMMYFUNCTION("""COMPUTED_VALUE"""),"No")</f>
        <v>No</v>
      </c>
      <c r="AP41" s="5" t="str">
        <f ca="1">IFERROR(__xludf.DUMMYFUNCTION("""COMPUTED_VALUE"""),"No")</f>
        <v>No</v>
      </c>
      <c r="AQ41" s="5" t="str">
        <f ca="1">IFERROR(__xludf.DUMMYFUNCTION("""COMPUTED_VALUE"""),"No")</f>
        <v>No</v>
      </c>
      <c r="AR41" s="5" t="str">
        <f ca="1">IFERROR(__xludf.DUMMYFUNCTION("""COMPUTED_VALUE"""),"No")</f>
        <v>No</v>
      </c>
      <c r="AS41" s="5" t="str">
        <f ca="1">IFERROR(__xludf.DUMMYFUNCTION("""COMPUTED_VALUE"""),"Yes")</f>
        <v>Yes</v>
      </c>
      <c r="AT41" s="5" t="str">
        <f ca="1">IFERROR(__xludf.DUMMYFUNCTION("""COMPUTED_VALUE"""),"No")</f>
        <v>No</v>
      </c>
      <c r="AU41" s="5"/>
    </row>
    <row r="42" spans="1:47" x14ac:dyDescent="0.25">
      <c r="A42" s="5" t="str">
        <f ca="1">IFERROR(__xludf.DUMMYFUNCTION("""COMPUTED_VALUE"""),"Redstone")</f>
        <v>Redstone</v>
      </c>
      <c r="B42" s="5" t="str">
        <f ca="1">IFERROR(__xludf.DUMMYFUNCTION("""COMPUTED_VALUE"""),"Moon Dog")</f>
        <v>Moon Dog</v>
      </c>
      <c r="C42" s="5" t="str">
        <f ca="1">IFERROR(__xludf.DUMMYFUNCTION("""COMPUTED_VALUE"""),"RedstoneMoonDog")</f>
        <v>RedstoneMoonDog</v>
      </c>
      <c r="D42" s="6">
        <f ca="1">IFERROR(__xludf.DUMMYFUNCTION("""COMPUTED_VALUE"""),45264)</f>
        <v>45264</v>
      </c>
      <c r="E42" s="5" t="str">
        <f ca="1">IFERROR(__xludf.DUMMYFUNCTION("""COMPUTED_VALUE"""),"Slot")</f>
        <v>Slot</v>
      </c>
      <c r="F42" s="5">
        <f ca="1">IFERROR(__xludf.DUMMYFUNCTION("""COMPUTED_VALUE"""),7.6)</f>
        <v>7.6</v>
      </c>
      <c r="G42" s="5" t="str">
        <f ca="1">IFERROR(__xludf.DUMMYFUNCTION("""COMPUTED_VALUE"""),"5x4")</f>
        <v>5x4</v>
      </c>
      <c r="H42" s="5" t="str">
        <f ca="1">IFERROR(__xludf.DUMMYFUNCTION("""COMPUTED_VALUE"""),"40")</f>
        <v>40</v>
      </c>
      <c r="I42" s="5" t="str">
        <f ca="1">IFERROR(__xludf.DUMMYFUNCTION("""COMPUTED_VALUE"""),"40")</f>
        <v>40</v>
      </c>
      <c r="J42" s="5" t="str">
        <f ca="1">IFERROR(__xludf.DUMMYFUNCTION("""COMPUTED_VALUE"""),"95.32%")</f>
        <v>95.32%</v>
      </c>
      <c r="K42" s="5" t="str">
        <f ca="1">IFERROR(__xludf.DUMMYFUNCTION("""COMPUTED_VALUE"""),"Medium")</f>
        <v>Medium</v>
      </c>
      <c r="L42" s="5" t="str">
        <f ca="1">IFERROR(__xludf.DUMMYFUNCTION("""COMPUTED_VALUE"""),"12.34%")</f>
        <v>12.34%</v>
      </c>
      <c r="M42" s="5" t="str">
        <f ca="1">IFERROR(__xludf.DUMMYFUNCTION("""COMPUTED_VALUE"""),"x2000")</f>
        <v>x2000</v>
      </c>
      <c r="N42" s="5" t="str">
        <f ca="1">IFERROR(__xludf.DUMMYFUNCTION("""COMPUTED_VALUE"""),"0.40/60")</f>
        <v>0.40/60</v>
      </c>
      <c r="O42" s="5" t="str">
        <f ca="1">IFERROR(__xludf.DUMMYFUNCTION("""COMPUTED_VALUE"""),"No")</f>
        <v>No</v>
      </c>
      <c r="P42" s="5" t="str">
        <f ca="1">IFERROR(__xludf.DUMMYFUNCTION("""COMPUTED_VALUE"""),"Special Wild, Scatter, Bonus Game with Free Spins")</f>
        <v>Special Wild, Scatter, Bonus Game with Free Spins</v>
      </c>
      <c r="Q42" s="7" t="str">
        <f ca="1">IFERROR(__xludf.DUMMYFUNCTION("""COMPUTED_VALUE"""),"https://static.redstone.rs/games/moon-dog/")</f>
        <v>https://static.redstone.rs/games/moon-dog/</v>
      </c>
      <c r="R42" s="5" t="str">
        <f ca="1">IFERROR(__xludf.DUMMYFUNCTION("""COMPUTED_VALUE"""),"Take a spin in the Moon Dog universe with 40 lines and bonus games, and win up to 2000x!")</f>
        <v>Take a spin in the Moon Dog universe with 40 lines and bonus games, and win up to 2000x!</v>
      </c>
      <c r="S4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2" s="5" t="str">
        <f ca="1">IFERROR(__xludf.DUMMYFUNCTION("""COMPUTED_VALUE"""),"Yes")</f>
        <v>Yes</v>
      </c>
      <c r="U42" s="5" t="str">
        <f ca="1">IFERROR(__xludf.DUMMYFUNCTION("""COMPUTED_VALUE"""),"Yes")</f>
        <v>Yes</v>
      </c>
      <c r="V42" s="5" t="str">
        <f ca="1">IFERROR(__xludf.DUMMYFUNCTION("""COMPUTED_VALUE"""),"No")</f>
        <v>No</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IFERROR(__xludf.DUMMYFUNCTION("""COMPUTED_VALUE"""),"Yes")</f>
        <v>Yes</v>
      </c>
      <c r="AF42" s="5" t="str">
        <f ca="1">IFERROR(__xludf.DUMMYFUNCTION("""COMPUTED_VALUE"""),"Yes")</f>
        <v>Yes</v>
      </c>
      <c r="AG42" s="5" t="str">
        <f ca="1">IFERROR(__xludf.DUMMYFUNCTION("""COMPUTED_VALUE"""),"Yes")</f>
        <v>Yes</v>
      </c>
      <c r="AH42" s="5" t="str">
        <f ca="1">IFERROR(__xludf.DUMMYFUNCTION("""COMPUTED_VALUE"""),"Yes")</f>
        <v>Yes</v>
      </c>
      <c r="AI42" s="5" t="str">
        <f ca="1">IFERROR(__xludf.DUMMYFUNCTION("""COMPUTED_VALUE"""),"No")</f>
        <v>No</v>
      </c>
      <c r="AJ42" s="5" t="str">
        <f ca="1">IFERROR(__xludf.DUMMYFUNCTION("""COMPUTED_VALUE"""),"No")</f>
        <v>No</v>
      </c>
      <c r="AK42" s="5" t="str">
        <f ca="1">IFERROR(__xludf.DUMMYFUNCTION("""COMPUTED_VALUE"""),"No")</f>
        <v>No</v>
      </c>
      <c r="AL42" s="5" t="str">
        <f ca="1">IFERROR(__xludf.DUMMYFUNCTION("""COMPUTED_VALUE"""),"No")</f>
        <v>No</v>
      </c>
      <c r="AM42" s="5" t="str">
        <f ca="1">IFERROR(__xludf.DUMMYFUNCTION("""COMPUTED_VALUE"""),"No")</f>
        <v>No</v>
      </c>
      <c r="AN42" s="5" t="str">
        <f ca="1">IFERROR(__xludf.DUMMYFUNCTION("""COMPUTED_VALUE"""),"No")</f>
        <v>No</v>
      </c>
      <c r="AO42" s="5" t="str">
        <f ca="1">IFERROR(__xludf.DUMMYFUNCTION("""COMPUTED_VALUE"""),"No")</f>
        <v>No</v>
      </c>
      <c r="AP42" s="5" t="str">
        <f ca="1">IFERROR(__xludf.DUMMYFUNCTION("""COMPUTED_VALUE"""),"No")</f>
        <v>No</v>
      </c>
      <c r="AQ42" s="5" t="str">
        <f ca="1">IFERROR(__xludf.DUMMYFUNCTION("""COMPUTED_VALUE"""),"No")</f>
        <v>No</v>
      </c>
      <c r="AR42" s="5" t="str">
        <f ca="1">IFERROR(__xludf.DUMMYFUNCTION("""COMPUTED_VALUE"""),"No")</f>
        <v>No</v>
      </c>
      <c r="AS42" s="5" t="str">
        <f ca="1">IFERROR(__xludf.DUMMYFUNCTION("""COMPUTED_VALUE"""),"Yes")</f>
        <v>Yes</v>
      </c>
      <c r="AT42" s="5" t="str">
        <f ca="1">IFERROR(__xludf.DUMMYFUNCTION("""COMPUTED_VALUE"""),"No")</f>
        <v>No</v>
      </c>
      <c r="AU42" s="5"/>
    </row>
    <row r="43" spans="1:47" x14ac:dyDescent="0.25">
      <c r="A43" s="5" t="str">
        <f ca="1">IFERROR(__xludf.DUMMYFUNCTION("""COMPUTED_VALUE"""),"Redstone")</f>
        <v>Redstone</v>
      </c>
      <c r="B43" s="5" t="str">
        <f ca="1">IFERROR(__xludf.DUMMYFUNCTION("""COMPUTED_VALUE"""),"20 Wild Crown")</f>
        <v>20 Wild Crown</v>
      </c>
      <c r="C43" s="5" t="str">
        <f ca="1">IFERROR(__xludf.DUMMYFUNCTION("""COMPUTED_VALUE"""),"Redstone20WildCrown")</f>
        <v>Redstone20WildCrown</v>
      </c>
      <c r="D43" s="6">
        <f ca="1">IFERROR(__xludf.DUMMYFUNCTION("""COMPUTED_VALUE"""),45278)</f>
        <v>45278</v>
      </c>
      <c r="E43" s="5" t="str">
        <f ca="1">IFERROR(__xludf.DUMMYFUNCTION("""COMPUTED_VALUE"""),"Slot")</f>
        <v>Slot</v>
      </c>
      <c r="F43" s="5">
        <f ca="1">IFERROR(__xludf.DUMMYFUNCTION("""COMPUTED_VALUE"""),8.9)</f>
        <v>8.9</v>
      </c>
      <c r="G43" s="5" t="str">
        <f ca="1">IFERROR(__xludf.DUMMYFUNCTION("""COMPUTED_VALUE"""),"5x3")</f>
        <v>5x3</v>
      </c>
      <c r="H43" s="5" t="str">
        <f ca="1">IFERROR(__xludf.DUMMYFUNCTION("""COMPUTED_VALUE"""),"20")</f>
        <v>20</v>
      </c>
      <c r="I43" s="5" t="str">
        <f ca="1">IFERROR(__xludf.DUMMYFUNCTION("""COMPUTED_VALUE"""),"20")</f>
        <v>20</v>
      </c>
      <c r="J43" s="5" t="str">
        <f ca="1">IFERROR(__xludf.DUMMYFUNCTION("""COMPUTED_VALUE"""),"96.55%")</f>
        <v>96.55%</v>
      </c>
      <c r="K43" s="5" t="str">
        <f ca="1">IFERROR(__xludf.DUMMYFUNCTION("""COMPUTED_VALUE"""),"Medium")</f>
        <v>Medium</v>
      </c>
      <c r="L43" s="5" t="str">
        <f ca="1">IFERROR(__xludf.DUMMYFUNCTION("""COMPUTED_VALUE"""),"21.75%")</f>
        <v>21.75%</v>
      </c>
      <c r="M43" s="5" t="str">
        <f ca="1">IFERROR(__xludf.DUMMYFUNCTION("""COMPUTED_VALUE"""),"x1231.5")</f>
        <v>x1231.5</v>
      </c>
      <c r="N43" s="5" t="str">
        <f ca="1">IFERROR(__xludf.DUMMYFUNCTION("""COMPUTED_VALUE"""),"0.20/100")</f>
        <v>0.20/100</v>
      </c>
      <c r="O43" s="5" t="str">
        <f ca="1">IFERROR(__xludf.DUMMYFUNCTION("""COMPUTED_VALUE"""),"No")</f>
        <v>No</v>
      </c>
      <c r="P43" s="5" t="str">
        <f ca="1">IFERROR(__xludf.DUMMYFUNCTION("""COMPUTED_VALUE"""),"Expanding Wild, Scatter")</f>
        <v>Expanding Wild, Scatter</v>
      </c>
      <c r="Q43" s="7" t="str">
        <f ca="1">IFERROR(__xludf.DUMMYFUNCTION("""COMPUTED_VALUE"""),"https://play.redstone.rs/games/20-wild-crown/index.html")</f>
        <v>https://play.redstone.rs/games/20-wild-crown/index.html</v>
      </c>
      <c r="R43" s="5" t="str">
        <f ca="1">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S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IFERROR(__xludf.DUMMYFUNCTION("""COMPUTED_VALUE"""),"Yes")</f>
        <v>Yes</v>
      </c>
      <c r="AF43" s="5" t="str">
        <f ca="1">IFERROR(__xludf.DUMMYFUNCTION("""COMPUTED_VALUE"""),"Yes")</f>
        <v>Yes</v>
      </c>
      <c r="AG43" s="5" t="str">
        <f ca="1">IFERROR(__xludf.DUMMYFUNCTION("""COMPUTED_VALUE"""),"Yes")</f>
        <v>Yes</v>
      </c>
      <c r="AH43" s="5" t="str">
        <f ca="1">IFERROR(__xludf.DUMMYFUNCTION("""COMPUTED_VALUE"""),"Yes")</f>
        <v>Yes</v>
      </c>
      <c r="AI43" s="5" t="str">
        <f ca="1">IFERROR(__xludf.DUMMYFUNCTION("""COMPUTED_VALUE"""),"Yes")</f>
        <v>Yes</v>
      </c>
      <c r="AJ43" s="5" t="str">
        <f ca="1">IFERROR(__xludf.DUMMYFUNCTION("""COMPUTED_VALUE"""),"Yes")</f>
        <v>Yes</v>
      </c>
      <c r="AK43" s="5" t="str">
        <f ca="1">IFERROR(__xludf.DUMMYFUNCTION("""COMPUTED_VALUE"""),"Yes")</f>
        <v>Yes</v>
      </c>
      <c r="AL43" s="5" t="str">
        <f ca="1">IFERROR(__xludf.DUMMYFUNCTION("""COMPUTED_VALUE"""),"Yes")</f>
        <v>Yes</v>
      </c>
      <c r="AM43" s="5"/>
      <c r="AN43" s="5" t="str">
        <f ca="1">IFERROR(__xludf.DUMMYFUNCTION("""COMPUTED_VALUE"""),"Yes")</f>
        <v>Yes</v>
      </c>
      <c r="AO43" s="5"/>
      <c r="AP43" s="5"/>
      <c r="AQ43" s="5" t="str">
        <f ca="1">IFERROR(__xludf.DUMMYFUNCTION("""COMPUTED_VALUE"""),"Yes")</f>
        <v>Yes</v>
      </c>
      <c r="AR43" s="5"/>
      <c r="AS43" s="5"/>
      <c r="AT43" s="5"/>
      <c r="AU43" s="5"/>
    </row>
    <row r="44" spans="1:47" x14ac:dyDescent="0.25">
      <c r="A44" s="5" t="str">
        <f ca="1">IFERROR(__xludf.DUMMYFUNCTION("""COMPUTED_VALUE"""),"Redstone")</f>
        <v>Redstone</v>
      </c>
      <c r="B44" s="5" t="str">
        <f ca="1">IFERROR(__xludf.DUMMYFUNCTION("""COMPUTED_VALUE"""),"Chilli Double")</f>
        <v>Chilli Double</v>
      </c>
      <c r="C44" s="5" t="str">
        <f ca="1">IFERROR(__xludf.DUMMYFUNCTION("""COMPUTED_VALUE"""),"RedstoneChilliDouble")</f>
        <v>RedstoneChilliDouble</v>
      </c>
      <c r="D44" s="6">
        <f ca="1">IFERROR(__xludf.DUMMYFUNCTION("""COMPUTED_VALUE"""),45313)</f>
        <v>45313</v>
      </c>
      <c r="E44" s="5" t="str">
        <f ca="1">IFERROR(__xludf.DUMMYFUNCTION("""COMPUTED_VALUE"""),"Slot")</f>
        <v>Slot</v>
      </c>
      <c r="F44" s="5">
        <f ca="1">IFERROR(__xludf.DUMMYFUNCTION("""COMPUTED_VALUE"""),7.5)</f>
        <v>7.5</v>
      </c>
      <c r="G44" s="5" t="str">
        <f ca="1">IFERROR(__xludf.DUMMYFUNCTION("""COMPUTED_VALUE"""),"5x3")</f>
        <v>5x3</v>
      </c>
      <c r="H44" s="5" t="str">
        <f ca="1">IFERROR(__xludf.DUMMYFUNCTION("""COMPUTED_VALUE"""),"5")</f>
        <v>5</v>
      </c>
      <c r="I44" s="5" t="str">
        <f ca="1">IFERROR(__xludf.DUMMYFUNCTION("""COMPUTED_VALUE"""),"5")</f>
        <v>5</v>
      </c>
      <c r="J44" s="5" t="str">
        <f ca="1">IFERROR(__xludf.DUMMYFUNCTION("""COMPUTED_VALUE"""),"96.45%")</f>
        <v>96.45%</v>
      </c>
      <c r="K44" s="5" t="str">
        <f ca="1">IFERROR(__xludf.DUMMYFUNCTION("""COMPUTED_VALUE"""),"Medium")</f>
        <v>Medium</v>
      </c>
      <c r="L44" s="5" t="str">
        <f ca="1">IFERROR(__xludf.DUMMYFUNCTION("""COMPUTED_VALUE"""),"14.23%")</f>
        <v>14.23%</v>
      </c>
      <c r="M44" s="5" t="str">
        <f ca="1">IFERROR(__xludf.DUMMYFUNCTION("""COMPUTED_VALUE"""),"x2624")</f>
        <v>x2624</v>
      </c>
      <c r="N44" s="5" t="str">
        <f ca="1">IFERROR(__xludf.DUMMYFUNCTION("""COMPUTED_VALUE"""),"0.05/100")</f>
        <v>0.05/100</v>
      </c>
      <c r="O44" s="5" t="str">
        <f ca="1">IFERROR(__xludf.DUMMYFUNCTION("""COMPUTED_VALUE"""),"No")</f>
        <v>No</v>
      </c>
      <c r="P44" s="5" t="str">
        <f ca="1">IFERROR(__xludf.DUMMYFUNCTION("""COMPUTED_VALUE"""),"Expanding Wild, Scatter")</f>
        <v>Expanding Wild, Scatter</v>
      </c>
      <c r="Q44" s="7" t="str">
        <f ca="1">IFERROR(__xludf.DUMMYFUNCTION("""COMPUTED_VALUE"""),"https://static.redstone.rs/games/chilli-double/")</f>
        <v>https://static.redstone.rs/games/chilli-double/</v>
      </c>
      <c r="R44" s="5" t="str">
        <f ca="1">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S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IFERROR(__xludf.DUMMYFUNCTION("""COMPUTED_VALUE"""),"Yes")</f>
        <v>Yes</v>
      </c>
      <c r="AF44" s="5" t="str">
        <f ca="1">IFERROR(__xludf.DUMMYFUNCTION("""COMPUTED_VALUE"""),"Yes")</f>
        <v>Yes</v>
      </c>
      <c r="AG44" s="5" t="str">
        <f ca="1">IFERROR(__xludf.DUMMYFUNCTION("""COMPUTED_VALUE"""),"Yes")</f>
        <v>Yes</v>
      </c>
      <c r="AH44" s="5" t="str">
        <f ca="1">IFERROR(__xludf.DUMMYFUNCTION("""COMPUTED_VALUE"""),"Yes")</f>
        <v>Yes</v>
      </c>
      <c r="AI44" s="5" t="str">
        <f ca="1">IFERROR(__xludf.DUMMYFUNCTION("""COMPUTED_VALUE"""),"Yes")</f>
        <v>Yes</v>
      </c>
      <c r="AJ44" s="5" t="str">
        <f ca="1">IFERROR(__xludf.DUMMYFUNCTION("""COMPUTED_VALUE"""),"Yes")</f>
        <v>Yes</v>
      </c>
      <c r="AK44" s="5" t="str">
        <f ca="1">IFERROR(__xludf.DUMMYFUNCTION("""COMPUTED_VALUE"""),"Yes")</f>
        <v>Yes</v>
      </c>
      <c r="AL44" s="5" t="str">
        <f ca="1">IFERROR(__xludf.DUMMYFUNCTION("""COMPUTED_VALUE"""),"Yes")</f>
        <v>Yes</v>
      </c>
      <c r="AM44" s="5"/>
      <c r="AN44" s="5" t="str">
        <f ca="1">IFERROR(__xludf.DUMMYFUNCTION("""COMPUTED_VALUE"""),"Yes")</f>
        <v>Yes</v>
      </c>
      <c r="AO44" s="5" t="str">
        <f ca="1">IFERROR(__xludf.DUMMYFUNCTION("""COMPUTED_VALUE"""),"Yes")</f>
        <v>Yes</v>
      </c>
      <c r="AP44" s="5" t="str">
        <f ca="1">IFERROR(__xludf.DUMMYFUNCTION("""COMPUTED_VALUE"""),"Yes")</f>
        <v>Yes</v>
      </c>
      <c r="AQ44" s="5" t="str">
        <f ca="1">IFERROR(__xludf.DUMMYFUNCTION("""COMPUTED_VALUE"""),"Yes")</f>
        <v>Yes</v>
      </c>
      <c r="AR44" s="5" t="str">
        <f ca="1">IFERROR(__xludf.DUMMYFUNCTION("""COMPUTED_VALUE"""),"Yes")</f>
        <v>Yes</v>
      </c>
      <c r="AS44" s="5" t="str">
        <f ca="1">IFERROR(__xludf.DUMMYFUNCTION("""COMPUTED_VALUE"""),"Yes")</f>
        <v>Yes</v>
      </c>
      <c r="AT44" s="5"/>
      <c r="AU44" s="5"/>
    </row>
    <row r="45" spans="1:47" x14ac:dyDescent="0.25">
      <c r="A45" s="5" t="str">
        <f ca="1">IFERROR(__xludf.DUMMYFUNCTION("""COMPUTED_VALUE"""),"Redstone")</f>
        <v>Redstone</v>
      </c>
      <c r="B45" s="5" t="str">
        <f ca="1">IFERROR(__xludf.DUMMYFUNCTION("""COMPUTED_VALUE"""),"Hot Rush Crown Burst")</f>
        <v>Hot Rush Crown Burst</v>
      </c>
      <c r="C45" s="5" t="str">
        <f ca="1">IFERROR(__xludf.DUMMYFUNCTION("""COMPUTED_VALUE"""),"RedstoneHotRushCrownBurst")</f>
        <v>RedstoneHotRushCrownBurst</v>
      </c>
      <c r="D45" s="6">
        <f ca="1">IFERROR(__xludf.DUMMYFUNCTION("""COMPUTED_VALUE"""),45328)</f>
        <v>45328</v>
      </c>
      <c r="E45" s="5" t="str">
        <f ca="1">IFERROR(__xludf.DUMMYFUNCTION("""COMPUTED_VALUE"""),"Slot")</f>
        <v>Slot</v>
      </c>
      <c r="F45" s="5">
        <f ca="1">IFERROR(__xludf.DUMMYFUNCTION("""COMPUTED_VALUE"""),8.9)</f>
        <v>8.9</v>
      </c>
      <c r="G45" s="5" t="str">
        <f ca="1">IFERROR(__xludf.DUMMYFUNCTION("""COMPUTED_VALUE"""),"5x3")</f>
        <v>5x3</v>
      </c>
      <c r="H45" s="5" t="str">
        <f ca="1">IFERROR(__xludf.DUMMYFUNCTION("""COMPUTED_VALUE"""),"5")</f>
        <v>5</v>
      </c>
      <c r="I45" s="5" t="str">
        <f ca="1">IFERROR(__xludf.DUMMYFUNCTION("""COMPUTED_VALUE"""),"5")</f>
        <v>5</v>
      </c>
      <c r="J45" s="5" t="str">
        <f ca="1">IFERROR(__xludf.DUMMYFUNCTION("""COMPUTED_VALUE"""),"96.45%")</f>
        <v>96.45%</v>
      </c>
      <c r="K45" s="5" t="str">
        <f ca="1">IFERROR(__xludf.DUMMYFUNCTION("""COMPUTED_VALUE"""),"Medium")</f>
        <v>Medium</v>
      </c>
      <c r="L45" s="5" t="str">
        <f ca="1">IFERROR(__xludf.DUMMYFUNCTION("""COMPUTED_VALUE"""),"14.5%")</f>
        <v>14.5%</v>
      </c>
      <c r="M45" s="5" t="str">
        <f ca="1">IFERROR(__xludf.DUMMYFUNCTION("""COMPUTED_VALUE"""),"x1222")</f>
        <v>x1222</v>
      </c>
      <c r="N45" s="5" t="str">
        <f ca="1">IFERROR(__xludf.DUMMYFUNCTION("""COMPUTED_VALUE"""),"0.05/100")</f>
        <v>0.05/100</v>
      </c>
      <c r="O45" s="5" t="str">
        <f ca="1">IFERROR(__xludf.DUMMYFUNCTION("""COMPUTED_VALUE"""),"No")</f>
        <v>No</v>
      </c>
      <c r="P45" s="5" t="str">
        <f ca="1">IFERROR(__xludf.DUMMYFUNCTION("""COMPUTED_VALUE"""),"Expanding Wild, Scatter")</f>
        <v>Expanding Wild, Scatter</v>
      </c>
      <c r="Q45" s="7" t="str">
        <f ca="1">IFERROR(__xludf.DUMMYFUNCTION("""COMPUTED_VALUE"""),"https://static.redstone.rs/games/hot-rush-crown-burst/")</f>
        <v>https://static.redstone.rs/games/hot-rush-crown-burst/</v>
      </c>
      <c r="R45" s="5" t="str">
        <f ca="1">IFERROR(__xludf.DUMMYFUNCTION("""COMPUTED_VALUE"""),"In Hot Rush Crown Burst, every expanding wild brings a rush of adrenaline and the chance for a 1200x cosmic payout!")</f>
        <v>In Hot Rush Crown Burst, every expanding wild brings a rush of adrenaline and the chance for a 1200x cosmic payout!</v>
      </c>
      <c r="S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IFERROR(__xludf.DUMMYFUNCTION("""COMPUTED_VALUE"""),"Yes")</f>
        <v>Yes</v>
      </c>
      <c r="AF45" s="5" t="str">
        <f ca="1">IFERROR(__xludf.DUMMYFUNCTION("""COMPUTED_VALUE"""),"Yes")</f>
        <v>Yes</v>
      </c>
      <c r="AG45" s="5" t="str">
        <f ca="1">IFERROR(__xludf.DUMMYFUNCTION("""COMPUTED_VALUE"""),"Yes")</f>
        <v>Yes</v>
      </c>
      <c r="AH45" s="5" t="str">
        <f ca="1">IFERROR(__xludf.DUMMYFUNCTION("""COMPUTED_VALUE"""),"Yes")</f>
        <v>Yes</v>
      </c>
      <c r="AI45" s="5" t="str">
        <f ca="1">IFERROR(__xludf.DUMMYFUNCTION("""COMPUTED_VALUE"""),"Yes")</f>
        <v>Yes</v>
      </c>
      <c r="AJ45" s="5" t="str">
        <f ca="1">IFERROR(__xludf.DUMMYFUNCTION("""COMPUTED_VALUE"""),"Yes")</f>
        <v>Yes</v>
      </c>
      <c r="AK45" s="5" t="str">
        <f ca="1">IFERROR(__xludf.DUMMYFUNCTION("""COMPUTED_VALUE"""),"Yes")</f>
        <v>Yes</v>
      </c>
      <c r="AL45" s="5" t="str">
        <f ca="1">IFERROR(__xludf.DUMMYFUNCTION("""COMPUTED_VALUE"""),"Yes")</f>
        <v>Yes</v>
      </c>
      <c r="AM45" s="5"/>
      <c r="AN45" s="5"/>
      <c r="AO45" s="5"/>
      <c r="AP45" s="5"/>
      <c r="AQ45" s="5" t="str">
        <f ca="1">IFERROR(__xludf.DUMMYFUNCTION("""COMPUTED_VALUE"""),"Yes")</f>
        <v>Yes</v>
      </c>
      <c r="AR45" s="5"/>
      <c r="AS45" s="5"/>
      <c r="AT45" s="5"/>
      <c r="AU45" s="5"/>
    </row>
    <row r="46" spans="1:47" x14ac:dyDescent="0.25">
      <c r="A46" s="5" t="str">
        <f ca="1">IFERROR(__xludf.DUMMYFUNCTION("""COMPUTED_VALUE"""),"Redstone")</f>
        <v>Redstone</v>
      </c>
      <c r="B46" s="5" t="str">
        <f ca="1">IFERROR(__xludf.DUMMYFUNCTION("""COMPUTED_VALUE"""),"Lady Triple Fortune")</f>
        <v>Lady Triple Fortune</v>
      </c>
      <c r="C46" s="5" t="str">
        <f ca="1">IFERROR(__xludf.DUMMYFUNCTION("""COMPUTED_VALUE"""),"RedstoneLadyTripleFortune")</f>
        <v>RedstoneLadyTripleFortune</v>
      </c>
      <c r="D46" s="6">
        <f ca="1">IFERROR(__xludf.DUMMYFUNCTION("""COMPUTED_VALUE"""),45329)</f>
        <v>45329</v>
      </c>
      <c r="E46" s="5" t="str">
        <f ca="1">IFERROR(__xludf.DUMMYFUNCTION("""COMPUTED_VALUE"""),"Slot")</f>
        <v>Slot</v>
      </c>
      <c r="F46" s="5">
        <f ca="1">IFERROR(__xludf.DUMMYFUNCTION("""COMPUTED_VALUE"""),9.5)</f>
        <v>9.5</v>
      </c>
      <c r="G46" s="5" t="str">
        <f ca="1">IFERROR(__xludf.DUMMYFUNCTION("""COMPUTED_VALUE"""),"5x3")</f>
        <v>5x3</v>
      </c>
      <c r="H46" s="5" t="str">
        <f ca="1">IFERROR(__xludf.DUMMYFUNCTION("""COMPUTED_VALUE"""),"5")</f>
        <v>5</v>
      </c>
      <c r="I46" s="5" t="str">
        <f ca="1">IFERROR(__xludf.DUMMYFUNCTION("""COMPUTED_VALUE"""),"5")</f>
        <v>5</v>
      </c>
      <c r="J46" s="5" t="str">
        <f ca="1">IFERROR(__xludf.DUMMYFUNCTION("""COMPUTED_VALUE"""),"96.45%")</f>
        <v>96.45%</v>
      </c>
      <c r="K46" s="5" t="str">
        <f ca="1">IFERROR(__xludf.DUMMYFUNCTION("""COMPUTED_VALUE"""),"Medium")</f>
        <v>Medium</v>
      </c>
      <c r="L46" s="5" t="str">
        <f ca="1">IFERROR(__xludf.DUMMYFUNCTION("""COMPUTED_VALUE"""),"14.5%")</f>
        <v>14.5%</v>
      </c>
      <c r="M46" s="5" t="str">
        <f ca="1">IFERROR(__xludf.DUMMYFUNCTION("""COMPUTED_VALUE"""),"x1222")</f>
        <v>x1222</v>
      </c>
      <c r="N46" s="5" t="str">
        <f ca="1">IFERROR(__xludf.DUMMYFUNCTION("""COMPUTED_VALUE"""),"0.10/100")</f>
        <v>0.10/100</v>
      </c>
      <c r="O46" s="5" t="str">
        <f ca="1">IFERROR(__xludf.DUMMYFUNCTION("""COMPUTED_VALUE"""),"No")</f>
        <v>No</v>
      </c>
      <c r="P46" s="5" t="str">
        <f ca="1">IFERROR(__xludf.DUMMYFUNCTION("""COMPUTED_VALUE"""),"Scatter, Expanding Wild")</f>
        <v>Scatter, Expanding Wild</v>
      </c>
      <c r="Q46" s="7" t="str">
        <f ca="1">IFERROR(__xludf.DUMMYFUNCTION("""COMPUTED_VALUE"""),"https://static.redstone.rs/games/lady-triple-fortune/")</f>
        <v>https://static.redstone.rs/games/lady-triple-fortune/</v>
      </c>
      <c r="R46" s="5" t="str">
        <f ca="1">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S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IFERROR(__xludf.DUMMYFUNCTION("""COMPUTED_VALUE"""),"Yes")</f>
        <v>Yes</v>
      </c>
      <c r="AA46" s="5" t="str">
        <f ca="1">IFERROR(__xludf.DUMMYFUNCTION("""COMPUTED_VALUE"""),"Yes")</f>
        <v>Yes</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IFERROR(__xludf.DUMMYFUNCTION("""COMPUTED_VALUE"""),"Yes")</f>
        <v>Yes</v>
      </c>
      <c r="AF46" s="5" t="str">
        <f ca="1">IFERROR(__xludf.DUMMYFUNCTION("""COMPUTED_VALUE"""),"Yes")</f>
        <v>Yes</v>
      </c>
      <c r="AG46" s="5" t="str">
        <f ca="1">IFERROR(__xludf.DUMMYFUNCTION("""COMPUTED_VALUE"""),"Yes")</f>
        <v>Yes</v>
      </c>
      <c r="AH46" s="5" t="str">
        <f ca="1">IFERROR(__xludf.DUMMYFUNCTION("""COMPUTED_VALUE"""),"Yes")</f>
        <v>Yes</v>
      </c>
      <c r="AI46" s="5" t="str">
        <f ca="1">IFERROR(__xludf.DUMMYFUNCTION("""COMPUTED_VALUE"""),"Yes")</f>
        <v>Yes</v>
      </c>
      <c r="AJ46" s="5" t="str">
        <f ca="1">IFERROR(__xludf.DUMMYFUNCTION("""COMPUTED_VALUE"""),"Yes")</f>
        <v>Yes</v>
      </c>
      <c r="AK46" s="5" t="str">
        <f ca="1">IFERROR(__xludf.DUMMYFUNCTION("""COMPUTED_VALUE"""),"Yes")</f>
        <v>Yes</v>
      </c>
      <c r="AL46" s="5" t="str">
        <f ca="1">IFERROR(__xludf.DUMMYFUNCTION("""COMPUTED_VALUE"""),"Yes")</f>
        <v>Yes</v>
      </c>
      <c r="AM46" s="5"/>
      <c r="AN46" s="5"/>
      <c r="AO46" s="5"/>
      <c r="AP46" s="5"/>
      <c r="AQ46" s="5" t="str">
        <f ca="1">IFERROR(__xludf.DUMMYFUNCTION("""COMPUTED_VALUE"""),"Yes")</f>
        <v>Yes</v>
      </c>
      <c r="AR46" s="5"/>
      <c r="AS46" s="5"/>
      <c r="AT46" s="5"/>
      <c r="AU46" s="5"/>
    </row>
    <row r="47" spans="1:47" x14ac:dyDescent="0.25">
      <c r="A47" s="5" t="str">
        <f ca="1">IFERROR(__xludf.DUMMYFUNCTION("""COMPUTED_VALUE"""),"Redstone")</f>
        <v>Redstone</v>
      </c>
      <c r="B47" s="5" t="str">
        <f ca="1">IFERROR(__xludf.DUMMYFUNCTION("""COMPUTED_VALUE"""),"Hot Rush Stars Deluxe")</f>
        <v>Hot Rush Stars Deluxe</v>
      </c>
      <c r="C47" s="5" t="str">
        <f ca="1">IFERROR(__xludf.DUMMYFUNCTION("""COMPUTED_VALUE"""),"RedstoneHotRushStarsDeluxe")</f>
        <v>RedstoneHotRushStarsDeluxe</v>
      </c>
      <c r="D47" s="6">
        <f ca="1">IFERROR(__xludf.DUMMYFUNCTION("""COMPUTED_VALUE"""),45364)</f>
        <v>45364</v>
      </c>
      <c r="E47" s="5" t="str">
        <f ca="1">IFERROR(__xludf.DUMMYFUNCTION("""COMPUTED_VALUE"""),"Slot")</f>
        <v>Slot</v>
      </c>
      <c r="F47" s="5">
        <f ca="1">IFERROR(__xludf.DUMMYFUNCTION("""COMPUTED_VALUE"""),8)</f>
        <v>8</v>
      </c>
      <c r="G47" s="5" t="str">
        <f ca="1">IFERROR(__xludf.DUMMYFUNCTION("""COMPUTED_VALUE"""),"5x3")</f>
        <v>5x3</v>
      </c>
      <c r="H47" s="5" t="str">
        <f ca="1">IFERROR(__xludf.DUMMYFUNCTION("""COMPUTED_VALUE"""),"5")</f>
        <v>5</v>
      </c>
      <c r="I47" s="5" t="str">
        <f ca="1">IFERROR(__xludf.DUMMYFUNCTION("""COMPUTED_VALUE"""),"5")</f>
        <v>5</v>
      </c>
      <c r="J47" s="5" t="str">
        <f ca="1">IFERROR(__xludf.DUMMYFUNCTION("""COMPUTED_VALUE"""),"96.15%")</f>
        <v>96.15%</v>
      </c>
      <c r="K47" s="5" t="str">
        <f ca="1">IFERROR(__xludf.DUMMYFUNCTION("""COMPUTED_VALUE"""),"Medium")</f>
        <v>Medium</v>
      </c>
      <c r="L47" s="5" t="str">
        <f ca="1">IFERROR(__xludf.DUMMYFUNCTION("""COMPUTED_VALUE"""),"12.88%")</f>
        <v>12.88%</v>
      </c>
      <c r="M47" s="5" t="str">
        <f ca="1">IFERROR(__xludf.DUMMYFUNCTION("""COMPUTED_VALUE"""),"x1000")</f>
        <v>x1000</v>
      </c>
      <c r="N47" s="5" t="str">
        <f ca="1">IFERROR(__xludf.DUMMYFUNCTION("""COMPUTED_VALUE"""),"0.05/100")</f>
        <v>0.05/100</v>
      </c>
      <c r="O47" s="5" t="str">
        <f ca="1">IFERROR(__xludf.DUMMYFUNCTION("""COMPUTED_VALUE"""),"No")</f>
        <v>No</v>
      </c>
      <c r="P47" s="5" t="str">
        <f ca="1">IFERROR(__xludf.DUMMYFUNCTION("""COMPUTED_VALUE"""),"Scatter")</f>
        <v>Scatter</v>
      </c>
      <c r="Q47" s="7" t="str">
        <f ca="1">IFERROR(__xludf.DUMMYFUNCTION("""COMPUTED_VALUE"""),"https://static.redstone.rs/games/hot-rush-stars-deluxe/")</f>
        <v>https://static.redstone.rs/games/hot-rush-stars-deluxe/</v>
      </c>
      <c r="R47" s="5" t="str">
        <f ca="1">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S4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7" s="5" t="str">
        <f ca="1">IFERROR(__xludf.DUMMYFUNCTION("""COMPUTED_VALUE"""),"Yes")</f>
        <v>Yes</v>
      </c>
      <c r="U47" s="5" t="str">
        <f ca="1">IFERROR(__xludf.DUMMYFUNCTION("""COMPUTED_VALUE"""),"Yes")</f>
        <v>Yes</v>
      </c>
      <c r="V47" s="5" t="str">
        <f ca="1">IFERROR(__xludf.DUMMYFUNCTION("""COMPUTED_VALUE"""),"No")</f>
        <v>No</v>
      </c>
      <c r="W47" s="5" t="str">
        <f ca="1">IFERROR(__xludf.DUMMYFUNCTION("""COMPUTED_VALUE"""),"Yes")</f>
        <v>Yes</v>
      </c>
      <c r="X47" s="5" t="str">
        <f ca="1">IFERROR(__xludf.DUMMYFUNCTION("""COMPUTED_VALUE"""),"Yes")</f>
        <v>Yes</v>
      </c>
      <c r="Y47" s="5" t="str">
        <f ca="1">IFERROR(__xludf.DUMMYFUNCTION("""COMPUTED_VALUE"""),"Yes")</f>
        <v>Yes</v>
      </c>
      <c r="Z47" s="5" t="str">
        <f ca="1">IFERROR(__xludf.DUMMYFUNCTION("""COMPUTED_VALUE"""),"Yes")</f>
        <v>Yes</v>
      </c>
      <c r="AA47" s="5" t="str">
        <f ca="1">IFERROR(__xludf.DUMMYFUNCTION("""COMPUTED_VALUE"""),"Yes")</f>
        <v>Yes</v>
      </c>
      <c r="AB47" s="5" t="str">
        <f ca="1">IFERROR(__xludf.DUMMYFUNCTION("""COMPUTED_VALUE"""),"Yes")</f>
        <v>Yes</v>
      </c>
      <c r="AC47" s="5" t="str">
        <f ca="1">IFERROR(__xludf.DUMMYFUNCTION("""COMPUTED_VALUE"""),"Yes")</f>
        <v>Yes</v>
      </c>
      <c r="AD47" s="5" t="str">
        <f ca="1">IFERROR(__xludf.DUMMYFUNCTION("""COMPUTED_VALUE"""),"Yes")</f>
        <v>Yes</v>
      </c>
      <c r="AE47" s="5" t="str">
        <f ca="1">IFERROR(__xludf.DUMMYFUNCTION("""COMPUTED_VALUE"""),"Yes")</f>
        <v>Yes</v>
      </c>
      <c r="AF47" s="5" t="str">
        <f ca="1">IFERROR(__xludf.DUMMYFUNCTION("""COMPUTED_VALUE"""),"Yes")</f>
        <v>Yes</v>
      </c>
      <c r="AG47" s="5" t="str">
        <f ca="1">IFERROR(__xludf.DUMMYFUNCTION("""COMPUTED_VALUE"""),"Yes")</f>
        <v>Yes</v>
      </c>
      <c r="AH47" s="5" t="str">
        <f ca="1">IFERROR(__xludf.DUMMYFUNCTION("""COMPUTED_VALUE"""),"Yes")</f>
        <v>Yes</v>
      </c>
      <c r="AI47" s="5" t="str">
        <f ca="1">IFERROR(__xludf.DUMMYFUNCTION("""COMPUTED_VALUE"""),"No")</f>
        <v>No</v>
      </c>
      <c r="AJ47" s="5" t="str">
        <f ca="1">IFERROR(__xludf.DUMMYFUNCTION("""COMPUTED_VALUE"""),"No")</f>
        <v>No</v>
      </c>
      <c r="AK47" s="5" t="str">
        <f ca="1">IFERROR(__xludf.DUMMYFUNCTION("""COMPUTED_VALUE"""),"No")</f>
        <v>No</v>
      </c>
      <c r="AL47" s="5" t="str">
        <f ca="1">IFERROR(__xludf.DUMMYFUNCTION("""COMPUTED_VALUE"""),"No")</f>
        <v>No</v>
      </c>
      <c r="AM47" s="5" t="str">
        <f ca="1">IFERROR(__xludf.DUMMYFUNCTION("""COMPUTED_VALUE"""),"No")</f>
        <v>No</v>
      </c>
      <c r="AN47" s="5" t="str">
        <f ca="1">IFERROR(__xludf.DUMMYFUNCTION("""COMPUTED_VALUE"""),"No")</f>
        <v>No</v>
      </c>
      <c r="AO47" s="5" t="str">
        <f ca="1">IFERROR(__xludf.DUMMYFUNCTION("""COMPUTED_VALUE"""),"No")</f>
        <v>No</v>
      </c>
      <c r="AP47" s="5" t="str">
        <f ca="1">IFERROR(__xludf.DUMMYFUNCTION("""COMPUTED_VALUE"""),"No")</f>
        <v>No</v>
      </c>
      <c r="AQ47" s="5" t="str">
        <f ca="1">IFERROR(__xludf.DUMMYFUNCTION("""COMPUTED_VALUE"""),"No")</f>
        <v>No</v>
      </c>
      <c r="AR47" s="5" t="str">
        <f ca="1">IFERROR(__xludf.DUMMYFUNCTION("""COMPUTED_VALUE"""),"No")</f>
        <v>No</v>
      </c>
      <c r="AS47" s="5" t="str">
        <f ca="1">IFERROR(__xludf.DUMMYFUNCTION("""COMPUTED_VALUE"""),"Yes")</f>
        <v>Yes</v>
      </c>
      <c r="AT47" s="5" t="str">
        <f ca="1">IFERROR(__xludf.DUMMYFUNCTION("""COMPUTED_VALUE"""),"No")</f>
        <v>No</v>
      </c>
      <c r="AU47" s="5"/>
    </row>
    <row r="48" spans="1:47" x14ac:dyDescent="0.25">
      <c r="A48" s="5" t="str">
        <f ca="1">IFERROR(__xludf.DUMMYFUNCTION("""COMPUTED_VALUE"""),"Redstone")</f>
        <v>Redstone</v>
      </c>
      <c r="B48" s="5" t="str">
        <f ca="1">IFERROR(__xludf.DUMMYFUNCTION("""COMPUTED_VALUE"""),"Slot Royale")</f>
        <v>Slot Royale</v>
      </c>
      <c r="C48" s="5" t="str">
        <f ca="1">IFERROR(__xludf.DUMMYFUNCTION("""COMPUTED_VALUE"""),"RedstoneSlotRoyale")</f>
        <v>RedstoneSlotRoyale</v>
      </c>
      <c r="D48" s="6">
        <f ca="1">IFERROR(__xludf.DUMMYFUNCTION("""COMPUTED_VALUE"""),45355)</f>
        <v>45355</v>
      </c>
      <c r="E48" s="5" t="str">
        <f ca="1">IFERROR(__xludf.DUMMYFUNCTION("""COMPUTED_VALUE"""),"Slot")</f>
        <v>Slot</v>
      </c>
      <c r="F48" s="5">
        <f ca="1">IFERROR(__xludf.DUMMYFUNCTION("""COMPUTED_VALUE"""),9.1)</f>
        <v>9.1</v>
      </c>
      <c r="G48" s="5" t="str">
        <f ca="1">IFERROR(__xludf.DUMMYFUNCTION("""COMPUTED_VALUE"""),"5x3")</f>
        <v>5x3</v>
      </c>
      <c r="H48" s="5" t="str">
        <f ca="1">IFERROR(__xludf.DUMMYFUNCTION("""COMPUTED_VALUE"""),"10")</f>
        <v>10</v>
      </c>
      <c r="I48" s="5" t="str">
        <f ca="1">IFERROR(__xludf.DUMMYFUNCTION("""COMPUTED_VALUE"""),"10")</f>
        <v>10</v>
      </c>
      <c r="J48" s="5" t="str">
        <f ca="1">IFERROR(__xludf.DUMMYFUNCTION("""COMPUTED_VALUE"""),"95.96%")</f>
        <v>95.96%</v>
      </c>
      <c r="K48" s="5" t="str">
        <f ca="1">IFERROR(__xludf.DUMMYFUNCTION("""COMPUTED_VALUE"""),"Medium")</f>
        <v>Medium</v>
      </c>
      <c r="L48" s="5" t="str">
        <f ca="1">IFERROR(__xludf.DUMMYFUNCTION("""COMPUTED_VALUE"""),"14.63%")</f>
        <v>14.63%</v>
      </c>
      <c r="M48" s="5" t="str">
        <f ca="1">IFERROR(__xludf.DUMMYFUNCTION("""COMPUTED_VALUE"""),"x1538")</f>
        <v>x1538</v>
      </c>
      <c r="N48" s="5" t="str">
        <f ca="1">IFERROR(__xludf.DUMMYFUNCTION("""COMPUTED_VALUE"""),"0.05/100")</f>
        <v>0.05/100</v>
      </c>
      <c r="O48" s="5" t="str">
        <f ca="1">IFERROR(__xludf.DUMMYFUNCTION("""COMPUTED_VALUE"""),"No")</f>
        <v>No</v>
      </c>
      <c r="P48" s="5" t="str">
        <f ca="1">IFERROR(__xludf.DUMMYFUNCTION("""COMPUTED_VALUE"""),"Expanding Wild, Scatter")</f>
        <v>Expanding Wild, Scatter</v>
      </c>
      <c r="Q48" s="7" t="str">
        <f ca="1">IFERROR(__xludf.DUMMYFUNCTION("""COMPUTED_VALUE"""),"https://static.redstone.rs/games/slot-royale/")</f>
        <v>https://static.redstone.rs/games/slot-royale/</v>
      </c>
      <c r="R48" s="5" t="str">
        <f ca="1">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S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IFERROR(__xludf.DUMMYFUNCTION("""COMPUTED_VALUE"""),"Yes")</f>
        <v>Yes</v>
      </c>
      <c r="AA48" s="5" t="str">
        <f ca="1">IFERROR(__xludf.DUMMYFUNCTION("""COMPUTED_VALUE"""),"Yes")</f>
        <v>Yes</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IFERROR(__xludf.DUMMYFUNCTION("""COMPUTED_VALUE"""),"Yes")</f>
        <v>Yes</v>
      </c>
      <c r="AF48" s="5" t="str">
        <f ca="1">IFERROR(__xludf.DUMMYFUNCTION("""COMPUTED_VALUE"""),"Yes")</f>
        <v>Yes</v>
      </c>
      <c r="AG48" s="5" t="str">
        <f ca="1">IFERROR(__xludf.DUMMYFUNCTION("""COMPUTED_VALUE"""),"Yes")</f>
        <v>Yes</v>
      </c>
      <c r="AH48" s="5" t="str">
        <f ca="1">IFERROR(__xludf.DUMMYFUNCTION("""COMPUTED_VALUE"""),"Yes")</f>
        <v>Yes</v>
      </c>
      <c r="AI48" s="5" t="str">
        <f ca="1">IFERROR(__xludf.DUMMYFUNCTION("""COMPUTED_VALUE"""),"Yes")</f>
        <v>Yes</v>
      </c>
      <c r="AJ48" s="5" t="str">
        <f ca="1">IFERROR(__xludf.DUMMYFUNCTION("""COMPUTED_VALUE"""),"Yes")</f>
        <v>Yes</v>
      </c>
      <c r="AK48" s="5" t="str">
        <f ca="1">IFERROR(__xludf.DUMMYFUNCTION("""COMPUTED_VALUE"""),"Yes")</f>
        <v>Yes</v>
      </c>
      <c r="AL48" s="5" t="str">
        <f ca="1">IFERROR(__xludf.DUMMYFUNCTION("""COMPUTED_VALUE"""),"Yes")</f>
        <v>Yes</v>
      </c>
      <c r="AM48" s="5"/>
      <c r="AN48" s="5" t="str">
        <f ca="1">IFERROR(__xludf.DUMMYFUNCTION("""COMPUTED_VALUE"""),"Yes")</f>
        <v>Yes</v>
      </c>
      <c r="AO48" s="5"/>
      <c r="AP48" s="5"/>
      <c r="AQ48" s="5" t="str">
        <f ca="1">IFERROR(__xludf.DUMMYFUNCTION("""COMPUTED_VALUE"""),"Yes")</f>
        <v>Yes</v>
      </c>
      <c r="AR48" s="5"/>
      <c r="AS48" s="5"/>
      <c r="AT48" s="5"/>
      <c r="AU48" s="5"/>
    </row>
    <row r="49" spans="1:47" x14ac:dyDescent="0.25">
      <c r="A49" s="5" t="str">
        <f ca="1">IFERROR(__xludf.DUMMYFUNCTION("""COMPUTED_VALUE"""),"Redstone")</f>
        <v>Redstone</v>
      </c>
      <c r="B49" s="5" t="str">
        <f ca="1">IFERROR(__xludf.DUMMYFUNCTION("""COMPUTED_VALUE"""),"5 Clover Fire - Lock &amp; Cash")</f>
        <v>5 Clover Fire - Lock &amp; Cash</v>
      </c>
      <c r="C49" s="5" t="str">
        <f ca="1">IFERROR(__xludf.DUMMYFUNCTION("""COMPUTED_VALUE"""),"RedstoneClover5LockAndCash")</f>
        <v>RedstoneClover5LockAndCash</v>
      </c>
      <c r="D49" s="6">
        <f ca="1">IFERROR(__xludf.DUMMYFUNCTION("""COMPUTED_VALUE"""),45377)</f>
        <v>45377</v>
      </c>
      <c r="E49" s="5" t="str">
        <f ca="1">IFERROR(__xludf.DUMMYFUNCTION("""COMPUTED_VALUE"""),"Slot")</f>
        <v>Slot</v>
      </c>
      <c r="F49" s="5">
        <f ca="1">IFERROR(__xludf.DUMMYFUNCTION("""COMPUTED_VALUE"""),14.4)</f>
        <v>14.4</v>
      </c>
      <c r="G49" s="5" t="str">
        <f ca="1">IFERROR(__xludf.DUMMYFUNCTION("""COMPUTED_VALUE"""),"5x3")</f>
        <v>5x3</v>
      </c>
      <c r="H49" s="5" t="str">
        <f ca="1">IFERROR(__xludf.DUMMYFUNCTION("""COMPUTED_VALUE"""),"5")</f>
        <v>5</v>
      </c>
      <c r="I49" s="5" t="str">
        <f ca="1">IFERROR(__xludf.DUMMYFUNCTION("""COMPUTED_VALUE"""),"5")</f>
        <v>5</v>
      </c>
      <c r="J49" s="5" t="str">
        <f ca="1">IFERROR(__xludf.DUMMYFUNCTION("""COMPUTED_VALUE"""),"95.45%")</f>
        <v>95.45%</v>
      </c>
      <c r="K49" s="5" t="str">
        <f ca="1">IFERROR(__xludf.DUMMYFUNCTION("""COMPUTED_VALUE"""),"Medium")</f>
        <v>Medium</v>
      </c>
      <c r="L49" s="5" t="str">
        <f ca="1">IFERROR(__xludf.DUMMYFUNCTION("""COMPUTED_VALUE"""),"12.54%")</f>
        <v>12.54%</v>
      </c>
      <c r="M49" s="5" t="str">
        <f ca="1">IFERROR(__xludf.DUMMYFUNCTION("""COMPUTED_VALUE"""),"x1250")</f>
        <v>x1250</v>
      </c>
      <c r="N49" s="5" t="str">
        <f ca="1">IFERROR(__xludf.DUMMYFUNCTION("""COMPUTED_VALUE"""),"0.05/100")</f>
        <v>0.05/100</v>
      </c>
      <c r="O49" s="5" t="str">
        <f ca="1">IFERROR(__xludf.DUMMYFUNCTION("""COMPUTED_VALUE"""),"No")</f>
        <v>No</v>
      </c>
      <c r="P49" s="5" t="str">
        <f ca="1">IFERROR(__xludf.DUMMYFUNCTION("""COMPUTED_VALUE"""),"Hold and Win, Wild Symbol")</f>
        <v>Hold and Win, Wild Symbol</v>
      </c>
      <c r="Q49" s="7" t="str">
        <f ca="1">IFERROR(__xludf.DUMMYFUNCTION("""COMPUTED_VALUE"""),"https://static.redstone.rs/games/5-clover-fire-lnc/")</f>
        <v>https://static.redstone.rs/games/5-clover-fire-lnc/</v>
      </c>
      <c r="R49" s="5" t="str">
        <f ca="1">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S4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 ca="1">IFERROR(__xludf.DUMMYFUNCTION("""COMPUTED_VALUE"""),"Yes")</f>
        <v>Yes</v>
      </c>
      <c r="U49" s="5" t="str">
        <f ca="1">IFERROR(__xludf.DUMMYFUNCTION("""COMPUTED_VALUE"""),"Yes")</f>
        <v>Yes</v>
      </c>
      <c r="V49" s="5" t="str">
        <f ca="1">IFERROR(__xludf.DUMMYFUNCTION("""COMPUTED_VALUE"""),"No")</f>
        <v>No</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IFERROR(__xludf.DUMMYFUNCTION("""COMPUTED_VALUE"""),"Yes")</f>
        <v>Yes</v>
      </c>
      <c r="AF49" s="5" t="str">
        <f ca="1">IFERROR(__xludf.DUMMYFUNCTION("""COMPUTED_VALUE"""),"Yes")</f>
        <v>Yes</v>
      </c>
      <c r="AG49" s="5" t="str">
        <f ca="1">IFERROR(__xludf.DUMMYFUNCTION("""COMPUTED_VALUE"""),"Yes")</f>
        <v>Yes</v>
      </c>
      <c r="AH49" s="5" t="str">
        <f ca="1">IFERROR(__xludf.DUMMYFUNCTION("""COMPUTED_VALUE"""),"Yes")</f>
        <v>Yes</v>
      </c>
      <c r="AI49" s="5" t="str">
        <f ca="1">IFERROR(__xludf.DUMMYFUNCTION("""COMPUTED_VALUE"""),"No")</f>
        <v>No</v>
      </c>
      <c r="AJ49" s="5" t="str">
        <f ca="1">IFERROR(__xludf.DUMMYFUNCTION("""COMPUTED_VALUE"""),"No")</f>
        <v>No</v>
      </c>
      <c r="AK49" s="5" t="str">
        <f ca="1">IFERROR(__xludf.DUMMYFUNCTION("""COMPUTED_VALUE"""),"No")</f>
        <v>No</v>
      </c>
      <c r="AL49" s="5" t="str">
        <f ca="1">IFERROR(__xludf.DUMMYFUNCTION("""COMPUTED_VALUE"""),"No")</f>
        <v>No</v>
      </c>
      <c r="AM49" s="5" t="str">
        <f ca="1">IFERROR(__xludf.DUMMYFUNCTION("""COMPUTED_VALUE"""),"No")</f>
        <v>No</v>
      </c>
      <c r="AN49" s="5" t="str">
        <f ca="1">IFERROR(__xludf.DUMMYFUNCTION("""COMPUTED_VALUE"""),"No")</f>
        <v>No</v>
      </c>
      <c r="AO49" s="5" t="str">
        <f ca="1">IFERROR(__xludf.DUMMYFUNCTION("""COMPUTED_VALUE"""),"No")</f>
        <v>No</v>
      </c>
      <c r="AP49" s="5" t="str">
        <f ca="1">IFERROR(__xludf.DUMMYFUNCTION("""COMPUTED_VALUE"""),"No")</f>
        <v>No</v>
      </c>
      <c r="AQ49" s="5" t="str">
        <f ca="1">IFERROR(__xludf.DUMMYFUNCTION("""COMPUTED_VALUE"""),"No")</f>
        <v>No</v>
      </c>
      <c r="AR49" s="5" t="str">
        <f ca="1">IFERROR(__xludf.DUMMYFUNCTION("""COMPUTED_VALUE"""),"No")</f>
        <v>No</v>
      </c>
      <c r="AS49" s="5" t="str">
        <f ca="1">IFERROR(__xludf.DUMMYFUNCTION("""COMPUTED_VALUE"""),"Yes")</f>
        <v>Yes</v>
      </c>
      <c r="AT49" s="5" t="str">
        <f ca="1">IFERROR(__xludf.DUMMYFUNCTION("""COMPUTED_VALUE"""),"No")</f>
        <v>No</v>
      </c>
      <c r="AU49" s="5"/>
    </row>
    <row r="50" spans="1:47" x14ac:dyDescent="0.25">
      <c r="A50" s="5" t="str">
        <f ca="1">IFERROR(__xludf.DUMMYFUNCTION("""COMPUTED_VALUE"""),"Redstone")</f>
        <v>Redstone</v>
      </c>
      <c r="B50" s="5" t="str">
        <f ca="1">IFERROR(__xludf.DUMMYFUNCTION("""COMPUTED_VALUE"""),"Caps and Crowns")</f>
        <v>Caps and Crowns</v>
      </c>
      <c r="C50" s="5" t="str">
        <f ca="1">IFERROR(__xludf.DUMMYFUNCTION("""COMPUTED_VALUE"""),"RedstoneCapsAndCrowns")</f>
        <v>RedstoneCapsAndCrowns</v>
      </c>
      <c r="D50" s="6">
        <f ca="1">IFERROR(__xludf.DUMMYFUNCTION("""COMPUTED_VALUE"""),45386)</f>
        <v>45386</v>
      </c>
      <c r="E50" s="5" t="str">
        <f ca="1">IFERROR(__xludf.DUMMYFUNCTION("""COMPUTED_VALUE"""),"Slot")</f>
        <v>Slot</v>
      </c>
      <c r="F50" s="5">
        <f ca="1">IFERROR(__xludf.DUMMYFUNCTION("""COMPUTED_VALUE"""),7.6)</f>
        <v>7.6</v>
      </c>
      <c r="G50" s="5" t="str">
        <f ca="1">IFERROR(__xludf.DUMMYFUNCTION("""COMPUTED_VALUE"""),"5x3")</f>
        <v>5x3</v>
      </c>
      <c r="H50" s="5" t="str">
        <f ca="1">IFERROR(__xludf.DUMMYFUNCTION("""COMPUTED_VALUE"""),"5")</f>
        <v>5</v>
      </c>
      <c r="I50" s="5" t="str">
        <f ca="1">IFERROR(__xludf.DUMMYFUNCTION("""COMPUTED_VALUE"""),"5")</f>
        <v>5</v>
      </c>
      <c r="J50" s="5" t="str">
        <f ca="1">IFERROR(__xludf.DUMMYFUNCTION("""COMPUTED_VALUE"""),"96.45%")</f>
        <v>96.45%</v>
      </c>
      <c r="K50" s="5" t="str">
        <f ca="1">IFERROR(__xludf.DUMMYFUNCTION("""COMPUTED_VALUE"""),"Medium")</f>
        <v>Medium</v>
      </c>
      <c r="L50" s="5" t="str">
        <f ca="1">IFERROR(__xludf.DUMMYFUNCTION("""COMPUTED_VALUE"""),"14.23%")</f>
        <v>14.23%</v>
      </c>
      <c r="M50" s="5" t="str">
        <f ca="1">IFERROR(__xludf.DUMMYFUNCTION("""COMPUTED_VALUE"""),"x2624")</f>
        <v>x2624</v>
      </c>
      <c r="N50" s="5" t="str">
        <f ca="1">IFERROR(__xludf.DUMMYFUNCTION("""COMPUTED_VALUE"""),"0.05/100")</f>
        <v>0.05/100</v>
      </c>
      <c r="O50" s="5" t="str">
        <f ca="1">IFERROR(__xludf.DUMMYFUNCTION("""COMPUTED_VALUE"""),"No")</f>
        <v>No</v>
      </c>
      <c r="P50" s="5" t="str">
        <f ca="1">IFERROR(__xludf.DUMMYFUNCTION("""COMPUTED_VALUE"""),"Scatter, Expanding Wild")</f>
        <v>Scatter, Expanding Wild</v>
      </c>
      <c r="Q50" s="7" t="str">
        <f ca="1">IFERROR(__xludf.DUMMYFUNCTION("""COMPUTED_VALUE"""),"https://static.redstone.rs/games/caps-and-crowns/")</f>
        <v>https://static.redstone.rs/games/caps-and-crowns/</v>
      </c>
      <c r="R50" s="5" t="str">
        <f ca="1">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S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IFERROR(__xludf.DUMMYFUNCTION("""COMPUTED_VALUE"""),"Yes")</f>
        <v>Yes</v>
      </c>
      <c r="AA50" s="5" t="str">
        <f ca="1">IFERROR(__xludf.DUMMYFUNCTION("""COMPUTED_VALUE"""),"Yes")</f>
        <v>Yes</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IFERROR(__xludf.DUMMYFUNCTION("""COMPUTED_VALUE"""),"Yes")</f>
        <v>Yes</v>
      </c>
      <c r="AF50" s="5" t="str">
        <f ca="1">IFERROR(__xludf.DUMMYFUNCTION("""COMPUTED_VALUE"""),"Yes")</f>
        <v>Yes</v>
      </c>
      <c r="AG50" s="5" t="str">
        <f ca="1">IFERROR(__xludf.DUMMYFUNCTION("""COMPUTED_VALUE"""),"Yes")</f>
        <v>Yes</v>
      </c>
      <c r="AH50" s="5" t="str">
        <f ca="1">IFERROR(__xludf.DUMMYFUNCTION("""COMPUTED_VALUE"""),"Yes")</f>
        <v>Yes</v>
      </c>
      <c r="AI50" s="5" t="str">
        <f ca="1">IFERROR(__xludf.DUMMYFUNCTION("""COMPUTED_VALUE"""),"Yes")</f>
        <v>Yes</v>
      </c>
      <c r="AJ50" s="5" t="str">
        <f ca="1">IFERROR(__xludf.DUMMYFUNCTION("""COMPUTED_VALUE"""),"Yes")</f>
        <v>Yes</v>
      </c>
      <c r="AK50" s="5" t="str">
        <f ca="1">IFERROR(__xludf.DUMMYFUNCTION("""COMPUTED_VALUE"""),"Yes")</f>
        <v>Yes</v>
      </c>
      <c r="AL50" s="5" t="str">
        <f ca="1">IFERROR(__xludf.DUMMYFUNCTION("""COMPUTED_VALUE"""),"Yes")</f>
        <v>Yes</v>
      </c>
      <c r="AM50" s="5"/>
      <c r="AN50" s="5" t="str">
        <f ca="1">IFERROR(__xludf.DUMMYFUNCTION("""COMPUTED_VALUE"""),"Yes")</f>
        <v>Yes</v>
      </c>
      <c r="AO50" s="5" t="str">
        <f ca="1">IFERROR(__xludf.DUMMYFUNCTION("""COMPUTED_VALUE"""),"Yes")</f>
        <v>Yes</v>
      </c>
      <c r="AP50" s="5" t="str">
        <f ca="1">IFERROR(__xludf.DUMMYFUNCTION("""COMPUTED_VALUE"""),"Yes")</f>
        <v>Yes</v>
      </c>
      <c r="AQ50" s="5" t="str">
        <f ca="1">IFERROR(__xludf.DUMMYFUNCTION("""COMPUTED_VALUE"""),"Yes")</f>
        <v>Yes</v>
      </c>
      <c r="AR50" s="5" t="str">
        <f ca="1">IFERROR(__xludf.DUMMYFUNCTION("""COMPUTED_VALUE"""),"Yes")</f>
        <v>Yes</v>
      </c>
      <c r="AS50" s="5" t="str">
        <f ca="1">IFERROR(__xludf.DUMMYFUNCTION("""COMPUTED_VALUE"""),"Yes")</f>
        <v>Yes</v>
      </c>
      <c r="AT50" s="5"/>
      <c r="AU50" s="5"/>
    </row>
    <row r="51" spans="1:47" x14ac:dyDescent="0.25">
      <c r="A51" s="5" t="str">
        <f ca="1">IFERROR(__xludf.DUMMYFUNCTION("""COMPUTED_VALUE"""),"Redstone")</f>
        <v>Redstone</v>
      </c>
      <c r="B51" s="5" t="str">
        <f ca="1">IFERROR(__xludf.DUMMYFUNCTION("""COMPUTED_VALUE"""),"Hot Rush Both Ways")</f>
        <v>Hot Rush Both Ways</v>
      </c>
      <c r="C51" s="5" t="str">
        <f ca="1">IFERROR(__xludf.DUMMYFUNCTION("""COMPUTED_VALUE"""),"RedstoneHotRushBothWays")</f>
        <v>RedstoneHotRushBothWays</v>
      </c>
      <c r="D51" s="6">
        <f ca="1">IFERROR(__xludf.DUMMYFUNCTION("""COMPUTED_VALUE"""),45405)</f>
        <v>45405</v>
      </c>
      <c r="E51" s="5" t="str">
        <f ca="1">IFERROR(__xludf.DUMMYFUNCTION("""COMPUTED_VALUE"""),"Slot")</f>
        <v>Slot</v>
      </c>
      <c r="F51" s="5">
        <f ca="1">IFERROR(__xludf.DUMMYFUNCTION("""COMPUTED_VALUE"""),7.5)</f>
        <v>7.5</v>
      </c>
      <c r="G51" s="5" t="str">
        <f ca="1">IFERROR(__xludf.DUMMYFUNCTION("""COMPUTED_VALUE"""),"5x3")</f>
        <v>5x3</v>
      </c>
      <c r="H51" s="5" t="str">
        <f ca="1">IFERROR(__xludf.DUMMYFUNCTION("""COMPUTED_VALUE"""),"5")</f>
        <v>5</v>
      </c>
      <c r="I51" s="5" t="str">
        <f ca="1">IFERROR(__xludf.DUMMYFUNCTION("""COMPUTED_VALUE"""),"5")</f>
        <v>5</v>
      </c>
      <c r="J51" s="5" t="str">
        <f ca="1">IFERROR(__xludf.DUMMYFUNCTION("""COMPUTED_VALUE"""),"96.04%")</f>
        <v>96.04%</v>
      </c>
      <c r="K51" s="5" t="str">
        <f ca="1">IFERROR(__xludf.DUMMYFUNCTION("""COMPUTED_VALUE"""),"Low")</f>
        <v>Low</v>
      </c>
      <c r="L51" s="5" t="str">
        <f ca="1">IFERROR(__xludf.DUMMYFUNCTION("""COMPUTED_VALUE"""),"18.64%")</f>
        <v>18.64%</v>
      </c>
      <c r="M51" s="5" t="str">
        <f ca="1">IFERROR(__xludf.DUMMYFUNCTION("""COMPUTED_VALUE"""),"x1000")</f>
        <v>x1000</v>
      </c>
      <c r="N51" s="5" t="str">
        <f ca="1">IFERROR(__xludf.DUMMYFUNCTION("""COMPUTED_VALUE"""),"0.05/100")</f>
        <v>0.05/100</v>
      </c>
      <c r="O51" s="5" t="str">
        <f ca="1">IFERROR(__xludf.DUMMYFUNCTION("""COMPUTED_VALUE"""),"No")</f>
        <v>No</v>
      </c>
      <c r="P51" s="5" t="str">
        <f ca="1">IFERROR(__xludf.DUMMYFUNCTION("""COMPUTED_VALUE"""),"Bothways")</f>
        <v>Bothways</v>
      </c>
      <c r="Q51" s="7" t="str">
        <f ca="1">IFERROR(__xludf.DUMMYFUNCTION("""COMPUTED_VALUE"""),"https://static.redstone.rs/games/hot-rush-both-ways/")</f>
        <v>https://static.redstone.rs/games/hot-rush-both-ways/</v>
      </c>
      <c r="R51" s="5" t="str">
        <f ca="1">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S5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1" s="5" t="str">
        <f ca="1">IFERROR(__xludf.DUMMYFUNCTION("""COMPUTED_VALUE"""),"Yes")</f>
        <v>Yes</v>
      </c>
      <c r="U51" s="5" t="str">
        <f ca="1">IFERROR(__xludf.DUMMYFUNCTION("""COMPUTED_VALUE"""),"Yes")</f>
        <v>Yes</v>
      </c>
      <c r="V51" s="5" t="str">
        <f ca="1">IFERROR(__xludf.DUMMYFUNCTION("""COMPUTED_VALUE"""),"Yes")</f>
        <v>Yes</v>
      </c>
      <c r="W51" s="5" t="str">
        <f ca="1">IFERROR(__xludf.DUMMYFUNCTION("""COMPUTED_VALUE"""),"No")</f>
        <v>No</v>
      </c>
      <c r="X51" s="5" t="str">
        <f ca="1">IFERROR(__xludf.DUMMYFUNCTION("""COMPUTED_VALUE"""),"No")</f>
        <v>No</v>
      </c>
      <c r="Y51" s="5" t="str">
        <f ca="1">IFERROR(__xludf.DUMMYFUNCTION("""COMPUTED_VALUE"""),"No")</f>
        <v>No</v>
      </c>
      <c r="Z51" s="5" t="str">
        <f ca="1">IFERROR(__xludf.DUMMYFUNCTION("""COMPUTED_VALUE"""),"No")</f>
        <v>No</v>
      </c>
      <c r="AA51" s="5" t="str">
        <f ca="1">IFERROR(__xludf.DUMMYFUNCTION("""COMPUTED_VALUE"""),"No")</f>
        <v>No</v>
      </c>
      <c r="AB51" s="5" t="str">
        <f ca="1">IFERROR(__xludf.DUMMYFUNCTION("""COMPUTED_VALUE"""),"Yes")</f>
        <v>Yes</v>
      </c>
      <c r="AC51" s="5" t="str">
        <f ca="1">IFERROR(__xludf.DUMMYFUNCTION("""COMPUTED_VALUE"""),"Yes")</f>
        <v>Yes</v>
      </c>
      <c r="AD51" s="5" t="str">
        <f ca="1">IFERROR(__xludf.DUMMYFUNCTION("""COMPUTED_VALUE"""),"Yes")</f>
        <v>Yes</v>
      </c>
      <c r="AE51" s="5" t="str">
        <f ca="1">IFERROR(__xludf.DUMMYFUNCTION("""COMPUTED_VALUE"""),"Yes")</f>
        <v>Yes</v>
      </c>
      <c r="AF51" s="5" t="str">
        <f ca="1">IFERROR(__xludf.DUMMYFUNCTION("""COMPUTED_VALUE"""),"Yes")</f>
        <v>Yes</v>
      </c>
      <c r="AG51" s="5" t="str">
        <f ca="1">IFERROR(__xludf.DUMMYFUNCTION("""COMPUTED_VALUE"""),"No")</f>
        <v>No</v>
      </c>
      <c r="AH51" s="5" t="str">
        <f ca="1">IFERROR(__xludf.DUMMYFUNCTION("""COMPUTED_VALUE"""),"Yes")</f>
        <v>Yes</v>
      </c>
      <c r="AI51" s="5" t="str">
        <f ca="1">IFERROR(__xludf.DUMMYFUNCTION("""COMPUTED_VALUE"""),"No")</f>
        <v>No</v>
      </c>
      <c r="AJ51" s="5" t="str">
        <f ca="1">IFERROR(__xludf.DUMMYFUNCTION("""COMPUTED_VALUE"""),"No")</f>
        <v>No</v>
      </c>
      <c r="AK51" s="5" t="str">
        <f ca="1">IFERROR(__xludf.DUMMYFUNCTION("""COMPUTED_VALUE"""),"No")</f>
        <v>No</v>
      </c>
      <c r="AL51" s="5" t="str">
        <f ca="1">IFERROR(__xludf.DUMMYFUNCTION("""COMPUTED_VALUE"""),"No")</f>
        <v>No</v>
      </c>
      <c r="AM51" s="5"/>
      <c r="AN51" s="5"/>
      <c r="AO51" s="5"/>
      <c r="AP51" s="5"/>
      <c r="AQ51" s="5" t="str">
        <f ca="1">IFERROR(__xludf.DUMMYFUNCTION("""COMPUTED_VALUE"""),"No")</f>
        <v>No</v>
      </c>
      <c r="AR51" s="5"/>
      <c r="AS51" s="5"/>
      <c r="AT51" s="5"/>
      <c r="AU51" s="5"/>
    </row>
    <row r="52" spans="1:47" x14ac:dyDescent="0.25">
      <c r="A52" s="5" t="str">
        <f ca="1">IFERROR(__xludf.DUMMYFUNCTION("""COMPUTED_VALUE"""),"Redstone")</f>
        <v>Redstone</v>
      </c>
      <c r="B52" s="5" t="str">
        <f ca="1">IFERROR(__xludf.DUMMYFUNCTION("""COMPUTED_VALUE"""),"Book Of Scorpio")</f>
        <v>Book Of Scorpio</v>
      </c>
      <c r="C52" s="5" t="str">
        <f ca="1">IFERROR(__xludf.DUMMYFUNCTION("""COMPUTED_VALUE"""),"RedstoneBookOfScorpio")</f>
        <v>RedstoneBookOfScorpio</v>
      </c>
      <c r="D52" s="6">
        <f ca="1">IFERROR(__xludf.DUMMYFUNCTION("""COMPUTED_VALUE"""),45427)</f>
        <v>45427</v>
      </c>
      <c r="E52" s="5" t="str">
        <f ca="1">IFERROR(__xludf.DUMMYFUNCTION("""COMPUTED_VALUE"""),"Slot")</f>
        <v>Slot</v>
      </c>
      <c r="F52" s="5">
        <f ca="1">IFERROR(__xludf.DUMMYFUNCTION("""COMPUTED_VALUE"""),12)</f>
        <v>12</v>
      </c>
      <c r="G52" s="5" t="str">
        <f ca="1">IFERROR(__xludf.DUMMYFUNCTION("""COMPUTED_VALUE"""),"5x3")</f>
        <v>5x3</v>
      </c>
      <c r="H52" s="5" t="str">
        <f ca="1">IFERROR(__xludf.DUMMYFUNCTION("""COMPUTED_VALUE"""),"10")</f>
        <v>10</v>
      </c>
      <c r="I52" s="5" t="str">
        <f ca="1">IFERROR(__xludf.DUMMYFUNCTION("""COMPUTED_VALUE"""),"10")</f>
        <v>10</v>
      </c>
      <c r="J52" s="5" t="str">
        <f ca="1">IFERROR(__xludf.DUMMYFUNCTION("""COMPUTED_VALUE"""),"96.2%")</f>
        <v>96.2%</v>
      </c>
      <c r="K52" s="5" t="str">
        <f ca="1">IFERROR(__xludf.DUMMYFUNCTION("""COMPUTED_VALUE"""),"High")</f>
        <v>High</v>
      </c>
      <c r="L52" s="5" t="str">
        <f ca="1">IFERROR(__xludf.DUMMYFUNCTION("""COMPUTED_VALUE"""),"12.34%")</f>
        <v>12.34%</v>
      </c>
      <c r="M52" s="5" t="str">
        <f ca="1">IFERROR(__xludf.DUMMYFUNCTION("""COMPUTED_VALUE"""),"x5456")</f>
        <v>x5456</v>
      </c>
      <c r="N52" s="5" t="str">
        <f ca="1">IFERROR(__xludf.DUMMYFUNCTION("""COMPUTED_VALUE"""),"0.10/40")</f>
        <v>0.10/40</v>
      </c>
      <c r="O52" s="5" t="str">
        <f ca="1">IFERROR(__xludf.DUMMYFUNCTION("""COMPUTED_VALUE"""),"No")</f>
        <v>No</v>
      </c>
      <c r="P52" s="5" t="str">
        <f ca="1">IFERROR(__xludf.DUMMYFUNCTION("""COMPUTED_VALUE"""),"Scatter, Wild Symbol, Bonus Game with Free Spins, Bonus Game with Special Symbol")</f>
        <v>Scatter, Wild Symbol, Bonus Game with Free Spins, Bonus Game with Special Symbol</v>
      </c>
      <c r="Q52" s="7" t="str">
        <f ca="1">IFERROR(__xludf.DUMMYFUNCTION("""COMPUTED_VALUE"""),"https://static.redstone.rs/games/book-of-scorpio/")</f>
        <v>https://static.redstone.rs/games/book-of-scorpio/</v>
      </c>
      <c r="R52" s="5" t="str">
        <f ca="1">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S5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2" s="5" t="str">
        <f ca="1">IFERROR(__xludf.DUMMYFUNCTION("""COMPUTED_VALUE"""),"Yes")</f>
        <v>Yes</v>
      </c>
      <c r="U52" s="5" t="str">
        <f ca="1">IFERROR(__xludf.DUMMYFUNCTION("""COMPUTED_VALUE"""),"Yes")</f>
        <v>Yes</v>
      </c>
      <c r="V52" s="5" t="str">
        <f ca="1">IFERROR(__xludf.DUMMYFUNCTION("""COMPUTED_VALUE"""),"No")</f>
        <v>No</v>
      </c>
      <c r="W52" s="5" t="str">
        <f ca="1">IFERROR(__xludf.DUMMYFUNCTION("""COMPUTED_VALUE"""),"Yes")</f>
        <v>Yes</v>
      </c>
      <c r="X52" s="5" t="str">
        <f ca="1">IFERROR(__xludf.DUMMYFUNCTION("""COMPUTED_VALUE"""),"Yes")</f>
        <v>Yes</v>
      </c>
      <c r="Y52" s="5" t="str">
        <f ca="1">IFERROR(__xludf.DUMMYFUNCTION("""COMPUTED_VALUE"""),"Yes")</f>
        <v>Yes</v>
      </c>
      <c r="Z52" s="5" t="str">
        <f ca="1">IFERROR(__xludf.DUMMYFUNCTION("""COMPUTED_VALUE"""),"Yes")</f>
        <v>Yes</v>
      </c>
      <c r="AA52" s="5" t="str">
        <f ca="1">IFERROR(__xludf.DUMMYFUNCTION("""COMPUTED_VALUE"""),"Yes")</f>
        <v>Yes</v>
      </c>
      <c r="AB52" s="5" t="str">
        <f ca="1">IFERROR(__xludf.DUMMYFUNCTION("""COMPUTED_VALUE"""),"Yes")</f>
        <v>Yes</v>
      </c>
      <c r="AC52" s="5" t="str">
        <f ca="1">IFERROR(__xludf.DUMMYFUNCTION("""COMPUTED_VALUE"""),"Yes")</f>
        <v>Yes</v>
      </c>
      <c r="AD52" s="5" t="str">
        <f ca="1">IFERROR(__xludf.DUMMYFUNCTION("""COMPUTED_VALUE"""),"Yes")</f>
        <v>Yes</v>
      </c>
      <c r="AE52" s="5" t="str">
        <f ca="1">IFERROR(__xludf.DUMMYFUNCTION("""COMPUTED_VALUE"""),"Yes")</f>
        <v>Yes</v>
      </c>
      <c r="AF52" s="5" t="str">
        <f ca="1">IFERROR(__xludf.DUMMYFUNCTION("""COMPUTED_VALUE"""),"Yes")</f>
        <v>Yes</v>
      </c>
      <c r="AG52" s="5" t="str">
        <f ca="1">IFERROR(__xludf.DUMMYFUNCTION("""COMPUTED_VALUE"""),"Yes")</f>
        <v>Yes</v>
      </c>
      <c r="AH52" s="5" t="str">
        <f ca="1">IFERROR(__xludf.DUMMYFUNCTION("""COMPUTED_VALUE"""),"Yes")</f>
        <v>Yes</v>
      </c>
      <c r="AI52" s="5" t="str">
        <f ca="1">IFERROR(__xludf.DUMMYFUNCTION("""COMPUTED_VALUE"""),"No")</f>
        <v>No</v>
      </c>
      <c r="AJ52" s="5" t="str">
        <f ca="1">IFERROR(__xludf.DUMMYFUNCTION("""COMPUTED_VALUE"""),"No")</f>
        <v>No</v>
      </c>
      <c r="AK52" s="5" t="str">
        <f ca="1">IFERROR(__xludf.DUMMYFUNCTION("""COMPUTED_VALUE"""),"No")</f>
        <v>No</v>
      </c>
      <c r="AL52" s="5" t="str">
        <f ca="1">IFERROR(__xludf.DUMMYFUNCTION("""COMPUTED_VALUE"""),"No")</f>
        <v>No</v>
      </c>
      <c r="AM52" s="5" t="str">
        <f ca="1">IFERROR(__xludf.DUMMYFUNCTION("""COMPUTED_VALUE"""),"No")</f>
        <v>No</v>
      </c>
      <c r="AN52" s="5" t="str">
        <f ca="1">IFERROR(__xludf.DUMMYFUNCTION("""COMPUTED_VALUE"""),"No")</f>
        <v>No</v>
      </c>
      <c r="AO52" s="5" t="str">
        <f ca="1">IFERROR(__xludf.DUMMYFUNCTION("""COMPUTED_VALUE"""),"No")</f>
        <v>No</v>
      </c>
      <c r="AP52" s="5" t="str">
        <f ca="1">IFERROR(__xludf.DUMMYFUNCTION("""COMPUTED_VALUE"""),"No")</f>
        <v>No</v>
      </c>
      <c r="AQ52" s="5" t="str">
        <f ca="1">IFERROR(__xludf.DUMMYFUNCTION("""COMPUTED_VALUE"""),"No")</f>
        <v>No</v>
      </c>
      <c r="AR52" s="5" t="str">
        <f ca="1">IFERROR(__xludf.DUMMYFUNCTION("""COMPUTED_VALUE"""),"No")</f>
        <v>No</v>
      </c>
      <c r="AS52" s="5" t="str">
        <f ca="1">IFERROR(__xludf.DUMMYFUNCTION("""COMPUTED_VALUE"""),"Yes")</f>
        <v>Yes</v>
      </c>
      <c r="AT52" s="5" t="str">
        <f ca="1">IFERROR(__xludf.DUMMYFUNCTION("""COMPUTED_VALUE"""),"No")</f>
        <v>No</v>
      </c>
      <c r="AU52" s="5"/>
    </row>
    <row r="53" spans="1:47" x14ac:dyDescent="0.25">
      <c r="A53" s="5" t="str">
        <f ca="1">IFERROR(__xludf.DUMMYFUNCTION("""COMPUTED_VALUE"""),"Redstone")</f>
        <v>Redstone</v>
      </c>
      <c r="B53" s="5" t="str">
        <f ca="1">IFERROR(__xludf.DUMMYFUNCTION("""COMPUTED_VALUE"""),"SpinUp")</f>
        <v>SpinUp</v>
      </c>
      <c r="C53" s="5" t="str">
        <f ca="1">IFERROR(__xludf.DUMMYFUNCTION("""COMPUTED_VALUE"""),"RedstoneSpinUp")</f>
        <v>RedstoneSpinUp</v>
      </c>
      <c r="D53" s="6">
        <f ca="1">IFERROR(__xludf.DUMMYFUNCTION("""COMPUTED_VALUE"""),45446)</f>
        <v>45446</v>
      </c>
      <c r="E53" s="5" t="str">
        <f ca="1">IFERROR(__xludf.DUMMYFUNCTION("""COMPUTED_VALUE"""),"Slot")</f>
        <v>Slot</v>
      </c>
      <c r="F53" s="5">
        <f ca="1">IFERROR(__xludf.DUMMYFUNCTION("""COMPUTED_VALUE"""),10.2)</f>
        <v>10.199999999999999</v>
      </c>
      <c r="G53" s="5" t="str">
        <f ca="1">IFERROR(__xludf.DUMMYFUNCTION("""COMPUTED_VALUE"""),"5x3")</f>
        <v>5x3</v>
      </c>
      <c r="H53" s="5" t="str">
        <f ca="1">IFERROR(__xludf.DUMMYFUNCTION("""COMPUTED_VALUE"""),"5")</f>
        <v>5</v>
      </c>
      <c r="I53" s="5" t="str">
        <f ca="1">IFERROR(__xludf.DUMMYFUNCTION("""COMPUTED_VALUE"""),"5")</f>
        <v>5</v>
      </c>
      <c r="J53" s="5" t="str">
        <f ca="1">IFERROR(__xludf.DUMMYFUNCTION("""COMPUTED_VALUE"""),"96.36%")</f>
        <v>96.36%</v>
      </c>
      <c r="K53" s="5" t="str">
        <f ca="1">IFERROR(__xludf.DUMMYFUNCTION("""COMPUTED_VALUE"""),"Medium")</f>
        <v>Medium</v>
      </c>
      <c r="L53" s="5" t="str">
        <f ca="1">IFERROR(__xludf.DUMMYFUNCTION("""COMPUTED_VALUE"""),"11.87%")</f>
        <v>11.87%</v>
      </c>
      <c r="M53" s="5" t="str">
        <f ca="1">IFERROR(__xludf.DUMMYFUNCTION("""COMPUTED_VALUE"""),"x2000")</f>
        <v>x2000</v>
      </c>
      <c r="N53" s="5" t="str">
        <f ca="1">IFERROR(__xludf.DUMMYFUNCTION("""COMPUTED_VALUE"""),"0.01/50")</f>
        <v>0.01/50</v>
      </c>
      <c r="O53" s="5" t="str">
        <f ca="1">IFERROR(__xludf.DUMMYFUNCTION("""COMPUTED_VALUE"""),"No")</f>
        <v>No</v>
      </c>
      <c r="P53" s="5" t="str">
        <f ca="1">IFERROR(__xludf.DUMMYFUNCTION("""COMPUTED_VALUE"""),"Expanding Wild, Scatter")</f>
        <v>Expanding Wild, Scatter</v>
      </c>
      <c r="Q53" s="7" t="str">
        <f ca="1">IFERROR(__xludf.DUMMYFUNCTION("""COMPUTED_VALUE"""),"https://static.redstone.rs/games/spin-up/")</f>
        <v>https://static.redstone.rs/games/spin-up/</v>
      </c>
      <c r="R53" s="5" t="str">
        <f ca="1">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S5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IFERROR(__xludf.DUMMYFUNCTION("""COMPUTED_VALUE"""),"No")</f>
        <v>No</v>
      </c>
      <c r="X53" s="5" t="str">
        <f ca="1">IFERROR(__xludf.DUMMYFUNCTION("""COMPUTED_VALUE"""),"No")</f>
        <v>No</v>
      </c>
      <c r="Y53" s="5" t="str">
        <f ca="1">IFERROR(__xludf.DUMMYFUNCTION("""COMPUTED_VALUE"""),"No")</f>
        <v>No</v>
      </c>
      <c r="Z53" s="5" t="str">
        <f ca="1">IFERROR(__xludf.DUMMYFUNCTION("""COMPUTED_VALUE"""),"No")</f>
        <v>No</v>
      </c>
      <c r="AA53" s="5" t="str">
        <f ca="1">IFERROR(__xludf.DUMMYFUNCTION("""COMPUTED_VALUE"""),"No")</f>
        <v>No</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IFERROR(__xludf.DUMMYFUNCTION("""COMPUTED_VALUE"""),"Yes")</f>
        <v>Yes</v>
      </c>
      <c r="AF53" s="5" t="str">
        <f ca="1">IFERROR(__xludf.DUMMYFUNCTION("""COMPUTED_VALUE"""),"Yes")</f>
        <v>Yes</v>
      </c>
      <c r="AG53" s="5" t="str">
        <f ca="1">IFERROR(__xludf.DUMMYFUNCTION("""COMPUTED_VALUE"""),"No")</f>
        <v>No</v>
      </c>
      <c r="AH53" s="5" t="str">
        <f ca="1">IFERROR(__xludf.DUMMYFUNCTION("""COMPUTED_VALUE"""),"Yes")</f>
        <v>Yes</v>
      </c>
      <c r="AI53" s="5" t="str">
        <f ca="1">IFERROR(__xludf.DUMMYFUNCTION("""COMPUTED_VALUE"""),"No")</f>
        <v>No</v>
      </c>
      <c r="AJ53" s="5" t="str">
        <f ca="1">IFERROR(__xludf.DUMMYFUNCTION("""COMPUTED_VALUE"""),"No")</f>
        <v>No</v>
      </c>
      <c r="AK53" s="5" t="str">
        <f ca="1">IFERROR(__xludf.DUMMYFUNCTION("""COMPUTED_VALUE"""),"No")</f>
        <v>No</v>
      </c>
      <c r="AL53" s="5" t="str">
        <f ca="1">IFERROR(__xludf.DUMMYFUNCTION("""COMPUTED_VALUE"""),"No")</f>
        <v>No</v>
      </c>
      <c r="AM53" s="5"/>
      <c r="AN53" s="5"/>
      <c r="AO53" s="5"/>
      <c r="AP53" s="5"/>
      <c r="AQ53" s="5" t="str">
        <f ca="1">IFERROR(__xludf.DUMMYFUNCTION("""COMPUTED_VALUE"""),"No")</f>
        <v>No</v>
      </c>
      <c r="AR53" s="5"/>
      <c r="AS53" s="5"/>
      <c r="AT53" s="5"/>
      <c r="AU53" s="5"/>
    </row>
    <row r="54" spans="1:47" x14ac:dyDescent="0.25">
      <c r="A54" s="5" t="str">
        <f ca="1">IFERROR(__xludf.DUMMYFUNCTION("""COMPUTED_VALUE"""),"Redstone")</f>
        <v>Redstone</v>
      </c>
      <c r="B54" s="5" t="str">
        <f ca="1">IFERROR(__xludf.DUMMYFUNCTION("""COMPUTED_VALUE"""),"81 Vegas Crown")</f>
        <v>81 Vegas Crown</v>
      </c>
      <c r="C54" s="5" t="str">
        <f ca="1">IFERROR(__xludf.DUMMYFUNCTION("""COMPUTED_VALUE"""),"Redstone81VegasCrown")</f>
        <v>Redstone81VegasCrown</v>
      </c>
      <c r="D54" s="6">
        <f ca="1">IFERROR(__xludf.DUMMYFUNCTION("""COMPUTED_VALUE"""),45485)</f>
        <v>45485</v>
      </c>
      <c r="E54" s="5" t="str">
        <f ca="1">IFERROR(__xludf.DUMMYFUNCTION("""COMPUTED_VALUE"""),"Slot")</f>
        <v>Slot</v>
      </c>
      <c r="F54" s="5">
        <f ca="1">IFERROR(__xludf.DUMMYFUNCTION("""COMPUTED_VALUE"""),11.7)</f>
        <v>11.7</v>
      </c>
      <c r="G54" s="5" t="str">
        <f ca="1">IFERROR(__xludf.DUMMYFUNCTION("""COMPUTED_VALUE"""),"4x3")</f>
        <v>4x3</v>
      </c>
      <c r="H54" s="5">
        <f ca="1">IFERROR(__xludf.DUMMYFUNCTION("""COMPUTED_VALUE"""),81)</f>
        <v>81</v>
      </c>
      <c r="I54" s="5">
        <f ca="1">IFERROR(__xludf.DUMMYFUNCTION("""COMPUTED_VALUE"""),81)</f>
        <v>81</v>
      </c>
      <c r="J54" s="5" t="str">
        <f ca="1">IFERROR(__xludf.DUMMYFUNCTION("""COMPUTED_VALUE"""),"96.55%")</f>
        <v>96.55%</v>
      </c>
      <c r="K54" s="5" t="str">
        <f ca="1">IFERROR(__xludf.DUMMYFUNCTION("""COMPUTED_VALUE"""),"High")</f>
        <v>High</v>
      </c>
      <c r="L54" s="5" t="str">
        <f ca="1">IFERROR(__xludf.DUMMYFUNCTION("""COMPUTED_VALUE"""),"5.1%")</f>
        <v>5.1%</v>
      </c>
      <c r="M54" s="5" t="str">
        <f ca="1">IFERROR(__xludf.DUMMYFUNCTION("""COMPUTED_VALUE"""),"x3200")</f>
        <v>x3200</v>
      </c>
      <c r="N54" s="5" t="str">
        <f ca="1">IFERROR(__xludf.DUMMYFUNCTION("""COMPUTED_VALUE"""),"0.05/20")</f>
        <v>0.05/20</v>
      </c>
      <c r="O54" s="5" t="str">
        <f ca="1">IFERROR(__xludf.DUMMYFUNCTION("""COMPUTED_VALUE"""),"No")</f>
        <v>No</v>
      </c>
      <c r="P54" s="5" t="str">
        <f ca="1">IFERROR(__xludf.DUMMYFUNCTION("""COMPUTED_VALUE"""),"Mystery symbol, Wild Multiplier, Win Multiplier")</f>
        <v>Mystery symbol, Wild Multiplier, Win Multiplier</v>
      </c>
      <c r="Q54" s="7" t="str">
        <f ca="1">IFERROR(__xludf.DUMMYFUNCTION("""COMPUTED_VALUE"""),"https://static.redstone.rs/games/81-vegas-crown/")</f>
        <v>https://static.redstone.rs/games/81-vegas-crown/</v>
      </c>
      <c r="R54" s="5" t="str">
        <f ca="1">IFERROR(__xludf.DUMMYFUNCTION("""COMPUTED_VALUE"""),"Feel the Vegas atmosphere with 81 Vegas Crown, land crown symbols and get some juicy multipliers!")</f>
        <v>Feel the Vegas atmosphere with 81 Vegas Crown, land crown symbols and get some juicy multipliers!</v>
      </c>
      <c r="S5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IFERROR(__xludf.DUMMYFUNCTION("""COMPUTED_VALUE"""),"No")</f>
        <v>No</v>
      </c>
      <c r="X54" s="5" t="str">
        <f ca="1">IFERROR(__xludf.DUMMYFUNCTION("""COMPUTED_VALUE"""),"No")</f>
        <v>No</v>
      </c>
      <c r="Y54" s="5" t="str">
        <f ca="1">IFERROR(__xludf.DUMMYFUNCTION("""COMPUTED_VALUE"""),"No")</f>
        <v>No</v>
      </c>
      <c r="Z54" s="5" t="str">
        <f ca="1">IFERROR(__xludf.DUMMYFUNCTION("""COMPUTED_VALUE"""),"No")</f>
        <v>No</v>
      </c>
      <c r="AA54" s="5" t="str">
        <f ca="1">IFERROR(__xludf.DUMMYFUNCTION("""COMPUTED_VALUE"""),"No")</f>
        <v>No</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IFERROR(__xludf.DUMMYFUNCTION("""COMPUTED_VALUE"""),"Yes")</f>
        <v>Yes</v>
      </c>
      <c r="AF54" s="5" t="str">
        <f ca="1">IFERROR(__xludf.DUMMYFUNCTION("""COMPUTED_VALUE"""),"Yes")</f>
        <v>Yes</v>
      </c>
      <c r="AG54" s="5" t="str">
        <f ca="1">IFERROR(__xludf.DUMMYFUNCTION("""COMPUTED_VALUE"""),"No")</f>
        <v>No</v>
      </c>
      <c r="AH54" s="5" t="str">
        <f ca="1">IFERROR(__xludf.DUMMYFUNCTION("""COMPUTED_VALUE"""),"Yes")</f>
        <v>Yes</v>
      </c>
      <c r="AI54" s="5" t="str">
        <f ca="1">IFERROR(__xludf.DUMMYFUNCTION("""COMPUTED_VALUE"""),"No")</f>
        <v>No</v>
      </c>
      <c r="AJ54" s="5" t="str">
        <f ca="1">IFERROR(__xludf.DUMMYFUNCTION("""COMPUTED_VALUE"""),"No")</f>
        <v>No</v>
      </c>
      <c r="AK54" s="5" t="str">
        <f ca="1">IFERROR(__xludf.DUMMYFUNCTION("""COMPUTED_VALUE"""),"No")</f>
        <v>No</v>
      </c>
      <c r="AL54" s="5" t="str">
        <f ca="1">IFERROR(__xludf.DUMMYFUNCTION("""COMPUTED_VALUE"""),"No")</f>
        <v>No</v>
      </c>
      <c r="AM54" s="5"/>
      <c r="AN54" s="5" t="str">
        <f ca="1">IFERROR(__xludf.DUMMYFUNCTION("""COMPUTED_VALUE"""),"No")</f>
        <v>No</v>
      </c>
      <c r="AO54" s="5" t="str">
        <f ca="1">IFERROR(__xludf.DUMMYFUNCTION("""COMPUTED_VALUE"""),"No")</f>
        <v>No</v>
      </c>
      <c r="AP54" s="5" t="str">
        <f ca="1">IFERROR(__xludf.DUMMYFUNCTION("""COMPUTED_VALUE"""),"No")</f>
        <v>No</v>
      </c>
      <c r="AQ54" s="5" t="str">
        <f ca="1">IFERROR(__xludf.DUMMYFUNCTION("""COMPUTED_VALUE"""),"No")</f>
        <v>No</v>
      </c>
      <c r="AR54" s="5" t="str">
        <f ca="1">IFERROR(__xludf.DUMMYFUNCTION("""COMPUTED_VALUE"""),"No")</f>
        <v>No</v>
      </c>
      <c r="AS54" s="5" t="str">
        <f ca="1">IFERROR(__xludf.DUMMYFUNCTION("""COMPUTED_VALUE"""),"No")</f>
        <v>No</v>
      </c>
      <c r="AT54" s="5"/>
      <c r="AU54" s="5"/>
    </row>
    <row r="55" spans="1:47" x14ac:dyDescent="0.25">
      <c r="A55" s="5" t="str">
        <f ca="1">IFERROR(__xludf.DUMMYFUNCTION("""COMPUTED_VALUE"""),"Redstone")</f>
        <v>Redstone</v>
      </c>
      <c r="B55" s="5" t="str">
        <f ca="1">IFERROR(__xludf.DUMMYFUNCTION("""COMPUTED_VALUE"""),"Apollo 27 Classic")</f>
        <v>Apollo 27 Classic</v>
      </c>
      <c r="C55" s="5" t="str">
        <f ca="1">IFERROR(__xludf.DUMMYFUNCTION("""COMPUTED_VALUE"""),"RedstoneApollo27Classic")</f>
        <v>RedstoneApollo27Classic</v>
      </c>
      <c r="D55" s="6">
        <f ca="1">IFERROR(__xludf.DUMMYFUNCTION("""COMPUTED_VALUE"""),45467)</f>
        <v>45467</v>
      </c>
      <c r="E55" s="5" t="str">
        <f ca="1">IFERROR(__xludf.DUMMYFUNCTION("""COMPUTED_VALUE"""),"Slot")</f>
        <v>Slot</v>
      </c>
      <c r="F55" s="5">
        <f ca="1">IFERROR(__xludf.DUMMYFUNCTION("""COMPUTED_VALUE"""),6.1)</f>
        <v>6.1</v>
      </c>
      <c r="G55" s="5" t="str">
        <f ca="1">IFERROR(__xludf.DUMMYFUNCTION("""COMPUTED_VALUE"""),"3x3")</f>
        <v>3x3</v>
      </c>
      <c r="H55" s="5">
        <f ca="1">IFERROR(__xludf.DUMMYFUNCTION("""COMPUTED_VALUE"""),27)</f>
        <v>27</v>
      </c>
      <c r="I55" s="5">
        <f ca="1">IFERROR(__xludf.DUMMYFUNCTION("""COMPUTED_VALUE"""),27)</f>
        <v>27</v>
      </c>
      <c r="J55" s="5" t="str">
        <f ca="1">IFERROR(__xludf.DUMMYFUNCTION("""COMPUTED_VALUE"""),"96.24%")</f>
        <v>96.24%</v>
      </c>
      <c r="K55" s="5" t="str">
        <f ca="1">IFERROR(__xludf.DUMMYFUNCTION("""COMPUTED_VALUE"""),"Low")</f>
        <v>Low</v>
      </c>
      <c r="L55" s="5" t="str">
        <f ca="1">IFERROR(__xludf.DUMMYFUNCTION("""COMPUTED_VALUE"""),"6.58%")</f>
        <v>6.58%</v>
      </c>
      <c r="M55" s="5" t="str">
        <f ca="1">IFERROR(__xludf.DUMMYFUNCTION("""COMPUTED_VALUE"""),"x108")</f>
        <v>x108</v>
      </c>
      <c r="N55" s="5" t="str">
        <f ca="1">IFERROR(__xludf.DUMMYFUNCTION("""COMPUTED_VALUE"""),"0.01/50")</f>
        <v>0.01/50</v>
      </c>
      <c r="O55" s="5" t="str">
        <f ca="1">IFERROR(__xludf.DUMMYFUNCTION("""COMPUTED_VALUE"""),"No")</f>
        <v>No</v>
      </c>
      <c r="P55" s="5" t="str">
        <f ca="1">IFERROR(__xludf.DUMMYFUNCTION("""COMPUTED_VALUE"""),"Win Multiplier")</f>
        <v>Win Multiplier</v>
      </c>
      <c r="Q55" s="7" t="str">
        <f ca="1">IFERROR(__xludf.DUMMYFUNCTION("""COMPUTED_VALUE"""),"https://static.redstone.rs/games/apollo-27-classic/")</f>
        <v>https://static.redstone.rs/games/apollo-27-classic/</v>
      </c>
      <c r="R55" s="5" t="str">
        <f ca="1">IFERROR(__xludf.DUMMYFUNCTION("""COMPUTED_VALUE"""),"Spin the fruity reels and chase double wins! With 27 ways for payout, this game is a juicy classic!")</f>
        <v>Spin the fruity reels and chase double wins! With 27 ways for payout, this game is a juicy classic!</v>
      </c>
      <c r="S5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IFERROR(__xludf.DUMMYFUNCTION("""COMPUTED_VALUE"""),"No")</f>
        <v>No</v>
      </c>
      <c r="X55" s="5" t="str">
        <f ca="1">IFERROR(__xludf.DUMMYFUNCTION("""COMPUTED_VALUE"""),"No")</f>
        <v>No</v>
      </c>
      <c r="Y55" s="5" t="str">
        <f ca="1">IFERROR(__xludf.DUMMYFUNCTION("""COMPUTED_VALUE"""),"No")</f>
        <v>No</v>
      </c>
      <c r="Z55" s="5" t="str">
        <f ca="1">IFERROR(__xludf.DUMMYFUNCTION("""COMPUTED_VALUE"""),"No")</f>
        <v>No</v>
      </c>
      <c r="AA55" s="5" t="str">
        <f ca="1">IFERROR(__xludf.DUMMYFUNCTION("""COMPUTED_VALUE"""),"No")</f>
        <v>No</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IFERROR(__xludf.DUMMYFUNCTION("""COMPUTED_VALUE"""),"Yes")</f>
        <v>Yes</v>
      </c>
      <c r="AF55" s="5" t="str">
        <f ca="1">IFERROR(__xludf.DUMMYFUNCTION("""COMPUTED_VALUE"""),"Yes")</f>
        <v>Yes</v>
      </c>
      <c r="AG55" s="5" t="str">
        <f ca="1">IFERROR(__xludf.DUMMYFUNCTION("""COMPUTED_VALUE"""),"No")</f>
        <v>No</v>
      </c>
      <c r="AH55" s="5" t="str">
        <f ca="1">IFERROR(__xludf.DUMMYFUNCTION("""COMPUTED_VALUE"""),"Yes")</f>
        <v>Yes</v>
      </c>
      <c r="AI55" s="5" t="str">
        <f ca="1">IFERROR(__xludf.DUMMYFUNCTION("""COMPUTED_VALUE"""),"No")</f>
        <v>No</v>
      </c>
      <c r="AJ55" s="5" t="str">
        <f ca="1">IFERROR(__xludf.DUMMYFUNCTION("""COMPUTED_VALUE"""),"No")</f>
        <v>No</v>
      </c>
      <c r="AK55" s="5" t="str">
        <f ca="1">IFERROR(__xludf.DUMMYFUNCTION("""COMPUTED_VALUE"""),"No")</f>
        <v>No</v>
      </c>
      <c r="AL55" s="5" t="str">
        <f ca="1">IFERROR(__xludf.DUMMYFUNCTION("""COMPUTED_VALUE"""),"No")</f>
        <v>No</v>
      </c>
      <c r="AM55" s="5"/>
      <c r="AN55" s="5"/>
      <c r="AO55" s="5"/>
      <c r="AP55" s="5"/>
      <c r="AQ55" s="5" t="str">
        <f ca="1">IFERROR(__xludf.DUMMYFUNCTION("""COMPUTED_VALUE"""),"No")</f>
        <v>No</v>
      </c>
      <c r="AR55" s="5"/>
      <c r="AS55" s="5"/>
      <c r="AT55" s="5"/>
      <c r="AU55" s="5"/>
    </row>
    <row r="56" spans="1:47" x14ac:dyDescent="0.25">
      <c r="A56" s="5" t="str">
        <f ca="1">IFERROR(__xludf.DUMMYFUNCTION("""COMPUTED_VALUE"""),"Redstone")</f>
        <v>Redstone</v>
      </c>
      <c r="B56" s="5" t="str">
        <f ca="1">IFERROR(__xludf.DUMMYFUNCTION("""COMPUTED_VALUE"""),"Double Clover Fire")</f>
        <v>Double Clover Fire</v>
      </c>
      <c r="C56" s="5" t="str">
        <f ca="1">IFERROR(__xludf.DUMMYFUNCTION("""COMPUTED_VALUE"""),"RedstoneDoubleFireClover")</f>
        <v>RedstoneDoubleFireClover</v>
      </c>
      <c r="D56" s="6">
        <f ca="1">IFERROR(__xludf.DUMMYFUNCTION("""COMPUTED_VALUE"""),45499)</f>
        <v>45499</v>
      </c>
      <c r="E56" s="5" t="str">
        <f ca="1">IFERROR(__xludf.DUMMYFUNCTION("""COMPUTED_VALUE"""),"Slot")</f>
        <v>Slot</v>
      </c>
      <c r="F56" s="5">
        <f ca="1">IFERROR(__xludf.DUMMYFUNCTION("""COMPUTED_VALUE"""),8.9)</f>
        <v>8.9</v>
      </c>
      <c r="G56" s="5" t="str">
        <f ca="1">IFERROR(__xludf.DUMMYFUNCTION("""COMPUTED_VALUE"""),"5x3")</f>
        <v>5x3</v>
      </c>
      <c r="H56" s="5">
        <f ca="1">IFERROR(__xludf.DUMMYFUNCTION("""COMPUTED_VALUE"""),5)</f>
        <v>5</v>
      </c>
      <c r="I56" s="5">
        <f ca="1">IFERROR(__xludf.DUMMYFUNCTION("""COMPUTED_VALUE"""),5)</f>
        <v>5</v>
      </c>
      <c r="J56" s="5" t="str">
        <f ca="1">IFERROR(__xludf.DUMMYFUNCTION("""COMPUTED_VALUE"""),"96.45%")</f>
        <v>96.45%</v>
      </c>
      <c r="K56" s="5" t="str">
        <f ca="1">IFERROR(__xludf.DUMMYFUNCTION("""COMPUTED_VALUE"""),"Medium")</f>
        <v>Medium</v>
      </c>
      <c r="L56" s="5" t="str">
        <f ca="1">IFERROR(__xludf.DUMMYFUNCTION("""COMPUTED_VALUE"""),"14.23%")</f>
        <v>14.23%</v>
      </c>
      <c r="M56" s="5" t="str">
        <f ca="1">IFERROR(__xludf.DUMMYFUNCTION("""COMPUTED_VALUE"""),"x2624")</f>
        <v>x2624</v>
      </c>
      <c r="N56" s="5" t="str">
        <f ca="1">IFERROR(__xludf.DUMMYFUNCTION("""COMPUTED_VALUE"""),"0.05/100")</f>
        <v>0.05/100</v>
      </c>
      <c r="O56" s="5" t="str">
        <f ca="1">IFERROR(__xludf.DUMMYFUNCTION("""COMPUTED_VALUE"""),"No")</f>
        <v>No</v>
      </c>
      <c r="P56" s="5" t="str">
        <f ca="1">IFERROR(__xludf.DUMMYFUNCTION("""COMPUTED_VALUE"""),"Expanding Wild, Scatter")</f>
        <v>Expanding Wild, Scatter</v>
      </c>
      <c r="Q56" s="7" t="str">
        <f ca="1">IFERROR(__xludf.DUMMYFUNCTION("""COMPUTED_VALUE"""),"https://static.redstone.rs/games/double-clover-fire/")</f>
        <v>https://static.redstone.rs/games/double-clover-fire/</v>
      </c>
      <c r="R56" s="5" t="str">
        <f ca="1">IFERROR(__xludf.DUMMYFUNCTION("""COMPUTED_VALUE"""),"Discover the blazing excitement of Double Clover Fire and spin your way to doubled wins today!")</f>
        <v>Discover the blazing excitement of Double Clover Fire and spin your way to doubled wins today!</v>
      </c>
      <c r="S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IFERROR(__xludf.DUMMYFUNCTION("""COMPUTED_VALUE"""),"Yes")</f>
        <v>Yes</v>
      </c>
      <c r="AF56" s="5" t="str">
        <f ca="1">IFERROR(__xludf.DUMMYFUNCTION("""COMPUTED_VALUE"""),"Yes")</f>
        <v>Yes</v>
      </c>
      <c r="AG56" s="5" t="str">
        <f ca="1">IFERROR(__xludf.DUMMYFUNCTION("""COMPUTED_VALUE"""),"Yes")</f>
        <v>Yes</v>
      </c>
      <c r="AH56" s="5" t="str">
        <f ca="1">IFERROR(__xludf.DUMMYFUNCTION("""COMPUTED_VALUE"""),"Yes")</f>
        <v>Yes</v>
      </c>
      <c r="AI56" s="5" t="str">
        <f ca="1">IFERROR(__xludf.DUMMYFUNCTION("""COMPUTED_VALUE"""),"Yes")</f>
        <v>Yes</v>
      </c>
      <c r="AJ56" s="5" t="str">
        <f ca="1">IFERROR(__xludf.DUMMYFUNCTION("""COMPUTED_VALUE"""),"Yes")</f>
        <v>Yes</v>
      </c>
      <c r="AK56" s="5" t="str">
        <f ca="1">IFERROR(__xludf.DUMMYFUNCTION("""COMPUTED_VALUE"""),"Yes")</f>
        <v>Yes</v>
      </c>
      <c r="AL56" s="5" t="str">
        <f ca="1">IFERROR(__xludf.DUMMYFUNCTION("""COMPUTED_VALUE"""),"Yes")</f>
        <v>Yes</v>
      </c>
      <c r="AM56" s="5"/>
      <c r="AN56" s="5"/>
      <c r="AO56" s="5"/>
      <c r="AP56" s="5"/>
      <c r="AQ56" s="5" t="str">
        <f ca="1">IFERROR(__xludf.DUMMYFUNCTION("""COMPUTED_VALUE"""),"Yes")</f>
        <v>Yes</v>
      </c>
      <c r="AR56" s="5"/>
      <c r="AS56" s="5"/>
      <c r="AT56" s="5"/>
      <c r="AU56" s="5"/>
    </row>
    <row r="57" spans="1:47" x14ac:dyDescent="0.25">
      <c r="A57" s="5" t="str">
        <f ca="1">IFERROR(__xludf.DUMMYFUNCTION("""COMPUTED_VALUE"""),"Redstone")</f>
        <v>Redstone</v>
      </c>
      <c r="B57" s="5" t="str">
        <f ca="1">IFERROR(__xludf.DUMMYFUNCTION("""COMPUTED_VALUE"""),"100 Clover Fire")</f>
        <v>100 Clover Fire</v>
      </c>
      <c r="C57" s="5" t="str">
        <f ca="1">IFERROR(__xludf.DUMMYFUNCTION("""COMPUTED_VALUE"""),"Redstone100CloverFire")</f>
        <v>Redstone100CloverFire</v>
      </c>
      <c r="D57" s="6">
        <f ca="1">IFERROR(__xludf.DUMMYFUNCTION("""COMPUTED_VALUE"""),45511)</f>
        <v>45511</v>
      </c>
      <c r="E57" s="5" t="str">
        <f ca="1">IFERROR(__xludf.DUMMYFUNCTION("""COMPUTED_VALUE"""),"Slot")</f>
        <v>Slot</v>
      </c>
      <c r="F57" s="5">
        <f ca="1">IFERROR(__xludf.DUMMYFUNCTION("""COMPUTED_VALUE"""),9.7)</f>
        <v>9.6999999999999993</v>
      </c>
      <c r="G57" s="5" t="str">
        <f ca="1">IFERROR(__xludf.DUMMYFUNCTION("""COMPUTED_VALUE"""),"5x4")</f>
        <v>5x4</v>
      </c>
      <c r="H57" s="5">
        <f ca="1">IFERROR(__xludf.DUMMYFUNCTION("""COMPUTED_VALUE"""),100)</f>
        <v>100</v>
      </c>
      <c r="I57" s="5">
        <f ca="1">IFERROR(__xludf.DUMMYFUNCTION("""COMPUTED_VALUE"""),100)</f>
        <v>100</v>
      </c>
      <c r="J57" s="5" t="str">
        <f ca="1">IFERROR(__xludf.DUMMYFUNCTION("""COMPUTED_VALUE"""),"96.5%")</f>
        <v>96.5%</v>
      </c>
      <c r="K57" s="5" t="str">
        <f ca="1">IFERROR(__xludf.DUMMYFUNCTION("""COMPUTED_VALUE"""),"Medium")</f>
        <v>Medium</v>
      </c>
      <c r="L57" s="5" t="str">
        <f ca="1">IFERROR(__xludf.DUMMYFUNCTION("""COMPUTED_VALUE"""),"13.31%")</f>
        <v>13.31%</v>
      </c>
      <c r="M57" s="5" t="str">
        <f ca="1">IFERROR(__xludf.DUMMYFUNCTION("""COMPUTED_VALUE"""),"x3000")</f>
        <v>x3000</v>
      </c>
      <c r="N57" s="5" t="str">
        <f ca="1">IFERROR(__xludf.DUMMYFUNCTION("""COMPUTED_VALUE"""),"1/100")</f>
        <v>1/100</v>
      </c>
      <c r="O57" s="5" t="str">
        <f ca="1">IFERROR(__xludf.DUMMYFUNCTION("""COMPUTED_VALUE"""),"No")</f>
        <v>No</v>
      </c>
      <c r="P57" s="5" t="str">
        <f ca="1">IFERROR(__xludf.DUMMYFUNCTION("""COMPUTED_VALUE"""),"Scatter, Expanding Wild")</f>
        <v>Scatter, Expanding Wild</v>
      </c>
      <c r="Q57" s="7" t="str">
        <f ca="1">IFERROR(__xludf.DUMMYFUNCTION("""COMPUTED_VALUE"""),"https://static.redstone.rs/games/100-clover-fire/")</f>
        <v>https://static.redstone.rs/games/100-clover-fire/</v>
      </c>
      <c r="R57" s="5" t="str">
        <f ca="1">IFERROR(__xludf.DUMMYFUNCTION("""COMPUTED_VALUE"""),"100 Clover Fire means 100 ways to win! Feel the thrill, spin the reels and blaze your path to massive wins!")</f>
        <v>100 Clover Fire means 100 ways to win! Feel the thrill, spin the reels and blaze your path to massive wins!</v>
      </c>
      <c r="S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IFERROR(__xludf.DUMMYFUNCTION("""COMPUTED_VALUE"""),"Yes")</f>
        <v>Yes</v>
      </c>
      <c r="AF57" s="5" t="str">
        <f ca="1">IFERROR(__xludf.DUMMYFUNCTION("""COMPUTED_VALUE"""),"Yes")</f>
        <v>Yes</v>
      </c>
      <c r="AG57" s="5" t="str">
        <f ca="1">IFERROR(__xludf.DUMMYFUNCTION("""COMPUTED_VALUE"""),"Yes")</f>
        <v>Yes</v>
      </c>
      <c r="AH57" s="5" t="str">
        <f ca="1">IFERROR(__xludf.DUMMYFUNCTION("""COMPUTED_VALUE"""),"Yes")</f>
        <v>Yes</v>
      </c>
      <c r="AI57" s="5" t="str">
        <f ca="1">IFERROR(__xludf.DUMMYFUNCTION("""COMPUTED_VALUE"""),"Yes")</f>
        <v>Yes</v>
      </c>
      <c r="AJ57" s="5" t="str">
        <f ca="1">IFERROR(__xludf.DUMMYFUNCTION("""COMPUTED_VALUE"""),"Yes")</f>
        <v>Yes</v>
      </c>
      <c r="AK57" s="5" t="str">
        <f ca="1">IFERROR(__xludf.DUMMYFUNCTION("""COMPUTED_VALUE"""),"Yes")</f>
        <v>Yes</v>
      </c>
      <c r="AL57" s="5" t="str">
        <f ca="1">IFERROR(__xludf.DUMMYFUNCTION("""COMPUTED_VALUE"""),"Yes")</f>
        <v>Yes</v>
      </c>
      <c r="AM57" s="5"/>
      <c r="AN57" s="5"/>
      <c r="AO57" s="5"/>
      <c r="AP57" s="5"/>
      <c r="AQ57" s="5" t="str">
        <f ca="1">IFERROR(__xludf.DUMMYFUNCTION("""COMPUTED_VALUE"""),"Yes")</f>
        <v>Yes</v>
      </c>
      <c r="AR57" s="5"/>
      <c r="AS57" s="5"/>
      <c r="AT57" s="5"/>
      <c r="AU57" s="5"/>
    </row>
    <row r="58" spans="1:47" x14ac:dyDescent="0.25">
      <c r="A58" s="5" t="str">
        <f ca="1">IFERROR(__xludf.DUMMYFUNCTION("""COMPUTED_VALUE"""),"Redstone")</f>
        <v>Redstone</v>
      </c>
      <c r="B58" s="5" t="str">
        <f ca="1">IFERROR(__xludf.DUMMYFUNCTION("""COMPUTED_VALUE"""),"Volcano Crown")</f>
        <v>Volcano Crown</v>
      </c>
      <c r="C58" s="5" t="str">
        <f ca="1">IFERROR(__xludf.DUMMYFUNCTION("""COMPUTED_VALUE"""),"RedstoneVolcanoCrown")</f>
        <v>RedstoneVolcanoCrown</v>
      </c>
      <c r="D58" s="6">
        <f ca="1">IFERROR(__xludf.DUMMYFUNCTION("""COMPUTED_VALUE"""),45523)</f>
        <v>45523</v>
      </c>
      <c r="E58" s="5" t="str">
        <f ca="1">IFERROR(__xludf.DUMMYFUNCTION("""COMPUTED_VALUE"""),"Slot")</f>
        <v>Slot</v>
      </c>
      <c r="F58" s="5">
        <f ca="1">IFERROR(__xludf.DUMMYFUNCTION("""COMPUTED_VALUE"""),7.5)</f>
        <v>7.5</v>
      </c>
      <c r="G58" s="5" t="str">
        <f ca="1">IFERROR(__xludf.DUMMYFUNCTION("""COMPUTED_VALUE"""),"5x3")</f>
        <v>5x3</v>
      </c>
      <c r="H58" s="5">
        <f ca="1">IFERROR(__xludf.DUMMYFUNCTION("""COMPUTED_VALUE"""),10)</f>
        <v>10</v>
      </c>
      <c r="I58" s="5">
        <f ca="1">IFERROR(__xludf.DUMMYFUNCTION("""COMPUTED_VALUE"""),10)</f>
        <v>10</v>
      </c>
      <c r="J58" s="5" t="str">
        <f ca="1">IFERROR(__xludf.DUMMYFUNCTION("""COMPUTED_VALUE"""),"95.96%")</f>
        <v>95.96%</v>
      </c>
      <c r="K58" s="5" t="str">
        <f ca="1">IFERROR(__xludf.DUMMYFUNCTION("""COMPUTED_VALUE"""),"Medium")</f>
        <v>Medium</v>
      </c>
      <c r="L58" s="5" t="str">
        <f ca="1">IFERROR(__xludf.DUMMYFUNCTION("""COMPUTED_VALUE"""),"14.63%")</f>
        <v>14.63%</v>
      </c>
      <c r="M58" s="5" t="str">
        <f ca="1">IFERROR(__xludf.DUMMYFUNCTION("""COMPUTED_VALUE"""),"x1538")</f>
        <v>x1538</v>
      </c>
      <c r="N58" s="5" t="str">
        <f ca="1">IFERROR(__xludf.DUMMYFUNCTION("""COMPUTED_VALUE"""),"0.10/40")</f>
        <v>0.10/40</v>
      </c>
      <c r="O58" s="5" t="str">
        <f ca="1">IFERROR(__xludf.DUMMYFUNCTION("""COMPUTED_VALUE"""),"No")</f>
        <v>No</v>
      </c>
      <c r="P58" s="5" t="str">
        <f ca="1">IFERROR(__xludf.DUMMYFUNCTION("""COMPUTED_VALUE"""),"Expanding Wild, Scatter")</f>
        <v>Expanding Wild, Scatter</v>
      </c>
      <c r="Q58" s="7" t="str">
        <f ca="1">IFERROR(__xludf.DUMMYFUNCTION("""COMPUTED_VALUE"""),"https://static.redstone.rs/games/volcano-crown/")</f>
        <v>https://static.redstone.rs/games/volcano-crown/</v>
      </c>
      <c r="R58" s="5" t="str">
        <f ca="1">IFERROR(__xludf.DUMMYFUNCTION("""COMPUTED_VALUE"""),"Feel the lava flow as you spin for regal rewards. Erupt with excitement and claim your Volcano Crown today!")</f>
        <v>Feel the lava flow as you spin for regal rewards. Erupt with excitement and claim your Volcano Crown today!</v>
      </c>
      <c r="S5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 ca="1">IFERROR(__xludf.DUMMYFUNCTION("""COMPUTED_VALUE"""),"Yes")</f>
        <v>Yes</v>
      </c>
      <c r="U58" s="5" t="str">
        <f ca="1">IFERROR(__xludf.DUMMYFUNCTION("""COMPUTED_VALUE"""),"Yes")</f>
        <v>Yes</v>
      </c>
      <c r="V58" s="5" t="str">
        <f ca="1">IFERROR(__xludf.DUMMYFUNCTION("""COMPUTED_VALUE"""),"No")</f>
        <v>No</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IFERROR(__xludf.DUMMYFUNCTION("""COMPUTED_VALUE"""),"Yes")</f>
        <v>Yes</v>
      </c>
      <c r="AF58" s="5" t="str">
        <f ca="1">IFERROR(__xludf.DUMMYFUNCTION("""COMPUTED_VALUE"""),"Yes")</f>
        <v>Yes</v>
      </c>
      <c r="AG58" s="5" t="str">
        <f ca="1">IFERROR(__xludf.DUMMYFUNCTION("""COMPUTED_VALUE"""),"Yes")</f>
        <v>Yes</v>
      </c>
      <c r="AH58" s="5" t="str">
        <f ca="1">IFERROR(__xludf.DUMMYFUNCTION("""COMPUTED_VALUE"""),"Yes")</f>
        <v>Yes</v>
      </c>
      <c r="AI58" s="5" t="str">
        <f ca="1">IFERROR(__xludf.DUMMYFUNCTION("""COMPUTED_VALUE"""),"No")</f>
        <v>No</v>
      </c>
      <c r="AJ58" s="5" t="str">
        <f ca="1">IFERROR(__xludf.DUMMYFUNCTION("""COMPUTED_VALUE"""),"No")</f>
        <v>No</v>
      </c>
      <c r="AK58" s="5" t="str">
        <f ca="1">IFERROR(__xludf.DUMMYFUNCTION("""COMPUTED_VALUE"""),"No")</f>
        <v>No</v>
      </c>
      <c r="AL58" s="5" t="str">
        <f ca="1">IFERROR(__xludf.DUMMYFUNCTION("""COMPUTED_VALUE"""),"No")</f>
        <v>No</v>
      </c>
      <c r="AM58" s="5" t="str">
        <f ca="1">IFERROR(__xludf.DUMMYFUNCTION("""COMPUTED_VALUE"""),"No")</f>
        <v>No</v>
      </c>
      <c r="AN58" s="5" t="str">
        <f ca="1">IFERROR(__xludf.DUMMYFUNCTION("""COMPUTED_VALUE"""),"No")</f>
        <v>No</v>
      </c>
      <c r="AO58" s="5" t="str">
        <f ca="1">IFERROR(__xludf.DUMMYFUNCTION("""COMPUTED_VALUE"""),"No")</f>
        <v>No</v>
      </c>
      <c r="AP58" s="5" t="str">
        <f ca="1">IFERROR(__xludf.DUMMYFUNCTION("""COMPUTED_VALUE"""),"No")</f>
        <v>No</v>
      </c>
      <c r="AQ58" s="5" t="str">
        <f ca="1">IFERROR(__xludf.DUMMYFUNCTION("""COMPUTED_VALUE"""),"No")</f>
        <v>No</v>
      </c>
      <c r="AR58" s="5" t="str">
        <f ca="1">IFERROR(__xludf.DUMMYFUNCTION("""COMPUTED_VALUE"""),"No")</f>
        <v>No</v>
      </c>
      <c r="AS58" s="5" t="str">
        <f ca="1">IFERROR(__xludf.DUMMYFUNCTION("""COMPUTED_VALUE"""),"Yes")</f>
        <v>Yes</v>
      </c>
      <c r="AT58" s="5" t="str">
        <f ca="1">IFERROR(__xludf.DUMMYFUNCTION("""COMPUTED_VALUE"""),"No")</f>
        <v>No</v>
      </c>
      <c r="AU58" s="5"/>
    </row>
    <row r="59" spans="1:47" x14ac:dyDescent="0.25">
      <c r="A59" s="5" t="str">
        <f ca="1">IFERROR(__xludf.DUMMYFUNCTION("""COMPUTED_VALUE"""),"Redstone")</f>
        <v>Redstone</v>
      </c>
      <c r="B59" s="5" t="str">
        <f ca="1">IFERROR(__xludf.DUMMYFUNCTION("""COMPUTED_VALUE"""),"Spooky Spins")</f>
        <v>Spooky Spins</v>
      </c>
      <c r="C59" s="5" t="str">
        <f ca="1">IFERROR(__xludf.DUMMYFUNCTION("""COMPUTED_VALUE"""),"RedstoneSpookySpins")</f>
        <v>RedstoneSpookySpins</v>
      </c>
      <c r="D59" s="6">
        <f ca="1">IFERROR(__xludf.DUMMYFUNCTION("""COMPUTED_VALUE"""),45574)</f>
        <v>45574</v>
      </c>
      <c r="E59" s="5" t="str">
        <f ca="1">IFERROR(__xludf.DUMMYFUNCTION("""COMPUTED_VALUE"""),"Slot")</f>
        <v>Slot</v>
      </c>
      <c r="F59" s="5">
        <f ca="1">IFERROR(__xludf.DUMMYFUNCTION("""COMPUTED_VALUE"""),12)</f>
        <v>12</v>
      </c>
      <c r="G59" s="5" t="str">
        <f ca="1">IFERROR(__xludf.DUMMYFUNCTION("""COMPUTED_VALUE"""),"5x3")</f>
        <v>5x3</v>
      </c>
      <c r="H59" s="5">
        <f ca="1">IFERROR(__xludf.DUMMYFUNCTION("""COMPUTED_VALUE"""),10)</f>
        <v>10</v>
      </c>
      <c r="I59" s="5">
        <f ca="1">IFERROR(__xludf.DUMMYFUNCTION("""COMPUTED_VALUE"""),10)</f>
        <v>10</v>
      </c>
      <c r="J59" s="5" t="str">
        <f ca="1">IFERROR(__xludf.DUMMYFUNCTION("""COMPUTED_VALUE"""),"96.53%")</f>
        <v>96.53%</v>
      </c>
      <c r="K59" s="5" t="str">
        <f ca="1">IFERROR(__xludf.DUMMYFUNCTION("""COMPUTED_VALUE"""),"High")</f>
        <v>High</v>
      </c>
      <c r="L59" s="5" t="str">
        <f ca="1">IFERROR(__xludf.DUMMYFUNCTION("""COMPUTED_VALUE"""),"10.61%")</f>
        <v>10.61%</v>
      </c>
      <c r="M59" s="5" t="str">
        <f ca="1">IFERROR(__xludf.DUMMYFUNCTION("""COMPUTED_VALUE"""),"x20108")</f>
        <v>x20108</v>
      </c>
      <c r="N59" s="5" t="str">
        <f ca="1">IFERROR(__xludf.DUMMYFUNCTION("""COMPUTED_VALUE"""),"0.10/40")</f>
        <v>0.10/40</v>
      </c>
      <c r="O59" s="5" t="str">
        <f ca="1">IFERROR(__xludf.DUMMYFUNCTION("""COMPUTED_VALUE"""),"No")</f>
        <v>No</v>
      </c>
      <c r="P59" s="5" t="str">
        <f ca="1">IFERROR(__xludf.DUMMYFUNCTION("""COMPUTED_VALUE"""),"Expanding Wild, Scatter, Bonus Game with Free Spins, Extralines")</f>
        <v>Expanding Wild, Scatter, Bonus Game with Free Spins, Extralines</v>
      </c>
      <c r="Q59" s="7" t="str">
        <f ca="1">IFERROR(__xludf.DUMMYFUNCTION("""COMPUTED_VALUE"""),"https://static.redstone.rs/games/spooky-spins/")</f>
        <v>https://static.redstone.rs/games/spooky-spins/</v>
      </c>
      <c r="R59" s="5" t="str">
        <f ca="1">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S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IFERROR(__xludf.DUMMYFUNCTION("""COMPUTED_VALUE"""),"Yes")</f>
        <v>Yes</v>
      </c>
      <c r="AF59" s="5" t="str">
        <f ca="1">IFERROR(__xludf.DUMMYFUNCTION("""COMPUTED_VALUE"""),"Yes")</f>
        <v>Yes</v>
      </c>
      <c r="AG59" s="5" t="str">
        <f ca="1">IFERROR(__xludf.DUMMYFUNCTION("""COMPUTED_VALUE"""),"Yes")</f>
        <v>Yes</v>
      </c>
      <c r="AH59" s="5" t="str">
        <f ca="1">IFERROR(__xludf.DUMMYFUNCTION("""COMPUTED_VALUE"""),"Yes")</f>
        <v>Yes</v>
      </c>
      <c r="AI59" s="5" t="str">
        <f ca="1">IFERROR(__xludf.DUMMYFUNCTION("""COMPUTED_VALUE"""),"Yes")</f>
        <v>Yes</v>
      </c>
      <c r="AJ59" s="5" t="str">
        <f ca="1">IFERROR(__xludf.DUMMYFUNCTION("""COMPUTED_VALUE"""),"Yes")</f>
        <v>Yes</v>
      </c>
      <c r="AK59" s="5" t="str">
        <f ca="1">IFERROR(__xludf.DUMMYFUNCTION("""COMPUTED_VALUE"""),"Yes")</f>
        <v>Yes</v>
      </c>
      <c r="AL59" s="5" t="str">
        <f ca="1">IFERROR(__xludf.DUMMYFUNCTION("""COMPUTED_VALUE"""),"Yes")</f>
        <v>Yes</v>
      </c>
      <c r="AM59" s="5"/>
      <c r="AN59" s="5"/>
      <c r="AO59" s="5"/>
      <c r="AP59" s="5"/>
      <c r="AQ59" s="5" t="str">
        <f ca="1">IFERROR(__xludf.DUMMYFUNCTION("""COMPUTED_VALUE"""),"Yes")</f>
        <v>Yes</v>
      </c>
      <c r="AR59" s="5"/>
      <c r="AS59" s="5"/>
      <c r="AT59" s="5"/>
      <c r="AU59" s="5"/>
    </row>
    <row r="60" spans="1:47" x14ac:dyDescent="0.25">
      <c r="A60" s="5" t="str">
        <f ca="1">IFERROR(__xludf.DUMMYFUNCTION("""COMPUTED_VALUE"""),"Redstone")</f>
        <v>Redstone</v>
      </c>
      <c r="B60" s="5" t="str">
        <f ca="1">IFERROR(__xludf.DUMMYFUNCTION("""COMPUTED_VALUE"""),"5 Wild Fire")</f>
        <v>5 Wild Fire</v>
      </c>
      <c r="C60" s="5" t="str">
        <f ca="1">IFERROR(__xludf.DUMMYFUNCTION("""COMPUTED_VALUE"""),"Redstone5WildFire")</f>
        <v>Redstone5WildFire</v>
      </c>
      <c r="D60" s="6">
        <f ca="1">IFERROR(__xludf.DUMMYFUNCTION("""COMPUTED_VALUE"""),45568)</f>
        <v>45568</v>
      </c>
      <c r="E60" s="5" t="str">
        <f ca="1">IFERROR(__xludf.DUMMYFUNCTION("""COMPUTED_VALUE"""),"Slot")</f>
        <v>Slot</v>
      </c>
      <c r="F60" s="5">
        <f ca="1">IFERROR(__xludf.DUMMYFUNCTION("""COMPUTED_VALUE"""),11.2)</f>
        <v>11.2</v>
      </c>
      <c r="G60" s="5" t="str">
        <f ca="1">IFERROR(__xludf.DUMMYFUNCTION("""COMPUTED_VALUE"""),"5x3")</f>
        <v>5x3</v>
      </c>
      <c r="H60" s="5">
        <f ca="1">IFERROR(__xludf.DUMMYFUNCTION("""COMPUTED_VALUE"""),5)</f>
        <v>5</v>
      </c>
      <c r="I60" s="5">
        <f ca="1">IFERROR(__xludf.DUMMYFUNCTION("""COMPUTED_VALUE"""),5)</f>
        <v>5</v>
      </c>
      <c r="J60" s="5" t="str">
        <f ca="1">IFERROR(__xludf.DUMMYFUNCTION("""COMPUTED_VALUE"""),"96.2%")</f>
        <v>96.2%</v>
      </c>
      <c r="K60" s="5" t="str">
        <f ca="1">IFERROR(__xludf.DUMMYFUNCTION("""COMPUTED_VALUE"""),"Medium")</f>
        <v>Medium</v>
      </c>
      <c r="L60" s="5" t="str">
        <f ca="1">IFERROR(__xludf.DUMMYFUNCTION("""COMPUTED_VALUE"""),"11.91%")</f>
        <v>11.91%</v>
      </c>
      <c r="M60" s="5" t="str">
        <f ca="1">IFERROR(__xludf.DUMMYFUNCTION("""COMPUTED_VALUE"""),"x2000")</f>
        <v>x2000</v>
      </c>
      <c r="N60" s="5" t="str">
        <f ca="1">IFERROR(__xludf.DUMMYFUNCTION("""COMPUTED_VALUE"""),"0.01/50")</f>
        <v>0.01/50</v>
      </c>
      <c r="O60" s="5" t="str">
        <f ca="1">IFERROR(__xludf.DUMMYFUNCTION("""COMPUTED_VALUE"""),"No")</f>
        <v>No</v>
      </c>
      <c r="P60" s="5" t="str">
        <f ca="1">IFERROR(__xludf.DUMMYFUNCTION("""COMPUTED_VALUE"""),"Wild Symbol")</f>
        <v>Wild Symbol</v>
      </c>
      <c r="Q60" s="7" t="str">
        <f ca="1">IFERROR(__xludf.DUMMYFUNCTION("""COMPUTED_VALUE"""),"https://static.redstone.rs/games/5-wild-fire/")</f>
        <v>https://static.redstone.rs/games/5-wild-fire/</v>
      </c>
      <c r="R60" s="5" t="str">
        <f ca="1">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S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IFERROR(__xludf.DUMMYFUNCTION("""COMPUTED_VALUE"""),"Yes")</f>
        <v>Yes</v>
      </c>
      <c r="AA60" s="5" t="str">
        <f ca="1">IFERROR(__xludf.DUMMYFUNCTION("""COMPUTED_VALUE"""),"Yes")</f>
        <v>Yes</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IFERROR(__xludf.DUMMYFUNCTION("""COMPUTED_VALUE"""),"Yes")</f>
        <v>Yes</v>
      </c>
      <c r="AF60" s="5" t="str">
        <f ca="1">IFERROR(__xludf.DUMMYFUNCTION("""COMPUTED_VALUE"""),"Yes")</f>
        <v>Yes</v>
      </c>
      <c r="AG60" s="5" t="str">
        <f ca="1">IFERROR(__xludf.DUMMYFUNCTION("""COMPUTED_VALUE"""),"Yes")</f>
        <v>Yes</v>
      </c>
      <c r="AH60" s="5" t="str">
        <f ca="1">IFERROR(__xludf.DUMMYFUNCTION("""COMPUTED_VALUE"""),"Yes")</f>
        <v>Yes</v>
      </c>
      <c r="AI60" s="5" t="str">
        <f ca="1">IFERROR(__xludf.DUMMYFUNCTION("""COMPUTED_VALUE"""),"Yes")</f>
        <v>Yes</v>
      </c>
      <c r="AJ60" s="5" t="str">
        <f ca="1">IFERROR(__xludf.DUMMYFUNCTION("""COMPUTED_VALUE"""),"Yes")</f>
        <v>Yes</v>
      </c>
      <c r="AK60" s="5" t="str">
        <f ca="1">IFERROR(__xludf.DUMMYFUNCTION("""COMPUTED_VALUE"""),"Yes")</f>
        <v>Yes</v>
      </c>
      <c r="AL60" s="5" t="str">
        <f ca="1">IFERROR(__xludf.DUMMYFUNCTION("""COMPUTED_VALUE"""),"Yes")</f>
        <v>Yes</v>
      </c>
      <c r="AM60" s="5"/>
      <c r="AN60" s="5"/>
      <c r="AO60" s="5"/>
      <c r="AP60" s="5"/>
      <c r="AQ60" s="5" t="str">
        <f ca="1">IFERROR(__xludf.DUMMYFUNCTION("""COMPUTED_VALUE"""),"Yes")</f>
        <v>Yes</v>
      </c>
      <c r="AR60" s="5"/>
      <c r="AS60" s="5"/>
      <c r="AT60" s="5"/>
      <c r="AU60" s="5"/>
    </row>
    <row r="61" spans="1:47" x14ac:dyDescent="0.25">
      <c r="A61" s="5" t="str">
        <f ca="1">IFERROR(__xludf.DUMMYFUNCTION("""COMPUTED_VALUE"""),"Redstone")</f>
        <v>Redstone</v>
      </c>
      <c r="B61" s="5" t="str">
        <f ca="1">IFERROR(__xludf.DUMMYFUNCTION("""COMPUTED_VALUE"""),"81 Double Magic")</f>
        <v>81 Double Magic</v>
      </c>
      <c r="C61" s="5" t="str">
        <f ca="1">IFERROR(__xludf.DUMMYFUNCTION("""COMPUTED_VALUE"""),"Redstone81DoubleMagic")</f>
        <v>Redstone81DoubleMagic</v>
      </c>
      <c r="D61" s="6">
        <f ca="1">IFERROR(__xludf.DUMMYFUNCTION("""COMPUTED_VALUE"""),45586)</f>
        <v>45586</v>
      </c>
      <c r="E61" s="5" t="str">
        <f ca="1">IFERROR(__xludf.DUMMYFUNCTION("""COMPUTED_VALUE"""),"Slot")</f>
        <v>Slot</v>
      </c>
      <c r="F61" s="5">
        <f ca="1">IFERROR(__xludf.DUMMYFUNCTION("""COMPUTED_VALUE"""),9.7)</f>
        <v>9.6999999999999993</v>
      </c>
      <c r="G61" s="5" t="str">
        <f ca="1">IFERROR(__xludf.DUMMYFUNCTION("""COMPUTED_VALUE"""),"4x3")</f>
        <v>4x3</v>
      </c>
      <c r="H61" s="5">
        <f ca="1">IFERROR(__xludf.DUMMYFUNCTION("""COMPUTED_VALUE"""),81)</f>
        <v>81</v>
      </c>
      <c r="I61" s="5">
        <f ca="1">IFERROR(__xludf.DUMMYFUNCTION("""COMPUTED_VALUE"""),81)</f>
        <v>81</v>
      </c>
      <c r="J61" s="5" t="str">
        <f ca="1">IFERROR(__xludf.DUMMYFUNCTION("""COMPUTED_VALUE"""),"96.55%")</f>
        <v>96.55%</v>
      </c>
      <c r="K61" s="5" t="str">
        <f ca="1">IFERROR(__xludf.DUMMYFUNCTION("""COMPUTED_VALUE"""),"High")</f>
        <v>High</v>
      </c>
      <c r="L61" s="5" t="str">
        <f ca="1">IFERROR(__xludf.DUMMYFUNCTION("""COMPUTED_VALUE"""),"5.1%")</f>
        <v>5.1%</v>
      </c>
      <c r="M61" s="5" t="str">
        <f ca="1">IFERROR(__xludf.DUMMYFUNCTION("""COMPUTED_VALUE"""),"x3200")</f>
        <v>x3200</v>
      </c>
      <c r="N61" s="5" t="str">
        <f ca="1">IFERROR(__xludf.DUMMYFUNCTION("""COMPUTED_VALUE"""),"0.05/20")</f>
        <v>0.05/20</v>
      </c>
      <c r="O61" s="5" t="str">
        <f ca="1">IFERROR(__xludf.DUMMYFUNCTION("""COMPUTED_VALUE"""),"No")</f>
        <v>No</v>
      </c>
      <c r="P61" s="5" t="str">
        <f ca="1">IFERROR(__xludf.DUMMYFUNCTION("""COMPUTED_VALUE"""),"Mystery symbol, Wild Multiplier")</f>
        <v>Mystery symbol, Wild Multiplier</v>
      </c>
      <c r="Q61" s="7" t="str">
        <f ca="1">IFERROR(__xludf.DUMMYFUNCTION("""COMPUTED_VALUE"""),"https://static.redstone.rs/games/81-double-magic/")</f>
        <v>https://static.redstone.rs/games/81-double-magic/</v>
      </c>
      <c r="R61" s="5" t="str">
        <f ca="1">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S6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IFERROR(__xludf.DUMMYFUNCTION("""COMPUTED_VALUE"""),"No")</f>
        <v>No</v>
      </c>
      <c r="X61" s="5" t="str">
        <f ca="1">IFERROR(__xludf.DUMMYFUNCTION("""COMPUTED_VALUE"""),"No")</f>
        <v>No</v>
      </c>
      <c r="Y61" s="5" t="str">
        <f ca="1">IFERROR(__xludf.DUMMYFUNCTION("""COMPUTED_VALUE"""),"No")</f>
        <v>No</v>
      </c>
      <c r="Z61" s="5" t="str">
        <f ca="1">IFERROR(__xludf.DUMMYFUNCTION("""COMPUTED_VALUE"""),"No")</f>
        <v>No</v>
      </c>
      <c r="AA61" s="5" t="str">
        <f ca="1">IFERROR(__xludf.DUMMYFUNCTION("""COMPUTED_VALUE"""),"No")</f>
        <v>No</v>
      </c>
      <c r="AB61" s="5" t="str">
        <f ca="1">IFERROR(__xludf.DUMMYFUNCTION("""COMPUTED_VALUE"""),"Yes")</f>
        <v>Yes</v>
      </c>
      <c r="AC61" s="5" t="str">
        <f ca="1">IFERROR(__xludf.DUMMYFUNCTION("""COMPUTED_VALUE"""),"Yes")</f>
        <v>Yes</v>
      </c>
      <c r="AD61" s="5" t="str">
        <f ca="1">IFERROR(__xludf.DUMMYFUNCTION("""COMPUTED_VALUE"""),"Yes")</f>
        <v>Yes</v>
      </c>
      <c r="AE61" s="5" t="str">
        <f ca="1">IFERROR(__xludf.DUMMYFUNCTION("""COMPUTED_VALUE"""),"Yes")</f>
        <v>Yes</v>
      </c>
      <c r="AF61" s="5" t="str">
        <f ca="1">IFERROR(__xludf.DUMMYFUNCTION("""COMPUTED_VALUE"""),"Yes")</f>
        <v>Yes</v>
      </c>
      <c r="AG61" s="5" t="str">
        <f ca="1">IFERROR(__xludf.DUMMYFUNCTION("""COMPUTED_VALUE"""),"No")</f>
        <v>No</v>
      </c>
      <c r="AH61" s="5" t="str">
        <f ca="1">IFERROR(__xludf.DUMMYFUNCTION("""COMPUTED_VALUE"""),"Yes")</f>
        <v>Yes</v>
      </c>
      <c r="AI61" s="5" t="str">
        <f ca="1">IFERROR(__xludf.DUMMYFUNCTION("""COMPUTED_VALUE"""),"No")</f>
        <v>No</v>
      </c>
      <c r="AJ61" s="5" t="str">
        <f ca="1">IFERROR(__xludf.DUMMYFUNCTION("""COMPUTED_VALUE"""),"No")</f>
        <v>No</v>
      </c>
      <c r="AK61" s="5" t="str">
        <f ca="1">IFERROR(__xludf.DUMMYFUNCTION("""COMPUTED_VALUE"""),"No")</f>
        <v>No</v>
      </c>
      <c r="AL61" s="5" t="str">
        <f ca="1">IFERROR(__xludf.DUMMYFUNCTION("""COMPUTED_VALUE"""),"No")</f>
        <v>No</v>
      </c>
      <c r="AM61" s="5"/>
      <c r="AN61" s="5"/>
      <c r="AO61" s="5" t="str">
        <f ca="1">IFERROR(__xludf.DUMMYFUNCTION("""COMPUTED_VALUE"""),"No")</f>
        <v>No</v>
      </c>
      <c r="AP61" s="5"/>
      <c r="AQ61" s="5" t="str">
        <f ca="1">IFERROR(__xludf.DUMMYFUNCTION("""COMPUTED_VALUE"""),"No")</f>
        <v>No</v>
      </c>
      <c r="AR61" s="5"/>
      <c r="AS61" s="5" t="str">
        <f ca="1">IFERROR(__xludf.DUMMYFUNCTION("""COMPUTED_VALUE"""),"No")</f>
        <v>No</v>
      </c>
      <c r="AT61" s="5" t="str">
        <f ca="1">IFERROR(__xludf.DUMMYFUNCTION("""COMPUTED_VALUE"""),"No")</f>
        <v>No</v>
      </c>
      <c r="AU61" s="5"/>
    </row>
    <row r="62" spans="1:47" x14ac:dyDescent="0.25">
      <c r="A62" s="5" t="str">
        <f ca="1">IFERROR(__xludf.DUMMYFUNCTION("""COMPUTED_VALUE"""),"Redstone")</f>
        <v>Redstone</v>
      </c>
      <c r="B62" s="5" t="str">
        <f ca="1">IFERROR(__xludf.DUMMYFUNCTION("""COMPUTED_VALUE"""),"Only Anime")</f>
        <v>Only Anime</v>
      </c>
      <c r="C62" s="5" t="str">
        <f ca="1">IFERROR(__xludf.DUMMYFUNCTION("""COMPUTED_VALUE"""),"RedstoneOnlyAnime")</f>
        <v>RedstoneOnlyAnime</v>
      </c>
      <c r="D62" s="6">
        <f ca="1">IFERROR(__xludf.DUMMYFUNCTION("""COMPUTED_VALUE"""),45610)</f>
        <v>45610</v>
      </c>
      <c r="E62" s="5" t="str">
        <f ca="1">IFERROR(__xludf.DUMMYFUNCTION("""COMPUTED_VALUE"""),"Slot")</f>
        <v>Slot</v>
      </c>
      <c r="F62" s="5">
        <f ca="1">IFERROR(__xludf.DUMMYFUNCTION("""COMPUTED_VALUE"""),8.5)</f>
        <v>8.5</v>
      </c>
      <c r="G62" s="5" t="str">
        <f ca="1">IFERROR(__xludf.DUMMYFUNCTION("""COMPUTED_VALUE"""),"5x3")</f>
        <v>5x3</v>
      </c>
      <c r="H62" s="5">
        <f ca="1">IFERROR(__xludf.DUMMYFUNCTION("""COMPUTED_VALUE"""),5)</f>
        <v>5</v>
      </c>
      <c r="I62" s="5">
        <f ca="1">IFERROR(__xludf.DUMMYFUNCTION("""COMPUTED_VALUE"""),5)</f>
        <v>5</v>
      </c>
      <c r="J62" s="5" t="str">
        <f ca="1">IFERROR(__xludf.DUMMYFUNCTION("""COMPUTED_VALUE"""),"96.36%")</f>
        <v>96.36%</v>
      </c>
      <c r="K62" s="5" t="str">
        <f ca="1">IFERROR(__xludf.DUMMYFUNCTION("""COMPUTED_VALUE"""),"Medium")</f>
        <v>Medium</v>
      </c>
      <c r="L62" s="5" t="str">
        <f ca="1">IFERROR(__xludf.DUMMYFUNCTION("""COMPUTED_VALUE"""),"11.87%")</f>
        <v>11.87%</v>
      </c>
      <c r="M62" s="5" t="str">
        <f ca="1">IFERROR(__xludf.DUMMYFUNCTION("""COMPUTED_VALUE"""),"x2000")</f>
        <v>x2000</v>
      </c>
      <c r="N62" s="5" t="str">
        <f ca="1">IFERROR(__xludf.DUMMYFUNCTION("""COMPUTED_VALUE"""),"0.01/50")</f>
        <v>0.01/50</v>
      </c>
      <c r="O62" s="5" t="str">
        <f ca="1">IFERROR(__xludf.DUMMYFUNCTION("""COMPUTED_VALUE"""),"No")</f>
        <v>No</v>
      </c>
      <c r="P62" s="5" t="str">
        <f ca="1">IFERROR(__xludf.DUMMYFUNCTION("""COMPUTED_VALUE"""),"Scatter, Expanding Wild")</f>
        <v>Scatter, Expanding Wild</v>
      </c>
      <c r="Q62" s="7" t="str">
        <f ca="1">IFERROR(__xludf.DUMMYFUNCTION("""COMPUTED_VALUE"""),"https://static.redstone.rs/games/only-anime/")</f>
        <v>https://static.redstone.rs/games/only-anime/</v>
      </c>
      <c r="R62" s="5" t="str">
        <f ca="1">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S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2" s="5" t="str">
        <f ca="1">IFERROR(__xludf.DUMMYFUNCTION("""COMPUTED_VALUE"""),"Yes")</f>
        <v>Yes</v>
      </c>
      <c r="U62" s="5" t="str">
        <f ca="1">IFERROR(__xludf.DUMMYFUNCTION("""COMPUTED_VALUE"""),"Yes")</f>
        <v>Yes</v>
      </c>
      <c r="V62" s="5" t="str">
        <f ca="1">IFERROR(__xludf.DUMMYFUNCTION("""COMPUTED_VALUE"""),"Yes")</f>
        <v>Yes</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IFERROR(__xludf.DUMMYFUNCTION("""COMPUTED_VALUE"""),"Yes")</f>
        <v>Yes</v>
      </c>
      <c r="AA62" s="5" t="str">
        <f ca="1">IFERROR(__xludf.DUMMYFUNCTION("""COMPUTED_VALUE"""),"Yes")</f>
        <v>Yes</v>
      </c>
      <c r="AB62" s="5" t="str">
        <f ca="1">IFERROR(__xludf.DUMMYFUNCTION("""COMPUTED_VALUE"""),"Yes")</f>
        <v>Yes</v>
      </c>
      <c r="AC62" s="5" t="str">
        <f ca="1">IFERROR(__xludf.DUMMYFUNCTION("""COMPUTED_VALUE"""),"Yes")</f>
        <v>Yes</v>
      </c>
      <c r="AD62" s="5" t="str">
        <f ca="1">IFERROR(__xludf.DUMMYFUNCTION("""COMPUTED_VALUE"""),"Yes")</f>
        <v>Yes</v>
      </c>
      <c r="AE62" s="5" t="str">
        <f ca="1">IFERROR(__xludf.DUMMYFUNCTION("""COMPUTED_VALUE"""),"Yes")</f>
        <v>Yes</v>
      </c>
      <c r="AF62" s="5" t="str">
        <f ca="1">IFERROR(__xludf.DUMMYFUNCTION("""COMPUTED_VALUE"""),"Yes")</f>
        <v>Yes</v>
      </c>
      <c r="AG62" s="5" t="str">
        <f ca="1">IFERROR(__xludf.DUMMYFUNCTION("""COMPUTED_VALUE"""),"Yes")</f>
        <v>Yes</v>
      </c>
      <c r="AH62" s="5" t="str">
        <f ca="1">IFERROR(__xludf.DUMMYFUNCTION("""COMPUTED_VALUE"""),"Yes")</f>
        <v>Yes</v>
      </c>
      <c r="AI62" s="5" t="str">
        <f ca="1">IFERROR(__xludf.DUMMYFUNCTION("""COMPUTED_VALUE"""),"Yes")</f>
        <v>Yes</v>
      </c>
      <c r="AJ62" s="5" t="str">
        <f ca="1">IFERROR(__xludf.DUMMYFUNCTION("""COMPUTED_VALUE"""),"Yes")</f>
        <v>Yes</v>
      </c>
      <c r="AK62" s="5" t="str">
        <f ca="1">IFERROR(__xludf.DUMMYFUNCTION("""COMPUTED_VALUE"""),"Yes")</f>
        <v>Yes</v>
      </c>
      <c r="AL62" s="5" t="str">
        <f ca="1">IFERROR(__xludf.DUMMYFUNCTION("""COMPUTED_VALUE"""),"Yes")</f>
        <v>Yes</v>
      </c>
      <c r="AM62" s="5"/>
      <c r="AN62" s="5"/>
      <c r="AO62" s="5"/>
      <c r="AP62" s="5"/>
      <c r="AQ62" s="5" t="str">
        <f ca="1">IFERROR(__xludf.DUMMYFUNCTION("""COMPUTED_VALUE"""),"Yes")</f>
        <v>Yes</v>
      </c>
      <c r="AR62" s="5"/>
      <c r="AS62" s="5"/>
      <c r="AT62" s="5"/>
      <c r="AU62" s="5"/>
    </row>
    <row r="63" spans="1:47" x14ac:dyDescent="0.25">
      <c r="A63" s="5" t="str">
        <f ca="1">IFERROR(__xludf.DUMMYFUNCTION("""COMPUTED_VALUE"""),"Redstone")</f>
        <v>Redstone</v>
      </c>
      <c r="B63" s="5" t="str">
        <f ca="1">IFERROR(__xludf.DUMMYFUNCTION("""COMPUTED_VALUE"""),"27 Double Fruits")</f>
        <v>27 Double Fruits</v>
      </c>
      <c r="C63" s="5" t="str">
        <f ca="1">IFERROR(__xludf.DUMMYFUNCTION("""COMPUTED_VALUE"""),"Redstone27DoubleFruit")</f>
        <v>Redstone27DoubleFruit</v>
      </c>
      <c r="D63" s="6">
        <f ca="1">IFERROR(__xludf.DUMMYFUNCTION("""COMPUTED_VALUE"""),45621)</f>
        <v>45621</v>
      </c>
      <c r="E63" s="5" t="str">
        <f ca="1">IFERROR(__xludf.DUMMYFUNCTION("""COMPUTED_VALUE"""),"Slot")</f>
        <v>Slot</v>
      </c>
      <c r="F63" s="5">
        <f ca="1">IFERROR(__xludf.DUMMYFUNCTION("""COMPUTED_VALUE"""),6.2)</f>
        <v>6.2</v>
      </c>
      <c r="G63" s="5" t="str">
        <f ca="1">IFERROR(__xludf.DUMMYFUNCTION("""COMPUTED_VALUE"""),"3x3")</f>
        <v>3x3</v>
      </c>
      <c r="H63" s="5">
        <f ca="1">IFERROR(__xludf.DUMMYFUNCTION("""COMPUTED_VALUE"""),27)</f>
        <v>27</v>
      </c>
      <c r="I63" s="5">
        <f ca="1">IFERROR(__xludf.DUMMYFUNCTION("""COMPUTED_VALUE"""),27)</f>
        <v>27</v>
      </c>
      <c r="J63" s="5" t="str">
        <f ca="1">IFERROR(__xludf.DUMMYFUNCTION("""COMPUTED_VALUE"""),"96.24%")</f>
        <v>96.24%</v>
      </c>
      <c r="K63" s="5" t="str">
        <f ca="1">IFERROR(__xludf.DUMMYFUNCTION("""COMPUTED_VALUE"""),"Low")</f>
        <v>Low</v>
      </c>
      <c r="L63" s="5" t="str">
        <f ca="1">IFERROR(__xludf.DUMMYFUNCTION("""COMPUTED_VALUE"""),"6.58%")</f>
        <v>6.58%</v>
      </c>
      <c r="M63" s="5" t="str">
        <f ca="1">IFERROR(__xludf.DUMMYFUNCTION("""COMPUTED_VALUE"""),"x108")</f>
        <v>x108</v>
      </c>
      <c r="N63" s="5" t="str">
        <f ca="1">IFERROR(__xludf.DUMMYFUNCTION("""COMPUTED_VALUE"""),"0.10/50")</f>
        <v>0.10/50</v>
      </c>
      <c r="O63" s="5" t="str">
        <f ca="1">IFERROR(__xludf.DUMMYFUNCTION("""COMPUTED_VALUE"""),"No")</f>
        <v>No</v>
      </c>
      <c r="P63" s="5" t="str">
        <f ca="1">IFERROR(__xludf.DUMMYFUNCTION("""COMPUTED_VALUE"""),"Win Multiplier")</f>
        <v>Win Multiplier</v>
      </c>
      <c r="Q63" s="7" t="str">
        <f ca="1">IFERROR(__xludf.DUMMYFUNCTION("""COMPUTED_VALUE"""),"https://static.redstone.rs/games/27-double-fruits/")</f>
        <v>https://static.redstone.rs/games/27-double-fruits/</v>
      </c>
      <c r="R63" s="5" t="str">
        <f ca="1">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S6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5" t="str">
        <f ca="1">IFERROR(__xludf.DUMMYFUNCTION("""COMPUTED_VALUE"""),"Yes")</f>
        <v>Yes</v>
      </c>
      <c r="U63" s="5" t="str">
        <f ca="1">IFERROR(__xludf.DUMMYFUNCTION("""COMPUTED_VALUE"""),"Yes")</f>
        <v>Yes</v>
      </c>
      <c r="V63" s="5" t="str">
        <f ca="1">IFERROR(__xludf.DUMMYFUNCTION("""COMPUTED_VALUE"""),"No")</f>
        <v>No</v>
      </c>
      <c r="W63" s="5" t="str">
        <f ca="1">IFERROR(__xludf.DUMMYFUNCTION("""COMPUTED_VALUE"""),"Yes")</f>
        <v>Yes</v>
      </c>
      <c r="X63" s="5" t="str">
        <f ca="1">IFERROR(__xludf.DUMMYFUNCTION("""COMPUTED_VALUE"""),"Yes")</f>
        <v>Yes</v>
      </c>
      <c r="Y63" s="5" t="str">
        <f ca="1">IFERROR(__xludf.DUMMYFUNCTION("""COMPUTED_VALUE"""),"Yes")</f>
        <v>Yes</v>
      </c>
      <c r="Z63" s="5" t="str">
        <f ca="1">IFERROR(__xludf.DUMMYFUNCTION("""COMPUTED_VALUE"""),"Yes")</f>
        <v>Yes</v>
      </c>
      <c r="AA63" s="5" t="str">
        <f ca="1">IFERROR(__xludf.DUMMYFUNCTION("""COMPUTED_VALUE"""),"Yes")</f>
        <v>Yes</v>
      </c>
      <c r="AB63" s="5" t="str">
        <f ca="1">IFERROR(__xludf.DUMMYFUNCTION("""COMPUTED_VALUE"""),"Yes")</f>
        <v>Yes</v>
      </c>
      <c r="AC63" s="5" t="str">
        <f ca="1">IFERROR(__xludf.DUMMYFUNCTION("""COMPUTED_VALUE"""),"Yes")</f>
        <v>Yes</v>
      </c>
      <c r="AD63" s="5" t="str">
        <f ca="1">IFERROR(__xludf.DUMMYFUNCTION("""COMPUTED_VALUE"""),"Yes")</f>
        <v>Yes</v>
      </c>
      <c r="AE63" s="5" t="str">
        <f ca="1">IFERROR(__xludf.DUMMYFUNCTION("""COMPUTED_VALUE"""),"Yes")</f>
        <v>Yes</v>
      </c>
      <c r="AF63" s="5" t="str">
        <f ca="1">IFERROR(__xludf.DUMMYFUNCTION("""COMPUTED_VALUE"""),"Yes")</f>
        <v>Yes</v>
      </c>
      <c r="AG63" s="5" t="str">
        <f ca="1">IFERROR(__xludf.DUMMYFUNCTION("""COMPUTED_VALUE"""),"Yes")</f>
        <v>Yes</v>
      </c>
      <c r="AH63" s="5" t="str">
        <f ca="1">IFERROR(__xludf.DUMMYFUNCTION("""COMPUTED_VALUE"""),"Yes")</f>
        <v>Yes</v>
      </c>
      <c r="AI63" s="5" t="str">
        <f ca="1">IFERROR(__xludf.DUMMYFUNCTION("""COMPUTED_VALUE"""),"No")</f>
        <v>No</v>
      </c>
      <c r="AJ63" s="5" t="str">
        <f ca="1">IFERROR(__xludf.DUMMYFUNCTION("""COMPUTED_VALUE"""),"No")</f>
        <v>No</v>
      </c>
      <c r="AK63" s="5" t="str">
        <f ca="1">IFERROR(__xludf.DUMMYFUNCTION("""COMPUTED_VALUE"""),"No")</f>
        <v>No</v>
      </c>
      <c r="AL63" s="5" t="str">
        <f ca="1">IFERROR(__xludf.DUMMYFUNCTION("""COMPUTED_VALUE"""),"No")</f>
        <v>No</v>
      </c>
      <c r="AM63" s="5" t="str">
        <f ca="1">IFERROR(__xludf.DUMMYFUNCTION("""COMPUTED_VALUE"""),"No")</f>
        <v>No</v>
      </c>
      <c r="AN63" s="5" t="str">
        <f ca="1">IFERROR(__xludf.DUMMYFUNCTION("""COMPUTED_VALUE"""),"No")</f>
        <v>No</v>
      </c>
      <c r="AO63" s="5" t="str">
        <f ca="1">IFERROR(__xludf.DUMMYFUNCTION("""COMPUTED_VALUE"""),"No")</f>
        <v>No</v>
      </c>
      <c r="AP63" s="5" t="str">
        <f ca="1">IFERROR(__xludf.DUMMYFUNCTION("""COMPUTED_VALUE"""),"No")</f>
        <v>No</v>
      </c>
      <c r="AQ63" s="5" t="str">
        <f ca="1">IFERROR(__xludf.DUMMYFUNCTION("""COMPUTED_VALUE"""),"No")</f>
        <v>No</v>
      </c>
      <c r="AR63" s="5" t="str">
        <f ca="1">IFERROR(__xludf.DUMMYFUNCTION("""COMPUTED_VALUE"""),"No")</f>
        <v>No</v>
      </c>
      <c r="AS63" s="5" t="str">
        <f ca="1">IFERROR(__xludf.DUMMYFUNCTION("""COMPUTED_VALUE"""),"Yes")</f>
        <v>Yes</v>
      </c>
      <c r="AT63" s="5" t="str">
        <f ca="1">IFERROR(__xludf.DUMMYFUNCTION("""COMPUTED_VALUE"""),"No")</f>
        <v>No</v>
      </c>
      <c r="AU63" s="5"/>
    </row>
    <row r="64" spans="1:47" x14ac:dyDescent="0.25">
      <c r="A64" s="5" t="str">
        <f ca="1">IFERROR(__xludf.DUMMYFUNCTION("""COMPUTED_VALUE"""),"Redstone")</f>
        <v>Redstone</v>
      </c>
      <c r="B64" s="5" t="str">
        <f ca="1">IFERROR(__xludf.DUMMYFUNCTION("""COMPUTED_VALUE"""),"Juicy Heat 20")</f>
        <v>Juicy Heat 20</v>
      </c>
      <c r="C64" s="5" t="str">
        <f ca="1">IFERROR(__xludf.DUMMYFUNCTION("""COMPUTED_VALUE"""),"RedstoneJuicyHeat20")</f>
        <v>RedstoneJuicyHeat20</v>
      </c>
      <c r="D64" s="6">
        <f ca="1">IFERROR(__xludf.DUMMYFUNCTION("""COMPUTED_VALUE"""),45628)</f>
        <v>45628</v>
      </c>
      <c r="E64" s="5" t="str">
        <f ca="1">IFERROR(__xludf.DUMMYFUNCTION("""COMPUTED_VALUE"""),"Slot")</f>
        <v>Slot</v>
      </c>
      <c r="F64" s="5">
        <f ca="1">IFERROR(__xludf.DUMMYFUNCTION("""COMPUTED_VALUE"""),7.2)</f>
        <v>7.2</v>
      </c>
      <c r="G64" s="5" t="str">
        <f ca="1">IFERROR(__xludf.DUMMYFUNCTION("""COMPUTED_VALUE"""),"5x3")</f>
        <v>5x3</v>
      </c>
      <c r="H64" s="5">
        <f ca="1">IFERROR(__xludf.DUMMYFUNCTION("""COMPUTED_VALUE"""),20)</f>
        <v>20</v>
      </c>
      <c r="I64" s="5">
        <f ca="1">IFERROR(__xludf.DUMMYFUNCTION("""COMPUTED_VALUE"""),20)</f>
        <v>20</v>
      </c>
      <c r="J64" s="5" t="str">
        <f ca="1">IFERROR(__xludf.DUMMYFUNCTION("""COMPUTED_VALUE"""),"96.48%")</f>
        <v>96.48%</v>
      </c>
      <c r="K64" s="5" t="str">
        <f ca="1">IFERROR(__xludf.DUMMYFUNCTION("""COMPUTED_VALUE"""),"High")</f>
        <v>High</v>
      </c>
      <c r="L64" s="5" t="str">
        <f ca="1">IFERROR(__xludf.DUMMYFUNCTION("""COMPUTED_VALUE"""),"7.13%")</f>
        <v>7.13%</v>
      </c>
      <c r="M64" s="5" t="str">
        <f ca="1">IFERROR(__xludf.DUMMYFUNCTION("""COMPUTED_VALUE"""),"x1500")</f>
        <v>x1500</v>
      </c>
      <c r="N64" s="5" t="str">
        <f ca="1">IFERROR(__xludf.DUMMYFUNCTION("""COMPUTED_VALUE"""),"0.20/50")</f>
        <v>0.20/50</v>
      </c>
      <c r="O64" s="5" t="str">
        <f ca="1">IFERROR(__xludf.DUMMYFUNCTION("""COMPUTED_VALUE"""),"No")</f>
        <v>No</v>
      </c>
      <c r="P64" s="5" t="str">
        <f ca="1">IFERROR(__xludf.DUMMYFUNCTION("""COMPUTED_VALUE"""),"Win Multiplier")</f>
        <v>Win Multiplier</v>
      </c>
      <c r="Q64" s="7" t="str">
        <f ca="1">IFERROR(__xludf.DUMMYFUNCTION("""COMPUTED_VALUE"""),"https://static.redstone.rs/games/juicy-heat-20/")</f>
        <v>https://static.redstone.rs/games/juicy-heat-20/</v>
      </c>
      <c r="R64" s="5" t="str">
        <f ca="1">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S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IFERROR(__xludf.DUMMYFUNCTION("""COMPUTED_VALUE"""),"Yes")</f>
        <v>Yes</v>
      </c>
      <c r="X64" s="5" t="str">
        <f ca="1">IFERROR(__xludf.DUMMYFUNCTION("""COMPUTED_VALUE"""),"Yes")</f>
        <v>Yes</v>
      </c>
      <c r="Y64" s="5" t="str">
        <f ca="1">IFERROR(__xludf.DUMMYFUNCTION("""COMPUTED_VALUE"""),"Yes")</f>
        <v>Yes</v>
      </c>
      <c r="Z64" s="5" t="str">
        <f ca="1">IFERROR(__xludf.DUMMYFUNCTION("""COMPUTED_VALUE"""),"Yes")</f>
        <v>Yes</v>
      </c>
      <c r="AA64" s="5" t="str">
        <f ca="1">IFERROR(__xludf.DUMMYFUNCTION("""COMPUTED_VALUE"""),"Yes")</f>
        <v>Yes</v>
      </c>
      <c r="AB64" s="5" t="str">
        <f ca="1">IFERROR(__xludf.DUMMYFUNCTION("""COMPUTED_VALUE"""),"Yes")</f>
        <v>Yes</v>
      </c>
      <c r="AC64" s="5" t="str">
        <f ca="1">IFERROR(__xludf.DUMMYFUNCTION("""COMPUTED_VALUE"""),"Yes")</f>
        <v>Yes</v>
      </c>
      <c r="AD64" s="5" t="str">
        <f ca="1">IFERROR(__xludf.DUMMYFUNCTION("""COMPUTED_VALUE"""),"Yes")</f>
        <v>Yes</v>
      </c>
      <c r="AE64" s="5" t="str">
        <f ca="1">IFERROR(__xludf.DUMMYFUNCTION("""COMPUTED_VALUE"""),"Yes")</f>
        <v>Yes</v>
      </c>
      <c r="AF64" s="5" t="str">
        <f ca="1">IFERROR(__xludf.DUMMYFUNCTION("""COMPUTED_VALUE"""),"Yes")</f>
        <v>Yes</v>
      </c>
      <c r="AG64" s="5" t="str">
        <f ca="1">IFERROR(__xludf.DUMMYFUNCTION("""COMPUTED_VALUE"""),"Yes")</f>
        <v>Yes</v>
      </c>
      <c r="AH64" s="5" t="str">
        <f ca="1">IFERROR(__xludf.DUMMYFUNCTION("""COMPUTED_VALUE"""),"Yes")</f>
        <v>Yes</v>
      </c>
      <c r="AI64" s="5" t="str">
        <f ca="1">IFERROR(__xludf.DUMMYFUNCTION("""COMPUTED_VALUE"""),"Yes")</f>
        <v>Yes</v>
      </c>
      <c r="AJ64" s="5" t="str">
        <f ca="1">IFERROR(__xludf.DUMMYFUNCTION("""COMPUTED_VALUE"""),"Yes")</f>
        <v>Yes</v>
      </c>
      <c r="AK64" s="5" t="str">
        <f ca="1">IFERROR(__xludf.DUMMYFUNCTION("""COMPUTED_VALUE"""),"Yes")</f>
        <v>Yes</v>
      </c>
      <c r="AL64" s="5" t="str">
        <f ca="1">IFERROR(__xludf.DUMMYFUNCTION("""COMPUTED_VALUE"""),"Yes")</f>
        <v>Yes</v>
      </c>
      <c r="AM64" s="5"/>
      <c r="AN64" s="5"/>
      <c r="AO64" s="5"/>
      <c r="AP64" s="5"/>
      <c r="AQ64" s="5" t="str">
        <f ca="1">IFERROR(__xludf.DUMMYFUNCTION("""COMPUTED_VALUE"""),"Yes")</f>
        <v>Yes</v>
      </c>
      <c r="AR64" s="5"/>
      <c r="AS64" s="5"/>
      <c r="AT64" s="5"/>
      <c r="AU64" s="5"/>
    </row>
    <row r="65" spans="1:47" x14ac:dyDescent="0.25">
      <c r="A65" s="5" t="str">
        <f ca="1">IFERROR(__xludf.DUMMYFUNCTION("""COMPUTED_VALUE"""),"Redstone")</f>
        <v>Redstone</v>
      </c>
      <c r="B65" s="5" t="str">
        <f ca="1">IFERROR(__xludf.DUMMYFUNCTION("""COMPUTED_VALUE"""),"Christmas Delight")</f>
        <v>Christmas Delight</v>
      </c>
      <c r="C65" s="5" t="str">
        <f ca="1">IFERROR(__xludf.DUMMYFUNCTION("""COMPUTED_VALUE"""),"RedstoneChristmasDelight")</f>
        <v>RedstoneChristmasDelight</v>
      </c>
      <c r="D65" s="6">
        <f ca="1">IFERROR(__xludf.DUMMYFUNCTION("""COMPUTED_VALUE"""),45638)</f>
        <v>45638</v>
      </c>
      <c r="E65" s="5" t="str">
        <f ca="1">IFERROR(__xludf.DUMMYFUNCTION("""COMPUTED_VALUE"""),"Slot")</f>
        <v>Slot</v>
      </c>
      <c r="F65" s="5">
        <f ca="1">IFERROR(__xludf.DUMMYFUNCTION("""COMPUTED_VALUE"""),10.8)</f>
        <v>10.8</v>
      </c>
      <c r="G65" s="5" t="str">
        <f ca="1">IFERROR(__xludf.DUMMYFUNCTION("""COMPUTED_VALUE"""),"5x3")</f>
        <v>5x3</v>
      </c>
      <c r="H65" s="5">
        <f ca="1">IFERROR(__xludf.DUMMYFUNCTION("""COMPUTED_VALUE"""),5)</f>
        <v>5</v>
      </c>
      <c r="I65" s="5">
        <f ca="1">IFERROR(__xludf.DUMMYFUNCTION("""COMPUTED_VALUE"""),5)</f>
        <v>5</v>
      </c>
      <c r="J65" s="5" t="str">
        <f ca="1">IFERROR(__xludf.DUMMYFUNCTION("""COMPUTED_VALUE"""),"96.45%")</f>
        <v>96.45%</v>
      </c>
      <c r="K65" s="5" t="str">
        <f ca="1">IFERROR(__xludf.DUMMYFUNCTION("""COMPUTED_VALUE"""),"Medium")</f>
        <v>Medium</v>
      </c>
      <c r="L65" s="5" t="str">
        <f ca="1">IFERROR(__xludf.DUMMYFUNCTION("""COMPUTED_VALUE"""),"14.23%")</f>
        <v>14.23%</v>
      </c>
      <c r="M65" s="5" t="str">
        <f ca="1">IFERROR(__xludf.DUMMYFUNCTION("""COMPUTED_VALUE"""),"x2624")</f>
        <v>x2624</v>
      </c>
      <c r="N65" s="5" t="str">
        <f ca="1">IFERROR(__xludf.DUMMYFUNCTION("""COMPUTED_VALUE"""),"0.05/100")</f>
        <v>0.05/100</v>
      </c>
      <c r="O65" s="5" t="str">
        <f ca="1">IFERROR(__xludf.DUMMYFUNCTION("""COMPUTED_VALUE"""),"No")</f>
        <v>No</v>
      </c>
      <c r="P65" s="5" t="str">
        <f ca="1">IFERROR(__xludf.DUMMYFUNCTION("""COMPUTED_VALUE"""),"Expanding Wild, Scatter")</f>
        <v>Expanding Wild, Scatter</v>
      </c>
      <c r="Q65" s="7" t="str">
        <f ca="1">IFERROR(__xludf.DUMMYFUNCTION("""COMPUTED_VALUE"""),"https://static.redstone.rs/games/christmas-delight/")</f>
        <v>https://static.redstone.rs/games/christmas-delight/</v>
      </c>
      <c r="R65" s="5" t="str">
        <f ca="1">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S6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5" s="5" t="str">
        <f ca="1">IFERROR(__xludf.DUMMYFUNCTION("""COMPUTED_VALUE"""),"Yes")</f>
        <v>Yes</v>
      </c>
      <c r="U65" s="5" t="str">
        <f ca="1">IFERROR(__xludf.DUMMYFUNCTION("""COMPUTED_VALUE"""),"Yes")</f>
        <v>Yes</v>
      </c>
      <c r="V65" s="5" t="str">
        <f ca="1">IFERROR(__xludf.DUMMYFUNCTION("""COMPUTED_VALUE"""),"No")</f>
        <v>No</v>
      </c>
      <c r="W65" s="5" t="str">
        <f ca="1">IFERROR(__xludf.DUMMYFUNCTION("""COMPUTED_VALUE"""),"Yes")</f>
        <v>Yes</v>
      </c>
      <c r="X65" s="5" t="str">
        <f ca="1">IFERROR(__xludf.DUMMYFUNCTION("""COMPUTED_VALUE"""),"Yes")</f>
        <v>Yes</v>
      </c>
      <c r="Y65" s="5" t="str">
        <f ca="1">IFERROR(__xludf.DUMMYFUNCTION("""COMPUTED_VALUE"""),"Yes")</f>
        <v>Yes</v>
      </c>
      <c r="Z65" s="5" t="str">
        <f ca="1">IFERROR(__xludf.DUMMYFUNCTION("""COMPUTED_VALUE"""),"Yes")</f>
        <v>Yes</v>
      </c>
      <c r="AA65" s="5" t="str">
        <f ca="1">IFERROR(__xludf.DUMMYFUNCTION("""COMPUTED_VALUE"""),"Yes")</f>
        <v>Yes</v>
      </c>
      <c r="AB65" s="5" t="str">
        <f ca="1">IFERROR(__xludf.DUMMYFUNCTION("""COMPUTED_VALUE"""),"Yes")</f>
        <v>Yes</v>
      </c>
      <c r="AC65" s="5" t="str">
        <f ca="1">IFERROR(__xludf.DUMMYFUNCTION("""COMPUTED_VALUE"""),"Yes")</f>
        <v>Yes</v>
      </c>
      <c r="AD65" s="5" t="str">
        <f ca="1">IFERROR(__xludf.DUMMYFUNCTION("""COMPUTED_VALUE"""),"Yes")</f>
        <v>Yes</v>
      </c>
      <c r="AE65" s="5" t="str">
        <f ca="1">IFERROR(__xludf.DUMMYFUNCTION("""COMPUTED_VALUE"""),"Yes")</f>
        <v>Yes</v>
      </c>
      <c r="AF65" s="5" t="str">
        <f ca="1">IFERROR(__xludf.DUMMYFUNCTION("""COMPUTED_VALUE"""),"Yes")</f>
        <v>Yes</v>
      </c>
      <c r="AG65" s="5" t="str">
        <f ca="1">IFERROR(__xludf.DUMMYFUNCTION("""COMPUTED_VALUE"""),"Yes")</f>
        <v>Yes</v>
      </c>
      <c r="AH65" s="5" t="str">
        <f ca="1">IFERROR(__xludf.DUMMYFUNCTION("""COMPUTED_VALUE"""),"Yes")</f>
        <v>Yes</v>
      </c>
      <c r="AI65" s="5" t="str">
        <f ca="1">IFERROR(__xludf.DUMMYFUNCTION("""COMPUTED_VALUE"""),"No")</f>
        <v>No</v>
      </c>
      <c r="AJ65" s="5" t="str">
        <f ca="1">IFERROR(__xludf.DUMMYFUNCTION("""COMPUTED_VALUE"""),"No")</f>
        <v>No</v>
      </c>
      <c r="AK65" s="5" t="str">
        <f ca="1">IFERROR(__xludf.DUMMYFUNCTION("""COMPUTED_VALUE"""),"No")</f>
        <v>No</v>
      </c>
      <c r="AL65" s="5" t="str">
        <f ca="1">IFERROR(__xludf.DUMMYFUNCTION("""COMPUTED_VALUE"""),"No")</f>
        <v>No</v>
      </c>
      <c r="AM65" s="5" t="str">
        <f ca="1">IFERROR(__xludf.DUMMYFUNCTION("""COMPUTED_VALUE"""),"No")</f>
        <v>No</v>
      </c>
      <c r="AN65" s="5" t="str">
        <f ca="1">IFERROR(__xludf.DUMMYFUNCTION("""COMPUTED_VALUE"""),"No")</f>
        <v>No</v>
      </c>
      <c r="AO65" s="5" t="str">
        <f ca="1">IFERROR(__xludf.DUMMYFUNCTION("""COMPUTED_VALUE"""),"Yes")</f>
        <v>Yes</v>
      </c>
      <c r="AP65" s="5" t="str">
        <f ca="1">IFERROR(__xludf.DUMMYFUNCTION("""COMPUTED_VALUE"""),"No")</f>
        <v>No</v>
      </c>
      <c r="AQ65" s="5" t="str">
        <f ca="1">IFERROR(__xludf.DUMMYFUNCTION("""COMPUTED_VALUE"""),"No")</f>
        <v>No</v>
      </c>
      <c r="AR65" s="5" t="str">
        <f ca="1">IFERROR(__xludf.DUMMYFUNCTION("""COMPUTED_VALUE"""),"No")</f>
        <v>No</v>
      </c>
      <c r="AS65" s="5" t="str">
        <f ca="1">IFERROR(__xludf.DUMMYFUNCTION("""COMPUTED_VALUE"""),"Yes")</f>
        <v>Yes</v>
      </c>
      <c r="AT65" s="5" t="str">
        <f ca="1">IFERROR(__xludf.DUMMYFUNCTION("""COMPUTED_VALUE"""),"No")</f>
        <v>No</v>
      </c>
      <c r="AU65" s="5"/>
    </row>
    <row r="66" spans="1:47" x14ac:dyDescent="0.25">
      <c r="A66" s="5" t="str">
        <f ca="1">IFERROR(__xludf.DUMMYFUNCTION("""COMPUTED_VALUE"""),"Redstone")</f>
        <v>Redstone</v>
      </c>
      <c r="B66" s="5" t="str">
        <f ca="1">IFERROR(__xludf.DUMMYFUNCTION("""COMPUTED_VALUE"""),"Funky Fruits")</f>
        <v>Funky Fruits</v>
      </c>
      <c r="C66" s="5" t="str">
        <f ca="1">IFERROR(__xludf.DUMMYFUNCTION("""COMPUTED_VALUE"""),"RedstoneFunkyFruits")</f>
        <v>RedstoneFunkyFruits</v>
      </c>
      <c r="D66" s="6">
        <f ca="1">IFERROR(__xludf.DUMMYFUNCTION("""COMPUTED_VALUE"""),45642)</f>
        <v>45642</v>
      </c>
      <c r="E66" s="5" t="str">
        <f ca="1">IFERROR(__xludf.DUMMYFUNCTION("""COMPUTED_VALUE"""),"Slot")</f>
        <v>Slot</v>
      </c>
      <c r="F66" s="5">
        <f ca="1">IFERROR(__xludf.DUMMYFUNCTION("""COMPUTED_VALUE"""),8.9)</f>
        <v>8.9</v>
      </c>
      <c r="G66" s="5" t="str">
        <f ca="1">IFERROR(__xludf.DUMMYFUNCTION("""COMPUTED_VALUE"""),"5x3")</f>
        <v>5x3</v>
      </c>
      <c r="H66" s="5">
        <f ca="1">IFERROR(__xludf.DUMMYFUNCTION("""COMPUTED_VALUE"""),5)</f>
        <v>5</v>
      </c>
      <c r="I66" s="5">
        <f ca="1">IFERROR(__xludf.DUMMYFUNCTION("""COMPUTED_VALUE"""),5)</f>
        <v>5</v>
      </c>
      <c r="J66" s="5" t="str">
        <f ca="1">IFERROR(__xludf.DUMMYFUNCTION("""COMPUTED_VALUE"""),"96.45%")</f>
        <v>96.45%</v>
      </c>
      <c r="K66" s="5" t="str">
        <f ca="1">IFERROR(__xludf.DUMMYFUNCTION("""COMPUTED_VALUE"""),"Medium")</f>
        <v>Medium</v>
      </c>
      <c r="L66" s="5" t="str">
        <f ca="1">IFERROR(__xludf.DUMMYFUNCTION("""COMPUTED_VALUE"""),"14.5%")</f>
        <v>14.5%</v>
      </c>
      <c r="M66" s="5" t="str">
        <f ca="1">IFERROR(__xludf.DUMMYFUNCTION("""COMPUTED_VALUE"""),"x1222")</f>
        <v>x1222</v>
      </c>
      <c r="N66" s="5" t="str">
        <f ca="1">IFERROR(__xludf.DUMMYFUNCTION("""COMPUTED_VALUE"""),"0.05/30")</f>
        <v>0.05/30</v>
      </c>
      <c r="O66" s="5" t="str">
        <f ca="1">IFERROR(__xludf.DUMMYFUNCTION("""COMPUTED_VALUE"""),"No")</f>
        <v>No</v>
      </c>
      <c r="P66" s="5" t="str">
        <f ca="1">IFERROR(__xludf.DUMMYFUNCTION("""COMPUTED_VALUE"""),"Expanding Wild, Scatter")</f>
        <v>Expanding Wild, Scatter</v>
      </c>
      <c r="Q66" s="7" t="str">
        <f ca="1">IFERROR(__xludf.DUMMYFUNCTION("""COMPUTED_VALUE"""),"https://static.redstone.rs/games/funky-fruits/")</f>
        <v>https://static.redstone.rs/games/funky-fruits/</v>
      </c>
      <c r="R66" s="5" t="str">
        <f ca="1">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S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6" s="5" t="str">
        <f ca="1">IFERROR(__xludf.DUMMYFUNCTION("""COMPUTED_VALUE"""),"Yes")</f>
        <v>Yes</v>
      </c>
      <c r="U66" s="5" t="str">
        <f ca="1">IFERROR(__xludf.DUMMYFUNCTION("""COMPUTED_VALUE"""),"Yes")</f>
        <v>Yes</v>
      </c>
      <c r="V66" s="5" t="str">
        <f ca="1">IFERROR(__xludf.DUMMYFUNCTION("""COMPUTED_VALUE"""),"Yes")</f>
        <v>Yes</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IFERROR(__xludf.DUMMYFUNCTION("""COMPUTED_VALUE"""),"Yes")</f>
        <v>Yes</v>
      </c>
      <c r="AA66" s="5" t="str">
        <f ca="1">IFERROR(__xludf.DUMMYFUNCTION("""COMPUTED_VALUE"""),"Yes")</f>
        <v>Yes</v>
      </c>
      <c r="AB66" s="5" t="str">
        <f ca="1">IFERROR(__xludf.DUMMYFUNCTION("""COMPUTED_VALUE"""),"Yes")</f>
        <v>Yes</v>
      </c>
      <c r="AC66" s="5" t="str">
        <f ca="1">IFERROR(__xludf.DUMMYFUNCTION("""COMPUTED_VALUE"""),"Yes")</f>
        <v>Yes</v>
      </c>
      <c r="AD66" s="5" t="str">
        <f ca="1">IFERROR(__xludf.DUMMYFUNCTION("""COMPUTED_VALUE"""),"Yes")</f>
        <v>Yes</v>
      </c>
      <c r="AE66" s="5" t="str">
        <f ca="1">IFERROR(__xludf.DUMMYFUNCTION("""COMPUTED_VALUE"""),"Yes")</f>
        <v>Yes</v>
      </c>
      <c r="AF66" s="5" t="str">
        <f ca="1">IFERROR(__xludf.DUMMYFUNCTION("""COMPUTED_VALUE"""),"Yes")</f>
        <v>Yes</v>
      </c>
      <c r="AG66" s="5" t="str">
        <f ca="1">IFERROR(__xludf.DUMMYFUNCTION("""COMPUTED_VALUE"""),"Yes")</f>
        <v>Yes</v>
      </c>
      <c r="AH66" s="5" t="str">
        <f ca="1">IFERROR(__xludf.DUMMYFUNCTION("""COMPUTED_VALUE"""),"Yes")</f>
        <v>Yes</v>
      </c>
      <c r="AI66" s="5" t="str">
        <f ca="1">IFERROR(__xludf.DUMMYFUNCTION("""COMPUTED_VALUE"""),"Yes")</f>
        <v>Yes</v>
      </c>
      <c r="AJ66" s="5" t="str">
        <f ca="1">IFERROR(__xludf.DUMMYFUNCTION("""COMPUTED_VALUE"""),"Yes")</f>
        <v>Yes</v>
      </c>
      <c r="AK66" s="5" t="str">
        <f ca="1">IFERROR(__xludf.DUMMYFUNCTION("""COMPUTED_VALUE"""),"Yes")</f>
        <v>Yes</v>
      </c>
      <c r="AL66" s="5" t="str">
        <f ca="1">IFERROR(__xludf.DUMMYFUNCTION("""COMPUTED_VALUE"""),"Yes")</f>
        <v>Yes</v>
      </c>
      <c r="AM66" s="5"/>
      <c r="AN66" s="5"/>
      <c r="AO66" s="5"/>
      <c r="AP66" s="5"/>
      <c r="AQ66" s="5" t="str">
        <f ca="1">IFERROR(__xludf.DUMMYFUNCTION("""COMPUTED_VALUE"""),"Yes")</f>
        <v>Yes</v>
      </c>
      <c r="AR66" s="5"/>
      <c r="AS66" s="5"/>
      <c r="AT66" s="5"/>
      <c r="AU66" s="5"/>
    </row>
    <row r="67" spans="1:47" x14ac:dyDescent="0.25">
      <c r="A67" s="5" t="str">
        <f ca="1">IFERROR(__xludf.DUMMYFUNCTION("""COMPUTED_VALUE"""),"Redstone")</f>
        <v>Redstone</v>
      </c>
      <c r="B67" s="5" t="str">
        <f ca="1">IFERROR(__xludf.DUMMYFUNCTION("""COMPUTED_VALUE"""),"Dice Double")</f>
        <v>Dice Double</v>
      </c>
      <c r="C67" s="5" t="str">
        <f ca="1">IFERROR(__xludf.DUMMYFUNCTION("""COMPUTED_VALUE"""),"RedstoneDiceDouble")</f>
        <v>RedstoneDiceDouble</v>
      </c>
      <c r="D67" s="6">
        <f ca="1">IFERROR(__xludf.DUMMYFUNCTION("""COMPUTED_VALUE"""),45506)</f>
        <v>45506</v>
      </c>
      <c r="E67" s="5" t="str">
        <f ca="1">IFERROR(__xludf.DUMMYFUNCTION("""COMPUTED_VALUE"""),"Slot")</f>
        <v>Slot</v>
      </c>
      <c r="F67" s="5">
        <f ca="1">IFERROR(__xludf.DUMMYFUNCTION("""COMPUTED_VALUE"""),7.6)</f>
        <v>7.6</v>
      </c>
      <c r="G67" s="5" t="str">
        <f ca="1">IFERROR(__xludf.DUMMYFUNCTION("""COMPUTED_VALUE"""),"5x3")</f>
        <v>5x3</v>
      </c>
      <c r="H67" s="5">
        <f ca="1">IFERROR(__xludf.DUMMYFUNCTION("""COMPUTED_VALUE"""),5)</f>
        <v>5</v>
      </c>
      <c r="I67" s="5">
        <f ca="1">IFERROR(__xludf.DUMMYFUNCTION("""COMPUTED_VALUE"""),5)</f>
        <v>5</v>
      </c>
      <c r="J67" s="5" t="str">
        <f ca="1">IFERROR(__xludf.DUMMYFUNCTION("""COMPUTED_VALUE"""),"96.45%")</f>
        <v>96.45%</v>
      </c>
      <c r="K67" s="5" t="str">
        <f ca="1">IFERROR(__xludf.DUMMYFUNCTION("""COMPUTED_VALUE"""),"Medium")</f>
        <v>Medium</v>
      </c>
      <c r="L67" s="5" t="str">
        <f ca="1">IFERROR(__xludf.DUMMYFUNCTION("""COMPUTED_VALUE"""),"14.23%")</f>
        <v>14.23%</v>
      </c>
      <c r="M67" s="5" t="str">
        <f ca="1">IFERROR(__xludf.DUMMYFUNCTION("""COMPUTED_VALUE"""),"x2624")</f>
        <v>x2624</v>
      </c>
      <c r="N67" s="5" t="str">
        <f ca="1">IFERROR(__xludf.DUMMYFUNCTION("""COMPUTED_VALUE"""),"0.05/100")</f>
        <v>0.05/100</v>
      </c>
      <c r="O67" s="5" t="str">
        <f ca="1">IFERROR(__xludf.DUMMYFUNCTION("""COMPUTED_VALUE"""),"No")</f>
        <v>No</v>
      </c>
      <c r="P67" s="5" t="str">
        <f ca="1">IFERROR(__xludf.DUMMYFUNCTION("""COMPUTED_VALUE"""),"Expanding Wild, Scatter")</f>
        <v>Expanding Wild, Scatter</v>
      </c>
      <c r="Q67" s="7" t="str">
        <f ca="1">IFERROR(__xludf.DUMMYFUNCTION("""COMPUTED_VALUE"""),"https://static.redstone.rs/games/dice-double/")</f>
        <v>https://static.redstone.rs/games/dice-double/</v>
      </c>
      <c r="R67" s="5" t="str">
        <f ca="1">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S6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7" s="5" t="str">
        <f ca="1">IFERROR(__xludf.DUMMYFUNCTION("""COMPUTED_VALUE"""),"Yes")</f>
        <v>Yes</v>
      </c>
      <c r="U67" s="5" t="str">
        <f ca="1">IFERROR(__xludf.DUMMYFUNCTION("""COMPUTED_VALUE"""),"Yes")</f>
        <v>Yes</v>
      </c>
      <c r="V67" s="5" t="str">
        <f ca="1">IFERROR(__xludf.DUMMYFUNCTION("""COMPUTED_VALUE"""),"No")</f>
        <v>No</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IFERROR(__xludf.DUMMYFUNCTION("""COMPUTED_VALUE"""),"Yes")</f>
        <v>Yes</v>
      </c>
      <c r="AA67" s="5" t="str">
        <f ca="1">IFERROR(__xludf.DUMMYFUNCTION("""COMPUTED_VALUE"""),"Yes")</f>
        <v>Yes</v>
      </c>
      <c r="AB67" s="5" t="str">
        <f ca="1">IFERROR(__xludf.DUMMYFUNCTION("""COMPUTED_VALUE"""),"Yes")</f>
        <v>Yes</v>
      </c>
      <c r="AC67" s="5" t="str">
        <f ca="1">IFERROR(__xludf.DUMMYFUNCTION("""COMPUTED_VALUE"""),"Yes")</f>
        <v>Yes</v>
      </c>
      <c r="AD67" s="5" t="str">
        <f ca="1">IFERROR(__xludf.DUMMYFUNCTION("""COMPUTED_VALUE"""),"Yes")</f>
        <v>Yes</v>
      </c>
      <c r="AE67" s="5" t="str">
        <f ca="1">IFERROR(__xludf.DUMMYFUNCTION("""COMPUTED_VALUE"""),"Yes")</f>
        <v>Yes</v>
      </c>
      <c r="AF67" s="5" t="str">
        <f ca="1">IFERROR(__xludf.DUMMYFUNCTION("""COMPUTED_VALUE"""),"Yes")</f>
        <v>Yes</v>
      </c>
      <c r="AG67" s="5" t="str">
        <f ca="1">IFERROR(__xludf.DUMMYFUNCTION("""COMPUTED_VALUE"""),"Yes")</f>
        <v>Yes</v>
      </c>
      <c r="AH67" s="5" t="str">
        <f ca="1">IFERROR(__xludf.DUMMYFUNCTION("""COMPUTED_VALUE"""),"Yes")</f>
        <v>Yes</v>
      </c>
      <c r="AI67" s="5" t="str">
        <f ca="1">IFERROR(__xludf.DUMMYFUNCTION("""COMPUTED_VALUE"""),"No")</f>
        <v>No</v>
      </c>
      <c r="AJ67" s="5" t="str">
        <f ca="1">IFERROR(__xludf.DUMMYFUNCTION("""COMPUTED_VALUE"""),"No")</f>
        <v>No</v>
      </c>
      <c r="AK67" s="5" t="str">
        <f ca="1">IFERROR(__xludf.DUMMYFUNCTION("""COMPUTED_VALUE"""),"No")</f>
        <v>No</v>
      </c>
      <c r="AL67" s="5" t="str">
        <f ca="1">IFERROR(__xludf.DUMMYFUNCTION("""COMPUTED_VALUE"""),"No")</f>
        <v>No</v>
      </c>
      <c r="AM67" s="5" t="str">
        <f ca="1">IFERROR(__xludf.DUMMYFUNCTION("""COMPUTED_VALUE"""),"No")</f>
        <v>No</v>
      </c>
      <c r="AN67" s="5" t="str">
        <f ca="1">IFERROR(__xludf.DUMMYFUNCTION("""COMPUTED_VALUE"""),"No")</f>
        <v>No</v>
      </c>
      <c r="AO67" s="5" t="str">
        <f ca="1">IFERROR(__xludf.DUMMYFUNCTION("""COMPUTED_VALUE"""),"Yes")</f>
        <v>Yes</v>
      </c>
      <c r="AP67" s="5" t="str">
        <f ca="1">IFERROR(__xludf.DUMMYFUNCTION("""COMPUTED_VALUE"""),"No")</f>
        <v>No</v>
      </c>
      <c r="AQ67" s="5" t="str">
        <f ca="1">IFERROR(__xludf.DUMMYFUNCTION("""COMPUTED_VALUE"""),"No")</f>
        <v>No</v>
      </c>
      <c r="AR67" s="5" t="str">
        <f ca="1">IFERROR(__xludf.DUMMYFUNCTION("""COMPUTED_VALUE"""),"No")</f>
        <v>No</v>
      </c>
      <c r="AS67" s="5" t="str">
        <f ca="1">IFERROR(__xludf.DUMMYFUNCTION("""COMPUTED_VALUE"""),"Yes")</f>
        <v>Yes</v>
      </c>
      <c r="AT67" s="5" t="str">
        <f ca="1">IFERROR(__xludf.DUMMYFUNCTION("""COMPUTED_VALUE"""),"No")</f>
        <v>No</v>
      </c>
      <c r="AU67" s="5"/>
    </row>
    <row r="68" spans="1:47" x14ac:dyDescent="0.25">
      <c r="A68" s="5" t="str">
        <f ca="1">IFERROR(__xludf.DUMMYFUNCTION("""COMPUTED_VALUE"""),"Redstone")</f>
        <v>Redstone</v>
      </c>
      <c r="B68" s="5" t="str">
        <f ca="1">IFERROR(__xludf.DUMMYFUNCTION("""COMPUTED_VALUE"""),"Volcano Hot")</f>
        <v>Volcano Hot</v>
      </c>
      <c r="C68" s="5" t="str">
        <f ca="1">IFERROR(__xludf.DUMMYFUNCTION("""COMPUTED_VALUE"""),"RedstoneVolcanoHot")</f>
        <v>RedstoneVolcanoHot</v>
      </c>
      <c r="D68" s="6">
        <f ca="1">IFERROR(__xludf.DUMMYFUNCTION("""COMPUTED_VALUE"""),45553)</f>
        <v>45553</v>
      </c>
      <c r="E68" s="5" t="str">
        <f ca="1">IFERROR(__xludf.DUMMYFUNCTION("""COMPUTED_VALUE"""),"Slot")</f>
        <v>Slot</v>
      </c>
      <c r="F68" s="5">
        <f ca="1">IFERROR(__xludf.DUMMYFUNCTION("""COMPUTED_VALUE"""),7.5)</f>
        <v>7.5</v>
      </c>
      <c r="G68" s="5" t="str">
        <f ca="1">IFERROR(__xludf.DUMMYFUNCTION("""COMPUTED_VALUE"""),"5x3")</f>
        <v>5x3</v>
      </c>
      <c r="H68" s="5">
        <f ca="1">IFERROR(__xludf.DUMMYFUNCTION("""COMPUTED_VALUE"""),20)</f>
        <v>20</v>
      </c>
      <c r="I68" s="5">
        <f ca="1">IFERROR(__xludf.DUMMYFUNCTION("""COMPUTED_VALUE"""),20)</f>
        <v>20</v>
      </c>
      <c r="J68" s="5" t="str">
        <f ca="1">IFERROR(__xludf.DUMMYFUNCTION("""COMPUTED_VALUE"""),"96.47%")</f>
        <v>96.47%</v>
      </c>
      <c r="K68" s="5" t="str">
        <f ca="1">IFERROR(__xludf.DUMMYFUNCTION("""COMPUTED_VALUE"""),"Medium")</f>
        <v>Medium</v>
      </c>
      <c r="L68" s="5" t="str">
        <f ca="1">IFERROR(__xludf.DUMMYFUNCTION("""COMPUTED_VALUE"""),"17.73%")</f>
        <v>17.73%</v>
      </c>
      <c r="M68" s="5" t="str">
        <f ca="1">IFERROR(__xludf.DUMMYFUNCTION("""COMPUTED_VALUE"""),"x1000")</f>
        <v>x1000</v>
      </c>
      <c r="N68" s="5" t="str">
        <f ca="1">IFERROR(__xludf.DUMMYFUNCTION("""COMPUTED_VALUE"""),"0.02/50")</f>
        <v>0.02/50</v>
      </c>
      <c r="O68" s="5" t="str">
        <f ca="1">IFERROR(__xludf.DUMMYFUNCTION("""COMPUTED_VALUE"""),"No")</f>
        <v>No</v>
      </c>
      <c r="P68" s="5" t="str">
        <f ca="1">IFERROR(__xludf.DUMMYFUNCTION("""COMPUTED_VALUE"""),"Scatter, Special Wild")</f>
        <v>Scatter, Special Wild</v>
      </c>
      <c r="Q68" s="7" t="str">
        <f ca="1">IFERROR(__xludf.DUMMYFUNCTION("""COMPUTED_VALUE"""),"https://static.redstone.rs/games/volcano-hot/")</f>
        <v>https://static.redstone.rs/games/volcano-hot/</v>
      </c>
      <c r="R68" s="5" t="str">
        <f ca="1">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S6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 ca="1">IFERROR(__xludf.DUMMYFUNCTION("""COMPUTED_VALUE"""),"Yes")</f>
        <v>Yes</v>
      </c>
      <c r="U68" s="5" t="str">
        <f ca="1">IFERROR(__xludf.DUMMYFUNCTION("""COMPUTED_VALUE"""),"Yes")</f>
        <v>Yes</v>
      </c>
      <c r="V68" s="5" t="str">
        <f ca="1">IFERROR(__xludf.DUMMYFUNCTION("""COMPUTED_VALUE"""),"No")</f>
        <v>No</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IFERROR(__xludf.DUMMYFUNCTION("""COMPUTED_VALUE"""),"Yes")</f>
        <v>Yes</v>
      </c>
      <c r="AA68" s="5" t="str">
        <f ca="1">IFERROR(__xludf.DUMMYFUNCTION("""COMPUTED_VALUE"""),"Yes")</f>
        <v>Yes</v>
      </c>
      <c r="AB68" s="5" t="str">
        <f ca="1">IFERROR(__xludf.DUMMYFUNCTION("""COMPUTED_VALUE"""),"Yes")</f>
        <v>Yes</v>
      </c>
      <c r="AC68" s="5" t="str">
        <f ca="1">IFERROR(__xludf.DUMMYFUNCTION("""COMPUTED_VALUE"""),"Yes")</f>
        <v>Yes</v>
      </c>
      <c r="AD68" s="5" t="str">
        <f ca="1">IFERROR(__xludf.DUMMYFUNCTION("""COMPUTED_VALUE"""),"Yes")</f>
        <v>Yes</v>
      </c>
      <c r="AE68" s="5" t="str">
        <f ca="1">IFERROR(__xludf.DUMMYFUNCTION("""COMPUTED_VALUE"""),"Yes")</f>
        <v>Yes</v>
      </c>
      <c r="AF68" s="5" t="str">
        <f ca="1">IFERROR(__xludf.DUMMYFUNCTION("""COMPUTED_VALUE"""),"Yes")</f>
        <v>Yes</v>
      </c>
      <c r="AG68" s="5" t="str">
        <f ca="1">IFERROR(__xludf.DUMMYFUNCTION("""COMPUTED_VALUE"""),"Yes")</f>
        <v>Yes</v>
      </c>
      <c r="AH68" s="5" t="str">
        <f ca="1">IFERROR(__xludf.DUMMYFUNCTION("""COMPUTED_VALUE"""),"Yes")</f>
        <v>Yes</v>
      </c>
      <c r="AI68" s="5" t="str">
        <f ca="1">IFERROR(__xludf.DUMMYFUNCTION("""COMPUTED_VALUE"""),"No")</f>
        <v>No</v>
      </c>
      <c r="AJ68" s="5" t="str">
        <f ca="1">IFERROR(__xludf.DUMMYFUNCTION("""COMPUTED_VALUE"""),"No")</f>
        <v>No</v>
      </c>
      <c r="AK68" s="5" t="str">
        <f ca="1">IFERROR(__xludf.DUMMYFUNCTION("""COMPUTED_VALUE"""),"No")</f>
        <v>No</v>
      </c>
      <c r="AL68" s="5" t="str">
        <f ca="1">IFERROR(__xludf.DUMMYFUNCTION("""COMPUTED_VALUE"""),"No")</f>
        <v>No</v>
      </c>
      <c r="AM68" s="5" t="str">
        <f ca="1">IFERROR(__xludf.DUMMYFUNCTION("""COMPUTED_VALUE"""),"No")</f>
        <v>No</v>
      </c>
      <c r="AN68" s="5" t="str">
        <f ca="1">IFERROR(__xludf.DUMMYFUNCTION("""COMPUTED_VALUE"""),"No")</f>
        <v>No</v>
      </c>
      <c r="AO68" s="5" t="str">
        <f ca="1">IFERROR(__xludf.DUMMYFUNCTION("""COMPUTED_VALUE"""),"Yes")</f>
        <v>Yes</v>
      </c>
      <c r="AP68" s="5" t="str">
        <f ca="1">IFERROR(__xludf.DUMMYFUNCTION("""COMPUTED_VALUE"""),"No")</f>
        <v>No</v>
      </c>
      <c r="AQ68" s="5" t="str">
        <f ca="1">IFERROR(__xludf.DUMMYFUNCTION("""COMPUTED_VALUE"""),"No")</f>
        <v>No</v>
      </c>
      <c r="AR68" s="5" t="str">
        <f ca="1">IFERROR(__xludf.DUMMYFUNCTION("""COMPUTED_VALUE"""),"No")</f>
        <v>No</v>
      </c>
      <c r="AS68" s="5" t="str">
        <f ca="1">IFERROR(__xludf.DUMMYFUNCTION("""COMPUTED_VALUE"""),"Yes")</f>
        <v>Yes</v>
      </c>
      <c r="AT68" s="5" t="str">
        <f ca="1">IFERROR(__xludf.DUMMYFUNCTION("""COMPUTED_VALUE"""),"No")</f>
        <v>No</v>
      </c>
      <c r="AU68" s="5"/>
    </row>
    <row r="69" spans="1:47" x14ac:dyDescent="0.25">
      <c r="A69" s="5" t="str">
        <f ca="1">IFERROR(__xludf.DUMMYFUNCTION("""COMPUTED_VALUE"""),"Redstone")</f>
        <v>Redstone</v>
      </c>
      <c r="B69" s="5" t="str">
        <f ca="1">IFERROR(__xludf.DUMMYFUNCTION("""COMPUTED_VALUE"""),"10 Clover Fire")</f>
        <v>10 Clover Fire</v>
      </c>
      <c r="C69" s="5" t="str">
        <f ca="1">IFERROR(__xludf.DUMMYFUNCTION("""COMPUTED_VALUE"""),"Redstone10CloverFire")</f>
        <v>Redstone10CloverFire</v>
      </c>
      <c r="D69" s="6">
        <f ca="1">IFERROR(__xludf.DUMMYFUNCTION("""COMPUTED_VALUE"""),45432)</f>
        <v>45432</v>
      </c>
      <c r="E69" s="5" t="str">
        <f ca="1">IFERROR(__xludf.DUMMYFUNCTION("""COMPUTED_VALUE"""),"Slot")</f>
        <v>Slot</v>
      </c>
      <c r="F69" s="5">
        <f ca="1">IFERROR(__xludf.DUMMYFUNCTION("""COMPUTED_VALUE"""),8.2)</f>
        <v>8.1999999999999993</v>
      </c>
      <c r="G69" s="5" t="str">
        <f ca="1">IFERROR(__xludf.DUMMYFUNCTION("""COMPUTED_VALUE"""),"5x3")</f>
        <v>5x3</v>
      </c>
      <c r="H69" s="5">
        <f ca="1">IFERROR(__xludf.DUMMYFUNCTION("""COMPUTED_VALUE"""),10)</f>
        <v>10</v>
      </c>
      <c r="I69" s="5">
        <f ca="1">IFERROR(__xludf.DUMMYFUNCTION("""COMPUTED_VALUE"""),10)</f>
        <v>10</v>
      </c>
      <c r="J69" s="5" t="str">
        <f ca="1">IFERROR(__xludf.DUMMYFUNCTION("""COMPUTED_VALUE"""),"96.52%")</f>
        <v>96.52%</v>
      </c>
      <c r="K69" s="5" t="str">
        <f ca="1">IFERROR(__xludf.DUMMYFUNCTION("""COMPUTED_VALUE"""),"Medium")</f>
        <v>Medium</v>
      </c>
      <c r="L69" s="5" t="str">
        <f ca="1">IFERROR(__xludf.DUMMYFUNCTION("""COMPUTED_VALUE"""),"17.77%")</f>
        <v>17.77%</v>
      </c>
      <c r="M69" s="5" t="str">
        <f ca="1">IFERROR(__xludf.DUMMYFUNCTION("""COMPUTED_VALUE"""),"x944")</f>
        <v>x944</v>
      </c>
      <c r="N69" s="5" t="str">
        <f ca="1">IFERROR(__xludf.DUMMYFUNCTION("""COMPUTED_VALUE"""),"0.10/100")</f>
        <v>0.10/100</v>
      </c>
      <c r="O69" s="5" t="str">
        <f ca="1">IFERROR(__xludf.DUMMYFUNCTION("""COMPUTED_VALUE"""),"No")</f>
        <v>No</v>
      </c>
      <c r="P69" s="5" t="str">
        <f ca="1">IFERROR(__xludf.DUMMYFUNCTION("""COMPUTED_VALUE"""),"Expanding Wild, Scatter")</f>
        <v>Expanding Wild, Scatter</v>
      </c>
      <c r="Q69" s="7" t="str">
        <f ca="1">IFERROR(__xludf.DUMMYFUNCTION("""COMPUTED_VALUE"""),"https://static.redstone.rs/games/10-clover-fire/")</f>
        <v>https://static.redstone.rs/games/10-clover-fire/</v>
      </c>
      <c r="R69" s="5" t="str">
        <f ca="1">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S6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9" s="5" t="str">
        <f ca="1">IFERROR(__xludf.DUMMYFUNCTION("""COMPUTED_VALUE"""),"Yes")</f>
        <v>Yes</v>
      </c>
      <c r="U69" s="5" t="str">
        <f ca="1">IFERROR(__xludf.DUMMYFUNCTION("""COMPUTED_VALUE"""),"Yes")</f>
        <v>Yes</v>
      </c>
      <c r="V69" s="5" t="str">
        <f ca="1">IFERROR(__xludf.DUMMYFUNCTION("""COMPUTED_VALUE"""),"No")</f>
        <v>No</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IFERROR(__xludf.DUMMYFUNCTION("""COMPUTED_VALUE"""),"Yes")</f>
        <v>Yes</v>
      </c>
      <c r="AA69" s="5" t="str">
        <f ca="1">IFERROR(__xludf.DUMMYFUNCTION("""COMPUTED_VALUE"""),"Yes")</f>
        <v>Yes</v>
      </c>
      <c r="AB69" s="5" t="str">
        <f ca="1">IFERROR(__xludf.DUMMYFUNCTION("""COMPUTED_VALUE"""),"Yes")</f>
        <v>Yes</v>
      </c>
      <c r="AC69" s="5" t="str">
        <f ca="1">IFERROR(__xludf.DUMMYFUNCTION("""COMPUTED_VALUE"""),"Yes")</f>
        <v>Yes</v>
      </c>
      <c r="AD69" s="5" t="str">
        <f ca="1">IFERROR(__xludf.DUMMYFUNCTION("""COMPUTED_VALUE"""),"Yes")</f>
        <v>Yes</v>
      </c>
      <c r="AE69" s="5" t="str">
        <f ca="1">IFERROR(__xludf.DUMMYFUNCTION("""COMPUTED_VALUE"""),"Yes")</f>
        <v>Yes</v>
      </c>
      <c r="AF69" s="5" t="str">
        <f ca="1">IFERROR(__xludf.DUMMYFUNCTION("""COMPUTED_VALUE"""),"Yes")</f>
        <v>Yes</v>
      </c>
      <c r="AG69" s="5" t="str">
        <f ca="1">IFERROR(__xludf.DUMMYFUNCTION("""COMPUTED_VALUE"""),"Yes")</f>
        <v>Yes</v>
      </c>
      <c r="AH69" s="5" t="str">
        <f ca="1">IFERROR(__xludf.DUMMYFUNCTION("""COMPUTED_VALUE"""),"Yes")</f>
        <v>Yes</v>
      </c>
      <c r="AI69" s="5" t="str">
        <f ca="1">IFERROR(__xludf.DUMMYFUNCTION("""COMPUTED_VALUE"""),"No")</f>
        <v>No</v>
      </c>
      <c r="AJ69" s="5" t="str">
        <f ca="1">IFERROR(__xludf.DUMMYFUNCTION("""COMPUTED_VALUE"""),"No")</f>
        <v>No</v>
      </c>
      <c r="AK69" s="5" t="str">
        <f ca="1">IFERROR(__xludf.DUMMYFUNCTION("""COMPUTED_VALUE"""),"No")</f>
        <v>No</v>
      </c>
      <c r="AL69" s="5" t="str">
        <f ca="1">IFERROR(__xludf.DUMMYFUNCTION("""COMPUTED_VALUE"""),"No")</f>
        <v>No</v>
      </c>
      <c r="AM69" s="5" t="str">
        <f ca="1">IFERROR(__xludf.DUMMYFUNCTION("""COMPUTED_VALUE"""),"No")</f>
        <v>No</v>
      </c>
      <c r="AN69" s="5" t="str">
        <f ca="1">IFERROR(__xludf.DUMMYFUNCTION("""COMPUTED_VALUE"""),"No")</f>
        <v>No</v>
      </c>
      <c r="AO69" s="5" t="str">
        <f ca="1">IFERROR(__xludf.DUMMYFUNCTION("""COMPUTED_VALUE"""),"Yes")</f>
        <v>Yes</v>
      </c>
      <c r="AP69" s="5" t="str">
        <f ca="1">IFERROR(__xludf.DUMMYFUNCTION("""COMPUTED_VALUE"""),"No")</f>
        <v>No</v>
      </c>
      <c r="AQ69" s="5" t="str">
        <f ca="1">IFERROR(__xludf.DUMMYFUNCTION("""COMPUTED_VALUE"""),"No")</f>
        <v>No</v>
      </c>
      <c r="AR69" s="5" t="str">
        <f ca="1">IFERROR(__xludf.DUMMYFUNCTION("""COMPUTED_VALUE"""),"No")</f>
        <v>No</v>
      </c>
      <c r="AS69" s="5" t="str">
        <f ca="1">IFERROR(__xludf.DUMMYFUNCTION("""COMPUTED_VALUE"""),"Yes")</f>
        <v>Yes</v>
      </c>
      <c r="AT69" s="5" t="str">
        <f ca="1">IFERROR(__xludf.DUMMYFUNCTION("""COMPUTED_VALUE"""),"No")</f>
        <v>No</v>
      </c>
      <c r="AU69" s="5"/>
    </row>
    <row r="70" spans="1:47" x14ac:dyDescent="0.25">
      <c r="A70" s="5" t="str">
        <f ca="1">IFERROR(__xludf.DUMMYFUNCTION("""COMPUTED_VALUE"""),"Redstone")</f>
        <v>Redstone</v>
      </c>
      <c r="B70" s="5" t="str">
        <f ca="1">IFERROR(__xludf.DUMMYFUNCTION("""COMPUTED_VALUE"""),"Cosmic Sevens")</f>
        <v>Cosmic Sevens</v>
      </c>
      <c r="C70" s="5" t="str">
        <f ca="1">IFERROR(__xludf.DUMMYFUNCTION("""COMPUTED_VALUE"""),"RedstoneCosmicSevens")</f>
        <v>RedstoneCosmicSevens</v>
      </c>
      <c r="D70" s="6">
        <f ca="1">IFERROR(__xludf.DUMMYFUNCTION("""COMPUTED_VALUE"""),45678)</f>
        <v>45678</v>
      </c>
      <c r="E70" s="5" t="str">
        <f ca="1">IFERROR(__xludf.DUMMYFUNCTION("""COMPUTED_VALUE"""),"Slot")</f>
        <v>Slot</v>
      </c>
      <c r="F70" s="5">
        <f ca="1">IFERROR(__xludf.DUMMYFUNCTION("""COMPUTED_VALUE"""),12.2)</f>
        <v>12.2</v>
      </c>
      <c r="G70" s="5" t="str">
        <f ca="1">IFERROR(__xludf.DUMMYFUNCTION("""COMPUTED_VALUE"""),"5x3")</f>
        <v>5x3</v>
      </c>
      <c r="H70" s="5">
        <f ca="1">IFERROR(__xludf.DUMMYFUNCTION("""COMPUTED_VALUE"""),10)</f>
        <v>10</v>
      </c>
      <c r="I70" s="5">
        <f ca="1">IFERROR(__xludf.DUMMYFUNCTION("""COMPUTED_VALUE"""),10)</f>
        <v>10</v>
      </c>
      <c r="J70" s="5" t="str">
        <f ca="1">IFERROR(__xludf.DUMMYFUNCTION("""COMPUTED_VALUE"""),"96.03%")</f>
        <v>96.03%</v>
      </c>
      <c r="K70" s="5" t="str">
        <f ca="1">IFERROR(__xludf.DUMMYFUNCTION("""COMPUTED_VALUE"""),"Medium")</f>
        <v>Medium</v>
      </c>
      <c r="L70" s="5" t="str">
        <f ca="1">IFERROR(__xludf.DUMMYFUNCTION("""COMPUTED_VALUE"""),"18.71%")</f>
        <v>18.71%</v>
      </c>
      <c r="M70" s="5" t="str">
        <f ca="1">IFERROR(__xludf.DUMMYFUNCTION("""COMPUTED_VALUE"""),"x3000")</f>
        <v>x3000</v>
      </c>
      <c r="N70" s="5" t="str">
        <f ca="1">IFERROR(__xludf.DUMMYFUNCTION("""COMPUTED_VALUE"""),"0.10/100")</f>
        <v>0.10/100</v>
      </c>
      <c r="O70" s="5" t="str">
        <f ca="1">IFERROR(__xludf.DUMMYFUNCTION("""COMPUTED_VALUE"""),"No")</f>
        <v>No</v>
      </c>
      <c r="P70" s="5" t="str">
        <f ca="1">IFERROR(__xludf.DUMMYFUNCTION("""COMPUTED_VALUE"""),"Expanding Wild, Scatter")</f>
        <v>Expanding Wild, Scatter</v>
      </c>
      <c r="Q70" s="7" t="str">
        <f ca="1">IFERROR(__xludf.DUMMYFUNCTION("""COMPUTED_VALUE"""),"https://static.redstone.rs/games/cosmic-sevens/")</f>
        <v>https://static.redstone.rs/games/cosmic-sevens/</v>
      </c>
      <c r="R70" s="5" t="str">
        <f ca="1">IFERROR(__xludf.DUMMYFUNCTION("""COMPUTED_VALUE"""),"Spin to the stars and beyond with Cosmic Sevens! Land a seven, expand the wilds and aim for a massive 3000x win!")</f>
        <v>Spin to the stars and beyond with Cosmic Sevens! Land a seven, expand the wilds and aim for a massive 3000x win!</v>
      </c>
      <c r="S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0" s="5" t="str">
        <f ca="1">IFERROR(__xludf.DUMMYFUNCTION("""COMPUTED_VALUE"""),"Yes")</f>
        <v>Yes</v>
      </c>
      <c r="U70" s="5" t="str">
        <f ca="1">IFERROR(__xludf.DUMMYFUNCTION("""COMPUTED_VALUE"""),"Yes")</f>
        <v>Yes</v>
      </c>
      <c r="V70" s="5" t="str">
        <f ca="1">IFERROR(__xludf.DUMMYFUNCTION("""COMPUTED_VALUE"""),"Yes")</f>
        <v>Yes</v>
      </c>
      <c r="W70" s="5" t="str">
        <f ca="1">IFERROR(__xludf.DUMMYFUNCTION("""COMPUTED_VALUE"""),"Yes")</f>
        <v>Yes</v>
      </c>
      <c r="X70" s="5" t="str">
        <f ca="1">IFERROR(__xludf.DUMMYFUNCTION("""COMPUTED_VALUE"""),"Yes")</f>
        <v>Yes</v>
      </c>
      <c r="Y70" s="5" t="str">
        <f ca="1">IFERROR(__xludf.DUMMYFUNCTION("""COMPUTED_VALUE"""),"Yes")</f>
        <v>Yes</v>
      </c>
      <c r="Z70" s="5" t="str">
        <f ca="1">IFERROR(__xludf.DUMMYFUNCTION("""COMPUTED_VALUE"""),"Yes")</f>
        <v>Yes</v>
      </c>
      <c r="AA70" s="5" t="str">
        <f ca="1">IFERROR(__xludf.DUMMYFUNCTION("""COMPUTED_VALUE"""),"Yes")</f>
        <v>Yes</v>
      </c>
      <c r="AB70" s="5" t="str">
        <f ca="1">IFERROR(__xludf.DUMMYFUNCTION("""COMPUTED_VALUE"""),"Yes")</f>
        <v>Yes</v>
      </c>
      <c r="AC70" s="5" t="str">
        <f ca="1">IFERROR(__xludf.DUMMYFUNCTION("""COMPUTED_VALUE"""),"Yes")</f>
        <v>Yes</v>
      </c>
      <c r="AD70" s="5" t="str">
        <f ca="1">IFERROR(__xludf.DUMMYFUNCTION("""COMPUTED_VALUE"""),"Yes")</f>
        <v>Yes</v>
      </c>
      <c r="AE70" s="5" t="str">
        <f ca="1">IFERROR(__xludf.DUMMYFUNCTION("""COMPUTED_VALUE"""),"Yes")</f>
        <v>Yes</v>
      </c>
      <c r="AF70" s="5" t="str">
        <f ca="1">IFERROR(__xludf.DUMMYFUNCTION("""COMPUTED_VALUE"""),"Yes")</f>
        <v>Yes</v>
      </c>
      <c r="AG70" s="5" t="str">
        <f ca="1">IFERROR(__xludf.DUMMYFUNCTION("""COMPUTED_VALUE"""),"Yes")</f>
        <v>Yes</v>
      </c>
      <c r="AH70" s="5" t="str">
        <f ca="1">IFERROR(__xludf.DUMMYFUNCTION("""COMPUTED_VALUE"""),"Yes")</f>
        <v>Yes</v>
      </c>
      <c r="AI70" s="5" t="str">
        <f ca="1">IFERROR(__xludf.DUMMYFUNCTION("""COMPUTED_VALUE"""),"Yes")</f>
        <v>Yes</v>
      </c>
      <c r="AJ70" s="5" t="str">
        <f ca="1">IFERROR(__xludf.DUMMYFUNCTION("""COMPUTED_VALUE"""),"Yes")</f>
        <v>Yes</v>
      </c>
      <c r="AK70" s="5" t="str">
        <f ca="1">IFERROR(__xludf.DUMMYFUNCTION("""COMPUTED_VALUE"""),"Yes")</f>
        <v>Yes</v>
      </c>
      <c r="AL70" s="5" t="str">
        <f ca="1">IFERROR(__xludf.DUMMYFUNCTION("""COMPUTED_VALUE"""),"Yes")</f>
        <v>Yes</v>
      </c>
      <c r="AM70" s="5"/>
      <c r="AN70" s="5"/>
      <c r="AO70" s="5"/>
      <c r="AP70" s="5"/>
      <c r="AQ70" s="5" t="str">
        <f ca="1">IFERROR(__xludf.DUMMYFUNCTION("""COMPUTED_VALUE"""),"Yes")</f>
        <v>Yes</v>
      </c>
      <c r="AR70" s="5"/>
      <c r="AS70" s="5"/>
      <c r="AT70" s="5"/>
      <c r="AU70" s="5"/>
    </row>
    <row r="71" spans="1:47" x14ac:dyDescent="0.25">
      <c r="A71" s="5" t="str">
        <f ca="1">IFERROR(__xludf.DUMMYFUNCTION("""COMPUTED_VALUE"""),"Redstone")</f>
        <v>Redstone</v>
      </c>
      <c r="B71" s="5" t="str">
        <f ca="1">IFERROR(__xludf.DUMMYFUNCTION("""COMPUTED_VALUE"""),"Clover Royale")</f>
        <v>Clover Royale</v>
      </c>
      <c r="C71" s="5" t="str">
        <f ca="1">IFERROR(__xludf.DUMMYFUNCTION("""COMPUTED_VALUE"""),"RedstoneCloverRoyale")</f>
        <v>RedstoneCloverRoyale</v>
      </c>
      <c r="D71" s="6">
        <f ca="1">IFERROR(__xludf.DUMMYFUNCTION("""COMPUTED_VALUE"""),45693)</f>
        <v>45693</v>
      </c>
      <c r="E71" s="5" t="str">
        <f ca="1">IFERROR(__xludf.DUMMYFUNCTION("""COMPUTED_VALUE"""),"Slot")</f>
        <v>Slot</v>
      </c>
      <c r="F71" s="5">
        <f ca="1">IFERROR(__xludf.DUMMYFUNCTION("""COMPUTED_VALUE"""),9.7)</f>
        <v>9.6999999999999993</v>
      </c>
      <c r="G71" s="5" t="str">
        <f ca="1">IFERROR(__xludf.DUMMYFUNCTION("""COMPUTED_VALUE"""),"5x3")</f>
        <v>5x3</v>
      </c>
      <c r="H71" s="5">
        <f ca="1">IFERROR(__xludf.DUMMYFUNCTION("""COMPUTED_VALUE"""),5)</f>
        <v>5</v>
      </c>
      <c r="I71" s="5">
        <f ca="1">IFERROR(__xludf.DUMMYFUNCTION("""COMPUTED_VALUE"""),5)</f>
        <v>5</v>
      </c>
      <c r="J71" s="5" t="str">
        <f ca="1">IFERROR(__xludf.DUMMYFUNCTION("""COMPUTED_VALUE"""),"96.01%")</f>
        <v>96.01%</v>
      </c>
      <c r="K71" s="5" t="str">
        <f ca="1">IFERROR(__xludf.DUMMYFUNCTION("""COMPUTED_VALUE"""),"High")</f>
        <v>High</v>
      </c>
      <c r="L71" s="5" t="str">
        <f ca="1">IFERROR(__xludf.DUMMYFUNCTION("""COMPUTED_VALUE"""),"6.6%")</f>
        <v>6.6%</v>
      </c>
      <c r="M71" s="5" t="str">
        <f ca="1">IFERROR(__xludf.DUMMYFUNCTION("""COMPUTED_VALUE"""),"x3225")</f>
        <v>x3225</v>
      </c>
      <c r="N71" s="5" t="str">
        <f ca="1">IFERROR(__xludf.DUMMYFUNCTION("""COMPUTED_VALUE"""),"0.10/50")</f>
        <v>0.10/50</v>
      </c>
      <c r="O71" s="5" t="str">
        <f ca="1">IFERROR(__xludf.DUMMYFUNCTION("""COMPUTED_VALUE"""),"No")</f>
        <v>No</v>
      </c>
      <c r="P71" s="5" t="str">
        <f ca="1">IFERROR(__xludf.DUMMYFUNCTION("""COMPUTED_VALUE"""),"Win Multiplier")</f>
        <v>Win Multiplier</v>
      </c>
      <c r="Q71" s="7" t="str">
        <f ca="1">IFERROR(__xludf.DUMMYFUNCTION("""COMPUTED_VALUE"""),"https://static.redstone.rs/games/clover-royale/")</f>
        <v>https://static.redstone.rs/games/clover-royale/</v>
      </c>
      <c r="R71" s="5" t="str">
        <f ca="1">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S7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IFERROR(__xludf.DUMMYFUNCTION("""COMPUTED_VALUE"""),"No")</f>
        <v>No</v>
      </c>
      <c r="X71" s="5" t="str">
        <f ca="1">IFERROR(__xludf.DUMMYFUNCTION("""COMPUTED_VALUE"""),"No")</f>
        <v>No</v>
      </c>
      <c r="Y71" s="5" t="str">
        <f ca="1">IFERROR(__xludf.DUMMYFUNCTION("""COMPUTED_VALUE"""),"No")</f>
        <v>No</v>
      </c>
      <c r="Z71" s="5" t="str">
        <f ca="1">IFERROR(__xludf.DUMMYFUNCTION("""COMPUTED_VALUE"""),"No")</f>
        <v>No</v>
      </c>
      <c r="AA71" s="5" t="str">
        <f ca="1">IFERROR(__xludf.DUMMYFUNCTION("""COMPUTED_VALUE"""),"No")</f>
        <v>No</v>
      </c>
      <c r="AB71" s="5" t="str">
        <f ca="1">IFERROR(__xludf.DUMMYFUNCTION("""COMPUTED_VALUE"""),"Yes")</f>
        <v>Yes</v>
      </c>
      <c r="AC71" s="5" t="str">
        <f ca="1">IFERROR(__xludf.DUMMYFUNCTION("""COMPUTED_VALUE"""),"Yes")</f>
        <v>Yes</v>
      </c>
      <c r="AD71" s="5" t="str">
        <f ca="1">IFERROR(__xludf.DUMMYFUNCTION("""COMPUTED_VALUE"""),"Yes")</f>
        <v>Yes</v>
      </c>
      <c r="AE71" s="5" t="str">
        <f ca="1">IFERROR(__xludf.DUMMYFUNCTION("""COMPUTED_VALUE"""),"Yes")</f>
        <v>Yes</v>
      </c>
      <c r="AF71" s="5" t="str">
        <f ca="1">IFERROR(__xludf.DUMMYFUNCTION("""COMPUTED_VALUE"""),"Yes")</f>
        <v>Yes</v>
      </c>
      <c r="AG71" s="5" t="str">
        <f ca="1">IFERROR(__xludf.DUMMYFUNCTION("""COMPUTED_VALUE"""),"No")</f>
        <v>No</v>
      </c>
      <c r="AH71" s="5" t="str">
        <f ca="1">IFERROR(__xludf.DUMMYFUNCTION("""COMPUTED_VALUE"""),"Yes")</f>
        <v>Yes</v>
      </c>
      <c r="AI71" s="5" t="str">
        <f ca="1">IFERROR(__xludf.DUMMYFUNCTION("""COMPUTED_VALUE"""),"No")</f>
        <v>No</v>
      </c>
      <c r="AJ71" s="5" t="str">
        <f ca="1">IFERROR(__xludf.DUMMYFUNCTION("""COMPUTED_VALUE"""),"No")</f>
        <v>No</v>
      </c>
      <c r="AK71" s="5" t="str">
        <f ca="1">IFERROR(__xludf.DUMMYFUNCTION("""COMPUTED_VALUE"""),"No")</f>
        <v>No</v>
      </c>
      <c r="AL71" s="5" t="str">
        <f ca="1">IFERROR(__xludf.DUMMYFUNCTION("""COMPUTED_VALUE"""),"No")</f>
        <v>No</v>
      </c>
      <c r="AM71" s="5"/>
      <c r="AN71" s="5"/>
      <c r="AO71" s="5" t="str">
        <f ca="1">IFERROR(__xludf.DUMMYFUNCTION("""COMPUTED_VALUE"""),"Yes")</f>
        <v>Yes</v>
      </c>
      <c r="AP71" s="5"/>
      <c r="AQ71" s="5" t="str">
        <f ca="1">IFERROR(__xludf.DUMMYFUNCTION("""COMPUTED_VALUE"""),"No")</f>
        <v>No</v>
      </c>
      <c r="AR71" s="5"/>
      <c r="AS71" s="5" t="str">
        <f ca="1">IFERROR(__xludf.DUMMYFUNCTION("""COMPUTED_VALUE"""),"Yes")</f>
        <v>Yes</v>
      </c>
      <c r="AT71" s="5" t="str">
        <f ca="1">IFERROR(__xludf.DUMMYFUNCTION("""COMPUTED_VALUE"""),"Yes")</f>
        <v>Yes</v>
      </c>
      <c r="AU71" s="5"/>
    </row>
    <row r="72" spans="1:47" x14ac:dyDescent="0.25">
      <c r="A72" s="5" t="str">
        <f ca="1">IFERROR(__xludf.DUMMYFUNCTION("""COMPUTED_VALUE"""),"Redstone")</f>
        <v>Redstone</v>
      </c>
      <c r="B72" s="5" t="str">
        <f ca="1">IFERROR(__xludf.DUMMYFUNCTION("""COMPUTED_VALUE"""),"Eternal Hearts 10")</f>
        <v>Eternal Hearts 10</v>
      </c>
      <c r="C72" s="5" t="str">
        <f ca="1">IFERROR(__xludf.DUMMYFUNCTION("""COMPUTED_VALUE"""),"RedstoneEternalHearts10")</f>
        <v>RedstoneEternalHearts10</v>
      </c>
      <c r="D72" s="6">
        <f ca="1">IFERROR(__xludf.DUMMYFUNCTION("""COMPUTED_VALUE"""),45698)</f>
        <v>45698</v>
      </c>
      <c r="E72" s="5" t="str">
        <f ca="1">IFERROR(__xludf.DUMMYFUNCTION("""COMPUTED_VALUE"""),"Slot")</f>
        <v>Slot</v>
      </c>
      <c r="F72" s="5">
        <f ca="1">IFERROR(__xludf.DUMMYFUNCTION("""COMPUTED_VALUE"""),12.7)</f>
        <v>12.7</v>
      </c>
      <c r="G72" s="5" t="str">
        <f ca="1">IFERROR(__xludf.DUMMYFUNCTION("""COMPUTED_VALUE"""),"5x3")</f>
        <v>5x3</v>
      </c>
      <c r="H72" s="5">
        <f ca="1">IFERROR(__xludf.DUMMYFUNCTION("""COMPUTED_VALUE"""),10)</f>
        <v>10</v>
      </c>
      <c r="I72" s="5">
        <f ca="1">IFERROR(__xludf.DUMMYFUNCTION("""COMPUTED_VALUE"""),10)</f>
        <v>10</v>
      </c>
      <c r="J72" s="5" t="str">
        <f ca="1">IFERROR(__xludf.DUMMYFUNCTION("""COMPUTED_VALUE"""),"96.05%")</f>
        <v>96.05%</v>
      </c>
      <c r="K72" s="5" t="str">
        <f ca="1">IFERROR(__xludf.DUMMYFUNCTION("""COMPUTED_VALUE"""),"Medium")</f>
        <v>Medium</v>
      </c>
      <c r="L72" s="5" t="str">
        <f ca="1">IFERROR(__xludf.DUMMYFUNCTION("""COMPUTED_VALUE"""),"14.29%")</f>
        <v>14.29%</v>
      </c>
      <c r="M72" s="5" t="str">
        <f ca="1">IFERROR(__xludf.DUMMYFUNCTION("""COMPUTED_VALUE"""),"x1250")</f>
        <v>x1250</v>
      </c>
      <c r="N72" s="5" t="str">
        <f ca="1">IFERROR(__xludf.DUMMYFUNCTION("""COMPUTED_VALUE"""),"0.05/100")</f>
        <v>0.05/100</v>
      </c>
      <c r="O72" s="5" t="str">
        <f ca="1">IFERROR(__xludf.DUMMYFUNCTION("""COMPUTED_VALUE"""),"No")</f>
        <v>No</v>
      </c>
      <c r="P72" s="5" t="str">
        <f ca="1">IFERROR(__xludf.DUMMYFUNCTION("""COMPUTED_VALUE"""),"Hold and Win, Special Wild")</f>
        <v>Hold and Win, Special Wild</v>
      </c>
      <c r="Q72" s="7" t="str">
        <f ca="1">IFERROR(__xludf.DUMMYFUNCTION("""COMPUTED_VALUE"""),"https://static.redstone.rs/games/eternal-hearts-10/")</f>
        <v>https://static.redstone.rs/games/eternal-hearts-10/</v>
      </c>
      <c r="R72" s="5" t="str">
        <f ca="1">IFERROR(__xludf.DUMMYFUNCTION("""COMPUTED_VALUE"""),"Can you gather all 15 hearts? In Eternal Hearts, the challenge leads to unforgettable rewards in the bonus round.")</f>
        <v>Can you gather all 15 hearts? In Eternal Hearts, the challenge leads to unforgettable rewards in the bonus round.</v>
      </c>
      <c r="S7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2" s="5" t="str">
        <f ca="1">IFERROR(__xludf.DUMMYFUNCTION("""COMPUTED_VALUE"""),"Yes")</f>
        <v>Yes</v>
      </c>
      <c r="U72" s="5" t="str">
        <f ca="1">IFERROR(__xludf.DUMMYFUNCTION("""COMPUTED_VALUE"""),"Yes")</f>
        <v>Yes</v>
      </c>
      <c r="V72" s="5" t="str">
        <f ca="1">IFERROR(__xludf.DUMMYFUNCTION("""COMPUTED_VALUE"""),"Yes")</f>
        <v>Yes</v>
      </c>
      <c r="W72" s="5" t="str">
        <f ca="1">IFERROR(__xludf.DUMMYFUNCTION("""COMPUTED_VALUE"""),"No")</f>
        <v>No</v>
      </c>
      <c r="X72" s="5" t="str">
        <f ca="1">IFERROR(__xludf.DUMMYFUNCTION("""COMPUTED_VALUE"""),"No")</f>
        <v>No</v>
      </c>
      <c r="Y72" s="5" t="str">
        <f ca="1">IFERROR(__xludf.DUMMYFUNCTION("""COMPUTED_VALUE"""),"No")</f>
        <v>No</v>
      </c>
      <c r="Z72" s="5" t="str">
        <f ca="1">IFERROR(__xludf.DUMMYFUNCTION("""COMPUTED_VALUE"""),"No")</f>
        <v>No</v>
      </c>
      <c r="AA72" s="5" t="str">
        <f ca="1">IFERROR(__xludf.DUMMYFUNCTION("""COMPUTED_VALUE"""),"No")</f>
        <v>No</v>
      </c>
      <c r="AB72" s="5" t="str">
        <f ca="1">IFERROR(__xludf.DUMMYFUNCTION("""COMPUTED_VALUE"""),"Yes")</f>
        <v>Yes</v>
      </c>
      <c r="AC72" s="5" t="str">
        <f ca="1">IFERROR(__xludf.DUMMYFUNCTION("""COMPUTED_VALUE"""),"Yes")</f>
        <v>Yes</v>
      </c>
      <c r="AD72" s="5" t="str">
        <f ca="1">IFERROR(__xludf.DUMMYFUNCTION("""COMPUTED_VALUE"""),"Yes")</f>
        <v>Yes</v>
      </c>
      <c r="AE72" s="5" t="str">
        <f ca="1">IFERROR(__xludf.DUMMYFUNCTION("""COMPUTED_VALUE"""),"Yes")</f>
        <v>Yes</v>
      </c>
      <c r="AF72" s="5" t="str">
        <f ca="1">IFERROR(__xludf.DUMMYFUNCTION("""COMPUTED_VALUE"""),"Yes")</f>
        <v>Yes</v>
      </c>
      <c r="AG72" s="5" t="str">
        <f ca="1">IFERROR(__xludf.DUMMYFUNCTION("""COMPUTED_VALUE"""),"No")</f>
        <v>No</v>
      </c>
      <c r="AH72" s="5" t="str">
        <f ca="1">IFERROR(__xludf.DUMMYFUNCTION("""COMPUTED_VALUE"""),"Yes")</f>
        <v>Yes</v>
      </c>
      <c r="AI72" s="5" t="str">
        <f ca="1">IFERROR(__xludf.DUMMYFUNCTION("""COMPUTED_VALUE"""),"No")</f>
        <v>No</v>
      </c>
      <c r="AJ72" s="5" t="str">
        <f ca="1">IFERROR(__xludf.DUMMYFUNCTION("""COMPUTED_VALUE"""),"No")</f>
        <v>No</v>
      </c>
      <c r="AK72" s="5" t="str">
        <f ca="1">IFERROR(__xludf.DUMMYFUNCTION("""COMPUTED_VALUE"""),"No")</f>
        <v>No</v>
      </c>
      <c r="AL72" s="5" t="str">
        <f ca="1">IFERROR(__xludf.DUMMYFUNCTION("""COMPUTED_VALUE"""),"No")</f>
        <v>No</v>
      </c>
      <c r="AM72" s="5"/>
      <c r="AN72" s="5"/>
      <c r="AO72" s="5" t="str">
        <f ca="1">IFERROR(__xludf.DUMMYFUNCTION("""COMPUTED_VALUE"""),"Yes")</f>
        <v>Yes</v>
      </c>
      <c r="AP72" s="5"/>
      <c r="AQ72" s="5" t="str">
        <f ca="1">IFERROR(__xludf.DUMMYFUNCTION("""COMPUTED_VALUE"""),"No")</f>
        <v>No</v>
      </c>
      <c r="AR72" s="5"/>
      <c r="AS72" s="5" t="str">
        <f ca="1">IFERROR(__xludf.DUMMYFUNCTION("""COMPUTED_VALUE"""),"Yes")</f>
        <v>Yes</v>
      </c>
      <c r="AT72" s="5" t="str">
        <f ca="1">IFERROR(__xludf.DUMMYFUNCTION("""COMPUTED_VALUE"""),"Yes")</f>
        <v>Yes</v>
      </c>
      <c r="AU72" s="5"/>
    </row>
    <row r="73" spans="1:47" x14ac:dyDescent="0.25">
      <c r="A73" s="5" t="str">
        <f ca="1">IFERROR(__xludf.DUMMYFUNCTION("""COMPUTED_VALUE"""),"Redstone")</f>
        <v>Redstone</v>
      </c>
      <c r="B73" s="5" t="str">
        <f ca="1">IFERROR(__xludf.DUMMYFUNCTION("""COMPUTED_VALUE"""),"Star Chaser")</f>
        <v>Star Chaser</v>
      </c>
      <c r="C73" s="5" t="str">
        <f ca="1">IFERROR(__xludf.DUMMYFUNCTION("""COMPUTED_VALUE"""),"RedstoneStarChaser")</f>
        <v>RedstoneStarChaser</v>
      </c>
      <c r="D73" s="6">
        <f ca="1">IFERROR(__xludf.DUMMYFUNCTION("""COMPUTED_VALUE"""),45707)</f>
        <v>45707</v>
      </c>
      <c r="E73" s="5" t="str">
        <f ca="1">IFERROR(__xludf.DUMMYFUNCTION("""COMPUTED_VALUE"""),"Slot")</f>
        <v>Slot</v>
      </c>
      <c r="F73" s="5">
        <f ca="1">IFERROR(__xludf.DUMMYFUNCTION("""COMPUTED_VALUE"""),8)</f>
        <v>8</v>
      </c>
      <c r="G73" s="5" t="str">
        <f ca="1">IFERROR(__xludf.DUMMYFUNCTION("""COMPUTED_VALUE"""),"5x3")</f>
        <v>5x3</v>
      </c>
      <c r="H73" s="5">
        <f ca="1">IFERROR(__xludf.DUMMYFUNCTION("""COMPUTED_VALUE"""),15)</f>
        <v>15</v>
      </c>
      <c r="I73" s="5">
        <f ca="1">IFERROR(__xludf.DUMMYFUNCTION("""COMPUTED_VALUE"""),15)</f>
        <v>15</v>
      </c>
      <c r="J73" s="5" t="str">
        <f ca="1">IFERROR(__xludf.DUMMYFUNCTION("""COMPUTED_VALUE"""),"96%")</f>
        <v>96%</v>
      </c>
      <c r="K73" s="5" t="str">
        <f ca="1">IFERROR(__xludf.DUMMYFUNCTION("""COMPUTED_VALUE"""),"High")</f>
        <v>High</v>
      </c>
      <c r="L73" s="5" t="str">
        <f ca="1">IFERROR(__xludf.DUMMYFUNCTION("""COMPUTED_VALUE"""),"5.67%")</f>
        <v>5.67%</v>
      </c>
      <c r="M73" s="5" t="str">
        <f ca="1">IFERROR(__xludf.DUMMYFUNCTION("""COMPUTED_VALUE"""),"x10000")</f>
        <v>x10000</v>
      </c>
      <c r="N73" s="5" t="str">
        <f ca="1">IFERROR(__xludf.DUMMYFUNCTION("""COMPUTED_VALUE"""),"0.10/50")</f>
        <v>0.10/50</v>
      </c>
      <c r="O73" s="5" t="str">
        <f ca="1">IFERROR(__xludf.DUMMYFUNCTION("""COMPUTED_VALUE"""),"No")</f>
        <v>No</v>
      </c>
      <c r="P73" s="5" t="str">
        <f ca="1">IFERROR(__xludf.DUMMYFUNCTION("""COMPUTED_VALUE"""),"Scatter")</f>
        <v>Scatter</v>
      </c>
      <c r="Q73" s="7" t="str">
        <f ca="1">IFERROR(__xludf.DUMMYFUNCTION("""COMPUTED_VALUE"""),"https://static.redstone.rs/games/star-chaser/")</f>
        <v>https://static.redstone.rs/games/star-chaser/</v>
      </c>
      <c r="R73" s="5" t="str">
        <f ca="1">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S7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3" s="5" t="str">
        <f ca="1">IFERROR(__xludf.DUMMYFUNCTION("""COMPUTED_VALUE"""),"Yes")</f>
        <v>Yes</v>
      </c>
      <c r="U73" s="5" t="str">
        <f ca="1">IFERROR(__xludf.DUMMYFUNCTION("""COMPUTED_VALUE"""),"Yes")</f>
        <v>Yes</v>
      </c>
      <c r="V73" s="5" t="str">
        <f ca="1">IFERROR(__xludf.DUMMYFUNCTION("""COMPUTED_VALUE"""),"No")</f>
        <v>No</v>
      </c>
      <c r="W73" s="5" t="str">
        <f ca="1">IFERROR(__xludf.DUMMYFUNCTION("""COMPUTED_VALUE"""),"Yes")</f>
        <v>Yes</v>
      </c>
      <c r="X73" s="5" t="str">
        <f ca="1">IFERROR(__xludf.DUMMYFUNCTION("""COMPUTED_VALUE"""),"Yes")</f>
        <v>Yes</v>
      </c>
      <c r="Y73" s="5" t="str">
        <f ca="1">IFERROR(__xludf.DUMMYFUNCTION("""COMPUTED_VALUE"""),"Yes")</f>
        <v>Yes</v>
      </c>
      <c r="Z73" s="5" t="str">
        <f ca="1">IFERROR(__xludf.DUMMYFUNCTION("""COMPUTED_VALUE"""),"Yes")</f>
        <v>Yes</v>
      </c>
      <c r="AA73" s="5" t="str">
        <f ca="1">IFERROR(__xludf.DUMMYFUNCTION("""COMPUTED_VALUE"""),"Yes")</f>
        <v>Yes</v>
      </c>
      <c r="AB73" s="5" t="str">
        <f ca="1">IFERROR(__xludf.DUMMYFUNCTION("""COMPUTED_VALUE"""),"Yes")</f>
        <v>Yes</v>
      </c>
      <c r="AC73" s="5" t="str">
        <f ca="1">IFERROR(__xludf.DUMMYFUNCTION("""COMPUTED_VALUE"""),"Yes")</f>
        <v>Yes</v>
      </c>
      <c r="AD73" s="5" t="str">
        <f ca="1">IFERROR(__xludf.DUMMYFUNCTION("""COMPUTED_VALUE"""),"Yes")</f>
        <v>Yes</v>
      </c>
      <c r="AE73" s="5" t="str">
        <f ca="1">IFERROR(__xludf.DUMMYFUNCTION("""COMPUTED_VALUE"""),"Yes")</f>
        <v>Yes</v>
      </c>
      <c r="AF73" s="5" t="str">
        <f ca="1">IFERROR(__xludf.DUMMYFUNCTION("""COMPUTED_VALUE"""),"Yes")</f>
        <v>Yes</v>
      </c>
      <c r="AG73" s="5" t="str">
        <f ca="1">IFERROR(__xludf.DUMMYFUNCTION("""COMPUTED_VALUE"""),"Yes")</f>
        <v>Yes</v>
      </c>
      <c r="AH73" s="5" t="str">
        <f ca="1">IFERROR(__xludf.DUMMYFUNCTION("""COMPUTED_VALUE"""),"Yes")</f>
        <v>Yes</v>
      </c>
      <c r="AI73" s="5" t="str">
        <f ca="1">IFERROR(__xludf.DUMMYFUNCTION("""COMPUTED_VALUE"""),"No")</f>
        <v>No</v>
      </c>
      <c r="AJ73" s="5" t="str">
        <f ca="1">IFERROR(__xludf.DUMMYFUNCTION("""COMPUTED_VALUE"""),"No")</f>
        <v>No</v>
      </c>
      <c r="AK73" s="5" t="str">
        <f ca="1">IFERROR(__xludf.DUMMYFUNCTION("""COMPUTED_VALUE"""),"No")</f>
        <v>No</v>
      </c>
      <c r="AL73" s="5" t="str">
        <f ca="1">IFERROR(__xludf.DUMMYFUNCTION("""COMPUTED_VALUE"""),"No")</f>
        <v>No</v>
      </c>
      <c r="AM73" s="5" t="str">
        <f ca="1">IFERROR(__xludf.DUMMYFUNCTION("""COMPUTED_VALUE"""),"No")</f>
        <v>No</v>
      </c>
      <c r="AN73" s="5" t="str">
        <f ca="1">IFERROR(__xludf.DUMMYFUNCTION("""COMPUTED_VALUE"""),"No")</f>
        <v>No</v>
      </c>
      <c r="AO73" s="5" t="str">
        <f ca="1">IFERROR(__xludf.DUMMYFUNCTION("""COMPUTED_VALUE"""),"Yes")</f>
        <v>Yes</v>
      </c>
      <c r="AP73" s="5" t="str">
        <f ca="1">IFERROR(__xludf.DUMMYFUNCTION("""COMPUTED_VALUE"""),"No")</f>
        <v>No</v>
      </c>
      <c r="AQ73" s="5" t="str">
        <f ca="1">IFERROR(__xludf.DUMMYFUNCTION("""COMPUTED_VALUE"""),"No")</f>
        <v>No</v>
      </c>
      <c r="AR73" s="5" t="str">
        <f ca="1">IFERROR(__xludf.DUMMYFUNCTION("""COMPUTED_VALUE"""),"No")</f>
        <v>No</v>
      </c>
      <c r="AS73" s="5" t="str">
        <f ca="1">IFERROR(__xludf.DUMMYFUNCTION("""COMPUTED_VALUE"""),"Yes")</f>
        <v>Yes</v>
      </c>
      <c r="AT73" s="5" t="str">
        <f ca="1">IFERROR(__xludf.DUMMYFUNCTION("""COMPUTED_VALUE"""),"No")</f>
        <v>No</v>
      </c>
      <c r="AU73" s="5"/>
    </row>
    <row r="74" spans="1:47" x14ac:dyDescent="0.25">
      <c r="A74" s="5" t="str">
        <f ca="1">IFERROR(__xludf.DUMMYFUNCTION("""COMPUTED_VALUE"""),"Redstone")</f>
        <v>Redstone</v>
      </c>
      <c r="B74" s="5" t="str">
        <f ca="1">IFERROR(__xludf.DUMMYFUNCTION("""COMPUTED_VALUE"""),"Multi Clover 10")</f>
        <v>Multi Clover 10</v>
      </c>
      <c r="C74" s="5" t="str">
        <f ca="1">IFERROR(__xludf.DUMMYFUNCTION("""COMPUTED_VALUE"""),"RedstoneMultiClover10")</f>
        <v>RedstoneMultiClover10</v>
      </c>
      <c r="D74" s="6">
        <f ca="1">IFERROR(__xludf.DUMMYFUNCTION("""COMPUTED_VALUE"""),45713)</f>
        <v>45713</v>
      </c>
      <c r="E74" s="5" t="str">
        <f ca="1">IFERROR(__xludf.DUMMYFUNCTION("""COMPUTED_VALUE"""),"Slot")</f>
        <v>Slot</v>
      </c>
      <c r="F74" s="5">
        <f ca="1">IFERROR(__xludf.DUMMYFUNCTION("""COMPUTED_VALUE"""),8)</f>
        <v>8</v>
      </c>
      <c r="G74" s="5" t="str">
        <f ca="1">IFERROR(__xludf.DUMMYFUNCTION("""COMPUTED_VALUE"""),"5x3")</f>
        <v>5x3</v>
      </c>
      <c r="H74" s="5">
        <f ca="1">IFERROR(__xludf.DUMMYFUNCTION("""COMPUTED_VALUE"""),10)</f>
        <v>10</v>
      </c>
      <c r="I74" s="5">
        <f ca="1">IFERROR(__xludf.DUMMYFUNCTION("""COMPUTED_VALUE"""),10)</f>
        <v>10</v>
      </c>
      <c r="J74" s="5" t="str">
        <f ca="1">IFERROR(__xludf.DUMMYFUNCTION("""COMPUTED_VALUE"""),"96.01%")</f>
        <v>96.01%</v>
      </c>
      <c r="K74" s="5" t="str">
        <f ca="1">IFERROR(__xludf.DUMMYFUNCTION("""COMPUTED_VALUE"""),"Medium")</f>
        <v>Medium</v>
      </c>
      <c r="L74" s="5" t="str">
        <f ca="1">IFERROR(__xludf.DUMMYFUNCTION("""COMPUTED_VALUE"""),"13.61%")</f>
        <v>13.61%</v>
      </c>
      <c r="M74" s="5" t="str">
        <f ca="1">IFERROR(__xludf.DUMMYFUNCTION("""COMPUTED_VALUE"""),"x1615")</f>
        <v>x1615</v>
      </c>
      <c r="N74" s="5" t="str">
        <f ca="1">IFERROR(__xludf.DUMMYFUNCTION("""COMPUTED_VALUE"""),"0.10/50")</f>
        <v>0.10/50</v>
      </c>
      <c r="O74" s="5" t="str">
        <f ca="1">IFERROR(__xludf.DUMMYFUNCTION("""COMPUTED_VALUE"""),"No")</f>
        <v>No</v>
      </c>
      <c r="P74" s="5" t="str">
        <f ca="1">IFERROR(__xludf.DUMMYFUNCTION("""COMPUTED_VALUE"""),"Expanding Wild, Win Multiplier")</f>
        <v>Expanding Wild, Win Multiplier</v>
      </c>
      <c r="Q74" s="7" t="str">
        <f ca="1">IFERROR(__xludf.DUMMYFUNCTION("""COMPUTED_VALUE"""),"https://static.redstone.rs/games/multi-clover-10/")</f>
        <v>https://static.redstone.rs/games/multi-clover-10/</v>
      </c>
      <c r="R74" s="5" t="str">
        <f ca="1">IFERROR(__xludf.DUMMYFUNCTION("""COMPUTED_VALUE"""),"Spin into a world of clovers and magic with Multi Clover 10. One clover can change everything - watch as expanding wilds boost your winnings with x2, x3 or x5 multipliers! ")</f>
        <v xml:space="preserve">Spin into a world of clovers and magic with Multi Clover 10. One clover can change everything - watch as expanding wilds boost your winnings with x2, x3 or x5 multipliers! </v>
      </c>
      <c r="S7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IFERROR(__xludf.DUMMYFUNCTION("""COMPUTED_VALUE"""),"No")</f>
        <v>No</v>
      </c>
      <c r="X74" s="5" t="str">
        <f ca="1">IFERROR(__xludf.DUMMYFUNCTION("""COMPUTED_VALUE"""),"No")</f>
        <v>No</v>
      </c>
      <c r="Y74" s="5" t="str">
        <f ca="1">IFERROR(__xludf.DUMMYFUNCTION("""COMPUTED_VALUE"""),"No")</f>
        <v>No</v>
      </c>
      <c r="Z74" s="5" t="str">
        <f ca="1">IFERROR(__xludf.DUMMYFUNCTION("""COMPUTED_VALUE"""),"No")</f>
        <v>No</v>
      </c>
      <c r="AA74" s="5" t="str">
        <f ca="1">IFERROR(__xludf.DUMMYFUNCTION("""COMPUTED_VALUE"""),"No")</f>
        <v>No</v>
      </c>
      <c r="AB74" s="5" t="str">
        <f ca="1">IFERROR(__xludf.DUMMYFUNCTION("""COMPUTED_VALUE"""),"Yes")</f>
        <v>Yes</v>
      </c>
      <c r="AC74" s="5" t="str">
        <f ca="1">IFERROR(__xludf.DUMMYFUNCTION("""COMPUTED_VALUE"""),"Yes")</f>
        <v>Yes</v>
      </c>
      <c r="AD74" s="5" t="str">
        <f ca="1">IFERROR(__xludf.DUMMYFUNCTION("""COMPUTED_VALUE"""),"Yes")</f>
        <v>Yes</v>
      </c>
      <c r="AE74" s="5" t="str">
        <f ca="1">IFERROR(__xludf.DUMMYFUNCTION("""COMPUTED_VALUE"""),"Yes")</f>
        <v>Yes</v>
      </c>
      <c r="AF74" s="5" t="str">
        <f ca="1">IFERROR(__xludf.DUMMYFUNCTION("""COMPUTED_VALUE"""),"Yes")</f>
        <v>Yes</v>
      </c>
      <c r="AG74" s="5" t="str">
        <f ca="1">IFERROR(__xludf.DUMMYFUNCTION("""COMPUTED_VALUE"""),"No")</f>
        <v>No</v>
      </c>
      <c r="AH74" s="5" t="str">
        <f ca="1">IFERROR(__xludf.DUMMYFUNCTION("""COMPUTED_VALUE"""),"Yes")</f>
        <v>Yes</v>
      </c>
      <c r="AI74" s="5" t="str">
        <f ca="1">IFERROR(__xludf.DUMMYFUNCTION("""COMPUTED_VALUE"""),"No")</f>
        <v>No</v>
      </c>
      <c r="AJ74" s="5" t="str">
        <f ca="1">IFERROR(__xludf.DUMMYFUNCTION("""COMPUTED_VALUE"""),"No")</f>
        <v>No</v>
      </c>
      <c r="AK74" s="5" t="str">
        <f ca="1">IFERROR(__xludf.DUMMYFUNCTION("""COMPUTED_VALUE"""),"No")</f>
        <v>No</v>
      </c>
      <c r="AL74" s="5" t="str">
        <f ca="1">IFERROR(__xludf.DUMMYFUNCTION("""COMPUTED_VALUE"""),"No")</f>
        <v>No</v>
      </c>
      <c r="AM74" s="5"/>
      <c r="AN74" s="5"/>
      <c r="AO74" s="5" t="str">
        <f ca="1">IFERROR(__xludf.DUMMYFUNCTION("""COMPUTED_VALUE"""),"Yes")</f>
        <v>Yes</v>
      </c>
      <c r="AP74" s="5"/>
      <c r="AQ74" s="5" t="str">
        <f ca="1">IFERROR(__xludf.DUMMYFUNCTION("""COMPUTED_VALUE"""),"No")</f>
        <v>No</v>
      </c>
      <c r="AR74" s="5"/>
      <c r="AS74" s="5" t="str">
        <f ca="1">IFERROR(__xludf.DUMMYFUNCTION("""COMPUTED_VALUE"""),"Yes")</f>
        <v>Yes</v>
      </c>
      <c r="AT74" s="5" t="str">
        <f ca="1">IFERROR(__xludf.DUMMYFUNCTION("""COMPUTED_VALUE"""),"Yes")</f>
        <v>Yes</v>
      </c>
      <c r="AU74" s="5"/>
    </row>
    <row r="75" spans="1:47" x14ac:dyDescent="0.25">
      <c r="A75" s="5" t="str">
        <f ca="1">IFERROR(__xludf.DUMMYFUNCTION("""COMPUTED_VALUE"""),"Redstone")</f>
        <v>Redstone</v>
      </c>
      <c r="B75" s="5" t="str">
        <f ca="1">IFERROR(__xludf.DUMMYFUNCTION("""COMPUTED_VALUE"""),"REEL X5")</f>
        <v>REEL X5</v>
      </c>
      <c r="C75" s="5" t="str">
        <f ca="1">IFERROR(__xludf.DUMMYFUNCTION("""COMPUTED_VALUE"""),"RedstoneReelX5")</f>
        <v>RedstoneReelX5</v>
      </c>
      <c r="D75" s="6">
        <f ca="1">IFERROR(__xludf.DUMMYFUNCTION("""COMPUTED_VALUE"""),45720)</f>
        <v>45720</v>
      </c>
      <c r="E75" s="5" t="str">
        <f ca="1">IFERROR(__xludf.DUMMYFUNCTION("""COMPUTED_VALUE"""),"Slot")</f>
        <v>Slot</v>
      </c>
      <c r="F75" s="5">
        <f ca="1">IFERROR(__xludf.DUMMYFUNCTION("""COMPUTED_VALUE"""),8.5)</f>
        <v>8.5</v>
      </c>
      <c r="G75" s="5" t="str">
        <f ca="1">IFERROR(__xludf.DUMMYFUNCTION("""COMPUTED_VALUE"""),"3x3")</f>
        <v>3x3</v>
      </c>
      <c r="H75" s="5">
        <f ca="1">IFERROR(__xludf.DUMMYFUNCTION("""COMPUTED_VALUE"""),5)</f>
        <v>5</v>
      </c>
      <c r="I75" s="5">
        <f ca="1">IFERROR(__xludf.DUMMYFUNCTION("""COMPUTED_VALUE"""),5)</f>
        <v>5</v>
      </c>
      <c r="J75" s="5" t="str">
        <f ca="1">IFERROR(__xludf.DUMMYFUNCTION("""COMPUTED_VALUE"""),"96.03%")</f>
        <v>96.03%</v>
      </c>
      <c r="K75" s="5" t="str">
        <f ca="1">IFERROR(__xludf.DUMMYFUNCTION("""COMPUTED_VALUE"""),"Low")</f>
        <v>Low</v>
      </c>
      <c r="L75" s="5" t="str">
        <f ca="1">IFERROR(__xludf.DUMMYFUNCTION("""COMPUTED_VALUE"""),"8.98%")</f>
        <v>8.98%</v>
      </c>
      <c r="M75" s="5" t="str">
        <f ca="1">IFERROR(__xludf.DUMMYFUNCTION("""COMPUTED_VALUE"""),"x145")</f>
        <v>x145</v>
      </c>
      <c r="N75" s="5" t="str">
        <f ca="1">IFERROR(__xludf.DUMMYFUNCTION("""COMPUTED_VALUE"""),"0.10/50")</f>
        <v>0.10/50</v>
      </c>
      <c r="O75" s="5" t="str">
        <f ca="1">IFERROR(__xludf.DUMMYFUNCTION("""COMPUTED_VALUE"""),"No")</f>
        <v>No</v>
      </c>
      <c r="P75" s="5" t="str">
        <f ca="1">IFERROR(__xludf.DUMMYFUNCTION("""COMPUTED_VALUE"""),"Win Multiplier")</f>
        <v>Win Multiplier</v>
      </c>
      <c r="Q75" s="7" t="str">
        <f ca="1">IFERROR(__xludf.DUMMYFUNCTION("""COMPUTED_VALUE"""),"https://static.redstone.rs/games/reel-x5/")</f>
        <v>https://static.redstone.rs/games/reel-x5/</v>
      </c>
      <c r="R75" s="5" t="str">
        <f ca="1">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S7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5" s="5" t="str">
        <f ca="1">IFERROR(__xludf.DUMMYFUNCTION("""COMPUTED_VALUE"""),"Yes")</f>
        <v>Yes</v>
      </c>
      <c r="U75" s="5" t="str">
        <f ca="1">IFERROR(__xludf.DUMMYFUNCTION("""COMPUTED_VALUE"""),"Yes")</f>
        <v>Yes</v>
      </c>
      <c r="V75" s="5" t="str">
        <f ca="1">IFERROR(__xludf.DUMMYFUNCTION("""COMPUTED_VALUE"""),"No")</f>
        <v>No</v>
      </c>
      <c r="W75" s="5" t="str">
        <f ca="1">IFERROR(__xludf.DUMMYFUNCTION("""COMPUTED_VALUE"""),"Yes")</f>
        <v>Yes</v>
      </c>
      <c r="X75" s="5" t="str">
        <f ca="1">IFERROR(__xludf.DUMMYFUNCTION("""COMPUTED_VALUE"""),"Yes")</f>
        <v>Yes</v>
      </c>
      <c r="Y75" s="5" t="str">
        <f ca="1">IFERROR(__xludf.DUMMYFUNCTION("""COMPUTED_VALUE"""),"Yes")</f>
        <v>Yes</v>
      </c>
      <c r="Z75" s="5" t="str">
        <f ca="1">IFERROR(__xludf.DUMMYFUNCTION("""COMPUTED_VALUE"""),"Yes")</f>
        <v>Yes</v>
      </c>
      <c r="AA75" s="5" t="str">
        <f ca="1">IFERROR(__xludf.DUMMYFUNCTION("""COMPUTED_VALUE"""),"Yes")</f>
        <v>Yes</v>
      </c>
      <c r="AB75" s="5" t="str">
        <f ca="1">IFERROR(__xludf.DUMMYFUNCTION("""COMPUTED_VALUE"""),"Yes")</f>
        <v>Yes</v>
      </c>
      <c r="AC75" s="5" t="str">
        <f ca="1">IFERROR(__xludf.DUMMYFUNCTION("""COMPUTED_VALUE"""),"Yes")</f>
        <v>Yes</v>
      </c>
      <c r="AD75" s="5" t="str">
        <f ca="1">IFERROR(__xludf.DUMMYFUNCTION("""COMPUTED_VALUE"""),"Yes")</f>
        <v>Yes</v>
      </c>
      <c r="AE75" s="5" t="str">
        <f ca="1">IFERROR(__xludf.DUMMYFUNCTION("""COMPUTED_VALUE"""),"Yes")</f>
        <v>Yes</v>
      </c>
      <c r="AF75" s="5" t="str">
        <f ca="1">IFERROR(__xludf.DUMMYFUNCTION("""COMPUTED_VALUE"""),"Yes")</f>
        <v>Yes</v>
      </c>
      <c r="AG75" s="5" t="str">
        <f ca="1">IFERROR(__xludf.DUMMYFUNCTION("""COMPUTED_VALUE"""),"Yes")</f>
        <v>Yes</v>
      </c>
      <c r="AH75" s="5" t="str">
        <f ca="1">IFERROR(__xludf.DUMMYFUNCTION("""COMPUTED_VALUE"""),"Yes")</f>
        <v>Yes</v>
      </c>
      <c r="AI75" s="5" t="str">
        <f ca="1">IFERROR(__xludf.DUMMYFUNCTION("""COMPUTED_VALUE"""),"No")</f>
        <v>No</v>
      </c>
      <c r="AJ75" s="5" t="str">
        <f ca="1">IFERROR(__xludf.DUMMYFUNCTION("""COMPUTED_VALUE"""),"No")</f>
        <v>No</v>
      </c>
      <c r="AK75" s="5" t="str">
        <f ca="1">IFERROR(__xludf.DUMMYFUNCTION("""COMPUTED_VALUE"""),"No")</f>
        <v>No</v>
      </c>
      <c r="AL75" s="5" t="str">
        <f ca="1">IFERROR(__xludf.DUMMYFUNCTION("""COMPUTED_VALUE"""),"No")</f>
        <v>No</v>
      </c>
      <c r="AM75" s="5" t="str">
        <f ca="1">IFERROR(__xludf.DUMMYFUNCTION("""COMPUTED_VALUE"""),"No")</f>
        <v>No</v>
      </c>
      <c r="AN75" s="5" t="str">
        <f ca="1">IFERROR(__xludf.DUMMYFUNCTION("""COMPUTED_VALUE"""),"No")</f>
        <v>No</v>
      </c>
      <c r="AO75" s="5" t="str">
        <f ca="1">IFERROR(__xludf.DUMMYFUNCTION("""COMPUTED_VALUE"""),"Yes")</f>
        <v>Yes</v>
      </c>
      <c r="AP75" s="5" t="str">
        <f ca="1">IFERROR(__xludf.DUMMYFUNCTION("""COMPUTED_VALUE"""),"No")</f>
        <v>No</v>
      </c>
      <c r="AQ75" s="5" t="str">
        <f ca="1">IFERROR(__xludf.DUMMYFUNCTION("""COMPUTED_VALUE"""),"No")</f>
        <v>No</v>
      </c>
      <c r="AR75" s="5" t="str">
        <f ca="1">IFERROR(__xludf.DUMMYFUNCTION("""COMPUTED_VALUE"""),"No")</f>
        <v>No</v>
      </c>
      <c r="AS75" s="5" t="str">
        <f ca="1">IFERROR(__xludf.DUMMYFUNCTION("""COMPUTED_VALUE"""),"Yes")</f>
        <v>Yes</v>
      </c>
      <c r="AT75" s="5" t="str">
        <f ca="1">IFERROR(__xludf.DUMMYFUNCTION("""COMPUTED_VALUE"""),"No")</f>
        <v>No</v>
      </c>
      <c r="AU75" s="5"/>
    </row>
    <row r="76" spans="1:47" x14ac:dyDescent="0.25">
      <c r="A76" s="5" t="str">
        <f ca="1">IFERROR(__xludf.DUMMYFUNCTION("""COMPUTED_VALUE"""),"Redstone")</f>
        <v>Redstone</v>
      </c>
      <c r="B76" s="5" t="str">
        <f ca="1">IFERROR(__xludf.DUMMYFUNCTION("""COMPUTED_VALUE"""),"Farm Fiesta")</f>
        <v>Farm Fiesta</v>
      </c>
      <c r="C76" s="5" t="str">
        <f ca="1">IFERROR(__xludf.DUMMYFUNCTION("""COMPUTED_VALUE"""),"RedstoneFarmFiesta")</f>
        <v>RedstoneFarmFiesta</v>
      </c>
      <c r="D76" s="6">
        <f ca="1">IFERROR(__xludf.DUMMYFUNCTION("""COMPUTED_VALUE"""),45727)</f>
        <v>45727</v>
      </c>
      <c r="E76" s="5" t="str">
        <f ca="1">IFERROR(__xludf.DUMMYFUNCTION("""COMPUTED_VALUE"""),"Slot")</f>
        <v>Slot</v>
      </c>
      <c r="F76" s="5">
        <f ca="1">IFERROR(__xludf.DUMMYFUNCTION("""COMPUTED_VALUE"""),13)</f>
        <v>13</v>
      </c>
      <c r="G76" s="5" t="str">
        <f ca="1">IFERROR(__xludf.DUMMYFUNCTION("""COMPUTED_VALUE"""),"5x3")</f>
        <v>5x3</v>
      </c>
      <c r="H76" s="5">
        <f ca="1">IFERROR(__xludf.DUMMYFUNCTION("""COMPUTED_VALUE"""),20)</f>
        <v>20</v>
      </c>
      <c r="I76" s="5">
        <f ca="1">IFERROR(__xludf.DUMMYFUNCTION("""COMPUTED_VALUE"""),20)</f>
        <v>20</v>
      </c>
      <c r="J76" s="5" t="str">
        <f ca="1">IFERROR(__xludf.DUMMYFUNCTION("""COMPUTED_VALUE"""),"96%")</f>
        <v>96%</v>
      </c>
      <c r="K76" s="5" t="str">
        <f ca="1">IFERROR(__xludf.DUMMYFUNCTION("""COMPUTED_VALUE"""),"Medium")</f>
        <v>Medium</v>
      </c>
      <c r="L76" s="5" t="str">
        <f ca="1">IFERROR(__xludf.DUMMYFUNCTION("""COMPUTED_VALUE"""),"30%")</f>
        <v>30%</v>
      </c>
      <c r="M76" s="5" t="str">
        <f ca="1">IFERROR(__xludf.DUMMYFUNCTION("""COMPUTED_VALUE"""),"x2000")</f>
        <v>x2000</v>
      </c>
      <c r="N76" s="5" t="str">
        <f ca="1">IFERROR(__xludf.DUMMYFUNCTION("""COMPUTED_VALUE"""),"0.10/50")</f>
        <v>0.10/50</v>
      </c>
      <c r="O76" s="5" t="str">
        <f ca="1">IFERROR(__xludf.DUMMYFUNCTION("""COMPUTED_VALUE"""),"No")</f>
        <v>No</v>
      </c>
      <c r="P76" s="5" t="str">
        <f ca="1">IFERROR(__xludf.DUMMYFUNCTION("""COMPUTED_VALUE"""),"Scatter, Wild Symbol, Bonus Game with Free Spins, Bonus Game with Sticky Wild")</f>
        <v>Scatter, Wild Symbol, Bonus Game with Free Spins, Bonus Game with Sticky Wild</v>
      </c>
      <c r="Q76" s="7" t="str">
        <f ca="1">IFERROR(__xludf.DUMMYFUNCTION("""COMPUTED_VALUE"""),"https://static.redstone.rs/games/farm-fiesta/")</f>
        <v>https://static.redstone.rs/games/farm-fiesta/</v>
      </c>
      <c r="R76" s="5" t="str">
        <f ca="1">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S7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IFERROR(__xludf.DUMMYFUNCTION("""COMPUTED_VALUE"""),"No")</f>
        <v>No</v>
      </c>
      <c r="X76" s="5" t="str">
        <f ca="1">IFERROR(__xludf.DUMMYFUNCTION("""COMPUTED_VALUE"""),"No")</f>
        <v>No</v>
      </c>
      <c r="Y76" s="5" t="str">
        <f ca="1">IFERROR(__xludf.DUMMYFUNCTION("""COMPUTED_VALUE"""),"No")</f>
        <v>No</v>
      </c>
      <c r="Z76" s="5" t="str">
        <f ca="1">IFERROR(__xludf.DUMMYFUNCTION("""COMPUTED_VALUE"""),"No")</f>
        <v>No</v>
      </c>
      <c r="AA76" s="5" t="str">
        <f ca="1">IFERROR(__xludf.DUMMYFUNCTION("""COMPUTED_VALUE"""),"No")</f>
        <v>No</v>
      </c>
      <c r="AB76" s="5" t="str">
        <f ca="1">IFERROR(__xludf.DUMMYFUNCTION("""COMPUTED_VALUE"""),"Yes")</f>
        <v>Yes</v>
      </c>
      <c r="AC76" s="5" t="str">
        <f ca="1">IFERROR(__xludf.DUMMYFUNCTION("""COMPUTED_VALUE"""),"Yes")</f>
        <v>Yes</v>
      </c>
      <c r="AD76" s="5" t="str">
        <f ca="1">IFERROR(__xludf.DUMMYFUNCTION("""COMPUTED_VALUE"""),"Yes")</f>
        <v>Yes</v>
      </c>
      <c r="AE76" s="5" t="str">
        <f ca="1">IFERROR(__xludf.DUMMYFUNCTION("""COMPUTED_VALUE"""),"Yes")</f>
        <v>Yes</v>
      </c>
      <c r="AF76" s="5" t="str">
        <f ca="1">IFERROR(__xludf.DUMMYFUNCTION("""COMPUTED_VALUE"""),"Yes")</f>
        <v>Yes</v>
      </c>
      <c r="AG76" s="5" t="str">
        <f ca="1">IFERROR(__xludf.DUMMYFUNCTION("""COMPUTED_VALUE"""),"No")</f>
        <v>No</v>
      </c>
      <c r="AH76" s="5" t="str">
        <f ca="1">IFERROR(__xludf.DUMMYFUNCTION("""COMPUTED_VALUE"""),"Yes")</f>
        <v>Yes</v>
      </c>
      <c r="AI76" s="5" t="str">
        <f ca="1">IFERROR(__xludf.DUMMYFUNCTION("""COMPUTED_VALUE"""),"No")</f>
        <v>No</v>
      </c>
      <c r="AJ76" s="5" t="str">
        <f ca="1">IFERROR(__xludf.DUMMYFUNCTION("""COMPUTED_VALUE"""),"No")</f>
        <v>No</v>
      </c>
      <c r="AK76" s="5" t="str">
        <f ca="1">IFERROR(__xludf.DUMMYFUNCTION("""COMPUTED_VALUE"""),"No")</f>
        <v>No</v>
      </c>
      <c r="AL76" s="5" t="str">
        <f ca="1">IFERROR(__xludf.DUMMYFUNCTION("""COMPUTED_VALUE"""),"No")</f>
        <v>No</v>
      </c>
      <c r="AM76" s="5"/>
      <c r="AN76" s="5"/>
      <c r="AO76" s="5" t="str">
        <f ca="1">IFERROR(__xludf.DUMMYFUNCTION("""COMPUTED_VALUE"""),"Yes")</f>
        <v>Yes</v>
      </c>
      <c r="AP76" s="5"/>
      <c r="AQ76" s="5" t="str">
        <f ca="1">IFERROR(__xludf.DUMMYFUNCTION("""COMPUTED_VALUE"""),"No")</f>
        <v>No</v>
      </c>
      <c r="AR76" s="5"/>
      <c r="AS76" s="5" t="str">
        <f ca="1">IFERROR(__xludf.DUMMYFUNCTION("""COMPUTED_VALUE"""),"Yes")</f>
        <v>Yes</v>
      </c>
      <c r="AT76" s="5" t="str">
        <f ca="1">IFERROR(__xludf.DUMMYFUNCTION("""COMPUTED_VALUE"""),"Yes")</f>
        <v>Yes</v>
      </c>
      <c r="AU76" s="5"/>
    </row>
    <row r="77" spans="1:47" x14ac:dyDescent="0.25">
      <c r="A77" s="5" t="str">
        <f ca="1">IFERROR(__xludf.DUMMYFUNCTION("""COMPUTED_VALUE"""),"Redstone")</f>
        <v>Redstone</v>
      </c>
      <c r="B77" s="5" t="str">
        <f ca="1">IFERROR(__xludf.DUMMYFUNCTION("""COMPUTED_VALUE"""),"Sweet Respins")</f>
        <v>Sweet Respins</v>
      </c>
      <c r="C77" s="5" t="str">
        <f ca="1">IFERROR(__xludf.DUMMYFUNCTION("""COMPUTED_VALUE"""),"RedstoneSweetRespins")</f>
        <v>RedstoneSweetRespins</v>
      </c>
      <c r="D77" s="6">
        <f ca="1">IFERROR(__xludf.DUMMYFUNCTION("""COMPUTED_VALUE"""),45734)</f>
        <v>45734</v>
      </c>
      <c r="E77" s="5" t="str">
        <f ca="1">IFERROR(__xludf.DUMMYFUNCTION("""COMPUTED_VALUE"""),"Slot")</f>
        <v>Slot</v>
      </c>
      <c r="F77" s="5">
        <f ca="1">IFERROR(__xludf.DUMMYFUNCTION("""COMPUTED_VALUE"""),10.5)</f>
        <v>10.5</v>
      </c>
      <c r="G77" s="5" t="str">
        <f ca="1">IFERROR(__xludf.DUMMYFUNCTION("""COMPUTED_VALUE"""),"5x3")</f>
        <v>5x3</v>
      </c>
      <c r="H77" s="5">
        <f ca="1">IFERROR(__xludf.DUMMYFUNCTION("""COMPUTED_VALUE"""),10)</f>
        <v>10</v>
      </c>
      <c r="I77" s="5">
        <f ca="1">IFERROR(__xludf.DUMMYFUNCTION("""COMPUTED_VALUE"""),10)</f>
        <v>10</v>
      </c>
      <c r="J77" s="5" t="str">
        <f ca="1">IFERROR(__xludf.DUMMYFUNCTION("""COMPUTED_VALUE"""),"96.05%")</f>
        <v>96.05%</v>
      </c>
      <c r="K77" s="5" t="str">
        <f ca="1">IFERROR(__xludf.DUMMYFUNCTION("""COMPUTED_VALUE"""),"High")</f>
        <v>High</v>
      </c>
      <c r="L77" s="5" t="str">
        <f ca="1">IFERROR(__xludf.DUMMYFUNCTION("""COMPUTED_VALUE"""),"19.5%")</f>
        <v>19.5%</v>
      </c>
      <c r="M77" s="5" t="str">
        <f ca="1">IFERROR(__xludf.DUMMYFUNCTION("""COMPUTED_VALUE"""),"x10000")</f>
        <v>x10000</v>
      </c>
      <c r="N77" s="5" t="str">
        <f ca="1">IFERROR(__xludf.DUMMYFUNCTION("""COMPUTED_VALUE"""),"0.10/50")</f>
        <v>0.10/50</v>
      </c>
      <c r="O77" s="5" t="str">
        <f ca="1">IFERROR(__xludf.DUMMYFUNCTION("""COMPUTED_VALUE"""),"No")</f>
        <v>No</v>
      </c>
      <c r="P77" s="5" t="str">
        <f ca="1">IFERROR(__xludf.DUMMYFUNCTION("""COMPUTED_VALUE"""),"Expanding Wild, Sticky Wild, Respin, Bothways, Scatter")</f>
        <v>Expanding Wild, Sticky Wild, Respin, Bothways, Scatter</v>
      </c>
      <c r="Q77" s="7" t="str">
        <f ca="1">IFERROR(__xludf.DUMMYFUNCTION("""COMPUTED_VALUE"""),"https://static.redstone.rs/games/sweet-respins/")</f>
        <v>https://static.redstone.rs/games/sweet-respins/</v>
      </c>
      <c r="R77" s="5" t="str">
        <f ca="1">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S7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IFERROR(__xludf.DUMMYFUNCTION("""COMPUTED_VALUE"""),"No")</f>
        <v>No</v>
      </c>
      <c r="X77" s="5" t="str">
        <f ca="1">IFERROR(__xludf.DUMMYFUNCTION("""COMPUTED_VALUE"""),"No")</f>
        <v>No</v>
      </c>
      <c r="Y77" s="5" t="str">
        <f ca="1">IFERROR(__xludf.DUMMYFUNCTION("""COMPUTED_VALUE"""),"No")</f>
        <v>No</v>
      </c>
      <c r="Z77" s="5" t="str">
        <f ca="1">IFERROR(__xludf.DUMMYFUNCTION("""COMPUTED_VALUE"""),"No")</f>
        <v>No</v>
      </c>
      <c r="AA77" s="5" t="str">
        <f ca="1">IFERROR(__xludf.DUMMYFUNCTION("""COMPUTED_VALUE"""),"No")</f>
        <v>No</v>
      </c>
      <c r="AB77" s="5" t="str">
        <f ca="1">IFERROR(__xludf.DUMMYFUNCTION("""COMPUTED_VALUE"""),"Yes")</f>
        <v>Yes</v>
      </c>
      <c r="AC77" s="5" t="str">
        <f ca="1">IFERROR(__xludf.DUMMYFUNCTION("""COMPUTED_VALUE"""),"Yes")</f>
        <v>Yes</v>
      </c>
      <c r="AD77" s="5" t="str">
        <f ca="1">IFERROR(__xludf.DUMMYFUNCTION("""COMPUTED_VALUE"""),"Yes")</f>
        <v>Yes</v>
      </c>
      <c r="AE77" s="5" t="str">
        <f ca="1">IFERROR(__xludf.DUMMYFUNCTION("""COMPUTED_VALUE"""),"Yes")</f>
        <v>Yes</v>
      </c>
      <c r="AF77" s="5" t="str">
        <f ca="1">IFERROR(__xludf.DUMMYFUNCTION("""COMPUTED_VALUE"""),"Yes")</f>
        <v>Yes</v>
      </c>
      <c r="AG77" s="5" t="str">
        <f ca="1">IFERROR(__xludf.DUMMYFUNCTION("""COMPUTED_VALUE"""),"No")</f>
        <v>No</v>
      </c>
      <c r="AH77" s="5" t="str">
        <f ca="1">IFERROR(__xludf.DUMMYFUNCTION("""COMPUTED_VALUE"""),"Yes")</f>
        <v>Yes</v>
      </c>
      <c r="AI77" s="5" t="str">
        <f ca="1">IFERROR(__xludf.DUMMYFUNCTION("""COMPUTED_VALUE"""),"No")</f>
        <v>No</v>
      </c>
      <c r="AJ77" s="5" t="str">
        <f ca="1">IFERROR(__xludf.DUMMYFUNCTION("""COMPUTED_VALUE"""),"No")</f>
        <v>No</v>
      </c>
      <c r="AK77" s="5" t="str">
        <f ca="1">IFERROR(__xludf.DUMMYFUNCTION("""COMPUTED_VALUE"""),"No")</f>
        <v>No</v>
      </c>
      <c r="AL77" s="5" t="str">
        <f ca="1">IFERROR(__xludf.DUMMYFUNCTION("""COMPUTED_VALUE"""),"No")</f>
        <v>No</v>
      </c>
      <c r="AM77" s="5"/>
      <c r="AN77" s="5"/>
      <c r="AO77" s="5" t="str">
        <f ca="1">IFERROR(__xludf.DUMMYFUNCTION("""COMPUTED_VALUE"""),"Yes")</f>
        <v>Yes</v>
      </c>
      <c r="AP77" s="5"/>
      <c r="AQ77" s="5" t="str">
        <f ca="1">IFERROR(__xludf.DUMMYFUNCTION("""COMPUTED_VALUE"""),"No")</f>
        <v>No</v>
      </c>
      <c r="AR77" s="5"/>
      <c r="AS77" s="5" t="str">
        <f ca="1">IFERROR(__xludf.DUMMYFUNCTION("""COMPUTED_VALUE"""),"Yes")</f>
        <v>Yes</v>
      </c>
      <c r="AT77" s="5" t="str">
        <f ca="1">IFERROR(__xludf.DUMMYFUNCTION("""COMPUTED_VALUE"""),"Yes")</f>
        <v>Yes</v>
      </c>
      <c r="AU77" s="5"/>
    </row>
    <row r="78" spans="1:47" x14ac:dyDescent="0.25">
      <c r="A78" s="5" t="str">
        <f ca="1">IFERROR(__xludf.DUMMYFUNCTION("""COMPUTED_VALUE"""),"Redstone")</f>
        <v>Redstone</v>
      </c>
      <c r="B78" s="5" t="str">
        <f ca="1">IFERROR(__xludf.DUMMYFUNCTION("""COMPUTED_VALUE"""),"Sticky Tiki")</f>
        <v>Sticky Tiki</v>
      </c>
      <c r="C78" s="5" t="str">
        <f ca="1">IFERROR(__xludf.DUMMYFUNCTION("""COMPUTED_VALUE"""),"RedstoneStickyTiki")</f>
        <v>RedstoneStickyTiki</v>
      </c>
      <c r="D78" s="6">
        <f ca="1">IFERROR(__xludf.DUMMYFUNCTION("""COMPUTED_VALUE"""),45741)</f>
        <v>45741</v>
      </c>
      <c r="E78" s="5" t="str">
        <f ca="1">IFERROR(__xludf.DUMMYFUNCTION("""COMPUTED_VALUE"""),"Slot")</f>
        <v>Slot</v>
      </c>
      <c r="F78" s="5">
        <f ca="1">IFERROR(__xludf.DUMMYFUNCTION("""COMPUTED_VALUE"""),11)</f>
        <v>11</v>
      </c>
      <c r="G78" s="5" t="str">
        <f ca="1">IFERROR(__xludf.DUMMYFUNCTION("""COMPUTED_VALUE"""),"5x3")</f>
        <v>5x3</v>
      </c>
      <c r="H78" s="5">
        <f ca="1">IFERROR(__xludf.DUMMYFUNCTION("""COMPUTED_VALUE"""),10)</f>
        <v>10</v>
      </c>
      <c r="I78" s="5">
        <f ca="1">IFERROR(__xludf.DUMMYFUNCTION("""COMPUTED_VALUE"""),10)</f>
        <v>10</v>
      </c>
      <c r="J78" s="5" t="str">
        <f ca="1">IFERROR(__xludf.DUMMYFUNCTION("""COMPUTED_VALUE"""),"96.05%")</f>
        <v>96.05%</v>
      </c>
      <c r="K78" s="5" t="str">
        <f ca="1">IFERROR(__xludf.DUMMYFUNCTION("""COMPUTED_VALUE"""),"High")</f>
        <v>High</v>
      </c>
      <c r="L78" s="5" t="str">
        <f ca="1">IFERROR(__xludf.DUMMYFUNCTION("""COMPUTED_VALUE"""),"19.5%")</f>
        <v>19.5%</v>
      </c>
      <c r="M78" s="5" t="str">
        <f ca="1">IFERROR(__xludf.DUMMYFUNCTION("""COMPUTED_VALUE"""),"x10000")</f>
        <v>x10000</v>
      </c>
      <c r="N78" s="5" t="str">
        <f ca="1">IFERROR(__xludf.DUMMYFUNCTION("""COMPUTED_VALUE"""),"0.10/50")</f>
        <v>0.10/50</v>
      </c>
      <c r="O78" s="5" t="str">
        <f ca="1">IFERROR(__xludf.DUMMYFUNCTION("""COMPUTED_VALUE"""),"No")</f>
        <v>No</v>
      </c>
      <c r="P78" s="5" t="str">
        <f ca="1">IFERROR(__xludf.DUMMYFUNCTION("""COMPUTED_VALUE"""),"Expanding Wild, Sticky Wild, Scatter, Bothways, Respin")</f>
        <v>Expanding Wild, Sticky Wild, Scatter, Bothways, Respin</v>
      </c>
      <c r="Q78" s="7" t="str">
        <f ca="1">IFERROR(__xludf.DUMMYFUNCTION("""COMPUTED_VALUE"""),"https://static.redstone.rs/games/sticky-tiki/")</f>
        <v>https://static.redstone.rs/games/sticky-tiki/</v>
      </c>
      <c r="R78" s="5" t="str">
        <f ca="1">IFERROR(__xludf.DUMMYFUNCTION("""COMPUTED_VALUE"""),"Spin into a tropical adventure with Sticky Tiki, where sticky symbols lock in place and keep the wins rolling!")</f>
        <v>Spin into a tropical adventure with Sticky Tiki, where sticky symbols lock in place and keep the wins rolling!</v>
      </c>
      <c r="S7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 ca="1">IFERROR(__xludf.DUMMYFUNCTION("""COMPUTED_VALUE"""),"Yes")</f>
        <v>Yes</v>
      </c>
      <c r="U78" s="5" t="str">
        <f ca="1">IFERROR(__xludf.DUMMYFUNCTION("""COMPUTED_VALUE"""),"Yes")</f>
        <v>Yes</v>
      </c>
      <c r="V78" s="5" t="str">
        <f ca="1">IFERROR(__xludf.DUMMYFUNCTION("""COMPUTED_VALUE"""),"Yes")</f>
        <v>Yes</v>
      </c>
      <c r="W78" s="5" t="str">
        <f ca="1">IFERROR(__xludf.DUMMYFUNCTION("""COMPUTED_VALUE"""),"No")</f>
        <v>No</v>
      </c>
      <c r="X78" s="5" t="str">
        <f ca="1">IFERROR(__xludf.DUMMYFUNCTION("""COMPUTED_VALUE"""),"No")</f>
        <v>No</v>
      </c>
      <c r="Y78" s="5" t="str">
        <f ca="1">IFERROR(__xludf.DUMMYFUNCTION("""COMPUTED_VALUE"""),"No")</f>
        <v>No</v>
      </c>
      <c r="Z78" s="5" t="str">
        <f ca="1">IFERROR(__xludf.DUMMYFUNCTION("""COMPUTED_VALUE"""),"No")</f>
        <v>No</v>
      </c>
      <c r="AA78" s="5" t="str">
        <f ca="1">IFERROR(__xludf.DUMMYFUNCTION("""COMPUTED_VALUE"""),"No")</f>
        <v>No</v>
      </c>
      <c r="AB78" s="5" t="str">
        <f ca="1">IFERROR(__xludf.DUMMYFUNCTION("""COMPUTED_VALUE"""),"Yes")</f>
        <v>Yes</v>
      </c>
      <c r="AC78" s="5" t="str">
        <f ca="1">IFERROR(__xludf.DUMMYFUNCTION("""COMPUTED_VALUE"""),"Yes")</f>
        <v>Yes</v>
      </c>
      <c r="AD78" s="5" t="str">
        <f ca="1">IFERROR(__xludf.DUMMYFUNCTION("""COMPUTED_VALUE"""),"Yes")</f>
        <v>Yes</v>
      </c>
      <c r="AE78" s="5" t="str">
        <f ca="1">IFERROR(__xludf.DUMMYFUNCTION("""COMPUTED_VALUE"""),"Yes")</f>
        <v>Yes</v>
      </c>
      <c r="AF78" s="5" t="str">
        <f ca="1">IFERROR(__xludf.DUMMYFUNCTION("""COMPUTED_VALUE"""),"Yes")</f>
        <v>Yes</v>
      </c>
      <c r="AG78" s="5" t="str">
        <f ca="1">IFERROR(__xludf.DUMMYFUNCTION("""COMPUTED_VALUE"""),"No")</f>
        <v>No</v>
      </c>
      <c r="AH78" s="5" t="str">
        <f ca="1">IFERROR(__xludf.DUMMYFUNCTION("""COMPUTED_VALUE"""),"Yes")</f>
        <v>Yes</v>
      </c>
      <c r="AI78" s="5" t="str">
        <f ca="1">IFERROR(__xludf.DUMMYFUNCTION("""COMPUTED_VALUE"""),"No")</f>
        <v>No</v>
      </c>
      <c r="AJ78" s="5" t="str">
        <f ca="1">IFERROR(__xludf.DUMMYFUNCTION("""COMPUTED_VALUE"""),"No")</f>
        <v>No</v>
      </c>
      <c r="AK78" s="5" t="str">
        <f ca="1">IFERROR(__xludf.DUMMYFUNCTION("""COMPUTED_VALUE"""),"No")</f>
        <v>No</v>
      </c>
      <c r="AL78" s="5" t="str">
        <f ca="1">IFERROR(__xludf.DUMMYFUNCTION("""COMPUTED_VALUE"""),"No")</f>
        <v>No</v>
      </c>
      <c r="AM78" s="5"/>
      <c r="AN78" s="5"/>
      <c r="AO78" s="5" t="str">
        <f ca="1">IFERROR(__xludf.DUMMYFUNCTION("""COMPUTED_VALUE"""),"Yes")</f>
        <v>Yes</v>
      </c>
      <c r="AP78" s="5"/>
      <c r="AQ78" s="5" t="str">
        <f ca="1">IFERROR(__xludf.DUMMYFUNCTION("""COMPUTED_VALUE"""),"No")</f>
        <v>No</v>
      </c>
      <c r="AR78" s="5"/>
      <c r="AS78" s="5" t="str">
        <f ca="1">IFERROR(__xludf.DUMMYFUNCTION("""COMPUTED_VALUE"""),"Yes")</f>
        <v>Yes</v>
      </c>
      <c r="AT78" s="5" t="str">
        <f ca="1">IFERROR(__xludf.DUMMYFUNCTION("""COMPUTED_VALUE"""),"Yes")</f>
        <v>Yes</v>
      </c>
      <c r="AU78" s="5"/>
    </row>
    <row r="79" spans="1:47" x14ac:dyDescent="0.25">
      <c r="A79" s="5" t="str">
        <f ca="1">IFERROR(__xludf.DUMMYFUNCTION("""COMPUTED_VALUE"""),"Redstone")</f>
        <v>Redstone</v>
      </c>
      <c r="B79" s="5" t="str">
        <f ca="1">IFERROR(__xludf.DUMMYFUNCTION("""COMPUTED_VALUE"""),"Hot Rush Triple Star")</f>
        <v>Hot Rush Triple Star</v>
      </c>
      <c r="C79" s="5" t="str">
        <f ca="1">IFERROR(__xludf.DUMMYFUNCTION("""COMPUTED_VALUE"""),"RedstoneHotRushTripleStar")</f>
        <v>RedstoneHotRushTripleStar</v>
      </c>
      <c r="D79" s="6">
        <f ca="1">IFERROR(__xludf.DUMMYFUNCTION("""COMPUTED_VALUE"""),45740)</f>
        <v>45740</v>
      </c>
      <c r="E79" s="5" t="str">
        <f ca="1">IFERROR(__xludf.DUMMYFUNCTION("""COMPUTED_VALUE"""),"Slot")</f>
        <v>Slot</v>
      </c>
      <c r="F79" s="5">
        <f ca="1">IFERROR(__xludf.DUMMYFUNCTION("""COMPUTED_VALUE"""),9.8)</f>
        <v>9.8000000000000007</v>
      </c>
      <c r="G79" s="5" t="str">
        <f ca="1">IFERROR(__xludf.DUMMYFUNCTION("""COMPUTED_VALUE"""),"5x3")</f>
        <v>5x3</v>
      </c>
      <c r="H79" s="5">
        <f ca="1">IFERROR(__xludf.DUMMYFUNCTION("""COMPUTED_VALUE"""),5)</f>
        <v>5</v>
      </c>
      <c r="I79" s="5">
        <f ca="1">IFERROR(__xludf.DUMMYFUNCTION("""COMPUTED_VALUE"""),5)</f>
        <v>5</v>
      </c>
      <c r="J79" s="5" t="str">
        <f ca="1">IFERROR(__xludf.DUMMYFUNCTION("""COMPUTED_VALUE"""),"96%")</f>
        <v>96%</v>
      </c>
      <c r="K79" s="5" t="str">
        <f ca="1">IFERROR(__xludf.DUMMYFUNCTION("""COMPUTED_VALUE"""),"Medium")</f>
        <v>Medium</v>
      </c>
      <c r="L79" s="5" t="str">
        <f ca="1">IFERROR(__xludf.DUMMYFUNCTION("""COMPUTED_VALUE"""),"12.3%")</f>
        <v>12.3%</v>
      </c>
      <c r="M79" s="5" t="str">
        <f ca="1">IFERROR(__xludf.DUMMYFUNCTION("""COMPUTED_VALUE"""),"x1246")</f>
        <v>x1246</v>
      </c>
      <c r="N79" s="5" t="str">
        <f ca="1">IFERROR(__xludf.DUMMYFUNCTION("""COMPUTED_VALUE"""),"0.10/50")</f>
        <v>0.10/50</v>
      </c>
      <c r="O79" s="5" t="str">
        <f ca="1">IFERROR(__xludf.DUMMYFUNCTION("""COMPUTED_VALUE"""),"No")</f>
        <v>No</v>
      </c>
      <c r="P79" s="5" t="str">
        <f ca="1">IFERROR(__xludf.DUMMYFUNCTION("""COMPUTED_VALUE"""),"Expanding Wild, Scatter, Respin")</f>
        <v>Expanding Wild, Scatter, Respin</v>
      </c>
      <c r="Q79" s="7" t="str">
        <f ca="1">IFERROR(__xludf.DUMMYFUNCTION("""COMPUTED_VALUE"""),"https://static.redstone.rs/games/hot-rush-triple-star/")</f>
        <v>https://static.redstone.rs/games/hot-rush-triple-star/</v>
      </c>
      <c r="R79" s="5" t="str">
        <f ca="1">IFERROR(__xludf.DUMMYFUNCTION("""COMPUTED_VALUE"""),"Hot Rush Triple Star delivers wild excitement with expanding wilds that lock in place, triggering thrilling respins! ")</f>
        <v xml:space="preserve">Hot Rush Triple Star delivers wild excitement with expanding wilds that lock in place, triggering thrilling respins! </v>
      </c>
      <c r="S7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9" s="5" t="str">
        <f ca="1">IFERROR(__xludf.DUMMYFUNCTION("""COMPUTED_VALUE"""),"Yes")</f>
        <v>Yes</v>
      </c>
      <c r="U79" s="5" t="str">
        <f ca="1">IFERROR(__xludf.DUMMYFUNCTION("""COMPUTED_VALUE"""),"Yes")</f>
        <v>Yes</v>
      </c>
      <c r="V79" s="5" t="str">
        <f ca="1">IFERROR(__xludf.DUMMYFUNCTION("""COMPUTED_VALUE"""),"No")</f>
        <v>No</v>
      </c>
      <c r="W79" s="5" t="str">
        <f ca="1">IFERROR(__xludf.DUMMYFUNCTION("""COMPUTED_VALUE"""),"Yes")</f>
        <v>Yes</v>
      </c>
      <c r="X79" s="5" t="str">
        <f ca="1">IFERROR(__xludf.DUMMYFUNCTION("""COMPUTED_VALUE"""),"Yes")</f>
        <v>Yes</v>
      </c>
      <c r="Y79" s="5" t="str">
        <f ca="1">IFERROR(__xludf.DUMMYFUNCTION("""COMPUTED_VALUE"""),"Yes")</f>
        <v>Yes</v>
      </c>
      <c r="Z79" s="5" t="str">
        <f ca="1">IFERROR(__xludf.DUMMYFUNCTION("""COMPUTED_VALUE"""),"Yes")</f>
        <v>Yes</v>
      </c>
      <c r="AA79" s="5" t="str">
        <f ca="1">IFERROR(__xludf.DUMMYFUNCTION("""COMPUTED_VALUE"""),"Yes")</f>
        <v>Yes</v>
      </c>
      <c r="AB79" s="5" t="str">
        <f ca="1">IFERROR(__xludf.DUMMYFUNCTION("""COMPUTED_VALUE"""),"Yes")</f>
        <v>Yes</v>
      </c>
      <c r="AC79" s="5" t="str">
        <f ca="1">IFERROR(__xludf.DUMMYFUNCTION("""COMPUTED_VALUE"""),"Yes")</f>
        <v>Yes</v>
      </c>
      <c r="AD79" s="5" t="str">
        <f ca="1">IFERROR(__xludf.DUMMYFUNCTION("""COMPUTED_VALUE"""),"Yes")</f>
        <v>Yes</v>
      </c>
      <c r="AE79" s="5" t="str">
        <f ca="1">IFERROR(__xludf.DUMMYFUNCTION("""COMPUTED_VALUE"""),"Yes")</f>
        <v>Yes</v>
      </c>
      <c r="AF79" s="5" t="str">
        <f ca="1">IFERROR(__xludf.DUMMYFUNCTION("""COMPUTED_VALUE"""),"Yes")</f>
        <v>Yes</v>
      </c>
      <c r="AG79" s="5" t="str">
        <f ca="1">IFERROR(__xludf.DUMMYFUNCTION("""COMPUTED_VALUE"""),"Yes")</f>
        <v>Yes</v>
      </c>
      <c r="AH79" s="5" t="str">
        <f ca="1">IFERROR(__xludf.DUMMYFUNCTION("""COMPUTED_VALUE"""),"Yes")</f>
        <v>Yes</v>
      </c>
      <c r="AI79" s="5" t="str">
        <f ca="1">IFERROR(__xludf.DUMMYFUNCTION("""COMPUTED_VALUE"""),"No")</f>
        <v>No</v>
      </c>
      <c r="AJ79" s="5" t="str">
        <f ca="1">IFERROR(__xludf.DUMMYFUNCTION("""COMPUTED_VALUE"""),"No")</f>
        <v>No</v>
      </c>
      <c r="AK79" s="5" t="str">
        <f ca="1">IFERROR(__xludf.DUMMYFUNCTION("""COMPUTED_VALUE"""),"No")</f>
        <v>No</v>
      </c>
      <c r="AL79" s="5" t="str">
        <f ca="1">IFERROR(__xludf.DUMMYFUNCTION("""COMPUTED_VALUE"""),"No")</f>
        <v>No</v>
      </c>
      <c r="AM79" s="5" t="str">
        <f ca="1">IFERROR(__xludf.DUMMYFUNCTION("""COMPUTED_VALUE"""),"No")</f>
        <v>No</v>
      </c>
      <c r="AN79" s="5" t="str">
        <f ca="1">IFERROR(__xludf.DUMMYFUNCTION("""COMPUTED_VALUE"""),"No")</f>
        <v>No</v>
      </c>
      <c r="AO79" s="5" t="str">
        <f ca="1">IFERROR(__xludf.DUMMYFUNCTION("""COMPUTED_VALUE"""),"Yes")</f>
        <v>Yes</v>
      </c>
      <c r="AP79" s="5" t="str">
        <f ca="1">IFERROR(__xludf.DUMMYFUNCTION("""COMPUTED_VALUE"""),"No")</f>
        <v>No</v>
      </c>
      <c r="AQ79" s="5" t="str">
        <f ca="1">IFERROR(__xludf.DUMMYFUNCTION("""COMPUTED_VALUE"""),"No")</f>
        <v>No</v>
      </c>
      <c r="AR79" s="5" t="str">
        <f ca="1">IFERROR(__xludf.DUMMYFUNCTION("""COMPUTED_VALUE"""),"No")</f>
        <v>No</v>
      </c>
      <c r="AS79" s="5" t="str">
        <f ca="1">IFERROR(__xludf.DUMMYFUNCTION("""COMPUTED_VALUE"""),"Yes")</f>
        <v>Yes</v>
      </c>
      <c r="AT79" s="5" t="str">
        <f ca="1">IFERROR(__xludf.DUMMYFUNCTION("""COMPUTED_VALUE"""),"No")</f>
        <v>No</v>
      </c>
      <c r="AU79" s="5"/>
    </row>
    <row r="80" spans="1:47" x14ac:dyDescent="0.25">
      <c r="A80" s="5" t="str">
        <f ca="1">IFERROR(__xludf.DUMMYFUNCTION("""COMPUTED_VALUE"""),"Redstone")</f>
        <v>Redstone</v>
      </c>
      <c r="B80" s="5" t="str">
        <f ca="1">IFERROR(__xludf.DUMMYFUNCTION("""COMPUTED_VALUE"""),"Hot Rush Fruit Lines")</f>
        <v>Hot Rush Fruit Lines</v>
      </c>
      <c r="C80" s="5" t="str">
        <f ca="1">IFERROR(__xludf.DUMMYFUNCTION("""COMPUTED_VALUE"""),"RedstoneHotRushFruitLines")</f>
        <v>RedstoneHotRushFruitLines</v>
      </c>
      <c r="D80" s="6">
        <f ca="1">IFERROR(__xludf.DUMMYFUNCTION("""COMPUTED_VALUE"""),45434)</f>
        <v>45434</v>
      </c>
      <c r="E80" s="5" t="str">
        <f ca="1">IFERROR(__xludf.DUMMYFUNCTION("""COMPUTED_VALUE"""),"Slot")</f>
        <v>Slot</v>
      </c>
      <c r="F80" s="5">
        <f ca="1">IFERROR(__xludf.DUMMYFUNCTION("""COMPUTED_VALUE"""),6.3)</f>
        <v>6.3</v>
      </c>
      <c r="G80" s="5" t="str">
        <f ca="1">IFERROR(__xludf.DUMMYFUNCTION("""COMPUTED_VALUE"""),"5x3")</f>
        <v>5x3</v>
      </c>
      <c r="H80" s="5" t="str">
        <f ca="1">IFERROR(__xludf.DUMMYFUNCTION("""COMPUTED_VALUE"""),"5")</f>
        <v>5</v>
      </c>
      <c r="I80" s="5">
        <f ca="1">IFERROR(__xludf.DUMMYFUNCTION("""COMPUTED_VALUE"""),5)</f>
        <v>5</v>
      </c>
      <c r="J80" s="5" t="str">
        <f ca="1">IFERROR(__xludf.DUMMYFUNCTION("""COMPUTED_VALUE"""),"96.04%")</f>
        <v>96.04%</v>
      </c>
      <c r="K80" s="5" t="str">
        <f ca="1">IFERROR(__xludf.DUMMYFUNCTION("""COMPUTED_VALUE"""),"Low")</f>
        <v>Low</v>
      </c>
      <c r="L80" s="5" t="str">
        <f ca="1">IFERROR(__xludf.DUMMYFUNCTION("""COMPUTED_VALUE"""),"8.89%")</f>
        <v>8.89%</v>
      </c>
      <c r="M80" s="5" t="str">
        <f ca="1">IFERROR(__xludf.DUMMYFUNCTION("""COMPUTED_VALUE"""),"x1100")</f>
        <v>x1100</v>
      </c>
      <c r="N80" s="5" t="str">
        <f ca="1">IFERROR(__xludf.DUMMYFUNCTION("""COMPUTED_VALUE"""),"0.05/100")</f>
        <v>0.05/100</v>
      </c>
      <c r="O80" s="5" t="str">
        <f ca="1">IFERROR(__xludf.DUMMYFUNCTION("""COMPUTED_VALUE"""),"No")</f>
        <v>No</v>
      </c>
      <c r="P80" s="5"/>
      <c r="Q80" s="7" t="str">
        <f ca="1">IFERROR(__xludf.DUMMYFUNCTION("""COMPUTED_VALUE"""),"https://static.redstone.rs/games/hot-rush-fruit-lines/")</f>
        <v>https://static.redstone.rs/games/hot-rush-fruit-lines/</v>
      </c>
      <c r="R80" s="5" t="str">
        <f ca="1">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S8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 ca="1">IFERROR(__xludf.DUMMYFUNCTION("""COMPUTED_VALUE"""),"Yes")</f>
        <v>Yes</v>
      </c>
      <c r="U80" s="5" t="str">
        <f ca="1">IFERROR(__xludf.DUMMYFUNCTION("""COMPUTED_VALUE"""),"Yes")</f>
        <v>Yes</v>
      </c>
      <c r="V80" s="5" t="str">
        <f ca="1">IFERROR(__xludf.DUMMYFUNCTION("""COMPUTED_VALUE"""),"Yes")</f>
        <v>Yes</v>
      </c>
      <c r="W80" s="5" t="str">
        <f ca="1">IFERROR(__xludf.DUMMYFUNCTION("""COMPUTED_VALUE"""),"No")</f>
        <v>No</v>
      </c>
      <c r="X80" s="5" t="str">
        <f ca="1">IFERROR(__xludf.DUMMYFUNCTION("""COMPUTED_VALUE"""),"No")</f>
        <v>No</v>
      </c>
      <c r="Y80" s="5" t="str">
        <f ca="1">IFERROR(__xludf.DUMMYFUNCTION("""COMPUTED_VALUE"""),"No")</f>
        <v>No</v>
      </c>
      <c r="Z80" s="5" t="str">
        <f ca="1">IFERROR(__xludf.DUMMYFUNCTION("""COMPUTED_VALUE"""),"No")</f>
        <v>No</v>
      </c>
      <c r="AA80" s="5" t="str">
        <f ca="1">IFERROR(__xludf.DUMMYFUNCTION("""COMPUTED_VALUE"""),"No")</f>
        <v>No</v>
      </c>
      <c r="AB80" s="5" t="str">
        <f ca="1">IFERROR(__xludf.DUMMYFUNCTION("""COMPUTED_VALUE"""),"Yes")</f>
        <v>Yes</v>
      </c>
      <c r="AC80" s="5" t="str">
        <f ca="1">IFERROR(__xludf.DUMMYFUNCTION("""COMPUTED_VALUE"""),"Yes")</f>
        <v>Yes</v>
      </c>
      <c r="AD80" s="5" t="str">
        <f ca="1">IFERROR(__xludf.DUMMYFUNCTION("""COMPUTED_VALUE"""),"Yes")</f>
        <v>Yes</v>
      </c>
      <c r="AE80" s="5" t="str">
        <f ca="1">IFERROR(__xludf.DUMMYFUNCTION("""COMPUTED_VALUE"""),"Yes")</f>
        <v>Yes</v>
      </c>
      <c r="AF80" s="5" t="str">
        <f ca="1">IFERROR(__xludf.DUMMYFUNCTION("""COMPUTED_VALUE"""),"Yes")</f>
        <v>Yes</v>
      </c>
      <c r="AG80" s="5" t="str">
        <f ca="1">IFERROR(__xludf.DUMMYFUNCTION("""COMPUTED_VALUE"""),"No")</f>
        <v>No</v>
      </c>
      <c r="AH80" s="5" t="str">
        <f ca="1">IFERROR(__xludf.DUMMYFUNCTION("""COMPUTED_VALUE"""),"Yes")</f>
        <v>Yes</v>
      </c>
      <c r="AI80" s="5" t="str">
        <f ca="1">IFERROR(__xludf.DUMMYFUNCTION("""COMPUTED_VALUE"""),"No")</f>
        <v>No</v>
      </c>
      <c r="AJ80" s="5" t="str">
        <f ca="1">IFERROR(__xludf.DUMMYFUNCTION("""COMPUTED_VALUE"""),"No")</f>
        <v>No</v>
      </c>
      <c r="AK80" s="5" t="str">
        <f ca="1">IFERROR(__xludf.DUMMYFUNCTION("""COMPUTED_VALUE"""),"No")</f>
        <v>No</v>
      </c>
      <c r="AL80" s="5" t="str">
        <f ca="1">IFERROR(__xludf.DUMMYFUNCTION("""COMPUTED_VALUE"""),"No")</f>
        <v>No</v>
      </c>
      <c r="AM80" s="5"/>
      <c r="AN80" s="5"/>
      <c r="AO80" s="5" t="str">
        <f ca="1">IFERROR(__xludf.DUMMYFUNCTION("""COMPUTED_VALUE"""),"Yes")</f>
        <v>Yes</v>
      </c>
      <c r="AP80" s="5"/>
      <c r="AQ80" s="5" t="str">
        <f ca="1">IFERROR(__xludf.DUMMYFUNCTION("""COMPUTED_VALUE"""),"No")</f>
        <v>No</v>
      </c>
      <c r="AR80" s="5"/>
      <c r="AS80" s="5" t="str">
        <f ca="1">IFERROR(__xludf.DUMMYFUNCTION("""COMPUTED_VALUE"""),"Yes")</f>
        <v>Yes</v>
      </c>
      <c r="AT80" s="5" t="str">
        <f ca="1">IFERROR(__xludf.DUMMYFUNCTION("""COMPUTED_VALUE"""),"Yes")</f>
        <v>Yes</v>
      </c>
      <c r="AU80" s="5"/>
    </row>
    <row r="81" spans="1:47" x14ac:dyDescent="0.25">
      <c r="A81" s="5" t="str">
        <f ca="1">IFERROR(__xludf.DUMMYFUNCTION("""COMPUTED_VALUE"""),"Redstone")</f>
        <v>Redstone</v>
      </c>
      <c r="B81" s="5" t="str">
        <f ca="1">IFERROR(__xludf.DUMMYFUNCTION("""COMPUTED_VALUE"""),"10 Wild Heart")</f>
        <v>10 Wild Heart</v>
      </c>
      <c r="C81" s="5" t="str">
        <f ca="1">IFERROR(__xludf.DUMMYFUNCTION("""COMPUTED_VALUE"""),"Redstone10WildHeart")</f>
        <v>Redstone10WildHeart</v>
      </c>
      <c r="D81" s="6">
        <f ca="1">IFERROR(__xludf.DUMMYFUNCTION("""COMPUTED_VALUE"""),45754)</f>
        <v>45754</v>
      </c>
      <c r="E81" s="5" t="str">
        <f ca="1">IFERROR(__xludf.DUMMYFUNCTION("""COMPUTED_VALUE"""),"Slot")</f>
        <v>Slot</v>
      </c>
      <c r="F81" s="5">
        <f ca="1">IFERROR(__xludf.DUMMYFUNCTION("""COMPUTED_VALUE"""),6.9)</f>
        <v>6.9</v>
      </c>
      <c r="G81" s="5" t="str">
        <f ca="1">IFERROR(__xludf.DUMMYFUNCTION("""COMPUTED_VALUE"""),"5x3")</f>
        <v>5x3</v>
      </c>
      <c r="H81" s="5">
        <f ca="1">IFERROR(__xludf.DUMMYFUNCTION("""COMPUTED_VALUE"""),10)</f>
        <v>10</v>
      </c>
      <c r="I81" s="5">
        <f ca="1">IFERROR(__xludf.DUMMYFUNCTION("""COMPUTED_VALUE"""),10)</f>
        <v>10</v>
      </c>
      <c r="J81" s="5" t="str">
        <f ca="1">IFERROR(__xludf.DUMMYFUNCTION("""COMPUTED_VALUE"""),"95.96%")</f>
        <v>95.96%</v>
      </c>
      <c r="K81" s="5" t="str">
        <f ca="1">IFERROR(__xludf.DUMMYFUNCTION("""COMPUTED_VALUE"""),"Medium")</f>
        <v>Medium</v>
      </c>
      <c r="L81" s="5" t="str">
        <f ca="1">IFERROR(__xludf.DUMMYFUNCTION("""COMPUTED_VALUE"""),"14.63%")</f>
        <v>14.63%</v>
      </c>
      <c r="M81" s="5" t="str">
        <f ca="1">IFERROR(__xludf.DUMMYFUNCTION("""COMPUTED_VALUE"""),"x1538")</f>
        <v>x1538</v>
      </c>
      <c r="N81" s="5" t="str">
        <f ca="1">IFERROR(__xludf.DUMMYFUNCTION("""COMPUTED_VALUE"""),"0.10/100")</f>
        <v>0.10/100</v>
      </c>
      <c r="O81" s="5" t="str">
        <f ca="1">IFERROR(__xludf.DUMMYFUNCTION("""COMPUTED_VALUE"""),"No")</f>
        <v>No</v>
      </c>
      <c r="P81" s="5" t="str">
        <f ca="1">IFERROR(__xludf.DUMMYFUNCTION("""COMPUTED_VALUE"""),"Expanding Wild, Ante Bet, Bonus Game with Free Spins, Scatter")</f>
        <v>Expanding Wild, Ante Bet, Bonus Game with Free Spins, Scatter</v>
      </c>
      <c r="Q81" s="7" t="str">
        <f ca="1">IFERROR(__xludf.DUMMYFUNCTION("""COMPUTED_VALUE"""),"https://static.redstone.rs/games/10-wild-heart/")</f>
        <v>https://static.redstone.rs/games/10-wild-heart/</v>
      </c>
      <c r="R81" s="5" t="str">
        <f ca="1">IFERROR(__xludf.DUMMYFUNCTION("""COMPUTED_VALUE"""),"With 10 Wild Heart, every spin brings you closer to exciting wins. Wilds bring the heat and with just a little luck, the payouts can be unforgettable! ")</f>
        <v xml:space="preserve">With 10 Wild Heart, every spin brings you closer to exciting wins. Wilds bring the heat and with just a little luck, the payouts can be unforgettable! </v>
      </c>
      <c r="S8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 ca="1">IFERROR(__xludf.DUMMYFUNCTION("""COMPUTED_VALUE"""),"Yes")</f>
        <v>Yes</v>
      </c>
      <c r="U81" s="5" t="str">
        <f ca="1">IFERROR(__xludf.DUMMYFUNCTION("""COMPUTED_VALUE"""),"Yes")</f>
        <v>Yes</v>
      </c>
      <c r="V81" s="5" t="str">
        <f ca="1">IFERROR(__xludf.DUMMYFUNCTION("""COMPUTED_VALUE"""),"Yes")</f>
        <v>Yes</v>
      </c>
      <c r="W81" s="5" t="str">
        <f ca="1">IFERROR(__xludf.DUMMYFUNCTION("""COMPUTED_VALUE"""),"No")</f>
        <v>No</v>
      </c>
      <c r="X81" s="5" t="str">
        <f ca="1">IFERROR(__xludf.DUMMYFUNCTION("""COMPUTED_VALUE"""),"No")</f>
        <v>No</v>
      </c>
      <c r="Y81" s="5" t="str">
        <f ca="1">IFERROR(__xludf.DUMMYFUNCTION("""COMPUTED_VALUE"""),"No")</f>
        <v>No</v>
      </c>
      <c r="Z81" s="5" t="str">
        <f ca="1">IFERROR(__xludf.DUMMYFUNCTION("""COMPUTED_VALUE"""),"No")</f>
        <v>No</v>
      </c>
      <c r="AA81" s="5" t="str">
        <f ca="1">IFERROR(__xludf.DUMMYFUNCTION("""COMPUTED_VALUE"""),"No")</f>
        <v>No</v>
      </c>
      <c r="AB81" s="5" t="str">
        <f ca="1">IFERROR(__xludf.DUMMYFUNCTION("""COMPUTED_VALUE"""),"Yes")</f>
        <v>Yes</v>
      </c>
      <c r="AC81" s="5" t="str">
        <f ca="1">IFERROR(__xludf.DUMMYFUNCTION("""COMPUTED_VALUE"""),"Yes")</f>
        <v>Yes</v>
      </c>
      <c r="AD81" s="5" t="str">
        <f ca="1">IFERROR(__xludf.DUMMYFUNCTION("""COMPUTED_VALUE"""),"Yes")</f>
        <v>Yes</v>
      </c>
      <c r="AE81" s="5" t="str">
        <f ca="1">IFERROR(__xludf.DUMMYFUNCTION("""COMPUTED_VALUE"""),"Yes")</f>
        <v>Yes</v>
      </c>
      <c r="AF81" s="5" t="str">
        <f ca="1">IFERROR(__xludf.DUMMYFUNCTION("""COMPUTED_VALUE"""),"Yes")</f>
        <v>Yes</v>
      </c>
      <c r="AG81" s="5" t="str">
        <f ca="1">IFERROR(__xludf.DUMMYFUNCTION("""COMPUTED_VALUE"""),"No")</f>
        <v>No</v>
      </c>
      <c r="AH81" s="5" t="str">
        <f ca="1">IFERROR(__xludf.DUMMYFUNCTION("""COMPUTED_VALUE"""),"Yes")</f>
        <v>Yes</v>
      </c>
      <c r="AI81" s="5" t="str">
        <f ca="1">IFERROR(__xludf.DUMMYFUNCTION("""COMPUTED_VALUE"""),"No")</f>
        <v>No</v>
      </c>
      <c r="AJ81" s="5" t="str">
        <f ca="1">IFERROR(__xludf.DUMMYFUNCTION("""COMPUTED_VALUE"""),"No")</f>
        <v>No</v>
      </c>
      <c r="AK81" s="5" t="str">
        <f ca="1">IFERROR(__xludf.DUMMYFUNCTION("""COMPUTED_VALUE"""),"No")</f>
        <v>No</v>
      </c>
      <c r="AL81" s="5" t="str">
        <f ca="1">IFERROR(__xludf.DUMMYFUNCTION("""COMPUTED_VALUE"""),"No")</f>
        <v>No</v>
      </c>
      <c r="AM81" s="5"/>
      <c r="AN81" s="5"/>
      <c r="AO81" s="5" t="str">
        <f ca="1">IFERROR(__xludf.DUMMYFUNCTION("""COMPUTED_VALUE"""),"Yes")</f>
        <v>Yes</v>
      </c>
      <c r="AP81" s="5"/>
      <c r="AQ81" s="5" t="str">
        <f ca="1">IFERROR(__xludf.DUMMYFUNCTION("""COMPUTED_VALUE"""),"No")</f>
        <v>No</v>
      </c>
      <c r="AR81" s="5"/>
      <c r="AS81" s="5" t="str">
        <f ca="1">IFERROR(__xludf.DUMMYFUNCTION("""COMPUTED_VALUE"""),"Yes")</f>
        <v>Yes</v>
      </c>
      <c r="AT81" s="5" t="str">
        <f ca="1">IFERROR(__xludf.DUMMYFUNCTION("""COMPUTED_VALUE"""),"Yes")</f>
        <v>Yes</v>
      </c>
      <c r="AU81" s="5"/>
    </row>
    <row r="82" spans="1:47" x14ac:dyDescent="0.25">
      <c r="A82" s="5" t="str">
        <f ca="1">IFERROR(__xludf.DUMMYFUNCTION("""COMPUTED_VALUE"""),"Redstone")</f>
        <v>Redstone</v>
      </c>
      <c r="B82" s="5" t="str">
        <f ca="1">IFERROR(__xludf.DUMMYFUNCTION("""COMPUTED_VALUE"""),"40 Joker Fire")</f>
        <v>40 Joker Fire</v>
      </c>
      <c r="C82" s="5" t="str">
        <f ca="1">IFERROR(__xludf.DUMMYFUNCTION("""COMPUTED_VALUE"""),"Redstone40JokerFire")</f>
        <v>Redstone40JokerFire</v>
      </c>
      <c r="D82" s="6">
        <f ca="1">IFERROR(__xludf.DUMMYFUNCTION("""COMPUTED_VALUE"""),45762)</f>
        <v>45762</v>
      </c>
      <c r="E82" s="5" t="str">
        <f ca="1">IFERROR(__xludf.DUMMYFUNCTION("""COMPUTED_VALUE"""),"Slot")</f>
        <v>Slot</v>
      </c>
      <c r="F82" s="5">
        <f ca="1">IFERROR(__xludf.DUMMYFUNCTION("""COMPUTED_VALUE"""),7)</f>
        <v>7</v>
      </c>
      <c r="G82" s="5" t="str">
        <f ca="1">IFERROR(__xludf.DUMMYFUNCTION("""COMPUTED_VALUE"""),"5x4")</f>
        <v>5x4</v>
      </c>
      <c r="H82" s="5">
        <f ca="1">IFERROR(__xludf.DUMMYFUNCTION("""COMPUTED_VALUE"""),40)</f>
        <v>40</v>
      </c>
      <c r="I82" s="5">
        <f ca="1">IFERROR(__xludf.DUMMYFUNCTION("""COMPUTED_VALUE"""),40)</f>
        <v>40</v>
      </c>
      <c r="J82" s="5" t="str">
        <f ca="1">IFERROR(__xludf.DUMMYFUNCTION("""COMPUTED_VALUE"""),"96%")</f>
        <v>96%</v>
      </c>
      <c r="K82" s="5" t="str">
        <f ca="1">IFERROR(__xludf.DUMMYFUNCTION("""COMPUTED_VALUE"""),"Medium")</f>
        <v>Medium</v>
      </c>
      <c r="L82" s="5" t="str">
        <f ca="1">IFERROR(__xludf.DUMMYFUNCTION("""COMPUTED_VALUE"""),"20.25%")</f>
        <v>20.25%</v>
      </c>
      <c r="M82" s="5" t="str">
        <f ca="1">IFERROR(__xludf.DUMMYFUNCTION("""COMPUTED_VALUE"""),"x2000")</f>
        <v>x2000</v>
      </c>
      <c r="N82" s="5" t="str">
        <f ca="1">IFERROR(__xludf.DUMMYFUNCTION("""COMPUTED_VALUE"""),"0.12/100")</f>
        <v>0.12/100</v>
      </c>
      <c r="O82" s="5" t="str">
        <f ca="1">IFERROR(__xludf.DUMMYFUNCTION("""COMPUTED_VALUE"""),"No")</f>
        <v>No</v>
      </c>
      <c r="P82" s="5" t="str">
        <f ca="1">IFERROR(__xludf.DUMMYFUNCTION("""COMPUTED_VALUE"""),"Sticky Wild, Special Wild, Scatter")</f>
        <v>Sticky Wild, Special Wild, Scatter</v>
      </c>
      <c r="Q82" s="7" t="str">
        <f ca="1">IFERROR(__xludf.DUMMYFUNCTION("""COMPUTED_VALUE"""),"https://static.redstone.rs/games/40-joker-fire/")</f>
        <v>https://static.redstone.rs/games/40-joker-fire/</v>
      </c>
      <c r="R82" s="5" t="str">
        <f ca="1">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S82" s="5" t="str">
        <f ca="1">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T82" s="5" t="str">
        <f ca="1">IFERROR(__xludf.DUMMYFUNCTION("""COMPUTED_VALUE"""),"Yes")</f>
        <v>Yes</v>
      </c>
      <c r="U82" s="5" t="str">
        <f ca="1">IFERROR(__xludf.DUMMYFUNCTION("""COMPUTED_VALUE"""),"Yes")</f>
        <v>Yes</v>
      </c>
      <c r="V82" s="5" t="str">
        <f ca="1">IFERROR(__xludf.DUMMYFUNCTION("""COMPUTED_VALUE"""),"Yes")</f>
        <v>Yes</v>
      </c>
      <c r="W82" s="5" t="str">
        <f ca="1">IFERROR(__xludf.DUMMYFUNCTION("""COMPUTED_VALUE"""),"No")</f>
        <v>No</v>
      </c>
      <c r="X82" s="5" t="str">
        <f ca="1">IFERROR(__xludf.DUMMYFUNCTION("""COMPUTED_VALUE"""),"No")</f>
        <v>No</v>
      </c>
      <c r="Y82" s="5" t="str">
        <f ca="1">IFERROR(__xludf.DUMMYFUNCTION("""COMPUTED_VALUE"""),"No")</f>
        <v>No</v>
      </c>
      <c r="Z82" s="5" t="str">
        <f ca="1">IFERROR(__xludf.DUMMYFUNCTION("""COMPUTED_VALUE"""),"No")</f>
        <v>No</v>
      </c>
      <c r="AA82" s="5" t="str">
        <f ca="1">IFERROR(__xludf.DUMMYFUNCTION("""COMPUTED_VALUE"""),"No")</f>
        <v>No</v>
      </c>
      <c r="AB82" s="5" t="str">
        <f ca="1">IFERROR(__xludf.DUMMYFUNCTION("""COMPUTED_VALUE"""),"Yes")</f>
        <v>Yes</v>
      </c>
      <c r="AC82" s="5" t="str">
        <f ca="1">IFERROR(__xludf.DUMMYFUNCTION("""COMPUTED_VALUE"""),"Yes")</f>
        <v>Yes</v>
      </c>
      <c r="AD82" s="5" t="str">
        <f ca="1">IFERROR(__xludf.DUMMYFUNCTION("""COMPUTED_VALUE"""),"Yes")</f>
        <v>Yes</v>
      </c>
      <c r="AE82" s="5" t="str">
        <f ca="1">IFERROR(__xludf.DUMMYFUNCTION("""COMPUTED_VALUE"""),"Yes")</f>
        <v>Yes</v>
      </c>
      <c r="AF82" s="5" t="str">
        <f ca="1">IFERROR(__xludf.DUMMYFUNCTION("""COMPUTED_VALUE"""),"Yes")</f>
        <v>Yes</v>
      </c>
      <c r="AG82" s="5" t="str">
        <f ca="1">IFERROR(__xludf.DUMMYFUNCTION("""COMPUTED_VALUE"""),"No")</f>
        <v>No</v>
      </c>
      <c r="AH82" s="5" t="str">
        <f ca="1">IFERROR(__xludf.DUMMYFUNCTION("""COMPUTED_VALUE"""),"Yes")</f>
        <v>Yes</v>
      </c>
      <c r="AI82" s="5" t="str">
        <f ca="1">IFERROR(__xludf.DUMMYFUNCTION("""COMPUTED_VALUE"""),"No")</f>
        <v>No</v>
      </c>
      <c r="AJ82" s="5" t="str">
        <f ca="1">IFERROR(__xludf.DUMMYFUNCTION("""COMPUTED_VALUE"""),"No")</f>
        <v>No</v>
      </c>
      <c r="AK82" s="5" t="str">
        <f ca="1">IFERROR(__xludf.DUMMYFUNCTION("""COMPUTED_VALUE"""),"No")</f>
        <v>No</v>
      </c>
      <c r="AL82" s="5" t="str">
        <f ca="1">IFERROR(__xludf.DUMMYFUNCTION("""COMPUTED_VALUE"""),"No")</f>
        <v>No</v>
      </c>
      <c r="AM82" s="5"/>
      <c r="AN82" s="5" t="str">
        <f ca="1">IFERROR(__xludf.DUMMYFUNCTION("""COMPUTED_VALUE"""),"Yes")</f>
        <v>Yes</v>
      </c>
      <c r="AO82" s="5" t="str">
        <f ca="1">IFERROR(__xludf.DUMMYFUNCTION("""COMPUTED_VALUE"""),"Yes")</f>
        <v>Yes</v>
      </c>
      <c r="AP82" s="5"/>
      <c r="AQ82" s="5" t="str">
        <f ca="1">IFERROR(__xludf.DUMMYFUNCTION("""COMPUTED_VALUE"""),"No")</f>
        <v>No</v>
      </c>
      <c r="AR82" s="5"/>
      <c r="AS82" s="5" t="str">
        <f ca="1">IFERROR(__xludf.DUMMYFUNCTION("""COMPUTED_VALUE"""),"Yes")</f>
        <v>Yes</v>
      </c>
      <c r="AT82" s="5"/>
      <c r="AU82" s="5"/>
    </row>
    <row r="83" spans="1:47" x14ac:dyDescent="0.25">
      <c r="A83" s="5" t="str">
        <f ca="1">IFERROR(__xludf.DUMMYFUNCTION("""COMPUTED_VALUE"""),"Redstone")</f>
        <v>Redstone</v>
      </c>
      <c r="B83" s="5" t="str">
        <f ca="1">IFERROR(__xludf.DUMMYFUNCTION("""COMPUTED_VALUE"""),"Bonus Stars")</f>
        <v>Bonus Stars</v>
      </c>
      <c r="C83" s="5" t="str">
        <f ca="1">IFERROR(__xludf.DUMMYFUNCTION("""COMPUTED_VALUE"""),"RedstoneBonusStars")</f>
        <v>RedstoneBonusStars</v>
      </c>
      <c r="D83" s="6">
        <f ca="1">IFERROR(__xludf.DUMMYFUNCTION("""COMPUTED_VALUE"""),45784)</f>
        <v>45784</v>
      </c>
      <c r="E83" s="5" t="str">
        <f ca="1">IFERROR(__xludf.DUMMYFUNCTION("""COMPUTED_VALUE"""),"Slot")</f>
        <v>Slot</v>
      </c>
      <c r="F83" s="5">
        <f ca="1">IFERROR(__xludf.DUMMYFUNCTION("""COMPUTED_VALUE"""),9.1)</f>
        <v>9.1</v>
      </c>
      <c r="G83" s="5" t="str">
        <f ca="1">IFERROR(__xludf.DUMMYFUNCTION("""COMPUTED_VALUE"""),"5x3")</f>
        <v>5x3</v>
      </c>
      <c r="H83" s="5">
        <f ca="1">IFERROR(__xludf.DUMMYFUNCTION("""COMPUTED_VALUE"""),30)</f>
        <v>30</v>
      </c>
      <c r="I83" s="5">
        <f ca="1">IFERROR(__xludf.DUMMYFUNCTION("""COMPUTED_VALUE"""),30)</f>
        <v>30</v>
      </c>
      <c r="J83" s="5" t="str">
        <f ca="1">IFERROR(__xludf.DUMMYFUNCTION("""COMPUTED_VALUE"""),"96%")</f>
        <v>96%</v>
      </c>
      <c r="K83" s="5" t="str">
        <f ca="1">IFERROR(__xludf.DUMMYFUNCTION("""COMPUTED_VALUE"""),"Medium")</f>
        <v>Medium</v>
      </c>
      <c r="L83" s="5" t="str">
        <f ca="1">IFERROR(__xludf.DUMMYFUNCTION("""COMPUTED_VALUE"""),"36%")</f>
        <v>36%</v>
      </c>
      <c r="M83" s="5" t="str">
        <f ca="1">IFERROR(__xludf.DUMMYFUNCTION("""COMPUTED_VALUE"""),"x2000")</f>
        <v>x2000</v>
      </c>
      <c r="N83" s="5" t="str">
        <f ca="1">IFERROR(__xludf.DUMMYFUNCTION("""COMPUTED_VALUE"""),"0.20/50")</f>
        <v>0.20/50</v>
      </c>
      <c r="O83" s="5" t="str">
        <f ca="1">IFERROR(__xludf.DUMMYFUNCTION("""COMPUTED_VALUE"""),"No")</f>
        <v>No</v>
      </c>
      <c r="P83" s="5" t="str">
        <f ca="1">IFERROR(__xludf.DUMMYFUNCTION("""COMPUTED_VALUE"""),"Wild Symbol, Scatter, Bonus Game with Free Spins")</f>
        <v>Wild Symbol, Scatter, Bonus Game with Free Spins</v>
      </c>
      <c r="Q83" s="7" t="str">
        <f ca="1">IFERROR(__xludf.DUMMYFUNCTION("""COMPUTED_VALUE"""),"https://static.redstone.rs/games/bonus-stars/")</f>
        <v>https://static.redstone.rs/games/bonus-stars/</v>
      </c>
      <c r="R83" s="5" t="str">
        <f ca="1">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S8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3" s="5" t="str">
        <f ca="1">IFERROR(__xludf.DUMMYFUNCTION("""COMPUTED_VALUE"""),"Yes")</f>
        <v>Yes</v>
      </c>
      <c r="U83" s="5" t="str">
        <f ca="1">IFERROR(__xludf.DUMMYFUNCTION("""COMPUTED_VALUE"""),"Yes")</f>
        <v>Yes</v>
      </c>
      <c r="V83" s="5" t="str">
        <f ca="1">IFERROR(__xludf.DUMMYFUNCTION("""COMPUTED_VALUE"""),"No")</f>
        <v>No</v>
      </c>
      <c r="W83" s="5" t="str">
        <f ca="1">IFERROR(__xludf.DUMMYFUNCTION("""COMPUTED_VALUE"""),"Yes")</f>
        <v>Yes</v>
      </c>
      <c r="X83" s="5" t="str">
        <f ca="1">IFERROR(__xludf.DUMMYFUNCTION("""COMPUTED_VALUE"""),"Yes")</f>
        <v>Yes</v>
      </c>
      <c r="Y83" s="5" t="str">
        <f ca="1">IFERROR(__xludf.DUMMYFUNCTION("""COMPUTED_VALUE"""),"Yes")</f>
        <v>Yes</v>
      </c>
      <c r="Z83" s="5" t="str">
        <f ca="1">IFERROR(__xludf.DUMMYFUNCTION("""COMPUTED_VALUE"""),"Yes")</f>
        <v>Yes</v>
      </c>
      <c r="AA83" s="5" t="str">
        <f ca="1">IFERROR(__xludf.DUMMYFUNCTION("""COMPUTED_VALUE"""),"Yes")</f>
        <v>Yes</v>
      </c>
      <c r="AB83" s="5" t="str">
        <f ca="1">IFERROR(__xludf.DUMMYFUNCTION("""COMPUTED_VALUE"""),"Yes")</f>
        <v>Yes</v>
      </c>
      <c r="AC83" s="5" t="str">
        <f ca="1">IFERROR(__xludf.DUMMYFUNCTION("""COMPUTED_VALUE"""),"Yes")</f>
        <v>Yes</v>
      </c>
      <c r="AD83" s="5" t="str">
        <f ca="1">IFERROR(__xludf.DUMMYFUNCTION("""COMPUTED_VALUE"""),"Yes")</f>
        <v>Yes</v>
      </c>
      <c r="AE83" s="5" t="str">
        <f ca="1">IFERROR(__xludf.DUMMYFUNCTION("""COMPUTED_VALUE"""),"Yes")</f>
        <v>Yes</v>
      </c>
      <c r="AF83" s="5" t="str">
        <f ca="1">IFERROR(__xludf.DUMMYFUNCTION("""COMPUTED_VALUE"""),"Yes")</f>
        <v>Yes</v>
      </c>
      <c r="AG83" s="5" t="str">
        <f ca="1">IFERROR(__xludf.DUMMYFUNCTION("""COMPUTED_VALUE"""),"Yes")</f>
        <v>Yes</v>
      </c>
      <c r="AH83" s="5" t="str">
        <f ca="1">IFERROR(__xludf.DUMMYFUNCTION("""COMPUTED_VALUE"""),"Yes")</f>
        <v>Yes</v>
      </c>
      <c r="AI83" s="5" t="str">
        <f ca="1">IFERROR(__xludf.DUMMYFUNCTION("""COMPUTED_VALUE"""),"No")</f>
        <v>No</v>
      </c>
      <c r="AJ83" s="5" t="str">
        <f ca="1">IFERROR(__xludf.DUMMYFUNCTION("""COMPUTED_VALUE"""),"No")</f>
        <v>No</v>
      </c>
      <c r="AK83" s="5" t="str">
        <f ca="1">IFERROR(__xludf.DUMMYFUNCTION("""COMPUTED_VALUE"""),"No")</f>
        <v>No</v>
      </c>
      <c r="AL83" s="5" t="str">
        <f ca="1">IFERROR(__xludf.DUMMYFUNCTION("""COMPUTED_VALUE"""),"No")</f>
        <v>No</v>
      </c>
      <c r="AM83" s="5" t="str">
        <f ca="1">IFERROR(__xludf.DUMMYFUNCTION("""COMPUTED_VALUE"""),"No")</f>
        <v>No</v>
      </c>
      <c r="AN83" s="5" t="str">
        <f ca="1">IFERROR(__xludf.DUMMYFUNCTION("""COMPUTED_VALUE"""),"No")</f>
        <v>No</v>
      </c>
      <c r="AO83" s="5" t="str">
        <f ca="1">IFERROR(__xludf.DUMMYFUNCTION("""COMPUTED_VALUE"""),"Yes")</f>
        <v>Yes</v>
      </c>
      <c r="AP83" s="5" t="str">
        <f ca="1">IFERROR(__xludf.DUMMYFUNCTION("""COMPUTED_VALUE"""),"No")</f>
        <v>No</v>
      </c>
      <c r="AQ83" s="5" t="str">
        <f ca="1">IFERROR(__xludf.DUMMYFUNCTION("""COMPUTED_VALUE"""),"No")</f>
        <v>No</v>
      </c>
      <c r="AR83" s="5" t="str">
        <f ca="1">IFERROR(__xludf.DUMMYFUNCTION("""COMPUTED_VALUE"""),"No")</f>
        <v>No</v>
      </c>
      <c r="AS83" s="5" t="str">
        <f ca="1">IFERROR(__xludf.DUMMYFUNCTION("""COMPUTED_VALUE"""),"Yes")</f>
        <v>Yes</v>
      </c>
      <c r="AT83" s="5" t="str">
        <f ca="1">IFERROR(__xludf.DUMMYFUNCTION("""COMPUTED_VALUE"""),"No")</f>
        <v>No</v>
      </c>
      <c r="AU83" s="5"/>
    </row>
    <row r="84" spans="1:47" x14ac:dyDescent="0.25">
      <c r="A84" s="5" t="str">
        <f ca="1">IFERROR(__xludf.DUMMYFUNCTION("""COMPUTED_VALUE"""),"Redstone")</f>
        <v>Redstone</v>
      </c>
      <c r="B84" s="5" t="str">
        <f ca="1">IFERROR(__xludf.DUMMYFUNCTION("""COMPUTED_VALUE"""),"5 Star Fire")</f>
        <v>5 Star Fire</v>
      </c>
      <c r="C84" s="5" t="str">
        <f ca="1">IFERROR(__xludf.DUMMYFUNCTION("""COMPUTED_VALUE"""),"Redstone5StarFire")</f>
        <v>Redstone5StarFire</v>
      </c>
      <c r="D84" s="6">
        <f ca="1">IFERROR(__xludf.DUMMYFUNCTION("""COMPUTED_VALUE"""),45790)</f>
        <v>45790</v>
      </c>
      <c r="E84" s="5" t="str">
        <f ca="1">IFERROR(__xludf.DUMMYFUNCTION("""COMPUTED_VALUE"""),"Slot")</f>
        <v>Slot</v>
      </c>
      <c r="F84" s="5">
        <f ca="1">IFERROR(__xludf.DUMMYFUNCTION("""COMPUTED_VALUE"""),9.2)</f>
        <v>9.1999999999999993</v>
      </c>
      <c r="G84" s="5" t="str">
        <f ca="1">IFERROR(__xludf.DUMMYFUNCTION("""COMPUTED_VALUE"""),"5x3")</f>
        <v>5x3</v>
      </c>
      <c r="H84" s="5">
        <f ca="1">IFERROR(__xludf.DUMMYFUNCTION("""COMPUTED_VALUE"""),5)</f>
        <v>5</v>
      </c>
      <c r="I84" s="5">
        <f ca="1">IFERROR(__xludf.DUMMYFUNCTION("""COMPUTED_VALUE"""),5)</f>
        <v>5</v>
      </c>
      <c r="J84" s="5" t="str">
        <f ca="1">IFERROR(__xludf.DUMMYFUNCTION("""COMPUTED_VALUE"""),"96.45%")</f>
        <v>96.45%</v>
      </c>
      <c r="K84" s="5" t="str">
        <f ca="1">IFERROR(__xludf.DUMMYFUNCTION("""COMPUTED_VALUE"""),"Medium")</f>
        <v>Medium</v>
      </c>
      <c r="L84" s="5" t="str">
        <f ca="1">IFERROR(__xludf.DUMMYFUNCTION("""COMPUTED_VALUE"""),"14.5%")</f>
        <v>14.5%</v>
      </c>
      <c r="M84" s="5" t="str">
        <f ca="1">IFERROR(__xludf.DUMMYFUNCTION("""COMPUTED_VALUE"""),"x1222")</f>
        <v>x1222</v>
      </c>
      <c r="N84" s="5" t="str">
        <f ca="1">IFERROR(__xludf.DUMMYFUNCTION("""COMPUTED_VALUE"""),"0.05/30")</f>
        <v>0.05/30</v>
      </c>
      <c r="O84" s="5" t="str">
        <f ca="1">IFERROR(__xludf.DUMMYFUNCTION("""COMPUTED_VALUE"""),"No")</f>
        <v>No</v>
      </c>
      <c r="P84" s="5" t="str">
        <f ca="1">IFERROR(__xludf.DUMMYFUNCTION("""COMPUTED_VALUE"""),"Expanding Wild, Scatter")</f>
        <v>Expanding Wild, Scatter</v>
      </c>
      <c r="Q84" s="7" t="str">
        <f ca="1">IFERROR(__xludf.DUMMYFUNCTION("""COMPUTED_VALUE"""),"https://static.redstone.rs/games/5-star-fire/")</f>
        <v>https://static.redstone.rs/games/5-star-fire/</v>
      </c>
      <c r="R84" s="5" t="str">
        <f ca="1">IFERROR(__xludf.DUMMYFUNCTION("""COMPUTED_VALUE"""),"5 Star Fire is a five-line slot with clear mechanics, clear symbols and pure payouts. Spin, play, repeat!")</f>
        <v>5 Star Fire is a five-line slot with clear mechanics, clear symbols and pure payouts. Spin, play, repeat!</v>
      </c>
      <c r="S8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4" s="5" t="str">
        <f ca="1">IFERROR(__xludf.DUMMYFUNCTION("""COMPUTED_VALUE"""),"Yes")</f>
        <v>Yes</v>
      </c>
      <c r="U84" s="5" t="str">
        <f ca="1">IFERROR(__xludf.DUMMYFUNCTION("""COMPUTED_VALUE"""),"Yes")</f>
        <v>Yes</v>
      </c>
      <c r="V84" s="5" t="str">
        <f ca="1">IFERROR(__xludf.DUMMYFUNCTION("""COMPUTED_VALUE"""),"No")</f>
        <v>No</v>
      </c>
      <c r="W84" s="5" t="str">
        <f ca="1">IFERROR(__xludf.DUMMYFUNCTION("""COMPUTED_VALUE"""),"Yes")</f>
        <v>Yes</v>
      </c>
      <c r="X84" s="5" t="str">
        <f ca="1">IFERROR(__xludf.DUMMYFUNCTION("""COMPUTED_VALUE"""),"Yes")</f>
        <v>Yes</v>
      </c>
      <c r="Y84" s="5" t="str">
        <f ca="1">IFERROR(__xludf.DUMMYFUNCTION("""COMPUTED_VALUE"""),"Yes")</f>
        <v>Yes</v>
      </c>
      <c r="Z84" s="5" t="str">
        <f ca="1">IFERROR(__xludf.DUMMYFUNCTION("""COMPUTED_VALUE"""),"Yes")</f>
        <v>Yes</v>
      </c>
      <c r="AA84" s="5" t="str">
        <f ca="1">IFERROR(__xludf.DUMMYFUNCTION("""COMPUTED_VALUE"""),"Yes")</f>
        <v>Yes</v>
      </c>
      <c r="AB84" s="5" t="str">
        <f ca="1">IFERROR(__xludf.DUMMYFUNCTION("""COMPUTED_VALUE"""),"Yes")</f>
        <v>Yes</v>
      </c>
      <c r="AC84" s="5" t="str">
        <f ca="1">IFERROR(__xludf.DUMMYFUNCTION("""COMPUTED_VALUE"""),"Yes")</f>
        <v>Yes</v>
      </c>
      <c r="AD84" s="5" t="str">
        <f ca="1">IFERROR(__xludf.DUMMYFUNCTION("""COMPUTED_VALUE"""),"Yes")</f>
        <v>Yes</v>
      </c>
      <c r="AE84" s="5" t="str">
        <f ca="1">IFERROR(__xludf.DUMMYFUNCTION("""COMPUTED_VALUE"""),"Yes")</f>
        <v>Yes</v>
      </c>
      <c r="AF84" s="5" t="str">
        <f ca="1">IFERROR(__xludf.DUMMYFUNCTION("""COMPUTED_VALUE"""),"Yes")</f>
        <v>Yes</v>
      </c>
      <c r="AG84" s="5" t="str">
        <f ca="1">IFERROR(__xludf.DUMMYFUNCTION("""COMPUTED_VALUE"""),"Yes")</f>
        <v>Yes</v>
      </c>
      <c r="AH84" s="5" t="str">
        <f ca="1">IFERROR(__xludf.DUMMYFUNCTION("""COMPUTED_VALUE"""),"Yes")</f>
        <v>Yes</v>
      </c>
      <c r="AI84" s="5" t="str">
        <f ca="1">IFERROR(__xludf.DUMMYFUNCTION("""COMPUTED_VALUE"""),"No")</f>
        <v>No</v>
      </c>
      <c r="AJ84" s="5" t="str">
        <f ca="1">IFERROR(__xludf.DUMMYFUNCTION("""COMPUTED_VALUE"""),"No")</f>
        <v>No</v>
      </c>
      <c r="AK84" s="5" t="str">
        <f ca="1">IFERROR(__xludf.DUMMYFUNCTION("""COMPUTED_VALUE"""),"No")</f>
        <v>No</v>
      </c>
      <c r="AL84" s="5" t="str">
        <f ca="1">IFERROR(__xludf.DUMMYFUNCTION("""COMPUTED_VALUE"""),"No")</f>
        <v>No</v>
      </c>
      <c r="AM84" s="5" t="str">
        <f ca="1">IFERROR(__xludf.DUMMYFUNCTION("""COMPUTED_VALUE"""),"No")</f>
        <v>No</v>
      </c>
      <c r="AN84" s="5" t="str">
        <f ca="1">IFERROR(__xludf.DUMMYFUNCTION("""COMPUTED_VALUE"""),"No")</f>
        <v>No</v>
      </c>
      <c r="AO84" s="5" t="str">
        <f ca="1">IFERROR(__xludf.DUMMYFUNCTION("""COMPUTED_VALUE"""),"Yes")</f>
        <v>Yes</v>
      </c>
      <c r="AP84" s="5" t="str">
        <f ca="1">IFERROR(__xludf.DUMMYFUNCTION("""COMPUTED_VALUE"""),"No")</f>
        <v>No</v>
      </c>
      <c r="AQ84" s="5" t="str">
        <f ca="1">IFERROR(__xludf.DUMMYFUNCTION("""COMPUTED_VALUE"""),"No")</f>
        <v>No</v>
      </c>
      <c r="AR84" s="5" t="str">
        <f ca="1">IFERROR(__xludf.DUMMYFUNCTION("""COMPUTED_VALUE"""),"No")</f>
        <v>No</v>
      </c>
      <c r="AS84" s="5" t="str">
        <f ca="1">IFERROR(__xludf.DUMMYFUNCTION("""COMPUTED_VALUE"""),"Yes")</f>
        <v>Yes</v>
      </c>
      <c r="AT84" s="5" t="str">
        <f ca="1">IFERROR(__xludf.DUMMYFUNCTION("""COMPUTED_VALUE"""),"No")</f>
        <v>No</v>
      </c>
      <c r="AU84" s="5"/>
    </row>
    <row r="85" spans="1:47" x14ac:dyDescent="0.25">
      <c r="A85" s="5" t="str">
        <f ca="1">IFERROR(__xludf.DUMMYFUNCTION("""COMPUTED_VALUE"""),"Redstone")</f>
        <v>Redstone</v>
      </c>
      <c r="B85" s="5" t="str">
        <f ca="1">IFERROR(__xludf.DUMMYFUNCTION("""COMPUTED_VALUE"""),"Clover Drop")</f>
        <v>Clover Drop</v>
      </c>
      <c r="C85" s="5" t="str">
        <f ca="1">IFERROR(__xludf.DUMMYFUNCTION("""COMPUTED_VALUE"""),"RedstoneCloverDrop")</f>
        <v>RedstoneCloverDrop</v>
      </c>
      <c r="D85" s="6">
        <f ca="1">IFERROR(__xludf.DUMMYFUNCTION("""COMPUTED_VALUE"""),45798)</f>
        <v>45798</v>
      </c>
      <c r="E85" s="5" t="str">
        <f ca="1">IFERROR(__xludf.DUMMYFUNCTION("""COMPUTED_VALUE"""),"Slot")</f>
        <v>Slot</v>
      </c>
      <c r="F85" s="5">
        <f ca="1">IFERROR(__xludf.DUMMYFUNCTION("""COMPUTED_VALUE"""),9)</f>
        <v>9</v>
      </c>
      <c r="G85" s="5" t="str">
        <f ca="1">IFERROR(__xludf.DUMMYFUNCTION("""COMPUTED_VALUE"""),"5x5")</f>
        <v>5x5</v>
      </c>
      <c r="H85" s="5">
        <f ca="1">IFERROR(__xludf.DUMMYFUNCTION("""COMPUTED_VALUE"""),15)</f>
        <v>15</v>
      </c>
      <c r="I85" s="5">
        <f ca="1">IFERROR(__xludf.DUMMYFUNCTION("""COMPUTED_VALUE"""),15)</f>
        <v>15</v>
      </c>
      <c r="J85" s="5" t="str">
        <f ca="1">IFERROR(__xludf.DUMMYFUNCTION("""COMPUTED_VALUE"""),"96.08%")</f>
        <v>96.08%</v>
      </c>
      <c r="K85" s="5" t="str">
        <f ca="1">IFERROR(__xludf.DUMMYFUNCTION("""COMPUTED_VALUE"""),"Medium")</f>
        <v>Medium</v>
      </c>
      <c r="L85" s="5" t="str">
        <f ca="1">IFERROR(__xludf.DUMMYFUNCTION("""COMPUTED_VALUE"""),"16.62%")</f>
        <v>16.62%</v>
      </c>
      <c r="M85" s="5" t="str">
        <f ca="1">IFERROR(__xludf.DUMMYFUNCTION("""COMPUTED_VALUE"""),"x6100")</f>
        <v>x6100</v>
      </c>
      <c r="N85" s="5" t="str">
        <f ca="1">IFERROR(__xludf.DUMMYFUNCTION("""COMPUTED_VALUE"""),"2/50")</f>
        <v>2/50</v>
      </c>
      <c r="O85" s="5" t="str">
        <f ca="1">IFERROR(__xludf.DUMMYFUNCTION("""COMPUTED_VALUE"""),"No")</f>
        <v>No</v>
      </c>
      <c r="P85" s="5" t="str">
        <f ca="1">IFERROR(__xludf.DUMMYFUNCTION("""COMPUTED_VALUE"""),"Expanding Wild")</f>
        <v>Expanding Wild</v>
      </c>
      <c r="Q85" s="7" t="str">
        <f ca="1">IFERROR(__xludf.DUMMYFUNCTION("""COMPUTED_VALUE"""),"https://static.redstone.rs/games/clover-drop/")</f>
        <v>https://static.redstone.rs/games/clover-drop/</v>
      </c>
      <c r="R85" s="5" t="str">
        <f ca="1">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S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IFERROR(__xludf.DUMMYFUNCTION("""COMPUTED_VALUE"""),"Yes")</f>
        <v>Yes</v>
      </c>
      <c r="X85" s="5" t="str">
        <f ca="1">IFERROR(__xludf.DUMMYFUNCTION("""COMPUTED_VALUE"""),"Yes")</f>
        <v>Yes</v>
      </c>
      <c r="Y85" s="5" t="str">
        <f ca="1">IFERROR(__xludf.DUMMYFUNCTION("""COMPUTED_VALUE"""),"Yes")</f>
        <v>Yes</v>
      </c>
      <c r="Z85" s="5" t="str">
        <f ca="1">IFERROR(__xludf.DUMMYFUNCTION("""COMPUTED_VALUE"""),"Yes")</f>
        <v>Yes</v>
      </c>
      <c r="AA85" s="5" t="str">
        <f ca="1">IFERROR(__xludf.DUMMYFUNCTION("""COMPUTED_VALUE"""),"Yes")</f>
        <v>Yes</v>
      </c>
      <c r="AB85" s="5" t="str">
        <f ca="1">IFERROR(__xludf.DUMMYFUNCTION("""COMPUTED_VALUE"""),"Yes")</f>
        <v>Yes</v>
      </c>
      <c r="AC85" s="5" t="str">
        <f ca="1">IFERROR(__xludf.DUMMYFUNCTION("""COMPUTED_VALUE"""),"Yes")</f>
        <v>Yes</v>
      </c>
      <c r="AD85" s="5" t="str">
        <f ca="1">IFERROR(__xludf.DUMMYFUNCTION("""COMPUTED_VALUE"""),"Yes")</f>
        <v>Yes</v>
      </c>
      <c r="AE85" s="5" t="str">
        <f ca="1">IFERROR(__xludf.DUMMYFUNCTION("""COMPUTED_VALUE"""),"Yes")</f>
        <v>Yes</v>
      </c>
      <c r="AF85" s="5" t="str">
        <f ca="1">IFERROR(__xludf.DUMMYFUNCTION("""COMPUTED_VALUE"""),"Yes")</f>
        <v>Yes</v>
      </c>
      <c r="AG85" s="5" t="str">
        <f ca="1">IFERROR(__xludf.DUMMYFUNCTION("""COMPUTED_VALUE"""),"Yes")</f>
        <v>Yes</v>
      </c>
      <c r="AH85" s="5" t="str">
        <f ca="1">IFERROR(__xludf.DUMMYFUNCTION("""COMPUTED_VALUE"""),"Yes")</f>
        <v>Yes</v>
      </c>
      <c r="AI85" s="5" t="str">
        <f ca="1">IFERROR(__xludf.DUMMYFUNCTION("""COMPUTED_VALUE"""),"Yes")</f>
        <v>Yes</v>
      </c>
      <c r="AJ85" s="5" t="str">
        <f ca="1">IFERROR(__xludf.DUMMYFUNCTION("""COMPUTED_VALUE"""),"Yes")</f>
        <v>Yes</v>
      </c>
      <c r="AK85" s="5" t="str">
        <f ca="1">IFERROR(__xludf.DUMMYFUNCTION("""COMPUTED_VALUE"""),"Yes")</f>
        <v>Yes</v>
      </c>
      <c r="AL85" s="5" t="str">
        <f ca="1">IFERROR(__xludf.DUMMYFUNCTION("""COMPUTED_VALUE"""),"Yes")</f>
        <v>Yes</v>
      </c>
      <c r="AM85" s="5"/>
      <c r="AN85" s="5"/>
      <c r="AO85" s="5"/>
      <c r="AP85" s="5"/>
      <c r="AQ85" s="5" t="str">
        <f ca="1">IFERROR(__xludf.DUMMYFUNCTION("""COMPUTED_VALUE"""),"Yes")</f>
        <v>Yes</v>
      </c>
      <c r="AR85" s="5"/>
      <c r="AS85" s="5"/>
      <c r="AT85" s="5"/>
      <c r="AU85" s="5"/>
    </row>
    <row r="86" spans="1:47" x14ac:dyDescent="0.25">
      <c r="A86" s="5" t="str">
        <f ca="1">IFERROR(__xludf.DUMMYFUNCTION("""COMPUTED_VALUE"""),"Redstone")</f>
        <v>Redstone</v>
      </c>
      <c r="B86" s="5" t="str">
        <f ca="1">IFERROR(__xludf.DUMMYFUNCTION("""COMPUTED_VALUE"""),"Multi Crown 10")</f>
        <v>Multi Crown 10</v>
      </c>
      <c r="C86" s="5" t="str">
        <f ca="1">IFERROR(__xludf.DUMMYFUNCTION("""COMPUTED_VALUE"""),"RedstoneMultiCrown10")</f>
        <v>RedstoneMultiCrown10</v>
      </c>
      <c r="D86" s="6">
        <f ca="1">IFERROR(__xludf.DUMMYFUNCTION("""COMPUTED_VALUE"""),45804)</f>
        <v>45804</v>
      </c>
      <c r="E86" s="5" t="str">
        <f ca="1">IFERROR(__xludf.DUMMYFUNCTION("""COMPUTED_VALUE"""),"Slot")</f>
        <v>Slot</v>
      </c>
      <c r="F86" s="5">
        <f ca="1">IFERROR(__xludf.DUMMYFUNCTION("""COMPUTED_VALUE"""),9)</f>
        <v>9</v>
      </c>
      <c r="G86" s="5" t="str">
        <f ca="1">IFERROR(__xludf.DUMMYFUNCTION("""COMPUTED_VALUE"""),"5x3")</f>
        <v>5x3</v>
      </c>
      <c r="H86" s="5">
        <f ca="1">IFERROR(__xludf.DUMMYFUNCTION("""COMPUTED_VALUE"""),10)</f>
        <v>10</v>
      </c>
      <c r="I86" s="5">
        <f ca="1">IFERROR(__xludf.DUMMYFUNCTION("""COMPUTED_VALUE"""),10)</f>
        <v>10</v>
      </c>
      <c r="J86" s="5" t="str">
        <f ca="1">IFERROR(__xludf.DUMMYFUNCTION("""COMPUTED_VALUE"""),"96.01%")</f>
        <v>96.01%</v>
      </c>
      <c r="K86" s="5" t="str">
        <f ca="1">IFERROR(__xludf.DUMMYFUNCTION("""COMPUTED_VALUE"""),"Medium")</f>
        <v>Medium</v>
      </c>
      <c r="L86" s="5" t="str">
        <f ca="1">IFERROR(__xludf.DUMMYFUNCTION("""COMPUTED_VALUE"""),"13.61%")</f>
        <v>13.61%</v>
      </c>
      <c r="M86" s="5" t="str">
        <f ca="1">IFERROR(__xludf.DUMMYFUNCTION("""COMPUTED_VALUE"""),"x1615")</f>
        <v>x1615</v>
      </c>
      <c r="N86" s="5" t="str">
        <f ca="1">IFERROR(__xludf.DUMMYFUNCTION("""COMPUTED_VALUE"""),"0.10/50")</f>
        <v>0.10/50</v>
      </c>
      <c r="O86" s="5" t="str">
        <f ca="1">IFERROR(__xludf.DUMMYFUNCTION("""COMPUTED_VALUE"""),"No")</f>
        <v>No</v>
      </c>
      <c r="P86" s="5" t="str">
        <f ca="1">IFERROR(__xludf.DUMMYFUNCTION("""COMPUTED_VALUE"""),"Expanding Wild, Win Multiplier")</f>
        <v>Expanding Wild, Win Multiplier</v>
      </c>
      <c r="Q86" s="7" t="str">
        <f ca="1">IFERROR(__xludf.DUMMYFUNCTION("""COMPUTED_VALUE"""),"https://static.redstone.rs/games/multi-crown-10/")</f>
        <v>https://static.redstone.rs/games/multi-crown-10/</v>
      </c>
      <c r="R86" s="5" t="str">
        <f ca="1">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S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IFERROR(__xludf.DUMMYFUNCTION("""COMPUTED_VALUE"""),"Yes")</f>
        <v>Yes</v>
      </c>
      <c r="X86" s="5" t="str">
        <f ca="1">IFERROR(__xludf.DUMMYFUNCTION("""COMPUTED_VALUE"""),"Yes")</f>
        <v>Yes</v>
      </c>
      <c r="Y86" s="5" t="str">
        <f ca="1">IFERROR(__xludf.DUMMYFUNCTION("""COMPUTED_VALUE"""),"Yes")</f>
        <v>Yes</v>
      </c>
      <c r="Z86" s="5" t="str">
        <f ca="1">IFERROR(__xludf.DUMMYFUNCTION("""COMPUTED_VALUE"""),"Yes")</f>
        <v>Yes</v>
      </c>
      <c r="AA86" s="5" t="str">
        <f ca="1">IFERROR(__xludf.DUMMYFUNCTION("""COMPUTED_VALUE"""),"Yes")</f>
        <v>Yes</v>
      </c>
      <c r="AB86" s="5" t="str">
        <f ca="1">IFERROR(__xludf.DUMMYFUNCTION("""COMPUTED_VALUE"""),"Yes")</f>
        <v>Yes</v>
      </c>
      <c r="AC86" s="5" t="str">
        <f ca="1">IFERROR(__xludf.DUMMYFUNCTION("""COMPUTED_VALUE"""),"Yes")</f>
        <v>Yes</v>
      </c>
      <c r="AD86" s="5" t="str">
        <f ca="1">IFERROR(__xludf.DUMMYFUNCTION("""COMPUTED_VALUE"""),"Yes")</f>
        <v>Yes</v>
      </c>
      <c r="AE86" s="5" t="str">
        <f ca="1">IFERROR(__xludf.DUMMYFUNCTION("""COMPUTED_VALUE"""),"Yes")</f>
        <v>Yes</v>
      </c>
      <c r="AF86" s="5" t="str">
        <f ca="1">IFERROR(__xludf.DUMMYFUNCTION("""COMPUTED_VALUE"""),"Yes")</f>
        <v>Yes</v>
      </c>
      <c r="AG86" s="5" t="str">
        <f ca="1">IFERROR(__xludf.DUMMYFUNCTION("""COMPUTED_VALUE"""),"Yes")</f>
        <v>Yes</v>
      </c>
      <c r="AH86" s="5" t="str">
        <f ca="1">IFERROR(__xludf.DUMMYFUNCTION("""COMPUTED_VALUE"""),"Yes")</f>
        <v>Yes</v>
      </c>
      <c r="AI86" s="5" t="str">
        <f ca="1">IFERROR(__xludf.DUMMYFUNCTION("""COMPUTED_VALUE"""),"Yes")</f>
        <v>Yes</v>
      </c>
      <c r="AJ86" s="5" t="str">
        <f ca="1">IFERROR(__xludf.DUMMYFUNCTION("""COMPUTED_VALUE"""),"Yes")</f>
        <v>Yes</v>
      </c>
      <c r="AK86" s="5" t="str">
        <f ca="1">IFERROR(__xludf.DUMMYFUNCTION("""COMPUTED_VALUE"""),"Yes")</f>
        <v>Yes</v>
      </c>
      <c r="AL86" s="5" t="str">
        <f ca="1">IFERROR(__xludf.DUMMYFUNCTION("""COMPUTED_VALUE"""),"Yes")</f>
        <v>Yes</v>
      </c>
      <c r="AM86" s="5"/>
      <c r="AN86" s="5" t="str">
        <f ca="1">IFERROR(__xludf.DUMMYFUNCTION("""COMPUTED_VALUE"""),"Yes")</f>
        <v>Yes</v>
      </c>
      <c r="AO86" s="5"/>
      <c r="AP86" s="5"/>
      <c r="AQ86" s="5" t="str">
        <f ca="1">IFERROR(__xludf.DUMMYFUNCTION("""COMPUTED_VALUE"""),"Yes")</f>
        <v>Yes</v>
      </c>
      <c r="AR86" s="5"/>
      <c r="AS86" s="5"/>
      <c r="AT86" s="5"/>
      <c r="AU86" s="5"/>
    </row>
    <row r="87" spans="1:47" x14ac:dyDescent="0.25">
      <c r="A87" s="5" t="str">
        <f ca="1">IFERROR(__xludf.DUMMYFUNCTION("""COMPUTED_VALUE"""),"Redstone")</f>
        <v>Redstone</v>
      </c>
      <c r="B87" s="5" t="str">
        <f ca="1">IFERROR(__xludf.DUMMYFUNCTION("""COMPUTED_VALUE"""),"777: Expand")</f>
        <v>777: Expand</v>
      </c>
      <c r="C87" s="5" t="str">
        <f ca="1">IFERROR(__xludf.DUMMYFUNCTION("""COMPUTED_VALUE"""),"Redstone777Expand")</f>
        <v>Redstone777Expand</v>
      </c>
      <c r="D87" s="6">
        <f ca="1">IFERROR(__xludf.DUMMYFUNCTION("""COMPUTED_VALUE"""),45818)</f>
        <v>45818</v>
      </c>
      <c r="E87" s="5" t="str">
        <f ca="1">IFERROR(__xludf.DUMMYFUNCTION("""COMPUTED_VALUE"""),"Slot")</f>
        <v>Slot</v>
      </c>
      <c r="F87" s="5">
        <f ca="1">IFERROR(__xludf.DUMMYFUNCTION("""COMPUTED_VALUE"""),6.5)</f>
        <v>6.5</v>
      </c>
      <c r="G87" s="5" t="str">
        <f ca="1">IFERROR(__xludf.DUMMYFUNCTION("""COMPUTED_VALUE"""),"5x3")</f>
        <v>5x3</v>
      </c>
      <c r="H87" s="5">
        <f ca="1">IFERROR(__xludf.DUMMYFUNCTION("""COMPUTED_VALUE"""),10)</f>
        <v>10</v>
      </c>
      <c r="I87" s="5">
        <f ca="1">IFERROR(__xludf.DUMMYFUNCTION("""COMPUTED_VALUE"""),10)</f>
        <v>10</v>
      </c>
      <c r="J87" s="5" t="str">
        <f ca="1">IFERROR(__xludf.DUMMYFUNCTION("""COMPUTED_VALUE"""),"96.03%")</f>
        <v>96.03%</v>
      </c>
      <c r="K87" s="5" t="str">
        <f ca="1">IFERROR(__xludf.DUMMYFUNCTION("""COMPUTED_VALUE"""),"Medium")</f>
        <v>Medium</v>
      </c>
      <c r="L87" s="5" t="str">
        <f ca="1">IFERROR(__xludf.DUMMYFUNCTION("""COMPUTED_VALUE"""),"18.71%")</f>
        <v>18.71%</v>
      </c>
      <c r="M87" s="5" t="str">
        <f ca="1">IFERROR(__xludf.DUMMYFUNCTION("""COMPUTED_VALUE"""),"x3000")</f>
        <v>x3000</v>
      </c>
      <c r="N87" s="5" t="str">
        <f ca="1">IFERROR(__xludf.DUMMYFUNCTION("""COMPUTED_VALUE"""),"0.1/100")</f>
        <v>0.1/100</v>
      </c>
      <c r="O87" s="5" t="str">
        <f ca="1">IFERROR(__xludf.DUMMYFUNCTION("""COMPUTED_VALUE"""),"No")</f>
        <v>No</v>
      </c>
      <c r="P87" s="5" t="str">
        <f ca="1">IFERROR(__xludf.DUMMYFUNCTION("""COMPUTED_VALUE"""),"Expanding Wild, Scatter")</f>
        <v>Expanding Wild, Scatter</v>
      </c>
      <c r="Q87" s="7" t="str">
        <f ca="1">IFERROR(__xludf.DUMMYFUNCTION("""COMPUTED_VALUE"""),"https://static.redstone.rs/games/777-expand/")</f>
        <v>https://static.redstone.rs/games/777-expand/</v>
      </c>
      <c r="R87" s="5" t="str">
        <f ca="1">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S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87" s="5" t="str">
        <f ca="1">IFERROR(__xludf.DUMMYFUNCTION("""COMPUTED_VALUE"""),"Yes")</f>
        <v>Yes</v>
      </c>
      <c r="U87" s="5" t="str">
        <f ca="1">IFERROR(__xludf.DUMMYFUNCTION("""COMPUTED_VALUE"""),"Yes")</f>
        <v>Yes</v>
      </c>
      <c r="V87" s="5" t="str">
        <f ca="1">IFERROR(__xludf.DUMMYFUNCTION("""COMPUTED_VALUE"""),"Yes")</f>
        <v>Yes</v>
      </c>
      <c r="W87" s="5" t="str">
        <f ca="1">IFERROR(__xludf.DUMMYFUNCTION("""COMPUTED_VALUE"""),"Yes")</f>
        <v>Yes</v>
      </c>
      <c r="X87" s="5" t="str">
        <f ca="1">IFERROR(__xludf.DUMMYFUNCTION("""COMPUTED_VALUE"""),"Yes")</f>
        <v>Yes</v>
      </c>
      <c r="Y87" s="5" t="str">
        <f ca="1">IFERROR(__xludf.DUMMYFUNCTION("""COMPUTED_VALUE"""),"Yes")</f>
        <v>Yes</v>
      </c>
      <c r="Z87" s="5" t="str">
        <f ca="1">IFERROR(__xludf.DUMMYFUNCTION("""COMPUTED_VALUE"""),"Yes")</f>
        <v>Yes</v>
      </c>
      <c r="AA87" s="5" t="str">
        <f ca="1">IFERROR(__xludf.DUMMYFUNCTION("""COMPUTED_VALUE"""),"Yes")</f>
        <v>Yes</v>
      </c>
      <c r="AB87" s="5" t="str">
        <f ca="1">IFERROR(__xludf.DUMMYFUNCTION("""COMPUTED_VALUE"""),"Yes")</f>
        <v>Yes</v>
      </c>
      <c r="AC87" s="5" t="str">
        <f ca="1">IFERROR(__xludf.DUMMYFUNCTION("""COMPUTED_VALUE"""),"Yes")</f>
        <v>Yes</v>
      </c>
      <c r="AD87" s="5" t="str">
        <f ca="1">IFERROR(__xludf.DUMMYFUNCTION("""COMPUTED_VALUE"""),"Yes")</f>
        <v>Yes</v>
      </c>
      <c r="AE87" s="5" t="str">
        <f ca="1">IFERROR(__xludf.DUMMYFUNCTION("""COMPUTED_VALUE"""),"Yes")</f>
        <v>Yes</v>
      </c>
      <c r="AF87" s="5" t="str">
        <f ca="1">IFERROR(__xludf.DUMMYFUNCTION("""COMPUTED_VALUE"""),"Yes")</f>
        <v>Yes</v>
      </c>
      <c r="AG87" s="5" t="str">
        <f ca="1">IFERROR(__xludf.DUMMYFUNCTION("""COMPUTED_VALUE"""),"Yes")</f>
        <v>Yes</v>
      </c>
      <c r="AH87" s="5" t="str">
        <f ca="1">IFERROR(__xludf.DUMMYFUNCTION("""COMPUTED_VALUE"""),"Yes")</f>
        <v>Yes</v>
      </c>
      <c r="AI87" s="5" t="str">
        <f ca="1">IFERROR(__xludf.DUMMYFUNCTION("""COMPUTED_VALUE"""),"Yes")</f>
        <v>Yes</v>
      </c>
      <c r="AJ87" s="5" t="str">
        <f ca="1">IFERROR(__xludf.DUMMYFUNCTION("""COMPUTED_VALUE"""),"Yes")</f>
        <v>Yes</v>
      </c>
      <c r="AK87" s="5" t="str">
        <f ca="1">IFERROR(__xludf.DUMMYFUNCTION("""COMPUTED_VALUE"""),"Yes")</f>
        <v>Yes</v>
      </c>
      <c r="AL87" s="5" t="str">
        <f ca="1">IFERROR(__xludf.DUMMYFUNCTION("""COMPUTED_VALUE"""),"Yes")</f>
        <v>Yes</v>
      </c>
      <c r="AM87" s="5" t="str">
        <f ca="1">IFERROR(__xludf.DUMMYFUNCTION("""COMPUTED_VALUE"""),"Yes")</f>
        <v>Yes</v>
      </c>
      <c r="AN87" s="5" t="str">
        <f ca="1">IFERROR(__xludf.DUMMYFUNCTION("""COMPUTED_VALUE"""),"Yes")</f>
        <v>Yes</v>
      </c>
      <c r="AO87" s="5" t="str">
        <f ca="1">IFERROR(__xludf.DUMMYFUNCTION("""COMPUTED_VALUE"""),"Yes")</f>
        <v>Yes</v>
      </c>
      <c r="AP87" s="5" t="str">
        <f ca="1">IFERROR(__xludf.DUMMYFUNCTION("""COMPUTED_VALUE"""),"Yes")</f>
        <v>Yes</v>
      </c>
      <c r="AQ87" s="5" t="str">
        <f ca="1">IFERROR(__xludf.DUMMYFUNCTION("""COMPUTED_VALUE"""),"Yes")</f>
        <v>Yes</v>
      </c>
      <c r="AR87" s="5" t="str">
        <f ca="1">IFERROR(__xludf.DUMMYFUNCTION("""COMPUTED_VALUE"""),"Yes")</f>
        <v>Yes</v>
      </c>
      <c r="AS87" s="5" t="str">
        <f ca="1">IFERROR(__xludf.DUMMYFUNCTION("""COMPUTED_VALUE"""),"Yes")</f>
        <v>Yes</v>
      </c>
      <c r="AT87" s="5" t="str">
        <f ca="1">IFERROR(__xludf.DUMMYFUNCTION("""COMPUTED_VALUE"""),"Yes")</f>
        <v>Yes</v>
      </c>
      <c r="AU87" s="5"/>
    </row>
    <row r="88" spans="1:47" x14ac:dyDescent="0.25">
      <c r="A88" s="5" t="str">
        <f ca="1">IFERROR(__xludf.DUMMYFUNCTION("""COMPUTED_VALUE"""),"Redstone")</f>
        <v>Redstone</v>
      </c>
      <c r="B88" s="5" t="str">
        <f ca="1">IFERROR(__xludf.DUMMYFUNCTION("""COMPUTED_VALUE"""),"Double Wild Crown")</f>
        <v>Double Wild Crown</v>
      </c>
      <c r="C88" s="5" t="str">
        <f ca="1">IFERROR(__xludf.DUMMYFUNCTION("""COMPUTED_VALUE"""),"RedstoneDoubleWildCrown")</f>
        <v>RedstoneDoubleWildCrown</v>
      </c>
      <c r="D88" s="6">
        <f ca="1">IFERROR(__xludf.DUMMYFUNCTION("""COMPUTED_VALUE"""),45812)</f>
        <v>45812</v>
      </c>
      <c r="E88" s="5" t="str">
        <f ca="1">IFERROR(__xludf.DUMMYFUNCTION("""COMPUTED_VALUE"""),"Slot")</f>
        <v>Slot</v>
      </c>
      <c r="F88" s="5">
        <f ca="1">IFERROR(__xludf.DUMMYFUNCTION("""COMPUTED_VALUE"""),6.2)</f>
        <v>6.2</v>
      </c>
      <c r="G88" s="5" t="str">
        <f ca="1">IFERROR(__xludf.DUMMYFUNCTION("""COMPUTED_VALUE"""),"5x3")</f>
        <v>5x3</v>
      </c>
      <c r="H88" s="5">
        <f ca="1">IFERROR(__xludf.DUMMYFUNCTION("""COMPUTED_VALUE"""),5)</f>
        <v>5</v>
      </c>
      <c r="I88" s="5">
        <f ca="1">IFERROR(__xludf.DUMMYFUNCTION("""COMPUTED_VALUE"""),5)</f>
        <v>5</v>
      </c>
      <c r="J88" s="5" t="str">
        <f ca="1">IFERROR(__xludf.DUMMYFUNCTION("""COMPUTED_VALUE"""),"96.45%")</f>
        <v>96.45%</v>
      </c>
      <c r="K88" s="5" t="str">
        <f ca="1">IFERROR(__xludf.DUMMYFUNCTION("""COMPUTED_VALUE"""),"Medium")</f>
        <v>Medium</v>
      </c>
      <c r="L88" s="5" t="str">
        <f ca="1">IFERROR(__xludf.DUMMYFUNCTION("""COMPUTED_VALUE"""),"14.23%")</f>
        <v>14.23%</v>
      </c>
      <c r="M88" s="5" t="str">
        <f ca="1">IFERROR(__xludf.DUMMYFUNCTION("""COMPUTED_VALUE"""),"x2600")</f>
        <v>x2600</v>
      </c>
      <c r="N88" s="5" t="str">
        <f ca="1">IFERROR(__xludf.DUMMYFUNCTION("""COMPUTED_VALUE"""),"0.05/100")</f>
        <v>0.05/100</v>
      </c>
      <c r="O88" s="5" t="str">
        <f ca="1">IFERROR(__xludf.DUMMYFUNCTION("""COMPUTED_VALUE"""),"No")</f>
        <v>No</v>
      </c>
      <c r="P88" s="5" t="str">
        <f ca="1">IFERROR(__xludf.DUMMYFUNCTION("""COMPUTED_VALUE"""),"Expanding Wild, Scatter")</f>
        <v>Expanding Wild, Scatter</v>
      </c>
      <c r="Q88" s="7" t="str">
        <f ca="1">IFERROR(__xludf.DUMMYFUNCTION("""COMPUTED_VALUE"""),"https://static.redstone.rs/games/double-wild-crown/")</f>
        <v>https://static.redstone.rs/games/double-wild-crown/</v>
      </c>
      <c r="R88" s="5" t="str">
        <f ca="1">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8" s="5" t="str">
        <f ca="1">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T88" s="5" t="str">
        <f ca="1">IFERROR(__xludf.DUMMYFUNCTION("""COMPUTED_VALUE"""),"Yes")</f>
        <v>Yes</v>
      </c>
      <c r="U88" s="5" t="str">
        <f ca="1">IFERROR(__xludf.DUMMYFUNCTION("""COMPUTED_VALUE"""),"Yes")</f>
        <v>Yes</v>
      </c>
      <c r="V88" s="5" t="str">
        <f ca="1">IFERROR(__xludf.DUMMYFUNCTION("""COMPUTED_VALUE"""),"No")</f>
        <v>No</v>
      </c>
      <c r="W88" s="5" t="str">
        <f ca="1">IFERROR(__xludf.DUMMYFUNCTION("""COMPUTED_VALUE"""),"Yes")</f>
        <v>Yes</v>
      </c>
      <c r="X88" s="5" t="str">
        <f ca="1">IFERROR(__xludf.DUMMYFUNCTION("""COMPUTED_VALUE"""),"Yes")</f>
        <v>Yes</v>
      </c>
      <c r="Y88" s="5" t="str">
        <f ca="1">IFERROR(__xludf.DUMMYFUNCTION("""COMPUTED_VALUE"""),"Yes")</f>
        <v>Yes</v>
      </c>
      <c r="Z88" s="5" t="str">
        <f ca="1">IFERROR(__xludf.DUMMYFUNCTION("""COMPUTED_VALUE"""),"Yes")</f>
        <v>Yes</v>
      </c>
      <c r="AA88" s="5" t="str">
        <f ca="1">IFERROR(__xludf.DUMMYFUNCTION("""COMPUTED_VALUE"""),"Yes")</f>
        <v>Yes</v>
      </c>
      <c r="AB88" s="5" t="str">
        <f ca="1">IFERROR(__xludf.DUMMYFUNCTION("""COMPUTED_VALUE"""),"Yes")</f>
        <v>Yes</v>
      </c>
      <c r="AC88" s="5" t="str">
        <f ca="1">IFERROR(__xludf.DUMMYFUNCTION("""COMPUTED_VALUE"""),"Yes")</f>
        <v>Yes</v>
      </c>
      <c r="AD88" s="5" t="str">
        <f ca="1">IFERROR(__xludf.DUMMYFUNCTION("""COMPUTED_VALUE"""),"Yes")</f>
        <v>Yes</v>
      </c>
      <c r="AE88" s="5" t="str">
        <f ca="1">IFERROR(__xludf.DUMMYFUNCTION("""COMPUTED_VALUE"""),"Yes")</f>
        <v>Yes</v>
      </c>
      <c r="AF88" s="5" t="str">
        <f ca="1">IFERROR(__xludf.DUMMYFUNCTION("""COMPUTED_VALUE"""),"Yes")</f>
        <v>Yes</v>
      </c>
      <c r="AG88" s="5" t="str">
        <f ca="1">IFERROR(__xludf.DUMMYFUNCTION("""COMPUTED_VALUE"""),"Yes")</f>
        <v>Yes</v>
      </c>
      <c r="AH88" s="5" t="str">
        <f ca="1">IFERROR(__xludf.DUMMYFUNCTION("""COMPUTED_VALUE"""),"Yes")</f>
        <v>Yes</v>
      </c>
      <c r="AI88" s="5" t="str">
        <f ca="1">IFERROR(__xludf.DUMMYFUNCTION("""COMPUTED_VALUE"""),"Yes")</f>
        <v>Yes</v>
      </c>
      <c r="AJ88" s="5" t="str">
        <f ca="1">IFERROR(__xludf.DUMMYFUNCTION("""COMPUTED_VALUE"""),"Yes")</f>
        <v>Yes</v>
      </c>
      <c r="AK88" s="5" t="str">
        <f ca="1">IFERROR(__xludf.DUMMYFUNCTION("""COMPUTED_VALUE"""),"No")</f>
        <v>No</v>
      </c>
      <c r="AL88" s="5" t="str">
        <f ca="1">IFERROR(__xludf.DUMMYFUNCTION("""COMPUTED_VALUE"""),"No")</f>
        <v>No</v>
      </c>
      <c r="AM88" s="5" t="str">
        <f ca="1">IFERROR(__xludf.DUMMYFUNCTION("""COMPUTED_VALUE"""),"No")</f>
        <v>No</v>
      </c>
      <c r="AN88" s="5" t="str">
        <f ca="1">IFERROR(__xludf.DUMMYFUNCTION("""COMPUTED_VALUE"""),"No")</f>
        <v>No</v>
      </c>
      <c r="AO88" s="5" t="str">
        <f ca="1">IFERROR(__xludf.DUMMYFUNCTION("""COMPUTED_VALUE"""),"Yes")</f>
        <v>Yes</v>
      </c>
      <c r="AP88" s="5" t="str">
        <f ca="1">IFERROR(__xludf.DUMMYFUNCTION("""COMPUTED_VALUE"""),"No")</f>
        <v>No</v>
      </c>
      <c r="AQ88" s="5" t="str">
        <f ca="1">IFERROR(__xludf.DUMMYFUNCTION("""COMPUTED_VALUE"""),"No")</f>
        <v>No</v>
      </c>
      <c r="AR88" s="5" t="str">
        <f ca="1">IFERROR(__xludf.DUMMYFUNCTION("""COMPUTED_VALUE"""),"No")</f>
        <v>No</v>
      </c>
      <c r="AS88" s="5" t="str">
        <f ca="1">IFERROR(__xludf.DUMMYFUNCTION("""COMPUTED_VALUE"""),"Yes")</f>
        <v>Yes</v>
      </c>
      <c r="AT88" s="5" t="str">
        <f ca="1">IFERROR(__xludf.DUMMYFUNCTION("""COMPUTED_VALUE"""),"No")</f>
        <v>No</v>
      </c>
      <c r="AU88" s="5"/>
    </row>
    <row r="89" spans="1:47" x14ac:dyDescent="0.25">
      <c r="A89" s="5" t="str">
        <f ca="1">IFERROR(__xludf.DUMMYFUNCTION("""COMPUTED_VALUE"""),"Redstone")</f>
        <v>Redstone</v>
      </c>
      <c r="B89" s="5" t="str">
        <f ca="1">IFERROR(__xludf.DUMMYFUNCTION("""COMPUTED_VALUE"""),"Double Wild Heart")</f>
        <v>Double Wild Heart</v>
      </c>
      <c r="C89" s="5" t="str">
        <f ca="1">IFERROR(__xludf.DUMMYFUNCTION("""COMPUTED_VALUE"""),"RedstoneDoubleWildHeart")</f>
        <v>RedstoneDoubleWildHeart</v>
      </c>
      <c r="D89" s="6">
        <f ca="1">IFERROR(__xludf.DUMMYFUNCTION("""COMPUTED_VALUE"""),45903)</f>
        <v>45903</v>
      </c>
      <c r="E89" s="5" t="str">
        <f ca="1">IFERROR(__xludf.DUMMYFUNCTION("""COMPUTED_VALUE"""),"Slot")</f>
        <v>Slot</v>
      </c>
      <c r="F89" s="5">
        <f ca="1">IFERROR(__xludf.DUMMYFUNCTION("""COMPUTED_VALUE"""),6.2)</f>
        <v>6.2</v>
      </c>
      <c r="G89" s="5" t="str">
        <f ca="1">IFERROR(__xludf.DUMMYFUNCTION("""COMPUTED_VALUE"""),"5x3")</f>
        <v>5x3</v>
      </c>
      <c r="H89" s="5">
        <f ca="1">IFERROR(__xludf.DUMMYFUNCTION("""COMPUTED_VALUE"""),5)</f>
        <v>5</v>
      </c>
      <c r="I89" s="5">
        <f ca="1">IFERROR(__xludf.DUMMYFUNCTION("""COMPUTED_VALUE"""),5)</f>
        <v>5</v>
      </c>
      <c r="J89" s="5" t="str">
        <f ca="1">IFERROR(__xludf.DUMMYFUNCTION("""COMPUTED_VALUE"""),"96.45%")</f>
        <v>96.45%</v>
      </c>
      <c r="K89" s="5" t="str">
        <f ca="1">IFERROR(__xludf.DUMMYFUNCTION("""COMPUTED_VALUE"""),"Medium")</f>
        <v>Medium</v>
      </c>
      <c r="L89" s="5" t="str">
        <f ca="1">IFERROR(__xludf.DUMMYFUNCTION("""COMPUTED_VALUE"""),"14.23%")</f>
        <v>14.23%</v>
      </c>
      <c r="M89" s="5" t="str">
        <f ca="1">IFERROR(__xludf.DUMMYFUNCTION("""COMPUTED_VALUE"""),"x2600")</f>
        <v>x2600</v>
      </c>
      <c r="N89" s="5" t="str">
        <f ca="1">IFERROR(__xludf.DUMMYFUNCTION("""COMPUTED_VALUE"""),"0.05/100")</f>
        <v>0.05/100</v>
      </c>
      <c r="O89" s="5" t="str">
        <f ca="1">IFERROR(__xludf.DUMMYFUNCTION("""COMPUTED_VALUE"""),"No")</f>
        <v>No</v>
      </c>
      <c r="P89" s="5" t="str">
        <f ca="1">IFERROR(__xludf.DUMMYFUNCTION("""COMPUTED_VALUE"""),"Expanding Wild, Scatter")</f>
        <v>Expanding Wild, Scatter</v>
      </c>
      <c r="Q89" s="7" t="str">
        <f ca="1">IFERROR(__xludf.DUMMYFUNCTION("""COMPUTED_VALUE"""),"https://static.redstone.rs/games/double-wild-crown/")</f>
        <v>https://static.redstone.rs/games/double-wild-crown/</v>
      </c>
      <c r="R89" s="5" t="str">
        <f ca="1">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9" s="5" t="str">
        <f ca="1">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T89" s="5" t="str">
        <f ca="1">IFERROR(__xludf.DUMMYFUNCTION("""COMPUTED_VALUE"""),"Yes")</f>
        <v>Yes</v>
      </c>
      <c r="U89" s="5" t="str">
        <f ca="1">IFERROR(__xludf.DUMMYFUNCTION("""COMPUTED_VALUE"""),"Yes")</f>
        <v>Yes</v>
      </c>
      <c r="V89" s="5" t="str">
        <f ca="1">IFERROR(__xludf.DUMMYFUNCTION("""COMPUTED_VALUE"""),"No")</f>
        <v>No</v>
      </c>
      <c r="W89" s="5" t="str">
        <f ca="1">IFERROR(__xludf.DUMMYFUNCTION("""COMPUTED_VALUE"""),"Yes")</f>
        <v>Yes</v>
      </c>
      <c r="X89" s="5" t="str">
        <f ca="1">IFERROR(__xludf.DUMMYFUNCTION("""COMPUTED_VALUE"""),"Yes")</f>
        <v>Yes</v>
      </c>
      <c r="Y89" s="5" t="str">
        <f ca="1">IFERROR(__xludf.DUMMYFUNCTION("""COMPUTED_VALUE"""),"Yes")</f>
        <v>Yes</v>
      </c>
      <c r="Z89" s="5" t="str">
        <f ca="1">IFERROR(__xludf.DUMMYFUNCTION("""COMPUTED_VALUE"""),"Yes")</f>
        <v>Yes</v>
      </c>
      <c r="AA89" s="5" t="str">
        <f ca="1">IFERROR(__xludf.DUMMYFUNCTION("""COMPUTED_VALUE"""),"Yes")</f>
        <v>Yes</v>
      </c>
      <c r="AB89" s="5" t="str">
        <f ca="1">IFERROR(__xludf.DUMMYFUNCTION("""COMPUTED_VALUE"""),"Yes")</f>
        <v>Yes</v>
      </c>
      <c r="AC89" s="5" t="str">
        <f ca="1">IFERROR(__xludf.DUMMYFUNCTION("""COMPUTED_VALUE"""),"Yes")</f>
        <v>Yes</v>
      </c>
      <c r="AD89" s="5" t="str">
        <f ca="1">IFERROR(__xludf.DUMMYFUNCTION("""COMPUTED_VALUE"""),"Yes")</f>
        <v>Yes</v>
      </c>
      <c r="AE89" s="5" t="str">
        <f ca="1">IFERROR(__xludf.DUMMYFUNCTION("""COMPUTED_VALUE"""),"Yes")</f>
        <v>Yes</v>
      </c>
      <c r="AF89" s="5" t="str">
        <f ca="1">IFERROR(__xludf.DUMMYFUNCTION("""COMPUTED_VALUE"""),"Yes")</f>
        <v>Yes</v>
      </c>
      <c r="AG89" s="5" t="str">
        <f ca="1">IFERROR(__xludf.DUMMYFUNCTION("""COMPUTED_VALUE"""),"Yes")</f>
        <v>Yes</v>
      </c>
      <c r="AH89" s="5" t="str">
        <f ca="1">IFERROR(__xludf.DUMMYFUNCTION("""COMPUTED_VALUE"""),"Yes")</f>
        <v>Yes</v>
      </c>
      <c r="AI89" s="5" t="str">
        <f ca="1">IFERROR(__xludf.DUMMYFUNCTION("""COMPUTED_VALUE"""),"No")</f>
        <v>No</v>
      </c>
      <c r="AJ89" s="5" t="str">
        <f ca="1">IFERROR(__xludf.DUMMYFUNCTION("""COMPUTED_VALUE"""),"No")</f>
        <v>No</v>
      </c>
      <c r="AK89" s="5" t="str">
        <f ca="1">IFERROR(__xludf.DUMMYFUNCTION("""COMPUTED_VALUE"""),"No")</f>
        <v>No</v>
      </c>
      <c r="AL89" s="5" t="str">
        <f ca="1">IFERROR(__xludf.DUMMYFUNCTION("""COMPUTED_VALUE"""),"No")</f>
        <v>No</v>
      </c>
      <c r="AM89" s="5" t="str">
        <f ca="1">IFERROR(__xludf.DUMMYFUNCTION("""COMPUTED_VALUE"""),"No")</f>
        <v>No</v>
      </c>
      <c r="AN89" s="5" t="str">
        <f ca="1">IFERROR(__xludf.DUMMYFUNCTION("""COMPUTED_VALUE"""),"Yes")</f>
        <v>Yes</v>
      </c>
      <c r="AO89" s="5" t="str">
        <f ca="1">IFERROR(__xludf.DUMMYFUNCTION("""COMPUTED_VALUE"""),"Yes")</f>
        <v>Yes</v>
      </c>
      <c r="AP89" s="5" t="str">
        <f ca="1">IFERROR(__xludf.DUMMYFUNCTION("""COMPUTED_VALUE"""),"No")</f>
        <v>No</v>
      </c>
      <c r="AQ89" s="5" t="str">
        <f ca="1">IFERROR(__xludf.DUMMYFUNCTION("""COMPUTED_VALUE"""),"No")</f>
        <v>No</v>
      </c>
      <c r="AR89" s="5" t="str">
        <f ca="1">IFERROR(__xludf.DUMMYFUNCTION("""COMPUTED_VALUE"""),"No")</f>
        <v>No</v>
      </c>
      <c r="AS89" s="5" t="str">
        <f ca="1">IFERROR(__xludf.DUMMYFUNCTION("""COMPUTED_VALUE"""),"Yes")</f>
        <v>Yes</v>
      </c>
      <c r="AT89" s="5" t="str">
        <f ca="1">IFERROR(__xludf.DUMMYFUNCTION("""COMPUTED_VALUE"""),"No")</f>
        <v>No</v>
      </c>
      <c r="AU89" s="5"/>
    </row>
    <row r="90" spans="1:47" x14ac:dyDescent="0.25">
      <c r="A90" s="5" t="str">
        <f ca="1">IFERROR(__xludf.DUMMYFUNCTION("""COMPUTED_VALUE"""),"Redstone")</f>
        <v>Redstone</v>
      </c>
      <c r="B90" s="5" t="str">
        <f ca="1">IFERROR(__xludf.DUMMYFUNCTION("""COMPUTED_VALUE"""),"40 Wild Crown")</f>
        <v>40 Wild Crown</v>
      </c>
      <c r="C90" s="5" t="str">
        <f ca="1">IFERROR(__xludf.DUMMYFUNCTION("""COMPUTED_VALUE"""),"Redstone40WildCrown")</f>
        <v>Redstone40WildCrown</v>
      </c>
      <c r="D90" s="6">
        <f ca="1">IFERROR(__xludf.DUMMYFUNCTION("""COMPUTED_VALUE"""),45840)</f>
        <v>45840</v>
      </c>
      <c r="E90" s="5" t="str">
        <f ca="1">IFERROR(__xludf.DUMMYFUNCTION("""COMPUTED_VALUE"""),"Slot")</f>
        <v>Slot</v>
      </c>
      <c r="F90" s="5">
        <f ca="1">IFERROR(__xludf.DUMMYFUNCTION("""COMPUTED_VALUE"""),8)</f>
        <v>8</v>
      </c>
      <c r="G90" s="5" t="str">
        <f ca="1">IFERROR(__xludf.DUMMYFUNCTION("""COMPUTED_VALUE"""),"5x4")</f>
        <v>5x4</v>
      </c>
      <c r="H90" s="5">
        <f ca="1">IFERROR(__xludf.DUMMYFUNCTION("""COMPUTED_VALUE"""),40)</f>
        <v>40</v>
      </c>
      <c r="I90" s="5">
        <f ca="1">IFERROR(__xludf.DUMMYFUNCTION("""COMPUTED_VALUE"""),40)</f>
        <v>40</v>
      </c>
      <c r="J90" s="5" t="str">
        <f ca="1">IFERROR(__xludf.DUMMYFUNCTION("""COMPUTED_VALUE"""),"95.98%")</f>
        <v>95.98%</v>
      </c>
      <c r="K90" s="5" t="str">
        <f ca="1">IFERROR(__xludf.DUMMYFUNCTION("""COMPUTED_VALUE"""),"Medium")</f>
        <v>Medium</v>
      </c>
      <c r="L90" s="5" t="str">
        <f ca="1">IFERROR(__xludf.DUMMYFUNCTION("""COMPUTED_VALUE"""),"22.12%")</f>
        <v>22.12%</v>
      </c>
      <c r="M90" s="5" t="str">
        <f ca="1">IFERROR(__xludf.DUMMYFUNCTION("""COMPUTED_VALUE"""),"x727.5")</f>
        <v>x727.5</v>
      </c>
      <c r="N90" s="5" t="str">
        <f ca="1">IFERROR(__xludf.DUMMYFUNCTION("""COMPUTED_VALUE"""),"0.04/50")</f>
        <v>0.04/50</v>
      </c>
      <c r="O90" s="5" t="str">
        <f ca="1">IFERROR(__xludf.DUMMYFUNCTION("""COMPUTED_VALUE"""),"No")</f>
        <v>No</v>
      </c>
      <c r="P90" s="5" t="str">
        <f ca="1">IFERROR(__xludf.DUMMYFUNCTION("""COMPUTED_VALUE"""),"Expanding Wild, Scatter")</f>
        <v>Expanding Wild, Scatter</v>
      </c>
      <c r="Q90" s="7" t="str">
        <f ca="1">IFERROR(__xludf.DUMMYFUNCTION("""COMPUTED_VALUE"""),"https://static.redstone.rs/games/40-wild-crown/")</f>
        <v>https://static.redstone.rs/games/40-wild-crown/</v>
      </c>
      <c r="R90" s="5" t="str">
        <f ca="1">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S90"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0" s="5" t="str">
        <f ca="1">IFERROR(__xludf.DUMMYFUNCTION("""COMPUTED_VALUE"""),"Yes")</f>
        <v>Yes</v>
      </c>
      <c r="U90" s="5" t="str">
        <f ca="1">IFERROR(__xludf.DUMMYFUNCTION("""COMPUTED_VALUE"""),"Yes")</f>
        <v>Yes</v>
      </c>
      <c r="V90" s="5" t="str">
        <f ca="1">IFERROR(__xludf.DUMMYFUNCTION("""COMPUTED_VALUE"""),"Yes")</f>
        <v>Yes</v>
      </c>
      <c r="W90" s="5" t="str">
        <f ca="1">IFERROR(__xludf.DUMMYFUNCTION("""COMPUTED_VALUE"""),"Yes")</f>
        <v>Yes</v>
      </c>
      <c r="X90" s="5" t="str">
        <f ca="1">IFERROR(__xludf.DUMMYFUNCTION("""COMPUTED_VALUE"""),"Yes")</f>
        <v>Yes</v>
      </c>
      <c r="Y90" s="5" t="str">
        <f ca="1">IFERROR(__xludf.DUMMYFUNCTION("""COMPUTED_VALUE"""),"Yes")</f>
        <v>Yes</v>
      </c>
      <c r="Z90" s="5" t="str">
        <f ca="1">IFERROR(__xludf.DUMMYFUNCTION("""COMPUTED_VALUE"""),"Yes")</f>
        <v>Yes</v>
      </c>
      <c r="AA90" s="5" t="str">
        <f ca="1">IFERROR(__xludf.DUMMYFUNCTION("""COMPUTED_VALUE"""),"Yes")</f>
        <v>Yes</v>
      </c>
      <c r="AB90" s="5" t="str">
        <f ca="1">IFERROR(__xludf.DUMMYFUNCTION("""COMPUTED_VALUE"""),"Yes")</f>
        <v>Yes</v>
      </c>
      <c r="AC90" s="5" t="str">
        <f ca="1">IFERROR(__xludf.DUMMYFUNCTION("""COMPUTED_VALUE"""),"Yes")</f>
        <v>Yes</v>
      </c>
      <c r="AD90" s="5" t="str">
        <f ca="1">IFERROR(__xludf.DUMMYFUNCTION("""COMPUTED_VALUE"""),"Yes")</f>
        <v>Yes</v>
      </c>
      <c r="AE90" s="5" t="str">
        <f ca="1">IFERROR(__xludf.DUMMYFUNCTION("""COMPUTED_VALUE"""),"Yes")</f>
        <v>Yes</v>
      </c>
      <c r="AF90" s="5" t="str">
        <f ca="1">IFERROR(__xludf.DUMMYFUNCTION("""COMPUTED_VALUE"""),"Yes")</f>
        <v>Yes</v>
      </c>
      <c r="AG90" s="5" t="str">
        <f ca="1">IFERROR(__xludf.DUMMYFUNCTION("""COMPUTED_VALUE"""),"Yes")</f>
        <v>Yes</v>
      </c>
      <c r="AH90" s="5" t="str">
        <f ca="1">IFERROR(__xludf.DUMMYFUNCTION("""COMPUTED_VALUE"""),"Yes")</f>
        <v>Yes</v>
      </c>
      <c r="AI90" s="5" t="str">
        <f ca="1">IFERROR(__xludf.DUMMYFUNCTION("""COMPUTED_VALUE"""),"No")</f>
        <v>No</v>
      </c>
      <c r="AJ90" s="5" t="str">
        <f ca="1">IFERROR(__xludf.DUMMYFUNCTION("""COMPUTED_VALUE"""),"No")</f>
        <v>No</v>
      </c>
      <c r="AK90" s="5" t="str">
        <f ca="1">IFERROR(__xludf.DUMMYFUNCTION("""COMPUTED_VALUE"""),"No")</f>
        <v>No</v>
      </c>
      <c r="AL90" s="5" t="str">
        <f ca="1">IFERROR(__xludf.DUMMYFUNCTION("""COMPUTED_VALUE"""),"No")</f>
        <v>No</v>
      </c>
      <c r="AM90" s="5" t="str">
        <f ca="1">IFERROR(__xludf.DUMMYFUNCTION("""COMPUTED_VALUE"""),"No")</f>
        <v>No</v>
      </c>
      <c r="AN90" s="5" t="str">
        <f ca="1">IFERROR(__xludf.DUMMYFUNCTION("""COMPUTED_VALUE"""),"No")</f>
        <v>No</v>
      </c>
      <c r="AO90" s="5" t="str">
        <f ca="1">IFERROR(__xludf.DUMMYFUNCTION("""COMPUTED_VALUE"""),"Yes")</f>
        <v>Yes</v>
      </c>
      <c r="AP90" s="5" t="str">
        <f ca="1">IFERROR(__xludf.DUMMYFUNCTION("""COMPUTED_VALUE"""),"No")</f>
        <v>No</v>
      </c>
      <c r="AQ90" s="5" t="str">
        <f ca="1">IFERROR(__xludf.DUMMYFUNCTION("""COMPUTED_VALUE"""),"No")</f>
        <v>No</v>
      </c>
      <c r="AR90" s="5" t="str">
        <f ca="1">IFERROR(__xludf.DUMMYFUNCTION("""COMPUTED_VALUE"""),"No")</f>
        <v>No</v>
      </c>
      <c r="AS90" s="5" t="str">
        <f ca="1">IFERROR(__xludf.DUMMYFUNCTION("""COMPUTED_VALUE"""),"Yes")</f>
        <v>Yes</v>
      </c>
      <c r="AT90" s="5" t="str">
        <f ca="1">IFERROR(__xludf.DUMMYFUNCTION("""COMPUTED_VALUE"""),"No")</f>
        <v>No</v>
      </c>
      <c r="AU90" s="5"/>
    </row>
    <row r="91" spans="1:47" x14ac:dyDescent="0.25">
      <c r="A91" s="5" t="str">
        <f ca="1">IFERROR(__xludf.DUMMYFUNCTION("""COMPUTED_VALUE"""),"Redstone")</f>
        <v>Redstone</v>
      </c>
      <c r="B91" s="5" t="str">
        <f ca="1">IFERROR(__xludf.DUMMYFUNCTION("""COMPUTED_VALUE"""),"Double Crown 5")</f>
        <v>Double Crown 5</v>
      </c>
      <c r="C91" s="5" t="str">
        <f ca="1">IFERROR(__xludf.DUMMYFUNCTION("""COMPUTED_VALUE"""),"RedstoneDoubleCrown5")</f>
        <v>RedstoneDoubleCrown5</v>
      </c>
      <c r="D91" s="6">
        <f ca="1">IFERROR(__xludf.DUMMYFUNCTION("""COMPUTED_VALUE"""),45846)</f>
        <v>45846</v>
      </c>
      <c r="E91" s="5" t="str">
        <f ca="1">IFERROR(__xludf.DUMMYFUNCTION("""COMPUTED_VALUE"""),"Slot")</f>
        <v>Slot</v>
      </c>
      <c r="F91" s="5">
        <f ca="1">IFERROR(__xludf.DUMMYFUNCTION("""COMPUTED_VALUE"""),10)</f>
        <v>10</v>
      </c>
      <c r="G91" s="5" t="str">
        <f ca="1">IFERROR(__xludf.DUMMYFUNCTION("""COMPUTED_VALUE"""),"3x3")</f>
        <v>3x3</v>
      </c>
      <c r="H91" s="5">
        <f ca="1">IFERROR(__xludf.DUMMYFUNCTION("""COMPUTED_VALUE"""),5)</f>
        <v>5</v>
      </c>
      <c r="I91" s="5">
        <f ca="1">IFERROR(__xludf.DUMMYFUNCTION("""COMPUTED_VALUE"""),5)</f>
        <v>5</v>
      </c>
      <c r="J91" s="5" t="str">
        <f ca="1">IFERROR(__xludf.DUMMYFUNCTION("""COMPUTED_VALUE"""),"96.12%")</f>
        <v>96.12%</v>
      </c>
      <c r="K91" s="5" t="str">
        <f ca="1">IFERROR(__xludf.DUMMYFUNCTION("""COMPUTED_VALUE"""),"Medium")</f>
        <v>Medium</v>
      </c>
      <c r="L91" s="5" t="str">
        <f ca="1">IFERROR(__xludf.DUMMYFUNCTION("""COMPUTED_VALUE"""),"12.28%")</f>
        <v>12.28%</v>
      </c>
      <c r="M91" s="5" t="str">
        <f ca="1">IFERROR(__xludf.DUMMYFUNCTION("""COMPUTED_VALUE"""),"x180")</f>
        <v>x180</v>
      </c>
      <c r="N91" s="5" t="str">
        <f ca="1">IFERROR(__xludf.DUMMYFUNCTION("""COMPUTED_VALUE"""),"0.10/50")</f>
        <v>0.10/50</v>
      </c>
      <c r="O91" s="5" t="str">
        <f ca="1">IFERROR(__xludf.DUMMYFUNCTION("""COMPUTED_VALUE"""),"No")</f>
        <v>No</v>
      </c>
      <c r="P91" s="5" t="str">
        <f ca="1">IFERROR(__xludf.DUMMYFUNCTION("""COMPUTED_VALUE"""),"Wild Symbol, Win Multiplier")</f>
        <v>Wild Symbol, Win Multiplier</v>
      </c>
      <c r="Q91" s="7" t="str">
        <f ca="1">IFERROR(__xludf.DUMMYFUNCTION("""COMPUTED_VALUE"""),"https://static.redstone.rs/games/double-crown-5/")</f>
        <v>https://static.redstone.rs/games/double-crown-5/</v>
      </c>
      <c r="R91" s="5" t="str">
        <f ca="1">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S9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1" s="5" t="str">
        <f ca="1">IFERROR(__xludf.DUMMYFUNCTION("""COMPUTED_VALUE"""),"Yes")</f>
        <v>Yes</v>
      </c>
      <c r="U91" s="5" t="str">
        <f ca="1">IFERROR(__xludf.DUMMYFUNCTION("""COMPUTED_VALUE"""),"Yes")</f>
        <v>Yes</v>
      </c>
      <c r="V91" s="5" t="str">
        <f ca="1">IFERROR(__xludf.DUMMYFUNCTION("""COMPUTED_VALUE"""),"Yes")</f>
        <v>Yes</v>
      </c>
      <c r="W91" s="5" t="str">
        <f ca="1">IFERROR(__xludf.DUMMYFUNCTION("""COMPUTED_VALUE"""),"Yes")</f>
        <v>Yes</v>
      </c>
      <c r="X91" s="5" t="str">
        <f ca="1">IFERROR(__xludf.DUMMYFUNCTION("""COMPUTED_VALUE"""),"Yes")</f>
        <v>Yes</v>
      </c>
      <c r="Y91" s="5" t="str">
        <f ca="1">IFERROR(__xludf.DUMMYFUNCTION("""COMPUTED_VALUE"""),"Yes")</f>
        <v>Yes</v>
      </c>
      <c r="Z91" s="5" t="str">
        <f ca="1">IFERROR(__xludf.DUMMYFUNCTION("""COMPUTED_VALUE"""),"Yes")</f>
        <v>Yes</v>
      </c>
      <c r="AA91" s="5" t="str">
        <f ca="1">IFERROR(__xludf.DUMMYFUNCTION("""COMPUTED_VALUE"""),"Yes")</f>
        <v>Yes</v>
      </c>
      <c r="AB91" s="5" t="str">
        <f ca="1">IFERROR(__xludf.DUMMYFUNCTION("""COMPUTED_VALUE"""),"Yes")</f>
        <v>Yes</v>
      </c>
      <c r="AC91" s="5" t="str">
        <f ca="1">IFERROR(__xludf.DUMMYFUNCTION("""COMPUTED_VALUE"""),"Yes")</f>
        <v>Yes</v>
      </c>
      <c r="AD91" s="5" t="str">
        <f ca="1">IFERROR(__xludf.DUMMYFUNCTION("""COMPUTED_VALUE"""),"Yes")</f>
        <v>Yes</v>
      </c>
      <c r="AE91" s="5" t="str">
        <f ca="1">IFERROR(__xludf.DUMMYFUNCTION("""COMPUTED_VALUE"""),"Yes")</f>
        <v>Yes</v>
      </c>
      <c r="AF91" s="5" t="str">
        <f ca="1">IFERROR(__xludf.DUMMYFUNCTION("""COMPUTED_VALUE"""),"Yes")</f>
        <v>Yes</v>
      </c>
      <c r="AG91" s="5" t="str">
        <f ca="1">IFERROR(__xludf.DUMMYFUNCTION("""COMPUTED_VALUE"""),"Yes")</f>
        <v>Yes</v>
      </c>
      <c r="AH91" s="5" t="str">
        <f ca="1">IFERROR(__xludf.DUMMYFUNCTION("""COMPUTED_VALUE"""),"Yes")</f>
        <v>Yes</v>
      </c>
      <c r="AI91" s="5" t="str">
        <f ca="1">IFERROR(__xludf.DUMMYFUNCTION("""COMPUTED_VALUE"""),"No")</f>
        <v>No</v>
      </c>
      <c r="AJ91" s="5" t="str">
        <f ca="1">IFERROR(__xludf.DUMMYFUNCTION("""COMPUTED_VALUE"""),"No")</f>
        <v>No</v>
      </c>
      <c r="AK91" s="5" t="str">
        <f ca="1">IFERROR(__xludf.DUMMYFUNCTION("""COMPUTED_VALUE"""),"No")</f>
        <v>No</v>
      </c>
      <c r="AL91" s="5" t="str">
        <f ca="1">IFERROR(__xludf.DUMMYFUNCTION("""COMPUTED_VALUE"""),"No")</f>
        <v>No</v>
      </c>
      <c r="AM91" s="5" t="str">
        <f ca="1">IFERROR(__xludf.DUMMYFUNCTION("""COMPUTED_VALUE"""),"No")</f>
        <v>No</v>
      </c>
      <c r="AN91" s="5" t="str">
        <f ca="1">IFERROR(__xludf.DUMMYFUNCTION("""COMPUTED_VALUE"""),"No")</f>
        <v>No</v>
      </c>
      <c r="AO91" s="5" t="str">
        <f ca="1">IFERROR(__xludf.DUMMYFUNCTION("""COMPUTED_VALUE"""),"Yes")</f>
        <v>Yes</v>
      </c>
      <c r="AP91" s="5" t="str">
        <f ca="1">IFERROR(__xludf.DUMMYFUNCTION("""COMPUTED_VALUE"""),"No")</f>
        <v>No</v>
      </c>
      <c r="AQ91" s="5" t="str">
        <f ca="1">IFERROR(__xludf.DUMMYFUNCTION("""COMPUTED_VALUE"""),"No")</f>
        <v>No</v>
      </c>
      <c r="AR91" s="5" t="str">
        <f ca="1">IFERROR(__xludf.DUMMYFUNCTION("""COMPUTED_VALUE"""),"No")</f>
        <v>No</v>
      </c>
      <c r="AS91" s="5" t="str">
        <f ca="1">IFERROR(__xludf.DUMMYFUNCTION("""COMPUTED_VALUE"""),"Yes")</f>
        <v>Yes</v>
      </c>
      <c r="AT91" s="5" t="str">
        <f ca="1">IFERROR(__xludf.DUMMYFUNCTION("""COMPUTED_VALUE"""),"No")</f>
        <v>No</v>
      </c>
      <c r="AU91" s="5"/>
    </row>
    <row r="92" spans="1:47" x14ac:dyDescent="0.25">
      <c r="A92" s="5" t="str">
        <f ca="1">IFERROR(__xludf.DUMMYFUNCTION("""COMPUTED_VALUE"""),"Redstone")</f>
        <v>Redstone</v>
      </c>
      <c r="B92" s="5" t="str">
        <f ca="1">IFERROR(__xludf.DUMMYFUNCTION("""COMPUTED_VALUE"""),"Heart Royale ")</f>
        <v xml:space="preserve">Heart Royale </v>
      </c>
      <c r="C92" s="5" t="str">
        <f ca="1">IFERROR(__xludf.DUMMYFUNCTION("""COMPUTED_VALUE"""),"RedstoneHeartRoyale")</f>
        <v>RedstoneHeartRoyale</v>
      </c>
      <c r="D92" s="6">
        <f ca="1">IFERROR(__xludf.DUMMYFUNCTION("""COMPUTED_VALUE"""),45854)</f>
        <v>45854</v>
      </c>
      <c r="E92" s="5" t="str">
        <f ca="1">IFERROR(__xludf.DUMMYFUNCTION("""COMPUTED_VALUE"""),"Slot")</f>
        <v>Slot</v>
      </c>
      <c r="F92" s="5">
        <f ca="1">IFERROR(__xludf.DUMMYFUNCTION("""COMPUTED_VALUE"""),9.3)</f>
        <v>9.3000000000000007</v>
      </c>
      <c r="G92" s="5" t="str">
        <f ca="1">IFERROR(__xludf.DUMMYFUNCTION("""COMPUTED_VALUE"""),"5x3")</f>
        <v>5x3</v>
      </c>
      <c r="H92" s="5">
        <f ca="1">IFERROR(__xludf.DUMMYFUNCTION("""COMPUTED_VALUE"""),5)</f>
        <v>5</v>
      </c>
      <c r="I92" s="5">
        <f ca="1">IFERROR(__xludf.DUMMYFUNCTION("""COMPUTED_VALUE"""),5)</f>
        <v>5</v>
      </c>
      <c r="J92" s="5" t="str">
        <f ca="1">IFERROR(__xludf.DUMMYFUNCTION("""COMPUTED_VALUE"""),"95.99%")</f>
        <v>95.99%</v>
      </c>
      <c r="K92" s="5" t="str">
        <f ca="1">IFERROR(__xludf.DUMMYFUNCTION("""COMPUTED_VALUE"""),"Medium")</f>
        <v>Medium</v>
      </c>
      <c r="L92" s="5" t="str">
        <f ca="1">IFERROR(__xludf.DUMMYFUNCTION("""COMPUTED_VALUE"""),"10.37%")</f>
        <v>10.37%</v>
      </c>
      <c r="M92" s="5" t="str">
        <f ca="1">IFERROR(__xludf.DUMMYFUNCTION("""COMPUTED_VALUE"""),"x6150")</f>
        <v>x6150</v>
      </c>
      <c r="N92" s="5" t="str">
        <f ca="1">IFERROR(__xludf.DUMMYFUNCTION("""COMPUTED_VALUE"""),"0.01/50")</f>
        <v>0.01/50</v>
      </c>
      <c r="O92" s="5" t="str">
        <f ca="1">IFERROR(__xludf.DUMMYFUNCTION("""COMPUTED_VALUE"""),"No")</f>
        <v>No</v>
      </c>
      <c r="P92" s="5" t="str">
        <f ca="1">IFERROR(__xludf.DUMMYFUNCTION("""COMPUTED_VALUE"""),"Wild Multiplier, Expanding Wild")</f>
        <v>Wild Multiplier, Expanding Wild</v>
      </c>
      <c r="Q92" s="7" t="str">
        <f ca="1">IFERROR(__xludf.DUMMYFUNCTION("""COMPUTED_VALUE"""),"https://static.redstone.rs/games/heart-royale/")</f>
        <v>https://static.redstone.rs/games/heart-royale/</v>
      </c>
      <c r="R92" s="5" t="str">
        <f ca="1">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S9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2" s="5" t="str">
        <f ca="1">IFERROR(__xludf.DUMMYFUNCTION("""COMPUTED_VALUE"""),"Yes")</f>
        <v>Yes</v>
      </c>
      <c r="U92" s="5" t="str">
        <f ca="1">IFERROR(__xludf.DUMMYFUNCTION("""COMPUTED_VALUE"""),"Yes")</f>
        <v>Yes</v>
      </c>
      <c r="V92" s="5" t="str">
        <f ca="1">IFERROR(__xludf.DUMMYFUNCTION("""COMPUTED_VALUE"""),"No")</f>
        <v>No</v>
      </c>
      <c r="W92" s="5" t="str">
        <f ca="1">IFERROR(__xludf.DUMMYFUNCTION("""COMPUTED_VALUE"""),"Yes")</f>
        <v>Yes</v>
      </c>
      <c r="X92" s="5" t="str">
        <f ca="1">IFERROR(__xludf.DUMMYFUNCTION("""COMPUTED_VALUE"""),"Yes")</f>
        <v>Yes</v>
      </c>
      <c r="Y92" s="5" t="str">
        <f ca="1">IFERROR(__xludf.DUMMYFUNCTION("""COMPUTED_VALUE"""),"Yes")</f>
        <v>Yes</v>
      </c>
      <c r="Z92" s="5" t="str">
        <f ca="1">IFERROR(__xludf.DUMMYFUNCTION("""COMPUTED_VALUE"""),"Yes")</f>
        <v>Yes</v>
      </c>
      <c r="AA92" s="5" t="str">
        <f ca="1">IFERROR(__xludf.DUMMYFUNCTION("""COMPUTED_VALUE"""),"Yes")</f>
        <v>Yes</v>
      </c>
      <c r="AB92" s="5" t="str">
        <f ca="1">IFERROR(__xludf.DUMMYFUNCTION("""COMPUTED_VALUE"""),"Yes")</f>
        <v>Yes</v>
      </c>
      <c r="AC92" s="5" t="str">
        <f ca="1">IFERROR(__xludf.DUMMYFUNCTION("""COMPUTED_VALUE"""),"Yes")</f>
        <v>Yes</v>
      </c>
      <c r="AD92" s="5" t="str">
        <f ca="1">IFERROR(__xludf.DUMMYFUNCTION("""COMPUTED_VALUE"""),"Yes")</f>
        <v>Yes</v>
      </c>
      <c r="AE92" s="5" t="str">
        <f ca="1">IFERROR(__xludf.DUMMYFUNCTION("""COMPUTED_VALUE"""),"Yes")</f>
        <v>Yes</v>
      </c>
      <c r="AF92" s="5" t="str">
        <f ca="1">IFERROR(__xludf.DUMMYFUNCTION("""COMPUTED_VALUE"""),"Yes")</f>
        <v>Yes</v>
      </c>
      <c r="AG92" s="5" t="str">
        <f ca="1">IFERROR(__xludf.DUMMYFUNCTION("""COMPUTED_VALUE"""),"Yes")</f>
        <v>Yes</v>
      </c>
      <c r="AH92" s="5" t="str">
        <f ca="1">IFERROR(__xludf.DUMMYFUNCTION("""COMPUTED_VALUE"""),"Yes")</f>
        <v>Yes</v>
      </c>
      <c r="AI92" s="5" t="str">
        <f ca="1">IFERROR(__xludf.DUMMYFUNCTION("""COMPUTED_VALUE"""),"No")</f>
        <v>No</v>
      </c>
      <c r="AJ92" s="5" t="str">
        <f ca="1">IFERROR(__xludf.DUMMYFUNCTION("""COMPUTED_VALUE"""),"No")</f>
        <v>No</v>
      </c>
      <c r="AK92" s="5" t="str">
        <f ca="1">IFERROR(__xludf.DUMMYFUNCTION("""COMPUTED_VALUE"""),"No")</f>
        <v>No</v>
      </c>
      <c r="AL92" s="5" t="str">
        <f ca="1">IFERROR(__xludf.DUMMYFUNCTION("""COMPUTED_VALUE"""),"No")</f>
        <v>No</v>
      </c>
      <c r="AM92" s="5" t="str">
        <f ca="1">IFERROR(__xludf.DUMMYFUNCTION("""COMPUTED_VALUE"""),"No")</f>
        <v>No</v>
      </c>
      <c r="AN92" s="5" t="str">
        <f ca="1">IFERROR(__xludf.DUMMYFUNCTION("""COMPUTED_VALUE"""),"No")</f>
        <v>No</v>
      </c>
      <c r="AO92" s="5" t="str">
        <f ca="1">IFERROR(__xludf.DUMMYFUNCTION("""COMPUTED_VALUE"""),"Yes")</f>
        <v>Yes</v>
      </c>
      <c r="AP92" s="5" t="str">
        <f ca="1">IFERROR(__xludf.DUMMYFUNCTION("""COMPUTED_VALUE"""),"No")</f>
        <v>No</v>
      </c>
      <c r="AQ92" s="5" t="str">
        <f ca="1">IFERROR(__xludf.DUMMYFUNCTION("""COMPUTED_VALUE"""),"No")</f>
        <v>No</v>
      </c>
      <c r="AR92" s="5" t="str">
        <f ca="1">IFERROR(__xludf.DUMMYFUNCTION("""COMPUTED_VALUE"""),"No")</f>
        <v>No</v>
      </c>
      <c r="AS92" s="5" t="str">
        <f ca="1">IFERROR(__xludf.DUMMYFUNCTION("""COMPUTED_VALUE"""),"Yes")</f>
        <v>Yes</v>
      </c>
      <c r="AT92" s="5" t="str">
        <f ca="1">IFERROR(__xludf.DUMMYFUNCTION("""COMPUTED_VALUE"""),"No")</f>
        <v>No</v>
      </c>
      <c r="AU92" s="5"/>
    </row>
    <row r="93" spans="1:47" x14ac:dyDescent="0.25">
      <c r="A93" s="5" t="str">
        <f ca="1">IFERROR(__xludf.DUMMYFUNCTION("""COMPUTED_VALUE"""),"Redstone")</f>
        <v>Redstone</v>
      </c>
      <c r="B93" s="5" t="str">
        <f ca="1">IFERROR(__xludf.DUMMYFUNCTION("""COMPUTED_VALUE"""),"Reel X5: 27 Ways")</f>
        <v>Reel X5: 27 Ways</v>
      </c>
      <c r="C93" s="5" t="str">
        <f ca="1">IFERROR(__xludf.DUMMYFUNCTION("""COMPUTED_VALUE"""),"RedstoneReelX527Ways")</f>
        <v>RedstoneReelX527Ways</v>
      </c>
      <c r="D93" s="6">
        <f ca="1">IFERROR(__xludf.DUMMYFUNCTION("""COMPUTED_VALUE"""),45860)</f>
        <v>45860</v>
      </c>
      <c r="E93" s="5" t="str">
        <f ca="1">IFERROR(__xludf.DUMMYFUNCTION("""COMPUTED_VALUE"""),"Slot")</f>
        <v>Slot</v>
      </c>
      <c r="F93" s="5">
        <f ca="1">IFERROR(__xludf.DUMMYFUNCTION("""COMPUTED_VALUE"""),6.7)</f>
        <v>6.7</v>
      </c>
      <c r="G93" s="5" t="str">
        <f ca="1">IFERROR(__xludf.DUMMYFUNCTION("""COMPUTED_VALUE"""),"3x3")</f>
        <v>3x3</v>
      </c>
      <c r="H93" s="5">
        <f ca="1">IFERROR(__xludf.DUMMYFUNCTION("""COMPUTED_VALUE"""),27)</f>
        <v>27</v>
      </c>
      <c r="I93" s="5">
        <f ca="1">IFERROR(__xludf.DUMMYFUNCTION("""COMPUTED_VALUE"""),27)</f>
        <v>27</v>
      </c>
      <c r="J93" s="5" t="str">
        <f ca="1">IFERROR(__xludf.DUMMYFUNCTION("""COMPUTED_VALUE"""),"96%")</f>
        <v>96%</v>
      </c>
      <c r="K93" s="5" t="str">
        <f ca="1">IFERROR(__xludf.DUMMYFUNCTION("""COMPUTED_VALUE"""),"Low")</f>
        <v>Low</v>
      </c>
      <c r="L93" s="5" t="str">
        <f ca="1">IFERROR(__xludf.DUMMYFUNCTION("""COMPUTED_VALUE"""),"11.92%")</f>
        <v>11.92%</v>
      </c>
      <c r="M93" s="5" t="str">
        <f ca="1">IFERROR(__xludf.DUMMYFUNCTION("""COMPUTED_VALUE"""),"x450")</f>
        <v>x450</v>
      </c>
      <c r="N93" s="5" t="str">
        <f ca="1">IFERROR(__xludf.DUMMYFUNCTION("""COMPUTED_VALUE"""),"0.10/50")</f>
        <v>0.10/50</v>
      </c>
      <c r="O93" s="5" t="str">
        <f ca="1">IFERROR(__xludf.DUMMYFUNCTION("""COMPUTED_VALUE"""),"No")</f>
        <v>No</v>
      </c>
      <c r="P93" s="5" t="str">
        <f ca="1">IFERROR(__xludf.DUMMYFUNCTION("""COMPUTED_VALUE"""),"Win Multiplier")</f>
        <v>Win Multiplier</v>
      </c>
      <c r="Q93" s="7" t="str">
        <f ca="1">IFERROR(__xludf.DUMMYFUNCTION("""COMPUTED_VALUE"""),"https://static.redstone.rs/games/reel-x5-27-ways/")</f>
        <v>https://static.redstone.rs/games/reel-x5-27-ways/</v>
      </c>
      <c r="R93" s="5" t="str">
        <f ca="1">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S9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3" s="5" t="str">
        <f ca="1">IFERROR(__xludf.DUMMYFUNCTION("""COMPUTED_VALUE"""),"Yes")</f>
        <v>Yes</v>
      </c>
      <c r="U93" s="5" t="str">
        <f ca="1">IFERROR(__xludf.DUMMYFUNCTION("""COMPUTED_VALUE"""),"Yes")</f>
        <v>Yes</v>
      </c>
      <c r="V93" s="5" t="str">
        <f ca="1">IFERROR(__xludf.DUMMYFUNCTION("""COMPUTED_VALUE"""),"No")</f>
        <v>No</v>
      </c>
      <c r="W93" s="5" t="str">
        <f ca="1">IFERROR(__xludf.DUMMYFUNCTION("""COMPUTED_VALUE"""),"Yes")</f>
        <v>Yes</v>
      </c>
      <c r="X93" s="5" t="str">
        <f ca="1">IFERROR(__xludf.DUMMYFUNCTION("""COMPUTED_VALUE"""),"Yes")</f>
        <v>Yes</v>
      </c>
      <c r="Y93" s="5" t="str">
        <f ca="1">IFERROR(__xludf.DUMMYFUNCTION("""COMPUTED_VALUE"""),"Yes")</f>
        <v>Yes</v>
      </c>
      <c r="Z93" s="5" t="str">
        <f ca="1">IFERROR(__xludf.DUMMYFUNCTION("""COMPUTED_VALUE"""),"Yes")</f>
        <v>Yes</v>
      </c>
      <c r="AA93" s="5" t="str">
        <f ca="1">IFERROR(__xludf.DUMMYFUNCTION("""COMPUTED_VALUE"""),"Yes")</f>
        <v>Yes</v>
      </c>
      <c r="AB93" s="5" t="str">
        <f ca="1">IFERROR(__xludf.DUMMYFUNCTION("""COMPUTED_VALUE"""),"Yes")</f>
        <v>Yes</v>
      </c>
      <c r="AC93" s="5" t="str">
        <f ca="1">IFERROR(__xludf.DUMMYFUNCTION("""COMPUTED_VALUE"""),"Yes")</f>
        <v>Yes</v>
      </c>
      <c r="AD93" s="5" t="str">
        <f ca="1">IFERROR(__xludf.DUMMYFUNCTION("""COMPUTED_VALUE"""),"Yes")</f>
        <v>Yes</v>
      </c>
      <c r="AE93" s="5" t="str">
        <f ca="1">IFERROR(__xludf.DUMMYFUNCTION("""COMPUTED_VALUE"""),"Yes")</f>
        <v>Yes</v>
      </c>
      <c r="AF93" s="5" t="str">
        <f ca="1">IFERROR(__xludf.DUMMYFUNCTION("""COMPUTED_VALUE"""),"Yes")</f>
        <v>Yes</v>
      </c>
      <c r="AG93" s="5" t="str">
        <f ca="1">IFERROR(__xludf.DUMMYFUNCTION("""COMPUTED_VALUE"""),"Yes")</f>
        <v>Yes</v>
      </c>
      <c r="AH93" s="5" t="str">
        <f ca="1">IFERROR(__xludf.DUMMYFUNCTION("""COMPUTED_VALUE"""),"Yes")</f>
        <v>Yes</v>
      </c>
      <c r="AI93" s="5" t="str">
        <f ca="1">IFERROR(__xludf.DUMMYFUNCTION("""COMPUTED_VALUE"""),"No")</f>
        <v>No</v>
      </c>
      <c r="AJ93" s="5" t="str">
        <f ca="1">IFERROR(__xludf.DUMMYFUNCTION("""COMPUTED_VALUE"""),"No")</f>
        <v>No</v>
      </c>
      <c r="AK93" s="5" t="str">
        <f ca="1">IFERROR(__xludf.DUMMYFUNCTION("""COMPUTED_VALUE"""),"No")</f>
        <v>No</v>
      </c>
      <c r="AL93" s="5" t="str">
        <f ca="1">IFERROR(__xludf.DUMMYFUNCTION("""COMPUTED_VALUE"""),"No")</f>
        <v>No</v>
      </c>
      <c r="AM93" s="5" t="str">
        <f ca="1">IFERROR(__xludf.DUMMYFUNCTION("""COMPUTED_VALUE"""),"No")</f>
        <v>No</v>
      </c>
      <c r="AN93" s="5" t="str">
        <f ca="1">IFERROR(__xludf.DUMMYFUNCTION("""COMPUTED_VALUE"""),"No")</f>
        <v>No</v>
      </c>
      <c r="AO93" s="5" t="str">
        <f ca="1">IFERROR(__xludf.DUMMYFUNCTION("""COMPUTED_VALUE"""),"Yes")</f>
        <v>Yes</v>
      </c>
      <c r="AP93" s="5" t="str">
        <f ca="1">IFERROR(__xludf.DUMMYFUNCTION("""COMPUTED_VALUE"""),"No")</f>
        <v>No</v>
      </c>
      <c r="AQ93" s="5" t="str">
        <f ca="1">IFERROR(__xludf.DUMMYFUNCTION("""COMPUTED_VALUE"""),"No")</f>
        <v>No</v>
      </c>
      <c r="AR93" s="5" t="str">
        <f ca="1">IFERROR(__xludf.DUMMYFUNCTION("""COMPUTED_VALUE"""),"No")</f>
        <v>No</v>
      </c>
      <c r="AS93" s="5" t="str">
        <f ca="1">IFERROR(__xludf.DUMMYFUNCTION("""COMPUTED_VALUE"""),"Yes")</f>
        <v>Yes</v>
      </c>
      <c r="AT93" s="5" t="str">
        <f ca="1">IFERROR(__xludf.DUMMYFUNCTION("""COMPUTED_VALUE"""),"No")</f>
        <v>No</v>
      </c>
      <c r="AU93" s="5"/>
    </row>
    <row r="94" spans="1:47" x14ac:dyDescent="0.25">
      <c r="A94" s="5" t="str">
        <f ca="1">IFERROR(__xludf.DUMMYFUNCTION("""COMPUTED_VALUE"""),"Redstone")</f>
        <v>Redstone</v>
      </c>
      <c r="B94" s="5" t="str">
        <f ca="1">IFERROR(__xludf.DUMMYFUNCTION("""COMPUTED_VALUE"""),"Crown Drop")</f>
        <v>Crown Drop</v>
      </c>
      <c r="C94" s="5" t="str">
        <f ca="1">IFERROR(__xludf.DUMMYFUNCTION("""COMPUTED_VALUE"""),"RedstoneCrownDrop")</f>
        <v>RedstoneCrownDrop</v>
      </c>
      <c r="D94" s="6">
        <f ca="1">IFERROR(__xludf.DUMMYFUNCTION("""COMPUTED_VALUE"""),45866)</f>
        <v>45866</v>
      </c>
      <c r="E94" s="5" t="str">
        <f ca="1">IFERROR(__xludf.DUMMYFUNCTION("""COMPUTED_VALUE"""),"Slot")</f>
        <v>Slot</v>
      </c>
      <c r="F94" s="5">
        <f ca="1">IFERROR(__xludf.DUMMYFUNCTION("""COMPUTED_VALUE"""),7.8)</f>
        <v>7.8</v>
      </c>
      <c r="G94" s="5" t="str">
        <f ca="1">IFERROR(__xludf.DUMMYFUNCTION("""COMPUTED_VALUE"""),"5x5")</f>
        <v>5x5</v>
      </c>
      <c r="H94" s="5">
        <f ca="1">IFERROR(__xludf.DUMMYFUNCTION("""COMPUTED_VALUE"""),20)</f>
        <v>20</v>
      </c>
      <c r="I94" s="5">
        <f ca="1">IFERROR(__xludf.DUMMYFUNCTION("""COMPUTED_VALUE"""),20)</f>
        <v>20</v>
      </c>
      <c r="J94" s="5" t="str">
        <f ca="1">IFERROR(__xludf.DUMMYFUNCTION("""COMPUTED_VALUE"""),"96.02%")</f>
        <v>96.02%</v>
      </c>
      <c r="K94" s="5" t="str">
        <f ca="1">IFERROR(__xludf.DUMMYFUNCTION("""COMPUTED_VALUE"""),"Medium")</f>
        <v>Medium</v>
      </c>
      <c r="L94" s="5" t="str">
        <f ca="1">IFERROR(__xludf.DUMMYFUNCTION("""COMPUTED_VALUE"""),"19.8%")</f>
        <v>19.8%</v>
      </c>
      <c r="M94" s="5" t="str">
        <f ca="1">IFERROR(__xludf.DUMMYFUNCTION("""COMPUTED_VALUE"""),"x916.5")</f>
        <v>x916.5</v>
      </c>
      <c r="N94" s="5" t="str">
        <f ca="1">IFERROR(__xludf.DUMMYFUNCTION("""COMPUTED_VALUE"""),"0.02/50")</f>
        <v>0.02/50</v>
      </c>
      <c r="O94" s="5" t="str">
        <f ca="1">IFERROR(__xludf.DUMMYFUNCTION("""COMPUTED_VALUE"""),"No")</f>
        <v>No</v>
      </c>
      <c r="P94" s="5" t="str">
        <f ca="1">IFERROR(__xludf.DUMMYFUNCTION("""COMPUTED_VALUE"""),"Expanding Wild, Scatter")</f>
        <v>Expanding Wild, Scatter</v>
      </c>
      <c r="Q94" s="7" t="str">
        <f ca="1">IFERROR(__xludf.DUMMYFUNCTION("""COMPUTED_VALUE"""),"https://static.redstone.rs/games/crown-drop/")</f>
        <v>https://static.redstone.rs/games/crown-drop/</v>
      </c>
      <c r="R94" s="5" t="str">
        <f ca="1">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S9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4" s="5" t="str">
        <f ca="1">IFERROR(__xludf.DUMMYFUNCTION("""COMPUTED_VALUE"""),"Yes")</f>
        <v>Yes</v>
      </c>
      <c r="U94" s="5" t="str">
        <f ca="1">IFERROR(__xludf.DUMMYFUNCTION("""COMPUTED_VALUE"""),"Yes")</f>
        <v>Yes</v>
      </c>
      <c r="V94" s="5" t="str">
        <f ca="1">IFERROR(__xludf.DUMMYFUNCTION("""COMPUTED_VALUE"""),"No")</f>
        <v>No</v>
      </c>
      <c r="W94" s="5" t="str">
        <f ca="1">IFERROR(__xludf.DUMMYFUNCTION("""COMPUTED_VALUE"""),"Yes")</f>
        <v>Yes</v>
      </c>
      <c r="X94" s="5" t="str">
        <f ca="1">IFERROR(__xludf.DUMMYFUNCTION("""COMPUTED_VALUE"""),"Yes")</f>
        <v>Yes</v>
      </c>
      <c r="Y94" s="5" t="str">
        <f ca="1">IFERROR(__xludf.DUMMYFUNCTION("""COMPUTED_VALUE"""),"Yes")</f>
        <v>Yes</v>
      </c>
      <c r="Z94" s="5" t="str">
        <f ca="1">IFERROR(__xludf.DUMMYFUNCTION("""COMPUTED_VALUE"""),"Yes")</f>
        <v>Yes</v>
      </c>
      <c r="AA94" s="5" t="str">
        <f ca="1">IFERROR(__xludf.DUMMYFUNCTION("""COMPUTED_VALUE"""),"Yes")</f>
        <v>Yes</v>
      </c>
      <c r="AB94" s="5" t="str">
        <f ca="1">IFERROR(__xludf.DUMMYFUNCTION("""COMPUTED_VALUE"""),"Yes")</f>
        <v>Yes</v>
      </c>
      <c r="AC94" s="5" t="str">
        <f ca="1">IFERROR(__xludf.DUMMYFUNCTION("""COMPUTED_VALUE"""),"Yes")</f>
        <v>Yes</v>
      </c>
      <c r="AD94" s="5" t="str">
        <f ca="1">IFERROR(__xludf.DUMMYFUNCTION("""COMPUTED_VALUE"""),"Yes")</f>
        <v>Yes</v>
      </c>
      <c r="AE94" s="5" t="str">
        <f ca="1">IFERROR(__xludf.DUMMYFUNCTION("""COMPUTED_VALUE"""),"Yes")</f>
        <v>Yes</v>
      </c>
      <c r="AF94" s="5" t="str">
        <f ca="1">IFERROR(__xludf.DUMMYFUNCTION("""COMPUTED_VALUE"""),"Yes")</f>
        <v>Yes</v>
      </c>
      <c r="AG94" s="5" t="str">
        <f ca="1">IFERROR(__xludf.DUMMYFUNCTION("""COMPUTED_VALUE"""),"Yes")</f>
        <v>Yes</v>
      </c>
      <c r="AH94" s="5" t="str">
        <f ca="1">IFERROR(__xludf.DUMMYFUNCTION("""COMPUTED_VALUE"""),"Yes")</f>
        <v>Yes</v>
      </c>
      <c r="AI94" s="5" t="str">
        <f ca="1">IFERROR(__xludf.DUMMYFUNCTION("""COMPUTED_VALUE"""),"No")</f>
        <v>No</v>
      </c>
      <c r="AJ94" s="5" t="str">
        <f ca="1">IFERROR(__xludf.DUMMYFUNCTION("""COMPUTED_VALUE"""),"No")</f>
        <v>No</v>
      </c>
      <c r="AK94" s="5" t="str">
        <f ca="1">IFERROR(__xludf.DUMMYFUNCTION("""COMPUTED_VALUE"""),"No")</f>
        <v>No</v>
      </c>
      <c r="AL94" s="5" t="str">
        <f ca="1">IFERROR(__xludf.DUMMYFUNCTION("""COMPUTED_VALUE"""),"No")</f>
        <v>No</v>
      </c>
      <c r="AM94" s="5" t="str">
        <f ca="1">IFERROR(__xludf.DUMMYFUNCTION("""COMPUTED_VALUE"""),"No")</f>
        <v>No</v>
      </c>
      <c r="AN94" s="5" t="str">
        <f ca="1">IFERROR(__xludf.DUMMYFUNCTION("""COMPUTED_VALUE"""),"No")</f>
        <v>No</v>
      </c>
      <c r="AO94" s="5" t="str">
        <f ca="1">IFERROR(__xludf.DUMMYFUNCTION("""COMPUTED_VALUE"""),"Yes")</f>
        <v>Yes</v>
      </c>
      <c r="AP94" s="5" t="str">
        <f ca="1">IFERROR(__xludf.DUMMYFUNCTION("""COMPUTED_VALUE"""),"No")</f>
        <v>No</v>
      </c>
      <c r="AQ94" s="5" t="str">
        <f ca="1">IFERROR(__xludf.DUMMYFUNCTION("""COMPUTED_VALUE"""),"No")</f>
        <v>No</v>
      </c>
      <c r="AR94" s="5" t="str">
        <f ca="1">IFERROR(__xludf.DUMMYFUNCTION("""COMPUTED_VALUE"""),"No")</f>
        <v>No</v>
      </c>
      <c r="AS94" s="5" t="str">
        <f ca="1">IFERROR(__xludf.DUMMYFUNCTION("""COMPUTED_VALUE"""),"Yes")</f>
        <v>Yes</v>
      </c>
      <c r="AT94" s="5" t="str">
        <f ca="1">IFERROR(__xludf.DUMMYFUNCTION("""COMPUTED_VALUE"""),"No")</f>
        <v>No</v>
      </c>
      <c r="AU94" s="5"/>
    </row>
    <row r="95" spans="1:47" x14ac:dyDescent="0.25">
      <c r="A95" s="5" t="str">
        <f ca="1">IFERROR(__xludf.DUMMYFUNCTION("""COMPUTED_VALUE"""),"Redstone")</f>
        <v>Redstone</v>
      </c>
      <c r="B95" s="5" t="str">
        <f ca="1">IFERROR(__xludf.DUMMYFUNCTION("""COMPUTED_VALUE"""),"5 Clover Fire 6 Reels")</f>
        <v>5 Clover Fire 6 Reels</v>
      </c>
      <c r="C95" s="5" t="str">
        <f ca="1">IFERROR(__xludf.DUMMYFUNCTION("""COMPUTED_VALUE"""),"Redstone5CloverFire6Reels")</f>
        <v>Redstone5CloverFire6Reels</v>
      </c>
      <c r="D95" s="6">
        <f ca="1">IFERROR(__xludf.DUMMYFUNCTION("""COMPUTED_VALUE"""),45875)</f>
        <v>45875</v>
      </c>
      <c r="E95" s="5" t="str">
        <f ca="1">IFERROR(__xludf.DUMMYFUNCTION("""COMPUTED_VALUE"""),"Slot")</f>
        <v>Slot</v>
      </c>
      <c r="F95" s="5">
        <f ca="1">IFERROR(__xludf.DUMMYFUNCTION("""COMPUTED_VALUE"""),7.6)</f>
        <v>7.6</v>
      </c>
      <c r="G95" s="5" t="str">
        <f ca="1">IFERROR(__xludf.DUMMYFUNCTION("""COMPUTED_VALUE"""),"6x3")</f>
        <v>6x3</v>
      </c>
      <c r="H95" s="5">
        <f ca="1">IFERROR(__xludf.DUMMYFUNCTION("""COMPUTED_VALUE"""),5)</f>
        <v>5</v>
      </c>
      <c r="I95" s="5">
        <f ca="1">IFERROR(__xludf.DUMMYFUNCTION("""COMPUTED_VALUE"""),5)</f>
        <v>5</v>
      </c>
      <c r="J95" s="5" t="str">
        <f ca="1">IFERROR(__xludf.DUMMYFUNCTION("""COMPUTED_VALUE"""),"95.95%")</f>
        <v>95.95%</v>
      </c>
      <c r="K95" s="5" t="str">
        <f ca="1">IFERROR(__xludf.DUMMYFUNCTION("""COMPUTED_VALUE"""),"Medium")</f>
        <v>Medium</v>
      </c>
      <c r="L95" s="5" t="str">
        <f ca="1">IFERROR(__xludf.DUMMYFUNCTION("""COMPUTED_VALUE"""),"19.58%")</f>
        <v>19.58%</v>
      </c>
      <c r="M95" s="5" t="str">
        <f ca="1">IFERROR(__xludf.DUMMYFUNCTION("""COMPUTED_VALUE"""),"x1245")</f>
        <v>x1245</v>
      </c>
      <c r="N95" s="5" t="str">
        <f ca="1">IFERROR(__xludf.DUMMYFUNCTION("""COMPUTED_VALUE"""),"0.02/50")</f>
        <v>0.02/50</v>
      </c>
      <c r="O95" s="5" t="str">
        <f ca="1">IFERROR(__xludf.DUMMYFUNCTION("""COMPUTED_VALUE"""),"No")</f>
        <v>No</v>
      </c>
      <c r="P95" s="5" t="str">
        <f ca="1">IFERROR(__xludf.DUMMYFUNCTION("""COMPUTED_VALUE"""),"Expanding Wild, Scatter")</f>
        <v>Expanding Wild, Scatter</v>
      </c>
      <c r="Q95" s="7" t="str">
        <f ca="1">IFERROR(__xludf.DUMMYFUNCTION("""COMPUTED_VALUE"""),"https://static.redstone.rs/games/5-clover-fire-6-reels/")</f>
        <v>https://static.redstone.rs/games/5-clover-fire-6-reels/</v>
      </c>
      <c r="R95" s="5" t="str">
        <f ca="1">IFERROR(__xludf.DUMMYFUNCTION("""COMPUTED_VALUE"""),"More clovers, more fire, more ways to win! 5 Clover Fire 6 Reels delivers even more thrills on every spin.")</f>
        <v>More clovers, more fire, more ways to win! 5 Clover Fire 6 Reels delivers even more thrills on every spin.</v>
      </c>
      <c r="S9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5" s="5" t="str">
        <f ca="1">IFERROR(__xludf.DUMMYFUNCTION("""COMPUTED_VALUE"""),"Yes")</f>
        <v>Yes</v>
      </c>
      <c r="U95" s="5" t="str">
        <f ca="1">IFERROR(__xludf.DUMMYFUNCTION("""COMPUTED_VALUE"""),"Yes")</f>
        <v>Yes</v>
      </c>
      <c r="V95" s="5" t="str">
        <f ca="1">IFERROR(__xludf.DUMMYFUNCTION("""COMPUTED_VALUE"""),"No")</f>
        <v>No</v>
      </c>
      <c r="W95" s="5" t="str">
        <f ca="1">IFERROR(__xludf.DUMMYFUNCTION("""COMPUTED_VALUE"""),"Yes")</f>
        <v>Yes</v>
      </c>
      <c r="X95" s="5" t="str">
        <f ca="1">IFERROR(__xludf.DUMMYFUNCTION("""COMPUTED_VALUE"""),"Yes")</f>
        <v>Yes</v>
      </c>
      <c r="Y95" s="5" t="str">
        <f ca="1">IFERROR(__xludf.DUMMYFUNCTION("""COMPUTED_VALUE"""),"Yes")</f>
        <v>Yes</v>
      </c>
      <c r="Z95" s="5" t="str">
        <f ca="1">IFERROR(__xludf.DUMMYFUNCTION("""COMPUTED_VALUE"""),"Yes")</f>
        <v>Yes</v>
      </c>
      <c r="AA95" s="5" t="str">
        <f ca="1">IFERROR(__xludf.DUMMYFUNCTION("""COMPUTED_VALUE"""),"Yes")</f>
        <v>Yes</v>
      </c>
      <c r="AB95" s="5" t="str">
        <f ca="1">IFERROR(__xludf.DUMMYFUNCTION("""COMPUTED_VALUE"""),"Yes")</f>
        <v>Yes</v>
      </c>
      <c r="AC95" s="5" t="str">
        <f ca="1">IFERROR(__xludf.DUMMYFUNCTION("""COMPUTED_VALUE"""),"Yes")</f>
        <v>Yes</v>
      </c>
      <c r="AD95" s="5" t="str">
        <f ca="1">IFERROR(__xludf.DUMMYFUNCTION("""COMPUTED_VALUE"""),"Yes")</f>
        <v>Yes</v>
      </c>
      <c r="AE95" s="5" t="str">
        <f ca="1">IFERROR(__xludf.DUMMYFUNCTION("""COMPUTED_VALUE"""),"Yes")</f>
        <v>Yes</v>
      </c>
      <c r="AF95" s="5" t="str">
        <f ca="1">IFERROR(__xludf.DUMMYFUNCTION("""COMPUTED_VALUE"""),"Yes")</f>
        <v>Yes</v>
      </c>
      <c r="AG95" s="5" t="str">
        <f ca="1">IFERROR(__xludf.DUMMYFUNCTION("""COMPUTED_VALUE"""),"Yes")</f>
        <v>Yes</v>
      </c>
      <c r="AH95" s="5" t="str">
        <f ca="1">IFERROR(__xludf.DUMMYFUNCTION("""COMPUTED_VALUE"""),"Yes")</f>
        <v>Yes</v>
      </c>
      <c r="AI95" s="5" t="str">
        <f ca="1">IFERROR(__xludf.DUMMYFUNCTION("""COMPUTED_VALUE"""),"No")</f>
        <v>No</v>
      </c>
      <c r="AJ95" s="5" t="str">
        <f ca="1">IFERROR(__xludf.DUMMYFUNCTION("""COMPUTED_VALUE"""),"No")</f>
        <v>No</v>
      </c>
      <c r="AK95" s="5" t="str">
        <f ca="1">IFERROR(__xludf.DUMMYFUNCTION("""COMPUTED_VALUE"""),"No")</f>
        <v>No</v>
      </c>
      <c r="AL95" s="5" t="str">
        <f ca="1">IFERROR(__xludf.DUMMYFUNCTION("""COMPUTED_VALUE"""),"No")</f>
        <v>No</v>
      </c>
      <c r="AM95" s="5" t="str">
        <f ca="1">IFERROR(__xludf.DUMMYFUNCTION("""COMPUTED_VALUE"""),"No")</f>
        <v>No</v>
      </c>
      <c r="AN95" s="5" t="str">
        <f ca="1">IFERROR(__xludf.DUMMYFUNCTION("""COMPUTED_VALUE"""),"No")</f>
        <v>No</v>
      </c>
      <c r="AO95" s="5" t="str">
        <f ca="1">IFERROR(__xludf.DUMMYFUNCTION("""COMPUTED_VALUE"""),"Yes")</f>
        <v>Yes</v>
      </c>
      <c r="AP95" s="5" t="str">
        <f ca="1">IFERROR(__xludf.DUMMYFUNCTION("""COMPUTED_VALUE"""),"No")</f>
        <v>No</v>
      </c>
      <c r="AQ95" s="5" t="str">
        <f ca="1">IFERROR(__xludf.DUMMYFUNCTION("""COMPUTED_VALUE"""),"No")</f>
        <v>No</v>
      </c>
      <c r="AR95" s="5" t="str">
        <f ca="1">IFERROR(__xludf.DUMMYFUNCTION("""COMPUTED_VALUE"""),"No")</f>
        <v>No</v>
      </c>
      <c r="AS95" s="5" t="str">
        <f ca="1">IFERROR(__xludf.DUMMYFUNCTION("""COMPUTED_VALUE"""),"Yes")</f>
        <v>Yes</v>
      </c>
      <c r="AT95" s="5" t="str">
        <f ca="1">IFERROR(__xludf.DUMMYFUNCTION("""COMPUTED_VALUE"""),"No")</f>
        <v>No</v>
      </c>
      <c r="AU95" s="5"/>
    </row>
    <row r="96" spans="1:47" x14ac:dyDescent="0.25">
      <c r="A96" s="5" t="str">
        <f ca="1">IFERROR(__xludf.DUMMYFUNCTION("""COMPUTED_VALUE"""),"Redstone")</f>
        <v>Redstone</v>
      </c>
      <c r="B96" s="5" t="str">
        <f ca="1">IFERROR(__xludf.DUMMYFUNCTION("""COMPUTED_VALUE"""),"10 Extra Bank")</f>
        <v>10 Extra Bank</v>
      </c>
      <c r="C96" s="5" t="str">
        <f ca="1">IFERROR(__xludf.DUMMYFUNCTION("""COMPUTED_VALUE"""),"Redstone10ExtraBank")</f>
        <v>Redstone10ExtraBank</v>
      </c>
      <c r="D96" s="6">
        <f ca="1">IFERROR(__xludf.DUMMYFUNCTION("""COMPUTED_VALUE"""),45880)</f>
        <v>45880</v>
      </c>
      <c r="E96" s="5" t="str">
        <f ca="1">IFERROR(__xludf.DUMMYFUNCTION("""COMPUTED_VALUE"""),"Slot")</f>
        <v>Slot</v>
      </c>
      <c r="F96" s="5">
        <f ca="1">IFERROR(__xludf.DUMMYFUNCTION("""COMPUTED_VALUE"""),6.3)</f>
        <v>6.3</v>
      </c>
      <c r="G96" s="5" t="str">
        <f ca="1">IFERROR(__xludf.DUMMYFUNCTION("""COMPUTED_VALUE"""),"5x3")</f>
        <v>5x3</v>
      </c>
      <c r="H96" s="5">
        <f ca="1">IFERROR(__xludf.DUMMYFUNCTION("""COMPUTED_VALUE"""),10)</f>
        <v>10</v>
      </c>
      <c r="I96" s="5">
        <f ca="1">IFERROR(__xludf.DUMMYFUNCTION("""COMPUTED_VALUE"""),10)</f>
        <v>10</v>
      </c>
      <c r="J96" s="5" t="str">
        <f ca="1">IFERROR(__xludf.DUMMYFUNCTION("""COMPUTED_VALUE"""),"96.25%")</f>
        <v>96.25%</v>
      </c>
      <c r="K96" s="5" t="str">
        <f ca="1">IFERROR(__xludf.DUMMYFUNCTION("""COMPUTED_VALUE"""),"High")</f>
        <v>High</v>
      </c>
      <c r="L96" s="5" t="str">
        <f ca="1">IFERROR(__xludf.DUMMYFUNCTION("""COMPUTED_VALUE"""),"14.44%")</f>
        <v>14.44%</v>
      </c>
      <c r="M96" s="5" t="str">
        <f ca="1">IFERROR(__xludf.DUMMYFUNCTION("""COMPUTED_VALUE"""),"x17500")</f>
        <v>x17500</v>
      </c>
      <c r="N96" s="5" t="str">
        <f ca="1">IFERROR(__xludf.DUMMYFUNCTION("""COMPUTED_VALUE"""),"0.01/50")</f>
        <v>0.01/50</v>
      </c>
      <c r="O96" s="5" t="str">
        <f ca="1">IFERROR(__xludf.DUMMYFUNCTION("""COMPUTED_VALUE"""),"No")</f>
        <v>No</v>
      </c>
      <c r="P96" s="5" t="str">
        <f ca="1">IFERROR(__xludf.DUMMYFUNCTION("""COMPUTED_VALUE"""),"Scatter, Wild Symbol, Win Multiplier")</f>
        <v>Scatter, Wild Symbol, Win Multiplier</v>
      </c>
      <c r="Q96" s="7" t="str">
        <f ca="1">IFERROR(__xludf.DUMMYFUNCTION("""COMPUTED_VALUE"""),"https://static.redstone.rs/games/10-extra-bank/")</f>
        <v>https://static.redstone.rs/games/10-extra-bank/</v>
      </c>
      <c r="R96" s="5" t="str">
        <f ca="1">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S9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6" s="5" t="str">
        <f ca="1">IFERROR(__xludf.DUMMYFUNCTION("""COMPUTED_VALUE"""),"Yes")</f>
        <v>Yes</v>
      </c>
      <c r="U96" s="5" t="str">
        <f ca="1">IFERROR(__xludf.DUMMYFUNCTION("""COMPUTED_VALUE"""),"Yes")</f>
        <v>Yes</v>
      </c>
      <c r="V96" s="5" t="str">
        <f ca="1">IFERROR(__xludf.DUMMYFUNCTION("""COMPUTED_VALUE"""),"No")</f>
        <v>No</v>
      </c>
      <c r="W96" s="5" t="str">
        <f ca="1">IFERROR(__xludf.DUMMYFUNCTION("""COMPUTED_VALUE"""),"Yes")</f>
        <v>Yes</v>
      </c>
      <c r="X96" s="5" t="str">
        <f ca="1">IFERROR(__xludf.DUMMYFUNCTION("""COMPUTED_VALUE"""),"Yes")</f>
        <v>Yes</v>
      </c>
      <c r="Y96" s="5" t="str">
        <f ca="1">IFERROR(__xludf.DUMMYFUNCTION("""COMPUTED_VALUE"""),"Yes")</f>
        <v>Yes</v>
      </c>
      <c r="Z96" s="5" t="str">
        <f ca="1">IFERROR(__xludf.DUMMYFUNCTION("""COMPUTED_VALUE"""),"Yes")</f>
        <v>Yes</v>
      </c>
      <c r="AA96" s="5" t="str">
        <f ca="1">IFERROR(__xludf.DUMMYFUNCTION("""COMPUTED_VALUE"""),"Yes")</f>
        <v>Yes</v>
      </c>
      <c r="AB96" s="5" t="str">
        <f ca="1">IFERROR(__xludf.DUMMYFUNCTION("""COMPUTED_VALUE"""),"Yes")</f>
        <v>Yes</v>
      </c>
      <c r="AC96" s="5" t="str">
        <f ca="1">IFERROR(__xludf.DUMMYFUNCTION("""COMPUTED_VALUE"""),"Yes")</f>
        <v>Yes</v>
      </c>
      <c r="AD96" s="5" t="str">
        <f ca="1">IFERROR(__xludf.DUMMYFUNCTION("""COMPUTED_VALUE"""),"Yes")</f>
        <v>Yes</v>
      </c>
      <c r="AE96" s="5" t="str">
        <f ca="1">IFERROR(__xludf.DUMMYFUNCTION("""COMPUTED_VALUE"""),"Yes")</f>
        <v>Yes</v>
      </c>
      <c r="AF96" s="5" t="str">
        <f ca="1">IFERROR(__xludf.DUMMYFUNCTION("""COMPUTED_VALUE"""),"Yes")</f>
        <v>Yes</v>
      </c>
      <c r="AG96" s="5" t="str">
        <f ca="1">IFERROR(__xludf.DUMMYFUNCTION("""COMPUTED_VALUE"""),"Yes")</f>
        <v>Yes</v>
      </c>
      <c r="AH96" s="5" t="str">
        <f ca="1">IFERROR(__xludf.DUMMYFUNCTION("""COMPUTED_VALUE"""),"Yes")</f>
        <v>Yes</v>
      </c>
      <c r="AI96" s="5" t="str">
        <f ca="1">IFERROR(__xludf.DUMMYFUNCTION("""COMPUTED_VALUE"""),"No")</f>
        <v>No</v>
      </c>
      <c r="AJ96" s="5" t="str">
        <f ca="1">IFERROR(__xludf.DUMMYFUNCTION("""COMPUTED_VALUE"""),"No")</f>
        <v>No</v>
      </c>
      <c r="AK96" s="5" t="str">
        <f ca="1">IFERROR(__xludf.DUMMYFUNCTION("""COMPUTED_VALUE"""),"No")</f>
        <v>No</v>
      </c>
      <c r="AL96" s="5" t="str">
        <f ca="1">IFERROR(__xludf.DUMMYFUNCTION("""COMPUTED_VALUE"""),"No")</f>
        <v>No</v>
      </c>
      <c r="AM96" s="5" t="str">
        <f ca="1">IFERROR(__xludf.DUMMYFUNCTION("""COMPUTED_VALUE"""),"No")</f>
        <v>No</v>
      </c>
      <c r="AN96" s="5" t="str">
        <f ca="1">IFERROR(__xludf.DUMMYFUNCTION("""COMPUTED_VALUE"""),"No")</f>
        <v>No</v>
      </c>
      <c r="AO96" s="5" t="str">
        <f ca="1">IFERROR(__xludf.DUMMYFUNCTION("""COMPUTED_VALUE"""),"Yes")</f>
        <v>Yes</v>
      </c>
      <c r="AP96" s="5" t="str">
        <f ca="1">IFERROR(__xludf.DUMMYFUNCTION("""COMPUTED_VALUE"""),"No")</f>
        <v>No</v>
      </c>
      <c r="AQ96" s="5" t="str">
        <f ca="1">IFERROR(__xludf.DUMMYFUNCTION("""COMPUTED_VALUE"""),"No")</f>
        <v>No</v>
      </c>
      <c r="AR96" s="5" t="str">
        <f ca="1">IFERROR(__xludf.DUMMYFUNCTION("""COMPUTED_VALUE"""),"No")</f>
        <v>No</v>
      </c>
      <c r="AS96" s="5" t="str">
        <f ca="1">IFERROR(__xludf.DUMMYFUNCTION("""COMPUTED_VALUE"""),"Yes")</f>
        <v>Yes</v>
      </c>
      <c r="AT96" s="5" t="str">
        <f ca="1">IFERROR(__xludf.DUMMYFUNCTION("""COMPUTED_VALUE"""),"No")</f>
        <v>No</v>
      </c>
      <c r="AU96" s="5"/>
    </row>
    <row r="97" spans="1:47" x14ac:dyDescent="0.25">
      <c r="A97" s="5" t="str">
        <f ca="1">IFERROR(__xludf.DUMMYFUNCTION("""COMPUTED_VALUE"""),"Redstone")</f>
        <v>Redstone</v>
      </c>
      <c r="B97" s="5" t="str">
        <f ca="1">IFERROR(__xludf.DUMMYFUNCTION("""COMPUTED_VALUE"""),"Sevens Heaven")</f>
        <v>Sevens Heaven</v>
      </c>
      <c r="C97" s="5" t="str">
        <f ca="1">IFERROR(__xludf.DUMMYFUNCTION("""COMPUTED_VALUE"""),"RedstoneSevensHeaven")</f>
        <v>RedstoneSevensHeaven</v>
      </c>
      <c r="D97" s="6">
        <f ca="1">IFERROR(__xludf.DUMMYFUNCTION("""COMPUTED_VALUE"""),45889)</f>
        <v>45889</v>
      </c>
      <c r="E97" s="5" t="str">
        <f ca="1">IFERROR(__xludf.DUMMYFUNCTION("""COMPUTED_VALUE"""),"Slot")</f>
        <v>Slot</v>
      </c>
      <c r="F97" s="5">
        <f ca="1">IFERROR(__xludf.DUMMYFUNCTION("""COMPUTED_VALUE"""),9.3)</f>
        <v>9.3000000000000007</v>
      </c>
      <c r="G97" s="5"/>
      <c r="H97" s="5">
        <f ca="1">IFERROR(__xludf.DUMMYFUNCTION("""COMPUTED_VALUE"""),5)</f>
        <v>5</v>
      </c>
      <c r="I97" s="5">
        <f ca="1">IFERROR(__xludf.DUMMYFUNCTION("""COMPUTED_VALUE"""),5)</f>
        <v>5</v>
      </c>
      <c r="J97" s="5" t="str">
        <f ca="1">IFERROR(__xludf.DUMMYFUNCTION("""COMPUTED_VALUE"""),"95.99%")</f>
        <v>95.99%</v>
      </c>
      <c r="K97" s="5" t="str">
        <f ca="1">IFERROR(__xludf.DUMMYFUNCTION("""COMPUTED_VALUE"""),"Medium")</f>
        <v>Medium</v>
      </c>
      <c r="L97" s="5" t="str">
        <f ca="1">IFERROR(__xludf.DUMMYFUNCTION("""COMPUTED_VALUE"""),"8.61%")</f>
        <v>8.61%</v>
      </c>
      <c r="M97" s="5" t="str">
        <f ca="1">IFERROR(__xludf.DUMMYFUNCTION("""COMPUTED_VALUE"""),"x1202")</f>
        <v>x1202</v>
      </c>
      <c r="N97" s="5" t="str">
        <f ca="1">IFERROR(__xludf.DUMMYFUNCTION("""COMPUTED_VALUE"""),"0.01/50")</f>
        <v>0.01/50</v>
      </c>
      <c r="O97" s="5" t="str">
        <f ca="1">IFERROR(__xludf.DUMMYFUNCTION("""COMPUTED_VALUE"""),"No")</f>
        <v>No</v>
      </c>
      <c r="P97" s="5" t="str">
        <f ca="1">IFERROR(__xludf.DUMMYFUNCTION("""COMPUTED_VALUE"""),"Bonus Game with Free Spins, Buy Bonus, Wild Symbol, Special Wild")</f>
        <v>Bonus Game with Free Spins, Buy Bonus, Wild Symbol, Special Wild</v>
      </c>
      <c r="Q97" s="7" t="str">
        <f ca="1">IFERROR(__xludf.DUMMYFUNCTION("""COMPUTED_VALUE"""),"https://static.redstone.rs/games/sevens-heaven/")</f>
        <v>https://static.redstone.rs/games/sevens-heaven/</v>
      </c>
      <c r="R97" s="5" t="str">
        <f ca="1">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S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7" s="5" t="str">
        <f ca="1">IFERROR(__xludf.DUMMYFUNCTION("""COMPUTED_VALUE"""),"Yes")</f>
        <v>Yes</v>
      </c>
      <c r="U97" s="5" t="str">
        <f ca="1">IFERROR(__xludf.DUMMYFUNCTION("""COMPUTED_VALUE"""),"Yes")</f>
        <v>Yes</v>
      </c>
      <c r="V97" s="5" t="str">
        <f ca="1">IFERROR(__xludf.DUMMYFUNCTION("""COMPUTED_VALUE"""),"Yes")</f>
        <v>Yes</v>
      </c>
      <c r="W97" s="5" t="str">
        <f ca="1">IFERROR(__xludf.DUMMYFUNCTION("""COMPUTED_VALUE"""),"Yes")</f>
        <v>Yes</v>
      </c>
      <c r="X97" s="5" t="str">
        <f ca="1">IFERROR(__xludf.DUMMYFUNCTION("""COMPUTED_VALUE"""),"Yes")</f>
        <v>Yes</v>
      </c>
      <c r="Y97" s="5" t="str">
        <f ca="1">IFERROR(__xludf.DUMMYFUNCTION("""COMPUTED_VALUE"""),"Yes")</f>
        <v>Yes</v>
      </c>
      <c r="Z97" s="5" t="str">
        <f ca="1">IFERROR(__xludf.DUMMYFUNCTION("""COMPUTED_VALUE"""),"Yes")</f>
        <v>Yes</v>
      </c>
      <c r="AA97" s="5" t="str">
        <f ca="1">IFERROR(__xludf.DUMMYFUNCTION("""COMPUTED_VALUE"""),"Yes")</f>
        <v>Yes</v>
      </c>
      <c r="AB97" s="5" t="str">
        <f ca="1">IFERROR(__xludf.DUMMYFUNCTION("""COMPUTED_VALUE"""),"Yes")</f>
        <v>Yes</v>
      </c>
      <c r="AC97" s="5" t="str">
        <f ca="1">IFERROR(__xludf.DUMMYFUNCTION("""COMPUTED_VALUE"""),"Yes")</f>
        <v>Yes</v>
      </c>
      <c r="AD97" s="5" t="str">
        <f ca="1">IFERROR(__xludf.DUMMYFUNCTION("""COMPUTED_VALUE"""),"Yes")</f>
        <v>Yes</v>
      </c>
      <c r="AE97" s="5" t="str">
        <f ca="1">IFERROR(__xludf.DUMMYFUNCTION("""COMPUTED_VALUE"""),"Yes")</f>
        <v>Yes</v>
      </c>
      <c r="AF97" s="5" t="str">
        <f ca="1">IFERROR(__xludf.DUMMYFUNCTION("""COMPUTED_VALUE"""),"Yes")</f>
        <v>Yes</v>
      </c>
      <c r="AG97" s="5" t="str">
        <f ca="1">IFERROR(__xludf.DUMMYFUNCTION("""COMPUTED_VALUE"""),"Yes")</f>
        <v>Yes</v>
      </c>
      <c r="AH97" s="5" t="str">
        <f ca="1">IFERROR(__xludf.DUMMYFUNCTION("""COMPUTED_VALUE"""),"Yes")</f>
        <v>Yes</v>
      </c>
      <c r="AI97" s="5" t="str">
        <f ca="1">IFERROR(__xludf.DUMMYFUNCTION("""COMPUTED_VALUE"""),"Yes")</f>
        <v>Yes</v>
      </c>
      <c r="AJ97" s="5" t="str">
        <f ca="1">IFERROR(__xludf.DUMMYFUNCTION("""COMPUTED_VALUE"""),"Yes")</f>
        <v>Yes</v>
      </c>
      <c r="AK97" s="5" t="str">
        <f ca="1">IFERROR(__xludf.DUMMYFUNCTION("""COMPUTED_VALUE"""),"Yes")</f>
        <v>Yes</v>
      </c>
      <c r="AL97" s="5" t="str">
        <f ca="1">IFERROR(__xludf.DUMMYFUNCTION("""COMPUTED_VALUE"""),"Yes")</f>
        <v>Yes</v>
      </c>
      <c r="AM97" s="5"/>
      <c r="AN97" s="5"/>
      <c r="AO97" s="5"/>
      <c r="AP97" s="5"/>
      <c r="AQ97" s="5" t="str">
        <f ca="1">IFERROR(__xludf.DUMMYFUNCTION("""COMPUTED_VALUE"""),"Yes")</f>
        <v>Yes</v>
      </c>
      <c r="AR97" s="5"/>
      <c r="AS97" s="5"/>
      <c r="AT97" s="5"/>
      <c r="AU97" s="5"/>
    </row>
    <row r="98" spans="1:47" x14ac:dyDescent="0.25">
      <c r="A98" s="5" t="str">
        <f ca="1">IFERROR(__xludf.DUMMYFUNCTION("""COMPUTED_VALUE"""),"Redstone")</f>
        <v>Redstone</v>
      </c>
      <c r="B98" s="5" t="str">
        <f ca="1">IFERROR(__xludf.DUMMYFUNCTION("""COMPUTED_VALUE"""),"777: Extra Chance")</f>
        <v>777: Extra Chance</v>
      </c>
      <c r="C98" s="5" t="str">
        <f ca="1">IFERROR(__xludf.DUMMYFUNCTION("""COMPUTED_VALUE"""),"Redstone777ExtraChance")</f>
        <v>Redstone777ExtraChance</v>
      </c>
      <c r="D98" s="6">
        <f ca="1">IFERROR(__xludf.DUMMYFUNCTION("""COMPUTED_VALUE"""),45895)</f>
        <v>45895</v>
      </c>
      <c r="E98" s="5" t="str">
        <f ca="1">IFERROR(__xludf.DUMMYFUNCTION("""COMPUTED_VALUE"""),"Slot")</f>
        <v>Slot</v>
      </c>
      <c r="F98" s="5">
        <f ca="1">IFERROR(__xludf.DUMMYFUNCTION("""COMPUTED_VALUE"""),10)</f>
        <v>10</v>
      </c>
      <c r="G98" s="5" t="str">
        <f ca="1">IFERROR(__xludf.DUMMYFUNCTION("""COMPUTED_VALUE"""),"5x3")</f>
        <v>5x3</v>
      </c>
      <c r="H98" s="5">
        <f ca="1">IFERROR(__xludf.DUMMYFUNCTION("""COMPUTED_VALUE"""),5)</f>
        <v>5</v>
      </c>
      <c r="I98" s="5">
        <f ca="1">IFERROR(__xludf.DUMMYFUNCTION("""COMPUTED_VALUE"""),5)</f>
        <v>5</v>
      </c>
      <c r="J98" s="5" t="str">
        <f ca="1">IFERROR(__xludf.DUMMYFUNCTION("""COMPUTED_VALUE"""),"96%")</f>
        <v>96%</v>
      </c>
      <c r="K98" s="5" t="str">
        <f ca="1">IFERROR(__xludf.DUMMYFUNCTION("""COMPUTED_VALUE"""),"Medium")</f>
        <v>Medium</v>
      </c>
      <c r="L98" s="5" t="str">
        <f ca="1">IFERROR(__xludf.DUMMYFUNCTION("""COMPUTED_VALUE"""),"9.07%")</f>
        <v>9.07%</v>
      </c>
      <c r="M98" s="5" t="str">
        <f ca="1">IFERROR(__xludf.DUMMYFUNCTION("""COMPUTED_VALUE"""),"x1000")</f>
        <v>x1000</v>
      </c>
      <c r="N98" s="5" t="str">
        <f ca="1">IFERROR(__xludf.DUMMYFUNCTION("""COMPUTED_VALUE"""),"0.01/50")</f>
        <v>0.01/50</v>
      </c>
      <c r="O98" s="5" t="str">
        <f ca="1">IFERROR(__xludf.DUMMYFUNCTION("""COMPUTED_VALUE"""),"No")</f>
        <v>No</v>
      </c>
      <c r="P98" s="5" t="str">
        <f ca="1">IFERROR(__xludf.DUMMYFUNCTION("""COMPUTED_VALUE"""),"Respin")</f>
        <v>Respin</v>
      </c>
      <c r="Q98" s="7" t="str">
        <f ca="1">IFERROR(__xludf.DUMMYFUNCTION("""COMPUTED_VALUE"""),"https://static.redstone.rs/games/777-extra-chance/")</f>
        <v>https://static.redstone.rs/games/777-extra-chance/</v>
      </c>
      <c r="R98" s="5" t="str">
        <f ca="1">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S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8" s="5" t="str">
        <f ca="1">IFERROR(__xludf.DUMMYFUNCTION("""COMPUTED_VALUE"""),"Yes")</f>
        <v>Yes</v>
      </c>
      <c r="U98" s="5" t="str">
        <f ca="1">IFERROR(__xludf.DUMMYFUNCTION("""COMPUTED_VALUE"""),"Yes")</f>
        <v>Yes</v>
      </c>
      <c r="V98" s="5" t="str">
        <f ca="1">IFERROR(__xludf.DUMMYFUNCTION("""COMPUTED_VALUE"""),"Yes")</f>
        <v>Yes</v>
      </c>
      <c r="W98" s="5" t="str">
        <f ca="1">IFERROR(__xludf.DUMMYFUNCTION("""COMPUTED_VALUE"""),"Yes")</f>
        <v>Yes</v>
      </c>
      <c r="X98" s="5" t="str">
        <f ca="1">IFERROR(__xludf.DUMMYFUNCTION("""COMPUTED_VALUE"""),"Yes")</f>
        <v>Yes</v>
      </c>
      <c r="Y98" s="5" t="str">
        <f ca="1">IFERROR(__xludf.DUMMYFUNCTION("""COMPUTED_VALUE"""),"Yes")</f>
        <v>Yes</v>
      </c>
      <c r="Z98" s="5" t="str">
        <f ca="1">IFERROR(__xludf.DUMMYFUNCTION("""COMPUTED_VALUE"""),"Yes")</f>
        <v>Yes</v>
      </c>
      <c r="AA98" s="5" t="str">
        <f ca="1">IFERROR(__xludf.DUMMYFUNCTION("""COMPUTED_VALUE"""),"Yes")</f>
        <v>Yes</v>
      </c>
      <c r="AB98" s="5" t="str">
        <f ca="1">IFERROR(__xludf.DUMMYFUNCTION("""COMPUTED_VALUE"""),"Yes")</f>
        <v>Yes</v>
      </c>
      <c r="AC98" s="5" t="str">
        <f ca="1">IFERROR(__xludf.DUMMYFUNCTION("""COMPUTED_VALUE"""),"Yes")</f>
        <v>Yes</v>
      </c>
      <c r="AD98" s="5" t="str">
        <f ca="1">IFERROR(__xludf.DUMMYFUNCTION("""COMPUTED_VALUE"""),"Yes")</f>
        <v>Yes</v>
      </c>
      <c r="AE98" s="5" t="str">
        <f ca="1">IFERROR(__xludf.DUMMYFUNCTION("""COMPUTED_VALUE"""),"Yes")</f>
        <v>Yes</v>
      </c>
      <c r="AF98" s="5" t="str">
        <f ca="1">IFERROR(__xludf.DUMMYFUNCTION("""COMPUTED_VALUE"""),"Yes")</f>
        <v>Yes</v>
      </c>
      <c r="AG98" s="5" t="str">
        <f ca="1">IFERROR(__xludf.DUMMYFUNCTION("""COMPUTED_VALUE"""),"Yes")</f>
        <v>Yes</v>
      </c>
      <c r="AH98" s="5" t="str">
        <f ca="1">IFERROR(__xludf.DUMMYFUNCTION("""COMPUTED_VALUE"""),"Yes")</f>
        <v>Yes</v>
      </c>
      <c r="AI98" s="5" t="str">
        <f ca="1">IFERROR(__xludf.DUMMYFUNCTION("""COMPUTED_VALUE"""),"Yes")</f>
        <v>Yes</v>
      </c>
      <c r="AJ98" s="5" t="str">
        <f ca="1">IFERROR(__xludf.DUMMYFUNCTION("""COMPUTED_VALUE"""),"Yes")</f>
        <v>Yes</v>
      </c>
      <c r="AK98" s="5" t="str">
        <f ca="1">IFERROR(__xludf.DUMMYFUNCTION("""COMPUTED_VALUE"""),"Yes")</f>
        <v>Yes</v>
      </c>
      <c r="AL98" s="5" t="str">
        <f ca="1">IFERROR(__xludf.DUMMYFUNCTION("""COMPUTED_VALUE"""),"Yes")</f>
        <v>Yes</v>
      </c>
      <c r="AM98" s="5"/>
      <c r="AN98" s="5"/>
      <c r="AO98" s="5"/>
      <c r="AP98" s="5"/>
      <c r="AQ98" s="5" t="str">
        <f ca="1">IFERROR(__xludf.DUMMYFUNCTION("""COMPUTED_VALUE"""),"Yes")</f>
        <v>Yes</v>
      </c>
      <c r="AR98" s="5"/>
      <c r="AS98" s="5"/>
      <c r="AT98" s="5"/>
      <c r="AU98" s="5"/>
    </row>
    <row r="99" spans="1:47" x14ac:dyDescent="0.25">
      <c r="A99" s="5" t="str">
        <f ca="1">IFERROR(__xludf.DUMMYFUNCTION("""COMPUTED_VALUE"""),"Redstone")</f>
        <v>Redstone</v>
      </c>
      <c r="B99" s="5" t="str">
        <f ca="1">IFERROR(__xludf.DUMMYFUNCTION("""COMPUTED_VALUE"""),"Divine Strike")</f>
        <v>Divine Strike</v>
      </c>
      <c r="C99" s="5" t="str">
        <f ca="1">IFERROR(__xludf.DUMMYFUNCTION("""COMPUTED_VALUE"""),"RedstoneDivineStrike")</f>
        <v>RedstoneDivineStrike</v>
      </c>
      <c r="D99" s="6">
        <f ca="1">IFERROR(__xludf.DUMMYFUNCTION("""COMPUTED_VALUE"""),45721)</f>
        <v>45721</v>
      </c>
      <c r="E99" s="5" t="str">
        <f ca="1">IFERROR(__xludf.DUMMYFUNCTION("""COMPUTED_VALUE"""),"Slot")</f>
        <v>Slot</v>
      </c>
      <c r="F99" s="5">
        <f ca="1">IFERROR(__xludf.DUMMYFUNCTION("""COMPUTED_VALUE"""),13.9)</f>
        <v>13.9</v>
      </c>
      <c r="G99" s="5" t="str">
        <f ca="1">IFERROR(__xludf.DUMMYFUNCTION("""COMPUTED_VALUE"""),"5x4")</f>
        <v>5x4</v>
      </c>
      <c r="H99" s="5">
        <f ca="1">IFERROR(__xludf.DUMMYFUNCTION("""COMPUTED_VALUE"""),40)</f>
        <v>40</v>
      </c>
      <c r="I99" s="5">
        <f ca="1">IFERROR(__xludf.DUMMYFUNCTION("""COMPUTED_VALUE"""),40)</f>
        <v>40</v>
      </c>
      <c r="J99" s="5" t="str">
        <f ca="1">IFERROR(__xludf.DUMMYFUNCTION("""COMPUTED_VALUE"""),"95.32%")</f>
        <v>95.32%</v>
      </c>
      <c r="K99" s="5" t="str">
        <f ca="1">IFERROR(__xludf.DUMMYFUNCTION("""COMPUTED_VALUE"""),"Medium")</f>
        <v>Medium</v>
      </c>
      <c r="L99" s="5" t="str">
        <f ca="1">IFERROR(__xludf.DUMMYFUNCTION("""COMPUTED_VALUE"""),"12.34%")</f>
        <v>12.34%</v>
      </c>
      <c r="M99" s="5" t="str">
        <f ca="1">IFERROR(__xludf.DUMMYFUNCTION("""COMPUTED_VALUE"""),"x2000")</f>
        <v>x2000</v>
      </c>
      <c r="N99" s="5" t="str">
        <f ca="1">IFERROR(__xludf.DUMMYFUNCTION("""COMPUTED_VALUE"""),"0.40/60")</f>
        <v>0.40/60</v>
      </c>
      <c r="O99" s="5" t="str">
        <f ca="1">IFERROR(__xludf.DUMMYFUNCTION("""COMPUTED_VALUE"""),"No")</f>
        <v>No</v>
      </c>
      <c r="P99" s="5" t="str">
        <f ca="1">IFERROR(__xludf.DUMMYFUNCTION("""COMPUTED_VALUE"""),"Buy Bonus, Ante Bet, Bonus Game with Free Spins, Special Wild")</f>
        <v>Buy Bonus, Ante Bet, Bonus Game with Free Spins, Special Wild</v>
      </c>
      <c r="Q99" s="7" t="str">
        <f ca="1">IFERROR(__xludf.DUMMYFUNCTION("""COMPUTED_VALUE"""),"https://static.redstone.rs/games/divine-strike/")</f>
        <v>https://static.redstone.rs/games/divine-strike/</v>
      </c>
      <c r="R99" s="5" t="str">
        <f ca="1">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S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9" s="5" t="str">
        <f ca="1">IFERROR(__xludf.DUMMYFUNCTION("""COMPUTED_VALUE"""),"Yes")</f>
        <v>Yes</v>
      </c>
      <c r="U99" s="5" t="str">
        <f ca="1">IFERROR(__xludf.DUMMYFUNCTION("""COMPUTED_VALUE"""),"Yes")</f>
        <v>Yes</v>
      </c>
      <c r="V99" s="5" t="str">
        <f ca="1">IFERROR(__xludf.DUMMYFUNCTION("""COMPUTED_VALUE"""),"Yes")</f>
        <v>Yes</v>
      </c>
      <c r="W99" s="5" t="str">
        <f ca="1">IFERROR(__xludf.DUMMYFUNCTION("""COMPUTED_VALUE"""),"Yes")</f>
        <v>Yes</v>
      </c>
      <c r="X99" s="5" t="str">
        <f ca="1">IFERROR(__xludf.DUMMYFUNCTION("""COMPUTED_VALUE"""),"Yes")</f>
        <v>Yes</v>
      </c>
      <c r="Y99" s="5" t="str">
        <f ca="1">IFERROR(__xludf.DUMMYFUNCTION("""COMPUTED_VALUE"""),"Yes")</f>
        <v>Yes</v>
      </c>
      <c r="Z99" s="5" t="str">
        <f ca="1">IFERROR(__xludf.DUMMYFUNCTION("""COMPUTED_VALUE"""),"Yes")</f>
        <v>Yes</v>
      </c>
      <c r="AA99" s="5" t="str">
        <f ca="1">IFERROR(__xludf.DUMMYFUNCTION("""COMPUTED_VALUE"""),"Yes")</f>
        <v>Yes</v>
      </c>
      <c r="AB99" s="5" t="str">
        <f ca="1">IFERROR(__xludf.DUMMYFUNCTION("""COMPUTED_VALUE"""),"Yes")</f>
        <v>Yes</v>
      </c>
      <c r="AC99" s="5" t="str">
        <f ca="1">IFERROR(__xludf.DUMMYFUNCTION("""COMPUTED_VALUE"""),"Yes")</f>
        <v>Yes</v>
      </c>
      <c r="AD99" s="5" t="str">
        <f ca="1">IFERROR(__xludf.DUMMYFUNCTION("""COMPUTED_VALUE"""),"Yes")</f>
        <v>Yes</v>
      </c>
      <c r="AE99" s="5" t="str">
        <f ca="1">IFERROR(__xludf.DUMMYFUNCTION("""COMPUTED_VALUE"""),"Yes")</f>
        <v>Yes</v>
      </c>
      <c r="AF99" s="5" t="str">
        <f ca="1">IFERROR(__xludf.DUMMYFUNCTION("""COMPUTED_VALUE"""),"Yes")</f>
        <v>Yes</v>
      </c>
      <c r="AG99" s="5" t="str">
        <f ca="1">IFERROR(__xludf.DUMMYFUNCTION("""COMPUTED_VALUE"""),"Yes")</f>
        <v>Yes</v>
      </c>
      <c r="AH99" s="5" t="str">
        <f ca="1">IFERROR(__xludf.DUMMYFUNCTION("""COMPUTED_VALUE"""),"Yes")</f>
        <v>Yes</v>
      </c>
      <c r="AI99" s="5" t="str">
        <f ca="1">IFERROR(__xludf.DUMMYFUNCTION("""COMPUTED_VALUE"""),"Yes")</f>
        <v>Yes</v>
      </c>
      <c r="AJ99" s="5" t="str">
        <f ca="1">IFERROR(__xludf.DUMMYFUNCTION("""COMPUTED_VALUE"""),"Yes")</f>
        <v>Yes</v>
      </c>
      <c r="AK99" s="5" t="str">
        <f ca="1">IFERROR(__xludf.DUMMYFUNCTION("""COMPUTED_VALUE"""),"Yes")</f>
        <v>Yes</v>
      </c>
      <c r="AL99" s="5" t="str">
        <f ca="1">IFERROR(__xludf.DUMMYFUNCTION("""COMPUTED_VALUE"""),"Yes")</f>
        <v>Yes</v>
      </c>
      <c r="AM99" s="5"/>
      <c r="AN99" s="5"/>
      <c r="AO99" s="5"/>
      <c r="AP99" s="5"/>
      <c r="AQ99" s="5" t="str">
        <f ca="1">IFERROR(__xludf.DUMMYFUNCTION("""COMPUTED_VALUE"""),"Yes")</f>
        <v>Yes</v>
      </c>
      <c r="AR99" s="5"/>
      <c r="AS99" s="5"/>
      <c r="AT99" s="5"/>
      <c r="AU99" s="5"/>
    </row>
    <row r="100" spans="1:47" x14ac:dyDescent="0.25">
      <c r="A100" s="5" t="str">
        <f ca="1">IFERROR(__xludf.DUMMYFUNCTION("""COMPUTED_VALUE"""),"Redstone")</f>
        <v>Redstone</v>
      </c>
      <c r="B100" s="5" t="str">
        <f ca="1">IFERROR(__xludf.DUMMYFUNCTION("""COMPUTED_VALUE"""),"10 Wild Crown Halloween")</f>
        <v>10 Wild Crown Halloween</v>
      </c>
      <c r="C100" s="5" t="str">
        <f ca="1">IFERROR(__xludf.DUMMYFUNCTION("""COMPUTED_VALUE"""),"Redstone10WildCrownHalloween")</f>
        <v>Redstone10WildCrownHalloween</v>
      </c>
      <c r="D100" s="6">
        <f ca="1">IFERROR(__xludf.DUMMYFUNCTION("""COMPUTED_VALUE"""),45924)</f>
        <v>45924</v>
      </c>
      <c r="E100" s="5" t="str">
        <f ca="1">IFERROR(__xludf.DUMMYFUNCTION("""COMPUTED_VALUE"""),"Slot")</f>
        <v>Slot</v>
      </c>
      <c r="F100" s="5">
        <f ca="1">IFERROR(__xludf.DUMMYFUNCTION("""COMPUTED_VALUE"""),6.5)</f>
        <v>6.5</v>
      </c>
      <c r="G100" s="5" t="str">
        <f ca="1">IFERROR(__xludf.DUMMYFUNCTION("""COMPUTED_VALUE"""),"5x3")</f>
        <v>5x3</v>
      </c>
      <c r="H100" s="5">
        <f ca="1">IFERROR(__xludf.DUMMYFUNCTION("""COMPUTED_VALUE"""),10)</f>
        <v>10</v>
      </c>
      <c r="I100" s="5">
        <f ca="1">IFERROR(__xludf.DUMMYFUNCTION("""COMPUTED_VALUE"""),10)</f>
        <v>10</v>
      </c>
      <c r="J100" s="5" t="str">
        <f ca="1">IFERROR(__xludf.DUMMYFUNCTION("""COMPUTED_VALUE"""),"95.96%")</f>
        <v>95.96%</v>
      </c>
      <c r="K100" s="5" t="str">
        <f ca="1">IFERROR(__xludf.DUMMYFUNCTION("""COMPUTED_VALUE"""),"Medium")</f>
        <v>Medium</v>
      </c>
      <c r="L100" s="5" t="str">
        <f ca="1">IFERROR(__xludf.DUMMYFUNCTION("""COMPUTED_VALUE"""),"14.63%")</f>
        <v>14.63%</v>
      </c>
      <c r="M100" s="5" t="str">
        <f ca="1">IFERROR(__xludf.DUMMYFUNCTION("""COMPUTED_VALUE"""),"x1538")</f>
        <v>x1538</v>
      </c>
      <c r="N100" s="5" t="str">
        <f ca="1">IFERROR(__xludf.DUMMYFUNCTION("""COMPUTED_VALUE"""),"0.10/40")</f>
        <v>0.10/40</v>
      </c>
      <c r="O100" s="5" t="str">
        <f ca="1">IFERROR(__xludf.DUMMYFUNCTION("""COMPUTED_VALUE"""),"No")</f>
        <v>No</v>
      </c>
      <c r="P100" s="5" t="str">
        <f ca="1">IFERROR(__xludf.DUMMYFUNCTION("""COMPUTED_VALUE"""),"Expanding Wild, Scatter")</f>
        <v>Expanding Wild, Scatter</v>
      </c>
      <c r="Q100" s="7" t="str">
        <f ca="1">IFERROR(__xludf.DUMMYFUNCTION("""COMPUTED_VALUE"""),"https://static.redstone.rs/games/10-wild-crown-halloween/")</f>
        <v>https://static.redstone.rs/games/10-wild-crown-halloween/</v>
      </c>
      <c r="R100" s="5" t="str">
        <f ca="1">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S1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T100" s="5" t="str">
        <f ca="1">IFERROR(__xludf.DUMMYFUNCTION("""COMPUTED_VALUE"""),"Yes")</f>
        <v>Yes</v>
      </c>
      <c r="U100" s="5" t="str">
        <f ca="1">IFERROR(__xludf.DUMMYFUNCTION("""COMPUTED_VALUE"""),"Yes")</f>
        <v>Yes</v>
      </c>
      <c r="V100" s="5" t="str">
        <f ca="1">IFERROR(__xludf.DUMMYFUNCTION("""COMPUTED_VALUE"""),"Yes")</f>
        <v>Yes</v>
      </c>
      <c r="W100" s="5" t="str">
        <f ca="1">IFERROR(__xludf.DUMMYFUNCTION("""COMPUTED_VALUE"""),"Yes")</f>
        <v>Yes</v>
      </c>
      <c r="X100" s="5" t="str">
        <f ca="1">IFERROR(__xludf.DUMMYFUNCTION("""COMPUTED_VALUE"""),"Yes")</f>
        <v>Yes</v>
      </c>
      <c r="Y100" s="5" t="str">
        <f ca="1">IFERROR(__xludf.DUMMYFUNCTION("""COMPUTED_VALUE"""),"Yes")</f>
        <v>Yes</v>
      </c>
      <c r="Z100" s="5" t="str">
        <f ca="1">IFERROR(__xludf.DUMMYFUNCTION("""COMPUTED_VALUE"""),"Yes")</f>
        <v>Yes</v>
      </c>
      <c r="AA100" s="5" t="str">
        <f ca="1">IFERROR(__xludf.DUMMYFUNCTION("""COMPUTED_VALUE"""),"Yes")</f>
        <v>Yes</v>
      </c>
      <c r="AB100" s="5" t="str">
        <f ca="1">IFERROR(__xludf.DUMMYFUNCTION("""COMPUTED_VALUE"""),"Yes")</f>
        <v>Yes</v>
      </c>
      <c r="AC100" s="5" t="str">
        <f ca="1">IFERROR(__xludf.DUMMYFUNCTION("""COMPUTED_VALUE"""),"Yes")</f>
        <v>Yes</v>
      </c>
      <c r="AD100" s="5" t="str">
        <f ca="1">IFERROR(__xludf.DUMMYFUNCTION("""COMPUTED_VALUE"""),"Yes")</f>
        <v>Yes</v>
      </c>
      <c r="AE100" s="5" t="str">
        <f ca="1">IFERROR(__xludf.DUMMYFUNCTION("""COMPUTED_VALUE"""),"Yes")</f>
        <v>Yes</v>
      </c>
      <c r="AF100" s="5" t="str">
        <f ca="1">IFERROR(__xludf.DUMMYFUNCTION("""COMPUTED_VALUE"""),"Yes")</f>
        <v>Yes</v>
      </c>
      <c r="AG100" s="5" t="str">
        <f ca="1">IFERROR(__xludf.DUMMYFUNCTION("""COMPUTED_VALUE"""),"Yes")</f>
        <v>Yes</v>
      </c>
      <c r="AH100" s="5" t="str">
        <f ca="1">IFERROR(__xludf.DUMMYFUNCTION("""COMPUTED_VALUE"""),"Yes")</f>
        <v>Yes</v>
      </c>
      <c r="AI100" s="5" t="str">
        <f ca="1">IFERROR(__xludf.DUMMYFUNCTION("""COMPUTED_VALUE"""),"Yes")</f>
        <v>Yes</v>
      </c>
      <c r="AJ100" s="5" t="str">
        <f ca="1">IFERROR(__xludf.DUMMYFUNCTION("""COMPUTED_VALUE"""),"Yes")</f>
        <v>Yes</v>
      </c>
      <c r="AK100" s="5" t="str">
        <f ca="1">IFERROR(__xludf.DUMMYFUNCTION("""COMPUTED_VALUE"""),"Yes")</f>
        <v>Yes</v>
      </c>
      <c r="AL100" s="5" t="str">
        <f ca="1">IFERROR(__xludf.DUMMYFUNCTION("""COMPUTED_VALUE"""),"Yes")</f>
        <v>Yes</v>
      </c>
      <c r="AM100" s="5"/>
      <c r="AN100" s="5"/>
      <c r="AO100" s="5"/>
      <c r="AP100" s="5"/>
      <c r="AQ100" s="5" t="str">
        <f ca="1">IFERROR(__xludf.DUMMYFUNCTION("""COMPUTED_VALUE"""),"Yes")</f>
        <v>Yes</v>
      </c>
      <c r="AR100" s="5"/>
      <c r="AS100" s="5" t="str">
        <f ca="1">IFERROR(__xludf.DUMMYFUNCTION("""COMPUTED_VALUE"""),"Yes")</f>
        <v>Yes</v>
      </c>
      <c r="AT100" s="5"/>
      <c r="AU100" s="5"/>
    </row>
    <row r="101" spans="1:47" x14ac:dyDescent="0.25">
      <c r="A101" s="5" t="str">
        <f ca="1">IFERROR(__xludf.DUMMYFUNCTION("""COMPUTED_VALUE"""),"Redstone")</f>
        <v>Redstone</v>
      </c>
      <c r="B101" s="5" t="str">
        <f ca="1">IFERROR(__xludf.DUMMYFUNCTION("""COMPUTED_VALUE"""),"5 Clover Fire Halloween")</f>
        <v>5 Clover Fire Halloween</v>
      </c>
      <c r="C101" s="5" t="str">
        <f ca="1">IFERROR(__xludf.DUMMYFUNCTION("""COMPUTED_VALUE"""),"Redstone5CloverFireHalloween")</f>
        <v>Redstone5CloverFireHalloween</v>
      </c>
      <c r="D101" s="6">
        <f ca="1">IFERROR(__xludf.DUMMYFUNCTION("""COMPUTED_VALUE"""),45917)</f>
        <v>45917</v>
      </c>
      <c r="E101" s="5" t="str">
        <f ca="1">IFERROR(__xludf.DUMMYFUNCTION("""COMPUTED_VALUE"""),"Slot")</f>
        <v>Slot</v>
      </c>
      <c r="F101" s="5">
        <f ca="1">IFERROR(__xludf.DUMMYFUNCTION("""COMPUTED_VALUE"""),6.6)</f>
        <v>6.6</v>
      </c>
      <c r="G101" s="5" t="str">
        <f ca="1">IFERROR(__xludf.DUMMYFUNCTION("""COMPUTED_VALUE"""),"5x3")</f>
        <v>5x3</v>
      </c>
      <c r="H101" s="5">
        <f ca="1">IFERROR(__xludf.DUMMYFUNCTION("""COMPUTED_VALUE"""),5)</f>
        <v>5</v>
      </c>
      <c r="I101" s="5">
        <f ca="1">IFERROR(__xludf.DUMMYFUNCTION("""COMPUTED_VALUE"""),5)</f>
        <v>5</v>
      </c>
      <c r="J101" s="5" t="str">
        <f ca="1">IFERROR(__xludf.DUMMYFUNCTION("""COMPUTED_VALUE"""),"96.45%")</f>
        <v>96.45%</v>
      </c>
      <c r="K101" s="5" t="str">
        <f ca="1">IFERROR(__xludf.DUMMYFUNCTION("""COMPUTED_VALUE"""),"Medium")</f>
        <v>Medium</v>
      </c>
      <c r="L101" s="5" t="str">
        <f ca="1">IFERROR(__xludf.DUMMYFUNCTION("""COMPUTED_VALUE"""),"14.5%")</f>
        <v>14.5%</v>
      </c>
      <c r="M101" s="5" t="str">
        <f ca="1">IFERROR(__xludf.DUMMYFUNCTION("""COMPUTED_VALUE"""),"x1222")</f>
        <v>x1222</v>
      </c>
      <c r="N101" s="5" t="str">
        <f ca="1">IFERROR(__xludf.DUMMYFUNCTION("""COMPUTED_VALUE"""),"0.05/30")</f>
        <v>0.05/30</v>
      </c>
      <c r="O101" s="5" t="str">
        <f ca="1">IFERROR(__xludf.DUMMYFUNCTION("""COMPUTED_VALUE"""),"No")</f>
        <v>No</v>
      </c>
      <c r="P101" s="5" t="str">
        <f ca="1">IFERROR(__xludf.DUMMYFUNCTION("""COMPUTED_VALUE"""),"Expanding Wild, Scatter")</f>
        <v>Expanding Wild, Scatter</v>
      </c>
      <c r="Q101" s="7" t="str">
        <f ca="1">IFERROR(__xludf.DUMMYFUNCTION("""COMPUTED_VALUE"""),"https://static.redstone.rs/games/5-clover-fire-halloween/")</f>
        <v>https://static.redstone.rs/games/5-clover-fire-halloween/</v>
      </c>
      <c r="R101" s="5" t="str">
        <f ca="1">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S1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T101" s="5" t="str">
        <f ca="1">IFERROR(__xludf.DUMMYFUNCTION("""COMPUTED_VALUE"""),"Yes")</f>
        <v>Yes</v>
      </c>
      <c r="U101" s="5" t="str">
        <f ca="1">IFERROR(__xludf.DUMMYFUNCTION("""COMPUTED_VALUE"""),"Yes")</f>
        <v>Yes</v>
      </c>
      <c r="V101" s="5" t="str">
        <f ca="1">IFERROR(__xludf.DUMMYFUNCTION("""COMPUTED_VALUE"""),"Yes")</f>
        <v>Yes</v>
      </c>
      <c r="W101" s="5" t="str">
        <f ca="1">IFERROR(__xludf.DUMMYFUNCTION("""COMPUTED_VALUE"""),"Yes")</f>
        <v>Yes</v>
      </c>
      <c r="X101" s="5" t="str">
        <f ca="1">IFERROR(__xludf.DUMMYFUNCTION("""COMPUTED_VALUE"""),"Yes")</f>
        <v>Yes</v>
      </c>
      <c r="Y101" s="5" t="str">
        <f ca="1">IFERROR(__xludf.DUMMYFUNCTION("""COMPUTED_VALUE"""),"Yes")</f>
        <v>Yes</v>
      </c>
      <c r="Z101" s="5" t="str">
        <f ca="1">IFERROR(__xludf.DUMMYFUNCTION("""COMPUTED_VALUE"""),"Yes")</f>
        <v>Yes</v>
      </c>
      <c r="AA101" s="5" t="str">
        <f ca="1">IFERROR(__xludf.DUMMYFUNCTION("""COMPUTED_VALUE"""),"Yes")</f>
        <v>Yes</v>
      </c>
      <c r="AB101" s="5" t="str">
        <f ca="1">IFERROR(__xludf.DUMMYFUNCTION("""COMPUTED_VALUE"""),"Yes")</f>
        <v>Yes</v>
      </c>
      <c r="AC101" s="5" t="str">
        <f ca="1">IFERROR(__xludf.DUMMYFUNCTION("""COMPUTED_VALUE"""),"Yes")</f>
        <v>Yes</v>
      </c>
      <c r="AD101" s="5" t="str">
        <f ca="1">IFERROR(__xludf.DUMMYFUNCTION("""COMPUTED_VALUE"""),"Yes")</f>
        <v>Yes</v>
      </c>
      <c r="AE101" s="5" t="str">
        <f ca="1">IFERROR(__xludf.DUMMYFUNCTION("""COMPUTED_VALUE"""),"Yes")</f>
        <v>Yes</v>
      </c>
      <c r="AF101" s="5" t="str">
        <f ca="1">IFERROR(__xludf.DUMMYFUNCTION("""COMPUTED_VALUE"""),"Yes")</f>
        <v>Yes</v>
      </c>
      <c r="AG101" s="5" t="str">
        <f ca="1">IFERROR(__xludf.DUMMYFUNCTION("""COMPUTED_VALUE"""),"Yes")</f>
        <v>Yes</v>
      </c>
      <c r="AH101" s="5" t="str">
        <f ca="1">IFERROR(__xludf.DUMMYFUNCTION("""COMPUTED_VALUE"""),"Yes")</f>
        <v>Yes</v>
      </c>
      <c r="AI101" s="5" t="str">
        <f ca="1">IFERROR(__xludf.DUMMYFUNCTION("""COMPUTED_VALUE"""),"Yes")</f>
        <v>Yes</v>
      </c>
      <c r="AJ101" s="5" t="str">
        <f ca="1">IFERROR(__xludf.DUMMYFUNCTION("""COMPUTED_VALUE"""),"Yes")</f>
        <v>Yes</v>
      </c>
      <c r="AK101" s="5" t="str">
        <f ca="1">IFERROR(__xludf.DUMMYFUNCTION("""COMPUTED_VALUE"""),"Yes")</f>
        <v>Yes</v>
      </c>
      <c r="AL101" s="5" t="str">
        <f ca="1">IFERROR(__xludf.DUMMYFUNCTION("""COMPUTED_VALUE"""),"Yes")</f>
        <v>Yes</v>
      </c>
      <c r="AM101" s="5" t="str">
        <f ca="1">IFERROR(__xludf.DUMMYFUNCTION("""COMPUTED_VALUE"""),"Yes")</f>
        <v>Yes</v>
      </c>
      <c r="AN101" s="5" t="str">
        <f ca="1">IFERROR(__xludf.DUMMYFUNCTION("""COMPUTED_VALUE"""),"Yes")</f>
        <v>Yes</v>
      </c>
      <c r="AO101" s="5"/>
      <c r="AP101" s="5"/>
      <c r="AQ101" s="5" t="str">
        <f ca="1">IFERROR(__xludf.DUMMYFUNCTION("""COMPUTED_VALUE"""),"Yes")</f>
        <v>Yes</v>
      </c>
      <c r="AR101" s="5"/>
      <c r="AS101" s="5" t="str">
        <f ca="1">IFERROR(__xludf.DUMMYFUNCTION("""COMPUTED_VALUE"""),"Yes")</f>
        <v>Yes</v>
      </c>
      <c r="AT101" s="5"/>
      <c r="AU101" s="5"/>
    </row>
    <row r="102" spans="1:47" x14ac:dyDescent="0.25">
      <c r="A102" s="5" t="str">
        <f ca="1">IFERROR(__xludf.DUMMYFUNCTION("""COMPUTED_VALUE"""),"Redstone")</f>
        <v>Redstone</v>
      </c>
      <c r="B102" s="5" t="str">
        <f ca="1">IFERROR(__xludf.DUMMYFUNCTION("""COMPUTED_VALUE"""),"Clover Field 40")</f>
        <v>Clover Field 40</v>
      </c>
      <c r="C102" s="5" t="str">
        <f ca="1">IFERROR(__xludf.DUMMYFUNCTION("""COMPUTED_VALUE"""),"Redstone40CloverField")</f>
        <v>Redstone40CloverField</v>
      </c>
      <c r="D102" s="6">
        <f ca="1">IFERROR(__xludf.DUMMYFUNCTION("""COMPUTED_VALUE"""),45933)</f>
        <v>45933</v>
      </c>
      <c r="E102" s="5" t="str">
        <f ca="1">IFERROR(__xludf.DUMMYFUNCTION("""COMPUTED_VALUE"""),"Slot")</f>
        <v>Slot</v>
      </c>
      <c r="F102" s="5">
        <f ca="1">IFERROR(__xludf.DUMMYFUNCTION("""COMPUTED_VALUE"""),6.5)</f>
        <v>6.5</v>
      </c>
      <c r="G102" s="5" t="str">
        <f ca="1">IFERROR(__xludf.DUMMYFUNCTION("""COMPUTED_VALUE"""),"5x4")</f>
        <v>5x4</v>
      </c>
      <c r="H102" s="5">
        <f ca="1">IFERROR(__xludf.DUMMYFUNCTION("""COMPUTED_VALUE"""),40)</f>
        <v>40</v>
      </c>
      <c r="I102" s="5">
        <f ca="1">IFERROR(__xludf.DUMMYFUNCTION("""COMPUTED_VALUE"""),40)</f>
        <v>40</v>
      </c>
      <c r="J102" s="5" t="str">
        <f ca="1">IFERROR(__xludf.DUMMYFUNCTION("""COMPUTED_VALUE"""),"96.27%")</f>
        <v>96.27%</v>
      </c>
      <c r="K102" s="5" t="str">
        <f ca="1">IFERROR(__xludf.DUMMYFUNCTION("""COMPUTED_VALUE"""),"Medium")</f>
        <v>Medium</v>
      </c>
      <c r="L102" s="5" t="str">
        <f ca="1">IFERROR(__xludf.DUMMYFUNCTION("""COMPUTED_VALUE"""),"13.88%")</f>
        <v>13.88%</v>
      </c>
      <c r="M102" s="5" t="str">
        <f ca="1">IFERROR(__xludf.DUMMYFUNCTION("""COMPUTED_VALUE"""),"x1000")</f>
        <v>x1000</v>
      </c>
      <c r="N102" s="5" t="str">
        <f ca="1">IFERROR(__xludf.DUMMYFUNCTION("""COMPUTED_VALUE"""),"0.04/50")</f>
        <v>0.04/50</v>
      </c>
      <c r="O102" s="5" t="str">
        <f ca="1">IFERROR(__xludf.DUMMYFUNCTION("""COMPUTED_VALUE"""),"No")</f>
        <v>No</v>
      </c>
      <c r="P102" s="5" t="str">
        <f ca="1">IFERROR(__xludf.DUMMYFUNCTION("""COMPUTED_VALUE"""),"Exploding Wild, Scatter")</f>
        <v>Exploding Wild, Scatter</v>
      </c>
      <c r="Q102" s="7" t="str">
        <f ca="1">IFERROR(__xludf.DUMMYFUNCTION("""COMPUTED_VALUE"""),"https://static.redstone.rs/games/clover-field-40/")</f>
        <v>https://static.redstone.rs/games/clover-field-40/</v>
      </c>
      <c r="R102" s="5" t="str">
        <f ca="1">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S102" s="5" t="str">
        <f ca="1">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T102" s="5" t="str">
        <f ca="1">IFERROR(__xludf.DUMMYFUNCTION("""COMPUTED_VALUE"""),"Yes")</f>
        <v>Yes</v>
      </c>
      <c r="U102" s="5" t="str">
        <f ca="1">IFERROR(__xludf.DUMMYFUNCTION("""COMPUTED_VALUE"""),"Yes")</f>
        <v>Yes</v>
      </c>
      <c r="V102" s="5" t="str">
        <f ca="1">IFERROR(__xludf.DUMMYFUNCTION("""COMPUTED_VALUE"""),"Yes")</f>
        <v>Yes</v>
      </c>
      <c r="W102" s="5" t="str">
        <f ca="1">IFERROR(__xludf.DUMMYFUNCTION("""COMPUTED_VALUE"""),"Yes")</f>
        <v>Yes</v>
      </c>
      <c r="X102" s="5" t="str">
        <f ca="1">IFERROR(__xludf.DUMMYFUNCTION("""COMPUTED_VALUE"""),"Yes")</f>
        <v>Yes</v>
      </c>
      <c r="Y102" s="5" t="str">
        <f ca="1">IFERROR(__xludf.DUMMYFUNCTION("""COMPUTED_VALUE"""),"Yes")</f>
        <v>Yes</v>
      </c>
      <c r="Z102" s="5" t="str">
        <f ca="1">IFERROR(__xludf.DUMMYFUNCTION("""COMPUTED_VALUE"""),"Yes")</f>
        <v>Yes</v>
      </c>
      <c r="AA102" s="5" t="str">
        <f ca="1">IFERROR(__xludf.DUMMYFUNCTION("""COMPUTED_VALUE"""),"Yes")</f>
        <v>Yes</v>
      </c>
      <c r="AB102" s="5" t="str">
        <f ca="1">IFERROR(__xludf.DUMMYFUNCTION("""COMPUTED_VALUE"""),"Yes")</f>
        <v>Yes</v>
      </c>
      <c r="AC102" s="5" t="str">
        <f ca="1">IFERROR(__xludf.DUMMYFUNCTION("""COMPUTED_VALUE"""),"Yes")</f>
        <v>Yes</v>
      </c>
      <c r="AD102" s="5" t="str">
        <f ca="1">IFERROR(__xludf.DUMMYFUNCTION("""COMPUTED_VALUE"""),"Yes")</f>
        <v>Yes</v>
      </c>
      <c r="AE102" s="5" t="str">
        <f ca="1">IFERROR(__xludf.DUMMYFUNCTION("""COMPUTED_VALUE"""),"Yes")</f>
        <v>Yes</v>
      </c>
      <c r="AF102" s="5" t="str">
        <f ca="1">IFERROR(__xludf.DUMMYFUNCTION("""COMPUTED_VALUE"""),"Yes")</f>
        <v>Yes</v>
      </c>
      <c r="AG102" s="5" t="str">
        <f ca="1">IFERROR(__xludf.DUMMYFUNCTION("""COMPUTED_VALUE"""),"Yes")</f>
        <v>Yes</v>
      </c>
      <c r="AH102" s="5" t="str">
        <f ca="1">IFERROR(__xludf.DUMMYFUNCTION("""COMPUTED_VALUE"""),"Yes")</f>
        <v>Yes</v>
      </c>
      <c r="AI102" s="5" t="str">
        <f ca="1">IFERROR(__xludf.DUMMYFUNCTION("""COMPUTED_VALUE"""),"Yes")</f>
        <v>Yes</v>
      </c>
      <c r="AJ102" s="5" t="str">
        <f ca="1">IFERROR(__xludf.DUMMYFUNCTION("""COMPUTED_VALUE"""),"Yes")</f>
        <v>Yes</v>
      </c>
      <c r="AK102" s="5" t="str">
        <f ca="1">IFERROR(__xludf.DUMMYFUNCTION("""COMPUTED_VALUE"""),"No")</f>
        <v>No</v>
      </c>
      <c r="AL102" s="5" t="str">
        <f ca="1">IFERROR(__xludf.DUMMYFUNCTION("""COMPUTED_VALUE"""),"No")</f>
        <v>No</v>
      </c>
      <c r="AM102" s="5" t="str">
        <f ca="1">IFERROR(__xludf.DUMMYFUNCTION("""COMPUTED_VALUE"""),"No")</f>
        <v>No</v>
      </c>
      <c r="AN102" s="5" t="str">
        <f ca="1">IFERROR(__xludf.DUMMYFUNCTION("""COMPUTED_VALUE"""),"No")</f>
        <v>No</v>
      </c>
      <c r="AO102" s="5" t="str">
        <f ca="1">IFERROR(__xludf.DUMMYFUNCTION("""COMPUTED_VALUE"""),"Yes")</f>
        <v>Yes</v>
      </c>
      <c r="AP102" s="5" t="str">
        <f ca="1">IFERROR(__xludf.DUMMYFUNCTION("""COMPUTED_VALUE"""),"No")</f>
        <v>No</v>
      </c>
      <c r="AQ102" s="5" t="str">
        <f ca="1">IFERROR(__xludf.DUMMYFUNCTION("""COMPUTED_VALUE"""),"No")</f>
        <v>No</v>
      </c>
      <c r="AR102" s="5" t="str">
        <f ca="1">IFERROR(__xludf.DUMMYFUNCTION("""COMPUTED_VALUE"""),"No")</f>
        <v>No</v>
      </c>
      <c r="AS102" s="5" t="str">
        <f ca="1">IFERROR(__xludf.DUMMYFUNCTION("""COMPUTED_VALUE"""),"Yes")</f>
        <v>Yes</v>
      </c>
      <c r="AT102" s="5" t="str">
        <f ca="1">IFERROR(__xludf.DUMMYFUNCTION("""COMPUTED_VALUE"""),"No")</f>
        <v>No</v>
      </c>
      <c r="AU102" s="5"/>
    </row>
    <row r="103" spans="1:47" x14ac:dyDescent="0.25">
      <c r="A103" s="5" t="str">
        <f ca="1">IFERROR(__xludf.DUMMYFUNCTION("""COMPUTED_VALUE"""),"Redstone")</f>
        <v>Redstone</v>
      </c>
      <c r="B103" s="5" t="str">
        <f ca="1">IFERROR(__xludf.DUMMYFUNCTION("""COMPUTED_VALUE"""),"Multi Heart 5")</f>
        <v>Multi Heart 5</v>
      </c>
      <c r="C103" s="5" t="str">
        <f ca="1">IFERROR(__xludf.DUMMYFUNCTION("""COMPUTED_VALUE"""),"RedstoneMultiHeart5")</f>
        <v>RedstoneMultiHeart5</v>
      </c>
      <c r="D103" s="6">
        <f ca="1">IFERROR(__xludf.DUMMYFUNCTION("""COMPUTED_VALUE"""),45937)</f>
        <v>45937</v>
      </c>
      <c r="E103" s="5" t="str">
        <f ca="1">IFERROR(__xludf.DUMMYFUNCTION("""COMPUTED_VALUE"""),"Slot")</f>
        <v>Slot</v>
      </c>
      <c r="F103" s="5">
        <f ca="1">IFERROR(__xludf.DUMMYFUNCTION("""COMPUTED_VALUE"""),8.7)</f>
        <v>8.6999999999999993</v>
      </c>
      <c r="G103" s="5" t="str">
        <f ca="1">IFERROR(__xludf.DUMMYFUNCTION("""COMPUTED_VALUE"""),"5x3")</f>
        <v>5x3</v>
      </c>
      <c r="H103" s="5">
        <f ca="1">IFERROR(__xludf.DUMMYFUNCTION("""COMPUTED_VALUE"""),5)</f>
        <v>5</v>
      </c>
      <c r="I103" s="5">
        <f ca="1">IFERROR(__xludf.DUMMYFUNCTION("""COMPUTED_VALUE"""),5)</f>
        <v>5</v>
      </c>
      <c r="J103" s="5" t="str">
        <f ca="1">IFERROR(__xludf.DUMMYFUNCTION("""COMPUTED_VALUE"""),"95.96%")</f>
        <v>95.96%</v>
      </c>
      <c r="K103" s="5" t="str">
        <f ca="1">IFERROR(__xludf.DUMMYFUNCTION("""COMPUTED_VALUE"""),"Medium")</f>
        <v>Medium</v>
      </c>
      <c r="L103" s="5" t="str">
        <f ca="1">IFERROR(__xludf.DUMMYFUNCTION("""COMPUTED_VALUE"""),"10.7%")</f>
        <v>10.7%</v>
      </c>
      <c r="M103" s="5" t="str">
        <f ca="1">IFERROR(__xludf.DUMMYFUNCTION("""COMPUTED_VALUE"""),"x2150")</f>
        <v>x2150</v>
      </c>
      <c r="N103" s="5" t="str">
        <f ca="1">IFERROR(__xludf.DUMMYFUNCTION("""COMPUTED_VALUE"""),"0.05/30")</f>
        <v>0.05/30</v>
      </c>
      <c r="O103" s="5" t="str">
        <f ca="1">IFERROR(__xludf.DUMMYFUNCTION("""COMPUTED_VALUE"""),"No")</f>
        <v>No</v>
      </c>
      <c r="P103" s="5" t="str">
        <f ca="1">IFERROR(__xludf.DUMMYFUNCTION("""COMPUTED_VALUE"""),"Expanding Wild, Wild Multiplier")</f>
        <v>Expanding Wild, Wild Multiplier</v>
      </c>
      <c r="Q103" s="7" t="str">
        <f ca="1">IFERROR(__xludf.DUMMYFUNCTION("""COMPUTED_VALUE"""),"https://static.redstone.rs/games/multi-heart-5/")</f>
        <v>https://static.redstone.rs/games/multi-heart-5/</v>
      </c>
      <c r="R103" s="5" t="str">
        <f ca="1">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S10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3" s="5" t="str">
        <f ca="1">IFERROR(__xludf.DUMMYFUNCTION("""COMPUTED_VALUE"""),"Yes")</f>
        <v>Yes</v>
      </c>
      <c r="U103" s="5" t="str">
        <f ca="1">IFERROR(__xludf.DUMMYFUNCTION("""COMPUTED_VALUE"""),"Yes")</f>
        <v>Yes</v>
      </c>
      <c r="V103" s="5" t="str">
        <f ca="1">IFERROR(__xludf.DUMMYFUNCTION("""COMPUTED_VALUE"""),"Yes")</f>
        <v>Yes</v>
      </c>
      <c r="W103" s="5" t="str">
        <f ca="1">IFERROR(__xludf.DUMMYFUNCTION("""COMPUTED_VALUE"""),"Yes")</f>
        <v>Yes</v>
      </c>
      <c r="X103" s="5" t="str">
        <f ca="1">IFERROR(__xludf.DUMMYFUNCTION("""COMPUTED_VALUE"""),"Yes")</f>
        <v>Yes</v>
      </c>
      <c r="Y103" s="5" t="str">
        <f ca="1">IFERROR(__xludf.DUMMYFUNCTION("""COMPUTED_VALUE"""),"Yes")</f>
        <v>Yes</v>
      </c>
      <c r="Z103" s="5" t="str">
        <f ca="1">IFERROR(__xludf.DUMMYFUNCTION("""COMPUTED_VALUE"""),"Yes")</f>
        <v>Yes</v>
      </c>
      <c r="AA103" s="5" t="str">
        <f ca="1">IFERROR(__xludf.DUMMYFUNCTION("""COMPUTED_VALUE"""),"Yes")</f>
        <v>Yes</v>
      </c>
      <c r="AB103" s="5" t="str">
        <f ca="1">IFERROR(__xludf.DUMMYFUNCTION("""COMPUTED_VALUE"""),"Yes")</f>
        <v>Yes</v>
      </c>
      <c r="AC103" s="5" t="str">
        <f ca="1">IFERROR(__xludf.DUMMYFUNCTION("""COMPUTED_VALUE"""),"Yes")</f>
        <v>Yes</v>
      </c>
      <c r="AD103" s="5" t="str">
        <f ca="1">IFERROR(__xludf.DUMMYFUNCTION("""COMPUTED_VALUE"""),"Yes")</f>
        <v>Yes</v>
      </c>
      <c r="AE103" s="5" t="str">
        <f ca="1">IFERROR(__xludf.DUMMYFUNCTION("""COMPUTED_VALUE"""),"Yes")</f>
        <v>Yes</v>
      </c>
      <c r="AF103" s="5" t="str">
        <f ca="1">IFERROR(__xludf.DUMMYFUNCTION("""COMPUTED_VALUE"""),"Yes")</f>
        <v>Yes</v>
      </c>
      <c r="AG103" s="5" t="str">
        <f ca="1">IFERROR(__xludf.DUMMYFUNCTION("""COMPUTED_VALUE"""),"Yes")</f>
        <v>Yes</v>
      </c>
      <c r="AH103" s="5" t="str">
        <f ca="1">IFERROR(__xludf.DUMMYFUNCTION("""COMPUTED_VALUE"""),"Yes")</f>
        <v>Yes</v>
      </c>
      <c r="AI103" s="5" t="str">
        <f ca="1">IFERROR(__xludf.DUMMYFUNCTION("""COMPUTED_VALUE"""),"No")</f>
        <v>No</v>
      </c>
      <c r="AJ103" s="5" t="str">
        <f ca="1">IFERROR(__xludf.DUMMYFUNCTION("""COMPUTED_VALUE"""),"No")</f>
        <v>No</v>
      </c>
      <c r="AK103" s="5" t="str">
        <f ca="1">IFERROR(__xludf.DUMMYFUNCTION("""COMPUTED_VALUE"""),"No")</f>
        <v>No</v>
      </c>
      <c r="AL103" s="5" t="str">
        <f ca="1">IFERROR(__xludf.DUMMYFUNCTION("""COMPUTED_VALUE"""),"No")</f>
        <v>No</v>
      </c>
      <c r="AM103" s="5" t="str">
        <f ca="1">IFERROR(__xludf.DUMMYFUNCTION("""COMPUTED_VALUE"""),"No")</f>
        <v>No</v>
      </c>
      <c r="AN103" s="5" t="str">
        <f ca="1">IFERROR(__xludf.DUMMYFUNCTION("""COMPUTED_VALUE"""),"No")</f>
        <v>No</v>
      </c>
      <c r="AO103" s="5" t="str">
        <f ca="1">IFERROR(__xludf.DUMMYFUNCTION("""COMPUTED_VALUE"""),"Yes")</f>
        <v>Yes</v>
      </c>
      <c r="AP103" s="5" t="str">
        <f ca="1">IFERROR(__xludf.DUMMYFUNCTION("""COMPUTED_VALUE"""),"No")</f>
        <v>No</v>
      </c>
      <c r="AQ103" s="5" t="str">
        <f ca="1">IFERROR(__xludf.DUMMYFUNCTION("""COMPUTED_VALUE"""),"No")</f>
        <v>No</v>
      </c>
      <c r="AR103" s="5" t="str">
        <f ca="1">IFERROR(__xludf.DUMMYFUNCTION("""COMPUTED_VALUE"""),"No")</f>
        <v>No</v>
      </c>
      <c r="AS103" s="5" t="str">
        <f ca="1">IFERROR(__xludf.DUMMYFUNCTION("""COMPUTED_VALUE"""),"Yes")</f>
        <v>Yes</v>
      </c>
      <c r="AT103" s="5" t="str">
        <f ca="1">IFERROR(__xludf.DUMMYFUNCTION("""COMPUTED_VALUE"""),"No")</f>
        <v>No</v>
      </c>
      <c r="AU103" s="5"/>
    </row>
    <row r="104" spans="1:47" x14ac:dyDescent="0.25">
      <c r="A104" s="5" t="str">
        <f ca="1">IFERROR(__xludf.DUMMYFUNCTION("""COMPUTED_VALUE"""),"Redstone")</f>
        <v>Redstone</v>
      </c>
      <c r="B104" s="5" t="str">
        <f ca="1">IFERROR(__xludf.DUMMYFUNCTION("""COMPUTED_VALUE"""),"Chilli Hot 40")</f>
        <v>Chilli Hot 40</v>
      </c>
      <c r="C104" s="5" t="str">
        <f ca="1">IFERROR(__xludf.DUMMYFUNCTION("""COMPUTED_VALUE"""),"RedstoneChilliHot40")</f>
        <v>RedstoneChilliHot40</v>
      </c>
      <c r="D104" s="6">
        <f ca="1">IFERROR(__xludf.DUMMYFUNCTION("""COMPUTED_VALUE"""),45954)</f>
        <v>45954</v>
      </c>
      <c r="E104" s="5" t="str">
        <f ca="1">IFERROR(__xludf.DUMMYFUNCTION("""COMPUTED_VALUE"""),"Slot")</f>
        <v>Slot</v>
      </c>
      <c r="F104" s="5">
        <f ca="1">IFERROR(__xludf.DUMMYFUNCTION("""COMPUTED_VALUE"""),6.6)</f>
        <v>6.6</v>
      </c>
      <c r="G104" s="5" t="str">
        <f ca="1">IFERROR(__xludf.DUMMYFUNCTION("""COMPUTED_VALUE"""),"5x")</f>
        <v>5x</v>
      </c>
      <c r="H104" s="5">
        <f ca="1">IFERROR(__xludf.DUMMYFUNCTION("""COMPUTED_VALUE"""),40)</f>
        <v>40</v>
      </c>
      <c r="I104" s="5">
        <f ca="1">IFERROR(__xludf.DUMMYFUNCTION("""COMPUTED_VALUE"""),40)</f>
        <v>40</v>
      </c>
      <c r="J104" s="5" t="str">
        <f ca="1">IFERROR(__xludf.DUMMYFUNCTION("""COMPUTED_VALUE"""),"95.98%")</f>
        <v>95.98%</v>
      </c>
      <c r="K104" s="5" t="str">
        <f ca="1">IFERROR(__xludf.DUMMYFUNCTION("""COMPUTED_VALUE"""),"Medium")</f>
        <v>Medium</v>
      </c>
      <c r="L104" s="5" t="str">
        <f ca="1">IFERROR(__xludf.DUMMYFUNCTION("""COMPUTED_VALUE"""),"21.92%")</f>
        <v>21.92%</v>
      </c>
      <c r="M104" s="5" t="str">
        <f ca="1">IFERROR(__xludf.DUMMYFUNCTION("""COMPUTED_VALUE"""),"x727.5")</f>
        <v>x727.5</v>
      </c>
      <c r="N104" s="5" t="str">
        <f ca="1">IFERROR(__xludf.DUMMYFUNCTION("""COMPUTED_VALUE"""),"0.04/50")</f>
        <v>0.04/50</v>
      </c>
      <c r="O104" s="5" t="str">
        <f ca="1">IFERROR(__xludf.DUMMYFUNCTION("""COMPUTED_VALUE"""),"No")</f>
        <v>No</v>
      </c>
      <c r="P104" s="5" t="str">
        <f ca="1">IFERROR(__xludf.DUMMYFUNCTION("""COMPUTED_VALUE"""),"Expanding Wild, Scatter")</f>
        <v>Expanding Wild, Scatter</v>
      </c>
      <c r="Q104" s="7" t="str">
        <f ca="1">IFERROR(__xludf.DUMMYFUNCTION("""COMPUTED_VALUE"""),"https://static.redstone.rs/games/chilli-hot-40/")</f>
        <v>https://static.redstone.rs/games/chilli-hot-40/</v>
      </c>
      <c r="R104" s="5" t="str">
        <f ca="1">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S10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4" s="5" t="str">
        <f ca="1">IFERROR(__xludf.DUMMYFUNCTION("""COMPUTED_VALUE"""),"Yes")</f>
        <v>Yes</v>
      </c>
      <c r="U104" s="5" t="str">
        <f ca="1">IFERROR(__xludf.DUMMYFUNCTION("""COMPUTED_VALUE"""),"Yes")</f>
        <v>Yes</v>
      </c>
      <c r="V104" s="5" t="str">
        <f ca="1">IFERROR(__xludf.DUMMYFUNCTION("""COMPUTED_VALUE"""),"No")</f>
        <v>No</v>
      </c>
      <c r="W104" s="5" t="str">
        <f ca="1">IFERROR(__xludf.DUMMYFUNCTION("""COMPUTED_VALUE"""),"Yes")</f>
        <v>Yes</v>
      </c>
      <c r="X104" s="5" t="str">
        <f ca="1">IFERROR(__xludf.DUMMYFUNCTION("""COMPUTED_VALUE"""),"Yes")</f>
        <v>Yes</v>
      </c>
      <c r="Y104" s="5" t="str">
        <f ca="1">IFERROR(__xludf.DUMMYFUNCTION("""COMPUTED_VALUE"""),"Yes")</f>
        <v>Yes</v>
      </c>
      <c r="Z104" s="5" t="str">
        <f ca="1">IFERROR(__xludf.DUMMYFUNCTION("""COMPUTED_VALUE"""),"Yes")</f>
        <v>Yes</v>
      </c>
      <c r="AA104" s="5" t="str">
        <f ca="1">IFERROR(__xludf.DUMMYFUNCTION("""COMPUTED_VALUE"""),"Yes")</f>
        <v>Yes</v>
      </c>
      <c r="AB104" s="5" t="str">
        <f ca="1">IFERROR(__xludf.DUMMYFUNCTION("""COMPUTED_VALUE"""),"Yes")</f>
        <v>Yes</v>
      </c>
      <c r="AC104" s="5" t="str">
        <f ca="1">IFERROR(__xludf.DUMMYFUNCTION("""COMPUTED_VALUE"""),"Yes")</f>
        <v>Yes</v>
      </c>
      <c r="AD104" s="5" t="str">
        <f ca="1">IFERROR(__xludf.DUMMYFUNCTION("""COMPUTED_VALUE"""),"Yes")</f>
        <v>Yes</v>
      </c>
      <c r="AE104" s="5" t="str">
        <f ca="1">IFERROR(__xludf.DUMMYFUNCTION("""COMPUTED_VALUE"""),"Yes")</f>
        <v>Yes</v>
      </c>
      <c r="AF104" s="5" t="str">
        <f ca="1">IFERROR(__xludf.DUMMYFUNCTION("""COMPUTED_VALUE"""),"Yes")</f>
        <v>Yes</v>
      </c>
      <c r="AG104" s="5" t="str">
        <f ca="1">IFERROR(__xludf.DUMMYFUNCTION("""COMPUTED_VALUE"""),"Yes")</f>
        <v>Yes</v>
      </c>
      <c r="AH104" s="5" t="str">
        <f ca="1">IFERROR(__xludf.DUMMYFUNCTION("""COMPUTED_VALUE"""),"Yes")</f>
        <v>Yes</v>
      </c>
      <c r="AI104" s="5" t="str">
        <f ca="1">IFERROR(__xludf.DUMMYFUNCTION("""COMPUTED_VALUE"""),"No")</f>
        <v>No</v>
      </c>
      <c r="AJ104" s="5" t="str">
        <f ca="1">IFERROR(__xludf.DUMMYFUNCTION("""COMPUTED_VALUE"""),"No")</f>
        <v>No</v>
      </c>
      <c r="AK104" s="5" t="str">
        <f ca="1">IFERROR(__xludf.DUMMYFUNCTION("""COMPUTED_VALUE"""),"No")</f>
        <v>No</v>
      </c>
      <c r="AL104" s="5" t="str">
        <f ca="1">IFERROR(__xludf.DUMMYFUNCTION("""COMPUTED_VALUE"""),"No")</f>
        <v>No</v>
      </c>
      <c r="AM104" s="5" t="str">
        <f ca="1">IFERROR(__xludf.DUMMYFUNCTION("""COMPUTED_VALUE"""),"No")</f>
        <v>No</v>
      </c>
      <c r="AN104" s="5" t="str">
        <f ca="1">IFERROR(__xludf.DUMMYFUNCTION("""COMPUTED_VALUE"""),"No")</f>
        <v>No</v>
      </c>
      <c r="AO104" s="5" t="str">
        <f ca="1">IFERROR(__xludf.DUMMYFUNCTION("""COMPUTED_VALUE"""),"Yes")</f>
        <v>Yes</v>
      </c>
      <c r="AP104" s="5" t="str">
        <f ca="1">IFERROR(__xludf.DUMMYFUNCTION("""COMPUTED_VALUE"""),"No")</f>
        <v>No</v>
      </c>
      <c r="AQ104" s="5" t="str">
        <f ca="1">IFERROR(__xludf.DUMMYFUNCTION("""COMPUTED_VALUE"""),"No")</f>
        <v>No</v>
      </c>
      <c r="AR104" s="5" t="str">
        <f ca="1">IFERROR(__xludf.DUMMYFUNCTION("""COMPUTED_VALUE"""),"No")</f>
        <v>No</v>
      </c>
      <c r="AS104" s="5" t="str">
        <f ca="1">IFERROR(__xludf.DUMMYFUNCTION("""COMPUTED_VALUE"""),"Yes")</f>
        <v>Yes</v>
      </c>
      <c r="AT104" s="5" t="str">
        <f ca="1">IFERROR(__xludf.DUMMYFUNCTION("""COMPUTED_VALUE"""),"No")</f>
        <v>No</v>
      </c>
      <c r="AU104" s="5"/>
    </row>
    <row r="105" spans="1:47" x14ac:dyDescent="0.25">
      <c r="A105" s="5" t="str">
        <f ca="1">IFERROR(__xludf.DUMMYFUNCTION("""COMPUTED_VALUE"""),"Redstone")</f>
        <v>Redstone</v>
      </c>
      <c r="B105" s="5" t="str">
        <f ca="1">IFERROR(__xludf.DUMMYFUNCTION("""COMPUTED_VALUE"""),"Inferno Hot 20")</f>
        <v>Inferno Hot 20</v>
      </c>
      <c r="C105" s="5" t="str">
        <f ca="1">IFERROR(__xludf.DUMMYFUNCTION("""COMPUTED_VALUE"""),"RedstoneInfernoHot20")</f>
        <v>RedstoneInfernoHot20</v>
      </c>
      <c r="D105" s="6">
        <f ca="1">IFERROR(__xludf.DUMMYFUNCTION("""COMPUTED_VALUE"""),45964)</f>
        <v>45964</v>
      </c>
      <c r="E105" s="5" t="str">
        <f ca="1">IFERROR(__xludf.DUMMYFUNCTION("""COMPUTED_VALUE"""),"Slot")</f>
        <v>Slot</v>
      </c>
      <c r="F105" s="5">
        <f ca="1">IFERROR(__xludf.DUMMYFUNCTION("""COMPUTED_VALUE"""),13.2)</f>
        <v>13.2</v>
      </c>
      <c r="G105" s="5" t="str">
        <f ca="1">IFERROR(__xludf.DUMMYFUNCTION("""COMPUTED_VALUE"""),"5x3")</f>
        <v>5x3</v>
      </c>
      <c r="H105" s="5">
        <f ca="1">IFERROR(__xludf.DUMMYFUNCTION("""COMPUTED_VALUE"""),20)</f>
        <v>20</v>
      </c>
      <c r="I105" s="5"/>
      <c r="J105" s="5" t="str">
        <f ca="1">IFERROR(__xludf.DUMMYFUNCTION("""COMPUTED_VALUE"""),"95.98%")</f>
        <v>95.98%</v>
      </c>
      <c r="K105" s="5" t="str">
        <f ca="1">IFERROR(__xludf.DUMMYFUNCTION("""COMPUTED_VALUE"""),"Medium")</f>
        <v>Medium</v>
      </c>
      <c r="L105" s="5" t="str">
        <f ca="1">IFERROR(__xludf.DUMMYFUNCTION("""COMPUTED_VALUE"""),"15.99%")</f>
        <v>15.99%</v>
      </c>
      <c r="M105" s="5" t="str">
        <f ca="1">IFERROR(__xludf.DUMMYFUNCTION("""COMPUTED_VALUE"""),"x1000")</f>
        <v>x1000</v>
      </c>
      <c r="N105" s="5" t="str">
        <f ca="1">IFERROR(__xludf.DUMMYFUNCTION("""COMPUTED_VALUE"""),"0.04/60")</f>
        <v>0.04/60</v>
      </c>
      <c r="O105" s="5" t="str">
        <f ca="1">IFERROR(__xludf.DUMMYFUNCTION("""COMPUTED_VALUE"""),"No")</f>
        <v>No</v>
      </c>
      <c r="P105" s="5" t="str">
        <f ca="1">IFERROR(__xludf.DUMMYFUNCTION("""COMPUTED_VALUE"""),"Special Wild, Bonus Game with Free Spins, Scatter")</f>
        <v>Special Wild, Bonus Game with Free Spins, Scatter</v>
      </c>
      <c r="Q105" s="7" t="str">
        <f ca="1">IFERROR(__xludf.DUMMYFUNCTION("""COMPUTED_VALUE"""),"https://static.redstone.rs/games/inferno-hot-20/")</f>
        <v>https://static.redstone.rs/games/inferno-hot-20/</v>
      </c>
      <c r="R105" s="5" t="str">
        <f ca="1">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S10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5" s="5" t="str">
        <f ca="1">IFERROR(__xludf.DUMMYFUNCTION("""COMPUTED_VALUE"""),"Yes")</f>
        <v>Yes</v>
      </c>
      <c r="U105" s="5" t="str">
        <f ca="1">IFERROR(__xludf.DUMMYFUNCTION("""COMPUTED_VALUE"""),"Yes")</f>
        <v>Yes</v>
      </c>
      <c r="V105" s="5" t="str">
        <f ca="1">IFERROR(__xludf.DUMMYFUNCTION("""COMPUTED_VALUE"""),"Yes")</f>
        <v>Yes</v>
      </c>
      <c r="W105" s="5" t="str">
        <f ca="1">IFERROR(__xludf.DUMMYFUNCTION("""COMPUTED_VALUE"""),"Yes")</f>
        <v>Yes</v>
      </c>
      <c r="X105" s="5" t="str">
        <f ca="1">IFERROR(__xludf.DUMMYFUNCTION("""COMPUTED_VALUE"""),"Yes")</f>
        <v>Yes</v>
      </c>
      <c r="Y105" s="5" t="str">
        <f ca="1">IFERROR(__xludf.DUMMYFUNCTION("""COMPUTED_VALUE"""),"Yes")</f>
        <v>Yes</v>
      </c>
      <c r="Z105" s="5" t="str">
        <f ca="1">IFERROR(__xludf.DUMMYFUNCTION("""COMPUTED_VALUE"""),"Yes")</f>
        <v>Yes</v>
      </c>
      <c r="AA105" s="5" t="str">
        <f ca="1">IFERROR(__xludf.DUMMYFUNCTION("""COMPUTED_VALUE"""),"Yes")</f>
        <v>Yes</v>
      </c>
      <c r="AB105" s="5" t="str">
        <f ca="1">IFERROR(__xludf.DUMMYFUNCTION("""COMPUTED_VALUE"""),"Yes")</f>
        <v>Yes</v>
      </c>
      <c r="AC105" s="5" t="str">
        <f ca="1">IFERROR(__xludf.DUMMYFUNCTION("""COMPUTED_VALUE"""),"Yes")</f>
        <v>Yes</v>
      </c>
      <c r="AD105" s="5" t="str">
        <f ca="1">IFERROR(__xludf.DUMMYFUNCTION("""COMPUTED_VALUE"""),"Yes")</f>
        <v>Yes</v>
      </c>
      <c r="AE105" s="5" t="str">
        <f ca="1">IFERROR(__xludf.DUMMYFUNCTION("""COMPUTED_VALUE"""),"Yes")</f>
        <v>Yes</v>
      </c>
      <c r="AF105" s="5" t="str">
        <f ca="1">IFERROR(__xludf.DUMMYFUNCTION("""COMPUTED_VALUE"""),"Yes")</f>
        <v>Yes</v>
      </c>
      <c r="AG105" s="5" t="str">
        <f ca="1">IFERROR(__xludf.DUMMYFUNCTION("""COMPUTED_VALUE"""),"Yes")</f>
        <v>Yes</v>
      </c>
      <c r="AH105" s="5" t="str">
        <f ca="1">IFERROR(__xludf.DUMMYFUNCTION("""COMPUTED_VALUE"""),"Yes")</f>
        <v>Yes</v>
      </c>
      <c r="AI105" s="5" t="str">
        <f ca="1">IFERROR(__xludf.DUMMYFUNCTION("""COMPUTED_VALUE"""),"No")</f>
        <v>No</v>
      </c>
      <c r="AJ105" s="5" t="str">
        <f ca="1">IFERROR(__xludf.DUMMYFUNCTION("""COMPUTED_VALUE"""),"No")</f>
        <v>No</v>
      </c>
      <c r="AK105" s="5" t="str">
        <f ca="1">IFERROR(__xludf.DUMMYFUNCTION("""COMPUTED_VALUE"""),"No")</f>
        <v>No</v>
      </c>
      <c r="AL105" s="5" t="str">
        <f ca="1">IFERROR(__xludf.DUMMYFUNCTION("""COMPUTED_VALUE"""),"No")</f>
        <v>No</v>
      </c>
      <c r="AM105" s="5" t="str">
        <f ca="1">IFERROR(__xludf.DUMMYFUNCTION("""COMPUTED_VALUE"""),"No")</f>
        <v>No</v>
      </c>
      <c r="AN105" s="5" t="str">
        <f ca="1">IFERROR(__xludf.DUMMYFUNCTION("""COMPUTED_VALUE"""),"No")</f>
        <v>No</v>
      </c>
      <c r="AO105" s="5" t="str">
        <f ca="1">IFERROR(__xludf.DUMMYFUNCTION("""COMPUTED_VALUE"""),"Yes")</f>
        <v>Yes</v>
      </c>
      <c r="AP105" s="5" t="str">
        <f ca="1">IFERROR(__xludf.DUMMYFUNCTION("""COMPUTED_VALUE"""),"No")</f>
        <v>No</v>
      </c>
      <c r="AQ105" s="5" t="str">
        <f ca="1">IFERROR(__xludf.DUMMYFUNCTION("""COMPUTED_VALUE"""),"No")</f>
        <v>No</v>
      </c>
      <c r="AR105" s="5" t="str">
        <f ca="1">IFERROR(__xludf.DUMMYFUNCTION("""COMPUTED_VALUE"""),"No")</f>
        <v>No</v>
      </c>
      <c r="AS105" s="5" t="str">
        <f ca="1">IFERROR(__xludf.DUMMYFUNCTION("""COMPUTED_VALUE"""),"Yes")</f>
        <v>Yes</v>
      </c>
      <c r="AT105" s="5" t="str">
        <f ca="1">IFERROR(__xludf.DUMMYFUNCTION("""COMPUTED_VALUE"""),"No")</f>
        <v>No</v>
      </c>
      <c r="AU105" s="5"/>
    </row>
    <row r="106" spans="1:47" x14ac:dyDescent="0.25">
      <c r="A106" s="5" t="str">
        <f ca="1">IFERROR(__xludf.DUMMYFUNCTION("""COMPUTED_VALUE"""),"Redstone")</f>
        <v>Redstone</v>
      </c>
      <c r="B106" s="5" t="str">
        <f ca="1">IFERROR(__xludf.DUMMYFUNCTION("""COMPUTED_VALUE"""),"Crown Blast 40")</f>
        <v>Crown Blast 40</v>
      </c>
      <c r="C106" s="5" t="str">
        <f ca="1">IFERROR(__xludf.DUMMYFUNCTION("""COMPUTED_VALUE"""),"RedstoneCrownBlast40")</f>
        <v>RedstoneCrownBlast40</v>
      </c>
      <c r="D106" s="6">
        <f ca="1">IFERROR(__xludf.DUMMYFUNCTION("""COMPUTED_VALUE"""),45971)</f>
        <v>45971</v>
      </c>
      <c r="E106" s="5" t="str">
        <f ca="1">IFERROR(__xludf.DUMMYFUNCTION("""COMPUTED_VALUE"""),"Slot")</f>
        <v>Slot</v>
      </c>
      <c r="F106" s="5">
        <f ca="1">IFERROR(__xludf.DUMMYFUNCTION("""COMPUTED_VALUE"""),9)</f>
        <v>9</v>
      </c>
      <c r="G106" s="5" t="str">
        <f ca="1">IFERROR(__xludf.DUMMYFUNCTION("""COMPUTED_VALUE"""),"5x4")</f>
        <v>5x4</v>
      </c>
      <c r="H106" s="5">
        <f ca="1">IFERROR(__xludf.DUMMYFUNCTION("""COMPUTED_VALUE"""),40)</f>
        <v>40</v>
      </c>
      <c r="I106" s="5">
        <f ca="1">IFERROR(__xludf.DUMMYFUNCTION("""COMPUTED_VALUE"""),40)</f>
        <v>40</v>
      </c>
      <c r="J106" s="5" t="str">
        <f ca="1">IFERROR(__xludf.DUMMYFUNCTION("""COMPUTED_VALUE"""),"96.27%")</f>
        <v>96.27%</v>
      </c>
      <c r="K106" s="5" t="str">
        <f ca="1">IFERROR(__xludf.DUMMYFUNCTION("""COMPUTED_VALUE"""),"Medium")</f>
        <v>Medium</v>
      </c>
      <c r="L106" s="5" t="str">
        <f ca="1">IFERROR(__xludf.DUMMYFUNCTION("""COMPUTED_VALUE"""),"13.88%")</f>
        <v>13.88%</v>
      </c>
      <c r="M106" s="5" t="str">
        <f ca="1">IFERROR(__xludf.DUMMYFUNCTION("""COMPUTED_VALUE"""),"x1000")</f>
        <v>x1000</v>
      </c>
      <c r="N106" s="5" t="str">
        <f ca="1">IFERROR(__xludf.DUMMYFUNCTION("""COMPUTED_VALUE"""),"0.04/50")</f>
        <v>0.04/50</v>
      </c>
      <c r="O106" s="5" t="str">
        <f ca="1">IFERROR(__xludf.DUMMYFUNCTION("""COMPUTED_VALUE"""),"No")</f>
        <v>No</v>
      </c>
      <c r="P106" s="5" t="str">
        <f ca="1">IFERROR(__xludf.DUMMYFUNCTION("""COMPUTED_VALUE"""),"Exploding Wild, Scatter")</f>
        <v>Exploding Wild, Scatter</v>
      </c>
      <c r="Q106" s="7" t="str">
        <f ca="1">IFERROR(__xludf.DUMMYFUNCTION("""COMPUTED_VALUE"""),"https://static.redstone.rs/games/crown-blast-40/")</f>
        <v>https://static.redstone.rs/games/crown-blast-40/</v>
      </c>
      <c r="R106" s="5" t="str">
        <f ca="1">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S10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6" s="5" t="str">
        <f ca="1">IFERROR(__xludf.DUMMYFUNCTION("""COMPUTED_VALUE"""),"Yes")</f>
        <v>Yes</v>
      </c>
      <c r="U106" s="5" t="str">
        <f ca="1">IFERROR(__xludf.DUMMYFUNCTION("""COMPUTED_VALUE"""),"Yes")</f>
        <v>Yes</v>
      </c>
      <c r="V106" s="5" t="str">
        <f ca="1">IFERROR(__xludf.DUMMYFUNCTION("""COMPUTED_VALUE"""),"No")</f>
        <v>No</v>
      </c>
      <c r="W106" s="5" t="str">
        <f ca="1">IFERROR(__xludf.DUMMYFUNCTION("""COMPUTED_VALUE"""),"Yes")</f>
        <v>Yes</v>
      </c>
      <c r="X106" s="5" t="str">
        <f ca="1">IFERROR(__xludf.DUMMYFUNCTION("""COMPUTED_VALUE"""),"Yes")</f>
        <v>Yes</v>
      </c>
      <c r="Y106" s="5" t="str">
        <f ca="1">IFERROR(__xludf.DUMMYFUNCTION("""COMPUTED_VALUE"""),"Yes")</f>
        <v>Yes</v>
      </c>
      <c r="Z106" s="5" t="str">
        <f ca="1">IFERROR(__xludf.DUMMYFUNCTION("""COMPUTED_VALUE"""),"Yes")</f>
        <v>Yes</v>
      </c>
      <c r="AA106" s="5" t="str">
        <f ca="1">IFERROR(__xludf.DUMMYFUNCTION("""COMPUTED_VALUE"""),"Yes")</f>
        <v>Yes</v>
      </c>
      <c r="AB106" s="5" t="str">
        <f ca="1">IFERROR(__xludf.DUMMYFUNCTION("""COMPUTED_VALUE"""),"Yes")</f>
        <v>Yes</v>
      </c>
      <c r="AC106" s="5" t="str">
        <f ca="1">IFERROR(__xludf.DUMMYFUNCTION("""COMPUTED_VALUE"""),"Yes")</f>
        <v>Yes</v>
      </c>
      <c r="AD106" s="5" t="str">
        <f ca="1">IFERROR(__xludf.DUMMYFUNCTION("""COMPUTED_VALUE"""),"Yes")</f>
        <v>Yes</v>
      </c>
      <c r="AE106" s="5" t="str">
        <f ca="1">IFERROR(__xludf.DUMMYFUNCTION("""COMPUTED_VALUE"""),"Yes")</f>
        <v>Yes</v>
      </c>
      <c r="AF106" s="5" t="str">
        <f ca="1">IFERROR(__xludf.DUMMYFUNCTION("""COMPUTED_VALUE"""),"Yes")</f>
        <v>Yes</v>
      </c>
      <c r="AG106" s="5" t="str">
        <f ca="1">IFERROR(__xludf.DUMMYFUNCTION("""COMPUTED_VALUE"""),"Yes")</f>
        <v>Yes</v>
      </c>
      <c r="AH106" s="5" t="str">
        <f ca="1">IFERROR(__xludf.DUMMYFUNCTION("""COMPUTED_VALUE"""),"Yes")</f>
        <v>Yes</v>
      </c>
      <c r="AI106" s="5" t="str">
        <f ca="1">IFERROR(__xludf.DUMMYFUNCTION("""COMPUTED_VALUE"""),"No")</f>
        <v>No</v>
      </c>
      <c r="AJ106" s="5" t="str">
        <f ca="1">IFERROR(__xludf.DUMMYFUNCTION("""COMPUTED_VALUE"""),"No")</f>
        <v>No</v>
      </c>
      <c r="AK106" s="5" t="str">
        <f ca="1">IFERROR(__xludf.DUMMYFUNCTION("""COMPUTED_VALUE"""),"No")</f>
        <v>No</v>
      </c>
      <c r="AL106" s="5" t="str">
        <f ca="1">IFERROR(__xludf.DUMMYFUNCTION("""COMPUTED_VALUE"""),"No")</f>
        <v>No</v>
      </c>
      <c r="AM106" s="5" t="str">
        <f ca="1">IFERROR(__xludf.DUMMYFUNCTION("""COMPUTED_VALUE"""),"No")</f>
        <v>No</v>
      </c>
      <c r="AN106" s="5" t="str">
        <f ca="1">IFERROR(__xludf.DUMMYFUNCTION("""COMPUTED_VALUE"""),"No")</f>
        <v>No</v>
      </c>
      <c r="AO106" s="5" t="str">
        <f ca="1">IFERROR(__xludf.DUMMYFUNCTION("""COMPUTED_VALUE"""),"Yes")</f>
        <v>Yes</v>
      </c>
      <c r="AP106" s="5" t="str">
        <f ca="1">IFERROR(__xludf.DUMMYFUNCTION("""COMPUTED_VALUE"""),"No")</f>
        <v>No</v>
      </c>
      <c r="AQ106" s="5" t="str">
        <f ca="1">IFERROR(__xludf.DUMMYFUNCTION("""COMPUTED_VALUE"""),"No")</f>
        <v>No</v>
      </c>
      <c r="AR106" s="5" t="str">
        <f ca="1">IFERROR(__xludf.DUMMYFUNCTION("""COMPUTED_VALUE"""),"No")</f>
        <v>No</v>
      </c>
      <c r="AS106" s="5" t="str">
        <f ca="1">IFERROR(__xludf.DUMMYFUNCTION("""COMPUTED_VALUE"""),"Yes")</f>
        <v>Yes</v>
      </c>
      <c r="AT106" s="5" t="str">
        <f ca="1">IFERROR(__xludf.DUMMYFUNCTION("""COMPUTED_VALUE"""),"No")</f>
        <v>No</v>
      </c>
      <c r="AU106" s="5"/>
    </row>
    <row r="107" spans="1:47" x14ac:dyDescent="0.25">
      <c r="A107" s="5" t="str">
        <f ca="1">IFERROR(__xludf.DUMMYFUNCTION("""COMPUTED_VALUE"""),"Redstone")</f>
        <v>Redstone</v>
      </c>
      <c r="B107" s="5" t="str">
        <f ca="1">IFERROR(__xludf.DUMMYFUNCTION("""COMPUTED_VALUE"""),"Chilli Double 40")</f>
        <v>Chilli Double 40</v>
      </c>
      <c r="C107" s="5" t="str">
        <f ca="1">IFERROR(__xludf.DUMMYFUNCTION("""COMPUTED_VALUE"""),"RedstoneChilliDouble40")</f>
        <v>RedstoneChilliDouble40</v>
      </c>
      <c r="D107" s="6">
        <f ca="1">IFERROR(__xludf.DUMMYFUNCTION("""COMPUTED_VALUE"""),45986)</f>
        <v>45986</v>
      </c>
      <c r="E107" s="5" t="str">
        <f ca="1">IFERROR(__xludf.DUMMYFUNCTION("""COMPUTED_VALUE"""),"Slot")</f>
        <v>Slot</v>
      </c>
      <c r="F107" s="5">
        <f ca="1">IFERROR(__xludf.DUMMYFUNCTION("""COMPUTED_VALUE"""),7.4)</f>
        <v>7.4</v>
      </c>
      <c r="G107" s="5" t="str">
        <f ca="1">IFERROR(__xludf.DUMMYFUNCTION("""COMPUTED_VALUE"""),"5x3")</f>
        <v>5x3</v>
      </c>
      <c r="H107" s="5">
        <f ca="1">IFERROR(__xludf.DUMMYFUNCTION("""COMPUTED_VALUE"""),40)</f>
        <v>40</v>
      </c>
      <c r="I107" s="5">
        <f ca="1">IFERROR(__xludf.DUMMYFUNCTION("""COMPUTED_VALUE"""),40)</f>
        <v>40</v>
      </c>
      <c r="J107" s="5" t="str">
        <f ca="1">IFERROR(__xludf.DUMMYFUNCTION("""COMPUTED_VALUE"""),"95.99%")</f>
        <v>95.99%</v>
      </c>
      <c r="K107" s="5" t="str">
        <f ca="1">IFERROR(__xludf.DUMMYFUNCTION("""COMPUTED_VALUE"""),"Medium")</f>
        <v>Medium</v>
      </c>
      <c r="L107" s="5" t="str">
        <f ca="1">IFERROR(__xludf.DUMMYFUNCTION("""COMPUTED_VALUE"""),"19.73%")</f>
        <v>19.73%</v>
      </c>
      <c r="M107" s="5" t="str">
        <f ca="1">IFERROR(__xludf.DUMMYFUNCTION("""COMPUTED_VALUE"""),"x1290")</f>
        <v>x1290</v>
      </c>
      <c r="N107" s="5" t="str">
        <f ca="1">IFERROR(__xludf.DUMMYFUNCTION("""COMPUTED_VALUE"""),"0.04/50")</f>
        <v>0.04/50</v>
      </c>
      <c r="O107" s="5" t="str">
        <f ca="1">IFERROR(__xludf.DUMMYFUNCTION("""COMPUTED_VALUE"""),"No")</f>
        <v>No</v>
      </c>
      <c r="P107" s="5" t="str">
        <f ca="1">IFERROR(__xludf.DUMMYFUNCTION("""COMPUTED_VALUE"""),"Expanding Wild, Scatter")</f>
        <v>Expanding Wild, Scatter</v>
      </c>
      <c r="Q107" s="7" t="str">
        <f ca="1">IFERROR(__xludf.DUMMYFUNCTION("""COMPUTED_VALUE"""),"https://static.redstone.rs/games/chilli-double-40/")</f>
        <v>https://static.redstone.rs/games/chilli-double-40/</v>
      </c>
      <c r="R107" s="5" t="str">
        <f ca="1">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S10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7" s="5" t="str">
        <f ca="1">IFERROR(__xludf.DUMMYFUNCTION("""COMPUTED_VALUE"""),"Yes")</f>
        <v>Yes</v>
      </c>
      <c r="U107" s="5" t="str">
        <f ca="1">IFERROR(__xludf.DUMMYFUNCTION("""COMPUTED_VALUE"""),"Yes")</f>
        <v>Yes</v>
      </c>
      <c r="V107" s="5" t="str">
        <f ca="1">IFERROR(__xludf.DUMMYFUNCTION("""COMPUTED_VALUE"""),"No")</f>
        <v>No</v>
      </c>
      <c r="W107" s="5" t="str">
        <f ca="1">IFERROR(__xludf.DUMMYFUNCTION("""COMPUTED_VALUE"""),"Yes")</f>
        <v>Yes</v>
      </c>
      <c r="X107" s="5" t="str">
        <f ca="1">IFERROR(__xludf.DUMMYFUNCTION("""COMPUTED_VALUE"""),"Yes")</f>
        <v>Yes</v>
      </c>
      <c r="Y107" s="5" t="str">
        <f ca="1">IFERROR(__xludf.DUMMYFUNCTION("""COMPUTED_VALUE"""),"Yes")</f>
        <v>Yes</v>
      </c>
      <c r="Z107" s="5" t="str">
        <f ca="1">IFERROR(__xludf.DUMMYFUNCTION("""COMPUTED_VALUE"""),"Yes")</f>
        <v>Yes</v>
      </c>
      <c r="AA107" s="5" t="str">
        <f ca="1">IFERROR(__xludf.DUMMYFUNCTION("""COMPUTED_VALUE"""),"Yes")</f>
        <v>Yes</v>
      </c>
      <c r="AB107" s="5" t="str">
        <f ca="1">IFERROR(__xludf.DUMMYFUNCTION("""COMPUTED_VALUE"""),"Yes")</f>
        <v>Yes</v>
      </c>
      <c r="AC107" s="5" t="str">
        <f ca="1">IFERROR(__xludf.DUMMYFUNCTION("""COMPUTED_VALUE"""),"Yes")</f>
        <v>Yes</v>
      </c>
      <c r="AD107" s="5" t="str">
        <f ca="1">IFERROR(__xludf.DUMMYFUNCTION("""COMPUTED_VALUE"""),"Yes")</f>
        <v>Yes</v>
      </c>
      <c r="AE107" s="5" t="str">
        <f ca="1">IFERROR(__xludf.DUMMYFUNCTION("""COMPUTED_VALUE"""),"Yes")</f>
        <v>Yes</v>
      </c>
      <c r="AF107" s="5" t="str">
        <f ca="1">IFERROR(__xludf.DUMMYFUNCTION("""COMPUTED_VALUE"""),"Yes")</f>
        <v>Yes</v>
      </c>
      <c r="AG107" s="5" t="str">
        <f ca="1">IFERROR(__xludf.DUMMYFUNCTION("""COMPUTED_VALUE"""),"Yes")</f>
        <v>Yes</v>
      </c>
      <c r="AH107" s="5" t="str">
        <f ca="1">IFERROR(__xludf.DUMMYFUNCTION("""COMPUTED_VALUE"""),"Yes")</f>
        <v>Yes</v>
      </c>
      <c r="AI107" s="5" t="str">
        <f ca="1">IFERROR(__xludf.DUMMYFUNCTION("""COMPUTED_VALUE"""),"No")</f>
        <v>No</v>
      </c>
      <c r="AJ107" s="5" t="str">
        <f ca="1">IFERROR(__xludf.DUMMYFUNCTION("""COMPUTED_VALUE"""),"No")</f>
        <v>No</v>
      </c>
      <c r="AK107" s="5" t="str">
        <f ca="1">IFERROR(__xludf.DUMMYFUNCTION("""COMPUTED_VALUE"""),"No")</f>
        <v>No</v>
      </c>
      <c r="AL107" s="5" t="str">
        <f ca="1">IFERROR(__xludf.DUMMYFUNCTION("""COMPUTED_VALUE"""),"No")</f>
        <v>No</v>
      </c>
      <c r="AM107" s="5" t="str">
        <f ca="1">IFERROR(__xludf.DUMMYFUNCTION("""COMPUTED_VALUE"""),"No")</f>
        <v>No</v>
      </c>
      <c r="AN107" s="5" t="str">
        <f ca="1">IFERROR(__xludf.DUMMYFUNCTION("""COMPUTED_VALUE"""),"No")</f>
        <v>No</v>
      </c>
      <c r="AO107" s="5" t="str">
        <f ca="1">IFERROR(__xludf.DUMMYFUNCTION("""COMPUTED_VALUE"""),"Yes")</f>
        <v>Yes</v>
      </c>
      <c r="AP107" s="5" t="str">
        <f ca="1">IFERROR(__xludf.DUMMYFUNCTION("""COMPUTED_VALUE"""),"No")</f>
        <v>No</v>
      </c>
      <c r="AQ107" s="5" t="str">
        <f ca="1">IFERROR(__xludf.DUMMYFUNCTION("""COMPUTED_VALUE"""),"No")</f>
        <v>No</v>
      </c>
      <c r="AR107" s="5" t="str">
        <f ca="1">IFERROR(__xludf.DUMMYFUNCTION("""COMPUTED_VALUE"""),"No")</f>
        <v>No</v>
      </c>
      <c r="AS107" s="5" t="str">
        <f ca="1">IFERROR(__xludf.DUMMYFUNCTION("""COMPUTED_VALUE"""),"Yes")</f>
        <v>Yes</v>
      </c>
      <c r="AT107" s="5" t="str">
        <f ca="1">IFERROR(__xludf.DUMMYFUNCTION("""COMPUTED_VALUE"""),"No")</f>
        <v>No</v>
      </c>
      <c r="AU107" s="5"/>
    </row>
    <row r="108" spans="1:47" x14ac:dyDescent="0.25">
      <c r="A108" s="5" t="str">
        <f ca="1">IFERROR(__xludf.DUMMYFUNCTION("""COMPUTED_VALUE"""),"Redstone")</f>
        <v>Redstone</v>
      </c>
      <c r="B108" s="5" t="str">
        <f ca="1">IFERROR(__xludf.DUMMYFUNCTION("""COMPUTED_VALUE"""),"Respin Gems")</f>
        <v>Respin Gems</v>
      </c>
      <c r="C108" s="5" t="str">
        <f ca="1">IFERROR(__xludf.DUMMYFUNCTION("""COMPUTED_VALUE"""),"RedstoneRespinGems")</f>
        <v>RedstoneRespinGems</v>
      </c>
      <c r="D108" s="6">
        <f ca="1">IFERROR(__xludf.DUMMYFUNCTION("""COMPUTED_VALUE"""),45992)</f>
        <v>45992</v>
      </c>
      <c r="E108" s="5" t="str">
        <f ca="1">IFERROR(__xludf.DUMMYFUNCTION("""COMPUTED_VALUE"""),"Slot")</f>
        <v>Slot</v>
      </c>
      <c r="F108" s="5">
        <f ca="1">IFERROR(__xludf.DUMMYFUNCTION("""COMPUTED_VALUE"""),9.8)</f>
        <v>9.8000000000000007</v>
      </c>
      <c r="G108" s="5" t="str">
        <f ca="1">IFERROR(__xludf.DUMMYFUNCTION("""COMPUTED_VALUE"""),"5x3")</f>
        <v>5x3</v>
      </c>
      <c r="H108" s="5">
        <f ca="1">IFERROR(__xludf.DUMMYFUNCTION("""COMPUTED_VALUE"""),5)</f>
        <v>5</v>
      </c>
      <c r="I108" s="5">
        <f ca="1">IFERROR(__xludf.DUMMYFUNCTION("""COMPUTED_VALUE"""),5)</f>
        <v>5</v>
      </c>
      <c r="J108" s="5" t="str">
        <f ca="1">IFERROR(__xludf.DUMMYFUNCTION("""COMPUTED_VALUE"""),"95.96%")</f>
        <v>95.96%</v>
      </c>
      <c r="K108" s="5" t="str">
        <f ca="1">IFERROR(__xludf.DUMMYFUNCTION("""COMPUTED_VALUE"""),"Medium")</f>
        <v>Medium</v>
      </c>
      <c r="L108" s="5" t="str">
        <f ca="1">IFERROR(__xludf.DUMMYFUNCTION("""COMPUTED_VALUE"""),"11.39%")</f>
        <v>11.39%</v>
      </c>
      <c r="M108" s="5" t="str">
        <f ca="1">IFERROR(__xludf.DUMMYFUNCTION("""COMPUTED_VALUE"""),"x1222")</f>
        <v>x1222</v>
      </c>
      <c r="N108" s="5" t="str">
        <f ca="1">IFERROR(__xludf.DUMMYFUNCTION("""COMPUTED_VALUE"""),"0.02/60")</f>
        <v>0.02/60</v>
      </c>
      <c r="O108" s="5" t="str">
        <f ca="1">IFERROR(__xludf.DUMMYFUNCTION("""COMPUTED_VALUE"""),"No")</f>
        <v>No</v>
      </c>
      <c r="P108" s="5" t="str">
        <f ca="1">IFERROR(__xludf.DUMMYFUNCTION("""COMPUTED_VALUE"""),"Expanding Wild, Scatter, Sticky Wild")</f>
        <v>Expanding Wild, Scatter, Sticky Wild</v>
      </c>
      <c r="Q108" s="7" t="str">
        <f ca="1">IFERROR(__xludf.DUMMYFUNCTION("""COMPUTED_VALUE"""),"https://static.redstone.rs/games/respin-gems/")</f>
        <v>https://static.redstone.rs/games/respin-gems/</v>
      </c>
      <c r="R108" s="5" t="str">
        <f ca="1">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S10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8" s="5" t="str">
        <f ca="1">IFERROR(__xludf.DUMMYFUNCTION("""COMPUTED_VALUE"""),"Yes")</f>
        <v>Yes</v>
      </c>
      <c r="U108" s="5" t="str">
        <f ca="1">IFERROR(__xludf.DUMMYFUNCTION("""COMPUTED_VALUE"""),"Yes")</f>
        <v>Yes</v>
      </c>
      <c r="V108" s="5" t="str">
        <f ca="1">IFERROR(__xludf.DUMMYFUNCTION("""COMPUTED_VALUE"""),"No")</f>
        <v>No</v>
      </c>
      <c r="W108" s="5" t="str">
        <f ca="1">IFERROR(__xludf.DUMMYFUNCTION("""COMPUTED_VALUE"""),"Yes")</f>
        <v>Yes</v>
      </c>
      <c r="X108" s="5" t="str">
        <f ca="1">IFERROR(__xludf.DUMMYFUNCTION("""COMPUTED_VALUE"""),"Yes")</f>
        <v>Yes</v>
      </c>
      <c r="Y108" s="5" t="str">
        <f ca="1">IFERROR(__xludf.DUMMYFUNCTION("""COMPUTED_VALUE"""),"Yes")</f>
        <v>Yes</v>
      </c>
      <c r="Z108" s="5" t="str">
        <f ca="1">IFERROR(__xludf.DUMMYFUNCTION("""COMPUTED_VALUE"""),"Yes")</f>
        <v>Yes</v>
      </c>
      <c r="AA108" s="5" t="str">
        <f ca="1">IFERROR(__xludf.DUMMYFUNCTION("""COMPUTED_VALUE"""),"Yes")</f>
        <v>Yes</v>
      </c>
      <c r="AB108" s="5" t="str">
        <f ca="1">IFERROR(__xludf.DUMMYFUNCTION("""COMPUTED_VALUE"""),"Yes")</f>
        <v>Yes</v>
      </c>
      <c r="AC108" s="5" t="str">
        <f ca="1">IFERROR(__xludf.DUMMYFUNCTION("""COMPUTED_VALUE"""),"Yes")</f>
        <v>Yes</v>
      </c>
      <c r="AD108" s="5" t="str">
        <f ca="1">IFERROR(__xludf.DUMMYFUNCTION("""COMPUTED_VALUE"""),"Yes")</f>
        <v>Yes</v>
      </c>
      <c r="AE108" s="5" t="str">
        <f ca="1">IFERROR(__xludf.DUMMYFUNCTION("""COMPUTED_VALUE"""),"Yes")</f>
        <v>Yes</v>
      </c>
      <c r="AF108" s="5" t="str">
        <f ca="1">IFERROR(__xludf.DUMMYFUNCTION("""COMPUTED_VALUE"""),"Yes")</f>
        <v>Yes</v>
      </c>
      <c r="AG108" s="5" t="str">
        <f ca="1">IFERROR(__xludf.DUMMYFUNCTION("""COMPUTED_VALUE"""),"Yes")</f>
        <v>Yes</v>
      </c>
      <c r="AH108" s="5" t="str">
        <f ca="1">IFERROR(__xludf.DUMMYFUNCTION("""COMPUTED_VALUE"""),"Yes")</f>
        <v>Yes</v>
      </c>
      <c r="AI108" s="5" t="str">
        <f ca="1">IFERROR(__xludf.DUMMYFUNCTION("""COMPUTED_VALUE"""),"No")</f>
        <v>No</v>
      </c>
      <c r="AJ108" s="5" t="str">
        <f ca="1">IFERROR(__xludf.DUMMYFUNCTION("""COMPUTED_VALUE"""),"No")</f>
        <v>No</v>
      </c>
      <c r="AK108" s="5" t="str">
        <f ca="1">IFERROR(__xludf.DUMMYFUNCTION("""COMPUTED_VALUE"""),"No")</f>
        <v>No</v>
      </c>
      <c r="AL108" s="5" t="str">
        <f ca="1">IFERROR(__xludf.DUMMYFUNCTION("""COMPUTED_VALUE"""),"No")</f>
        <v>No</v>
      </c>
      <c r="AM108" s="5" t="str">
        <f ca="1">IFERROR(__xludf.DUMMYFUNCTION("""COMPUTED_VALUE"""),"No")</f>
        <v>No</v>
      </c>
      <c r="AN108" s="5" t="str">
        <f ca="1">IFERROR(__xludf.DUMMYFUNCTION("""COMPUTED_VALUE"""),"No")</f>
        <v>No</v>
      </c>
      <c r="AO108" s="5" t="str">
        <f ca="1">IFERROR(__xludf.DUMMYFUNCTION("""COMPUTED_VALUE"""),"Yes")</f>
        <v>Yes</v>
      </c>
      <c r="AP108" s="5" t="str">
        <f ca="1">IFERROR(__xludf.DUMMYFUNCTION("""COMPUTED_VALUE"""),"No")</f>
        <v>No</v>
      </c>
      <c r="AQ108" s="5" t="str">
        <f ca="1">IFERROR(__xludf.DUMMYFUNCTION("""COMPUTED_VALUE"""),"No")</f>
        <v>No</v>
      </c>
      <c r="AR108" s="5" t="str">
        <f ca="1">IFERROR(__xludf.DUMMYFUNCTION("""COMPUTED_VALUE"""),"No")</f>
        <v>No</v>
      </c>
      <c r="AS108" s="5" t="str">
        <f ca="1">IFERROR(__xludf.DUMMYFUNCTION("""COMPUTED_VALUE"""),"Yes")</f>
        <v>Yes</v>
      </c>
      <c r="AT108" s="5" t="str">
        <f ca="1">IFERROR(__xludf.DUMMYFUNCTION("""COMPUTED_VALUE"""),"No")</f>
        <v>No</v>
      </c>
      <c r="AU108" s="5"/>
    </row>
    <row r="109" spans="1:47" x14ac:dyDescent="0.25">
      <c r="A109" s="5" t="str">
        <f ca="1">IFERROR(__xludf.DUMMYFUNCTION("""COMPUTED_VALUE"""),"Redstone")</f>
        <v>Redstone</v>
      </c>
      <c r="B109" s="5" t="str">
        <f ca="1">IFERROR(__xludf.DUMMYFUNCTION("""COMPUTED_VALUE"""),"9 of a Kind")</f>
        <v>9 of a Kind</v>
      </c>
      <c r="C109" s="5" t="str">
        <f ca="1">IFERROR(__xludf.DUMMYFUNCTION("""COMPUTED_VALUE"""),"Redstone9ofaKind")</f>
        <v>Redstone9ofaKind</v>
      </c>
      <c r="D109" s="6">
        <f ca="1">IFERROR(__xludf.DUMMYFUNCTION("""COMPUTED_VALUE"""),45993)</f>
        <v>45993</v>
      </c>
      <c r="E109" s="5" t="str">
        <f ca="1">IFERROR(__xludf.DUMMYFUNCTION("""COMPUTED_VALUE"""),"Slot")</f>
        <v>Slot</v>
      </c>
      <c r="F109" s="5">
        <f ca="1">IFERROR(__xludf.DUMMYFUNCTION("""COMPUTED_VALUE"""),13)</f>
        <v>13</v>
      </c>
      <c r="G109" s="5" t="str">
        <f ca="1">IFERROR(__xludf.DUMMYFUNCTION("""COMPUTED_VALUE"""),"3x3")</f>
        <v>3x3</v>
      </c>
      <c r="H109" s="5">
        <f ca="1">IFERROR(__xludf.DUMMYFUNCTION("""COMPUTED_VALUE"""),5)</f>
        <v>5</v>
      </c>
      <c r="I109" s="5">
        <f ca="1">IFERROR(__xludf.DUMMYFUNCTION("""COMPUTED_VALUE"""),5)</f>
        <v>5</v>
      </c>
      <c r="J109" s="5" t="str">
        <f ca="1">IFERROR(__xludf.DUMMYFUNCTION("""COMPUTED_VALUE"""),"96.15%")</f>
        <v>96.15%</v>
      </c>
      <c r="K109" s="5" t="str">
        <f ca="1">IFERROR(__xludf.DUMMYFUNCTION("""COMPUTED_VALUE"""),"Medium")</f>
        <v>Medium</v>
      </c>
      <c r="L109" s="5" t="str">
        <f ca="1">IFERROR(__xludf.DUMMYFUNCTION("""COMPUTED_VALUE"""),"6.86%")</f>
        <v>6.86%</v>
      </c>
      <c r="M109" s="5" t="str">
        <f ca="1">IFERROR(__xludf.DUMMYFUNCTION("""COMPUTED_VALUE"""),"x500")</f>
        <v>x500</v>
      </c>
      <c r="N109" s="5" t="str">
        <f ca="1">IFERROR(__xludf.DUMMYFUNCTION("""COMPUTED_VALUE"""),"0.04/50")</f>
        <v>0.04/50</v>
      </c>
      <c r="O109" s="5" t="str">
        <f ca="1">IFERROR(__xludf.DUMMYFUNCTION("""COMPUTED_VALUE"""),"No")</f>
        <v>No</v>
      </c>
      <c r="P109" s="5" t="str">
        <f ca="1">IFERROR(__xludf.DUMMYFUNCTION("""COMPUTED_VALUE"""),"Wild Multiplier")</f>
        <v>Wild Multiplier</v>
      </c>
      <c r="Q109" s="7" t="str">
        <f ca="1">IFERROR(__xludf.DUMMYFUNCTION("""COMPUTED_VALUE"""),"https://static.redstone.rs/games/9-of-a-kind/")</f>
        <v>https://static.redstone.rs/games/9-of-a-kind/</v>
      </c>
      <c r="R109" s="5" t="str">
        <f ca="1">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S10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9" s="5" t="str">
        <f ca="1">IFERROR(__xludf.DUMMYFUNCTION("""COMPUTED_VALUE"""),"Yes")</f>
        <v>Yes</v>
      </c>
      <c r="U109" s="5" t="str">
        <f ca="1">IFERROR(__xludf.DUMMYFUNCTION("""COMPUTED_VALUE"""),"Yes")</f>
        <v>Yes</v>
      </c>
      <c r="V109" s="5" t="str">
        <f ca="1">IFERROR(__xludf.DUMMYFUNCTION("""COMPUTED_VALUE"""),"Yes")</f>
        <v>Yes</v>
      </c>
      <c r="W109" s="5" t="str">
        <f ca="1">IFERROR(__xludf.DUMMYFUNCTION("""COMPUTED_VALUE"""),"Yes")</f>
        <v>Yes</v>
      </c>
      <c r="X109" s="5" t="str">
        <f ca="1">IFERROR(__xludf.DUMMYFUNCTION("""COMPUTED_VALUE"""),"Yes")</f>
        <v>Yes</v>
      </c>
      <c r="Y109" s="5" t="str">
        <f ca="1">IFERROR(__xludf.DUMMYFUNCTION("""COMPUTED_VALUE"""),"Yes")</f>
        <v>Yes</v>
      </c>
      <c r="Z109" s="5" t="str">
        <f ca="1">IFERROR(__xludf.DUMMYFUNCTION("""COMPUTED_VALUE"""),"Yes")</f>
        <v>Yes</v>
      </c>
      <c r="AA109" s="5" t="str">
        <f ca="1">IFERROR(__xludf.DUMMYFUNCTION("""COMPUTED_VALUE"""),"Yes")</f>
        <v>Yes</v>
      </c>
      <c r="AB109" s="5" t="str">
        <f ca="1">IFERROR(__xludf.DUMMYFUNCTION("""COMPUTED_VALUE"""),"Yes")</f>
        <v>Yes</v>
      </c>
      <c r="AC109" s="5" t="str">
        <f ca="1">IFERROR(__xludf.DUMMYFUNCTION("""COMPUTED_VALUE"""),"Yes")</f>
        <v>Yes</v>
      </c>
      <c r="AD109" s="5" t="str">
        <f ca="1">IFERROR(__xludf.DUMMYFUNCTION("""COMPUTED_VALUE"""),"Yes")</f>
        <v>Yes</v>
      </c>
      <c r="AE109" s="5" t="str">
        <f ca="1">IFERROR(__xludf.DUMMYFUNCTION("""COMPUTED_VALUE"""),"Yes")</f>
        <v>Yes</v>
      </c>
      <c r="AF109" s="5" t="str">
        <f ca="1">IFERROR(__xludf.DUMMYFUNCTION("""COMPUTED_VALUE"""),"Yes")</f>
        <v>Yes</v>
      </c>
      <c r="AG109" s="5" t="str">
        <f ca="1">IFERROR(__xludf.DUMMYFUNCTION("""COMPUTED_VALUE"""),"Yes")</f>
        <v>Yes</v>
      </c>
      <c r="AH109" s="5" t="str">
        <f ca="1">IFERROR(__xludf.DUMMYFUNCTION("""COMPUTED_VALUE"""),"Yes")</f>
        <v>Yes</v>
      </c>
      <c r="AI109" s="5" t="str">
        <f ca="1">IFERROR(__xludf.DUMMYFUNCTION("""COMPUTED_VALUE"""),"No")</f>
        <v>No</v>
      </c>
      <c r="AJ109" s="5" t="str">
        <f ca="1">IFERROR(__xludf.DUMMYFUNCTION("""COMPUTED_VALUE"""),"No")</f>
        <v>No</v>
      </c>
      <c r="AK109" s="5" t="str">
        <f ca="1">IFERROR(__xludf.DUMMYFUNCTION("""COMPUTED_VALUE"""),"No")</f>
        <v>No</v>
      </c>
      <c r="AL109" s="5" t="str">
        <f ca="1">IFERROR(__xludf.DUMMYFUNCTION("""COMPUTED_VALUE"""),"No")</f>
        <v>No</v>
      </c>
      <c r="AM109" s="5" t="str">
        <f ca="1">IFERROR(__xludf.DUMMYFUNCTION("""COMPUTED_VALUE"""),"No")</f>
        <v>No</v>
      </c>
      <c r="AN109" s="5" t="str">
        <f ca="1">IFERROR(__xludf.DUMMYFUNCTION("""COMPUTED_VALUE"""),"No")</f>
        <v>No</v>
      </c>
      <c r="AO109" s="5" t="str">
        <f ca="1">IFERROR(__xludf.DUMMYFUNCTION("""COMPUTED_VALUE"""),"Yes")</f>
        <v>Yes</v>
      </c>
      <c r="AP109" s="5" t="str">
        <f ca="1">IFERROR(__xludf.DUMMYFUNCTION("""COMPUTED_VALUE"""),"No")</f>
        <v>No</v>
      </c>
      <c r="AQ109" s="5" t="str">
        <f ca="1">IFERROR(__xludf.DUMMYFUNCTION("""COMPUTED_VALUE"""),"No")</f>
        <v>No</v>
      </c>
      <c r="AR109" s="5" t="str">
        <f ca="1">IFERROR(__xludf.DUMMYFUNCTION("""COMPUTED_VALUE"""),"No")</f>
        <v>No</v>
      </c>
      <c r="AS109" s="5" t="str">
        <f ca="1">IFERROR(__xludf.DUMMYFUNCTION("""COMPUTED_VALUE"""),"Yes")</f>
        <v>Yes</v>
      </c>
      <c r="AT109" s="5" t="str">
        <f ca="1">IFERROR(__xludf.DUMMYFUNCTION("""COMPUTED_VALUE"""),"No")</f>
        <v>No</v>
      </c>
      <c r="AU109" s="5"/>
    </row>
    <row r="110" spans="1:47" x14ac:dyDescent="0.25">
      <c r="A110" s="5" t="str">
        <f ca="1">IFERROR(__xludf.DUMMYFUNCTION("""COMPUTED_VALUE"""),"Redstone")</f>
        <v>Redstone</v>
      </c>
      <c r="B110" s="5" t="str">
        <f ca="1">IFERROR(__xludf.DUMMYFUNCTION("""COMPUTED_VALUE"""),"5 Wild Diamond")</f>
        <v>5 Wild Diamond</v>
      </c>
      <c r="C110" s="5" t="str">
        <f ca="1">IFERROR(__xludf.DUMMYFUNCTION("""COMPUTED_VALUE"""),"Redstone5WildDiamond")</f>
        <v>Redstone5WildDiamond</v>
      </c>
      <c r="D110" s="6">
        <f ca="1">IFERROR(__xludf.DUMMYFUNCTION("""COMPUTED_VALUE"""),46000)</f>
        <v>46000</v>
      </c>
      <c r="E110" s="5" t="str">
        <f ca="1">IFERROR(__xludf.DUMMYFUNCTION("""COMPUTED_VALUE"""),"Slot")</f>
        <v>Slot</v>
      </c>
      <c r="F110" s="5">
        <f ca="1">IFERROR(__xludf.DUMMYFUNCTION("""COMPUTED_VALUE"""),4.9)</f>
        <v>4.9000000000000004</v>
      </c>
      <c r="G110" s="5" t="str">
        <f ca="1">IFERROR(__xludf.DUMMYFUNCTION("""COMPUTED_VALUE"""),"96,45")</f>
        <v>96,45</v>
      </c>
      <c r="H110" s="5">
        <f ca="1">IFERROR(__xludf.DUMMYFUNCTION("""COMPUTED_VALUE"""),5)</f>
        <v>5</v>
      </c>
      <c r="I110" s="5">
        <f ca="1">IFERROR(__xludf.DUMMYFUNCTION("""COMPUTED_VALUE"""),5)</f>
        <v>5</v>
      </c>
      <c r="J110" s="5" t="str">
        <f ca="1">IFERROR(__xludf.DUMMYFUNCTION("""COMPUTED_VALUE"""),"96.45%")</f>
        <v>96.45%</v>
      </c>
      <c r="K110" s="5" t="str">
        <f ca="1">IFERROR(__xludf.DUMMYFUNCTION("""COMPUTED_VALUE"""),"Medium")</f>
        <v>Medium</v>
      </c>
      <c r="L110" s="5" t="str">
        <f ca="1">IFERROR(__xludf.DUMMYFUNCTION("""COMPUTED_VALUE"""),"14.5%")</f>
        <v>14.5%</v>
      </c>
      <c r="M110" s="5" t="str">
        <f ca="1">IFERROR(__xludf.DUMMYFUNCTION("""COMPUTED_VALUE"""),"x1222")</f>
        <v>x1222</v>
      </c>
      <c r="N110" s="5" t="str">
        <f ca="1">IFERROR(__xludf.DUMMYFUNCTION("""COMPUTED_VALUE"""),"0.05/30")</f>
        <v>0.05/30</v>
      </c>
      <c r="O110" s="5" t="str">
        <f ca="1">IFERROR(__xludf.DUMMYFUNCTION("""COMPUTED_VALUE"""),"No")</f>
        <v>No</v>
      </c>
      <c r="P110" s="5" t="str">
        <f ca="1">IFERROR(__xludf.DUMMYFUNCTION("""COMPUTED_VALUE"""),"Scatter, Expanding Wild")</f>
        <v>Scatter, Expanding Wild</v>
      </c>
      <c r="Q110" s="7" t="str">
        <f ca="1">IFERROR(__xludf.DUMMYFUNCTION("""COMPUTED_VALUE"""),"https://static.redstone.rs/games/5-wild-diamond/")</f>
        <v>https://static.redstone.rs/games/5-wild-diamond/</v>
      </c>
      <c r="R110" s="5" t="str">
        <f ca="1">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S110"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0" s="5" t="str">
        <f ca="1">IFERROR(__xludf.DUMMYFUNCTION("""COMPUTED_VALUE"""),"Yes")</f>
        <v>Yes</v>
      </c>
      <c r="U110" s="5" t="str">
        <f ca="1">IFERROR(__xludf.DUMMYFUNCTION("""COMPUTED_VALUE"""),"Yes")</f>
        <v>Yes</v>
      </c>
      <c r="V110" s="5" t="str">
        <f ca="1">IFERROR(__xludf.DUMMYFUNCTION("""COMPUTED_VALUE"""),"Yes")</f>
        <v>Yes</v>
      </c>
      <c r="W110" s="5" t="str">
        <f ca="1">IFERROR(__xludf.DUMMYFUNCTION("""COMPUTED_VALUE"""),"Yes")</f>
        <v>Yes</v>
      </c>
      <c r="X110" s="5" t="str">
        <f ca="1">IFERROR(__xludf.DUMMYFUNCTION("""COMPUTED_VALUE"""),"Yes")</f>
        <v>Yes</v>
      </c>
      <c r="Y110" s="5" t="str">
        <f ca="1">IFERROR(__xludf.DUMMYFUNCTION("""COMPUTED_VALUE"""),"Yes")</f>
        <v>Yes</v>
      </c>
      <c r="Z110" s="5" t="str">
        <f ca="1">IFERROR(__xludf.DUMMYFUNCTION("""COMPUTED_VALUE"""),"Yes")</f>
        <v>Yes</v>
      </c>
      <c r="AA110" s="5" t="str">
        <f ca="1">IFERROR(__xludf.DUMMYFUNCTION("""COMPUTED_VALUE"""),"Yes")</f>
        <v>Yes</v>
      </c>
      <c r="AB110" s="5" t="str">
        <f ca="1">IFERROR(__xludf.DUMMYFUNCTION("""COMPUTED_VALUE"""),"Yes")</f>
        <v>Yes</v>
      </c>
      <c r="AC110" s="5" t="str">
        <f ca="1">IFERROR(__xludf.DUMMYFUNCTION("""COMPUTED_VALUE"""),"Yes")</f>
        <v>Yes</v>
      </c>
      <c r="AD110" s="5" t="str">
        <f ca="1">IFERROR(__xludf.DUMMYFUNCTION("""COMPUTED_VALUE"""),"Yes")</f>
        <v>Yes</v>
      </c>
      <c r="AE110" s="5" t="str">
        <f ca="1">IFERROR(__xludf.DUMMYFUNCTION("""COMPUTED_VALUE"""),"Yes")</f>
        <v>Yes</v>
      </c>
      <c r="AF110" s="5" t="str">
        <f ca="1">IFERROR(__xludf.DUMMYFUNCTION("""COMPUTED_VALUE"""),"Yes")</f>
        <v>Yes</v>
      </c>
      <c r="AG110" s="5" t="str">
        <f ca="1">IFERROR(__xludf.DUMMYFUNCTION("""COMPUTED_VALUE"""),"Yes")</f>
        <v>Yes</v>
      </c>
      <c r="AH110" s="5" t="str">
        <f ca="1">IFERROR(__xludf.DUMMYFUNCTION("""COMPUTED_VALUE"""),"Yes")</f>
        <v>Yes</v>
      </c>
      <c r="AI110" s="5" t="str">
        <f ca="1">IFERROR(__xludf.DUMMYFUNCTION("""COMPUTED_VALUE"""),"No")</f>
        <v>No</v>
      </c>
      <c r="AJ110" s="5" t="str">
        <f ca="1">IFERROR(__xludf.DUMMYFUNCTION("""COMPUTED_VALUE"""),"No")</f>
        <v>No</v>
      </c>
      <c r="AK110" s="5" t="str">
        <f ca="1">IFERROR(__xludf.DUMMYFUNCTION("""COMPUTED_VALUE"""),"No")</f>
        <v>No</v>
      </c>
      <c r="AL110" s="5" t="str">
        <f ca="1">IFERROR(__xludf.DUMMYFUNCTION("""COMPUTED_VALUE"""),"No")</f>
        <v>No</v>
      </c>
      <c r="AM110" s="5" t="str">
        <f ca="1">IFERROR(__xludf.DUMMYFUNCTION("""COMPUTED_VALUE"""),"No")</f>
        <v>No</v>
      </c>
      <c r="AN110" s="5" t="str">
        <f ca="1">IFERROR(__xludf.DUMMYFUNCTION("""COMPUTED_VALUE"""),"No")</f>
        <v>No</v>
      </c>
      <c r="AO110" s="5" t="str">
        <f ca="1">IFERROR(__xludf.DUMMYFUNCTION("""COMPUTED_VALUE"""),"Yes")</f>
        <v>Yes</v>
      </c>
      <c r="AP110" s="5" t="str">
        <f ca="1">IFERROR(__xludf.DUMMYFUNCTION("""COMPUTED_VALUE"""),"No")</f>
        <v>No</v>
      </c>
      <c r="AQ110" s="5" t="str">
        <f ca="1">IFERROR(__xludf.DUMMYFUNCTION("""COMPUTED_VALUE"""),"No")</f>
        <v>No</v>
      </c>
      <c r="AR110" s="5" t="str">
        <f ca="1">IFERROR(__xludf.DUMMYFUNCTION("""COMPUTED_VALUE"""),"No")</f>
        <v>No</v>
      </c>
      <c r="AS110" s="5" t="str">
        <f ca="1">IFERROR(__xludf.DUMMYFUNCTION("""COMPUTED_VALUE"""),"Yes")</f>
        <v>Yes</v>
      </c>
      <c r="AT110" s="5" t="str">
        <f ca="1">IFERROR(__xludf.DUMMYFUNCTION("""COMPUTED_VALUE"""),"No")</f>
        <v>No</v>
      </c>
      <c r="AU110" s="5"/>
    </row>
    <row r="111" spans="1:47" x14ac:dyDescent="0.25">
      <c r="A111" s="5" t="str">
        <f ca="1">IFERROR(__xludf.DUMMYFUNCTION("""COMPUTED_VALUE"""),"Redstone")</f>
        <v>Redstone</v>
      </c>
      <c r="B111" s="5" t="str">
        <f ca="1">IFERROR(__xludf.DUMMYFUNCTION("""COMPUTED_VALUE"""),"Inferno Hot 40")</f>
        <v>Inferno Hot 40</v>
      </c>
      <c r="C111" s="5" t="str">
        <f ca="1">IFERROR(__xludf.DUMMYFUNCTION("""COMPUTED_VALUE"""),"RedstoneInfernoHot40")</f>
        <v>RedstoneInfernoHot40</v>
      </c>
      <c r="D111" s="6">
        <f ca="1">IFERROR(__xludf.DUMMYFUNCTION("""COMPUTED_VALUE"""),46035)</f>
        <v>46035</v>
      </c>
      <c r="E111" s="5" t="str">
        <f ca="1">IFERROR(__xludf.DUMMYFUNCTION("""COMPUTED_VALUE"""),"Slot")</f>
        <v>Slot</v>
      </c>
      <c r="F111" s="5">
        <f ca="1">IFERROR(__xludf.DUMMYFUNCTION("""COMPUTED_VALUE"""),16)</f>
        <v>16</v>
      </c>
      <c r="G111" s="5" t="str">
        <f ca="1">IFERROR(__xludf.DUMMYFUNCTION("""COMPUTED_VALUE"""),"5x3")</f>
        <v>5x3</v>
      </c>
      <c r="H111" s="5">
        <f ca="1">IFERROR(__xludf.DUMMYFUNCTION("""COMPUTED_VALUE"""),40)</f>
        <v>40</v>
      </c>
      <c r="I111" s="5">
        <f ca="1">IFERROR(__xludf.DUMMYFUNCTION("""COMPUTED_VALUE"""),40)</f>
        <v>40</v>
      </c>
      <c r="J111" s="5" t="str">
        <f ca="1">IFERROR(__xludf.DUMMYFUNCTION("""COMPUTED_VALUE"""),"96.13%")</f>
        <v>96.13%</v>
      </c>
      <c r="K111" s="5" t="str">
        <f ca="1">IFERROR(__xludf.DUMMYFUNCTION("""COMPUTED_VALUE"""),"Medium")</f>
        <v>Medium</v>
      </c>
      <c r="L111" s="5" t="str">
        <f ca="1">IFERROR(__xludf.DUMMYFUNCTION("""COMPUTED_VALUE"""),"14.4%")</f>
        <v>14.4%</v>
      </c>
      <c r="M111" s="5" t="str">
        <f ca="1">IFERROR(__xludf.DUMMYFUNCTION("""COMPUTED_VALUE"""),"x1000")</f>
        <v>x1000</v>
      </c>
      <c r="N111" s="5" t="str">
        <f ca="1">IFERROR(__xludf.DUMMYFUNCTION("""COMPUTED_VALUE"""),"0.04/50")</f>
        <v>0.04/50</v>
      </c>
      <c r="O111" s="5" t="str">
        <f ca="1">IFERROR(__xludf.DUMMYFUNCTION("""COMPUTED_VALUE"""),"No")</f>
        <v>No</v>
      </c>
      <c r="P111" s="5" t="str">
        <f ca="1">IFERROR(__xludf.DUMMYFUNCTION("""COMPUTED_VALUE"""),"Special Wild, Scatter, Bonus Game with Free Spins")</f>
        <v>Special Wild, Scatter, Bonus Game with Free Spins</v>
      </c>
      <c r="Q111" s="7" t="str">
        <f ca="1">IFERROR(__xludf.DUMMYFUNCTION("""COMPUTED_VALUE"""),"https://static.redstone.rs/games/inferno-hot-40/")</f>
        <v>https://static.redstone.rs/games/inferno-hot-40/</v>
      </c>
      <c r="R111" s="5" t="str">
        <f ca="1">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S11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1" s="5" t="str">
        <f ca="1">IFERROR(__xludf.DUMMYFUNCTION("""COMPUTED_VALUE"""),"Yes")</f>
        <v>Yes</v>
      </c>
      <c r="U111" s="5" t="str">
        <f ca="1">IFERROR(__xludf.DUMMYFUNCTION("""COMPUTED_VALUE"""),"Yes")</f>
        <v>Yes</v>
      </c>
      <c r="V111" s="5" t="str">
        <f ca="1">IFERROR(__xludf.DUMMYFUNCTION("""COMPUTED_VALUE"""),"Yes")</f>
        <v>Yes</v>
      </c>
      <c r="W111" s="5" t="str">
        <f ca="1">IFERROR(__xludf.DUMMYFUNCTION("""COMPUTED_VALUE"""),"Yes")</f>
        <v>Yes</v>
      </c>
      <c r="X111" s="5" t="str">
        <f ca="1">IFERROR(__xludf.DUMMYFUNCTION("""COMPUTED_VALUE"""),"Yes")</f>
        <v>Yes</v>
      </c>
      <c r="Y111" s="5" t="str">
        <f ca="1">IFERROR(__xludf.DUMMYFUNCTION("""COMPUTED_VALUE"""),"Yes")</f>
        <v>Yes</v>
      </c>
      <c r="Z111" s="5" t="str">
        <f ca="1">IFERROR(__xludf.DUMMYFUNCTION("""COMPUTED_VALUE"""),"Yes")</f>
        <v>Yes</v>
      </c>
      <c r="AA111" s="5" t="str">
        <f ca="1">IFERROR(__xludf.DUMMYFUNCTION("""COMPUTED_VALUE"""),"Yes")</f>
        <v>Yes</v>
      </c>
      <c r="AB111" s="5" t="str">
        <f ca="1">IFERROR(__xludf.DUMMYFUNCTION("""COMPUTED_VALUE"""),"Yes")</f>
        <v>Yes</v>
      </c>
      <c r="AC111" s="5" t="str">
        <f ca="1">IFERROR(__xludf.DUMMYFUNCTION("""COMPUTED_VALUE"""),"Yes")</f>
        <v>Yes</v>
      </c>
      <c r="AD111" s="5" t="str">
        <f ca="1">IFERROR(__xludf.DUMMYFUNCTION("""COMPUTED_VALUE"""),"Yes")</f>
        <v>Yes</v>
      </c>
      <c r="AE111" s="5" t="str">
        <f ca="1">IFERROR(__xludf.DUMMYFUNCTION("""COMPUTED_VALUE"""),"Yes")</f>
        <v>Yes</v>
      </c>
      <c r="AF111" s="5" t="str">
        <f ca="1">IFERROR(__xludf.DUMMYFUNCTION("""COMPUTED_VALUE"""),"Yes")</f>
        <v>Yes</v>
      </c>
      <c r="AG111" s="5" t="str">
        <f ca="1">IFERROR(__xludf.DUMMYFUNCTION("""COMPUTED_VALUE"""),"Yes")</f>
        <v>Yes</v>
      </c>
      <c r="AH111" s="5" t="str">
        <f ca="1">IFERROR(__xludf.DUMMYFUNCTION("""COMPUTED_VALUE"""),"Yes")</f>
        <v>Yes</v>
      </c>
      <c r="AI111" s="5" t="str">
        <f ca="1">IFERROR(__xludf.DUMMYFUNCTION("""COMPUTED_VALUE"""),"No")</f>
        <v>No</v>
      </c>
      <c r="AJ111" s="5" t="str">
        <f ca="1">IFERROR(__xludf.DUMMYFUNCTION("""COMPUTED_VALUE"""),"No")</f>
        <v>No</v>
      </c>
      <c r="AK111" s="5" t="str">
        <f ca="1">IFERROR(__xludf.DUMMYFUNCTION("""COMPUTED_VALUE"""),"No")</f>
        <v>No</v>
      </c>
      <c r="AL111" s="5" t="str">
        <f ca="1">IFERROR(__xludf.DUMMYFUNCTION("""COMPUTED_VALUE"""),"No")</f>
        <v>No</v>
      </c>
      <c r="AM111" s="5" t="str">
        <f ca="1">IFERROR(__xludf.DUMMYFUNCTION("""COMPUTED_VALUE"""),"No")</f>
        <v>No</v>
      </c>
      <c r="AN111" s="5" t="str">
        <f ca="1">IFERROR(__xludf.DUMMYFUNCTION("""COMPUTED_VALUE"""),"No")</f>
        <v>No</v>
      </c>
      <c r="AO111" s="5" t="str">
        <f ca="1">IFERROR(__xludf.DUMMYFUNCTION("""COMPUTED_VALUE"""),"Yes")</f>
        <v>Yes</v>
      </c>
      <c r="AP111" s="5" t="str">
        <f ca="1">IFERROR(__xludf.DUMMYFUNCTION("""COMPUTED_VALUE"""),"No")</f>
        <v>No</v>
      </c>
      <c r="AQ111" s="5" t="str">
        <f ca="1">IFERROR(__xludf.DUMMYFUNCTION("""COMPUTED_VALUE"""),"No")</f>
        <v>No</v>
      </c>
      <c r="AR111" s="5" t="str">
        <f ca="1">IFERROR(__xludf.DUMMYFUNCTION("""COMPUTED_VALUE"""),"No")</f>
        <v>No</v>
      </c>
      <c r="AS111" s="5" t="str">
        <f ca="1">IFERROR(__xludf.DUMMYFUNCTION("""COMPUTED_VALUE"""),"Yes")</f>
        <v>Yes</v>
      </c>
      <c r="AT111" s="5" t="str">
        <f ca="1">IFERROR(__xludf.DUMMYFUNCTION("""COMPUTED_VALUE"""),"No")</f>
        <v>No</v>
      </c>
      <c r="AU111" s="5"/>
    </row>
    <row r="112" spans="1:47" x14ac:dyDescent="0.25">
      <c r="A112" s="5" t="str">
        <f ca="1">IFERROR(__xludf.DUMMYFUNCTION("""COMPUTED_VALUE"""),"Redstone")</f>
        <v>Redstone</v>
      </c>
      <c r="B112" s="5" t="str">
        <f ca="1">IFERROR(__xludf.DUMMYFUNCTION("""COMPUTED_VALUE"""),"Rolling Hearts 10")</f>
        <v>Rolling Hearts 10</v>
      </c>
      <c r="C112" s="5" t="str">
        <f ca="1">IFERROR(__xludf.DUMMYFUNCTION("""COMPUTED_VALUE"""),"RedstoneRollingHearts10")</f>
        <v>RedstoneRollingHearts10</v>
      </c>
      <c r="D112" s="6">
        <f ca="1">IFERROR(__xludf.DUMMYFUNCTION("""COMPUTED_VALUE"""),46041)</f>
        <v>46041</v>
      </c>
      <c r="E112" s="5" t="str">
        <f ca="1">IFERROR(__xludf.DUMMYFUNCTION("""COMPUTED_VALUE"""),"Slot")</f>
        <v>Slot</v>
      </c>
      <c r="F112" s="5">
        <f ca="1">IFERROR(__xludf.DUMMYFUNCTION("""COMPUTED_VALUE"""),7.3)</f>
        <v>7.3</v>
      </c>
      <c r="G112" s="5" t="str">
        <f ca="1">IFERROR(__xludf.DUMMYFUNCTION("""COMPUTED_VALUE"""),"5x3")</f>
        <v>5x3</v>
      </c>
      <c r="H112" s="5">
        <f ca="1">IFERROR(__xludf.DUMMYFUNCTION("""COMPUTED_VALUE"""),10)</f>
        <v>10</v>
      </c>
      <c r="I112" s="5">
        <f ca="1">IFERROR(__xludf.DUMMYFUNCTION("""COMPUTED_VALUE"""),10)</f>
        <v>10</v>
      </c>
      <c r="J112" s="5" t="str">
        <f ca="1">IFERROR(__xludf.DUMMYFUNCTION("""COMPUTED_VALUE"""),"96.33%")</f>
        <v>96.33%</v>
      </c>
      <c r="K112" s="5" t="str">
        <f ca="1">IFERROR(__xludf.DUMMYFUNCTION("""COMPUTED_VALUE"""),"Medium")</f>
        <v>Medium</v>
      </c>
      <c r="L112" s="5" t="str">
        <f ca="1">IFERROR(__xludf.DUMMYFUNCTION("""COMPUTED_VALUE"""),"12.5%")</f>
        <v>12.5%</v>
      </c>
      <c r="M112" s="5" t="str">
        <f ca="1">IFERROR(__xludf.DUMMYFUNCTION("""COMPUTED_VALUE"""),"x950")</f>
        <v>x950</v>
      </c>
      <c r="N112" s="5" t="str">
        <f ca="1">IFERROR(__xludf.DUMMYFUNCTION("""COMPUTED_VALUE"""),"0.02/50")</f>
        <v>0.02/50</v>
      </c>
      <c r="O112" s="5" t="str">
        <f ca="1">IFERROR(__xludf.DUMMYFUNCTION("""COMPUTED_VALUE"""),"No")</f>
        <v>No</v>
      </c>
      <c r="P112" s="5" t="str">
        <f ca="1">IFERROR(__xludf.DUMMYFUNCTION("""COMPUTED_VALUE"""),"Scatter, Exploding Wild")</f>
        <v>Scatter, Exploding Wild</v>
      </c>
      <c r="Q112" s="7" t="str">
        <f ca="1">IFERROR(__xludf.DUMMYFUNCTION("""COMPUTED_VALUE"""),"https://static.redstone.rs/games/rolling-hearts-10/")</f>
        <v>https://static.redstone.rs/games/rolling-hearts-10/</v>
      </c>
      <c r="R112" s="5" t="str">
        <f ca="1">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S112"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2" s="5" t="str">
        <f ca="1">IFERROR(__xludf.DUMMYFUNCTION("""COMPUTED_VALUE"""),"Yes")</f>
        <v>Yes</v>
      </c>
      <c r="U112" s="5" t="str">
        <f ca="1">IFERROR(__xludf.DUMMYFUNCTION("""COMPUTED_VALUE"""),"Yes")</f>
        <v>Yes</v>
      </c>
      <c r="V112" s="5" t="str">
        <f ca="1">IFERROR(__xludf.DUMMYFUNCTION("""COMPUTED_VALUE"""),"Yes")</f>
        <v>Yes</v>
      </c>
      <c r="W112" s="5"/>
      <c r="X112" s="5" t="str">
        <f ca="1">IFERROR(__xludf.DUMMYFUNCTION("""COMPUTED_VALUE"""),"Yes")</f>
        <v>Yes</v>
      </c>
      <c r="Y112" s="5"/>
      <c r="Z112" s="5"/>
      <c r="AA112" s="5"/>
      <c r="AB112" s="5" t="str">
        <f ca="1">IFERROR(__xludf.DUMMYFUNCTION("""COMPUTED_VALUE"""),"Yes")</f>
        <v>Yes</v>
      </c>
      <c r="AC112" s="5" t="str">
        <f ca="1">IFERROR(__xludf.DUMMYFUNCTION("""COMPUTED_VALUE"""),"Yes")</f>
        <v>Yes</v>
      </c>
      <c r="AD112" s="5" t="str">
        <f ca="1">IFERROR(__xludf.DUMMYFUNCTION("""COMPUTED_VALUE"""),"Yes")</f>
        <v>Yes</v>
      </c>
      <c r="AE112" s="5" t="str">
        <f ca="1">IFERROR(__xludf.DUMMYFUNCTION("""COMPUTED_VALUE"""),"Yes")</f>
        <v>Yes</v>
      </c>
      <c r="AF112" s="5" t="str">
        <f ca="1">IFERROR(__xludf.DUMMYFUNCTION("""COMPUTED_VALUE"""),"Yes")</f>
        <v>Yes</v>
      </c>
      <c r="AG112" s="5"/>
      <c r="AH112" s="5" t="str">
        <f ca="1">IFERROR(__xludf.DUMMYFUNCTION("""COMPUTED_VALUE"""),"Yes")</f>
        <v>Yes</v>
      </c>
      <c r="AI112" s="5"/>
      <c r="AJ112" s="5"/>
      <c r="AK112" s="5"/>
      <c r="AL112" s="5"/>
      <c r="AM112" s="5"/>
      <c r="AN112" s="5"/>
      <c r="AO112" s="5" t="str">
        <f ca="1">IFERROR(__xludf.DUMMYFUNCTION("""COMPUTED_VALUE"""),"Yes")</f>
        <v>Yes</v>
      </c>
      <c r="AP112" s="5"/>
      <c r="AQ112" s="5"/>
      <c r="AR112" s="5"/>
      <c r="AS112" s="5" t="str">
        <f ca="1">IFERROR(__xludf.DUMMYFUNCTION("""COMPUTED_VALUE"""),"Yes")</f>
        <v>Yes</v>
      </c>
      <c r="AT112" s="5" t="str">
        <f ca="1">IFERROR(__xludf.DUMMYFUNCTION("""COMPUTED_VALUE"""),"Yes")</f>
        <v>Yes</v>
      </c>
      <c r="AU112" s="5"/>
    </row>
    <row r="113" spans="1:47" x14ac:dyDescent="0.25">
      <c r="A113" s="5" t="str">
        <f ca="1">IFERROR(__xludf.DUMMYFUNCTION("""COMPUTED_VALUE"""),"Redstone")</f>
        <v>Redstone</v>
      </c>
      <c r="B113" s="5" t="str">
        <f ca="1">IFERROR(__xludf.DUMMYFUNCTION("""COMPUTED_VALUE"""),"Cupid's Wild Hearts")</f>
        <v>Cupid's Wild Hearts</v>
      </c>
      <c r="C113" s="5" t="str">
        <f ca="1">IFERROR(__xludf.DUMMYFUNCTION("""COMPUTED_VALUE"""),"RedstoneCupidsWildHearts")</f>
        <v>RedstoneCupidsWildHearts</v>
      </c>
      <c r="D113" s="6">
        <f ca="1">IFERROR(__xludf.DUMMYFUNCTION("""COMPUTED_VALUE"""),46049)</f>
        <v>46049</v>
      </c>
      <c r="E113" s="5" t="str">
        <f ca="1">IFERROR(__xludf.DUMMYFUNCTION("""COMPUTED_VALUE"""),"Slot")</f>
        <v>Slot</v>
      </c>
      <c r="F113" s="5">
        <f ca="1">IFERROR(__xludf.DUMMYFUNCTION("""COMPUTED_VALUE"""),9.5)</f>
        <v>9.5</v>
      </c>
      <c r="G113" s="5" t="str">
        <f ca="1">IFERROR(__xludf.DUMMYFUNCTION("""COMPUTED_VALUE"""),"5x3")</f>
        <v>5x3</v>
      </c>
      <c r="H113" s="5">
        <f ca="1">IFERROR(__xludf.DUMMYFUNCTION("""COMPUTED_VALUE"""),5)</f>
        <v>5</v>
      </c>
      <c r="I113" s="5">
        <f ca="1">IFERROR(__xludf.DUMMYFUNCTION("""COMPUTED_VALUE"""),5)</f>
        <v>5</v>
      </c>
      <c r="J113" s="5" t="str">
        <f ca="1">IFERROR(__xludf.DUMMYFUNCTION("""COMPUTED_VALUE"""),"96.03%")</f>
        <v>96.03%</v>
      </c>
      <c r="K113" s="5" t="str">
        <f ca="1">IFERROR(__xludf.DUMMYFUNCTION("""COMPUTED_VALUE"""),"Medium")</f>
        <v>Medium</v>
      </c>
      <c r="L113" s="5" t="str">
        <f ca="1">IFERROR(__xludf.DUMMYFUNCTION("""COMPUTED_VALUE"""),"14.62%")</f>
        <v>14.62%</v>
      </c>
      <c r="M113" s="5" t="str">
        <f ca="1">IFERROR(__xludf.DUMMYFUNCTION("""COMPUTED_VALUE"""),"x2624")</f>
        <v>x2624</v>
      </c>
      <c r="N113" s="5" t="str">
        <f ca="1">IFERROR(__xludf.DUMMYFUNCTION("""COMPUTED_VALUE"""),"0.05/50")</f>
        <v>0.05/50</v>
      </c>
      <c r="O113" s="5" t="str">
        <f ca="1">IFERROR(__xludf.DUMMYFUNCTION("""COMPUTED_VALUE"""),"No")</f>
        <v>No</v>
      </c>
      <c r="P113" s="5" t="str">
        <f ca="1">IFERROR(__xludf.DUMMYFUNCTION("""COMPUTED_VALUE"""),"Wild Multiplier, Expanding Wild")</f>
        <v>Wild Multiplier, Expanding Wild</v>
      </c>
      <c r="Q113" s="7" t="str">
        <f ca="1">IFERROR(__xludf.DUMMYFUNCTION("""COMPUTED_VALUE"""),"https://static.redstone.rs/games/cupids-wild-hearts/")</f>
        <v>https://static.redstone.rs/games/cupids-wild-hearts/</v>
      </c>
      <c r="R113" s="5" t="str">
        <f ca="1">IFERROR(__xludf.DUMMYFUNCTION("""COMPUTED_VALUE"""),"Let Cupid guide your spin in Cupid's Wild Heart. Follow the arrow and see where the Wild appears! ")</f>
        <v xml:space="preserve">Let Cupid guide your spin in Cupid's Wild Heart. Follow the arrow and see where the Wild appears! </v>
      </c>
      <c r="S113"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3" s="5" t="str">
        <f ca="1">IFERROR(__xludf.DUMMYFUNCTION("""COMPUTED_VALUE"""),"Yes")</f>
        <v>Yes</v>
      </c>
      <c r="U113" s="5" t="str">
        <f ca="1">IFERROR(__xludf.DUMMYFUNCTION("""COMPUTED_VALUE"""),"Yes")</f>
        <v>Yes</v>
      </c>
      <c r="V113" s="5" t="str">
        <f ca="1">IFERROR(__xludf.DUMMYFUNCTION("""COMPUTED_VALUE"""),"Yes")</f>
        <v>Yes</v>
      </c>
      <c r="W113" s="5" t="str">
        <f ca="1">IFERROR(__xludf.DUMMYFUNCTION("""COMPUTED_VALUE"""),"No")</f>
        <v>No</v>
      </c>
      <c r="X113" s="5" t="str">
        <f ca="1">IFERROR(__xludf.DUMMYFUNCTION("""COMPUTED_VALUE"""),"Yes")</f>
        <v>Yes</v>
      </c>
      <c r="Y113" s="5" t="str">
        <f ca="1">IFERROR(__xludf.DUMMYFUNCTION("""COMPUTED_VALUE"""),"No")</f>
        <v>No</v>
      </c>
      <c r="Z113" s="5" t="str">
        <f ca="1">IFERROR(__xludf.DUMMYFUNCTION("""COMPUTED_VALUE"""),"No")</f>
        <v>No</v>
      </c>
      <c r="AA113" s="5" t="str">
        <f ca="1">IFERROR(__xludf.DUMMYFUNCTION("""COMPUTED_VALUE"""),"No")</f>
        <v>No</v>
      </c>
      <c r="AB113" s="5" t="str">
        <f ca="1">IFERROR(__xludf.DUMMYFUNCTION("""COMPUTED_VALUE"""),"Yes")</f>
        <v>Yes</v>
      </c>
      <c r="AC113" s="5" t="str">
        <f ca="1">IFERROR(__xludf.DUMMYFUNCTION("""COMPUTED_VALUE"""),"Yes")</f>
        <v>Yes</v>
      </c>
      <c r="AD113" s="5" t="str">
        <f ca="1">IFERROR(__xludf.DUMMYFUNCTION("""COMPUTED_VALUE"""),"Yes")</f>
        <v>Yes</v>
      </c>
      <c r="AE113" s="5" t="str">
        <f ca="1">IFERROR(__xludf.DUMMYFUNCTION("""COMPUTED_VALUE"""),"Yes")</f>
        <v>Yes</v>
      </c>
      <c r="AF113" s="5" t="str">
        <f ca="1">IFERROR(__xludf.DUMMYFUNCTION("""COMPUTED_VALUE"""),"Yes")</f>
        <v>Yes</v>
      </c>
      <c r="AG113" s="5" t="str">
        <f ca="1">IFERROR(__xludf.DUMMYFUNCTION("""COMPUTED_VALUE"""),"No")</f>
        <v>No</v>
      </c>
      <c r="AH113" s="5" t="str">
        <f ca="1">IFERROR(__xludf.DUMMYFUNCTION("""COMPUTED_VALUE"""),"Yes")</f>
        <v>Yes</v>
      </c>
      <c r="AI113" s="5" t="str">
        <f ca="1">IFERROR(__xludf.DUMMYFUNCTION("""COMPUTED_VALUE"""),"No")</f>
        <v>No</v>
      </c>
      <c r="AJ113" s="5" t="str">
        <f ca="1">IFERROR(__xludf.DUMMYFUNCTION("""COMPUTED_VALUE"""),"No")</f>
        <v>No</v>
      </c>
      <c r="AK113" s="5" t="str">
        <f ca="1">IFERROR(__xludf.DUMMYFUNCTION("""COMPUTED_VALUE"""),"No")</f>
        <v>No</v>
      </c>
      <c r="AL113" s="5" t="str">
        <f ca="1">IFERROR(__xludf.DUMMYFUNCTION("""COMPUTED_VALUE"""),"No")</f>
        <v>No</v>
      </c>
      <c r="AM113" s="5" t="str">
        <f ca="1">IFERROR(__xludf.DUMMYFUNCTION("""COMPUTED_VALUE"""),"No")</f>
        <v>No</v>
      </c>
      <c r="AN113" s="5" t="str">
        <f ca="1">IFERROR(__xludf.DUMMYFUNCTION("""COMPUTED_VALUE"""),"No")</f>
        <v>No</v>
      </c>
      <c r="AO113" s="5" t="str">
        <f ca="1">IFERROR(__xludf.DUMMYFUNCTION("""COMPUTED_VALUE"""),"Yes")</f>
        <v>Yes</v>
      </c>
      <c r="AP113" s="5" t="str">
        <f ca="1">IFERROR(__xludf.DUMMYFUNCTION("""COMPUTED_VALUE"""),"No")</f>
        <v>No</v>
      </c>
      <c r="AQ113" s="5" t="str">
        <f ca="1">IFERROR(__xludf.DUMMYFUNCTION("""COMPUTED_VALUE"""),"No")</f>
        <v>No</v>
      </c>
      <c r="AR113" s="5" t="str">
        <f ca="1">IFERROR(__xludf.DUMMYFUNCTION("""COMPUTED_VALUE"""),"No")</f>
        <v>No</v>
      </c>
      <c r="AS113" s="5" t="str">
        <f ca="1">IFERROR(__xludf.DUMMYFUNCTION("""COMPUTED_VALUE"""),"Yes")</f>
        <v>Yes</v>
      </c>
      <c r="AT113" s="5" t="str">
        <f ca="1">IFERROR(__xludf.DUMMYFUNCTION("""COMPUTED_VALUE"""),"Yes")</f>
        <v>Yes</v>
      </c>
      <c r="AU113" s="5"/>
    </row>
    <row r="114" spans="1:47" x14ac:dyDescent="0.25">
      <c r="A114" s="5" t="str">
        <f ca="1">IFERROR(__xludf.DUMMYFUNCTION("""COMPUTED_VALUE"""),"Redstone")</f>
        <v>Redstone</v>
      </c>
      <c r="B114" s="5" t="str">
        <f ca="1">IFERROR(__xludf.DUMMYFUNCTION("""COMPUTED_VALUE"""),"Double Wild Diamond")</f>
        <v>Double Wild Diamond</v>
      </c>
      <c r="C114" s="5" t="str">
        <f ca="1">IFERROR(__xludf.DUMMYFUNCTION("""COMPUTED_VALUE"""),"RedstoneDoubleWildDiamond")</f>
        <v>RedstoneDoubleWildDiamond</v>
      </c>
      <c r="D114" s="6">
        <f ca="1">IFERROR(__xludf.DUMMYFUNCTION("""COMPUTED_VALUE"""),46058)</f>
        <v>46058</v>
      </c>
      <c r="E114" s="5" t="str">
        <f ca="1">IFERROR(__xludf.DUMMYFUNCTION("""COMPUTED_VALUE"""),"Slot")</f>
        <v>Slot</v>
      </c>
      <c r="F114" s="5">
        <f ca="1">IFERROR(__xludf.DUMMYFUNCTION("""COMPUTED_VALUE"""),5.1)</f>
        <v>5.0999999999999996</v>
      </c>
      <c r="G114" s="5" t="str">
        <f ca="1">IFERROR(__xludf.DUMMYFUNCTION("""COMPUTED_VALUE"""),"5x3")</f>
        <v>5x3</v>
      </c>
      <c r="H114" s="5">
        <f ca="1">IFERROR(__xludf.DUMMYFUNCTION("""COMPUTED_VALUE"""),5)</f>
        <v>5</v>
      </c>
      <c r="I114" s="5">
        <f ca="1">IFERROR(__xludf.DUMMYFUNCTION("""COMPUTED_VALUE"""),5)</f>
        <v>5</v>
      </c>
      <c r="J114" s="5" t="str">
        <f ca="1">IFERROR(__xludf.DUMMYFUNCTION("""COMPUTED_VALUE"""),"96.45%")</f>
        <v>96.45%</v>
      </c>
      <c r="K114" s="5" t="str">
        <f ca="1">IFERROR(__xludf.DUMMYFUNCTION("""COMPUTED_VALUE"""),"Medium")</f>
        <v>Medium</v>
      </c>
      <c r="L114" s="5" t="str">
        <f ca="1">IFERROR(__xludf.DUMMYFUNCTION("""COMPUTED_VALUE"""),"14.23%")</f>
        <v>14.23%</v>
      </c>
      <c r="M114" s="5" t="str">
        <f ca="1">IFERROR(__xludf.DUMMYFUNCTION("""COMPUTED_VALUE"""),"x2624")</f>
        <v>x2624</v>
      </c>
      <c r="N114" s="5" t="str">
        <f ca="1">IFERROR(__xludf.DUMMYFUNCTION("""COMPUTED_VALUE"""),"0.05/100")</f>
        <v>0.05/100</v>
      </c>
      <c r="O114" s="5" t="str">
        <f ca="1">IFERROR(__xludf.DUMMYFUNCTION("""COMPUTED_VALUE"""),"No")</f>
        <v>No</v>
      </c>
      <c r="P114" s="5" t="str">
        <f ca="1">IFERROR(__xludf.DUMMYFUNCTION("""COMPUTED_VALUE"""),"Scatter, Expanding Wild, Wild Multiplier")</f>
        <v>Scatter, Expanding Wild, Wild Multiplier</v>
      </c>
      <c r="Q114" s="7" t="str">
        <f ca="1">IFERROR(__xludf.DUMMYFUNCTION("""COMPUTED_VALUE"""),"https://static.redstone.rs/games/double-wild-diamond/")</f>
        <v>https://static.redstone.rs/games/double-wild-diamond/</v>
      </c>
      <c r="R114" s="5" t="str">
        <f ca="1">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S11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4" s="5" t="str">
        <f ca="1">IFERROR(__xludf.DUMMYFUNCTION("""COMPUTED_VALUE"""),"Yes")</f>
        <v>Yes</v>
      </c>
      <c r="U114" s="5" t="str">
        <f ca="1">IFERROR(__xludf.DUMMYFUNCTION("""COMPUTED_VALUE"""),"Yes")</f>
        <v>Yes</v>
      </c>
      <c r="V114" s="5" t="str">
        <f ca="1">IFERROR(__xludf.DUMMYFUNCTION("""COMPUTED_VALUE"""),"No")</f>
        <v>No</v>
      </c>
      <c r="W114" s="5" t="str">
        <f ca="1">IFERROR(__xludf.DUMMYFUNCTION("""COMPUTED_VALUE"""),"Yes")</f>
        <v>Yes</v>
      </c>
      <c r="X114" s="5" t="str">
        <f ca="1">IFERROR(__xludf.DUMMYFUNCTION("""COMPUTED_VALUE"""),"Yes")</f>
        <v>Yes</v>
      </c>
      <c r="Y114" s="5" t="str">
        <f ca="1">IFERROR(__xludf.DUMMYFUNCTION("""COMPUTED_VALUE"""),"Yes")</f>
        <v>Yes</v>
      </c>
      <c r="Z114" s="5" t="str">
        <f ca="1">IFERROR(__xludf.DUMMYFUNCTION("""COMPUTED_VALUE"""),"Yes")</f>
        <v>Yes</v>
      </c>
      <c r="AA114" s="5" t="str">
        <f ca="1">IFERROR(__xludf.DUMMYFUNCTION("""COMPUTED_VALUE"""),"Yes")</f>
        <v>Yes</v>
      </c>
      <c r="AB114" s="5" t="str">
        <f ca="1">IFERROR(__xludf.DUMMYFUNCTION("""COMPUTED_VALUE"""),"Yes")</f>
        <v>Yes</v>
      </c>
      <c r="AC114" s="5" t="str">
        <f ca="1">IFERROR(__xludf.DUMMYFUNCTION("""COMPUTED_VALUE"""),"Yes")</f>
        <v>Yes</v>
      </c>
      <c r="AD114" s="5" t="str">
        <f ca="1">IFERROR(__xludf.DUMMYFUNCTION("""COMPUTED_VALUE"""),"Yes")</f>
        <v>Yes</v>
      </c>
      <c r="AE114" s="5" t="str">
        <f ca="1">IFERROR(__xludf.DUMMYFUNCTION("""COMPUTED_VALUE"""),"Yes")</f>
        <v>Yes</v>
      </c>
      <c r="AF114" s="5" t="str">
        <f ca="1">IFERROR(__xludf.DUMMYFUNCTION("""COMPUTED_VALUE"""),"Yes")</f>
        <v>Yes</v>
      </c>
      <c r="AG114" s="5" t="str">
        <f ca="1">IFERROR(__xludf.DUMMYFUNCTION("""COMPUTED_VALUE"""),"Yes")</f>
        <v>Yes</v>
      </c>
      <c r="AH114" s="5" t="str">
        <f ca="1">IFERROR(__xludf.DUMMYFUNCTION("""COMPUTED_VALUE"""),"Yes")</f>
        <v>Yes</v>
      </c>
      <c r="AI114" s="5" t="str">
        <f ca="1">IFERROR(__xludf.DUMMYFUNCTION("""COMPUTED_VALUE"""),"No")</f>
        <v>No</v>
      </c>
      <c r="AJ114" s="5" t="str">
        <f ca="1">IFERROR(__xludf.DUMMYFUNCTION("""COMPUTED_VALUE"""),"No")</f>
        <v>No</v>
      </c>
      <c r="AK114" s="5" t="str">
        <f ca="1">IFERROR(__xludf.DUMMYFUNCTION("""COMPUTED_VALUE"""),"No")</f>
        <v>No</v>
      </c>
      <c r="AL114" s="5" t="str">
        <f ca="1">IFERROR(__xludf.DUMMYFUNCTION("""COMPUTED_VALUE"""),"No")</f>
        <v>No</v>
      </c>
      <c r="AM114" s="5" t="str">
        <f ca="1">IFERROR(__xludf.DUMMYFUNCTION("""COMPUTED_VALUE"""),"No")</f>
        <v>No</v>
      </c>
      <c r="AN114" s="5" t="str">
        <f ca="1">IFERROR(__xludf.DUMMYFUNCTION("""COMPUTED_VALUE"""),"No")</f>
        <v>No</v>
      </c>
      <c r="AO114" s="5" t="str">
        <f ca="1">IFERROR(__xludf.DUMMYFUNCTION("""COMPUTED_VALUE"""),"Yes")</f>
        <v>Yes</v>
      </c>
      <c r="AP114" s="5" t="str">
        <f ca="1">IFERROR(__xludf.DUMMYFUNCTION("""COMPUTED_VALUE"""),"No")</f>
        <v>No</v>
      </c>
      <c r="AQ114" s="5" t="str">
        <f ca="1">IFERROR(__xludf.DUMMYFUNCTION("""COMPUTED_VALUE"""),"No")</f>
        <v>No</v>
      </c>
      <c r="AR114" s="5" t="str">
        <f ca="1">IFERROR(__xludf.DUMMYFUNCTION("""COMPUTED_VALUE"""),"No")</f>
        <v>No</v>
      </c>
      <c r="AS114" s="5" t="str">
        <f ca="1">IFERROR(__xludf.DUMMYFUNCTION("""COMPUTED_VALUE"""),"Yes")</f>
        <v>Yes</v>
      </c>
      <c r="AT114" s="5" t="str">
        <f ca="1">IFERROR(__xludf.DUMMYFUNCTION("""COMPUTED_VALUE"""),"No")</f>
        <v>No</v>
      </c>
      <c r="AU114" s="5"/>
    </row>
    <row r="115" spans="1:47" x14ac:dyDescent="0.25">
      <c r="A115" s="5" t="str">
        <f ca="1">IFERROR(__xludf.DUMMYFUNCTION("""COMPUTED_VALUE"""),"Redstone")</f>
        <v>Redstone</v>
      </c>
      <c r="B115" s="5" t="str">
        <f ca="1">IFERROR(__xludf.DUMMYFUNCTION("""COMPUTED_VALUE"""),"Respin Fortune")</f>
        <v>Respin Fortune</v>
      </c>
      <c r="C115" s="5" t="str">
        <f ca="1">IFERROR(__xludf.DUMMYFUNCTION("""COMPUTED_VALUE"""),"RedstoneRespinFortune")</f>
        <v>RedstoneRespinFortune</v>
      </c>
      <c r="D115" s="6">
        <f ca="1">IFERROR(__xludf.DUMMYFUNCTION("""COMPUTED_VALUE"""),46064)</f>
        <v>46064</v>
      </c>
      <c r="E115" s="5" t="str">
        <f ca="1">IFERROR(__xludf.DUMMYFUNCTION("""COMPUTED_VALUE"""),"Slot")</f>
        <v>Slot</v>
      </c>
      <c r="F115" s="5">
        <f ca="1">IFERROR(__xludf.DUMMYFUNCTION("""COMPUTED_VALUE"""),9)</f>
        <v>9</v>
      </c>
      <c r="G115" s="5" t="str">
        <f ca="1">IFERROR(__xludf.DUMMYFUNCTION("""COMPUTED_VALUE"""),"5x3")</f>
        <v>5x3</v>
      </c>
      <c r="H115" s="5">
        <f ca="1">IFERROR(__xludf.DUMMYFUNCTION("""COMPUTED_VALUE"""),5)</f>
        <v>5</v>
      </c>
      <c r="I115" s="5">
        <f ca="1">IFERROR(__xludf.DUMMYFUNCTION("""COMPUTED_VALUE"""),5)</f>
        <v>5</v>
      </c>
      <c r="J115" s="5" t="str">
        <f ca="1">IFERROR(__xludf.DUMMYFUNCTION("""COMPUTED_VALUE"""),"96.51%")</f>
        <v>96.51%</v>
      </c>
      <c r="K115" s="5" t="str">
        <f ca="1">IFERROR(__xludf.DUMMYFUNCTION("""COMPUTED_VALUE"""),"Medium")</f>
        <v>Medium</v>
      </c>
      <c r="L115" s="5" t="str">
        <f ca="1">IFERROR(__xludf.DUMMYFUNCTION("""COMPUTED_VALUE"""),"15.16%")</f>
        <v>15.16%</v>
      </c>
      <c r="M115" s="5" t="str">
        <f ca="1">IFERROR(__xludf.DUMMYFUNCTION("""COMPUTED_VALUE"""),"x1312")</f>
        <v>x1312</v>
      </c>
      <c r="N115" s="5" t="str">
        <f ca="1">IFERROR(__xludf.DUMMYFUNCTION("""COMPUTED_VALUE"""),"0.05/50")</f>
        <v>0.05/50</v>
      </c>
      <c r="O115" s="5" t="str">
        <f ca="1">IFERROR(__xludf.DUMMYFUNCTION("""COMPUTED_VALUE"""),"No")</f>
        <v>No</v>
      </c>
      <c r="P115" s="5" t="str">
        <f ca="1">IFERROR(__xludf.DUMMYFUNCTION("""COMPUTED_VALUE"""),"Expanding Wild, Scatter")</f>
        <v>Expanding Wild, Scatter</v>
      </c>
      <c r="Q115" s="7" t="str">
        <f ca="1">IFERROR(__xludf.DUMMYFUNCTION("""COMPUTED_VALUE"""),"https://static.redstone.rs/games/respin-fortune/")</f>
        <v>https://static.redstone.rs/games/respin-fortune/</v>
      </c>
      <c r="R115" s="5" t="str">
        <f ca="1">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S11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5" s="5" t="str">
        <f ca="1">IFERROR(__xludf.DUMMYFUNCTION("""COMPUTED_VALUE"""),"Yes")</f>
        <v>Yes</v>
      </c>
      <c r="U115" s="5" t="str">
        <f ca="1">IFERROR(__xludf.DUMMYFUNCTION("""COMPUTED_VALUE"""),"Yes")</f>
        <v>Yes</v>
      </c>
      <c r="V115" s="5" t="str">
        <f ca="1">IFERROR(__xludf.DUMMYFUNCTION("""COMPUTED_VALUE"""),"Yes")</f>
        <v>Yes</v>
      </c>
      <c r="W115" s="5" t="str">
        <f ca="1">IFERROR(__xludf.DUMMYFUNCTION("""COMPUTED_VALUE"""),"Yes")</f>
        <v>Yes</v>
      </c>
      <c r="X115" s="5" t="str">
        <f ca="1">IFERROR(__xludf.DUMMYFUNCTION("""COMPUTED_VALUE"""),"Yes")</f>
        <v>Yes</v>
      </c>
      <c r="Y115" s="5" t="str">
        <f ca="1">IFERROR(__xludf.DUMMYFUNCTION("""COMPUTED_VALUE"""),"Yes")</f>
        <v>Yes</v>
      </c>
      <c r="Z115" s="5" t="str">
        <f ca="1">IFERROR(__xludf.DUMMYFUNCTION("""COMPUTED_VALUE"""),"Yes")</f>
        <v>Yes</v>
      </c>
      <c r="AA115" s="5" t="str">
        <f ca="1">IFERROR(__xludf.DUMMYFUNCTION("""COMPUTED_VALUE"""),"Yes")</f>
        <v>Yes</v>
      </c>
      <c r="AB115" s="5" t="str">
        <f ca="1">IFERROR(__xludf.DUMMYFUNCTION("""COMPUTED_VALUE"""),"Yes")</f>
        <v>Yes</v>
      </c>
      <c r="AC115" s="5" t="str">
        <f ca="1">IFERROR(__xludf.DUMMYFUNCTION("""COMPUTED_VALUE"""),"Yes")</f>
        <v>Yes</v>
      </c>
      <c r="AD115" s="5" t="str">
        <f ca="1">IFERROR(__xludf.DUMMYFUNCTION("""COMPUTED_VALUE"""),"Yes")</f>
        <v>Yes</v>
      </c>
      <c r="AE115" s="5" t="str">
        <f ca="1">IFERROR(__xludf.DUMMYFUNCTION("""COMPUTED_VALUE"""),"Yes")</f>
        <v>Yes</v>
      </c>
      <c r="AF115" s="5" t="str">
        <f ca="1">IFERROR(__xludf.DUMMYFUNCTION("""COMPUTED_VALUE"""),"Yes")</f>
        <v>Yes</v>
      </c>
      <c r="AG115" s="5" t="str">
        <f ca="1">IFERROR(__xludf.DUMMYFUNCTION("""COMPUTED_VALUE"""),"Yes")</f>
        <v>Yes</v>
      </c>
      <c r="AH115" s="5" t="str">
        <f ca="1">IFERROR(__xludf.DUMMYFUNCTION("""COMPUTED_VALUE"""),"Yes")</f>
        <v>Yes</v>
      </c>
      <c r="AI115" s="5" t="str">
        <f ca="1">IFERROR(__xludf.DUMMYFUNCTION("""COMPUTED_VALUE"""),"No")</f>
        <v>No</v>
      </c>
      <c r="AJ115" s="5" t="str">
        <f ca="1">IFERROR(__xludf.DUMMYFUNCTION("""COMPUTED_VALUE"""),"No")</f>
        <v>No</v>
      </c>
      <c r="AK115" s="5" t="str">
        <f ca="1">IFERROR(__xludf.DUMMYFUNCTION("""COMPUTED_VALUE"""),"No")</f>
        <v>No</v>
      </c>
      <c r="AL115" s="5" t="str">
        <f ca="1">IFERROR(__xludf.DUMMYFUNCTION("""COMPUTED_VALUE"""),"No")</f>
        <v>No</v>
      </c>
      <c r="AM115" s="5" t="str">
        <f ca="1">IFERROR(__xludf.DUMMYFUNCTION("""COMPUTED_VALUE"""),"No")</f>
        <v>No</v>
      </c>
      <c r="AN115" s="5" t="str">
        <f ca="1">IFERROR(__xludf.DUMMYFUNCTION("""COMPUTED_VALUE"""),"No")</f>
        <v>No</v>
      </c>
      <c r="AO115" s="5" t="str">
        <f ca="1">IFERROR(__xludf.DUMMYFUNCTION("""COMPUTED_VALUE"""),"Yes")</f>
        <v>Yes</v>
      </c>
      <c r="AP115" s="5" t="str">
        <f ca="1">IFERROR(__xludf.DUMMYFUNCTION("""COMPUTED_VALUE"""),"No")</f>
        <v>No</v>
      </c>
      <c r="AQ115" s="5" t="str">
        <f ca="1">IFERROR(__xludf.DUMMYFUNCTION("""COMPUTED_VALUE"""),"No")</f>
        <v>No</v>
      </c>
      <c r="AR115" s="5" t="str">
        <f ca="1">IFERROR(__xludf.DUMMYFUNCTION("""COMPUTED_VALUE"""),"No")</f>
        <v>No</v>
      </c>
      <c r="AS115" s="5" t="str">
        <f ca="1">IFERROR(__xludf.DUMMYFUNCTION("""COMPUTED_VALUE"""),"Yes")</f>
        <v>Yes</v>
      </c>
      <c r="AT115" s="5" t="str">
        <f ca="1">IFERROR(__xludf.DUMMYFUNCTION("""COMPUTED_VALUE"""),"No")</f>
        <v>No</v>
      </c>
      <c r="AU115" s="5"/>
    </row>
    <row r="116" spans="1:47" x14ac:dyDescent="0.25">
      <c r="A116" s="5" t="str">
        <f ca="1">IFERROR(__xludf.DUMMYFUNCTION("""COMPUTED_VALUE"""),"Redstone")</f>
        <v>Redstone</v>
      </c>
      <c r="B116" s="5" t="str">
        <f ca="1">IFERROR(__xludf.DUMMYFUNCTION("""COMPUTED_VALUE"""),"Multi Clover 5")</f>
        <v>Multi Clover 5</v>
      </c>
      <c r="C116" s="5" t="str">
        <f ca="1">IFERROR(__xludf.DUMMYFUNCTION("""COMPUTED_VALUE"""),"RedstoneMultiClover5")</f>
        <v>RedstoneMultiClover5</v>
      </c>
      <c r="D116" s="6">
        <f ca="1">IFERROR(__xludf.DUMMYFUNCTION("""COMPUTED_VALUE"""),46066)</f>
        <v>46066</v>
      </c>
      <c r="E116" s="5" t="str">
        <f ca="1">IFERROR(__xludf.DUMMYFUNCTION("""COMPUTED_VALUE"""),"Slot")</f>
        <v>Slot</v>
      </c>
      <c r="F116" s="5">
        <f ca="1">IFERROR(__xludf.DUMMYFUNCTION("""COMPUTED_VALUE"""),9)</f>
        <v>9</v>
      </c>
      <c r="G116" s="5" t="str">
        <f ca="1">IFERROR(__xludf.DUMMYFUNCTION("""COMPUTED_VALUE"""),"5x3")</f>
        <v>5x3</v>
      </c>
      <c r="H116" s="5">
        <f ca="1">IFERROR(__xludf.DUMMYFUNCTION("""COMPUTED_VALUE"""),5)</f>
        <v>5</v>
      </c>
      <c r="I116" s="5">
        <f ca="1">IFERROR(__xludf.DUMMYFUNCTION("""COMPUTED_VALUE"""),5)</f>
        <v>5</v>
      </c>
      <c r="J116" s="5" t="str">
        <f ca="1">IFERROR(__xludf.DUMMYFUNCTION("""COMPUTED_VALUE"""),"96.96%")</f>
        <v>96.96%</v>
      </c>
      <c r="K116" s="5" t="str">
        <f ca="1">IFERROR(__xludf.DUMMYFUNCTION("""COMPUTED_VALUE"""),"Medium")</f>
        <v>Medium</v>
      </c>
      <c r="L116" s="5" t="str">
        <f ca="1">IFERROR(__xludf.DUMMYFUNCTION("""COMPUTED_VALUE"""),"10.7%")</f>
        <v>10.7%</v>
      </c>
      <c r="M116" s="5" t="str">
        <f ca="1">IFERROR(__xludf.DUMMYFUNCTION("""COMPUTED_VALUE"""),"x2150")</f>
        <v>x2150</v>
      </c>
      <c r="N116" s="5" t="str">
        <f ca="1">IFERROR(__xludf.DUMMYFUNCTION("""COMPUTED_VALUE"""),"0.05/30")</f>
        <v>0.05/30</v>
      </c>
      <c r="O116" s="5" t="str">
        <f ca="1">IFERROR(__xludf.DUMMYFUNCTION("""COMPUTED_VALUE"""),"No")</f>
        <v>No</v>
      </c>
      <c r="P116" s="5" t="str">
        <f ca="1">IFERROR(__xludf.DUMMYFUNCTION("""COMPUTED_VALUE"""),"Expanding Wild, Wild Multiplier")</f>
        <v>Expanding Wild, Wild Multiplier</v>
      </c>
      <c r="Q116" s="7" t="str">
        <f ca="1">IFERROR(__xludf.DUMMYFUNCTION("""COMPUTED_VALUE"""),"https://static.redstone.rs/games/multi-clover-5/")</f>
        <v>https://static.redstone.rs/games/multi-clover-5/</v>
      </c>
      <c r="R116" s="5" t="str">
        <f ca="1">IFERROR(__xludf.DUMMYFUNCTION("""COMPUTED_VALUE"""),"Spin into a world of clovers and magic with Multi Clover 5. One clover can change everything - watch as expanding wilds boost your winnings with x2, x3 or x5 multipliers! ")</f>
        <v xml:space="preserve">Spin into a world of clovers and magic with Multi Clover 5. One clover can change everything - watch as expanding wilds boost your winnings with x2, x3 or x5 multipliers! </v>
      </c>
      <c r="S11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6" s="5" t="str">
        <f ca="1">IFERROR(__xludf.DUMMYFUNCTION("""COMPUTED_VALUE"""),"Yes")</f>
        <v>Yes</v>
      </c>
      <c r="U116" s="5" t="str">
        <f ca="1">IFERROR(__xludf.DUMMYFUNCTION("""COMPUTED_VALUE"""),"Yes")</f>
        <v>Yes</v>
      </c>
      <c r="V116" s="5" t="str">
        <f ca="1">IFERROR(__xludf.DUMMYFUNCTION("""COMPUTED_VALUE"""),"No")</f>
        <v>No</v>
      </c>
      <c r="W116" s="5" t="str">
        <f ca="1">IFERROR(__xludf.DUMMYFUNCTION("""COMPUTED_VALUE"""),"Yes")</f>
        <v>Yes</v>
      </c>
      <c r="X116" s="5" t="str">
        <f ca="1">IFERROR(__xludf.DUMMYFUNCTION("""COMPUTED_VALUE"""),"Yes")</f>
        <v>Yes</v>
      </c>
      <c r="Y116" s="5" t="str">
        <f ca="1">IFERROR(__xludf.DUMMYFUNCTION("""COMPUTED_VALUE"""),"Yes")</f>
        <v>Yes</v>
      </c>
      <c r="Z116" s="5" t="str">
        <f ca="1">IFERROR(__xludf.DUMMYFUNCTION("""COMPUTED_VALUE"""),"Yes")</f>
        <v>Yes</v>
      </c>
      <c r="AA116" s="5" t="str">
        <f ca="1">IFERROR(__xludf.DUMMYFUNCTION("""COMPUTED_VALUE"""),"Yes")</f>
        <v>Yes</v>
      </c>
      <c r="AB116" s="5" t="str">
        <f ca="1">IFERROR(__xludf.DUMMYFUNCTION("""COMPUTED_VALUE"""),"Yes")</f>
        <v>Yes</v>
      </c>
      <c r="AC116" s="5" t="str">
        <f ca="1">IFERROR(__xludf.DUMMYFUNCTION("""COMPUTED_VALUE"""),"Yes")</f>
        <v>Yes</v>
      </c>
      <c r="AD116" s="5" t="str">
        <f ca="1">IFERROR(__xludf.DUMMYFUNCTION("""COMPUTED_VALUE"""),"Yes")</f>
        <v>Yes</v>
      </c>
      <c r="AE116" s="5" t="str">
        <f ca="1">IFERROR(__xludf.DUMMYFUNCTION("""COMPUTED_VALUE"""),"Yes")</f>
        <v>Yes</v>
      </c>
      <c r="AF116" s="5" t="str">
        <f ca="1">IFERROR(__xludf.DUMMYFUNCTION("""COMPUTED_VALUE"""),"Yes")</f>
        <v>Yes</v>
      </c>
      <c r="AG116" s="5" t="str">
        <f ca="1">IFERROR(__xludf.DUMMYFUNCTION("""COMPUTED_VALUE"""),"Yes")</f>
        <v>Yes</v>
      </c>
      <c r="AH116" s="5" t="str">
        <f ca="1">IFERROR(__xludf.DUMMYFUNCTION("""COMPUTED_VALUE"""),"Yes")</f>
        <v>Yes</v>
      </c>
      <c r="AI116" s="5" t="str">
        <f ca="1">IFERROR(__xludf.DUMMYFUNCTION("""COMPUTED_VALUE"""),"No")</f>
        <v>No</v>
      </c>
      <c r="AJ116" s="5" t="str">
        <f ca="1">IFERROR(__xludf.DUMMYFUNCTION("""COMPUTED_VALUE"""),"No")</f>
        <v>No</v>
      </c>
      <c r="AK116" s="5" t="str">
        <f ca="1">IFERROR(__xludf.DUMMYFUNCTION("""COMPUTED_VALUE"""),"No")</f>
        <v>No</v>
      </c>
      <c r="AL116" s="5" t="str">
        <f ca="1">IFERROR(__xludf.DUMMYFUNCTION("""COMPUTED_VALUE"""),"No")</f>
        <v>No</v>
      </c>
      <c r="AM116" s="5" t="str">
        <f ca="1">IFERROR(__xludf.DUMMYFUNCTION("""COMPUTED_VALUE"""),"No")</f>
        <v>No</v>
      </c>
      <c r="AN116" s="5" t="str">
        <f ca="1">IFERROR(__xludf.DUMMYFUNCTION("""COMPUTED_VALUE"""),"No")</f>
        <v>No</v>
      </c>
      <c r="AO116" s="5" t="str">
        <f ca="1">IFERROR(__xludf.DUMMYFUNCTION("""COMPUTED_VALUE"""),"Yes")</f>
        <v>Yes</v>
      </c>
      <c r="AP116" s="5" t="str">
        <f ca="1">IFERROR(__xludf.DUMMYFUNCTION("""COMPUTED_VALUE"""),"No")</f>
        <v>No</v>
      </c>
      <c r="AQ116" s="5" t="str">
        <f ca="1">IFERROR(__xludf.DUMMYFUNCTION("""COMPUTED_VALUE"""),"No")</f>
        <v>No</v>
      </c>
      <c r="AR116" s="5" t="str">
        <f ca="1">IFERROR(__xludf.DUMMYFUNCTION("""COMPUTED_VALUE"""),"No")</f>
        <v>No</v>
      </c>
      <c r="AS116" s="5" t="str">
        <f ca="1">IFERROR(__xludf.DUMMYFUNCTION("""COMPUTED_VALUE"""),"Yes")</f>
        <v>Yes</v>
      </c>
      <c r="AT116" s="5" t="str">
        <f ca="1">IFERROR(__xludf.DUMMYFUNCTION("""COMPUTED_VALUE"""),"No")</f>
        <v>No</v>
      </c>
      <c r="AU116" s="5"/>
    </row>
    <row r="117" spans="1:47" x14ac:dyDescent="0.25">
      <c r="A117" s="5" t="str">
        <f ca="1">IFERROR(__xludf.DUMMYFUNCTION("""COMPUTED_VALUE"""),"Redstone")</f>
        <v>Redstone</v>
      </c>
      <c r="B117" s="5" t="str">
        <f ca="1">IFERROR(__xludf.DUMMYFUNCTION("""COMPUTED_VALUE"""),"Joker X5")</f>
        <v>Joker X5</v>
      </c>
      <c r="C117" s="5" t="str">
        <f ca="1">IFERROR(__xludf.DUMMYFUNCTION("""COMPUTED_VALUE"""),"RedstoneJokerX5")</f>
        <v>RedstoneJokerX5</v>
      </c>
      <c r="D117" s="6">
        <f ca="1">IFERROR(__xludf.DUMMYFUNCTION("""COMPUTED_VALUE"""),46076)</f>
        <v>46076</v>
      </c>
      <c r="E117" s="5" t="str">
        <f ca="1">IFERROR(__xludf.DUMMYFUNCTION("""COMPUTED_VALUE"""),"Slot")</f>
        <v>Slot</v>
      </c>
      <c r="F117" s="5">
        <f ca="1">IFERROR(__xludf.DUMMYFUNCTION("""COMPUTED_VALUE"""),8)</f>
        <v>8</v>
      </c>
      <c r="G117" s="5" t="str">
        <f ca="1">IFERROR(__xludf.DUMMYFUNCTION("""COMPUTED_VALUE"""),"3x3")</f>
        <v>3x3</v>
      </c>
      <c r="H117" s="5">
        <f ca="1">IFERROR(__xludf.DUMMYFUNCTION("""COMPUTED_VALUE"""),5)</f>
        <v>5</v>
      </c>
      <c r="I117" s="5">
        <f ca="1">IFERROR(__xludf.DUMMYFUNCTION("""COMPUTED_VALUE"""),5)</f>
        <v>5</v>
      </c>
      <c r="J117" s="5" t="str">
        <f ca="1">IFERROR(__xludf.DUMMYFUNCTION("""COMPUTED_VALUE"""),"96.53%")</f>
        <v>96.53%</v>
      </c>
      <c r="K117" s="5" t="str">
        <f ca="1">IFERROR(__xludf.DUMMYFUNCTION("""COMPUTED_VALUE"""),"Medium")</f>
        <v>Medium</v>
      </c>
      <c r="L117" s="5" t="str">
        <f ca="1">IFERROR(__xludf.DUMMYFUNCTION("""COMPUTED_VALUE"""),"16.49%")</f>
        <v>16.49%</v>
      </c>
      <c r="M117" s="5" t="str">
        <f ca="1">IFERROR(__xludf.DUMMYFUNCTION("""COMPUTED_VALUE"""),"x900")</f>
        <v>x900</v>
      </c>
      <c r="N117" s="5" t="str">
        <f ca="1">IFERROR(__xludf.DUMMYFUNCTION("""COMPUTED_VALUE"""),"0.10/50")</f>
        <v>0.10/50</v>
      </c>
      <c r="O117" s="5" t="str">
        <f ca="1">IFERROR(__xludf.DUMMYFUNCTION("""COMPUTED_VALUE"""),"No")</f>
        <v>No</v>
      </c>
      <c r="P117" s="5" t="str">
        <f ca="1">IFERROR(__xludf.DUMMYFUNCTION("""COMPUTED_VALUE"""),"Expanding Wild, Wild Multiplier")</f>
        <v>Expanding Wild, Wild Multiplier</v>
      </c>
      <c r="Q117" s="7" t="str">
        <f ca="1">IFERROR(__xludf.DUMMYFUNCTION("""COMPUTED_VALUE"""),"https://static.redstone.rs/games/joker-x5/")</f>
        <v>https://static.redstone.rs/games/joker-x5/</v>
      </c>
      <c r="R117" s="5" t="str">
        <f ca="1">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S11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7" s="5" t="str">
        <f ca="1">IFERROR(__xludf.DUMMYFUNCTION("""COMPUTED_VALUE"""),"Yes")</f>
        <v>Yes</v>
      </c>
      <c r="U117" s="5" t="str">
        <f ca="1">IFERROR(__xludf.DUMMYFUNCTION("""COMPUTED_VALUE"""),"Yes")</f>
        <v>Yes</v>
      </c>
      <c r="V117" s="5" t="str">
        <f ca="1">IFERROR(__xludf.DUMMYFUNCTION("""COMPUTED_VALUE"""),"Yes")</f>
        <v>Yes</v>
      </c>
      <c r="W117" s="5" t="str">
        <f ca="1">IFERROR(__xludf.DUMMYFUNCTION("""COMPUTED_VALUE"""),"Yes")</f>
        <v>Yes</v>
      </c>
      <c r="X117" s="5" t="str">
        <f ca="1">IFERROR(__xludf.DUMMYFUNCTION("""COMPUTED_VALUE"""),"Yes")</f>
        <v>Yes</v>
      </c>
      <c r="Y117" s="5" t="str">
        <f ca="1">IFERROR(__xludf.DUMMYFUNCTION("""COMPUTED_VALUE"""),"Yes")</f>
        <v>Yes</v>
      </c>
      <c r="Z117" s="5" t="str">
        <f ca="1">IFERROR(__xludf.DUMMYFUNCTION("""COMPUTED_VALUE"""),"Yes")</f>
        <v>Yes</v>
      </c>
      <c r="AA117" s="5" t="str">
        <f ca="1">IFERROR(__xludf.DUMMYFUNCTION("""COMPUTED_VALUE"""),"Yes")</f>
        <v>Yes</v>
      </c>
      <c r="AB117" s="5" t="str">
        <f ca="1">IFERROR(__xludf.DUMMYFUNCTION("""COMPUTED_VALUE"""),"Yes")</f>
        <v>Yes</v>
      </c>
      <c r="AC117" s="5" t="str">
        <f ca="1">IFERROR(__xludf.DUMMYFUNCTION("""COMPUTED_VALUE"""),"Yes")</f>
        <v>Yes</v>
      </c>
      <c r="AD117" s="5" t="str">
        <f ca="1">IFERROR(__xludf.DUMMYFUNCTION("""COMPUTED_VALUE"""),"Yes")</f>
        <v>Yes</v>
      </c>
      <c r="AE117" s="5" t="str">
        <f ca="1">IFERROR(__xludf.DUMMYFUNCTION("""COMPUTED_VALUE"""),"Yes")</f>
        <v>Yes</v>
      </c>
      <c r="AF117" s="5" t="str">
        <f ca="1">IFERROR(__xludf.DUMMYFUNCTION("""COMPUTED_VALUE"""),"Yes")</f>
        <v>Yes</v>
      </c>
      <c r="AG117" s="5" t="str">
        <f ca="1">IFERROR(__xludf.DUMMYFUNCTION("""COMPUTED_VALUE"""),"Yes")</f>
        <v>Yes</v>
      </c>
      <c r="AH117" s="5" t="str">
        <f ca="1">IFERROR(__xludf.DUMMYFUNCTION("""COMPUTED_VALUE"""),"Yes")</f>
        <v>Yes</v>
      </c>
      <c r="AI117" s="5" t="str">
        <f ca="1">IFERROR(__xludf.DUMMYFUNCTION("""COMPUTED_VALUE"""),"No")</f>
        <v>No</v>
      </c>
      <c r="AJ117" s="5" t="str">
        <f ca="1">IFERROR(__xludf.DUMMYFUNCTION("""COMPUTED_VALUE"""),"No")</f>
        <v>No</v>
      </c>
      <c r="AK117" s="5" t="str">
        <f ca="1">IFERROR(__xludf.DUMMYFUNCTION("""COMPUTED_VALUE"""),"No")</f>
        <v>No</v>
      </c>
      <c r="AL117" s="5" t="str">
        <f ca="1">IFERROR(__xludf.DUMMYFUNCTION("""COMPUTED_VALUE"""),"No")</f>
        <v>No</v>
      </c>
      <c r="AM117" s="5" t="str">
        <f ca="1">IFERROR(__xludf.DUMMYFUNCTION("""COMPUTED_VALUE"""),"No")</f>
        <v>No</v>
      </c>
      <c r="AN117" s="5" t="str">
        <f ca="1">IFERROR(__xludf.DUMMYFUNCTION("""COMPUTED_VALUE"""),"No")</f>
        <v>No</v>
      </c>
      <c r="AO117" s="5" t="str">
        <f ca="1">IFERROR(__xludf.DUMMYFUNCTION("""COMPUTED_VALUE"""),"Yes")</f>
        <v>Yes</v>
      </c>
      <c r="AP117" s="5" t="str">
        <f ca="1">IFERROR(__xludf.DUMMYFUNCTION("""COMPUTED_VALUE"""),"No")</f>
        <v>No</v>
      </c>
      <c r="AQ117" s="5" t="str">
        <f ca="1">IFERROR(__xludf.DUMMYFUNCTION("""COMPUTED_VALUE"""),"No")</f>
        <v>No</v>
      </c>
      <c r="AR117" s="5" t="str">
        <f ca="1">IFERROR(__xludf.DUMMYFUNCTION("""COMPUTED_VALUE"""),"No")</f>
        <v>No</v>
      </c>
      <c r="AS117" s="5" t="str">
        <f ca="1">IFERROR(__xludf.DUMMYFUNCTION("""COMPUTED_VALUE"""),"Yes")</f>
        <v>Yes</v>
      </c>
      <c r="AT117" s="5" t="str">
        <f ca="1">IFERROR(__xludf.DUMMYFUNCTION("""COMPUTED_VALUE"""),"No")</f>
        <v>No</v>
      </c>
      <c r="AU117" s="5"/>
    </row>
    <row r="118" spans="1:47" x14ac:dyDescent="0.25">
      <c r="A118" s="5" t="str">
        <f ca="1">IFERROR(__xludf.DUMMYFUNCTION("""COMPUTED_VALUE"""),"Redstone")</f>
        <v>Redstone</v>
      </c>
      <c r="B118" s="5" t="str">
        <f ca="1">IFERROR(__xludf.DUMMYFUNCTION("""COMPUTED_VALUE"""),"Clover Rush 5")</f>
        <v>Clover Rush 5</v>
      </c>
      <c r="C118" s="5" t="str">
        <f ca="1">IFERROR(__xludf.DUMMYFUNCTION("""COMPUTED_VALUE"""),"RedstoneCloverRush5")</f>
        <v>RedstoneCloverRush5</v>
      </c>
      <c r="D118" s="6">
        <f ca="1">IFERROR(__xludf.DUMMYFUNCTION("""COMPUTED_VALUE"""),46086)</f>
        <v>46086</v>
      </c>
      <c r="E118" s="5" t="str">
        <f ca="1">IFERROR(__xludf.DUMMYFUNCTION("""COMPUTED_VALUE"""),"Slot")</f>
        <v>Slot</v>
      </c>
      <c r="F118" s="5">
        <f ca="1">IFERROR(__xludf.DUMMYFUNCTION("""COMPUTED_VALUE"""),10)</f>
        <v>10</v>
      </c>
      <c r="G118" s="5" t="str">
        <f ca="1">IFERROR(__xludf.DUMMYFUNCTION("""COMPUTED_VALUE"""),"5x3")</f>
        <v>5x3</v>
      </c>
      <c r="H118" s="5">
        <f ca="1">IFERROR(__xludf.DUMMYFUNCTION("""COMPUTED_VALUE"""),5)</f>
        <v>5</v>
      </c>
      <c r="I118" s="5">
        <f ca="1">IFERROR(__xludf.DUMMYFUNCTION("""COMPUTED_VALUE"""),5)</f>
        <v>5</v>
      </c>
      <c r="J118" s="5" t="str">
        <f ca="1">IFERROR(__xludf.DUMMYFUNCTION("""COMPUTED_VALUE"""),"96.35%")</f>
        <v>96.35%</v>
      </c>
      <c r="K118" s="5" t="str">
        <f ca="1">IFERROR(__xludf.DUMMYFUNCTION("""COMPUTED_VALUE"""),"Medium")</f>
        <v>Medium</v>
      </c>
      <c r="L118" s="5" t="str">
        <f ca="1">IFERROR(__xludf.DUMMYFUNCTION("""COMPUTED_VALUE"""),"11.36%")</f>
        <v>11.36%</v>
      </c>
      <c r="M118" s="5" t="str">
        <f ca="1">IFERROR(__xludf.DUMMYFUNCTION("""COMPUTED_VALUE"""),"x2000")</f>
        <v>x2000</v>
      </c>
      <c r="N118" s="5" t="str">
        <f ca="1">IFERROR(__xludf.DUMMYFUNCTION("""COMPUTED_VALUE"""),"0.10/50")</f>
        <v>0.10/50</v>
      </c>
      <c r="O118" s="5" t="str">
        <f ca="1">IFERROR(__xludf.DUMMYFUNCTION("""COMPUTED_VALUE"""),"No")</f>
        <v>No</v>
      </c>
      <c r="P118" s="5" t="str">
        <f ca="1">IFERROR(__xludf.DUMMYFUNCTION("""COMPUTED_VALUE"""),"Win Multiplier, Expanding Wild")</f>
        <v>Win Multiplier, Expanding Wild</v>
      </c>
      <c r="Q118" s="7" t="str">
        <f ca="1">IFERROR(__xludf.DUMMYFUNCTION("""COMPUTED_VALUE"""),"https://static.redstone.rs/games/clover-rush-5/")</f>
        <v>https://static.redstone.rs/games/clover-rush-5/</v>
      </c>
      <c r="R118" s="5" t="str">
        <f ca="1">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S11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8" s="5" t="str">
        <f ca="1">IFERROR(__xludf.DUMMYFUNCTION("""COMPUTED_VALUE"""),"Yes")</f>
        <v>Yes</v>
      </c>
      <c r="U118" s="5" t="str">
        <f ca="1">IFERROR(__xludf.DUMMYFUNCTION("""COMPUTED_VALUE"""),"Yes")</f>
        <v>Yes</v>
      </c>
      <c r="V118" s="5" t="str">
        <f ca="1">IFERROR(__xludf.DUMMYFUNCTION("""COMPUTED_VALUE"""),"No")</f>
        <v>No</v>
      </c>
      <c r="W118" s="5" t="str">
        <f ca="1">IFERROR(__xludf.DUMMYFUNCTION("""COMPUTED_VALUE"""),"Yes")</f>
        <v>Yes</v>
      </c>
      <c r="X118" s="5" t="str">
        <f ca="1">IFERROR(__xludf.DUMMYFUNCTION("""COMPUTED_VALUE"""),"Yes")</f>
        <v>Yes</v>
      </c>
      <c r="Y118" s="5" t="str">
        <f ca="1">IFERROR(__xludf.DUMMYFUNCTION("""COMPUTED_VALUE"""),"Yes")</f>
        <v>Yes</v>
      </c>
      <c r="Z118" s="5" t="str">
        <f ca="1">IFERROR(__xludf.DUMMYFUNCTION("""COMPUTED_VALUE"""),"Yes")</f>
        <v>Yes</v>
      </c>
      <c r="AA118" s="5" t="str">
        <f ca="1">IFERROR(__xludf.DUMMYFUNCTION("""COMPUTED_VALUE"""),"Yes")</f>
        <v>Yes</v>
      </c>
      <c r="AB118" s="5" t="str">
        <f ca="1">IFERROR(__xludf.DUMMYFUNCTION("""COMPUTED_VALUE"""),"Yes")</f>
        <v>Yes</v>
      </c>
      <c r="AC118" s="5" t="str">
        <f ca="1">IFERROR(__xludf.DUMMYFUNCTION("""COMPUTED_VALUE"""),"Yes")</f>
        <v>Yes</v>
      </c>
      <c r="AD118" s="5" t="str">
        <f ca="1">IFERROR(__xludf.DUMMYFUNCTION("""COMPUTED_VALUE"""),"Yes")</f>
        <v>Yes</v>
      </c>
      <c r="AE118" s="5" t="str">
        <f ca="1">IFERROR(__xludf.DUMMYFUNCTION("""COMPUTED_VALUE"""),"Yes")</f>
        <v>Yes</v>
      </c>
      <c r="AF118" s="5" t="str">
        <f ca="1">IFERROR(__xludf.DUMMYFUNCTION("""COMPUTED_VALUE"""),"Yes")</f>
        <v>Yes</v>
      </c>
      <c r="AG118" s="5" t="str">
        <f ca="1">IFERROR(__xludf.DUMMYFUNCTION("""COMPUTED_VALUE"""),"Yes")</f>
        <v>Yes</v>
      </c>
      <c r="AH118" s="5" t="str">
        <f ca="1">IFERROR(__xludf.DUMMYFUNCTION("""COMPUTED_VALUE"""),"Yes")</f>
        <v>Yes</v>
      </c>
      <c r="AI118" s="5" t="str">
        <f ca="1">IFERROR(__xludf.DUMMYFUNCTION("""COMPUTED_VALUE"""),"No")</f>
        <v>No</v>
      </c>
      <c r="AJ118" s="5" t="str">
        <f ca="1">IFERROR(__xludf.DUMMYFUNCTION("""COMPUTED_VALUE"""),"No")</f>
        <v>No</v>
      </c>
      <c r="AK118" s="5" t="str">
        <f ca="1">IFERROR(__xludf.DUMMYFUNCTION("""COMPUTED_VALUE"""),"No")</f>
        <v>No</v>
      </c>
      <c r="AL118" s="5" t="str">
        <f ca="1">IFERROR(__xludf.DUMMYFUNCTION("""COMPUTED_VALUE"""),"No")</f>
        <v>No</v>
      </c>
      <c r="AM118" s="5" t="str">
        <f ca="1">IFERROR(__xludf.DUMMYFUNCTION("""COMPUTED_VALUE"""),"No")</f>
        <v>No</v>
      </c>
      <c r="AN118" s="5" t="str">
        <f ca="1">IFERROR(__xludf.DUMMYFUNCTION("""COMPUTED_VALUE"""),"No")</f>
        <v>No</v>
      </c>
      <c r="AO118" s="5" t="str">
        <f ca="1">IFERROR(__xludf.DUMMYFUNCTION("""COMPUTED_VALUE"""),"Yes")</f>
        <v>Yes</v>
      </c>
      <c r="AP118" s="5" t="str">
        <f ca="1">IFERROR(__xludf.DUMMYFUNCTION("""COMPUTED_VALUE"""),"No")</f>
        <v>No</v>
      </c>
      <c r="AQ118" s="5" t="str">
        <f ca="1">IFERROR(__xludf.DUMMYFUNCTION("""COMPUTED_VALUE"""),"No")</f>
        <v>No</v>
      </c>
      <c r="AR118" s="5" t="str">
        <f ca="1">IFERROR(__xludf.DUMMYFUNCTION("""COMPUTED_VALUE"""),"No")</f>
        <v>No</v>
      </c>
      <c r="AS118" s="5" t="str">
        <f ca="1">IFERROR(__xludf.DUMMYFUNCTION("""COMPUTED_VALUE"""),"Yes")</f>
        <v>Yes</v>
      </c>
      <c r="AT118" s="5" t="str">
        <f ca="1">IFERROR(__xludf.DUMMYFUNCTION("""COMPUTED_VALUE"""),"No")</f>
        <v>No</v>
      </c>
      <c r="AU118" s="5"/>
    </row>
    <row r="119" spans="1:47" x14ac:dyDescent="0.25">
      <c r="A119" s="5" t="str">
        <f ca="1">IFERROR(__xludf.DUMMYFUNCTION("""COMPUTED_VALUE"""),"Redstone")</f>
        <v>Redstone</v>
      </c>
      <c r="B119" s="5" t="str">
        <f ca="1">IFERROR(__xludf.DUMMYFUNCTION("""COMPUTED_VALUE"""),"5 Bell Fire")</f>
        <v>5 Bell Fire</v>
      </c>
      <c r="C119" s="5" t="str">
        <f ca="1">IFERROR(__xludf.DUMMYFUNCTION("""COMPUTED_VALUE"""),"Redstone5BellFire")</f>
        <v>Redstone5BellFire</v>
      </c>
      <c r="D119" s="6">
        <f ca="1">IFERROR(__xludf.DUMMYFUNCTION("""COMPUTED_VALUE"""),46091)</f>
        <v>46091</v>
      </c>
      <c r="E119" s="5" t="str">
        <f ca="1">IFERROR(__xludf.DUMMYFUNCTION("""COMPUTED_VALUE"""),"Slot")</f>
        <v>Slot</v>
      </c>
      <c r="F119" s="5">
        <f ca="1">IFERROR(__xludf.DUMMYFUNCTION("""COMPUTED_VALUE"""),8.8)</f>
        <v>8.8000000000000007</v>
      </c>
      <c r="G119" s="5" t="str">
        <f ca="1">IFERROR(__xludf.DUMMYFUNCTION("""COMPUTED_VALUE"""),"5x3")</f>
        <v>5x3</v>
      </c>
      <c r="H119" s="5">
        <f ca="1">IFERROR(__xludf.DUMMYFUNCTION("""COMPUTED_VALUE"""),5)</f>
        <v>5</v>
      </c>
      <c r="I119" s="5">
        <f ca="1">IFERROR(__xludf.DUMMYFUNCTION("""COMPUTED_VALUE"""),5)</f>
        <v>5</v>
      </c>
      <c r="J119" s="5" t="str">
        <f ca="1">IFERROR(__xludf.DUMMYFUNCTION("""COMPUTED_VALUE"""),"96.45%")</f>
        <v>96.45%</v>
      </c>
      <c r="K119" s="5" t="str">
        <f ca="1">IFERROR(__xludf.DUMMYFUNCTION("""COMPUTED_VALUE"""),"Medium")</f>
        <v>Medium</v>
      </c>
      <c r="L119" s="5" t="str">
        <f ca="1">IFERROR(__xludf.DUMMYFUNCTION("""COMPUTED_VALUE"""),"14.5%")</f>
        <v>14.5%</v>
      </c>
      <c r="M119" s="5" t="str">
        <f ca="1">IFERROR(__xludf.DUMMYFUNCTION("""COMPUTED_VALUE"""),"x1222")</f>
        <v>x1222</v>
      </c>
      <c r="N119" s="5" t="str">
        <f ca="1">IFERROR(__xludf.DUMMYFUNCTION("""COMPUTED_VALUE"""),"0.05/30")</f>
        <v>0.05/30</v>
      </c>
      <c r="O119" s="5" t="str">
        <f ca="1">IFERROR(__xludf.DUMMYFUNCTION("""COMPUTED_VALUE"""),"No")</f>
        <v>No</v>
      </c>
      <c r="P119" s="5" t="str">
        <f ca="1">IFERROR(__xludf.DUMMYFUNCTION("""COMPUTED_VALUE"""),"Expanding Wild, Scatter")</f>
        <v>Expanding Wild, Scatter</v>
      </c>
      <c r="Q119" s="7" t="str">
        <f ca="1">IFERROR(__xludf.DUMMYFUNCTION("""COMPUTED_VALUE"""),"https://static.redstone.rs/games/5-bell-fire/")</f>
        <v>https://static.redstone.rs/games/5-bell-fire/</v>
      </c>
      <c r="R119" s="5" t="str">
        <f ca="1">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S11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9" s="5" t="str">
        <f ca="1">IFERROR(__xludf.DUMMYFUNCTION("""COMPUTED_VALUE"""),"Yes")</f>
        <v>Yes</v>
      </c>
      <c r="U119" s="5" t="str">
        <f ca="1">IFERROR(__xludf.DUMMYFUNCTION("""COMPUTED_VALUE"""),"Yes")</f>
        <v>Yes</v>
      </c>
      <c r="V119" s="5" t="str">
        <f ca="1">IFERROR(__xludf.DUMMYFUNCTION("""COMPUTED_VALUE"""),"No")</f>
        <v>No</v>
      </c>
      <c r="W119" s="5" t="str">
        <f ca="1">IFERROR(__xludf.DUMMYFUNCTION("""COMPUTED_VALUE"""),"Yes")</f>
        <v>Yes</v>
      </c>
      <c r="X119" s="5" t="str">
        <f ca="1">IFERROR(__xludf.DUMMYFUNCTION("""COMPUTED_VALUE"""),"Yes")</f>
        <v>Yes</v>
      </c>
      <c r="Y119" s="5" t="str">
        <f ca="1">IFERROR(__xludf.DUMMYFUNCTION("""COMPUTED_VALUE"""),"Yes")</f>
        <v>Yes</v>
      </c>
      <c r="Z119" s="5" t="str">
        <f ca="1">IFERROR(__xludf.DUMMYFUNCTION("""COMPUTED_VALUE"""),"Yes")</f>
        <v>Yes</v>
      </c>
      <c r="AA119" s="5" t="str">
        <f ca="1">IFERROR(__xludf.DUMMYFUNCTION("""COMPUTED_VALUE"""),"Yes")</f>
        <v>Yes</v>
      </c>
      <c r="AB119" s="5" t="str">
        <f ca="1">IFERROR(__xludf.DUMMYFUNCTION("""COMPUTED_VALUE"""),"Yes")</f>
        <v>Yes</v>
      </c>
      <c r="AC119" s="5" t="str">
        <f ca="1">IFERROR(__xludf.DUMMYFUNCTION("""COMPUTED_VALUE"""),"Yes")</f>
        <v>Yes</v>
      </c>
      <c r="AD119" s="5" t="str">
        <f ca="1">IFERROR(__xludf.DUMMYFUNCTION("""COMPUTED_VALUE"""),"Yes")</f>
        <v>Yes</v>
      </c>
      <c r="AE119" s="5" t="str">
        <f ca="1">IFERROR(__xludf.DUMMYFUNCTION("""COMPUTED_VALUE"""),"Yes")</f>
        <v>Yes</v>
      </c>
      <c r="AF119" s="5" t="str">
        <f ca="1">IFERROR(__xludf.DUMMYFUNCTION("""COMPUTED_VALUE"""),"Yes")</f>
        <v>Yes</v>
      </c>
      <c r="AG119" s="5" t="str">
        <f ca="1">IFERROR(__xludf.DUMMYFUNCTION("""COMPUTED_VALUE"""),"Yes")</f>
        <v>Yes</v>
      </c>
      <c r="AH119" s="5" t="str">
        <f ca="1">IFERROR(__xludf.DUMMYFUNCTION("""COMPUTED_VALUE"""),"Yes")</f>
        <v>Yes</v>
      </c>
      <c r="AI119" s="5" t="str">
        <f ca="1">IFERROR(__xludf.DUMMYFUNCTION("""COMPUTED_VALUE"""),"No")</f>
        <v>No</v>
      </c>
      <c r="AJ119" s="5" t="str">
        <f ca="1">IFERROR(__xludf.DUMMYFUNCTION("""COMPUTED_VALUE"""),"No")</f>
        <v>No</v>
      </c>
      <c r="AK119" s="5" t="str">
        <f ca="1">IFERROR(__xludf.DUMMYFUNCTION("""COMPUTED_VALUE"""),"No")</f>
        <v>No</v>
      </c>
      <c r="AL119" s="5" t="str">
        <f ca="1">IFERROR(__xludf.DUMMYFUNCTION("""COMPUTED_VALUE"""),"No")</f>
        <v>No</v>
      </c>
      <c r="AM119" s="5" t="str">
        <f ca="1">IFERROR(__xludf.DUMMYFUNCTION("""COMPUTED_VALUE"""),"No")</f>
        <v>No</v>
      </c>
      <c r="AN119" s="5" t="str">
        <f ca="1">IFERROR(__xludf.DUMMYFUNCTION("""COMPUTED_VALUE"""),"No")</f>
        <v>No</v>
      </c>
      <c r="AO119" s="5" t="str">
        <f ca="1">IFERROR(__xludf.DUMMYFUNCTION("""COMPUTED_VALUE"""),"Yes")</f>
        <v>Yes</v>
      </c>
      <c r="AP119" s="5" t="str">
        <f ca="1">IFERROR(__xludf.DUMMYFUNCTION("""COMPUTED_VALUE"""),"No")</f>
        <v>No</v>
      </c>
      <c r="AQ119" s="5" t="str">
        <f ca="1">IFERROR(__xludf.DUMMYFUNCTION("""COMPUTED_VALUE"""),"No")</f>
        <v>No</v>
      </c>
      <c r="AR119" s="5" t="str">
        <f ca="1">IFERROR(__xludf.DUMMYFUNCTION("""COMPUTED_VALUE"""),"No")</f>
        <v>No</v>
      </c>
      <c r="AS119" s="5" t="str">
        <f ca="1">IFERROR(__xludf.DUMMYFUNCTION("""COMPUTED_VALUE"""),"Yes")</f>
        <v>Yes</v>
      </c>
      <c r="AT119" s="5" t="str">
        <f ca="1">IFERROR(__xludf.DUMMYFUNCTION("""COMPUTED_VALUE"""),"No")</f>
        <v>No</v>
      </c>
      <c r="AU119" s="5"/>
    </row>
    <row r="120" spans="1:47" x14ac:dyDescent="0.25">
      <c r="A120" s="5" t="str">
        <f ca="1">IFERROR(__xludf.DUMMYFUNCTION("""COMPUTED_VALUE"""),"Redstone")</f>
        <v>Redstone</v>
      </c>
      <c r="B120" s="5" t="str">
        <f ca="1">IFERROR(__xludf.DUMMYFUNCTION("""COMPUTED_VALUE"""),"Dice Drop 10")</f>
        <v>Dice Drop 10</v>
      </c>
      <c r="C120" s="5" t="str">
        <f ca="1">IFERROR(__xludf.DUMMYFUNCTION("""COMPUTED_VALUE"""),"RedstoneDiceDrop10")</f>
        <v>RedstoneDiceDrop10</v>
      </c>
      <c r="D120" s="6">
        <f ca="1">IFERROR(__xludf.DUMMYFUNCTION("""COMPUTED_VALUE"""),46100)</f>
        <v>46100</v>
      </c>
      <c r="E120" s="5" t="str">
        <f ca="1">IFERROR(__xludf.DUMMYFUNCTION("""COMPUTED_VALUE"""),"Slot")</f>
        <v>Slot</v>
      </c>
      <c r="F120" s="5">
        <f ca="1">IFERROR(__xludf.DUMMYFUNCTION("""COMPUTED_VALUE"""),7)</f>
        <v>7</v>
      </c>
      <c r="G120" s="5" t="str">
        <f ca="1">IFERROR(__xludf.DUMMYFUNCTION("""COMPUTED_VALUE"""),"5x3")</f>
        <v>5x3</v>
      </c>
      <c r="H120" s="5">
        <f ca="1">IFERROR(__xludf.DUMMYFUNCTION("""COMPUTED_VALUE"""),10)</f>
        <v>10</v>
      </c>
      <c r="I120" s="5">
        <f ca="1">IFERROR(__xludf.DUMMYFUNCTION("""COMPUTED_VALUE"""),10)</f>
        <v>10</v>
      </c>
      <c r="J120" s="5" t="str">
        <f ca="1">IFERROR(__xludf.DUMMYFUNCTION("""COMPUTED_VALUE"""),"96.33%")</f>
        <v>96.33%</v>
      </c>
      <c r="K120" s="5" t="str">
        <f ca="1">IFERROR(__xludf.DUMMYFUNCTION("""COMPUTED_VALUE"""),"Medium")</f>
        <v>Medium</v>
      </c>
      <c r="L120" s="5" t="str">
        <f ca="1">IFERROR(__xludf.DUMMYFUNCTION("""COMPUTED_VALUE"""),"12.5%")</f>
        <v>12.5%</v>
      </c>
      <c r="M120" s="5" t="str">
        <f ca="1">IFERROR(__xludf.DUMMYFUNCTION("""COMPUTED_VALUE"""),"x950")</f>
        <v>x950</v>
      </c>
      <c r="N120" s="5" t="str">
        <f ca="1">IFERROR(__xludf.DUMMYFUNCTION("""COMPUTED_VALUE"""),"0.10/50")</f>
        <v>0.10/50</v>
      </c>
      <c r="O120" s="5" t="str">
        <f ca="1">IFERROR(__xludf.DUMMYFUNCTION("""COMPUTED_VALUE"""),"No")</f>
        <v>No</v>
      </c>
      <c r="P120" s="5" t="str">
        <f ca="1">IFERROR(__xludf.DUMMYFUNCTION("""COMPUTED_VALUE"""),"Scatter, Exploding Wild")</f>
        <v>Scatter, Exploding Wild</v>
      </c>
      <c r="Q120" s="7" t="str">
        <f ca="1">IFERROR(__xludf.DUMMYFUNCTION("""COMPUTED_VALUE"""),"https://static.redstone.rs/games/dice-drop-10/")</f>
        <v>https://static.redstone.rs/games/dice-drop-10/</v>
      </c>
      <c r="R120" s="5" t="str">
        <f ca="1">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S12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0" s="5" t="str">
        <f ca="1">IFERROR(__xludf.DUMMYFUNCTION("""COMPUTED_VALUE"""),"Yes")</f>
        <v>Yes</v>
      </c>
      <c r="U120" s="5" t="str">
        <f ca="1">IFERROR(__xludf.DUMMYFUNCTION("""COMPUTED_VALUE"""),"Yes")</f>
        <v>Yes</v>
      </c>
      <c r="V120" s="5" t="str">
        <f ca="1">IFERROR(__xludf.DUMMYFUNCTION("""COMPUTED_VALUE"""),"No")</f>
        <v>No</v>
      </c>
      <c r="W120" s="5" t="str">
        <f ca="1">IFERROR(__xludf.DUMMYFUNCTION("""COMPUTED_VALUE"""),"Yes")</f>
        <v>Yes</v>
      </c>
      <c r="X120" s="5" t="str">
        <f ca="1">IFERROR(__xludf.DUMMYFUNCTION("""COMPUTED_VALUE"""),"Yes")</f>
        <v>Yes</v>
      </c>
      <c r="Y120" s="5" t="str">
        <f ca="1">IFERROR(__xludf.DUMMYFUNCTION("""COMPUTED_VALUE"""),"Yes")</f>
        <v>Yes</v>
      </c>
      <c r="Z120" s="5" t="str">
        <f ca="1">IFERROR(__xludf.DUMMYFUNCTION("""COMPUTED_VALUE"""),"Yes")</f>
        <v>Yes</v>
      </c>
      <c r="AA120" s="5" t="str">
        <f ca="1">IFERROR(__xludf.DUMMYFUNCTION("""COMPUTED_VALUE"""),"Yes")</f>
        <v>Yes</v>
      </c>
      <c r="AB120" s="5" t="str">
        <f ca="1">IFERROR(__xludf.DUMMYFUNCTION("""COMPUTED_VALUE"""),"Yes")</f>
        <v>Yes</v>
      </c>
      <c r="AC120" s="5" t="str">
        <f ca="1">IFERROR(__xludf.DUMMYFUNCTION("""COMPUTED_VALUE"""),"Yes")</f>
        <v>Yes</v>
      </c>
      <c r="AD120" s="5" t="str">
        <f ca="1">IFERROR(__xludf.DUMMYFUNCTION("""COMPUTED_VALUE"""),"Yes")</f>
        <v>Yes</v>
      </c>
      <c r="AE120" s="5" t="str">
        <f ca="1">IFERROR(__xludf.DUMMYFUNCTION("""COMPUTED_VALUE"""),"Yes")</f>
        <v>Yes</v>
      </c>
      <c r="AF120" s="5" t="str">
        <f ca="1">IFERROR(__xludf.DUMMYFUNCTION("""COMPUTED_VALUE"""),"Yes")</f>
        <v>Yes</v>
      </c>
      <c r="AG120" s="5" t="str">
        <f ca="1">IFERROR(__xludf.DUMMYFUNCTION("""COMPUTED_VALUE"""),"Yes")</f>
        <v>Yes</v>
      </c>
      <c r="AH120" s="5" t="str">
        <f ca="1">IFERROR(__xludf.DUMMYFUNCTION("""COMPUTED_VALUE"""),"Yes")</f>
        <v>Yes</v>
      </c>
      <c r="AI120" s="5" t="str">
        <f ca="1">IFERROR(__xludf.DUMMYFUNCTION("""COMPUTED_VALUE"""),"No")</f>
        <v>No</v>
      </c>
      <c r="AJ120" s="5" t="str">
        <f ca="1">IFERROR(__xludf.DUMMYFUNCTION("""COMPUTED_VALUE"""),"No")</f>
        <v>No</v>
      </c>
      <c r="AK120" s="5" t="str">
        <f ca="1">IFERROR(__xludf.DUMMYFUNCTION("""COMPUTED_VALUE"""),"No")</f>
        <v>No</v>
      </c>
      <c r="AL120" s="5" t="str">
        <f ca="1">IFERROR(__xludf.DUMMYFUNCTION("""COMPUTED_VALUE"""),"No")</f>
        <v>No</v>
      </c>
      <c r="AM120" s="5" t="str">
        <f ca="1">IFERROR(__xludf.DUMMYFUNCTION("""COMPUTED_VALUE"""),"No")</f>
        <v>No</v>
      </c>
      <c r="AN120" s="5" t="str">
        <f ca="1">IFERROR(__xludf.DUMMYFUNCTION("""COMPUTED_VALUE"""),"No")</f>
        <v>No</v>
      </c>
      <c r="AO120" s="5" t="str">
        <f ca="1">IFERROR(__xludf.DUMMYFUNCTION("""COMPUTED_VALUE"""),"Yes")</f>
        <v>Yes</v>
      </c>
      <c r="AP120" s="5" t="str">
        <f ca="1">IFERROR(__xludf.DUMMYFUNCTION("""COMPUTED_VALUE"""),"No")</f>
        <v>No</v>
      </c>
      <c r="AQ120" s="5" t="str">
        <f ca="1">IFERROR(__xludf.DUMMYFUNCTION("""COMPUTED_VALUE"""),"No")</f>
        <v>No</v>
      </c>
      <c r="AR120" s="5" t="str">
        <f ca="1">IFERROR(__xludf.DUMMYFUNCTION("""COMPUTED_VALUE"""),"No")</f>
        <v>No</v>
      </c>
      <c r="AS120" s="5" t="str">
        <f ca="1">IFERROR(__xludf.DUMMYFUNCTION("""COMPUTED_VALUE"""),"Yes")</f>
        <v>Yes</v>
      </c>
      <c r="AT120" s="5" t="str">
        <f ca="1">IFERROR(__xludf.DUMMYFUNCTION("""COMPUTED_VALUE"""),"No")</f>
        <v>No</v>
      </c>
      <c r="AU120" s="5"/>
    </row>
    <row r="121" spans="1:47" x14ac:dyDescent="0.25">
      <c r="A121" s="5" t="str">
        <f ca="1">IFERROR(__xludf.DUMMYFUNCTION("""COMPUTED_VALUE"""),"Redstone")</f>
        <v>Redstone</v>
      </c>
      <c r="B121" s="5" t="str">
        <f ca="1">IFERROR(__xludf.DUMMYFUNCTION("""COMPUTED_VALUE"""),"5 Clover Fire Blast")</f>
        <v>5 Clover Fire Blast</v>
      </c>
      <c r="C121" s="5" t="str">
        <f ca="1">IFERROR(__xludf.DUMMYFUNCTION("""COMPUTED_VALUE"""),"Redstone5CloverFireBlast")</f>
        <v>Redstone5CloverFireBlast</v>
      </c>
      <c r="D121" s="6">
        <f ca="1">IFERROR(__xludf.DUMMYFUNCTION("""COMPUTED_VALUE"""),46111)</f>
        <v>46111</v>
      </c>
      <c r="E121" s="5" t="str">
        <f ca="1">IFERROR(__xludf.DUMMYFUNCTION("""COMPUTED_VALUE"""),"Slot")</f>
        <v>Slot</v>
      </c>
      <c r="F121" s="5">
        <f ca="1">IFERROR(__xludf.DUMMYFUNCTION("""COMPUTED_VALUE"""),8.3)</f>
        <v>8.3000000000000007</v>
      </c>
      <c r="G121" s="5" t="str">
        <f ca="1">IFERROR(__xludf.DUMMYFUNCTION("""COMPUTED_VALUE"""),"5x3")</f>
        <v>5x3</v>
      </c>
      <c r="H121" s="5">
        <f ca="1">IFERROR(__xludf.DUMMYFUNCTION("""COMPUTED_VALUE"""),5)</f>
        <v>5</v>
      </c>
      <c r="I121" s="5">
        <f ca="1">IFERROR(__xludf.DUMMYFUNCTION("""COMPUTED_VALUE"""),5)</f>
        <v>5</v>
      </c>
      <c r="J121" s="5" t="str">
        <f ca="1">IFERROR(__xludf.DUMMYFUNCTION("""COMPUTED_VALUE"""),"96.17%")</f>
        <v>96.17%</v>
      </c>
      <c r="K121" s="5" t="str">
        <f ca="1">IFERROR(__xludf.DUMMYFUNCTION("""COMPUTED_VALUE"""),"Medium")</f>
        <v>Medium</v>
      </c>
      <c r="L121" s="5" t="str">
        <f ca="1">IFERROR(__xludf.DUMMYFUNCTION("""COMPUTED_VALUE"""),"9.8%")</f>
        <v>9.8%</v>
      </c>
      <c r="M121" s="5" t="str">
        <f ca="1">IFERROR(__xludf.DUMMYFUNCTION("""COMPUTED_VALUE"""),"x950")</f>
        <v>x950</v>
      </c>
      <c r="N121" s="5" t="str">
        <f ca="1">IFERROR(__xludf.DUMMYFUNCTION("""COMPUTED_VALUE"""),"0.10/50")</f>
        <v>0.10/50</v>
      </c>
      <c r="O121" s="5" t="str">
        <f ca="1">IFERROR(__xludf.DUMMYFUNCTION("""COMPUTED_VALUE"""),"No")</f>
        <v>No</v>
      </c>
      <c r="P121" s="5" t="str">
        <f ca="1">IFERROR(__xludf.DUMMYFUNCTION("""COMPUTED_VALUE"""),"Expanding Wild, Scatter")</f>
        <v>Expanding Wild, Scatter</v>
      </c>
      <c r="Q121" s="7" t="str">
        <f ca="1">IFERROR(__xludf.DUMMYFUNCTION("""COMPUTED_VALUE"""),"https://static.redstone.rs/games/5-clover-fire-blast/")</f>
        <v>https://static.redstone.rs/games/5-clover-fire-blast/</v>
      </c>
      <c r="R121" s="5" t="str">
        <f ca="1">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S12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1" s="5" t="str">
        <f ca="1">IFERROR(__xludf.DUMMYFUNCTION("""COMPUTED_VALUE"""),"Yes")</f>
        <v>Yes</v>
      </c>
      <c r="U121" s="5" t="str">
        <f ca="1">IFERROR(__xludf.DUMMYFUNCTION("""COMPUTED_VALUE"""),"Yes")</f>
        <v>Yes</v>
      </c>
      <c r="V121" s="5" t="str">
        <f ca="1">IFERROR(__xludf.DUMMYFUNCTION("""COMPUTED_VALUE"""),"No")</f>
        <v>No</v>
      </c>
      <c r="W121" s="5" t="str">
        <f ca="1">IFERROR(__xludf.DUMMYFUNCTION("""COMPUTED_VALUE"""),"Yes")</f>
        <v>Yes</v>
      </c>
      <c r="X121" s="5" t="str">
        <f ca="1">IFERROR(__xludf.DUMMYFUNCTION("""COMPUTED_VALUE"""),"Yes")</f>
        <v>Yes</v>
      </c>
      <c r="Y121" s="5" t="str">
        <f ca="1">IFERROR(__xludf.DUMMYFUNCTION("""COMPUTED_VALUE"""),"Yes")</f>
        <v>Yes</v>
      </c>
      <c r="Z121" s="5" t="str">
        <f ca="1">IFERROR(__xludf.DUMMYFUNCTION("""COMPUTED_VALUE"""),"Yes")</f>
        <v>Yes</v>
      </c>
      <c r="AA121" s="5" t="str">
        <f ca="1">IFERROR(__xludf.DUMMYFUNCTION("""COMPUTED_VALUE"""),"Yes")</f>
        <v>Yes</v>
      </c>
      <c r="AB121" s="5" t="str">
        <f ca="1">IFERROR(__xludf.DUMMYFUNCTION("""COMPUTED_VALUE"""),"Yes")</f>
        <v>Yes</v>
      </c>
      <c r="AC121" s="5" t="str">
        <f ca="1">IFERROR(__xludf.DUMMYFUNCTION("""COMPUTED_VALUE"""),"Yes")</f>
        <v>Yes</v>
      </c>
      <c r="AD121" s="5" t="str">
        <f ca="1">IFERROR(__xludf.DUMMYFUNCTION("""COMPUTED_VALUE"""),"Yes")</f>
        <v>Yes</v>
      </c>
      <c r="AE121" s="5" t="str">
        <f ca="1">IFERROR(__xludf.DUMMYFUNCTION("""COMPUTED_VALUE"""),"Yes")</f>
        <v>Yes</v>
      </c>
      <c r="AF121" s="5" t="str">
        <f ca="1">IFERROR(__xludf.DUMMYFUNCTION("""COMPUTED_VALUE"""),"Yes")</f>
        <v>Yes</v>
      </c>
      <c r="AG121" s="5" t="str">
        <f ca="1">IFERROR(__xludf.DUMMYFUNCTION("""COMPUTED_VALUE"""),"Yes")</f>
        <v>Yes</v>
      </c>
      <c r="AH121" s="5" t="str">
        <f ca="1">IFERROR(__xludf.DUMMYFUNCTION("""COMPUTED_VALUE"""),"Yes")</f>
        <v>Yes</v>
      </c>
      <c r="AI121" s="5" t="str">
        <f ca="1">IFERROR(__xludf.DUMMYFUNCTION("""COMPUTED_VALUE"""),"No")</f>
        <v>No</v>
      </c>
      <c r="AJ121" s="5" t="str">
        <f ca="1">IFERROR(__xludf.DUMMYFUNCTION("""COMPUTED_VALUE"""),"No")</f>
        <v>No</v>
      </c>
      <c r="AK121" s="5" t="str">
        <f ca="1">IFERROR(__xludf.DUMMYFUNCTION("""COMPUTED_VALUE"""),"No")</f>
        <v>No</v>
      </c>
      <c r="AL121" s="5" t="str">
        <f ca="1">IFERROR(__xludf.DUMMYFUNCTION("""COMPUTED_VALUE"""),"No")</f>
        <v>No</v>
      </c>
      <c r="AM121" s="5" t="str">
        <f ca="1">IFERROR(__xludf.DUMMYFUNCTION("""COMPUTED_VALUE"""),"No")</f>
        <v>No</v>
      </c>
      <c r="AN121" s="5" t="str">
        <f ca="1">IFERROR(__xludf.DUMMYFUNCTION("""COMPUTED_VALUE"""),"No")</f>
        <v>No</v>
      </c>
      <c r="AO121" s="5" t="str">
        <f ca="1">IFERROR(__xludf.DUMMYFUNCTION("""COMPUTED_VALUE"""),"Yes")</f>
        <v>Yes</v>
      </c>
      <c r="AP121" s="5" t="str">
        <f ca="1">IFERROR(__xludf.DUMMYFUNCTION("""COMPUTED_VALUE"""),"No")</f>
        <v>No</v>
      </c>
      <c r="AQ121" s="5" t="str">
        <f ca="1">IFERROR(__xludf.DUMMYFUNCTION("""COMPUTED_VALUE"""),"No")</f>
        <v>No</v>
      </c>
      <c r="AR121" s="5" t="str">
        <f ca="1">IFERROR(__xludf.DUMMYFUNCTION("""COMPUTED_VALUE"""),"No")</f>
        <v>No</v>
      </c>
      <c r="AS121" s="5" t="str">
        <f ca="1">IFERROR(__xludf.DUMMYFUNCTION("""COMPUTED_VALUE"""),"Yes")</f>
        <v>Yes</v>
      </c>
      <c r="AT121" s="5" t="str">
        <f ca="1">IFERROR(__xludf.DUMMYFUNCTION("""COMPUTED_VALUE"""),"No")</f>
        <v>No</v>
      </c>
      <c r="AU121" s="5"/>
    </row>
    <row r="122" spans="1:47" x14ac:dyDescent="0.25">
      <c r="A122" s="5" t="str">
        <f ca="1">IFERROR(__xludf.DUMMYFUNCTION("""COMPUTED_VALUE"""),"Redstone")</f>
        <v>Redstone</v>
      </c>
      <c r="B122" s="5" t="str">
        <f ca="1">IFERROR(__xludf.DUMMYFUNCTION("""COMPUTED_VALUE"""),"Fruit Fire")</f>
        <v>Fruit Fire</v>
      </c>
      <c r="C122" s="5" t="str">
        <f ca="1">IFERROR(__xludf.DUMMYFUNCTION("""COMPUTED_VALUE"""),"RedstoneFruitFire")</f>
        <v>RedstoneFruitFire</v>
      </c>
      <c r="D122" s="6">
        <f ca="1">IFERROR(__xludf.DUMMYFUNCTION("""COMPUTED_VALUE"""),46128)</f>
        <v>46128</v>
      </c>
      <c r="E122" s="5" t="str">
        <f ca="1">IFERROR(__xludf.DUMMYFUNCTION("""COMPUTED_VALUE"""),"Slot")</f>
        <v>Slot</v>
      </c>
      <c r="F122" s="5">
        <f ca="1">IFERROR(__xludf.DUMMYFUNCTION("""COMPUTED_VALUE"""),8.7)</f>
        <v>8.6999999999999993</v>
      </c>
      <c r="G122" s="5" t="str">
        <f ca="1">IFERROR(__xludf.DUMMYFUNCTION("""COMPUTED_VALUE"""),"5x3")</f>
        <v>5x3</v>
      </c>
      <c r="H122" s="5">
        <f ca="1">IFERROR(__xludf.DUMMYFUNCTION("""COMPUTED_VALUE"""),5)</f>
        <v>5</v>
      </c>
      <c r="I122" s="5">
        <f ca="1">IFERROR(__xludf.DUMMYFUNCTION("""COMPUTED_VALUE"""),5)</f>
        <v>5</v>
      </c>
      <c r="J122" s="5" t="str">
        <f ca="1">IFERROR(__xludf.DUMMYFUNCTION("""COMPUTED_VALUE"""),"96.5%")</f>
        <v>96.5%</v>
      </c>
      <c r="K122" s="5" t="str">
        <f ca="1">IFERROR(__xludf.DUMMYFUNCTION("""COMPUTED_VALUE"""),"Low")</f>
        <v>Low</v>
      </c>
      <c r="L122" s="5" t="str">
        <f ca="1">IFERROR(__xludf.DUMMYFUNCTION("""COMPUTED_VALUE"""),"10.45%")</f>
        <v>10.45%</v>
      </c>
      <c r="M122" s="5" t="str">
        <f ca="1">IFERROR(__xludf.DUMMYFUNCTION("""COMPUTED_VALUE"""),"x1040")</f>
        <v>x1040</v>
      </c>
      <c r="N122" s="5" t="str">
        <f ca="1">IFERROR(__xludf.DUMMYFUNCTION("""COMPUTED_VALUE"""),"0.10/50")</f>
        <v>0.10/50</v>
      </c>
      <c r="O122" s="5" t="str">
        <f ca="1">IFERROR(__xludf.DUMMYFUNCTION("""COMPUTED_VALUE"""),"No")</f>
        <v>No</v>
      </c>
      <c r="P122" s="5"/>
      <c r="Q122" s="7" t="str">
        <f ca="1">IFERROR(__xludf.DUMMYFUNCTION("""COMPUTED_VALUE"""),"https://static.redstone.rs/games/fruit-fire/")</f>
        <v>https://static.redstone.rs/games/fruit-fire/</v>
      </c>
      <c r="R122" s="5" t="str">
        <f ca="1">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S122"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2" s="5" t="str">
        <f ca="1">IFERROR(__xludf.DUMMYFUNCTION("""COMPUTED_VALUE"""),"Yes")</f>
        <v>Yes</v>
      </c>
      <c r="U122" s="5" t="str">
        <f ca="1">IFERROR(__xludf.DUMMYFUNCTION("""COMPUTED_VALUE"""),"Yes")</f>
        <v>Yes</v>
      </c>
      <c r="V122" s="5" t="str">
        <f ca="1">IFERROR(__xludf.DUMMYFUNCTION("""COMPUTED_VALUE"""),"Yes")</f>
        <v>Yes</v>
      </c>
      <c r="W122" s="5" t="str">
        <f ca="1">IFERROR(__xludf.DUMMYFUNCTION("""COMPUTED_VALUE"""),"Yes")</f>
        <v>Yes</v>
      </c>
      <c r="X122" s="5" t="str">
        <f ca="1">IFERROR(__xludf.DUMMYFUNCTION("""COMPUTED_VALUE"""),"Yes")</f>
        <v>Yes</v>
      </c>
      <c r="Y122" s="5" t="str">
        <f ca="1">IFERROR(__xludf.DUMMYFUNCTION("""COMPUTED_VALUE"""),"Yes")</f>
        <v>Yes</v>
      </c>
      <c r="Z122" s="5" t="str">
        <f ca="1">IFERROR(__xludf.DUMMYFUNCTION("""COMPUTED_VALUE"""),"Yes")</f>
        <v>Yes</v>
      </c>
      <c r="AA122" s="5" t="str">
        <f ca="1">IFERROR(__xludf.DUMMYFUNCTION("""COMPUTED_VALUE"""),"Yes")</f>
        <v>Yes</v>
      </c>
      <c r="AB122" s="5" t="str">
        <f ca="1">IFERROR(__xludf.DUMMYFUNCTION("""COMPUTED_VALUE"""),"Yes")</f>
        <v>Yes</v>
      </c>
      <c r="AC122" s="5" t="str">
        <f ca="1">IFERROR(__xludf.DUMMYFUNCTION("""COMPUTED_VALUE"""),"Yes")</f>
        <v>Yes</v>
      </c>
      <c r="AD122" s="5" t="str">
        <f ca="1">IFERROR(__xludf.DUMMYFUNCTION("""COMPUTED_VALUE"""),"Yes")</f>
        <v>Yes</v>
      </c>
      <c r="AE122" s="5" t="str">
        <f ca="1">IFERROR(__xludf.DUMMYFUNCTION("""COMPUTED_VALUE"""),"Yes")</f>
        <v>Yes</v>
      </c>
      <c r="AF122" s="5" t="str">
        <f ca="1">IFERROR(__xludf.DUMMYFUNCTION("""COMPUTED_VALUE"""),"Yes")</f>
        <v>Yes</v>
      </c>
      <c r="AG122" s="5" t="str">
        <f ca="1">IFERROR(__xludf.DUMMYFUNCTION("""COMPUTED_VALUE"""),"Yes")</f>
        <v>Yes</v>
      </c>
      <c r="AH122" s="5" t="str">
        <f ca="1">IFERROR(__xludf.DUMMYFUNCTION("""COMPUTED_VALUE"""),"Yes")</f>
        <v>Yes</v>
      </c>
      <c r="AI122" s="5" t="str">
        <f ca="1">IFERROR(__xludf.DUMMYFUNCTION("""COMPUTED_VALUE"""),"No")</f>
        <v>No</v>
      </c>
      <c r="AJ122" s="5" t="str">
        <f ca="1">IFERROR(__xludf.DUMMYFUNCTION("""COMPUTED_VALUE"""),"No")</f>
        <v>No</v>
      </c>
      <c r="AK122" s="5" t="str">
        <f ca="1">IFERROR(__xludf.DUMMYFUNCTION("""COMPUTED_VALUE"""),"No")</f>
        <v>No</v>
      </c>
      <c r="AL122" s="5" t="str">
        <f ca="1">IFERROR(__xludf.DUMMYFUNCTION("""COMPUTED_VALUE"""),"No")</f>
        <v>No</v>
      </c>
      <c r="AM122" s="5" t="str">
        <f ca="1">IFERROR(__xludf.DUMMYFUNCTION("""COMPUTED_VALUE"""),"No")</f>
        <v>No</v>
      </c>
      <c r="AN122" s="5" t="str">
        <f ca="1">IFERROR(__xludf.DUMMYFUNCTION("""COMPUTED_VALUE"""),"No")</f>
        <v>No</v>
      </c>
      <c r="AO122" s="5" t="str">
        <f ca="1">IFERROR(__xludf.DUMMYFUNCTION("""COMPUTED_VALUE"""),"Yes")</f>
        <v>Yes</v>
      </c>
      <c r="AP122" s="5" t="str">
        <f ca="1">IFERROR(__xludf.DUMMYFUNCTION("""COMPUTED_VALUE"""),"No")</f>
        <v>No</v>
      </c>
      <c r="AQ122" s="5" t="str">
        <f ca="1">IFERROR(__xludf.DUMMYFUNCTION("""COMPUTED_VALUE"""),"No")</f>
        <v>No</v>
      </c>
      <c r="AR122" s="5" t="str">
        <f ca="1">IFERROR(__xludf.DUMMYFUNCTION("""COMPUTED_VALUE"""),"No")</f>
        <v>No</v>
      </c>
      <c r="AS122" s="5" t="str">
        <f ca="1">IFERROR(__xludf.DUMMYFUNCTION("""COMPUTED_VALUE"""),"Yes")</f>
        <v>Yes</v>
      </c>
      <c r="AT122" s="5" t="str">
        <f ca="1">IFERROR(__xludf.DUMMYFUNCTION("""COMPUTED_VALUE"""),"No")</f>
        <v>No</v>
      </c>
      <c r="AU122" s="5"/>
    </row>
    <row r="123" spans="1:47" x14ac:dyDescent="0.25">
      <c r="A123" s="5" t="str">
        <f ca="1">IFERROR(__xludf.DUMMYFUNCTION("""COMPUTED_VALUE"""),"Redstone")</f>
        <v>Redstone</v>
      </c>
      <c r="B123" s="5" t="str">
        <f ca="1">IFERROR(__xludf.DUMMYFUNCTION("""COMPUTED_VALUE"""),"X Clover Fire")</f>
        <v>X Clover Fire</v>
      </c>
      <c r="C123" s="5" t="str">
        <f ca="1">IFERROR(__xludf.DUMMYFUNCTION("""COMPUTED_VALUE"""),"RedstoneXCloverFire")</f>
        <v>RedstoneXCloverFire</v>
      </c>
      <c r="D123" s="6">
        <f ca="1">IFERROR(__xludf.DUMMYFUNCTION("""COMPUTED_VALUE"""),46118)</f>
        <v>46118</v>
      </c>
      <c r="E123" s="5" t="str">
        <f ca="1">IFERROR(__xludf.DUMMYFUNCTION("""COMPUTED_VALUE"""),"Slot")</f>
        <v>Slot</v>
      </c>
      <c r="F123" s="5">
        <f ca="1">IFERROR(__xludf.DUMMYFUNCTION("""COMPUTED_VALUE"""),7)</f>
        <v>7</v>
      </c>
      <c r="G123" s="5" t="str">
        <f ca="1">IFERROR(__xludf.DUMMYFUNCTION("""COMPUTED_VALUE"""),"5x3")</f>
        <v>5x3</v>
      </c>
      <c r="H123" s="5">
        <f ca="1">IFERROR(__xludf.DUMMYFUNCTION("""COMPUTED_VALUE"""),5)</f>
        <v>5</v>
      </c>
      <c r="I123" s="5">
        <f ca="1">IFERROR(__xludf.DUMMYFUNCTION("""COMPUTED_VALUE"""),5)</f>
        <v>5</v>
      </c>
      <c r="J123" s="5" t="str">
        <f ca="1">IFERROR(__xludf.DUMMYFUNCTION("""COMPUTED_VALUE"""),"95.96%")</f>
        <v>95.96%</v>
      </c>
      <c r="K123" s="5" t="str">
        <f ca="1">IFERROR(__xludf.DUMMYFUNCTION("""COMPUTED_VALUE"""),"Low")</f>
        <v>Low</v>
      </c>
      <c r="L123" s="5" t="str">
        <f ca="1">IFERROR(__xludf.DUMMYFUNCTION("""COMPUTED_VALUE"""),"10.7%")</f>
        <v>10.7%</v>
      </c>
      <c r="M123" s="5" t="str">
        <f ca="1">IFERROR(__xludf.DUMMYFUNCTION("""COMPUTED_VALUE"""),"x2150")</f>
        <v>x2150</v>
      </c>
      <c r="N123" s="5" t="str">
        <f ca="1">IFERROR(__xludf.DUMMYFUNCTION("""COMPUTED_VALUE"""),"0.10/50")</f>
        <v>0.10/50</v>
      </c>
      <c r="O123" s="5" t="str">
        <f ca="1">IFERROR(__xludf.DUMMYFUNCTION("""COMPUTED_VALUE"""),"No")</f>
        <v>No</v>
      </c>
      <c r="P123" s="5" t="str">
        <f ca="1">IFERROR(__xludf.DUMMYFUNCTION("""COMPUTED_VALUE"""),"Expanding Wild, Wild Multiplier")</f>
        <v>Expanding Wild, Wild Multiplier</v>
      </c>
      <c r="Q123" s="7" t="str">
        <f ca="1">IFERROR(__xludf.DUMMYFUNCTION("""COMPUTED_VALUE"""),"https://static.redstone.rs/games/x-clover-fire/")</f>
        <v>https://static.redstone.rs/games/x-clover-fire/</v>
      </c>
      <c r="R123" s="5" t="str">
        <f ca="1">IFERROR(__xludf.DUMMYFUNCTION("""COMPUTED_VALUE"""),"In X Clover Fire, everything revolves around the Clover. Land it and your win multiplies instantly, hit more across the reels and the payout keeps climbing.
")</f>
        <v xml:space="preserve">In X Clover Fire, everything revolves around the Clover. Land it and your win multiplies instantly, hit more across the reels and the payout keeps climbing.
</v>
      </c>
      <c r="S12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3" s="5" t="str">
        <f ca="1">IFERROR(__xludf.DUMMYFUNCTION("""COMPUTED_VALUE"""),"Yes")</f>
        <v>Yes</v>
      </c>
      <c r="U123" s="5" t="str">
        <f ca="1">IFERROR(__xludf.DUMMYFUNCTION("""COMPUTED_VALUE"""),"Yes")</f>
        <v>Yes</v>
      </c>
      <c r="V123" s="5" t="str">
        <f ca="1">IFERROR(__xludf.DUMMYFUNCTION("""COMPUTED_VALUE"""),"No")</f>
        <v>No</v>
      </c>
      <c r="W123" s="5" t="str">
        <f ca="1">IFERROR(__xludf.DUMMYFUNCTION("""COMPUTED_VALUE"""),"Yes")</f>
        <v>Yes</v>
      </c>
      <c r="X123" s="5" t="str">
        <f ca="1">IFERROR(__xludf.DUMMYFUNCTION("""COMPUTED_VALUE"""),"Yes")</f>
        <v>Yes</v>
      </c>
      <c r="Y123" s="5" t="str">
        <f ca="1">IFERROR(__xludf.DUMMYFUNCTION("""COMPUTED_VALUE"""),"Yes")</f>
        <v>Yes</v>
      </c>
      <c r="Z123" s="5" t="str">
        <f ca="1">IFERROR(__xludf.DUMMYFUNCTION("""COMPUTED_VALUE"""),"Yes")</f>
        <v>Yes</v>
      </c>
      <c r="AA123" s="5" t="str">
        <f ca="1">IFERROR(__xludf.DUMMYFUNCTION("""COMPUTED_VALUE"""),"Yes")</f>
        <v>Yes</v>
      </c>
      <c r="AB123" s="5" t="str">
        <f ca="1">IFERROR(__xludf.DUMMYFUNCTION("""COMPUTED_VALUE"""),"Yes")</f>
        <v>Yes</v>
      </c>
      <c r="AC123" s="5" t="str">
        <f ca="1">IFERROR(__xludf.DUMMYFUNCTION("""COMPUTED_VALUE"""),"Yes")</f>
        <v>Yes</v>
      </c>
      <c r="AD123" s="5" t="str">
        <f ca="1">IFERROR(__xludf.DUMMYFUNCTION("""COMPUTED_VALUE"""),"Yes")</f>
        <v>Yes</v>
      </c>
      <c r="AE123" s="5" t="str">
        <f ca="1">IFERROR(__xludf.DUMMYFUNCTION("""COMPUTED_VALUE"""),"Yes")</f>
        <v>Yes</v>
      </c>
      <c r="AF123" s="5" t="str">
        <f ca="1">IFERROR(__xludf.DUMMYFUNCTION("""COMPUTED_VALUE"""),"Yes")</f>
        <v>Yes</v>
      </c>
      <c r="AG123" s="5" t="str">
        <f ca="1">IFERROR(__xludf.DUMMYFUNCTION("""COMPUTED_VALUE"""),"Yes")</f>
        <v>Yes</v>
      </c>
      <c r="AH123" s="5" t="str">
        <f ca="1">IFERROR(__xludf.DUMMYFUNCTION("""COMPUTED_VALUE"""),"Yes")</f>
        <v>Yes</v>
      </c>
      <c r="AI123" s="5" t="str">
        <f ca="1">IFERROR(__xludf.DUMMYFUNCTION("""COMPUTED_VALUE"""),"No")</f>
        <v>No</v>
      </c>
      <c r="AJ123" s="5" t="str">
        <f ca="1">IFERROR(__xludf.DUMMYFUNCTION("""COMPUTED_VALUE"""),"No")</f>
        <v>No</v>
      </c>
      <c r="AK123" s="5" t="str">
        <f ca="1">IFERROR(__xludf.DUMMYFUNCTION("""COMPUTED_VALUE"""),"No")</f>
        <v>No</v>
      </c>
      <c r="AL123" s="5" t="str">
        <f ca="1">IFERROR(__xludf.DUMMYFUNCTION("""COMPUTED_VALUE"""),"No")</f>
        <v>No</v>
      </c>
      <c r="AM123" s="5" t="str">
        <f ca="1">IFERROR(__xludf.DUMMYFUNCTION("""COMPUTED_VALUE"""),"No")</f>
        <v>No</v>
      </c>
      <c r="AN123" s="5" t="str">
        <f ca="1">IFERROR(__xludf.DUMMYFUNCTION("""COMPUTED_VALUE"""),"No")</f>
        <v>No</v>
      </c>
      <c r="AO123" s="5" t="str">
        <f ca="1">IFERROR(__xludf.DUMMYFUNCTION("""COMPUTED_VALUE"""),"Yes")</f>
        <v>Yes</v>
      </c>
      <c r="AP123" s="5" t="str">
        <f ca="1">IFERROR(__xludf.DUMMYFUNCTION("""COMPUTED_VALUE"""),"No")</f>
        <v>No</v>
      </c>
      <c r="AQ123" s="5" t="str">
        <f ca="1">IFERROR(__xludf.DUMMYFUNCTION("""COMPUTED_VALUE"""),"No")</f>
        <v>No</v>
      </c>
      <c r="AR123" s="5" t="str">
        <f ca="1">IFERROR(__xludf.DUMMYFUNCTION("""COMPUTED_VALUE"""),"No")</f>
        <v>No</v>
      </c>
      <c r="AS123" s="5" t="str">
        <f ca="1">IFERROR(__xludf.DUMMYFUNCTION("""COMPUTED_VALUE"""),"Yes")</f>
        <v>Yes</v>
      </c>
      <c r="AT123" s="5" t="str">
        <f ca="1">IFERROR(__xludf.DUMMYFUNCTION("""COMPUTED_VALUE"""),"No")</f>
        <v>No</v>
      </c>
      <c r="AU123" s="5"/>
    </row>
    <row r="124" spans="1:47" x14ac:dyDescent="0.25">
      <c r="A124" s="5" t="str">
        <f ca="1">IFERROR(__xludf.DUMMYFUNCTION("""COMPUTED_VALUE"""),"Redstone")</f>
        <v>Redstone</v>
      </c>
      <c r="B124" s="5" t="str">
        <f ca="1">IFERROR(__xludf.DUMMYFUNCTION("""COMPUTED_VALUE"""),"5 Heart Deluxe")</f>
        <v>5 Heart Deluxe</v>
      </c>
      <c r="C124" s="5" t="str">
        <f ca="1">IFERROR(__xludf.DUMMYFUNCTION("""COMPUTED_VALUE"""),"Redstone5HeartDeluxe")</f>
        <v>Redstone5HeartDeluxe</v>
      </c>
      <c r="D124" s="6">
        <f ca="1">IFERROR(__xludf.DUMMYFUNCTION("""COMPUTED_VALUE"""),46133)</f>
        <v>46133</v>
      </c>
      <c r="E124" s="5" t="str">
        <f ca="1">IFERROR(__xludf.DUMMYFUNCTION("""COMPUTED_VALUE"""),"Slot")</f>
        <v>Slot</v>
      </c>
      <c r="F124" s="5">
        <f ca="1">IFERROR(__xludf.DUMMYFUNCTION("""COMPUTED_VALUE"""),8.6)</f>
        <v>8.6</v>
      </c>
      <c r="G124" s="5" t="str">
        <f ca="1">IFERROR(__xludf.DUMMYFUNCTION("""COMPUTED_VALUE"""),"5x3")</f>
        <v>5x3</v>
      </c>
      <c r="H124" s="5">
        <f ca="1">IFERROR(__xludf.DUMMYFUNCTION("""COMPUTED_VALUE"""),5)</f>
        <v>5</v>
      </c>
      <c r="I124" s="5">
        <f ca="1">IFERROR(__xludf.DUMMYFUNCTION("""COMPUTED_VALUE"""),5)</f>
        <v>5</v>
      </c>
      <c r="J124" s="5" t="str">
        <f ca="1">IFERROR(__xludf.DUMMYFUNCTION("""COMPUTED_VALUE"""),"96.45%")</f>
        <v>96.45%</v>
      </c>
      <c r="K124" s="5" t="str">
        <f ca="1">IFERROR(__xludf.DUMMYFUNCTION("""COMPUTED_VALUE"""),"Low")</f>
        <v>Low</v>
      </c>
      <c r="L124" s="5" t="str">
        <f ca="1">IFERROR(__xludf.DUMMYFUNCTION("""COMPUTED_VALUE"""),"14.5%")</f>
        <v>14.5%</v>
      </c>
      <c r="M124" s="5" t="str">
        <f ca="1">IFERROR(__xludf.DUMMYFUNCTION("""COMPUTED_VALUE"""),"x1222")</f>
        <v>x1222</v>
      </c>
      <c r="N124" s="5" t="str">
        <f ca="1">IFERROR(__xludf.DUMMYFUNCTION("""COMPUTED_VALUE"""),"0.05/30")</f>
        <v>0.05/30</v>
      </c>
      <c r="O124" s="5" t="str">
        <f ca="1">IFERROR(__xludf.DUMMYFUNCTION("""COMPUTED_VALUE"""),"No")</f>
        <v>No</v>
      </c>
      <c r="P124" s="5" t="str">
        <f ca="1">IFERROR(__xludf.DUMMYFUNCTION("""COMPUTED_VALUE"""),"Expanding Wild, Scatter")</f>
        <v>Expanding Wild, Scatter</v>
      </c>
      <c r="Q124" s="7" t="str">
        <f ca="1">IFERROR(__xludf.DUMMYFUNCTION("""COMPUTED_VALUE"""),"https://static.redstone.rs/games/5-heart-deluxe/")</f>
        <v>https://static.redstone.rs/games/5-heart-deluxe/</v>
      </c>
      <c r="R124" s="5" t="str">
        <f ca="1">IFERROR(__xludf.DUMMYFUNCTION("""COMPUTED_VALUE"""),"Take your spin in 5 Heart Deluxe and play it your way! Fast spins, clear hits, and a classic feel that never gets old.")</f>
        <v>Take your spin in 5 Heart Deluxe and play it your way! Fast spins, clear hits, and a classic feel that never gets old.</v>
      </c>
      <c r="S12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4" s="5" t="str">
        <f ca="1">IFERROR(__xludf.DUMMYFUNCTION("""COMPUTED_VALUE"""),"Yes")</f>
        <v>Yes</v>
      </c>
      <c r="U124" s="5" t="str">
        <f ca="1">IFERROR(__xludf.DUMMYFUNCTION("""COMPUTED_VALUE"""),"Yes")</f>
        <v>Yes</v>
      </c>
      <c r="V124" s="5" t="str">
        <f ca="1">IFERROR(__xludf.DUMMYFUNCTION("""COMPUTED_VALUE"""),"No")</f>
        <v>No</v>
      </c>
      <c r="W124" s="5" t="str">
        <f ca="1">IFERROR(__xludf.DUMMYFUNCTION("""COMPUTED_VALUE"""),"Yes")</f>
        <v>Yes</v>
      </c>
      <c r="X124" s="5" t="str">
        <f ca="1">IFERROR(__xludf.DUMMYFUNCTION("""COMPUTED_VALUE"""),"Yes")</f>
        <v>Yes</v>
      </c>
      <c r="Y124" s="5" t="str">
        <f ca="1">IFERROR(__xludf.DUMMYFUNCTION("""COMPUTED_VALUE"""),"Yes")</f>
        <v>Yes</v>
      </c>
      <c r="Z124" s="5" t="str">
        <f ca="1">IFERROR(__xludf.DUMMYFUNCTION("""COMPUTED_VALUE"""),"Yes")</f>
        <v>Yes</v>
      </c>
      <c r="AA124" s="5" t="str">
        <f ca="1">IFERROR(__xludf.DUMMYFUNCTION("""COMPUTED_VALUE"""),"Yes")</f>
        <v>Yes</v>
      </c>
      <c r="AB124" s="5" t="str">
        <f ca="1">IFERROR(__xludf.DUMMYFUNCTION("""COMPUTED_VALUE"""),"Yes")</f>
        <v>Yes</v>
      </c>
      <c r="AC124" s="5" t="str">
        <f ca="1">IFERROR(__xludf.DUMMYFUNCTION("""COMPUTED_VALUE"""),"Yes")</f>
        <v>Yes</v>
      </c>
      <c r="AD124" s="5" t="str">
        <f ca="1">IFERROR(__xludf.DUMMYFUNCTION("""COMPUTED_VALUE"""),"Yes")</f>
        <v>Yes</v>
      </c>
      <c r="AE124" s="5" t="str">
        <f ca="1">IFERROR(__xludf.DUMMYFUNCTION("""COMPUTED_VALUE"""),"Yes")</f>
        <v>Yes</v>
      </c>
      <c r="AF124" s="5" t="str">
        <f ca="1">IFERROR(__xludf.DUMMYFUNCTION("""COMPUTED_VALUE"""),"Yes")</f>
        <v>Yes</v>
      </c>
      <c r="AG124" s="5" t="str">
        <f ca="1">IFERROR(__xludf.DUMMYFUNCTION("""COMPUTED_VALUE"""),"Yes")</f>
        <v>Yes</v>
      </c>
      <c r="AH124" s="5" t="str">
        <f ca="1">IFERROR(__xludf.DUMMYFUNCTION("""COMPUTED_VALUE"""),"Yes")</f>
        <v>Yes</v>
      </c>
      <c r="AI124" s="5" t="str">
        <f ca="1">IFERROR(__xludf.DUMMYFUNCTION("""COMPUTED_VALUE"""),"No")</f>
        <v>No</v>
      </c>
      <c r="AJ124" s="5" t="str">
        <f ca="1">IFERROR(__xludf.DUMMYFUNCTION("""COMPUTED_VALUE"""),"No")</f>
        <v>No</v>
      </c>
      <c r="AK124" s="5" t="str">
        <f ca="1">IFERROR(__xludf.DUMMYFUNCTION("""COMPUTED_VALUE"""),"No")</f>
        <v>No</v>
      </c>
      <c r="AL124" s="5" t="str">
        <f ca="1">IFERROR(__xludf.DUMMYFUNCTION("""COMPUTED_VALUE"""),"No")</f>
        <v>No</v>
      </c>
      <c r="AM124" s="5" t="str">
        <f ca="1">IFERROR(__xludf.DUMMYFUNCTION("""COMPUTED_VALUE"""),"No")</f>
        <v>No</v>
      </c>
      <c r="AN124" s="5" t="str">
        <f ca="1">IFERROR(__xludf.DUMMYFUNCTION("""COMPUTED_VALUE"""),"No")</f>
        <v>No</v>
      </c>
      <c r="AO124" s="5" t="str">
        <f ca="1">IFERROR(__xludf.DUMMYFUNCTION("""COMPUTED_VALUE"""),"Yes")</f>
        <v>Yes</v>
      </c>
      <c r="AP124" s="5" t="str">
        <f ca="1">IFERROR(__xludf.DUMMYFUNCTION("""COMPUTED_VALUE"""),"No")</f>
        <v>No</v>
      </c>
      <c r="AQ124" s="5" t="str">
        <f ca="1">IFERROR(__xludf.DUMMYFUNCTION("""COMPUTED_VALUE"""),"No")</f>
        <v>No</v>
      </c>
      <c r="AR124" s="5" t="str">
        <f ca="1">IFERROR(__xludf.DUMMYFUNCTION("""COMPUTED_VALUE"""),"No")</f>
        <v>No</v>
      </c>
      <c r="AS124" s="5" t="str">
        <f ca="1">IFERROR(__xludf.DUMMYFUNCTION("""COMPUTED_VALUE"""),"Yes")</f>
        <v>Yes</v>
      </c>
      <c r="AT124" s="5" t="str">
        <f ca="1">IFERROR(__xludf.DUMMYFUNCTION("""COMPUTED_VALUE"""),"No")</f>
        <v>No</v>
      </c>
      <c r="AU124" s="5"/>
    </row>
    <row r="125" spans="1:47" x14ac:dyDescent="0.25">
      <c r="A125" s="5" t="str">
        <f ca="1">IFERROR(__xludf.DUMMYFUNCTION("""COMPUTED_VALUE"""),"Redstone")</f>
        <v>Redstone</v>
      </c>
      <c r="B125" s="5" t="str">
        <f ca="1">IFERROR(__xludf.DUMMYFUNCTION("""COMPUTED_VALUE"""),"Clover Deluxe 2X")</f>
        <v>Clover Deluxe 2X</v>
      </c>
      <c r="C125" s="5" t="str">
        <f ca="1">IFERROR(__xludf.DUMMYFUNCTION("""COMPUTED_VALUE"""),"RedstoneCloverDeluxe2X")</f>
        <v>RedstoneCloverDeluxe2X</v>
      </c>
      <c r="D125" s="6">
        <f ca="1">IFERROR(__xludf.DUMMYFUNCTION("""COMPUTED_VALUE"""),46139)</f>
        <v>46139</v>
      </c>
      <c r="E125" s="5" t="str">
        <f ca="1">IFERROR(__xludf.DUMMYFUNCTION("""COMPUTED_VALUE"""),"Slot")</f>
        <v>Slot</v>
      </c>
      <c r="F125" s="5">
        <f ca="1">IFERROR(__xludf.DUMMYFUNCTION("""COMPUTED_VALUE"""),8.5)</f>
        <v>8.5</v>
      </c>
      <c r="G125" s="5" t="str">
        <f ca="1">IFERROR(__xludf.DUMMYFUNCTION("""COMPUTED_VALUE"""),"5x3")</f>
        <v>5x3</v>
      </c>
      <c r="H125" s="5">
        <f ca="1">IFERROR(__xludf.DUMMYFUNCTION("""COMPUTED_VALUE"""),5)</f>
        <v>5</v>
      </c>
      <c r="I125" s="5">
        <f ca="1">IFERROR(__xludf.DUMMYFUNCTION("""COMPUTED_VALUE"""),5)</f>
        <v>5</v>
      </c>
      <c r="J125" s="5" t="str">
        <f ca="1">IFERROR(__xludf.DUMMYFUNCTION("""COMPUTED_VALUE"""),"96.45%")</f>
        <v>96.45%</v>
      </c>
      <c r="K125" s="5" t="str">
        <f ca="1">IFERROR(__xludf.DUMMYFUNCTION("""COMPUTED_VALUE"""),"Low")</f>
        <v>Low</v>
      </c>
      <c r="L125" s="5" t="str">
        <f ca="1">IFERROR(__xludf.DUMMYFUNCTION("""COMPUTED_VALUE"""),"14.23%")</f>
        <v>14.23%</v>
      </c>
      <c r="M125" s="5" t="str">
        <f ca="1">IFERROR(__xludf.DUMMYFUNCTION("""COMPUTED_VALUE"""),"x2624")</f>
        <v>x2624</v>
      </c>
      <c r="N125" s="5" t="str">
        <f ca="1">IFERROR(__xludf.DUMMYFUNCTION("""COMPUTED_VALUE"""),"0.10/50")</f>
        <v>0.10/50</v>
      </c>
      <c r="O125" s="5" t="str">
        <f ca="1">IFERROR(__xludf.DUMMYFUNCTION("""COMPUTED_VALUE"""),"No")</f>
        <v>No</v>
      </c>
      <c r="P125" s="5" t="str">
        <f ca="1">IFERROR(__xludf.DUMMYFUNCTION("""COMPUTED_VALUE"""),"Expanding Wild, Scatter")</f>
        <v>Expanding Wild, Scatter</v>
      </c>
      <c r="Q125" s="7" t="str">
        <f ca="1">IFERROR(__xludf.DUMMYFUNCTION("""COMPUTED_VALUE"""),"https://static.redstone.rs/games/heart-deluxe-2x/")</f>
        <v>https://static.redstone.rs/games/heart-deluxe-2x/</v>
      </c>
      <c r="R125" s="5" t="str">
        <f ca="1">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5" s="5" t="str">
        <f ca="1">IFERROR(__xludf.DUMMYFUNCTION("""COMPUTED_VALUE"""),"Yes")</f>
        <v>Yes</v>
      </c>
      <c r="U125" s="5" t="str">
        <f ca="1">IFERROR(__xludf.DUMMYFUNCTION("""COMPUTED_VALUE"""),"Yes")</f>
        <v>Yes</v>
      </c>
      <c r="V125" s="5" t="str">
        <f ca="1">IFERROR(__xludf.DUMMYFUNCTION("""COMPUTED_VALUE"""),"Yes")</f>
        <v>Yes</v>
      </c>
      <c r="W125" s="5" t="str">
        <f ca="1">IFERROR(__xludf.DUMMYFUNCTION("""COMPUTED_VALUE"""),"Yes")</f>
        <v>Yes</v>
      </c>
      <c r="X125" s="5" t="str">
        <f ca="1">IFERROR(__xludf.DUMMYFUNCTION("""COMPUTED_VALUE"""),"Yes")</f>
        <v>Yes</v>
      </c>
      <c r="Y125" s="5" t="str">
        <f ca="1">IFERROR(__xludf.DUMMYFUNCTION("""COMPUTED_VALUE"""),"Yes")</f>
        <v>Yes</v>
      </c>
      <c r="Z125" s="5" t="str">
        <f ca="1">IFERROR(__xludf.DUMMYFUNCTION("""COMPUTED_VALUE"""),"Yes")</f>
        <v>Yes</v>
      </c>
      <c r="AA125" s="5" t="str">
        <f ca="1">IFERROR(__xludf.DUMMYFUNCTION("""COMPUTED_VALUE"""),"Yes")</f>
        <v>Yes</v>
      </c>
      <c r="AB125" s="5" t="str">
        <f ca="1">IFERROR(__xludf.DUMMYFUNCTION("""COMPUTED_VALUE"""),"Yes")</f>
        <v>Yes</v>
      </c>
      <c r="AC125" s="5" t="str">
        <f ca="1">IFERROR(__xludf.DUMMYFUNCTION("""COMPUTED_VALUE"""),"Yes")</f>
        <v>Yes</v>
      </c>
      <c r="AD125" s="5" t="str">
        <f ca="1">IFERROR(__xludf.DUMMYFUNCTION("""COMPUTED_VALUE"""),"Yes")</f>
        <v>Yes</v>
      </c>
      <c r="AE125" s="5" t="str">
        <f ca="1">IFERROR(__xludf.DUMMYFUNCTION("""COMPUTED_VALUE"""),"Yes")</f>
        <v>Yes</v>
      </c>
      <c r="AF125" s="5" t="str">
        <f ca="1">IFERROR(__xludf.DUMMYFUNCTION("""COMPUTED_VALUE"""),"Yes")</f>
        <v>Yes</v>
      </c>
      <c r="AG125" s="5" t="str">
        <f ca="1">IFERROR(__xludf.DUMMYFUNCTION("""COMPUTED_VALUE"""),"Yes")</f>
        <v>Yes</v>
      </c>
      <c r="AH125" s="5" t="str">
        <f ca="1">IFERROR(__xludf.DUMMYFUNCTION("""COMPUTED_VALUE"""),"Yes")</f>
        <v>Yes</v>
      </c>
      <c r="AI125" s="5" t="str">
        <f ca="1">IFERROR(__xludf.DUMMYFUNCTION("""COMPUTED_VALUE"""),"No")</f>
        <v>No</v>
      </c>
      <c r="AJ125" s="5" t="str">
        <f ca="1">IFERROR(__xludf.DUMMYFUNCTION("""COMPUTED_VALUE"""),"No")</f>
        <v>No</v>
      </c>
      <c r="AK125" s="5" t="str">
        <f ca="1">IFERROR(__xludf.DUMMYFUNCTION("""COMPUTED_VALUE"""),"No")</f>
        <v>No</v>
      </c>
      <c r="AL125" s="5" t="str">
        <f ca="1">IFERROR(__xludf.DUMMYFUNCTION("""COMPUTED_VALUE"""),"No")</f>
        <v>No</v>
      </c>
      <c r="AM125" s="5" t="str">
        <f ca="1">IFERROR(__xludf.DUMMYFUNCTION("""COMPUTED_VALUE"""),"No")</f>
        <v>No</v>
      </c>
      <c r="AN125" s="5" t="str">
        <f ca="1">IFERROR(__xludf.DUMMYFUNCTION("""COMPUTED_VALUE"""),"No")</f>
        <v>No</v>
      </c>
      <c r="AO125" s="5" t="str">
        <f ca="1">IFERROR(__xludf.DUMMYFUNCTION("""COMPUTED_VALUE"""),"Yes")</f>
        <v>Yes</v>
      </c>
      <c r="AP125" s="5" t="str">
        <f ca="1">IFERROR(__xludf.DUMMYFUNCTION("""COMPUTED_VALUE"""),"No")</f>
        <v>No</v>
      </c>
      <c r="AQ125" s="5" t="str">
        <f ca="1">IFERROR(__xludf.DUMMYFUNCTION("""COMPUTED_VALUE"""),"No")</f>
        <v>No</v>
      </c>
      <c r="AR125" s="5" t="str">
        <f ca="1">IFERROR(__xludf.DUMMYFUNCTION("""COMPUTED_VALUE"""),"No")</f>
        <v>No</v>
      </c>
      <c r="AS125" s="5" t="str">
        <f ca="1">IFERROR(__xludf.DUMMYFUNCTION("""COMPUTED_VALUE"""),"Yes")</f>
        <v>Yes</v>
      </c>
      <c r="AT125" s="5" t="str">
        <f ca="1">IFERROR(__xludf.DUMMYFUNCTION("""COMPUTED_VALUE"""),"No")</f>
        <v>No</v>
      </c>
      <c r="AU125" s="5"/>
    </row>
    <row r="126" spans="1:47" x14ac:dyDescent="0.25">
      <c r="A126" s="5" t="str">
        <f ca="1">IFERROR(__xludf.DUMMYFUNCTION("""COMPUTED_VALUE"""),"Redstone")</f>
        <v>Redstone</v>
      </c>
      <c r="B126" s="5" t="str">
        <f ca="1">IFERROR(__xludf.DUMMYFUNCTION("""COMPUTED_VALUE"""),"Pure Hot 5")</f>
        <v>Pure Hot 5</v>
      </c>
      <c r="C126" s="5" t="str">
        <f ca="1">IFERROR(__xludf.DUMMYFUNCTION("""COMPUTED_VALUE"""),"RedstonePureHot5")</f>
        <v>RedstonePureHot5</v>
      </c>
      <c r="D126" s="6">
        <f ca="1">IFERROR(__xludf.DUMMYFUNCTION("""COMPUTED_VALUE"""),46149)</f>
        <v>46149</v>
      </c>
      <c r="E126" s="5" t="str">
        <f ca="1">IFERROR(__xludf.DUMMYFUNCTION("""COMPUTED_VALUE"""),"Slot")</f>
        <v>Slot</v>
      </c>
      <c r="F126" s="5">
        <f ca="1">IFERROR(__xludf.DUMMYFUNCTION("""COMPUTED_VALUE"""),8.1)</f>
        <v>8.1</v>
      </c>
      <c r="G126" s="5" t="str">
        <f ca="1">IFERROR(__xludf.DUMMYFUNCTION("""COMPUTED_VALUE"""),"5x3")</f>
        <v>5x3</v>
      </c>
      <c r="H126" s="5">
        <f ca="1">IFERROR(__xludf.DUMMYFUNCTION("""COMPUTED_VALUE"""),5)</f>
        <v>5</v>
      </c>
      <c r="I126" s="5">
        <f ca="1">IFERROR(__xludf.DUMMYFUNCTION("""COMPUTED_VALUE"""),5)</f>
        <v>5</v>
      </c>
      <c r="J126" s="5" t="str">
        <f ca="1">IFERROR(__xludf.DUMMYFUNCTION("""COMPUTED_VALUE"""),"96.5%")</f>
        <v>96.5%</v>
      </c>
      <c r="K126" s="5" t="str">
        <f ca="1">IFERROR(__xludf.DUMMYFUNCTION("""COMPUTED_VALUE"""),"Low")</f>
        <v>Low</v>
      </c>
      <c r="L126" s="5" t="str">
        <f ca="1">IFERROR(__xludf.DUMMYFUNCTION("""COMPUTED_VALUE"""),"10.45%")</f>
        <v>10.45%</v>
      </c>
      <c r="M126" s="5" t="str">
        <f ca="1">IFERROR(__xludf.DUMMYFUNCTION("""COMPUTED_VALUE"""),"x1040")</f>
        <v>x1040</v>
      </c>
      <c r="N126" s="5" t="str">
        <f ca="1">IFERROR(__xludf.DUMMYFUNCTION("""COMPUTED_VALUE"""),"0.10/50")</f>
        <v>0.10/50</v>
      </c>
      <c r="O126" s="5" t="str">
        <f ca="1">IFERROR(__xludf.DUMMYFUNCTION("""COMPUTED_VALUE"""),"No")</f>
        <v>No</v>
      </c>
      <c r="P126" s="5"/>
      <c r="Q126" s="7" t="str">
        <f ca="1">IFERROR(__xludf.DUMMYFUNCTION("""COMPUTED_VALUE"""),"https://static.redstone.rs/games/pure-hot-5/")</f>
        <v>https://static.redstone.rs/games/pure-hot-5/</v>
      </c>
      <c r="R126" s="5" t="str">
        <f ca="1">IFERROR(__xludf.DUMMYFUNCTION("""COMPUTED_VALUE"""),"Heat up the reels in Pure Hot 5 and stay in the run. Fast action, clear hits, and a flow that keeps you chasing more.")</f>
        <v>Heat up the reels in Pure Hot 5 and stay in the run. Fast action, clear hits, and a flow that keeps you chasing more.</v>
      </c>
      <c r="S12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6" s="5" t="str">
        <f ca="1">IFERROR(__xludf.DUMMYFUNCTION("""COMPUTED_VALUE"""),"Yes")</f>
        <v>Yes</v>
      </c>
      <c r="U126" s="5" t="str">
        <f ca="1">IFERROR(__xludf.DUMMYFUNCTION("""COMPUTED_VALUE"""),"Yes")</f>
        <v>Yes</v>
      </c>
      <c r="V126" s="5" t="str">
        <f ca="1">IFERROR(__xludf.DUMMYFUNCTION("""COMPUTED_VALUE"""),"Yes")</f>
        <v>Yes</v>
      </c>
      <c r="W126" s="5" t="str">
        <f ca="1">IFERROR(__xludf.DUMMYFUNCTION("""COMPUTED_VALUE"""),"Yes")</f>
        <v>Yes</v>
      </c>
      <c r="X126" s="5" t="str">
        <f ca="1">IFERROR(__xludf.DUMMYFUNCTION("""COMPUTED_VALUE"""),"Yes")</f>
        <v>Yes</v>
      </c>
      <c r="Y126" s="5" t="str">
        <f ca="1">IFERROR(__xludf.DUMMYFUNCTION("""COMPUTED_VALUE"""),"Yes")</f>
        <v>Yes</v>
      </c>
      <c r="Z126" s="5" t="str">
        <f ca="1">IFERROR(__xludf.DUMMYFUNCTION("""COMPUTED_VALUE"""),"Yes")</f>
        <v>Yes</v>
      </c>
      <c r="AA126" s="5" t="str">
        <f ca="1">IFERROR(__xludf.DUMMYFUNCTION("""COMPUTED_VALUE"""),"Yes")</f>
        <v>Yes</v>
      </c>
      <c r="AB126" s="5" t="str">
        <f ca="1">IFERROR(__xludf.DUMMYFUNCTION("""COMPUTED_VALUE"""),"Yes")</f>
        <v>Yes</v>
      </c>
      <c r="AC126" s="5" t="str">
        <f ca="1">IFERROR(__xludf.DUMMYFUNCTION("""COMPUTED_VALUE"""),"Yes")</f>
        <v>Yes</v>
      </c>
      <c r="AD126" s="5" t="str">
        <f ca="1">IFERROR(__xludf.DUMMYFUNCTION("""COMPUTED_VALUE"""),"Yes")</f>
        <v>Yes</v>
      </c>
      <c r="AE126" s="5" t="str">
        <f ca="1">IFERROR(__xludf.DUMMYFUNCTION("""COMPUTED_VALUE"""),"Yes")</f>
        <v>Yes</v>
      </c>
      <c r="AF126" s="5" t="str">
        <f ca="1">IFERROR(__xludf.DUMMYFUNCTION("""COMPUTED_VALUE"""),"Yes")</f>
        <v>Yes</v>
      </c>
      <c r="AG126" s="5" t="str">
        <f ca="1">IFERROR(__xludf.DUMMYFUNCTION("""COMPUTED_VALUE"""),"Yes")</f>
        <v>Yes</v>
      </c>
      <c r="AH126" s="5" t="str">
        <f ca="1">IFERROR(__xludf.DUMMYFUNCTION("""COMPUTED_VALUE"""),"Yes")</f>
        <v>Yes</v>
      </c>
      <c r="AI126" s="5" t="str">
        <f ca="1">IFERROR(__xludf.DUMMYFUNCTION("""COMPUTED_VALUE"""),"No")</f>
        <v>No</v>
      </c>
      <c r="AJ126" s="5" t="str">
        <f ca="1">IFERROR(__xludf.DUMMYFUNCTION("""COMPUTED_VALUE"""),"No")</f>
        <v>No</v>
      </c>
      <c r="AK126" s="5" t="str">
        <f ca="1">IFERROR(__xludf.DUMMYFUNCTION("""COMPUTED_VALUE"""),"No")</f>
        <v>No</v>
      </c>
      <c r="AL126" s="5" t="str">
        <f ca="1">IFERROR(__xludf.DUMMYFUNCTION("""COMPUTED_VALUE"""),"No")</f>
        <v>No</v>
      </c>
      <c r="AM126" s="5" t="str">
        <f ca="1">IFERROR(__xludf.DUMMYFUNCTION("""COMPUTED_VALUE"""),"No")</f>
        <v>No</v>
      </c>
      <c r="AN126" s="5" t="str">
        <f ca="1">IFERROR(__xludf.DUMMYFUNCTION("""COMPUTED_VALUE"""),"No")</f>
        <v>No</v>
      </c>
      <c r="AO126" s="5" t="str">
        <f ca="1">IFERROR(__xludf.DUMMYFUNCTION("""COMPUTED_VALUE"""),"Yes")</f>
        <v>Yes</v>
      </c>
      <c r="AP126" s="5" t="str">
        <f ca="1">IFERROR(__xludf.DUMMYFUNCTION("""COMPUTED_VALUE"""),"No")</f>
        <v>No</v>
      </c>
      <c r="AQ126" s="5" t="str">
        <f ca="1">IFERROR(__xludf.DUMMYFUNCTION("""COMPUTED_VALUE"""),"No")</f>
        <v>No</v>
      </c>
      <c r="AR126" s="5" t="str">
        <f ca="1">IFERROR(__xludf.DUMMYFUNCTION("""COMPUTED_VALUE"""),"No")</f>
        <v>No</v>
      </c>
      <c r="AS126" s="5" t="str">
        <f ca="1">IFERROR(__xludf.DUMMYFUNCTION("""COMPUTED_VALUE"""),"Yes")</f>
        <v>Yes</v>
      </c>
      <c r="AT126" s="5" t="str">
        <f ca="1">IFERROR(__xludf.DUMMYFUNCTION("""COMPUTED_VALUE"""),"No")</f>
        <v>No</v>
      </c>
      <c r="AU126" s="5"/>
    </row>
    <row r="127" spans="1:47" x14ac:dyDescent="0.25">
      <c r="A127" s="5" t="str">
        <f ca="1">IFERROR(__xludf.DUMMYFUNCTION("""COMPUTED_VALUE"""),"Redstone")</f>
        <v>Redstone</v>
      </c>
      <c r="B127" s="5" t="str">
        <f ca="1">IFERROR(__xludf.DUMMYFUNCTION("""COMPUTED_VALUE"""),"X Wild Crown")</f>
        <v>X Wild Crown</v>
      </c>
      <c r="C127" s="5" t="str">
        <f ca="1">IFERROR(__xludf.DUMMYFUNCTION("""COMPUTED_VALUE"""),"RedstoneXWildCrown")</f>
        <v>RedstoneXWildCrown</v>
      </c>
      <c r="D127" s="6">
        <f ca="1">IFERROR(__xludf.DUMMYFUNCTION("""COMPUTED_VALUE"""),46153)</f>
        <v>46153</v>
      </c>
      <c r="E127" s="5" t="str">
        <f ca="1">IFERROR(__xludf.DUMMYFUNCTION("""COMPUTED_VALUE"""),"Slot")</f>
        <v>Slot</v>
      </c>
      <c r="F127" s="5">
        <f ca="1">IFERROR(__xludf.DUMMYFUNCTION("""COMPUTED_VALUE"""),6.9)</f>
        <v>6.9</v>
      </c>
      <c r="G127" s="5" t="str">
        <f ca="1">IFERROR(__xludf.DUMMYFUNCTION("""COMPUTED_VALUE"""),"5x3")</f>
        <v>5x3</v>
      </c>
      <c r="H127" s="5">
        <f ca="1">IFERROR(__xludf.DUMMYFUNCTION("""COMPUTED_VALUE"""),5)</f>
        <v>5</v>
      </c>
      <c r="I127" s="5">
        <f ca="1">IFERROR(__xludf.DUMMYFUNCTION("""COMPUTED_VALUE"""),5)</f>
        <v>5</v>
      </c>
      <c r="J127" s="5" t="str">
        <f ca="1">IFERROR(__xludf.DUMMYFUNCTION("""COMPUTED_VALUE"""),"95.96%")</f>
        <v>95.96%</v>
      </c>
      <c r="K127" s="5" t="str">
        <f ca="1">IFERROR(__xludf.DUMMYFUNCTION("""COMPUTED_VALUE"""),"Low")</f>
        <v>Low</v>
      </c>
      <c r="L127" s="5" t="str">
        <f ca="1">IFERROR(__xludf.DUMMYFUNCTION("""COMPUTED_VALUE"""),"10.7%")</f>
        <v>10.7%</v>
      </c>
      <c r="M127" s="5" t="str">
        <f ca="1">IFERROR(__xludf.DUMMYFUNCTION("""COMPUTED_VALUE"""),"x2150")</f>
        <v>x2150</v>
      </c>
      <c r="N127" s="5" t="str">
        <f ca="1">IFERROR(__xludf.DUMMYFUNCTION("""COMPUTED_VALUE"""),"0.10/50")</f>
        <v>0.10/50</v>
      </c>
      <c r="O127" s="5" t="str">
        <f ca="1">IFERROR(__xludf.DUMMYFUNCTION("""COMPUTED_VALUE"""),"No")</f>
        <v>No</v>
      </c>
      <c r="P127" s="5" t="str">
        <f ca="1">IFERROR(__xludf.DUMMYFUNCTION("""COMPUTED_VALUE"""),"Expanding Wild, Wild Multiplier")</f>
        <v>Expanding Wild, Wild Multiplier</v>
      </c>
      <c r="Q127" s="7" t="str">
        <f ca="1">IFERROR(__xludf.DUMMYFUNCTION("""COMPUTED_VALUE"""),"https://static.redstone.rs/games/x-wild-crown/")</f>
        <v>https://static.redstone.rs/games/x-wild-crown/</v>
      </c>
      <c r="R127" s="5" t="str">
        <f ca="1">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S12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7" s="5" t="str">
        <f ca="1">IFERROR(__xludf.DUMMYFUNCTION("""COMPUTED_VALUE"""),"Yes")</f>
        <v>Yes</v>
      </c>
      <c r="U127" s="5" t="str">
        <f ca="1">IFERROR(__xludf.DUMMYFUNCTION("""COMPUTED_VALUE"""),"Yes")</f>
        <v>Yes</v>
      </c>
      <c r="V127" s="5" t="str">
        <f ca="1">IFERROR(__xludf.DUMMYFUNCTION("""COMPUTED_VALUE"""),"Yes")</f>
        <v>Yes</v>
      </c>
      <c r="W127" s="5" t="str">
        <f ca="1">IFERROR(__xludf.DUMMYFUNCTION("""COMPUTED_VALUE"""),"Yes")</f>
        <v>Yes</v>
      </c>
      <c r="X127" s="5" t="str">
        <f ca="1">IFERROR(__xludf.DUMMYFUNCTION("""COMPUTED_VALUE"""),"Yes")</f>
        <v>Yes</v>
      </c>
      <c r="Y127" s="5" t="str">
        <f ca="1">IFERROR(__xludf.DUMMYFUNCTION("""COMPUTED_VALUE"""),"Yes")</f>
        <v>Yes</v>
      </c>
      <c r="Z127" s="5" t="str">
        <f ca="1">IFERROR(__xludf.DUMMYFUNCTION("""COMPUTED_VALUE"""),"Yes")</f>
        <v>Yes</v>
      </c>
      <c r="AA127" s="5" t="str">
        <f ca="1">IFERROR(__xludf.DUMMYFUNCTION("""COMPUTED_VALUE"""),"Yes")</f>
        <v>Yes</v>
      </c>
      <c r="AB127" s="5" t="str">
        <f ca="1">IFERROR(__xludf.DUMMYFUNCTION("""COMPUTED_VALUE"""),"Yes")</f>
        <v>Yes</v>
      </c>
      <c r="AC127" s="5" t="str">
        <f ca="1">IFERROR(__xludf.DUMMYFUNCTION("""COMPUTED_VALUE"""),"Yes")</f>
        <v>Yes</v>
      </c>
      <c r="AD127" s="5" t="str">
        <f ca="1">IFERROR(__xludf.DUMMYFUNCTION("""COMPUTED_VALUE"""),"Yes")</f>
        <v>Yes</v>
      </c>
      <c r="AE127" s="5" t="str">
        <f ca="1">IFERROR(__xludf.DUMMYFUNCTION("""COMPUTED_VALUE"""),"Yes")</f>
        <v>Yes</v>
      </c>
      <c r="AF127" s="5" t="str">
        <f ca="1">IFERROR(__xludf.DUMMYFUNCTION("""COMPUTED_VALUE"""),"Yes")</f>
        <v>Yes</v>
      </c>
      <c r="AG127" s="5" t="str">
        <f ca="1">IFERROR(__xludf.DUMMYFUNCTION("""COMPUTED_VALUE"""),"Yes")</f>
        <v>Yes</v>
      </c>
      <c r="AH127" s="5" t="str">
        <f ca="1">IFERROR(__xludf.DUMMYFUNCTION("""COMPUTED_VALUE"""),"Yes")</f>
        <v>Yes</v>
      </c>
      <c r="AI127" s="5" t="str">
        <f ca="1">IFERROR(__xludf.DUMMYFUNCTION("""COMPUTED_VALUE"""),"No")</f>
        <v>No</v>
      </c>
      <c r="AJ127" s="5" t="str">
        <f ca="1">IFERROR(__xludf.DUMMYFUNCTION("""COMPUTED_VALUE"""),"No")</f>
        <v>No</v>
      </c>
      <c r="AK127" s="5" t="str">
        <f ca="1">IFERROR(__xludf.DUMMYFUNCTION("""COMPUTED_VALUE"""),"No")</f>
        <v>No</v>
      </c>
      <c r="AL127" s="5" t="str">
        <f ca="1">IFERROR(__xludf.DUMMYFUNCTION("""COMPUTED_VALUE"""),"No")</f>
        <v>No</v>
      </c>
      <c r="AM127" s="5" t="str">
        <f ca="1">IFERROR(__xludf.DUMMYFUNCTION("""COMPUTED_VALUE"""),"No")</f>
        <v>No</v>
      </c>
      <c r="AN127" s="5" t="str">
        <f ca="1">IFERROR(__xludf.DUMMYFUNCTION("""COMPUTED_VALUE"""),"No")</f>
        <v>No</v>
      </c>
      <c r="AO127" s="5" t="str">
        <f ca="1">IFERROR(__xludf.DUMMYFUNCTION("""COMPUTED_VALUE"""),"Yes")</f>
        <v>Yes</v>
      </c>
      <c r="AP127" s="5" t="str">
        <f ca="1">IFERROR(__xludf.DUMMYFUNCTION("""COMPUTED_VALUE"""),"No")</f>
        <v>No</v>
      </c>
      <c r="AQ127" s="5" t="str">
        <f ca="1">IFERROR(__xludf.DUMMYFUNCTION("""COMPUTED_VALUE"""),"No")</f>
        <v>No</v>
      </c>
      <c r="AR127" s="5" t="str">
        <f ca="1">IFERROR(__xludf.DUMMYFUNCTION("""COMPUTED_VALUE"""),"No")</f>
        <v>No</v>
      </c>
      <c r="AS127" s="5" t="str">
        <f ca="1">IFERROR(__xludf.DUMMYFUNCTION("""COMPUTED_VALUE"""),"Yes")</f>
        <v>Yes</v>
      </c>
      <c r="AT127" s="5" t="str">
        <f ca="1">IFERROR(__xludf.DUMMYFUNCTION("""COMPUTED_VALUE"""),"No")</f>
        <v>No</v>
      </c>
      <c r="AU127" s="5"/>
    </row>
    <row r="128" spans="1:47" x14ac:dyDescent="0.25">
      <c r="A128" s="5" t="str">
        <f ca="1">IFERROR(__xludf.DUMMYFUNCTION("""COMPUTED_VALUE"""),"Redstone")</f>
        <v>Redstone</v>
      </c>
      <c r="B128" s="5" t="str">
        <f ca="1">IFERROR(__xludf.DUMMYFUNCTION("""COMPUTED_VALUE"""),"5 Clover Deluxe")</f>
        <v>5 Clover Deluxe</v>
      </c>
      <c r="C128" s="5" t="str">
        <f ca="1">IFERROR(__xludf.DUMMYFUNCTION("""COMPUTED_VALUE"""),"Redstone5CloverDeluxe")</f>
        <v>Redstone5CloverDeluxe</v>
      </c>
      <c r="D128" s="6">
        <f ca="1">IFERROR(__xludf.DUMMYFUNCTION("""COMPUTED_VALUE"""),46160)</f>
        <v>46160</v>
      </c>
      <c r="E128" s="5" t="str">
        <f ca="1">IFERROR(__xludf.DUMMYFUNCTION("""COMPUTED_VALUE"""),"Slot")</f>
        <v>Slot</v>
      </c>
      <c r="F128" s="5">
        <f ca="1">IFERROR(__xludf.DUMMYFUNCTION("""COMPUTED_VALUE"""),8.3)</f>
        <v>8.3000000000000007</v>
      </c>
      <c r="G128" s="5" t="str">
        <f ca="1">IFERROR(__xludf.DUMMYFUNCTION("""COMPUTED_VALUE"""),"5x3")</f>
        <v>5x3</v>
      </c>
      <c r="H128" s="5">
        <f ca="1">IFERROR(__xludf.DUMMYFUNCTION("""COMPUTED_VALUE"""),5)</f>
        <v>5</v>
      </c>
      <c r="I128" s="5">
        <f ca="1">IFERROR(__xludf.DUMMYFUNCTION("""COMPUTED_VALUE"""),5)</f>
        <v>5</v>
      </c>
      <c r="J128" s="5" t="str">
        <f ca="1">IFERROR(__xludf.DUMMYFUNCTION("""COMPUTED_VALUE"""),"96.45%")</f>
        <v>96.45%</v>
      </c>
      <c r="K128" s="5" t="str">
        <f ca="1">IFERROR(__xludf.DUMMYFUNCTION("""COMPUTED_VALUE"""),"Low")</f>
        <v>Low</v>
      </c>
      <c r="L128" s="5" t="str">
        <f ca="1">IFERROR(__xludf.DUMMYFUNCTION("""COMPUTED_VALUE"""),"14.5%")</f>
        <v>14.5%</v>
      </c>
      <c r="M128" s="5" t="str">
        <f ca="1">IFERROR(__xludf.DUMMYFUNCTION("""COMPUTED_VALUE"""),"x1222")</f>
        <v>x1222</v>
      </c>
      <c r="N128" s="5" t="str">
        <f ca="1">IFERROR(__xludf.DUMMYFUNCTION("""COMPUTED_VALUE"""),"0.10/50")</f>
        <v>0.10/50</v>
      </c>
      <c r="O128" s="5" t="str">
        <f ca="1">IFERROR(__xludf.DUMMYFUNCTION("""COMPUTED_VALUE"""),"No")</f>
        <v>No</v>
      </c>
      <c r="P128" s="5" t="str">
        <f ca="1">IFERROR(__xludf.DUMMYFUNCTION("""COMPUTED_VALUE"""),"Expanding Wild, Scatter")</f>
        <v>Expanding Wild, Scatter</v>
      </c>
      <c r="Q128" s="7" t="str">
        <f ca="1">IFERROR(__xludf.DUMMYFUNCTION("""COMPUTED_VALUE"""),"https://static.redstone.rs/games/5-clover-deluxe/")</f>
        <v>https://static.redstone.rs/games/5-clover-deluxe/</v>
      </c>
      <c r="R128" s="5" t="str">
        <f ca="1">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S12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8" s="5" t="str">
        <f ca="1">IFERROR(__xludf.DUMMYFUNCTION("""COMPUTED_VALUE"""),"Yes")</f>
        <v>Yes</v>
      </c>
      <c r="U128" s="5" t="str">
        <f ca="1">IFERROR(__xludf.DUMMYFUNCTION("""COMPUTED_VALUE"""),"Yes")</f>
        <v>Yes</v>
      </c>
      <c r="V128" s="5" t="str">
        <f ca="1">IFERROR(__xludf.DUMMYFUNCTION("""COMPUTED_VALUE"""),"No")</f>
        <v>No</v>
      </c>
      <c r="W128" s="5" t="str">
        <f ca="1">IFERROR(__xludf.DUMMYFUNCTION("""COMPUTED_VALUE"""),"Yes")</f>
        <v>Yes</v>
      </c>
      <c r="X128" s="5" t="str">
        <f ca="1">IFERROR(__xludf.DUMMYFUNCTION("""COMPUTED_VALUE"""),"Yes")</f>
        <v>Yes</v>
      </c>
      <c r="Y128" s="5" t="str">
        <f ca="1">IFERROR(__xludf.DUMMYFUNCTION("""COMPUTED_VALUE"""),"Yes")</f>
        <v>Yes</v>
      </c>
      <c r="Z128" s="5" t="str">
        <f ca="1">IFERROR(__xludf.DUMMYFUNCTION("""COMPUTED_VALUE"""),"Yes")</f>
        <v>Yes</v>
      </c>
      <c r="AA128" s="5" t="str">
        <f ca="1">IFERROR(__xludf.DUMMYFUNCTION("""COMPUTED_VALUE"""),"Yes")</f>
        <v>Yes</v>
      </c>
      <c r="AB128" s="5" t="str">
        <f ca="1">IFERROR(__xludf.DUMMYFUNCTION("""COMPUTED_VALUE"""),"Yes")</f>
        <v>Yes</v>
      </c>
      <c r="AC128" s="5" t="str">
        <f ca="1">IFERROR(__xludf.DUMMYFUNCTION("""COMPUTED_VALUE"""),"Yes")</f>
        <v>Yes</v>
      </c>
      <c r="AD128" s="5" t="str">
        <f ca="1">IFERROR(__xludf.DUMMYFUNCTION("""COMPUTED_VALUE"""),"Yes")</f>
        <v>Yes</v>
      </c>
      <c r="AE128" s="5" t="str">
        <f ca="1">IFERROR(__xludf.DUMMYFUNCTION("""COMPUTED_VALUE"""),"Yes")</f>
        <v>Yes</v>
      </c>
      <c r="AF128" s="5" t="str">
        <f ca="1">IFERROR(__xludf.DUMMYFUNCTION("""COMPUTED_VALUE"""),"Yes")</f>
        <v>Yes</v>
      </c>
      <c r="AG128" s="5" t="str">
        <f ca="1">IFERROR(__xludf.DUMMYFUNCTION("""COMPUTED_VALUE"""),"Yes")</f>
        <v>Yes</v>
      </c>
      <c r="AH128" s="5" t="str">
        <f ca="1">IFERROR(__xludf.DUMMYFUNCTION("""COMPUTED_VALUE"""),"Yes")</f>
        <v>Yes</v>
      </c>
      <c r="AI128" s="5" t="str">
        <f ca="1">IFERROR(__xludf.DUMMYFUNCTION("""COMPUTED_VALUE"""),"No")</f>
        <v>No</v>
      </c>
      <c r="AJ128" s="5" t="str">
        <f ca="1">IFERROR(__xludf.DUMMYFUNCTION("""COMPUTED_VALUE"""),"No")</f>
        <v>No</v>
      </c>
      <c r="AK128" s="5" t="str">
        <f ca="1">IFERROR(__xludf.DUMMYFUNCTION("""COMPUTED_VALUE"""),"No")</f>
        <v>No</v>
      </c>
      <c r="AL128" s="5" t="str">
        <f ca="1">IFERROR(__xludf.DUMMYFUNCTION("""COMPUTED_VALUE"""),"No")</f>
        <v>No</v>
      </c>
      <c r="AM128" s="5" t="str">
        <f ca="1">IFERROR(__xludf.DUMMYFUNCTION("""COMPUTED_VALUE"""),"No")</f>
        <v>No</v>
      </c>
      <c r="AN128" s="5" t="str">
        <f ca="1">IFERROR(__xludf.DUMMYFUNCTION("""COMPUTED_VALUE"""),"No")</f>
        <v>No</v>
      </c>
      <c r="AO128" s="5" t="str">
        <f ca="1">IFERROR(__xludf.DUMMYFUNCTION("""COMPUTED_VALUE"""),"Yes")</f>
        <v>Yes</v>
      </c>
      <c r="AP128" s="5" t="str">
        <f ca="1">IFERROR(__xludf.DUMMYFUNCTION("""COMPUTED_VALUE"""),"No")</f>
        <v>No</v>
      </c>
      <c r="AQ128" s="5" t="str">
        <f ca="1">IFERROR(__xludf.DUMMYFUNCTION("""COMPUTED_VALUE"""),"No")</f>
        <v>No</v>
      </c>
      <c r="AR128" s="5" t="str">
        <f ca="1">IFERROR(__xludf.DUMMYFUNCTION("""COMPUTED_VALUE"""),"No")</f>
        <v>No</v>
      </c>
      <c r="AS128" s="5" t="str">
        <f ca="1">IFERROR(__xludf.DUMMYFUNCTION("""COMPUTED_VALUE"""),"Yes")</f>
        <v>Yes</v>
      </c>
      <c r="AT128" s="5" t="str">
        <f ca="1">IFERROR(__xludf.DUMMYFUNCTION("""COMPUTED_VALUE"""),"No")</f>
        <v>No</v>
      </c>
      <c r="AU128" s="5"/>
    </row>
    <row r="129" spans="1:47" x14ac:dyDescent="0.25">
      <c r="A129" s="5" t="str">
        <f ca="1">IFERROR(__xludf.DUMMYFUNCTION("""COMPUTED_VALUE"""),"Redstone")</f>
        <v>Redstone</v>
      </c>
      <c r="B129" s="5" t="str">
        <f ca="1">IFERROR(__xludf.DUMMYFUNCTION("""COMPUTED_VALUE"""),"Heart Deluxe 2X")</f>
        <v>Heart Deluxe 2X</v>
      </c>
      <c r="C129" s="5" t="str">
        <f ca="1">IFERROR(__xludf.DUMMYFUNCTION("""COMPUTED_VALUE"""),"RedstoneHeartDeluxe2X")</f>
        <v>RedstoneHeartDeluxe2X</v>
      </c>
      <c r="D129" s="6">
        <f ca="1">IFERROR(__xludf.DUMMYFUNCTION("""COMPUTED_VALUE"""),46168)</f>
        <v>46168</v>
      </c>
      <c r="E129" s="5" t="str">
        <f ca="1">IFERROR(__xludf.DUMMYFUNCTION("""COMPUTED_VALUE"""),"Slot")</f>
        <v>Slot</v>
      </c>
      <c r="F129" s="5">
        <f ca="1">IFERROR(__xludf.DUMMYFUNCTION("""COMPUTED_VALUE"""),8.5)</f>
        <v>8.5</v>
      </c>
      <c r="G129" s="5" t="str">
        <f ca="1">IFERROR(__xludf.DUMMYFUNCTION("""COMPUTED_VALUE"""),"5x3")</f>
        <v>5x3</v>
      </c>
      <c r="H129" s="5">
        <f ca="1">IFERROR(__xludf.DUMMYFUNCTION("""COMPUTED_VALUE"""),5)</f>
        <v>5</v>
      </c>
      <c r="I129" s="5">
        <f ca="1">IFERROR(__xludf.DUMMYFUNCTION("""COMPUTED_VALUE"""),5)</f>
        <v>5</v>
      </c>
      <c r="J129" s="5" t="str">
        <f ca="1">IFERROR(__xludf.DUMMYFUNCTION("""COMPUTED_VALUE"""),"96.45%")</f>
        <v>96.45%</v>
      </c>
      <c r="K129" s="5" t="str">
        <f ca="1">IFERROR(__xludf.DUMMYFUNCTION("""COMPUTED_VALUE"""),"Low")</f>
        <v>Low</v>
      </c>
      <c r="L129" s="5" t="str">
        <f ca="1">IFERROR(__xludf.DUMMYFUNCTION("""COMPUTED_VALUE"""),"14.23%")</f>
        <v>14.23%</v>
      </c>
      <c r="M129" s="5" t="str">
        <f ca="1">IFERROR(__xludf.DUMMYFUNCTION("""COMPUTED_VALUE"""),"x2624")</f>
        <v>x2624</v>
      </c>
      <c r="N129" s="5" t="str">
        <f ca="1">IFERROR(__xludf.DUMMYFUNCTION("""COMPUTED_VALUE"""),"0.10/50")</f>
        <v>0.10/50</v>
      </c>
      <c r="O129" s="5" t="str">
        <f ca="1">IFERROR(__xludf.DUMMYFUNCTION("""COMPUTED_VALUE"""),"No")</f>
        <v>No</v>
      </c>
      <c r="P129" s="5" t="str">
        <f ca="1">IFERROR(__xludf.DUMMYFUNCTION("""COMPUTED_VALUE"""),"Scatter, Expanding Wild")</f>
        <v>Scatter, Expanding Wild</v>
      </c>
      <c r="Q129" s="7" t="str">
        <f ca="1">IFERROR(__xludf.DUMMYFUNCTION("""COMPUTED_VALUE"""),"https://static.redstone.rs/games/heart-deluxe-2x/")</f>
        <v>https://static.redstone.rs/games/heart-deluxe-2x/</v>
      </c>
      <c r="R129" s="5" t="str">
        <f ca="1">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9" s="5" t="str">
        <f ca="1">IFERROR(__xludf.DUMMYFUNCTION("""COMPUTED_VALUE"""),"Yes")</f>
        <v>Yes</v>
      </c>
      <c r="U129" s="5" t="str">
        <f ca="1">IFERROR(__xludf.DUMMYFUNCTION("""COMPUTED_VALUE"""),"Yes")</f>
        <v>Yes</v>
      </c>
      <c r="V129" s="5" t="str">
        <f ca="1">IFERROR(__xludf.DUMMYFUNCTION("""COMPUTED_VALUE"""),"No")</f>
        <v>No</v>
      </c>
      <c r="W129" s="5" t="str">
        <f ca="1">IFERROR(__xludf.DUMMYFUNCTION("""COMPUTED_VALUE"""),"Yes")</f>
        <v>Yes</v>
      </c>
      <c r="X129" s="5" t="str">
        <f ca="1">IFERROR(__xludf.DUMMYFUNCTION("""COMPUTED_VALUE"""),"Yes")</f>
        <v>Yes</v>
      </c>
      <c r="Y129" s="5" t="str">
        <f ca="1">IFERROR(__xludf.DUMMYFUNCTION("""COMPUTED_VALUE"""),"Yes")</f>
        <v>Yes</v>
      </c>
      <c r="Z129" s="5" t="str">
        <f ca="1">IFERROR(__xludf.DUMMYFUNCTION("""COMPUTED_VALUE"""),"Yes")</f>
        <v>Yes</v>
      </c>
      <c r="AA129" s="5" t="str">
        <f ca="1">IFERROR(__xludf.DUMMYFUNCTION("""COMPUTED_VALUE"""),"Yes")</f>
        <v>Yes</v>
      </c>
      <c r="AB129" s="5" t="str">
        <f ca="1">IFERROR(__xludf.DUMMYFUNCTION("""COMPUTED_VALUE"""),"Yes")</f>
        <v>Yes</v>
      </c>
      <c r="AC129" s="5" t="str">
        <f ca="1">IFERROR(__xludf.DUMMYFUNCTION("""COMPUTED_VALUE"""),"Yes")</f>
        <v>Yes</v>
      </c>
      <c r="AD129" s="5" t="str">
        <f ca="1">IFERROR(__xludf.DUMMYFUNCTION("""COMPUTED_VALUE"""),"Yes")</f>
        <v>Yes</v>
      </c>
      <c r="AE129" s="5" t="str">
        <f ca="1">IFERROR(__xludf.DUMMYFUNCTION("""COMPUTED_VALUE"""),"Yes")</f>
        <v>Yes</v>
      </c>
      <c r="AF129" s="5" t="str">
        <f ca="1">IFERROR(__xludf.DUMMYFUNCTION("""COMPUTED_VALUE"""),"Yes")</f>
        <v>Yes</v>
      </c>
      <c r="AG129" s="5" t="str">
        <f ca="1">IFERROR(__xludf.DUMMYFUNCTION("""COMPUTED_VALUE"""),"Yes")</f>
        <v>Yes</v>
      </c>
      <c r="AH129" s="5" t="str">
        <f ca="1">IFERROR(__xludf.DUMMYFUNCTION("""COMPUTED_VALUE"""),"Yes")</f>
        <v>Yes</v>
      </c>
      <c r="AI129" s="5" t="str">
        <f ca="1">IFERROR(__xludf.DUMMYFUNCTION("""COMPUTED_VALUE"""),"No")</f>
        <v>No</v>
      </c>
      <c r="AJ129" s="5" t="str">
        <f ca="1">IFERROR(__xludf.DUMMYFUNCTION("""COMPUTED_VALUE"""),"No")</f>
        <v>No</v>
      </c>
      <c r="AK129" s="5" t="str">
        <f ca="1">IFERROR(__xludf.DUMMYFUNCTION("""COMPUTED_VALUE"""),"No")</f>
        <v>No</v>
      </c>
      <c r="AL129" s="5" t="str">
        <f ca="1">IFERROR(__xludf.DUMMYFUNCTION("""COMPUTED_VALUE"""),"No")</f>
        <v>No</v>
      </c>
      <c r="AM129" s="5" t="str">
        <f ca="1">IFERROR(__xludf.DUMMYFUNCTION("""COMPUTED_VALUE"""),"No")</f>
        <v>No</v>
      </c>
      <c r="AN129" s="5" t="str">
        <f ca="1">IFERROR(__xludf.DUMMYFUNCTION("""COMPUTED_VALUE"""),"No")</f>
        <v>No</v>
      </c>
      <c r="AO129" s="5" t="str">
        <f ca="1">IFERROR(__xludf.DUMMYFUNCTION("""COMPUTED_VALUE"""),"Yes")</f>
        <v>Yes</v>
      </c>
      <c r="AP129" s="5" t="str">
        <f ca="1">IFERROR(__xludf.DUMMYFUNCTION("""COMPUTED_VALUE"""),"No")</f>
        <v>No</v>
      </c>
      <c r="AQ129" s="5" t="str">
        <f ca="1">IFERROR(__xludf.DUMMYFUNCTION("""COMPUTED_VALUE"""),"No")</f>
        <v>No</v>
      </c>
      <c r="AR129" s="5" t="str">
        <f ca="1">IFERROR(__xludf.DUMMYFUNCTION("""COMPUTED_VALUE"""),"No")</f>
        <v>No</v>
      </c>
      <c r="AS129" s="5" t="str">
        <f ca="1">IFERROR(__xludf.DUMMYFUNCTION("""COMPUTED_VALUE"""),"Yes")</f>
        <v>Yes</v>
      </c>
      <c r="AT129" s="5" t="str">
        <f ca="1">IFERROR(__xludf.DUMMYFUNCTION("""COMPUTED_VALUE"""),"No")</f>
        <v>No</v>
      </c>
      <c r="AU129" s="5"/>
    </row>
    <row r="130" spans="1:47" x14ac:dyDescent="0.25">
      <c r="A130" s="5" t="str">
        <f ca="1">IFERROR(__xludf.DUMMYFUNCTION("""COMPUTED_VALUE"""),"Redstone")</f>
        <v>Redstone</v>
      </c>
      <c r="B130" s="5" t="str">
        <f ca="1">IFERROR(__xludf.DUMMYFUNCTION("""COMPUTED_VALUE"""),"Cosmic Fruits")</f>
        <v>Cosmic Fruits</v>
      </c>
      <c r="C130" s="5" t="str">
        <f ca="1">IFERROR(__xludf.DUMMYFUNCTION("""COMPUTED_VALUE"""),"RedstoneCosmicFruits")</f>
        <v>RedstoneCosmicFruits</v>
      </c>
      <c r="D130" s="6">
        <f ca="1">IFERROR(__xludf.DUMMYFUNCTION("""COMPUTED_VALUE"""),46177)</f>
        <v>46177</v>
      </c>
      <c r="E130" s="5" t="str">
        <f ca="1">IFERROR(__xludf.DUMMYFUNCTION("""COMPUTED_VALUE"""),"Slot")</f>
        <v>Slot</v>
      </c>
      <c r="F130" s="5">
        <f ca="1">IFERROR(__xludf.DUMMYFUNCTION("""COMPUTED_VALUE"""),7.8)</f>
        <v>7.8</v>
      </c>
      <c r="G130" s="5" t="str">
        <f ca="1">IFERROR(__xludf.DUMMYFUNCTION("""COMPUTED_VALUE"""),"5x3")</f>
        <v>5x3</v>
      </c>
      <c r="H130" s="5">
        <f ca="1">IFERROR(__xludf.DUMMYFUNCTION("""COMPUTED_VALUE"""),5)</f>
        <v>5</v>
      </c>
      <c r="I130" s="5">
        <f ca="1">IFERROR(__xludf.DUMMYFUNCTION("""COMPUTED_VALUE"""),5)</f>
        <v>5</v>
      </c>
      <c r="J130" s="5" t="str">
        <f ca="1">IFERROR(__xludf.DUMMYFUNCTION("""COMPUTED_VALUE"""),"96.5%")</f>
        <v>96.5%</v>
      </c>
      <c r="K130" s="5" t="str">
        <f ca="1">IFERROR(__xludf.DUMMYFUNCTION("""COMPUTED_VALUE"""),"Low")</f>
        <v>Low</v>
      </c>
      <c r="L130" s="5" t="str">
        <f ca="1">IFERROR(__xludf.DUMMYFUNCTION("""COMPUTED_VALUE"""),"10.45%")</f>
        <v>10.45%</v>
      </c>
      <c r="M130" s="5" t="str">
        <f ca="1">IFERROR(__xludf.DUMMYFUNCTION("""COMPUTED_VALUE"""),"x1040")</f>
        <v>x1040</v>
      </c>
      <c r="N130" s="5" t="str">
        <f ca="1">IFERROR(__xludf.DUMMYFUNCTION("""COMPUTED_VALUE"""),"0.10/50")</f>
        <v>0.10/50</v>
      </c>
      <c r="O130" s="5" t="str">
        <f ca="1">IFERROR(__xludf.DUMMYFUNCTION("""COMPUTED_VALUE"""),"No")</f>
        <v>No</v>
      </c>
      <c r="P130" s="5"/>
      <c r="Q130" s="7" t="str">
        <f ca="1">IFERROR(__xludf.DUMMYFUNCTION("""COMPUTED_VALUE"""),"https://static.redstone.rs/games/cosmic-fruits/")</f>
        <v>https://static.redstone.rs/games/cosmic-fruits/</v>
      </c>
      <c r="R130" s="5" t="str">
        <f ca="1">IFERROR(__xludf.DUMMYFUNCTION("""COMPUTED_VALUE"""),"Get into Cosmic Fruits and keep it moving. Quick spins, colorful hits, and a flow that doesn’t let go.")</f>
        <v>Get into Cosmic Fruits and keep it moving. Quick spins, colorful hits, and a flow that doesn’t let go.</v>
      </c>
      <c r="S13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0" s="5" t="str">
        <f ca="1">IFERROR(__xludf.DUMMYFUNCTION("""COMPUTED_VALUE"""),"Yes")</f>
        <v>Yes</v>
      </c>
      <c r="U130" s="5" t="str">
        <f ca="1">IFERROR(__xludf.DUMMYFUNCTION("""COMPUTED_VALUE"""),"Yes")</f>
        <v>Yes</v>
      </c>
      <c r="V130" s="5" t="str">
        <f ca="1">IFERROR(__xludf.DUMMYFUNCTION("""COMPUTED_VALUE"""),"No")</f>
        <v>No</v>
      </c>
      <c r="W130" s="5" t="str">
        <f ca="1">IFERROR(__xludf.DUMMYFUNCTION("""COMPUTED_VALUE"""),"Yes")</f>
        <v>Yes</v>
      </c>
      <c r="X130" s="5" t="str">
        <f ca="1">IFERROR(__xludf.DUMMYFUNCTION("""COMPUTED_VALUE"""),"Yes")</f>
        <v>Yes</v>
      </c>
      <c r="Y130" s="5" t="str">
        <f ca="1">IFERROR(__xludf.DUMMYFUNCTION("""COMPUTED_VALUE"""),"Yes")</f>
        <v>Yes</v>
      </c>
      <c r="Z130" s="5" t="str">
        <f ca="1">IFERROR(__xludf.DUMMYFUNCTION("""COMPUTED_VALUE"""),"Yes")</f>
        <v>Yes</v>
      </c>
      <c r="AA130" s="5" t="str">
        <f ca="1">IFERROR(__xludf.DUMMYFUNCTION("""COMPUTED_VALUE"""),"Yes")</f>
        <v>Yes</v>
      </c>
      <c r="AB130" s="5" t="str">
        <f ca="1">IFERROR(__xludf.DUMMYFUNCTION("""COMPUTED_VALUE"""),"Yes")</f>
        <v>Yes</v>
      </c>
      <c r="AC130" s="5" t="str">
        <f ca="1">IFERROR(__xludf.DUMMYFUNCTION("""COMPUTED_VALUE"""),"Yes")</f>
        <v>Yes</v>
      </c>
      <c r="AD130" s="5" t="str">
        <f ca="1">IFERROR(__xludf.DUMMYFUNCTION("""COMPUTED_VALUE"""),"Yes")</f>
        <v>Yes</v>
      </c>
      <c r="AE130" s="5" t="str">
        <f ca="1">IFERROR(__xludf.DUMMYFUNCTION("""COMPUTED_VALUE"""),"Yes")</f>
        <v>Yes</v>
      </c>
      <c r="AF130" s="5" t="str">
        <f ca="1">IFERROR(__xludf.DUMMYFUNCTION("""COMPUTED_VALUE"""),"Yes")</f>
        <v>Yes</v>
      </c>
      <c r="AG130" s="5" t="str">
        <f ca="1">IFERROR(__xludf.DUMMYFUNCTION("""COMPUTED_VALUE"""),"Yes")</f>
        <v>Yes</v>
      </c>
      <c r="AH130" s="5" t="str">
        <f ca="1">IFERROR(__xludf.DUMMYFUNCTION("""COMPUTED_VALUE"""),"Yes")</f>
        <v>Yes</v>
      </c>
      <c r="AI130" s="5" t="str">
        <f ca="1">IFERROR(__xludf.DUMMYFUNCTION("""COMPUTED_VALUE"""),"No")</f>
        <v>No</v>
      </c>
      <c r="AJ130" s="5" t="str">
        <f ca="1">IFERROR(__xludf.DUMMYFUNCTION("""COMPUTED_VALUE"""),"No")</f>
        <v>No</v>
      </c>
      <c r="AK130" s="5" t="str">
        <f ca="1">IFERROR(__xludf.DUMMYFUNCTION("""COMPUTED_VALUE"""),"No")</f>
        <v>No</v>
      </c>
      <c r="AL130" s="5" t="str">
        <f ca="1">IFERROR(__xludf.DUMMYFUNCTION("""COMPUTED_VALUE"""),"No")</f>
        <v>No</v>
      </c>
      <c r="AM130" s="5" t="str">
        <f ca="1">IFERROR(__xludf.DUMMYFUNCTION("""COMPUTED_VALUE"""),"No")</f>
        <v>No</v>
      </c>
      <c r="AN130" s="5" t="str">
        <f ca="1">IFERROR(__xludf.DUMMYFUNCTION("""COMPUTED_VALUE"""),"No")</f>
        <v>No</v>
      </c>
      <c r="AO130" s="5" t="str">
        <f ca="1">IFERROR(__xludf.DUMMYFUNCTION("""COMPUTED_VALUE"""),"Yes")</f>
        <v>Yes</v>
      </c>
      <c r="AP130" s="5" t="str">
        <f ca="1">IFERROR(__xludf.DUMMYFUNCTION("""COMPUTED_VALUE"""),"No")</f>
        <v>No</v>
      </c>
      <c r="AQ130" s="5" t="str">
        <f ca="1">IFERROR(__xludf.DUMMYFUNCTION("""COMPUTED_VALUE"""),"No")</f>
        <v>No</v>
      </c>
      <c r="AR130" s="5" t="str">
        <f ca="1">IFERROR(__xludf.DUMMYFUNCTION("""COMPUTED_VALUE"""),"No")</f>
        <v>No</v>
      </c>
      <c r="AS130" s="5" t="str">
        <f ca="1">IFERROR(__xludf.DUMMYFUNCTION("""COMPUTED_VALUE"""),"Yes")</f>
        <v>Yes</v>
      </c>
      <c r="AT130" s="5" t="str">
        <f ca="1">IFERROR(__xludf.DUMMYFUNCTION("""COMPUTED_VALUE"""),"No")</f>
        <v>No</v>
      </c>
      <c r="AU130" s="5"/>
    </row>
    <row r="131" spans="1:47" x14ac:dyDescent="0.25">
      <c r="A131" s="5" t="str">
        <f ca="1">IFERROR(__xludf.DUMMYFUNCTION("""COMPUTED_VALUE"""),"Redstone")</f>
        <v>Redstone</v>
      </c>
      <c r="B131" s="5" t="str">
        <f ca="1">IFERROR(__xludf.DUMMYFUNCTION("""COMPUTED_VALUE"""),"X Wild Heart")</f>
        <v>X Wild Heart</v>
      </c>
      <c r="C131" s="5" t="str">
        <f ca="1">IFERROR(__xludf.DUMMYFUNCTION("""COMPUTED_VALUE"""),"RedstoneXWildHeart")</f>
        <v>RedstoneXWildHeart</v>
      </c>
      <c r="D131" s="6">
        <f ca="1">IFERROR(__xludf.DUMMYFUNCTION("""COMPUTED_VALUE"""),46189)</f>
        <v>46189</v>
      </c>
      <c r="E131" s="5" t="str">
        <f ca="1">IFERROR(__xludf.DUMMYFUNCTION("""COMPUTED_VALUE"""),"Slot")</f>
        <v>Slot</v>
      </c>
      <c r="F131" s="5">
        <f ca="1">IFERROR(__xludf.DUMMYFUNCTION("""COMPUTED_VALUE"""),7.1)</f>
        <v>7.1</v>
      </c>
      <c r="G131" s="5" t="str">
        <f ca="1">IFERROR(__xludf.DUMMYFUNCTION("""COMPUTED_VALUE"""),"5x3")</f>
        <v>5x3</v>
      </c>
      <c r="H131" s="5">
        <f ca="1">IFERROR(__xludf.DUMMYFUNCTION("""COMPUTED_VALUE"""),5)</f>
        <v>5</v>
      </c>
      <c r="I131" s="5">
        <f ca="1">IFERROR(__xludf.DUMMYFUNCTION("""COMPUTED_VALUE"""),5)</f>
        <v>5</v>
      </c>
      <c r="J131" s="5" t="str">
        <f ca="1">IFERROR(__xludf.DUMMYFUNCTION("""COMPUTED_VALUE"""),"95.96%")</f>
        <v>95.96%</v>
      </c>
      <c r="K131" s="5" t="str">
        <f ca="1">IFERROR(__xludf.DUMMYFUNCTION("""COMPUTED_VALUE"""),"Low")</f>
        <v>Low</v>
      </c>
      <c r="L131" s="5" t="str">
        <f ca="1">IFERROR(__xludf.DUMMYFUNCTION("""COMPUTED_VALUE"""),"10.7%")</f>
        <v>10.7%</v>
      </c>
      <c r="M131" s="5" t="str">
        <f ca="1">IFERROR(__xludf.DUMMYFUNCTION("""COMPUTED_VALUE"""),"x2150")</f>
        <v>x2150</v>
      </c>
      <c r="N131" s="5" t="str">
        <f ca="1">IFERROR(__xludf.DUMMYFUNCTION("""COMPUTED_VALUE"""),"0.10/50")</f>
        <v>0.10/50</v>
      </c>
      <c r="O131" s="5" t="str">
        <f ca="1">IFERROR(__xludf.DUMMYFUNCTION("""COMPUTED_VALUE"""),"No")</f>
        <v>No</v>
      </c>
      <c r="P131" s="5" t="str">
        <f ca="1">IFERROR(__xludf.DUMMYFUNCTION("""COMPUTED_VALUE"""),"Expanding Wild, Wild Multiplier")</f>
        <v>Expanding Wild, Wild Multiplier</v>
      </c>
      <c r="Q131" s="7" t="str">
        <f ca="1">IFERROR(__xludf.DUMMYFUNCTION("""COMPUTED_VALUE"""),"https://static.redstone.rs/games/x-wild-heart/")</f>
        <v>https://static.redstone.rs/games/x-wild-heart/</v>
      </c>
      <c r="R131" s="5" t="str">
        <f ca="1">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S13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1" s="5" t="str">
        <f ca="1">IFERROR(__xludf.DUMMYFUNCTION("""COMPUTED_VALUE"""),"Yes")</f>
        <v>Yes</v>
      </c>
      <c r="U131" s="5" t="str">
        <f ca="1">IFERROR(__xludf.DUMMYFUNCTION("""COMPUTED_VALUE"""),"Yes")</f>
        <v>Yes</v>
      </c>
      <c r="V131" s="5" t="str">
        <f ca="1">IFERROR(__xludf.DUMMYFUNCTION("""COMPUTED_VALUE"""),"No")</f>
        <v>No</v>
      </c>
      <c r="W131" s="5" t="str">
        <f ca="1">IFERROR(__xludf.DUMMYFUNCTION("""COMPUTED_VALUE"""),"Yes")</f>
        <v>Yes</v>
      </c>
      <c r="X131" s="5" t="str">
        <f ca="1">IFERROR(__xludf.DUMMYFUNCTION("""COMPUTED_VALUE"""),"Yes")</f>
        <v>Yes</v>
      </c>
      <c r="Y131" s="5" t="str">
        <f ca="1">IFERROR(__xludf.DUMMYFUNCTION("""COMPUTED_VALUE"""),"Yes")</f>
        <v>Yes</v>
      </c>
      <c r="Z131" s="5" t="str">
        <f ca="1">IFERROR(__xludf.DUMMYFUNCTION("""COMPUTED_VALUE"""),"Yes")</f>
        <v>Yes</v>
      </c>
      <c r="AA131" s="5" t="str">
        <f ca="1">IFERROR(__xludf.DUMMYFUNCTION("""COMPUTED_VALUE"""),"Yes")</f>
        <v>Yes</v>
      </c>
      <c r="AB131" s="5" t="str">
        <f ca="1">IFERROR(__xludf.DUMMYFUNCTION("""COMPUTED_VALUE"""),"Yes")</f>
        <v>Yes</v>
      </c>
      <c r="AC131" s="5" t="str">
        <f ca="1">IFERROR(__xludf.DUMMYFUNCTION("""COMPUTED_VALUE"""),"Yes")</f>
        <v>Yes</v>
      </c>
      <c r="AD131" s="5" t="str">
        <f ca="1">IFERROR(__xludf.DUMMYFUNCTION("""COMPUTED_VALUE"""),"Yes")</f>
        <v>Yes</v>
      </c>
      <c r="AE131" s="5" t="str">
        <f ca="1">IFERROR(__xludf.DUMMYFUNCTION("""COMPUTED_VALUE"""),"Yes")</f>
        <v>Yes</v>
      </c>
      <c r="AF131" s="5" t="str">
        <f ca="1">IFERROR(__xludf.DUMMYFUNCTION("""COMPUTED_VALUE"""),"Yes")</f>
        <v>Yes</v>
      </c>
      <c r="AG131" s="5" t="str">
        <f ca="1">IFERROR(__xludf.DUMMYFUNCTION("""COMPUTED_VALUE"""),"Yes")</f>
        <v>Yes</v>
      </c>
      <c r="AH131" s="5" t="str">
        <f ca="1">IFERROR(__xludf.DUMMYFUNCTION("""COMPUTED_VALUE"""),"Yes")</f>
        <v>Yes</v>
      </c>
      <c r="AI131" s="5" t="str">
        <f ca="1">IFERROR(__xludf.DUMMYFUNCTION("""COMPUTED_VALUE"""),"No")</f>
        <v>No</v>
      </c>
      <c r="AJ131" s="5" t="str">
        <f ca="1">IFERROR(__xludf.DUMMYFUNCTION("""COMPUTED_VALUE"""),"No")</f>
        <v>No</v>
      </c>
      <c r="AK131" s="5" t="str">
        <f ca="1">IFERROR(__xludf.DUMMYFUNCTION("""COMPUTED_VALUE"""),"No")</f>
        <v>No</v>
      </c>
      <c r="AL131" s="5" t="str">
        <f ca="1">IFERROR(__xludf.DUMMYFUNCTION("""COMPUTED_VALUE"""),"No")</f>
        <v>No</v>
      </c>
      <c r="AM131" s="5" t="str">
        <f ca="1">IFERROR(__xludf.DUMMYFUNCTION("""COMPUTED_VALUE"""),"No")</f>
        <v>No</v>
      </c>
      <c r="AN131" s="5" t="str">
        <f ca="1">IFERROR(__xludf.DUMMYFUNCTION("""COMPUTED_VALUE"""),"No")</f>
        <v>No</v>
      </c>
      <c r="AO131" s="5" t="str">
        <f ca="1">IFERROR(__xludf.DUMMYFUNCTION("""COMPUTED_VALUE"""),"Yes")</f>
        <v>Yes</v>
      </c>
      <c r="AP131" s="5" t="str">
        <f ca="1">IFERROR(__xludf.DUMMYFUNCTION("""COMPUTED_VALUE"""),"No")</f>
        <v>No</v>
      </c>
      <c r="AQ131" s="5" t="str">
        <f ca="1">IFERROR(__xludf.DUMMYFUNCTION("""COMPUTED_VALUE"""),"No")</f>
        <v>No</v>
      </c>
      <c r="AR131" s="5" t="str">
        <f ca="1">IFERROR(__xludf.DUMMYFUNCTION("""COMPUTED_VALUE"""),"No")</f>
        <v>No</v>
      </c>
      <c r="AS131" s="5" t="str">
        <f ca="1">IFERROR(__xludf.DUMMYFUNCTION("""COMPUTED_VALUE"""),"Yes")</f>
        <v>Yes</v>
      </c>
      <c r="AT131" s="5" t="str">
        <f ca="1">IFERROR(__xludf.DUMMYFUNCTION("""COMPUTED_VALUE"""),"No")</f>
        <v>No</v>
      </c>
      <c r="AU131" s="5"/>
    </row>
    <row r="132" spans="1:47" x14ac:dyDescent="0.25">
      <c r="A132" s="5" t="str">
        <f ca="1">IFERROR(__xludf.DUMMYFUNCTION("""COMPUTED_VALUE"""),"Redstone")</f>
        <v>Redstone</v>
      </c>
      <c r="B132" s="5" t="str">
        <f ca="1">IFERROR(__xludf.DUMMYFUNCTION("""COMPUTED_VALUE"""),"5 Crown Deluxe")</f>
        <v>5 Crown Deluxe</v>
      </c>
      <c r="C132" s="5" t="str">
        <f ca="1">IFERROR(__xludf.DUMMYFUNCTION("""COMPUTED_VALUE"""),"Redstone5CrownDeluxe")</f>
        <v>Redstone5CrownDeluxe</v>
      </c>
      <c r="D132" s="6">
        <f ca="1">IFERROR(__xludf.DUMMYFUNCTION("""COMPUTED_VALUE"""),46195)</f>
        <v>46195</v>
      </c>
      <c r="E132" s="5" t="str">
        <f ca="1">IFERROR(__xludf.DUMMYFUNCTION("""COMPUTED_VALUE"""),"Slot")</f>
        <v>Slot</v>
      </c>
      <c r="F132" s="5">
        <f ca="1">IFERROR(__xludf.DUMMYFUNCTION("""COMPUTED_VALUE"""),8.3)</f>
        <v>8.3000000000000007</v>
      </c>
      <c r="G132" s="5" t="str">
        <f ca="1">IFERROR(__xludf.DUMMYFUNCTION("""COMPUTED_VALUE"""),"5x3")</f>
        <v>5x3</v>
      </c>
      <c r="H132" s="5">
        <f ca="1">IFERROR(__xludf.DUMMYFUNCTION("""COMPUTED_VALUE"""),5)</f>
        <v>5</v>
      </c>
      <c r="I132" s="5">
        <f ca="1">IFERROR(__xludf.DUMMYFUNCTION("""COMPUTED_VALUE"""),5)</f>
        <v>5</v>
      </c>
      <c r="J132" s="5" t="str">
        <f ca="1">IFERROR(__xludf.DUMMYFUNCTION("""COMPUTED_VALUE"""),"96.45%")</f>
        <v>96.45%</v>
      </c>
      <c r="K132" s="5" t="str">
        <f ca="1">IFERROR(__xludf.DUMMYFUNCTION("""COMPUTED_VALUE"""),"Low")</f>
        <v>Low</v>
      </c>
      <c r="L132" s="5" t="str">
        <f ca="1">IFERROR(__xludf.DUMMYFUNCTION("""COMPUTED_VALUE"""),"14.5%")</f>
        <v>14.5%</v>
      </c>
      <c r="M132" s="5" t="str">
        <f ca="1">IFERROR(__xludf.DUMMYFUNCTION("""COMPUTED_VALUE"""),"x1222")</f>
        <v>x1222</v>
      </c>
      <c r="N132" s="5" t="str">
        <f ca="1">IFERROR(__xludf.DUMMYFUNCTION("""COMPUTED_VALUE"""),"0.10/50")</f>
        <v>0.10/50</v>
      </c>
      <c r="O132" s="5" t="str">
        <f ca="1">IFERROR(__xludf.DUMMYFUNCTION("""COMPUTED_VALUE"""),"No")</f>
        <v>No</v>
      </c>
      <c r="P132" s="5" t="str">
        <f ca="1">IFERROR(__xludf.DUMMYFUNCTION("""COMPUTED_VALUE"""),"Expanding Wild, Scatter")</f>
        <v>Expanding Wild, Scatter</v>
      </c>
      <c r="Q132" s="7" t="str">
        <f ca="1">IFERROR(__xludf.DUMMYFUNCTION("""COMPUTED_VALUE"""),"https://static.redstone.rs/games/5-crown-deluxe/")</f>
        <v>https://static.redstone.rs/games/5-crown-deluxe/</v>
      </c>
      <c r="R132" s="5" t="str">
        <f ca="1">IFERROR(__xludf.DUMMYFUNCTION("""COMPUTED_VALUE"""),"Take your spin in 5 Crown Deluxe and play it your way! Fast spins, clear hits, and a classic feel that never gets old.")</f>
        <v>Take your spin in 5 Crown Deluxe and play it your way! Fast spins, clear hits, and a classic feel that never gets old.</v>
      </c>
      <c r="S13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2" s="5" t="str">
        <f ca="1">IFERROR(__xludf.DUMMYFUNCTION("""COMPUTED_VALUE"""),"Yes")</f>
        <v>Yes</v>
      </c>
      <c r="U132" s="5" t="str">
        <f ca="1">IFERROR(__xludf.DUMMYFUNCTION("""COMPUTED_VALUE"""),"Yes")</f>
        <v>Yes</v>
      </c>
      <c r="V132" s="5" t="str">
        <f ca="1">IFERROR(__xludf.DUMMYFUNCTION("""COMPUTED_VALUE"""),"No")</f>
        <v>No</v>
      </c>
      <c r="W132" s="5" t="str">
        <f ca="1">IFERROR(__xludf.DUMMYFUNCTION("""COMPUTED_VALUE"""),"Yes")</f>
        <v>Yes</v>
      </c>
      <c r="X132" s="5" t="str">
        <f ca="1">IFERROR(__xludf.DUMMYFUNCTION("""COMPUTED_VALUE"""),"Yes")</f>
        <v>Yes</v>
      </c>
      <c r="Y132" s="5" t="str">
        <f ca="1">IFERROR(__xludf.DUMMYFUNCTION("""COMPUTED_VALUE"""),"Yes")</f>
        <v>Yes</v>
      </c>
      <c r="Z132" s="5" t="str">
        <f ca="1">IFERROR(__xludf.DUMMYFUNCTION("""COMPUTED_VALUE"""),"Yes")</f>
        <v>Yes</v>
      </c>
      <c r="AA132" s="5" t="str">
        <f ca="1">IFERROR(__xludf.DUMMYFUNCTION("""COMPUTED_VALUE"""),"Yes")</f>
        <v>Yes</v>
      </c>
      <c r="AB132" s="5" t="str">
        <f ca="1">IFERROR(__xludf.DUMMYFUNCTION("""COMPUTED_VALUE"""),"Yes")</f>
        <v>Yes</v>
      </c>
      <c r="AC132" s="5" t="str">
        <f ca="1">IFERROR(__xludf.DUMMYFUNCTION("""COMPUTED_VALUE"""),"Yes")</f>
        <v>Yes</v>
      </c>
      <c r="AD132" s="5" t="str">
        <f ca="1">IFERROR(__xludf.DUMMYFUNCTION("""COMPUTED_VALUE"""),"Yes")</f>
        <v>Yes</v>
      </c>
      <c r="AE132" s="5" t="str">
        <f ca="1">IFERROR(__xludf.DUMMYFUNCTION("""COMPUTED_VALUE"""),"Yes")</f>
        <v>Yes</v>
      </c>
      <c r="AF132" s="5" t="str">
        <f ca="1">IFERROR(__xludf.DUMMYFUNCTION("""COMPUTED_VALUE"""),"Yes")</f>
        <v>Yes</v>
      </c>
      <c r="AG132" s="5" t="str">
        <f ca="1">IFERROR(__xludf.DUMMYFUNCTION("""COMPUTED_VALUE"""),"Yes")</f>
        <v>Yes</v>
      </c>
      <c r="AH132" s="5" t="str">
        <f ca="1">IFERROR(__xludf.DUMMYFUNCTION("""COMPUTED_VALUE"""),"Yes")</f>
        <v>Yes</v>
      </c>
      <c r="AI132" s="5" t="str">
        <f ca="1">IFERROR(__xludf.DUMMYFUNCTION("""COMPUTED_VALUE"""),"No")</f>
        <v>No</v>
      </c>
      <c r="AJ132" s="5" t="str">
        <f ca="1">IFERROR(__xludf.DUMMYFUNCTION("""COMPUTED_VALUE"""),"No")</f>
        <v>No</v>
      </c>
      <c r="AK132" s="5" t="str">
        <f ca="1">IFERROR(__xludf.DUMMYFUNCTION("""COMPUTED_VALUE"""),"No")</f>
        <v>No</v>
      </c>
      <c r="AL132" s="5" t="str">
        <f ca="1">IFERROR(__xludf.DUMMYFUNCTION("""COMPUTED_VALUE"""),"No")</f>
        <v>No</v>
      </c>
      <c r="AM132" s="5" t="str">
        <f ca="1">IFERROR(__xludf.DUMMYFUNCTION("""COMPUTED_VALUE"""),"No")</f>
        <v>No</v>
      </c>
      <c r="AN132" s="5" t="str">
        <f ca="1">IFERROR(__xludf.DUMMYFUNCTION("""COMPUTED_VALUE"""),"No")</f>
        <v>No</v>
      </c>
      <c r="AO132" s="5" t="str">
        <f ca="1">IFERROR(__xludf.DUMMYFUNCTION("""COMPUTED_VALUE"""),"Yes")</f>
        <v>Yes</v>
      </c>
      <c r="AP132" s="5" t="str">
        <f ca="1">IFERROR(__xludf.DUMMYFUNCTION("""COMPUTED_VALUE"""),"No")</f>
        <v>No</v>
      </c>
      <c r="AQ132" s="5" t="str">
        <f ca="1">IFERROR(__xludf.DUMMYFUNCTION("""COMPUTED_VALUE"""),"No")</f>
        <v>No</v>
      </c>
      <c r="AR132" s="5" t="str">
        <f ca="1">IFERROR(__xludf.DUMMYFUNCTION("""COMPUTED_VALUE"""),"No")</f>
        <v>No</v>
      </c>
      <c r="AS132" s="5" t="str">
        <f ca="1">IFERROR(__xludf.DUMMYFUNCTION("""COMPUTED_VALUE"""),"Yes")</f>
        <v>Yes</v>
      </c>
      <c r="AT132" s="5" t="str">
        <f ca="1">IFERROR(__xludf.DUMMYFUNCTION("""COMPUTED_VALUE"""),"No")</f>
        <v>No</v>
      </c>
      <c r="AU132" s="5"/>
    </row>
    <row r="133" spans="1:47" x14ac:dyDescent="0.25">
      <c r="A133" s="5" t="str">
        <f ca="1">IFERROR(__xludf.DUMMYFUNCTION("""COMPUTED_VALUE"""),"Redstone")</f>
        <v>Redstone</v>
      </c>
      <c r="B133" s="5" t="str">
        <f ca="1">IFERROR(__xludf.DUMMYFUNCTION("""COMPUTED_VALUE"""),"Crown Deluxe 2X")</f>
        <v>Crown Deluxe 2X</v>
      </c>
      <c r="C133" s="5" t="str">
        <f ca="1">IFERROR(__xludf.DUMMYFUNCTION("""COMPUTED_VALUE"""),"RedstoneCrownDeluxe2X")</f>
        <v>RedstoneCrownDeluxe2X</v>
      </c>
      <c r="D133" s="6">
        <f ca="1">IFERROR(__xludf.DUMMYFUNCTION("""COMPUTED_VALUE"""),46203)</f>
        <v>46203</v>
      </c>
      <c r="E133" s="5" t="str">
        <f ca="1">IFERROR(__xludf.DUMMYFUNCTION("""COMPUTED_VALUE"""),"Slot")</f>
        <v>Slot</v>
      </c>
      <c r="F133" s="5">
        <f ca="1">IFERROR(__xludf.DUMMYFUNCTION("""COMPUTED_VALUE"""),8.7)</f>
        <v>8.6999999999999993</v>
      </c>
      <c r="G133" s="5" t="str">
        <f ca="1">IFERROR(__xludf.DUMMYFUNCTION("""COMPUTED_VALUE"""),"5x3")</f>
        <v>5x3</v>
      </c>
      <c r="H133" s="5">
        <f ca="1">IFERROR(__xludf.DUMMYFUNCTION("""COMPUTED_VALUE"""),5)</f>
        <v>5</v>
      </c>
      <c r="I133" s="5">
        <f ca="1">IFERROR(__xludf.DUMMYFUNCTION("""COMPUTED_VALUE"""),5)</f>
        <v>5</v>
      </c>
      <c r="J133" s="5" t="str">
        <f ca="1">IFERROR(__xludf.DUMMYFUNCTION("""COMPUTED_VALUE"""),"96.45%")</f>
        <v>96.45%</v>
      </c>
      <c r="K133" s="5" t="str">
        <f ca="1">IFERROR(__xludf.DUMMYFUNCTION("""COMPUTED_VALUE"""),"Low")</f>
        <v>Low</v>
      </c>
      <c r="L133" s="5" t="str">
        <f ca="1">IFERROR(__xludf.DUMMYFUNCTION("""COMPUTED_VALUE"""),"14.23%")</f>
        <v>14.23%</v>
      </c>
      <c r="M133" s="5" t="str">
        <f ca="1">IFERROR(__xludf.DUMMYFUNCTION("""COMPUTED_VALUE"""),"x2624")</f>
        <v>x2624</v>
      </c>
      <c r="N133" s="5" t="str">
        <f ca="1">IFERROR(__xludf.DUMMYFUNCTION("""COMPUTED_VALUE"""),"0.10/50")</f>
        <v>0.10/50</v>
      </c>
      <c r="O133" s="5" t="str">
        <f ca="1">IFERROR(__xludf.DUMMYFUNCTION("""COMPUTED_VALUE"""),"No")</f>
        <v>No</v>
      </c>
      <c r="P133" s="5" t="str">
        <f ca="1">IFERROR(__xludf.DUMMYFUNCTION("""COMPUTED_VALUE"""),"Expanding Wild, Scatter")</f>
        <v>Expanding Wild, Scatter</v>
      </c>
      <c r="Q133" s="7" t="str">
        <f ca="1">IFERROR(__xludf.DUMMYFUNCTION("""COMPUTED_VALUE"""),"https://static.redstone.rs/games/crown-deluxe-2x/")</f>
        <v>https://static.redstone.rs/games/crown-deluxe-2x/</v>
      </c>
      <c r="R133" s="5" t="str">
        <f ca="1">IFERROR(__xludf.DUMMYFUNCTION("""COMPUTED_VALUE"""),"Keep spinning and wait for the crown to land. In Crown Deluxe 2X, one moment is enough to double your win instantly.")</f>
        <v>Keep spinning and wait for the crown to land. In Crown Deluxe 2X, one moment is enough to double your win instantly.</v>
      </c>
      <c r="S13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3" s="5" t="str">
        <f ca="1">IFERROR(__xludf.DUMMYFUNCTION("""COMPUTED_VALUE"""),"Yes")</f>
        <v>Yes</v>
      </c>
      <c r="U133" s="5" t="str">
        <f ca="1">IFERROR(__xludf.DUMMYFUNCTION("""COMPUTED_VALUE"""),"Yes")</f>
        <v>Yes</v>
      </c>
      <c r="V133" s="5" t="str">
        <f ca="1">IFERROR(__xludf.DUMMYFUNCTION("""COMPUTED_VALUE"""),"No")</f>
        <v>No</v>
      </c>
      <c r="W133" s="5" t="str">
        <f ca="1">IFERROR(__xludf.DUMMYFUNCTION("""COMPUTED_VALUE"""),"Yes")</f>
        <v>Yes</v>
      </c>
      <c r="X133" s="5" t="str">
        <f ca="1">IFERROR(__xludf.DUMMYFUNCTION("""COMPUTED_VALUE"""),"Yes")</f>
        <v>Yes</v>
      </c>
      <c r="Y133" s="5" t="str">
        <f ca="1">IFERROR(__xludf.DUMMYFUNCTION("""COMPUTED_VALUE"""),"Yes")</f>
        <v>Yes</v>
      </c>
      <c r="Z133" s="5" t="str">
        <f ca="1">IFERROR(__xludf.DUMMYFUNCTION("""COMPUTED_VALUE"""),"Yes")</f>
        <v>Yes</v>
      </c>
      <c r="AA133" s="5" t="str">
        <f ca="1">IFERROR(__xludf.DUMMYFUNCTION("""COMPUTED_VALUE"""),"Yes")</f>
        <v>Yes</v>
      </c>
      <c r="AB133" s="5" t="str">
        <f ca="1">IFERROR(__xludf.DUMMYFUNCTION("""COMPUTED_VALUE"""),"Yes")</f>
        <v>Yes</v>
      </c>
      <c r="AC133" s="5" t="str">
        <f ca="1">IFERROR(__xludf.DUMMYFUNCTION("""COMPUTED_VALUE"""),"Yes")</f>
        <v>Yes</v>
      </c>
      <c r="AD133" s="5" t="str">
        <f ca="1">IFERROR(__xludf.DUMMYFUNCTION("""COMPUTED_VALUE"""),"Yes")</f>
        <v>Yes</v>
      </c>
      <c r="AE133" s="5" t="str">
        <f ca="1">IFERROR(__xludf.DUMMYFUNCTION("""COMPUTED_VALUE"""),"Yes")</f>
        <v>Yes</v>
      </c>
      <c r="AF133" s="5" t="str">
        <f ca="1">IFERROR(__xludf.DUMMYFUNCTION("""COMPUTED_VALUE"""),"Yes")</f>
        <v>Yes</v>
      </c>
      <c r="AG133" s="5" t="str">
        <f ca="1">IFERROR(__xludf.DUMMYFUNCTION("""COMPUTED_VALUE"""),"Yes")</f>
        <v>Yes</v>
      </c>
      <c r="AH133" s="5" t="str">
        <f ca="1">IFERROR(__xludf.DUMMYFUNCTION("""COMPUTED_VALUE"""),"Yes")</f>
        <v>Yes</v>
      </c>
      <c r="AI133" s="5" t="str">
        <f ca="1">IFERROR(__xludf.DUMMYFUNCTION("""COMPUTED_VALUE"""),"No")</f>
        <v>No</v>
      </c>
      <c r="AJ133" s="5" t="str">
        <f ca="1">IFERROR(__xludf.DUMMYFUNCTION("""COMPUTED_VALUE"""),"No")</f>
        <v>No</v>
      </c>
      <c r="AK133" s="5" t="str">
        <f ca="1">IFERROR(__xludf.DUMMYFUNCTION("""COMPUTED_VALUE"""),"No")</f>
        <v>No</v>
      </c>
      <c r="AL133" s="5" t="str">
        <f ca="1">IFERROR(__xludf.DUMMYFUNCTION("""COMPUTED_VALUE"""),"No")</f>
        <v>No</v>
      </c>
      <c r="AM133" s="5" t="str">
        <f ca="1">IFERROR(__xludf.DUMMYFUNCTION("""COMPUTED_VALUE"""),"No")</f>
        <v>No</v>
      </c>
      <c r="AN133" s="5" t="str">
        <f ca="1">IFERROR(__xludf.DUMMYFUNCTION("""COMPUTED_VALUE"""),"No")</f>
        <v>No</v>
      </c>
      <c r="AO133" s="5" t="str">
        <f ca="1">IFERROR(__xludf.DUMMYFUNCTION("""COMPUTED_VALUE"""),"Yes")</f>
        <v>Yes</v>
      </c>
      <c r="AP133" s="5" t="str">
        <f ca="1">IFERROR(__xludf.DUMMYFUNCTION("""COMPUTED_VALUE"""),"No")</f>
        <v>No</v>
      </c>
      <c r="AQ133" s="5" t="str">
        <f ca="1">IFERROR(__xludf.DUMMYFUNCTION("""COMPUTED_VALUE"""),"No")</f>
        <v>No</v>
      </c>
      <c r="AR133" s="5" t="str">
        <f ca="1">IFERROR(__xludf.DUMMYFUNCTION("""COMPUTED_VALUE"""),"No")</f>
        <v>No</v>
      </c>
      <c r="AS133" s="5" t="str">
        <f ca="1">IFERROR(__xludf.DUMMYFUNCTION("""COMPUTED_VALUE"""),"Yes")</f>
        <v>Yes</v>
      </c>
      <c r="AT133" s="5" t="str">
        <f ca="1">IFERROR(__xludf.DUMMYFUNCTION("""COMPUTED_VALUE"""),"No")</f>
        <v>No</v>
      </c>
      <c r="AU133" s="5"/>
    </row>
    <row r="134" spans="1:47" x14ac:dyDescent="0.25">
      <c r="A134" s="5" t="str">
        <f ca="1">IFERROR(__xludf.DUMMYFUNCTION("""COMPUTED_VALUE"""),"Redstone")</f>
        <v>Redstone</v>
      </c>
      <c r="B134" s="5" t="str">
        <f ca="1">IFERROR(__xludf.DUMMYFUNCTION("""COMPUTED_VALUE"""),"X Crown Fire")</f>
        <v>X Crown Fire</v>
      </c>
      <c r="C134" s="5" t="str">
        <f ca="1">IFERROR(__xludf.DUMMYFUNCTION("""COMPUTED_VALUE"""),"RedstoneXCrownFire")</f>
        <v>RedstoneXCrownFire</v>
      </c>
      <c r="D134" s="6">
        <f ca="1">IFERROR(__xludf.DUMMYFUNCTION("""COMPUTED_VALUE"""),46240)</f>
        <v>46240</v>
      </c>
      <c r="E134" s="5" t="str">
        <f ca="1">IFERROR(__xludf.DUMMYFUNCTION("""COMPUTED_VALUE"""),"Slot")</f>
        <v>Slot</v>
      </c>
      <c r="F134" s="5">
        <f ca="1">IFERROR(__xludf.DUMMYFUNCTION("""COMPUTED_VALUE"""),7.1)</f>
        <v>7.1</v>
      </c>
      <c r="G134" s="5" t="str">
        <f ca="1">IFERROR(__xludf.DUMMYFUNCTION("""COMPUTED_VALUE"""),"5x3")</f>
        <v>5x3</v>
      </c>
      <c r="H134" s="5">
        <f ca="1">IFERROR(__xludf.DUMMYFUNCTION("""COMPUTED_VALUE"""),5)</f>
        <v>5</v>
      </c>
      <c r="I134" s="5">
        <f ca="1">IFERROR(__xludf.DUMMYFUNCTION("""COMPUTED_VALUE"""),5)</f>
        <v>5</v>
      </c>
      <c r="J134" s="5" t="str">
        <f ca="1">IFERROR(__xludf.DUMMYFUNCTION("""COMPUTED_VALUE"""),"95.96%")</f>
        <v>95.96%</v>
      </c>
      <c r="K134" s="5" t="str">
        <f ca="1">IFERROR(__xludf.DUMMYFUNCTION("""COMPUTED_VALUE"""),"Low")</f>
        <v>Low</v>
      </c>
      <c r="L134" s="5" t="str">
        <f ca="1">IFERROR(__xludf.DUMMYFUNCTION("""COMPUTED_VALUE"""),"10.7%")</f>
        <v>10.7%</v>
      </c>
      <c r="M134" s="5" t="str">
        <f ca="1">IFERROR(__xludf.DUMMYFUNCTION("""COMPUTED_VALUE"""),"x2150")</f>
        <v>x2150</v>
      </c>
      <c r="N134" s="5" t="str">
        <f ca="1">IFERROR(__xludf.DUMMYFUNCTION("""COMPUTED_VALUE"""),"0.10/50")</f>
        <v>0.10/50</v>
      </c>
      <c r="O134" s="5" t="str">
        <f ca="1">IFERROR(__xludf.DUMMYFUNCTION("""COMPUTED_VALUE"""),"No")</f>
        <v>No</v>
      </c>
      <c r="P134" s="5" t="str">
        <f ca="1">IFERROR(__xludf.DUMMYFUNCTION("""COMPUTED_VALUE"""),"Expanding Wild, Scatter")</f>
        <v>Expanding Wild, Scatter</v>
      </c>
      <c r="Q134" s="7" t="str">
        <f ca="1">IFERROR(__xludf.DUMMYFUNCTION("""COMPUTED_VALUE"""),"https://gameserver-store-client-area.orbionlimited.com/Home/IntegrationGameLaunch/client-area?moneyType=0&amp;gameName=RedstoneXCrownFire&amp;platform=desktop&amp;languageCode=eng&amp;currency=EUR")</f>
        <v>https://gameserver-store-client-area.orbionlimited.com/Home/IntegrationGameLaunch/client-area?moneyType=0&amp;gameName=RedstoneXCrownFire&amp;platform=desktop&amp;languageCode=eng&amp;currency=EUR</v>
      </c>
      <c r="R134" s="5" t="str">
        <f ca="1">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S13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4" s="5" t="str">
        <f ca="1">IFERROR(__xludf.DUMMYFUNCTION("""COMPUTED_VALUE"""),"Yes")</f>
        <v>Yes</v>
      </c>
      <c r="U134" s="5" t="str">
        <f ca="1">IFERROR(__xludf.DUMMYFUNCTION("""COMPUTED_VALUE"""),"Yes")</f>
        <v>Yes</v>
      </c>
      <c r="V134" s="5" t="str">
        <f ca="1">IFERROR(__xludf.DUMMYFUNCTION("""COMPUTED_VALUE"""),"Yes")</f>
        <v>Yes</v>
      </c>
      <c r="W134" s="5" t="str">
        <f ca="1">IFERROR(__xludf.DUMMYFUNCTION("""COMPUTED_VALUE"""),"Yes")</f>
        <v>Yes</v>
      </c>
      <c r="X134" s="5" t="str">
        <f ca="1">IFERROR(__xludf.DUMMYFUNCTION("""COMPUTED_VALUE"""),"Yes")</f>
        <v>Yes</v>
      </c>
      <c r="Y134" s="5" t="str">
        <f ca="1">IFERROR(__xludf.DUMMYFUNCTION("""COMPUTED_VALUE"""),"Yes")</f>
        <v>Yes</v>
      </c>
      <c r="Z134" s="5" t="str">
        <f ca="1">IFERROR(__xludf.DUMMYFUNCTION("""COMPUTED_VALUE"""),"Yes")</f>
        <v>Yes</v>
      </c>
      <c r="AA134" s="5" t="str">
        <f ca="1">IFERROR(__xludf.DUMMYFUNCTION("""COMPUTED_VALUE"""),"Yes")</f>
        <v>Yes</v>
      </c>
      <c r="AB134" s="5" t="str">
        <f ca="1">IFERROR(__xludf.DUMMYFUNCTION("""COMPUTED_VALUE"""),"Yes")</f>
        <v>Yes</v>
      </c>
      <c r="AC134" s="5" t="str">
        <f ca="1">IFERROR(__xludf.DUMMYFUNCTION("""COMPUTED_VALUE"""),"Yes")</f>
        <v>Yes</v>
      </c>
      <c r="AD134" s="5" t="str">
        <f ca="1">IFERROR(__xludf.DUMMYFUNCTION("""COMPUTED_VALUE"""),"Yes")</f>
        <v>Yes</v>
      </c>
      <c r="AE134" s="5" t="str">
        <f ca="1">IFERROR(__xludf.DUMMYFUNCTION("""COMPUTED_VALUE"""),"Yes")</f>
        <v>Yes</v>
      </c>
      <c r="AF134" s="5" t="str">
        <f ca="1">IFERROR(__xludf.DUMMYFUNCTION("""COMPUTED_VALUE"""),"Yes")</f>
        <v>Yes</v>
      </c>
      <c r="AG134" s="5" t="str">
        <f ca="1">IFERROR(__xludf.DUMMYFUNCTION("""COMPUTED_VALUE"""),"Yes")</f>
        <v>Yes</v>
      </c>
      <c r="AH134" s="5" t="str">
        <f ca="1">IFERROR(__xludf.DUMMYFUNCTION("""COMPUTED_VALUE"""),"Yes")</f>
        <v>Yes</v>
      </c>
      <c r="AI134" s="5" t="str">
        <f ca="1">IFERROR(__xludf.DUMMYFUNCTION("""COMPUTED_VALUE"""),"No")</f>
        <v>No</v>
      </c>
      <c r="AJ134" s="5" t="str">
        <f ca="1">IFERROR(__xludf.DUMMYFUNCTION("""COMPUTED_VALUE"""),"No")</f>
        <v>No</v>
      </c>
      <c r="AK134" s="5" t="str">
        <f ca="1">IFERROR(__xludf.DUMMYFUNCTION("""COMPUTED_VALUE"""),"No")</f>
        <v>No</v>
      </c>
      <c r="AL134" s="5" t="str">
        <f ca="1">IFERROR(__xludf.DUMMYFUNCTION("""COMPUTED_VALUE"""),"No")</f>
        <v>No</v>
      </c>
      <c r="AM134" s="5" t="str">
        <f ca="1">IFERROR(__xludf.DUMMYFUNCTION("""COMPUTED_VALUE"""),"No")</f>
        <v>No</v>
      </c>
      <c r="AN134" s="5" t="str">
        <f ca="1">IFERROR(__xludf.DUMMYFUNCTION("""COMPUTED_VALUE"""),"No")</f>
        <v>No</v>
      </c>
      <c r="AO134" s="5" t="str">
        <f ca="1">IFERROR(__xludf.DUMMYFUNCTION("""COMPUTED_VALUE"""),"Yes")</f>
        <v>Yes</v>
      </c>
      <c r="AP134" s="5" t="str">
        <f ca="1">IFERROR(__xludf.DUMMYFUNCTION("""COMPUTED_VALUE"""),"No")</f>
        <v>No</v>
      </c>
      <c r="AQ134" s="5" t="str">
        <f ca="1">IFERROR(__xludf.DUMMYFUNCTION("""COMPUTED_VALUE"""),"No")</f>
        <v>No</v>
      </c>
      <c r="AR134" s="5" t="str">
        <f ca="1">IFERROR(__xludf.DUMMYFUNCTION("""COMPUTED_VALUE"""),"No")</f>
        <v>No</v>
      </c>
      <c r="AS134" s="5" t="str">
        <f ca="1">IFERROR(__xludf.DUMMYFUNCTION("""COMPUTED_VALUE"""),"Yes")</f>
        <v>Yes</v>
      </c>
      <c r="AT134" s="5" t="str">
        <f ca="1">IFERROR(__xludf.DUMMYFUNCTION("""COMPUTED_VALUE"""),"No")</f>
        <v>No</v>
      </c>
      <c r="AU134" s="5"/>
    </row>
    <row r="135" spans="1:47" x14ac:dyDescent="0.25">
      <c r="A135" s="5" t="str">
        <f ca="1">IFERROR(__xludf.DUMMYFUNCTION("""COMPUTED_VALUE"""),"Redstone")</f>
        <v>Redstone</v>
      </c>
      <c r="B135" s="5" t="str">
        <f ca="1">IFERROR(__xludf.DUMMYFUNCTION("""COMPUTED_VALUE"""),"10 Clover Deluxe")</f>
        <v>10 Clover Deluxe</v>
      </c>
      <c r="C135" s="5" t="str">
        <f ca="1">IFERROR(__xludf.DUMMYFUNCTION("""COMPUTED_VALUE"""),"Redstone10CloverDeluxe")</f>
        <v>Redstone10CloverDeluxe</v>
      </c>
      <c r="D135" s="6">
        <f ca="1">IFERROR(__xludf.DUMMYFUNCTION("""COMPUTED_VALUE"""),46212)</f>
        <v>46212</v>
      </c>
      <c r="E135" s="5" t="str">
        <f ca="1">IFERROR(__xludf.DUMMYFUNCTION("""COMPUTED_VALUE"""),"Slot")</f>
        <v>Slot</v>
      </c>
      <c r="F135" s="5">
        <f ca="1">IFERROR(__xludf.DUMMYFUNCTION("""COMPUTED_VALUE"""),7.9)</f>
        <v>7.9</v>
      </c>
      <c r="G135" s="5" t="str">
        <f ca="1">IFERROR(__xludf.DUMMYFUNCTION("""COMPUTED_VALUE"""),"5x3")</f>
        <v>5x3</v>
      </c>
      <c r="H135" s="5">
        <f ca="1">IFERROR(__xludf.DUMMYFUNCTION("""COMPUTED_VALUE"""),10)</f>
        <v>10</v>
      </c>
      <c r="I135" s="5">
        <f ca="1">IFERROR(__xludf.DUMMYFUNCTION("""COMPUTED_VALUE"""),10)</f>
        <v>10</v>
      </c>
      <c r="J135" s="5" t="str">
        <f ca="1">IFERROR(__xludf.DUMMYFUNCTION("""COMPUTED_VALUE"""),"95.96%")</f>
        <v>95.96%</v>
      </c>
      <c r="K135" s="5" t="str">
        <f ca="1">IFERROR(__xludf.DUMMYFUNCTION("""COMPUTED_VALUE"""),"Medium")</f>
        <v>Medium</v>
      </c>
      <c r="L135" s="5" t="str">
        <f ca="1">IFERROR(__xludf.DUMMYFUNCTION("""COMPUTED_VALUE"""),"14.63%")</f>
        <v>14.63%</v>
      </c>
      <c r="M135" s="5" t="str">
        <f ca="1">IFERROR(__xludf.DUMMYFUNCTION("""COMPUTED_VALUE"""),"x1538")</f>
        <v>x1538</v>
      </c>
      <c r="N135" s="5" t="str">
        <f ca="1">IFERROR(__xludf.DUMMYFUNCTION("""COMPUTED_VALUE"""),"0.10/50")</f>
        <v>0.10/50</v>
      </c>
      <c r="O135" s="5" t="str">
        <f ca="1">IFERROR(__xludf.DUMMYFUNCTION("""COMPUTED_VALUE"""),"No")</f>
        <v>No</v>
      </c>
      <c r="P135" s="5" t="str">
        <f ca="1">IFERROR(__xludf.DUMMYFUNCTION("""COMPUTED_VALUE"""),"Expanding Wild, Scatter")</f>
        <v>Expanding Wild, Scatter</v>
      </c>
      <c r="Q135" s="7" t="str">
        <f ca="1">IFERROR(__xludf.DUMMYFUNCTION("""COMPUTED_VALUE"""),"https://gameserver-store-client-area.orbionlimited.com/Home/IntegrationGameLaunch/client-area?moneyType=0&amp;gameName=Redstone10CloverDeluxe&amp;platform=desktop&amp;languageCode=eng&amp;currency=EUR")</f>
        <v>https://gameserver-store-client-area.orbionlimited.com/Home/IntegrationGameLaunch/client-area?moneyType=0&amp;gameName=Redstone10CloverDeluxe&amp;platform=desktop&amp;languageCode=eng&amp;currency=EUR</v>
      </c>
      <c r="R135" s="5" t="str">
        <f ca="1">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S13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IFERROR(__xludf.DUMMYFUNCTION("""COMPUTED_VALUE"""),"Yes")</f>
        <v>Yes</v>
      </c>
      <c r="AA135" s="5" t="str">
        <f ca="1">IFERROR(__xludf.DUMMYFUNCTION("""COMPUTED_VALUE"""),"Yes")</f>
        <v>Yes</v>
      </c>
      <c r="AB135" s="5" t="str">
        <f ca="1">IFERROR(__xludf.DUMMYFUNCTION("""COMPUTED_VALUE"""),"Yes")</f>
        <v>Yes</v>
      </c>
      <c r="AC135" s="5" t="str">
        <f ca="1">IFERROR(__xludf.DUMMYFUNCTION("""COMPUTED_VALUE"""),"Yes")</f>
        <v>Yes</v>
      </c>
      <c r="AD135" s="5" t="str">
        <f ca="1">IFERROR(__xludf.DUMMYFUNCTION("""COMPUTED_VALUE"""),"Yes")</f>
        <v>Yes</v>
      </c>
      <c r="AE135" s="5" t="str">
        <f ca="1">IFERROR(__xludf.DUMMYFUNCTION("""COMPUTED_VALUE"""),"Yes")</f>
        <v>Yes</v>
      </c>
      <c r="AF135" s="5" t="str">
        <f ca="1">IFERROR(__xludf.DUMMYFUNCTION("""COMPUTED_VALUE"""),"Yes")</f>
        <v>Yes</v>
      </c>
      <c r="AG135" s="5" t="str">
        <f ca="1">IFERROR(__xludf.DUMMYFUNCTION("""COMPUTED_VALUE"""),"Yes")</f>
        <v>Yes</v>
      </c>
      <c r="AH135" s="5" t="str">
        <f ca="1">IFERROR(__xludf.DUMMYFUNCTION("""COMPUTED_VALUE"""),"Yes")</f>
        <v>Yes</v>
      </c>
      <c r="AI135" s="5" t="str">
        <f ca="1">IFERROR(__xludf.DUMMYFUNCTION("""COMPUTED_VALUE"""),"No")</f>
        <v>No</v>
      </c>
      <c r="AJ135" s="5" t="str">
        <f ca="1">IFERROR(__xludf.DUMMYFUNCTION("""COMPUTED_VALUE"""),"No")</f>
        <v>No</v>
      </c>
      <c r="AK135" s="5" t="str">
        <f ca="1">IFERROR(__xludf.DUMMYFUNCTION("""COMPUTED_VALUE"""),"No")</f>
        <v>No</v>
      </c>
      <c r="AL135" s="5" t="str">
        <f ca="1">IFERROR(__xludf.DUMMYFUNCTION("""COMPUTED_VALUE"""),"No")</f>
        <v>No</v>
      </c>
      <c r="AM135" s="5" t="str">
        <f ca="1">IFERROR(__xludf.DUMMYFUNCTION("""COMPUTED_VALUE"""),"No")</f>
        <v>No</v>
      </c>
      <c r="AN135" s="5" t="str">
        <f ca="1">IFERROR(__xludf.DUMMYFUNCTION("""COMPUTED_VALUE"""),"No")</f>
        <v>No</v>
      </c>
      <c r="AO135" s="5" t="str">
        <f ca="1">IFERROR(__xludf.DUMMYFUNCTION("""COMPUTED_VALUE"""),"Yes")</f>
        <v>Yes</v>
      </c>
      <c r="AP135" s="5" t="str">
        <f ca="1">IFERROR(__xludf.DUMMYFUNCTION("""COMPUTED_VALUE"""),"No")</f>
        <v>No</v>
      </c>
      <c r="AQ135" s="5" t="str">
        <f ca="1">IFERROR(__xludf.DUMMYFUNCTION("""COMPUTED_VALUE"""),"No")</f>
        <v>No</v>
      </c>
      <c r="AR135" s="5" t="str">
        <f ca="1">IFERROR(__xludf.DUMMYFUNCTION("""COMPUTED_VALUE"""),"No")</f>
        <v>No</v>
      </c>
      <c r="AS135" s="5" t="str">
        <f ca="1">IFERROR(__xludf.DUMMYFUNCTION("""COMPUTED_VALUE"""),"Yes")</f>
        <v>Yes</v>
      </c>
      <c r="AT135" s="5" t="str">
        <f ca="1">IFERROR(__xludf.DUMMYFUNCTION("""COMPUTED_VALUE"""),"No")</f>
        <v>No</v>
      </c>
      <c r="AU135" s="5"/>
    </row>
    <row r="136" spans="1:47" x14ac:dyDescent="0.25">
      <c r="A136" s="5" t="str">
        <f ca="1">IFERROR(__xludf.DUMMYFUNCTION("""COMPUTED_VALUE"""),"Redstone")</f>
        <v>Redstone</v>
      </c>
      <c r="B136" s="5" t="str">
        <f ca="1">IFERROR(__xludf.DUMMYFUNCTION("""COMPUTED_VALUE"""),"10 Crown Deluxe")</f>
        <v>10 Crown Deluxe</v>
      </c>
      <c r="C136" s="5" t="str">
        <f ca="1">IFERROR(__xludf.DUMMYFUNCTION("""COMPUTED_VALUE"""),"Redstone10CrownDeluxe")</f>
        <v>Redstone10CrownDeluxe</v>
      </c>
      <c r="D136" s="6">
        <f ca="1">IFERROR(__xludf.DUMMYFUNCTION("""COMPUTED_VALUE"""),46266)</f>
        <v>46266</v>
      </c>
      <c r="E136" s="5" t="str">
        <f ca="1">IFERROR(__xludf.DUMMYFUNCTION("""COMPUTED_VALUE"""),"Slot")</f>
        <v>Slot</v>
      </c>
      <c r="F136" s="5">
        <f ca="1">IFERROR(__xludf.DUMMYFUNCTION("""COMPUTED_VALUE"""),7.8)</f>
        <v>7.8</v>
      </c>
      <c r="G136" s="5" t="str">
        <f ca="1">IFERROR(__xludf.DUMMYFUNCTION("""COMPUTED_VALUE"""),"5x3")</f>
        <v>5x3</v>
      </c>
      <c r="H136" s="5">
        <f ca="1">IFERROR(__xludf.DUMMYFUNCTION("""COMPUTED_VALUE"""),10)</f>
        <v>10</v>
      </c>
      <c r="I136" s="5">
        <f ca="1">IFERROR(__xludf.DUMMYFUNCTION("""COMPUTED_VALUE"""),10)</f>
        <v>10</v>
      </c>
      <c r="J136" s="5" t="str">
        <f ca="1">IFERROR(__xludf.DUMMYFUNCTION("""COMPUTED_VALUE"""),"95.96%")</f>
        <v>95.96%</v>
      </c>
      <c r="K136" s="5" t="str">
        <f ca="1">IFERROR(__xludf.DUMMYFUNCTION("""COMPUTED_VALUE"""),"Medium")</f>
        <v>Medium</v>
      </c>
      <c r="L136" s="5" t="str">
        <f ca="1">IFERROR(__xludf.DUMMYFUNCTION("""COMPUTED_VALUE"""),"14.63%")</f>
        <v>14.63%</v>
      </c>
      <c r="M136" s="5" t="str">
        <f ca="1">IFERROR(__xludf.DUMMYFUNCTION("""COMPUTED_VALUE"""),"x1538")</f>
        <v>x1538</v>
      </c>
      <c r="N136" s="5" t="str">
        <f ca="1">IFERROR(__xludf.DUMMYFUNCTION("""COMPUTED_VALUE"""),"0.10/50")</f>
        <v>0.10/50</v>
      </c>
      <c r="O136" s="5" t="str">
        <f ca="1">IFERROR(__xludf.DUMMYFUNCTION("""COMPUTED_VALUE"""),"No")</f>
        <v>No</v>
      </c>
      <c r="P136" s="5" t="str">
        <f ca="1">IFERROR(__xludf.DUMMYFUNCTION("""COMPUTED_VALUE"""),"Expanding Wild, Scatter")</f>
        <v>Expanding Wild, Scatter</v>
      </c>
      <c r="Q136" s="7" t="str">
        <f ca="1">IFERROR(__xludf.DUMMYFUNCTION("""COMPUTED_VALUE"""),"https://gameserver-store-client-area.orbionlimited.com/Home/IntegrationGameLaunch/client-area?moneyType=0&amp;gameName=Redstone10CrownDeluxe&amp;platform=desktop&amp;languageCode=eng&amp;currency=EUR")</f>
        <v>https://gameserver-store-client-area.orbionlimited.com/Home/IntegrationGameLaunch/client-area?moneyType=0&amp;gameName=Redstone10CrownDeluxe&amp;platform=desktop&amp;languageCode=eng&amp;currency=EUR</v>
      </c>
      <c r="R136" s="5" t="str">
        <f ca="1">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S13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IFERROR(__xludf.DUMMYFUNCTION("""COMPUTED_VALUE"""),"Yes")</f>
        <v>Yes</v>
      </c>
      <c r="AA136" s="5" t="str">
        <f ca="1">IFERROR(__xludf.DUMMYFUNCTION("""COMPUTED_VALUE"""),"Yes")</f>
        <v>Yes</v>
      </c>
      <c r="AB136" s="5" t="str">
        <f ca="1">IFERROR(__xludf.DUMMYFUNCTION("""COMPUTED_VALUE"""),"Yes")</f>
        <v>Yes</v>
      </c>
      <c r="AC136" s="5" t="str">
        <f ca="1">IFERROR(__xludf.DUMMYFUNCTION("""COMPUTED_VALUE"""),"Yes")</f>
        <v>Yes</v>
      </c>
      <c r="AD136" s="5" t="str">
        <f ca="1">IFERROR(__xludf.DUMMYFUNCTION("""COMPUTED_VALUE"""),"Yes")</f>
        <v>Yes</v>
      </c>
      <c r="AE136" s="5" t="str">
        <f ca="1">IFERROR(__xludf.DUMMYFUNCTION("""COMPUTED_VALUE"""),"Yes")</f>
        <v>Yes</v>
      </c>
      <c r="AF136" s="5" t="str">
        <f ca="1">IFERROR(__xludf.DUMMYFUNCTION("""COMPUTED_VALUE"""),"Yes")</f>
        <v>Yes</v>
      </c>
      <c r="AG136" s="5" t="str">
        <f ca="1">IFERROR(__xludf.DUMMYFUNCTION("""COMPUTED_VALUE"""),"Yes")</f>
        <v>Yes</v>
      </c>
      <c r="AH136" s="5" t="str">
        <f ca="1">IFERROR(__xludf.DUMMYFUNCTION("""COMPUTED_VALUE"""),"Yes")</f>
        <v>Yes</v>
      </c>
      <c r="AI136" s="5" t="str">
        <f ca="1">IFERROR(__xludf.DUMMYFUNCTION("""COMPUTED_VALUE"""),"No")</f>
        <v>No</v>
      </c>
      <c r="AJ136" s="5" t="str">
        <f ca="1">IFERROR(__xludf.DUMMYFUNCTION("""COMPUTED_VALUE"""),"No")</f>
        <v>No</v>
      </c>
      <c r="AK136" s="5" t="str">
        <f ca="1">IFERROR(__xludf.DUMMYFUNCTION("""COMPUTED_VALUE"""),"No")</f>
        <v>No</v>
      </c>
      <c r="AL136" s="5" t="str">
        <f ca="1">IFERROR(__xludf.DUMMYFUNCTION("""COMPUTED_VALUE"""),"No")</f>
        <v>No</v>
      </c>
      <c r="AM136" s="5" t="str">
        <f ca="1">IFERROR(__xludf.DUMMYFUNCTION("""COMPUTED_VALUE"""),"No")</f>
        <v>No</v>
      </c>
      <c r="AN136" s="5" t="str">
        <f ca="1">IFERROR(__xludf.DUMMYFUNCTION("""COMPUTED_VALUE"""),"No")</f>
        <v>No</v>
      </c>
      <c r="AO136" s="5" t="str">
        <f ca="1">IFERROR(__xludf.DUMMYFUNCTION("""COMPUTED_VALUE"""),"Yes")</f>
        <v>Yes</v>
      </c>
      <c r="AP136" s="5" t="str">
        <f ca="1">IFERROR(__xludf.DUMMYFUNCTION("""COMPUTED_VALUE"""),"No")</f>
        <v>No</v>
      </c>
      <c r="AQ136" s="5" t="str">
        <f ca="1">IFERROR(__xludf.DUMMYFUNCTION("""COMPUTED_VALUE"""),"No")</f>
        <v>No</v>
      </c>
      <c r="AR136" s="5" t="str">
        <f ca="1">IFERROR(__xludf.DUMMYFUNCTION("""COMPUTED_VALUE"""),"No")</f>
        <v>No</v>
      </c>
      <c r="AS136" s="5" t="str">
        <f ca="1">IFERROR(__xludf.DUMMYFUNCTION("""COMPUTED_VALUE"""),"Yes")</f>
        <v>Yes</v>
      </c>
      <c r="AT136" s="5" t="str">
        <f ca="1">IFERROR(__xludf.DUMMYFUNCTION("""COMPUTED_VALUE"""),"No")</f>
        <v>No</v>
      </c>
      <c r="AU136" s="5"/>
    </row>
    <row r="137" spans="1:47" x14ac:dyDescent="0.25">
      <c r="A137" s="5" t="str">
        <f ca="1">IFERROR(__xludf.DUMMYFUNCTION("""COMPUTED_VALUE"""),"Redstone")</f>
        <v>Redstone</v>
      </c>
      <c r="B137" s="5" t="str">
        <f ca="1">IFERROR(__xludf.DUMMYFUNCTION("""COMPUTED_VALUE"""),"10 Heart Deluxe")</f>
        <v>10 Heart Deluxe</v>
      </c>
      <c r="C137" s="5" t="str">
        <f ca="1">IFERROR(__xludf.DUMMYFUNCTION("""COMPUTED_VALUE"""),"Redstone10HeartDeluxe")</f>
        <v>Redstone10HeartDeluxe</v>
      </c>
      <c r="D137" s="6">
        <f ca="1">IFERROR(__xludf.DUMMYFUNCTION("""COMPUTED_VALUE"""),46254)</f>
        <v>46254</v>
      </c>
      <c r="E137" s="5" t="str">
        <f ca="1">IFERROR(__xludf.DUMMYFUNCTION("""COMPUTED_VALUE"""),"Slot")</f>
        <v>Slot</v>
      </c>
      <c r="F137" s="5">
        <f ca="1">IFERROR(__xludf.DUMMYFUNCTION("""COMPUTED_VALUE"""),8.2)</f>
        <v>8.1999999999999993</v>
      </c>
      <c r="G137" s="5" t="str">
        <f ca="1">IFERROR(__xludf.DUMMYFUNCTION("""COMPUTED_VALUE"""),"5x3")</f>
        <v>5x3</v>
      </c>
      <c r="H137" s="5">
        <f ca="1">IFERROR(__xludf.DUMMYFUNCTION("""COMPUTED_VALUE"""),10)</f>
        <v>10</v>
      </c>
      <c r="I137" s="5">
        <f ca="1">IFERROR(__xludf.DUMMYFUNCTION("""COMPUTED_VALUE"""),10)</f>
        <v>10</v>
      </c>
      <c r="J137" s="5" t="str">
        <f ca="1">IFERROR(__xludf.DUMMYFUNCTION("""COMPUTED_VALUE"""),"95.96%")</f>
        <v>95.96%</v>
      </c>
      <c r="K137" s="5" t="str">
        <f ca="1">IFERROR(__xludf.DUMMYFUNCTION("""COMPUTED_VALUE"""),"Medium")</f>
        <v>Medium</v>
      </c>
      <c r="L137" s="5" t="str">
        <f ca="1">IFERROR(__xludf.DUMMYFUNCTION("""COMPUTED_VALUE"""),"14.63%")</f>
        <v>14.63%</v>
      </c>
      <c r="M137" s="5" t="str">
        <f ca="1">IFERROR(__xludf.DUMMYFUNCTION("""COMPUTED_VALUE"""),"x1538")</f>
        <v>x1538</v>
      </c>
      <c r="N137" s="5" t="str">
        <f ca="1">IFERROR(__xludf.DUMMYFUNCTION("""COMPUTED_VALUE"""),"0.10/50")</f>
        <v>0.10/50</v>
      </c>
      <c r="O137" s="5" t="str">
        <f ca="1">IFERROR(__xludf.DUMMYFUNCTION("""COMPUTED_VALUE"""),"No")</f>
        <v>No</v>
      </c>
      <c r="P137" s="5" t="str">
        <f ca="1">IFERROR(__xludf.DUMMYFUNCTION("""COMPUTED_VALUE"""),"Expanding Wild, Scatter")</f>
        <v>Expanding Wild, Scatter</v>
      </c>
      <c r="Q137" s="7" t="str">
        <f ca="1">IFERROR(__xludf.DUMMYFUNCTION("""COMPUTED_VALUE"""),"https://gameserver-store-client-area.orbionlimited.com/Home/IntegrationGameLaunch/client-area?moneyType=0&amp;gameName=Redstone10HeartDeluxe&amp;platform=desktop&amp;languageCode=eng&amp;currency=EUR")</f>
        <v>https://gameserver-store-client-area.orbionlimited.com/Home/IntegrationGameLaunch/client-area?moneyType=0&amp;gameName=Redstone10HeartDeluxe&amp;platform=desktop&amp;languageCode=eng&amp;currency=EUR</v>
      </c>
      <c r="R137" s="5" t="str">
        <f ca="1">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S13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7" s="5" t="str">
        <f ca="1">IFERROR(__xludf.DUMMYFUNCTION("""COMPUTED_VALUE"""),"Yes")</f>
        <v>Yes</v>
      </c>
      <c r="U137" s="5" t="str">
        <f ca="1">IFERROR(__xludf.DUMMYFUNCTION("""COMPUTED_VALUE"""),"Yes")</f>
        <v>Yes</v>
      </c>
      <c r="V137" s="5" t="str">
        <f ca="1">IFERROR(__xludf.DUMMYFUNCTION("""COMPUTED_VALUE"""),"Yes")</f>
        <v>Yes</v>
      </c>
      <c r="W137" s="5" t="str">
        <f ca="1">IFERROR(__xludf.DUMMYFUNCTION("""COMPUTED_VALUE"""),"Yes")</f>
        <v>Yes</v>
      </c>
      <c r="X137" s="5" t="str">
        <f ca="1">IFERROR(__xludf.DUMMYFUNCTION("""COMPUTED_VALUE"""),"Yes")</f>
        <v>Yes</v>
      </c>
      <c r="Y137" s="5" t="str">
        <f ca="1">IFERROR(__xludf.DUMMYFUNCTION("""COMPUTED_VALUE"""),"Yes")</f>
        <v>Yes</v>
      </c>
      <c r="Z137" s="5" t="str">
        <f ca="1">IFERROR(__xludf.DUMMYFUNCTION("""COMPUTED_VALUE"""),"Yes")</f>
        <v>Yes</v>
      </c>
      <c r="AA137" s="5" t="str">
        <f ca="1">IFERROR(__xludf.DUMMYFUNCTION("""COMPUTED_VALUE"""),"Yes")</f>
        <v>Yes</v>
      </c>
      <c r="AB137" s="5" t="str">
        <f ca="1">IFERROR(__xludf.DUMMYFUNCTION("""COMPUTED_VALUE"""),"Yes")</f>
        <v>Yes</v>
      </c>
      <c r="AC137" s="5" t="str">
        <f ca="1">IFERROR(__xludf.DUMMYFUNCTION("""COMPUTED_VALUE"""),"Yes")</f>
        <v>Yes</v>
      </c>
      <c r="AD137" s="5" t="str">
        <f ca="1">IFERROR(__xludf.DUMMYFUNCTION("""COMPUTED_VALUE"""),"Yes")</f>
        <v>Yes</v>
      </c>
      <c r="AE137" s="5" t="str">
        <f ca="1">IFERROR(__xludf.DUMMYFUNCTION("""COMPUTED_VALUE"""),"Yes")</f>
        <v>Yes</v>
      </c>
      <c r="AF137" s="5" t="str">
        <f ca="1">IFERROR(__xludf.DUMMYFUNCTION("""COMPUTED_VALUE"""),"Yes")</f>
        <v>Yes</v>
      </c>
      <c r="AG137" s="5" t="str">
        <f ca="1">IFERROR(__xludf.DUMMYFUNCTION("""COMPUTED_VALUE"""),"Yes")</f>
        <v>Yes</v>
      </c>
      <c r="AH137" s="5" t="str">
        <f ca="1">IFERROR(__xludf.DUMMYFUNCTION("""COMPUTED_VALUE"""),"Yes")</f>
        <v>Yes</v>
      </c>
      <c r="AI137" s="5" t="str">
        <f ca="1">IFERROR(__xludf.DUMMYFUNCTION("""COMPUTED_VALUE"""),"No")</f>
        <v>No</v>
      </c>
      <c r="AJ137" s="5" t="str">
        <f ca="1">IFERROR(__xludf.DUMMYFUNCTION("""COMPUTED_VALUE"""),"No")</f>
        <v>No</v>
      </c>
      <c r="AK137" s="5" t="str">
        <f ca="1">IFERROR(__xludf.DUMMYFUNCTION("""COMPUTED_VALUE"""),"No")</f>
        <v>No</v>
      </c>
      <c r="AL137" s="5" t="str">
        <f ca="1">IFERROR(__xludf.DUMMYFUNCTION("""COMPUTED_VALUE"""),"No")</f>
        <v>No</v>
      </c>
      <c r="AM137" s="5" t="str">
        <f ca="1">IFERROR(__xludf.DUMMYFUNCTION("""COMPUTED_VALUE"""),"No")</f>
        <v>No</v>
      </c>
      <c r="AN137" s="5" t="str">
        <f ca="1">IFERROR(__xludf.DUMMYFUNCTION("""COMPUTED_VALUE"""),"No")</f>
        <v>No</v>
      </c>
      <c r="AO137" s="5" t="str">
        <f ca="1">IFERROR(__xludf.DUMMYFUNCTION("""COMPUTED_VALUE"""),"Yes")</f>
        <v>Yes</v>
      </c>
      <c r="AP137" s="5" t="str">
        <f ca="1">IFERROR(__xludf.DUMMYFUNCTION("""COMPUTED_VALUE"""),"No")</f>
        <v>No</v>
      </c>
      <c r="AQ137" s="5" t="str">
        <f ca="1">IFERROR(__xludf.DUMMYFUNCTION("""COMPUTED_VALUE"""),"No")</f>
        <v>No</v>
      </c>
      <c r="AR137" s="5" t="str">
        <f ca="1">IFERROR(__xludf.DUMMYFUNCTION("""COMPUTED_VALUE"""),"No")</f>
        <v>No</v>
      </c>
      <c r="AS137" s="5" t="str">
        <f ca="1">IFERROR(__xludf.DUMMYFUNCTION("""COMPUTED_VALUE"""),"Yes")</f>
        <v>Yes</v>
      </c>
      <c r="AT137" s="5" t="str">
        <f ca="1">IFERROR(__xludf.DUMMYFUNCTION("""COMPUTED_VALUE"""),"No")</f>
        <v>No</v>
      </c>
      <c r="AU137" s="5"/>
    </row>
    <row r="138" spans="1:47" x14ac:dyDescent="0.25">
      <c r="A138" s="5" t="str">
        <f ca="1">IFERROR(__xludf.DUMMYFUNCTION("""COMPUTED_VALUE"""),"Redstone")</f>
        <v>Redstone</v>
      </c>
      <c r="B138" s="5" t="str">
        <f ca="1">IFERROR(__xludf.DUMMYFUNCTION("""COMPUTED_VALUE"""),"Multi Heart 10")</f>
        <v>Multi Heart 10</v>
      </c>
      <c r="C138" s="5" t="str">
        <f ca="1">IFERROR(__xludf.DUMMYFUNCTION("""COMPUTED_VALUE"""),"RedstoneMultiHeart10")</f>
        <v>RedstoneMultiHeart10</v>
      </c>
      <c r="D138" s="6">
        <f ca="1">IFERROR(__xludf.DUMMYFUNCTION("""COMPUTED_VALUE"""),46282)</f>
        <v>46282</v>
      </c>
      <c r="E138" s="5" t="str">
        <f ca="1">IFERROR(__xludf.DUMMYFUNCTION("""COMPUTED_VALUE"""),"Slot")</f>
        <v>Slot</v>
      </c>
      <c r="F138" s="5">
        <f ca="1">IFERROR(__xludf.DUMMYFUNCTION("""COMPUTED_VALUE"""),8.3)</f>
        <v>8.3000000000000007</v>
      </c>
      <c r="G138" s="5" t="str">
        <f ca="1">IFERROR(__xludf.DUMMYFUNCTION("""COMPUTED_VALUE"""),"5x3")</f>
        <v>5x3</v>
      </c>
      <c r="H138" s="5">
        <f ca="1">IFERROR(__xludf.DUMMYFUNCTION("""COMPUTED_VALUE"""),10)</f>
        <v>10</v>
      </c>
      <c r="I138" s="5">
        <f ca="1">IFERROR(__xludf.DUMMYFUNCTION("""COMPUTED_VALUE"""),10)</f>
        <v>10</v>
      </c>
      <c r="J138" s="5" t="str">
        <f ca="1">IFERROR(__xludf.DUMMYFUNCTION("""COMPUTED_VALUE"""),"96.01%")</f>
        <v>96.01%</v>
      </c>
      <c r="K138" s="5" t="str">
        <f ca="1">IFERROR(__xludf.DUMMYFUNCTION("""COMPUTED_VALUE"""),"Medium")</f>
        <v>Medium</v>
      </c>
      <c r="L138" s="5" t="str">
        <f ca="1">IFERROR(__xludf.DUMMYFUNCTION("""COMPUTED_VALUE"""),"12.61%")</f>
        <v>12.61%</v>
      </c>
      <c r="M138" s="5" t="str">
        <f ca="1">IFERROR(__xludf.DUMMYFUNCTION("""COMPUTED_VALUE"""),"x1615")</f>
        <v>x1615</v>
      </c>
      <c r="N138" s="5" t="str">
        <f ca="1">IFERROR(__xludf.DUMMYFUNCTION("""COMPUTED_VALUE"""),"0.10/50")</f>
        <v>0.10/50</v>
      </c>
      <c r="O138" s="5" t="str">
        <f ca="1">IFERROR(__xludf.DUMMYFUNCTION("""COMPUTED_VALUE"""),"No")</f>
        <v>No</v>
      </c>
      <c r="P138" s="5" t="str">
        <f ca="1">IFERROR(__xludf.DUMMYFUNCTION("""COMPUTED_VALUE"""),"Expanding Wild, Win Multiplier")</f>
        <v>Expanding Wild, Win Multiplier</v>
      </c>
      <c r="Q138" s="7" t="str">
        <f ca="1">IFERROR(__xludf.DUMMYFUNCTION("""COMPUTED_VALUE"""),"https://gameserver-store-client-area.orbionlimited.com/Home/IntegrationGameLaunch/client-area?moneyType=0&amp;gameName=RedstoneMultiHeart10&amp;platform=desktop&amp;languageCode=eng&amp;currency=EUR")</f>
        <v>https://gameserver-store-client-area.orbionlimited.com/Home/IntegrationGameLaunch/client-area?moneyType=0&amp;gameName=RedstoneMultiHeart10&amp;platform=desktop&amp;languageCode=eng&amp;currency=EUR</v>
      </c>
      <c r="R138" s="5" t="str">
        <f ca="1">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S138"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8" s="5" t="str">
        <f ca="1">IFERROR(__xludf.DUMMYFUNCTION("""COMPUTED_VALUE"""),"Yes")</f>
        <v>Yes</v>
      </c>
      <c r="U138" s="5" t="str">
        <f ca="1">IFERROR(__xludf.DUMMYFUNCTION("""COMPUTED_VALUE"""),"Yes")</f>
        <v>Yes</v>
      </c>
      <c r="V138" s="5" t="str">
        <f ca="1">IFERROR(__xludf.DUMMYFUNCTION("""COMPUTED_VALUE"""),"Yes")</f>
        <v>Yes</v>
      </c>
      <c r="W138" s="5" t="str">
        <f ca="1">IFERROR(__xludf.DUMMYFUNCTION("""COMPUTED_VALUE"""),"Yes")</f>
        <v>Yes</v>
      </c>
      <c r="X138" s="5" t="str">
        <f ca="1">IFERROR(__xludf.DUMMYFUNCTION("""COMPUTED_VALUE"""),"Yes")</f>
        <v>Yes</v>
      </c>
      <c r="Y138" s="5" t="str">
        <f ca="1">IFERROR(__xludf.DUMMYFUNCTION("""COMPUTED_VALUE"""),"Yes")</f>
        <v>Yes</v>
      </c>
      <c r="Z138" s="5" t="str">
        <f ca="1">IFERROR(__xludf.DUMMYFUNCTION("""COMPUTED_VALUE"""),"Yes")</f>
        <v>Yes</v>
      </c>
      <c r="AA138" s="5" t="str">
        <f ca="1">IFERROR(__xludf.DUMMYFUNCTION("""COMPUTED_VALUE"""),"Yes")</f>
        <v>Yes</v>
      </c>
      <c r="AB138" s="5" t="str">
        <f ca="1">IFERROR(__xludf.DUMMYFUNCTION("""COMPUTED_VALUE"""),"Yes")</f>
        <v>Yes</v>
      </c>
      <c r="AC138" s="5" t="str">
        <f ca="1">IFERROR(__xludf.DUMMYFUNCTION("""COMPUTED_VALUE"""),"Yes")</f>
        <v>Yes</v>
      </c>
      <c r="AD138" s="5" t="str">
        <f ca="1">IFERROR(__xludf.DUMMYFUNCTION("""COMPUTED_VALUE"""),"Yes")</f>
        <v>Yes</v>
      </c>
      <c r="AE138" s="5" t="str">
        <f ca="1">IFERROR(__xludf.DUMMYFUNCTION("""COMPUTED_VALUE"""),"Yes")</f>
        <v>Yes</v>
      </c>
      <c r="AF138" s="5" t="str">
        <f ca="1">IFERROR(__xludf.DUMMYFUNCTION("""COMPUTED_VALUE"""),"Yes")</f>
        <v>Yes</v>
      </c>
      <c r="AG138" s="5" t="str">
        <f ca="1">IFERROR(__xludf.DUMMYFUNCTION("""COMPUTED_VALUE"""),"Yes")</f>
        <v>Yes</v>
      </c>
      <c r="AH138" s="5" t="str">
        <f ca="1">IFERROR(__xludf.DUMMYFUNCTION("""COMPUTED_VALUE"""),"Yes")</f>
        <v>Yes</v>
      </c>
      <c r="AI138" s="5" t="str">
        <f ca="1">IFERROR(__xludf.DUMMYFUNCTION("""COMPUTED_VALUE"""),"No")</f>
        <v>No</v>
      </c>
      <c r="AJ138" s="5" t="str">
        <f ca="1">IFERROR(__xludf.DUMMYFUNCTION("""COMPUTED_VALUE"""),"No")</f>
        <v>No</v>
      </c>
      <c r="AK138" s="5" t="str">
        <f ca="1">IFERROR(__xludf.DUMMYFUNCTION("""COMPUTED_VALUE"""),"No")</f>
        <v>No</v>
      </c>
      <c r="AL138" s="5" t="str">
        <f ca="1">IFERROR(__xludf.DUMMYFUNCTION("""COMPUTED_VALUE"""),"No")</f>
        <v>No</v>
      </c>
      <c r="AM138" s="5" t="str">
        <f ca="1">IFERROR(__xludf.DUMMYFUNCTION("""COMPUTED_VALUE"""),"No")</f>
        <v>No</v>
      </c>
      <c r="AN138" s="5" t="str">
        <f ca="1">IFERROR(__xludf.DUMMYFUNCTION("""COMPUTED_VALUE"""),"No")</f>
        <v>No</v>
      </c>
      <c r="AO138" s="5" t="str">
        <f ca="1">IFERROR(__xludf.DUMMYFUNCTION("""COMPUTED_VALUE"""),"Yes")</f>
        <v>Yes</v>
      </c>
      <c r="AP138" s="5" t="str">
        <f ca="1">IFERROR(__xludf.DUMMYFUNCTION("""COMPUTED_VALUE"""),"No")</f>
        <v>No</v>
      </c>
      <c r="AQ138" s="5" t="str">
        <f ca="1">IFERROR(__xludf.DUMMYFUNCTION("""COMPUTED_VALUE"""),"No")</f>
        <v>No</v>
      </c>
      <c r="AR138" s="5" t="str">
        <f ca="1">IFERROR(__xludf.DUMMYFUNCTION("""COMPUTED_VALUE"""),"No")</f>
        <v>No</v>
      </c>
      <c r="AS138" s="5" t="str">
        <f ca="1">IFERROR(__xludf.DUMMYFUNCTION("""COMPUTED_VALUE"""),"Yes")</f>
        <v>Yes</v>
      </c>
      <c r="AT138" s="5" t="str">
        <f ca="1">IFERROR(__xludf.DUMMYFUNCTION("""COMPUTED_VALUE"""),"No")</f>
        <v>No</v>
      </c>
      <c r="AU138" s="5"/>
    </row>
    <row r="139" spans="1:47" x14ac:dyDescent="0.25">
      <c r="A139" s="5" t="str">
        <f ca="1">IFERROR(__xludf.DUMMYFUNCTION("""COMPUTED_VALUE"""),"Redstone")</f>
        <v>Redstone</v>
      </c>
      <c r="B139" s="5" t="str">
        <f ca="1">IFERROR(__xludf.DUMMYFUNCTION("""COMPUTED_VALUE"""),"Lucky Lucky Bells")</f>
        <v>Lucky Lucky Bells</v>
      </c>
      <c r="C139" s="5" t="str">
        <f ca="1">IFERROR(__xludf.DUMMYFUNCTION("""COMPUTED_VALUE"""),"RedstoneLuckyLuckyBells")</f>
        <v>RedstoneLuckyLuckyBells</v>
      </c>
      <c r="D139" s="6">
        <f ca="1">IFERROR(__xludf.DUMMYFUNCTION("""COMPUTED_VALUE"""),46233)</f>
        <v>46233</v>
      </c>
      <c r="E139" s="5" t="str">
        <f ca="1">IFERROR(__xludf.DUMMYFUNCTION("""COMPUTED_VALUE"""),"Slot")</f>
        <v>Slot</v>
      </c>
      <c r="F139" s="5">
        <f ca="1">IFERROR(__xludf.DUMMYFUNCTION("""COMPUTED_VALUE"""),12.3)</f>
        <v>12.3</v>
      </c>
      <c r="G139" s="5" t="str">
        <f ca="1">IFERROR(__xludf.DUMMYFUNCTION("""COMPUTED_VALUE"""),"3x3")</f>
        <v>3x3</v>
      </c>
      <c r="H139" s="5">
        <f ca="1">IFERROR(__xludf.DUMMYFUNCTION("""COMPUTED_VALUE"""),5)</f>
        <v>5</v>
      </c>
      <c r="I139" s="5">
        <f ca="1">IFERROR(__xludf.DUMMYFUNCTION("""COMPUTED_VALUE"""),5)</f>
        <v>5</v>
      </c>
      <c r="J139" s="5" t="str">
        <f ca="1">IFERROR(__xludf.DUMMYFUNCTION("""COMPUTED_VALUE"""),"96.64%")</f>
        <v>96.64%</v>
      </c>
      <c r="K139" s="5" t="str">
        <f ca="1">IFERROR(__xludf.DUMMYFUNCTION("""COMPUTED_VALUE"""),"Low")</f>
        <v>Low</v>
      </c>
      <c r="L139" s="5" t="str">
        <f ca="1">IFERROR(__xludf.DUMMYFUNCTION("""COMPUTED_VALUE"""),"10.5%")</f>
        <v>10.5%</v>
      </c>
      <c r="M139" s="5" t="str">
        <f ca="1">IFERROR(__xludf.DUMMYFUNCTION("""COMPUTED_VALUE"""),"x1003")</f>
        <v>x1003</v>
      </c>
      <c r="N139" s="5" t="str">
        <f ca="1">IFERROR(__xludf.DUMMYFUNCTION("""COMPUTED_VALUE"""),"0.10/50")</f>
        <v>0.10/50</v>
      </c>
      <c r="O139" s="5" t="str">
        <f ca="1">IFERROR(__xludf.DUMMYFUNCTION("""COMPUTED_VALUE"""),"No")</f>
        <v>No</v>
      </c>
      <c r="P139" s="5" t="str">
        <f ca="1">IFERROR(__xludf.DUMMYFUNCTION("""COMPUTED_VALUE"""),"Wild Symbol, Scatter")</f>
        <v>Wild Symbol, Scatter</v>
      </c>
      <c r="Q139" s="7" t="str">
        <f ca="1">IFERROR(__xludf.DUMMYFUNCTION("""COMPUTED_VALUE"""),"https://gameserver-store-client-area.orbionlimited.com/Home/IntegrationGameLaunch/client-area?moneyType=0&amp;gameName=RedstoneLuckyLuckyBells&amp;platform=desktop&amp;languageCode=eng&amp;currency=EUR")</f>
        <v>https://gameserver-store-client-area.orbionlimited.com/Home/IntegrationGameLaunch/client-area?moneyType=0&amp;gameName=RedstoneLuckyLuckyBells&amp;platform=desktop&amp;languageCode=eng&amp;currency=EUR</v>
      </c>
      <c r="R139" s="5" t="str">
        <f ca="1">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S139" s="5" t="str">
        <f ca="1">IFERROR(__xludf.DUMMYFUNCTION("""COMPUTED_VALUE"""),"")</f>
        <v/>
      </c>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row>
    <row r="140" spans="1:47" x14ac:dyDescent="0.25">
      <c r="A140" s="5" t="str">
        <f ca="1">IFERROR(__xludf.DUMMYFUNCTION("""COMPUTED_VALUE"""),"Redstone")</f>
        <v>Redstone</v>
      </c>
      <c r="B140" s="5" t="str">
        <f ca="1">IFERROR(__xludf.DUMMYFUNCTION("""COMPUTED_VALUE"""),"Clover Fire 1000")</f>
        <v>Clover Fire 1000</v>
      </c>
      <c r="C140" s="5" t="str">
        <f ca="1">IFERROR(__xludf.DUMMYFUNCTION("""COMPUTED_VALUE"""),"RedstoneCloverFire1000")</f>
        <v>RedstoneCloverFire1000</v>
      </c>
      <c r="D140" s="6">
        <f ca="1">IFERROR(__xludf.DUMMYFUNCTION("""COMPUTED_VALUE"""),46244)</f>
        <v>46244</v>
      </c>
      <c r="E140" s="5" t="str">
        <f ca="1">IFERROR(__xludf.DUMMYFUNCTION("""COMPUTED_VALUE"""),"Slot")</f>
        <v>Slot</v>
      </c>
      <c r="F140" s="5">
        <f ca="1">IFERROR(__xludf.DUMMYFUNCTION("""COMPUTED_VALUE"""),8.8)</f>
        <v>8.8000000000000007</v>
      </c>
      <c r="G140" s="5" t="str">
        <f ca="1">IFERROR(__xludf.DUMMYFUNCTION("""COMPUTED_VALUE"""),"5x3")</f>
        <v>5x3</v>
      </c>
      <c r="H140" s="5">
        <f ca="1">IFERROR(__xludf.DUMMYFUNCTION("""COMPUTED_VALUE"""),5)</f>
        <v>5</v>
      </c>
      <c r="I140" s="5">
        <f ca="1">IFERROR(__xludf.DUMMYFUNCTION("""COMPUTED_VALUE"""),5)</f>
        <v>5</v>
      </c>
      <c r="J140" s="5" t="str">
        <f ca="1">IFERROR(__xludf.DUMMYFUNCTION("""COMPUTED_VALUE"""),"96.03%")</f>
        <v>96.03%</v>
      </c>
      <c r="K140" s="5" t="str">
        <f ca="1">IFERROR(__xludf.DUMMYFUNCTION("""COMPUTED_VALUE"""),"Medium")</f>
        <v>Medium</v>
      </c>
      <c r="L140" s="5" t="str">
        <f ca="1">IFERROR(__xludf.DUMMYFUNCTION("""COMPUTED_VALUE"""),"13.54%")</f>
        <v>13.54%</v>
      </c>
      <c r="M140" s="5" t="str">
        <f ca="1">IFERROR(__xludf.DUMMYFUNCTION("""COMPUTED_VALUE"""),"x1000")</f>
        <v>x1000</v>
      </c>
      <c r="N140" s="5" t="str">
        <f ca="1">IFERROR(__xludf.DUMMYFUNCTION("""COMPUTED_VALUE"""),"0.10/50")</f>
        <v>0.10/50</v>
      </c>
      <c r="O140" s="5" t="str">
        <f ca="1">IFERROR(__xludf.DUMMYFUNCTION("""COMPUTED_VALUE"""),"No")</f>
        <v>No</v>
      </c>
      <c r="P140" s="5" t="str">
        <f ca="1">IFERROR(__xludf.DUMMYFUNCTION("""COMPUTED_VALUE"""),"Expanding Wild, Scatter")</f>
        <v>Expanding Wild, Scatter</v>
      </c>
      <c r="Q140" s="7" t="str">
        <f ca="1">IFERROR(__xludf.DUMMYFUNCTION("""COMPUTED_VALUE"""),"https://gameserver-store-client-area.orbionlimited.com/Home/IntegrationGameLaunch/client-area?moneyType=0&amp;gameName=RedstoneCloverFire1000&amp;platform=desktop&amp;languageCode=eng&amp;currency=EUR")</f>
        <v>https://gameserver-store-client-area.orbionlimited.com/Home/IntegrationGameLaunch/client-area?moneyType=0&amp;gameName=RedstoneCloverFire1000&amp;platform=desktop&amp;languageCode=eng&amp;currency=EUR</v>
      </c>
      <c r="R140" s="5" t="str">
        <f ca="1">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S140"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0" s="5" t="str">
        <f ca="1">IFERROR(__xludf.DUMMYFUNCTION("""COMPUTED_VALUE"""),"Yes")</f>
        <v>Yes</v>
      </c>
      <c r="U140" s="5" t="str">
        <f ca="1">IFERROR(__xludf.DUMMYFUNCTION("""COMPUTED_VALUE"""),"Yes")</f>
        <v>Yes</v>
      </c>
      <c r="V140" s="5" t="str">
        <f ca="1">IFERROR(__xludf.DUMMYFUNCTION("""COMPUTED_VALUE"""),"Yes")</f>
        <v>Yes</v>
      </c>
      <c r="W140" s="5" t="str">
        <f ca="1">IFERROR(__xludf.DUMMYFUNCTION("""COMPUTED_VALUE"""),"Yes")</f>
        <v>Yes</v>
      </c>
      <c r="X140" s="5" t="str">
        <f ca="1">IFERROR(__xludf.DUMMYFUNCTION("""COMPUTED_VALUE"""),"Yes")</f>
        <v>Yes</v>
      </c>
      <c r="Y140" s="5" t="str">
        <f ca="1">IFERROR(__xludf.DUMMYFUNCTION("""COMPUTED_VALUE"""),"Yes")</f>
        <v>Yes</v>
      </c>
      <c r="Z140" s="5" t="str">
        <f ca="1">IFERROR(__xludf.DUMMYFUNCTION("""COMPUTED_VALUE"""),"Yes")</f>
        <v>Yes</v>
      </c>
      <c r="AA140" s="5" t="str">
        <f ca="1">IFERROR(__xludf.DUMMYFUNCTION("""COMPUTED_VALUE"""),"Yes")</f>
        <v>Yes</v>
      </c>
      <c r="AB140" s="5" t="str">
        <f ca="1">IFERROR(__xludf.DUMMYFUNCTION("""COMPUTED_VALUE"""),"Yes")</f>
        <v>Yes</v>
      </c>
      <c r="AC140" s="5" t="str">
        <f ca="1">IFERROR(__xludf.DUMMYFUNCTION("""COMPUTED_VALUE"""),"Yes")</f>
        <v>Yes</v>
      </c>
      <c r="AD140" s="5" t="str">
        <f ca="1">IFERROR(__xludf.DUMMYFUNCTION("""COMPUTED_VALUE"""),"Yes")</f>
        <v>Yes</v>
      </c>
      <c r="AE140" s="5" t="str">
        <f ca="1">IFERROR(__xludf.DUMMYFUNCTION("""COMPUTED_VALUE"""),"Yes")</f>
        <v>Yes</v>
      </c>
      <c r="AF140" s="5" t="str">
        <f ca="1">IFERROR(__xludf.DUMMYFUNCTION("""COMPUTED_VALUE"""),"Yes")</f>
        <v>Yes</v>
      </c>
      <c r="AG140" s="5" t="str">
        <f ca="1">IFERROR(__xludf.DUMMYFUNCTION("""COMPUTED_VALUE"""),"Yes")</f>
        <v>Yes</v>
      </c>
      <c r="AH140" s="5" t="str">
        <f ca="1">IFERROR(__xludf.DUMMYFUNCTION("""COMPUTED_VALUE"""),"Yes")</f>
        <v>Yes</v>
      </c>
      <c r="AI140" s="5" t="str">
        <f ca="1">IFERROR(__xludf.DUMMYFUNCTION("""COMPUTED_VALUE"""),"No")</f>
        <v>No</v>
      </c>
      <c r="AJ140" s="5" t="str">
        <f ca="1">IFERROR(__xludf.DUMMYFUNCTION("""COMPUTED_VALUE"""),"No")</f>
        <v>No</v>
      </c>
      <c r="AK140" s="5" t="str">
        <f ca="1">IFERROR(__xludf.DUMMYFUNCTION("""COMPUTED_VALUE"""),"No")</f>
        <v>No</v>
      </c>
      <c r="AL140" s="5" t="str">
        <f ca="1">IFERROR(__xludf.DUMMYFUNCTION("""COMPUTED_VALUE"""),"No")</f>
        <v>No</v>
      </c>
      <c r="AM140" s="5" t="str">
        <f ca="1">IFERROR(__xludf.DUMMYFUNCTION("""COMPUTED_VALUE"""),"No")</f>
        <v>No</v>
      </c>
      <c r="AN140" s="5" t="str">
        <f ca="1">IFERROR(__xludf.DUMMYFUNCTION("""COMPUTED_VALUE"""),"No")</f>
        <v>No</v>
      </c>
      <c r="AO140" s="5" t="str">
        <f ca="1">IFERROR(__xludf.DUMMYFUNCTION("""COMPUTED_VALUE"""),"Yes")</f>
        <v>Yes</v>
      </c>
      <c r="AP140" s="5" t="str">
        <f ca="1">IFERROR(__xludf.DUMMYFUNCTION("""COMPUTED_VALUE"""),"No")</f>
        <v>No</v>
      </c>
      <c r="AQ140" s="5" t="str">
        <f ca="1">IFERROR(__xludf.DUMMYFUNCTION("""COMPUTED_VALUE"""),"No")</f>
        <v>No</v>
      </c>
      <c r="AR140" s="5" t="str">
        <f ca="1">IFERROR(__xludf.DUMMYFUNCTION("""COMPUTED_VALUE"""),"No")</f>
        <v>No</v>
      </c>
      <c r="AS140" s="5" t="str">
        <f ca="1">IFERROR(__xludf.DUMMYFUNCTION("""COMPUTED_VALUE"""),"Yes")</f>
        <v>Yes</v>
      </c>
      <c r="AT140" s="5" t="str">
        <f ca="1">IFERROR(__xludf.DUMMYFUNCTION("""COMPUTED_VALUE"""),"No")</f>
        <v>No</v>
      </c>
      <c r="AU140" s="5"/>
    </row>
    <row r="141" spans="1:47" x14ac:dyDescent="0.25">
      <c r="A141" s="5" t="str">
        <f ca="1">IFERROR(__xludf.DUMMYFUNCTION("""COMPUTED_VALUE"""),"Redstone")</f>
        <v>Redstone</v>
      </c>
      <c r="B141" s="5" t="str">
        <f ca="1">IFERROR(__xludf.DUMMYFUNCTION("""COMPUTED_VALUE"""),"Wild Heart 1000")</f>
        <v>Wild Heart 1000</v>
      </c>
      <c r="C141" s="5" t="str">
        <f ca="1">IFERROR(__xludf.DUMMYFUNCTION("""COMPUTED_VALUE"""),"RedstoneWildHeart1000")</f>
        <v>RedstoneWildHeart1000</v>
      </c>
      <c r="D141" s="6">
        <f ca="1">IFERROR(__xludf.DUMMYFUNCTION("""COMPUTED_VALUE"""),46259)</f>
        <v>46259</v>
      </c>
      <c r="E141" s="5" t="str">
        <f ca="1">IFERROR(__xludf.DUMMYFUNCTION("""COMPUTED_VALUE"""),"Slot")</f>
        <v>Slot</v>
      </c>
      <c r="F141" s="5">
        <f ca="1">IFERROR(__xludf.DUMMYFUNCTION("""COMPUTED_VALUE"""),8.7)</f>
        <v>8.6999999999999993</v>
      </c>
      <c r="G141" s="5" t="str">
        <f ca="1">IFERROR(__xludf.DUMMYFUNCTION("""COMPUTED_VALUE"""),"5x3")</f>
        <v>5x3</v>
      </c>
      <c r="H141" s="5">
        <f ca="1">IFERROR(__xludf.DUMMYFUNCTION("""COMPUTED_VALUE"""),5)</f>
        <v>5</v>
      </c>
      <c r="I141" s="5">
        <f ca="1">IFERROR(__xludf.DUMMYFUNCTION("""COMPUTED_VALUE"""),5)</f>
        <v>5</v>
      </c>
      <c r="J141" s="5" t="str">
        <f ca="1">IFERROR(__xludf.DUMMYFUNCTION("""COMPUTED_VALUE"""),"96.03%")</f>
        <v>96.03%</v>
      </c>
      <c r="K141" s="5" t="str">
        <f ca="1">IFERROR(__xludf.DUMMYFUNCTION("""COMPUTED_VALUE"""),"Medium")</f>
        <v>Medium</v>
      </c>
      <c r="L141" s="5" t="str">
        <f ca="1">IFERROR(__xludf.DUMMYFUNCTION("""COMPUTED_VALUE"""),"13.54%")</f>
        <v>13.54%</v>
      </c>
      <c r="M141" s="5" t="str">
        <f ca="1">IFERROR(__xludf.DUMMYFUNCTION("""COMPUTED_VALUE"""),"x1000")</f>
        <v>x1000</v>
      </c>
      <c r="N141" s="5" t="str">
        <f ca="1">IFERROR(__xludf.DUMMYFUNCTION("""COMPUTED_VALUE"""),"0.10/50")</f>
        <v>0.10/50</v>
      </c>
      <c r="O141" s="5" t="str">
        <f ca="1">IFERROR(__xludf.DUMMYFUNCTION("""COMPUTED_VALUE"""),"No")</f>
        <v>No</v>
      </c>
      <c r="P141" s="5" t="str">
        <f ca="1">IFERROR(__xludf.DUMMYFUNCTION("""COMPUTED_VALUE"""),"Expanding Wild, Scatter")</f>
        <v>Expanding Wild, Scatter</v>
      </c>
      <c r="Q141" s="7" t="str">
        <f ca="1">IFERROR(__xludf.DUMMYFUNCTION("""COMPUTED_VALUE"""),"https://gameserver-store-client-area.orbionlimited.com/Home/IntegrationGameLaunch/client-area?moneyType=0&amp;gameName=RedstoneWildHeart1000&amp;platform=desktop&amp;languageCode=eng&amp;currency=EUR")</f>
        <v>https://gameserver-store-client-area.orbionlimited.com/Home/IntegrationGameLaunch/client-area?moneyType=0&amp;gameName=RedstoneWildHeart1000&amp;platform=desktop&amp;languageCode=eng&amp;currency=EUR</v>
      </c>
      <c r="R141" s="5" t="str">
        <f ca="1">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S14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1" s="5" t="str">
        <f ca="1">IFERROR(__xludf.DUMMYFUNCTION("""COMPUTED_VALUE"""),"Yes")</f>
        <v>Yes</v>
      </c>
      <c r="U141" s="5" t="str">
        <f ca="1">IFERROR(__xludf.DUMMYFUNCTION("""COMPUTED_VALUE"""),"Yes")</f>
        <v>Yes</v>
      </c>
      <c r="V141" s="5" t="str">
        <f ca="1">IFERROR(__xludf.DUMMYFUNCTION("""COMPUTED_VALUE"""),"Yes")</f>
        <v>Yes</v>
      </c>
      <c r="W141" s="5" t="str">
        <f ca="1">IFERROR(__xludf.DUMMYFUNCTION("""COMPUTED_VALUE"""),"Yes")</f>
        <v>Yes</v>
      </c>
      <c r="X141" s="5" t="str">
        <f ca="1">IFERROR(__xludf.DUMMYFUNCTION("""COMPUTED_VALUE"""),"Yes")</f>
        <v>Yes</v>
      </c>
      <c r="Y141" s="5" t="str">
        <f ca="1">IFERROR(__xludf.DUMMYFUNCTION("""COMPUTED_VALUE"""),"Yes")</f>
        <v>Yes</v>
      </c>
      <c r="Z141" s="5" t="str">
        <f ca="1">IFERROR(__xludf.DUMMYFUNCTION("""COMPUTED_VALUE"""),"Yes")</f>
        <v>Yes</v>
      </c>
      <c r="AA141" s="5" t="str">
        <f ca="1">IFERROR(__xludf.DUMMYFUNCTION("""COMPUTED_VALUE"""),"Yes")</f>
        <v>Yes</v>
      </c>
      <c r="AB141" s="5" t="str">
        <f ca="1">IFERROR(__xludf.DUMMYFUNCTION("""COMPUTED_VALUE"""),"Yes")</f>
        <v>Yes</v>
      </c>
      <c r="AC141" s="5" t="str">
        <f ca="1">IFERROR(__xludf.DUMMYFUNCTION("""COMPUTED_VALUE"""),"Yes")</f>
        <v>Yes</v>
      </c>
      <c r="AD141" s="5" t="str">
        <f ca="1">IFERROR(__xludf.DUMMYFUNCTION("""COMPUTED_VALUE"""),"Yes")</f>
        <v>Yes</v>
      </c>
      <c r="AE141" s="5" t="str">
        <f ca="1">IFERROR(__xludf.DUMMYFUNCTION("""COMPUTED_VALUE"""),"Yes")</f>
        <v>Yes</v>
      </c>
      <c r="AF141" s="5" t="str">
        <f ca="1">IFERROR(__xludf.DUMMYFUNCTION("""COMPUTED_VALUE"""),"Yes")</f>
        <v>Yes</v>
      </c>
      <c r="AG141" s="5" t="str">
        <f ca="1">IFERROR(__xludf.DUMMYFUNCTION("""COMPUTED_VALUE"""),"Yes")</f>
        <v>Yes</v>
      </c>
      <c r="AH141" s="5" t="str">
        <f ca="1">IFERROR(__xludf.DUMMYFUNCTION("""COMPUTED_VALUE"""),"Yes")</f>
        <v>Yes</v>
      </c>
      <c r="AI141" s="5" t="str">
        <f ca="1">IFERROR(__xludf.DUMMYFUNCTION("""COMPUTED_VALUE"""),"No")</f>
        <v>No</v>
      </c>
      <c r="AJ141" s="5" t="str">
        <f ca="1">IFERROR(__xludf.DUMMYFUNCTION("""COMPUTED_VALUE"""),"No")</f>
        <v>No</v>
      </c>
      <c r="AK141" s="5" t="str">
        <f ca="1">IFERROR(__xludf.DUMMYFUNCTION("""COMPUTED_VALUE"""),"No")</f>
        <v>No</v>
      </c>
      <c r="AL141" s="5" t="str">
        <f ca="1">IFERROR(__xludf.DUMMYFUNCTION("""COMPUTED_VALUE"""),"No")</f>
        <v>No</v>
      </c>
      <c r="AM141" s="5" t="str">
        <f ca="1">IFERROR(__xludf.DUMMYFUNCTION("""COMPUTED_VALUE"""),"No")</f>
        <v>No</v>
      </c>
      <c r="AN141" s="5" t="str">
        <f ca="1">IFERROR(__xludf.DUMMYFUNCTION("""COMPUTED_VALUE"""),"No")</f>
        <v>No</v>
      </c>
      <c r="AO141" s="5" t="str">
        <f ca="1">IFERROR(__xludf.DUMMYFUNCTION("""COMPUTED_VALUE"""),"Yes")</f>
        <v>Yes</v>
      </c>
      <c r="AP141" s="5" t="str">
        <f ca="1">IFERROR(__xludf.DUMMYFUNCTION("""COMPUTED_VALUE"""),"No")</f>
        <v>No</v>
      </c>
      <c r="AQ141" s="5" t="str">
        <f ca="1">IFERROR(__xludf.DUMMYFUNCTION("""COMPUTED_VALUE"""),"No")</f>
        <v>No</v>
      </c>
      <c r="AR141" s="5" t="str">
        <f ca="1">IFERROR(__xludf.DUMMYFUNCTION("""COMPUTED_VALUE"""),"No")</f>
        <v>No</v>
      </c>
      <c r="AS141" s="5" t="str">
        <f ca="1">IFERROR(__xludf.DUMMYFUNCTION("""COMPUTED_VALUE"""),"Yes")</f>
        <v>Yes</v>
      </c>
      <c r="AT141" s="5" t="str">
        <f ca="1">IFERROR(__xludf.DUMMYFUNCTION("""COMPUTED_VALUE"""),"No")</f>
        <v>No</v>
      </c>
      <c r="AU141" s="5"/>
    </row>
    <row r="142" spans="1:47" x14ac:dyDescent="0.25">
      <c r="A142" s="5" t="str">
        <f ca="1">IFERROR(__xludf.DUMMYFUNCTION("""COMPUTED_VALUE"""),"Redstone")</f>
        <v>Redstone</v>
      </c>
      <c r="B142" s="5" t="str">
        <f ca="1">IFERROR(__xludf.DUMMYFUNCTION("""COMPUTED_VALUE"""),"Wild Crown 1000")</f>
        <v>Wild Crown 1000</v>
      </c>
      <c r="C142" s="5" t="str">
        <f ca="1">IFERROR(__xludf.DUMMYFUNCTION("""COMPUTED_VALUE"""),"RedstoneWildCrown1000")</f>
        <v>RedstoneWildCrown1000</v>
      </c>
      <c r="D142" s="6">
        <f ca="1">IFERROR(__xludf.DUMMYFUNCTION("""COMPUTED_VALUE"""),46287)</f>
        <v>46287</v>
      </c>
      <c r="E142" s="5" t="str">
        <f ca="1">IFERROR(__xludf.DUMMYFUNCTION("""COMPUTED_VALUE"""),"Slot")</f>
        <v>Slot</v>
      </c>
      <c r="F142" s="5">
        <f ca="1">IFERROR(__xludf.DUMMYFUNCTION("""COMPUTED_VALUE"""),8.7)</f>
        <v>8.6999999999999993</v>
      </c>
      <c r="G142" s="5" t="str">
        <f ca="1">IFERROR(__xludf.DUMMYFUNCTION("""COMPUTED_VALUE"""),"5x3")</f>
        <v>5x3</v>
      </c>
      <c r="H142" s="5">
        <f ca="1">IFERROR(__xludf.DUMMYFUNCTION("""COMPUTED_VALUE"""),5)</f>
        <v>5</v>
      </c>
      <c r="I142" s="5">
        <f ca="1">IFERROR(__xludf.DUMMYFUNCTION("""COMPUTED_VALUE"""),5)</f>
        <v>5</v>
      </c>
      <c r="J142" s="5" t="str">
        <f ca="1">IFERROR(__xludf.DUMMYFUNCTION("""COMPUTED_VALUE"""),"96.03%")</f>
        <v>96.03%</v>
      </c>
      <c r="K142" s="5" t="str">
        <f ca="1">IFERROR(__xludf.DUMMYFUNCTION("""COMPUTED_VALUE"""),"Medium")</f>
        <v>Medium</v>
      </c>
      <c r="L142" s="5" t="str">
        <f ca="1">IFERROR(__xludf.DUMMYFUNCTION("""COMPUTED_VALUE"""),"13.54%")</f>
        <v>13.54%</v>
      </c>
      <c r="M142" s="5" t="str">
        <f ca="1">IFERROR(__xludf.DUMMYFUNCTION("""COMPUTED_VALUE"""),"x1000")</f>
        <v>x1000</v>
      </c>
      <c r="N142" s="5" t="str">
        <f ca="1">IFERROR(__xludf.DUMMYFUNCTION("""COMPUTED_VALUE"""),"0.10/50")</f>
        <v>0.10/50</v>
      </c>
      <c r="O142" s="5" t="str">
        <f ca="1">IFERROR(__xludf.DUMMYFUNCTION("""COMPUTED_VALUE"""),"No")</f>
        <v>No</v>
      </c>
      <c r="P142" s="5" t="str">
        <f ca="1">IFERROR(__xludf.DUMMYFUNCTION("""COMPUTED_VALUE"""),"Expanding Wild, Scatter")</f>
        <v>Expanding Wild, Scatter</v>
      </c>
      <c r="Q142" s="7" t="str">
        <f ca="1">IFERROR(__xludf.DUMMYFUNCTION("""COMPUTED_VALUE"""),"https://gameserver-store-client-area.orbionlimited.com/Home/IntegrationGameLaunch/client-area?moneyType=0&amp;gameName=RedstoneWildCrown1000&amp;platform=desktop&amp;languageCode=eng&amp;currency=EUR")</f>
        <v>https://gameserver-store-client-area.orbionlimited.com/Home/IntegrationGameLaunch/client-area?moneyType=0&amp;gameName=RedstoneWildCrown1000&amp;platform=desktop&amp;languageCode=eng&amp;currency=EUR</v>
      </c>
      <c r="R142" s="5" t="str">
        <f ca="1">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S142"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2" s="5" t="str">
        <f ca="1">IFERROR(__xludf.DUMMYFUNCTION("""COMPUTED_VALUE"""),"Yes")</f>
        <v>Yes</v>
      </c>
      <c r="U142" s="5" t="str">
        <f ca="1">IFERROR(__xludf.DUMMYFUNCTION("""COMPUTED_VALUE"""),"Yes")</f>
        <v>Yes</v>
      </c>
      <c r="V142" s="5" t="str">
        <f ca="1">IFERROR(__xludf.DUMMYFUNCTION("""COMPUTED_VALUE"""),"Yes")</f>
        <v>Yes</v>
      </c>
      <c r="W142" s="5" t="str">
        <f ca="1">IFERROR(__xludf.DUMMYFUNCTION("""COMPUTED_VALUE"""),"Yes")</f>
        <v>Yes</v>
      </c>
      <c r="X142" s="5" t="str">
        <f ca="1">IFERROR(__xludf.DUMMYFUNCTION("""COMPUTED_VALUE"""),"Yes")</f>
        <v>Yes</v>
      </c>
      <c r="Y142" s="5" t="str">
        <f ca="1">IFERROR(__xludf.DUMMYFUNCTION("""COMPUTED_VALUE"""),"Yes")</f>
        <v>Yes</v>
      </c>
      <c r="Z142" s="5" t="str">
        <f ca="1">IFERROR(__xludf.DUMMYFUNCTION("""COMPUTED_VALUE"""),"Yes")</f>
        <v>Yes</v>
      </c>
      <c r="AA142" s="5" t="str">
        <f ca="1">IFERROR(__xludf.DUMMYFUNCTION("""COMPUTED_VALUE"""),"Yes")</f>
        <v>Yes</v>
      </c>
      <c r="AB142" s="5" t="str">
        <f ca="1">IFERROR(__xludf.DUMMYFUNCTION("""COMPUTED_VALUE"""),"Yes")</f>
        <v>Yes</v>
      </c>
      <c r="AC142" s="5" t="str">
        <f ca="1">IFERROR(__xludf.DUMMYFUNCTION("""COMPUTED_VALUE"""),"Yes")</f>
        <v>Yes</v>
      </c>
      <c r="AD142" s="5" t="str">
        <f ca="1">IFERROR(__xludf.DUMMYFUNCTION("""COMPUTED_VALUE"""),"Yes")</f>
        <v>Yes</v>
      </c>
      <c r="AE142" s="5" t="str">
        <f ca="1">IFERROR(__xludf.DUMMYFUNCTION("""COMPUTED_VALUE"""),"Yes")</f>
        <v>Yes</v>
      </c>
      <c r="AF142" s="5" t="str">
        <f ca="1">IFERROR(__xludf.DUMMYFUNCTION("""COMPUTED_VALUE"""),"Yes")</f>
        <v>Yes</v>
      </c>
      <c r="AG142" s="5" t="str">
        <f ca="1">IFERROR(__xludf.DUMMYFUNCTION("""COMPUTED_VALUE"""),"Yes")</f>
        <v>Yes</v>
      </c>
      <c r="AH142" s="5" t="str">
        <f ca="1">IFERROR(__xludf.DUMMYFUNCTION("""COMPUTED_VALUE"""),"Yes")</f>
        <v>Yes</v>
      </c>
      <c r="AI142" s="5" t="str">
        <f ca="1">IFERROR(__xludf.DUMMYFUNCTION("""COMPUTED_VALUE"""),"No")</f>
        <v>No</v>
      </c>
      <c r="AJ142" s="5" t="str">
        <f ca="1">IFERROR(__xludf.DUMMYFUNCTION("""COMPUTED_VALUE"""),"No")</f>
        <v>No</v>
      </c>
      <c r="AK142" s="5" t="str">
        <f ca="1">IFERROR(__xludf.DUMMYFUNCTION("""COMPUTED_VALUE"""),"No")</f>
        <v>No</v>
      </c>
      <c r="AL142" s="5" t="str">
        <f ca="1">IFERROR(__xludf.DUMMYFUNCTION("""COMPUTED_VALUE"""),"No")</f>
        <v>No</v>
      </c>
      <c r="AM142" s="5" t="str">
        <f ca="1">IFERROR(__xludf.DUMMYFUNCTION("""COMPUTED_VALUE"""),"No")</f>
        <v>No</v>
      </c>
      <c r="AN142" s="5" t="str">
        <f ca="1">IFERROR(__xludf.DUMMYFUNCTION("""COMPUTED_VALUE"""),"No")</f>
        <v>No</v>
      </c>
      <c r="AO142" s="5" t="str">
        <f ca="1">IFERROR(__xludf.DUMMYFUNCTION("""COMPUTED_VALUE"""),"Yes")</f>
        <v>Yes</v>
      </c>
      <c r="AP142" s="5" t="str">
        <f ca="1">IFERROR(__xludf.DUMMYFUNCTION("""COMPUTED_VALUE"""),"No")</f>
        <v>No</v>
      </c>
      <c r="AQ142" s="5" t="str">
        <f ca="1">IFERROR(__xludf.DUMMYFUNCTION("""COMPUTED_VALUE"""),"No")</f>
        <v>No</v>
      </c>
      <c r="AR142" s="5" t="str">
        <f ca="1">IFERROR(__xludf.DUMMYFUNCTION("""COMPUTED_VALUE"""),"No")</f>
        <v>No</v>
      </c>
      <c r="AS142" s="5" t="str">
        <f ca="1">IFERROR(__xludf.DUMMYFUNCTION("""COMPUTED_VALUE"""),"Yes")</f>
        <v>Yes</v>
      </c>
      <c r="AT142" s="5" t="str">
        <f ca="1">IFERROR(__xludf.DUMMYFUNCTION("""COMPUTED_VALUE"""),"No")</f>
        <v>No</v>
      </c>
      <c r="AU142" s="5"/>
    </row>
    <row r="143" spans="1:47" x14ac:dyDescent="0.25">
      <c r="D143" s="6"/>
    </row>
    <row r="144" spans="1:47"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static.redstone.rs/games/40-wild-clover/" xr:uid="{00000000-0004-0000-0200-000000000000}"/>
    <hyperlink ref="Q4" r:id="rId2" display="https://static.redstone.rs/games/mayan-coins/" xr:uid="{00000000-0004-0000-0200-000001000000}"/>
    <hyperlink ref="Q5" r:id="rId3" display="https://gameserver-store-client-area.orbionlimited.com/Home/IntegrationGameLaunch/client-area?moneyType=0&amp;gameName=FireClover5&amp;platform=desktop&amp;languageCode=eng&amp;currency=EUR" xr:uid="{00000000-0004-0000-0200-000002000000}"/>
    <hyperlink ref="Q6" r:id="rId4" display="https://static.redstone.rs/games/10-wild-crown/" xr:uid="{00000000-0004-0000-0200-000003000000}"/>
    <hyperlink ref="Q7" r:id="rId5" display="https://static.redstone.rs/games/40-wild-dice/" xr:uid="{00000000-0004-0000-0200-000004000000}"/>
    <hyperlink ref="Q8" r:id="rId6" display="https://static.redstone.rs/games/5-dice-fire/" xr:uid="{00000000-0004-0000-0200-000005000000}"/>
    <hyperlink ref="Q9" r:id="rId7" display="https://static.redstone.rs/games/40-clover-fire/" xr:uid="{00000000-0004-0000-0200-000006000000}"/>
    <hyperlink ref="Q10" r:id="rId8" display="https://static.redstone.rs/games/50-wild-cash/" xr:uid="{00000000-0004-0000-0200-000007000000}"/>
    <hyperlink ref="Q11" r:id="rId9" display="https://static.redstone.rs/games/lost-book/" xr:uid="{00000000-0004-0000-0200-000008000000}"/>
    <hyperlink ref="Q12" r:id="rId10" display="https://static.redstone.rs/games/40-dice-fire/" xr:uid="{00000000-0004-0000-0200-000009000000}"/>
    <hyperlink ref="Q13" r:id="rId11" display="https://static.redstone.rs/games/action-hot-40/" xr:uid="{00000000-0004-0000-0200-00000A000000}"/>
    <hyperlink ref="Q14" r:id="rId12" display="https://static.redstone.rs/games/action-hot-20/" xr:uid="{00000000-0004-0000-0200-00000B000000}"/>
    <hyperlink ref="Q15" r:id="rId13" display="https://static.redstone.rs/games/40-cash-bells/" xr:uid="{00000000-0004-0000-0200-00000C000000}"/>
    <hyperlink ref="Q16" r:id="rId14" display="https://static.redstone.rs/games/10-wild-diamond/" xr:uid="{00000000-0004-0000-0200-00000D000000}"/>
    <hyperlink ref="Q17" r:id="rId15" display="https://static.redstone.rs/games/5-wild-heart/" xr:uid="{00000000-0004-0000-0200-00000E000000}"/>
    <hyperlink ref="Q18" r:id="rId16" display="https://static.redstone.rs/games/10-wild-dice/" xr:uid="{00000000-0004-0000-0200-00000F000000}"/>
    <hyperlink ref="Q19" r:id="rId17" display="https://static.redstone.rs/games/book-of-ibis/" xr:uid="{00000000-0004-0000-0200-000010000000}"/>
    <hyperlink ref="Q20" r:id="rId18" display="https://static.redstone.rs/games/clover-coin/" xr:uid="{00000000-0004-0000-0200-000011000000}"/>
    <hyperlink ref="Q21" r:id="rId19" display="https://static.redstone.rs/games/heat-classic-5/" xr:uid="{00000000-0004-0000-0200-000012000000}"/>
    <hyperlink ref="Q22" r:id="rId20" display="https://static.redstone.rs/games/book-of-dread/" xr:uid="{00000000-0004-0000-0200-000013000000}"/>
    <hyperlink ref="Q23" r:id="rId21" display="https://static.redstone.rs/games/10-wild-pumpkin/" xr:uid="{00000000-0004-0000-0200-000014000000}"/>
    <hyperlink ref="Q24" r:id="rId22" display="https://static.redstone.rs/games/5-crown-fire/" xr:uid="{00000000-0004-0000-0200-000015000000}"/>
    <hyperlink ref="Q25" r:id="rId23" display="https://static.redstone.rs/games/10-wild-santa/" xr:uid="{00000000-0004-0000-0200-000016000000}"/>
    <hyperlink ref="Q26" r:id="rId24" display="https://static.redstone.rs/games/20-fire-cash/" xr:uid="{00000000-0004-0000-0200-000017000000}"/>
    <hyperlink ref="Q27" r:id="rId25" display="https://static.redstone.rs/games/40-fire-cash/" xr:uid="{00000000-0004-0000-0200-000018000000}"/>
    <hyperlink ref="Q28" r:id="rId26" display="https://static.redstone.rs/games/super-lucky/" xr:uid="{00000000-0004-0000-0200-000019000000}"/>
    <hyperlink ref="Q29" r:id="rId27" display="https://static.redstone.rs/games/heat-double/" xr:uid="{00000000-0004-0000-0200-00001A000000}"/>
    <hyperlink ref="Q30" r:id="rId28" display="https://static.redstone.rs/games/blazing-heat/" xr:uid="{00000000-0004-0000-0200-00001B000000}"/>
    <hyperlink ref="Q31" r:id="rId29" display="https://static.redstone.rs/games/hot-hot/" xr:uid="{00000000-0004-0000-0200-00001C000000}"/>
    <hyperlink ref="Q32" r:id="rId30" display="https://play.redstone.rs/games/clover-blast-5/index.html" xr:uid="{00000000-0004-0000-0200-00001D000000}"/>
    <hyperlink ref="Q33" r:id="rId31" display="https://play.redstone.rs/games/fear-of-dark/index.html" xr:uid="{00000000-0004-0000-0200-00001E000000}"/>
    <hyperlink ref="Q34" r:id="rId32" display="https://play.redstone.rs/games/chilli-hot-5/index.html" xr:uid="{00000000-0004-0000-0200-00001F000000}"/>
    <hyperlink ref="Q35" r:id="rId33" display="https://play.redstone.rs/games/40-hot-joker/index.html" xr:uid="{00000000-0004-0000-0200-000020000000}"/>
    <hyperlink ref="Q36" r:id="rId34" display="https://play.redstone.rs/games/jolly-presents/index.html" xr:uid="{00000000-0004-0000-0200-000021000000}"/>
    <hyperlink ref="Q37" r:id="rId35" display="https://play.redstone.rs/games/20-fruit-frenzy/index.html" xr:uid="{00000000-0004-0000-0200-000022000000}"/>
    <hyperlink ref="Q38" r:id="rId36" display="https://play.redstone.rs/games/40-fruit-frenzy/index.html" xr:uid="{00000000-0004-0000-0200-000023000000}"/>
    <hyperlink ref="Q39" r:id="rId37" display="https://play.redstone.rs/games/wild-heart-beat/index.html" xr:uid="{00000000-0004-0000-0200-000024000000}"/>
    <hyperlink ref="Q40" r:id="rId38" display="https://play.redstone.rs/games/wild-trail/index.html" xr:uid="{00000000-0004-0000-0200-000025000000}"/>
    <hyperlink ref="Q41" r:id="rId39" display="https://play.redstone.rs/games/40-jokers-free-games/index.html" xr:uid="{00000000-0004-0000-0200-000026000000}"/>
    <hyperlink ref="Q42" r:id="rId40" display="https://static.redstone.rs/games/moon-dog/" xr:uid="{00000000-0004-0000-0200-000027000000}"/>
    <hyperlink ref="Q43" r:id="rId41" display="https://play.redstone.rs/games/20-wild-crown/index.html" xr:uid="{00000000-0004-0000-0200-000028000000}"/>
    <hyperlink ref="Q44" r:id="rId42" display="https://static.redstone.rs/games/chilli-double/" xr:uid="{00000000-0004-0000-0200-000029000000}"/>
    <hyperlink ref="Q45" r:id="rId43" display="https://static.redstone.rs/games/hot-rush-crown-burst/" xr:uid="{00000000-0004-0000-0200-00002A000000}"/>
    <hyperlink ref="Q46" r:id="rId44" display="https://static.redstone.rs/games/lady-triple-fortune/" xr:uid="{00000000-0004-0000-0200-00002B000000}"/>
    <hyperlink ref="Q47" r:id="rId45" display="https://static.redstone.rs/games/hot-rush-stars-deluxe/" xr:uid="{00000000-0004-0000-0200-00002C000000}"/>
    <hyperlink ref="Q48" r:id="rId46" display="https://static.redstone.rs/games/slot-royale/" xr:uid="{00000000-0004-0000-0200-00002D000000}"/>
    <hyperlink ref="Q49" r:id="rId47" display="https://static.redstone.rs/games/5-clover-fire-lnc/" xr:uid="{00000000-0004-0000-0200-00002E000000}"/>
    <hyperlink ref="Q50" r:id="rId48" display="https://static.redstone.rs/games/caps-and-crowns/" xr:uid="{00000000-0004-0000-0200-00002F000000}"/>
    <hyperlink ref="Q51" r:id="rId49" display="https://static.redstone.rs/games/hot-rush-both-ways/" xr:uid="{00000000-0004-0000-0200-000030000000}"/>
    <hyperlink ref="Q52" r:id="rId50" display="https://static.redstone.rs/games/book-of-scorpio/" xr:uid="{00000000-0004-0000-0200-000031000000}"/>
    <hyperlink ref="Q53" r:id="rId51" display="https://static.redstone.rs/games/spin-up/" xr:uid="{00000000-0004-0000-0200-000032000000}"/>
    <hyperlink ref="Q54" r:id="rId52" display="https://static.redstone.rs/games/81-vegas-crown/" xr:uid="{00000000-0004-0000-0200-000033000000}"/>
    <hyperlink ref="Q55" r:id="rId53" display="https://static.redstone.rs/games/apollo-27-classic/" xr:uid="{00000000-0004-0000-0200-000034000000}"/>
    <hyperlink ref="Q56" r:id="rId54" display="https://static.redstone.rs/games/double-clover-fire/" xr:uid="{00000000-0004-0000-0200-000035000000}"/>
    <hyperlink ref="Q57" r:id="rId55" display="https://static.redstone.rs/games/100-clover-fire/" xr:uid="{00000000-0004-0000-0200-000036000000}"/>
    <hyperlink ref="Q58" r:id="rId56" display="https://static.redstone.rs/games/volcano-crown/" xr:uid="{00000000-0004-0000-0200-000037000000}"/>
    <hyperlink ref="Q59" r:id="rId57" display="https://static.redstone.rs/games/spooky-spins/" xr:uid="{00000000-0004-0000-0200-000038000000}"/>
    <hyperlink ref="Q60" r:id="rId58" display="https://static.redstone.rs/games/5-wild-fire/" xr:uid="{00000000-0004-0000-0200-000039000000}"/>
    <hyperlink ref="Q61" r:id="rId59" display="https://static.redstone.rs/games/81-double-magic/" xr:uid="{00000000-0004-0000-0200-00003A000000}"/>
    <hyperlink ref="Q62" r:id="rId60" display="https://static.redstone.rs/games/only-anime/" xr:uid="{00000000-0004-0000-0200-00003B000000}"/>
    <hyperlink ref="Q63" r:id="rId61" display="https://static.redstone.rs/games/27-double-fruits/" xr:uid="{00000000-0004-0000-0200-00003C000000}"/>
    <hyperlink ref="Q64" r:id="rId62" display="https://static.redstone.rs/games/juicy-heat-20/" xr:uid="{00000000-0004-0000-0200-00003D000000}"/>
    <hyperlink ref="Q65" r:id="rId63" display="https://static.redstone.rs/games/christmas-delight/" xr:uid="{00000000-0004-0000-0200-00003E000000}"/>
    <hyperlink ref="Q66" r:id="rId64" display="https://static.redstone.rs/games/funky-fruits/" xr:uid="{00000000-0004-0000-0200-00003F000000}"/>
    <hyperlink ref="Q67" r:id="rId65" display="https://static.redstone.rs/games/dice-double/" xr:uid="{00000000-0004-0000-0200-000040000000}"/>
    <hyperlink ref="Q68" r:id="rId66" display="https://static.redstone.rs/games/volcano-hot/" xr:uid="{00000000-0004-0000-0200-000041000000}"/>
    <hyperlink ref="Q69" r:id="rId67" display="https://static.redstone.rs/games/10-clover-fire/" xr:uid="{00000000-0004-0000-0200-000042000000}"/>
    <hyperlink ref="Q70" r:id="rId68" display="https://static.redstone.rs/games/cosmic-sevens/" xr:uid="{00000000-0004-0000-0200-000043000000}"/>
    <hyperlink ref="Q71" r:id="rId69" display="https://static.redstone.rs/games/clover-royale/" xr:uid="{00000000-0004-0000-0200-000044000000}"/>
    <hyperlink ref="Q72" r:id="rId70" display="https://static.redstone.rs/games/eternal-hearts-10/" xr:uid="{00000000-0004-0000-0200-000045000000}"/>
    <hyperlink ref="Q73" r:id="rId71" display="https://static.redstone.rs/games/star-chaser/" xr:uid="{00000000-0004-0000-0200-000046000000}"/>
    <hyperlink ref="Q74" r:id="rId72" display="https://static.redstone.rs/games/multi-clover-10/" xr:uid="{00000000-0004-0000-0200-000047000000}"/>
    <hyperlink ref="Q75" r:id="rId73" display="https://static.redstone.rs/games/reel-x5/" xr:uid="{00000000-0004-0000-0200-000048000000}"/>
    <hyperlink ref="Q76" r:id="rId74" display="https://static.redstone.rs/games/farm-fiesta/" xr:uid="{00000000-0004-0000-0200-000049000000}"/>
    <hyperlink ref="Q77" r:id="rId75" display="https://static.redstone.rs/games/sweet-respins/" xr:uid="{00000000-0004-0000-0200-00004A000000}"/>
    <hyperlink ref="Q78" r:id="rId76" display="https://static.redstone.rs/games/sticky-tiki/" xr:uid="{00000000-0004-0000-0200-00004B000000}"/>
    <hyperlink ref="Q79" r:id="rId77" display="https://static.redstone.rs/games/hot-rush-triple-star/" xr:uid="{00000000-0004-0000-0200-00004C000000}"/>
    <hyperlink ref="Q80" r:id="rId78" display="https://static.redstone.rs/games/hot-rush-fruit-lines/" xr:uid="{00000000-0004-0000-0200-00004D000000}"/>
    <hyperlink ref="Q81" r:id="rId79" display="https://static.redstone.rs/games/10-wild-heart/" xr:uid="{00000000-0004-0000-0200-00004E000000}"/>
    <hyperlink ref="Q82" r:id="rId80" display="https://static.redstone.rs/games/40-joker-fire/" xr:uid="{00000000-0004-0000-0200-00004F000000}"/>
    <hyperlink ref="Q83" r:id="rId81" display="https://static.redstone.rs/games/bonus-stars/" xr:uid="{00000000-0004-0000-0200-000050000000}"/>
    <hyperlink ref="Q84" r:id="rId82" display="https://static.redstone.rs/games/5-star-fire/" xr:uid="{00000000-0004-0000-0200-000051000000}"/>
    <hyperlink ref="Q85" r:id="rId83" display="https://static.redstone.rs/games/clover-drop/" xr:uid="{00000000-0004-0000-0200-000052000000}"/>
    <hyperlink ref="Q86" r:id="rId84" display="https://static.redstone.rs/games/multi-crown-10/" xr:uid="{00000000-0004-0000-0200-000053000000}"/>
    <hyperlink ref="Q87" r:id="rId85" display="https://static.redstone.rs/games/777-expand/" xr:uid="{00000000-0004-0000-0200-000054000000}"/>
    <hyperlink ref="Q88" r:id="rId86" display="https://static.redstone.rs/games/double-wild-crown/" xr:uid="{00000000-0004-0000-0200-000055000000}"/>
    <hyperlink ref="Q89" r:id="rId87" display="https://static.redstone.rs/games/double-wild-crown/" xr:uid="{00000000-0004-0000-0200-000056000000}"/>
    <hyperlink ref="Q90" r:id="rId88" display="https://static.redstone.rs/games/40-wild-crown/" xr:uid="{00000000-0004-0000-0200-000057000000}"/>
    <hyperlink ref="Q91" r:id="rId89" display="https://static.redstone.rs/games/double-crown-5/" xr:uid="{00000000-0004-0000-0200-000058000000}"/>
    <hyperlink ref="Q92" r:id="rId90" display="https://static.redstone.rs/games/heart-royale/" xr:uid="{00000000-0004-0000-0200-000059000000}"/>
    <hyperlink ref="Q93" r:id="rId91" display="https://static.redstone.rs/games/reel-x5-27-ways/" xr:uid="{00000000-0004-0000-0200-00005A000000}"/>
    <hyperlink ref="Q94" r:id="rId92" display="https://static.redstone.rs/games/crown-drop/" xr:uid="{00000000-0004-0000-0200-00005B000000}"/>
    <hyperlink ref="Q95" r:id="rId93" display="https://static.redstone.rs/games/5-clover-fire-6-reels/" xr:uid="{00000000-0004-0000-0200-00005C000000}"/>
    <hyperlink ref="Q96" r:id="rId94" display="https://static.redstone.rs/games/10-extra-bank/" xr:uid="{00000000-0004-0000-0200-00005D000000}"/>
    <hyperlink ref="Q97" r:id="rId95" display="https://static.redstone.rs/games/sevens-heaven/" xr:uid="{00000000-0004-0000-0200-00005E000000}"/>
    <hyperlink ref="Q98" r:id="rId96" display="https://static.redstone.rs/games/777-extra-chance/" xr:uid="{00000000-0004-0000-0200-00005F000000}"/>
    <hyperlink ref="Q99" r:id="rId97" display="https://static.redstone.rs/games/divine-strike/" xr:uid="{00000000-0004-0000-0200-000060000000}"/>
    <hyperlink ref="Q100" r:id="rId98" display="https://static.redstone.rs/games/10-wild-crown-halloween/" xr:uid="{00000000-0004-0000-0200-000061000000}"/>
    <hyperlink ref="Q101" r:id="rId99" display="https://static.redstone.rs/games/5-clover-fire-halloween/" xr:uid="{00000000-0004-0000-0200-000062000000}"/>
    <hyperlink ref="Q102" r:id="rId100" display="https://static.redstone.rs/games/clover-field-40/" xr:uid="{00000000-0004-0000-0200-000063000000}"/>
    <hyperlink ref="Q103" r:id="rId101" display="https://static.redstone.rs/games/multi-heart-5/" xr:uid="{00000000-0004-0000-0200-000064000000}"/>
    <hyperlink ref="Q104" r:id="rId102" display="https://static.redstone.rs/games/chilli-hot-40/" xr:uid="{00000000-0004-0000-0200-000065000000}"/>
    <hyperlink ref="Q105" r:id="rId103" display="https://static.redstone.rs/games/inferno-hot-20/" xr:uid="{00000000-0004-0000-0200-000066000000}"/>
    <hyperlink ref="Q106" r:id="rId104" display="https://static.redstone.rs/games/crown-blast-40/" xr:uid="{00000000-0004-0000-0200-000067000000}"/>
    <hyperlink ref="Q107" r:id="rId105" display="https://static.redstone.rs/games/chilli-double-40/" xr:uid="{00000000-0004-0000-0200-000068000000}"/>
    <hyperlink ref="Q108" r:id="rId106" display="https://static.redstone.rs/games/respin-gems/" xr:uid="{00000000-0004-0000-0200-000069000000}"/>
    <hyperlink ref="Q109" r:id="rId107" display="https://static.redstone.rs/games/9-of-a-kind/" xr:uid="{00000000-0004-0000-0200-00006A000000}"/>
    <hyperlink ref="Q110" r:id="rId108" display="https://static.redstone.rs/games/5-wild-diamond/" xr:uid="{00000000-0004-0000-0200-00006B000000}"/>
    <hyperlink ref="Q111" r:id="rId109" display="https://static.redstone.rs/games/inferno-hot-40/" xr:uid="{00000000-0004-0000-0200-00006C000000}"/>
    <hyperlink ref="Q112" r:id="rId110" display="https://static.redstone.rs/games/rolling-hearts-10/" xr:uid="{00000000-0004-0000-0200-00006D000000}"/>
    <hyperlink ref="Q113" r:id="rId111" display="https://static.redstone.rs/games/cupids-wild-hearts/" xr:uid="{00000000-0004-0000-0200-00006E000000}"/>
    <hyperlink ref="Q114" r:id="rId112" display="https://static.redstone.rs/games/double-wild-diamond/" xr:uid="{00000000-0004-0000-0200-00006F000000}"/>
    <hyperlink ref="Q115" r:id="rId113" display="https://static.redstone.rs/games/respin-fortune/" xr:uid="{00000000-0004-0000-0200-000070000000}"/>
    <hyperlink ref="Q116" r:id="rId114" display="https://static.redstone.rs/games/multi-clover-5/" xr:uid="{00000000-0004-0000-0200-000071000000}"/>
    <hyperlink ref="Q117" r:id="rId115" display="https://static.redstone.rs/games/joker-x5/" xr:uid="{00000000-0004-0000-0200-000072000000}"/>
    <hyperlink ref="Q118" r:id="rId116" display="https://static.redstone.rs/games/clover-rush-5/" xr:uid="{00000000-0004-0000-0200-000073000000}"/>
    <hyperlink ref="Q119" r:id="rId117" display="https://static.redstone.rs/games/5-bell-fire/" xr:uid="{00000000-0004-0000-0200-000074000000}"/>
    <hyperlink ref="Q120" r:id="rId118" display="https://static.redstone.rs/games/dice-drop-10/" xr:uid="{00000000-0004-0000-0200-000075000000}"/>
    <hyperlink ref="Q121" r:id="rId119" display="https://static.redstone.rs/games/5-clover-fire-blast/" xr:uid="{00000000-0004-0000-0200-000076000000}"/>
    <hyperlink ref="Q122" r:id="rId120" display="https://static.redstone.rs/games/fruit-fire/" xr:uid="{00000000-0004-0000-0200-000077000000}"/>
    <hyperlink ref="Q123" r:id="rId121" display="https://static.redstone.rs/games/x-clover-fire/" xr:uid="{00000000-0004-0000-0200-000078000000}"/>
    <hyperlink ref="Q124" r:id="rId122" display="https://static.redstone.rs/games/5-heart-deluxe/" xr:uid="{00000000-0004-0000-0200-000079000000}"/>
    <hyperlink ref="Q125" r:id="rId123" display="https://static.redstone.rs/games/heart-deluxe-2x/" xr:uid="{00000000-0004-0000-0200-00007A000000}"/>
    <hyperlink ref="Q126" r:id="rId124" display="https://static.redstone.rs/games/pure-hot-5/" xr:uid="{00000000-0004-0000-0200-00007B000000}"/>
    <hyperlink ref="Q127" r:id="rId125" display="https://static.redstone.rs/games/x-wild-crown/" xr:uid="{00000000-0004-0000-0200-00007C000000}"/>
    <hyperlink ref="Q128" r:id="rId126" display="https://static.redstone.rs/games/5-clover-deluxe/" xr:uid="{00000000-0004-0000-0200-00007D000000}"/>
    <hyperlink ref="Q129" r:id="rId127" display="https://static.redstone.rs/games/heart-deluxe-2x/" xr:uid="{00000000-0004-0000-0200-00007E000000}"/>
    <hyperlink ref="Q130" r:id="rId128" display="https://static.redstone.rs/games/cosmic-fruits/" xr:uid="{00000000-0004-0000-0200-00007F000000}"/>
    <hyperlink ref="Q131" r:id="rId129" display="https://static.redstone.rs/games/x-wild-heart/" xr:uid="{00000000-0004-0000-0200-000080000000}"/>
    <hyperlink ref="Q132" r:id="rId130" display="https://static.redstone.rs/games/5-crown-deluxe/" xr:uid="{00000000-0004-0000-0200-000081000000}"/>
    <hyperlink ref="Q133" r:id="rId131" display="https://static.redstone.rs/games/crown-deluxe-2x/" xr:uid="{00000000-0004-0000-0200-000082000000}"/>
    <hyperlink ref="Q134" r:id="rId132" display="https://gameserver-store-client-area.orbionlimited.com/Home/IntegrationGameLaunch/client-area?moneyType=0&amp;gameName=RedstoneXCrownFire&amp;platform=desktop&amp;languageCode=eng&amp;currency=EUR" xr:uid="{00000000-0004-0000-0200-000083000000}"/>
    <hyperlink ref="Q135" r:id="rId133" display="https://gameserver-store-client-area.orbionlimited.com/Home/IntegrationGameLaunch/client-area?moneyType=0&amp;gameName=Redstone10CloverDeluxe&amp;platform=desktop&amp;languageCode=eng&amp;currency=EUR" xr:uid="{00000000-0004-0000-0200-000084000000}"/>
    <hyperlink ref="Q136" r:id="rId134" display="https://gameserver-store-client-area.orbionlimited.com/Home/IntegrationGameLaunch/client-area?moneyType=0&amp;gameName=Redstone10CrownDeluxe&amp;platform=desktop&amp;languageCode=eng&amp;currency=EUR" xr:uid="{00000000-0004-0000-0200-000085000000}"/>
    <hyperlink ref="Q137" r:id="rId135" display="https://gameserver-store-client-area.orbionlimited.com/Home/IntegrationGameLaunch/client-area?moneyType=0&amp;gameName=Redstone10HeartDeluxe&amp;platform=desktop&amp;languageCode=eng&amp;currency=EUR" xr:uid="{00000000-0004-0000-0200-000086000000}"/>
    <hyperlink ref="Q138" r:id="rId136" display="https://gameserver-store-client-area.orbionlimited.com/Home/IntegrationGameLaunch/client-area?moneyType=0&amp;gameName=RedstoneMultiHeart10&amp;platform=desktop&amp;languageCode=eng&amp;currency=EUR" xr:uid="{00000000-0004-0000-0200-000087000000}"/>
    <hyperlink ref="Q139" r:id="rId137" display="https://gameserver-store-client-area.orbionlimited.com/Home/IntegrationGameLaunch/client-area?moneyType=0&amp;gameName=RedstoneLuckyLuckyBells&amp;platform=desktop&amp;languageCode=eng&amp;currency=EUR" xr:uid="{00000000-0004-0000-0200-000088000000}"/>
    <hyperlink ref="Q140" r:id="rId138" display="https://gameserver-store-client-area.orbionlimited.com/Home/IntegrationGameLaunch/client-area?moneyType=0&amp;gameName=RedstoneCloverFire1000&amp;platform=desktop&amp;languageCode=eng&amp;currency=EUR" xr:uid="{00000000-0004-0000-0200-000089000000}"/>
    <hyperlink ref="Q141" r:id="rId139" display="https://gameserver-store-client-area.orbionlimited.com/Home/IntegrationGameLaunch/client-area?moneyType=0&amp;gameName=RedstoneWildHeart1000&amp;platform=desktop&amp;languageCode=eng&amp;currency=EUR" xr:uid="{00000000-0004-0000-0200-00008A000000}"/>
    <hyperlink ref="Q142" r:id="rId140" display="https://gameserver-store-client-area.orbionlimited.com/Home/IntegrationGameLaunch/client-area?moneyType=0&amp;gameName=RedstoneWildCrown1000&amp;platform=desktop&amp;languageCode=eng&amp;currency=EUR" xr:uid="{00000000-0004-0000-0200-00008B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Y1001"/>
  <sheetViews>
    <sheetView workbookViewId="0">
      <pane ySplit="2" topLeftCell="A3" activePane="bottomLeft" state="frozen"/>
      <selection pane="bottomLeft" activeCell="B4" sqref="B4"/>
    </sheetView>
  </sheetViews>
  <sheetFormatPr defaultColWidth="12.6640625" defaultRowHeight="15.75" customHeight="1" x14ac:dyDescent="0.25"/>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""Playnet"",
  all_rows, IFERROR(FILTER(AllGames_Games!A2:BZ1001, (AllGames_Games!BE2:BE1001 = TRUE) + (AllGames_Games!BE2:BE1001 = ""TRUE"")), """"),
  base_games, IFERROR(FILTER(all_rows, IF(studio_filter = """", 1, CHOOSECOLS(a"&amp;"ll_rows, 55) = studio_filter)), """"),
  IF(INDEX(base_games, 1, 1) = """", ""Nema rezultata za filter"",
    LET(
      gamename_keys, CHOOSECOLS(base_games, 4),
      gameid_keys, CHOOSECOLS(base_games, 6),
      studio, VSTACK(""GameStudio"","&amp;" CHOOSECOLS(base_games, 55)),
      name, VSTACK(""GameName"", gamename_keys),
      gameID, VSTACK(""GameID"", gameid_keys),
      release, VSTACK(""ReleaseDate"", CHOOSECOLS(base_games, 19)),
      category, VSTACK(""GameCategoryID"", CHOOSECOLS(base_ga"&amp;"mes, 11)),
      size, VSTACK(""GameSize"", CHOOSECOLS(base_games, 16)),
      reels, VSTACK(""ReelsAndRows"", CHOOSECOLS(base_games, 21)),
      lines, VSTACK(""Paylines"", CHOOSECOLS(base_games, 22)),
      payLines, VSTACK(""PayableLines"", CHOOSECOLS("&amp;"base_games, 23)),
      rtp, VSTACK(""RTP%"", ARRAYFORMULA(IF(CHOOSECOLS(base_games, 24)="""", """", CHOOSECOLS(base_games, 24) &amp; ""%""))),
      volatility, VSTACK(""VolatilityID"", CHOOSECOLS(base_games, 25)),
      hit, VSTACK(""HitFrequency%"", ARRAYF"&amp;"ORMULA(IF(CHOOSECOLS(base_games, 26)="""", """", CHOOSECOLS(base_games, 26) &amp; ""%""))),
      exposure, VSTACK(""MaxExposure"", ARRAYFORMULA(IF(CHOOSECOLS(base_games, 27)="""", """", ""x"" &amp; CHOOSECOLS(base_games, 27)))),
      bet, VSTACK(""MinandMaxBet("&amp;"EUR)"", CHOOSECOLS(base_games, 30)),
      jackpot, VSTACK(""Jackpot"", CHOOSECOLS(base_games, 38)),
      features, VSTACK(""Features"", CHOOSECOLS(base_games, 29)),
      demo, VSTACK(""DemoLink"", CHOOSECOLS(base_games, 56)),
      promo, VSTACK(""Prom"&amp;"oText"", CHOOSECOLS(base_games, 45)),
      part1, HSTACK(studio, name, gameID, release, category, size, reels, lines, payLines, rtp, volatility, hit, exposure, bet, jackpot, features, demo, promo),
      lang_headers, GameLanguages_za_CA!B1"&amp;":AD1,
      lang_data, ARRAYFORMULA(IFERROR(VLOOKUP(gameid_keys, GameLanguages_za_CA!A:AD, SEQUENCE(1, COLUMNS(lang_headers), 2), 0), """")),
      part2, VSTACK(lang_headers, lang_data),
      jur_headers, FILTER(Jurisdiction_report!B1:BY1, Jurisd"&amp;"iction_report!B1:BY1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Av"&amp;"ailable)"", """"))),
        LET(
          filtered_headers, CHOOSECOLS(jur_headers, valid_col_indices),
          filtered_data_raw, CHOOSECOLS(jur_data_raw, valid_col_indices),
          filtered_data, ARRAYFORMULA(IF(filtered_data_raw = ""Available"","&amp;" ""Available"", """")),
          VSTACK(filtered_headers, filtered_data)
        )
      ),
      HSTACK(part1, part2)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IFERROR(__xludf.DUMMYFUNCTION("""COMPUTED_VALUE"""),"Playnet")</f>
        <v>Playnet</v>
      </c>
      <c r="B3" s="5" t="str">
        <f ca="1">IFERROR(__xludf.DUMMYFUNCTION("""COMPUTED_VALUE"""),"Fortune Clover 5")</f>
        <v>Fortune Clover 5</v>
      </c>
      <c r="C3" s="5" t="str">
        <f ca="1">IFERROR(__xludf.DUMMYFUNCTION("""COMPUTED_VALUE"""),"FortuneClover5")</f>
        <v>FortuneClover5</v>
      </c>
      <c r="D3" s="6">
        <f ca="1">IFERROR(__xludf.DUMMYFUNCTION("""COMPUTED_VALUE"""),45460)</f>
        <v>45460</v>
      </c>
      <c r="E3" s="5" t="str">
        <f ca="1">IFERROR(__xludf.DUMMYFUNCTION("""COMPUTED_VALUE"""),"Slot")</f>
        <v>Slot</v>
      </c>
      <c r="F3" s="5">
        <f ca="1">IFERROR(__xludf.DUMMYFUNCTION("""COMPUTED_VALUE"""),7.1)</f>
        <v>7.1</v>
      </c>
      <c r="G3" s="5" t="str">
        <f ca="1">IFERROR(__xludf.DUMMYFUNCTION("""COMPUTED_VALUE"""),"5x3")</f>
        <v>5x3</v>
      </c>
      <c r="H3" s="5">
        <f ca="1">IFERROR(__xludf.DUMMYFUNCTION("""COMPUTED_VALUE"""),5)</f>
        <v>5</v>
      </c>
      <c r="I3" s="5">
        <f ca="1">IFERROR(__xludf.DUMMYFUNCTION("""COMPUTED_VALUE"""),5)</f>
        <v>5</v>
      </c>
      <c r="J3" s="5" t="str">
        <f ca="1">IFERROR(__xludf.DUMMYFUNCTION("""COMPUTED_VALUE"""),"96.447%")</f>
        <v>96.447%</v>
      </c>
      <c r="K3" s="5" t="str">
        <f ca="1">IFERROR(__xludf.DUMMYFUNCTION("""COMPUTED_VALUE"""),"Medium")</f>
        <v>Medium</v>
      </c>
      <c r="L3" s="5" t="str">
        <f ca="1">IFERROR(__xludf.DUMMYFUNCTION("""COMPUTED_VALUE"""),"14.505%")</f>
        <v>14.505%</v>
      </c>
      <c r="M3" s="5" t="str">
        <f ca="1">IFERROR(__xludf.DUMMYFUNCTION("""COMPUTED_VALUE"""),"x1222")</f>
        <v>x1222</v>
      </c>
      <c r="N3" s="5" t="str">
        <f ca="1">IFERROR(__xludf.DUMMYFUNCTION("""COMPUTED_VALUE"""),"0.05/50")</f>
        <v>0.05/50</v>
      </c>
      <c r="O3" s="5" t="str">
        <f ca="1">IFERROR(__xludf.DUMMYFUNCTION("""COMPUTED_VALUE"""),"No")</f>
        <v>No</v>
      </c>
      <c r="P3" s="5" t="str">
        <f ca="1">IFERROR(__xludf.DUMMYFUNCTION("""COMPUTED_VALUE"""),"Expanding Wild, Scatter")</f>
        <v>Expanding Wild, Scatter</v>
      </c>
      <c r="Q3" s="7" t="str">
        <f ca="1">IFERROR(__xludf.DUMMYFUNCTION("""COMPUTED_VALUE"""),"https://gameserver-store-client-area.orbionlimited.com/Home/IntegrationGameLaunch/client-area?moneyType=0&amp;gameName=FortuneClover5&amp;platform=desktop&amp;languageCode=eng&amp;currency=EUR")</f>
        <v>https://gameserver-store-client-area.orbionlimited.com/Home/IntegrationGameLaunch/client-area?moneyType=0&amp;gameName=FortuneClover5&amp;platform=desktop&amp;languageCode=eng&amp;currency=EUR</v>
      </c>
      <c r="R3" s="5" t="str">
        <f ca="1">IFERROR(__xludf.DUMMYFUNCTION("""COMPUTED_VALUE"""),"Feeling Lucky? Play the Fortune Clover 5 now for a chance to win big! Spin to find fortune among the clovers!")</f>
        <v>Feeling Lucky? Play the Fortune Clover 5 now for a chance to win big! Spin to find fortune among the clovers!</v>
      </c>
      <c r="S3"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3" s="5" t="str">
        <f ca="1">IFERROR(__xludf.DUMMYFUNCTION("""COMPUTED_VALUE"""),"Yes")</f>
        <v>Yes</v>
      </c>
      <c r="U3" s="5" t="str">
        <f ca="1">IFERROR(__xludf.DUMMYFUNCTION("""COMPUTED_VALUE"""),"Yes")</f>
        <v>Yes</v>
      </c>
      <c r="V3" s="5" t="str">
        <f ca="1">IFERROR(__xludf.DUMMYFUNCTION("""COMPUTED_VALUE"""),"No")</f>
        <v>No</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IFERROR(__xludf.DUMMYFUNCTION("""COMPUTED_VALUE"""),"No")</f>
        <v>No</v>
      </c>
      <c r="AH3" s="5" t="str">
        <f ca="1">IFERROR(__xludf.DUMMYFUNCTION("""COMPUTED_VALUE"""),"Yes")</f>
        <v>Yes</v>
      </c>
      <c r="AI3" s="5" t="str">
        <f ca="1">IFERROR(__xludf.DUMMYFUNCTION("""COMPUTED_VALUE"""),"No")</f>
        <v>No</v>
      </c>
      <c r="AJ3" s="5" t="str">
        <f ca="1">IFERROR(__xludf.DUMMYFUNCTION("""COMPUTED_VALUE"""),"No")</f>
        <v>No</v>
      </c>
      <c r="AK3" s="5" t="str">
        <f ca="1">IFERROR(__xludf.DUMMYFUNCTION("""COMPUTED_VALUE"""),"No")</f>
        <v>No</v>
      </c>
      <c r="AL3" s="5" t="str">
        <f ca="1">IFERROR(__xludf.DUMMYFUNCTION("""COMPUTED_VALUE"""),"No")</f>
        <v>No</v>
      </c>
      <c r="AM3" s="5" t="str">
        <f ca="1">IFERROR(__xludf.DUMMYFUNCTION("""COMPUTED_VALUE"""),"No")</f>
        <v>No</v>
      </c>
      <c r="AN3" s="5" t="str">
        <f ca="1">IFERROR(__xludf.DUMMYFUNCTION("""COMPUTED_VALUE"""),"No")</f>
        <v>No</v>
      </c>
      <c r="AO3" s="5" t="str">
        <f ca="1">IFERROR(__xludf.DUMMYFUNCTION("""COMPUTED_VALUE"""),"No")</f>
        <v>No</v>
      </c>
      <c r="AP3" s="5" t="str">
        <f ca="1">IFERROR(__xludf.DUMMYFUNCTION("""COMPUTED_VALUE"""),"No")</f>
        <v>No</v>
      </c>
      <c r="AQ3" s="5" t="str">
        <f ca="1">IFERROR(__xludf.DUMMYFUNCTION("""COMPUTED_VALUE"""),"No")</f>
        <v>No</v>
      </c>
      <c r="AR3" s="5" t="str">
        <f ca="1">IFERROR(__xludf.DUMMYFUNCTION("""COMPUTED_VALUE"""),"No")</f>
        <v>No</v>
      </c>
      <c r="AS3" s="5" t="str">
        <f ca="1">IFERROR(__xludf.DUMMYFUNCTION("""COMPUTED_VALUE"""),"Yes")</f>
        <v>Yes</v>
      </c>
      <c r="AT3" s="5" t="str">
        <f ca="1">IFERROR(__xludf.DUMMYFUNCTION("""COMPUTED_VALUE"""),"No")</f>
        <v>No</v>
      </c>
      <c r="AU3" s="5"/>
    </row>
    <row r="4" spans="1:77" x14ac:dyDescent="0.25">
      <c r="A4" s="5" t="str">
        <f ca="1">IFERROR(__xludf.DUMMYFUNCTION("""COMPUTED_VALUE"""),"Playnet")</f>
        <v>Playnet</v>
      </c>
      <c r="B4" s="5" t="str">
        <f ca="1">IFERROR(__xludf.DUMMYFUNCTION("""COMPUTED_VALUE"""),"Majestic Crown 10")</f>
        <v>Majestic Crown 10</v>
      </c>
      <c r="C4" s="5" t="str">
        <f ca="1">IFERROR(__xludf.DUMMYFUNCTION("""COMPUTED_VALUE"""),"MajesticCrown10")</f>
        <v>MajesticCrown10</v>
      </c>
      <c r="D4" s="6">
        <f ca="1">IFERROR(__xludf.DUMMYFUNCTION("""COMPUTED_VALUE"""),45470)</f>
        <v>45470</v>
      </c>
      <c r="E4" s="5" t="str">
        <f ca="1">IFERROR(__xludf.DUMMYFUNCTION("""COMPUTED_VALUE"""),"Slot")</f>
        <v>Slot</v>
      </c>
      <c r="F4" s="5">
        <f ca="1">IFERROR(__xludf.DUMMYFUNCTION("""COMPUTED_VALUE"""),7.1)</f>
        <v>7.1</v>
      </c>
      <c r="G4" s="5" t="str">
        <f ca="1">IFERROR(__xludf.DUMMYFUNCTION("""COMPUTED_VALUE"""),"5x3")</f>
        <v>5x3</v>
      </c>
      <c r="H4" s="5">
        <f ca="1">IFERROR(__xludf.DUMMYFUNCTION("""COMPUTED_VALUE"""),10)</f>
        <v>10</v>
      </c>
      <c r="I4" s="5">
        <f ca="1">IFERROR(__xludf.DUMMYFUNCTION("""COMPUTED_VALUE"""),10)</f>
        <v>10</v>
      </c>
      <c r="J4" s="5" t="str">
        <f ca="1">IFERROR(__xludf.DUMMYFUNCTION("""COMPUTED_VALUE"""),"95.962%")</f>
        <v>95.962%</v>
      </c>
      <c r="K4" s="5" t="str">
        <f ca="1">IFERROR(__xludf.DUMMYFUNCTION("""COMPUTED_VALUE"""),"Medium")</f>
        <v>Medium</v>
      </c>
      <c r="L4" s="5" t="str">
        <f ca="1">IFERROR(__xludf.DUMMYFUNCTION("""COMPUTED_VALUE"""),"14.634%")</f>
        <v>14.634%</v>
      </c>
      <c r="M4" s="5" t="str">
        <f ca="1">IFERROR(__xludf.DUMMYFUNCTION("""COMPUTED_VALUE"""),"x1538")</f>
        <v>x1538</v>
      </c>
      <c r="N4" s="5" t="str">
        <f ca="1">IFERROR(__xludf.DUMMYFUNCTION("""COMPUTED_VALUE"""),"0.01/50")</f>
        <v>0.01/50</v>
      </c>
      <c r="O4" s="5" t="str">
        <f ca="1">IFERROR(__xludf.DUMMYFUNCTION("""COMPUTED_VALUE"""),"No")</f>
        <v>No</v>
      </c>
      <c r="P4" s="5" t="str">
        <f ca="1">IFERROR(__xludf.DUMMYFUNCTION("""COMPUTED_VALUE"""),"Scatter, Expanding Wild")</f>
        <v>Scatter, Expanding Wild</v>
      </c>
      <c r="Q4" s="7" t="str">
        <f ca="1">IFERROR(__xludf.DUMMYFUNCTION("""COMPUTED_VALUE"""),"https://gameserver-store-client-area.orbionlimited.com/Home/IntegrationGameLaunch/client-area?moneyType=0&amp;gameName=MajesticCrown10&amp;platform=desktop&amp;languageCode=eng&amp;currency=EUR")</f>
        <v>https://gameserver-store-client-area.orbionlimited.com/Home/IntegrationGameLaunch/client-area?moneyType=0&amp;gameName=MajesticCrown10&amp;platform=desktop&amp;languageCode=eng&amp;currency=EUR</v>
      </c>
      <c r="R4" s="5" t="str">
        <f ca="1">IFERROR(__xludf.DUMMYFUNCTION("""COMPUTED_VALUE"""),"Spin to uncover royal treasures and watch as expanding wilds adorn your reels!")</f>
        <v>Spin to uncover royal treasures and watch as expanding wilds adorn your reels!</v>
      </c>
      <c r="S4"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IFERROR(__xludf.DUMMYFUNCTION("""COMPUTED_VALUE"""),"Yes")</f>
        <v>Yes</v>
      </c>
      <c r="AF4" s="5" t="str">
        <f ca="1">IFERROR(__xludf.DUMMYFUNCTION("""COMPUTED_VALUE"""),"Yes")</f>
        <v>Yes</v>
      </c>
      <c r="AG4" s="5" t="str">
        <f ca="1">IFERROR(__xludf.DUMMYFUNCTION("""COMPUTED_VALUE"""),"Yes")</f>
        <v>Yes</v>
      </c>
      <c r="AH4" s="5" t="str">
        <f ca="1">IFERROR(__xludf.DUMMYFUNCTION("""COMPUTED_VALUE"""),"Yes")</f>
        <v>Yes</v>
      </c>
      <c r="AI4" s="5" t="str">
        <f ca="1">IFERROR(__xludf.DUMMYFUNCTION("""COMPUTED_VALUE"""),"No")</f>
        <v>No</v>
      </c>
      <c r="AJ4" s="5" t="str">
        <f ca="1">IFERROR(__xludf.DUMMYFUNCTION("""COMPUTED_VALUE"""),"No")</f>
        <v>No</v>
      </c>
      <c r="AK4" s="5" t="str">
        <f ca="1">IFERROR(__xludf.DUMMYFUNCTION("""COMPUTED_VALUE"""),"No")</f>
        <v>No</v>
      </c>
      <c r="AL4" s="5" t="str">
        <f ca="1">IFERROR(__xludf.DUMMYFUNCTION("""COMPUTED_VALUE"""),"No")</f>
        <v>No</v>
      </c>
      <c r="AM4" s="5"/>
      <c r="AN4" s="5"/>
      <c r="AO4" s="5"/>
      <c r="AP4" s="5"/>
      <c r="AQ4" s="5" t="str">
        <f ca="1">IFERROR(__xludf.DUMMYFUNCTION("""COMPUTED_VALUE"""),"No")</f>
        <v>No</v>
      </c>
      <c r="AR4" s="5"/>
      <c r="AS4" s="5" t="str">
        <f ca="1">IFERROR(__xludf.DUMMYFUNCTION("""COMPUTED_VALUE"""),"Yes")</f>
        <v>Yes</v>
      </c>
      <c r="AT4" s="5"/>
      <c r="AU4" s="5"/>
    </row>
    <row r="5" spans="1:77" x14ac:dyDescent="0.25">
      <c r="A5" s="5" t="str">
        <f ca="1">IFERROR(__xludf.DUMMYFUNCTION("""COMPUTED_VALUE"""),"Playnet")</f>
        <v>Playnet</v>
      </c>
      <c r="B5" s="5" t="str">
        <f ca="1">IFERROR(__xludf.DUMMYFUNCTION("""COMPUTED_VALUE"""),"Fortune Clover 40")</f>
        <v>Fortune Clover 40</v>
      </c>
      <c r="C5" s="5" t="str">
        <f ca="1">IFERROR(__xludf.DUMMYFUNCTION("""COMPUTED_VALUE"""),"PlayNetFortuneClover40")</f>
        <v>PlayNetFortuneClover40</v>
      </c>
      <c r="D5" s="6">
        <f ca="1">IFERROR(__xludf.DUMMYFUNCTION("""COMPUTED_VALUE"""),45502)</f>
        <v>45502</v>
      </c>
      <c r="E5" s="5" t="str">
        <f ca="1">IFERROR(__xludf.DUMMYFUNCTION("""COMPUTED_VALUE"""),"Slot")</f>
        <v>Slot</v>
      </c>
      <c r="F5" s="5">
        <f ca="1">IFERROR(__xludf.DUMMYFUNCTION("""COMPUTED_VALUE"""),7.1)</f>
        <v>7.1</v>
      </c>
      <c r="G5" s="5" t="str">
        <f ca="1">IFERROR(__xludf.DUMMYFUNCTION("""COMPUTED_VALUE"""),"5x3")</f>
        <v>5x3</v>
      </c>
      <c r="H5" s="5">
        <f ca="1">IFERROR(__xludf.DUMMYFUNCTION("""COMPUTED_VALUE"""),40)</f>
        <v>40</v>
      </c>
      <c r="I5" s="5">
        <f ca="1">IFERROR(__xludf.DUMMYFUNCTION("""COMPUTED_VALUE"""),40)</f>
        <v>40</v>
      </c>
      <c r="J5" s="5" t="str">
        <f ca="1">IFERROR(__xludf.DUMMYFUNCTION("""COMPUTED_VALUE"""),"96.53%")</f>
        <v>96.53%</v>
      </c>
      <c r="K5" s="5" t="str">
        <f ca="1">IFERROR(__xludf.DUMMYFUNCTION("""COMPUTED_VALUE"""),"Low")</f>
        <v>Low</v>
      </c>
      <c r="L5" s="5" t="str">
        <f ca="1">IFERROR(__xludf.DUMMYFUNCTION("""COMPUTED_VALUE"""),"23.377%")</f>
        <v>23.377%</v>
      </c>
      <c r="M5" s="5" t="str">
        <f ca="1">IFERROR(__xludf.DUMMYFUNCTION("""COMPUTED_VALUE"""),"x876.75")</f>
        <v>x876.75</v>
      </c>
      <c r="N5" s="5" t="str">
        <f ca="1">IFERROR(__xludf.DUMMYFUNCTION("""COMPUTED_VALUE"""),"0.40/60")</f>
        <v>0.40/60</v>
      </c>
      <c r="O5" s="5" t="str">
        <f ca="1">IFERROR(__xludf.DUMMYFUNCTION("""COMPUTED_VALUE"""),"No")</f>
        <v>No</v>
      </c>
      <c r="P5" s="5" t="str">
        <f ca="1">IFERROR(__xludf.DUMMYFUNCTION("""COMPUTED_VALUE"""),"Scatter, Expanding Wild")</f>
        <v>Scatter, Expanding Wild</v>
      </c>
      <c r="Q5" s="7" t="str">
        <f ca="1">IFERROR(__xludf.DUMMYFUNCTION("""COMPUTED_VALUE"""),"https://gameserver-store-client-area.orbionlimited.com/Home/IntegrationGameLaunch/client-area?moneyType=0&amp;gameName=PlayNetFortuneClover40&amp;platform=desktop&amp;languageCode=eng&amp;currency=EUR")</f>
        <v>https://gameserver-store-client-area.orbionlimited.com/Home/IntegrationGameLaunch/client-area?moneyType=0&amp;gameName=PlayNetFortuneClover40&amp;platform=desktop&amp;languageCode=eng&amp;currency=EUR</v>
      </c>
      <c r="R5" s="5" t="str">
        <f ca="1">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S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IFERROR(__xludf.DUMMYFUNCTION("""COMPUTED_VALUE"""),"Yes")</f>
        <v>Yes</v>
      </c>
      <c r="AH5" s="5" t="str">
        <f ca="1">IFERROR(__xludf.DUMMYFUNCTION("""COMPUTED_VALUE"""),"Yes")</f>
        <v>Yes</v>
      </c>
      <c r="AI5" s="5" t="str">
        <f ca="1">IFERROR(__xludf.DUMMYFUNCTION("""COMPUTED_VALUE"""),"No")</f>
        <v>No</v>
      </c>
      <c r="AJ5" s="5" t="str">
        <f ca="1">IFERROR(__xludf.DUMMYFUNCTION("""COMPUTED_VALUE"""),"No")</f>
        <v>No</v>
      </c>
      <c r="AK5" s="5" t="str">
        <f ca="1">IFERROR(__xludf.DUMMYFUNCTION("""COMPUTED_VALUE"""),"No")</f>
        <v>No</v>
      </c>
      <c r="AL5" s="5" t="str">
        <f ca="1">IFERROR(__xludf.DUMMYFUNCTION("""COMPUTED_VALUE"""),"No")</f>
        <v>No</v>
      </c>
      <c r="AM5" s="5" t="str">
        <f ca="1">IFERROR(__xludf.DUMMYFUNCTION("""COMPUTED_VALUE"""),"No")</f>
        <v>No</v>
      </c>
      <c r="AN5" s="5" t="str">
        <f ca="1">IFERROR(__xludf.DUMMYFUNCTION("""COMPUTED_VALUE"""),"No")</f>
        <v>No</v>
      </c>
      <c r="AO5" s="5" t="str">
        <f ca="1">IFERROR(__xludf.DUMMYFUNCTION("""COMPUTED_VALUE"""),"No")</f>
        <v>No</v>
      </c>
      <c r="AP5" s="5" t="str">
        <f ca="1">IFERROR(__xludf.DUMMYFUNCTION("""COMPUTED_VALUE"""),"No")</f>
        <v>No</v>
      </c>
      <c r="AQ5" s="5" t="str">
        <f ca="1">IFERROR(__xludf.DUMMYFUNCTION("""COMPUTED_VALUE"""),"No")</f>
        <v>No</v>
      </c>
      <c r="AR5" s="5" t="str">
        <f ca="1">IFERROR(__xludf.DUMMYFUNCTION("""COMPUTED_VALUE"""),"No")</f>
        <v>No</v>
      </c>
      <c r="AS5" s="5" t="str">
        <f ca="1">IFERROR(__xludf.DUMMYFUNCTION("""COMPUTED_VALUE"""),"Yes")</f>
        <v>Yes</v>
      </c>
      <c r="AT5" s="5" t="str">
        <f ca="1">IFERROR(__xludf.DUMMYFUNCTION("""COMPUTED_VALUE"""),"No")</f>
        <v>No</v>
      </c>
      <c r="AU5" s="5"/>
    </row>
    <row r="6" spans="1:77" x14ac:dyDescent="0.25">
      <c r="A6" s="5" t="str">
        <f ca="1">IFERROR(__xludf.DUMMYFUNCTION("""COMPUTED_VALUE"""),"Playnet")</f>
        <v>Playnet</v>
      </c>
      <c r="B6" s="5" t="str">
        <f ca="1">IFERROR(__xludf.DUMMYFUNCTION("""COMPUTED_VALUE"""),"Diamond Heart 5")</f>
        <v>Diamond Heart 5</v>
      </c>
      <c r="C6" s="5" t="str">
        <f ca="1">IFERROR(__xludf.DUMMYFUNCTION("""COMPUTED_VALUE"""),"PlayNetDiamondHeart5")</f>
        <v>PlayNetDiamondHeart5</v>
      </c>
      <c r="D6" s="6">
        <f ca="1">IFERROR(__xludf.DUMMYFUNCTION("""COMPUTED_VALUE"""),45492)</f>
        <v>45492</v>
      </c>
      <c r="E6" s="5" t="str">
        <f ca="1">IFERROR(__xludf.DUMMYFUNCTION("""COMPUTED_VALUE"""),"Slot")</f>
        <v>Slot</v>
      </c>
      <c r="F6" s="5">
        <f ca="1">IFERROR(__xludf.DUMMYFUNCTION("""COMPUTED_VALUE"""),7.1)</f>
        <v>7.1</v>
      </c>
      <c r="G6" s="5" t="str">
        <f ca="1">IFERROR(__xludf.DUMMYFUNCTION("""COMPUTED_VALUE"""),"5x3")</f>
        <v>5x3</v>
      </c>
      <c r="H6" s="5">
        <f ca="1">IFERROR(__xludf.DUMMYFUNCTION("""COMPUTED_VALUE"""),5)</f>
        <v>5</v>
      </c>
      <c r="I6" s="5">
        <f ca="1">IFERROR(__xludf.DUMMYFUNCTION("""COMPUTED_VALUE"""),5)</f>
        <v>5</v>
      </c>
      <c r="J6" s="5" t="str">
        <f ca="1">IFERROR(__xludf.DUMMYFUNCTION("""COMPUTED_VALUE"""),"96.447%")</f>
        <v>96.447%</v>
      </c>
      <c r="K6" s="5" t="str">
        <f ca="1">IFERROR(__xludf.DUMMYFUNCTION("""COMPUTED_VALUE"""),"Medium")</f>
        <v>Medium</v>
      </c>
      <c r="L6" s="5" t="str">
        <f ca="1">IFERROR(__xludf.DUMMYFUNCTION("""COMPUTED_VALUE"""),"14.505%")</f>
        <v>14.505%</v>
      </c>
      <c r="M6" s="5" t="str">
        <f ca="1">IFERROR(__xludf.DUMMYFUNCTION("""COMPUTED_VALUE"""),"x1222")</f>
        <v>x1222</v>
      </c>
      <c r="N6" s="5" t="str">
        <f ca="1">IFERROR(__xludf.DUMMYFUNCTION("""COMPUTED_VALUE"""),"0.05/30")</f>
        <v>0.05/30</v>
      </c>
      <c r="O6" s="5" t="str">
        <f ca="1">IFERROR(__xludf.DUMMYFUNCTION("""COMPUTED_VALUE"""),"No")</f>
        <v>No</v>
      </c>
      <c r="P6" s="5" t="str">
        <f ca="1">IFERROR(__xludf.DUMMYFUNCTION("""COMPUTED_VALUE"""),"Scatter, Expanding Wild")</f>
        <v>Scatter, Expanding Wild</v>
      </c>
      <c r="Q6" s="7" t="str">
        <f ca="1">IFERROR(__xludf.DUMMYFUNCTION("""COMPUTED_VALUE"""),"https://gameserver-store-client-area.orbionlimited.com/Home/IntegrationGameLaunch/client-area?moneyType=0&amp;gameName=PlayNetDiamondHeart5&amp;platform=desktop&amp;languageCode=eng&amp;currency=EUR")</f>
        <v>https://gameserver-store-client-area.orbionlimited.com/Home/IntegrationGameLaunch/client-area?moneyType=0&amp;gameName=PlayNetDiamondHeart5&amp;platform=desktop&amp;languageCode=eng&amp;currency=EUR</v>
      </c>
      <c r="R6" s="5" t="str">
        <f ca="1">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S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6" s="5" t="str">
        <f ca="1">IFERROR(__xludf.DUMMYFUNCTION("""COMPUTED_VALUE"""),"Yes")</f>
        <v>Yes</v>
      </c>
      <c r="U6" s="5" t="str">
        <f ca="1">IFERROR(__xludf.DUMMYFUNCTION("""COMPUTED_VALUE"""),"Yes")</f>
        <v>Yes</v>
      </c>
      <c r="V6" s="5" t="str">
        <f ca="1">IFERROR(__xludf.DUMMYFUNCTION("""COMPUTED_VALUE"""),"Yes")</f>
        <v>Yes</v>
      </c>
      <c r="W6" s="5" t="str">
        <f ca="1">IFERROR(__xludf.DUMMYFUNCTION("""COMPUTED_VALUE"""),"Yes")</f>
        <v>Yes</v>
      </c>
      <c r="X6" s="5" t="str">
        <f ca="1">IFERROR(__xludf.DUMMYFUNCTION("""COMPUTED_VALUE"""),"Yes")</f>
        <v>Yes</v>
      </c>
      <c r="Y6" s="5" t="str">
        <f ca="1">IFERROR(__xludf.DUMMYFUNCTION("""COMPUTED_VALUE"""),"Yes")</f>
        <v>Yes</v>
      </c>
      <c r="Z6" s="5" t="str">
        <f ca="1">IFERROR(__xludf.DUMMYFUNCTION("""COMPUTED_VALUE"""),"Yes")</f>
        <v>Yes</v>
      </c>
      <c r="AA6" s="5" t="str">
        <f ca="1">IFERROR(__xludf.DUMMYFUNCTION("""COMPUTED_VALUE"""),"Yes")</f>
        <v>Yes</v>
      </c>
      <c r="AB6" s="5" t="str">
        <f ca="1">IFERROR(__xludf.DUMMYFUNCTION("""COMPUTED_VALUE"""),"Yes")</f>
        <v>Yes</v>
      </c>
      <c r="AC6" s="5" t="str">
        <f ca="1">IFERROR(__xludf.DUMMYFUNCTION("""COMPUTED_VALUE"""),"Yes")</f>
        <v>Yes</v>
      </c>
      <c r="AD6" s="5" t="str">
        <f ca="1">IFERROR(__xludf.DUMMYFUNCTION("""COMPUTED_VALUE"""),"Yes")</f>
        <v>Yes</v>
      </c>
      <c r="AE6" s="5" t="str">
        <f ca="1">IFERROR(__xludf.DUMMYFUNCTION("""COMPUTED_VALUE"""),"Yes")</f>
        <v>Yes</v>
      </c>
      <c r="AF6" s="5" t="str">
        <f ca="1">IFERROR(__xludf.DUMMYFUNCTION("""COMPUTED_VALUE"""),"Yes")</f>
        <v>Yes</v>
      </c>
      <c r="AG6" s="5" t="str">
        <f ca="1">IFERROR(__xludf.DUMMYFUNCTION("""COMPUTED_VALUE"""),"Yes")</f>
        <v>Yes</v>
      </c>
      <c r="AH6" s="5" t="str">
        <f ca="1">IFERROR(__xludf.DUMMYFUNCTION("""COMPUTED_VALUE"""),"Yes")</f>
        <v>Yes</v>
      </c>
      <c r="AI6" s="5" t="str">
        <f ca="1">IFERROR(__xludf.DUMMYFUNCTION("""COMPUTED_VALUE"""),"No")</f>
        <v>No</v>
      </c>
      <c r="AJ6" s="5" t="str">
        <f ca="1">IFERROR(__xludf.DUMMYFUNCTION("""COMPUTED_VALUE"""),"No")</f>
        <v>No</v>
      </c>
      <c r="AK6" s="5" t="str">
        <f ca="1">IFERROR(__xludf.DUMMYFUNCTION("""COMPUTED_VALUE"""),"No")</f>
        <v>No</v>
      </c>
      <c r="AL6" s="5" t="str">
        <f ca="1">IFERROR(__xludf.DUMMYFUNCTION("""COMPUTED_VALUE"""),"No")</f>
        <v>No</v>
      </c>
      <c r="AM6" s="5"/>
      <c r="AN6" s="5"/>
      <c r="AO6" s="5"/>
      <c r="AP6" s="5"/>
      <c r="AQ6" s="5" t="str">
        <f ca="1">IFERROR(__xludf.DUMMYFUNCTION("""COMPUTED_VALUE"""),"No")</f>
        <v>No</v>
      </c>
      <c r="AR6" s="5"/>
      <c r="AS6" s="5" t="str">
        <f ca="1">IFERROR(__xludf.DUMMYFUNCTION("""COMPUTED_VALUE"""),"Yes")</f>
        <v>Yes</v>
      </c>
      <c r="AT6" s="5"/>
      <c r="AU6" s="5"/>
    </row>
    <row r="7" spans="1:77" x14ac:dyDescent="0.25">
      <c r="A7" s="5" t="str">
        <f ca="1">IFERROR(__xludf.DUMMYFUNCTION("""COMPUTED_VALUE"""),"Playnet")</f>
        <v>Playnet</v>
      </c>
      <c r="B7" s="5" t="str">
        <f ca="1">IFERROR(__xludf.DUMMYFUNCTION("""COMPUTED_VALUE"""),"Majestic Crown 20")</f>
        <v>Majestic Crown 20</v>
      </c>
      <c r="C7" s="5" t="str">
        <f ca="1">IFERROR(__xludf.DUMMYFUNCTION("""COMPUTED_VALUE"""),"PlayNetMajesticCrown20")</f>
        <v>PlayNetMajesticCrown20</v>
      </c>
      <c r="D7" s="6">
        <f ca="1">IFERROR(__xludf.DUMMYFUNCTION("""COMPUTED_VALUE"""),45520)</f>
        <v>45520</v>
      </c>
      <c r="E7" s="5" t="str">
        <f ca="1">IFERROR(__xludf.DUMMYFUNCTION("""COMPUTED_VALUE"""),"Slot")</f>
        <v>Slot</v>
      </c>
      <c r="F7" s="5">
        <f ca="1">IFERROR(__xludf.DUMMYFUNCTION("""COMPUTED_VALUE"""),7)</f>
        <v>7</v>
      </c>
      <c r="G7" s="5" t="str">
        <f ca="1">IFERROR(__xludf.DUMMYFUNCTION("""COMPUTED_VALUE"""),"5x3")</f>
        <v>5x3</v>
      </c>
      <c r="H7" s="5">
        <f ca="1">IFERROR(__xludf.DUMMYFUNCTION("""COMPUTED_VALUE"""),20)</f>
        <v>20</v>
      </c>
      <c r="I7" s="5">
        <f ca="1">IFERROR(__xludf.DUMMYFUNCTION("""COMPUTED_VALUE"""),20)</f>
        <v>20</v>
      </c>
      <c r="J7" s="5" t="str">
        <f ca="1">IFERROR(__xludf.DUMMYFUNCTION("""COMPUTED_VALUE"""),"96.5%")</f>
        <v>96.5%</v>
      </c>
      <c r="K7" s="5" t="str">
        <f ca="1">IFERROR(__xludf.DUMMYFUNCTION("""COMPUTED_VALUE"""),"Medium")</f>
        <v>Medium</v>
      </c>
      <c r="L7" s="5" t="str">
        <f ca="1">IFERROR(__xludf.DUMMYFUNCTION("""COMPUTED_VALUE"""),"21.75%")</f>
        <v>21.75%</v>
      </c>
      <c r="M7" s="5" t="str">
        <f ca="1">IFERROR(__xludf.DUMMYFUNCTION("""COMPUTED_VALUE"""),"x1200")</f>
        <v>x1200</v>
      </c>
      <c r="N7" s="5" t="str">
        <f ca="1">IFERROR(__xludf.DUMMYFUNCTION("""COMPUTED_VALUE"""),"0.20/100")</f>
        <v>0.20/100</v>
      </c>
      <c r="O7" s="5" t="str">
        <f ca="1">IFERROR(__xludf.DUMMYFUNCTION("""COMPUTED_VALUE"""),"No")</f>
        <v>No</v>
      </c>
      <c r="P7" s="5" t="str">
        <f ca="1">IFERROR(__xludf.DUMMYFUNCTION("""COMPUTED_VALUE"""),"Scatter, Expanding Wild")</f>
        <v>Scatter, Expanding Wild</v>
      </c>
      <c r="Q7" s="7" t="str">
        <f ca="1">IFERROR(__xludf.DUMMYFUNCTION("""COMPUTED_VALUE"""),"https://gameserver-store-client-area.orbionlimited.com/Home/IntegrationGameLaunch/client-area?moneyType=0&amp;gameName=PlayNetMajesticCrown20&amp;platform=desktop&amp;languageCode=eng&amp;currency=EUR")</f>
        <v>https://gameserver-store-client-area.orbionlimited.com/Home/IntegrationGameLaunch/client-area?moneyType=0&amp;gameName=PlayNetMajesticCrown20&amp;platform=desktop&amp;languageCode=eng&amp;currency=EUR</v>
      </c>
      <c r="R7" s="5" t="str">
        <f ca="1">IFERROR(__xludf.DUMMYFUNCTION("""COMPUTED_VALUE"""),"Step into royalty with Majestic Crown 20! Spin the reels and reign over 20 majestic ways to win!")</f>
        <v>Step into royalty with Majestic Crown 20! Spin the reels and reign over 20 majestic ways to win!</v>
      </c>
      <c r="S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7" s="5" t="str">
        <f ca="1">IFERROR(__xludf.DUMMYFUNCTION("""COMPUTED_VALUE"""),"Yes")</f>
        <v>Yes</v>
      </c>
      <c r="U7" s="5" t="str">
        <f ca="1">IFERROR(__xludf.DUMMYFUNCTION("""COMPUTED_VALUE"""),"Yes")</f>
        <v>Yes</v>
      </c>
      <c r="V7" s="5" t="str">
        <f ca="1">IFERROR(__xludf.DUMMYFUNCTION("""COMPUTED_VALUE"""),"Yes")</f>
        <v>Yes</v>
      </c>
      <c r="W7" s="5" t="str">
        <f ca="1">IFERROR(__xludf.DUMMYFUNCTION("""COMPUTED_VALUE"""),"Yes")</f>
        <v>Yes</v>
      </c>
      <c r="X7" s="5" t="str">
        <f ca="1">IFERROR(__xludf.DUMMYFUNCTION("""COMPUTED_VALUE"""),"Yes")</f>
        <v>Yes</v>
      </c>
      <c r="Y7" s="5" t="str">
        <f ca="1">IFERROR(__xludf.DUMMYFUNCTION("""COMPUTED_VALUE"""),"Yes")</f>
        <v>Yes</v>
      </c>
      <c r="Z7" s="5" t="str">
        <f ca="1">IFERROR(__xludf.DUMMYFUNCTION("""COMPUTED_VALUE"""),"Yes")</f>
        <v>Yes</v>
      </c>
      <c r="AA7" s="5" t="str">
        <f ca="1">IFERROR(__xludf.DUMMYFUNCTION("""COMPUTED_VALUE"""),"Yes")</f>
        <v>Yes</v>
      </c>
      <c r="AB7" s="5" t="str">
        <f ca="1">IFERROR(__xludf.DUMMYFUNCTION("""COMPUTED_VALUE"""),"Yes")</f>
        <v>Yes</v>
      </c>
      <c r="AC7" s="5" t="str">
        <f ca="1">IFERROR(__xludf.DUMMYFUNCTION("""COMPUTED_VALUE"""),"Yes")</f>
        <v>Yes</v>
      </c>
      <c r="AD7" s="5" t="str">
        <f ca="1">IFERROR(__xludf.DUMMYFUNCTION("""COMPUTED_VALUE"""),"Yes")</f>
        <v>Yes</v>
      </c>
      <c r="AE7" s="5" t="str">
        <f ca="1">IFERROR(__xludf.DUMMYFUNCTION("""COMPUTED_VALUE"""),"Yes")</f>
        <v>Yes</v>
      </c>
      <c r="AF7" s="5" t="str">
        <f ca="1">IFERROR(__xludf.DUMMYFUNCTION("""COMPUTED_VALUE"""),"Yes")</f>
        <v>Yes</v>
      </c>
      <c r="AG7" s="5" t="str">
        <f ca="1">IFERROR(__xludf.DUMMYFUNCTION("""COMPUTED_VALUE"""),"Yes")</f>
        <v>Yes</v>
      </c>
      <c r="AH7" s="5" t="str">
        <f ca="1">IFERROR(__xludf.DUMMYFUNCTION("""COMPUTED_VALUE"""),"Yes")</f>
        <v>Yes</v>
      </c>
      <c r="AI7" s="5" t="str">
        <f ca="1">IFERROR(__xludf.DUMMYFUNCTION("""COMPUTED_VALUE"""),"No")</f>
        <v>No</v>
      </c>
      <c r="AJ7" s="5" t="str">
        <f ca="1">IFERROR(__xludf.DUMMYFUNCTION("""COMPUTED_VALUE"""),"No")</f>
        <v>No</v>
      </c>
      <c r="AK7" s="5" t="str">
        <f ca="1">IFERROR(__xludf.DUMMYFUNCTION("""COMPUTED_VALUE"""),"No")</f>
        <v>No</v>
      </c>
      <c r="AL7" s="5" t="str">
        <f ca="1">IFERROR(__xludf.DUMMYFUNCTION("""COMPUTED_VALUE"""),"No")</f>
        <v>No</v>
      </c>
      <c r="AM7" s="5"/>
      <c r="AN7" s="5"/>
      <c r="AO7" s="5"/>
      <c r="AP7" s="5"/>
      <c r="AQ7" s="5" t="str">
        <f ca="1">IFERROR(__xludf.DUMMYFUNCTION("""COMPUTED_VALUE"""),"No")</f>
        <v>No</v>
      </c>
      <c r="AR7" s="5"/>
      <c r="AS7" s="5" t="str">
        <f ca="1">IFERROR(__xludf.DUMMYFUNCTION("""COMPUTED_VALUE"""),"Yes")</f>
        <v>Yes</v>
      </c>
      <c r="AT7" s="5"/>
      <c r="AU7" s="5"/>
    </row>
    <row r="8" spans="1:77" x14ac:dyDescent="0.25">
      <c r="A8" s="5" t="str">
        <f ca="1">IFERROR(__xludf.DUMMYFUNCTION("""COMPUTED_VALUE"""),"Playnet")</f>
        <v>Playnet</v>
      </c>
      <c r="B8" s="5" t="str">
        <f ca="1">IFERROR(__xludf.DUMMYFUNCTION("""COMPUTED_VALUE"""),"Diamond Heart 40")</f>
        <v>Diamond Heart 40</v>
      </c>
      <c r="C8" s="5" t="str">
        <f ca="1">IFERROR(__xludf.DUMMYFUNCTION("""COMPUTED_VALUE"""),"PlayNetDiamondHeart40")</f>
        <v>PlayNetDiamondHeart40</v>
      </c>
      <c r="D8" s="6">
        <f ca="1">IFERROR(__xludf.DUMMYFUNCTION("""COMPUTED_VALUE"""),45530)</f>
        <v>45530</v>
      </c>
      <c r="E8" s="5" t="str">
        <f ca="1">IFERROR(__xludf.DUMMYFUNCTION("""COMPUTED_VALUE"""),"Slot")</f>
        <v>Slot</v>
      </c>
      <c r="F8" s="5">
        <f ca="1">IFERROR(__xludf.DUMMYFUNCTION("""COMPUTED_VALUE"""),7)</f>
        <v>7</v>
      </c>
      <c r="G8" s="5" t="str">
        <f ca="1">IFERROR(__xludf.DUMMYFUNCTION("""COMPUTED_VALUE"""),"5x3")</f>
        <v>5x3</v>
      </c>
      <c r="H8" s="5">
        <f ca="1">IFERROR(__xludf.DUMMYFUNCTION("""COMPUTED_VALUE"""),40)</f>
        <v>40</v>
      </c>
      <c r="I8" s="5">
        <f ca="1">IFERROR(__xludf.DUMMYFUNCTION("""COMPUTED_VALUE"""),40)</f>
        <v>40</v>
      </c>
      <c r="J8" s="5" t="str">
        <f ca="1">IFERROR(__xludf.DUMMYFUNCTION("""COMPUTED_VALUE"""),"96.53%")</f>
        <v>96.53%</v>
      </c>
      <c r="K8" s="5" t="str">
        <f ca="1">IFERROR(__xludf.DUMMYFUNCTION("""COMPUTED_VALUE"""),"Low")</f>
        <v>Low</v>
      </c>
      <c r="L8" s="5" t="str">
        <f ca="1">IFERROR(__xludf.DUMMYFUNCTION("""COMPUTED_VALUE"""),"23.337%")</f>
        <v>23.337%</v>
      </c>
      <c r="M8" s="5" t="str">
        <f ca="1">IFERROR(__xludf.DUMMYFUNCTION("""COMPUTED_VALUE"""),"x876.75")</f>
        <v>x876.75</v>
      </c>
      <c r="N8" s="5" t="str">
        <f ca="1">IFERROR(__xludf.DUMMYFUNCTION("""COMPUTED_VALUE"""),"0.40/60")</f>
        <v>0.40/60</v>
      </c>
      <c r="O8" s="5" t="str">
        <f ca="1">IFERROR(__xludf.DUMMYFUNCTION("""COMPUTED_VALUE"""),"No")</f>
        <v>No</v>
      </c>
      <c r="P8" s="5" t="str">
        <f ca="1">IFERROR(__xludf.DUMMYFUNCTION("""COMPUTED_VALUE"""),"Scatter, Expanding Wild")</f>
        <v>Scatter, Expanding Wild</v>
      </c>
      <c r="Q8" s="7" t="str">
        <f ca="1">IFERROR(__xludf.DUMMYFUNCTION("""COMPUTED_VALUE"""),"https://gameserver-store-client-area.orbionlimited.com/Home/IntegrationGameLaunch/client-area?moneyType=0&amp;gameName=PlayNetDiamondHeart40&amp;platform=desktop&amp;languageCode=eng&amp;currency=EUR")</f>
        <v>https://gameserver-store-client-area.orbionlimited.com/Home/IntegrationGameLaunch/client-area?moneyType=0&amp;gameName=PlayNetDiamondHeart40&amp;platform=desktop&amp;languageCode=eng&amp;currency=EUR</v>
      </c>
      <c r="R8" s="5" t="str">
        <f ca="1">IFERROR(__xludf.DUMMYFUNCTION("""COMPUTED_VALUE"""),"Let your heart shine with every spin! Spin the reels and discover 40 ways to win!")</f>
        <v>Let your heart shine with every spin! Spin the reels and discover 40 ways to win!</v>
      </c>
      <c r="S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 ca="1">IFERROR(__xludf.DUMMYFUNCTION("""COMPUTED_VALUE"""),"Yes")</f>
        <v>Yes</v>
      </c>
      <c r="U8" s="5" t="str">
        <f ca="1">IFERROR(__xludf.DUMMYFUNCTION("""COMPUTED_VALUE"""),"Yes")</f>
        <v>Yes</v>
      </c>
      <c r="V8" s="5" t="str">
        <f ca="1">IFERROR(__xludf.DUMMYFUNCTION("""COMPUTED_VALUE"""),"Yes")</f>
        <v>Yes</v>
      </c>
      <c r="W8" s="5" t="str">
        <f ca="1">IFERROR(__xludf.DUMMYFUNCTION("""COMPUTED_VALUE"""),"No")</f>
        <v>No</v>
      </c>
      <c r="X8" s="5" t="str">
        <f ca="1">IFERROR(__xludf.DUMMYFUNCTION("""COMPUTED_VALUE"""),"No")</f>
        <v>No</v>
      </c>
      <c r="Y8" s="5" t="str">
        <f ca="1">IFERROR(__xludf.DUMMYFUNCTION("""COMPUTED_VALUE"""),"No")</f>
        <v>No</v>
      </c>
      <c r="Z8" s="5" t="str">
        <f ca="1">IFERROR(__xludf.DUMMYFUNCTION("""COMPUTED_VALUE"""),"No")</f>
        <v>No</v>
      </c>
      <c r="AA8" s="5" t="str">
        <f ca="1">IFERROR(__xludf.DUMMYFUNCTION("""COMPUTED_VALUE"""),"No")</f>
        <v>No</v>
      </c>
      <c r="AB8" s="5" t="str">
        <f ca="1">IFERROR(__xludf.DUMMYFUNCTION("""COMPUTED_VALUE"""),"Yes")</f>
        <v>Yes</v>
      </c>
      <c r="AC8" s="5" t="str">
        <f ca="1">IFERROR(__xludf.DUMMYFUNCTION("""COMPUTED_VALUE"""),"Yes")</f>
        <v>Yes</v>
      </c>
      <c r="AD8" s="5" t="str">
        <f ca="1">IFERROR(__xludf.DUMMYFUNCTION("""COMPUTED_VALUE"""),"Yes")</f>
        <v>Yes</v>
      </c>
      <c r="AE8" s="5" t="str">
        <f ca="1">IFERROR(__xludf.DUMMYFUNCTION("""COMPUTED_VALUE"""),"Yes")</f>
        <v>Yes</v>
      </c>
      <c r="AF8" s="5" t="str">
        <f ca="1">IFERROR(__xludf.DUMMYFUNCTION("""COMPUTED_VALUE"""),"Yes")</f>
        <v>Yes</v>
      </c>
      <c r="AG8" s="5" t="str">
        <f ca="1">IFERROR(__xludf.DUMMYFUNCTION("""COMPUTED_VALUE"""),"No")</f>
        <v>No</v>
      </c>
      <c r="AH8" s="5" t="str">
        <f ca="1">IFERROR(__xludf.DUMMYFUNCTION("""COMPUTED_VALUE"""),"Yes")</f>
        <v>Yes</v>
      </c>
      <c r="AI8" s="5" t="str">
        <f ca="1">IFERROR(__xludf.DUMMYFUNCTION("""COMPUTED_VALUE"""),"No")</f>
        <v>No</v>
      </c>
      <c r="AJ8" s="5" t="str">
        <f ca="1">IFERROR(__xludf.DUMMYFUNCTION("""COMPUTED_VALUE"""),"No")</f>
        <v>No</v>
      </c>
      <c r="AK8" s="5" t="str">
        <f ca="1">IFERROR(__xludf.DUMMYFUNCTION("""COMPUTED_VALUE"""),"No")</f>
        <v>No</v>
      </c>
      <c r="AL8" s="5" t="str">
        <f ca="1">IFERROR(__xludf.DUMMYFUNCTION("""COMPUTED_VALUE"""),"No")</f>
        <v>No</v>
      </c>
      <c r="AM8" s="5"/>
      <c r="AN8" s="5"/>
      <c r="AO8" s="5"/>
      <c r="AP8" s="5"/>
      <c r="AQ8" s="5" t="str">
        <f ca="1">IFERROR(__xludf.DUMMYFUNCTION("""COMPUTED_VALUE"""),"No")</f>
        <v>No</v>
      </c>
      <c r="AR8" s="5"/>
      <c r="AS8" s="5"/>
      <c r="AT8" s="5"/>
      <c r="AU8" s="5"/>
    </row>
    <row r="9" spans="1:77" x14ac:dyDescent="0.25">
      <c r="A9" s="5" t="str">
        <f ca="1">IFERROR(__xludf.DUMMYFUNCTION("""COMPUTED_VALUE"""),"Playnet")</f>
        <v>Playnet</v>
      </c>
      <c r="B9" s="5" t="str">
        <f ca="1">IFERROR(__xludf.DUMMYFUNCTION("""COMPUTED_VALUE"""),"27 Wild Stacks")</f>
        <v>27 Wild Stacks</v>
      </c>
      <c r="C9" s="5" t="str">
        <f ca="1">IFERROR(__xludf.DUMMYFUNCTION("""COMPUTED_VALUE"""),"PlayNet27WildStacks")</f>
        <v>PlayNet27WildStacks</v>
      </c>
      <c r="D9" s="6">
        <f ca="1">IFERROR(__xludf.DUMMYFUNCTION("""COMPUTED_VALUE"""),45548)</f>
        <v>45548</v>
      </c>
      <c r="E9" s="5" t="str">
        <f ca="1">IFERROR(__xludf.DUMMYFUNCTION("""COMPUTED_VALUE"""),"Slot")</f>
        <v>Slot</v>
      </c>
      <c r="F9" s="5">
        <f ca="1">IFERROR(__xludf.DUMMYFUNCTION("""COMPUTED_VALUE"""),5.4)</f>
        <v>5.4</v>
      </c>
      <c r="G9" s="5" t="str">
        <f ca="1">IFERROR(__xludf.DUMMYFUNCTION("""COMPUTED_VALUE"""),"3x3")</f>
        <v>3x3</v>
      </c>
      <c r="H9" s="5">
        <f ca="1">IFERROR(__xludf.DUMMYFUNCTION("""COMPUTED_VALUE"""),27)</f>
        <v>27</v>
      </c>
      <c r="I9" s="5">
        <f ca="1">IFERROR(__xludf.DUMMYFUNCTION("""COMPUTED_VALUE"""),27)</f>
        <v>27</v>
      </c>
      <c r="J9" s="5" t="str">
        <f ca="1">IFERROR(__xludf.DUMMYFUNCTION("""COMPUTED_VALUE"""),"96.24%")</f>
        <v>96.24%</v>
      </c>
      <c r="K9" s="5" t="str">
        <f ca="1">IFERROR(__xludf.DUMMYFUNCTION("""COMPUTED_VALUE"""),"Low")</f>
        <v>Low</v>
      </c>
      <c r="L9" s="5" t="str">
        <f ca="1">IFERROR(__xludf.DUMMYFUNCTION("""COMPUTED_VALUE"""),"6.58%")</f>
        <v>6.58%</v>
      </c>
      <c r="M9" s="5" t="str">
        <f ca="1">IFERROR(__xludf.DUMMYFUNCTION("""COMPUTED_VALUE"""),"x108")</f>
        <v>x108</v>
      </c>
      <c r="N9" s="5" t="str">
        <f ca="1">IFERROR(__xludf.DUMMYFUNCTION("""COMPUTED_VALUE"""),"0.01/50")</f>
        <v>0.01/50</v>
      </c>
      <c r="O9" s="5" t="str">
        <f ca="1">IFERROR(__xludf.DUMMYFUNCTION("""COMPUTED_VALUE"""),"No")</f>
        <v>No</v>
      </c>
      <c r="P9" s="5" t="str">
        <f ca="1">IFERROR(__xludf.DUMMYFUNCTION("""COMPUTED_VALUE"""),"Win Multiplier")</f>
        <v>Win Multiplier</v>
      </c>
      <c r="Q9" s="7" t="str">
        <f ca="1">IFERROR(__xludf.DUMMYFUNCTION("""COMPUTED_VALUE"""),"https://gameserver-store-client-area.orbionlimited.com/Home/IntegrationGameLaunch/client-area?moneyType=0&amp;gameName=PlayNet27WildStacks&amp;platform=desktop&amp;languageCode=eng&amp;currency=EUR")</f>
        <v>https://gameserver-store-client-area.orbionlimited.com/Home/IntegrationGameLaunch/client-area?moneyType=0&amp;gameName=PlayNet27WildStacks&amp;platform=desktop&amp;languageCode=eng&amp;currency=EUR</v>
      </c>
      <c r="R9" s="5" t="str">
        <f ca="1">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S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9" s="5" t="str">
        <f ca="1">IFERROR(__xludf.DUMMYFUNCTION("""COMPUTED_VALUE"""),"Yes")</f>
        <v>Yes</v>
      </c>
      <c r="U9" s="5" t="str">
        <f ca="1">IFERROR(__xludf.DUMMYFUNCTION("""COMPUTED_VALUE"""),"Yes")</f>
        <v>Yes</v>
      </c>
      <c r="V9" s="5" t="str">
        <f ca="1">IFERROR(__xludf.DUMMYFUNCTION("""COMPUTED_VALUE"""),"Yes")</f>
        <v>Yes</v>
      </c>
      <c r="W9" s="5" t="str">
        <f ca="1">IFERROR(__xludf.DUMMYFUNCTION("""COMPUTED_VALUE"""),"Yes")</f>
        <v>Yes</v>
      </c>
      <c r="X9" s="5" t="str">
        <f ca="1">IFERROR(__xludf.DUMMYFUNCTION("""COMPUTED_VALUE"""),"Yes")</f>
        <v>Yes</v>
      </c>
      <c r="Y9" s="5" t="str">
        <f ca="1">IFERROR(__xludf.DUMMYFUNCTION("""COMPUTED_VALUE"""),"Yes")</f>
        <v>Yes</v>
      </c>
      <c r="Z9" s="5" t="str">
        <f ca="1">IFERROR(__xludf.DUMMYFUNCTION("""COMPUTED_VALUE"""),"Yes")</f>
        <v>Yes</v>
      </c>
      <c r="AA9" s="5" t="str">
        <f ca="1">IFERROR(__xludf.DUMMYFUNCTION("""COMPUTED_VALUE"""),"Yes")</f>
        <v>Yes</v>
      </c>
      <c r="AB9" s="5" t="str">
        <f ca="1">IFERROR(__xludf.DUMMYFUNCTION("""COMPUTED_VALUE"""),"Yes")</f>
        <v>Yes</v>
      </c>
      <c r="AC9" s="5" t="str">
        <f ca="1">IFERROR(__xludf.DUMMYFUNCTION("""COMPUTED_VALUE"""),"Yes")</f>
        <v>Yes</v>
      </c>
      <c r="AD9" s="5" t="str">
        <f ca="1">IFERROR(__xludf.DUMMYFUNCTION("""COMPUTED_VALUE"""),"Yes")</f>
        <v>Yes</v>
      </c>
      <c r="AE9" s="5" t="str">
        <f ca="1">IFERROR(__xludf.DUMMYFUNCTION("""COMPUTED_VALUE"""),"Yes")</f>
        <v>Yes</v>
      </c>
      <c r="AF9" s="5" t="str">
        <f ca="1">IFERROR(__xludf.DUMMYFUNCTION("""COMPUTED_VALUE"""),"Yes")</f>
        <v>Yes</v>
      </c>
      <c r="AG9" s="5" t="str">
        <f ca="1">IFERROR(__xludf.DUMMYFUNCTION("""COMPUTED_VALUE"""),"Yes")</f>
        <v>Yes</v>
      </c>
      <c r="AH9" s="5" t="str">
        <f ca="1">IFERROR(__xludf.DUMMYFUNCTION("""COMPUTED_VALUE"""),"Yes")</f>
        <v>Yes</v>
      </c>
      <c r="AI9" s="5" t="str">
        <f ca="1">IFERROR(__xludf.DUMMYFUNCTION("""COMPUTED_VALUE"""),"No")</f>
        <v>No</v>
      </c>
      <c r="AJ9" s="5" t="str">
        <f ca="1">IFERROR(__xludf.DUMMYFUNCTION("""COMPUTED_VALUE"""),"No")</f>
        <v>No</v>
      </c>
      <c r="AK9" s="5" t="str">
        <f ca="1">IFERROR(__xludf.DUMMYFUNCTION("""COMPUTED_VALUE"""),"No")</f>
        <v>No</v>
      </c>
      <c r="AL9" s="5" t="str">
        <f ca="1">IFERROR(__xludf.DUMMYFUNCTION("""COMPUTED_VALUE"""),"No")</f>
        <v>No</v>
      </c>
      <c r="AM9" s="5"/>
      <c r="AN9" s="5"/>
      <c r="AO9" s="5"/>
      <c r="AP9" s="5"/>
      <c r="AQ9" s="5" t="str">
        <f ca="1">IFERROR(__xludf.DUMMYFUNCTION("""COMPUTED_VALUE"""),"No")</f>
        <v>No</v>
      </c>
      <c r="AR9" s="5"/>
      <c r="AS9" s="5" t="str">
        <f ca="1">IFERROR(__xludf.DUMMYFUNCTION("""COMPUTED_VALUE"""),"Yes")</f>
        <v>Yes</v>
      </c>
      <c r="AT9" s="5"/>
      <c r="AU9" s="5"/>
    </row>
    <row r="10" spans="1:77" x14ac:dyDescent="0.25">
      <c r="A10" s="5" t="str">
        <f ca="1">IFERROR(__xludf.DUMMYFUNCTION("""COMPUTED_VALUE"""),"Playnet")</f>
        <v>Playnet</v>
      </c>
      <c r="B10" s="5" t="str">
        <f ca="1">IFERROR(__xludf.DUMMYFUNCTION("""COMPUTED_VALUE"""),"Dashing Hot 5")</f>
        <v>Dashing Hot 5</v>
      </c>
      <c r="C10" s="5" t="str">
        <f ca="1">IFERROR(__xludf.DUMMYFUNCTION("""COMPUTED_VALUE"""),"PlayNetDashingHot5")</f>
        <v>PlayNetDashingHot5</v>
      </c>
      <c r="D10" s="6">
        <f ca="1">IFERROR(__xludf.DUMMYFUNCTION("""COMPUTED_VALUE"""),45555)</f>
        <v>45555</v>
      </c>
      <c r="E10" s="5" t="str">
        <f ca="1">IFERROR(__xludf.DUMMYFUNCTION("""COMPUTED_VALUE"""),"Slot")</f>
        <v>Slot</v>
      </c>
      <c r="F10" s="5">
        <f ca="1">IFERROR(__xludf.DUMMYFUNCTION("""COMPUTED_VALUE"""),6.1)</f>
        <v>6.1</v>
      </c>
      <c r="G10" s="5" t="str">
        <f ca="1">IFERROR(__xludf.DUMMYFUNCTION("""COMPUTED_VALUE"""),"5x3")</f>
        <v>5x3</v>
      </c>
      <c r="H10" s="5">
        <f ca="1">IFERROR(__xludf.DUMMYFUNCTION("""COMPUTED_VALUE"""),5)</f>
        <v>5</v>
      </c>
      <c r="I10" s="5">
        <f ca="1">IFERROR(__xludf.DUMMYFUNCTION("""COMPUTED_VALUE"""),5)</f>
        <v>5</v>
      </c>
      <c r="J10" s="5" t="str">
        <f ca="1">IFERROR(__xludf.DUMMYFUNCTION("""COMPUTED_VALUE"""),"95.656%")</f>
        <v>95.656%</v>
      </c>
      <c r="K10" s="5" t="str">
        <f ca="1">IFERROR(__xludf.DUMMYFUNCTION("""COMPUTED_VALUE"""),"Medium")</f>
        <v>Medium</v>
      </c>
      <c r="L10" s="5" t="str">
        <f ca="1">IFERROR(__xludf.DUMMYFUNCTION("""COMPUTED_VALUE"""),"12.489%")</f>
        <v>12.489%</v>
      </c>
      <c r="M10" s="5" t="str">
        <f ca="1">IFERROR(__xludf.DUMMYFUNCTION("""COMPUTED_VALUE"""),"x1000")</f>
        <v>x1000</v>
      </c>
      <c r="N10" s="5" t="str">
        <f ca="1">IFERROR(__xludf.DUMMYFUNCTION("""COMPUTED_VALUE"""),"0.05/30")</f>
        <v>0.05/30</v>
      </c>
      <c r="O10" s="5" t="str">
        <f ca="1">IFERROR(__xludf.DUMMYFUNCTION("""COMPUTED_VALUE"""),"No")</f>
        <v>No</v>
      </c>
      <c r="P10" s="5" t="str">
        <f ca="1">IFERROR(__xludf.DUMMYFUNCTION("""COMPUTED_VALUE"""),"Scatter")</f>
        <v>Scatter</v>
      </c>
      <c r="Q10" s="7" t="str">
        <f ca="1">IFERROR(__xludf.DUMMYFUNCTION("""COMPUTED_VALUE"""),"https://gameserver-store-client-area.orbionlimited.com/Home/IntegrationGameLaunch/client-area?moneyType=0&amp;gameName=PlayNetDashingHot5&amp;platform=desktop&amp;languageCode=eng&amp;currency=EUR")</f>
        <v>https://gameserver-store-client-area.orbionlimited.com/Home/IntegrationGameLaunch/client-area?moneyType=0&amp;gameName=PlayNetDashingHot5&amp;platform=desktop&amp;languageCode=eng&amp;currency=EUR</v>
      </c>
      <c r="R10" s="5" t="str">
        <f ca="1">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S1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 ca="1">IFERROR(__xludf.DUMMYFUNCTION("""COMPUTED_VALUE"""),"Yes")</f>
        <v>Yes</v>
      </c>
      <c r="U10" s="5" t="str">
        <f ca="1">IFERROR(__xludf.DUMMYFUNCTION("""COMPUTED_VALUE"""),"Yes")</f>
        <v>Yes</v>
      </c>
      <c r="V10" s="5" t="str">
        <f ca="1">IFERROR(__xludf.DUMMYFUNCTION("""COMPUTED_VALUE"""),"Yes")</f>
        <v>Yes</v>
      </c>
      <c r="W10" s="5" t="str">
        <f ca="1">IFERROR(__xludf.DUMMYFUNCTION("""COMPUTED_VALUE"""),"No")</f>
        <v>No</v>
      </c>
      <c r="X10" s="5" t="str">
        <f ca="1">IFERROR(__xludf.DUMMYFUNCTION("""COMPUTED_VALUE"""),"No")</f>
        <v>No</v>
      </c>
      <c r="Y10" s="5" t="str">
        <f ca="1">IFERROR(__xludf.DUMMYFUNCTION("""COMPUTED_VALUE"""),"No")</f>
        <v>No</v>
      </c>
      <c r="Z10" s="5" t="str">
        <f ca="1">IFERROR(__xludf.DUMMYFUNCTION("""COMPUTED_VALUE"""),"No")</f>
        <v>No</v>
      </c>
      <c r="AA10" s="5" t="str">
        <f ca="1">IFERROR(__xludf.DUMMYFUNCTION("""COMPUTED_VALUE"""),"No")</f>
        <v>No</v>
      </c>
      <c r="AB10" s="5" t="str">
        <f ca="1">IFERROR(__xludf.DUMMYFUNCTION("""COMPUTED_VALUE"""),"Yes")</f>
        <v>Yes</v>
      </c>
      <c r="AC10" s="5" t="str">
        <f ca="1">IFERROR(__xludf.DUMMYFUNCTION("""COMPUTED_VALUE"""),"Yes")</f>
        <v>Yes</v>
      </c>
      <c r="AD10" s="5" t="str">
        <f ca="1">IFERROR(__xludf.DUMMYFUNCTION("""COMPUTED_VALUE"""),"Yes")</f>
        <v>Yes</v>
      </c>
      <c r="AE10" s="5" t="str">
        <f ca="1">IFERROR(__xludf.DUMMYFUNCTION("""COMPUTED_VALUE"""),"Yes")</f>
        <v>Yes</v>
      </c>
      <c r="AF10" s="5" t="str">
        <f ca="1">IFERROR(__xludf.DUMMYFUNCTION("""COMPUTED_VALUE"""),"Yes")</f>
        <v>Yes</v>
      </c>
      <c r="AG10" s="5" t="str">
        <f ca="1">IFERROR(__xludf.DUMMYFUNCTION("""COMPUTED_VALUE"""),"No")</f>
        <v>No</v>
      </c>
      <c r="AH10" s="5" t="str">
        <f ca="1">IFERROR(__xludf.DUMMYFUNCTION("""COMPUTED_VALUE"""),"Yes")</f>
        <v>Yes</v>
      </c>
      <c r="AI10" s="5" t="str">
        <f ca="1">IFERROR(__xludf.DUMMYFUNCTION("""COMPUTED_VALUE"""),"No")</f>
        <v>No</v>
      </c>
      <c r="AJ10" s="5" t="str">
        <f ca="1">IFERROR(__xludf.DUMMYFUNCTION("""COMPUTED_VALUE"""),"No")</f>
        <v>No</v>
      </c>
      <c r="AK10" s="5" t="str">
        <f ca="1">IFERROR(__xludf.DUMMYFUNCTION("""COMPUTED_VALUE"""),"No")</f>
        <v>No</v>
      </c>
      <c r="AL10" s="5" t="str">
        <f ca="1">IFERROR(__xludf.DUMMYFUNCTION("""COMPUTED_VALUE"""),"No")</f>
        <v>No</v>
      </c>
      <c r="AM10" s="5"/>
      <c r="AN10" s="5"/>
      <c r="AO10" s="5"/>
      <c r="AP10" s="5"/>
      <c r="AQ10" s="5" t="str">
        <f ca="1">IFERROR(__xludf.DUMMYFUNCTION("""COMPUTED_VALUE"""),"No")</f>
        <v>No</v>
      </c>
      <c r="AR10" s="5"/>
      <c r="AS10" s="5"/>
      <c r="AT10" s="5"/>
      <c r="AU10" s="5"/>
    </row>
    <row r="11" spans="1:77" x14ac:dyDescent="0.25">
      <c r="A11" s="5" t="str">
        <f ca="1">IFERROR(__xludf.DUMMYFUNCTION("""COMPUTED_VALUE"""),"Playnet")</f>
        <v>Playnet</v>
      </c>
      <c r="B11" s="5" t="str">
        <f ca="1">IFERROR(__xludf.DUMMYFUNCTION("""COMPUTED_VALUE"""),"Wild Forties")</f>
        <v>Wild Forties</v>
      </c>
      <c r="C11" s="5" t="str">
        <f ca="1">IFERROR(__xludf.DUMMYFUNCTION("""COMPUTED_VALUE"""),"PlayNetWildForties")</f>
        <v>PlayNetWildForties</v>
      </c>
      <c r="D11" s="6">
        <f ca="1">IFERROR(__xludf.DUMMYFUNCTION("""COMPUTED_VALUE"""),45572)</f>
        <v>45572</v>
      </c>
      <c r="E11" s="5" t="str">
        <f ca="1">IFERROR(__xludf.DUMMYFUNCTION("""COMPUTED_VALUE"""),"Slot")</f>
        <v>Slot</v>
      </c>
      <c r="F11" s="5">
        <f ca="1">IFERROR(__xludf.DUMMYFUNCTION("""COMPUTED_VALUE"""),4.4)</f>
        <v>4.4000000000000004</v>
      </c>
      <c r="G11" s="5" t="str">
        <f ca="1">IFERROR(__xludf.DUMMYFUNCTION("""COMPUTED_VALUE"""),"5x4")</f>
        <v>5x4</v>
      </c>
      <c r="H11" s="5">
        <f ca="1">IFERROR(__xludf.DUMMYFUNCTION("""COMPUTED_VALUE"""),40)</f>
        <v>40</v>
      </c>
      <c r="I11" s="5">
        <f ca="1">IFERROR(__xludf.DUMMYFUNCTION("""COMPUTED_VALUE"""),40)</f>
        <v>40</v>
      </c>
      <c r="J11" s="5" t="str">
        <f ca="1">IFERROR(__xludf.DUMMYFUNCTION("""COMPUTED_VALUE"""),"96.382%")</f>
        <v>96.382%</v>
      </c>
      <c r="K11" s="5" t="str">
        <f ca="1">IFERROR(__xludf.DUMMYFUNCTION("""COMPUTED_VALUE"""),"Medium")</f>
        <v>Medium</v>
      </c>
      <c r="L11" s="5" t="str">
        <f ca="1">IFERROR(__xludf.DUMMYFUNCTION("""COMPUTED_VALUE"""),"14.89%")</f>
        <v>14.89%</v>
      </c>
      <c r="M11" s="5" t="str">
        <f ca="1">IFERROR(__xludf.DUMMYFUNCTION("""COMPUTED_VALUE"""),"x1000")</f>
        <v>x1000</v>
      </c>
      <c r="N11" s="5" t="str">
        <f ca="1">IFERROR(__xludf.DUMMYFUNCTION("""COMPUTED_VALUE"""),"0.4/40")</f>
        <v>0.4/40</v>
      </c>
      <c r="O11" s="5" t="str">
        <f ca="1">IFERROR(__xludf.DUMMYFUNCTION("""COMPUTED_VALUE"""),"No")</f>
        <v>No</v>
      </c>
      <c r="P11" s="5" t="str">
        <f ca="1">IFERROR(__xludf.DUMMYFUNCTION("""COMPUTED_VALUE"""),"Wild Symbol, Scatter")</f>
        <v>Wild Symbol, Scatter</v>
      </c>
      <c r="Q11" s="7" t="str">
        <f ca="1">IFERROR(__xludf.DUMMYFUNCTION("""COMPUTED_VALUE"""),"https://gameserver-store-client-area.orbionlimited.com/Home/IntegrationGameLaunch/client-area?moneyType=0&amp;gameName=PlayNetWildForties&amp;platform=desktop&amp;languageCode=eng&amp;currency=EUR")</f>
        <v>https://gameserver-store-client-area.orbionlimited.com/Home/IntegrationGameLaunch/client-area?moneyType=0&amp;gameName=PlayNetWildForties&amp;platform=desktop&amp;languageCode=eng&amp;currency=EUR</v>
      </c>
      <c r="R11" s="5" t="str">
        <f ca="1">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S1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 s="5" t="str">
        <f ca="1">IFERROR(__xludf.DUMMYFUNCTION("""COMPUTED_VALUE"""),"Yes")</f>
        <v>Yes</v>
      </c>
      <c r="U11" s="5" t="str">
        <f ca="1">IFERROR(__xludf.DUMMYFUNCTION("""COMPUTED_VALUE"""),"Yes")</f>
        <v>Yes</v>
      </c>
      <c r="V11" s="5" t="str">
        <f ca="1">IFERROR(__xludf.DUMMYFUNCTION("""COMPUTED_VALUE"""),"No")</f>
        <v>No</v>
      </c>
      <c r="W11" s="5" t="str">
        <f ca="1">IFERROR(__xludf.DUMMYFUNCTION("""COMPUTED_VALUE"""),"Yes")</f>
        <v>Yes</v>
      </c>
      <c r="X11" s="5" t="str">
        <f ca="1">IFERROR(__xludf.DUMMYFUNCTION("""COMPUTED_VALUE"""),"Yes")</f>
        <v>Yes</v>
      </c>
      <c r="Y11" s="5" t="str">
        <f ca="1">IFERROR(__xludf.DUMMYFUNCTION("""COMPUTED_VALUE"""),"Yes")</f>
        <v>Yes</v>
      </c>
      <c r="Z11" s="5" t="str">
        <f ca="1">IFERROR(__xludf.DUMMYFUNCTION("""COMPUTED_VALUE"""),"Yes")</f>
        <v>Yes</v>
      </c>
      <c r="AA11" s="5" t="str">
        <f ca="1">IFERROR(__xludf.DUMMYFUNCTION("""COMPUTED_VALUE"""),"Yes")</f>
        <v>Yes</v>
      </c>
      <c r="AB11" s="5" t="str">
        <f ca="1">IFERROR(__xludf.DUMMYFUNCTION("""COMPUTED_VALUE"""),"Yes")</f>
        <v>Yes</v>
      </c>
      <c r="AC11" s="5" t="str">
        <f ca="1">IFERROR(__xludf.DUMMYFUNCTION("""COMPUTED_VALUE"""),"Yes")</f>
        <v>Yes</v>
      </c>
      <c r="AD11" s="5" t="str">
        <f ca="1">IFERROR(__xludf.DUMMYFUNCTION("""COMPUTED_VALUE"""),"Yes")</f>
        <v>Yes</v>
      </c>
      <c r="AE11" s="5" t="str">
        <f ca="1">IFERROR(__xludf.DUMMYFUNCTION("""COMPUTED_VALUE"""),"Yes")</f>
        <v>Yes</v>
      </c>
      <c r="AF11" s="5" t="str">
        <f ca="1">IFERROR(__xludf.DUMMYFUNCTION("""COMPUTED_VALUE"""),"Yes")</f>
        <v>Yes</v>
      </c>
      <c r="AG11" s="5" t="str">
        <f ca="1">IFERROR(__xludf.DUMMYFUNCTION("""COMPUTED_VALUE"""),"Yes")</f>
        <v>Yes</v>
      </c>
      <c r="AH11" s="5" t="str">
        <f ca="1">IFERROR(__xludf.DUMMYFUNCTION("""COMPUTED_VALUE"""),"Yes")</f>
        <v>Yes</v>
      </c>
      <c r="AI11" s="5" t="str">
        <f ca="1">IFERROR(__xludf.DUMMYFUNCTION("""COMPUTED_VALUE"""),"No")</f>
        <v>No</v>
      </c>
      <c r="AJ11" s="5" t="str">
        <f ca="1">IFERROR(__xludf.DUMMYFUNCTION("""COMPUTED_VALUE"""),"No")</f>
        <v>No</v>
      </c>
      <c r="AK11" s="5" t="str">
        <f ca="1">IFERROR(__xludf.DUMMYFUNCTION("""COMPUTED_VALUE"""),"No")</f>
        <v>No</v>
      </c>
      <c r="AL11" s="5" t="str">
        <f ca="1">IFERROR(__xludf.DUMMYFUNCTION("""COMPUTED_VALUE"""),"No")</f>
        <v>No</v>
      </c>
      <c r="AM11" s="5" t="str">
        <f ca="1">IFERROR(__xludf.DUMMYFUNCTION("""COMPUTED_VALUE"""),"No")</f>
        <v>No</v>
      </c>
      <c r="AN11" s="5" t="str">
        <f ca="1">IFERROR(__xludf.DUMMYFUNCTION("""COMPUTED_VALUE"""),"No")</f>
        <v>No</v>
      </c>
      <c r="AO11" s="5" t="str">
        <f ca="1">IFERROR(__xludf.DUMMYFUNCTION("""COMPUTED_VALUE"""),"No")</f>
        <v>No</v>
      </c>
      <c r="AP11" s="5" t="str">
        <f ca="1">IFERROR(__xludf.DUMMYFUNCTION("""COMPUTED_VALUE"""),"No")</f>
        <v>No</v>
      </c>
      <c r="AQ11" s="5" t="str">
        <f ca="1">IFERROR(__xludf.DUMMYFUNCTION("""COMPUTED_VALUE"""),"No")</f>
        <v>No</v>
      </c>
      <c r="AR11" s="5" t="str">
        <f ca="1">IFERROR(__xludf.DUMMYFUNCTION("""COMPUTED_VALUE"""),"No")</f>
        <v>No</v>
      </c>
      <c r="AS11" s="5" t="str">
        <f ca="1">IFERROR(__xludf.DUMMYFUNCTION("""COMPUTED_VALUE"""),"Yes")</f>
        <v>Yes</v>
      </c>
      <c r="AT11" s="5" t="str">
        <f ca="1">IFERROR(__xludf.DUMMYFUNCTION("""COMPUTED_VALUE"""),"No")</f>
        <v>No</v>
      </c>
      <c r="AU11" s="5"/>
    </row>
    <row r="12" spans="1:77" x14ac:dyDescent="0.25">
      <c r="A12" s="5" t="str">
        <f ca="1">IFERROR(__xludf.DUMMYFUNCTION("""COMPUTED_VALUE"""),"Playnet")</f>
        <v>Playnet</v>
      </c>
      <c r="B12" s="5" t="str">
        <f ca="1">IFERROR(__xludf.DUMMYFUNCTION("""COMPUTED_VALUE"""),"Book Of Amun")</f>
        <v>Book Of Amun</v>
      </c>
      <c r="C12" s="5" t="str">
        <f ca="1">IFERROR(__xludf.DUMMYFUNCTION("""COMPUTED_VALUE"""),"PlayNetBookOfAmun")</f>
        <v>PlayNetBookOfAmun</v>
      </c>
      <c r="D12" s="6">
        <f ca="1">IFERROR(__xludf.DUMMYFUNCTION("""COMPUTED_VALUE"""),45590)</f>
        <v>45590</v>
      </c>
      <c r="E12" s="5" t="str">
        <f ca="1">IFERROR(__xludf.DUMMYFUNCTION("""COMPUTED_VALUE"""),"Slot")</f>
        <v>Slot</v>
      </c>
      <c r="F12" s="5">
        <f ca="1">IFERROR(__xludf.DUMMYFUNCTION("""COMPUTED_VALUE"""),10)</f>
        <v>10</v>
      </c>
      <c r="G12" s="5" t="str">
        <f ca="1">IFERROR(__xludf.DUMMYFUNCTION("""COMPUTED_VALUE"""),"5x3")</f>
        <v>5x3</v>
      </c>
      <c r="H12" s="5">
        <f ca="1">IFERROR(__xludf.DUMMYFUNCTION("""COMPUTED_VALUE"""),10)</f>
        <v>10</v>
      </c>
      <c r="I12" s="5">
        <f ca="1">IFERROR(__xludf.DUMMYFUNCTION("""COMPUTED_VALUE"""),10)</f>
        <v>10</v>
      </c>
      <c r="J12" s="5" t="str">
        <f ca="1">IFERROR(__xludf.DUMMYFUNCTION("""COMPUTED_VALUE"""),"96.064%")</f>
        <v>96.064%</v>
      </c>
      <c r="K12" s="5" t="str">
        <f ca="1">IFERROR(__xludf.DUMMYFUNCTION("""COMPUTED_VALUE"""),"High")</f>
        <v>High</v>
      </c>
      <c r="L12" s="5" t="str">
        <f ca="1">IFERROR(__xludf.DUMMYFUNCTION("""COMPUTED_VALUE"""),"31.467%")</f>
        <v>31.467%</v>
      </c>
      <c r="M12" s="5" t="str">
        <f ca="1">IFERROR(__xludf.DUMMYFUNCTION("""COMPUTED_VALUE"""),"x5512")</f>
        <v>x5512</v>
      </c>
      <c r="N12" s="5" t="str">
        <f ca="1">IFERROR(__xludf.DUMMYFUNCTION("""COMPUTED_VALUE"""),"0.01/40")</f>
        <v>0.01/40</v>
      </c>
      <c r="O12" s="5" t="str">
        <f ca="1">IFERROR(__xludf.DUMMYFUNCTION("""COMPUTED_VALUE"""),"No")</f>
        <v>No</v>
      </c>
      <c r="P12" s="5" t="str">
        <f ca="1">IFERROR(__xludf.DUMMYFUNCTION("""COMPUTED_VALUE"""),"Bonus Game with Free Spins, Book Of Game, Wild Symbol, Scatter")</f>
        <v>Bonus Game with Free Spins, Book Of Game, Wild Symbol, Scatter</v>
      </c>
      <c r="Q12" s="7" t="str">
        <f ca="1">IFERROR(__xludf.DUMMYFUNCTION("""COMPUTED_VALUE"""),"https://gameserver-store-client-area.orbionlimited.com/Home/IntegrationGameLaunch/client-area?moneyType=0&amp;gameName=PlayNetBookOfAmun&amp;platform=desktop&amp;languageCode=eng&amp;currency=EUR")</f>
        <v>https://gameserver-store-client-area.orbionlimited.com/Home/IntegrationGameLaunch/client-area?moneyType=0&amp;gameName=PlayNetBookOfAmun&amp;platform=desktop&amp;languageCode=eng&amp;currency=EUR</v>
      </c>
      <c r="R12" s="5" t="str">
        <f ca="1">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S1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IFERROR(__xludf.DUMMYFUNCTION("""COMPUTED_VALUE"""),"Yes")</f>
        <v>Yes</v>
      </c>
      <c r="X12" s="5" t="str">
        <f ca="1">IFERROR(__xludf.DUMMYFUNCTION("""COMPUTED_VALUE"""),"Yes")</f>
        <v>Yes</v>
      </c>
      <c r="Y12" s="5" t="str">
        <f ca="1">IFERROR(__xludf.DUMMYFUNCTION("""COMPUTED_VALUE"""),"Yes")</f>
        <v>Yes</v>
      </c>
      <c r="Z12" s="5" t="str">
        <f ca="1">IFERROR(__xludf.DUMMYFUNCTION("""COMPUTED_VALUE"""),"Yes")</f>
        <v>Yes</v>
      </c>
      <c r="AA12" s="5" t="str">
        <f ca="1">IFERROR(__xludf.DUMMYFUNCTION("""COMPUTED_VALUE"""),"Yes")</f>
        <v>Yes</v>
      </c>
      <c r="AB12" s="5" t="str">
        <f ca="1">IFERROR(__xludf.DUMMYFUNCTION("""COMPUTED_VALUE"""),"Yes")</f>
        <v>Yes</v>
      </c>
      <c r="AC12" s="5" t="str">
        <f ca="1">IFERROR(__xludf.DUMMYFUNCTION("""COMPUTED_VALUE"""),"Yes")</f>
        <v>Yes</v>
      </c>
      <c r="AD12" s="5" t="str">
        <f ca="1">IFERROR(__xludf.DUMMYFUNCTION("""COMPUTED_VALUE"""),"Yes")</f>
        <v>Yes</v>
      </c>
      <c r="AE12" s="5" t="str">
        <f ca="1">IFERROR(__xludf.DUMMYFUNCTION("""COMPUTED_VALUE"""),"Yes")</f>
        <v>Yes</v>
      </c>
      <c r="AF12" s="5" t="str">
        <f ca="1">IFERROR(__xludf.DUMMYFUNCTION("""COMPUTED_VALUE"""),"Yes")</f>
        <v>Yes</v>
      </c>
      <c r="AG12" s="5" t="str">
        <f ca="1">IFERROR(__xludf.DUMMYFUNCTION("""COMPUTED_VALUE"""),"Yes")</f>
        <v>Yes</v>
      </c>
      <c r="AH12" s="5" t="str">
        <f ca="1">IFERROR(__xludf.DUMMYFUNCTION("""COMPUTED_VALUE"""),"Yes")</f>
        <v>Yes</v>
      </c>
      <c r="AI12" s="5" t="str">
        <f ca="1">IFERROR(__xludf.DUMMYFUNCTION("""COMPUTED_VALUE"""),"No")</f>
        <v>No</v>
      </c>
      <c r="AJ12" s="5" t="str">
        <f ca="1">IFERROR(__xludf.DUMMYFUNCTION("""COMPUTED_VALUE"""),"No")</f>
        <v>No</v>
      </c>
      <c r="AK12" s="5" t="str">
        <f ca="1">IFERROR(__xludf.DUMMYFUNCTION("""COMPUTED_VALUE"""),"No")</f>
        <v>No</v>
      </c>
      <c r="AL12" s="5" t="str">
        <f ca="1">IFERROR(__xludf.DUMMYFUNCTION("""COMPUTED_VALUE"""),"No")</f>
        <v>No</v>
      </c>
      <c r="AM12" s="5"/>
      <c r="AN12" s="5"/>
      <c r="AO12" s="5"/>
      <c r="AP12" s="5"/>
      <c r="AQ12" s="5" t="str">
        <f ca="1">IFERROR(__xludf.DUMMYFUNCTION("""COMPUTED_VALUE"""),"No")</f>
        <v>No</v>
      </c>
      <c r="AR12" s="5"/>
      <c r="AS12" s="5" t="str">
        <f ca="1">IFERROR(__xludf.DUMMYFUNCTION("""COMPUTED_VALUE"""),"Yes")</f>
        <v>Yes</v>
      </c>
      <c r="AT12" s="5"/>
      <c r="AU12" s="5"/>
    </row>
    <row r="13" spans="1:77" x14ac:dyDescent="0.25">
      <c r="A13" s="5" t="str">
        <f ca="1">IFERROR(__xludf.DUMMYFUNCTION("""COMPUTED_VALUE"""),"Playnet")</f>
        <v>Playnet</v>
      </c>
      <c r="B13" s="5" t="str">
        <f ca="1">IFERROR(__xludf.DUMMYFUNCTION("""COMPUTED_VALUE"""),"27 Wild Stacks Xmas")</f>
        <v>27 Wild Stacks Xmas</v>
      </c>
      <c r="C13" s="5" t="str">
        <f ca="1">IFERROR(__xludf.DUMMYFUNCTION("""COMPUTED_VALUE"""),"PlayNet27WildStacksXmas")</f>
        <v>PlayNet27WildStacksXmas</v>
      </c>
      <c r="D13" s="6">
        <f ca="1">IFERROR(__xludf.DUMMYFUNCTION("""COMPUTED_VALUE"""),45617)</f>
        <v>45617</v>
      </c>
      <c r="E13" s="5" t="str">
        <f ca="1">IFERROR(__xludf.DUMMYFUNCTION("""COMPUTED_VALUE"""),"Slot")</f>
        <v>Slot</v>
      </c>
      <c r="F13" s="5">
        <f ca="1">IFERROR(__xludf.DUMMYFUNCTION("""COMPUTED_VALUE"""),6.3)</f>
        <v>6.3</v>
      </c>
      <c r="G13" s="5" t="str">
        <f ca="1">IFERROR(__xludf.DUMMYFUNCTION("""COMPUTED_VALUE"""),"3x3")</f>
        <v>3x3</v>
      </c>
      <c r="H13" s="5">
        <f ca="1">IFERROR(__xludf.DUMMYFUNCTION("""COMPUTED_VALUE"""),27)</f>
        <v>27</v>
      </c>
      <c r="I13" s="5">
        <f ca="1">IFERROR(__xludf.DUMMYFUNCTION("""COMPUTED_VALUE"""),27)</f>
        <v>27</v>
      </c>
      <c r="J13" s="5" t="str">
        <f ca="1">IFERROR(__xludf.DUMMYFUNCTION("""COMPUTED_VALUE"""),"96.24%")</f>
        <v>96.24%</v>
      </c>
      <c r="K13" s="5" t="str">
        <f ca="1">IFERROR(__xludf.DUMMYFUNCTION("""COMPUTED_VALUE"""),"Low")</f>
        <v>Low</v>
      </c>
      <c r="L13" s="5" t="str">
        <f ca="1">IFERROR(__xludf.DUMMYFUNCTION("""COMPUTED_VALUE"""),"6.58%")</f>
        <v>6.58%</v>
      </c>
      <c r="M13" s="5" t="str">
        <f ca="1">IFERROR(__xludf.DUMMYFUNCTION("""COMPUTED_VALUE"""),"x108")</f>
        <v>x108</v>
      </c>
      <c r="N13" s="5" t="str">
        <f ca="1">IFERROR(__xludf.DUMMYFUNCTION("""COMPUTED_VALUE"""),"0.01/50")</f>
        <v>0.01/50</v>
      </c>
      <c r="O13" s="5" t="str">
        <f ca="1">IFERROR(__xludf.DUMMYFUNCTION("""COMPUTED_VALUE"""),"No")</f>
        <v>No</v>
      </c>
      <c r="P13" s="5" t="str">
        <f ca="1">IFERROR(__xludf.DUMMYFUNCTION("""COMPUTED_VALUE"""),"Win Multiplier")</f>
        <v>Win Multiplier</v>
      </c>
      <c r="Q13" s="7" t="str">
        <f ca="1">IFERROR(__xludf.DUMMYFUNCTION("""COMPUTED_VALUE"""),"https://gameserver-store-client-area.orbionlimited.com/Home/IntegrationGameLaunch/client-area?moneyType=0&amp;gameName=PlayNet27WildStacksXmas&amp;platform=desktop&amp;languageCode=eng&amp;currency=EUR")</f>
        <v>https://gameserver-store-client-area.orbionlimited.com/Home/IntegrationGameLaunch/client-area?moneyType=0&amp;gameName=PlayNet27WildStacksXmas&amp;platform=desktop&amp;languageCode=eng&amp;currency=EUR</v>
      </c>
      <c r="R13" s="5" t="str">
        <f ca="1">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S1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IFERROR(__xludf.DUMMYFUNCTION("""COMPUTED_VALUE"""),"Yes")</f>
        <v>Yes</v>
      </c>
      <c r="X13" s="5" t="str">
        <f ca="1">IFERROR(__xludf.DUMMYFUNCTION("""COMPUTED_VALUE"""),"Yes")</f>
        <v>Yes</v>
      </c>
      <c r="Y13" s="5" t="str">
        <f ca="1">IFERROR(__xludf.DUMMYFUNCTION("""COMPUTED_VALUE"""),"Yes")</f>
        <v>Yes</v>
      </c>
      <c r="Z13" s="5" t="str">
        <f ca="1">IFERROR(__xludf.DUMMYFUNCTION("""COMPUTED_VALUE"""),"Yes")</f>
        <v>Yes</v>
      </c>
      <c r="AA13" s="5" t="str">
        <f ca="1">IFERROR(__xludf.DUMMYFUNCTION("""COMPUTED_VALUE"""),"Yes")</f>
        <v>Yes</v>
      </c>
      <c r="AB13" s="5" t="str">
        <f ca="1">IFERROR(__xludf.DUMMYFUNCTION("""COMPUTED_VALUE"""),"Yes")</f>
        <v>Yes</v>
      </c>
      <c r="AC13" s="5" t="str">
        <f ca="1">IFERROR(__xludf.DUMMYFUNCTION("""COMPUTED_VALUE"""),"Yes")</f>
        <v>Yes</v>
      </c>
      <c r="AD13" s="5" t="str">
        <f ca="1">IFERROR(__xludf.DUMMYFUNCTION("""COMPUTED_VALUE"""),"Yes")</f>
        <v>Yes</v>
      </c>
      <c r="AE13" s="5" t="str">
        <f ca="1">IFERROR(__xludf.DUMMYFUNCTION("""COMPUTED_VALUE"""),"Yes")</f>
        <v>Yes</v>
      </c>
      <c r="AF13" s="5" t="str">
        <f ca="1">IFERROR(__xludf.DUMMYFUNCTION("""COMPUTED_VALUE"""),"Yes")</f>
        <v>Yes</v>
      </c>
      <c r="AG13" s="5" t="str">
        <f ca="1">IFERROR(__xludf.DUMMYFUNCTION("""COMPUTED_VALUE"""),"Yes")</f>
        <v>Yes</v>
      </c>
      <c r="AH13" s="5" t="str">
        <f ca="1">IFERROR(__xludf.DUMMYFUNCTION("""COMPUTED_VALUE"""),"Yes")</f>
        <v>Yes</v>
      </c>
      <c r="AI13" s="5" t="str">
        <f ca="1">IFERROR(__xludf.DUMMYFUNCTION("""COMPUTED_VALUE"""),"No")</f>
        <v>No</v>
      </c>
      <c r="AJ13" s="5" t="str">
        <f ca="1">IFERROR(__xludf.DUMMYFUNCTION("""COMPUTED_VALUE"""),"No")</f>
        <v>No</v>
      </c>
      <c r="AK13" s="5" t="str">
        <f ca="1">IFERROR(__xludf.DUMMYFUNCTION("""COMPUTED_VALUE"""),"No")</f>
        <v>No</v>
      </c>
      <c r="AL13" s="5" t="str">
        <f ca="1">IFERROR(__xludf.DUMMYFUNCTION("""COMPUTED_VALUE"""),"No")</f>
        <v>No</v>
      </c>
      <c r="AM13" s="5" t="str">
        <f ca="1">IFERROR(__xludf.DUMMYFUNCTION("""COMPUTED_VALUE"""),"No")</f>
        <v>No</v>
      </c>
      <c r="AN13" s="5" t="str">
        <f ca="1">IFERROR(__xludf.DUMMYFUNCTION("""COMPUTED_VALUE"""),"No")</f>
        <v>No</v>
      </c>
      <c r="AO13" s="5" t="str">
        <f ca="1">IFERROR(__xludf.DUMMYFUNCTION("""COMPUTED_VALUE"""),"No")</f>
        <v>No</v>
      </c>
      <c r="AP13" s="5" t="str">
        <f ca="1">IFERROR(__xludf.DUMMYFUNCTION("""COMPUTED_VALUE"""),"No")</f>
        <v>No</v>
      </c>
      <c r="AQ13" s="5" t="str">
        <f ca="1">IFERROR(__xludf.DUMMYFUNCTION("""COMPUTED_VALUE"""),"No")</f>
        <v>No</v>
      </c>
      <c r="AR13" s="5" t="str">
        <f ca="1">IFERROR(__xludf.DUMMYFUNCTION("""COMPUTED_VALUE"""),"No")</f>
        <v>No</v>
      </c>
      <c r="AS13" s="5" t="str">
        <f ca="1">IFERROR(__xludf.DUMMYFUNCTION("""COMPUTED_VALUE"""),"Yes")</f>
        <v>Yes</v>
      </c>
      <c r="AT13" s="5" t="str">
        <f ca="1">IFERROR(__xludf.DUMMYFUNCTION("""COMPUTED_VALUE"""),"No")</f>
        <v>No</v>
      </c>
      <c r="AU13" s="5"/>
    </row>
    <row r="14" spans="1:77" x14ac:dyDescent="0.25">
      <c r="A14" s="5" t="str">
        <f ca="1">IFERROR(__xludf.DUMMYFUNCTION("""COMPUTED_VALUE"""),"Playnet")</f>
        <v>Playnet</v>
      </c>
      <c r="B14" s="5" t="str">
        <f ca="1">IFERROR(__xludf.DUMMYFUNCTION("""COMPUTED_VALUE"""),"Majestic Crown 20 Xmas")</f>
        <v>Majestic Crown 20 Xmas</v>
      </c>
      <c r="C14" s="5" t="str">
        <f ca="1">IFERROR(__xludf.DUMMYFUNCTION("""COMPUTED_VALUE"""),"PlayNetMajesticCrown20Xmas")</f>
        <v>PlayNetMajesticCrown20Xmas</v>
      </c>
      <c r="D14" s="6">
        <f ca="1">IFERROR(__xludf.DUMMYFUNCTION("""COMPUTED_VALUE"""),45629)</f>
        <v>45629</v>
      </c>
      <c r="E14" s="5" t="str">
        <f ca="1">IFERROR(__xludf.DUMMYFUNCTION("""COMPUTED_VALUE"""),"Slot")</f>
        <v>Slot</v>
      </c>
      <c r="F14" s="5">
        <f ca="1">IFERROR(__xludf.DUMMYFUNCTION("""COMPUTED_VALUE"""),7.5)</f>
        <v>7.5</v>
      </c>
      <c r="G14" s="5" t="str">
        <f ca="1">IFERROR(__xludf.DUMMYFUNCTION("""COMPUTED_VALUE"""),"5x3")</f>
        <v>5x3</v>
      </c>
      <c r="H14" s="5">
        <f ca="1">IFERROR(__xludf.DUMMYFUNCTION("""COMPUTED_VALUE"""),20)</f>
        <v>20</v>
      </c>
      <c r="I14" s="5">
        <f ca="1">IFERROR(__xludf.DUMMYFUNCTION("""COMPUTED_VALUE"""),20)</f>
        <v>20</v>
      </c>
      <c r="J14" s="5" t="str">
        <f ca="1">IFERROR(__xludf.DUMMYFUNCTION("""COMPUTED_VALUE"""),"96.5%")</f>
        <v>96.5%</v>
      </c>
      <c r="K14" s="5" t="str">
        <f ca="1">IFERROR(__xludf.DUMMYFUNCTION("""COMPUTED_VALUE"""),"Medium")</f>
        <v>Medium</v>
      </c>
      <c r="L14" s="5" t="str">
        <f ca="1">IFERROR(__xludf.DUMMYFUNCTION("""COMPUTED_VALUE"""),"21.75%")</f>
        <v>21.75%</v>
      </c>
      <c r="M14" s="5" t="str">
        <f ca="1">IFERROR(__xludf.DUMMYFUNCTION("""COMPUTED_VALUE"""),"x1200")</f>
        <v>x1200</v>
      </c>
      <c r="N14" s="5" t="str">
        <f ca="1">IFERROR(__xludf.DUMMYFUNCTION("""COMPUTED_VALUE"""),"0.20/100")</f>
        <v>0.20/100</v>
      </c>
      <c r="O14" s="5" t="str">
        <f ca="1">IFERROR(__xludf.DUMMYFUNCTION("""COMPUTED_VALUE"""),"No")</f>
        <v>No</v>
      </c>
      <c r="P14" s="5" t="str">
        <f ca="1">IFERROR(__xludf.DUMMYFUNCTION("""COMPUTED_VALUE"""),"Expanding Wild, Scatter")</f>
        <v>Expanding Wild, Scatter</v>
      </c>
      <c r="Q14" s="7" t="str">
        <f ca="1">IFERROR(__xludf.DUMMYFUNCTION("""COMPUTED_VALUE"""),"https://gameserver-store-client-area.orbionlimited.com/Home/IntegrationGameLaunch/client-area?moneyType=0&amp;gameName=PlayNetMajesticCrown20Xmas&amp;platform=desktop&amp;languageCode=eng&amp;currency=EUR")</f>
        <v>https://gameserver-store-client-area.orbionlimited.com/Home/IntegrationGameLaunch/client-area?moneyType=0&amp;gameName=PlayNetMajesticCrown20Xmas&amp;platform=desktop&amp;languageCode=eng&amp;currency=EUR</v>
      </c>
      <c r="R14" s="5" t="str">
        <f ca="1">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S14" s="5" t="str">
        <f ca="1">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IFERROR(__xludf.DUMMYFUNCTION("""COMPUTED_VALUE"""),"Yes")</f>
        <v>Yes</v>
      </c>
      <c r="AF14" s="5" t="str">
        <f ca="1">IFERROR(__xludf.DUMMYFUNCTION("""COMPUTED_VALUE"""),"Yes")</f>
        <v>Yes</v>
      </c>
      <c r="AG14" s="5" t="str">
        <f ca="1">IFERROR(__xludf.DUMMYFUNCTION("""COMPUTED_VALUE"""),"No")</f>
        <v>No</v>
      </c>
      <c r="AH14" s="5" t="str">
        <f ca="1">IFERROR(__xludf.DUMMYFUNCTION("""COMPUTED_VALUE"""),"Yes")</f>
        <v>Yes</v>
      </c>
      <c r="AI14" s="5" t="str">
        <f ca="1">IFERROR(__xludf.DUMMYFUNCTION("""COMPUTED_VALUE"""),"No")</f>
        <v>No</v>
      </c>
      <c r="AJ14" s="5" t="str">
        <f ca="1">IFERROR(__xludf.DUMMYFUNCTION("""COMPUTED_VALUE"""),"No")</f>
        <v>No</v>
      </c>
      <c r="AK14" s="5" t="str">
        <f ca="1">IFERROR(__xludf.DUMMYFUNCTION("""COMPUTED_VALUE"""),"No")</f>
        <v>No</v>
      </c>
      <c r="AL14" s="5" t="str">
        <f ca="1">IFERROR(__xludf.DUMMYFUNCTION("""COMPUTED_VALUE"""),"No")</f>
        <v>No</v>
      </c>
      <c r="AM14" s="5"/>
      <c r="AN14" s="5"/>
      <c r="AO14" s="5" t="str">
        <f ca="1">IFERROR(__xludf.DUMMYFUNCTION("""COMPUTED_VALUE"""),"No")</f>
        <v>No</v>
      </c>
      <c r="AP14" s="5"/>
      <c r="AQ14" s="5" t="str">
        <f ca="1">IFERROR(__xludf.DUMMYFUNCTION("""COMPUTED_VALUE"""),"No")</f>
        <v>No</v>
      </c>
      <c r="AR14" s="5"/>
      <c r="AS14" s="5" t="str">
        <f ca="1">IFERROR(__xludf.DUMMYFUNCTION("""COMPUTED_VALUE"""),"Yes")</f>
        <v>Yes</v>
      </c>
      <c r="AT14" s="5" t="str">
        <f ca="1">IFERROR(__xludf.DUMMYFUNCTION("""COMPUTED_VALUE"""),"Yes")</f>
        <v>Yes</v>
      </c>
      <c r="AU14" s="5"/>
    </row>
    <row r="15" spans="1:77" x14ac:dyDescent="0.25">
      <c r="A15" s="5" t="str">
        <f ca="1">IFERROR(__xludf.DUMMYFUNCTION("""COMPUTED_VALUE"""),"Playnet")</f>
        <v>Playnet</v>
      </c>
      <c r="B15" s="5" t="str">
        <f ca="1">IFERROR(__xludf.DUMMYFUNCTION("""COMPUTED_VALUE"""),"Wild Forties Xmas")</f>
        <v>Wild Forties Xmas</v>
      </c>
      <c r="C15" s="5" t="str">
        <f ca="1">IFERROR(__xludf.DUMMYFUNCTION("""COMPUTED_VALUE"""),"PlayNetWildFortiesXmas")</f>
        <v>PlayNetWildFortiesXmas</v>
      </c>
      <c r="D15" s="6">
        <f ca="1">IFERROR(__xludf.DUMMYFUNCTION("""COMPUTED_VALUE"""),45645)</f>
        <v>45645</v>
      </c>
      <c r="E15" s="5" t="str">
        <f ca="1">IFERROR(__xludf.DUMMYFUNCTION("""COMPUTED_VALUE"""),"Slot")</f>
        <v>Slot</v>
      </c>
      <c r="F15" s="5">
        <f ca="1">IFERROR(__xludf.DUMMYFUNCTION("""COMPUTED_VALUE"""),6.8)</f>
        <v>6.8</v>
      </c>
      <c r="G15" s="5" t="str">
        <f ca="1">IFERROR(__xludf.DUMMYFUNCTION("""COMPUTED_VALUE"""),"5x4")</f>
        <v>5x4</v>
      </c>
      <c r="H15" s="5">
        <f ca="1">IFERROR(__xludf.DUMMYFUNCTION("""COMPUTED_VALUE"""),40)</f>
        <v>40</v>
      </c>
      <c r="I15" s="5">
        <f ca="1">IFERROR(__xludf.DUMMYFUNCTION("""COMPUTED_VALUE"""),40)</f>
        <v>40</v>
      </c>
      <c r="J15" s="5" t="str">
        <f ca="1">IFERROR(__xludf.DUMMYFUNCTION("""COMPUTED_VALUE"""),"96.382%")</f>
        <v>96.382%</v>
      </c>
      <c r="K15" s="5" t="str">
        <f ca="1">IFERROR(__xludf.DUMMYFUNCTION("""COMPUTED_VALUE"""),"Medium")</f>
        <v>Medium</v>
      </c>
      <c r="L15" s="5" t="str">
        <f ca="1">IFERROR(__xludf.DUMMYFUNCTION("""COMPUTED_VALUE"""),"14.89%")</f>
        <v>14.89%</v>
      </c>
      <c r="M15" s="5" t="str">
        <f ca="1">IFERROR(__xludf.DUMMYFUNCTION("""COMPUTED_VALUE"""),"x1000")</f>
        <v>x1000</v>
      </c>
      <c r="N15" s="5" t="str">
        <f ca="1">IFERROR(__xludf.DUMMYFUNCTION("""COMPUTED_VALUE"""),"0.4/40")</f>
        <v>0.4/40</v>
      </c>
      <c r="O15" s="5" t="str">
        <f ca="1">IFERROR(__xludf.DUMMYFUNCTION("""COMPUTED_VALUE"""),"No")</f>
        <v>No</v>
      </c>
      <c r="P15" s="5" t="str">
        <f ca="1">IFERROR(__xludf.DUMMYFUNCTION("""COMPUTED_VALUE"""),"Wild Symbol, Scatter")</f>
        <v>Wild Symbol, Scatter</v>
      </c>
      <c r="Q15" s="7" t="str">
        <f ca="1">IFERROR(__xludf.DUMMYFUNCTION("""COMPUTED_VALUE"""),"https://gameserver-store-client-area.orbionlimited.com/Home/IntegrationGameLaunch/client-area?moneyType=0&amp;gameName=PlayNetWildFortiesXmas&amp;platform=desktop&amp;languageCode=eng&amp;currency=EUR")</f>
        <v>https://gameserver-store-client-area.orbionlimited.com/Home/IntegrationGameLaunch/client-area?moneyType=0&amp;gameName=PlayNetWildFortiesXmas&amp;platform=desktop&amp;languageCode=eng&amp;currency=EUR</v>
      </c>
      <c r="R15" s="5" t="str">
        <f ca="1">IFERROR(__xludf.DUMMYFUNCTION("""COMPUTED_VALUE"""),"Spin the reels and unwrap timeless fun, where every spin brings you closer to festive surprises and juicy rewards!")</f>
        <v>Spin the reels and unwrap timeless fun, where every spin brings you closer to festive surprises and juicy rewards!</v>
      </c>
      <c r="S15" s="5" t="str">
        <f ca="1">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IFERROR(__xludf.DUMMYFUNCTION("""COMPUTED_VALUE"""),"Yes")</f>
        <v>Yes</v>
      </c>
      <c r="AF15" s="5" t="str">
        <f ca="1">IFERROR(__xludf.DUMMYFUNCTION("""COMPUTED_VALUE"""),"Yes")</f>
        <v>Yes</v>
      </c>
      <c r="AG15" s="5" t="str">
        <f ca="1">IFERROR(__xludf.DUMMYFUNCTION("""COMPUTED_VALUE"""),"No")</f>
        <v>No</v>
      </c>
      <c r="AH15" s="5" t="str">
        <f ca="1">IFERROR(__xludf.DUMMYFUNCTION("""COMPUTED_VALUE"""),"Yes")</f>
        <v>Yes</v>
      </c>
      <c r="AI15" s="5" t="str">
        <f ca="1">IFERROR(__xludf.DUMMYFUNCTION("""COMPUTED_VALUE"""),"No")</f>
        <v>No</v>
      </c>
      <c r="AJ15" s="5" t="str">
        <f ca="1">IFERROR(__xludf.DUMMYFUNCTION("""COMPUTED_VALUE"""),"No")</f>
        <v>No</v>
      </c>
      <c r="AK15" s="5" t="str">
        <f ca="1">IFERROR(__xludf.DUMMYFUNCTION("""COMPUTED_VALUE"""),"No")</f>
        <v>No</v>
      </c>
      <c r="AL15" s="5" t="str">
        <f ca="1">IFERROR(__xludf.DUMMYFUNCTION("""COMPUTED_VALUE"""),"No")</f>
        <v>No</v>
      </c>
      <c r="AM15" s="5"/>
      <c r="AN15" s="5"/>
      <c r="AO15" s="5" t="str">
        <f ca="1">IFERROR(__xludf.DUMMYFUNCTION("""COMPUTED_VALUE"""),"No")</f>
        <v>No</v>
      </c>
      <c r="AP15" s="5"/>
      <c r="AQ15" s="5" t="str">
        <f ca="1">IFERROR(__xludf.DUMMYFUNCTION("""COMPUTED_VALUE"""),"No")</f>
        <v>No</v>
      </c>
      <c r="AR15" s="5"/>
      <c r="AS15" s="5" t="str">
        <f ca="1">IFERROR(__xludf.DUMMYFUNCTION("""COMPUTED_VALUE"""),"Yes")</f>
        <v>Yes</v>
      </c>
      <c r="AT15" s="5" t="str">
        <f ca="1">IFERROR(__xludf.DUMMYFUNCTION("""COMPUTED_VALUE"""),"Yes")</f>
        <v>Yes</v>
      </c>
      <c r="AU15" s="5"/>
    </row>
    <row r="16" spans="1:77" x14ac:dyDescent="0.25">
      <c r="A16" s="5" t="str">
        <f ca="1">IFERROR(__xludf.DUMMYFUNCTION("""COMPUTED_VALUE"""),"Playnet")</f>
        <v>Playnet</v>
      </c>
      <c r="B16" s="5" t="str">
        <f ca="1">IFERROR(__xludf.DUMMYFUNCTION("""COMPUTED_VALUE"""),"Fortune Clover x2")</f>
        <v>Fortune Clover x2</v>
      </c>
      <c r="C16" s="5" t="str">
        <f ca="1">IFERROR(__xludf.DUMMYFUNCTION("""COMPUTED_VALUE"""),"PlayNetFortuneCloverX2")</f>
        <v>PlayNetFortuneCloverX2</v>
      </c>
      <c r="D16" s="6">
        <f ca="1">IFERROR(__xludf.DUMMYFUNCTION("""COMPUTED_VALUE"""),45685)</f>
        <v>45685</v>
      </c>
      <c r="E16" s="5" t="str">
        <f ca="1">IFERROR(__xludf.DUMMYFUNCTION("""COMPUTED_VALUE"""),"Slot")</f>
        <v>Slot</v>
      </c>
      <c r="F16" s="5">
        <f ca="1">IFERROR(__xludf.DUMMYFUNCTION("""COMPUTED_VALUE"""),7)</f>
        <v>7</v>
      </c>
      <c r="G16" s="5" t="str">
        <f ca="1">IFERROR(__xludf.DUMMYFUNCTION("""COMPUTED_VALUE"""),"5x3")</f>
        <v>5x3</v>
      </c>
      <c r="H16" s="5">
        <f ca="1">IFERROR(__xludf.DUMMYFUNCTION("""COMPUTED_VALUE"""),5)</f>
        <v>5</v>
      </c>
      <c r="I16" s="5">
        <f ca="1">IFERROR(__xludf.DUMMYFUNCTION("""COMPUTED_VALUE"""),5)</f>
        <v>5</v>
      </c>
      <c r="J16" s="5" t="str">
        <f ca="1">IFERROR(__xludf.DUMMYFUNCTION("""COMPUTED_VALUE"""),"96.453%")</f>
        <v>96.453%</v>
      </c>
      <c r="K16" s="5" t="str">
        <f ca="1">IFERROR(__xludf.DUMMYFUNCTION("""COMPUTED_VALUE"""),"Medium")</f>
        <v>Medium</v>
      </c>
      <c r="L16" s="5" t="str">
        <f ca="1">IFERROR(__xludf.DUMMYFUNCTION("""COMPUTED_VALUE"""),"14.234%")</f>
        <v>14.234%</v>
      </c>
      <c r="M16" s="5" t="str">
        <f ca="1">IFERROR(__xludf.DUMMYFUNCTION("""COMPUTED_VALUE"""),"x2624")</f>
        <v>x2624</v>
      </c>
      <c r="N16" s="5" t="str">
        <f ca="1">IFERROR(__xludf.DUMMYFUNCTION("""COMPUTED_VALUE"""),"0.05/30")</f>
        <v>0.05/30</v>
      </c>
      <c r="O16" s="5" t="str">
        <f ca="1">IFERROR(__xludf.DUMMYFUNCTION("""COMPUTED_VALUE"""),"No")</f>
        <v>No</v>
      </c>
      <c r="P16" s="5" t="str">
        <f ca="1">IFERROR(__xludf.DUMMYFUNCTION("""COMPUTED_VALUE"""),"Wild Multiplier, Expanding Wild, Scatter")</f>
        <v>Wild Multiplier, Expanding Wild, Scatter</v>
      </c>
      <c r="Q16" s="7" t="str">
        <f ca="1">IFERROR(__xludf.DUMMYFUNCTION("""COMPUTED_VALUE"""),"https://gameserver-store-client-area.orbionlimited.com/Home/IntegrationGameLaunch/client-area?moneyType=0&amp;gameName=PlayNetFortuneCloverX2&amp;platform=desktop&amp;languageCode=eng&amp;currency=EUR")</f>
        <v>https://gameserver-store-client-area.orbionlimited.com/Home/IntegrationGameLaunch/client-area?moneyType=0&amp;gameName=PlayNetFortuneCloverX2&amp;platform=desktop&amp;languageCode=eng&amp;currency=EUR</v>
      </c>
      <c r="R16" s="5" t="str">
        <f ca="1">IFERROR(__xludf.DUMMYFUNCTION("""COMPUTED_VALUE"""),"Double the excitement with Fortune Clover x2! Land the special clover symbol and see how far your luck can take you!")</f>
        <v>Double the excitement with Fortune Clover x2! Land the special clover symbol and see how far your luck can take you!</v>
      </c>
      <c r="S1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IFERROR(__xludf.DUMMYFUNCTION("""COMPUTED_VALUE"""),"Yes")</f>
        <v>Yes</v>
      </c>
      <c r="X16" s="5" t="str">
        <f ca="1">IFERROR(__xludf.DUMMYFUNCTION("""COMPUTED_VALUE"""),"Yes")</f>
        <v>Yes</v>
      </c>
      <c r="Y16" s="5" t="str">
        <f ca="1">IFERROR(__xludf.DUMMYFUNCTION("""COMPUTED_VALUE"""),"Yes")</f>
        <v>Yes</v>
      </c>
      <c r="Z16" s="5" t="str">
        <f ca="1">IFERROR(__xludf.DUMMYFUNCTION("""COMPUTED_VALUE"""),"Yes")</f>
        <v>Yes</v>
      </c>
      <c r="AA16" s="5" t="str">
        <f ca="1">IFERROR(__xludf.DUMMYFUNCTION("""COMPUTED_VALUE"""),"Yes")</f>
        <v>Yes</v>
      </c>
      <c r="AB16" s="5" t="str">
        <f ca="1">IFERROR(__xludf.DUMMYFUNCTION("""COMPUTED_VALUE"""),"Yes")</f>
        <v>Yes</v>
      </c>
      <c r="AC16" s="5" t="str">
        <f ca="1">IFERROR(__xludf.DUMMYFUNCTION("""COMPUTED_VALUE"""),"Yes")</f>
        <v>Yes</v>
      </c>
      <c r="AD16" s="5" t="str">
        <f ca="1">IFERROR(__xludf.DUMMYFUNCTION("""COMPUTED_VALUE"""),"Yes")</f>
        <v>Yes</v>
      </c>
      <c r="AE16" s="5" t="str">
        <f ca="1">IFERROR(__xludf.DUMMYFUNCTION("""COMPUTED_VALUE"""),"Yes")</f>
        <v>Yes</v>
      </c>
      <c r="AF16" s="5" t="str">
        <f ca="1">IFERROR(__xludf.DUMMYFUNCTION("""COMPUTED_VALUE"""),"Yes")</f>
        <v>Yes</v>
      </c>
      <c r="AG16" s="5" t="str">
        <f ca="1">IFERROR(__xludf.DUMMYFUNCTION("""COMPUTED_VALUE"""),"Yes")</f>
        <v>Yes</v>
      </c>
      <c r="AH16" s="5" t="str">
        <f ca="1">IFERROR(__xludf.DUMMYFUNCTION("""COMPUTED_VALUE"""),"Yes")</f>
        <v>Yes</v>
      </c>
      <c r="AI16" s="5" t="str">
        <f ca="1">IFERROR(__xludf.DUMMYFUNCTION("""COMPUTED_VALUE"""),"No")</f>
        <v>No</v>
      </c>
      <c r="AJ16" s="5" t="str">
        <f ca="1">IFERROR(__xludf.DUMMYFUNCTION("""COMPUTED_VALUE"""),"No")</f>
        <v>No</v>
      </c>
      <c r="AK16" s="5" t="str">
        <f ca="1">IFERROR(__xludf.DUMMYFUNCTION("""COMPUTED_VALUE"""),"No")</f>
        <v>No</v>
      </c>
      <c r="AL16" s="5" t="str">
        <f ca="1">IFERROR(__xludf.DUMMYFUNCTION("""COMPUTED_VALUE"""),"No")</f>
        <v>No</v>
      </c>
      <c r="AM16" s="5"/>
      <c r="AN16" s="5"/>
      <c r="AO16" s="5"/>
      <c r="AP16" s="5"/>
      <c r="AQ16" s="5" t="str">
        <f ca="1">IFERROR(__xludf.DUMMYFUNCTION("""COMPUTED_VALUE"""),"No")</f>
        <v>No</v>
      </c>
      <c r="AR16" s="5"/>
      <c r="AS16" s="5" t="str">
        <f ca="1">IFERROR(__xludf.DUMMYFUNCTION("""COMPUTED_VALUE"""),"Yes")</f>
        <v>Yes</v>
      </c>
      <c r="AT16" s="5"/>
      <c r="AU16" s="5"/>
    </row>
    <row r="17" spans="1:47" x14ac:dyDescent="0.25">
      <c r="A17" s="5" t="str">
        <f ca="1">IFERROR(__xludf.DUMMYFUNCTION("""COMPUTED_VALUE"""),"Playnet")</f>
        <v>Playnet</v>
      </c>
      <c r="B17" s="5" t="str">
        <f ca="1">IFERROR(__xludf.DUMMYFUNCTION("""COMPUTED_VALUE"""),"Diamond Heart X2")</f>
        <v>Diamond Heart X2</v>
      </c>
      <c r="C17" s="5" t="str">
        <f ca="1">IFERROR(__xludf.DUMMYFUNCTION("""COMPUTED_VALUE"""),"PlayNetDiamondHeartX2")</f>
        <v>PlayNetDiamondHeartX2</v>
      </c>
      <c r="D17" s="6">
        <f ca="1">IFERROR(__xludf.DUMMYFUNCTION("""COMPUTED_VALUE"""),45692)</f>
        <v>45692</v>
      </c>
      <c r="E17" s="5" t="str">
        <f ca="1">IFERROR(__xludf.DUMMYFUNCTION("""COMPUTED_VALUE"""),"Slot")</f>
        <v>Slot</v>
      </c>
      <c r="F17" s="5">
        <f ca="1">IFERROR(__xludf.DUMMYFUNCTION("""COMPUTED_VALUE"""),7.1)</f>
        <v>7.1</v>
      </c>
      <c r="G17" s="5" t="str">
        <f ca="1">IFERROR(__xludf.DUMMYFUNCTION("""COMPUTED_VALUE"""),"5x3")</f>
        <v>5x3</v>
      </c>
      <c r="H17" s="5">
        <f ca="1">IFERROR(__xludf.DUMMYFUNCTION("""COMPUTED_VALUE"""),5)</f>
        <v>5</v>
      </c>
      <c r="I17" s="5">
        <f ca="1">IFERROR(__xludf.DUMMYFUNCTION("""COMPUTED_VALUE"""),5)</f>
        <v>5</v>
      </c>
      <c r="J17" s="5" t="str">
        <f ca="1">IFERROR(__xludf.DUMMYFUNCTION("""COMPUTED_VALUE"""),"96.453%")</f>
        <v>96.453%</v>
      </c>
      <c r="K17" s="5" t="str">
        <f ca="1">IFERROR(__xludf.DUMMYFUNCTION("""COMPUTED_VALUE"""),"Medium")</f>
        <v>Medium</v>
      </c>
      <c r="L17" s="5" t="str">
        <f ca="1">IFERROR(__xludf.DUMMYFUNCTION("""COMPUTED_VALUE"""),"14.234%")</f>
        <v>14.234%</v>
      </c>
      <c r="M17" s="5" t="str">
        <f ca="1">IFERROR(__xludf.DUMMYFUNCTION("""COMPUTED_VALUE"""),"x2624")</f>
        <v>x2624</v>
      </c>
      <c r="N17" s="5" t="str">
        <f ca="1">IFERROR(__xludf.DUMMYFUNCTION("""COMPUTED_VALUE"""),"0.05/30")</f>
        <v>0.05/30</v>
      </c>
      <c r="O17" s="5" t="str">
        <f ca="1">IFERROR(__xludf.DUMMYFUNCTION("""COMPUTED_VALUE"""),"No")</f>
        <v>No</v>
      </c>
      <c r="P17" s="5" t="str">
        <f ca="1">IFERROR(__xludf.DUMMYFUNCTION("""COMPUTED_VALUE"""),"Wild Multiplier, Expanding Wild, Scatter")</f>
        <v>Wild Multiplier, Expanding Wild, Scatter</v>
      </c>
      <c r="Q17" s="7" t="str">
        <f ca="1">IFERROR(__xludf.DUMMYFUNCTION("""COMPUTED_VALUE"""),"https://gameserver-store-client-area.orbionlimited.com/Home/IntegrationGameLaunch/client-area?moneyType=0&amp;gameName=PlayNetDiamondHeartX2&amp;platform=desktop&amp;languageCode=eng&amp;currency=EUR")</f>
        <v>https://gameserver-store-client-area.orbionlimited.com/Home/IntegrationGameLaunch/client-area?moneyType=0&amp;gameName=PlayNetDiamondHeartX2&amp;platform=desktop&amp;languageCode=eng&amp;currency=EUR</v>
      </c>
      <c r="R17" s="5" t="str">
        <f ca="1">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S17" s="5" t="str">
        <f ca="1">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IFERROR(__xludf.DUMMYFUNCTION("""COMPUTED_VALUE"""),"Yes")</f>
        <v>Yes</v>
      </c>
      <c r="AA17" s="5" t="str">
        <f ca="1">IFERROR(__xludf.DUMMYFUNCTION("""COMPUTED_VALUE"""),"Yes")</f>
        <v>Yes</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IFERROR(__xludf.DUMMYFUNCTION("""COMPUTED_VALUE"""),"Yes")</f>
        <v>Yes</v>
      </c>
      <c r="AF17" s="5" t="str">
        <f ca="1">IFERROR(__xludf.DUMMYFUNCTION("""COMPUTED_VALUE"""),"Yes")</f>
        <v>Yes</v>
      </c>
      <c r="AG17" s="5" t="str">
        <f ca="1">IFERROR(__xludf.DUMMYFUNCTION("""COMPUTED_VALUE"""),"Yes")</f>
        <v>Yes</v>
      </c>
      <c r="AH17" s="5" t="str">
        <f ca="1">IFERROR(__xludf.DUMMYFUNCTION("""COMPUTED_VALUE"""),"Yes")</f>
        <v>Yes</v>
      </c>
      <c r="AI17" s="5" t="str">
        <f ca="1">IFERROR(__xludf.DUMMYFUNCTION("""COMPUTED_VALUE"""),"No")</f>
        <v>No</v>
      </c>
      <c r="AJ17" s="5" t="str">
        <f ca="1">IFERROR(__xludf.DUMMYFUNCTION("""COMPUTED_VALUE"""),"No")</f>
        <v>No</v>
      </c>
      <c r="AK17" s="5" t="str">
        <f ca="1">IFERROR(__xludf.DUMMYFUNCTION("""COMPUTED_VALUE"""),"No")</f>
        <v>No</v>
      </c>
      <c r="AL17" s="5" t="str">
        <f ca="1">IFERROR(__xludf.DUMMYFUNCTION("""COMPUTED_VALUE"""),"No")</f>
        <v>No</v>
      </c>
      <c r="AM17" s="5" t="str">
        <f ca="1">IFERROR(__xludf.DUMMYFUNCTION("""COMPUTED_VALUE"""),"No")</f>
        <v>No</v>
      </c>
      <c r="AN17" s="5" t="str">
        <f ca="1">IFERROR(__xludf.DUMMYFUNCTION("""COMPUTED_VALUE"""),"Yes")</f>
        <v>Yes</v>
      </c>
      <c r="AO17" s="5"/>
      <c r="AP17" s="5" t="str">
        <f ca="1">IFERROR(__xludf.DUMMYFUNCTION("""COMPUTED_VALUE"""),"No")</f>
        <v>No</v>
      </c>
      <c r="AQ17" s="5" t="str">
        <f ca="1">IFERROR(__xludf.DUMMYFUNCTION("""COMPUTED_VALUE"""),"No")</f>
        <v>No</v>
      </c>
      <c r="AR17" s="5"/>
      <c r="AS17" s="5" t="str">
        <f ca="1">IFERROR(__xludf.DUMMYFUNCTION("""COMPUTED_VALUE"""),"Yes")</f>
        <v>Yes</v>
      </c>
      <c r="AT17" s="5"/>
      <c r="AU17" s="5"/>
    </row>
    <row r="18" spans="1:47" x14ac:dyDescent="0.25">
      <c r="A18" s="5" t="str">
        <f ca="1">IFERROR(__xludf.DUMMYFUNCTION("""COMPUTED_VALUE"""),"Playnet")</f>
        <v>Playnet</v>
      </c>
      <c r="B18" s="5" t="str">
        <f ca="1">IFERROR(__xludf.DUMMYFUNCTION("""COMPUTED_VALUE"""),"Fortune Clover 100")</f>
        <v>Fortune Clover 100</v>
      </c>
      <c r="C18" s="5" t="str">
        <f ca="1">IFERROR(__xludf.DUMMYFUNCTION("""COMPUTED_VALUE"""),"PlayNetFortuneClover100")</f>
        <v>PlayNetFortuneClover100</v>
      </c>
      <c r="D18" s="6">
        <f ca="1">IFERROR(__xludf.DUMMYFUNCTION("""COMPUTED_VALUE"""),45712)</f>
        <v>45712</v>
      </c>
      <c r="E18" s="5" t="str">
        <f ca="1">IFERROR(__xludf.DUMMYFUNCTION("""COMPUTED_VALUE"""),"Slot")</f>
        <v>Slot</v>
      </c>
      <c r="F18" s="5">
        <f ca="1">IFERROR(__xludf.DUMMYFUNCTION("""COMPUTED_VALUE"""),7.3)</f>
        <v>7.3</v>
      </c>
      <c r="G18" s="5" t="str">
        <f ca="1">IFERROR(__xludf.DUMMYFUNCTION("""COMPUTED_VALUE"""),"5x4")</f>
        <v>5x4</v>
      </c>
      <c r="H18" s="5">
        <f ca="1">IFERROR(__xludf.DUMMYFUNCTION("""COMPUTED_VALUE"""),100)</f>
        <v>100</v>
      </c>
      <c r="I18" s="5">
        <f ca="1">IFERROR(__xludf.DUMMYFUNCTION("""COMPUTED_VALUE"""),100)</f>
        <v>100</v>
      </c>
      <c r="J18" s="5" t="str">
        <f ca="1">IFERROR(__xludf.DUMMYFUNCTION("""COMPUTED_VALUE"""),"96.502%")</f>
        <v>96.502%</v>
      </c>
      <c r="K18" s="5" t="str">
        <f ca="1">IFERROR(__xludf.DUMMYFUNCTION("""COMPUTED_VALUE"""),"Medium")</f>
        <v>Medium</v>
      </c>
      <c r="L18" s="5" t="str">
        <f ca="1">IFERROR(__xludf.DUMMYFUNCTION("""COMPUTED_VALUE"""),"13.309%")</f>
        <v>13.309%</v>
      </c>
      <c r="M18" s="5" t="str">
        <f ca="1">IFERROR(__xludf.DUMMYFUNCTION("""COMPUTED_VALUE"""),"x3000")</f>
        <v>x3000</v>
      </c>
      <c r="N18" s="5" t="str">
        <f ca="1">IFERROR(__xludf.DUMMYFUNCTION("""COMPUTED_VALUE"""),"1/100")</f>
        <v>1/100</v>
      </c>
      <c r="O18" s="5" t="str">
        <f ca="1">IFERROR(__xludf.DUMMYFUNCTION("""COMPUTED_VALUE"""),"No")</f>
        <v>No</v>
      </c>
      <c r="P18" s="5" t="str">
        <f ca="1">IFERROR(__xludf.DUMMYFUNCTION("""COMPUTED_VALUE"""),"Expanding Wild, Scatter")</f>
        <v>Expanding Wild, Scatter</v>
      </c>
      <c r="Q18" s="7" t="str">
        <f ca="1">IFERROR(__xludf.DUMMYFUNCTION("""COMPUTED_VALUE"""),"https://gameserver-store-client-area.orbionlimited.com/Home/IntegrationGameLaunch/client-area?moneyType=0&amp;gameName=PlayNetFortuneClover100&amp;platform=desktop&amp;languageCode=eng&amp;currency=EUR")</f>
        <v>https://gameserver-store-client-area.orbionlimited.com/Home/IntegrationGameLaunch/client-area?moneyType=0&amp;gameName=PlayNetFortuneClover100&amp;platform=desktop&amp;languageCode=eng&amp;currency=EUR</v>
      </c>
      <c r="R18" s="5" t="str">
        <f ca="1">IFERROR(__xludf.DUMMYFUNCTION("""COMPUTED_VALUE"""),"With 100 active lines, Fortune Clover 100 is packed with action. Let the clovers guide you to incredible rewards!")</f>
        <v>With 100 active lines, Fortune Clover 100 is packed with action. Let the clovers guide you to incredible rewards!</v>
      </c>
      <c r="S1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IFERROR(__xludf.DUMMYFUNCTION("""COMPUTED_VALUE"""),"Yes")</f>
        <v>Yes</v>
      </c>
      <c r="AA18" s="5" t="str">
        <f ca="1">IFERROR(__xludf.DUMMYFUNCTION("""COMPUTED_VALUE"""),"Yes")</f>
        <v>Yes</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IFERROR(__xludf.DUMMYFUNCTION("""COMPUTED_VALUE"""),"Yes")</f>
        <v>Yes</v>
      </c>
      <c r="AF18" s="5" t="str">
        <f ca="1">IFERROR(__xludf.DUMMYFUNCTION("""COMPUTED_VALUE"""),"Yes")</f>
        <v>Yes</v>
      </c>
      <c r="AG18" s="5" t="str">
        <f ca="1">IFERROR(__xludf.DUMMYFUNCTION("""COMPUTED_VALUE"""),"Yes")</f>
        <v>Yes</v>
      </c>
      <c r="AH18" s="5" t="str">
        <f ca="1">IFERROR(__xludf.DUMMYFUNCTION("""COMPUTED_VALUE"""),"Yes")</f>
        <v>Yes</v>
      </c>
      <c r="AI18" s="5" t="str">
        <f ca="1">IFERROR(__xludf.DUMMYFUNCTION("""COMPUTED_VALUE"""),"No")</f>
        <v>No</v>
      </c>
      <c r="AJ18" s="5" t="str">
        <f ca="1">IFERROR(__xludf.DUMMYFUNCTION("""COMPUTED_VALUE"""),"No")</f>
        <v>No</v>
      </c>
      <c r="AK18" s="5" t="str">
        <f ca="1">IFERROR(__xludf.DUMMYFUNCTION("""COMPUTED_VALUE"""),"No")</f>
        <v>No</v>
      </c>
      <c r="AL18" s="5" t="str">
        <f ca="1">IFERROR(__xludf.DUMMYFUNCTION("""COMPUTED_VALUE"""),"No")</f>
        <v>No</v>
      </c>
      <c r="AM18" s="5"/>
      <c r="AN18" s="5"/>
      <c r="AO18" s="5"/>
      <c r="AP18" s="5"/>
      <c r="AQ18" s="5" t="str">
        <f ca="1">IFERROR(__xludf.DUMMYFUNCTION("""COMPUTED_VALUE"""),"No")</f>
        <v>No</v>
      </c>
      <c r="AR18" s="5"/>
      <c r="AS18" s="5" t="str">
        <f ca="1">IFERROR(__xludf.DUMMYFUNCTION("""COMPUTED_VALUE"""),"Yes")</f>
        <v>Yes</v>
      </c>
      <c r="AT18" s="5"/>
      <c r="AU18" s="5"/>
    </row>
    <row r="19" spans="1:47" x14ac:dyDescent="0.25">
      <c r="A19" s="5" t="str">
        <f ca="1">IFERROR(__xludf.DUMMYFUNCTION("""COMPUTED_VALUE"""),"Playnet")</f>
        <v>Playnet</v>
      </c>
      <c r="B19" s="5" t="str">
        <f ca="1">IFERROR(__xludf.DUMMYFUNCTION("""COMPUTED_VALUE"""),"Crown Stacks 40")</f>
        <v>Crown Stacks 40</v>
      </c>
      <c r="C19" s="5" t="str">
        <f ca="1">IFERROR(__xludf.DUMMYFUNCTION("""COMPUTED_VALUE"""),"PlayNetCrownStacks40")</f>
        <v>PlayNetCrownStacks40</v>
      </c>
      <c r="D19" s="6">
        <f ca="1">IFERROR(__xludf.DUMMYFUNCTION("""COMPUTED_VALUE"""),45720)</f>
        <v>45720</v>
      </c>
      <c r="E19" s="5" t="str">
        <f ca="1">IFERROR(__xludf.DUMMYFUNCTION("""COMPUTED_VALUE"""),"Slot")</f>
        <v>Slot</v>
      </c>
      <c r="F19" s="5">
        <f ca="1">IFERROR(__xludf.DUMMYFUNCTION("""COMPUTED_VALUE"""),6.3)</f>
        <v>6.3</v>
      </c>
      <c r="G19" s="5" t="str">
        <f ca="1">IFERROR(__xludf.DUMMYFUNCTION("""COMPUTED_VALUE"""),"5x4")</f>
        <v>5x4</v>
      </c>
      <c r="H19" s="5">
        <f ca="1">IFERROR(__xludf.DUMMYFUNCTION("""COMPUTED_VALUE"""),40)</f>
        <v>40</v>
      </c>
      <c r="I19" s="5">
        <f ca="1">IFERROR(__xludf.DUMMYFUNCTION("""COMPUTED_VALUE"""),40)</f>
        <v>40</v>
      </c>
      <c r="J19" s="5" t="str">
        <f ca="1">IFERROR(__xludf.DUMMYFUNCTION("""COMPUTED_VALUE"""),"95.479%")</f>
        <v>95.479%</v>
      </c>
      <c r="K19" s="5" t="str">
        <f ca="1">IFERROR(__xludf.DUMMYFUNCTION("""COMPUTED_VALUE"""),"Medium")</f>
        <v>Medium</v>
      </c>
      <c r="L19" s="5" t="str">
        <f ca="1">IFERROR(__xludf.DUMMYFUNCTION("""COMPUTED_VALUE"""),"14.8%")</f>
        <v>14.8%</v>
      </c>
      <c r="M19" s="5" t="str">
        <f ca="1">IFERROR(__xludf.DUMMYFUNCTION("""COMPUTED_VALUE"""),"x1000")</f>
        <v>x1000</v>
      </c>
      <c r="N19" s="5" t="str">
        <f ca="1">IFERROR(__xludf.DUMMYFUNCTION("""COMPUTED_VALUE"""),"0.4/60")</f>
        <v>0.4/60</v>
      </c>
      <c r="O19" s="5" t="str">
        <f ca="1">IFERROR(__xludf.DUMMYFUNCTION("""COMPUTED_VALUE"""),"No")</f>
        <v>No</v>
      </c>
      <c r="P19" s="5" t="str">
        <f ca="1">IFERROR(__xludf.DUMMYFUNCTION("""COMPUTED_VALUE"""),"Wild Symbol, Scatter")</f>
        <v>Wild Symbol, Scatter</v>
      </c>
      <c r="Q19" s="7" t="str">
        <f ca="1">IFERROR(__xludf.DUMMYFUNCTION("""COMPUTED_VALUE"""),"https://gameserver-store-client-area.orbionlimited.com/Home/IntegrationGameLaunch/client-area?moneyType=0&amp;gameName=PlayNetCrownStacks40&amp;platform=desktop&amp;languageCode=eng&amp;currency=EUR")</f>
        <v>https://gameserver-store-client-area.orbionlimited.com/Home/IntegrationGameLaunch/client-area?moneyType=0&amp;gameName=PlayNetCrownStacks40&amp;platform=desktop&amp;languageCode=eng&amp;currency=EUR</v>
      </c>
      <c r="R19" s="5" t="str">
        <f ca="1">IFERROR(__xludf.DUMMYFUNCTION("""COMPUTED_VALUE"""),"Crown Stacks 40 delivers royal wins with perfectly stacked crown symbols across 40 paylines - your throne awaits!")</f>
        <v>Crown Stacks 40 delivers royal wins with perfectly stacked crown symbols across 40 paylines - your throne awaits!</v>
      </c>
      <c r="S19" s="5" t="str">
        <f ca="1">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IFERROR(__xludf.DUMMYFUNCTION("""COMPUTED_VALUE"""),"Yes")</f>
        <v>Yes</v>
      </c>
      <c r="AF19" s="5" t="str">
        <f ca="1">IFERROR(__xludf.DUMMYFUNCTION("""COMPUTED_VALUE"""),"Yes")</f>
        <v>Yes</v>
      </c>
      <c r="AG19" s="5" t="str">
        <f ca="1">IFERROR(__xludf.DUMMYFUNCTION("""COMPUTED_VALUE"""),"No")</f>
        <v>No</v>
      </c>
      <c r="AH19" s="5" t="str">
        <f ca="1">IFERROR(__xludf.DUMMYFUNCTION("""COMPUTED_VALUE"""),"Yes")</f>
        <v>Yes</v>
      </c>
      <c r="AI19" s="5" t="str">
        <f ca="1">IFERROR(__xludf.DUMMYFUNCTION("""COMPUTED_VALUE"""),"No")</f>
        <v>No</v>
      </c>
      <c r="AJ19" s="5" t="str">
        <f ca="1">IFERROR(__xludf.DUMMYFUNCTION("""COMPUTED_VALUE"""),"No")</f>
        <v>No</v>
      </c>
      <c r="AK19" s="5" t="str">
        <f ca="1">IFERROR(__xludf.DUMMYFUNCTION("""COMPUTED_VALUE"""),"No")</f>
        <v>No</v>
      </c>
      <c r="AL19" s="5" t="str">
        <f ca="1">IFERROR(__xludf.DUMMYFUNCTION("""COMPUTED_VALUE"""),"No")</f>
        <v>No</v>
      </c>
      <c r="AM19" s="5"/>
      <c r="AN19" s="5"/>
      <c r="AO19" s="5" t="str">
        <f ca="1">IFERROR(__xludf.DUMMYFUNCTION("""COMPUTED_VALUE"""),"No")</f>
        <v>No</v>
      </c>
      <c r="AP19" s="5"/>
      <c r="AQ19" s="5" t="str">
        <f ca="1">IFERROR(__xludf.DUMMYFUNCTION("""COMPUTED_VALUE"""),"No")</f>
        <v>No</v>
      </c>
      <c r="AR19" s="5"/>
      <c r="AS19" s="5" t="str">
        <f ca="1">IFERROR(__xludf.DUMMYFUNCTION("""COMPUTED_VALUE"""),"Yes")</f>
        <v>Yes</v>
      </c>
      <c r="AT19" s="5"/>
      <c r="AU19" s="5"/>
    </row>
    <row r="20" spans="1:47" x14ac:dyDescent="0.25">
      <c r="A20" s="5" t="str">
        <f ca="1">IFERROR(__xludf.DUMMYFUNCTION("""COMPUTED_VALUE"""),"Playnet")</f>
        <v>Playnet</v>
      </c>
      <c r="B20" s="5" t="str">
        <f ca="1">IFERROR(__xludf.DUMMYFUNCTION("""COMPUTED_VALUE"""),"Wild Spread 40")</f>
        <v>Wild Spread 40</v>
      </c>
      <c r="C20" s="5" t="str">
        <f ca="1">IFERROR(__xludf.DUMMYFUNCTION("""COMPUTED_VALUE"""),"PlayNetWildSpread40")</f>
        <v>PlayNetWildSpread40</v>
      </c>
      <c r="D20" s="6">
        <f ca="1">IFERROR(__xludf.DUMMYFUNCTION("""COMPUTED_VALUE"""),45728)</f>
        <v>45728</v>
      </c>
      <c r="E20" s="5" t="str">
        <f ca="1">IFERROR(__xludf.DUMMYFUNCTION("""COMPUTED_VALUE"""),"Slot")</f>
        <v>Slot</v>
      </c>
      <c r="F20" s="5">
        <f ca="1">IFERROR(__xludf.DUMMYFUNCTION("""COMPUTED_VALUE"""),6.7)</f>
        <v>6.7</v>
      </c>
      <c r="G20" s="5" t="str">
        <f ca="1">IFERROR(__xludf.DUMMYFUNCTION("""COMPUTED_VALUE"""),"5x4")</f>
        <v>5x4</v>
      </c>
      <c r="H20" s="5">
        <f ca="1">IFERROR(__xludf.DUMMYFUNCTION("""COMPUTED_VALUE"""),40)</f>
        <v>40</v>
      </c>
      <c r="I20" s="5">
        <f ca="1">IFERROR(__xludf.DUMMYFUNCTION("""COMPUTED_VALUE"""),40)</f>
        <v>40</v>
      </c>
      <c r="J20" s="5" t="str">
        <f ca="1">IFERROR(__xludf.DUMMYFUNCTION("""COMPUTED_VALUE"""),"96.268%")</f>
        <v>96.268%</v>
      </c>
      <c r="K20" s="5" t="str">
        <f ca="1">IFERROR(__xludf.DUMMYFUNCTION("""COMPUTED_VALUE"""),"Medium")</f>
        <v>Medium</v>
      </c>
      <c r="L20" s="5" t="str">
        <f ca="1">IFERROR(__xludf.DUMMYFUNCTION("""COMPUTED_VALUE"""),"13.875%")</f>
        <v>13.875%</v>
      </c>
      <c r="M20" s="5" t="str">
        <f ca="1">IFERROR(__xludf.DUMMYFUNCTION("""COMPUTED_VALUE"""),"x1000")</f>
        <v>x1000</v>
      </c>
      <c r="N20" s="5" t="str">
        <f ca="1">IFERROR(__xludf.DUMMYFUNCTION("""COMPUTED_VALUE"""),"0.4/60")</f>
        <v>0.4/60</v>
      </c>
      <c r="O20" s="5" t="str">
        <f ca="1">IFERROR(__xludf.DUMMYFUNCTION("""COMPUTED_VALUE"""),"No")</f>
        <v>No</v>
      </c>
      <c r="P20" s="5" t="str">
        <f ca="1">IFERROR(__xludf.DUMMYFUNCTION("""COMPUTED_VALUE"""),"Scatter, Exploding Wild")</f>
        <v>Scatter, Exploding Wild</v>
      </c>
      <c r="Q20" s="7" t="str">
        <f ca="1">IFERROR(__xludf.DUMMYFUNCTION("""COMPUTED_VALUE"""),"https://gameserver-store-client-area.orbionlimited.com/Home/IntegrationGameLaunch/client-area?moneyType=0&amp;gameName=PlayNetWildSpread40&amp;platform=desktop&amp;languageCode=eng&amp;currency=EUR")</f>
        <v>https://gameserver-store-client-area.orbionlimited.com/Home/IntegrationGameLaunch/client-area?moneyType=0&amp;gameName=PlayNetWildSpread40&amp;platform=desktop&amp;languageCode=eng&amp;currency=EUR</v>
      </c>
      <c r="R20" s="5" t="str">
        <f ca="1">IFERROR(__xludf.DUMMYFUNCTION("""COMPUTED_VALUE"""),"One wild is all it takes! In Wild Spread 40 every wild expands to cover more space, bringing bigger chances to win!")</f>
        <v>One wild is all it takes! In Wild Spread 40 every wild expands to cover more space, bringing bigger chances to win!</v>
      </c>
      <c r="S20" s="5" t="str">
        <f ca="1">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IFERROR(__xludf.DUMMYFUNCTION("""COMPUTED_VALUE"""),"Yes")</f>
        <v>Yes</v>
      </c>
      <c r="AF20" s="5" t="str">
        <f ca="1">IFERROR(__xludf.DUMMYFUNCTION("""COMPUTED_VALUE"""),"Yes")</f>
        <v>Yes</v>
      </c>
      <c r="AG20" s="5" t="str">
        <f ca="1">IFERROR(__xludf.DUMMYFUNCTION("""COMPUTED_VALUE"""),"Yes")</f>
        <v>Yes</v>
      </c>
      <c r="AH20" s="5" t="str">
        <f ca="1">IFERROR(__xludf.DUMMYFUNCTION("""COMPUTED_VALUE"""),"Yes")</f>
        <v>Yes</v>
      </c>
      <c r="AI20" s="5" t="str">
        <f ca="1">IFERROR(__xludf.DUMMYFUNCTION("""COMPUTED_VALUE"""),"No")</f>
        <v>No</v>
      </c>
      <c r="AJ20" s="5" t="str">
        <f ca="1">IFERROR(__xludf.DUMMYFUNCTION("""COMPUTED_VALUE"""),"No")</f>
        <v>No</v>
      </c>
      <c r="AK20" s="5" t="str">
        <f ca="1">IFERROR(__xludf.DUMMYFUNCTION("""COMPUTED_VALUE"""),"No")</f>
        <v>No</v>
      </c>
      <c r="AL20" s="5" t="str">
        <f ca="1">IFERROR(__xludf.DUMMYFUNCTION("""COMPUTED_VALUE"""),"No")</f>
        <v>No</v>
      </c>
      <c r="AM20" s="5"/>
      <c r="AN20" s="5" t="str">
        <f ca="1">IFERROR(__xludf.DUMMYFUNCTION("""COMPUTED_VALUE"""),"Yes")</f>
        <v>Yes</v>
      </c>
      <c r="AO20" s="5"/>
      <c r="AP20" s="5"/>
      <c r="AQ20" s="5" t="str">
        <f ca="1">IFERROR(__xludf.DUMMYFUNCTION("""COMPUTED_VALUE"""),"No")</f>
        <v>No</v>
      </c>
      <c r="AR20" s="5"/>
      <c r="AS20" s="5" t="str">
        <f ca="1">IFERROR(__xludf.DUMMYFUNCTION("""COMPUTED_VALUE"""),"No")</f>
        <v>No</v>
      </c>
      <c r="AT20" s="5"/>
      <c r="AU20" s="5"/>
    </row>
    <row r="21" spans="1:47" x14ac:dyDescent="0.25">
      <c r="A21" s="5" t="str">
        <f ca="1">IFERROR(__xludf.DUMMYFUNCTION("""COMPUTED_VALUE"""),"Playnet")</f>
        <v>Playnet</v>
      </c>
      <c r="B21" s="5" t="str">
        <f ca="1">IFERROR(__xludf.DUMMYFUNCTION("""COMPUTED_VALUE"""),"Crown Spread 40")</f>
        <v>Crown Spread 40</v>
      </c>
      <c r="C21" s="5" t="str">
        <f ca="1">IFERROR(__xludf.DUMMYFUNCTION("""COMPUTED_VALUE"""),"PlayNetCrownSpread40")</f>
        <v>PlayNetCrownSpread40</v>
      </c>
      <c r="D21" s="6">
        <f ca="1">IFERROR(__xludf.DUMMYFUNCTION("""COMPUTED_VALUE"""),45748)</f>
        <v>45748</v>
      </c>
      <c r="E21" s="5" t="str">
        <f ca="1">IFERROR(__xludf.DUMMYFUNCTION("""COMPUTED_VALUE"""),"Slot")</f>
        <v>Slot</v>
      </c>
      <c r="F21" s="5">
        <f ca="1">IFERROR(__xludf.DUMMYFUNCTION("""COMPUTED_VALUE"""),6.7)</f>
        <v>6.7</v>
      </c>
      <c r="G21" s="5" t="str">
        <f ca="1">IFERROR(__xludf.DUMMYFUNCTION("""COMPUTED_VALUE"""),"5x4")</f>
        <v>5x4</v>
      </c>
      <c r="H21" s="5">
        <f ca="1">IFERROR(__xludf.DUMMYFUNCTION("""COMPUTED_VALUE"""),40)</f>
        <v>40</v>
      </c>
      <c r="I21" s="5">
        <f ca="1">IFERROR(__xludf.DUMMYFUNCTION("""COMPUTED_VALUE"""),40)</f>
        <v>40</v>
      </c>
      <c r="J21" s="5" t="str">
        <f ca="1">IFERROR(__xludf.DUMMYFUNCTION("""COMPUTED_VALUE"""),"96.268%")</f>
        <v>96.268%</v>
      </c>
      <c r="K21" s="5" t="str">
        <f ca="1">IFERROR(__xludf.DUMMYFUNCTION("""COMPUTED_VALUE"""),"Medium")</f>
        <v>Medium</v>
      </c>
      <c r="L21" s="5" t="str">
        <f ca="1">IFERROR(__xludf.DUMMYFUNCTION("""COMPUTED_VALUE"""),"13.875%")</f>
        <v>13.875%</v>
      </c>
      <c r="M21" s="5" t="str">
        <f ca="1">IFERROR(__xludf.DUMMYFUNCTION("""COMPUTED_VALUE"""),"x1000")</f>
        <v>x1000</v>
      </c>
      <c r="N21" s="5" t="str">
        <f ca="1">IFERROR(__xludf.DUMMYFUNCTION("""COMPUTED_VALUE"""),"0.4/60")</f>
        <v>0.4/60</v>
      </c>
      <c r="O21" s="5" t="str">
        <f ca="1">IFERROR(__xludf.DUMMYFUNCTION("""COMPUTED_VALUE"""),"No")</f>
        <v>No</v>
      </c>
      <c r="P21" s="5" t="str">
        <f ca="1">IFERROR(__xludf.DUMMYFUNCTION("""COMPUTED_VALUE"""),"Scatter, Exploding Wild")</f>
        <v>Scatter, Exploding Wild</v>
      </c>
      <c r="Q21" s="7" t="str">
        <f ca="1">IFERROR(__xludf.DUMMYFUNCTION("""COMPUTED_VALUE"""),"https://gameserver-store-client-area.orbionlimited.com/Home/IntegrationGameLaunch/client-area?moneyType=0&amp;gameName=PlayNetCrownSpread40&amp;platform=desktop&amp;languageCode=eng&amp;currency=EUR")</f>
        <v>https://gameserver-store-client-area.orbionlimited.com/Home/IntegrationGameLaunch/client-area?moneyType=0&amp;gameName=PlayNetCrownSpread40&amp;platform=desktop&amp;languageCode=eng&amp;currency=EUR</v>
      </c>
      <c r="R21" s="5" t="str">
        <f ca="1">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S21" s="5" t="str">
        <f ca="1">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IFERROR(__xludf.DUMMYFUNCTION("""COMPUTED_VALUE"""),"Yes")</f>
        <v>Yes</v>
      </c>
      <c r="AA21" s="5" t="str">
        <f ca="1">IFERROR(__xludf.DUMMYFUNCTION("""COMPUTED_VALUE"""),"Yes")</f>
        <v>Yes</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IFERROR(__xludf.DUMMYFUNCTION("""COMPUTED_VALUE"""),"Yes")</f>
        <v>Yes</v>
      </c>
      <c r="AF21" s="5" t="str">
        <f ca="1">IFERROR(__xludf.DUMMYFUNCTION("""COMPUTED_VALUE"""),"Yes")</f>
        <v>Yes</v>
      </c>
      <c r="AG21" s="5" t="str">
        <f ca="1">IFERROR(__xludf.DUMMYFUNCTION("""COMPUTED_VALUE"""),"Yes")</f>
        <v>Yes</v>
      </c>
      <c r="AH21" s="5" t="str">
        <f ca="1">IFERROR(__xludf.DUMMYFUNCTION("""COMPUTED_VALUE"""),"Yes")</f>
        <v>Yes</v>
      </c>
      <c r="AI21" s="5" t="str">
        <f ca="1">IFERROR(__xludf.DUMMYFUNCTION("""COMPUTED_VALUE"""),"No")</f>
        <v>No</v>
      </c>
      <c r="AJ21" s="5" t="str">
        <f ca="1">IFERROR(__xludf.DUMMYFUNCTION("""COMPUTED_VALUE"""),"No")</f>
        <v>No</v>
      </c>
      <c r="AK21" s="5" t="str">
        <f ca="1">IFERROR(__xludf.DUMMYFUNCTION("""COMPUTED_VALUE"""),"No")</f>
        <v>No</v>
      </c>
      <c r="AL21" s="5" t="str">
        <f ca="1">IFERROR(__xludf.DUMMYFUNCTION("""COMPUTED_VALUE"""),"No")</f>
        <v>No</v>
      </c>
      <c r="AM21" s="5"/>
      <c r="AN21" s="5" t="str">
        <f ca="1">IFERROR(__xludf.DUMMYFUNCTION("""COMPUTED_VALUE"""),"Yes")</f>
        <v>Yes</v>
      </c>
      <c r="AO21" s="5"/>
      <c r="AP21" s="5"/>
      <c r="AQ21" s="5" t="str">
        <f ca="1">IFERROR(__xludf.DUMMYFUNCTION("""COMPUTED_VALUE"""),"Yes")</f>
        <v>Yes</v>
      </c>
      <c r="AR21" s="5"/>
      <c r="AS21" s="5" t="str">
        <f ca="1">IFERROR(__xludf.DUMMYFUNCTION("""COMPUTED_VALUE"""),"Yes")</f>
        <v>Yes</v>
      </c>
      <c r="AT21" s="5"/>
      <c r="AU21" s="5"/>
    </row>
    <row r="22" spans="1:47" x14ac:dyDescent="0.25">
      <c r="A22" s="5" t="str">
        <f ca="1">IFERROR(__xludf.DUMMYFUNCTION("""COMPUTED_VALUE"""),"Playnet")</f>
        <v>Playnet</v>
      </c>
      <c r="B22" s="5" t="str">
        <f ca="1">IFERROR(__xludf.DUMMYFUNCTION("""COMPUTED_VALUE"""),"Clover Spread 40")</f>
        <v>Clover Spread 40</v>
      </c>
      <c r="C22" s="5" t="str">
        <f ca="1">IFERROR(__xludf.DUMMYFUNCTION("""COMPUTED_VALUE"""),"PlayNetCloverSpread40")</f>
        <v>PlayNetCloverSpread40</v>
      </c>
      <c r="D22" s="6">
        <f ca="1">IFERROR(__xludf.DUMMYFUNCTION("""COMPUTED_VALUE"""),45763)</f>
        <v>45763</v>
      </c>
      <c r="E22" s="5" t="str">
        <f ca="1">IFERROR(__xludf.DUMMYFUNCTION("""COMPUTED_VALUE"""),"Slot")</f>
        <v>Slot</v>
      </c>
      <c r="F22" s="5">
        <f ca="1">IFERROR(__xludf.DUMMYFUNCTION("""COMPUTED_VALUE"""),6.7)</f>
        <v>6.7</v>
      </c>
      <c r="G22" s="5" t="str">
        <f ca="1">IFERROR(__xludf.DUMMYFUNCTION("""COMPUTED_VALUE"""),"5x4")</f>
        <v>5x4</v>
      </c>
      <c r="H22" s="5">
        <f ca="1">IFERROR(__xludf.DUMMYFUNCTION("""COMPUTED_VALUE"""),40)</f>
        <v>40</v>
      </c>
      <c r="I22" s="5">
        <f ca="1">IFERROR(__xludf.DUMMYFUNCTION("""COMPUTED_VALUE"""),40)</f>
        <v>40</v>
      </c>
      <c r="J22" s="5" t="str">
        <f ca="1">IFERROR(__xludf.DUMMYFUNCTION("""COMPUTED_VALUE"""),"96.268%")</f>
        <v>96.268%</v>
      </c>
      <c r="K22" s="5" t="str">
        <f ca="1">IFERROR(__xludf.DUMMYFUNCTION("""COMPUTED_VALUE"""),"Medium")</f>
        <v>Medium</v>
      </c>
      <c r="L22" s="5" t="str">
        <f ca="1">IFERROR(__xludf.DUMMYFUNCTION("""COMPUTED_VALUE"""),"13.875%")</f>
        <v>13.875%</v>
      </c>
      <c r="M22" s="5" t="str">
        <f ca="1">IFERROR(__xludf.DUMMYFUNCTION("""COMPUTED_VALUE"""),"x1000")</f>
        <v>x1000</v>
      </c>
      <c r="N22" s="5" t="str">
        <f ca="1">IFERROR(__xludf.DUMMYFUNCTION("""COMPUTED_VALUE"""),"0.4/60")</f>
        <v>0.4/60</v>
      </c>
      <c r="O22" s="5" t="str">
        <f ca="1">IFERROR(__xludf.DUMMYFUNCTION("""COMPUTED_VALUE"""),"No")</f>
        <v>No</v>
      </c>
      <c r="P22" s="5" t="str">
        <f ca="1">IFERROR(__xludf.DUMMYFUNCTION("""COMPUTED_VALUE"""),"Scatter, Exploding Wild")</f>
        <v>Scatter, Exploding Wild</v>
      </c>
      <c r="Q22" s="7" t="str">
        <f ca="1">IFERROR(__xludf.DUMMYFUNCTION("""COMPUTED_VALUE"""),"https://gameserver-store-client-area.orbionlimited.com/Home/IntegrationGameLaunch/client-area?moneyType=0&amp;gameName=PlayNetCloverSpread40&amp;platform=desktop&amp;languageCode=eng&amp;currency=EUR")</f>
        <v>https://gameserver-store-client-area.orbionlimited.com/Home/IntegrationGameLaunch/client-area?moneyType=0&amp;gameName=PlayNetCloverSpread40&amp;platform=desktop&amp;languageCode=eng&amp;currency=EUR</v>
      </c>
      <c r="R22" s="5" t="str">
        <f ca="1">IFERROR(__xludf.DUMMYFUNCTION("""COMPUTED_VALUE"""),"One wild is all it takes! In Clover Spread 40 every wild expands to cover more space, bringing bigger chances to win!")</f>
        <v>One wild is all it takes! In Clover Spread 40 every wild expands to cover more space, bringing bigger chances to win!</v>
      </c>
      <c r="S2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2" s="5" t="str">
        <f ca="1">IFERROR(__xludf.DUMMYFUNCTION("""COMPUTED_VALUE"""),"Yes")</f>
        <v>Yes</v>
      </c>
      <c r="U22" s="5" t="str">
        <f ca="1">IFERROR(__xludf.DUMMYFUNCTION("""COMPUTED_VALUE"""),"Yes")</f>
        <v>Yes</v>
      </c>
      <c r="V22" s="5" t="str">
        <f ca="1">IFERROR(__xludf.DUMMYFUNCTION("""COMPUTED_VALUE"""),"No")</f>
        <v>No</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IFERROR(__xludf.DUMMYFUNCTION("""COMPUTED_VALUE"""),"Yes")</f>
        <v>Yes</v>
      </c>
      <c r="AA22" s="5" t="str">
        <f ca="1">IFERROR(__xludf.DUMMYFUNCTION("""COMPUTED_VALUE"""),"Yes")</f>
        <v>Yes</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IFERROR(__xludf.DUMMYFUNCTION("""COMPUTED_VALUE"""),"Yes")</f>
        <v>Yes</v>
      </c>
      <c r="AF22" s="5" t="str">
        <f ca="1">IFERROR(__xludf.DUMMYFUNCTION("""COMPUTED_VALUE"""),"Yes")</f>
        <v>Yes</v>
      </c>
      <c r="AG22" s="5" t="str">
        <f ca="1">IFERROR(__xludf.DUMMYFUNCTION("""COMPUTED_VALUE"""),"Yes")</f>
        <v>Yes</v>
      </c>
      <c r="AH22" s="5" t="str">
        <f ca="1">IFERROR(__xludf.DUMMYFUNCTION("""COMPUTED_VALUE"""),"Yes")</f>
        <v>Yes</v>
      </c>
      <c r="AI22" s="5" t="str">
        <f ca="1">IFERROR(__xludf.DUMMYFUNCTION("""COMPUTED_VALUE"""),"No")</f>
        <v>No</v>
      </c>
      <c r="AJ22" s="5" t="str">
        <f ca="1">IFERROR(__xludf.DUMMYFUNCTION("""COMPUTED_VALUE"""),"No")</f>
        <v>No</v>
      </c>
      <c r="AK22" s="5" t="str">
        <f ca="1">IFERROR(__xludf.DUMMYFUNCTION("""COMPUTED_VALUE"""),"No")</f>
        <v>No</v>
      </c>
      <c r="AL22" s="5" t="str">
        <f ca="1">IFERROR(__xludf.DUMMYFUNCTION("""COMPUTED_VALUE"""),"No")</f>
        <v>No</v>
      </c>
      <c r="AM22" s="5" t="str">
        <f ca="1">IFERROR(__xludf.DUMMYFUNCTION("""COMPUTED_VALUE"""),"No")</f>
        <v>No</v>
      </c>
      <c r="AN22" s="5" t="str">
        <f ca="1">IFERROR(__xludf.DUMMYFUNCTION("""COMPUTED_VALUE"""),"No")</f>
        <v>No</v>
      </c>
      <c r="AO22" s="5" t="str">
        <f ca="1">IFERROR(__xludf.DUMMYFUNCTION("""COMPUTED_VALUE"""),"No")</f>
        <v>No</v>
      </c>
      <c r="AP22" s="5" t="str">
        <f ca="1">IFERROR(__xludf.DUMMYFUNCTION("""COMPUTED_VALUE"""),"No")</f>
        <v>No</v>
      </c>
      <c r="AQ22" s="5" t="str">
        <f ca="1">IFERROR(__xludf.DUMMYFUNCTION("""COMPUTED_VALUE"""),"No")</f>
        <v>No</v>
      </c>
      <c r="AR22" s="5" t="str">
        <f ca="1">IFERROR(__xludf.DUMMYFUNCTION("""COMPUTED_VALUE"""),"No")</f>
        <v>No</v>
      </c>
      <c r="AS22" s="5" t="str">
        <f ca="1">IFERROR(__xludf.DUMMYFUNCTION("""COMPUTED_VALUE"""),"Yes")</f>
        <v>Yes</v>
      </c>
      <c r="AT22" s="5" t="str">
        <f ca="1">IFERROR(__xludf.DUMMYFUNCTION("""COMPUTED_VALUE"""),"No")</f>
        <v>No</v>
      </c>
      <c r="AU22" s="5"/>
    </row>
    <row r="23" spans="1:47" x14ac:dyDescent="0.25">
      <c r="A23" s="5" t="str">
        <f ca="1">IFERROR(__xludf.DUMMYFUNCTION("""COMPUTED_VALUE"""),"Playnet")</f>
        <v>Playnet</v>
      </c>
      <c r="B23" s="5" t="str">
        <f ca="1">IFERROR(__xludf.DUMMYFUNCTION("""COMPUTED_VALUE"""),"Majestic Crown x2")</f>
        <v>Majestic Crown x2</v>
      </c>
      <c r="C23" s="5" t="str">
        <f ca="1">IFERROR(__xludf.DUMMYFUNCTION("""COMPUTED_VALUE"""),"PlayNetMajesticCrownX2")</f>
        <v>PlayNetMajesticCrownX2</v>
      </c>
      <c r="D23" s="6">
        <f ca="1">IFERROR(__xludf.DUMMYFUNCTION("""COMPUTED_VALUE"""),45777)</f>
        <v>45777</v>
      </c>
      <c r="E23" s="5" t="str">
        <f ca="1">IFERROR(__xludf.DUMMYFUNCTION("""COMPUTED_VALUE"""),"Slot")</f>
        <v>Slot</v>
      </c>
      <c r="F23" s="5">
        <f ca="1">IFERROR(__xludf.DUMMYFUNCTION("""COMPUTED_VALUE"""),7.1)</f>
        <v>7.1</v>
      </c>
      <c r="G23" s="5" t="str">
        <f ca="1">IFERROR(__xludf.DUMMYFUNCTION("""COMPUTED_VALUE"""),"5x3")</f>
        <v>5x3</v>
      </c>
      <c r="H23" s="5">
        <f ca="1">IFERROR(__xludf.DUMMYFUNCTION("""COMPUTED_VALUE"""),5)</f>
        <v>5</v>
      </c>
      <c r="I23" s="5">
        <f ca="1">IFERROR(__xludf.DUMMYFUNCTION("""COMPUTED_VALUE"""),5)</f>
        <v>5</v>
      </c>
      <c r="J23" s="5" t="str">
        <f ca="1">IFERROR(__xludf.DUMMYFUNCTION("""COMPUTED_VALUE"""),"96.453%")</f>
        <v>96.453%</v>
      </c>
      <c r="K23" s="5" t="str">
        <f ca="1">IFERROR(__xludf.DUMMYFUNCTION("""COMPUTED_VALUE"""),"Medium")</f>
        <v>Medium</v>
      </c>
      <c r="L23" s="5" t="str">
        <f ca="1">IFERROR(__xludf.DUMMYFUNCTION("""COMPUTED_VALUE"""),"14.234%")</f>
        <v>14.234%</v>
      </c>
      <c r="M23" s="5" t="str">
        <f ca="1">IFERROR(__xludf.DUMMYFUNCTION("""COMPUTED_VALUE"""),"x2624")</f>
        <v>x2624</v>
      </c>
      <c r="N23" s="5" t="str">
        <f ca="1">IFERROR(__xludf.DUMMYFUNCTION("""COMPUTED_VALUE"""),"0.05/30")</f>
        <v>0.05/30</v>
      </c>
      <c r="O23" s="5" t="str">
        <f ca="1">IFERROR(__xludf.DUMMYFUNCTION("""COMPUTED_VALUE"""),"No")</f>
        <v>No</v>
      </c>
      <c r="P23" s="5" t="str">
        <f ca="1">IFERROR(__xludf.DUMMYFUNCTION("""COMPUTED_VALUE"""),"Wild Multiplier, Expanding Wild, Scatter")</f>
        <v>Wild Multiplier, Expanding Wild, Scatter</v>
      </c>
      <c r="Q23" s="7" t="str">
        <f ca="1">IFERROR(__xludf.DUMMYFUNCTION("""COMPUTED_VALUE"""),"https://gameserver-store-client-area.orbionlimited.com/Home/IntegrationGameLaunch/client-area?moneyType=0&amp;gameName=PlayNetMajesticCrownX2&amp;platform=desktop&amp;languageCode=eng&amp;currency=EUR")</f>
        <v>https://gameserver-store-client-area.orbionlimited.com/Home/IntegrationGameLaunch/client-area?moneyType=0&amp;gameName=PlayNetMajesticCrownX2&amp;platform=desktop&amp;languageCode=eng&amp;currency=EUR</v>
      </c>
      <c r="R23" s="5" t="str">
        <f ca="1">IFERROR(__xludf.DUMMYFUNCTION("""COMPUTED_VALUE"""),"Double the excitement with Majestic Crown X2! Land the special Crown symbol and see how far your luck can take you!")</f>
        <v>Double the excitement with Majestic Crown X2! Land the special Crown symbol and see how far your luck can take you!</v>
      </c>
      <c r="S2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IFERROR(__xludf.DUMMYFUNCTION("""COMPUTED_VALUE"""),"Yes")</f>
        <v>Yes</v>
      </c>
      <c r="AF23" s="5" t="str">
        <f ca="1">IFERROR(__xludf.DUMMYFUNCTION("""COMPUTED_VALUE"""),"Yes")</f>
        <v>Yes</v>
      </c>
      <c r="AG23" s="5" t="str">
        <f ca="1">IFERROR(__xludf.DUMMYFUNCTION("""COMPUTED_VALUE"""),"Yes")</f>
        <v>Yes</v>
      </c>
      <c r="AH23" s="5" t="str">
        <f ca="1">IFERROR(__xludf.DUMMYFUNCTION("""COMPUTED_VALUE"""),"Yes")</f>
        <v>Yes</v>
      </c>
      <c r="AI23" s="5" t="str">
        <f ca="1">IFERROR(__xludf.DUMMYFUNCTION("""COMPUTED_VALUE"""),"No")</f>
        <v>No</v>
      </c>
      <c r="AJ23" s="5" t="str">
        <f ca="1">IFERROR(__xludf.DUMMYFUNCTION("""COMPUTED_VALUE"""),"No")</f>
        <v>No</v>
      </c>
      <c r="AK23" s="5" t="str">
        <f ca="1">IFERROR(__xludf.DUMMYFUNCTION("""COMPUTED_VALUE"""),"No")</f>
        <v>No</v>
      </c>
      <c r="AL23" s="5" t="str">
        <f ca="1">IFERROR(__xludf.DUMMYFUNCTION("""COMPUTED_VALUE"""),"No")</f>
        <v>No</v>
      </c>
      <c r="AM23" s="5"/>
      <c r="AN23" s="5"/>
      <c r="AO23" s="5"/>
      <c r="AP23" s="5"/>
      <c r="AQ23" s="5" t="str">
        <f ca="1">IFERROR(__xludf.DUMMYFUNCTION("""COMPUTED_VALUE"""),"No")</f>
        <v>No</v>
      </c>
      <c r="AR23" s="5"/>
      <c r="AS23" s="5" t="str">
        <f ca="1">IFERROR(__xludf.DUMMYFUNCTION("""COMPUTED_VALUE"""),"Yes")</f>
        <v>Yes</v>
      </c>
      <c r="AT23" s="5"/>
      <c r="AU23" s="5"/>
    </row>
    <row r="24" spans="1:47" x14ac:dyDescent="0.25">
      <c r="A24" s="5" t="str">
        <f ca="1">IFERROR(__xludf.DUMMYFUNCTION("""COMPUTED_VALUE"""),"Playnet")</f>
        <v>Playnet</v>
      </c>
      <c r="B24" s="5" t="str">
        <f ca="1">IFERROR(__xludf.DUMMYFUNCTION("""COMPUTED_VALUE"""),"Bit Slot")</f>
        <v>Bit Slot</v>
      </c>
      <c r="C24" s="5" t="str">
        <f ca="1">IFERROR(__xludf.DUMMYFUNCTION("""COMPUTED_VALUE"""),"PlayNetBitSlot")</f>
        <v>PlayNetBitSlot</v>
      </c>
      <c r="D24" s="6">
        <f ca="1">IFERROR(__xludf.DUMMYFUNCTION("""COMPUTED_VALUE"""),45818)</f>
        <v>45818</v>
      </c>
      <c r="E24" s="5" t="str">
        <f ca="1">IFERROR(__xludf.DUMMYFUNCTION("""COMPUTED_VALUE"""),"Slot")</f>
        <v>Slot</v>
      </c>
      <c r="F24" s="5">
        <f ca="1">IFERROR(__xludf.DUMMYFUNCTION("""COMPUTED_VALUE"""),6.7)</f>
        <v>6.7</v>
      </c>
      <c r="G24" s="5" t="str">
        <f ca="1">IFERROR(__xludf.DUMMYFUNCTION("""COMPUTED_VALUE"""),"5x4")</f>
        <v>5x4</v>
      </c>
      <c r="H24" s="5">
        <f ca="1">IFERROR(__xludf.DUMMYFUNCTION("""COMPUTED_VALUE"""),40)</f>
        <v>40</v>
      </c>
      <c r="I24" s="5">
        <f ca="1">IFERROR(__xludf.DUMMYFUNCTION("""COMPUTED_VALUE"""),40)</f>
        <v>40</v>
      </c>
      <c r="J24" s="5" t="str">
        <f ca="1">IFERROR(__xludf.DUMMYFUNCTION("""COMPUTED_VALUE"""),"96.268%")</f>
        <v>96.268%</v>
      </c>
      <c r="K24" s="5" t="str">
        <f ca="1">IFERROR(__xludf.DUMMYFUNCTION("""COMPUTED_VALUE"""),"Medium")</f>
        <v>Medium</v>
      </c>
      <c r="L24" s="5" t="str">
        <f ca="1">IFERROR(__xludf.DUMMYFUNCTION("""COMPUTED_VALUE"""),"13.875%")</f>
        <v>13.875%</v>
      </c>
      <c r="M24" s="5" t="str">
        <f ca="1">IFERROR(__xludf.DUMMYFUNCTION("""COMPUTED_VALUE"""),"x1000")</f>
        <v>x1000</v>
      </c>
      <c r="N24" s="5" t="str">
        <f ca="1">IFERROR(__xludf.DUMMYFUNCTION("""COMPUTED_VALUE"""),"0.4/60")</f>
        <v>0.4/60</v>
      </c>
      <c r="O24" s="5" t="str">
        <f ca="1">IFERROR(__xludf.DUMMYFUNCTION("""COMPUTED_VALUE"""),"No")</f>
        <v>No</v>
      </c>
      <c r="P24" s="5" t="str">
        <f ca="1">IFERROR(__xludf.DUMMYFUNCTION("""COMPUTED_VALUE"""),"Expanding Wild, Scatter")</f>
        <v>Expanding Wild, Scatter</v>
      </c>
      <c r="Q24" s="7" t="str">
        <f ca="1">IFERROR(__xludf.DUMMYFUNCTION("""COMPUTED_VALUE"""),"https://gameserver-store-client-area.orbionlimited.com/Home/IntegrationGameLaunch/client-area?moneyType=0&amp;gameName=PlayNetBitSlot&amp;platform=desktop&amp;languageCode=eng&amp;currency=EUR")</f>
        <v>https://gameserver-store-client-area.orbionlimited.com/Home/IntegrationGameLaunch/client-area?moneyType=0&amp;gameName=PlayNetBitSlot&amp;platform=desktop&amp;languageCode=eng&amp;currency=EUR</v>
      </c>
      <c r="R24" s="5" t="str">
        <f ca="1">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S24" s="5" t="str">
        <f ca="1">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IFERROR(__xludf.DUMMYFUNCTION("""COMPUTED_VALUE"""),"Yes")</f>
        <v>Yes</v>
      </c>
      <c r="X24" s="5" t="str">
        <f ca="1">IFERROR(__xludf.DUMMYFUNCTION("""COMPUTED_VALUE"""),"Yes")</f>
        <v>Yes</v>
      </c>
      <c r="Y24" s="5" t="str">
        <f ca="1">IFERROR(__xludf.DUMMYFUNCTION("""COMPUTED_VALUE"""),"Yes")</f>
        <v>Yes</v>
      </c>
      <c r="Z24" s="5" t="str">
        <f ca="1">IFERROR(__xludf.DUMMYFUNCTION("""COMPUTED_VALUE"""),"Yes")</f>
        <v>Yes</v>
      </c>
      <c r="AA24" s="5" t="str">
        <f ca="1">IFERROR(__xludf.DUMMYFUNCTION("""COMPUTED_VALUE"""),"Yes")</f>
        <v>Yes</v>
      </c>
      <c r="AB24" s="5" t="str">
        <f ca="1">IFERROR(__xludf.DUMMYFUNCTION("""COMPUTED_VALUE"""),"Yes")</f>
        <v>Yes</v>
      </c>
      <c r="AC24" s="5" t="str">
        <f ca="1">IFERROR(__xludf.DUMMYFUNCTION("""COMPUTED_VALUE"""),"Yes")</f>
        <v>Yes</v>
      </c>
      <c r="AD24" s="5" t="str">
        <f ca="1">IFERROR(__xludf.DUMMYFUNCTION("""COMPUTED_VALUE"""),"Yes")</f>
        <v>Yes</v>
      </c>
      <c r="AE24" s="5" t="str">
        <f ca="1">IFERROR(__xludf.DUMMYFUNCTION("""COMPUTED_VALUE"""),"Yes")</f>
        <v>Yes</v>
      </c>
      <c r="AF24" s="5" t="str">
        <f ca="1">IFERROR(__xludf.DUMMYFUNCTION("""COMPUTED_VALUE"""),"Yes")</f>
        <v>Yes</v>
      </c>
      <c r="AG24" s="5" t="str">
        <f ca="1">IFERROR(__xludf.DUMMYFUNCTION("""COMPUTED_VALUE"""),"Yes")</f>
        <v>Yes</v>
      </c>
      <c r="AH24" s="5" t="str">
        <f ca="1">IFERROR(__xludf.DUMMYFUNCTION("""COMPUTED_VALUE"""),"Yes")</f>
        <v>Yes</v>
      </c>
      <c r="AI24" s="5" t="str">
        <f ca="1">IFERROR(__xludf.DUMMYFUNCTION("""COMPUTED_VALUE"""),"No")</f>
        <v>No</v>
      </c>
      <c r="AJ24" s="5" t="str">
        <f ca="1">IFERROR(__xludf.DUMMYFUNCTION("""COMPUTED_VALUE"""),"No")</f>
        <v>No</v>
      </c>
      <c r="AK24" s="5" t="str">
        <f ca="1">IFERROR(__xludf.DUMMYFUNCTION("""COMPUTED_VALUE"""),"No")</f>
        <v>No</v>
      </c>
      <c r="AL24" s="5" t="str">
        <f ca="1">IFERROR(__xludf.DUMMYFUNCTION("""COMPUTED_VALUE"""),"No")</f>
        <v>No</v>
      </c>
      <c r="AM24" s="5"/>
      <c r="AN24" s="5"/>
      <c r="AO24" s="5"/>
      <c r="AP24" s="5"/>
      <c r="AQ24" s="5" t="str">
        <f ca="1">IFERROR(__xludf.DUMMYFUNCTION("""COMPUTED_VALUE"""),"Yes")</f>
        <v>Yes</v>
      </c>
      <c r="AR24" s="5"/>
      <c r="AS24" s="5" t="str">
        <f ca="1">IFERROR(__xludf.DUMMYFUNCTION("""COMPUTED_VALUE"""),"Yes")</f>
        <v>Yes</v>
      </c>
      <c r="AT24" s="5"/>
      <c r="AU24" s="5"/>
    </row>
    <row r="25" spans="1:47" x14ac:dyDescent="0.25">
      <c r="A25" s="5" t="str">
        <f ca="1">IFERROR(__xludf.DUMMYFUNCTION("""COMPUTED_VALUE"""),"Playnet")</f>
        <v>Playnet</v>
      </c>
      <c r="B25" s="5" t="str">
        <f ca="1">IFERROR(__xludf.DUMMYFUNCTION("""COMPUTED_VALUE"""),"Fortune Clover 10")</f>
        <v>Fortune Clover 10</v>
      </c>
      <c r="C25" s="5" t="str">
        <f ca="1">IFERROR(__xludf.DUMMYFUNCTION("""COMPUTED_VALUE"""),"PlayNetFortuneClover10")</f>
        <v>PlayNetFortuneClover10</v>
      </c>
      <c r="D25" s="6">
        <f ca="1">IFERROR(__xludf.DUMMYFUNCTION("""COMPUTED_VALUE"""),45796)</f>
        <v>45796</v>
      </c>
      <c r="E25" s="5" t="str">
        <f ca="1">IFERROR(__xludf.DUMMYFUNCTION("""COMPUTED_VALUE"""),"Slot")</f>
        <v>Slot</v>
      </c>
      <c r="F25" s="5">
        <f ca="1">IFERROR(__xludf.DUMMYFUNCTION("""COMPUTED_VALUE"""),7.1)</f>
        <v>7.1</v>
      </c>
      <c r="G25" s="5" t="str">
        <f ca="1">IFERROR(__xludf.DUMMYFUNCTION("""COMPUTED_VALUE"""),"5x3")</f>
        <v>5x3</v>
      </c>
      <c r="H25" s="5">
        <f ca="1">IFERROR(__xludf.DUMMYFUNCTION("""COMPUTED_VALUE"""),10)</f>
        <v>10</v>
      </c>
      <c r="I25" s="5">
        <f ca="1">IFERROR(__xludf.DUMMYFUNCTION("""COMPUTED_VALUE"""),10)</f>
        <v>10</v>
      </c>
      <c r="J25" s="5" t="str">
        <f ca="1">IFERROR(__xludf.DUMMYFUNCTION("""COMPUTED_VALUE"""),"95.962%")</f>
        <v>95.962%</v>
      </c>
      <c r="K25" s="5" t="str">
        <f ca="1">IFERROR(__xludf.DUMMYFUNCTION("""COMPUTED_VALUE"""),"Medium")</f>
        <v>Medium</v>
      </c>
      <c r="L25" s="5" t="str">
        <f ca="1">IFERROR(__xludf.DUMMYFUNCTION("""COMPUTED_VALUE"""),"14.634%")</f>
        <v>14.634%</v>
      </c>
      <c r="M25" s="5" t="str">
        <f ca="1">IFERROR(__xludf.DUMMYFUNCTION("""COMPUTED_VALUE"""),"x1538")</f>
        <v>x1538</v>
      </c>
      <c r="N25" s="5" t="str">
        <f ca="1">IFERROR(__xludf.DUMMYFUNCTION("""COMPUTED_VALUE"""),"0.01/50")</f>
        <v>0.01/50</v>
      </c>
      <c r="O25" s="5" t="str">
        <f ca="1">IFERROR(__xludf.DUMMYFUNCTION("""COMPUTED_VALUE"""),"No")</f>
        <v>No</v>
      </c>
      <c r="P25" s="5" t="str">
        <f ca="1">IFERROR(__xludf.DUMMYFUNCTION("""COMPUTED_VALUE"""),"Expanding Wild, Scatter")</f>
        <v>Expanding Wild, Scatter</v>
      </c>
      <c r="Q25" s="7" t="str">
        <f ca="1">IFERROR(__xludf.DUMMYFUNCTION("""COMPUTED_VALUE"""),"https://gameserver-store-client-area.orbionlimited.com/Home/IntegrationGameLaunch/client-area?moneyType=0&amp;gameName=PlayNetFortuneClover10&amp;platform=desktop&amp;languageCode=eng&amp;currency=EUR")</f>
        <v>https://gameserver-store-client-area.orbionlimited.com/Home/IntegrationGameLaunch/client-area?moneyType=0&amp;gameName=PlayNetFortuneClover10&amp;platform=desktop&amp;languageCode=eng&amp;currency=EUR</v>
      </c>
      <c r="R25" s="5" t="str">
        <f ca="1">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S2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IFERROR(__xludf.DUMMYFUNCTION("""COMPUTED_VALUE"""),"Yes")</f>
        <v>Yes</v>
      </c>
      <c r="AF25" s="5" t="str">
        <f ca="1">IFERROR(__xludf.DUMMYFUNCTION("""COMPUTED_VALUE"""),"Yes")</f>
        <v>Yes</v>
      </c>
      <c r="AG25" s="5" t="str">
        <f ca="1">IFERROR(__xludf.DUMMYFUNCTION("""COMPUTED_VALUE"""),"Yes")</f>
        <v>Yes</v>
      </c>
      <c r="AH25" s="5" t="str">
        <f ca="1">IFERROR(__xludf.DUMMYFUNCTION("""COMPUTED_VALUE"""),"Yes")</f>
        <v>Yes</v>
      </c>
      <c r="AI25" s="5" t="str">
        <f ca="1">IFERROR(__xludf.DUMMYFUNCTION("""COMPUTED_VALUE"""),"No")</f>
        <v>No</v>
      </c>
      <c r="AJ25" s="5" t="str">
        <f ca="1">IFERROR(__xludf.DUMMYFUNCTION("""COMPUTED_VALUE"""),"No")</f>
        <v>No</v>
      </c>
      <c r="AK25" s="5" t="str">
        <f ca="1">IFERROR(__xludf.DUMMYFUNCTION("""COMPUTED_VALUE"""),"No")</f>
        <v>No</v>
      </c>
      <c r="AL25" s="5" t="str">
        <f ca="1">IFERROR(__xludf.DUMMYFUNCTION("""COMPUTED_VALUE"""),"No")</f>
        <v>No</v>
      </c>
      <c r="AM25" s="5" t="str">
        <f ca="1">IFERROR(__xludf.DUMMYFUNCTION("""COMPUTED_VALUE"""),"No")</f>
        <v>No</v>
      </c>
      <c r="AN25" s="5" t="str">
        <f ca="1">IFERROR(__xludf.DUMMYFUNCTION("""COMPUTED_VALUE"""),"No")</f>
        <v>No</v>
      </c>
      <c r="AO25" s="5" t="str">
        <f ca="1">IFERROR(__xludf.DUMMYFUNCTION("""COMPUTED_VALUE"""),"No")</f>
        <v>No</v>
      </c>
      <c r="AP25" s="5" t="str">
        <f ca="1">IFERROR(__xludf.DUMMYFUNCTION("""COMPUTED_VALUE"""),"No")</f>
        <v>No</v>
      </c>
      <c r="AQ25" s="5" t="str">
        <f ca="1">IFERROR(__xludf.DUMMYFUNCTION("""COMPUTED_VALUE"""),"No")</f>
        <v>No</v>
      </c>
      <c r="AR25" s="5" t="str">
        <f ca="1">IFERROR(__xludf.DUMMYFUNCTION("""COMPUTED_VALUE"""),"No")</f>
        <v>No</v>
      </c>
      <c r="AS25" s="5" t="str">
        <f ca="1">IFERROR(__xludf.DUMMYFUNCTION("""COMPUTED_VALUE"""),"Yes")</f>
        <v>Yes</v>
      </c>
      <c r="AT25" s="5" t="str">
        <f ca="1">IFERROR(__xludf.DUMMYFUNCTION("""COMPUTED_VALUE"""),"No")</f>
        <v>No</v>
      </c>
      <c r="AU25" s="5"/>
    </row>
    <row r="26" spans="1:47" x14ac:dyDescent="0.25">
      <c r="A26" s="5" t="str">
        <f ca="1">IFERROR(__xludf.DUMMYFUNCTION("""COMPUTED_VALUE"""),"Playnet")</f>
        <v>Playnet</v>
      </c>
      <c r="B26" s="5" t="str">
        <f ca="1">IFERROR(__xludf.DUMMYFUNCTION("""COMPUTED_VALUE"""),"Majestic Crown 100")</f>
        <v>Majestic Crown 100</v>
      </c>
      <c r="C26" s="5" t="str">
        <f ca="1">IFERROR(__xludf.DUMMYFUNCTION("""COMPUTED_VALUE"""),"PlayNetMajesticCrown100")</f>
        <v>PlayNetMajesticCrown100</v>
      </c>
      <c r="D26" s="6">
        <f ca="1">IFERROR(__xludf.DUMMYFUNCTION("""COMPUTED_VALUE"""),45810)</f>
        <v>45810</v>
      </c>
      <c r="E26" s="5" t="str">
        <f ca="1">IFERROR(__xludf.DUMMYFUNCTION("""COMPUTED_VALUE"""),"Slot")</f>
        <v>Slot</v>
      </c>
      <c r="F26" s="5">
        <f ca="1">IFERROR(__xludf.DUMMYFUNCTION("""COMPUTED_VALUE"""),7)</f>
        <v>7</v>
      </c>
      <c r="G26" s="5" t="str">
        <f ca="1">IFERROR(__xludf.DUMMYFUNCTION("""COMPUTED_VALUE"""),"5x4")</f>
        <v>5x4</v>
      </c>
      <c r="H26" s="5">
        <f ca="1">IFERROR(__xludf.DUMMYFUNCTION("""COMPUTED_VALUE"""),100)</f>
        <v>100</v>
      </c>
      <c r="I26" s="5">
        <f ca="1">IFERROR(__xludf.DUMMYFUNCTION("""COMPUTED_VALUE"""),100)</f>
        <v>100</v>
      </c>
      <c r="J26" s="5" t="str">
        <f ca="1">IFERROR(__xludf.DUMMYFUNCTION("""COMPUTED_VALUE"""),"96.502%")</f>
        <v>96.502%</v>
      </c>
      <c r="K26" s="5" t="str">
        <f ca="1">IFERROR(__xludf.DUMMYFUNCTION("""COMPUTED_VALUE"""),"Medium")</f>
        <v>Medium</v>
      </c>
      <c r="L26" s="5" t="str">
        <f ca="1">IFERROR(__xludf.DUMMYFUNCTION("""COMPUTED_VALUE"""),"13.309%")</f>
        <v>13.309%</v>
      </c>
      <c r="M26" s="5" t="str">
        <f ca="1">IFERROR(__xludf.DUMMYFUNCTION("""COMPUTED_VALUE"""),"x3000")</f>
        <v>x3000</v>
      </c>
      <c r="N26" s="5" t="str">
        <f ca="1">IFERROR(__xludf.DUMMYFUNCTION("""COMPUTED_VALUE"""),"1/100")</f>
        <v>1/100</v>
      </c>
      <c r="O26" s="5" t="str">
        <f ca="1">IFERROR(__xludf.DUMMYFUNCTION("""COMPUTED_VALUE"""),"No")</f>
        <v>No</v>
      </c>
      <c r="P26" s="5" t="str">
        <f ca="1">IFERROR(__xludf.DUMMYFUNCTION("""COMPUTED_VALUE"""),"Scatter, Expanding Wild")</f>
        <v>Scatter, Expanding Wild</v>
      </c>
      <c r="Q26" s="7" t="str">
        <f ca="1">IFERROR(__xludf.DUMMYFUNCTION("""COMPUTED_VALUE"""),"https://gameserver-store-client-area.orbionlimited.com/Home/IntegrationGameLaunch/client-area?moneyType=0&amp;gameName=PlayNetMajesticCrown100&amp;platform=desktop&amp;languageCode=eng&amp;currency=EUR")</f>
        <v>https://gameserver-store-client-area.orbionlimited.com/Home/IntegrationGameLaunch/client-area?moneyType=0&amp;gameName=PlayNetMajesticCrown100&amp;platform=desktop&amp;languageCode=eng&amp;currency=EUR</v>
      </c>
      <c r="R26" s="5" t="str">
        <f ca="1">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S2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IFERROR(__xludf.DUMMYFUNCTION("""COMPUTED_VALUE"""),"Yes")</f>
        <v>Yes</v>
      </c>
      <c r="X26" s="5" t="str">
        <f ca="1">IFERROR(__xludf.DUMMYFUNCTION("""COMPUTED_VALUE"""),"Yes")</f>
        <v>Yes</v>
      </c>
      <c r="Y26" s="5" t="str">
        <f ca="1">IFERROR(__xludf.DUMMYFUNCTION("""COMPUTED_VALUE"""),"Yes")</f>
        <v>Yes</v>
      </c>
      <c r="Z26" s="5" t="str">
        <f ca="1">IFERROR(__xludf.DUMMYFUNCTION("""COMPUTED_VALUE"""),"Yes")</f>
        <v>Yes</v>
      </c>
      <c r="AA26" s="5" t="str">
        <f ca="1">IFERROR(__xludf.DUMMYFUNCTION("""COMPUTED_VALUE"""),"Yes")</f>
        <v>Yes</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IFERROR(__xludf.DUMMYFUNCTION("""COMPUTED_VALUE"""),"Yes")</f>
        <v>Yes</v>
      </c>
      <c r="AF26" s="5" t="str">
        <f ca="1">IFERROR(__xludf.DUMMYFUNCTION("""COMPUTED_VALUE"""),"Yes")</f>
        <v>Yes</v>
      </c>
      <c r="AG26" s="5" t="str">
        <f ca="1">IFERROR(__xludf.DUMMYFUNCTION("""COMPUTED_VALUE"""),"Yes")</f>
        <v>Yes</v>
      </c>
      <c r="AH26" s="5" t="str">
        <f ca="1">IFERROR(__xludf.DUMMYFUNCTION("""COMPUTED_VALUE"""),"Yes")</f>
        <v>Yes</v>
      </c>
      <c r="AI26" s="5" t="str">
        <f ca="1">IFERROR(__xludf.DUMMYFUNCTION("""COMPUTED_VALUE"""),"No")</f>
        <v>No</v>
      </c>
      <c r="AJ26" s="5" t="str">
        <f ca="1">IFERROR(__xludf.DUMMYFUNCTION("""COMPUTED_VALUE"""),"No")</f>
        <v>No</v>
      </c>
      <c r="AK26" s="5" t="str">
        <f ca="1">IFERROR(__xludf.DUMMYFUNCTION("""COMPUTED_VALUE"""),"No")</f>
        <v>No</v>
      </c>
      <c r="AL26" s="5" t="str">
        <f ca="1">IFERROR(__xludf.DUMMYFUNCTION("""COMPUTED_VALUE"""),"No")</f>
        <v>No</v>
      </c>
      <c r="AM26" s="5"/>
      <c r="AN26" s="5"/>
      <c r="AO26" s="5"/>
      <c r="AP26" s="5"/>
      <c r="AQ26" s="5" t="str">
        <f ca="1">IFERROR(__xludf.DUMMYFUNCTION("""COMPUTED_VALUE"""),"No")</f>
        <v>No</v>
      </c>
      <c r="AR26" s="5"/>
      <c r="AS26" s="5" t="str">
        <f ca="1">IFERROR(__xludf.DUMMYFUNCTION("""COMPUTED_VALUE"""),"Yes")</f>
        <v>Yes</v>
      </c>
      <c r="AT26" s="5"/>
      <c r="AU26" s="5"/>
    </row>
    <row r="27" spans="1:47" x14ac:dyDescent="0.25">
      <c r="A27" s="5" t="str">
        <f ca="1">IFERROR(__xludf.DUMMYFUNCTION("""COMPUTED_VALUE"""),"Playnet")</f>
        <v>Playnet</v>
      </c>
      <c r="B27" s="5" t="str">
        <f ca="1">IFERROR(__xludf.DUMMYFUNCTION("""COMPUTED_VALUE"""),"Fortune Clover 20")</f>
        <v>Fortune Clover 20</v>
      </c>
      <c r="C27" s="5" t="str">
        <f ca="1">IFERROR(__xludf.DUMMYFUNCTION("""COMPUTED_VALUE"""),"PlayNetFortuneClover20")</f>
        <v>PlayNetFortuneClover20</v>
      </c>
      <c r="D27" s="6">
        <f ca="1">IFERROR(__xludf.DUMMYFUNCTION("""COMPUTED_VALUE"""),45826)</f>
        <v>45826</v>
      </c>
      <c r="E27" s="5" t="str">
        <f ca="1">IFERROR(__xludf.DUMMYFUNCTION("""COMPUTED_VALUE"""),"Slot")</f>
        <v>Slot</v>
      </c>
      <c r="F27" s="5">
        <f ca="1">IFERROR(__xludf.DUMMYFUNCTION("""COMPUTED_VALUE"""),7.2)</f>
        <v>7.2</v>
      </c>
      <c r="G27" s="5" t="str">
        <f ca="1">IFERROR(__xludf.DUMMYFUNCTION("""COMPUTED_VALUE"""),"5x3")</f>
        <v>5x3</v>
      </c>
      <c r="H27" s="5">
        <f ca="1">IFERROR(__xludf.DUMMYFUNCTION("""COMPUTED_VALUE"""),20)</f>
        <v>20</v>
      </c>
      <c r="I27" s="5">
        <f ca="1">IFERROR(__xludf.DUMMYFUNCTION("""COMPUTED_VALUE"""),20)</f>
        <v>20</v>
      </c>
      <c r="J27" s="5" t="str">
        <f ca="1">IFERROR(__xludf.DUMMYFUNCTION("""COMPUTED_VALUE"""),"96.504%")</f>
        <v>96.504%</v>
      </c>
      <c r="K27" s="5" t="str">
        <f ca="1">IFERROR(__xludf.DUMMYFUNCTION("""COMPUTED_VALUE"""),"Medium")</f>
        <v>Medium</v>
      </c>
      <c r="L27" s="5" t="str">
        <f ca="1">IFERROR(__xludf.DUMMYFUNCTION("""COMPUTED_VALUE"""),"21.751%")</f>
        <v>21.751%</v>
      </c>
      <c r="M27" s="5" t="str">
        <f ca="1">IFERROR(__xludf.DUMMYFUNCTION("""COMPUTED_VALUE"""),"x1231.5")</f>
        <v>x1231.5</v>
      </c>
      <c r="N27" s="5" t="str">
        <f ca="1">IFERROR(__xludf.DUMMYFUNCTION("""COMPUTED_VALUE"""),"0.2/50")</f>
        <v>0.2/50</v>
      </c>
      <c r="O27" s="5" t="str">
        <f ca="1">IFERROR(__xludf.DUMMYFUNCTION("""COMPUTED_VALUE"""),"No")</f>
        <v>No</v>
      </c>
      <c r="P27" s="5" t="str">
        <f ca="1">IFERROR(__xludf.DUMMYFUNCTION("""COMPUTED_VALUE"""),"Scatter, Expanding Wild")</f>
        <v>Scatter, Expanding Wild</v>
      </c>
      <c r="Q27" s="7" t="str">
        <f ca="1">IFERROR(__xludf.DUMMYFUNCTION("""COMPUTED_VALUE"""),"https://gameserver-store-client-area.orbionlimited.com/Home/IntegrationGameLaunch/client-area?moneyType=0&amp;gameName=PlayNetFortuneClover20&amp;platform=desktop&amp;languageCode=eng&amp;currency=EUR")</f>
        <v>https://gameserver-store-client-area.orbionlimited.com/Home/IntegrationGameLaunch/client-area?moneyType=0&amp;gameName=PlayNetFortuneClover20&amp;platform=desktop&amp;languageCode=eng&amp;currency=EUR</v>
      </c>
      <c r="R27" s="5" t="str">
        <f ca="1">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S2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IFERROR(__xludf.DUMMYFUNCTION("""COMPUTED_VALUE"""),"Yes")</f>
        <v>Yes</v>
      </c>
      <c r="X27" s="5" t="str">
        <f ca="1">IFERROR(__xludf.DUMMYFUNCTION("""COMPUTED_VALUE"""),"Yes")</f>
        <v>Yes</v>
      </c>
      <c r="Y27" s="5" t="str">
        <f ca="1">IFERROR(__xludf.DUMMYFUNCTION("""COMPUTED_VALUE"""),"Yes")</f>
        <v>Yes</v>
      </c>
      <c r="Z27" s="5" t="str">
        <f ca="1">IFERROR(__xludf.DUMMYFUNCTION("""COMPUTED_VALUE"""),"Yes")</f>
        <v>Yes</v>
      </c>
      <c r="AA27" s="5" t="str">
        <f ca="1">IFERROR(__xludf.DUMMYFUNCTION("""COMPUTED_VALUE"""),"Yes")</f>
        <v>Yes</v>
      </c>
      <c r="AB27" s="5" t="str">
        <f ca="1">IFERROR(__xludf.DUMMYFUNCTION("""COMPUTED_VALUE"""),"Yes")</f>
        <v>Yes</v>
      </c>
      <c r="AC27" s="5" t="str">
        <f ca="1">IFERROR(__xludf.DUMMYFUNCTION("""COMPUTED_VALUE"""),"Yes")</f>
        <v>Yes</v>
      </c>
      <c r="AD27" s="5" t="str">
        <f ca="1">IFERROR(__xludf.DUMMYFUNCTION("""COMPUTED_VALUE"""),"Yes")</f>
        <v>Yes</v>
      </c>
      <c r="AE27" s="5" t="str">
        <f ca="1">IFERROR(__xludf.DUMMYFUNCTION("""COMPUTED_VALUE"""),"Yes")</f>
        <v>Yes</v>
      </c>
      <c r="AF27" s="5" t="str">
        <f ca="1">IFERROR(__xludf.DUMMYFUNCTION("""COMPUTED_VALUE"""),"Yes")</f>
        <v>Yes</v>
      </c>
      <c r="AG27" s="5" t="str">
        <f ca="1">IFERROR(__xludf.DUMMYFUNCTION("""COMPUTED_VALUE"""),"Yes")</f>
        <v>Yes</v>
      </c>
      <c r="AH27" s="5" t="str">
        <f ca="1">IFERROR(__xludf.DUMMYFUNCTION("""COMPUTED_VALUE"""),"Yes")</f>
        <v>Yes</v>
      </c>
      <c r="AI27" s="5" t="str">
        <f ca="1">IFERROR(__xludf.DUMMYFUNCTION("""COMPUTED_VALUE"""),"No")</f>
        <v>No</v>
      </c>
      <c r="AJ27" s="5" t="str">
        <f ca="1">IFERROR(__xludf.DUMMYFUNCTION("""COMPUTED_VALUE"""),"No")</f>
        <v>No</v>
      </c>
      <c r="AK27" s="5" t="str">
        <f ca="1">IFERROR(__xludf.DUMMYFUNCTION("""COMPUTED_VALUE"""),"No")</f>
        <v>No</v>
      </c>
      <c r="AL27" s="5" t="str">
        <f ca="1">IFERROR(__xludf.DUMMYFUNCTION("""COMPUTED_VALUE"""),"No")</f>
        <v>No</v>
      </c>
      <c r="AM27" s="5"/>
      <c r="AN27" s="5"/>
      <c r="AO27" s="5"/>
      <c r="AP27" s="5"/>
      <c r="AQ27" s="5" t="str">
        <f ca="1">IFERROR(__xludf.DUMMYFUNCTION("""COMPUTED_VALUE"""),"No")</f>
        <v>No</v>
      </c>
      <c r="AR27" s="5"/>
      <c r="AS27" s="5" t="str">
        <f ca="1">IFERROR(__xludf.DUMMYFUNCTION("""COMPUTED_VALUE"""),"Yes")</f>
        <v>Yes</v>
      </c>
      <c r="AT27" s="5"/>
      <c r="AU27" s="5"/>
    </row>
    <row r="28" spans="1:47" x14ac:dyDescent="0.25">
      <c r="A28" s="5" t="str">
        <f ca="1">IFERROR(__xludf.DUMMYFUNCTION("""COMPUTED_VALUE"""),"Playnet")</f>
        <v>Playnet</v>
      </c>
      <c r="B28" s="5" t="str">
        <f ca="1">IFERROR(__xludf.DUMMYFUNCTION("""COMPUTED_VALUE"""),"Majestic Crown 5")</f>
        <v>Majestic Crown 5</v>
      </c>
      <c r="C28" s="5" t="str">
        <f ca="1">IFERROR(__xludf.DUMMYFUNCTION("""COMPUTED_VALUE"""),"PlayNetMajesticCrown5")</f>
        <v>PlayNetMajesticCrown5</v>
      </c>
      <c r="D28" s="6">
        <f ca="1">IFERROR(__xludf.DUMMYFUNCTION("""COMPUTED_VALUE"""),45839)</f>
        <v>45839</v>
      </c>
      <c r="E28" s="5" t="str">
        <f ca="1">IFERROR(__xludf.DUMMYFUNCTION("""COMPUTED_VALUE"""),"Slot")</f>
        <v>Slot</v>
      </c>
      <c r="F28" s="5">
        <f ca="1">IFERROR(__xludf.DUMMYFUNCTION("""COMPUTED_VALUE"""),7.2)</f>
        <v>7.2</v>
      </c>
      <c r="G28" s="5" t="str">
        <f ca="1">IFERROR(__xludf.DUMMYFUNCTION("""COMPUTED_VALUE"""),"5x3")</f>
        <v>5x3</v>
      </c>
      <c r="H28" s="5">
        <f ca="1">IFERROR(__xludf.DUMMYFUNCTION("""COMPUTED_VALUE"""),5)</f>
        <v>5</v>
      </c>
      <c r="I28" s="5">
        <f ca="1">IFERROR(__xludf.DUMMYFUNCTION("""COMPUTED_VALUE"""),5)</f>
        <v>5</v>
      </c>
      <c r="J28" s="5" t="str">
        <f ca="1">IFERROR(__xludf.DUMMYFUNCTION("""COMPUTED_VALUE"""),"96.962%")</f>
        <v>96.962%</v>
      </c>
      <c r="K28" s="5" t="str">
        <f ca="1">IFERROR(__xludf.DUMMYFUNCTION("""COMPUTED_VALUE"""),"Medium")</f>
        <v>Medium</v>
      </c>
      <c r="L28" s="5" t="str">
        <f ca="1">IFERROR(__xludf.DUMMYFUNCTION("""COMPUTED_VALUE"""),"12.259%")</f>
        <v>12.259%</v>
      </c>
      <c r="M28" s="5" t="str">
        <f ca="1">IFERROR(__xludf.DUMMYFUNCTION("""COMPUTED_VALUE"""),"x2018")</f>
        <v>x2018</v>
      </c>
      <c r="N28" s="5" t="str">
        <f ca="1">IFERROR(__xludf.DUMMYFUNCTION("""COMPUTED_VALUE"""),"0.05/30")</f>
        <v>0.05/30</v>
      </c>
      <c r="O28" s="5" t="str">
        <f ca="1">IFERROR(__xludf.DUMMYFUNCTION("""COMPUTED_VALUE"""),"No")</f>
        <v>No</v>
      </c>
      <c r="P28" s="5" t="str">
        <f ca="1">IFERROR(__xludf.DUMMYFUNCTION("""COMPUTED_VALUE"""),"Scatter, Expanding Wild")</f>
        <v>Scatter, Expanding Wild</v>
      </c>
      <c r="Q28" s="7" t="str">
        <f ca="1">IFERROR(__xludf.DUMMYFUNCTION("""COMPUTED_VALUE"""),"https://gameserver-store-client-area.orbionlimited.com/Home/IntegrationGameLaunch/client-area?moneyType=0&amp;gameName=PlayNetMajesticCrown5&amp;platform=desktop&amp;languageCode=eng&amp;currency=EUR")</f>
        <v>https://gameserver-store-client-area.orbionlimited.com/Home/IntegrationGameLaunch/client-area?moneyType=0&amp;gameName=PlayNetMajesticCrown5&amp;platform=desktop&amp;languageCode=eng&amp;currency=EUR</v>
      </c>
      <c r="R28" s="5" t="str">
        <f ca="1">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S2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IFERROR(__xludf.DUMMYFUNCTION("""COMPUTED_VALUE"""),"Yes")</f>
        <v>Yes</v>
      </c>
      <c r="X28" s="5" t="str">
        <f ca="1">IFERROR(__xludf.DUMMYFUNCTION("""COMPUTED_VALUE"""),"Yes")</f>
        <v>Yes</v>
      </c>
      <c r="Y28" s="5" t="str">
        <f ca="1">IFERROR(__xludf.DUMMYFUNCTION("""COMPUTED_VALUE"""),"Yes")</f>
        <v>Yes</v>
      </c>
      <c r="Z28" s="5" t="str">
        <f ca="1">IFERROR(__xludf.DUMMYFUNCTION("""COMPUTED_VALUE"""),"Yes")</f>
        <v>Yes</v>
      </c>
      <c r="AA28" s="5" t="str">
        <f ca="1">IFERROR(__xludf.DUMMYFUNCTION("""COMPUTED_VALUE"""),"Yes")</f>
        <v>Yes</v>
      </c>
      <c r="AB28" s="5" t="str">
        <f ca="1">IFERROR(__xludf.DUMMYFUNCTION("""COMPUTED_VALUE"""),"Yes")</f>
        <v>Yes</v>
      </c>
      <c r="AC28" s="5" t="str">
        <f ca="1">IFERROR(__xludf.DUMMYFUNCTION("""COMPUTED_VALUE"""),"Yes")</f>
        <v>Yes</v>
      </c>
      <c r="AD28" s="5" t="str">
        <f ca="1">IFERROR(__xludf.DUMMYFUNCTION("""COMPUTED_VALUE"""),"Yes")</f>
        <v>Yes</v>
      </c>
      <c r="AE28" s="5" t="str">
        <f ca="1">IFERROR(__xludf.DUMMYFUNCTION("""COMPUTED_VALUE"""),"Yes")</f>
        <v>Yes</v>
      </c>
      <c r="AF28" s="5" t="str">
        <f ca="1">IFERROR(__xludf.DUMMYFUNCTION("""COMPUTED_VALUE"""),"Yes")</f>
        <v>Yes</v>
      </c>
      <c r="AG28" s="5" t="str">
        <f ca="1">IFERROR(__xludf.DUMMYFUNCTION("""COMPUTED_VALUE"""),"Yes")</f>
        <v>Yes</v>
      </c>
      <c r="AH28" s="5" t="str">
        <f ca="1">IFERROR(__xludf.DUMMYFUNCTION("""COMPUTED_VALUE"""),"Yes")</f>
        <v>Yes</v>
      </c>
      <c r="AI28" s="5" t="str">
        <f ca="1">IFERROR(__xludf.DUMMYFUNCTION("""COMPUTED_VALUE"""),"No")</f>
        <v>No</v>
      </c>
      <c r="AJ28" s="5" t="str">
        <f ca="1">IFERROR(__xludf.DUMMYFUNCTION("""COMPUTED_VALUE"""),"No")</f>
        <v>No</v>
      </c>
      <c r="AK28" s="5" t="str">
        <f ca="1">IFERROR(__xludf.DUMMYFUNCTION("""COMPUTED_VALUE"""),"No")</f>
        <v>No</v>
      </c>
      <c r="AL28" s="5" t="str">
        <f ca="1">IFERROR(__xludf.DUMMYFUNCTION("""COMPUTED_VALUE"""),"No")</f>
        <v>No</v>
      </c>
      <c r="AM28" s="5"/>
      <c r="AN28" s="5"/>
      <c r="AO28" s="5"/>
      <c r="AP28" s="5"/>
      <c r="AQ28" s="5" t="str">
        <f ca="1">IFERROR(__xludf.DUMMYFUNCTION("""COMPUTED_VALUE"""),"No")</f>
        <v>No</v>
      </c>
      <c r="AR28" s="5"/>
      <c r="AS28" s="5" t="str">
        <f ca="1">IFERROR(__xludf.DUMMYFUNCTION("""COMPUTED_VALUE"""),"Yes")</f>
        <v>Yes</v>
      </c>
      <c r="AT28" s="5"/>
      <c r="AU28" s="5"/>
    </row>
    <row r="29" spans="1:47" x14ac:dyDescent="0.25">
      <c r="A29" s="5" t="str">
        <f ca="1">IFERROR(__xludf.DUMMYFUNCTION("""COMPUTED_VALUE"""),"Playnet")</f>
        <v>Playnet</v>
      </c>
      <c r="B29" s="5" t="str">
        <f ca="1">IFERROR(__xludf.DUMMYFUNCTION("""COMPUTED_VALUE"""),"Diamond Heart 100")</f>
        <v>Diamond Heart 100</v>
      </c>
      <c r="C29" s="5" t="str">
        <f ca="1">IFERROR(__xludf.DUMMYFUNCTION("""COMPUTED_VALUE"""),"PlayNetDiamondHeart100")</f>
        <v>PlayNetDiamondHeart100</v>
      </c>
      <c r="D29" s="6">
        <f ca="1">IFERROR(__xludf.DUMMYFUNCTION("""COMPUTED_VALUE"""),45874)</f>
        <v>45874</v>
      </c>
      <c r="E29" s="5" t="str">
        <f ca="1">IFERROR(__xludf.DUMMYFUNCTION("""COMPUTED_VALUE"""),"Slot")</f>
        <v>Slot</v>
      </c>
      <c r="F29" s="5">
        <f ca="1">IFERROR(__xludf.DUMMYFUNCTION("""COMPUTED_VALUE"""),7.3)</f>
        <v>7.3</v>
      </c>
      <c r="G29" s="5" t="str">
        <f ca="1">IFERROR(__xludf.DUMMYFUNCTION("""COMPUTED_VALUE"""),"5x4")</f>
        <v>5x4</v>
      </c>
      <c r="H29" s="5">
        <f ca="1">IFERROR(__xludf.DUMMYFUNCTION("""COMPUTED_VALUE"""),100)</f>
        <v>100</v>
      </c>
      <c r="I29" s="5">
        <f ca="1">IFERROR(__xludf.DUMMYFUNCTION("""COMPUTED_VALUE"""),100)</f>
        <v>100</v>
      </c>
      <c r="J29" s="5" t="str">
        <f ca="1">IFERROR(__xludf.DUMMYFUNCTION("""COMPUTED_VALUE"""),"96.502%")</f>
        <v>96.502%</v>
      </c>
      <c r="K29" s="5" t="str">
        <f ca="1">IFERROR(__xludf.DUMMYFUNCTION("""COMPUTED_VALUE"""),"Medium")</f>
        <v>Medium</v>
      </c>
      <c r="L29" s="5" t="str">
        <f ca="1">IFERROR(__xludf.DUMMYFUNCTION("""COMPUTED_VALUE"""),"13.309%")</f>
        <v>13.309%</v>
      </c>
      <c r="M29" s="5" t="str">
        <f ca="1">IFERROR(__xludf.DUMMYFUNCTION("""COMPUTED_VALUE"""),"x3000")</f>
        <v>x3000</v>
      </c>
      <c r="N29" s="5" t="str">
        <f ca="1">IFERROR(__xludf.DUMMYFUNCTION("""COMPUTED_VALUE"""),"1/100")</f>
        <v>1/100</v>
      </c>
      <c r="O29" s="5" t="str">
        <f ca="1">IFERROR(__xludf.DUMMYFUNCTION("""COMPUTED_VALUE"""),"No")</f>
        <v>No</v>
      </c>
      <c r="P29" s="5" t="str">
        <f ca="1">IFERROR(__xludf.DUMMYFUNCTION("""COMPUTED_VALUE"""),"Scatter, Expanding Wild")</f>
        <v>Scatter, Expanding Wild</v>
      </c>
      <c r="Q29" s="7" t="str">
        <f ca="1">IFERROR(__xludf.DUMMYFUNCTION("""COMPUTED_VALUE"""),"https://gameserver-store-client-area.orbionlimited.com/Home/IntegrationGameLaunch/client-area?moneyType=0&amp;gameName=PlayNetDiamondHeart100&amp;platform=desktop&amp;languageCode=eng&amp;currency=EUR")</f>
        <v>https://gameserver-store-client-area.orbionlimited.com/Home/IntegrationGameLaunch/client-area?moneyType=0&amp;gameName=PlayNetDiamondHeart100&amp;platform=desktop&amp;languageCode=eng&amp;currency=EUR</v>
      </c>
      <c r="R29" s="5" t="str">
        <f ca="1">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S2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IFERROR(__xludf.DUMMYFUNCTION("""COMPUTED_VALUE"""),"Yes")</f>
        <v>Yes</v>
      </c>
      <c r="AF29" s="5" t="str">
        <f ca="1">IFERROR(__xludf.DUMMYFUNCTION("""COMPUTED_VALUE"""),"Yes")</f>
        <v>Yes</v>
      </c>
      <c r="AG29" s="5" t="str">
        <f ca="1">IFERROR(__xludf.DUMMYFUNCTION("""COMPUTED_VALUE"""),"Yes")</f>
        <v>Yes</v>
      </c>
      <c r="AH29" s="5" t="str">
        <f ca="1">IFERROR(__xludf.DUMMYFUNCTION("""COMPUTED_VALUE"""),"Yes")</f>
        <v>Yes</v>
      </c>
      <c r="AI29" s="5" t="str">
        <f ca="1">IFERROR(__xludf.DUMMYFUNCTION("""COMPUTED_VALUE"""),"No")</f>
        <v>No</v>
      </c>
      <c r="AJ29" s="5" t="str">
        <f ca="1">IFERROR(__xludf.DUMMYFUNCTION("""COMPUTED_VALUE"""),"No")</f>
        <v>No</v>
      </c>
      <c r="AK29" s="5" t="str">
        <f ca="1">IFERROR(__xludf.DUMMYFUNCTION("""COMPUTED_VALUE"""),"No")</f>
        <v>No</v>
      </c>
      <c r="AL29" s="5" t="str">
        <f ca="1">IFERROR(__xludf.DUMMYFUNCTION("""COMPUTED_VALUE"""),"No")</f>
        <v>No</v>
      </c>
      <c r="AM29" s="5"/>
      <c r="AN29" s="5" t="str">
        <f ca="1">IFERROR(__xludf.DUMMYFUNCTION("""COMPUTED_VALUE"""),"No")</f>
        <v>No</v>
      </c>
      <c r="AO29" s="5" t="str">
        <f ca="1">IFERROR(__xludf.DUMMYFUNCTION("""COMPUTED_VALUE"""),"No")</f>
        <v>No</v>
      </c>
      <c r="AP29" s="5" t="str">
        <f ca="1">IFERROR(__xludf.DUMMYFUNCTION("""COMPUTED_VALUE"""),"No")</f>
        <v>No</v>
      </c>
      <c r="AQ29" s="5" t="str">
        <f ca="1">IFERROR(__xludf.DUMMYFUNCTION("""COMPUTED_VALUE"""),"No")</f>
        <v>No</v>
      </c>
      <c r="AR29" s="5" t="str">
        <f ca="1">IFERROR(__xludf.DUMMYFUNCTION("""COMPUTED_VALUE"""),"No")</f>
        <v>No</v>
      </c>
      <c r="AS29" s="5" t="str">
        <f ca="1">IFERROR(__xludf.DUMMYFUNCTION("""COMPUTED_VALUE"""),"Yes")</f>
        <v>Yes</v>
      </c>
      <c r="AT29" s="5"/>
      <c r="AU29" s="5"/>
    </row>
    <row r="30" spans="1:47" x14ac:dyDescent="0.25">
      <c r="A30" s="5" t="str">
        <f ca="1">IFERROR(__xludf.DUMMYFUNCTION("""COMPUTED_VALUE"""),"Playnet")</f>
        <v>Playnet</v>
      </c>
      <c r="B30" s="5" t="str">
        <f ca="1">IFERROR(__xludf.DUMMYFUNCTION("""COMPUTED_VALUE"""),"Golden Getsby")</f>
        <v>Golden Getsby</v>
      </c>
      <c r="C30" s="5" t="str">
        <f ca="1">IFERROR(__xludf.DUMMYFUNCTION("""COMPUTED_VALUE"""),"PlayNetGoldenGetsby")</f>
        <v>PlayNetGoldenGetsby</v>
      </c>
      <c r="D30" s="6">
        <f ca="1">IFERROR(__xludf.DUMMYFUNCTION("""COMPUTED_VALUE"""),45951)</f>
        <v>45951</v>
      </c>
      <c r="E30" s="5" t="str">
        <f ca="1">IFERROR(__xludf.DUMMYFUNCTION("""COMPUTED_VALUE"""),"Slot")</f>
        <v>Slot</v>
      </c>
      <c r="F30" s="5">
        <f ca="1">IFERROR(__xludf.DUMMYFUNCTION("""COMPUTED_VALUE"""),7.3)</f>
        <v>7.3</v>
      </c>
      <c r="G30" s="5" t="str">
        <f ca="1">IFERROR(__xludf.DUMMYFUNCTION("""COMPUTED_VALUE"""),"3x3")</f>
        <v>3x3</v>
      </c>
      <c r="H30" s="5">
        <f ca="1">IFERROR(__xludf.DUMMYFUNCTION("""COMPUTED_VALUE"""),5)</f>
        <v>5</v>
      </c>
      <c r="I30" s="5">
        <f ca="1">IFERROR(__xludf.DUMMYFUNCTION("""COMPUTED_VALUE"""),5)</f>
        <v>5</v>
      </c>
      <c r="J30" s="5" t="str">
        <f ca="1">IFERROR(__xludf.DUMMYFUNCTION("""COMPUTED_VALUE"""),"95.513%")</f>
        <v>95.513%</v>
      </c>
      <c r="K30" s="5" t="str">
        <f ca="1">IFERROR(__xludf.DUMMYFUNCTION("""COMPUTED_VALUE"""),"Low")</f>
        <v>Low</v>
      </c>
      <c r="L30" s="5" t="str">
        <f ca="1">IFERROR(__xludf.DUMMYFUNCTION("""COMPUTED_VALUE"""),"6.513%")</f>
        <v>6.513%</v>
      </c>
      <c r="M30" s="5" t="str">
        <f ca="1">IFERROR(__xludf.DUMMYFUNCTION("""COMPUTED_VALUE"""),"x60")</f>
        <v>x60</v>
      </c>
      <c r="N30" s="5" t="str">
        <f ca="1">IFERROR(__xludf.DUMMYFUNCTION("""COMPUTED_VALUE"""),"0.05/30")</f>
        <v>0.05/30</v>
      </c>
      <c r="O30" s="5" t="str">
        <f ca="1">IFERROR(__xludf.DUMMYFUNCTION("""COMPUTED_VALUE"""),"No")</f>
        <v>No</v>
      </c>
      <c r="P30" s="5" t="str">
        <f ca="1">IFERROR(__xludf.DUMMYFUNCTION("""COMPUTED_VALUE"""),"Win Multiplier")</f>
        <v>Win Multiplier</v>
      </c>
      <c r="Q30" s="7" t="str">
        <f ca="1">IFERROR(__xludf.DUMMYFUNCTION("""COMPUTED_VALUE"""),"https://gameserver-store-client-area.orbionlimited.com/Home/IntegrationGameLaunch/client-area?moneyType=0&amp;gameName=PlayNetGoldenGetsby&amp;platform=desktop&amp;languageCode=eng&amp;currency=EUR")</f>
        <v>https://gameserver-store-client-area.orbionlimited.com/Home/IntegrationGameLaunch/client-area?moneyType=0&amp;gameName=PlayNetGoldenGetsby&amp;platform=desktop&amp;languageCode=eng&amp;currency=EUR</v>
      </c>
      <c r="R30" s="5" t="str">
        <f ca="1">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S3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IFERROR(__xludf.DUMMYFUNCTION("""COMPUTED_VALUE"""),"Yes")</f>
        <v>Yes</v>
      </c>
      <c r="AA30" s="5" t="str">
        <f ca="1">IFERROR(__xludf.DUMMYFUNCTION("""COMPUTED_VALUE"""),"Yes")</f>
        <v>Yes</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IFERROR(__xludf.DUMMYFUNCTION("""COMPUTED_VALUE"""),"Yes")</f>
        <v>Yes</v>
      </c>
      <c r="AF30" s="5" t="str">
        <f ca="1">IFERROR(__xludf.DUMMYFUNCTION("""COMPUTED_VALUE"""),"Yes")</f>
        <v>Yes</v>
      </c>
      <c r="AG30" s="5" t="str">
        <f ca="1">IFERROR(__xludf.DUMMYFUNCTION("""COMPUTED_VALUE"""),"Yes")</f>
        <v>Yes</v>
      </c>
      <c r="AH30" s="5" t="str">
        <f ca="1">IFERROR(__xludf.DUMMYFUNCTION("""COMPUTED_VALUE"""),"Yes")</f>
        <v>Yes</v>
      </c>
      <c r="AI30" s="5" t="str">
        <f ca="1">IFERROR(__xludf.DUMMYFUNCTION("""COMPUTED_VALUE"""),"No")</f>
        <v>No</v>
      </c>
      <c r="AJ30" s="5" t="str">
        <f ca="1">IFERROR(__xludf.DUMMYFUNCTION("""COMPUTED_VALUE"""),"No")</f>
        <v>No</v>
      </c>
      <c r="AK30" s="5" t="str">
        <f ca="1">IFERROR(__xludf.DUMMYFUNCTION("""COMPUTED_VALUE"""),"No")</f>
        <v>No</v>
      </c>
      <c r="AL30" s="5" t="str">
        <f ca="1">IFERROR(__xludf.DUMMYFUNCTION("""COMPUTED_VALUE"""),"No")</f>
        <v>No</v>
      </c>
      <c r="AM30" s="5"/>
      <c r="AN30" s="5" t="str">
        <f ca="1">IFERROR(__xludf.DUMMYFUNCTION("""COMPUTED_VALUE"""),"No")</f>
        <v>No</v>
      </c>
      <c r="AO30" s="5" t="str">
        <f ca="1">IFERROR(__xludf.DUMMYFUNCTION("""COMPUTED_VALUE"""),"No")</f>
        <v>No</v>
      </c>
      <c r="AP30" s="5" t="str">
        <f ca="1">IFERROR(__xludf.DUMMYFUNCTION("""COMPUTED_VALUE"""),"No")</f>
        <v>No</v>
      </c>
      <c r="AQ30" s="5" t="str">
        <f ca="1">IFERROR(__xludf.DUMMYFUNCTION("""COMPUTED_VALUE"""),"No")</f>
        <v>No</v>
      </c>
      <c r="AR30" s="5" t="str">
        <f ca="1">IFERROR(__xludf.DUMMYFUNCTION("""COMPUTED_VALUE"""),"No")</f>
        <v>No</v>
      </c>
      <c r="AS30" s="5" t="str">
        <f ca="1">IFERROR(__xludf.DUMMYFUNCTION("""COMPUTED_VALUE"""),"Yes")</f>
        <v>Yes</v>
      </c>
      <c r="AT30" s="5"/>
      <c r="AU30" s="5"/>
    </row>
    <row r="31" spans="1:47" x14ac:dyDescent="0.25">
      <c r="A31" s="5" t="str">
        <f ca="1">IFERROR(__xludf.DUMMYFUNCTION("""COMPUTED_VALUE"""),"Playnet")</f>
        <v>Playnet</v>
      </c>
      <c r="B31" s="5" t="str">
        <f ca="1">IFERROR(__xludf.DUMMYFUNCTION("""COMPUTED_VALUE"""),"Dashing Hot 20")</f>
        <v>Dashing Hot 20</v>
      </c>
      <c r="C31" s="5" t="str">
        <f ca="1">IFERROR(__xludf.DUMMYFUNCTION("""COMPUTED_VALUE"""),"PlayNetDashingHot20")</f>
        <v>PlayNetDashingHot20</v>
      </c>
      <c r="D31" s="6">
        <f ca="1">IFERROR(__xludf.DUMMYFUNCTION("""COMPUTED_VALUE"""),45929)</f>
        <v>45929</v>
      </c>
      <c r="E31" s="5" t="str">
        <f ca="1">IFERROR(__xludf.DUMMYFUNCTION("""COMPUTED_VALUE"""),"Slot")</f>
        <v>Slot</v>
      </c>
      <c r="F31" s="5">
        <f ca="1">IFERROR(__xludf.DUMMYFUNCTION("""COMPUTED_VALUE"""),7.3)</f>
        <v>7.3</v>
      </c>
      <c r="G31" s="5" t="str">
        <f ca="1">IFERROR(__xludf.DUMMYFUNCTION("""COMPUTED_VALUE"""),"5x3")</f>
        <v>5x3</v>
      </c>
      <c r="H31" s="5">
        <f ca="1">IFERROR(__xludf.DUMMYFUNCTION("""COMPUTED_VALUE"""),20)</f>
        <v>20</v>
      </c>
      <c r="I31" s="5">
        <f ca="1">IFERROR(__xludf.DUMMYFUNCTION("""COMPUTED_VALUE"""),20)</f>
        <v>20</v>
      </c>
      <c r="J31" s="5" t="str">
        <f ca="1">IFERROR(__xludf.DUMMYFUNCTION("""COMPUTED_VALUE"""),"95.79%")</f>
        <v>95.79%</v>
      </c>
      <c r="K31" s="5" t="str">
        <f ca="1">IFERROR(__xludf.DUMMYFUNCTION("""COMPUTED_VALUE"""),"Low")</f>
        <v>Low</v>
      </c>
      <c r="L31" s="5" t="str">
        <f ca="1">IFERROR(__xludf.DUMMYFUNCTION("""COMPUTED_VALUE"""),"4.856%")</f>
        <v>4.856%</v>
      </c>
      <c r="M31" s="5" t="str">
        <f ca="1">IFERROR(__xludf.DUMMYFUNCTION("""COMPUTED_VALUE"""),"x1000")</f>
        <v>x1000</v>
      </c>
      <c r="N31" s="5" t="str">
        <f ca="1">IFERROR(__xludf.DUMMYFUNCTION("""COMPUTED_VALUE"""),"0.01/50")</f>
        <v>0.01/50</v>
      </c>
      <c r="O31" s="5" t="str">
        <f ca="1">IFERROR(__xludf.DUMMYFUNCTION("""COMPUTED_VALUE"""),"No")</f>
        <v>No</v>
      </c>
      <c r="P31" s="5" t="str">
        <f ca="1">IFERROR(__xludf.DUMMYFUNCTION("""COMPUTED_VALUE"""),"Wild Symbol, Scatter")</f>
        <v>Wild Symbol, Scatter</v>
      </c>
      <c r="Q31" s="7" t="str">
        <f ca="1">IFERROR(__xludf.DUMMYFUNCTION("""COMPUTED_VALUE"""),"https://gameserver-store-client-area.orbionlimited.com/Home/IntegrationGameLaunch/client-area?moneyType=0&amp;gameName=PlayNetDashingHot20&amp;platform=desktop&amp;languageCode=eng&amp;currency=EUR")</f>
        <v>https://gameserver-store-client-area.orbionlimited.com/Home/IntegrationGameLaunch/client-area?moneyType=0&amp;gameName=PlayNetDashingHot20&amp;platform=desktop&amp;languageCode=eng&amp;currency=EUR</v>
      </c>
      <c r="R31" s="5" t="str">
        <f ca="1">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S31" s="5" t="str">
        <f ca="1">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IFERROR(__xludf.DUMMYFUNCTION("""COMPUTED_VALUE"""),"Yes")</f>
        <v>Yes</v>
      </c>
      <c r="AA31" s="5" t="str">
        <f ca="1">IFERROR(__xludf.DUMMYFUNCTION("""COMPUTED_VALUE"""),"Yes")</f>
        <v>Yes</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IFERROR(__xludf.DUMMYFUNCTION("""COMPUTED_VALUE"""),"Yes")</f>
        <v>Yes</v>
      </c>
      <c r="AF31" s="5" t="str">
        <f ca="1">IFERROR(__xludf.DUMMYFUNCTION("""COMPUTED_VALUE"""),"Yes")</f>
        <v>Yes</v>
      </c>
      <c r="AG31" s="5" t="str">
        <f ca="1">IFERROR(__xludf.DUMMYFUNCTION("""COMPUTED_VALUE"""),"Yes")</f>
        <v>Yes</v>
      </c>
      <c r="AH31" s="5" t="str">
        <f ca="1">IFERROR(__xludf.DUMMYFUNCTION("""COMPUTED_VALUE"""),"Yes")</f>
        <v>Yes</v>
      </c>
      <c r="AI31" s="5" t="str">
        <f ca="1">IFERROR(__xludf.DUMMYFUNCTION("""COMPUTED_VALUE"""),"No")</f>
        <v>No</v>
      </c>
      <c r="AJ31" s="5" t="str">
        <f ca="1">IFERROR(__xludf.DUMMYFUNCTION("""COMPUTED_VALUE"""),"No")</f>
        <v>No</v>
      </c>
      <c r="AK31" s="5" t="str">
        <f ca="1">IFERROR(__xludf.DUMMYFUNCTION("""COMPUTED_VALUE"""),"No")</f>
        <v>No</v>
      </c>
      <c r="AL31" s="5" t="str">
        <f ca="1">IFERROR(__xludf.DUMMYFUNCTION("""COMPUTED_VALUE"""),"No")</f>
        <v>No</v>
      </c>
      <c r="AM31" s="5"/>
      <c r="AN31" s="5"/>
      <c r="AO31" s="5"/>
      <c r="AP31" s="5"/>
      <c r="AQ31" s="5" t="str">
        <f ca="1">IFERROR(__xludf.DUMMYFUNCTION("""COMPUTED_VALUE"""),"No")</f>
        <v>No</v>
      </c>
      <c r="AR31" s="5"/>
      <c r="AS31" s="5" t="str">
        <f ca="1">IFERROR(__xludf.DUMMYFUNCTION("""COMPUTED_VALUE"""),"Yes")</f>
        <v>Yes</v>
      </c>
      <c r="AT31" s="5" t="str">
        <f ca="1">IFERROR(__xludf.DUMMYFUNCTION("""COMPUTED_VALUE"""),"Yes")</f>
        <v>Yes</v>
      </c>
      <c r="AU31" s="5"/>
    </row>
    <row r="32" spans="1:47" x14ac:dyDescent="0.25">
      <c r="A32" s="5" t="str">
        <f ca="1">IFERROR(__xludf.DUMMYFUNCTION("""COMPUTED_VALUE"""),"Playnet")</f>
        <v>Playnet</v>
      </c>
      <c r="B32" s="5" t="str">
        <f ca="1">IFERROR(__xludf.DUMMYFUNCTION("""COMPUTED_VALUE"""),"Dark Temptress")</f>
        <v>Dark Temptress</v>
      </c>
      <c r="C32" s="5" t="str">
        <f ca="1">IFERROR(__xludf.DUMMYFUNCTION("""COMPUTED_VALUE"""),"PlayNetDarkTemptress")</f>
        <v>PlayNetDarkTemptress</v>
      </c>
      <c r="D32" s="6">
        <f ca="1">IFERROR(__xludf.DUMMYFUNCTION("""COMPUTED_VALUE"""),45922)</f>
        <v>45922</v>
      </c>
      <c r="E32" s="5" t="str">
        <f ca="1">IFERROR(__xludf.DUMMYFUNCTION("""COMPUTED_VALUE"""),"Slot")</f>
        <v>Slot</v>
      </c>
      <c r="F32" s="5">
        <f ca="1">IFERROR(__xludf.DUMMYFUNCTION("""COMPUTED_VALUE"""),7.3)</f>
        <v>7.3</v>
      </c>
      <c r="G32" s="5" t="str">
        <f ca="1">IFERROR(__xludf.DUMMYFUNCTION("""COMPUTED_VALUE"""),"5x4")</f>
        <v>5x4</v>
      </c>
      <c r="H32" s="5">
        <f ca="1">IFERROR(__xludf.DUMMYFUNCTION("""COMPUTED_VALUE"""),40)</f>
        <v>40</v>
      </c>
      <c r="I32" s="5">
        <f ca="1">IFERROR(__xludf.DUMMYFUNCTION("""COMPUTED_VALUE"""),40)</f>
        <v>40</v>
      </c>
      <c r="J32" s="5" t="str">
        <f ca="1">IFERROR(__xludf.DUMMYFUNCTION("""COMPUTED_VALUE"""),"96.502%")</f>
        <v>96.502%</v>
      </c>
      <c r="K32" s="5" t="str">
        <f ca="1">IFERROR(__xludf.DUMMYFUNCTION("""COMPUTED_VALUE"""),"Medium")</f>
        <v>Medium</v>
      </c>
      <c r="L32" s="5" t="str">
        <f ca="1">IFERROR(__xludf.DUMMYFUNCTION("""COMPUTED_VALUE"""),"11.601%")</f>
        <v>11.601%</v>
      </c>
      <c r="M32" s="5" t="str">
        <f ca="1">IFERROR(__xludf.DUMMYFUNCTION("""COMPUTED_VALUE"""),"x3000")</f>
        <v>x3000</v>
      </c>
      <c r="N32" s="5" t="str">
        <f ca="1">IFERROR(__xludf.DUMMYFUNCTION("""COMPUTED_VALUE"""),"0.4/60")</f>
        <v>0.4/60</v>
      </c>
      <c r="O32" s="5" t="str">
        <f ca="1">IFERROR(__xludf.DUMMYFUNCTION("""COMPUTED_VALUE"""),"No")</f>
        <v>No</v>
      </c>
      <c r="P32" s="5" t="str">
        <f ca="1">IFERROR(__xludf.DUMMYFUNCTION("""COMPUTED_VALUE"""),"Scatter, Expanding Wild")</f>
        <v>Scatter, Expanding Wild</v>
      </c>
      <c r="Q32" s="7" t="str">
        <f ca="1">IFERROR(__xludf.DUMMYFUNCTION("""COMPUTED_VALUE"""),"https://gameserver-store-client-area.orbionlimited.com/Home/IntegrationGameLaunch/client-area?moneyType=0&amp;gameName=PlayNetDarkTemptress&amp;platform=desktop&amp;languageCode=eng&amp;currency=EUR")</f>
        <v>https://gameserver-store-client-area.orbionlimited.com/Home/IntegrationGameLaunch/client-area?moneyType=0&amp;gameName=PlayNetDarkTemptress&amp;platform=desktop&amp;languageCode=eng&amp;currency=EUR</v>
      </c>
      <c r="R32" s="5" t="str">
        <f ca="1">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S32" s="5" t="str">
        <f ca="1">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IFERROR(__xludf.DUMMYFUNCTION("""COMPUTED_VALUE"""),"Yes")</f>
        <v>Yes</v>
      </c>
      <c r="AF32" s="5" t="str">
        <f ca="1">IFERROR(__xludf.DUMMYFUNCTION("""COMPUTED_VALUE"""),"Yes")</f>
        <v>Yes</v>
      </c>
      <c r="AG32" s="5" t="str">
        <f ca="1">IFERROR(__xludf.DUMMYFUNCTION("""COMPUTED_VALUE"""),"Yes")</f>
        <v>Yes</v>
      </c>
      <c r="AH32" s="5" t="str">
        <f ca="1">IFERROR(__xludf.DUMMYFUNCTION("""COMPUTED_VALUE"""),"Yes")</f>
        <v>Yes</v>
      </c>
      <c r="AI32" s="5" t="str">
        <f ca="1">IFERROR(__xludf.DUMMYFUNCTION("""COMPUTED_VALUE"""),"No")</f>
        <v>No</v>
      </c>
      <c r="AJ32" s="5" t="str">
        <f ca="1">IFERROR(__xludf.DUMMYFUNCTION("""COMPUTED_VALUE"""),"No")</f>
        <v>No</v>
      </c>
      <c r="AK32" s="5" t="str">
        <f ca="1">IFERROR(__xludf.DUMMYFUNCTION("""COMPUTED_VALUE"""),"No")</f>
        <v>No</v>
      </c>
      <c r="AL32" s="5" t="str">
        <f ca="1">IFERROR(__xludf.DUMMYFUNCTION("""COMPUTED_VALUE"""),"No")</f>
        <v>No</v>
      </c>
      <c r="AM32" s="5"/>
      <c r="AN32" s="5"/>
      <c r="AO32" s="5"/>
      <c r="AP32" s="5"/>
      <c r="AQ32" s="5" t="str">
        <f ca="1">IFERROR(__xludf.DUMMYFUNCTION("""COMPUTED_VALUE"""),"No")</f>
        <v>No</v>
      </c>
      <c r="AR32" s="5"/>
      <c r="AS32" s="5" t="str">
        <f ca="1">IFERROR(__xludf.DUMMYFUNCTION("""COMPUTED_VALUE"""),"Yes")</f>
        <v>Yes</v>
      </c>
      <c r="AT32" s="5" t="str">
        <f ca="1">IFERROR(__xludf.DUMMYFUNCTION("""COMPUTED_VALUE"""),"Yes")</f>
        <v>Yes</v>
      </c>
      <c r="AU32" s="5"/>
    </row>
    <row r="33" spans="1:47" x14ac:dyDescent="0.25">
      <c r="A33" s="5" t="str">
        <f ca="1">IFERROR(__xludf.DUMMYFUNCTION("""COMPUTED_VALUE"""),"Playnet")</f>
        <v>Playnet</v>
      </c>
      <c r="B33" s="5" t="str">
        <f ca="1">IFERROR(__xludf.DUMMYFUNCTION("""COMPUTED_VALUE"""),"NOVAPIXEL - Wheel of Joker")</f>
        <v>NOVAPIXEL - Wheel of Joker</v>
      </c>
      <c r="C33" s="5" t="str">
        <f ca="1">IFERROR(__xludf.DUMMYFUNCTION("""COMPUTED_VALUE"""),"NovaPixelWheelOfJoker")</f>
        <v>NovaPixelWheelOfJoker</v>
      </c>
      <c r="D33" s="6">
        <f ca="1">IFERROR(__xludf.DUMMYFUNCTION("""COMPUTED_VALUE"""),45894)</f>
        <v>45894</v>
      </c>
      <c r="E33" s="5" t="str">
        <f ca="1">IFERROR(__xludf.DUMMYFUNCTION("""COMPUTED_VALUE"""),"Slot")</f>
        <v>Slot</v>
      </c>
      <c r="F33" s="5">
        <f ca="1">IFERROR(__xludf.DUMMYFUNCTION("""COMPUTED_VALUE"""),26.4)</f>
        <v>26.4</v>
      </c>
      <c r="G33" s="5" t="str">
        <f ca="1">IFERROR(__xludf.DUMMYFUNCTION("""COMPUTED_VALUE"""),"3x3")</f>
        <v>3x3</v>
      </c>
      <c r="H33" s="5">
        <f ca="1">IFERROR(__xludf.DUMMYFUNCTION("""COMPUTED_VALUE"""),5)</f>
        <v>5</v>
      </c>
      <c r="I33" s="5">
        <f ca="1">IFERROR(__xludf.DUMMYFUNCTION("""COMPUTED_VALUE"""),5)</f>
        <v>5</v>
      </c>
      <c r="J33" s="5" t="str">
        <f ca="1">IFERROR(__xludf.DUMMYFUNCTION("""COMPUTED_VALUE"""),"96.23%")</f>
        <v>96.23%</v>
      </c>
      <c r="K33" s="5" t="str">
        <f ca="1">IFERROR(__xludf.DUMMYFUNCTION("""COMPUTED_VALUE"""),"Medium")</f>
        <v>Medium</v>
      </c>
      <c r="L33" s="5" t="str">
        <f ca="1">IFERROR(__xludf.DUMMYFUNCTION("""COMPUTED_VALUE"""),"20.12%")</f>
        <v>20.12%</v>
      </c>
      <c r="M33" s="5" t="str">
        <f ca="1">IFERROR(__xludf.DUMMYFUNCTION("""COMPUTED_VALUE"""),"x800")</f>
        <v>x800</v>
      </c>
      <c r="N33" s="5" t="str">
        <f ca="1">IFERROR(__xludf.DUMMYFUNCTION("""COMPUTED_VALUE"""),"0.10/50")</f>
        <v>0.10/50</v>
      </c>
      <c r="O33" s="5" t="str">
        <f ca="1">IFERROR(__xludf.DUMMYFUNCTION("""COMPUTED_VALUE"""),"No")</f>
        <v>No</v>
      </c>
      <c r="P33" s="5" t="str">
        <f ca="1">IFERROR(__xludf.DUMMYFUNCTION("""COMPUTED_VALUE"""),"Wild Symbol, Win Multiplier")</f>
        <v>Wild Symbol, Win Multiplier</v>
      </c>
      <c r="Q33" s="7" t="str">
        <f ca="1">IFERROR(__xludf.DUMMYFUNCTION("""COMPUTED_VALUE"""),"https://gameserver-store-client-area.orbionlimited.com/Home/IntegrationGameLaunch/client-area?moneyType=0&amp;gameName=NovaPixelWheelOfJoker&amp;platform=desktop&amp;languageCode=eng&amp;currency=EUR")</f>
        <v>https://gameserver-store-client-area.orbionlimited.com/Home/IntegrationGameLaunch/client-area?moneyType=0&amp;gameName=NovaPixelWheelOfJoker&amp;platform=desktop&amp;languageCode=eng&amp;currency=EUR</v>
      </c>
      <c r="R33" s="5" t="str">
        <f ca="1">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S33" s="5" t="str">
        <f ca="1">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T33" s="5" t="str">
        <f ca="1">IFERROR(__xludf.DUMMYFUNCTION("""COMPUTED_VALUE"""),"Yes")</f>
        <v>Yes</v>
      </c>
      <c r="U33" s="5" t="str">
        <f ca="1">IFERROR(__xludf.DUMMYFUNCTION("""COMPUTED_VALUE"""),"Yes")</f>
        <v>Yes</v>
      </c>
      <c r="V33" s="5" t="str">
        <f ca="1">IFERROR(__xludf.DUMMYFUNCTION("""COMPUTED_VALUE"""),"No")</f>
        <v>No</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IFERROR(__xludf.DUMMYFUNCTION("""COMPUTED_VALUE"""),"Yes")</f>
        <v>Yes</v>
      </c>
      <c r="AF33" s="5" t="str">
        <f ca="1">IFERROR(__xludf.DUMMYFUNCTION("""COMPUTED_VALUE"""),"Yes")</f>
        <v>Yes</v>
      </c>
      <c r="AG33" s="5" t="str">
        <f ca="1">IFERROR(__xludf.DUMMYFUNCTION("""COMPUTED_VALUE"""),"Yes")</f>
        <v>Yes</v>
      </c>
      <c r="AH33" s="5" t="str">
        <f ca="1">IFERROR(__xludf.DUMMYFUNCTION("""COMPUTED_VALUE"""),"Yes")</f>
        <v>Yes</v>
      </c>
      <c r="AI33" s="5" t="str">
        <f ca="1">IFERROR(__xludf.DUMMYFUNCTION("""COMPUTED_VALUE"""),"Yes")</f>
        <v>Yes</v>
      </c>
      <c r="AJ33" s="5" t="str">
        <f ca="1">IFERROR(__xludf.DUMMYFUNCTION("""COMPUTED_VALUE"""),"Yes")</f>
        <v>Yes</v>
      </c>
      <c r="AK33" s="5" t="str">
        <f ca="1">IFERROR(__xludf.DUMMYFUNCTION("""COMPUTED_VALUE"""),"Yes")</f>
        <v>Yes</v>
      </c>
      <c r="AL33" s="5" t="str">
        <f ca="1">IFERROR(__xludf.DUMMYFUNCTION("""COMPUTED_VALUE"""),"Yes")</f>
        <v>Yes</v>
      </c>
      <c r="AM33" s="5" t="str">
        <f ca="1">IFERROR(__xludf.DUMMYFUNCTION("""COMPUTED_VALUE"""),"No")</f>
        <v>No</v>
      </c>
      <c r="AN33" s="5" t="str">
        <f ca="1">IFERROR(__xludf.DUMMYFUNCTION("""COMPUTED_VALUE"""),"No")</f>
        <v>No</v>
      </c>
      <c r="AO33" s="5" t="str">
        <f ca="1">IFERROR(__xludf.DUMMYFUNCTION("""COMPUTED_VALUE"""),"Yes")</f>
        <v>Yes</v>
      </c>
      <c r="AP33" s="5" t="str">
        <f ca="1">IFERROR(__xludf.DUMMYFUNCTION("""COMPUTED_VALUE"""),"No")</f>
        <v>No</v>
      </c>
      <c r="AQ33" s="5" t="str">
        <f ca="1">IFERROR(__xludf.DUMMYFUNCTION("""COMPUTED_VALUE"""),"Yes")</f>
        <v>Yes</v>
      </c>
      <c r="AR33" s="5" t="str">
        <f ca="1">IFERROR(__xludf.DUMMYFUNCTION("""COMPUTED_VALUE"""),"No")</f>
        <v>No</v>
      </c>
      <c r="AS33" s="5" t="str">
        <f ca="1">IFERROR(__xludf.DUMMYFUNCTION("""COMPUTED_VALUE"""),"Yes")</f>
        <v>Yes</v>
      </c>
      <c r="AT33" s="5" t="str">
        <f ca="1">IFERROR(__xludf.DUMMYFUNCTION("""COMPUTED_VALUE"""),"No")</f>
        <v>No</v>
      </c>
      <c r="AU33" s="5"/>
    </row>
    <row r="34" spans="1:47" x14ac:dyDescent="0.25">
      <c r="A34" s="5" t="str">
        <f ca="1">IFERROR(__xludf.DUMMYFUNCTION("""COMPUTED_VALUE"""),"Playnet")</f>
        <v>Playnet</v>
      </c>
      <c r="B34" s="5" t="str">
        <f ca="1">IFERROR(__xludf.DUMMYFUNCTION("""COMPUTED_VALUE"""),"Brewmaster's Bank")</f>
        <v>Brewmaster's Bank</v>
      </c>
      <c r="C34" s="5" t="str">
        <f ca="1">IFERROR(__xludf.DUMMYFUNCTION("""COMPUTED_VALUE"""),"PlayNetBrewmastersBank")</f>
        <v>PlayNetBrewmastersBank</v>
      </c>
      <c r="D34" s="6">
        <f ca="1">IFERROR(__xludf.DUMMYFUNCTION("""COMPUTED_VALUE"""),45919)</f>
        <v>45919</v>
      </c>
      <c r="E34" s="5" t="str">
        <f ca="1">IFERROR(__xludf.DUMMYFUNCTION("""COMPUTED_VALUE"""),"Slot")</f>
        <v>Slot</v>
      </c>
      <c r="F34" s="5">
        <f ca="1">IFERROR(__xludf.DUMMYFUNCTION("""COMPUTED_VALUE"""),7.3)</f>
        <v>7.3</v>
      </c>
      <c r="G34" s="5" t="str">
        <f ca="1">IFERROR(__xludf.DUMMYFUNCTION("""COMPUTED_VALUE"""),"5x3")</f>
        <v>5x3</v>
      </c>
      <c r="H34" s="5">
        <f ca="1">IFERROR(__xludf.DUMMYFUNCTION("""COMPUTED_VALUE"""),5)</f>
        <v>5</v>
      </c>
      <c r="I34" s="5">
        <f ca="1">IFERROR(__xludf.DUMMYFUNCTION("""COMPUTED_VALUE"""),5)</f>
        <v>5</v>
      </c>
      <c r="J34" s="5" t="str">
        <f ca="1">IFERROR(__xludf.DUMMYFUNCTION("""COMPUTED_VALUE"""),"96.447%")</f>
        <v>96.447%</v>
      </c>
      <c r="K34" s="5" t="str">
        <f ca="1">IFERROR(__xludf.DUMMYFUNCTION("""COMPUTED_VALUE"""),"Medium")</f>
        <v>Medium</v>
      </c>
      <c r="L34" s="5" t="str">
        <f ca="1">IFERROR(__xludf.DUMMYFUNCTION("""COMPUTED_VALUE"""),"14.505%")</f>
        <v>14.505%</v>
      </c>
      <c r="M34" s="5" t="str">
        <f ca="1">IFERROR(__xludf.DUMMYFUNCTION("""COMPUTED_VALUE"""),"x1222")</f>
        <v>x1222</v>
      </c>
      <c r="N34" s="5" t="str">
        <f ca="1">IFERROR(__xludf.DUMMYFUNCTION("""COMPUTED_VALUE"""),"0.05/30")</f>
        <v>0.05/30</v>
      </c>
      <c r="O34" s="5" t="str">
        <f ca="1">IFERROR(__xludf.DUMMYFUNCTION("""COMPUTED_VALUE"""),"No")</f>
        <v>No</v>
      </c>
      <c r="P34" s="5" t="str">
        <f ca="1">IFERROR(__xludf.DUMMYFUNCTION("""COMPUTED_VALUE"""),"Expanding Wild, Scatter")</f>
        <v>Expanding Wild, Scatter</v>
      </c>
      <c r="Q34" s="7" t="str">
        <f ca="1">IFERROR(__xludf.DUMMYFUNCTION("""COMPUTED_VALUE"""),"https://gameserver-store-client-area.orbionlimited.com/Home/IntegrationGameLaunch/client-area?moneyType=0&amp;gameName=PlayNetBrewmastersBank&amp;platform=desktop&amp;languageCode=eng&amp;currency=EUR")</f>
        <v>https://gameserver-store-client-area.orbionlimited.com/Home/IntegrationGameLaunch/client-area?moneyType=0&amp;gameName=PlayNetBrewmastersBank&amp;platform=desktop&amp;languageCode=eng&amp;currency=EUR</v>
      </c>
      <c r="R34" s="5" t="str">
        <f ca="1">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S34" s="5" t="str">
        <f ca="1">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T34" s="5" t="str">
        <f ca="1">IFERROR(__xludf.DUMMYFUNCTION("""COMPUTED_VALUE"""),"Yes")</f>
        <v>Yes</v>
      </c>
      <c r="U34" s="5" t="str">
        <f ca="1">IFERROR(__xludf.DUMMYFUNCTION("""COMPUTED_VALUE"""),"Yes")</f>
        <v>Yes</v>
      </c>
      <c r="V34" s="5"/>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IFERROR(__xludf.DUMMYFUNCTION("""COMPUTED_VALUE"""),"Yes")</f>
        <v>Yes</v>
      </c>
      <c r="AF34" s="5" t="str">
        <f ca="1">IFERROR(__xludf.DUMMYFUNCTION("""COMPUTED_VALUE"""),"Yes")</f>
        <v>Yes</v>
      </c>
      <c r="AG34" s="5" t="str">
        <f ca="1">IFERROR(__xludf.DUMMYFUNCTION("""COMPUTED_VALUE"""),"Yes")</f>
        <v>Yes</v>
      </c>
      <c r="AH34" s="5"/>
      <c r="AI34" s="5"/>
      <c r="AJ34" s="5"/>
      <c r="AK34" s="5"/>
      <c r="AL34" s="5"/>
      <c r="AM34" s="5"/>
      <c r="AN34" s="5"/>
      <c r="AO34" s="5"/>
      <c r="AP34" s="5"/>
      <c r="AQ34" s="5"/>
      <c r="AR34" s="5"/>
      <c r="AS34" s="5" t="str">
        <f ca="1">IFERROR(__xludf.DUMMYFUNCTION("""COMPUTED_VALUE"""),"Yes")</f>
        <v>Yes</v>
      </c>
      <c r="AT34" s="5"/>
      <c r="AU34" s="5"/>
    </row>
    <row r="35" spans="1:47" x14ac:dyDescent="0.25">
      <c r="A35" s="5" t="str">
        <f ca="1">IFERROR(__xludf.DUMMYFUNCTION("""COMPUTED_VALUE"""),"Playnet")</f>
        <v>Playnet</v>
      </c>
      <c r="B35" s="5" t="str">
        <f ca="1">IFERROR(__xludf.DUMMYFUNCTION("""COMPUTED_VALUE"""),"Majestic Crown 40")</f>
        <v>Majestic Crown 40</v>
      </c>
      <c r="C35" s="5" t="str">
        <f ca="1">IFERROR(__xludf.DUMMYFUNCTION("""COMPUTED_VALUE"""),"PlayNetMajesticCrown40")</f>
        <v>PlayNetMajesticCrown40</v>
      </c>
      <c r="D35" s="6">
        <f ca="1">IFERROR(__xludf.DUMMYFUNCTION("""COMPUTED_VALUE"""),45936)</f>
        <v>45936</v>
      </c>
      <c r="E35" s="5" t="str">
        <f ca="1">IFERROR(__xludf.DUMMYFUNCTION("""COMPUTED_VALUE"""),"Slot")</f>
        <v>Slot</v>
      </c>
      <c r="F35" s="5">
        <f ca="1">IFERROR(__xludf.DUMMYFUNCTION("""COMPUTED_VALUE"""),7.2)</f>
        <v>7.2</v>
      </c>
      <c r="G35" s="5" t="str">
        <f ca="1">IFERROR(__xludf.DUMMYFUNCTION("""COMPUTED_VALUE"""),"5x3")</f>
        <v>5x3</v>
      </c>
      <c r="H35" s="5">
        <f ca="1">IFERROR(__xludf.DUMMYFUNCTION("""COMPUTED_VALUE"""),40)</f>
        <v>40</v>
      </c>
      <c r="I35" s="5">
        <f ca="1">IFERROR(__xludf.DUMMYFUNCTION("""COMPUTED_VALUE"""),40)</f>
        <v>40</v>
      </c>
      <c r="J35" s="5" t="str">
        <f ca="1">IFERROR(__xludf.DUMMYFUNCTION("""COMPUTED_VALUE"""),"95.962%")</f>
        <v>95.962%</v>
      </c>
      <c r="K35" s="5" t="str">
        <f ca="1">IFERROR(__xludf.DUMMYFUNCTION("""COMPUTED_VALUE"""),"Medium")</f>
        <v>Medium</v>
      </c>
      <c r="L35" s="5" t="str">
        <f ca="1">IFERROR(__xludf.DUMMYFUNCTION("""COMPUTED_VALUE"""),"18.351%")</f>
        <v>18.351%</v>
      </c>
      <c r="M35" s="5" t="str">
        <f ca="1">IFERROR(__xludf.DUMMYFUNCTION("""COMPUTED_VALUE"""),"x1421")</f>
        <v>x1421</v>
      </c>
      <c r="N35" s="5" t="str">
        <f ca="1">IFERROR(__xludf.DUMMYFUNCTION("""COMPUTED_VALUE"""),"0.2/50")</f>
        <v>0.2/50</v>
      </c>
      <c r="O35" s="5" t="str">
        <f ca="1">IFERROR(__xludf.DUMMYFUNCTION("""COMPUTED_VALUE"""),"No")</f>
        <v>No</v>
      </c>
      <c r="P35" s="5" t="str">
        <f ca="1">IFERROR(__xludf.DUMMYFUNCTION("""COMPUTED_VALUE"""),"Scatter, Expanding Wild")</f>
        <v>Scatter, Expanding Wild</v>
      </c>
      <c r="Q35" s="7" t="str">
        <f ca="1">IFERROR(__xludf.DUMMYFUNCTION("""COMPUTED_VALUE"""),"https://gameserver-store-client-area.orbionlimited.com/Home/IntegrationGameLaunch/client-area?moneyType=0&amp;gameName=PlayNetMajesticCrown40&amp;platform=desktop&amp;languageCode=eng&amp;currency=EUR")</f>
        <v>https://gameserver-store-client-area.orbionlimited.com/Home/IntegrationGameLaunch/client-area?moneyType=0&amp;gameName=PlayNetMajesticCrown40&amp;platform=desktop&amp;languageCode=eng&amp;currency=EUR</v>
      </c>
      <c r="R35" s="5" t="str">
        <f ca="1">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S35" s="5" t="str">
        <f ca="1">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IFERROR(__xludf.DUMMYFUNCTION("""COMPUTED_VALUE"""),"Yes")</f>
        <v>Yes</v>
      </c>
      <c r="AA35" s="5" t="str">
        <f ca="1">IFERROR(__xludf.DUMMYFUNCTION("""COMPUTED_VALUE"""),"Yes")</f>
        <v>Yes</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IFERROR(__xludf.DUMMYFUNCTION("""COMPUTED_VALUE"""),"Yes")</f>
        <v>Yes</v>
      </c>
      <c r="AF35" s="5" t="str">
        <f ca="1">IFERROR(__xludf.DUMMYFUNCTION("""COMPUTED_VALUE"""),"Yes")</f>
        <v>Yes</v>
      </c>
      <c r="AG35" s="5" t="str">
        <f ca="1">IFERROR(__xludf.DUMMYFUNCTION("""COMPUTED_VALUE"""),"Yes")</f>
        <v>Yes</v>
      </c>
      <c r="AH35" s="5" t="str">
        <f ca="1">IFERROR(__xludf.DUMMYFUNCTION("""COMPUTED_VALUE"""),"Yes")</f>
        <v>Yes</v>
      </c>
      <c r="AI35" s="5"/>
      <c r="AJ35" s="5"/>
      <c r="AK35" s="5"/>
      <c r="AL35" s="5"/>
      <c r="AM35" s="5"/>
      <c r="AN35" s="5"/>
      <c r="AO35" s="5" t="str">
        <f ca="1">IFERROR(__xludf.DUMMYFUNCTION("""COMPUTED_VALUE"""),"Yes")</f>
        <v>Yes</v>
      </c>
      <c r="AP35" s="5"/>
      <c r="AQ35" s="5"/>
      <c r="AR35" s="5"/>
      <c r="AS35" s="5" t="str">
        <f ca="1">IFERROR(__xludf.DUMMYFUNCTION("""COMPUTED_VALUE"""),"Yes")</f>
        <v>Yes</v>
      </c>
      <c r="AT35" s="5" t="str">
        <f ca="1">IFERROR(__xludf.DUMMYFUNCTION("""COMPUTED_VALUE"""),"Yes")</f>
        <v>Yes</v>
      </c>
      <c r="AU35" s="5"/>
    </row>
    <row r="36" spans="1:47" x14ac:dyDescent="0.25">
      <c r="A36" s="5" t="str">
        <f ca="1">IFERROR(__xludf.DUMMYFUNCTION("""COMPUTED_VALUE"""),"Playnet")</f>
        <v>Playnet</v>
      </c>
      <c r="B36" s="5" t="str">
        <f ca="1">IFERROR(__xludf.DUMMYFUNCTION("""COMPUTED_VALUE"""),"Neptune's Jewels")</f>
        <v>Neptune's Jewels</v>
      </c>
      <c r="C36" s="5" t="str">
        <f ca="1">IFERROR(__xludf.DUMMYFUNCTION("""COMPUTED_VALUE"""),"PlayNetNeptunesJewels")</f>
        <v>PlayNetNeptunesJewels</v>
      </c>
      <c r="D36" s="6">
        <f ca="1">IFERROR(__xludf.DUMMYFUNCTION("""COMPUTED_VALUE"""),46048)</f>
        <v>46048</v>
      </c>
      <c r="E36" s="5" t="str">
        <f ca="1">IFERROR(__xludf.DUMMYFUNCTION("""COMPUTED_VALUE"""),"Slot")</f>
        <v>Slot</v>
      </c>
      <c r="F36" s="5">
        <f ca="1">IFERROR(__xludf.DUMMYFUNCTION("""COMPUTED_VALUE"""),7.2)</f>
        <v>7.2</v>
      </c>
      <c r="G36" s="5" t="str">
        <f ca="1">IFERROR(__xludf.DUMMYFUNCTION("""COMPUTED_VALUE"""),"5x4")</f>
        <v>5x4</v>
      </c>
      <c r="H36" s="5">
        <f ca="1">IFERROR(__xludf.DUMMYFUNCTION("""COMPUTED_VALUE"""),40)</f>
        <v>40</v>
      </c>
      <c r="I36" s="5">
        <f ca="1">IFERROR(__xludf.DUMMYFUNCTION("""COMPUTED_VALUE"""),40)</f>
        <v>40</v>
      </c>
      <c r="J36" s="5" t="str">
        <f ca="1">IFERROR(__xludf.DUMMYFUNCTION("""COMPUTED_VALUE"""),"96.291%")</f>
        <v>96.291%</v>
      </c>
      <c r="K36" s="5" t="str">
        <f ca="1">IFERROR(__xludf.DUMMYFUNCTION("""COMPUTED_VALUE"""),"Medium")</f>
        <v>Medium</v>
      </c>
      <c r="L36" s="5" t="str">
        <f ca="1">IFERROR(__xludf.DUMMYFUNCTION("""COMPUTED_VALUE"""),"12.67%")</f>
        <v>12.67%</v>
      </c>
      <c r="M36" s="5" t="str">
        <f ca="1">IFERROR(__xludf.DUMMYFUNCTION("""COMPUTED_VALUE"""),"x1043")</f>
        <v>x1043</v>
      </c>
      <c r="N36" s="5" t="str">
        <f ca="1">IFERROR(__xludf.DUMMYFUNCTION("""COMPUTED_VALUE"""),"0.1/60")</f>
        <v>0.1/60</v>
      </c>
      <c r="O36" s="5" t="str">
        <f ca="1">IFERROR(__xludf.DUMMYFUNCTION("""COMPUTED_VALUE"""),"No")</f>
        <v>No</v>
      </c>
      <c r="P36" s="5" t="str">
        <f ca="1">IFERROR(__xludf.DUMMYFUNCTION("""COMPUTED_VALUE"""),"Bonus Game with Free Spins, Wild Symbol, Scatter, Special Wild")</f>
        <v>Bonus Game with Free Spins, Wild Symbol, Scatter, Special Wild</v>
      </c>
      <c r="Q36" s="7" t="str">
        <f ca="1">IFERROR(__xludf.DUMMYFUNCTION("""COMPUTED_VALUE"""),"https://gameserver-store-client-area.orbionlimited.com/Home/IntegrationGameLaunch/client-area?moneyType=0&amp;gameName=PlayNetNeptunesJewels&amp;platform=desktop&amp;languageCode=eng&amp;currency=EUR")</f>
        <v>https://gameserver-store-client-area.orbionlimited.com/Home/IntegrationGameLaunch/client-area?moneyType=0&amp;gameName=PlayNetNeptunesJewels&amp;platform=desktop&amp;languageCode=eng&amp;currency=EUR</v>
      </c>
      <c r="R36" s="5" t="str">
        <f ca="1">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S36" s="5" t="str">
        <f ca="1">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T36" s="5" t="str">
        <f ca="1">IFERROR(__xludf.DUMMYFUNCTION("""COMPUTED_VALUE"""),"Yes")</f>
        <v>Yes</v>
      </c>
      <c r="U36" s="5" t="str">
        <f ca="1">IFERROR(__xludf.DUMMYFUNCTION("""COMPUTED_VALUE"""),"Yes")</f>
        <v>Yes</v>
      </c>
      <c r="V36" s="5" t="str">
        <f ca="1">IFERROR(__xludf.DUMMYFUNCTION("""COMPUTED_VALUE"""),"No")</f>
        <v>No</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IFERROR(__xludf.DUMMYFUNCTION("""COMPUTED_VALUE"""),"Yes")</f>
        <v>Yes</v>
      </c>
      <c r="AF36" s="5" t="str">
        <f ca="1">IFERROR(__xludf.DUMMYFUNCTION("""COMPUTED_VALUE"""),"Yes")</f>
        <v>Yes</v>
      </c>
      <c r="AG36" s="5" t="str">
        <f ca="1">IFERROR(__xludf.DUMMYFUNCTION("""COMPUTED_VALUE"""),"Yes")</f>
        <v>Yes</v>
      </c>
      <c r="AH36" s="5" t="str">
        <f ca="1">IFERROR(__xludf.DUMMYFUNCTION("""COMPUTED_VALUE"""),"Yes")</f>
        <v>Yes</v>
      </c>
      <c r="AI36" s="5"/>
      <c r="AJ36" s="5"/>
      <c r="AK36" s="5"/>
      <c r="AL36" s="5"/>
      <c r="AM36" s="5"/>
      <c r="AN36" s="5"/>
      <c r="AO36" s="5" t="str">
        <f ca="1">IFERROR(__xludf.DUMMYFUNCTION("""COMPUTED_VALUE"""),"Yes")</f>
        <v>Yes</v>
      </c>
      <c r="AP36" s="5"/>
      <c r="AQ36" s="5"/>
      <c r="AR36" s="5"/>
      <c r="AS36" s="5" t="str">
        <f ca="1">IFERROR(__xludf.DUMMYFUNCTION("""COMPUTED_VALUE"""),"Yes")</f>
        <v>Yes</v>
      </c>
      <c r="AT36" s="5" t="str">
        <f ca="1">IFERROR(__xludf.DUMMYFUNCTION("""COMPUTED_VALUE"""),"Yes")</f>
        <v>Yes</v>
      </c>
      <c r="AU36" s="5"/>
    </row>
    <row r="37" spans="1:47" x14ac:dyDescent="0.25">
      <c r="A37" s="5" t="str">
        <f ca="1">IFERROR(__xludf.DUMMYFUNCTION("""COMPUTED_VALUE"""),"Playnet")</f>
        <v>Playnet</v>
      </c>
      <c r="B37" s="5" t="str">
        <f ca="1">IFERROR(__xludf.DUMMYFUNCTION("""COMPUTED_VALUE"""),"81 Magic Stars")</f>
        <v>81 Magic Stars</v>
      </c>
      <c r="C37" s="5" t="str">
        <f ca="1">IFERROR(__xludf.DUMMYFUNCTION("""COMPUTED_VALUE"""),"PlayNet81MagicStars")</f>
        <v>PlayNet81MagicStars</v>
      </c>
      <c r="D37" s="6">
        <f ca="1">IFERROR(__xludf.DUMMYFUNCTION("""COMPUTED_VALUE"""),45958)</f>
        <v>45958</v>
      </c>
      <c r="E37" s="5" t="str">
        <f ca="1">IFERROR(__xludf.DUMMYFUNCTION("""COMPUTED_VALUE"""),"Slot")</f>
        <v>Slot</v>
      </c>
      <c r="F37" s="5">
        <f ca="1">IFERROR(__xludf.DUMMYFUNCTION("""COMPUTED_VALUE"""),7.2)</f>
        <v>7.2</v>
      </c>
      <c r="G37" s="5" t="str">
        <f ca="1">IFERROR(__xludf.DUMMYFUNCTION("""COMPUTED_VALUE"""),"4x3")</f>
        <v>4x3</v>
      </c>
      <c r="H37" s="5">
        <f ca="1">IFERROR(__xludf.DUMMYFUNCTION("""COMPUTED_VALUE"""),81)</f>
        <v>81</v>
      </c>
      <c r="I37" s="5">
        <f ca="1">IFERROR(__xludf.DUMMYFUNCTION("""COMPUTED_VALUE"""),81)</f>
        <v>81</v>
      </c>
      <c r="J37" s="5" t="str">
        <f ca="1">IFERROR(__xludf.DUMMYFUNCTION("""COMPUTED_VALUE"""),"96.55%")</f>
        <v>96.55%</v>
      </c>
      <c r="K37" s="5" t="str">
        <f ca="1">IFERROR(__xludf.DUMMYFUNCTION("""COMPUTED_VALUE"""),"High")</f>
        <v>High</v>
      </c>
      <c r="L37" s="5" t="str">
        <f ca="1">IFERROR(__xludf.DUMMYFUNCTION("""COMPUTED_VALUE"""),"5.1%")</f>
        <v>5.1%</v>
      </c>
      <c r="M37" s="5" t="str">
        <f ca="1">IFERROR(__xludf.DUMMYFUNCTION("""COMPUTED_VALUE"""),"x3200")</f>
        <v>x3200</v>
      </c>
      <c r="N37" s="5" t="str">
        <f ca="1">IFERROR(__xludf.DUMMYFUNCTION("""COMPUTED_VALUE"""),"0.1/50")</f>
        <v>0.1/50</v>
      </c>
      <c r="O37" s="5" t="str">
        <f ca="1">IFERROR(__xludf.DUMMYFUNCTION("""COMPUTED_VALUE"""),"No")</f>
        <v>No</v>
      </c>
      <c r="P37" s="5" t="str">
        <f ca="1">IFERROR(__xludf.DUMMYFUNCTION("""COMPUTED_VALUE"""),"Wild Multiplier, Mystery symbol")</f>
        <v>Wild Multiplier, Mystery symbol</v>
      </c>
      <c r="Q37" s="7" t="str">
        <f ca="1">IFERROR(__xludf.DUMMYFUNCTION("""COMPUTED_VALUE"""),"https://gameserver-store-client-area.orbionlimited.com/Home/IntegrationGameLaunch/client-area?moneyType=0&amp;gameName=PlayNet81MagicStars&amp;platform=desktop&amp;languageCode=eng&amp;currency=EUR")</f>
        <v>https://gameserver-store-client-area.orbionlimited.com/Home/IntegrationGameLaunch/client-area?moneyType=0&amp;gameName=PlayNet81MagicStars&amp;platform=desktop&amp;languageCode=eng&amp;currency=EUR</v>
      </c>
      <c r="R37" s="5" t="str">
        <f ca="1">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S37" s="5" t="str">
        <f ca="1">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T37" s="5" t="str">
        <f ca="1">IFERROR(__xludf.DUMMYFUNCTION("""COMPUTED_VALUE"""),"Yes")</f>
        <v>Yes</v>
      </c>
      <c r="U37" s="5" t="str">
        <f ca="1">IFERROR(__xludf.DUMMYFUNCTION("""COMPUTED_VALUE"""),"Yes")</f>
        <v>Yes</v>
      </c>
      <c r="V37" s="5" t="str">
        <f ca="1">IFERROR(__xludf.DUMMYFUNCTION("""COMPUTED_VALUE"""),"No")</f>
        <v>No</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IFERROR(__xludf.DUMMYFUNCTION("""COMPUTED_VALUE"""),"Yes")</f>
        <v>Yes</v>
      </c>
      <c r="AF37" s="5" t="str">
        <f ca="1">IFERROR(__xludf.DUMMYFUNCTION("""COMPUTED_VALUE"""),"Yes")</f>
        <v>Yes</v>
      </c>
      <c r="AG37" s="5" t="str">
        <f ca="1">IFERROR(__xludf.DUMMYFUNCTION("""COMPUTED_VALUE"""),"Yes")</f>
        <v>Yes</v>
      </c>
      <c r="AH37" s="5" t="str">
        <f ca="1">IFERROR(__xludf.DUMMYFUNCTION("""COMPUTED_VALUE"""),"Yes")</f>
        <v>Yes</v>
      </c>
      <c r="AI37" s="5"/>
      <c r="AJ37" s="5"/>
      <c r="AK37" s="5"/>
      <c r="AL37" s="5"/>
      <c r="AM37" s="5"/>
      <c r="AN37" s="5"/>
      <c r="AO37" s="5" t="str">
        <f ca="1">IFERROR(__xludf.DUMMYFUNCTION("""COMPUTED_VALUE"""),"No")</f>
        <v>No</v>
      </c>
      <c r="AP37" s="5"/>
      <c r="AQ37" s="5"/>
      <c r="AR37" s="5"/>
      <c r="AS37" s="5" t="str">
        <f ca="1">IFERROR(__xludf.DUMMYFUNCTION("""COMPUTED_VALUE"""),"Yes")</f>
        <v>Yes</v>
      </c>
      <c r="AT37" s="5" t="str">
        <f ca="1">IFERROR(__xludf.DUMMYFUNCTION("""COMPUTED_VALUE"""),"Yes")</f>
        <v>Yes</v>
      </c>
      <c r="AU37" s="5"/>
    </row>
    <row r="38" spans="1:47" x14ac:dyDescent="0.25">
      <c r="A38" s="5" t="str">
        <f ca="1">IFERROR(__xludf.DUMMYFUNCTION("""COMPUTED_VALUE"""),"Playnet")</f>
        <v>Playnet</v>
      </c>
      <c r="B38" s="5" t="str">
        <f ca="1">IFERROR(__xludf.DUMMYFUNCTION("""COMPUTED_VALUE"""),"Elf &amp; Roll")</f>
        <v>Elf &amp; Roll</v>
      </c>
      <c r="C38" s="5" t="str">
        <f ca="1">IFERROR(__xludf.DUMMYFUNCTION("""COMPUTED_VALUE"""),"PlayNetElfAndRoll")</f>
        <v>PlayNetElfAndRoll</v>
      </c>
      <c r="D38" s="6">
        <f ca="1">IFERROR(__xludf.DUMMYFUNCTION("""COMPUTED_VALUE"""),45965)</f>
        <v>45965</v>
      </c>
      <c r="E38" s="5" t="str">
        <f ca="1">IFERROR(__xludf.DUMMYFUNCTION("""COMPUTED_VALUE"""),"Slot")</f>
        <v>Slot</v>
      </c>
      <c r="F38" s="5">
        <f ca="1">IFERROR(__xludf.DUMMYFUNCTION("""COMPUTED_VALUE"""),7.2)</f>
        <v>7.2</v>
      </c>
      <c r="G38" s="5" t="str">
        <f ca="1">IFERROR(__xludf.DUMMYFUNCTION("""COMPUTED_VALUE"""),"5x3")</f>
        <v>5x3</v>
      </c>
      <c r="H38" s="5">
        <f ca="1">IFERROR(__xludf.DUMMYFUNCTION("""COMPUTED_VALUE"""),10)</f>
        <v>10</v>
      </c>
      <c r="I38" s="5">
        <f ca="1">IFERROR(__xludf.DUMMYFUNCTION("""COMPUTED_VALUE"""),10)</f>
        <v>10</v>
      </c>
      <c r="J38" s="5" t="str">
        <f ca="1">IFERROR(__xludf.DUMMYFUNCTION("""COMPUTED_VALUE"""),"95.962%")</f>
        <v>95.962%</v>
      </c>
      <c r="K38" s="5" t="str">
        <f ca="1">IFERROR(__xludf.DUMMYFUNCTION("""COMPUTED_VALUE"""),"Medium")</f>
        <v>Medium</v>
      </c>
      <c r="L38" s="5" t="str">
        <f ca="1">IFERROR(__xludf.DUMMYFUNCTION("""COMPUTED_VALUE"""),"14.634%")</f>
        <v>14.634%</v>
      </c>
      <c r="M38" s="5" t="str">
        <f ca="1">IFERROR(__xludf.DUMMYFUNCTION("""COMPUTED_VALUE"""),"x1538")</f>
        <v>x1538</v>
      </c>
      <c r="N38" s="5" t="str">
        <f ca="1">IFERROR(__xludf.DUMMYFUNCTION("""COMPUTED_VALUE"""),"0.1/40")</f>
        <v>0.1/40</v>
      </c>
      <c r="O38" s="5" t="str">
        <f ca="1">IFERROR(__xludf.DUMMYFUNCTION("""COMPUTED_VALUE"""),"No")</f>
        <v>No</v>
      </c>
      <c r="P38" s="5" t="str">
        <f ca="1">IFERROR(__xludf.DUMMYFUNCTION("""COMPUTED_VALUE"""),"Scatter, Expanding Wild")</f>
        <v>Scatter, Expanding Wild</v>
      </c>
      <c r="Q38" s="7" t="str">
        <f ca="1">IFERROR(__xludf.DUMMYFUNCTION("""COMPUTED_VALUE"""),"https://gameserver-store-client-area.orbionlimited.com/Home/IntegrationGameLaunch/client-area?moneyType=0&amp;gameName=PlayNetElfAndRoll&amp;platform=desktop&amp;languageCode=eng&amp;currency=EUR")</f>
        <v>https://gameserver-store-client-area.orbionlimited.com/Home/IntegrationGameLaunch/client-area?moneyType=0&amp;gameName=PlayNetElfAndRoll&amp;platform=desktop&amp;languageCode=eng&amp;currency=EUR</v>
      </c>
      <c r="R38" s="5" t="str">
        <f ca="1">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S3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 ca="1">IFERROR(__xludf.DUMMYFUNCTION("""COMPUTED_VALUE"""),"Yes")</f>
        <v>Yes</v>
      </c>
      <c r="U38" s="5" t="str">
        <f ca="1">IFERROR(__xludf.DUMMYFUNCTION("""COMPUTED_VALUE"""),"Yes")</f>
        <v>Yes</v>
      </c>
      <c r="V38" s="5" t="str">
        <f ca="1">IFERROR(__xludf.DUMMYFUNCTION("""COMPUTED_VALUE"""),"No")</f>
        <v>No</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IFERROR(__xludf.DUMMYFUNCTION("""COMPUTED_VALUE"""),"Yes")</f>
        <v>Yes</v>
      </c>
      <c r="AA38" s="5" t="str">
        <f ca="1">IFERROR(__xludf.DUMMYFUNCTION("""COMPUTED_VALUE"""),"Yes")</f>
        <v>Yes</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IFERROR(__xludf.DUMMYFUNCTION("""COMPUTED_VALUE"""),"Yes")</f>
        <v>Yes</v>
      </c>
      <c r="AF38" s="5" t="str">
        <f ca="1">IFERROR(__xludf.DUMMYFUNCTION("""COMPUTED_VALUE"""),"Yes")</f>
        <v>Yes</v>
      </c>
      <c r="AG38" s="5" t="str">
        <f ca="1">IFERROR(__xludf.DUMMYFUNCTION("""COMPUTED_VALUE"""),"Yes")</f>
        <v>Yes</v>
      </c>
      <c r="AH38" s="5" t="str">
        <f ca="1">IFERROR(__xludf.DUMMYFUNCTION("""COMPUTED_VALUE"""),"Yes")</f>
        <v>Yes</v>
      </c>
      <c r="AI38" s="5" t="str">
        <f ca="1">IFERROR(__xludf.DUMMYFUNCTION("""COMPUTED_VALUE"""),"No")</f>
        <v>No</v>
      </c>
      <c r="AJ38" s="5" t="str">
        <f ca="1">IFERROR(__xludf.DUMMYFUNCTION("""COMPUTED_VALUE"""),"No")</f>
        <v>No</v>
      </c>
      <c r="AK38" s="5" t="str">
        <f ca="1">IFERROR(__xludf.DUMMYFUNCTION("""COMPUTED_VALUE"""),"No")</f>
        <v>No</v>
      </c>
      <c r="AL38" s="5" t="str">
        <f ca="1">IFERROR(__xludf.DUMMYFUNCTION("""COMPUTED_VALUE"""),"No")</f>
        <v>No</v>
      </c>
      <c r="AM38" s="5" t="str">
        <f ca="1">IFERROR(__xludf.DUMMYFUNCTION("""COMPUTED_VALUE"""),"No")</f>
        <v>No</v>
      </c>
      <c r="AN38" s="5" t="str">
        <f ca="1">IFERROR(__xludf.DUMMYFUNCTION("""COMPUTED_VALUE"""),"No")</f>
        <v>No</v>
      </c>
      <c r="AO38" s="5" t="str">
        <f ca="1">IFERROR(__xludf.DUMMYFUNCTION("""COMPUTED_VALUE"""),"No")</f>
        <v>No</v>
      </c>
      <c r="AP38" s="5" t="str">
        <f ca="1">IFERROR(__xludf.DUMMYFUNCTION("""COMPUTED_VALUE"""),"No")</f>
        <v>No</v>
      </c>
      <c r="AQ38" s="5" t="str">
        <f ca="1">IFERROR(__xludf.DUMMYFUNCTION("""COMPUTED_VALUE"""),"No")</f>
        <v>No</v>
      </c>
      <c r="AR38" s="5" t="str">
        <f ca="1">IFERROR(__xludf.DUMMYFUNCTION("""COMPUTED_VALUE"""),"No")</f>
        <v>No</v>
      </c>
      <c r="AS38" s="5" t="str">
        <f ca="1">IFERROR(__xludf.DUMMYFUNCTION("""COMPUTED_VALUE"""),"Yes")</f>
        <v>Yes</v>
      </c>
      <c r="AT38" s="5" t="str">
        <f ca="1">IFERROR(__xludf.DUMMYFUNCTION("""COMPUTED_VALUE"""),"No")</f>
        <v>No</v>
      </c>
      <c r="AU38" s="5"/>
    </row>
    <row r="39" spans="1:47" x14ac:dyDescent="0.25">
      <c r="A39" s="5" t="str">
        <f ca="1">IFERROR(__xludf.DUMMYFUNCTION("""COMPUTED_VALUE"""),"Playnet")</f>
        <v>Playnet</v>
      </c>
      <c r="B39" s="5" t="str">
        <f ca="1">IFERROR(__xludf.DUMMYFUNCTION("""COMPUTED_VALUE"""),"Gears of Fortune")</f>
        <v>Gears of Fortune</v>
      </c>
      <c r="C39" s="5" t="str">
        <f ca="1">IFERROR(__xludf.DUMMYFUNCTION("""COMPUTED_VALUE""")," PlayNetGearsOfFortune")</f>
        <v xml:space="preserve"> PlayNetGearsOfFortune</v>
      </c>
      <c r="D39" s="6">
        <f ca="1">IFERROR(__xludf.DUMMYFUNCTION("""COMPUTED_VALUE"""),46006)</f>
        <v>46006</v>
      </c>
      <c r="E39" s="5" t="str">
        <f ca="1">IFERROR(__xludf.DUMMYFUNCTION("""COMPUTED_VALUE"""),"Slot")</f>
        <v>Slot</v>
      </c>
      <c r="F39" s="5">
        <f ca="1">IFERROR(__xludf.DUMMYFUNCTION("""COMPUTED_VALUE"""),7.2)</f>
        <v>7.2</v>
      </c>
      <c r="G39" s="5" t="str">
        <f ca="1">IFERROR(__xludf.DUMMYFUNCTION("""COMPUTED_VALUE"""),"5x4")</f>
        <v>5x4</v>
      </c>
      <c r="H39" s="5">
        <f ca="1">IFERROR(__xludf.DUMMYFUNCTION("""COMPUTED_VALUE"""),40)</f>
        <v>40</v>
      </c>
      <c r="I39" s="5">
        <f ca="1">IFERROR(__xludf.DUMMYFUNCTION("""COMPUTED_VALUE"""),40)</f>
        <v>40</v>
      </c>
      <c r="J39" s="5" t="str">
        <f ca="1">IFERROR(__xludf.DUMMYFUNCTION("""COMPUTED_VALUE"""),"96.584%")</f>
        <v>96.584%</v>
      </c>
      <c r="K39" s="5" t="str">
        <f ca="1">IFERROR(__xludf.DUMMYFUNCTION("""COMPUTED_VALUE"""),"Low")</f>
        <v>Low</v>
      </c>
      <c r="L39" s="5" t="str">
        <f ca="1">IFERROR(__xludf.DUMMYFUNCTION("""COMPUTED_VALUE"""),"16.725%")</f>
        <v>16.725%</v>
      </c>
      <c r="M39" s="5" t="str">
        <f ca="1">IFERROR(__xludf.DUMMYFUNCTION("""COMPUTED_VALUE"""),"x1000")</f>
        <v>x1000</v>
      </c>
      <c r="N39" s="5" t="str">
        <f ca="1">IFERROR(__xludf.DUMMYFUNCTION("""COMPUTED_VALUE"""),"0.40/60")</f>
        <v>0.40/60</v>
      </c>
      <c r="O39" s="5" t="str">
        <f ca="1">IFERROR(__xludf.DUMMYFUNCTION("""COMPUTED_VALUE"""),"No")</f>
        <v>No</v>
      </c>
      <c r="P39" s="5" t="str">
        <f ca="1">IFERROR(__xludf.DUMMYFUNCTION("""COMPUTED_VALUE"""),"Scatter, Wild Symbol")</f>
        <v>Scatter, Wild Symbol</v>
      </c>
      <c r="Q39" s="5" t="str">
        <f ca="1">IFERROR(__xludf.DUMMYFUNCTION("""COMPUTED_VALUE"""),"https://gameserver-store-client-area.orbionlimited.com/Home/IntegrationGameLaunch/client-area?moneyType=0&amp;gameName= PlayNetGearsOfFortune&amp;platform=desktop&amp;languageCode=eng&amp;currency=EUR")</f>
        <v>https://gameserver-store-client-area.orbionlimited.com/Home/IntegrationGameLaunch/client-area?moneyType=0&amp;gameName= PlayNetGearsOfFortune&amp;platform=desktop&amp;languageCode=eng&amp;currency=EUR</v>
      </c>
      <c r="R39" s="5" t="str">
        <f ca="1">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S3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 ca="1">IFERROR(__xludf.DUMMYFUNCTION("""COMPUTED_VALUE"""),"Yes")</f>
        <v>Yes</v>
      </c>
      <c r="U39" s="5" t="str">
        <f ca="1">IFERROR(__xludf.DUMMYFUNCTION("""COMPUTED_VALUE"""),"Yes")</f>
        <v>Yes</v>
      </c>
      <c r="V39" s="5" t="str">
        <f ca="1">IFERROR(__xludf.DUMMYFUNCTION("""COMPUTED_VALUE"""),"No")</f>
        <v>No</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IFERROR(__xludf.DUMMYFUNCTION("""COMPUTED_VALUE"""),"Yes")</f>
        <v>Yes</v>
      </c>
      <c r="AA39" s="5" t="str">
        <f ca="1">IFERROR(__xludf.DUMMYFUNCTION("""COMPUTED_VALUE"""),"Yes")</f>
        <v>Yes</v>
      </c>
      <c r="AB39" s="5" t="str">
        <f ca="1">IFERROR(__xludf.DUMMYFUNCTION("""COMPUTED_VALUE"""),"Yes")</f>
        <v>Yes</v>
      </c>
      <c r="AC39" s="5" t="str">
        <f ca="1">IFERROR(__xludf.DUMMYFUNCTION("""COMPUTED_VALUE"""),"Yes")</f>
        <v>Yes</v>
      </c>
      <c r="AD39" s="5" t="str">
        <f ca="1">IFERROR(__xludf.DUMMYFUNCTION("""COMPUTED_VALUE"""),"Yes")</f>
        <v>Yes</v>
      </c>
      <c r="AE39" s="5" t="str">
        <f ca="1">IFERROR(__xludf.DUMMYFUNCTION("""COMPUTED_VALUE"""),"Yes")</f>
        <v>Yes</v>
      </c>
      <c r="AF39" s="5" t="str">
        <f ca="1">IFERROR(__xludf.DUMMYFUNCTION("""COMPUTED_VALUE"""),"Yes")</f>
        <v>Yes</v>
      </c>
      <c r="AG39" s="5" t="str">
        <f ca="1">IFERROR(__xludf.DUMMYFUNCTION("""COMPUTED_VALUE"""),"Yes")</f>
        <v>Yes</v>
      </c>
      <c r="AH39" s="5" t="str">
        <f ca="1">IFERROR(__xludf.DUMMYFUNCTION("""COMPUTED_VALUE"""),"Yes")</f>
        <v>Yes</v>
      </c>
      <c r="AI39" s="5" t="str">
        <f ca="1">IFERROR(__xludf.DUMMYFUNCTION("""COMPUTED_VALUE"""),"No")</f>
        <v>No</v>
      </c>
      <c r="AJ39" s="5" t="str">
        <f ca="1">IFERROR(__xludf.DUMMYFUNCTION("""COMPUTED_VALUE"""),"No")</f>
        <v>No</v>
      </c>
      <c r="AK39" s="5" t="str">
        <f ca="1">IFERROR(__xludf.DUMMYFUNCTION("""COMPUTED_VALUE"""),"No")</f>
        <v>No</v>
      </c>
      <c r="AL39" s="5" t="str">
        <f ca="1">IFERROR(__xludf.DUMMYFUNCTION("""COMPUTED_VALUE"""),"No")</f>
        <v>No</v>
      </c>
      <c r="AM39" s="5" t="str">
        <f ca="1">IFERROR(__xludf.DUMMYFUNCTION("""COMPUTED_VALUE"""),"No")</f>
        <v>No</v>
      </c>
      <c r="AN39" s="5" t="str">
        <f ca="1">IFERROR(__xludf.DUMMYFUNCTION("""COMPUTED_VALUE"""),"No")</f>
        <v>No</v>
      </c>
      <c r="AO39" s="5" t="str">
        <f ca="1">IFERROR(__xludf.DUMMYFUNCTION("""COMPUTED_VALUE"""),"No")</f>
        <v>No</v>
      </c>
      <c r="AP39" s="5" t="str">
        <f ca="1">IFERROR(__xludf.DUMMYFUNCTION("""COMPUTED_VALUE"""),"No")</f>
        <v>No</v>
      </c>
      <c r="AQ39" s="5" t="str">
        <f ca="1">IFERROR(__xludf.DUMMYFUNCTION("""COMPUTED_VALUE"""),"No")</f>
        <v>No</v>
      </c>
      <c r="AR39" s="5" t="str">
        <f ca="1">IFERROR(__xludf.DUMMYFUNCTION("""COMPUTED_VALUE"""),"No")</f>
        <v>No</v>
      </c>
      <c r="AS39" s="5" t="str">
        <f ca="1">IFERROR(__xludf.DUMMYFUNCTION("""COMPUTED_VALUE"""),"Yes")</f>
        <v>Yes</v>
      </c>
      <c r="AT39" s="5" t="str">
        <f ca="1">IFERROR(__xludf.DUMMYFUNCTION("""COMPUTED_VALUE"""),"No")</f>
        <v>No</v>
      </c>
      <c r="AU39" s="5"/>
    </row>
    <row r="40" spans="1:47" x14ac:dyDescent="0.25">
      <c r="A40" s="5" t="str">
        <f ca="1">IFERROR(__xludf.DUMMYFUNCTION("""COMPUTED_VALUE"""),"Playnet")</f>
        <v>Playnet</v>
      </c>
      <c r="B40" s="5" t="str">
        <f ca="1">IFERROR(__xludf.DUMMYFUNCTION("""COMPUTED_VALUE"""),"Diamond Heart 10")</f>
        <v>Diamond Heart 10</v>
      </c>
      <c r="C40" s="5" t="str">
        <f ca="1">IFERROR(__xludf.DUMMYFUNCTION("""COMPUTED_VALUE"""),"PlayNetDiamondHeart10")</f>
        <v>PlayNetDiamondHeart10</v>
      </c>
      <c r="D40" s="6">
        <f ca="1">IFERROR(__xludf.DUMMYFUNCTION("""COMPUTED_VALUE"""),46042)</f>
        <v>46042</v>
      </c>
      <c r="E40" s="5" t="str">
        <f ca="1">IFERROR(__xludf.DUMMYFUNCTION("""COMPUTED_VALUE"""),"Slot")</f>
        <v>Slot</v>
      </c>
      <c r="F40" s="5">
        <f ca="1">IFERROR(__xludf.DUMMYFUNCTION("""COMPUTED_VALUE"""),15)</f>
        <v>15</v>
      </c>
      <c r="G40" s="5" t="str">
        <f ca="1">IFERROR(__xludf.DUMMYFUNCTION("""COMPUTED_VALUE"""),"5x3")</f>
        <v>5x3</v>
      </c>
      <c r="H40" s="5">
        <f ca="1">IFERROR(__xludf.DUMMYFUNCTION("""COMPUTED_VALUE"""),10)</f>
        <v>10</v>
      </c>
      <c r="I40" s="5">
        <f ca="1">IFERROR(__xludf.DUMMYFUNCTION("""COMPUTED_VALUE"""),10)</f>
        <v>10</v>
      </c>
      <c r="J40" s="5" t="str">
        <f ca="1">IFERROR(__xludf.DUMMYFUNCTION("""COMPUTED_VALUE"""),"95.962%")</f>
        <v>95.962%</v>
      </c>
      <c r="K40" s="5" t="str">
        <f ca="1">IFERROR(__xludf.DUMMYFUNCTION("""COMPUTED_VALUE"""),"Medium")</f>
        <v>Medium</v>
      </c>
      <c r="L40" s="5" t="str">
        <f ca="1">IFERROR(__xludf.DUMMYFUNCTION("""COMPUTED_VALUE"""),"14.634%")</f>
        <v>14.634%</v>
      </c>
      <c r="M40" s="5" t="str">
        <f ca="1">IFERROR(__xludf.DUMMYFUNCTION("""COMPUTED_VALUE"""),"x1538")</f>
        <v>x1538</v>
      </c>
      <c r="N40" s="5" t="str">
        <f ca="1">IFERROR(__xludf.DUMMYFUNCTION("""COMPUTED_VALUE"""),"0.1/40")</f>
        <v>0.1/40</v>
      </c>
      <c r="O40" s="5" t="str">
        <f ca="1">IFERROR(__xludf.DUMMYFUNCTION("""COMPUTED_VALUE"""),"No")</f>
        <v>No</v>
      </c>
      <c r="P40" s="5" t="str">
        <f ca="1">IFERROR(__xludf.DUMMYFUNCTION("""COMPUTED_VALUE"""),"Expanding Wild, Scatter")</f>
        <v>Expanding Wild, Scatter</v>
      </c>
      <c r="Q40" s="7" t="str">
        <f ca="1">IFERROR(__xludf.DUMMYFUNCTION("""COMPUTED_VALUE"""),"https://gameserver-store-client-area.orbionlimited.com/Home/IntegrationGameLaunch/client-area?moneyType=0&amp;gameName=PlayNetDiamondHeart10&amp;platform=desktop&amp;languageCode=eng&amp;currency=EUR")</f>
        <v>https://gameserver-store-client-area.orbionlimited.com/Home/IntegrationGameLaunch/client-area?moneyType=0&amp;gameName=PlayNetDiamondHeart10&amp;platform=desktop&amp;languageCode=eng&amp;currency=EUR</v>
      </c>
      <c r="R40" s="5" t="str">
        <f ca="1">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IFERROR(__xludf.DUMMYFUNCTION("""COMPUTED_VALUE"""),"Yes")</f>
        <v>Yes</v>
      </c>
      <c r="AA40" s="5" t="str">
        <f ca="1">IFERROR(__xludf.DUMMYFUNCTION("""COMPUTED_VALUE"""),"Yes")</f>
        <v>Yes</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IFERROR(__xludf.DUMMYFUNCTION("""COMPUTED_VALUE"""),"Yes")</f>
        <v>Yes</v>
      </c>
      <c r="AF40" s="5" t="str">
        <f ca="1">IFERROR(__xludf.DUMMYFUNCTION("""COMPUTED_VALUE"""),"Yes")</f>
        <v>Yes</v>
      </c>
      <c r="AG40" s="5" t="str">
        <f ca="1">IFERROR(__xludf.DUMMYFUNCTION("""COMPUTED_VALUE"""),"Yes")</f>
        <v>Yes</v>
      </c>
      <c r="AH40" s="5" t="str">
        <f ca="1">IFERROR(__xludf.DUMMYFUNCTION("""COMPUTED_VALUE"""),"Yes")</f>
        <v>Yes</v>
      </c>
      <c r="AI40" s="5" t="str">
        <f ca="1">IFERROR(__xludf.DUMMYFUNCTION("""COMPUTED_VALUE"""),"No")</f>
        <v>No</v>
      </c>
      <c r="AJ40" s="5" t="str">
        <f ca="1">IFERROR(__xludf.DUMMYFUNCTION("""COMPUTED_VALUE"""),"No")</f>
        <v>No</v>
      </c>
      <c r="AK40" s="5" t="str">
        <f ca="1">IFERROR(__xludf.DUMMYFUNCTION("""COMPUTED_VALUE"""),"No")</f>
        <v>No</v>
      </c>
      <c r="AL40" s="5" t="str">
        <f ca="1">IFERROR(__xludf.DUMMYFUNCTION("""COMPUTED_VALUE"""),"No")</f>
        <v>No</v>
      </c>
      <c r="AM40" s="5" t="str">
        <f ca="1">IFERROR(__xludf.DUMMYFUNCTION("""COMPUTED_VALUE"""),"No")</f>
        <v>No</v>
      </c>
      <c r="AN40" s="5" t="str">
        <f ca="1">IFERROR(__xludf.DUMMYFUNCTION("""COMPUTED_VALUE"""),"No")</f>
        <v>No</v>
      </c>
      <c r="AO40" s="5" t="str">
        <f ca="1">IFERROR(__xludf.DUMMYFUNCTION("""COMPUTED_VALUE"""),"No")</f>
        <v>No</v>
      </c>
      <c r="AP40" s="5" t="str">
        <f ca="1">IFERROR(__xludf.DUMMYFUNCTION("""COMPUTED_VALUE"""),"No")</f>
        <v>No</v>
      </c>
      <c r="AQ40" s="5" t="str">
        <f ca="1">IFERROR(__xludf.DUMMYFUNCTION("""COMPUTED_VALUE"""),"No")</f>
        <v>No</v>
      </c>
      <c r="AR40" s="5" t="str">
        <f ca="1">IFERROR(__xludf.DUMMYFUNCTION("""COMPUTED_VALUE"""),"No")</f>
        <v>No</v>
      </c>
      <c r="AS40" s="5" t="str">
        <f ca="1">IFERROR(__xludf.DUMMYFUNCTION("""COMPUTED_VALUE"""),"Yes")</f>
        <v>Yes</v>
      </c>
      <c r="AT40" s="5" t="str">
        <f ca="1">IFERROR(__xludf.DUMMYFUNCTION("""COMPUTED_VALUE"""),"No")</f>
        <v>No</v>
      </c>
      <c r="AU40" s="5"/>
    </row>
    <row r="41" spans="1:47" x14ac:dyDescent="0.25">
      <c r="A41" s="5" t="str">
        <f ca="1">IFERROR(__xludf.DUMMYFUNCTION("""COMPUTED_VALUE"""),"Playnet")</f>
        <v>Playnet</v>
      </c>
      <c r="B41" s="5" t="str">
        <f ca="1">IFERROR(__xludf.DUMMYFUNCTION("""COMPUTED_VALUE"""),"Leprechaun's Fortune Clover")</f>
        <v>Leprechaun's Fortune Clover</v>
      </c>
      <c r="C41" s="5" t="str">
        <f ca="1">IFERROR(__xludf.DUMMYFUNCTION("""COMPUTED_VALUE"""),"PlayNetLeprechaunsFortuneClover")</f>
        <v>PlayNetLeprechaunsFortuneClover</v>
      </c>
      <c r="D41" s="6">
        <f ca="1">IFERROR(__xludf.DUMMYFUNCTION("""COMPUTED_VALUE"""),46057)</f>
        <v>46057</v>
      </c>
      <c r="E41" s="5" t="str">
        <f ca="1">IFERROR(__xludf.DUMMYFUNCTION("""COMPUTED_VALUE"""),"Slot")</f>
        <v>Slot</v>
      </c>
      <c r="F41" s="5">
        <f ca="1">IFERROR(__xludf.DUMMYFUNCTION("""COMPUTED_VALUE"""),15)</f>
        <v>15</v>
      </c>
      <c r="G41" s="5" t="str">
        <f ca="1">IFERROR(__xludf.DUMMYFUNCTION("""COMPUTED_VALUE"""),"5x3")</f>
        <v>5x3</v>
      </c>
      <c r="H41" s="5">
        <f ca="1">IFERROR(__xludf.DUMMYFUNCTION("""COMPUTED_VALUE"""),5)</f>
        <v>5</v>
      </c>
      <c r="I41" s="5">
        <f ca="1">IFERROR(__xludf.DUMMYFUNCTION("""COMPUTED_VALUE"""),5)</f>
        <v>5</v>
      </c>
      <c r="J41" s="5" t="str">
        <f ca="1">IFERROR(__xludf.DUMMYFUNCTION("""COMPUTED_VALUE"""),"96.453%")</f>
        <v>96.453%</v>
      </c>
      <c r="K41" s="5" t="str">
        <f ca="1">IFERROR(__xludf.DUMMYFUNCTION("""COMPUTED_VALUE"""),"Medium")</f>
        <v>Medium</v>
      </c>
      <c r="L41" s="5" t="str">
        <f ca="1">IFERROR(__xludf.DUMMYFUNCTION("""COMPUTED_VALUE"""),"14.234%")</f>
        <v>14.234%</v>
      </c>
      <c r="M41" s="5" t="str">
        <f ca="1">IFERROR(__xludf.DUMMYFUNCTION("""COMPUTED_VALUE"""),"x2624")</f>
        <v>x2624</v>
      </c>
      <c r="N41" s="5" t="str">
        <f ca="1">IFERROR(__xludf.DUMMYFUNCTION("""COMPUTED_VALUE"""),"0.05/30")</f>
        <v>0.05/30</v>
      </c>
      <c r="O41" s="5" t="str">
        <f ca="1">IFERROR(__xludf.DUMMYFUNCTION("""COMPUTED_VALUE"""),"No")</f>
        <v>No</v>
      </c>
      <c r="P41" s="5" t="str">
        <f ca="1">IFERROR(__xludf.DUMMYFUNCTION("""COMPUTED_VALUE"""),"Scatter, Expanding Wild, Wild Multiplier")</f>
        <v>Scatter, Expanding Wild, Wild Multiplier</v>
      </c>
      <c r="Q41" s="7" t="str">
        <f ca="1">IFERROR(__xludf.DUMMYFUNCTION("""COMPUTED_VALUE"""),"https://gameserver-store-client-area.orbionlimited.com/Home/IntegrationGameLaunch/client-area?moneyType=0&amp;gameName=PlayNetLeprechaunsFortuneClover&amp;platform=desktop&amp;languageCode=eng&amp;currency=EUR")</f>
        <v>https://gameserver-store-client-area.orbionlimited.com/Home/IntegrationGameLaunch/client-area?moneyType=0&amp;gameName=PlayNetLeprechaunsFortuneClover&amp;platform=desktop&amp;languageCode=eng&amp;currency=EUR</v>
      </c>
      <c r="R41" s="5" t="str">
        <f ca="1">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S4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IFERROR(__xludf.DUMMYFUNCTION("""COMPUTED_VALUE"""),"Yes")</f>
        <v>Yes</v>
      </c>
      <c r="AA41" s="5" t="str">
        <f ca="1">IFERROR(__xludf.DUMMYFUNCTION("""COMPUTED_VALUE"""),"Yes")</f>
        <v>Yes</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IFERROR(__xludf.DUMMYFUNCTION("""COMPUTED_VALUE"""),"Yes")</f>
        <v>Yes</v>
      </c>
      <c r="AF41" s="5" t="str">
        <f ca="1">IFERROR(__xludf.DUMMYFUNCTION("""COMPUTED_VALUE"""),"Yes")</f>
        <v>Yes</v>
      </c>
      <c r="AG41" s="5" t="str">
        <f ca="1">IFERROR(__xludf.DUMMYFUNCTION("""COMPUTED_VALUE"""),"Yes")</f>
        <v>Yes</v>
      </c>
      <c r="AH41" s="5" t="str">
        <f ca="1">IFERROR(__xludf.DUMMYFUNCTION("""COMPUTED_VALUE"""),"Yes")</f>
        <v>Yes</v>
      </c>
      <c r="AI41" s="5" t="str">
        <f ca="1">IFERROR(__xludf.DUMMYFUNCTION("""COMPUTED_VALUE"""),"No")</f>
        <v>No</v>
      </c>
      <c r="AJ41" s="5" t="str">
        <f ca="1">IFERROR(__xludf.DUMMYFUNCTION("""COMPUTED_VALUE"""),"No")</f>
        <v>No</v>
      </c>
      <c r="AK41" s="5" t="str">
        <f ca="1">IFERROR(__xludf.DUMMYFUNCTION("""COMPUTED_VALUE"""),"No")</f>
        <v>No</v>
      </c>
      <c r="AL41" s="5" t="str">
        <f ca="1">IFERROR(__xludf.DUMMYFUNCTION("""COMPUTED_VALUE"""),"No")</f>
        <v>No</v>
      </c>
      <c r="AM41" s="5" t="str">
        <f ca="1">IFERROR(__xludf.DUMMYFUNCTION("""COMPUTED_VALUE"""),"No")</f>
        <v>No</v>
      </c>
      <c r="AN41" s="5" t="str">
        <f ca="1">IFERROR(__xludf.DUMMYFUNCTION("""COMPUTED_VALUE"""),"No")</f>
        <v>No</v>
      </c>
      <c r="AO41" s="5" t="str">
        <f ca="1">IFERROR(__xludf.DUMMYFUNCTION("""COMPUTED_VALUE"""),"No")</f>
        <v>No</v>
      </c>
      <c r="AP41" s="5" t="str">
        <f ca="1">IFERROR(__xludf.DUMMYFUNCTION("""COMPUTED_VALUE"""),"No")</f>
        <v>No</v>
      </c>
      <c r="AQ41" s="5" t="str">
        <f ca="1">IFERROR(__xludf.DUMMYFUNCTION("""COMPUTED_VALUE"""),"No")</f>
        <v>No</v>
      </c>
      <c r="AR41" s="5" t="str">
        <f ca="1">IFERROR(__xludf.DUMMYFUNCTION("""COMPUTED_VALUE"""),"No")</f>
        <v>No</v>
      </c>
      <c r="AS41" s="5" t="str">
        <f ca="1">IFERROR(__xludf.DUMMYFUNCTION("""COMPUTED_VALUE"""),"Yes")</f>
        <v>Yes</v>
      </c>
      <c r="AT41" s="5" t="str">
        <f ca="1">IFERROR(__xludf.DUMMYFUNCTION("""COMPUTED_VALUE"""),"No")</f>
        <v>No</v>
      </c>
      <c r="AU41" s="5"/>
    </row>
    <row r="42" spans="1:47" x14ac:dyDescent="0.25">
      <c r="A42" s="5" t="str">
        <f ca="1">IFERROR(__xludf.DUMMYFUNCTION("""COMPUTED_VALUE"""),"Playnet")</f>
        <v>Playnet</v>
      </c>
      <c r="B42" s="5" t="str">
        <f ca="1">IFERROR(__xludf.DUMMYFUNCTION("""COMPUTED_VALUE"""),"Empress Of Flame")</f>
        <v>Empress Of Flame</v>
      </c>
      <c r="C42" s="5" t="str">
        <f ca="1">IFERROR(__xludf.DUMMYFUNCTION("""COMPUTED_VALUE"""),"PlayNetEmpressOfFlame")</f>
        <v>PlayNetEmpressOfFlame</v>
      </c>
      <c r="D42" s="6">
        <f ca="1">IFERROR(__xludf.DUMMYFUNCTION("""COMPUTED_VALUE"""),46129)</f>
        <v>46129</v>
      </c>
      <c r="E42" s="5" t="str">
        <f ca="1">IFERROR(__xludf.DUMMYFUNCTION("""COMPUTED_VALUE"""),"Slot")</f>
        <v>Slot</v>
      </c>
      <c r="F42" s="5">
        <f ca="1">IFERROR(__xludf.DUMMYFUNCTION("""COMPUTED_VALUE"""),17)</f>
        <v>17</v>
      </c>
      <c r="G42" s="5" t="str">
        <f ca="1">IFERROR(__xludf.DUMMYFUNCTION("""COMPUTED_VALUE"""),"5x3")</f>
        <v>5x3</v>
      </c>
      <c r="H42" s="5">
        <f ca="1">IFERROR(__xludf.DUMMYFUNCTION("""COMPUTED_VALUE"""),10)</f>
        <v>10</v>
      </c>
      <c r="I42" s="5">
        <f ca="1">IFERROR(__xludf.DUMMYFUNCTION("""COMPUTED_VALUE"""),10)</f>
        <v>10</v>
      </c>
      <c r="J42" s="5" t="str">
        <f ca="1">IFERROR(__xludf.DUMMYFUNCTION("""COMPUTED_VALUE"""),"95.544%")</f>
        <v>95.544%</v>
      </c>
      <c r="K42" s="5" t="str">
        <f ca="1">IFERROR(__xludf.DUMMYFUNCTION("""COMPUTED_VALUE"""),"Medium")</f>
        <v>Medium</v>
      </c>
      <c r="L42" s="5" t="str">
        <f ca="1">IFERROR(__xludf.DUMMYFUNCTION("""COMPUTED_VALUE"""),"13.022%")</f>
        <v>13.022%</v>
      </c>
      <c r="M42" s="5" t="str">
        <f ca="1">IFERROR(__xludf.DUMMYFUNCTION("""COMPUTED_VALUE"""),"x1611")</f>
        <v>x1611</v>
      </c>
      <c r="N42" s="5" t="str">
        <f ca="1">IFERROR(__xludf.DUMMYFUNCTION("""COMPUTED_VALUE"""),"0.1/40")</f>
        <v>0.1/40</v>
      </c>
      <c r="O42" s="5" t="str">
        <f ca="1">IFERROR(__xludf.DUMMYFUNCTION("""COMPUTED_VALUE"""),"No")</f>
        <v>No</v>
      </c>
      <c r="P42" s="5" t="str">
        <f ca="1">IFERROR(__xludf.DUMMYFUNCTION("""COMPUTED_VALUE"""),"Expanding Wild")</f>
        <v>Expanding Wild</v>
      </c>
      <c r="Q42" s="7" t="str">
        <f ca="1">IFERROR(__xludf.DUMMYFUNCTION("""COMPUTED_VALUE"""),"https://gameserver-store-client-area.orbionlimited.com/Home/IntegrationGameLaunch/client-area?moneyType=0&amp;gameName=PlayNetEmpressOfFlame&amp;platform=desktop&amp;languageCode=eng&amp;currency=EUR")</f>
        <v>https://gameserver-store-client-area.orbionlimited.com/Home/IntegrationGameLaunch/client-area?moneyType=0&amp;gameName=PlayNetEmpressOfFlame&amp;platform=desktop&amp;languageCode=eng&amp;currency=EUR</v>
      </c>
      <c r="R42" s="5" t="str">
        <f ca="1">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S4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IFERROR(__xludf.DUMMYFUNCTION("""COMPUTED_VALUE"""),"Yes")</f>
        <v>Yes</v>
      </c>
      <c r="AF42" s="5" t="str">
        <f ca="1">IFERROR(__xludf.DUMMYFUNCTION("""COMPUTED_VALUE"""),"Yes")</f>
        <v>Yes</v>
      </c>
      <c r="AG42" s="5" t="str">
        <f ca="1">IFERROR(__xludf.DUMMYFUNCTION("""COMPUTED_VALUE"""),"Yes")</f>
        <v>Yes</v>
      </c>
      <c r="AH42" s="5" t="str">
        <f ca="1">IFERROR(__xludf.DUMMYFUNCTION("""COMPUTED_VALUE"""),"Yes")</f>
        <v>Yes</v>
      </c>
      <c r="AI42" s="5" t="str">
        <f ca="1">IFERROR(__xludf.DUMMYFUNCTION("""COMPUTED_VALUE"""),"No")</f>
        <v>No</v>
      </c>
      <c r="AJ42" s="5" t="str">
        <f ca="1">IFERROR(__xludf.DUMMYFUNCTION("""COMPUTED_VALUE"""),"No")</f>
        <v>No</v>
      </c>
      <c r="AK42" s="5" t="str">
        <f ca="1">IFERROR(__xludf.DUMMYFUNCTION("""COMPUTED_VALUE"""),"No")</f>
        <v>No</v>
      </c>
      <c r="AL42" s="5" t="str">
        <f ca="1">IFERROR(__xludf.DUMMYFUNCTION("""COMPUTED_VALUE"""),"No")</f>
        <v>No</v>
      </c>
      <c r="AM42" s="5" t="str">
        <f ca="1">IFERROR(__xludf.DUMMYFUNCTION("""COMPUTED_VALUE"""),"No")</f>
        <v>No</v>
      </c>
      <c r="AN42" s="5" t="str">
        <f ca="1">IFERROR(__xludf.DUMMYFUNCTION("""COMPUTED_VALUE"""),"No")</f>
        <v>No</v>
      </c>
      <c r="AO42" s="5" t="str">
        <f ca="1">IFERROR(__xludf.DUMMYFUNCTION("""COMPUTED_VALUE"""),"No")</f>
        <v>No</v>
      </c>
      <c r="AP42" s="5" t="str">
        <f ca="1">IFERROR(__xludf.DUMMYFUNCTION("""COMPUTED_VALUE"""),"No")</f>
        <v>No</v>
      </c>
      <c r="AQ42" s="5" t="str">
        <f ca="1">IFERROR(__xludf.DUMMYFUNCTION("""COMPUTED_VALUE"""),"No")</f>
        <v>No</v>
      </c>
      <c r="AR42" s="5" t="str">
        <f ca="1">IFERROR(__xludf.DUMMYFUNCTION("""COMPUTED_VALUE"""),"No")</f>
        <v>No</v>
      </c>
      <c r="AS42" s="5" t="str">
        <f ca="1">IFERROR(__xludf.DUMMYFUNCTION("""COMPUTED_VALUE"""),"Yes")</f>
        <v>Yes</v>
      </c>
      <c r="AT42" s="5" t="str">
        <f ca="1">IFERROR(__xludf.DUMMYFUNCTION("""COMPUTED_VALUE"""),"No")</f>
        <v>No</v>
      </c>
      <c r="AU42" s="5"/>
    </row>
    <row r="43" spans="1:47" x14ac:dyDescent="0.25">
      <c r="A43" s="5" t="str">
        <f ca="1">IFERROR(__xludf.DUMMYFUNCTION("""COMPUTED_VALUE"""),"Playnet")</f>
        <v>Playnet</v>
      </c>
      <c r="B43" s="5" t="str">
        <f ca="1">IFERROR(__xludf.DUMMYFUNCTION("""COMPUTED_VALUE"""),"Majestic Crown Easter")</f>
        <v>Majestic Crown Easter</v>
      </c>
      <c r="C43" s="5" t="str">
        <f ca="1">IFERROR(__xludf.DUMMYFUNCTION("""COMPUTED_VALUE"""),"PlayNetMajesticCrownEaster")</f>
        <v>PlayNetMajesticCrownEaster</v>
      </c>
      <c r="D43" s="6">
        <f ca="1">IFERROR(__xludf.DUMMYFUNCTION("""COMPUTED_VALUE"""),46097)</f>
        <v>46097</v>
      </c>
      <c r="E43" s="5" t="str">
        <f ca="1">IFERROR(__xludf.DUMMYFUNCTION("""COMPUTED_VALUE"""),"Slot")</f>
        <v>Slot</v>
      </c>
      <c r="F43" s="5">
        <f ca="1">IFERROR(__xludf.DUMMYFUNCTION("""COMPUTED_VALUE"""),15)</f>
        <v>15</v>
      </c>
      <c r="G43" s="5" t="str">
        <f ca="1">IFERROR(__xludf.DUMMYFUNCTION("""COMPUTED_VALUE"""),"5x3")</f>
        <v>5x3</v>
      </c>
      <c r="H43" s="5">
        <f ca="1">IFERROR(__xludf.DUMMYFUNCTION("""COMPUTED_VALUE"""),5)</f>
        <v>5</v>
      </c>
      <c r="I43" s="5">
        <f ca="1">IFERROR(__xludf.DUMMYFUNCTION("""COMPUTED_VALUE"""),5)</f>
        <v>5</v>
      </c>
      <c r="J43" s="5" t="str">
        <f ca="1">IFERROR(__xludf.DUMMYFUNCTION("""COMPUTED_VALUE"""),"96.453%")</f>
        <v>96.453%</v>
      </c>
      <c r="K43" s="5" t="str">
        <f ca="1">IFERROR(__xludf.DUMMYFUNCTION("""COMPUTED_VALUE"""),"Medium")</f>
        <v>Medium</v>
      </c>
      <c r="L43" s="5" t="str">
        <f ca="1">IFERROR(__xludf.DUMMYFUNCTION("""COMPUTED_VALUE"""),"14.234%")</f>
        <v>14.234%</v>
      </c>
      <c r="M43" s="5" t="str">
        <f ca="1">IFERROR(__xludf.DUMMYFUNCTION("""COMPUTED_VALUE"""),"x2624")</f>
        <v>x2624</v>
      </c>
      <c r="N43" s="5" t="str">
        <f ca="1">IFERROR(__xludf.DUMMYFUNCTION("""COMPUTED_VALUE"""),"0.05/30")</f>
        <v>0.05/30</v>
      </c>
      <c r="O43" s="5" t="str">
        <f ca="1">IFERROR(__xludf.DUMMYFUNCTION("""COMPUTED_VALUE"""),"No")</f>
        <v>No</v>
      </c>
      <c r="P43" s="5" t="str">
        <f ca="1">IFERROR(__xludf.DUMMYFUNCTION("""COMPUTED_VALUE"""),"Scatter, Expanding Wild, Wild Multiplier")</f>
        <v>Scatter, Expanding Wild, Wild Multiplier</v>
      </c>
      <c r="Q43" s="7" t="str">
        <f ca="1">IFERROR(__xludf.DUMMYFUNCTION("""COMPUTED_VALUE"""),"https://gameserver-store-client-area.orbionlimited.com/Home/IntegrationGameLaunch/client-area?moneyType=0&amp;gameName=PlayNetMajesticCrownEaster&amp;platform=desktop&amp;languageCode=eng&amp;currency=EUR")</f>
        <v>https://gameserver-store-client-area.orbionlimited.com/Home/IntegrationGameLaunch/client-area?moneyType=0&amp;gameName=PlayNetMajesticCrownEaster&amp;platform=desktop&amp;languageCode=eng&amp;currency=EUR</v>
      </c>
      <c r="R43" s="5" t="str">
        <f ca="1">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S4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IFERROR(__xludf.DUMMYFUNCTION("""COMPUTED_VALUE"""),"Yes")</f>
        <v>Yes</v>
      </c>
      <c r="AF43" s="5" t="str">
        <f ca="1">IFERROR(__xludf.DUMMYFUNCTION("""COMPUTED_VALUE"""),"Yes")</f>
        <v>Yes</v>
      </c>
      <c r="AG43" s="5" t="str">
        <f ca="1">IFERROR(__xludf.DUMMYFUNCTION("""COMPUTED_VALUE"""),"Yes")</f>
        <v>Yes</v>
      </c>
      <c r="AH43" s="5" t="str">
        <f ca="1">IFERROR(__xludf.DUMMYFUNCTION("""COMPUTED_VALUE"""),"Yes")</f>
        <v>Yes</v>
      </c>
      <c r="AI43" s="5" t="str">
        <f ca="1">IFERROR(__xludf.DUMMYFUNCTION("""COMPUTED_VALUE"""),"No")</f>
        <v>No</v>
      </c>
      <c r="AJ43" s="5" t="str">
        <f ca="1">IFERROR(__xludf.DUMMYFUNCTION("""COMPUTED_VALUE"""),"No")</f>
        <v>No</v>
      </c>
      <c r="AK43" s="5" t="str">
        <f ca="1">IFERROR(__xludf.DUMMYFUNCTION("""COMPUTED_VALUE"""),"No")</f>
        <v>No</v>
      </c>
      <c r="AL43" s="5" t="str">
        <f ca="1">IFERROR(__xludf.DUMMYFUNCTION("""COMPUTED_VALUE"""),"No")</f>
        <v>No</v>
      </c>
      <c r="AM43" s="5" t="str">
        <f ca="1">IFERROR(__xludf.DUMMYFUNCTION("""COMPUTED_VALUE"""),"No")</f>
        <v>No</v>
      </c>
      <c r="AN43" s="5" t="str">
        <f ca="1">IFERROR(__xludf.DUMMYFUNCTION("""COMPUTED_VALUE"""),"No")</f>
        <v>No</v>
      </c>
      <c r="AO43" s="5" t="str">
        <f ca="1">IFERROR(__xludf.DUMMYFUNCTION("""COMPUTED_VALUE"""),"Yes")</f>
        <v>Yes</v>
      </c>
      <c r="AP43" s="5" t="str">
        <f ca="1">IFERROR(__xludf.DUMMYFUNCTION("""COMPUTED_VALUE"""),"No")</f>
        <v>No</v>
      </c>
      <c r="AQ43" s="5" t="str">
        <f ca="1">IFERROR(__xludf.DUMMYFUNCTION("""COMPUTED_VALUE"""),"No")</f>
        <v>No</v>
      </c>
      <c r="AR43" s="5" t="str">
        <f ca="1">IFERROR(__xludf.DUMMYFUNCTION("""COMPUTED_VALUE"""),"No")</f>
        <v>No</v>
      </c>
      <c r="AS43" s="5" t="str">
        <f ca="1">IFERROR(__xludf.DUMMYFUNCTION("""COMPUTED_VALUE"""),"Yes")</f>
        <v>Yes</v>
      </c>
      <c r="AT43" s="5" t="str">
        <f ca="1">IFERROR(__xludf.DUMMYFUNCTION("""COMPUTED_VALUE"""),"No")</f>
        <v>No</v>
      </c>
      <c r="AU43" s="5"/>
    </row>
    <row r="44" spans="1:47" x14ac:dyDescent="0.25">
      <c r="A44" s="5" t="str">
        <f ca="1">IFERROR(__xludf.DUMMYFUNCTION("""COMPUTED_VALUE"""),"Playnet")</f>
        <v>Playnet</v>
      </c>
      <c r="B44" s="5" t="str">
        <f ca="1">IFERROR(__xludf.DUMMYFUNCTION("""COMPUTED_VALUE"""),"Tropic Twist")</f>
        <v>Tropic Twist</v>
      </c>
      <c r="C44" s="5" t="str">
        <f ca="1">IFERROR(__xludf.DUMMYFUNCTION("""COMPUTED_VALUE"""),"PlayNetTropicTwist")</f>
        <v>PlayNetTropicTwist</v>
      </c>
      <c r="D44" s="6">
        <f ca="1">IFERROR(__xludf.DUMMYFUNCTION("""COMPUTED_VALUE"""),46105)</f>
        <v>46105</v>
      </c>
      <c r="E44" s="5" t="str">
        <f ca="1">IFERROR(__xludf.DUMMYFUNCTION("""COMPUTED_VALUE"""),"Slot")</f>
        <v>Slot</v>
      </c>
      <c r="F44" s="5">
        <f ca="1">IFERROR(__xludf.DUMMYFUNCTION("""COMPUTED_VALUE"""),7.2)</f>
        <v>7.2</v>
      </c>
      <c r="G44" s="5" t="str">
        <f ca="1">IFERROR(__xludf.DUMMYFUNCTION("""COMPUTED_VALUE"""),"3x3")</f>
        <v>3x3</v>
      </c>
      <c r="H44" s="5">
        <f ca="1">IFERROR(__xludf.DUMMYFUNCTION("""COMPUTED_VALUE"""),27)</f>
        <v>27</v>
      </c>
      <c r="I44" s="5">
        <f ca="1">IFERROR(__xludf.DUMMYFUNCTION("""COMPUTED_VALUE"""),27)</f>
        <v>27</v>
      </c>
      <c r="J44" s="5" t="str">
        <f ca="1">IFERROR(__xludf.DUMMYFUNCTION("""COMPUTED_VALUE"""),"96.24%")</f>
        <v>96.24%</v>
      </c>
      <c r="K44" s="5" t="str">
        <f ca="1">IFERROR(__xludf.DUMMYFUNCTION("""COMPUTED_VALUE"""),"Low")</f>
        <v>Low</v>
      </c>
      <c r="L44" s="5" t="str">
        <f ca="1">IFERROR(__xludf.DUMMYFUNCTION("""COMPUTED_VALUE"""),"6.58%")</f>
        <v>6.58%</v>
      </c>
      <c r="M44" s="5" t="str">
        <f ca="1">IFERROR(__xludf.DUMMYFUNCTION("""COMPUTED_VALUE"""),"x108")</f>
        <v>x108</v>
      </c>
      <c r="N44" s="5" t="str">
        <f ca="1">IFERROR(__xludf.DUMMYFUNCTION("""COMPUTED_VALUE"""),"0.01/50")</f>
        <v>0.01/50</v>
      </c>
      <c r="O44" s="5" t="str">
        <f ca="1">IFERROR(__xludf.DUMMYFUNCTION("""COMPUTED_VALUE"""),"No")</f>
        <v>No</v>
      </c>
      <c r="P44" s="5" t="str">
        <f ca="1">IFERROR(__xludf.DUMMYFUNCTION("""COMPUTED_VALUE"""),"Win Multiplier")</f>
        <v>Win Multiplier</v>
      </c>
      <c r="Q44" s="7" t="str">
        <f ca="1">IFERROR(__xludf.DUMMYFUNCTION("""COMPUTED_VALUE"""),"https://gameserver-store-client-area.orbionlimited.com/Home/IntegrationGameLaunch/client-area?moneyType=0&amp;gameName=PlayNetTropicTwist&amp;platform=desktop&amp;languageCode=eng&amp;currency=EUR")</f>
        <v>https://gameserver-store-client-area.orbionlimited.com/Home/IntegrationGameLaunch/client-area?moneyType=0&amp;gameName=PlayNetTropicTwist&amp;platform=desktop&amp;languageCode=eng&amp;currency=EUR</v>
      </c>
      <c r="R44" s="5" t="str">
        <f ca="1">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S44"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IFERROR(__xludf.DUMMYFUNCTION("""COMPUTED_VALUE"""),"Yes")</f>
        <v>Yes</v>
      </c>
      <c r="AF44" s="5" t="str">
        <f ca="1">IFERROR(__xludf.DUMMYFUNCTION("""COMPUTED_VALUE"""),"Yes")</f>
        <v>Yes</v>
      </c>
      <c r="AG44" s="5" t="str">
        <f ca="1">IFERROR(__xludf.DUMMYFUNCTION("""COMPUTED_VALUE"""),"Yes")</f>
        <v>Yes</v>
      </c>
      <c r="AH44" s="5" t="str">
        <f ca="1">IFERROR(__xludf.DUMMYFUNCTION("""COMPUTED_VALUE"""),"Yes")</f>
        <v>Yes</v>
      </c>
      <c r="AI44" s="5"/>
      <c r="AJ44" s="5"/>
      <c r="AK44" s="5"/>
      <c r="AL44" s="5"/>
      <c r="AM44" s="5"/>
      <c r="AN44" s="5"/>
      <c r="AO44" s="5"/>
      <c r="AP44" s="5"/>
      <c r="AQ44" s="5"/>
      <c r="AR44" s="5"/>
      <c r="AS44" s="5" t="str">
        <f ca="1">IFERROR(__xludf.DUMMYFUNCTION("""COMPUTED_VALUE"""),"Yes")</f>
        <v>Yes</v>
      </c>
      <c r="AT44" s="5"/>
      <c r="AU44" s="5"/>
    </row>
    <row r="45" spans="1:47" x14ac:dyDescent="0.25">
      <c r="A45" s="5" t="str">
        <f ca="1">IFERROR(__xludf.DUMMYFUNCTION("""COMPUTED_VALUE"""),"Playnet")</f>
        <v>Playnet</v>
      </c>
      <c r="B45" s="5" t="str">
        <f ca="1">IFERROR(__xludf.DUMMYFUNCTION("""COMPUTED_VALUE"""),"Royal Flame 40")</f>
        <v>Royal Flame 40</v>
      </c>
      <c r="C45" s="5" t="str">
        <f ca="1">IFERROR(__xludf.DUMMYFUNCTION("""COMPUTED_VALUE"""),"PlayNetRoyalFlame40")</f>
        <v>PlayNetRoyalFlame40</v>
      </c>
      <c r="D45" s="6">
        <f ca="1">IFERROR(__xludf.DUMMYFUNCTION("""COMPUTED_VALUE"""),46114)</f>
        <v>46114</v>
      </c>
      <c r="E45" s="5" t="str">
        <f ca="1">IFERROR(__xludf.DUMMYFUNCTION("""COMPUTED_VALUE"""),"Slot")</f>
        <v>Slot</v>
      </c>
      <c r="F45" s="5">
        <f ca="1">IFERROR(__xludf.DUMMYFUNCTION("""COMPUTED_VALUE"""),15)</f>
        <v>15</v>
      </c>
      <c r="G45" s="5" t="str">
        <f ca="1">IFERROR(__xludf.DUMMYFUNCTION("""COMPUTED_VALUE"""),"5x3")</f>
        <v>5x3</v>
      </c>
      <c r="H45" s="5">
        <f ca="1">IFERROR(__xludf.DUMMYFUNCTION("""COMPUTED_VALUE"""),40)</f>
        <v>40</v>
      </c>
      <c r="I45" s="5">
        <f ca="1">IFERROR(__xludf.DUMMYFUNCTION("""COMPUTED_VALUE"""),40)</f>
        <v>40</v>
      </c>
      <c r="J45" s="5" t="str">
        <f ca="1">IFERROR(__xludf.DUMMYFUNCTION("""COMPUTED_VALUE"""),"95.962%")</f>
        <v>95.962%</v>
      </c>
      <c r="K45" s="5" t="str">
        <f ca="1">IFERROR(__xludf.DUMMYFUNCTION("""COMPUTED_VALUE"""),"Medium")</f>
        <v>Medium</v>
      </c>
      <c r="L45" s="5" t="str">
        <f ca="1">IFERROR(__xludf.DUMMYFUNCTION("""COMPUTED_VALUE"""),"18.351%")</f>
        <v>18.351%</v>
      </c>
      <c r="M45" s="5" t="str">
        <f ca="1">IFERROR(__xludf.DUMMYFUNCTION("""COMPUTED_VALUE"""),"x1421")</f>
        <v>x1421</v>
      </c>
      <c r="N45" s="5" t="str">
        <f ca="1">IFERROR(__xludf.DUMMYFUNCTION("""COMPUTED_VALUE"""),"0.2/50")</f>
        <v>0.2/50</v>
      </c>
      <c r="O45" s="5" t="str">
        <f ca="1">IFERROR(__xludf.DUMMYFUNCTION("""COMPUTED_VALUE"""),"No")</f>
        <v>No</v>
      </c>
      <c r="P45" s="5" t="str">
        <f ca="1">IFERROR(__xludf.DUMMYFUNCTION("""COMPUTED_VALUE"""),"Scatter, Expanding Wild")</f>
        <v>Scatter, Expanding Wild</v>
      </c>
      <c r="Q45" s="7" t="str">
        <f ca="1">IFERROR(__xludf.DUMMYFUNCTION("""COMPUTED_VALUE"""),"https://gameserver-store-client-area.orbionlimited.com/Home/IntegrationGameLaunch/client-area?moneyType=0&amp;gameName=PlayNetRoyalFlame40&amp;platform=desktop&amp;languageCode=eng&amp;currency=EUR")</f>
        <v>https://gameserver-store-client-area.orbionlimited.com/Home/IntegrationGameLaunch/client-area?moneyType=0&amp;gameName=PlayNetRoyalFlame40&amp;platform=desktop&amp;languageCode=eng&amp;currency=EUR</v>
      </c>
      <c r="R45" s="5" t="str">
        <f ca="1">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S4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IFERROR(__xludf.DUMMYFUNCTION("""COMPUTED_VALUE"""),"Yes")</f>
        <v>Yes</v>
      </c>
      <c r="AF45" s="5" t="str">
        <f ca="1">IFERROR(__xludf.DUMMYFUNCTION("""COMPUTED_VALUE"""),"Yes")</f>
        <v>Yes</v>
      </c>
      <c r="AG45" s="5" t="str">
        <f ca="1">IFERROR(__xludf.DUMMYFUNCTION("""COMPUTED_VALUE"""),"Yes")</f>
        <v>Yes</v>
      </c>
      <c r="AH45" s="5" t="str">
        <f ca="1">IFERROR(__xludf.DUMMYFUNCTION("""COMPUTED_VALUE"""),"Yes")</f>
        <v>Yes</v>
      </c>
      <c r="AI45" s="5" t="str">
        <f ca="1">IFERROR(__xludf.DUMMYFUNCTION("""COMPUTED_VALUE"""),"No")</f>
        <v>No</v>
      </c>
      <c r="AJ45" s="5" t="str">
        <f ca="1">IFERROR(__xludf.DUMMYFUNCTION("""COMPUTED_VALUE"""),"No")</f>
        <v>No</v>
      </c>
      <c r="AK45" s="5" t="str">
        <f ca="1">IFERROR(__xludf.DUMMYFUNCTION("""COMPUTED_VALUE"""),"No")</f>
        <v>No</v>
      </c>
      <c r="AL45" s="5" t="str">
        <f ca="1">IFERROR(__xludf.DUMMYFUNCTION("""COMPUTED_VALUE"""),"No")</f>
        <v>No</v>
      </c>
      <c r="AM45" s="5" t="str">
        <f ca="1">IFERROR(__xludf.DUMMYFUNCTION("""COMPUTED_VALUE"""),"No")</f>
        <v>No</v>
      </c>
      <c r="AN45" s="5" t="str">
        <f ca="1">IFERROR(__xludf.DUMMYFUNCTION("""COMPUTED_VALUE"""),"No")</f>
        <v>No</v>
      </c>
      <c r="AO45" s="5" t="str">
        <f ca="1">IFERROR(__xludf.DUMMYFUNCTION("""COMPUTED_VALUE"""),"No")</f>
        <v>No</v>
      </c>
      <c r="AP45" s="5" t="str">
        <f ca="1">IFERROR(__xludf.DUMMYFUNCTION("""COMPUTED_VALUE"""),"No")</f>
        <v>No</v>
      </c>
      <c r="AQ45" s="5" t="str">
        <f ca="1">IFERROR(__xludf.DUMMYFUNCTION("""COMPUTED_VALUE"""),"No")</f>
        <v>No</v>
      </c>
      <c r="AR45" s="5" t="str">
        <f ca="1">IFERROR(__xludf.DUMMYFUNCTION("""COMPUTED_VALUE"""),"No")</f>
        <v>No</v>
      </c>
      <c r="AS45" s="5" t="str">
        <f ca="1">IFERROR(__xludf.DUMMYFUNCTION("""COMPUTED_VALUE"""),"Yes")</f>
        <v>Yes</v>
      </c>
      <c r="AT45" s="5" t="str">
        <f ca="1">IFERROR(__xludf.DUMMYFUNCTION("""COMPUTED_VALUE"""),"No")</f>
        <v>No</v>
      </c>
      <c r="AU45" s="5"/>
    </row>
    <row r="46" spans="1:47" x14ac:dyDescent="0.25">
      <c r="A46" s="5" t="str">
        <f ca="1">IFERROR(__xludf.DUMMYFUNCTION("""COMPUTED_VALUE"""),"Playnet")</f>
        <v>Playnet</v>
      </c>
      <c r="B46" s="5" t="str">
        <f ca="1">IFERROR(__xludf.DUMMYFUNCTION("""COMPUTED_VALUE"""),"Fruit JackPot x10.000")</f>
        <v>Fruit JackPot x10.000</v>
      </c>
      <c r="C46" s="5" t="str">
        <f ca="1">IFERROR(__xludf.DUMMYFUNCTION("""COMPUTED_VALUE"""),"PlayNetFruitJackPotx10000")</f>
        <v>PlayNetFruitJackPotx10000</v>
      </c>
      <c r="D46" s="6">
        <f ca="1">IFERROR(__xludf.DUMMYFUNCTION("""COMPUTED_VALUE"""),46132)</f>
        <v>46132</v>
      </c>
      <c r="E46" s="5" t="str">
        <f ca="1">IFERROR(__xludf.DUMMYFUNCTION("""COMPUTED_VALUE"""),"Slot")</f>
        <v>Slot</v>
      </c>
      <c r="F46" s="5">
        <f ca="1">IFERROR(__xludf.DUMMYFUNCTION("""COMPUTED_VALUE"""),10)</f>
        <v>10</v>
      </c>
      <c r="G46" s="5" t="str">
        <f ca="1">IFERROR(__xludf.DUMMYFUNCTION("""COMPUTED_VALUE"""),"5x4")</f>
        <v>5x4</v>
      </c>
      <c r="H46" s="5">
        <f ca="1">IFERROR(__xludf.DUMMYFUNCTION("""COMPUTED_VALUE"""),40)</f>
        <v>40</v>
      </c>
      <c r="I46" s="5">
        <f ca="1">IFERROR(__xludf.DUMMYFUNCTION("""COMPUTED_VALUE"""),40)</f>
        <v>40</v>
      </c>
      <c r="J46" s="5" t="str">
        <f ca="1">IFERROR(__xludf.DUMMYFUNCTION("""COMPUTED_VALUE"""),"96.474%")</f>
        <v>96.474%</v>
      </c>
      <c r="K46" s="5" t="str">
        <f ca="1">IFERROR(__xludf.DUMMYFUNCTION("""COMPUTED_VALUE"""),"High")</f>
        <v>High</v>
      </c>
      <c r="L46" s="5" t="str">
        <f ca="1">IFERROR(__xludf.DUMMYFUNCTION("""COMPUTED_VALUE"""),"10.421%")</f>
        <v>10.421%</v>
      </c>
      <c r="M46" s="5" t="str">
        <f ca="1">IFERROR(__xludf.DUMMYFUNCTION("""COMPUTED_VALUE"""),"x10145.5")</f>
        <v>x10145.5</v>
      </c>
      <c r="N46" s="5" t="str">
        <f ca="1">IFERROR(__xludf.DUMMYFUNCTION("""COMPUTED_VALUE"""),"0.04/40")</f>
        <v>0.04/40</v>
      </c>
      <c r="O46" s="5" t="str">
        <f ca="1">IFERROR(__xludf.DUMMYFUNCTION("""COMPUTED_VALUE"""),"No")</f>
        <v>No</v>
      </c>
      <c r="P46" s="5" t="str">
        <f ca="1">IFERROR(__xludf.DUMMYFUNCTION("""COMPUTED_VALUE"""),"Scatter, Wild Symbol")</f>
        <v>Scatter, Wild Symbol</v>
      </c>
      <c r="Q46" s="7" t="str">
        <f ca="1">IFERROR(__xludf.DUMMYFUNCTION("""COMPUTED_VALUE"""),"https://gameserver-store-client-area.orbionlimited.com/Home/IntegrationGameLaunch/client-area?moneyType=0&amp;gameName=PlayNetFruitJackPotx10000&amp;platform=desktop&amp;languageCode=eng&amp;currency=EUR")</f>
        <v>https://gameserver-store-client-area.orbionlimited.com/Home/IntegrationGameLaunch/client-area?moneyType=0&amp;gameName=PlayNetFruitJackPotx10000&amp;platform=desktop&amp;languageCode=eng&amp;currency=EUR</v>
      </c>
      <c r="R46" s="5" t="str">
        <f ca="1">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S4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IFERROR(__xludf.DUMMYFUNCTION("""COMPUTED_VALUE"""),"Yes")</f>
        <v>Yes</v>
      </c>
      <c r="AA46" s="5" t="str">
        <f ca="1">IFERROR(__xludf.DUMMYFUNCTION("""COMPUTED_VALUE"""),"Yes")</f>
        <v>Yes</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IFERROR(__xludf.DUMMYFUNCTION("""COMPUTED_VALUE"""),"Yes")</f>
        <v>Yes</v>
      </c>
      <c r="AF46" s="5" t="str">
        <f ca="1">IFERROR(__xludf.DUMMYFUNCTION("""COMPUTED_VALUE"""),"Yes")</f>
        <v>Yes</v>
      </c>
      <c r="AG46" s="5" t="str">
        <f ca="1">IFERROR(__xludf.DUMMYFUNCTION("""COMPUTED_VALUE"""),"Yes")</f>
        <v>Yes</v>
      </c>
      <c r="AH46" s="5" t="str">
        <f ca="1">IFERROR(__xludf.DUMMYFUNCTION("""COMPUTED_VALUE"""),"Yes")</f>
        <v>Yes</v>
      </c>
      <c r="AI46" s="5" t="str">
        <f ca="1">IFERROR(__xludf.DUMMYFUNCTION("""COMPUTED_VALUE"""),"No")</f>
        <v>No</v>
      </c>
      <c r="AJ46" s="5" t="str">
        <f ca="1">IFERROR(__xludf.DUMMYFUNCTION("""COMPUTED_VALUE"""),"No")</f>
        <v>No</v>
      </c>
      <c r="AK46" s="5"/>
      <c r="AL46" s="5"/>
      <c r="AM46" s="5"/>
      <c r="AN46" s="5"/>
      <c r="AO46" s="5"/>
      <c r="AP46" s="5"/>
      <c r="AQ46" s="5"/>
      <c r="AR46" s="5"/>
      <c r="AS46" s="5" t="str">
        <f ca="1">IFERROR(__xludf.DUMMYFUNCTION("""COMPUTED_VALUE"""),"Yes")</f>
        <v>Yes</v>
      </c>
      <c r="AT46" s="5"/>
      <c r="AU46" s="5"/>
    </row>
    <row r="47" spans="1:47" x14ac:dyDescent="0.25">
      <c r="A47" s="5" t="str">
        <f ca="1">IFERROR(__xludf.DUMMYFUNCTION("""COMPUTED_VALUE"""),"Playnet")</f>
        <v>Playnet</v>
      </c>
      <c r="B47" s="5" t="str">
        <f ca="1">IFERROR(__xludf.DUMMYFUNCTION("""COMPUTED_VALUE"""),"27 Lucky Fruits")</f>
        <v>27 Lucky Fruits</v>
      </c>
      <c r="C47" s="5" t="str">
        <f ca="1">IFERROR(__xludf.DUMMYFUNCTION("""COMPUTED_VALUE"""),"PlayNet27LuckyFruits")</f>
        <v>PlayNet27LuckyFruits</v>
      </c>
      <c r="D47" s="6">
        <f ca="1">IFERROR(__xludf.DUMMYFUNCTION("""COMPUTED_VALUE"""),46140)</f>
        <v>46140</v>
      </c>
      <c r="E47" s="5" t="str">
        <f ca="1">IFERROR(__xludf.DUMMYFUNCTION("""COMPUTED_VALUE"""),"Slot")</f>
        <v>Slot</v>
      </c>
      <c r="F47" s="5">
        <f ca="1">IFERROR(__xludf.DUMMYFUNCTION("""COMPUTED_VALUE"""),15)</f>
        <v>15</v>
      </c>
      <c r="G47" s="5" t="str">
        <f ca="1">IFERROR(__xludf.DUMMYFUNCTION("""COMPUTED_VALUE"""),"3x3")</f>
        <v>3x3</v>
      </c>
      <c r="H47" s="5">
        <f ca="1">IFERROR(__xludf.DUMMYFUNCTION("""COMPUTED_VALUE"""),27)</f>
        <v>27</v>
      </c>
      <c r="I47" s="5">
        <f ca="1">IFERROR(__xludf.DUMMYFUNCTION("""COMPUTED_VALUE"""),27)</f>
        <v>27</v>
      </c>
      <c r="J47" s="5" t="str">
        <f ca="1">IFERROR(__xludf.DUMMYFUNCTION("""COMPUTED_VALUE"""),"96.24%")</f>
        <v>96.24%</v>
      </c>
      <c r="K47" s="5" t="str">
        <f ca="1">IFERROR(__xludf.DUMMYFUNCTION("""COMPUTED_VALUE"""),"Low")</f>
        <v>Low</v>
      </c>
      <c r="L47" s="5" t="str">
        <f ca="1">IFERROR(__xludf.DUMMYFUNCTION("""COMPUTED_VALUE"""),"6.58%")</f>
        <v>6.58%</v>
      </c>
      <c r="M47" s="5" t="str">
        <f ca="1">IFERROR(__xludf.DUMMYFUNCTION("""COMPUTED_VALUE"""),"x108")</f>
        <v>x108</v>
      </c>
      <c r="N47" s="5" t="str">
        <f ca="1">IFERROR(__xludf.DUMMYFUNCTION("""COMPUTED_VALUE"""),"0.01/50")</f>
        <v>0.01/50</v>
      </c>
      <c r="O47" s="5" t="str">
        <f ca="1">IFERROR(__xludf.DUMMYFUNCTION("""COMPUTED_VALUE"""),"No")</f>
        <v>No</v>
      </c>
      <c r="P47" s="5" t="str">
        <f ca="1">IFERROR(__xludf.DUMMYFUNCTION("""COMPUTED_VALUE"""),"Win Multiplier")</f>
        <v>Win Multiplier</v>
      </c>
      <c r="Q47" s="7" t="str">
        <f ca="1">IFERROR(__xludf.DUMMYFUNCTION("""COMPUTED_VALUE"""),"https://gameserver-store-client-area.orbionlimited.com/Home/IntegrationGameLaunch/client-area?moneyType=0&amp;gameName=PlayNet27LuckyFruits&amp;platform=desktop&amp;languageCode=eng&amp;currency=EUR")</f>
        <v>https://gameserver-store-client-area.orbionlimited.com/Home/IntegrationGameLaunch/client-area?moneyType=0&amp;gameName=PlayNet27LuckyFruits&amp;platform=desktop&amp;languageCode=eng&amp;currency=EUR</v>
      </c>
      <c r="R47" s="5" t="str">
        <f ca="1">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S4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7" s="5" t="str">
        <f ca="1">IFERROR(__xludf.DUMMYFUNCTION("""COMPUTED_VALUE"""),"Yes")</f>
        <v>Yes</v>
      </c>
      <c r="U47" s="5" t="str">
        <f ca="1">IFERROR(__xludf.DUMMYFUNCTION("""COMPUTED_VALUE"""),"Yes")</f>
        <v>Yes</v>
      </c>
      <c r="V47" s="5" t="str">
        <f ca="1">IFERROR(__xludf.DUMMYFUNCTION("""COMPUTED_VALUE"""),"Yes")</f>
        <v>Yes</v>
      </c>
      <c r="W47" s="5" t="str">
        <f ca="1">IFERROR(__xludf.DUMMYFUNCTION("""COMPUTED_VALUE"""),"Yes")</f>
        <v>Yes</v>
      </c>
      <c r="X47" s="5" t="str">
        <f ca="1">IFERROR(__xludf.DUMMYFUNCTION("""COMPUTED_VALUE"""),"Yes")</f>
        <v>Yes</v>
      </c>
      <c r="Y47" s="5" t="str">
        <f ca="1">IFERROR(__xludf.DUMMYFUNCTION("""COMPUTED_VALUE"""),"Yes")</f>
        <v>Yes</v>
      </c>
      <c r="Z47" s="5" t="str">
        <f ca="1">IFERROR(__xludf.DUMMYFUNCTION("""COMPUTED_VALUE"""),"Yes")</f>
        <v>Yes</v>
      </c>
      <c r="AA47" s="5" t="str">
        <f ca="1">IFERROR(__xludf.DUMMYFUNCTION("""COMPUTED_VALUE"""),"Yes")</f>
        <v>Yes</v>
      </c>
      <c r="AB47" s="5" t="str">
        <f ca="1">IFERROR(__xludf.DUMMYFUNCTION("""COMPUTED_VALUE"""),"Yes")</f>
        <v>Yes</v>
      </c>
      <c r="AC47" s="5" t="str">
        <f ca="1">IFERROR(__xludf.DUMMYFUNCTION("""COMPUTED_VALUE"""),"Yes")</f>
        <v>Yes</v>
      </c>
      <c r="AD47" s="5" t="str">
        <f ca="1">IFERROR(__xludf.DUMMYFUNCTION("""COMPUTED_VALUE"""),"Yes")</f>
        <v>Yes</v>
      </c>
      <c r="AE47" s="5" t="str">
        <f ca="1">IFERROR(__xludf.DUMMYFUNCTION("""COMPUTED_VALUE"""),"Yes")</f>
        <v>Yes</v>
      </c>
      <c r="AF47" s="5" t="str">
        <f ca="1">IFERROR(__xludf.DUMMYFUNCTION("""COMPUTED_VALUE"""),"Yes")</f>
        <v>Yes</v>
      </c>
      <c r="AG47" s="5" t="str">
        <f ca="1">IFERROR(__xludf.DUMMYFUNCTION("""COMPUTED_VALUE"""),"Yes")</f>
        <v>Yes</v>
      </c>
      <c r="AH47" s="5" t="str">
        <f ca="1">IFERROR(__xludf.DUMMYFUNCTION("""COMPUTED_VALUE"""),"Yes")</f>
        <v>Yes</v>
      </c>
      <c r="AI47" s="5" t="str">
        <f ca="1">IFERROR(__xludf.DUMMYFUNCTION("""COMPUTED_VALUE"""),"No")</f>
        <v>No</v>
      </c>
      <c r="AJ47" s="5" t="str">
        <f ca="1">IFERROR(__xludf.DUMMYFUNCTION("""COMPUTED_VALUE"""),"No")</f>
        <v>No</v>
      </c>
      <c r="AK47" s="5" t="str">
        <f ca="1">IFERROR(__xludf.DUMMYFUNCTION("""COMPUTED_VALUE"""),"No")</f>
        <v>No</v>
      </c>
      <c r="AL47" s="5" t="str">
        <f ca="1">IFERROR(__xludf.DUMMYFUNCTION("""COMPUTED_VALUE"""),"No")</f>
        <v>No</v>
      </c>
      <c r="AM47" s="5" t="str">
        <f ca="1">IFERROR(__xludf.DUMMYFUNCTION("""COMPUTED_VALUE"""),"No")</f>
        <v>No</v>
      </c>
      <c r="AN47" s="5" t="str">
        <f ca="1">IFERROR(__xludf.DUMMYFUNCTION("""COMPUTED_VALUE"""),"No")</f>
        <v>No</v>
      </c>
      <c r="AO47" s="5" t="str">
        <f ca="1">IFERROR(__xludf.DUMMYFUNCTION("""COMPUTED_VALUE"""),"Yes")</f>
        <v>Yes</v>
      </c>
      <c r="AP47" s="5" t="str">
        <f ca="1">IFERROR(__xludf.DUMMYFUNCTION("""COMPUTED_VALUE"""),"No")</f>
        <v>No</v>
      </c>
      <c r="AQ47" s="5" t="str">
        <f ca="1">IFERROR(__xludf.DUMMYFUNCTION("""COMPUTED_VALUE"""),"No")</f>
        <v>No</v>
      </c>
      <c r="AR47" s="5" t="str">
        <f ca="1">IFERROR(__xludf.DUMMYFUNCTION("""COMPUTED_VALUE"""),"No")</f>
        <v>No</v>
      </c>
      <c r="AS47" s="5" t="str">
        <f ca="1">IFERROR(__xludf.DUMMYFUNCTION("""COMPUTED_VALUE"""),"Yes")</f>
        <v>Yes</v>
      </c>
      <c r="AT47" s="5" t="str">
        <f ca="1">IFERROR(__xludf.DUMMYFUNCTION("""COMPUTED_VALUE"""),"No")</f>
        <v>No</v>
      </c>
      <c r="AU47" s="5"/>
    </row>
    <row r="48" spans="1:47" x14ac:dyDescent="0.25">
      <c r="A48" s="5" t="str">
        <f ca="1">IFERROR(__xludf.DUMMYFUNCTION("""COMPUTED_VALUE"""),"Playnet")</f>
        <v>Playnet</v>
      </c>
      <c r="B48" s="5" t="str">
        <f ca="1">IFERROR(__xludf.DUMMYFUNCTION("""COMPUTED_VALUE"""),"Shadow Hunt 10")</f>
        <v>Shadow Hunt 10</v>
      </c>
      <c r="C48" s="5" t="str">
        <f ca="1">IFERROR(__xludf.DUMMYFUNCTION("""COMPUTED_VALUE"""),"PlayNetShadowHunt10")</f>
        <v>PlayNetShadowHunt10</v>
      </c>
      <c r="D48" s="6">
        <f ca="1">IFERROR(__xludf.DUMMYFUNCTION("""COMPUTED_VALUE"""),46146)</f>
        <v>46146</v>
      </c>
      <c r="E48" s="5" t="str">
        <f ca="1">IFERROR(__xludf.DUMMYFUNCTION("""COMPUTED_VALUE"""),"Slot")</f>
        <v>Slot</v>
      </c>
      <c r="F48" s="5">
        <f ca="1">IFERROR(__xludf.DUMMYFUNCTION("""COMPUTED_VALUE"""),15)</f>
        <v>15</v>
      </c>
      <c r="G48" s="5" t="str">
        <f ca="1">IFERROR(__xludf.DUMMYFUNCTION("""COMPUTED_VALUE"""),"5x3")</f>
        <v>5x3</v>
      </c>
      <c r="H48" s="5">
        <f ca="1">IFERROR(__xludf.DUMMYFUNCTION("""COMPUTED_VALUE"""),10)</f>
        <v>10</v>
      </c>
      <c r="I48" s="5">
        <f ca="1">IFERROR(__xludf.DUMMYFUNCTION("""COMPUTED_VALUE"""),10)</f>
        <v>10</v>
      </c>
      <c r="J48" s="5" t="str">
        <f ca="1">IFERROR(__xludf.DUMMYFUNCTION("""COMPUTED_VALUE"""),"96.475%")</f>
        <v>96.475%</v>
      </c>
      <c r="K48" s="5" t="str">
        <f ca="1">IFERROR(__xludf.DUMMYFUNCTION("""COMPUTED_VALUE"""),"High")</f>
        <v>High</v>
      </c>
      <c r="L48" s="5" t="str">
        <f ca="1">IFERROR(__xludf.DUMMYFUNCTION("""COMPUTED_VALUE"""),"5.934%")</f>
        <v>5.934%</v>
      </c>
      <c r="M48" s="5" t="str">
        <f ca="1">IFERROR(__xludf.DUMMYFUNCTION("""COMPUTED_VALUE"""),"x1500")</f>
        <v>x1500</v>
      </c>
      <c r="N48" s="5" t="str">
        <f ca="1">IFERROR(__xludf.DUMMYFUNCTION("""COMPUTED_VALUE"""),"0.1/40")</f>
        <v>0.1/40</v>
      </c>
      <c r="O48" s="5" t="str">
        <f ca="1">IFERROR(__xludf.DUMMYFUNCTION("""COMPUTED_VALUE"""),"No")</f>
        <v>No</v>
      </c>
      <c r="P48" s="5" t="str">
        <f ca="1">IFERROR(__xludf.DUMMYFUNCTION("""COMPUTED_VALUE"""),"Win Multiplier")</f>
        <v>Win Multiplier</v>
      </c>
      <c r="Q48" s="7" t="str">
        <f ca="1">IFERROR(__xludf.DUMMYFUNCTION("""COMPUTED_VALUE"""),"https://gameserver-store-client-area.orbionlimited.com/Home/IntegrationGameLaunch/client-area?moneyType=0&amp;gameName=PlayNetShadowHunt10&amp;platform=desktop&amp;languageCode=eng&amp;currency=EUR")</f>
        <v>https://gameserver-store-client-area.orbionlimited.com/Home/IntegrationGameLaunch/client-area?moneyType=0&amp;gameName=PlayNetShadowHunt10&amp;platform=desktop&amp;languageCode=eng&amp;currency=EUR</v>
      </c>
      <c r="R48" s="5" t="str">
        <f ca="1">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S4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IFERROR(__xludf.DUMMYFUNCTION("""COMPUTED_VALUE"""),"Yes")</f>
        <v>Yes</v>
      </c>
      <c r="AA48" s="5" t="str">
        <f ca="1">IFERROR(__xludf.DUMMYFUNCTION("""COMPUTED_VALUE"""),"Yes")</f>
        <v>Yes</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IFERROR(__xludf.DUMMYFUNCTION("""COMPUTED_VALUE"""),"Yes")</f>
        <v>Yes</v>
      </c>
      <c r="AF48" s="5" t="str">
        <f ca="1">IFERROR(__xludf.DUMMYFUNCTION("""COMPUTED_VALUE"""),"Yes")</f>
        <v>Yes</v>
      </c>
      <c r="AG48" s="5" t="str">
        <f ca="1">IFERROR(__xludf.DUMMYFUNCTION("""COMPUTED_VALUE"""),"Yes")</f>
        <v>Yes</v>
      </c>
      <c r="AH48" s="5" t="str">
        <f ca="1">IFERROR(__xludf.DUMMYFUNCTION("""COMPUTED_VALUE"""),"Yes")</f>
        <v>Yes</v>
      </c>
      <c r="AI48" s="5"/>
      <c r="AJ48" s="5"/>
      <c r="AK48" s="5"/>
      <c r="AL48" s="5"/>
      <c r="AM48" s="5"/>
      <c r="AN48" s="5"/>
      <c r="AO48" s="5"/>
      <c r="AP48" s="5"/>
      <c r="AQ48" s="5"/>
      <c r="AR48" s="5"/>
      <c r="AS48" s="5" t="str">
        <f ca="1">IFERROR(__xludf.DUMMYFUNCTION("""COMPUTED_VALUE"""),"Yes")</f>
        <v>Yes</v>
      </c>
      <c r="AT48" s="5"/>
      <c r="AU48" s="5"/>
    </row>
    <row r="49" spans="1:47" x14ac:dyDescent="0.25">
      <c r="A49" s="5" t="str">
        <f ca="1">IFERROR(__xludf.DUMMYFUNCTION("""COMPUTED_VALUE"""),"Playnet")</f>
        <v>Playnet</v>
      </c>
      <c r="B49" s="5" t="str">
        <f ca="1">IFERROR(__xludf.DUMMYFUNCTION("""COMPUTED_VALUE"""),"Diamond Heart 20")</f>
        <v>Diamond Heart 20</v>
      </c>
      <c r="C49" s="5" t="str">
        <f ca="1">IFERROR(__xludf.DUMMYFUNCTION("""COMPUTED_VALUE"""),"PlayNetDiamondHeart20")</f>
        <v>PlayNetDiamondHeart20</v>
      </c>
      <c r="D49" s="6">
        <f ca="1">IFERROR(__xludf.DUMMYFUNCTION("""COMPUTED_VALUE"""),46154)</f>
        <v>46154</v>
      </c>
      <c r="E49" s="5" t="str">
        <f ca="1">IFERROR(__xludf.DUMMYFUNCTION("""COMPUTED_VALUE"""),"Slot")</f>
        <v>Slot</v>
      </c>
      <c r="F49" s="5">
        <f ca="1">IFERROR(__xludf.DUMMYFUNCTION("""COMPUTED_VALUE"""),13)</f>
        <v>13</v>
      </c>
      <c r="G49" s="5" t="str">
        <f ca="1">IFERROR(__xludf.DUMMYFUNCTION("""COMPUTED_VALUE"""),"5x3")</f>
        <v>5x3</v>
      </c>
      <c r="H49" s="5">
        <f ca="1">IFERROR(__xludf.DUMMYFUNCTION("""COMPUTED_VALUE"""),20)</f>
        <v>20</v>
      </c>
      <c r="I49" s="5">
        <f ca="1">IFERROR(__xludf.DUMMYFUNCTION("""COMPUTED_VALUE"""),20)</f>
        <v>20</v>
      </c>
      <c r="J49" s="5" t="str">
        <f ca="1">IFERROR(__xludf.DUMMYFUNCTION("""COMPUTED_VALUE"""),"96.504%")</f>
        <v>96.504%</v>
      </c>
      <c r="K49" s="5" t="str">
        <f ca="1">IFERROR(__xludf.DUMMYFUNCTION("""COMPUTED_VALUE"""),"Medium")</f>
        <v>Medium</v>
      </c>
      <c r="L49" s="5" t="str">
        <f ca="1">IFERROR(__xludf.DUMMYFUNCTION("""COMPUTED_VALUE"""),"21.751%")</f>
        <v>21.751%</v>
      </c>
      <c r="M49" s="5" t="str">
        <f ca="1">IFERROR(__xludf.DUMMYFUNCTION("""COMPUTED_VALUE"""),"x1231.5")</f>
        <v>x1231.5</v>
      </c>
      <c r="N49" s="5" t="str">
        <f ca="1">IFERROR(__xludf.DUMMYFUNCTION("""COMPUTED_VALUE"""),"0.2/50")</f>
        <v>0.2/50</v>
      </c>
      <c r="O49" s="5" t="str">
        <f ca="1">IFERROR(__xludf.DUMMYFUNCTION("""COMPUTED_VALUE"""),"No")</f>
        <v>No</v>
      </c>
      <c r="P49" s="5" t="str">
        <f ca="1">IFERROR(__xludf.DUMMYFUNCTION("""COMPUTED_VALUE"""),"Expanding Wild, Scatter")</f>
        <v>Expanding Wild, Scatter</v>
      </c>
      <c r="Q49" s="7" t="str">
        <f ca="1">IFERROR(__xludf.DUMMYFUNCTION("""COMPUTED_VALUE"""),"https://gameserver-store-client-area.orbionlimited.com/Home/IntegrationGameLaunch/client-area?moneyType=0&amp;gameName=PlayNetDiamondHeart20&amp;platform=desktop&amp;languageCode=eng&amp;currency=EUR")</f>
        <v>https://gameserver-store-client-area.orbionlimited.com/Home/IntegrationGameLaunch/client-area?moneyType=0&amp;gameName=PlayNetDiamondHeart20&amp;platform=desktop&amp;languageCode=eng&amp;currency=EUR</v>
      </c>
      <c r="R49" s="5" t="str">
        <f ca="1">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9" s="5" t="str">
        <f ca="1">IFERROR(__xludf.DUMMYFUNCTION("""COMPUTED_VALUE"""),"Yes")</f>
        <v>Yes</v>
      </c>
      <c r="U49" s="5" t="str">
        <f ca="1">IFERROR(__xludf.DUMMYFUNCTION("""COMPUTED_VALUE"""),"Yes")</f>
        <v>Yes</v>
      </c>
      <c r="V49" s="5" t="str">
        <f ca="1">IFERROR(__xludf.DUMMYFUNCTION("""COMPUTED_VALUE"""),"Yes")</f>
        <v>Yes</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IFERROR(__xludf.DUMMYFUNCTION("""COMPUTED_VALUE"""),"Yes")</f>
        <v>Yes</v>
      </c>
      <c r="AF49" s="5" t="str">
        <f ca="1">IFERROR(__xludf.DUMMYFUNCTION("""COMPUTED_VALUE"""),"Yes")</f>
        <v>Yes</v>
      </c>
      <c r="AG49" s="5" t="str">
        <f ca="1">IFERROR(__xludf.DUMMYFUNCTION("""COMPUTED_VALUE"""),"Yes")</f>
        <v>Yes</v>
      </c>
      <c r="AH49" s="5" t="str">
        <f ca="1">IFERROR(__xludf.DUMMYFUNCTION("""COMPUTED_VALUE"""),"Yes")</f>
        <v>Yes</v>
      </c>
      <c r="AI49" s="5"/>
      <c r="AJ49" s="5"/>
      <c r="AK49" s="5"/>
      <c r="AL49" s="5"/>
      <c r="AM49" s="5"/>
      <c r="AN49" s="5"/>
      <c r="AO49" s="5"/>
      <c r="AP49" s="5"/>
      <c r="AQ49" s="5"/>
      <c r="AR49" s="5"/>
      <c r="AS49" s="5" t="str">
        <f ca="1">IFERROR(__xludf.DUMMYFUNCTION("""COMPUTED_VALUE"""),"Yes")</f>
        <v>Yes</v>
      </c>
      <c r="AT49" s="5"/>
      <c r="AU49" s="5"/>
    </row>
    <row r="50" spans="1:47" x14ac:dyDescent="0.25">
      <c r="A50" s="5" t="str">
        <f ca="1">IFERROR(__xludf.DUMMYFUNCTION("""COMPUTED_VALUE"""),"Playnet")</f>
        <v>Playnet</v>
      </c>
      <c r="B50" s="5" t="str">
        <f ca="1">IFERROR(__xludf.DUMMYFUNCTION("""COMPUTED_VALUE"""),"Bit Queen")</f>
        <v>Bit Queen</v>
      </c>
      <c r="C50" s="5" t="str">
        <f ca="1">IFERROR(__xludf.DUMMYFUNCTION("""COMPUTED_VALUE"""),"PlayNetBitQueen")</f>
        <v>PlayNetBitQueen</v>
      </c>
      <c r="D50" s="6">
        <f ca="1">IFERROR(__xludf.DUMMYFUNCTION("""COMPUTED_VALUE"""),46167)</f>
        <v>46167</v>
      </c>
      <c r="E50" s="5" t="str">
        <f ca="1">IFERROR(__xludf.DUMMYFUNCTION("""COMPUTED_VALUE"""),"Slot")</f>
        <v>Slot</v>
      </c>
      <c r="F50" s="5">
        <f ca="1">IFERROR(__xludf.DUMMYFUNCTION("""COMPUTED_VALUE"""),15)</f>
        <v>15</v>
      </c>
      <c r="G50" s="5" t="str">
        <f ca="1">IFERROR(__xludf.DUMMYFUNCTION("""COMPUTED_VALUE"""),"5x4")</f>
        <v>5x4</v>
      </c>
      <c r="H50" s="5">
        <f ca="1">IFERROR(__xludf.DUMMYFUNCTION("""COMPUTED_VALUE"""),40)</f>
        <v>40</v>
      </c>
      <c r="I50" s="5">
        <f ca="1">IFERROR(__xludf.DUMMYFUNCTION("""COMPUTED_VALUE"""),40)</f>
        <v>40</v>
      </c>
      <c r="J50" s="5" t="str">
        <f ca="1">IFERROR(__xludf.DUMMYFUNCTION("""COMPUTED_VALUE"""),"96.291%")</f>
        <v>96.291%</v>
      </c>
      <c r="K50" s="5" t="str">
        <f ca="1">IFERROR(__xludf.DUMMYFUNCTION("""COMPUTED_VALUE"""),"Medium")</f>
        <v>Medium</v>
      </c>
      <c r="L50" s="5" t="str">
        <f ca="1">IFERROR(__xludf.DUMMYFUNCTION("""COMPUTED_VALUE"""),"12.67%")</f>
        <v>12.67%</v>
      </c>
      <c r="M50" s="5" t="str">
        <f ca="1">IFERROR(__xludf.DUMMYFUNCTION("""COMPUTED_VALUE"""),"x1043")</f>
        <v>x1043</v>
      </c>
      <c r="N50" s="5" t="str">
        <f ca="1">IFERROR(__xludf.DUMMYFUNCTION("""COMPUTED_VALUE"""),"0.1/60")</f>
        <v>0.1/60</v>
      </c>
      <c r="O50" s="5" t="str">
        <f ca="1">IFERROR(__xludf.DUMMYFUNCTION("""COMPUTED_VALUE"""),"No")</f>
        <v>No</v>
      </c>
      <c r="P50" s="5" t="str">
        <f ca="1">IFERROR(__xludf.DUMMYFUNCTION("""COMPUTED_VALUE"""),"Bonus Game with Free Spins, Scatter, Special Wild")</f>
        <v>Bonus Game with Free Spins, Scatter, Special Wild</v>
      </c>
      <c r="Q50" s="7" t="str">
        <f ca="1">IFERROR(__xludf.DUMMYFUNCTION("""COMPUTED_VALUE"""),"https://gameserver-store-client-area.orbionlimited.com/Home/IntegrationGameLaunch/client-area?moneyType=0&amp;gameName=PlayNetBitQueen&amp;platform=desktop&amp;languageCode=eng&amp;currency=EUR")</f>
        <v>https://gameserver-store-client-area.orbionlimited.com/Home/IntegrationGameLaunch/client-area?moneyType=0&amp;gameName=PlayNetBitQueen&amp;platform=desktop&amp;languageCode=eng&amp;currency=EUR</v>
      </c>
      <c r="R50" s="5" t="str">
        <f ca="1">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S5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IFERROR(__xludf.DUMMYFUNCTION("""COMPUTED_VALUE"""),"Yes")</f>
        <v>Yes</v>
      </c>
      <c r="AA50" s="5" t="str">
        <f ca="1">IFERROR(__xludf.DUMMYFUNCTION("""COMPUTED_VALUE"""),"Yes")</f>
        <v>Yes</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IFERROR(__xludf.DUMMYFUNCTION("""COMPUTED_VALUE"""),"Yes")</f>
        <v>Yes</v>
      </c>
      <c r="AF50" s="5" t="str">
        <f ca="1">IFERROR(__xludf.DUMMYFUNCTION("""COMPUTED_VALUE"""),"Yes")</f>
        <v>Yes</v>
      </c>
      <c r="AG50" s="5" t="str">
        <f ca="1">IFERROR(__xludf.DUMMYFUNCTION("""COMPUTED_VALUE"""),"Yes")</f>
        <v>Yes</v>
      </c>
      <c r="AH50" s="5" t="str">
        <f ca="1">IFERROR(__xludf.DUMMYFUNCTION("""COMPUTED_VALUE"""),"Yes")</f>
        <v>Yes</v>
      </c>
      <c r="AI50" s="5"/>
      <c r="AJ50" s="5"/>
      <c r="AK50" s="5"/>
      <c r="AL50" s="5"/>
      <c r="AM50" s="5"/>
      <c r="AN50" s="5"/>
      <c r="AO50" s="5"/>
      <c r="AP50" s="5"/>
      <c r="AQ50" s="5"/>
      <c r="AR50" s="5"/>
      <c r="AS50" s="5" t="str">
        <f ca="1">IFERROR(__xludf.DUMMYFUNCTION("""COMPUTED_VALUE"""),"Yes")</f>
        <v>Yes</v>
      </c>
      <c r="AT50" s="5"/>
      <c r="AU50" s="5"/>
    </row>
    <row r="51" spans="1:47" x14ac:dyDescent="0.25">
      <c r="A51" s="5" t="str">
        <f ca="1">IFERROR(__xludf.DUMMYFUNCTION("""COMPUTED_VALUE"""),"Playnet")</f>
        <v>Playnet</v>
      </c>
      <c r="B51" s="5" t="str">
        <f ca="1">IFERROR(__xludf.DUMMYFUNCTION("""COMPUTED_VALUE"""),"Dashing Hot 40")</f>
        <v>Dashing Hot 40</v>
      </c>
      <c r="C51" s="5" t="str">
        <f ca="1">IFERROR(__xludf.DUMMYFUNCTION("""COMPUTED_VALUE"""),"PlayNetDashingHot40")</f>
        <v>PlayNetDashingHot40</v>
      </c>
      <c r="D51" s="6">
        <f ca="1">IFERROR(__xludf.DUMMYFUNCTION("""COMPUTED_VALUE"""),46182)</f>
        <v>46182</v>
      </c>
      <c r="E51" s="5" t="str">
        <f ca="1">IFERROR(__xludf.DUMMYFUNCTION("""COMPUTED_VALUE"""),"Slot")</f>
        <v>Slot</v>
      </c>
      <c r="F51" s="5">
        <f ca="1">IFERROR(__xludf.DUMMYFUNCTION("""COMPUTED_VALUE"""),13)</f>
        <v>13</v>
      </c>
      <c r="G51" s="5" t="str">
        <f ca="1">IFERROR(__xludf.DUMMYFUNCTION("""COMPUTED_VALUE"""),"5x4")</f>
        <v>5x4</v>
      </c>
      <c r="H51" s="5">
        <f ca="1">IFERROR(__xludf.DUMMYFUNCTION("""COMPUTED_VALUE"""),40)</f>
        <v>40</v>
      </c>
      <c r="I51" s="5">
        <f ca="1">IFERROR(__xludf.DUMMYFUNCTION("""COMPUTED_VALUE"""),40)</f>
        <v>40</v>
      </c>
      <c r="J51" s="5" t="str">
        <f ca="1">IFERROR(__xludf.DUMMYFUNCTION("""COMPUTED_VALUE"""),"96.584%")</f>
        <v>96.584%</v>
      </c>
      <c r="K51" s="5" t="str">
        <f ca="1">IFERROR(__xludf.DUMMYFUNCTION("""COMPUTED_VALUE"""),"Low")</f>
        <v>Low</v>
      </c>
      <c r="L51" s="5" t="str">
        <f ca="1">IFERROR(__xludf.DUMMYFUNCTION("""COMPUTED_VALUE"""),"16.725%")</f>
        <v>16.725%</v>
      </c>
      <c r="M51" s="5" t="str">
        <f ca="1">IFERROR(__xludf.DUMMYFUNCTION("""COMPUTED_VALUE"""),"x1000")</f>
        <v>x1000</v>
      </c>
      <c r="N51" s="5" t="str">
        <f ca="1">IFERROR(__xludf.DUMMYFUNCTION("""COMPUTED_VALUE"""),"0.40/60")</f>
        <v>0.40/60</v>
      </c>
      <c r="O51" s="5" t="str">
        <f ca="1">IFERROR(__xludf.DUMMYFUNCTION("""COMPUTED_VALUE"""),"No")</f>
        <v>No</v>
      </c>
      <c r="P51" s="5" t="str">
        <f ca="1">IFERROR(__xludf.DUMMYFUNCTION("""COMPUTED_VALUE"""),"Scatter, Wild Symbol")</f>
        <v>Scatter, Wild Symbol</v>
      </c>
      <c r="Q51" s="7" t="str">
        <f ca="1">IFERROR(__xludf.DUMMYFUNCTION("""COMPUTED_VALUE"""),"https://gameserver-store-client-area.orbionlimited.com/Home/IntegrationGameLaunch/client-area?moneyType=0&amp;gameName=PlayNetDashingHot40&amp;platform=desktop&amp;languageCode=eng&amp;currency=EUR")</f>
        <v>https://gameserver-store-client-area.orbionlimited.com/Home/IntegrationGameLaunch/client-area?moneyType=0&amp;gameName=PlayNetDashingHot40&amp;platform=desktop&amp;languageCode=eng&amp;currency=EUR</v>
      </c>
      <c r="R51" s="5" t="str">
        <f ca="1">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S5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1" s="5" t="str">
        <f ca="1">IFERROR(__xludf.DUMMYFUNCTION("""COMPUTED_VALUE"""),"Yes")</f>
        <v>Yes</v>
      </c>
      <c r="U51" s="5" t="str">
        <f ca="1">IFERROR(__xludf.DUMMYFUNCTION("""COMPUTED_VALUE"""),"Yes")</f>
        <v>Yes</v>
      </c>
      <c r="V51" s="5" t="str">
        <f ca="1">IFERROR(__xludf.DUMMYFUNCTION("""COMPUTED_VALUE"""),"Yes")</f>
        <v>Yes</v>
      </c>
      <c r="W51" s="5" t="str">
        <f ca="1">IFERROR(__xludf.DUMMYFUNCTION("""COMPUTED_VALUE"""),"Yes")</f>
        <v>Yes</v>
      </c>
      <c r="X51" s="5" t="str">
        <f ca="1">IFERROR(__xludf.DUMMYFUNCTION("""COMPUTED_VALUE"""),"Yes")</f>
        <v>Yes</v>
      </c>
      <c r="Y51" s="5" t="str">
        <f ca="1">IFERROR(__xludf.DUMMYFUNCTION("""COMPUTED_VALUE"""),"Yes")</f>
        <v>Yes</v>
      </c>
      <c r="Z51" s="5" t="str">
        <f ca="1">IFERROR(__xludf.DUMMYFUNCTION("""COMPUTED_VALUE"""),"Yes")</f>
        <v>Yes</v>
      </c>
      <c r="AA51" s="5" t="str">
        <f ca="1">IFERROR(__xludf.DUMMYFUNCTION("""COMPUTED_VALUE"""),"Yes")</f>
        <v>Yes</v>
      </c>
      <c r="AB51" s="5" t="str">
        <f ca="1">IFERROR(__xludf.DUMMYFUNCTION("""COMPUTED_VALUE"""),"Yes")</f>
        <v>Yes</v>
      </c>
      <c r="AC51" s="5" t="str">
        <f ca="1">IFERROR(__xludf.DUMMYFUNCTION("""COMPUTED_VALUE"""),"Yes")</f>
        <v>Yes</v>
      </c>
      <c r="AD51" s="5" t="str">
        <f ca="1">IFERROR(__xludf.DUMMYFUNCTION("""COMPUTED_VALUE"""),"Yes")</f>
        <v>Yes</v>
      </c>
      <c r="AE51" s="5" t="str">
        <f ca="1">IFERROR(__xludf.DUMMYFUNCTION("""COMPUTED_VALUE"""),"Yes")</f>
        <v>Yes</v>
      </c>
      <c r="AF51" s="5" t="str">
        <f ca="1">IFERROR(__xludf.DUMMYFUNCTION("""COMPUTED_VALUE"""),"Yes")</f>
        <v>Yes</v>
      </c>
      <c r="AG51" s="5" t="str">
        <f ca="1">IFERROR(__xludf.DUMMYFUNCTION("""COMPUTED_VALUE"""),"Yes")</f>
        <v>Yes</v>
      </c>
      <c r="AH51" s="5" t="str">
        <f ca="1">IFERROR(__xludf.DUMMYFUNCTION("""COMPUTED_VALUE"""),"Yes")</f>
        <v>Yes</v>
      </c>
      <c r="AI51" s="5"/>
      <c r="AJ51" s="5"/>
      <c r="AK51" s="5"/>
      <c r="AL51" s="5"/>
      <c r="AM51" s="5"/>
      <c r="AN51" s="5"/>
      <c r="AO51" s="5"/>
      <c r="AP51" s="5"/>
      <c r="AQ51" s="5"/>
      <c r="AR51" s="5"/>
      <c r="AS51" s="5" t="str">
        <f ca="1">IFERROR(__xludf.DUMMYFUNCTION("""COMPUTED_VALUE"""),"Yes")</f>
        <v>Yes</v>
      </c>
      <c r="AT51" s="5"/>
      <c r="AU51" s="5"/>
    </row>
    <row r="52" spans="1:47" x14ac:dyDescent="0.25">
      <c r="A52" s="5" t="str">
        <f ca="1">IFERROR(__xludf.DUMMYFUNCTION("""COMPUTED_VALUE"""),"Playnet")</f>
        <v>Playnet</v>
      </c>
      <c r="B52" s="5" t="str">
        <f ca="1">IFERROR(__xludf.DUMMYFUNCTION("""COMPUTED_VALUE"""),"Dark Temptress 100")</f>
        <v>Dark Temptress 100</v>
      </c>
      <c r="C52" s="5" t="str">
        <f ca="1">IFERROR(__xludf.DUMMYFUNCTION("""COMPUTED_VALUE"""),"PlayNetDarkTemptress100")</f>
        <v>PlayNetDarkTemptress100</v>
      </c>
      <c r="D52" s="6">
        <f ca="1">IFERROR(__xludf.DUMMYFUNCTION("""COMPUTED_VALUE"""),46196)</f>
        <v>46196</v>
      </c>
      <c r="E52" s="5" t="str">
        <f ca="1">IFERROR(__xludf.DUMMYFUNCTION("""COMPUTED_VALUE"""),"Slot")</f>
        <v>Slot</v>
      </c>
      <c r="F52" s="5">
        <f ca="1">IFERROR(__xludf.DUMMYFUNCTION("""COMPUTED_VALUE"""),15)</f>
        <v>15</v>
      </c>
      <c r="G52" s="5" t="str">
        <f ca="1">IFERROR(__xludf.DUMMYFUNCTION("""COMPUTED_VALUE"""),"5x4")</f>
        <v>5x4</v>
      </c>
      <c r="H52" s="5">
        <f ca="1">IFERROR(__xludf.DUMMYFUNCTION("""COMPUTED_VALUE"""),100)</f>
        <v>100</v>
      </c>
      <c r="I52" s="5">
        <f ca="1">IFERROR(__xludf.DUMMYFUNCTION("""COMPUTED_VALUE"""),100)</f>
        <v>100</v>
      </c>
      <c r="J52" s="5" t="str">
        <f ca="1">IFERROR(__xludf.DUMMYFUNCTION("""COMPUTED_VALUE"""),"96.502%")</f>
        <v>96.502%</v>
      </c>
      <c r="K52" s="5" t="str">
        <f ca="1">IFERROR(__xludf.DUMMYFUNCTION("""COMPUTED_VALUE"""),"Medium")</f>
        <v>Medium</v>
      </c>
      <c r="L52" s="5" t="str">
        <f ca="1">IFERROR(__xludf.DUMMYFUNCTION("""COMPUTED_VALUE"""),"13.309%")</f>
        <v>13.309%</v>
      </c>
      <c r="M52" s="5" t="str">
        <f ca="1">IFERROR(__xludf.DUMMYFUNCTION("""COMPUTED_VALUE"""),"x3000")</f>
        <v>x3000</v>
      </c>
      <c r="N52" s="5" t="str">
        <f ca="1">IFERROR(__xludf.DUMMYFUNCTION("""COMPUTED_VALUE"""),"1/100")</f>
        <v>1/100</v>
      </c>
      <c r="O52" s="5" t="str">
        <f ca="1">IFERROR(__xludf.DUMMYFUNCTION("""COMPUTED_VALUE"""),"No")</f>
        <v>No</v>
      </c>
      <c r="P52" s="5" t="str">
        <f ca="1">IFERROR(__xludf.DUMMYFUNCTION("""COMPUTED_VALUE"""),"Scatter, Expanding Wild")</f>
        <v>Scatter, Expanding Wild</v>
      </c>
      <c r="Q52" s="7" t="str">
        <f ca="1">IFERROR(__xludf.DUMMYFUNCTION("""COMPUTED_VALUE"""),"https://gameserver-store-client-area.orbionlimited.com/Home/IntegrationGameLaunch/client-area?moneyType=0&amp;gameName=PlayNetDarkTemptress100&amp;platform=desktop&amp;languageCode=eng&amp;currency=EUR")</f>
        <v>https://gameserver-store-client-area.orbionlimited.com/Home/IntegrationGameLaunch/client-area?moneyType=0&amp;gameName=PlayNetDarkTemptress100&amp;platform=desktop&amp;languageCode=eng&amp;currency=EUR</v>
      </c>
      <c r="R52" s="5" t="str">
        <f ca="1">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S5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2" s="5" t="str">
        <f ca="1">IFERROR(__xludf.DUMMYFUNCTION("""COMPUTED_VALUE"""),"Yes")</f>
        <v>Yes</v>
      </c>
      <c r="U52" s="5" t="str">
        <f ca="1">IFERROR(__xludf.DUMMYFUNCTION("""COMPUTED_VALUE"""),"Yes")</f>
        <v>Yes</v>
      </c>
      <c r="V52" s="5" t="str">
        <f ca="1">IFERROR(__xludf.DUMMYFUNCTION("""COMPUTED_VALUE"""),"Yes")</f>
        <v>Yes</v>
      </c>
      <c r="W52" s="5" t="str">
        <f ca="1">IFERROR(__xludf.DUMMYFUNCTION("""COMPUTED_VALUE"""),"Yes")</f>
        <v>Yes</v>
      </c>
      <c r="X52" s="5" t="str">
        <f ca="1">IFERROR(__xludf.DUMMYFUNCTION("""COMPUTED_VALUE"""),"Yes")</f>
        <v>Yes</v>
      </c>
      <c r="Y52" s="5" t="str">
        <f ca="1">IFERROR(__xludf.DUMMYFUNCTION("""COMPUTED_VALUE"""),"Yes")</f>
        <v>Yes</v>
      </c>
      <c r="Z52" s="5" t="str">
        <f ca="1">IFERROR(__xludf.DUMMYFUNCTION("""COMPUTED_VALUE"""),"Yes")</f>
        <v>Yes</v>
      </c>
      <c r="AA52" s="5" t="str">
        <f ca="1">IFERROR(__xludf.DUMMYFUNCTION("""COMPUTED_VALUE"""),"Yes")</f>
        <v>Yes</v>
      </c>
      <c r="AB52" s="5" t="str">
        <f ca="1">IFERROR(__xludf.DUMMYFUNCTION("""COMPUTED_VALUE"""),"Yes")</f>
        <v>Yes</v>
      </c>
      <c r="AC52" s="5" t="str">
        <f ca="1">IFERROR(__xludf.DUMMYFUNCTION("""COMPUTED_VALUE"""),"Yes")</f>
        <v>Yes</v>
      </c>
      <c r="AD52" s="5" t="str">
        <f ca="1">IFERROR(__xludf.DUMMYFUNCTION("""COMPUTED_VALUE"""),"Yes")</f>
        <v>Yes</v>
      </c>
      <c r="AE52" s="5" t="str">
        <f ca="1">IFERROR(__xludf.DUMMYFUNCTION("""COMPUTED_VALUE"""),"Yes")</f>
        <v>Yes</v>
      </c>
      <c r="AF52" s="5" t="str">
        <f ca="1">IFERROR(__xludf.DUMMYFUNCTION("""COMPUTED_VALUE"""),"Yes")</f>
        <v>Yes</v>
      </c>
      <c r="AG52" s="5" t="str">
        <f ca="1">IFERROR(__xludf.DUMMYFUNCTION("""COMPUTED_VALUE"""),"Yes")</f>
        <v>Yes</v>
      </c>
      <c r="AH52" s="5" t="str">
        <f ca="1">IFERROR(__xludf.DUMMYFUNCTION("""COMPUTED_VALUE"""),"Yes")</f>
        <v>Yes</v>
      </c>
      <c r="AI52" s="5"/>
      <c r="AJ52" s="5"/>
      <c r="AK52" s="5"/>
      <c r="AL52" s="5"/>
      <c r="AM52" s="5"/>
      <c r="AN52" s="5"/>
      <c r="AO52" s="5"/>
      <c r="AP52" s="5"/>
      <c r="AQ52" s="5"/>
      <c r="AR52" s="5"/>
      <c r="AS52" s="5" t="str">
        <f ca="1">IFERROR(__xludf.DUMMYFUNCTION("""COMPUTED_VALUE"""),"Yes")</f>
        <v>Yes</v>
      </c>
      <c r="AT52" s="5"/>
      <c r="AU52" s="5"/>
    </row>
    <row r="53" spans="1:47" x14ac:dyDescent="0.25">
      <c r="A53" s="5" t="str">
        <f ca="1">IFERROR(__xludf.DUMMYFUNCTION("""COMPUTED_VALUE"""),"Playnet")</f>
        <v>Playnet</v>
      </c>
      <c r="B53" s="5" t="str">
        <f ca="1">IFERROR(__xludf.DUMMYFUNCTION("""COMPUTED_VALUE"""),"Barkin' Riches")</f>
        <v>Barkin' Riches</v>
      </c>
      <c r="C53" s="5" t="str">
        <f ca="1">IFERROR(__xludf.DUMMYFUNCTION("""COMPUTED_VALUE"""),"PlayNetBarkinRiches")</f>
        <v>PlayNetBarkinRiches</v>
      </c>
      <c r="D53" s="6">
        <f ca="1">IFERROR(__xludf.DUMMYFUNCTION("""COMPUTED_VALUE"""),46202)</f>
        <v>46202</v>
      </c>
      <c r="E53" s="5" t="str">
        <f ca="1">IFERROR(__xludf.DUMMYFUNCTION("""COMPUTED_VALUE"""),"Slot")</f>
        <v>Slot</v>
      </c>
      <c r="F53" s="5">
        <f ca="1">IFERROR(__xludf.DUMMYFUNCTION("""COMPUTED_VALUE"""),13)</f>
        <v>13</v>
      </c>
      <c r="G53" s="5" t="str">
        <f ca="1">IFERROR(__xludf.DUMMYFUNCTION("""COMPUTED_VALUE"""),"5x4")</f>
        <v>5x4</v>
      </c>
      <c r="H53" s="5">
        <f ca="1">IFERROR(__xludf.DUMMYFUNCTION("""COMPUTED_VALUE"""),40)</f>
        <v>40</v>
      </c>
      <c r="I53" s="5">
        <f ca="1">IFERROR(__xludf.DUMMYFUNCTION("""COMPUTED_VALUE"""),40)</f>
        <v>40</v>
      </c>
      <c r="J53" s="5" t="str">
        <f ca="1">IFERROR(__xludf.DUMMYFUNCTION("""COMPUTED_VALUE"""),"96.584%")</f>
        <v>96.584%</v>
      </c>
      <c r="K53" s="5" t="str">
        <f ca="1">IFERROR(__xludf.DUMMYFUNCTION("""COMPUTED_VALUE"""),"Low")</f>
        <v>Low</v>
      </c>
      <c r="L53" s="5" t="str">
        <f ca="1">IFERROR(__xludf.DUMMYFUNCTION("""COMPUTED_VALUE"""),"16.725%")</f>
        <v>16.725%</v>
      </c>
      <c r="M53" s="5" t="str">
        <f ca="1">IFERROR(__xludf.DUMMYFUNCTION("""COMPUTED_VALUE"""),"x1000")</f>
        <v>x1000</v>
      </c>
      <c r="N53" s="5" t="str">
        <f ca="1">IFERROR(__xludf.DUMMYFUNCTION("""COMPUTED_VALUE"""),"0.4/60")</f>
        <v>0.4/60</v>
      </c>
      <c r="O53" s="5" t="str">
        <f ca="1">IFERROR(__xludf.DUMMYFUNCTION("""COMPUTED_VALUE"""),"No")</f>
        <v>No</v>
      </c>
      <c r="P53" s="5" t="str">
        <f ca="1">IFERROR(__xludf.DUMMYFUNCTION("""COMPUTED_VALUE"""),"Scatter, Wild Symbol")</f>
        <v>Scatter, Wild Symbol</v>
      </c>
      <c r="Q53" s="7" t="str">
        <f ca="1">IFERROR(__xludf.DUMMYFUNCTION("""COMPUTED_VALUE"""),"https://gameserver-store-client-area.orbionlimited.com/Home/IntegrationGameLaunch/client-area?moneyType=0&amp;gameName=PlayNetBarkinRiches&amp;platform=desktop&amp;languageCode=eng&amp;currency=EUR")</f>
        <v>https://gameserver-store-client-area.orbionlimited.com/Home/IntegrationGameLaunch/client-area?moneyType=0&amp;gameName=PlayNetBarkinRiches&amp;platform=desktop&amp;languageCode=eng&amp;currency=EUR</v>
      </c>
      <c r="R53" s="5" t="str">
        <f ca="1">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S5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IFERROR(__xludf.DUMMYFUNCTION("""COMPUTED_VALUE"""),"Yes")</f>
        <v>Yes</v>
      </c>
      <c r="AA53" s="5" t="str">
        <f ca="1">IFERROR(__xludf.DUMMYFUNCTION("""COMPUTED_VALUE"""),"Yes")</f>
        <v>Yes</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IFERROR(__xludf.DUMMYFUNCTION("""COMPUTED_VALUE"""),"Yes")</f>
        <v>Yes</v>
      </c>
      <c r="AF53" s="5" t="str">
        <f ca="1">IFERROR(__xludf.DUMMYFUNCTION("""COMPUTED_VALUE"""),"Yes")</f>
        <v>Yes</v>
      </c>
      <c r="AG53" s="5" t="str">
        <f ca="1">IFERROR(__xludf.DUMMYFUNCTION("""COMPUTED_VALUE"""),"Yes")</f>
        <v>Yes</v>
      </c>
      <c r="AH53" s="5" t="str">
        <f ca="1">IFERROR(__xludf.DUMMYFUNCTION("""COMPUTED_VALUE"""),"Yes")</f>
        <v>Yes</v>
      </c>
      <c r="AI53" s="5"/>
      <c r="AJ53" s="5"/>
      <c r="AK53" s="5"/>
      <c r="AL53" s="5"/>
      <c r="AM53" s="5"/>
      <c r="AN53" s="5"/>
      <c r="AO53" s="5"/>
      <c r="AP53" s="5"/>
      <c r="AQ53" s="5"/>
      <c r="AR53" s="5"/>
      <c r="AS53" s="5" t="str">
        <f ca="1">IFERROR(__xludf.DUMMYFUNCTION("""COMPUTED_VALUE"""),"Yes")</f>
        <v>Yes</v>
      </c>
      <c r="AT53" s="5"/>
      <c r="AU53" s="5"/>
    </row>
    <row r="54" spans="1:47" x14ac:dyDescent="0.25">
      <c r="A54" s="5" t="str">
        <f ca="1">IFERROR(__xludf.DUMMYFUNCTION("""COMPUTED_VALUE"""),"Playnet")</f>
        <v>Playnet</v>
      </c>
      <c r="B54" s="5" t="str">
        <f ca="1">IFERROR(__xludf.DUMMYFUNCTION("""COMPUTED_VALUE"""),"Joker's Crown x2")</f>
        <v>Joker's Crown x2</v>
      </c>
      <c r="C54" s="5" t="str">
        <f ca="1">IFERROR(__xludf.DUMMYFUNCTION("""COMPUTED_VALUE"""),"PlayNetJokersCrownX2")</f>
        <v>PlayNetJokersCrownX2</v>
      </c>
      <c r="D54" s="6">
        <f ca="1">IFERROR(__xludf.DUMMYFUNCTION("""COMPUTED_VALUE"""),46210)</f>
        <v>46210</v>
      </c>
      <c r="E54" s="5" t="str">
        <f ca="1">IFERROR(__xludf.DUMMYFUNCTION("""COMPUTED_VALUE"""),"Slot")</f>
        <v>Slot</v>
      </c>
      <c r="F54" s="5">
        <f ca="1">IFERROR(__xludf.DUMMYFUNCTION("""COMPUTED_VALUE"""),15)</f>
        <v>15</v>
      </c>
      <c r="G54" s="5" t="str">
        <f ca="1">IFERROR(__xludf.DUMMYFUNCTION("""COMPUTED_VALUE"""),"5x3")</f>
        <v>5x3</v>
      </c>
      <c r="H54" s="5">
        <f ca="1">IFERROR(__xludf.DUMMYFUNCTION("""COMPUTED_VALUE"""),5)</f>
        <v>5</v>
      </c>
      <c r="I54" s="5">
        <f ca="1">IFERROR(__xludf.DUMMYFUNCTION("""COMPUTED_VALUE"""),5)</f>
        <v>5</v>
      </c>
      <c r="J54" s="5" t="str">
        <f ca="1">IFERROR(__xludf.DUMMYFUNCTION("""COMPUTED_VALUE"""),"96.453%")</f>
        <v>96.453%</v>
      </c>
      <c r="K54" s="5" t="str">
        <f ca="1">IFERROR(__xludf.DUMMYFUNCTION("""COMPUTED_VALUE"""),"Medium")</f>
        <v>Medium</v>
      </c>
      <c r="L54" s="5" t="str">
        <f ca="1">IFERROR(__xludf.DUMMYFUNCTION("""COMPUTED_VALUE"""),"14.234%")</f>
        <v>14.234%</v>
      </c>
      <c r="M54" s="5" t="str">
        <f ca="1">IFERROR(__xludf.DUMMYFUNCTION("""COMPUTED_VALUE"""),"x2642")</f>
        <v>x2642</v>
      </c>
      <c r="N54" s="5" t="str">
        <f ca="1">IFERROR(__xludf.DUMMYFUNCTION("""COMPUTED_VALUE"""),"0.05/30")</f>
        <v>0.05/30</v>
      </c>
      <c r="O54" s="5" t="str">
        <f ca="1">IFERROR(__xludf.DUMMYFUNCTION("""COMPUTED_VALUE"""),"No")</f>
        <v>No</v>
      </c>
      <c r="P54" s="5" t="str">
        <f ca="1">IFERROR(__xludf.DUMMYFUNCTION("""COMPUTED_VALUE"""),"Scatter, Expanding Wild, Wild Multiplier")</f>
        <v>Scatter, Expanding Wild, Wild Multiplier</v>
      </c>
      <c r="Q54" s="7" t="str">
        <f ca="1">IFERROR(__xludf.DUMMYFUNCTION("""COMPUTED_VALUE"""),"https://gameserver-store-client-area.orbionlimited.com/Home/IntegrationGameLaunch/client-area?moneyType=0&amp;gameName=PlayNetJokersCrownX2&amp;platform=desktop&amp;languageCode=eng&amp;currency=EUR")</f>
        <v>https://gameserver-store-client-area.orbionlimited.com/Home/IntegrationGameLaunch/client-area?moneyType=0&amp;gameName=PlayNetJokersCrownX2&amp;platform=desktop&amp;languageCode=eng&amp;currency=EUR</v>
      </c>
      <c r="R54" s="5" t="str">
        <f ca="1">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S5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4" s="5" t="str">
        <f ca="1">IFERROR(__xludf.DUMMYFUNCTION("""COMPUTED_VALUE"""),"Yes")</f>
        <v>Yes</v>
      </c>
      <c r="U54" s="5" t="str">
        <f ca="1">IFERROR(__xludf.DUMMYFUNCTION("""COMPUTED_VALUE"""),"Yes")</f>
        <v>Yes</v>
      </c>
      <c r="V54" s="5" t="str">
        <f ca="1">IFERROR(__xludf.DUMMYFUNCTION("""COMPUTED_VALUE"""),"No")</f>
        <v>No</v>
      </c>
      <c r="W54" s="5" t="str">
        <f ca="1">IFERROR(__xludf.DUMMYFUNCTION("""COMPUTED_VALUE"""),"Yes")</f>
        <v>Yes</v>
      </c>
      <c r="X54" s="5" t="str">
        <f ca="1">IFERROR(__xludf.DUMMYFUNCTION("""COMPUTED_VALUE"""),"Yes")</f>
        <v>Yes</v>
      </c>
      <c r="Y54" s="5" t="str">
        <f ca="1">IFERROR(__xludf.DUMMYFUNCTION("""COMPUTED_VALUE"""),"Yes")</f>
        <v>Yes</v>
      </c>
      <c r="Z54" s="5" t="str">
        <f ca="1">IFERROR(__xludf.DUMMYFUNCTION("""COMPUTED_VALUE"""),"Yes")</f>
        <v>Yes</v>
      </c>
      <c r="AA54" s="5" t="str">
        <f ca="1">IFERROR(__xludf.DUMMYFUNCTION("""COMPUTED_VALUE"""),"Yes")</f>
        <v>Yes</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IFERROR(__xludf.DUMMYFUNCTION("""COMPUTED_VALUE"""),"Yes")</f>
        <v>Yes</v>
      </c>
      <c r="AF54" s="5" t="str">
        <f ca="1">IFERROR(__xludf.DUMMYFUNCTION("""COMPUTED_VALUE"""),"Yes")</f>
        <v>Yes</v>
      </c>
      <c r="AG54" s="5" t="str">
        <f ca="1">IFERROR(__xludf.DUMMYFUNCTION("""COMPUTED_VALUE"""),"Yes")</f>
        <v>Yes</v>
      </c>
      <c r="AH54" s="5" t="str">
        <f ca="1">IFERROR(__xludf.DUMMYFUNCTION("""COMPUTED_VALUE"""),"Yes")</f>
        <v>Yes</v>
      </c>
      <c r="AI54" s="5" t="str">
        <f ca="1">IFERROR(__xludf.DUMMYFUNCTION("""COMPUTED_VALUE"""),"No")</f>
        <v>No</v>
      </c>
      <c r="AJ54" s="5" t="str">
        <f ca="1">IFERROR(__xludf.DUMMYFUNCTION("""COMPUTED_VALUE"""),"No")</f>
        <v>No</v>
      </c>
      <c r="AK54" s="5" t="str">
        <f ca="1">IFERROR(__xludf.DUMMYFUNCTION("""COMPUTED_VALUE"""),"No")</f>
        <v>No</v>
      </c>
      <c r="AL54" s="5" t="str">
        <f ca="1">IFERROR(__xludf.DUMMYFUNCTION("""COMPUTED_VALUE"""),"No")</f>
        <v>No</v>
      </c>
      <c r="AM54" s="5" t="str">
        <f ca="1">IFERROR(__xludf.DUMMYFUNCTION("""COMPUTED_VALUE"""),"No")</f>
        <v>No</v>
      </c>
      <c r="AN54" s="5" t="str">
        <f ca="1">IFERROR(__xludf.DUMMYFUNCTION("""COMPUTED_VALUE"""),"No")</f>
        <v>No</v>
      </c>
      <c r="AO54" s="5" t="str">
        <f ca="1">IFERROR(__xludf.DUMMYFUNCTION("""COMPUTED_VALUE"""),"No")</f>
        <v>No</v>
      </c>
      <c r="AP54" s="5" t="str">
        <f ca="1">IFERROR(__xludf.DUMMYFUNCTION("""COMPUTED_VALUE"""),"No")</f>
        <v>No</v>
      </c>
      <c r="AQ54" s="5" t="str">
        <f ca="1">IFERROR(__xludf.DUMMYFUNCTION("""COMPUTED_VALUE"""),"No")</f>
        <v>No</v>
      </c>
      <c r="AR54" s="5" t="str">
        <f ca="1">IFERROR(__xludf.DUMMYFUNCTION("""COMPUTED_VALUE"""),"No")</f>
        <v>No</v>
      </c>
      <c r="AS54" s="5" t="str">
        <f ca="1">IFERROR(__xludf.DUMMYFUNCTION("""COMPUTED_VALUE"""),"Yes")</f>
        <v>Yes</v>
      </c>
      <c r="AT54" s="5" t="str">
        <f ca="1">IFERROR(__xludf.DUMMYFUNCTION("""COMPUTED_VALUE"""),"No")</f>
        <v>No</v>
      </c>
      <c r="AU54" s="5"/>
    </row>
    <row r="55" spans="1:47" x14ac:dyDescent="0.25">
      <c r="A55" s="5" t="str">
        <f ca="1">IFERROR(__xludf.DUMMYFUNCTION("""COMPUTED_VALUE"""),"Playnet")</f>
        <v>Playnet</v>
      </c>
      <c r="B55" s="5" t="str">
        <f ca="1">IFERROR(__xludf.DUMMYFUNCTION("""COMPUTED_VALUE"""),"Roxy: Undercover")</f>
        <v>Roxy: Undercover</v>
      </c>
      <c r="C55" s="5" t="str">
        <f ca="1">IFERROR(__xludf.DUMMYFUNCTION("""COMPUTED_VALUE"""),"PlayNetRoxyUndercover")</f>
        <v>PlayNetRoxyUndercover</v>
      </c>
      <c r="D55" s="6">
        <f ca="1">IFERROR(__xludf.DUMMYFUNCTION("""COMPUTED_VALUE"""),46216)</f>
        <v>46216</v>
      </c>
      <c r="E55" s="5" t="str">
        <f ca="1">IFERROR(__xludf.DUMMYFUNCTION("""COMPUTED_VALUE"""),"Slot")</f>
        <v>Slot</v>
      </c>
      <c r="F55" s="5">
        <f ca="1">IFERROR(__xludf.DUMMYFUNCTION("""COMPUTED_VALUE"""),15)</f>
        <v>15</v>
      </c>
      <c r="G55" s="5" t="str">
        <f ca="1">IFERROR(__xludf.DUMMYFUNCTION("""COMPUTED_VALUE"""),"5x4")</f>
        <v>5x4</v>
      </c>
      <c r="H55" s="5">
        <f ca="1">IFERROR(__xludf.DUMMYFUNCTION("""COMPUTED_VALUE"""),40)</f>
        <v>40</v>
      </c>
      <c r="I55" s="5">
        <f ca="1">IFERROR(__xludf.DUMMYFUNCTION("""COMPUTED_VALUE"""),40)</f>
        <v>40</v>
      </c>
      <c r="J55" s="5" t="str">
        <f ca="1">IFERROR(__xludf.DUMMYFUNCTION("""COMPUTED_VALUE"""),"95.479%")</f>
        <v>95.479%</v>
      </c>
      <c r="K55" s="5" t="str">
        <f ca="1">IFERROR(__xludf.DUMMYFUNCTION("""COMPUTED_VALUE"""),"Medium")</f>
        <v>Medium</v>
      </c>
      <c r="L55" s="5" t="str">
        <f ca="1">IFERROR(__xludf.DUMMYFUNCTION("""COMPUTED_VALUE"""),"14.804%")</f>
        <v>14.804%</v>
      </c>
      <c r="M55" s="5" t="str">
        <f ca="1">IFERROR(__xludf.DUMMYFUNCTION("""COMPUTED_VALUE"""),"x1000")</f>
        <v>x1000</v>
      </c>
      <c r="N55" s="5" t="str">
        <f ca="1">IFERROR(__xludf.DUMMYFUNCTION("""COMPUTED_VALUE"""),"0.4/60")</f>
        <v>0.4/60</v>
      </c>
      <c r="O55" s="5" t="str">
        <f ca="1">IFERROR(__xludf.DUMMYFUNCTION("""COMPUTED_VALUE"""),"No")</f>
        <v>No</v>
      </c>
      <c r="P55" s="5" t="str">
        <f ca="1">IFERROR(__xludf.DUMMYFUNCTION("""COMPUTED_VALUE"""),"Scatter, Wild Symbol")</f>
        <v>Scatter, Wild Symbol</v>
      </c>
      <c r="Q55" s="7" t="str">
        <f ca="1">IFERROR(__xludf.DUMMYFUNCTION("""COMPUTED_VALUE"""),"https://gameserver-store-client-area.orbionlimited.com/Home/IntegrationGameLaunch/client-area?moneyType=0&amp;gameName=PlayNetRoxyUndercover&amp;platform=desktop&amp;languageCode=eng&amp;currency=EUR")</f>
        <v>https://gameserver-store-client-area.orbionlimited.com/Home/IntegrationGameLaunch/client-area?moneyType=0&amp;gameName=PlayNetRoxyUndercover&amp;platform=desktop&amp;languageCode=eng&amp;currency=EUR</v>
      </c>
      <c r="R55" s="5" t="str">
        <f ca="1">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S5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IFERROR(__xludf.DUMMYFUNCTION("""COMPUTED_VALUE"""),"Yes")</f>
        <v>Yes</v>
      </c>
      <c r="AA55" s="5" t="str">
        <f ca="1">IFERROR(__xludf.DUMMYFUNCTION("""COMPUTED_VALUE"""),"Yes")</f>
        <v>Yes</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IFERROR(__xludf.DUMMYFUNCTION("""COMPUTED_VALUE"""),"Yes")</f>
        <v>Yes</v>
      </c>
      <c r="AF55" s="5" t="str">
        <f ca="1">IFERROR(__xludf.DUMMYFUNCTION("""COMPUTED_VALUE"""),"Yes")</f>
        <v>Yes</v>
      </c>
      <c r="AG55" s="5" t="str">
        <f ca="1">IFERROR(__xludf.DUMMYFUNCTION("""COMPUTED_VALUE"""),"Yes")</f>
        <v>Yes</v>
      </c>
      <c r="AH55" s="5" t="str">
        <f ca="1">IFERROR(__xludf.DUMMYFUNCTION("""COMPUTED_VALUE"""),"Yes")</f>
        <v>Yes</v>
      </c>
      <c r="AI55" s="5"/>
      <c r="AJ55" s="5"/>
      <c r="AK55" s="5"/>
      <c r="AL55" s="5"/>
      <c r="AM55" s="5"/>
      <c r="AN55" s="5"/>
      <c r="AO55" s="5"/>
      <c r="AP55" s="5"/>
      <c r="AQ55" s="5"/>
      <c r="AR55" s="5"/>
      <c r="AS55" s="5" t="str">
        <f ca="1">IFERROR(__xludf.DUMMYFUNCTION("""COMPUTED_VALUE"""),"Yes")</f>
        <v>Yes</v>
      </c>
      <c r="AT55" s="5"/>
      <c r="AU55" s="5"/>
    </row>
    <row r="56" spans="1:47" x14ac:dyDescent="0.25">
      <c r="A56" s="5" t="str">
        <f ca="1">IFERROR(__xludf.DUMMYFUNCTION("""COMPUTED_VALUE"""),"Playnet")</f>
        <v>Playnet</v>
      </c>
      <c r="B56" s="5" t="str">
        <f ca="1">IFERROR(__xludf.DUMMYFUNCTION("""COMPUTED_VALUE"""),"Heart Gem 100")</f>
        <v>Heart Gem 100</v>
      </c>
      <c r="C56" s="5" t="str">
        <f ca="1">IFERROR(__xludf.DUMMYFUNCTION("""COMPUTED_VALUE"""),"PlayNetHeartGem100")</f>
        <v>PlayNetHeartGem100</v>
      </c>
      <c r="D56" s="6">
        <f ca="1">IFERROR(__xludf.DUMMYFUNCTION("""COMPUTED_VALUE"""),46223)</f>
        <v>46223</v>
      </c>
      <c r="E56" s="5" t="str">
        <f ca="1">IFERROR(__xludf.DUMMYFUNCTION("""COMPUTED_VALUE"""),"Slot")</f>
        <v>Slot</v>
      </c>
      <c r="F56" s="5">
        <f ca="1">IFERROR(__xludf.DUMMYFUNCTION("""COMPUTED_VALUE"""),15)</f>
        <v>15</v>
      </c>
      <c r="G56" s="5" t="str">
        <f ca="1">IFERROR(__xludf.DUMMYFUNCTION("""COMPUTED_VALUE"""),"5x4")</f>
        <v>5x4</v>
      </c>
      <c r="H56" s="5">
        <f ca="1">IFERROR(__xludf.DUMMYFUNCTION("""COMPUTED_VALUE"""),100)</f>
        <v>100</v>
      </c>
      <c r="I56" s="5">
        <f ca="1">IFERROR(__xludf.DUMMYFUNCTION("""COMPUTED_VALUE"""),100)</f>
        <v>100</v>
      </c>
      <c r="J56" s="5" t="str">
        <f ca="1">IFERROR(__xludf.DUMMYFUNCTION("""COMPUTED_VALUE"""),"96.502%")</f>
        <v>96.502%</v>
      </c>
      <c r="K56" s="5" t="str">
        <f ca="1">IFERROR(__xludf.DUMMYFUNCTION("""COMPUTED_VALUE"""),"Medium")</f>
        <v>Medium</v>
      </c>
      <c r="L56" s="5" t="str">
        <f ca="1">IFERROR(__xludf.DUMMYFUNCTION("""COMPUTED_VALUE"""),"13.309%")</f>
        <v>13.309%</v>
      </c>
      <c r="M56" s="5" t="str">
        <f ca="1">IFERROR(__xludf.DUMMYFUNCTION("""COMPUTED_VALUE"""),"x3000")</f>
        <v>x3000</v>
      </c>
      <c r="N56" s="5" t="str">
        <f ca="1">IFERROR(__xludf.DUMMYFUNCTION("""COMPUTED_VALUE"""),"1/100")</f>
        <v>1/100</v>
      </c>
      <c r="O56" s="5" t="str">
        <f ca="1">IFERROR(__xludf.DUMMYFUNCTION("""COMPUTED_VALUE"""),"No")</f>
        <v>No</v>
      </c>
      <c r="P56" s="5" t="str">
        <f ca="1">IFERROR(__xludf.DUMMYFUNCTION("""COMPUTED_VALUE"""),"Scatter, Expanding Wild")</f>
        <v>Scatter, Expanding Wild</v>
      </c>
      <c r="Q56" s="7" t="str">
        <f ca="1">IFERROR(__xludf.DUMMYFUNCTION("""COMPUTED_VALUE"""),"https://gameserver-store-client-area.orbionlimited.com/Home/IntegrationGameLaunch/client-area?moneyType=0&amp;gameName=PlayNetHeartGem100&amp;platform=desktop&amp;languageCode=eng&amp;currency=EUR")</f>
        <v>https://gameserver-store-client-area.orbionlimited.com/Home/IntegrationGameLaunch/client-area?moneyType=0&amp;gameName=PlayNetHeartGem100&amp;platform=desktop&amp;languageCode=eng&amp;currency=EUR</v>
      </c>
      <c r="R56" s="5" t="str">
        <f ca="1">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S5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IFERROR(__xludf.DUMMYFUNCTION("""COMPUTED_VALUE"""),"Yes")</f>
        <v>Yes</v>
      </c>
      <c r="AF56" s="5" t="str">
        <f ca="1">IFERROR(__xludf.DUMMYFUNCTION("""COMPUTED_VALUE"""),"Yes")</f>
        <v>Yes</v>
      </c>
      <c r="AG56" s="5" t="str">
        <f ca="1">IFERROR(__xludf.DUMMYFUNCTION("""COMPUTED_VALUE"""),"Yes")</f>
        <v>Yes</v>
      </c>
      <c r="AH56" s="5" t="str">
        <f ca="1">IFERROR(__xludf.DUMMYFUNCTION("""COMPUTED_VALUE"""),"Yes")</f>
        <v>Yes</v>
      </c>
      <c r="AI56" s="5"/>
      <c r="AJ56" s="5"/>
      <c r="AK56" s="5"/>
      <c r="AL56" s="5"/>
      <c r="AM56" s="5"/>
      <c r="AN56" s="5"/>
      <c r="AO56" s="5"/>
      <c r="AP56" s="5"/>
      <c r="AQ56" s="5"/>
      <c r="AR56" s="5"/>
      <c r="AS56" s="5" t="str">
        <f ca="1">IFERROR(__xludf.DUMMYFUNCTION("""COMPUTED_VALUE"""),"Yes")</f>
        <v>Yes</v>
      </c>
      <c r="AT56" s="5"/>
      <c r="AU56" s="5"/>
    </row>
    <row r="57" spans="1:47" x14ac:dyDescent="0.25">
      <c r="A57" s="5" t="str">
        <f ca="1">IFERROR(__xludf.DUMMYFUNCTION("""COMPUTED_VALUE"""),"Playnet")</f>
        <v>Playnet</v>
      </c>
      <c r="B57" s="5" t="str">
        <f ca="1">IFERROR(__xludf.DUMMYFUNCTION("""COMPUTED_VALUE"""),"Crown Treasure 10")</f>
        <v>Crown Treasure 10</v>
      </c>
      <c r="C57" s="5" t="str">
        <f ca="1">IFERROR(__xludf.DUMMYFUNCTION("""COMPUTED_VALUE"""),"PlayNetCrownTreasure10")</f>
        <v>PlayNetCrownTreasure10</v>
      </c>
      <c r="D57" s="6">
        <f ca="1">IFERROR(__xludf.DUMMYFUNCTION("""COMPUTED_VALUE"""),46230)</f>
        <v>46230</v>
      </c>
      <c r="E57" s="5" t="str">
        <f ca="1">IFERROR(__xludf.DUMMYFUNCTION("""COMPUTED_VALUE"""),"Slot")</f>
        <v>Slot</v>
      </c>
      <c r="F57" s="5">
        <f ca="1">IFERROR(__xludf.DUMMYFUNCTION("""COMPUTED_VALUE"""),15)</f>
        <v>15</v>
      </c>
      <c r="G57" s="5" t="str">
        <f ca="1">IFERROR(__xludf.DUMMYFUNCTION("""COMPUTED_VALUE"""),"5x3")</f>
        <v>5x3</v>
      </c>
      <c r="H57" s="5">
        <f ca="1">IFERROR(__xludf.DUMMYFUNCTION("""COMPUTED_VALUE"""),10)</f>
        <v>10</v>
      </c>
      <c r="I57" s="5">
        <f ca="1">IFERROR(__xludf.DUMMYFUNCTION("""COMPUTED_VALUE"""),10)</f>
        <v>10</v>
      </c>
      <c r="J57" s="5" t="str">
        <f ca="1">IFERROR(__xludf.DUMMYFUNCTION("""COMPUTED_VALUE"""),"95.962%")</f>
        <v>95.962%</v>
      </c>
      <c r="K57" s="5" t="str">
        <f ca="1">IFERROR(__xludf.DUMMYFUNCTION("""COMPUTED_VALUE"""),"Medium")</f>
        <v>Medium</v>
      </c>
      <c r="L57" s="5" t="str">
        <f ca="1">IFERROR(__xludf.DUMMYFUNCTION("""COMPUTED_VALUE"""),"14.634%")</f>
        <v>14.634%</v>
      </c>
      <c r="M57" s="5" t="str">
        <f ca="1">IFERROR(__xludf.DUMMYFUNCTION("""COMPUTED_VALUE"""),"x1538")</f>
        <v>x1538</v>
      </c>
      <c r="N57" s="5" t="str">
        <f ca="1">IFERROR(__xludf.DUMMYFUNCTION("""COMPUTED_VALUE"""),"0.1/40")</f>
        <v>0.1/40</v>
      </c>
      <c r="O57" s="5" t="str">
        <f ca="1">IFERROR(__xludf.DUMMYFUNCTION("""COMPUTED_VALUE"""),"No")</f>
        <v>No</v>
      </c>
      <c r="P57" s="5" t="str">
        <f ca="1">IFERROR(__xludf.DUMMYFUNCTION("""COMPUTED_VALUE"""),"Scatter, Expanding Wild")</f>
        <v>Scatter, Expanding Wild</v>
      </c>
      <c r="Q57" s="7" t="str">
        <f ca="1">IFERROR(__xludf.DUMMYFUNCTION("""COMPUTED_VALUE"""),"https://gameserver-store-client-area.orbionlimited.com/Home/IntegrationGameLaunch/client-area?moneyType=0&amp;gameName=PlayNetCrownTreasure10&amp;platform=desktop&amp;languageCode=eng&amp;currency=EUR")</f>
        <v>https://gameserver-store-client-area.orbionlimited.com/Home/IntegrationGameLaunch/client-area?moneyType=0&amp;gameName=PlayNetCrownTreasure10&amp;platform=desktop&amp;languageCode=eng&amp;currency=EUR</v>
      </c>
      <c r="R57" s="5" t="str">
        <f ca="1">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S5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IFERROR(__xludf.DUMMYFUNCTION("""COMPUTED_VALUE"""),"Yes")</f>
        <v>Yes</v>
      </c>
      <c r="AF57" s="5" t="str">
        <f ca="1">IFERROR(__xludf.DUMMYFUNCTION("""COMPUTED_VALUE"""),"Yes")</f>
        <v>Yes</v>
      </c>
      <c r="AG57" s="5" t="str">
        <f ca="1">IFERROR(__xludf.DUMMYFUNCTION("""COMPUTED_VALUE"""),"Yes")</f>
        <v>Yes</v>
      </c>
      <c r="AH57" s="5" t="str">
        <f ca="1">IFERROR(__xludf.DUMMYFUNCTION("""COMPUTED_VALUE"""),"Yes")</f>
        <v>Yes</v>
      </c>
      <c r="AI57" s="5" t="str">
        <f ca="1">IFERROR(__xludf.DUMMYFUNCTION("""COMPUTED_VALUE"""),"No")</f>
        <v>No</v>
      </c>
      <c r="AJ57" s="5" t="str">
        <f ca="1">IFERROR(__xludf.DUMMYFUNCTION("""COMPUTED_VALUE"""),"No")</f>
        <v>No</v>
      </c>
      <c r="AK57" s="5" t="str">
        <f ca="1">IFERROR(__xludf.DUMMYFUNCTION("""COMPUTED_VALUE"""),"No")</f>
        <v>No</v>
      </c>
      <c r="AL57" s="5" t="str">
        <f ca="1">IFERROR(__xludf.DUMMYFUNCTION("""COMPUTED_VALUE"""),"No")</f>
        <v>No</v>
      </c>
      <c r="AM57" s="5" t="str">
        <f ca="1">IFERROR(__xludf.DUMMYFUNCTION("""COMPUTED_VALUE"""),"No")</f>
        <v>No</v>
      </c>
      <c r="AN57" s="5" t="str">
        <f ca="1">IFERROR(__xludf.DUMMYFUNCTION("""COMPUTED_VALUE"""),"No")</f>
        <v>No</v>
      </c>
      <c r="AO57" s="5" t="str">
        <f ca="1">IFERROR(__xludf.DUMMYFUNCTION("""COMPUTED_VALUE"""),"No")</f>
        <v>No</v>
      </c>
      <c r="AP57" s="5" t="str">
        <f ca="1">IFERROR(__xludf.DUMMYFUNCTION("""COMPUTED_VALUE"""),"No")</f>
        <v>No</v>
      </c>
      <c r="AQ57" s="5" t="str">
        <f ca="1">IFERROR(__xludf.DUMMYFUNCTION("""COMPUTED_VALUE"""),"No")</f>
        <v>No</v>
      </c>
      <c r="AR57" s="5" t="str">
        <f ca="1">IFERROR(__xludf.DUMMYFUNCTION("""COMPUTED_VALUE"""),"No")</f>
        <v>No</v>
      </c>
      <c r="AS57" s="5" t="str">
        <f ca="1">IFERROR(__xludf.DUMMYFUNCTION("""COMPUTED_VALUE"""),"Yes")</f>
        <v>Yes</v>
      </c>
      <c r="AT57" s="5" t="str">
        <f ca="1">IFERROR(__xludf.DUMMYFUNCTION("""COMPUTED_VALUE"""),"No")</f>
        <v>No</v>
      </c>
      <c r="AU57" s="5"/>
    </row>
    <row r="58" spans="1:47" x14ac:dyDescent="0.25">
      <c r="A58" s="5" t="str">
        <f ca="1">IFERROR(__xludf.DUMMYFUNCTION("""COMPUTED_VALUE"""),"Playnet")</f>
        <v>Playnet</v>
      </c>
      <c r="B58" s="5" t="str">
        <f ca="1">IFERROR(__xludf.DUMMYFUNCTION("""COMPUTED_VALUE"""),"Tropic Twist Extreme")</f>
        <v>Tropic Twist Extreme</v>
      </c>
      <c r="C58" s="5" t="str">
        <f ca="1">IFERROR(__xludf.DUMMYFUNCTION("""COMPUTED_VALUE"""),"PlayNetTropicTwistExtreme")</f>
        <v>PlayNetTropicTwistExtreme</v>
      </c>
      <c r="D58" s="6">
        <f ca="1">IFERROR(__xludf.DUMMYFUNCTION("""COMPUTED_VALUE"""),46237)</f>
        <v>46237</v>
      </c>
      <c r="E58" s="5" t="str">
        <f ca="1">IFERROR(__xludf.DUMMYFUNCTION("""COMPUTED_VALUE"""),"Slot")</f>
        <v>Slot</v>
      </c>
      <c r="F58" s="5">
        <f ca="1">IFERROR(__xludf.DUMMYFUNCTION("""COMPUTED_VALUE"""),14)</f>
        <v>14</v>
      </c>
      <c r="G58" s="5" t="str">
        <f ca="1">IFERROR(__xludf.DUMMYFUNCTION("""COMPUTED_VALUE"""),"3x3")</f>
        <v>3x3</v>
      </c>
      <c r="H58" s="5">
        <f ca="1">IFERROR(__xludf.DUMMYFUNCTION("""COMPUTED_VALUE"""),27)</f>
        <v>27</v>
      </c>
      <c r="I58" s="5">
        <f ca="1">IFERROR(__xludf.DUMMYFUNCTION("""COMPUTED_VALUE"""),27)</f>
        <v>27</v>
      </c>
      <c r="J58" s="5" t="str">
        <f ca="1">IFERROR(__xludf.DUMMYFUNCTION("""COMPUTED_VALUE"""),"96.516%")</f>
        <v>96.516%</v>
      </c>
      <c r="K58" s="5" t="str">
        <f ca="1">IFERROR(__xludf.DUMMYFUNCTION("""COMPUTED_VALUE"""),"High")</f>
        <v>High</v>
      </c>
      <c r="L58" s="5" t="str">
        <f ca="1">IFERROR(__xludf.DUMMYFUNCTION("""COMPUTED_VALUE"""),"6.72%")</f>
        <v>6.72%</v>
      </c>
      <c r="M58" s="5" t="str">
        <f ca="1">IFERROR(__xludf.DUMMYFUNCTION("""COMPUTED_VALUE"""),"x3240")</f>
        <v>x3240</v>
      </c>
      <c r="N58" s="5" t="str">
        <f ca="1">IFERROR(__xludf.DUMMYFUNCTION("""COMPUTED_VALUE"""),"0.1/50")</f>
        <v>0.1/50</v>
      </c>
      <c r="O58" s="5" t="str">
        <f ca="1">IFERROR(__xludf.DUMMYFUNCTION("""COMPUTED_VALUE"""),"No")</f>
        <v>No</v>
      </c>
      <c r="P58" s="5" t="str">
        <f ca="1">IFERROR(__xludf.DUMMYFUNCTION("""COMPUTED_VALUE"""),"Win Multiplier")</f>
        <v>Win Multiplier</v>
      </c>
      <c r="Q58" s="7" t="str">
        <f ca="1">IFERROR(__xludf.DUMMYFUNCTION("""COMPUTED_VALUE"""),"https://gameserver-store-client-area.orbionlimited.com/Home/IntegrationGameLaunch/client-area?moneyType=0&amp;gameName=PlayNetTropicTwistExtreme&amp;platform=desktop&amp;languageCode=eng&amp;currency=EUR")</f>
        <v>https://gameserver-store-client-area.orbionlimited.com/Home/IntegrationGameLaunch/client-area?moneyType=0&amp;gameName=PlayNetTropicTwistExtreme&amp;platform=desktop&amp;languageCode=eng&amp;currency=EUR</v>
      </c>
      <c r="R58" s="5" t="str">
        <f ca="1">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S5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 ca="1">IFERROR(__xludf.DUMMYFUNCTION("""COMPUTED_VALUE"""),"Yes")</f>
        <v>Yes</v>
      </c>
      <c r="U58" s="5" t="str">
        <f ca="1">IFERROR(__xludf.DUMMYFUNCTION("""COMPUTED_VALUE"""),"Yes")</f>
        <v>Yes</v>
      </c>
      <c r="V58" s="5" t="str">
        <f ca="1">IFERROR(__xludf.DUMMYFUNCTION("""COMPUTED_VALUE"""),"No")</f>
        <v>No</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IFERROR(__xludf.DUMMYFUNCTION("""COMPUTED_VALUE"""),"Yes")</f>
        <v>Yes</v>
      </c>
      <c r="AF58" s="5" t="str">
        <f ca="1">IFERROR(__xludf.DUMMYFUNCTION("""COMPUTED_VALUE"""),"Yes")</f>
        <v>Yes</v>
      </c>
      <c r="AG58" s="5" t="str">
        <f ca="1">IFERROR(__xludf.DUMMYFUNCTION("""COMPUTED_VALUE"""),"Yes")</f>
        <v>Yes</v>
      </c>
      <c r="AH58" s="5" t="str">
        <f ca="1">IFERROR(__xludf.DUMMYFUNCTION("""COMPUTED_VALUE"""),"Yes")</f>
        <v>Yes</v>
      </c>
      <c r="AI58" s="5" t="str">
        <f ca="1">IFERROR(__xludf.DUMMYFUNCTION("""COMPUTED_VALUE"""),"No")</f>
        <v>No</v>
      </c>
      <c r="AJ58" s="5" t="str">
        <f ca="1">IFERROR(__xludf.DUMMYFUNCTION("""COMPUTED_VALUE"""),"No")</f>
        <v>No</v>
      </c>
      <c r="AK58" s="5" t="str">
        <f ca="1">IFERROR(__xludf.DUMMYFUNCTION("""COMPUTED_VALUE"""),"No")</f>
        <v>No</v>
      </c>
      <c r="AL58" s="5" t="str">
        <f ca="1">IFERROR(__xludf.DUMMYFUNCTION("""COMPUTED_VALUE"""),"No")</f>
        <v>No</v>
      </c>
      <c r="AM58" s="5" t="str">
        <f ca="1">IFERROR(__xludf.DUMMYFUNCTION("""COMPUTED_VALUE"""),"No")</f>
        <v>No</v>
      </c>
      <c r="AN58" s="5" t="str">
        <f ca="1">IFERROR(__xludf.DUMMYFUNCTION("""COMPUTED_VALUE"""),"No")</f>
        <v>No</v>
      </c>
      <c r="AO58" s="5" t="str">
        <f ca="1">IFERROR(__xludf.DUMMYFUNCTION("""COMPUTED_VALUE"""),"No")</f>
        <v>No</v>
      </c>
      <c r="AP58" s="5" t="str">
        <f ca="1">IFERROR(__xludf.DUMMYFUNCTION("""COMPUTED_VALUE"""),"No")</f>
        <v>No</v>
      </c>
      <c r="AQ58" s="5" t="str">
        <f ca="1">IFERROR(__xludf.DUMMYFUNCTION("""COMPUTED_VALUE"""),"No")</f>
        <v>No</v>
      </c>
      <c r="AR58" s="5" t="str">
        <f ca="1">IFERROR(__xludf.DUMMYFUNCTION("""COMPUTED_VALUE"""),"No")</f>
        <v>No</v>
      </c>
      <c r="AS58" s="5" t="str">
        <f ca="1">IFERROR(__xludf.DUMMYFUNCTION("""COMPUTED_VALUE"""),"Yes")</f>
        <v>Yes</v>
      </c>
      <c r="AT58" s="5" t="str">
        <f ca="1">IFERROR(__xludf.DUMMYFUNCTION("""COMPUTED_VALUE"""),"No")</f>
        <v>No</v>
      </c>
      <c r="AU58" s="5"/>
    </row>
    <row r="59" spans="1:47" x14ac:dyDescent="0.25">
      <c r="A59" s="5" t="str">
        <f ca="1">IFERROR(__xludf.DUMMYFUNCTION("""COMPUTED_VALUE"""),"Playnet")</f>
        <v>Playnet</v>
      </c>
      <c r="B59" s="5" t="str">
        <f ca="1">IFERROR(__xludf.DUMMYFUNCTION("""COMPUTED_VALUE"""),"Clover Wealth 5")</f>
        <v>Clover Wealth 5</v>
      </c>
      <c r="C59" s="5" t="str">
        <f ca="1">IFERROR(__xludf.DUMMYFUNCTION("""COMPUTED_VALUE"""),"PlayNetCloverWealth5")</f>
        <v>PlayNetCloverWealth5</v>
      </c>
      <c r="D59" s="6">
        <f ca="1">IFERROR(__xludf.DUMMYFUNCTION("""COMPUTED_VALUE"""),46247)</f>
        <v>46247</v>
      </c>
      <c r="E59" s="5" t="str">
        <f ca="1">IFERROR(__xludf.DUMMYFUNCTION("""COMPUTED_VALUE"""),"Slot")</f>
        <v>Slot</v>
      </c>
      <c r="F59" s="5">
        <f ca="1">IFERROR(__xludf.DUMMYFUNCTION("""COMPUTED_VALUE"""),15)</f>
        <v>15</v>
      </c>
      <c r="G59" s="5" t="str">
        <f ca="1">IFERROR(__xludf.DUMMYFUNCTION("""COMPUTED_VALUE"""),"5x3")</f>
        <v>5x3</v>
      </c>
      <c r="H59" s="5">
        <f ca="1">IFERROR(__xludf.DUMMYFUNCTION("""COMPUTED_VALUE"""),5)</f>
        <v>5</v>
      </c>
      <c r="I59" s="5">
        <f ca="1">IFERROR(__xludf.DUMMYFUNCTION("""COMPUTED_VALUE"""),5)</f>
        <v>5</v>
      </c>
      <c r="J59" s="5" t="str">
        <f ca="1">IFERROR(__xludf.DUMMYFUNCTION("""COMPUTED_VALUE"""),"96.447%")</f>
        <v>96.447%</v>
      </c>
      <c r="K59" s="5" t="str">
        <f ca="1">IFERROR(__xludf.DUMMYFUNCTION("""COMPUTED_VALUE"""),"Medium")</f>
        <v>Medium</v>
      </c>
      <c r="L59" s="5" t="str">
        <f ca="1">IFERROR(__xludf.DUMMYFUNCTION("""COMPUTED_VALUE"""),"14.505%")</f>
        <v>14.505%</v>
      </c>
      <c r="M59" s="5" t="str">
        <f ca="1">IFERROR(__xludf.DUMMYFUNCTION("""COMPUTED_VALUE"""),"x1222")</f>
        <v>x1222</v>
      </c>
      <c r="N59" s="5" t="str">
        <f ca="1">IFERROR(__xludf.DUMMYFUNCTION("""COMPUTED_VALUE"""),"0.05/30")</f>
        <v>0.05/30</v>
      </c>
      <c r="O59" s="5" t="str">
        <f ca="1">IFERROR(__xludf.DUMMYFUNCTION("""COMPUTED_VALUE"""),"No")</f>
        <v>No</v>
      </c>
      <c r="P59" s="5" t="str">
        <f ca="1">IFERROR(__xludf.DUMMYFUNCTION("""COMPUTED_VALUE"""),"Expanding Wild, Scatter")</f>
        <v>Expanding Wild, Scatter</v>
      </c>
      <c r="Q59" s="7" t="str">
        <f ca="1">IFERROR(__xludf.DUMMYFUNCTION("""COMPUTED_VALUE"""),"https://gameserver-store-client-area.orbionlimited.com/Home/IntegrationGameLaunch/client-area?moneyType=0&amp;gameName=PlayNetCloverWealth5&amp;platform=desktop&amp;languageCode=eng&amp;currency=EUR")</f>
        <v>https://gameserver-store-client-area.orbionlimited.com/Home/IntegrationGameLaunch/client-area?moneyType=0&amp;gameName=PlayNetCloverWealth5&amp;platform=desktop&amp;languageCode=eng&amp;currency=EUR</v>
      </c>
      <c r="R59" s="5" t="str">
        <f ca="1">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S5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9" s="5" t="str">
        <f ca="1">IFERROR(__xludf.DUMMYFUNCTION("""COMPUTED_VALUE"""),"Yes")</f>
        <v>Yes</v>
      </c>
      <c r="U59" s="5" t="str">
        <f ca="1">IFERROR(__xludf.DUMMYFUNCTION("""COMPUTED_VALUE"""),"Yes")</f>
        <v>Yes</v>
      </c>
      <c r="V59" s="5" t="str">
        <f ca="1">IFERROR(__xludf.DUMMYFUNCTION("""COMPUTED_VALUE"""),"No")</f>
        <v>No</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IFERROR(__xludf.DUMMYFUNCTION("""COMPUTED_VALUE"""),"Yes")</f>
        <v>Yes</v>
      </c>
      <c r="AF59" s="5" t="str">
        <f ca="1">IFERROR(__xludf.DUMMYFUNCTION("""COMPUTED_VALUE"""),"Yes")</f>
        <v>Yes</v>
      </c>
      <c r="AG59" s="5" t="str">
        <f ca="1">IFERROR(__xludf.DUMMYFUNCTION("""COMPUTED_VALUE"""),"Yes")</f>
        <v>Yes</v>
      </c>
      <c r="AH59" s="5" t="str">
        <f ca="1">IFERROR(__xludf.DUMMYFUNCTION("""COMPUTED_VALUE"""),"Yes")</f>
        <v>Yes</v>
      </c>
      <c r="AI59" s="5" t="str">
        <f ca="1">IFERROR(__xludf.DUMMYFUNCTION("""COMPUTED_VALUE"""),"No")</f>
        <v>No</v>
      </c>
      <c r="AJ59" s="5" t="str">
        <f ca="1">IFERROR(__xludf.DUMMYFUNCTION("""COMPUTED_VALUE"""),"No")</f>
        <v>No</v>
      </c>
      <c r="AK59" s="5" t="str">
        <f ca="1">IFERROR(__xludf.DUMMYFUNCTION("""COMPUTED_VALUE"""),"No")</f>
        <v>No</v>
      </c>
      <c r="AL59" s="5" t="str">
        <f ca="1">IFERROR(__xludf.DUMMYFUNCTION("""COMPUTED_VALUE"""),"No")</f>
        <v>No</v>
      </c>
      <c r="AM59" s="5" t="str">
        <f ca="1">IFERROR(__xludf.DUMMYFUNCTION("""COMPUTED_VALUE"""),"No")</f>
        <v>No</v>
      </c>
      <c r="AN59" s="5" t="str">
        <f ca="1">IFERROR(__xludf.DUMMYFUNCTION("""COMPUTED_VALUE"""),"No")</f>
        <v>No</v>
      </c>
      <c r="AO59" s="5" t="str">
        <f ca="1">IFERROR(__xludf.DUMMYFUNCTION("""COMPUTED_VALUE"""),"No")</f>
        <v>No</v>
      </c>
      <c r="AP59" s="5" t="str">
        <f ca="1">IFERROR(__xludf.DUMMYFUNCTION("""COMPUTED_VALUE"""),"No")</f>
        <v>No</v>
      </c>
      <c r="AQ59" s="5" t="str">
        <f ca="1">IFERROR(__xludf.DUMMYFUNCTION("""COMPUTED_VALUE"""),"No")</f>
        <v>No</v>
      </c>
      <c r="AR59" s="5" t="str">
        <f ca="1">IFERROR(__xludf.DUMMYFUNCTION("""COMPUTED_VALUE"""),"No")</f>
        <v>No</v>
      </c>
      <c r="AS59" s="5" t="str">
        <f ca="1">IFERROR(__xludf.DUMMYFUNCTION("""COMPUTED_VALUE"""),"Yes")</f>
        <v>Yes</v>
      </c>
      <c r="AT59" s="5" t="str">
        <f ca="1">IFERROR(__xludf.DUMMYFUNCTION("""COMPUTED_VALUE"""),"No")</f>
        <v>No</v>
      </c>
      <c r="AU59" s="5"/>
    </row>
    <row r="60" spans="1:47" x14ac:dyDescent="0.25">
      <c r="A60" s="5" t="str">
        <f ca="1">IFERROR(__xludf.DUMMYFUNCTION("""COMPUTED_VALUE"""),"Playnet")</f>
        <v>Playnet</v>
      </c>
      <c r="B60" s="5" t="str">
        <f ca="1">IFERROR(__xludf.DUMMYFUNCTION("""COMPUTED_VALUE"""),"27 Lucky Crown")</f>
        <v>27 Lucky Crown</v>
      </c>
      <c r="C60" s="5" t="str">
        <f ca="1">IFERROR(__xludf.DUMMYFUNCTION("""COMPUTED_VALUE"""),"PlayNet27LuckyCrown")</f>
        <v>PlayNet27LuckyCrown</v>
      </c>
      <c r="D60" s="6">
        <f ca="1">IFERROR(__xludf.DUMMYFUNCTION("""COMPUTED_VALUE"""),46251)</f>
        <v>46251</v>
      </c>
      <c r="E60" s="5" t="str">
        <f ca="1">IFERROR(__xludf.DUMMYFUNCTION("""COMPUTED_VALUE"""),"Slot")</f>
        <v>Slot</v>
      </c>
      <c r="F60" s="5">
        <f ca="1">IFERROR(__xludf.DUMMYFUNCTION("""COMPUTED_VALUE"""),13)</f>
        <v>13</v>
      </c>
      <c r="G60" s="5" t="str">
        <f ca="1">IFERROR(__xludf.DUMMYFUNCTION("""COMPUTED_VALUE"""),"3x3")</f>
        <v>3x3</v>
      </c>
      <c r="H60" s="5">
        <f ca="1">IFERROR(__xludf.DUMMYFUNCTION("""COMPUTED_VALUE"""),27)</f>
        <v>27</v>
      </c>
      <c r="I60" s="5">
        <f ca="1">IFERROR(__xludf.DUMMYFUNCTION("""COMPUTED_VALUE"""),27)</f>
        <v>27</v>
      </c>
      <c r="J60" s="5" t="str">
        <f ca="1">IFERROR(__xludf.DUMMYFUNCTION("""COMPUTED_VALUE"""),"96.516%")</f>
        <v>96.516%</v>
      </c>
      <c r="K60" s="5" t="str">
        <f ca="1">IFERROR(__xludf.DUMMYFUNCTION("""COMPUTED_VALUE"""),"High")</f>
        <v>High</v>
      </c>
      <c r="L60" s="5" t="str">
        <f ca="1">IFERROR(__xludf.DUMMYFUNCTION("""COMPUTED_VALUE"""),"6.72%")</f>
        <v>6.72%</v>
      </c>
      <c r="M60" s="5" t="str">
        <f ca="1">IFERROR(__xludf.DUMMYFUNCTION("""COMPUTED_VALUE"""),"x3240")</f>
        <v>x3240</v>
      </c>
      <c r="N60" s="5" t="str">
        <f ca="1">IFERROR(__xludf.DUMMYFUNCTION("""COMPUTED_VALUE"""),"0.1/50")</f>
        <v>0.1/50</v>
      </c>
      <c r="O60" s="5" t="str">
        <f ca="1">IFERROR(__xludf.DUMMYFUNCTION("""COMPUTED_VALUE"""),"No")</f>
        <v>No</v>
      </c>
      <c r="P60" s="5" t="str">
        <f ca="1">IFERROR(__xludf.DUMMYFUNCTION("""COMPUTED_VALUE"""),"Win Multiplier")</f>
        <v>Win Multiplier</v>
      </c>
      <c r="Q60" s="7" t="str">
        <f ca="1">IFERROR(__xludf.DUMMYFUNCTION("""COMPUTED_VALUE"""),"https://gameserver-store-client-area.orbionlimited.com/Home/IntegrationGameLaunch/client-area?moneyType=0&amp;gameName=PlayNet27LuckyCrown&amp;platform=desktop&amp;languageCode=eng&amp;currency=EUR")</f>
        <v>https://gameserver-store-client-area.orbionlimited.com/Home/IntegrationGameLaunch/client-area?moneyType=0&amp;gameName=PlayNet27LuckyCrown&amp;platform=desktop&amp;languageCode=eng&amp;currency=EUR</v>
      </c>
      <c r="R60" s="5" t="str">
        <f ca="1">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S6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0" s="5" t="str">
        <f ca="1">IFERROR(__xludf.DUMMYFUNCTION("""COMPUTED_VALUE"""),"Yes")</f>
        <v>Yes</v>
      </c>
      <c r="U60" s="5" t="str">
        <f ca="1">IFERROR(__xludf.DUMMYFUNCTION("""COMPUTED_VALUE"""),"Yes")</f>
        <v>Yes</v>
      </c>
      <c r="V60" s="5" t="str">
        <f ca="1">IFERROR(__xludf.DUMMYFUNCTION("""COMPUTED_VALUE"""),"No")</f>
        <v>No</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IFERROR(__xludf.DUMMYFUNCTION("""COMPUTED_VALUE"""),"Yes")</f>
        <v>Yes</v>
      </c>
      <c r="AA60" s="5" t="str">
        <f ca="1">IFERROR(__xludf.DUMMYFUNCTION("""COMPUTED_VALUE"""),"Yes")</f>
        <v>Yes</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IFERROR(__xludf.DUMMYFUNCTION("""COMPUTED_VALUE"""),"Yes")</f>
        <v>Yes</v>
      </c>
      <c r="AF60" s="5" t="str">
        <f ca="1">IFERROR(__xludf.DUMMYFUNCTION("""COMPUTED_VALUE"""),"Yes")</f>
        <v>Yes</v>
      </c>
      <c r="AG60" s="5" t="str">
        <f ca="1">IFERROR(__xludf.DUMMYFUNCTION("""COMPUTED_VALUE"""),"Yes")</f>
        <v>Yes</v>
      </c>
      <c r="AH60" s="5" t="str">
        <f ca="1">IFERROR(__xludf.DUMMYFUNCTION("""COMPUTED_VALUE"""),"Yes")</f>
        <v>Yes</v>
      </c>
      <c r="AI60" s="5" t="str">
        <f ca="1">IFERROR(__xludf.DUMMYFUNCTION("""COMPUTED_VALUE"""),"No")</f>
        <v>No</v>
      </c>
      <c r="AJ60" s="5" t="str">
        <f ca="1">IFERROR(__xludf.DUMMYFUNCTION("""COMPUTED_VALUE"""),"No")</f>
        <v>No</v>
      </c>
      <c r="AK60" s="5" t="str">
        <f ca="1">IFERROR(__xludf.DUMMYFUNCTION("""COMPUTED_VALUE"""),"No")</f>
        <v>No</v>
      </c>
      <c r="AL60" s="5" t="str">
        <f ca="1">IFERROR(__xludf.DUMMYFUNCTION("""COMPUTED_VALUE"""),"No")</f>
        <v>No</v>
      </c>
      <c r="AM60" s="5" t="str">
        <f ca="1">IFERROR(__xludf.DUMMYFUNCTION("""COMPUTED_VALUE"""),"No")</f>
        <v>No</v>
      </c>
      <c r="AN60" s="5" t="str">
        <f ca="1">IFERROR(__xludf.DUMMYFUNCTION("""COMPUTED_VALUE"""),"No")</f>
        <v>No</v>
      </c>
      <c r="AO60" s="5" t="str">
        <f ca="1">IFERROR(__xludf.DUMMYFUNCTION("""COMPUTED_VALUE"""),"No")</f>
        <v>No</v>
      </c>
      <c r="AP60" s="5" t="str">
        <f ca="1">IFERROR(__xludf.DUMMYFUNCTION("""COMPUTED_VALUE"""),"No")</f>
        <v>No</v>
      </c>
      <c r="AQ60" s="5" t="str">
        <f ca="1">IFERROR(__xludf.DUMMYFUNCTION("""COMPUTED_VALUE"""),"No")</f>
        <v>No</v>
      </c>
      <c r="AR60" s="5" t="str">
        <f ca="1">IFERROR(__xludf.DUMMYFUNCTION("""COMPUTED_VALUE"""),"No")</f>
        <v>No</v>
      </c>
      <c r="AS60" s="5" t="str">
        <f ca="1">IFERROR(__xludf.DUMMYFUNCTION("""COMPUTED_VALUE"""),"Yes")</f>
        <v>Yes</v>
      </c>
      <c r="AT60" s="5" t="str">
        <f ca="1">IFERROR(__xludf.DUMMYFUNCTION("""COMPUTED_VALUE"""),"No")</f>
        <v>No</v>
      </c>
      <c r="AU60" s="5"/>
    </row>
    <row r="61" spans="1:47" x14ac:dyDescent="0.25">
      <c r="D61" s="6"/>
    </row>
    <row r="62" spans="1:47" x14ac:dyDescent="0.25">
      <c r="D62" s="6"/>
    </row>
    <row r="63" spans="1:47" x14ac:dyDescent="0.25">
      <c r="D63" s="6"/>
    </row>
    <row r="64" spans="1:47" x14ac:dyDescent="0.25">
      <c r="D64" s="6"/>
    </row>
    <row r="65" spans="4:4" x14ac:dyDescent="0.25">
      <c r="D65" s="6"/>
    </row>
    <row r="66" spans="4:4" x14ac:dyDescent="0.25">
      <c r="D66" s="6"/>
    </row>
    <row r="67" spans="4:4" x14ac:dyDescent="0.25">
      <c r="D67" s="6"/>
    </row>
    <row r="68" spans="4:4" x14ac:dyDescent="0.25">
      <c r="D68" s="6"/>
    </row>
    <row r="69" spans="4:4" x14ac:dyDescent="0.25">
      <c r="D69" s="6"/>
    </row>
    <row r="70" spans="4:4" x14ac:dyDescent="0.25">
      <c r="D70" s="6"/>
    </row>
    <row r="71" spans="4:4" x14ac:dyDescent="0.25">
      <c r="D71" s="6"/>
    </row>
    <row r="72" spans="4:4" x14ac:dyDescent="0.25">
      <c r="D72" s="6"/>
    </row>
    <row r="73" spans="4:4" x14ac:dyDescent="0.25">
      <c r="D73" s="6"/>
    </row>
    <row r="74" spans="4:4" x14ac:dyDescent="0.25">
      <c r="D74" s="6"/>
    </row>
    <row r="75" spans="4:4" x14ac:dyDescent="0.25">
      <c r="D75" s="6"/>
    </row>
    <row r="76" spans="4:4" x14ac:dyDescent="0.25">
      <c r="D76" s="6"/>
    </row>
    <row r="77" spans="4:4" x14ac:dyDescent="0.25">
      <c r="D77" s="6"/>
    </row>
    <row r="78" spans="4:4" x14ac:dyDescent="0.25">
      <c r="D78" s="6"/>
    </row>
    <row r="79" spans="4:4" x14ac:dyDescent="0.25">
      <c r="D79" s="6"/>
    </row>
    <row r="80" spans="4:4" x14ac:dyDescent="0.25">
      <c r="D80" s="6"/>
    </row>
    <row r="81" spans="4:4" x14ac:dyDescent="0.25">
      <c r="D81" s="6"/>
    </row>
    <row r="82" spans="4:4" x14ac:dyDescent="0.25">
      <c r="D82" s="6"/>
    </row>
    <row r="83" spans="4:4" x14ac:dyDescent="0.25">
      <c r="D83" s="6"/>
    </row>
    <row r="84" spans="4:4" x14ac:dyDescent="0.25">
      <c r="D84" s="6"/>
    </row>
    <row r="85" spans="4:4" x14ac:dyDescent="0.25">
      <c r="D85" s="6"/>
    </row>
    <row r="86" spans="4:4" x14ac:dyDescent="0.25">
      <c r="D86" s="6"/>
    </row>
    <row r="87" spans="4:4" x14ac:dyDescent="0.25">
      <c r="D87" s="6"/>
    </row>
    <row r="88" spans="4:4" x14ac:dyDescent="0.25">
      <c r="D88" s="6"/>
    </row>
    <row r="89" spans="4:4" x14ac:dyDescent="0.25">
      <c r="D89" s="6"/>
    </row>
    <row r="90" spans="4:4" x14ac:dyDescent="0.25">
      <c r="D90" s="6"/>
    </row>
    <row r="91" spans="4:4" x14ac:dyDescent="0.25">
      <c r="D91" s="6"/>
    </row>
    <row r="92" spans="4:4" x14ac:dyDescent="0.25">
      <c r="D92" s="6"/>
    </row>
    <row r="93" spans="4:4" x14ac:dyDescent="0.25">
      <c r="D93" s="6"/>
    </row>
    <row r="94" spans="4:4" x14ac:dyDescent="0.25">
      <c r="D94" s="6"/>
    </row>
    <row r="95" spans="4:4" x14ac:dyDescent="0.25">
      <c r="D95" s="6"/>
    </row>
    <row r="96" spans="4:4" x14ac:dyDescent="0.25">
      <c r="D96" s="6"/>
    </row>
    <row r="97" spans="4:4" x14ac:dyDescent="0.25">
      <c r="D97" s="6"/>
    </row>
    <row r="98" spans="4:4" x14ac:dyDescent="0.25">
      <c r="D98" s="6"/>
    </row>
    <row r="99" spans="4:4" x14ac:dyDescent="0.25">
      <c r="D99" s="6"/>
    </row>
    <row r="100" spans="4:4" x14ac:dyDescent="0.25">
      <c r="D100" s="6"/>
    </row>
    <row r="101" spans="4:4" x14ac:dyDescent="0.25">
      <c r="D101" s="6"/>
    </row>
    <row r="102" spans="4:4" x14ac:dyDescent="0.25">
      <c r="D102" s="6"/>
    </row>
    <row r="103" spans="4:4" x14ac:dyDescent="0.25">
      <c r="D103" s="6"/>
    </row>
    <row r="104" spans="4:4" x14ac:dyDescent="0.25">
      <c r="D104" s="6"/>
    </row>
    <row r="105" spans="4:4" x14ac:dyDescent="0.25">
      <c r="D105" s="6"/>
    </row>
    <row r="106" spans="4:4" x14ac:dyDescent="0.25">
      <c r="D106" s="6"/>
    </row>
    <row r="107" spans="4:4" x14ac:dyDescent="0.25">
      <c r="D107" s="6"/>
    </row>
    <row r="108" spans="4:4" x14ac:dyDescent="0.25">
      <c r="D108" s="6"/>
    </row>
    <row r="109" spans="4:4" x14ac:dyDescent="0.25">
      <c r="D109" s="6"/>
    </row>
    <row r="110" spans="4:4" x14ac:dyDescent="0.25">
      <c r="D110" s="6"/>
    </row>
    <row r="111" spans="4:4" x14ac:dyDescent="0.25">
      <c r="D111" s="6"/>
    </row>
    <row r="112" spans="4:4" x14ac:dyDescent="0.25">
      <c r="D112" s="6"/>
    </row>
    <row r="113" spans="4:4" x14ac:dyDescent="0.25">
      <c r="D113" s="6"/>
    </row>
    <row r="114" spans="4:4" x14ac:dyDescent="0.25">
      <c r="D114" s="6"/>
    </row>
    <row r="115" spans="4:4" x14ac:dyDescent="0.25">
      <c r="D115" s="6"/>
    </row>
    <row r="116" spans="4:4" x14ac:dyDescent="0.25">
      <c r="D116" s="6"/>
    </row>
    <row r="117" spans="4:4" x14ac:dyDescent="0.25">
      <c r="D117" s="6"/>
    </row>
    <row r="118" spans="4:4" x14ac:dyDescent="0.25">
      <c r="D118" s="6"/>
    </row>
    <row r="119" spans="4:4" x14ac:dyDescent="0.25">
      <c r="D119" s="6"/>
    </row>
    <row r="120" spans="4:4" x14ac:dyDescent="0.25">
      <c r="D120" s="6"/>
    </row>
    <row r="121" spans="4:4" x14ac:dyDescent="0.25">
      <c r="D121" s="6"/>
    </row>
    <row r="122" spans="4:4" x14ac:dyDescent="0.25">
      <c r="D122" s="6"/>
    </row>
    <row r="123" spans="4:4" x14ac:dyDescent="0.25">
      <c r="D123" s="6"/>
    </row>
    <row r="124" spans="4:4" x14ac:dyDescent="0.25">
      <c r="D124" s="6"/>
    </row>
    <row r="125" spans="4:4" x14ac:dyDescent="0.25">
      <c r="D125" s="6"/>
    </row>
    <row r="126" spans="4:4" x14ac:dyDescent="0.25">
      <c r="D126" s="6"/>
    </row>
    <row r="127" spans="4:4" x14ac:dyDescent="0.25">
      <c r="D127" s="6"/>
    </row>
    <row r="128" spans="4:4" x14ac:dyDescent="0.25">
      <c r="D128" s="6"/>
    </row>
    <row r="129" spans="4:4" x14ac:dyDescent="0.25">
      <c r="D129" s="6"/>
    </row>
    <row r="130" spans="4:4" x14ac:dyDescent="0.25">
      <c r="D130" s="6"/>
    </row>
    <row r="131" spans="4:4" x14ac:dyDescent="0.25">
      <c r="D131" s="6"/>
    </row>
    <row r="132" spans="4:4" x14ac:dyDescent="0.25">
      <c r="D132" s="6"/>
    </row>
    <row r="133" spans="4:4" x14ac:dyDescent="0.25">
      <c r="D133" s="6"/>
    </row>
    <row r="134" spans="4:4" x14ac:dyDescent="0.25">
      <c r="D134" s="6"/>
    </row>
    <row r="135" spans="4:4" x14ac:dyDescent="0.25">
      <c r="D135" s="6"/>
    </row>
    <row r="136" spans="4:4" x14ac:dyDescent="0.25">
      <c r="D136" s="6"/>
    </row>
    <row r="137" spans="4:4" x14ac:dyDescent="0.25">
      <c r="D137" s="6"/>
    </row>
    <row r="138" spans="4:4" x14ac:dyDescent="0.25">
      <c r="D138" s="6"/>
    </row>
    <row r="139" spans="4:4" x14ac:dyDescent="0.25">
      <c r="D139" s="6"/>
    </row>
    <row r="140" spans="4:4" x14ac:dyDescent="0.25">
      <c r="D140" s="6"/>
    </row>
    <row r="141" spans="4:4" x14ac:dyDescent="0.25">
      <c r="D141" s="6"/>
    </row>
    <row r="142" spans="4:4" x14ac:dyDescent="0.25">
      <c r="D142" s="6"/>
    </row>
    <row r="143" spans="4:4" x14ac:dyDescent="0.25">
      <c r="D143" s="6"/>
    </row>
    <row r="144" spans="4:4"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gameserver-store-client-area.orbionlimited.com/Home/IntegrationGameLaunch/client-area?moneyType=0&amp;gameName=FortuneClover5&amp;platform=desktop&amp;languageCode=eng&amp;currency=EUR" xr:uid="{00000000-0004-0000-0300-000000000000}"/>
    <hyperlink ref="Q4" r:id="rId2" display="https://gameserver-store-client-area.orbionlimited.com/Home/IntegrationGameLaunch/client-area?moneyType=0&amp;gameName=MajesticCrown10&amp;platform=desktop&amp;languageCode=eng&amp;currency=EUR" xr:uid="{00000000-0004-0000-0300-000001000000}"/>
    <hyperlink ref="Q5" r:id="rId3" display="https://gameserver-store-client-area.orbionlimited.com/Home/IntegrationGameLaunch/client-area?moneyType=0&amp;gameName=PlayNetFortuneClover40&amp;platform=desktop&amp;languageCode=eng&amp;currency=EUR" xr:uid="{00000000-0004-0000-0300-000002000000}"/>
    <hyperlink ref="Q6" r:id="rId4" display="https://gameserver-store-client-area.orbionlimited.com/Home/IntegrationGameLaunch/client-area?moneyType=0&amp;gameName=PlayNetDiamondHeart5&amp;platform=desktop&amp;languageCode=eng&amp;currency=EUR" xr:uid="{00000000-0004-0000-0300-000003000000}"/>
    <hyperlink ref="Q7" r:id="rId5" display="https://gameserver-store-client-area.orbionlimited.com/Home/IntegrationGameLaunch/client-area?moneyType=0&amp;gameName=PlayNetMajesticCrown20&amp;platform=desktop&amp;languageCode=eng&amp;currency=EUR" xr:uid="{00000000-0004-0000-0300-000004000000}"/>
    <hyperlink ref="Q8" r:id="rId6" display="https://gameserver-store-client-area.orbionlimited.com/Home/IntegrationGameLaunch/client-area?moneyType=0&amp;gameName=PlayNetDiamondHeart40&amp;platform=desktop&amp;languageCode=eng&amp;currency=EUR" xr:uid="{00000000-0004-0000-0300-000005000000}"/>
    <hyperlink ref="Q9" r:id="rId7" display="https://gameserver-store-client-area.orbionlimited.com/Home/IntegrationGameLaunch/client-area?moneyType=0&amp;gameName=PlayNet27WildStacks&amp;platform=desktop&amp;languageCode=eng&amp;currency=EUR" xr:uid="{00000000-0004-0000-0300-000006000000}"/>
    <hyperlink ref="Q10" r:id="rId8" display="https://gameserver-store-client-area.orbionlimited.com/Home/IntegrationGameLaunch/client-area?moneyType=0&amp;gameName=PlayNetDashingHot5&amp;platform=desktop&amp;languageCode=eng&amp;currency=EUR" xr:uid="{00000000-0004-0000-0300-000007000000}"/>
    <hyperlink ref="Q11" r:id="rId9" display="https://gameserver-store-client-area.orbionlimited.com/Home/IntegrationGameLaunch/client-area?moneyType=0&amp;gameName=PlayNetWildForties&amp;platform=desktop&amp;languageCode=eng&amp;currency=EUR" xr:uid="{00000000-0004-0000-0300-000008000000}"/>
    <hyperlink ref="Q12" r:id="rId10" display="https://gameserver-store-client-area.orbionlimited.com/Home/IntegrationGameLaunch/client-area?moneyType=0&amp;gameName=PlayNetBookOfAmun&amp;platform=desktop&amp;languageCode=eng&amp;currency=EUR" xr:uid="{00000000-0004-0000-0300-000009000000}"/>
    <hyperlink ref="Q13" r:id="rId11" display="https://gameserver-store-client-area.orbionlimited.com/Home/IntegrationGameLaunch/client-area?moneyType=0&amp;gameName=PlayNet27WildStacksXmas&amp;platform=desktop&amp;languageCode=eng&amp;currency=EUR" xr:uid="{00000000-0004-0000-0300-00000A000000}"/>
    <hyperlink ref="Q14" r:id="rId12" display="https://gameserver-store-client-area.orbionlimited.com/Home/IntegrationGameLaunch/client-area?moneyType=0&amp;gameName=PlayNetMajesticCrown20Xmas&amp;platform=desktop&amp;languageCode=eng&amp;currency=EUR" xr:uid="{00000000-0004-0000-0300-00000B000000}"/>
    <hyperlink ref="Q15" r:id="rId13" display="https://gameserver-store-client-area.orbionlimited.com/Home/IntegrationGameLaunch/client-area?moneyType=0&amp;gameName=PlayNetWildFortiesXmas&amp;platform=desktop&amp;languageCode=eng&amp;currency=EUR" xr:uid="{00000000-0004-0000-0300-00000C000000}"/>
    <hyperlink ref="Q16" r:id="rId14" display="https://gameserver-store-client-area.orbionlimited.com/Home/IntegrationGameLaunch/client-area?moneyType=0&amp;gameName=PlayNetFortuneCloverX2&amp;platform=desktop&amp;languageCode=eng&amp;currency=EUR" xr:uid="{00000000-0004-0000-0300-00000D000000}"/>
    <hyperlink ref="Q17" r:id="rId15" display="https://gameserver-store-client-area.orbionlimited.com/Home/IntegrationGameLaunch/client-area?moneyType=0&amp;gameName=PlayNetDiamondHeartX2&amp;platform=desktop&amp;languageCode=eng&amp;currency=EUR" xr:uid="{00000000-0004-0000-0300-00000E000000}"/>
    <hyperlink ref="Q18" r:id="rId16" display="https://gameserver-store-client-area.orbionlimited.com/Home/IntegrationGameLaunch/client-area?moneyType=0&amp;gameName=PlayNetFortuneClover100&amp;platform=desktop&amp;languageCode=eng&amp;currency=EUR" xr:uid="{00000000-0004-0000-0300-00000F000000}"/>
    <hyperlink ref="Q19" r:id="rId17" display="https://gameserver-store-client-area.orbionlimited.com/Home/IntegrationGameLaunch/client-area?moneyType=0&amp;gameName=PlayNetCrownStacks40&amp;platform=desktop&amp;languageCode=eng&amp;currency=EUR" xr:uid="{00000000-0004-0000-0300-000010000000}"/>
    <hyperlink ref="Q20" r:id="rId18" display="https://gameserver-store-client-area.orbionlimited.com/Home/IntegrationGameLaunch/client-area?moneyType=0&amp;gameName=PlayNetWildSpread40&amp;platform=desktop&amp;languageCode=eng&amp;currency=EUR" xr:uid="{00000000-0004-0000-0300-000011000000}"/>
    <hyperlink ref="Q21" r:id="rId19" display="https://gameserver-store-client-area.orbionlimited.com/Home/IntegrationGameLaunch/client-area?moneyType=0&amp;gameName=PlayNetCrownSpread40&amp;platform=desktop&amp;languageCode=eng&amp;currency=EUR" xr:uid="{00000000-0004-0000-0300-000012000000}"/>
    <hyperlink ref="Q22" r:id="rId20" display="https://gameserver-store-client-area.orbionlimited.com/Home/IntegrationGameLaunch/client-area?moneyType=0&amp;gameName=PlayNetCloverSpread40&amp;platform=desktop&amp;languageCode=eng&amp;currency=EUR" xr:uid="{00000000-0004-0000-0300-000013000000}"/>
    <hyperlink ref="Q23" r:id="rId21" display="https://gameserver-store-client-area.orbionlimited.com/Home/IntegrationGameLaunch/client-area?moneyType=0&amp;gameName=PlayNetMajesticCrownX2&amp;platform=desktop&amp;languageCode=eng&amp;currency=EUR" xr:uid="{00000000-0004-0000-0300-000014000000}"/>
    <hyperlink ref="Q24" r:id="rId22" display="https://gameserver-store-client-area.orbionlimited.com/Home/IntegrationGameLaunch/client-area?moneyType=0&amp;gameName=PlayNetBitSlot&amp;platform=desktop&amp;languageCode=eng&amp;currency=EUR" xr:uid="{00000000-0004-0000-0300-000015000000}"/>
    <hyperlink ref="Q25" r:id="rId23" display="https://gameserver-store-client-area.orbionlimited.com/Home/IntegrationGameLaunch/client-area?moneyType=0&amp;gameName=PlayNetFortuneClover10&amp;platform=desktop&amp;languageCode=eng&amp;currency=EUR" xr:uid="{00000000-0004-0000-0300-000016000000}"/>
    <hyperlink ref="Q26" r:id="rId24" display="https://gameserver-store-client-area.orbionlimited.com/Home/IntegrationGameLaunch/client-area?moneyType=0&amp;gameName=PlayNetMajesticCrown100&amp;platform=desktop&amp;languageCode=eng&amp;currency=EUR" xr:uid="{00000000-0004-0000-0300-000017000000}"/>
    <hyperlink ref="Q27" r:id="rId25" display="https://gameserver-store-client-area.orbionlimited.com/Home/IntegrationGameLaunch/client-area?moneyType=0&amp;gameName=PlayNetFortuneClover20&amp;platform=desktop&amp;languageCode=eng&amp;currency=EUR" xr:uid="{00000000-0004-0000-0300-000018000000}"/>
    <hyperlink ref="Q28" r:id="rId26" display="https://gameserver-store-client-area.orbionlimited.com/Home/IntegrationGameLaunch/client-area?moneyType=0&amp;gameName=PlayNetMajesticCrown5&amp;platform=desktop&amp;languageCode=eng&amp;currency=EUR" xr:uid="{00000000-0004-0000-0300-000019000000}"/>
    <hyperlink ref="Q29" r:id="rId27" display="https://gameserver-store-client-area.orbionlimited.com/Home/IntegrationGameLaunch/client-area?moneyType=0&amp;gameName=PlayNetDiamondHeart100&amp;platform=desktop&amp;languageCode=eng&amp;currency=EUR" xr:uid="{00000000-0004-0000-0300-00001A000000}"/>
    <hyperlink ref="Q30" r:id="rId28" display="https://gameserver-store-client-area.orbionlimited.com/Home/IntegrationGameLaunch/client-area?moneyType=0&amp;gameName=PlayNetGoldenGetsby&amp;platform=desktop&amp;languageCode=eng&amp;currency=EUR" xr:uid="{00000000-0004-0000-0300-00001B000000}"/>
    <hyperlink ref="Q31" r:id="rId29" display="https://gameserver-store-client-area.orbionlimited.com/Home/IntegrationGameLaunch/client-area?moneyType=0&amp;gameName=PlayNetDashingHot20&amp;platform=desktop&amp;languageCode=eng&amp;currency=EUR" xr:uid="{00000000-0004-0000-0300-00001C000000}"/>
    <hyperlink ref="Q32" r:id="rId30" display="https://gameserver-store-client-area.orbionlimited.com/Home/IntegrationGameLaunch/client-area?moneyType=0&amp;gameName=PlayNetDarkTemptress&amp;platform=desktop&amp;languageCode=eng&amp;currency=EUR" xr:uid="{00000000-0004-0000-0300-00001D000000}"/>
    <hyperlink ref="Q33" r:id="rId31" display="https://gameserver-store-client-area.orbionlimited.com/Home/IntegrationGameLaunch/client-area?moneyType=0&amp;gameName=NovaPixelWheelOfJoker&amp;platform=desktop&amp;languageCode=eng&amp;currency=EUR" xr:uid="{00000000-0004-0000-0300-00001E000000}"/>
    <hyperlink ref="Q34" r:id="rId32" display="https://gameserver-store-client-area.orbionlimited.com/Home/IntegrationGameLaunch/client-area?moneyType=0&amp;gameName=PlayNetBrewmastersBank&amp;platform=desktop&amp;languageCode=eng&amp;currency=EUR" xr:uid="{00000000-0004-0000-0300-00001F000000}"/>
    <hyperlink ref="Q35" r:id="rId33" display="https://gameserver-store-client-area.orbionlimited.com/Home/IntegrationGameLaunch/client-area?moneyType=0&amp;gameName=PlayNetMajesticCrown40&amp;platform=desktop&amp;languageCode=eng&amp;currency=EUR" xr:uid="{00000000-0004-0000-0300-000020000000}"/>
    <hyperlink ref="Q36" r:id="rId34" display="https://gameserver-store-client-area.orbionlimited.com/Home/IntegrationGameLaunch/client-area?moneyType=0&amp;gameName=PlayNetNeptunesJewels&amp;platform=desktop&amp;languageCode=eng&amp;currency=EUR" xr:uid="{00000000-0004-0000-0300-000021000000}"/>
    <hyperlink ref="Q37" r:id="rId35" display="https://gameserver-store-client-area.orbionlimited.com/Home/IntegrationGameLaunch/client-area?moneyType=0&amp;gameName=PlayNet81MagicStars&amp;platform=desktop&amp;languageCode=eng&amp;currency=EUR" xr:uid="{00000000-0004-0000-0300-000022000000}"/>
    <hyperlink ref="Q38" r:id="rId36" display="https://gameserver-store-client-area.orbionlimited.com/Home/IntegrationGameLaunch/client-area?moneyType=0&amp;gameName=PlayNetElfAndRoll&amp;platform=desktop&amp;languageCode=eng&amp;currency=EUR" xr:uid="{00000000-0004-0000-0300-000023000000}"/>
    <hyperlink ref="Q40" r:id="rId37" display="https://gameserver-store-client-area.orbionlimited.com/Home/IntegrationGameLaunch/client-area?moneyType=0&amp;gameName=PlayNetDiamondHeart10&amp;platform=desktop&amp;languageCode=eng&amp;currency=EUR" xr:uid="{00000000-0004-0000-0300-000024000000}"/>
    <hyperlink ref="Q41" r:id="rId38" display="https://gameserver-store-client-area.orbionlimited.com/Home/IntegrationGameLaunch/client-area?moneyType=0&amp;gameName=PlayNetLeprechaunsFortuneClover&amp;platform=desktop&amp;languageCode=eng&amp;currency=EUR" xr:uid="{00000000-0004-0000-0300-000025000000}"/>
    <hyperlink ref="Q42" r:id="rId39" display="https://gameserver-store-client-area.orbionlimited.com/Home/IntegrationGameLaunch/client-area?moneyType=0&amp;gameName=PlayNetEmpressOfFlame&amp;platform=desktop&amp;languageCode=eng&amp;currency=EUR" xr:uid="{00000000-0004-0000-0300-000026000000}"/>
    <hyperlink ref="Q43" r:id="rId40" display="https://gameserver-store-client-area.orbionlimited.com/Home/IntegrationGameLaunch/client-area?moneyType=0&amp;gameName=PlayNetMajesticCrownEaster&amp;platform=desktop&amp;languageCode=eng&amp;currency=EUR" xr:uid="{00000000-0004-0000-0300-000027000000}"/>
    <hyperlink ref="Q44" r:id="rId41" display="https://gameserver-store-client-area.orbionlimited.com/Home/IntegrationGameLaunch/client-area?moneyType=0&amp;gameName=PlayNetTropicTwist&amp;platform=desktop&amp;languageCode=eng&amp;currency=EUR" xr:uid="{00000000-0004-0000-0300-000028000000}"/>
    <hyperlink ref="Q45" r:id="rId42" display="https://gameserver-store-client-area.orbionlimited.com/Home/IntegrationGameLaunch/client-area?moneyType=0&amp;gameName=PlayNetRoyalFlame40&amp;platform=desktop&amp;languageCode=eng&amp;currency=EUR" xr:uid="{00000000-0004-0000-0300-000029000000}"/>
    <hyperlink ref="Q46" r:id="rId43" display="https://gameserver-store-client-area.orbionlimited.com/Home/IntegrationGameLaunch/client-area?moneyType=0&amp;gameName=PlayNetFruitJackPotx10000&amp;platform=desktop&amp;languageCode=eng&amp;currency=EUR" xr:uid="{00000000-0004-0000-0300-00002A000000}"/>
    <hyperlink ref="Q47" r:id="rId44" display="https://gameserver-store-client-area.orbionlimited.com/Home/IntegrationGameLaunch/client-area?moneyType=0&amp;gameName=PlayNet27LuckyFruits&amp;platform=desktop&amp;languageCode=eng&amp;currency=EUR" xr:uid="{00000000-0004-0000-0300-00002B000000}"/>
    <hyperlink ref="Q48" r:id="rId45" display="https://gameserver-store-client-area.orbionlimited.com/Home/IntegrationGameLaunch/client-area?moneyType=0&amp;gameName=PlayNetShadowHunt10&amp;platform=desktop&amp;languageCode=eng&amp;currency=EUR" xr:uid="{00000000-0004-0000-0300-00002C000000}"/>
    <hyperlink ref="Q49" r:id="rId46" display="https://gameserver-store-client-area.orbionlimited.com/Home/IntegrationGameLaunch/client-area?moneyType=0&amp;gameName=PlayNetDiamondHeart20&amp;platform=desktop&amp;languageCode=eng&amp;currency=EUR" xr:uid="{00000000-0004-0000-0300-00002D000000}"/>
    <hyperlink ref="Q50" r:id="rId47" display="https://gameserver-store-client-area.orbionlimited.com/Home/IntegrationGameLaunch/client-area?moneyType=0&amp;gameName=PlayNetBitQueen&amp;platform=desktop&amp;languageCode=eng&amp;currency=EUR" xr:uid="{00000000-0004-0000-0300-00002E000000}"/>
    <hyperlink ref="Q51" r:id="rId48" display="https://gameserver-store-client-area.orbionlimited.com/Home/IntegrationGameLaunch/client-area?moneyType=0&amp;gameName=PlayNetDashingHot40&amp;platform=desktop&amp;languageCode=eng&amp;currency=EUR" xr:uid="{00000000-0004-0000-0300-00002F000000}"/>
    <hyperlink ref="Q52" r:id="rId49" display="https://gameserver-store-client-area.orbionlimited.com/Home/IntegrationGameLaunch/client-area?moneyType=0&amp;gameName=PlayNetDarkTemptress100&amp;platform=desktop&amp;languageCode=eng&amp;currency=EUR" xr:uid="{00000000-0004-0000-0300-000030000000}"/>
    <hyperlink ref="Q53" r:id="rId50" display="https://gameserver-store-client-area.orbionlimited.com/Home/IntegrationGameLaunch/client-area?moneyType=0&amp;gameName=PlayNetBarkinRiches&amp;platform=desktop&amp;languageCode=eng&amp;currency=EUR" xr:uid="{00000000-0004-0000-0300-000031000000}"/>
    <hyperlink ref="Q54" r:id="rId51" display="https://gameserver-store-client-area.orbionlimited.com/Home/IntegrationGameLaunch/client-area?moneyType=0&amp;gameName=PlayNetJokersCrownX2&amp;platform=desktop&amp;languageCode=eng&amp;currency=EUR" xr:uid="{00000000-0004-0000-0300-000032000000}"/>
    <hyperlink ref="Q55" r:id="rId52" display="https://gameserver-store-client-area.orbionlimited.com/Home/IntegrationGameLaunch/client-area?moneyType=0&amp;gameName=PlayNetRoxyUndercover&amp;platform=desktop&amp;languageCode=eng&amp;currency=EUR" xr:uid="{00000000-0004-0000-0300-000033000000}"/>
    <hyperlink ref="Q56" r:id="rId53" display="https://gameserver-store-client-area.orbionlimited.com/Home/IntegrationGameLaunch/client-area?moneyType=0&amp;gameName=PlayNetHeartGem100&amp;platform=desktop&amp;languageCode=eng&amp;currency=EUR" xr:uid="{00000000-0004-0000-0300-000034000000}"/>
    <hyperlink ref="Q57" r:id="rId54" display="https://gameserver-store-client-area.orbionlimited.com/Home/IntegrationGameLaunch/client-area?moneyType=0&amp;gameName=PlayNetCrownTreasure10&amp;platform=desktop&amp;languageCode=eng&amp;currency=EUR" xr:uid="{00000000-0004-0000-0300-000035000000}"/>
    <hyperlink ref="Q58" r:id="rId55" display="https://gameserver-store-client-area.orbionlimited.com/Home/IntegrationGameLaunch/client-area?moneyType=0&amp;gameName=PlayNetTropicTwistExtreme&amp;platform=desktop&amp;languageCode=eng&amp;currency=EUR" xr:uid="{00000000-0004-0000-0300-000036000000}"/>
    <hyperlink ref="Q59" r:id="rId56" display="https://gameserver-store-client-area.orbionlimited.com/Home/IntegrationGameLaunch/client-area?moneyType=0&amp;gameName=PlayNetCloverWealth5&amp;platform=desktop&amp;languageCode=eng&amp;currency=EUR" xr:uid="{00000000-0004-0000-0300-000037000000}"/>
    <hyperlink ref="Q60" r:id="rId57" display="https://gameserver-store-client-area.orbionlimited.com/Home/IntegrationGameLaunch/client-area?moneyType=0&amp;gameName=PlayNet27LuckyCrown&amp;platform=desktop&amp;languageCode=eng&amp;currency=EUR" xr:uid="{00000000-0004-0000-0300-00003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Y1001"/>
  <sheetViews>
    <sheetView workbookViewId="0">
      <pane ySplit="2" topLeftCell="A3" activePane="bottomLeft" state="frozen"/>
      <selection pane="bottomLeft" activeCell="B4" sqref="B4"/>
    </sheetView>
  </sheetViews>
  <sheetFormatPr defaultColWidth="12.6640625" defaultRowHeight="15.75" customHeight="1" x14ac:dyDescent="0.25"/>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""TipTop"",
  all_rows, IFERROR(FILTER(AllGames_Games!A2:BZ1001, (AllGames_Games!BE2:BE1001 = TRUE) + (AllGames_Games!BE2:BE1001 = ""TRUE"")), """"),
  base_games, IFERROR(FILTER(all_rows, IF(studio_filter = """", 1, CHOOSECOLS(al"&amp;"l_rows, 55) = studio_filter)), """"),
  IF(INDEX(base_games, 1, 1) = """", ""Nema rezultata za filter"",
    LET(
      gamename_keys, CHOOSECOLS(base_games, 4),
      gameid_keys, CHOOSECOLS(base_games, 6),
      studio, VSTACK(""GameStudio"", "&amp;"CHOOSECOLS(base_games, 55)),
      name, VSTACK(""GameName"", gamename_keys),
      gameID, VSTACK(""GameID"", gameid_keys),
      release, VSTACK(""ReleaseDate"", CHOOSECOLS(base_games, 19)),
      category, VSTACK(""GameCategoryID"", CHOOSECOLS(base_gam"&amp;"es, 11)),
      size, VSTACK(""GameSize"", CHOOSECOLS(base_games, 16)),
      reels, VSTACK(""ReelsAndRows"", CHOOSECOLS(base_games, 21)),
      lines, VSTACK(""Paylines"", CHOOSECOLS(base_games, 22)),
      payLines, VSTACK(""PayableLines"", CHOOSECOLS(b"&amp;"ase_games, 23)),
      rtp, VSTACK(""RTP%"", ARRAYFORMULA(IF(CHOOSECOLS(base_games, 24)="""", """", CHOOSECOLS(base_games, 24) &amp; ""%""))),
      volatility, VSTACK(""VolatilityID"", CHOOSECOLS(base_games, 25)),
      hit, VSTACK(""HitFrequency%"", ARRAYFO"&amp;"RMULA(IF(CHOOSECOLS(base_games, 26)="""", """", CHOOSECOLS(base_games, 26) &amp; ""%""))),
      exposure, VSTACK(""MaxExposure"", ARRAYFORMULA(IF(CHOOSECOLS(base_games, 27)="""", """", ""x"" &amp; CHOOSECOLS(base_games, 27)))),
      bet, VSTACK(""MinandMaxBet(E"&amp;"UR)"", CHOOSECOLS(base_games, 30)),
      jackpot, VSTACK(""Jackpot"", CHOOSECOLS(base_games, 38)),
      features, VSTACK(""Features"", CHOOSECOLS(base_games, 29)),
      demo, VSTACK(""DemoLink"", CHOOSECOLS(base_games, 56)),
      promo, VSTACK(""Promo"&amp;"Text"", CHOOSECOLS(base_games, 45)),
      part1, HSTACK(studio, name, gameID, release, category, size, reels, lines, payLines, rtp, volatility, hit, exposure, bet, jackpot, features, demo, promo),
      lang_headers, GameLanguages_za_CA!B1:"&amp;"AD1,
      lang_data, ARRAYFORMULA(IFERROR(VLOOKUP(gameid_keys, GameLanguages_za_CA!A:AD, SEQUENCE(1, COLUMNS(lang_headers), 2), 0), """")),
      part2, VSTACK(lang_headers, lang_data),
      jur_headers, FILTER(Jurisdiction_report!B1:BY1, Jurisdi"&amp;"ction_report!B1:BY1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Av"&amp;"ailable)"", """"))),
        LET(
          filtered_headers, CHOOSECOLS(jur_headers, valid_col_indices),
          filtered_data_raw, CHOOSECOLS(jur_data_raw, valid_col_indices),
          filtered_data, ARRAYFORMULA(IF(filtered_data_raw = ""Available"","&amp;" ""Available"", """")),
          VSTACK(filtered_headers, filtered_data)
        )
      ),
      HSTACK(part1, part2)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IFERROR(__xludf.DUMMYFUNCTION("""COMPUTED_VALUE"""),"Tiptop")</f>
        <v>Tiptop</v>
      </c>
      <c r="B3" s="5" t="str">
        <f ca="1">IFERROR(__xludf.DUMMYFUNCTION("""COMPUTED_VALUE"""),"Vegas Dice")</f>
        <v>Vegas Dice</v>
      </c>
      <c r="C3" s="5" t="str">
        <f ca="1">IFERROR(__xludf.DUMMYFUNCTION("""COMPUTED_VALUE"""),"UnicornVegasDice")</f>
        <v>UnicornVegasDice</v>
      </c>
      <c r="D3" s="6">
        <f ca="1">IFERROR(__xludf.DUMMYFUNCTION("""COMPUTED_VALUE"""),44371)</f>
        <v>44371</v>
      </c>
      <c r="E3" s="5" t="str">
        <f ca="1">IFERROR(__xludf.DUMMYFUNCTION("""COMPUTED_VALUE"""),"Dice Slots")</f>
        <v>Dice Slots</v>
      </c>
      <c r="F3" s="5">
        <f ca="1">IFERROR(__xludf.DUMMYFUNCTION("""COMPUTED_VALUE"""),15.5)</f>
        <v>15.5</v>
      </c>
      <c r="G3" s="5" t="str">
        <f ca="1">IFERROR(__xludf.DUMMYFUNCTION("""COMPUTED_VALUE"""),"5x3")</f>
        <v>5x3</v>
      </c>
      <c r="H3" s="5" t="str">
        <f ca="1">IFERROR(__xludf.DUMMYFUNCTION("""COMPUTED_VALUE"""),"5")</f>
        <v>5</v>
      </c>
      <c r="I3" s="5" t="str">
        <f ca="1">IFERROR(__xludf.DUMMYFUNCTION("""COMPUTED_VALUE"""),"5")</f>
        <v>5</v>
      </c>
      <c r="J3" s="5" t="str">
        <f ca="1">IFERROR(__xludf.DUMMYFUNCTION("""COMPUTED_VALUE"""),"96%")</f>
        <v>96%</v>
      </c>
      <c r="K3" s="5" t="str">
        <f ca="1">IFERROR(__xludf.DUMMYFUNCTION("""COMPUTED_VALUE"""),"Low")</f>
        <v>Low</v>
      </c>
      <c r="L3" s="5" t="str">
        <f ca="1">IFERROR(__xludf.DUMMYFUNCTION("""COMPUTED_VALUE"""),"10.5%")</f>
        <v>10.5%</v>
      </c>
      <c r="M3" s="5" t="str">
        <f ca="1">IFERROR(__xludf.DUMMYFUNCTION("""COMPUTED_VALUE"""),"x1000")</f>
        <v>x1000</v>
      </c>
      <c r="N3" s="5" t="str">
        <f ca="1">IFERROR(__xludf.DUMMYFUNCTION("""COMPUTED_VALUE"""),"0.05/40")</f>
        <v>0.05/40</v>
      </c>
      <c r="O3" s="5" t="str">
        <f ca="1">IFERROR(__xludf.DUMMYFUNCTION("""COMPUTED_VALUE"""),"No")</f>
        <v>No</v>
      </c>
      <c r="P3" s="5"/>
      <c r="Q3" s="7" t="str">
        <f ca="1">IFERROR(__xludf.DUMMYFUNCTION("""COMPUTED_VALUE"""),"https://gameserver-store-client-area.orbionlimited.com/Home/IntegrationGameLaunch/client-area?moneyType=0&amp;gameName=UnicornVegasDice&amp;platform=desktop&amp;languageCode=eng&amp;currency=EUR")</f>
        <v>https://gameserver-store-client-area.orbionlimited.com/Home/IntegrationGameLaunch/client-area?moneyType=0&amp;gameName=UnicornVegasDice&amp;platform=desktop&amp;languageCode=eng&amp;currency=EUR</v>
      </c>
      <c r="R3" s="5" t="str">
        <f ca="1">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S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IFERROR(__xludf.DUMMYFUNCTION("""COMPUTED_VALUE"""),"No")</f>
        <v>No</v>
      </c>
      <c r="X3" s="5" t="str">
        <f ca="1">IFERROR(__xludf.DUMMYFUNCTION("""COMPUTED_VALUE"""),"No")</f>
        <v>No</v>
      </c>
      <c r="Y3" s="5" t="str">
        <f ca="1">IFERROR(__xludf.DUMMYFUNCTION("""COMPUTED_VALUE"""),"No")</f>
        <v>No</v>
      </c>
      <c r="Z3" s="5" t="str">
        <f ca="1">IFERROR(__xludf.DUMMYFUNCTION("""COMPUTED_VALUE"""),"No")</f>
        <v>No</v>
      </c>
      <c r="AA3" s="5" t="str">
        <f ca="1">IFERROR(__xludf.DUMMYFUNCTION("""COMPUTED_VALUE"""),"No")</f>
        <v>No</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IFERROR(__xludf.DUMMYFUNCTION("""COMPUTED_VALUE"""),"No")</f>
        <v>No</v>
      </c>
      <c r="AH3" s="5" t="str">
        <f ca="1">IFERROR(__xludf.DUMMYFUNCTION("""COMPUTED_VALUE"""),"Yes")</f>
        <v>Yes</v>
      </c>
      <c r="AI3" s="5" t="str">
        <f ca="1">IFERROR(__xludf.DUMMYFUNCTION("""COMPUTED_VALUE"""),"No")</f>
        <v>No</v>
      </c>
      <c r="AJ3" s="5" t="str">
        <f ca="1">IFERROR(__xludf.DUMMYFUNCTION("""COMPUTED_VALUE"""),"No")</f>
        <v>No</v>
      </c>
      <c r="AK3" s="5" t="str">
        <f ca="1">IFERROR(__xludf.DUMMYFUNCTION("""COMPUTED_VALUE"""),"No")</f>
        <v>No</v>
      </c>
      <c r="AL3" s="5" t="str">
        <f ca="1">IFERROR(__xludf.DUMMYFUNCTION("""COMPUTED_VALUE"""),"No")</f>
        <v>No</v>
      </c>
      <c r="AM3" s="5" t="str">
        <f ca="1">IFERROR(__xludf.DUMMYFUNCTION("""COMPUTED_VALUE"""),"No")</f>
        <v>No</v>
      </c>
      <c r="AN3" s="5"/>
      <c r="AO3" s="5" t="str">
        <f ca="1">IFERROR(__xludf.DUMMYFUNCTION("""COMPUTED_VALUE"""),"No")</f>
        <v>No</v>
      </c>
      <c r="AP3" s="5"/>
      <c r="AQ3" s="5" t="str">
        <f ca="1">IFERROR(__xludf.DUMMYFUNCTION("""COMPUTED_VALUE"""),"No")</f>
        <v>No</v>
      </c>
      <c r="AR3" s="5"/>
      <c r="AS3" s="5" t="str">
        <f ca="1">IFERROR(__xludf.DUMMYFUNCTION("""COMPUTED_VALUE"""),"No")</f>
        <v>No</v>
      </c>
      <c r="AT3" s="5" t="str">
        <f ca="1">IFERROR(__xludf.DUMMYFUNCTION("""COMPUTED_VALUE"""),"No")</f>
        <v>No</v>
      </c>
      <c r="AU3" s="5"/>
    </row>
    <row r="4" spans="1:77" x14ac:dyDescent="0.25">
      <c r="A4" s="5" t="str">
        <f ca="1">IFERROR(__xludf.DUMMYFUNCTION("""COMPUTED_VALUE"""),"Tiptop")</f>
        <v>Tiptop</v>
      </c>
      <c r="B4" s="5" t="str">
        <f ca="1">IFERROR(__xludf.DUMMYFUNCTION("""COMPUTED_VALUE"""),"Reel Dice")</f>
        <v>Reel Dice</v>
      </c>
      <c r="C4" s="5" t="str">
        <f ca="1">IFERROR(__xludf.DUMMYFUNCTION("""COMPUTED_VALUE"""),"UnicornReelDice")</f>
        <v>UnicornReelDice</v>
      </c>
      <c r="D4" s="6">
        <f ca="1">IFERROR(__xludf.DUMMYFUNCTION("""COMPUTED_VALUE"""),44371)</f>
        <v>44371</v>
      </c>
      <c r="E4" s="5" t="str">
        <f ca="1">IFERROR(__xludf.DUMMYFUNCTION("""COMPUTED_VALUE"""),"Dice Slots")</f>
        <v>Dice Slots</v>
      </c>
      <c r="F4" s="5">
        <f ca="1">IFERROR(__xludf.DUMMYFUNCTION("""COMPUTED_VALUE"""),15.6)</f>
        <v>15.6</v>
      </c>
      <c r="G4" s="5" t="str">
        <f ca="1">IFERROR(__xludf.DUMMYFUNCTION("""COMPUTED_VALUE"""),"5x3")</f>
        <v>5x3</v>
      </c>
      <c r="H4" s="5" t="str">
        <f ca="1">IFERROR(__xludf.DUMMYFUNCTION("""COMPUTED_VALUE"""),"5")</f>
        <v>5</v>
      </c>
      <c r="I4" s="5" t="str">
        <f ca="1">IFERROR(__xludf.DUMMYFUNCTION("""COMPUTED_VALUE"""),"5")</f>
        <v>5</v>
      </c>
      <c r="J4" s="5" t="str">
        <f ca="1">IFERROR(__xludf.DUMMYFUNCTION("""COMPUTED_VALUE"""),"96%")</f>
        <v>96%</v>
      </c>
      <c r="K4" s="5" t="str">
        <f ca="1">IFERROR(__xludf.DUMMYFUNCTION("""COMPUTED_VALUE"""),"Low")</f>
        <v>Low</v>
      </c>
      <c r="L4" s="5" t="str">
        <f ca="1">IFERROR(__xludf.DUMMYFUNCTION("""COMPUTED_VALUE"""),"9.2%")</f>
        <v>9.2%</v>
      </c>
      <c r="M4" s="5" t="str">
        <f ca="1">IFERROR(__xludf.DUMMYFUNCTION("""COMPUTED_VALUE"""),"x1000")</f>
        <v>x1000</v>
      </c>
      <c r="N4" s="5" t="str">
        <f ca="1">IFERROR(__xludf.DUMMYFUNCTION("""COMPUTED_VALUE"""),"0.05/100")</f>
        <v>0.05/100</v>
      </c>
      <c r="O4" s="5" t="str">
        <f ca="1">IFERROR(__xludf.DUMMYFUNCTION("""COMPUTED_VALUE"""),"No")</f>
        <v>No</v>
      </c>
      <c r="P4" s="5"/>
      <c r="Q4" s="7" t="str">
        <f ca="1">IFERROR(__xludf.DUMMYFUNCTION("""COMPUTED_VALUE"""),"https://gameserver-store-client-area.orbionlimited.com/Home/IntegrationGameLaunch/client-area?moneyType=0&amp;gameName=UnicornReelDice&amp;platform=desktop&amp;languageCode=eng&amp;currency=EUR")</f>
        <v>https://gameserver-store-client-area.orbionlimited.com/Home/IntegrationGameLaunch/client-area?moneyType=0&amp;gameName=UnicornReelDice&amp;platform=desktop&amp;languageCode=eng&amp;currency=EUR</v>
      </c>
      <c r="R4" s="5" t="str">
        <f ca="1">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S4" s="5" t="str">
        <f ca="1">IFERROR(__xludf.DUMMYFUNCTION("""COMPUTED_VALUE"""),"English(""eng"")")</f>
        <v>English("eng")</v>
      </c>
      <c r="T4" s="5" t="str">
        <f ca="1">IFERROR(__xludf.DUMMYFUNCTION("""COMPUTED_VALUE"""),"Yes")</f>
        <v>Yes</v>
      </c>
      <c r="U4" s="5" t="str">
        <f ca="1">IFERROR(__xludf.DUMMYFUNCTION("""COMPUTED_VALUE"""),"No")</f>
        <v>No</v>
      </c>
      <c r="V4" s="5" t="str">
        <f ca="1">IFERROR(__xludf.DUMMYFUNCTION("""COMPUTED_VALUE"""),"No")</f>
        <v>No</v>
      </c>
      <c r="W4" s="5" t="str">
        <f ca="1">IFERROR(__xludf.DUMMYFUNCTION("""COMPUTED_VALUE"""),"No")</f>
        <v>No</v>
      </c>
      <c r="X4" s="5" t="str">
        <f ca="1">IFERROR(__xludf.DUMMYFUNCTION("""COMPUTED_VALUE"""),"No")</f>
        <v>No</v>
      </c>
      <c r="Y4" s="5" t="str">
        <f ca="1">IFERROR(__xludf.DUMMYFUNCTION("""COMPUTED_VALUE"""),"No")</f>
        <v>No</v>
      </c>
      <c r="Z4" s="5" t="str">
        <f ca="1">IFERROR(__xludf.DUMMYFUNCTION("""COMPUTED_VALUE"""),"No")</f>
        <v>No</v>
      </c>
      <c r="AA4" s="5" t="str">
        <f ca="1">IFERROR(__xludf.DUMMYFUNCTION("""COMPUTED_VALUE"""),"No")</f>
        <v>No</v>
      </c>
      <c r="AB4" s="5" t="str">
        <f ca="1">IFERROR(__xludf.DUMMYFUNCTION("""COMPUTED_VALUE"""),"No")</f>
        <v>No</v>
      </c>
      <c r="AC4" s="5" t="str">
        <f ca="1">IFERROR(__xludf.DUMMYFUNCTION("""COMPUTED_VALUE"""),"No")</f>
        <v>No</v>
      </c>
      <c r="AD4" s="5" t="str">
        <f ca="1">IFERROR(__xludf.DUMMYFUNCTION("""COMPUTED_VALUE"""),"No")</f>
        <v>No</v>
      </c>
      <c r="AE4" s="5" t="str">
        <f ca="1">IFERROR(__xludf.DUMMYFUNCTION("""COMPUTED_VALUE"""),"No")</f>
        <v>No</v>
      </c>
      <c r="AF4" s="5" t="str">
        <f ca="1">IFERROR(__xludf.DUMMYFUNCTION("""COMPUTED_VALUE"""),"No")</f>
        <v>No</v>
      </c>
      <c r="AG4" s="5" t="str">
        <f ca="1">IFERROR(__xludf.DUMMYFUNCTION("""COMPUTED_VALUE"""),"No")</f>
        <v>No</v>
      </c>
      <c r="AH4" s="5" t="str">
        <f ca="1">IFERROR(__xludf.DUMMYFUNCTION("""COMPUTED_VALUE"""),"No")</f>
        <v>No</v>
      </c>
      <c r="AI4" s="5" t="str">
        <f ca="1">IFERROR(__xludf.DUMMYFUNCTION("""COMPUTED_VALUE"""),"No")</f>
        <v>No</v>
      </c>
      <c r="AJ4" s="5" t="str">
        <f ca="1">IFERROR(__xludf.DUMMYFUNCTION("""COMPUTED_VALUE"""),"No")</f>
        <v>No</v>
      </c>
      <c r="AK4" s="5" t="str">
        <f ca="1">IFERROR(__xludf.DUMMYFUNCTION("""COMPUTED_VALUE"""),"No")</f>
        <v>No</v>
      </c>
      <c r="AL4" s="5" t="str">
        <f ca="1">IFERROR(__xludf.DUMMYFUNCTION("""COMPUTED_VALUE"""),"No")</f>
        <v>No</v>
      </c>
      <c r="AM4" s="5" t="str">
        <f ca="1">IFERROR(__xludf.DUMMYFUNCTION("""COMPUTED_VALUE"""),"No")</f>
        <v>No</v>
      </c>
      <c r="AN4" s="5" t="str">
        <f ca="1">IFERROR(__xludf.DUMMYFUNCTION("""COMPUTED_VALUE"""),"No")</f>
        <v>No</v>
      </c>
      <c r="AO4" s="5" t="str">
        <f ca="1">IFERROR(__xludf.DUMMYFUNCTION("""COMPUTED_VALUE"""),"No")</f>
        <v>No</v>
      </c>
      <c r="AP4" s="5" t="str">
        <f ca="1">IFERROR(__xludf.DUMMYFUNCTION("""COMPUTED_VALUE"""),"No")</f>
        <v>No</v>
      </c>
      <c r="AQ4" s="5" t="str">
        <f ca="1">IFERROR(__xludf.DUMMYFUNCTION("""COMPUTED_VALUE"""),"No")</f>
        <v>No</v>
      </c>
      <c r="AR4" s="5" t="str">
        <f ca="1">IFERROR(__xludf.DUMMYFUNCTION("""COMPUTED_VALUE"""),"No")</f>
        <v>No</v>
      </c>
      <c r="AS4" s="5" t="str">
        <f ca="1">IFERROR(__xludf.DUMMYFUNCTION("""COMPUTED_VALUE"""),"No")</f>
        <v>No</v>
      </c>
      <c r="AT4" s="5" t="str">
        <f ca="1">IFERROR(__xludf.DUMMYFUNCTION("""COMPUTED_VALUE"""),"No")</f>
        <v>No</v>
      </c>
      <c r="AU4" s="5"/>
    </row>
    <row r="5" spans="1:77" x14ac:dyDescent="0.25">
      <c r="A5" s="5" t="str">
        <f ca="1">IFERROR(__xludf.DUMMYFUNCTION("""COMPUTED_VALUE"""),"Tiptop")</f>
        <v>Tiptop</v>
      </c>
      <c r="B5" s="5" t="str">
        <f ca="1">IFERROR(__xludf.DUMMYFUNCTION("""COMPUTED_VALUE"""),"Fruit Island")</f>
        <v>Fruit Island</v>
      </c>
      <c r="C5" s="5" t="str">
        <f ca="1">IFERROR(__xludf.DUMMYFUNCTION("""COMPUTED_VALUE"""),"UnicornFruitIsland")</f>
        <v>UnicornFruitIsland</v>
      </c>
      <c r="D5" s="6">
        <f ca="1">IFERROR(__xludf.DUMMYFUNCTION("""COMPUTED_VALUE"""),44343)</f>
        <v>44343</v>
      </c>
      <c r="E5" s="5" t="str">
        <f ca="1">IFERROR(__xludf.DUMMYFUNCTION("""COMPUTED_VALUE"""),"Slot")</f>
        <v>Slot</v>
      </c>
      <c r="F5" s="5">
        <f ca="1">IFERROR(__xludf.DUMMYFUNCTION("""COMPUTED_VALUE"""),13.7)</f>
        <v>13.7</v>
      </c>
      <c r="G5" s="5" t="str">
        <f ca="1">IFERROR(__xludf.DUMMYFUNCTION("""COMPUTED_VALUE"""),"5x3")</f>
        <v>5x3</v>
      </c>
      <c r="H5" s="5" t="str">
        <f ca="1">IFERROR(__xludf.DUMMYFUNCTION("""COMPUTED_VALUE"""),"5")</f>
        <v>5</v>
      </c>
      <c r="I5" s="5" t="str">
        <f ca="1">IFERROR(__xludf.DUMMYFUNCTION("""COMPUTED_VALUE"""),"5")</f>
        <v>5</v>
      </c>
      <c r="J5" s="5" t="str">
        <f ca="1">IFERROR(__xludf.DUMMYFUNCTION("""COMPUTED_VALUE"""),"96%")</f>
        <v>96%</v>
      </c>
      <c r="K5" s="5" t="str">
        <f ca="1">IFERROR(__xludf.DUMMYFUNCTION("""COMPUTED_VALUE"""),"Low")</f>
        <v>Low</v>
      </c>
      <c r="L5" s="5" t="str">
        <f ca="1">IFERROR(__xludf.DUMMYFUNCTION("""COMPUTED_VALUE"""),"10.5%")</f>
        <v>10.5%</v>
      </c>
      <c r="M5" s="5" t="str">
        <f ca="1">IFERROR(__xludf.DUMMYFUNCTION("""COMPUTED_VALUE"""),"x1000")</f>
        <v>x1000</v>
      </c>
      <c r="N5" s="5" t="str">
        <f ca="1">IFERROR(__xludf.DUMMYFUNCTION("""COMPUTED_VALUE"""),"0.05/40")</f>
        <v>0.05/40</v>
      </c>
      <c r="O5" s="5" t="str">
        <f ca="1">IFERROR(__xludf.DUMMYFUNCTION("""COMPUTED_VALUE"""),"No")</f>
        <v>No</v>
      </c>
      <c r="P5" s="5"/>
      <c r="Q5" s="7" t="str">
        <f ca="1">IFERROR(__xludf.DUMMYFUNCTION("""COMPUTED_VALUE"""),"https://gameserver-store-client-area.orbionlimited.com/Home/IntegrationGameLaunch/client-area?moneyType=0&amp;gameName=UnicornFruitIsland&amp;platform=desktop&amp;languageCode=eng&amp;currency=EUR")</f>
        <v>https://gameserver-store-client-area.orbionlimited.com/Home/IntegrationGameLaunch/client-area?moneyType=0&amp;gameName=UnicornFruitIsland&amp;platform=desktop&amp;languageCode=eng&amp;currency=EUR</v>
      </c>
      <c r="R5" s="5" t="str">
        <f ca="1">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S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IFERROR(__xludf.DUMMYFUNCTION("""COMPUTED_VALUE"""),"No")</f>
        <v>No</v>
      </c>
      <c r="X5" s="5" t="str">
        <f ca="1">IFERROR(__xludf.DUMMYFUNCTION("""COMPUTED_VALUE"""),"No")</f>
        <v>No</v>
      </c>
      <c r="Y5" s="5" t="str">
        <f ca="1">IFERROR(__xludf.DUMMYFUNCTION("""COMPUTED_VALUE"""),"No")</f>
        <v>No</v>
      </c>
      <c r="Z5" s="5" t="str">
        <f ca="1">IFERROR(__xludf.DUMMYFUNCTION("""COMPUTED_VALUE"""),"No")</f>
        <v>No</v>
      </c>
      <c r="AA5" s="5" t="str">
        <f ca="1">IFERROR(__xludf.DUMMYFUNCTION("""COMPUTED_VALUE"""),"No")</f>
        <v>No</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IFERROR(__xludf.DUMMYFUNCTION("""COMPUTED_VALUE"""),"No")</f>
        <v>No</v>
      </c>
      <c r="AH5" s="5" t="str">
        <f ca="1">IFERROR(__xludf.DUMMYFUNCTION("""COMPUTED_VALUE"""),"Yes")</f>
        <v>Yes</v>
      </c>
      <c r="AI5" s="5" t="str">
        <f ca="1">IFERROR(__xludf.DUMMYFUNCTION("""COMPUTED_VALUE"""),"No")</f>
        <v>No</v>
      </c>
      <c r="AJ5" s="5" t="str">
        <f ca="1">IFERROR(__xludf.DUMMYFUNCTION("""COMPUTED_VALUE"""),"No")</f>
        <v>No</v>
      </c>
      <c r="AK5" s="5" t="str">
        <f ca="1">IFERROR(__xludf.DUMMYFUNCTION("""COMPUTED_VALUE"""),"No")</f>
        <v>No</v>
      </c>
      <c r="AL5" s="5" t="str">
        <f ca="1">IFERROR(__xludf.DUMMYFUNCTION("""COMPUTED_VALUE"""),"No")</f>
        <v>No</v>
      </c>
      <c r="AM5" s="5" t="str">
        <f ca="1">IFERROR(__xludf.DUMMYFUNCTION("""COMPUTED_VALUE"""),"No")</f>
        <v>No</v>
      </c>
      <c r="AN5" s="5"/>
      <c r="AO5" s="5"/>
      <c r="AP5" s="5"/>
      <c r="AQ5" s="5" t="str">
        <f ca="1">IFERROR(__xludf.DUMMYFUNCTION("""COMPUTED_VALUE"""),"No")</f>
        <v>No</v>
      </c>
      <c r="AR5" s="5"/>
      <c r="AS5" s="5"/>
      <c r="AT5" s="5"/>
      <c r="AU5" s="5"/>
    </row>
    <row r="6" spans="1:77" x14ac:dyDescent="0.25">
      <c r="A6" s="5" t="str">
        <f ca="1">IFERROR(__xludf.DUMMYFUNCTION("""COMPUTED_VALUE"""),"Tiptop")</f>
        <v>Tiptop</v>
      </c>
      <c r="B6" s="5" t="str">
        <f ca="1">IFERROR(__xludf.DUMMYFUNCTION("""COMPUTED_VALUE"""),"Wild Paradice")</f>
        <v>Wild Paradice</v>
      </c>
      <c r="C6" s="5" t="str">
        <f ca="1">IFERROR(__xludf.DUMMYFUNCTION("""COMPUTED_VALUE"""),"UnicornWildParadise")</f>
        <v>UnicornWildParadise</v>
      </c>
      <c r="D6" s="6">
        <f ca="1">IFERROR(__xludf.DUMMYFUNCTION("""COMPUTED_VALUE"""),44585)</f>
        <v>44585</v>
      </c>
      <c r="E6" s="5" t="str">
        <f ca="1">IFERROR(__xludf.DUMMYFUNCTION("""COMPUTED_VALUE"""),"Dice Slots")</f>
        <v>Dice Slots</v>
      </c>
      <c r="F6" s="5">
        <f ca="1">IFERROR(__xludf.DUMMYFUNCTION("""COMPUTED_VALUE"""),11.1)</f>
        <v>11.1</v>
      </c>
      <c r="G6" s="5" t="str">
        <f ca="1">IFERROR(__xludf.DUMMYFUNCTION("""COMPUTED_VALUE"""),"5X3")</f>
        <v>5X3</v>
      </c>
      <c r="H6" s="5" t="str">
        <f ca="1">IFERROR(__xludf.DUMMYFUNCTION("""COMPUTED_VALUE"""),"10")</f>
        <v>10</v>
      </c>
      <c r="I6" s="5" t="str">
        <f ca="1">IFERROR(__xludf.DUMMYFUNCTION("""COMPUTED_VALUE"""),"10")</f>
        <v>10</v>
      </c>
      <c r="J6" s="5" t="str">
        <f ca="1">IFERROR(__xludf.DUMMYFUNCTION("""COMPUTED_VALUE"""),"96%")</f>
        <v>96%</v>
      </c>
      <c r="K6" s="5" t="str">
        <f ca="1">IFERROR(__xludf.DUMMYFUNCTION("""COMPUTED_VALUE"""),"Low")</f>
        <v>Low</v>
      </c>
      <c r="L6" s="5" t="str">
        <f ca="1">IFERROR(__xludf.DUMMYFUNCTION("""COMPUTED_VALUE"""),"26.12%")</f>
        <v>26.12%</v>
      </c>
      <c r="M6" s="5" t="str">
        <f ca="1">IFERROR(__xludf.DUMMYFUNCTION("""COMPUTED_VALUE"""),"x1060")</f>
        <v>x1060</v>
      </c>
      <c r="N6" s="5" t="str">
        <f ca="1">IFERROR(__xludf.DUMMYFUNCTION("""COMPUTED_VALUE"""),"0.1/100")</f>
        <v>0.1/100</v>
      </c>
      <c r="O6" s="5" t="str">
        <f ca="1">IFERROR(__xludf.DUMMYFUNCTION("""COMPUTED_VALUE"""),"No")</f>
        <v>No</v>
      </c>
      <c r="P6" s="5" t="str">
        <f ca="1">IFERROR(__xludf.DUMMYFUNCTION("""COMPUTED_VALUE"""),"Expanding Wild")</f>
        <v>Expanding Wild</v>
      </c>
      <c r="Q6" s="7" t="str">
        <f ca="1">IFERROR(__xludf.DUMMYFUNCTION("""COMPUTED_VALUE"""),"https://gameserver-store-client-area.orbionlimited.com/Home/IntegrationGameLaunch/client-area?moneyType=0&amp;gameName=UnicornWildParadise&amp;platform=desktop&amp;languageCode=eng&amp;currency=EUR")</f>
        <v>https://gameserver-store-client-area.orbionlimited.com/Home/IntegrationGameLaunch/client-area?moneyType=0&amp;gameName=UnicornWildParadise&amp;platform=desktop&amp;languageCode=eng&amp;currency=EUR</v>
      </c>
      <c r="R6" s="5" t="str">
        <f ca="1">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S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 s="5" t="str">
        <f ca="1">IFERROR(__xludf.DUMMYFUNCTION("""COMPUTED_VALUE"""),"Yes")</f>
        <v>Yes</v>
      </c>
      <c r="U6" s="5" t="str">
        <f ca="1">IFERROR(__xludf.DUMMYFUNCTION("""COMPUTED_VALUE"""),"Yes")</f>
        <v>Yes</v>
      </c>
      <c r="V6" s="5" t="str">
        <f ca="1">IFERROR(__xludf.DUMMYFUNCTION("""COMPUTED_VALUE"""),"Yes")</f>
        <v>Yes</v>
      </c>
      <c r="W6" s="5" t="str">
        <f ca="1">IFERROR(__xludf.DUMMYFUNCTION("""COMPUTED_VALUE"""),"No")</f>
        <v>No</v>
      </c>
      <c r="X6" s="5" t="str">
        <f ca="1">IFERROR(__xludf.DUMMYFUNCTION("""COMPUTED_VALUE"""),"No")</f>
        <v>No</v>
      </c>
      <c r="Y6" s="5" t="str">
        <f ca="1">IFERROR(__xludf.DUMMYFUNCTION("""COMPUTED_VALUE"""),"No")</f>
        <v>No</v>
      </c>
      <c r="Z6" s="5" t="str">
        <f ca="1">IFERROR(__xludf.DUMMYFUNCTION("""COMPUTED_VALUE"""),"No")</f>
        <v>No</v>
      </c>
      <c r="AA6" s="5" t="str">
        <f ca="1">IFERROR(__xludf.DUMMYFUNCTION("""COMPUTED_VALUE"""),"No")</f>
        <v>No</v>
      </c>
      <c r="AB6" s="5" t="str">
        <f ca="1">IFERROR(__xludf.DUMMYFUNCTION("""COMPUTED_VALUE"""),"Yes")</f>
        <v>Yes</v>
      </c>
      <c r="AC6" s="5" t="str">
        <f ca="1">IFERROR(__xludf.DUMMYFUNCTION("""COMPUTED_VALUE"""),"Yes")</f>
        <v>Yes</v>
      </c>
      <c r="AD6" s="5" t="str">
        <f ca="1">IFERROR(__xludf.DUMMYFUNCTION("""COMPUTED_VALUE"""),"Yes")</f>
        <v>Yes</v>
      </c>
      <c r="AE6" s="5" t="str">
        <f ca="1">IFERROR(__xludf.DUMMYFUNCTION("""COMPUTED_VALUE"""),"Yes")</f>
        <v>Yes</v>
      </c>
      <c r="AF6" s="5" t="str">
        <f ca="1">IFERROR(__xludf.DUMMYFUNCTION("""COMPUTED_VALUE"""),"Yes")</f>
        <v>Yes</v>
      </c>
      <c r="AG6" s="5" t="str">
        <f ca="1">IFERROR(__xludf.DUMMYFUNCTION("""COMPUTED_VALUE"""),"No")</f>
        <v>No</v>
      </c>
      <c r="AH6" s="5" t="str">
        <f ca="1">IFERROR(__xludf.DUMMYFUNCTION("""COMPUTED_VALUE"""),"Yes")</f>
        <v>Yes</v>
      </c>
      <c r="AI6" s="5" t="str">
        <f ca="1">IFERROR(__xludf.DUMMYFUNCTION("""COMPUTED_VALUE"""),"No")</f>
        <v>No</v>
      </c>
      <c r="AJ6" s="5" t="str">
        <f ca="1">IFERROR(__xludf.DUMMYFUNCTION("""COMPUTED_VALUE"""),"No")</f>
        <v>No</v>
      </c>
      <c r="AK6" s="5" t="str">
        <f ca="1">IFERROR(__xludf.DUMMYFUNCTION("""COMPUTED_VALUE"""),"No")</f>
        <v>No</v>
      </c>
      <c r="AL6" s="5" t="str">
        <f ca="1">IFERROR(__xludf.DUMMYFUNCTION("""COMPUTED_VALUE"""),"No")</f>
        <v>No</v>
      </c>
      <c r="AM6" s="5" t="str">
        <f ca="1">IFERROR(__xludf.DUMMYFUNCTION("""COMPUTED_VALUE"""),"No")</f>
        <v>No</v>
      </c>
      <c r="AN6" s="5"/>
      <c r="AO6" s="5"/>
      <c r="AP6" s="5"/>
      <c r="AQ6" s="5" t="str">
        <f ca="1">IFERROR(__xludf.DUMMYFUNCTION("""COMPUTED_VALUE"""),"No")</f>
        <v>No</v>
      </c>
      <c r="AR6" s="5"/>
      <c r="AS6" s="5"/>
      <c r="AT6" s="5"/>
      <c r="AU6" s="5"/>
    </row>
    <row r="7" spans="1:77" x14ac:dyDescent="0.25">
      <c r="A7" s="5" t="str">
        <f ca="1">IFERROR(__xludf.DUMMYFUNCTION("""COMPUTED_VALUE"""),"Tiptop")</f>
        <v>Tiptop</v>
      </c>
      <c r="B7" s="5" t="str">
        <f ca="1">IFERROR(__xludf.DUMMYFUNCTION("""COMPUTED_VALUE"""),"Rainbow Sevens")</f>
        <v>Rainbow Sevens</v>
      </c>
      <c r="C7" s="5" t="str">
        <f ca="1">IFERROR(__xludf.DUMMYFUNCTION("""COMPUTED_VALUE"""),"UnicornRainbowSevens")</f>
        <v>UnicornRainbowSevens</v>
      </c>
      <c r="D7" s="6">
        <f ca="1">IFERROR(__xludf.DUMMYFUNCTION("""COMPUTED_VALUE"""),44396)</f>
        <v>44396</v>
      </c>
      <c r="E7" s="5" t="str">
        <f ca="1">IFERROR(__xludf.DUMMYFUNCTION("""COMPUTED_VALUE"""),"Slot")</f>
        <v>Slot</v>
      </c>
      <c r="F7" s="5">
        <f ca="1">IFERROR(__xludf.DUMMYFUNCTION("""COMPUTED_VALUE"""),14.9)</f>
        <v>14.9</v>
      </c>
      <c r="G7" s="5" t="str">
        <f ca="1">IFERROR(__xludf.DUMMYFUNCTION("""COMPUTED_VALUE"""),"5X3")</f>
        <v>5X3</v>
      </c>
      <c r="H7" s="5" t="str">
        <f ca="1">IFERROR(__xludf.DUMMYFUNCTION("""COMPUTED_VALUE"""),"5")</f>
        <v>5</v>
      </c>
      <c r="I7" s="5" t="str">
        <f ca="1">IFERROR(__xludf.DUMMYFUNCTION("""COMPUTED_VALUE"""),"5")</f>
        <v>5</v>
      </c>
      <c r="J7" s="5" t="str">
        <f ca="1">IFERROR(__xludf.DUMMYFUNCTION("""COMPUTED_VALUE"""),"96%")</f>
        <v>96%</v>
      </c>
      <c r="K7" s="5" t="str">
        <f ca="1">IFERROR(__xludf.DUMMYFUNCTION("""COMPUTED_VALUE"""),"Low")</f>
        <v>Low</v>
      </c>
      <c r="L7" s="5" t="str">
        <f ca="1">IFERROR(__xludf.DUMMYFUNCTION("""COMPUTED_VALUE"""),"9.2%")</f>
        <v>9.2%</v>
      </c>
      <c r="M7" s="5" t="str">
        <f ca="1">IFERROR(__xludf.DUMMYFUNCTION("""COMPUTED_VALUE"""),"x1000")</f>
        <v>x1000</v>
      </c>
      <c r="N7" s="5" t="str">
        <f ca="1">IFERROR(__xludf.DUMMYFUNCTION("""COMPUTED_VALUE"""),"0.05/100")</f>
        <v>0.05/100</v>
      </c>
      <c r="O7" s="5" t="str">
        <f ca="1">IFERROR(__xludf.DUMMYFUNCTION("""COMPUTED_VALUE"""),"No")</f>
        <v>No</v>
      </c>
      <c r="P7" s="5"/>
      <c r="Q7" s="7" t="str">
        <f ca="1">IFERROR(__xludf.DUMMYFUNCTION("""COMPUTED_VALUE"""),"https://gameserver-store-client-area.orbionlimited.com/Home/IntegrationGameLaunch/client-area?moneyType=0&amp;gameName=UnicornRainbowSevens&amp;platform=desktop&amp;languageCode=eng&amp;currency=EUR")</f>
        <v>https://gameserver-store-client-area.orbionlimited.com/Home/IntegrationGameLaunch/client-area?moneyType=0&amp;gameName=UnicornRainbowSevens&amp;platform=desktop&amp;languageCode=eng&amp;currency=EUR</v>
      </c>
      <c r="R7" s="5" t="str">
        <f ca="1">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S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7" s="5" t="str">
        <f ca="1">IFERROR(__xludf.DUMMYFUNCTION("""COMPUTED_VALUE"""),"Yes")</f>
        <v>Yes</v>
      </c>
      <c r="U7" s="5" t="str">
        <f ca="1">IFERROR(__xludf.DUMMYFUNCTION("""COMPUTED_VALUE"""),"Yes")</f>
        <v>Yes</v>
      </c>
      <c r="V7" s="5" t="str">
        <f ca="1">IFERROR(__xludf.DUMMYFUNCTION("""COMPUTED_VALUE"""),"Yes")</f>
        <v>Yes</v>
      </c>
      <c r="W7" s="5" t="str">
        <f ca="1">IFERROR(__xludf.DUMMYFUNCTION("""COMPUTED_VALUE"""),"No")</f>
        <v>No</v>
      </c>
      <c r="X7" s="5" t="str">
        <f ca="1">IFERROR(__xludf.DUMMYFUNCTION("""COMPUTED_VALUE"""),"No")</f>
        <v>No</v>
      </c>
      <c r="Y7" s="5" t="str">
        <f ca="1">IFERROR(__xludf.DUMMYFUNCTION("""COMPUTED_VALUE"""),"No")</f>
        <v>No</v>
      </c>
      <c r="Z7" s="5" t="str">
        <f ca="1">IFERROR(__xludf.DUMMYFUNCTION("""COMPUTED_VALUE"""),"No")</f>
        <v>No</v>
      </c>
      <c r="AA7" s="5" t="str">
        <f ca="1">IFERROR(__xludf.DUMMYFUNCTION("""COMPUTED_VALUE"""),"No")</f>
        <v>No</v>
      </c>
      <c r="AB7" s="5" t="str">
        <f ca="1">IFERROR(__xludf.DUMMYFUNCTION("""COMPUTED_VALUE"""),"Yes")</f>
        <v>Yes</v>
      </c>
      <c r="AC7" s="5" t="str">
        <f ca="1">IFERROR(__xludf.DUMMYFUNCTION("""COMPUTED_VALUE"""),"Yes")</f>
        <v>Yes</v>
      </c>
      <c r="AD7" s="5" t="str">
        <f ca="1">IFERROR(__xludf.DUMMYFUNCTION("""COMPUTED_VALUE"""),"Yes")</f>
        <v>Yes</v>
      </c>
      <c r="AE7" s="5" t="str">
        <f ca="1">IFERROR(__xludf.DUMMYFUNCTION("""COMPUTED_VALUE"""),"Yes")</f>
        <v>Yes</v>
      </c>
      <c r="AF7" s="5" t="str">
        <f ca="1">IFERROR(__xludf.DUMMYFUNCTION("""COMPUTED_VALUE"""),"Yes")</f>
        <v>Yes</v>
      </c>
      <c r="AG7" s="5" t="str">
        <f ca="1">IFERROR(__xludf.DUMMYFUNCTION("""COMPUTED_VALUE"""),"No")</f>
        <v>No</v>
      </c>
      <c r="AH7" s="5" t="str">
        <f ca="1">IFERROR(__xludf.DUMMYFUNCTION("""COMPUTED_VALUE"""),"Yes")</f>
        <v>Yes</v>
      </c>
      <c r="AI7" s="5" t="str">
        <f ca="1">IFERROR(__xludf.DUMMYFUNCTION("""COMPUTED_VALUE"""),"No")</f>
        <v>No</v>
      </c>
      <c r="AJ7" s="5" t="str">
        <f ca="1">IFERROR(__xludf.DUMMYFUNCTION("""COMPUTED_VALUE"""),"No")</f>
        <v>No</v>
      </c>
      <c r="AK7" s="5" t="str">
        <f ca="1">IFERROR(__xludf.DUMMYFUNCTION("""COMPUTED_VALUE"""),"No")</f>
        <v>No</v>
      </c>
      <c r="AL7" s="5" t="str">
        <f ca="1">IFERROR(__xludf.DUMMYFUNCTION("""COMPUTED_VALUE"""),"No")</f>
        <v>No</v>
      </c>
      <c r="AM7" s="5" t="str">
        <f ca="1">IFERROR(__xludf.DUMMYFUNCTION("""COMPUTED_VALUE"""),"No")</f>
        <v>No</v>
      </c>
      <c r="AN7" s="5"/>
      <c r="AO7" s="5"/>
      <c r="AP7" s="5"/>
      <c r="AQ7" s="5" t="str">
        <f ca="1">IFERROR(__xludf.DUMMYFUNCTION("""COMPUTED_VALUE"""),"No")</f>
        <v>No</v>
      </c>
      <c r="AR7" s="5"/>
      <c r="AS7" s="5"/>
      <c r="AT7" s="5"/>
      <c r="AU7" s="5"/>
    </row>
    <row r="8" spans="1:77" x14ac:dyDescent="0.25">
      <c r="A8" s="5" t="str">
        <f ca="1">IFERROR(__xludf.DUMMYFUNCTION("""COMPUTED_VALUE"""),"Tiptop")</f>
        <v>Tiptop</v>
      </c>
      <c r="B8" s="5" t="str">
        <f ca="1">IFERROR(__xludf.DUMMYFUNCTION("""COMPUTED_VALUE"""),"Havana Dice")</f>
        <v>Havana Dice</v>
      </c>
      <c r="C8" s="5" t="str">
        <f ca="1">IFERROR(__xludf.DUMMYFUNCTION("""COMPUTED_VALUE"""),"UnicornHavanaDice")</f>
        <v>UnicornHavanaDice</v>
      </c>
      <c r="D8" s="6">
        <f ca="1">IFERROR(__xludf.DUMMYFUNCTION("""COMPUTED_VALUE"""),44606)</f>
        <v>44606</v>
      </c>
      <c r="E8" s="5" t="str">
        <f ca="1">IFERROR(__xludf.DUMMYFUNCTION("""COMPUTED_VALUE"""),"Dice Slots")</f>
        <v>Dice Slots</v>
      </c>
      <c r="F8" s="5">
        <f ca="1">IFERROR(__xludf.DUMMYFUNCTION("""COMPUTED_VALUE"""),11.5)</f>
        <v>11.5</v>
      </c>
      <c r="G8" s="5" t="str">
        <f ca="1">IFERROR(__xludf.DUMMYFUNCTION("""COMPUTED_VALUE"""),"5X3")</f>
        <v>5X3</v>
      </c>
      <c r="H8" s="5" t="str">
        <f ca="1">IFERROR(__xludf.DUMMYFUNCTION("""COMPUTED_VALUE"""),"10")</f>
        <v>10</v>
      </c>
      <c r="I8" s="5" t="str">
        <f ca="1">IFERROR(__xludf.DUMMYFUNCTION("""COMPUTED_VALUE"""),"10")</f>
        <v>10</v>
      </c>
      <c r="J8" s="5" t="str">
        <f ca="1">IFERROR(__xludf.DUMMYFUNCTION("""COMPUTED_VALUE"""),"96%")</f>
        <v>96%</v>
      </c>
      <c r="K8" s="5" t="str">
        <f ca="1">IFERROR(__xludf.DUMMYFUNCTION("""COMPUTED_VALUE"""),"Low")</f>
        <v>Low</v>
      </c>
      <c r="L8" s="5" t="str">
        <f ca="1">IFERROR(__xludf.DUMMYFUNCTION("""COMPUTED_VALUE"""),"12.79%")</f>
        <v>12.79%</v>
      </c>
      <c r="M8" s="5" t="str">
        <f ca="1">IFERROR(__xludf.DUMMYFUNCTION("""COMPUTED_VALUE"""),"x2000")</f>
        <v>x2000</v>
      </c>
      <c r="N8" s="5" t="str">
        <f ca="1">IFERROR(__xludf.DUMMYFUNCTION("""COMPUTED_VALUE"""),"0.1/100")</f>
        <v>0.1/100</v>
      </c>
      <c r="O8" s="5" t="str">
        <f ca="1">IFERROR(__xludf.DUMMYFUNCTION("""COMPUTED_VALUE"""),"No")</f>
        <v>No</v>
      </c>
      <c r="P8" s="5" t="str">
        <f ca="1">IFERROR(__xludf.DUMMYFUNCTION("""COMPUTED_VALUE"""),"Wild Symbol")</f>
        <v>Wild Symbol</v>
      </c>
      <c r="Q8" s="7" t="str">
        <f ca="1">IFERROR(__xludf.DUMMYFUNCTION("""COMPUTED_VALUE"""),"https://gameserver-store-client-area.orbionlimited.com/Home/IntegrationGameLaunch/client-area?moneyType=0&amp;gameName=UnicornHavanaDice&amp;platform=desktop&amp;languageCode=eng&amp;currency=EUR")</f>
        <v>https://gameserver-store-client-area.orbionlimited.com/Home/IntegrationGameLaunch/client-area?moneyType=0&amp;gameName=UnicornHavanaDice&amp;platform=desktop&amp;languageCode=eng&amp;currency=EUR</v>
      </c>
      <c r="R8" s="5" t="str">
        <f ca="1">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S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 ca="1">IFERROR(__xludf.DUMMYFUNCTION("""COMPUTED_VALUE"""),"Yes")</f>
        <v>Yes</v>
      </c>
      <c r="U8" s="5" t="str">
        <f ca="1">IFERROR(__xludf.DUMMYFUNCTION("""COMPUTED_VALUE"""),"Yes")</f>
        <v>Yes</v>
      </c>
      <c r="V8" s="5" t="str">
        <f ca="1">IFERROR(__xludf.DUMMYFUNCTION("""COMPUTED_VALUE"""),"Yes")</f>
        <v>Yes</v>
      </c>
      <c r="W8" s="5" t="str">
        <f ca="1">IFERROR(__xludf.DUMMYFUNCTION("""COMPUTED_VALUE"""),"No")</f>
        <v>No</v>
      </c>
      <c r="X8" s="5" t="str">
        <f ca="1">IFERROR(__xludf.DUMMYFUNCTION("""COMPUTED_VALUE"""),"No")</f>
        <v>No</v>
      </c>
      <c r="Y8" s="5" t="str">
        <f ca="1">IFERROR(__xludf.DUMMYFUNCTION("""COMPUTED_VALUE"""),"No")</f>
        <v>No</v>
      </c>
      <c r="Z8" s="5" t="str">
        <f ca="1">IFERROR(__xludf.DUMMYFUNCTION("""COMPUTED_VALUE"""),"No")</f>
        <v>No</v>
      </c>
      <c r="AA8" s="5" t="str">
        <f ca="1">IFERROR(__xludf.DUMMYFUNCTION("""COMPUTED_VALUE"""),"No")</f>
        <v>No</v>
      </c>
      <c r="AB8" s="5" t="str">
        <f ca="1">IFERROR(__xludf.DUMMYFUNCTION("""COMPUTED_VALUE"""),"Yes")</f>
        <v>Yes</v>
      </c>
      <c r="AC8" s="5" t="str">
        <f ca="1">IFERROR(__xludf.DUMMYFUNCTION("""COMPUTED_VALUE"""),"Yes")</f>
        <v>Yes</v>
      </c>
      <c r="AD8" s="5" t="str">
        <f ca="1">IFERROR(__xludf.DUMMYFUNCTION("""COMPUTED_VALUE"""),"Yes")</f>
        <v>Yes</v>
      </c>
      <c r="AE8" s="5" t="str">
        <f ca="1">IFERROR(__xludf.DUMMYFUNCTION("""COMPUTED_VALUE"""),"Yes")</f>
        <v>Yes</v>
      </c>
      <c r="AF8" s="5" t="str">
        <f ca="1">IFERROR(__xludf.DUMMYFUNCTION("""COMPUTED_VALUE"""),"Yes")</f>
        <v>Yes</v>
      </c>
      <c r="AG8" s="5" t="str">
        <f ca="1">IFERROR(__xludf.DUMMYFUNCTION("""COMPUTED_VALUE"""),"No")</f>
        <v>No</v>
      </c>
      <c r="AH8" s="5" t="str">
        <f ca="1">IFERROR(__xludf.DUMMYFUNCTION("""COMPUTED_VALUE"""),"Yes")</f>
        <v>Yes</v>
      </c>
      <c r="AI8" s="5" t="str">
        <f ca="1">IFERROR(__xludf.DUMMYFUNCTION("""COMPUTED_VALUE"""),"No")</f>
        <v>No</v>
      </c>
      <c r="AJ8" s="5" t="str">
        <f ca="1">IFERROR(__xludf.DUMMYFUNCTION("""COMPUTED_VALUE"""),"No")</f>
        <v>No</v>
      </c>
      <c r="AK8" s="5" t="str">
        <f ca="1">IFERROR(__xludf.DUMMYFUNCTION("""COMPUTED_VALUE"""),"No")</f>
        <v>No</v>
      </c>
      <c r="AL8" s="5" t="str">
        <f ca="1">IFERROR(__xludf.DUMMYFUNCTION("""COMPUTED_VALUE"""),"No")</f>
        <v>No</v>
      </c>
      <c r="AM8" s="5" t="str">
        <f ca="1">IFERROR(__xludf.DUMMYFUNCTION("""COMPUTED_VALUE"""),"No")</f>
        <v>No</v>
      </c>
      <c r="AN8" s="5"/>
      <c r="AO8" s="5"/>
      <c r="AP8" s="5"/>
      <c r="AQ8" s="5" t="str">
        <f ca="1">IFERROR(__xludf.DUMMYFUNCTION("""COMPUTED_VALUE"""),"No")</f>
        <v>No</v>
      </c>
      <c r="AR8" s="5"/>
      <c r="AS8" s="5"/>
      <c r="AT8" s="5"/>
      <c r="AU8" s="5"/>
    </row>
    <row r="9" spans="1:77" x14ac:dyDescent="0.25">
      <c r="A9" s="5" t="str">
        <f ca="1">IFERROR(__xludf.DUMMYFUNCTION("""COMPUTED_VALUE"""),"Tiptop")</f>
        <v>Tiptop</v>
      </c>
      <c r="B9" s="5" t="str">
        <f ca="1">IFERROR(__xludf.DUMMYFUNCTION("""COMPUTED_VALUE"""),"Casino Fruits")</f>
        <v>Casino Fruits</v>
      </c>
      <c r="C9" s="5" t="str">
        <f ca="1">IFERROR(__xludf.DUMMYFUNCTION("""COMPUTED_VALUE"""),"UnicornCasinoFruits")</f>
        <v>UnicornCasinoFruits</v>
      </c>
      <c r="D9" s="6">
        <f ca="1">IFERROR(__xludf.DUMMYFUNCTION("""COMPUTED_VALUE"""),44462)</f>
        <v>44462</v>
      </c>
      <c r="E9" s="5" t="str">
        <f ca="1">IFERROR(__xludf.DUMMYFUNCTION("""COMPUTED_VALUE"""),"Slot")</f>
        <v>Slot</v>
      </c>
      <c r="F9" s="5">
        <f ca="1">IFERROR(__xludf.DUMMYFUNCTION("""COMPUTED_VALUE"""),12.7)</f>
        <v>12.7</v>
      </c>
      <c r="G9" s="5" t="str">
        <f ca="1">IFERROR(__xludf.DUMMYFUNCTION("""COMPUTED_VALUE"""),"5X3")</f>
        <v>5X3</v>
      </c>
      <c r="H9" s="5" t="str">
        <f ca="1">IFERROR(__xludf.DUMMYFUNCTION("""COMPUTED_VALUE"""),"10")</f>
        <v>10</v>
      </c>
      <c r="I9" s="5" t="str">
        <f ca="1">IFERROR(__xludf.DUMMYFUNCTION("""COMPUTED_VALUE"""),"10")</f>
        <v>10</v>
      </c>
      <c r="J9" s="5" t="str">
        <f ca="1">IFERROR(__xludf.DUMMYFUNCTION("""COMPUTED_VALUE"""),"96%")</f>
        <v>96%</v>
      </c>
      <c r="K9" s="5" t="str">
        <f ca="1">IFERROR(__xludf.DUMMYFUNCTION("""COMPUTED_VALUE"""),"Low")</f>
        <v>Low</v>
      </c>
      <c r="L9" s="5" t="str">
        <f ca="1">IFERROR(__xludf.DUMMYFUNCTION("""COMPUTED_VALUE"""),"12.79%")</f>
        <v>12.79%</v>
      </c>
      <c r="M9" s="5" t="str">
        <f ca="1">IFERROR(__xludf.DUMMYFUNCTION("""COMPUTED_VALUE"""),"x2000")</f>
        <v>x2000</v>
      </c>
      <c r="N9" s="5" t="str">
        <f ca="1">IFERROR(__xludf.DUMMYFUNCTION("""COMPUTED_VALUE"""),"0.1/100")</f>
        <v>0.1/100</v>
      </c>
      <c r="O9" s="5" t="str">
        <f ca="1">IFERROR(__xludf.DUMMYFUNCTION("""COMPUTED_VALUE"""),"No")</f>
        <v>No</v>
      </c>
      <c r="P9" s="5" t="str">
        <f ca="1">IFERROR(__xludf.DUMMYFUNCTION("""COMPUTED_VALUE"""),"Wild Symbol")</f>
        <v>Wild Symbol</v>
      </c>
      <c r="Q9" s="7" t="str">
        <f ca="1">IFERROR(__xludf.DUMMYFUNCTION("""COMPUTED_VALUE"""),"https://gameserver-store-client-area.orbionlimited.com/Home/IntegrationGameLaunch/client-area?moneyType=0&amp;gameName=UnicornCasinoFruits&amp;platform=desktop&amp;languageCode=eng&amp;currency=EUR")</f>
        <v>https://gameserver-store-client-area.orbionlimited.com/Home/IntegrationGameLaunch/client-area?moneyType=0&amp;gameName=UnicornCasinoFruits&amp;platform=desktop&amp;languageCode=eng&amp;currency=EUR</v>
      </c>
      <c r="R9" s="5" t="str">
        <f ca="1">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S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9" s="5" t="str">
        <f ca="1">IFERROR(__xludf.DUMMYFUNCTION("""COMPUTED_VALUE"""),"Yes")</f>
        <v>Yes</v>
      </c>
      <c r="U9" s="5" t="str">
        <f ca="1">IFERROR(__xludf.DUMMYFUNCTION("""COMPUTED_VALUE"""),"Yes")</f>
        <v>Yes</v>
      </c>
      <c r="V9" s="5" t="str">
        <f ca="1">IFERROR(__xludf.DUMMYFUNCTION("""COMPUTED_VALUE"""),"Yes")</f>
        <v>Yes</v>
      </c>
      <c r="W9" s="5" t="str">
        <f ca="1">IFERROR(__xludf.DUMMYFUNCTION("""COMPUTED_VALUE"""),"No")</f>
        <v>No</v>
      </c>
      <c r="X9" s="5" t="str">
        <f ca="1">IFERROR(__xludf.DUMMYFUNCTION("""COMPUTED_VALUE"""),"No")</f>
        <v>No</v>
      </c>
      <c r="Y9" s="5" t="str">
        <f ca="1">IFERROR(__xludf.DUMMYFUNCTION("""COMPUTED_VALUE"""),"No")</f>
        <v>No</v>
      </c>
      <c r="Z9" s="5" t="str">
        <f ca="1">IFERROR(__xludf.DUMMYFUNCTION("""COMPUTED_VALUE"""),"No")</f>
        <v>No</v>
      </c>
      <c r="AA9" s="5" t="str">
        <f ca="1">IFERROR(__xludf.DUMMYFUNCTION("""COMPUTED_VALUE"""),"No")</f>
        <v>No</v>
      </c>
      <c r="AB9" s="5" t="str">
        <f ca="1">IFERROR(__xludf.DUMMYFUNCTION("""COMPUTED_VALUE"""),"Yes")</f>
        <v>Yes</v>
      </c>
      <c r="AC9" s="5" t="str">
        <f ca="1">IFERROR(__xludf.DUMMYFUNCTION("""COMPUTED_VALUE"""),"Yes")</f>
        <v>Yes</v>
      </c>
      <c r="AD9" s="5" t="str">
        <f ca="1">IFERROR(__xludf.DUMMYFUNCTION("""COMPUTED_VALUE"""),"Yes")</f>
        <v>Yes</v>
      </c>
      <c r="AE9" s="5" t="str">
        <f ca="1">IFERROR(__xludf.DUMMYFUNCTION("""COMPUTED_VALUE"""),"Yes")</f>
        <v>Yes</v>
      </c>
      <c r="AF9" s="5" t="str">
        <f ca="1">IFERROR(__xludf.DUMMYFUNCTION("""COMPUTED_VALUE"""),"Yes")</f>
        <v>Yes</v>
      </c>
      <c r="AG9" s="5" t="str">
        <f ca="1">IFERROR(__xludf.DUMMYFUNCTION("""COMPUTED_VALUE"""),"No")</f>
        <v>No</v>
      </c>
      <c r="AH9" s="5" t="str">
        <f ca="1">IFERROR(__xludf.DUMMYFUNCTION("""COMPUTED_VALUE"""),"Yes")</f>
        <v>Yes</v>
      </c>
      <c r="AI9" s="5" t="str">
        <f ca="1">IFERROR(__xludf.DUMMYFUNCTION("""COMPUTED_VALUE"""),"No")</f>
        <v>No</v>
      </c>
      <c r="AJ9" s="5" t="str">
        <f ca="1">IFERROR(__xludf.DUMMYFUNCTION("""COMPUTED_VALUE"""),"No")</f>
        <v>No</v>
      </c>
      <c r="AK9" s="5" t="str">
        <f ca="1">IFERROR(__xludf.DUMMYFUNCTION("""COMPUTED_VALUE"""),"No")</f>
        <v>No</v>
      </c>
      <c r="AL9" s="5" t="str">
        <f ca="1">IFERROR(__xludf.DUMMYFUNCTION("""COMPUTED_VALUE"""),"No")</f>
        <v>No</v>
      </c>
      <c r="AM9" s="5" t="str">
        <f ca="1">IFERROR(__xludf.DUMMYFUNCTION("""COMPUTED_VALUE"""),"No")</f>
        <v>No</v>
      </c>
      <c r="AN9" s="5"/>
      <c r="AO9" s="5"/>
      <c r="AP9" s="5"/>
      <c r="AQ9" s="5" t="str">
        <f ca="1">IFERROR(__xludf.DUMMYFUNCTION("""COMPUTED_VALUE"""),"No")</f>
        <v>No</v>
      </c>
      <c r="AR9" s="5"/>
      <c r="AS9" s="5"/>
      <c r="AT9" s="5"/>
      <c r="AU9" s="5"/>
    </row>
    <row r="10" spans="1:77" x14ac:dyDescent="0.25">
      <c r="A10" s="5" t="str">
        <f ca="1">IFERROR(__xludf.DUMMYFUNCTION("""COMPUTED_VALUE"""),"Tiptop")</f>
        <v>Tiptop</v>
      </c>
      <c r="B10" s="5" t="str">
        <f ca="1">IFERROR(__xludf.DUMMYFUNCTION("""COMPUTED_VALUE"""),"The Crown Fruit")</f>
        <v>The Crown Fruit</v>
      </c>
      <c r="C10" s="5" t="str">
        <f ca="1">IFERROR(__xludf.DUMMYFUNCTION("""COMPUTED_VALUE"""),"UnicornTheCrownFruit")</f>
        <v>UnicornTheCrownFruit</v>
      </c>
      <c r="D10" s="6">
        <f ca="1">IFERROR(__xludf.DUMMYFUNCTION("""COMPUTED_VALUE"""),44421)</f>
        <v>44421</v>
      </c>
      <c r="E10" s="5" t="str">
        <f ca="1">IFERROR(__xludf.DUMMYFUNCTION("""COMPUTED_VALUE"""),"Slot")</f>
        <v>Slot</v>
      </c>
      <c r="F10" s="5">
        <f ca="1">IFERROR(__xludf.DUMMYFUNCTION("""COMPUTED_VALUE"""),12.7)</f>
        <v>12.7</v>
      </c>
      <c r="G10" s="5" t="str">
        <f ca="1">IFERROR(__xludf.DUMMYFUNCTION("""COMPUTED_VALUE"""),"5X3")</f>
        <v>5X3</v>
      </c>
      <c r="H10" s="5" t="str">
        <f ca="1">IFERROR(__xludf.DUMMYFUNCTION("""COMPUTED_VALUE"""),"10")</f>
        <v>10</v>
      </c>
      <c r="I10" s="5" t="str">
        <f ca="1">IFERROR(__xludf.DUMMYFUNCTION("""COMPUTED_VALUE"""),"10")</f>
        <v>10</v>
      </c>
      <c r="J10" s="5" t="str">
        <f ca="1">IFERROR(__xludf.DUMMYFUNCTION("""COMPUTED_VALUE"""),"96%")</f>
        <v>96%</v>
      </c>
      <c r="K10" s="5" t="str">
        <f ca="1">IFERROR(__xludf.DUMMYFUNCTION("""COMPUTED_VALUE"""),"Low")</f>
        <v>Low</v>
      </c>
      <c r="L10" s="5" t="str">
        <f ca="1">IFERROR(__xludf.DUMMYFUNCTION("""COMPUTED_VALUE"""),"26.12%")</f>
        <v>26.12%</v>
      </c>
      <c r="M10" s="5" t="str">
        <f ca="1">IFERROR(__xludf.DUMMYFUNCTION("""COMPUTED_VALUE"""),"x1060")</f>
        <v>x1060</v>
      </c>
      <c r="N10" s="5" t="str">
        <f ca="1">IFERROR(__xludf.DUMMYFUNCTION("""COMPUTED_VALUE"""),"0.1/100")</f>
        <v>0.1/100</v>
      </c>
      <c r="O10" s="5" t="str">
        <f ca="1">IFERROR(__xludf.DUMMYFUNCTION("""COMPUTED_VALUE"""),"No")</f>
        <v>No</v>
      </c>
      <c r="P10" s="5" t="str">
        <f ca="1">IFERROR(__xludf.DUMMYFUNCTION("""COMPUTED_VALUE"""),"Expanding Wild")</f>
        <v>Expanding Wild</v>
      </c>
      <c r="Q10" s="7" t="str">
        <f ca="1">IFERROR(__xludf.DUMMYFUNCTION("""COMPUTED_VALUE"""),"https://gameserver-store-client-area.orbionlimited.com/Home/IntegrationGameLaunch/client-area?moneyType=0&amp;gameName=UnicornTheCrownFruit&amp;platform=desktop&amp;languageCode=eng&amp;currency=EUR")</f>
        <v>https://gameserver-store-client-area.orbionlimited.com/Home/IntegrationGameLaunch/client-area?moneyType=0&amp;gameName=UnicornTheCrownFruit&amp;platform=desktop&amp;languageCode=eng&amp;currency=EUR</v>
      </c>
      <c r="R10" s="5" t="str">
        <f ca="1">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S1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 ca="1">IFERROR(__xludf.DUMMYFUNCTION("""COMPUTED_VALUE"""),"Yes")</f>
        <v>Yes</v>
      </c>
      <c r="U10" s="5" t="str">
        <f ca="1">IFERROR(__xludf.DUMMYFUNCTION("""COMPUTED_VALUE"""),"Yes")</f>
        <v>Yes</v>
      </c>
      <c r="V10" s="5" t="str">
        <f ca="1">IFERROR(__xludf.DUMMYFUNCTION("""COMPUTED_VALUE"""),"Yes")</f>
        <v>Yes</v>
      </c>
      <c r="W10" s="5" t="str">
        <f ca="1">IFERROR(__xludf.DUMMYFUNCTION("""COMPUTED_VALUE"""),"No")</f>
        <v>No</v>
      </c>
      <c r="X10" s="5" t="str">
        <f ca="1">IFERROR(__xludf.DUMMYFUNCTION("""COMPUTED_VALUE"""),"No")</f>
        <v>No</v>
      </c>
      <c r="Y10" s="5" t="str">
        <f ca="1">IFERROR(__xludf.DUMMYFUNCTION("""COMPUTED_VALUE"""),"No")</f>
        <v>No</v>
      </c>
      <c r="Z10" s="5" t="str">
        <f ca="1">IFERROR(__xludf.DUMMYFUNCTION("""COMPUTED_VALUE"""),"No")</f>
        <v>No</v>
      </c>
      <c r="AA10" s="5" t="str">
        <f ca="1">IFERROR(__xludf.DUMMYFUNCTION("""COMPUTED_VALUE"""),"No")</f>
        <v>No</v>
      </c>
      <c r="AB10" s="5" t="str">
        <f ca="1">IFERROR(__xludf.DUMMYFUNCTION("""COMPUTED_VALUE"""),"Yes")</f>
        <v>Yes</v>
      </c>
      <c r="AC10" s="5" t="str">
        <f ca="1">IFERROR(__xludf.DUMMYFUNCTION("""COMPUTED_VALUE"""),"Yes")</f>
        <v>Yes</v>
      </c>
      <c r="AD10" s="5" t="str">
        <f ca="1">IFERROR(__xludf.DUMMYFUNCTION("""COMPUTED_VALUE"""),"Yes")</f>
        <v>Yes</v>
      </c>
      <c r="AE10" s="5" t="str">
        <f ca="1">IFERROR(__xludf.DUMMYFUNCTION("""COMPUTED_VALUE"""),"Yes")</f>
        <v>Yes</v>
      </c>
      <c r="AF10" s="5" t="str">
        <f ca="1">IFERROR(__xludf.DUMMYFUNCTION("""COMPUTED_VALUE"""),"Yes")</f>
        <v>Yes</v>
      </c>
      <c r="AG10" s="5" t="str">
        <f ca="1">IFERROR(__xludf.DUMMYFUNCTION("""COMPUTED_VALUE"""),"No")</f>
        <v>No</v>
      </c>
      <c r="AH10" s="5" t="str">
        <f ca="1">IFERROR(__xludf.DUMMYFUNCTION("""COMPUTED_VALUE"""),"Yes")</f>
        <v>Yes</v>
      </c>
      <c r="AI10" s="5" t="str">
        <f ca="1">IFERROR(__xludf.DUMMYFUNCTION("""COMPUTED_VALUE"""),"No")</f>
        <v>No</v>
      </c>
      <c r="AJ10" s="5" t="str">
        <f ca="1">IFERROR(__xludf.DUMMYFUNCTION("""COMPUTED_VALUE"""),"No")</f>
        <v>No</v>
      </c>
      <c r="AK10" s="5" t="str">
        <f ca="1">IFERROR(__xludf.DUMMYFUNCTION("""COMPUTED_VALUE"""),"No")</f>
        <v>No</v>
      </c>
      <c r="AL10" s="5" t="str">
        <f ca="1">IFERROR(__xludf.DUMMYFUNCTION("""COMPUTED_VALUE"""),"No")</f>
        <v>No</v>
      </c>
      <c r="AM10" s="5" t="str">
        <f ca="1">IFERROR(__xludf.DUMMYFUNCTION("""COMPUTED_VALUE"""),"No")</f>
        <v>No</v>
      </c>
      <c r="AN10" s="5"/>
      <c r="AO10" s="5"/>
      <c r="AP10" s="5"/>
      <c r="AQ10" s="5" t="str">
        <f ca="1">IFERROR(__xludf.DUMMYFUNCTION("""COMPUTED_VALUE"""),"No")</f>
        <v>No</v>
      </c>
      <c r="AR10" s="5"/>
      <c r="AS10" s="5"/>
      <c r="AT10" s="5"/>
      <c r="AU10" s="5"/>
    </row>
    <row r="11" spans="1:77" x14ac:dyDescent="0.25">
      <c r="A11" s="5" t="str">
        <f ca="1">IFERROR(__xludf.DUMMYFUNCTION("""COMPUTED_VALUE"""),"Tiptop")</f>
        <v>Tiptop</v>
      </c>
      <c r="B11" s="5" t="str">
        <f ca="1">IFERROR(__xludf.DUMMYFUNCTION("""COMPUTED_VALUE"""),"Twenty Fruits")</f>
        <v>Twenty Fruits</v>
      </c>
      <c r="C11" s="5" t="str">
        <f ca="1">IFERROR(__xludf.DUMMYFUNCTION("""COMPUTED_VALUE"""),"UnicornTwentyFruits")</f>
        <v>UnicornTwentyFruits</v>
      </c>
      <c r="D11" s="6">
        <f ca="1">IFERROR(__xludf.DUMMYFUNCTION("""COMPUTED_VALUE"""),44519)</f>
        <v>44519</v>
      </c>
      <c r="E11" s="5" t="str">
        <f ca="1">IFERROR(__xludf.DUMMYFUNCTION("""COMPUTED_VALUE"""),"Slot")</f>
        <v>Slot</v>
      </c>
      <c r="F11" s="5">
        <f ca="1">IFERROR(__xludf.DUMMYFUNCTION("""COMPUTED_VALUE"""),9)</f>
        <v>9</v>
      </c>
      <c r="G11" s="5" t="str">
        <f ca="1">IFERROR(__xludf.DUMMYFUNCTION("""COMPUTED_VALUE"""),"5x4")</f>
        <v>5x4</v>
      </c>
      <c r="H11" s="5" t="str">
        <f ca="1">IFERROR(__xludf.DUMMYFUNCTION("""COMPUTED_VALUE"""),"20")</f>
        <v>20</v>
      </c>
      <c r="I11" s="5" t="str">
        <f ca="1">IFERROR(__xludf.DUMMYFUNCTION("""COMPUTED_VALUE"""),"20")</f>
        <v>20</v>
      </c>
      <c r="J11" s="5" t="str">
        <f ca="1">IFERROR(__xludf.DUMMYFUNCTION("""COMPUTED_VALUE"""),"96%")</f>
        <v>96%</v>
      </c>
      <c r="K11" s="5" t="str">
        <f ca="1">IFERROR(__xludf.DUMMYFUNCTION("""COMPUTED_VALUE"""),"Low")</f>
        <v>Low</v>
      </c>
      <c r="L11" s="5" t="str">
        <f ca="1">IFERROR(__xludf.DUMMYFUNCTION("""COMPUTED_VALUE"""),"11.7%")</f>
        <v>11.7%</v>
      </c>
      <c r="M11" s="5" t="str">
        <f ca="1">IFERROR(__xludf.DUMMYFUNCTION("""COMPUTED_VALUE"""),"x5000")</f>
        <v>x5000</v>
      </c>
      <c r="N11" s="5" t="str">
        <f ca="1">IFERROR(__xludf.DUMMYFUNCTION("""COMPUTED_VALUE"""),"0.2/100")</f>
        <v>0.2/100</v>
      </c>
      <c r="O11" s="5" t="str">
        <f ca="1">IFERROR(__xludf.DUMMYFUNCTION("""COMPUTED_VALUE"""),"No")</f>
        <v>No</v>
      </c>
      <c r="P11" s="5"/>
      <c r="Q11" s="7" t="str">
        <f ca="1">IFERROR(__xludf.DUMMYFUNCTION("""COMPUTED_VALUE"""),"https://gameserver-store-client-area.orbionlimited.com/Home/IntegrationGameLaunch/client-area?moneyType=0&amp;gameName=UnicornTwentyFruits&amp;platform=desktop&amp;languageCode=eng&amp;currency=EUR")</f>
        <v>https://gameserver-store-client-area.orbionlimited.com/Home/IntegrationGameLaunch/client-area?moneyType=0&amp;gameName=UnicornTwentyFruits&amp;platform=desktop&amp;languageCode=eng&amp;currency=EUR</v>
      </c>
      <c r="R11" s="5" t="str">
        <f ca="1">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S1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1" s="5" t="str">
        <f ca="1">IFERROR(__xludf.DUMMYFUNCTION("""COMPUTED_VALUE"""),"Yes")</f>
        <v>Yes</v>
      </c>
      <c r="U11" s="5" t="str">
        <f ca="1">IFERROR(__xludf.DUMMYFUNCTION("""COMPUTED_VALUE"""),"Yes")</f>
        <v>Yes</v>
      </c>
      <c r="V11" s="5" t="str">
        <f ca="1">IFERROR(__xludf.DUMMYFUNCTION("""COMPUTED_VALUE"""),"Yes")</f>
        <v>Yes</v>
      </c>
      <c r="W11" s="5" t="str">
        <f ca="1">IFERROR(__xludf.DUMMYFUNCTION("""COMPUTED_VALUE"""),"No")</f>
        <v>No</v>
      </c>
      <c r="X11" s="5" t="str">
        <f ca="1">IFERROR(__xludf.DUMMYFUNCTION("""COMPUTED_VALUE"""),"No")</f>
        <v>No</v>
      </c>
      <c r="Y11" s="5" t="str">
        <f ca="1">IFERROR(__xludf.DUMMYFUNCTION("""COMPUTED_VALUE"""),"No")</f>
        <v>No</v>
      </c>
      <c r="Z11" s="5" t="str">
        <f ca="1">IFERROR(__xludf.DUMMYFUNCTION("""COMPUTED_VALUE"""),"No")</f>
        <v>No</v>
      </c>
      <c r="AA11" s="5" t="str">
        <f ca="1">IFERROR(__xludf.DUMMYFUNCTION("""COMPUTED_VALUE"""),"No")</f>
        <v>No</v>
      </c>
      <c r="AB11" s="5" t="str">
        <f ca="1">IFERROR(__xludf.DUMMYFUNCTION("""COMPUTED_VALUE"""),"Yes")</f>
        <v>Yes</v>
      </c>
      <c r="AC11" s="5" t="str">
        <f ca="1">IFERROR(__xludf.DUMMYFUNCTION("""COMPUTED_VALUE"""),"Yes")</f>
        <v>Yes</v>
      </c>
      <c r="AD11" s="5" t="str">
        <f ca="1">IFERROR(__xludf.DUMMYFUNCTION("""COMPUTED_VALUE"""),"Yes")</f>
        <v>Yes</v>
      </c>
      <c r="AE11" s="5" t="str">
        <f ca="1">IFERROR(__xludf.DUMMYFUNCTION("""COMPUTED_VALUE"""),"Yes")</f>
        <v>Yes</v>
      </c>
      <c r="AF11" s="5" t="str">
        <f ca="1">IFERROR(__xludf.DUMMYFUNCTION("""COMPUTED_VALUE"""),"Yes")</f>
        <v>Yes</v>
      </c>
      <c r="AG11" s="5" t="str">
        <f ca="1">IFERROR(__xludf.DUMMYFUNCTION("""COMPUTED_VALUE"""),"No")</f>
        <v>No</v>
      </c>
      <c r="AH11" s="5" t="str">
        <f ca="1">IFERROR(__xludf.DUMMYFUNCTION("""COMPUTED_VALUE"""),"Yes")</f>
        <v>Yes</v>
      </c>
      <c r="AI11" s="5" t="str">
        <f ca="1">IFERROR(__xludf.DUMMYFUNCTION("""COMPUTED_VALUE"""),"No")</f>
        <v>No</v>
      </c>
      <c r="AJ11" s="5" t="str">
        <f ca="1">IFERROR(__xludf.DUMMYFUNCTION("""COMPUTED_VALUE"""),"No")</f>
        <v>No</v>
      </c>
      <c r="AK11" s="5" t="str">
        <f ca="1">IFERROR(__xludf.DUMMYFUNCTION("""COMPUTED_VALUE"""),"No")</f>
        <v>No</v>
      </c>
      <c r="AL11" s="5" t="str">
        <f ca="1">IFERROR(__xludf.DUMMYFUNCTION("""COMPUTED_VALUE"""),"No")</f>
        <v>No</v>
      </c>
      <c r="AM11" s="5" t="str">
        <f ca="1">IFERROR(__xludf.DUMMYFUNCTION("""COMPUTED_VALUE"""),"No")</f>
        <v>No</v>
      </c>
      <c r="AN11" s="5"/>
      <c r="AO11" s="5"/>
      <c r="AP11" s="5"/>
      <c r="AQ11" s="5" t="str">
        <f ca="1">IFERROR(__xludf.DUMMYFUNCTION("""COMPUTED_VALUE"""),"No")</f>
        <v>No</v>
      </c>
      <c r="AR11" s="5"/>
      <c r="AS11" s="5"/>
      <c r="AT11" s="5"/>
      <c r="AU11" s="5"/>
    </row>
    <row r="12" spans="1:77" x14ac:dyDescent="0.25">
      <c r="A12" s="5" t="str">
        <f ca="1">IFERROR(__xludf.DUMMYFUNCTION("""COMPUTED_VALUE"""),"Tiptop")</f>
        <v>Tiptop</v>
      </c>
      <c r="B12" s="5" t="str">
        <f ca="1">IFERROR(__xludf.DUMMYFUNCTION("""COMPUTED_VALUE"""),"Twenty Dice")</f>
        <v>Twenty Dice</v>
      </c>
      <c r="C12" s="5" t="str">
        <f ca="1">IFERROR(__xludf.DUMMYFUNCTION("""COMPUTED_VALUE"""),"UnicornTwentyDice")</f>
        <v>UnicornTwentyDice</v>
      </c>
      <c r="D12" s="6">
        <f ca="1">IFERROR(__xludf.DUMMYFUNCTION("""COMPUTED_VALUE"""),44519)</f>
        <v>44519</v>
      </c>
      <c r="E12" s="5" t="str">
        <f ca="1">IFERROR(__xludf.DUMMYFUNCTION("""COMPUTED_VALUE"""),"Dice Slots")</f>
        <v>Dice Slots</v>
      </c>
      <c r="F12" s="5">
        <f ca="1">IFERROR(__xludf.DUMMYFUNCTION("""COMPUTED_VALUE"""),9)</f>
        <v>9</v>
      </c>
      <c r="G12" s="5" t="str">
        <f ca="1">IFERROR(__xludf.DUMMYFUNCTION("""COMPUTED_VALUE"""),"5x4")</f>
        <v>5x4</v>
      </c>
      <c r="H12" s="5" t="str">
        <f ca="1">IFERROR(__xludf.DUMMYFUNCTION("""COMPUTED_VALUE"""),"20")</f>
        <v>20</v>
      </c>
      <c r="I12" s="5" t="str">
        <f ca="1">IFERROR(__xludf.DUMMYFUNCTION("""COMPUTED_VALUE"""),"20")</f>
        <v>20</v>
      </c>
      <c r="J12" s="5" t="str">
        <f ca="1">IFERROR(__xludf.DUMMYFUNCTION("""COMPUTED_VALUE"""),"96%")</f>
        <v>96%</v>
      </c>
      <c r="K12" s="5" t="str">
        <f ca="1">IFERROR(__xludf.DUMMYFUNCTION("""COMPUTED_VALUE"""),"Low")</f>
        <v>Low</v>
      </c>
      <c r="L12" s="5" t="str">
        <f ca="1">IFERROR(__xludf.DUMMYFUNCTION("""COMPUTED_VALUE"""),"11.7%")</f>
        <v>11.7%</v>
      </c>
      <c r="M12" s="5" t="str">
        <f ca="1">IFERROR(__xludf.DUMMYFUNCTION("""COMPUTED_VALUE"""),"x5000")</f>
        <v>x5000</v>
      </c>
      <c r="N12" s="5" t="str">
        <f ca="1">IFERROR(__xludf.DUMMYFUNCTION("""COMPUTED_VALUE"""),"0.2/100")</f>
        <v>0.2/100</v>
      </c>
      <c r="O12" s="5" t="str">
        <f ca="1">IFERROR(__xludf.DUMMYFUNCTION("""COMPUTED_VALUE"""),"No")</f>
        <v>No</v>
      </c>
      <c r="P12" s="5"/>
      <c r="Q12" s="7" t="str">
        <f ca="1">IFERROR(__xludf.DUMMYFUNCTION("""COMPUTED_VALUE"""),"https://gameserver-store-client-area.orbionlimited.com/Home/IntegrationGameLaunch/client-area?moneyType=0&amp;gameName=UnicornTwentyDice&amp;platform=desktop&amp;languageCode=eng&amp;currency=EUR")</f>
        <v>https://gameserver-store-client-area.orbionlimited.com/Home/IntegrationGameLaunch/client-area?moneyType=0&amp;gameName=UnicornTwentyDice&amp;platform=desktop&amp;languageCode=eng&amp;currency=EUR</v>
      </c>
      <c r="R12" s="5" t="str">
        <f ca="1">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S1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IFERROR(__xludf.DUMMYFUNCTION("""COMPUTED_VALUE"""),"No")</f>
        <v>No</v>
      </c>
      <c r="X12" s="5" t="str">
        <f ca="1">IFERROR(__xludf.DUMMYFUNCTION("""COMPUTED_VALUE"""),"No")</f>
        <v>No</v>
      </c>
      <c r="Y12" s="5" t="str">
        <f ca="1">IFERROR(__xludf.DUMMYFUNCTION("""COMPUTED_VALUE"""),"No")</f>
        <v>No</v>
      </c>
      <c r="Z12" s="5" t="str">
        <f ca="1">IFERROR(__xludf.DUMMYFUNCTION("""COMPUTED_VALUE"""),"No")</f>
        <v>No</v>
      </c>
      <c r="AA12" s="5" t="str">
        <f ca="1">IFERROR(__xludf.DUMMYFUNCTION("""COMPUTED_VALUE"""),"No")</f>
        <v>No</v>
      </c>
      <c r="AB12" s="5" t="str">
        <f ca="1">IFERROR(__xludf.DUMMYFUNCTION("""COMPUTED_VALUE"""),"Yes")</f>
        <v>Yes</v>
      </c>
      <c r="AC12" s="5" t="str">
        <f ca="1">IFERROR(__xludf.DUMMYFUNCTION("""COMPUTED_VALUE"""),"Yes")</f>
        <v>Yes</v>
      </c>
      <c r="AD12" s="5" t="str">
        <f ca="1">IFERROR(__xludf.DUMMYFUNCTION("""COMPUTED_VALUE"""),"Yes")</f>
        <v>Yes</v>
      </c>
      <c r="AE12" s="5" t="str">
        <f ca="1">IFERROR(__xludf.DUMMYFUNCTION("""COMPUTED_VALUE"""),"Yes")</f>
        <v>Yes</v>
      </c>
      <c r="AF12" s="5" t="str">
        <f ca="1">IFERROR(__xludf.DUMMYFUNCTION("""COMPUTED_VALUE"""),"Yes")</f>
        <v>Yes</v>
      </c>
      <c r="AG12" s="5" t="str">
        <f ca="1">IFERROR(__xludf.DUMMYFUNCTION("""COMPUTED_VALUE"""),"No")</f>
        <v>No</v>
      </c>
      <c r="AH12" s="5" t="str">
        <f ca="1">IFERROR(__xludf.DUMMYFUNCTION("""COMPUTED_VALUE"""),"Yes")</f>
        <v>Yes</v>
      </c>
      <c r="AI12" s="5" t="str">
        <f ca="1">IFERROR(__xludf.DUMMYFUNCTION("""COMPUTED_VALUE"""),"No")</f>
        <v>No</v>
      </c>
      <c r="AJ12" s="5" t="str">
        <f ca="1">IFERROR(__xludf.DUMMYFUNCTION("""COMPUTED_VALUE"""),"No")</f>
        <v>No</v>
      </c>
      <c r="AK12" s="5" t="str">
        <f ca="1">IFERROR(__xludf.DUMMYFUNCTION("""COMPUTED_VALUE"""),"No")</f>
        <v>No</v>
      </c>
      <c r="AL12" s="5" t="str">
        <f ca="1">IFERROR(__xludf.DUMMYFUNCTION("""COMPUTED_VALUE"""),"No")</f>
        <v>No</v>
      </c>
      <c r="AM12" s="5" t="str">
        <f ca="1">IFERROR(__xludf.DUMMYFUNCTION("""COMPUTED_VALUE"""),"No")</f>
        <v>No</v>
      </c>
      <c r="AN12" s="5"/>
      <c r="AO12" s="5"/>
      <c r="AP12" s="5"/>
      <c r="AQ12" s="5" t="str">
        <f ca="1">IFERROR(__xludf.DUMMYFUNCTION("""COMPUTED_VALUE"""),"No")</f>
        <v>No</v>
      </c>
      <c r="AR12" s="5"/>
      <c r="AS12" s="5"/>
      <c r="AT12" s="5"/>
      <c r="AU12" s="5"/>
    </row>
    <row r="13" spans="1:77" x14ac:dyDescent="0.25">
      <c r="A13" s="5" t="str">
        <f ca="1">IFERROR(__xludf.DUMMYFUNCTION("""COMPUTED_VALUE"""),"Tiptop")</f>
        <v>Tiptop</v>
      </c>
      <c r="B13" s="5" t="str">
        <f ca="1">IFERROR(__xludf.DUMMYFUNCTION("""COMPUTED_VALUE"""),"Island Respins")</f>
        <v>Island Respins</v>
      </c>
      <c r="C13" s="5" t="str">
        <f ca="1">IFERROR(__xludf.DUMMYFUNCTION("""COMPUTED_VALUE"""),"UnicornIslandRespins")</f>
        <v>UnicornIslandRespins</v>
      </c>
      <c r="D13" s="6">
        <f ca="1">IFERROR(__xludf.DUMMYFUNCTION("""COMPUTED_VALUE"""),44796)</f>
        <v>44796</v>
      </c>
      <c r="E13" s="5" t="str">
        <f ca="1">IFERROR(__xludf.DUMMYFUNCTION("""COMPUTED_VALUE"""),"Slot")</f>
        <v>Slot</v>
      </c>
      <c r="F13" s="5">
        <f ca="1">IFERROR(__xludf.DUMMYFUNCTION("""COMPUTED_VALUE"""),12.4)</f>
        <v>12.4</v>
      </c>
      <c r="G13" s="5" t="str">
        <f ca="1">IFERROR(__xludf.DUMMYFUNCTION("""COMPUTED_VALUE"""),"5X3")</f>
        <v>5X3</v>
      </c>
      <c r="H13" s="5" t="str">
        <f ca="1">IFERROR(__xludf.DUMMYFUNCTION("""COMPUTED_VALUE"""),"10")</f>
        <v>10</v>
      </c>
      <c r="I13" s="5" t="str">
        <f ca="1">IFERROR(__xludf.DUMMYFUNCTION("""COMPUTED_VALUE"""),"10")</f>
        <v>10</v>
      </c>
      <c r="J13" s="5" t="str">
        <f ca="1">IFERROR(__xludf.DUMMYFUNCTION("""COMPUTED_VALUE"""),"96%")</f>
        <v>96%</v>
      </c>
      <c r="K13" s="5" t="str">
        <f ca="1">IFERROR(__xludf.DUMMYFUNCTION("""COMPUTED_VALUE"""),"Medium")</f>
        <v>Medium</v>
      </c>
      <c r="L13" s="5" t="str">
        <f ca="1">IFERROR(__xludf.DUMMYFUNCTION("""COMPUTED_VALUE"""),"12.55%")</f>
        <v>12.55%</v>
      </c>
      <c r="M13" s="5" t="str">
        <f ca="1">IFERROR(__xludf.DUMMYFUNCTION("""COMPUTED_VALUE"""),"x5000")</f>
        <v>x5000</v>
      </c>
      <c r="N13" s="5" t="str">
        <f ca="1">IFERROR(__xludf.DUMMYFUNCTION("""COMPUTED_VALUE"""),"0.1/100")</f>
        <v>0.1/100</v>
      </c>
      <c r="O13" s="5" t="str">
        <f ca="1">IFERROR(__xludf.DUMMYFUNCTION("""COMPUTED_VALUE"""),"No")</f>
        <v>No</v>
      </c>
      <c r="P13" s="5" t="str">
        <f ca="1">IFERROR(__xludf.DUMMYFUNCTION("""COMPUTED_VALUE"""),"Respin, TipTop Feature - Island Respins")</f>
        <v>Respin, TipTop Feature - Island Respins</v>
      </c>
      <c r="Q13" s="7" t="str">
        <f ca="1">IFERROR(__xludf.DUMMYFUNCTION("""COMPUTED_VALUE"""),"https://gameserver-store-client-area.orbionlimited.com/Home/IntegrationGameLaunch/client-area?moneyType=0&amp;gameName=UnicornIslandRespins&amp;platform=desktop&amp;languageCode=eng&amp;currency=EUR")</f>
        <v>https://gameserver-store-client-area.orbionlimited.com/Home/IntegrationGameLaunch/client-area?moneyType=0&amp;gameName=UnicornIslandRespins&amp;platform=desktop&amp;languageCode=eng&amp;currency=EUR</v>
      </c>
      <c r="R13" s="5" t="str">
        <f ca="1">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S1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IFERROR(__xludf.DUMMYFUNCTION("""COMPUTED_VALUE"""),"No")</f>
        <v>No</v>
      </c>
      <c r="X13" s="5" t="str">
        <f ca="1">IFERROR(__xludf.DUMMYFUNCTION("""COMPUTED_VALUE"""),"No")</f>
        <v>No</v>
      </c>
      <c r="Y13" s="5" t="str">
        <f ca="1">IFERROR(__xludf.DUMMYFUNCTION("""COMPUTED_VALUE"""),"No")</f>
        <v>No</v>
      </c>
      <c r="Z13" s="5" t="str">
        <f ca="1">IFERROR(__xludf.DUMMYFUNCTION("""COMPUTED_VALUE"""),"No")</f>
        <v>No</v>
      </c>
      <c r="AA13" s="5" t="str">
        <f ca="1">IFERROR(__xludf.DUMMYFUNCTION("""COMPUTED_VALUE"""),"No")</f>
        <v>No</v>
      </c>
      <c r="AB13" s="5" t="str">
        <f ca="1">IFERROR(__xludf.DUMMYFUNCTION("""COMPUTED_VALUE"""),"Yes")</f>
        <v>Yes</v>
      </c>
      <c r="AC13" s="5" t="str">
        <f ca="1">IFERROR(__xludf.DUMMYFUNCTION("""COMPUTED_VALUE"""),"Yes")</f>
        <v>Yes</v>
      </c>
      <c r="AD13" s="5" t="str">
        <f ca="1">IFERROR(__xludf.DUMMYFUNCTION("""COMPUTED_VALUE"""),"Yes")</f>
        <v>Yes</v>
      </c>
      <c r="AE13" s="5" t="str">
        <f ca="1">IFERROR(__xludf.DUMMYFUNCTION("""COMPUTED_VALUE"""),"Yes")</f>
        <v>Yes</v>
      </c>
      <c r="AF13" s="5" t="str">
        <f ca="1">IFERROR(__xludf.DUMMYFUNCTION("""COMPUTED_VALUE"""),"Yes")</f>
        <v>Yes</v>
      </c>
      <c r="AG13" s="5" t="str">
        <f ca="1">IFERROR(__xludf.DUMMYFUNCTION("""COMPUTED_VALUE"""),"No")</f>
        <v>No</v>
      </c>
      <c r="AH13" s="5" t="str">
        <f ca="1">IFERROR(__xludf.DUMMYFUNCTION("""COMPUTED_VALUE"""),"Yes")</f>
        <v>Yes</v>
      </c>
      <c r="AI13" s="5" t="str">
        <f ca="1">IFERROR(__xludf.DUMMYFUNCTION("""COMPUTED_VALUE"""),"No")</f>
        <v>No</v>
      </c>
      <c r="AJ13" s="5" t="str">
        <f ca="1">IFERROR(__xludf.DUMMYFUNCTION("""COMPUTED_VALUE"""),"No")</f>
        <v>No</v>
      </c>
      <c r="AK13" s="5" t="str">
        <f ca="1">IFERROR(__xludf.DUMMYFUNCTION("""COMPUTED_VALUE"""),"No")</f>
        <v>No</v>
      </c>
      <c r="AL13" s="5" t="str">
        <f ca="1">IFERROR(__xludf.DUMMYFUNCTION("""COMPUTED_VALUE"""),"No")</f>
        <v>No</v>
      </c>
      <c r="AM13" s="5" t="str">
        <f ca="1">IFERROR(__xludf.DUMMYFUNCTION("""COMPUTED_VALUE"""),"No")</f>
        <v>No</v>
      </c>
      <c r="AN13" s="5"/>
      <c r="AO13" s="5"/>
      <c r="AP13" s="5"/>
      <c r="AQ13" s="5" t="str">
        <f ca="1">IFERROR(__xludf.DUMMYFUNCTION("""COMPUTED_VALUE"""),"No")</f>
        <v>No</v>
      </c>
      <c r="AR13" s="5"/>
      <c r="AS13" s="5"/>
      <c r="AT13" s="5"/>
      <c r="AU13" s="5"/>
    </row>
    <row r="14" spans="1:77" x14ac:dyDescent="0.25">
      <c r="A14" s="5" t="str">
        <f ca="1">IFERROR(__xludf.DUMMYFUNCTION("""COMPUTED_VALUE"""),"Tiptop")</f>
        <v>Tiptop</v>
      </c>
      <c r="B14" s="5" t="str">
        <f ca="1">IFERROR(__xludf.DUMMYFUNCTION("""COMPUTED_VALUE"""),"Great Whale")</f>
        <v>Great Whale</v>
      </c>
      <c r="C14" s="5" t="str">
        <f ca="1">IFERROR(__xludf.DUMMYFUNCTION("""COMPUTED_VALUE"""),"UnicornGreatWhale")</f>
        <v>UnicornGreatWhale</v>
      </c>
      <c r="D14" s="6">
        <f ca="1">IFERROR(__xludf.DUMMYFUNCTION("""COMPUTED_VALUE"""),44670)</f>
        <v>44670</v>
      </c>
      <c r="E14" s="5" t="str">
        <f ca="1">IFERROR(__xludf.DUMMYFUNCTION("""COMPUTED_VALUE"""),"Slot")</f>
        <v>Slot</v>
      </c>
      <c r="F14" s="5">
        <f ca="1">IFERROR(__xludf.DUMMYFUNCTION("""COMPUTED_VALUE"""),23.7)</f>
        <v>23.7</v>
      </c>
      <c r="G14" s="5" t="str">
        <f ca="1">IFERROR(__xludf.DUMMYFUNCTION("""COMPUTED_VALUE"""),"5X3")</f>
        <v>5X3</v>
      </c>
      <c r="H14" s="5" t="str">
        <f ca="1">IFERROR(__xludf.DUMMYFUNCTION("""COMPUTED_VALUE"""),"5")</f>
        <v>5</v>
      </c>
      <c r="I14" s="5" t="str">
        <f ca="1">IFERROR(__xludf.DUMMYFUNCTION("""COMPUTED_VALUE"""),"5")</f>
        <v>5</v>
      </c>
      <c r="J14" s="5" t="str">
        <f ca="1">IFERROR(__xludf.DUMMYFUNCTION("""COMPUTED_VALUE"""),"96%")</f>
        <v>96%</v>
      </c>
      <c r="K14" s="5" t="str">
        <f ca="1">IFERROR(__xludf.DUMMYFUNCTION("""COMPUTED_VALUE"""),"High")</f>
        <v>High</v>
      </c>
      <c r="L14" s="5" t="str">
        <f ca="1">IFERROR(__xludf.DUMMYFUNCTION("""COMPUTED_VALUE"""),"19.8%")</f>
        <v>19.8%</v>
      </c>
      <c r="M14" s="5" t="str">
        <f ca="1">IFERROR(__xludf.DUMMYFUNCTION("""COMPUTED_VALUE"""),"x7500")</f>
        <v>x7500</v>
      </c>
      <c r="N14" s="5" t="str">
        <f ca="1">IFERROR(__xludf.DUMMYFUNCTION("""COMPUTED_VALUE"""),"0.05/100")</f>
        <v>0.05/100</v>
      </c>
      <c r="O14" s="5" t="str">
        <f ca="1">IFERROR(__xludf.DUMMYFUNCTION("""COMPUTED_VALUE"""),"No")</f>
        <v>No</v>
      </c>
      <c r="P14" s="5" t="str">
        <f ca="1">IFERROR(__xludf.DUMMYFUNCTION("""COMPUTED_VALUE"""),"Bonus Game with Sticky Wild")</f>
        <v>Bonus Game with Sticky Wild</v>
      </c>
      <c r="Q14" s="7" t="str">
        <f ca="1">IFERROR(__xludf.DUMMYFUNCTION("""COMPUTED_VALUE"""),"https://gameserver-store-client-area.orbionlimited.com/Home/IntegrationGameLaunch/client-area?moneyType=0&amp;gameName=UnicornGreatWhale&amp;platform=desktop&amp;languageCode=eng&amp;currency=EUR")</f>
        <v>https://gameserver-store-client-area.orbionlimited.com/Home/IntegrationGameLaunch/client-area?moneyType=0&amp;gameName=UnicornGreatWhale&amp;platform=desktop&amp;languageCode=eng&amp;currency=EUR</v>
      </c>
      <c r="R14" s="5" t="str">
        <f ca="1">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S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IFERROR(__xludf.DUMMYFUNCTION("""COMPUTED_VALUE"""),"Yes")</f>
        <v>Yes</v>
      </c>
      <c r="AF14" s="5" t="str">
        <f ca="1">IFERROR(__xludf.DUMMYFUNCTION("""COMPUTED_VALUE"""),"Yes")</f>
        <v>Yes</v>
      </c>
      <c r="AG14" s="5" t="str">
        <f ca="1">IFERROR(__xludf.DUMMYFUNCTION("""COMPUTED_VALUE"""),"Yes")</f>
        <v>Yes</v>
      </c>
      <c r="AH14" s="5" t="str">
        <f ca="1">IFERROR(__xludf.DUMMYFUNCTION("""COMPUTED_VALUE"""),"Yes")</f>
        <v>Yes</v>
      </c>
      <c r="AI14" s="5" t="str">
        <f ca="1">IFERROR(__xludf.DUMMYFUNCTION("""COMPUTED_VALUE"""),"Yes")</f>
        <v>Yes</v>
      </c>
      <c r="AJ14" s="5" t="str">
        <f ca="1">IFERROR(__xludf.DUMMYFUNCTION("""COMPUTED_VALUE"""),"Yes")</f>
        <v>Yes</v>
      </c>
      <c r="AK14" s="5" t="str">
        <f ca="1">IFERROR(__xludf.DUMMYFUNCTION("""COMPUTED_VALUE"""),"Yes")</f>
        <v>Yes</v>
      </c>
      <c r="AL14" s="5" t="str">
        <f ca="1">IFERROR(__xludf.DUMMYFUNCTION("""COMPUTED_VALUE"""),"Yes")</f>
        <v>Yes</v>
      </c>
      <c r="AM14" s="5" t="str">
        <f ca="1">IFERROR(__xludf.DUMMYFUNCTION("""COMPUTED_VALUE"""),"Yes")</f>
        <v>Yes</v>
      </c>
      <c r="AN14" s="5" t="str">
        <f ca="1">IFERROR(__xludf.DUMMYFUNCTION("""COMPUTED_VALUE"""),"Yes")</f>
        <v>Yes</v>
      </c>
      <c r="AO14" s="5" t="str">
        <f ca="1">IFERROR(__xludf.DUMMYFUNCTION("""COMPUTED_VALUE"""),"Yes")</f>
        <v>Yes</v>
      </c>
      <c r="AP14" s="5" t="str">
        <f ca="1">IFERROR(__xludf.DUMMYFUNCTION("""COMPUTED_VALUE"""),"Yes")</f>
        <v>Yes</v>
      </c>
      <c r="AQ14" s="5" t="str">
        <f ca="1">IFERROR(__xludf.DUMMYFUNCTION("""COMPUTED_VALUE"""),"Yes")</f>
        <v>Yes</v>
      </c>
      <c r="AR14" s="5" t="str">
        <f ca="1">IFERROR(__xludf.DUMMYFUNCTION("""COMPUTED_VALUE"""),"Yes")</f>
        <v>Yes</v>
      </c>
      <c r="AS14" s="5" t="str">
        <f ca="1">IFERROR(__xludf.DUMMYFUNCTION("""COMPUTED_VALUE"""),"Yes")</f>
        <v>Yes</v>
      </c>
      <c r="AT14" s="5"/>
      <c r="AU14" s="5"/>
    </row>
    <row r="15" spans="1:77" x14ac:dyDescent="0.25">
      <c r="A15" s="5" t="str">
        <f ca="1">IFERROR(__xludf.DUMMYFUNCTION("""COMPUTED_VALUE"""),"Tiptop")</f>
        <v>Tiptop</v>
      </c>
      <c r="B15" s="5" t="str">
        <f ca="1">IFERROR(__xludf.DUMMYFUNCTION("""COMPUTED_VALUE"""),"20 Mega Flames")</f>
        <v>20 Mega Flames</v>
      </c>
      <c r="C15" s="5" t="str">
        <f ca="1">IFERROR(__xludf.DUMMYFUNCTION("""COMPUTED_VALUE"""),"Unicorn20MegaFlames")</f>
        <v>Unicorn20MegaFlames</v>
      </c>
      <c r="D15" s="6">
        <f ca="1">IFERROR(__xludf.DUMMYFUNCTION("""COMPUTED_VALUE"""),44649)</f>
        <v>44649</v>
      </c>
      <c r="E15" s="5" t="str">
        <f ca="1">IFERROR(__xludf.DUMMYFUNCTION("""COMPUTED_VALUE"""),"Slot")</f>
        <v>Slot</v>
      </c>
      <c r="F15" s="5">
        <f ca="1">IFERROR(__xludf.DUMMYFUNCTION("""COMPUTED_VALUE"""),22.2)</f>
        <v>22.2</v>
      </c>
      <c r="G15" s="5" t="str">
        <f ca="1">IFERROR(__xludf.DUMMYFUNCTION("""COMPUTED_VALUE"""),"5X3")</f>
        <v>5X3</v>
      </c>
      <c r="H15" s="5" t="str">
        <f ca="1">IFERROR(__xludf.DUMMYFUNCTION("""COMPUTED_VALUE"""),"20")</f>
        <v>20</v>
      </c>
      <c r="I15" s="5" t="str">
        <f ca="1">IFERROR(__xludf.DUMMYFUNCTION("""COMPUTED_VALUE"""),"20")</f>
        <v>20</v>
      </c>
      <c r="J15" s="5" t="str">
        <f ca="1">IFERROR(__xludf.DUMMYFUNCTION("""COMPUTED_VALUE"""),"96%")</f>
        <v>96%</v>
      </c>
      <c r="K15" s="5" t="str">
        <f ca="1">IFERROR(__xludf.DUMMYFUNCTION("""COMPUTED_VALUE"""),"Low")</f>
        <v>Low</v>
      </c>
      <c r="L15" s="5" t="str">
        <f ca="1">IFERROR(__xludf.DUMMYFUNCTION("""COMPUTED_VALUE"""),"30.07%")</f>
        <v>30.07%</v>
      </c>
      <c r="M15" s="5" t="str">
        <f ca="1">IFERROR(__xludf.DUMMYFUNCTION("""COMPUTED_VALUE"""),"x200")</f>
        <v>x200</v>
      </c>
      <c r="N15" s="5" t="str">
        <f ca="1">IFERROR(__xludf.DUMMYFUNCTION("""COMPUTED_VALUE"""),"0.2/100")</f>
        <v>0.2/100</v>
      </c>
      <c r="O15" s="5" t="str">
        <f ca="1">IFERROR(__xludf.DUMMYFUNCTION("""COMPUTED_VALUE"""),"No")</f>
        <v>No</v>
      </c>
      <c r="P15" s="5"/>
      <c r="Q15" s="7" t="str">
        <f ca="1">IFERROR(__xludf.DUMMYFUNCTION("""COMPUTED_VALUE"""),"https://gameserver-store-client-area.orbionlimited.com/Home/IntegrationGameLaunch/client-area?moneyType=0&amp;gameName=Unicorn20MegaFlames&amp;platform=desktop&amp;languageCode=eng&amp;currency=EUR")</f>
        <v>https://gameserver-store-client-area.orbionlimited.com/Home/IntegrationGameLaunch/client-area?moneyType=0&amp;gameName=Unicorn20MegaFlames&amp;platform=desktop&amp;languageCode=eng&amp;currency=EUR</v>
      </c>
      <c r="R15" s="5" t="str">
        <f ca="1">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S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IFERROR(__xludf.DUMMYFUNCTION("""COMPUTED_VALUE"""),"Yes")</f>
        <v>Yes</v>
      </c>
      <c r="AF15" s="5" t="str">
        <f ca="1">IFERROR(__xludf.DUMMYFUNCTION("""COMPUTED_VALUE"""),"Yes")</f>
        <v>Yes</v>
      </c>
      <c r="AG15" s="5" t="str">
        <f ca="1">IFERROR(__xludf.DUMMYFUNCTION("""COMPUTED_VALUE"""),"Yes")</f>
        <v>Yes</v>
      </c>
      <c r="AH15" s="5" t="str">
        <f ca="1">IFERROR(__xludf.DUMMYFUNCTION("""COMPUTED_VALUE"""),"Yes")</f>
        <v>Yes</v>
      </c>
      <c r="AI15" s="5" t="str">
        <f ca="1">IFERROR(__xludf.DUMMYFUNCTION("""COMPUTED_VALUE"""),"Yes")</f>
        <v>Yes</v>
      </c>
      <c r="AJ15" s="5" t="str">
        <f ca="1">IFERROR(__xludf.DUMMYFUNCTION("""COMPUTED_VALUE"""),"Yes")</f>
        <v>Yes</v>
      </c>
      <c r="AK15" s="5" t="str">
        <f ca="1">IFERROR(__xludf.DUMMYFUNCTION("""COMPUTED_VALUE"""),"Yes")</f>
        <v>Yes</v>
      </c>
      <c r="AL15" s="5" t="str">
        <f ca="1">IFERROR(__xludf.DUMMYFUNCTION("""COMPUTED_VALUE"""),"Yes")</f>
        <v>Yes</v>
      </c>
      <c r="AM15" s="5" t="str">
        <f ca="1">IFERROR(__xludf.DUMMYFUNCTION("""COMPUTED_VALUE"""),"Yes")</f>
        <v>Yes</v>
      </c>
      <c r="AN15" s="5"/>
      <c r="AO15" s="5"/>
      <c r="AP15" s="5"/>
      <c r="AQ15" s="5" t="str">
        <f ca="1">IFERROR(__xludf.DUMMYFUNCTION("""COMPUTED_VALUE"""),"Yes")</f>
        <v>Yes</v>
      </c>
      <c r="AR15" s="5"/>
      <c r="AS15" s="5"/>
      <c r="AT15" s="5"/>
      <c r="AU15" s="5"/>
    </row>
    <row r="16" spans="1:77" x14ac:dyDescent="0.25">
      <c r="A16" s="5" t="str">
        <f ca="1">IFERROR(__xludf.DUMMYFUNCTION("""COMPUTED_VALUE"""),"Tiptop")</f>
        <v>Tiptop</v>
      </c>
      <c r="B16" s="5" t="str">
        <f ca="1">IFERROR(__xludf.DUMMYFUNCTION("""COMPUTED_VALUE"""),"Da Vinci's Fruits")</f>
        <v>Da Vinci's Fruits</v>
      </c>
      <c r="C16" s="5" t="str">
        <f ca="1">IFERROR(__xludf.DUMMYFUNCTION("""COMPUTED_VALUE"""),"UnicornDaVincisFruits")</f>
        <v>UnicornDaVincisFruits</v>
      </c>
      <c r="D16" s="6">
        <f ca="1">IFERROR(__xludf.DUMMYFUNCTION("""COMPUTED_VALUE"""),44707)</f>
        <v>44707</v>
      </c>
      <c r="E16" s="5" t="str">
        <f ca="1">IFERROR(__xludf.DUMMYFUNCTION("""COMPUTED_VALUE"""),"Slot")</f>
        <v>Slot</v>
      </c>
      <c r="F16" s="5">
        <f ca="1">IFERROR(__xludf.DUMMYFUNCTION("""COMPUTED_VALUE"""),14.7)</f>
        <v>14.7</v>
      </c>
      <c r="G16" s="5" t="str">
        <f ca="1">IFERROR(__xludf.DUMMYFUNCTION("""COMPUTED_VALUE"""),"5X3")</f>
        <v>5X3</v>
      </c>
      <c r="H16" s="5" t="str">
        <f ca="1">IFERROR(__xludf.DUMMYFUNCTION("""COMPUTED_VALUE"""),"5")</f>
        <v>5</v>
      </c>
      <c r="I16" s="5" t="str">
        <f ca="1">IFERROR(__xludf.DUMMYFUNCTION("""COMPUTED_VALUE"""),"5")</f>
        <v>5</v>
      </c>
      <c r="J16" s="5" t="str">
        <f ca="1">IFERROR(__xludf.DUMMYFUNCTION("""COMPUTED_VALUE"""),"96%")</f>
        <v>96%</v>
      </c>
      <c r="K16" s="5" t="str">
        <f ca="1">IFERROR(__xludf.DUMMYFUNCTION("""COMPUTED_VALUE"""),"Low")</f>
        <v>Low</v>
      </c>
      <c r="L16" s="5" t="str">
        <f ca="1">IFERROR(__xludf.DUMMYFUNCTION("""COMPUTED_VALUE"""),"10.5%")</f>
        <v>10.5%</v>
      </c>
      <c r="M16" s="5" t="str">
        <f ca="1">IFERROR(__xludf.DUMMYFUNCTION("""COMPUTED_VALUE"""),"x1000")</f>
        <v>x1000</v>
      </c>
      <c r="N16" s="5" t="str">
        <f ca="1">IFERROR(__xludf.DUMMYFUNCTION("""COMPUTED_VALUE"""),"0.05/100")</f>
        <v>0.05/100</v>
      </c>
      <c r="O16" s="5" t="str">
        <f ca="1">IFERROR(__xludf.DUMMYFUNCTION("""COMPUTED_VALUE"""),"No")</f>
        <v>No</v>
      </c>
      <c r="P16" s="5"/>
      <c r="Q16" s="7" t="str">
        <f ca="1">IFERROR(__xludf.DUMMYFUNCTION("""COMPUTED_VALUE"""),"https://gameserver-store-client-area.orbionlimited.com/Home/IntegrationGameLaunch/client-area?moneyType=0&amp;gameName=UnicornDaVincisFruits&amp;platform=desktop&amp;languageCode=eng&amp;currency=EUR")</f>
        <v>https://gameserver-store-client-area.orbionlimited.com/Home/IntegrationGameLaunch/client-area?moneyType=0&amp;gameName=UnicornDaVincisFruits&amp;platform=desktop&amp;languageCode=eng&amp;currency=EUR</v>
      </c>
      <c r="R16" s="5" t="str">
        <f ca="1">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S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IFERROR(__xludf.DUMMYFUNCTION("""COMPUTED_VALUE"""),"Yes")</f>
        <v>Yes</v>
      </c>
      <c r="X16" s="5" t="str">
        <f ca="1">IFERROR(__xludf.DUMMYFUNCTION("""COMPUTED_VALUE"""),"Yes")</f>
        <v>Yes</v>
      </c>
      <c r="Y16" s="5" t="str">
        <f ca="1">IFERROR(__xludf.DUMMYFUNCTION("""COMPUTED_VALUE"""),"Yes")</f>
        <v>Yes</v>
      </c>
      <c r="Z16" s="5" t="str">
        <f ca="1">IFERROR(__xludf.DUMMYFUNCTION("""COMPUTED_VALUE"""),"Yes")</f>
        <v>Yes</v>
      </c>
      <c r="AA16" s="5" t="str">
        <f ca="1">IFERROR(__xludf.DUMMYFUNCTION("""COMPUTED_VALUE"""),"Yes")</f>
        <v>Yes</v>
      </c>
      <c r="AB16" s="5" t="str">
        <f ca="1">IFERROR(__xludf.DUMMYFUNCTION("""COMPUTED_VALUE"""),"Yes")</f>
        <v>Yes</v>
      </c>
      <c r="AC16" s="5" t="str">
        <f ca="1">IFERROR(__xludf.DUMMYFUNCTION("""COMPUTED_VALUE"""),"Yes")</f>
        <v>Yes</v>
      </c>
      <c r="AD16" s="5" t="str">
        <f ca="1">IFERROR(__xludf.DUMMYFUNCTION("""COMPUTED_VALUE"""),"Yes")</f>
        <v>Yes</v>
      </c>
      <c r="AE16" s="5" t="str">
        <f ca="1">IFERROR(__xludf.DUMMYFUNCTION("""COMPUTED_VALUE"""),"Yes")</f>
        <v>Yes</v>
      </c>
      <c r="AF16" s="5" t="str">
        <f ca="1">IFERROR(__xludf.DUMMYFUNCTION("""COMPUTED_VALUE"""),"Yes")</f>
        <v>Yes</v>
      </c>
      <c r="AG16" s="5" t="str">
        <f ca="1">IFERROR(__xludf.DUMMYFUNCTION("""COMPUTED_VALUE"""),"Yes")</f>
        <v>Yes</v>
      </c>
      <c r="AH16" s="5" t="str">
        <f ca="1">IFERROR(__xludf.DUMMYFUNCTION("""COMPUTED_VALUE"""),"Yes")</f>
        <v>Yes</v>
      </c>
      <c r="AI16" s="5" t="str">
        <f ca="1">IFERROR(__xludf.DUMMYFUNCTION("""COMPUTED_VALUE"""),"Yes")</f>
        <v>Yes</v>
      </c>
      <c r="AJ16" s="5" t="str">
        <f ca="1">IFERROR(__xludf.DUMMYFUNCTION("""COMPUTED_VALUE"""),"Yes")</f>
        <v>Yes</v>
      </c>
      <c r="AK16" s="5" t="str">
        <f ca="1">IFERROR(__xludf.DUMMYFUNCTION("""COMPUTED_VALUE"""),"Yes")</f>
        <v>Yes</v>
      </c>
      <c r="AL16" s="5" t="str">
        <f ca="1">IFERROR(__xludf.DUMMYFUNCTION("""COMPUTED_VALUE"""),"Yes")</f>
        <v>Yes</v>
      </c>
      <c r="AM16" s="5" t="str">
        <f ca="1">IFERROR(__xludf.DUMMYFUNCTION("""COMPUTED_VALUE"""),"Yes")</f>
        <v>Yes</v>
      </c>
      <c r="AN16" s="5" t="str">
        <f ca="1">IFERROR(__xludf.DUMMYFUNCTION("""COMPUTED_VALUE"""),"Yes")</f>
        <v>Yes</v>
      </c>
      <c r="AO16" s="5" t="str">
        <f ca="1">IFERROR(__xludf.DUMMYFUNCTION("""COMPUTED_VALUE"""),"Yes")</f>
        <v>Yes</v>
      </c>
      <c r="AP16" s="5" t="str">
        <f ca="1">IFERROR(__xludf.DUMMYFUNCTION("""COMPUTED_VALUE"""),"Yes")</f>
        <v>Yes</v>
      </c>
      <c r="AQ16" s="5" t="str">
        <f ca="1">IFERROR(__xludf.DUMMYFUNCTION("""COMPUTED_VALUE"""),"Yes")</f>
        <v>Yes</v>
      </c>
      <c r="AR16" s="5" t="str">
        <f ca="1">IFERROR(__xludf.DUMMYFUNCTION("""COMPUTED_VALUE"""),"Yes")</f>
        <v>Yes</v>
      </c>
      <c r="AS16" s="5" t="str">
        <f ca="1">IFERROR(__xludf.DUMMYFUNCTION("""COMPUTED_VALUE"""),"Yes")</f>
        <v>Yes</v>
      </c>
      <c r="AT16" s="5"/>
      <c r="AU16" s="5"/>
    </row>
    <row r="17" spans="1:47" x14ac:dyDescent="0.25">
      <c r="A17" s="5" t="str">
        <f ca="1">IFERROR(__xludf.DUMMYFUNCTION("""COMPUTED_VALUE"""),"Tiptop")</f>
        <v>Tiptop</v>
      </c>
      <c r="B17" s="5" t="str">
        <f ca="1">IFERROR(__xludf.DUMMYFUNCTION("""COMPUTED_VALUE"""),"Fruit Magic")</f>
        <v>Fruit Magic</v>
      </c>
      <c r="C17" s="5" t="str">
        <f ca="1">IFERROR(__xludf.DUMMYFUNCTION("""COMPUTED_VALUE"""),"UnicornFruitMagic")</f>
        <v>UnicornFruitMagic</v>
      </c>
      <c r="D17" s="6">
        <f ca="1">IFERROR(__xludf.DUMMYFUNCTION("""COMPUTED_VALUE"""),44726)</f>
        <v>44726</v>
      </c>
      <c r="E17" s="5" t="str">
        <f ca="1">IFERROR(__xludf.DUMMYFUNCTION("""COMPUTED_VALUE"""),"Slot")</f>
        <v>Slot</v>
      </c>
      <c r="F17" s="5">
        <f ca="1">IFERROR(__xludf.DUMMYFUNCTION("""COMPUTED_VALUE"""),12.4)</f>
        <v>12.4</v>
      </c>
      <c r="G17" s="5" t="str">
        <f ca="1">IFERROR(__xludf.DUMMYFUNCTION("""COMPUTED_VALUE"""),"5X3")</f>
        <v>5X3</v>
      </c>
      <c r="H17" s="5" t="str">
        <f ca="1">IFERROR(__xludf.DUMMYFUNCTION("""COMPUTED_VALUE"""),"10")</f>
        <v>10</v>
      </c>
      <c r="I17" s="5" t="str">
        <f ca="1">IFERROR(__xludf.DUMMYFUNCTION("""COMPUTED_VALUE"""),"10")</f>
        <v>10</v>
      </c>
      <c r="J17" s="5" t="str">
        <f ca="1">IFERROR(__xludf.DUMMYFUNCTION("""COMPUTED_VALUE"""),"96%")</f>
        <v>96%</v>
      </c>
      <c r="K17" s="5" t="str">
        <f ca="1">IFERROR(__xludf.DUMMYFUNCTION("""COMPUTED_VALUE"""),"Low")</f>
        <v>Low</v>
      </c>
      <c r="L17" s="5" t="str">
        <f ca="1">IFERROR(__xludf.DUMMYFUNCTION("""COMPUTED_VALUE"""),"26.12%")</f>
        <v>26.12%</v>
      </c>
      <c r="M17" s="5" t="str">
        <f ca="1">IFERROR(__xludf.DUMMYFUNCTION("""COMPUTED_VALUE"""),"x1060")</f>
        <v>x1060</v>
      </c>
      <c r="N17" s="5" t="str">
        <f ca="1">IFERROR(__xludf.DUMMYFUNCTION("""COMPUTED_VALUE"""),"0.1/100")</f>
        <v>0.1/100</v>
      </c>
      <c r="O17" s="5" t="str">
        <f ca="1">IFERROR(__xludf.DUMMYFUNCTION("""COMPUTED_VALUE"""),"No")</f>
        <v>No</v>
      </c>
      <c r="P17" s="5" t="str">
        <f ca="1">IFERROR(__xludf.DUMMYFUNCTION("""COMPUTED_VALUE"""),"Expanding Wild")</f>
        <v>Expanding Wild</v>
      </c>
      <c r="Q17" s="7" t="str">
        <f ca="1">IFERROR(__xludf.DUMMYFUNCTION("""COMPUTED_VALUE"""),"https://gameserver-store-client-area.orbionlimited.com/Home/IntegrationGameLaunch/client-area?moneyType=0&amp;gameName=UnicornFruitMagic&amp;platform=desktop&amp;languageCode=eng&amp;currency=EUR")</f>
        <v>https://gameserver-store-client-area.orbionlimited.com/Home/IntegrationGameLaunch/client-area?moneyType=0&amp;gameName=UnicornFruitMagic&amp;platform=desktop&amp;languageCode=eng&amp;currency=EUR</v>
      </c>
      <c r="R17" s="5" t="str">
        <f ca="1">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S1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IFERROR(__xludf.DUMMYFUNCTION("""COMPUTED_VALUE"""),"No")</f>
        <v>No</v>
      </c>
      <c r="X17" s="5" t="str">
        <f ca="1">IFERROR(__xludf.DUMMYFUNCTION("""COMPUTED_VALUE"""),"No")</f>
        <v>No</v>
      </c>
      <c r="Y17" s="5" t="str">
        <f ca="1">IFERROR(__xludf.DUMMYFUNCTION("""COMPUTED_VALUE"""),"No")</f>
        <v>No</v>
      </c>
      <c r="Z17" s="5" t="str">
        <f ca="1">IFERROR(__xludf.DUMMYFUNCTION("""COMPUTED_VALUE"""),"No")</f>
        <v>No</v>
      </c>
      <c r="AA17" s="5" t="str">
        <f ca="1">IFERROR(__xludf.DUMMYFUNCTION("""COMPUTED_VALUE"""),"No")</f>
        <v>No</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IFERROR(__xludf.DUMMYFUNCTION("""COMPUTED_VALUE"""),"Yes")</f>
        <v>Yes</v>
      </c>
      <c r="AF17" s="5" t="str">
        <f ca="1">IFERROR(__xludf.DUMMYFUNCTION("""COMPUTED_VALUE"""),"Yes")</f>
        <v>Yes</v>
      </c>
      <c r="AG17" s="5" t="str">
        <f ca="1">IFERROR(__xludf.DUMMYFUNCTION("""COMPUTED_VALUE"""),"No")</f>
        <v>No</v>
      </c>
      <c r="AH17" s="5" t="str">
        <f ca="1">IFERROR(__xludf.DUMMYFUNCTION("""COMPUTED_VALUE"""),"Yes")</f>
        <v>Yes</v>
      </c>
      <c r="AI17" s="5" t="str">
        <f ca="1">IFERROR(__xludf.DUMMYFUNCTION("""COMPUTED_VALUE"""),"No")</f>
        <v>No</v>
      </c>
      <c r="AJ17" s="5" t="str">
        <f ca="1">IFERROR(__xludf.DUMMYFUNCTION("""COMPUTED_VALUE"""),"No")</f>
        <v>No</v>
      </c>
      <c r="AK17" s="5" t="str">
        <f ca="1">IFERROR(__xludf.DUMMYFUNCTION("""COMPUTED_VALUE"""),"No")</f>
        <v>No</v>
      </c>
      <c r="AL17" s="5" t="str">
        <f ca="1">IFERROR(__xludf.DUMMYFUNCTION("""COMPUTED_VALUE"""),"No")</f>
        <v>No</v>
      </c>
      <c r="AM17" s="5" t="str">
        <f ca="1">IFERROR(__xludf.DUMMYFUNCTION("""COMPUTED_VALUE"""),"No")</f>
        <v>No</v>
      </c>
      <c r="AN17" s="5"/>
      <c r="AO17" s="5"/>
      <c r="AP17" s="5"/>
      <c r="AQ17" s="5" t="str">
        <f ca="1">IFERROR(__xludf.DUMMYFUNCTION("""COMPUTED_VALUE"""),"No")</f>
        <v>No</v>
      </c>
      <c r="AR17" s="5"/>
      <c r="AS17" s="5"/>
      <c r="AT17" s="5"/>
      <c r="AU17" s="5"/>
    </row>
    <row r="18" spans="1:47" x14ac:dyDescent="0.25">
      <c r="A18" s="5" t="str">
        <f ca="1">IFERROR(__xludf.DUMMYFUNCTION("""COMPUTED_VALUE"""),"Tiptop")</f>
        <v>Tiptop</v>
      </c>
      <c r="B18" s="5" t="str">
        <f ca="1">IFERROR(__xludf.DUMMYFUNCTION("""COMPUTED_VALUE"""),"Money Standard")</f>
        <v>Money Standard</v>
      </c>
      <c r="C18" s="5" t="str">
        <f ca="1">IFERROR(__xludf.DUMMYFUNCTION("""COMPUTED_VALUE"""),"UnicornMoneyStandard")</f>
        <v>UnicornMoneyStandard</v>
      </c>
      <c r="D18" s="6">
        <f ca="1">IFERROR(__xludf.DUMMYFUNCTION("""COMPUTED_VALUE"""),44747)</f>
        <v>44747</v>
      </c>
      <c r="E18" s="5" t="str">
        <f ca="1">IFERROR(__xludf.DUMMYFUNCTION("""COMPUTED_VALUE"""),"Slot")</f>
        <v>Slot</v>
      </c>
      <c r="F18" s="5">
        <f ca="1">IFERROR(__xludf.DUMMYFUNCTION("""COMPUTED_VALUE"""),9.5)</f>
        <v>9.5</v>
      </c>
      <c r="G18" s="5" t="str">
        <f ca="1">IFERROR(__xludf.DUMMYFUNCTION("""COMPUTED_VALUE"""),"5X4")</f>
        <v>5X4</v>
      </c>
      <c r="H18" s="5" t="str">
        <f ca="1">IFERROR(__xludf.DUMMYFUNCTION("""COMPUTED_VALUE"""),"20")</f>
        <v>20</v>
      </c>
      <c r="I18" s="5" t="str">
        <f ca="1">IFERROR(__xludf.DUMMYFUNCTION("""COMPUTED_VALUE"""),"20")</f>
        <v>20</v>
      </c>
      <c r="J18" s="5" t="str">
        <f ca="1">IFERROR(__xludf.DUMMYFUNCTION("""COMPUTED_VALUE"""),"96%")</f>
        <v>96%</v>
      </c>
      <c r="K18" s="5" t="str">
        <f ca="1">IFERROR(__xludf.DUMMYFUNCTION("""COMPUTED_VALUE"""),"Low")</f>
        <v>Low</v>
      </c>
      <c r="L18" s="5" t="str">
        <f ca="1">IFERROR(__xludf.DUMMYFUNCTION("""COMPUTED_VALUE"""),"11.7%")</f>
        <v>11.7%</v>
      </c>
      <c r="M18" s="5" t="str">
        <f ca="1">IFERROR(__xludf.DUMMYFUNCTION("""COMPUTED_VALUE"""),"x5000")</f>
        <v>x5000</v>
      </c>
      <c r="N18" s="5" t="str">
        <f ca="1">IFERROR(__xludf.DUMMYFUNCTION("""COMPUTED_VALUE"""),"0.2/100")</f>
        <v>0.2/100</v>
      </c>
      <c r="O18" s="5" t="str">
        <f ca="1">IFERROR(__xludf.DUMMYFUNCTION("""COMPUTED_VALUE"""),"No")</f>
        <v>No</v>
      </c>
      <c r="P18" s="5"/>
      <c r="Q18" s="7" t="str">
        <f ca="1">IFERROR(__xludf.DUMMYFUNCTION("""COMPUTED_VALUE"""),"https://gameserver-store-client-area.orbionlimited.com/Home/IntegrationGameLaunch/client-area?moneyType=0&amp;gameName=UnicornMoneyStandard&amp;platform=desktop&amp;languageCode=eng&amp;currency=EUR")</f>
        <v>https://gameserver-store-client-area.orbionlimited.com/Home/IntegrationGameLaunch/client-area?moneyType=0&amp;gameName=UnicornMoneyStandard&amp;platform=desktop&amp;languageCode=eng&amp;currency=EUR</v>
      </c>
      <c r="R18" s="5" t="str">
        <f ca="1">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S1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IFERROR(__xludf.DUMMYFUNCTION("""COMPUTED_VALUE"""),"No")</f>
        <v>No</v>
      </c>
      <c r="X18" s="5" t="str">
        <f ca="1">IFERROR(__xludf.DUMMYFUNCTION("""COMPUTED_VALUE"""),"No")</f>
        <v>No</v>
      </c>
      <c r="Y18" s="5" t="str">
        <f ca="1">IFERROR(__xludf.DUMMYFUNCTION("""COMPUTED_VALUE"""),"No")</f>
        <v>No</v>
      </c>
      <c r="Z18" s="5" t="str">
        <f ca="1">IFERROR(__xludf.DUMMYFUNCTION("""COMPUTED_VALUE"""),"No")</f>
        <v>No</v>
      </c>
      <c r="AA18" s="5" t="str">
        <f ca="1">IFERROR(__xludf.DUMMYFUNCTION("""COMPUTED_VALUE"""),"No")</f>
        <v>No</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IFERROR(__xludf.DUMMYFUNCTION("""COMPUTED_VALUE"""),"Yes")</f>
        <v>Yes</v>
      </c>
      <c r="AF18" s="5" t="str">
        <f ca="1">IFERROR(__xludf.DUMMYFUNCTION("""COMPUTED_VALUE"""),"Yes")</f>
        <v>Yes</v>
      </c>
      <c r="AG18" s="5" t="str">
        <f ca="1">IFERROR(__xludf.DUMMYFUNCTION("""COMPUTED_VALUE"""),"No")</f>
        <v>No</v>
      </c>
      <c r="AH18" s="5" t="str">
        <f ca="1">IFERROR(__xludf.DUMMYFUNCTION("""COMPUTED_VALUE"""),"Yes")</f>
        <v>Yes</v>
      </c>
      <c r="AI18" s="5" t="str">
        <f ca="1">IFERROR(__xludf.DUMMYFUNCTION("""COMPUTED_VALUE"""),"No")</f>
        <v>No</v>
      </c>
      <c r="AJ18" s="5" t="str">
        <f ca="1">IFERROR(__xludf.DUMMYFUNCTION("""COMPUTED_VALUE"""),"No")</f>
        <v>No</v>
      </c>
      <c r="AK18" s="5" t="str">
        <f ca="1">IFERROR(__xludf.DUMMYFUNCTION("""COMPUTED_VALUE"""),"No")</f>
        <v>No</v>
      </c>
      <c r="AL18" s="5" t="str">
        <f ca="1">IFERROR(__xludf.DUMMYFUNCTION("""COMPUTED_VALUE"""),"No")</f>
        <v>No</v>
      </c>
      <c r="AM18" s="5" t="str">
        <f ca="1">IFERROR(__xludf.DUMMYFUNCTION("""COMPUTED_VALUE"""),"No")</f>
        <v>No</v>
      </c>
      <c r="AN18" s="5"/>
      <c r="AO18" s="5"/>
      <c r="AP18" s="5"/>
      <c r="AQ18" s="5" t="str">
        <f ca="1">IFERROR(__xludf.DUMMYFUNCTION("""COMPUTED_VALUE"""),"No")</f>
        <v>No</v>
      </c>
      <c r="AR18" s="5"/>
      <c r="AS18" s="5"/>
      <c r="AT18" s="5"/>
      <c r="AU18" s="5"/>
    </row>
    <row r="19" spans="1:47" x14ac:dyDescent="0.25">
      <c r="A19" s="5" t="str">
        <f ca="1">IFERROR(__xludf.DUMMYFUNCTION("""COMPUTED_VALUE"""),"Tiptop")</f>
        <v>Tiptop</v>
      </c>
      <c r="B19" s="5" t="str">
        <f ca="1">IFERROR(__xludf.DUMMYFUNCTION("""COMPUTED_VALUE"""),"Mini Mega Cash")</f>
        <v>Mini Mega Cash</v>
      </c>
      <c r="C19" s="5" t="str">
        <f ca="1">IFERROR(__xludf.DUMMYFUNCTION("""COMPUTED_VALUE"""),"UnicornMiniMegaCash")</f>
        <v>UnicornMiniMegaCash</v>
      </c>
      <c r="D19" s="6">
        <f ca="1">IFERROR(__xludf.DUMMYFUNCTION("""COMPUTED_VALUE"""),44768)</f>
        <v>44768</v>
      </c>
      <c r="E19" s="5" t="str">
        <f ca="1">IFERROR(__xludf.DUMMYFUNCTION("""COMPUTED_VALUE"""),"Slot")</f>
        <v>Slot</v>
      </c>
      <c r="F19" s="5">
        <f ca="1">IFERROR(__xludf.DUMMYFUNCTION("""COMPUTED_VALUE"""),11.9)</f>
        <v>11.9</v>
      </c>
      <c r="G19" s="5" t="str">
        <f ca="1">IFERROR(__xludf.DUMMYFUNCTION("""COMPUTED_VALUE"""),"5X3")</f>
        <v>5X3</v>
      </c>
      <c r="H19" s="5" t="str">
        <f ca="1">IFERROR(__xludf.DUMMYFUNCTION("""COMPUTED_VALUE"""),"10")</f>
        <v>10</v>
      </c>
      <c r="I19" s="5" t="str">
        <f ca="1">IFERROR(__xludf.DUMMYFUNCTION("""COMPUTED_VALUE"""),"10")</f>
        <v>10</v>
      </c>
      <c r="J19" s="5" t="str">
        <f ca="1">IFERROR(__xludf.DUMMYFUNCTION("""COMPUTED_VALUE"""),"96%")</f>
        <v>96%</v>
      </c>
      <c r="K19" s="5" t="str">
        <f ca="1">IFERROR(__xludf.DUMMYFUNCTION("""COMPUTED_VALUE"""),"Low")</f>
        <v>Low</v>
      </c>
      <c r="L19" s="5" t="str">
        <f ca="1">IFERROR(__xludf.DUMMYFUNCTION("""COMPUTED_VALUE"""),"21.22%")</f>
        <v>21.22%</v>
      </c>
      <c r="M19" s="5" t="str">
        <f ca="1">IFERROR(__xludf.DUMMYFUNCTION("""COMPUTED_VALUE"""),"x5000")</f>
        <v>x5000</v>
      </c>
      <c r="N19" s="5" t="str">
        <f ca="1">IFERROR(__xludf.DUMMYFUNCTION("""COMPUTED_VALUE"""),"0.1/100")</f>
        <v>0.1/100</v>
      </c>
      <c r="O19" s="5" t="str">
        <f ca="1">IFERROR(__xludf.DUMMYFUNCTION("""COMPUTED_VALUE"""),"No")</f>
        <v>No</v>
      </c>
      <c r="P19" s="5" t="str">
        <f ca="1">IFERROR(__xludf.DUMMYFUNCTION("""COMPUTED_VALUE"""),"Scatter")</f>
        <v>Scatter</v>
      </c>
      <c r="Q19" s="7" t="str">
        <f ca="1">IFERROR(__xludf.DUMMYFUNCTION("""COMPUTED_VALUE"""),"https://gameserver-store-client-area.orbionlimited.com/Home/IntegrationGameLaunch/client-area?moneyType=0&amp;gameName=UnicornMiniMegaCash&amp;platform=desktop&amp;languageCode=eng&amp;currency=EUR")</f>
        <v>https://gameserver-store-client-area.orbionlimited.com/Home/IntegrationGameLaunch/client-area?moneyType=0&amp;gameName=UnicornMiniMegaCash&amp;platform=desktop&amp;languageCode=eng&amp;currency=EUR</v>
      </c>
      <c r="R19" s="5" t="str">
        <f ca="1">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S1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9" s="5" t="str">
        <f ca="1">IFERROR(__xludf.DUMMYFUNCTION("""COMPUTED_VALUE"""),"Yes")</f>
        <v>Yes</v>
      </c>
      <c r="U19" s="5" t="str">
        <f ca="1">IFERROR(__xludf.DUMMYFUNCTION("""COMPUTED_VALUE"""),"Yes")</f>
        <v>Yes</v>
      </c>
      <c r="V19" s="5" t="str">
        <f ca="1">IFERROR(__xludf.DUMMYFUNCTION("""COMPUTED_VALUE"""),"No")</f>
        <v>No</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IFERROR(__xludf.DUMMYFUNCTION("""COMPUTED_VALUE"""),"Yes")</f>
        <v>Yes</v>
      </c>
      <c r="AF19" s="5" t="str">
        <f ca="1">IFERROR(__xludf.DUMMYFUNCTION("""COMPUTED_VALUE"""),"Yes")</f>
        <v>Yes</v>
      </c>
      <c r="AG19" s="5" t="str">
        <f ca="1">IFERROR(__xludf.DUMMYFUNCTION("""COMPUTED_VALUE"""),"Yes")</f>
        <v>Yes</v>
      </c>
      <c r="AH19" s="5" t="str">
        <f ca="1">IFERROR(__xludf.DUMMYFUNCTION("""COMPUTED_VALUE"""),"Yes")</f>
        <v>Yes</v>
      </c>
      <c r="AI19" s="5" t="str">
        <f ca="1">IFERROR(__xludf.DUMMYFUNCTION("""COMPUTED_VALUE"""),"No")</f>
        <v>No</v>
      </c>
      <c r="AJ19" s="5" t="str">
        <f ca="1">IFERROR(__xludf.DUMMYFUNCTION("""COMPUTED_VALUE"""),"No")</f>
        <v>No</v>
      </c>
      <c r="AK19" s="5" t="str">
        <f ca="1">IFERROR(__xludf.DUMMYFUNCTION("""COMPUTED_VALUE"""),"No")</f>
        <v>No</v>
      </c>
      <c r="AL19" s="5" t="str">
        <f ca="1">IFERROR(__xludf.DUMMYFUNCTION("""COMPUTED_VALUE"""),"No")</f>
        <v>No</v>
      </c>
      <c r="AM19" s="5" t="str">
        <f ca="1">IFERROR(__xludf.DUMMYFUNCTION("""COMPUTED_VALUE"""),"No")</f>
        <v>No</v>
      </c>
      <c r="AN19" s="5" t="str">
        <f ca="1">IFERROR(__xludf.DUMMYFUNCTION("""COMPUTED_VALUE"""),"No")</f>
        <v>No</v>
      </c>
      <c r="AO19" s="5" t="str">
        <f ca="1">IFERROR(__xludf.DUMMYFUNCTION("""COMPUTED_VALUE"""),"No")</f>
        <v>No</v>
      </c>
      <c r="AP19" s="5" t="str">
        <f ca="1">IFERROR(__xludf.DUMMYFUNCTION("""COMPUTED_VALUE"""),"No")</f>
        <v>No</v>
      </c>
      <c r="AQ19" s="5" t="str">
        <f ca="1">IFERROR(__xludf.DUMMYFUNCTION("""COMPUTED_VALUE"""),"No")</f>
        <v>No</v>
      </c>
      <c r="AR19" s="5" t="str">
        <f ca="1">IFERROR(__xludf.DUMMYFUNCTION("""COMPUTED_VALUE"""),"No")</f>
        <v>No</v>
      </c>
      <c r="AS19" s="5" t="str">
        <f ca="1">IFERROR(__xludf.DUMMYFUNCTION("""COMPUTED_VALUE"""),"Yes")</f>
        <v>Yes</v>
      </c>
      <c r="AT19" s="5" t="str">
        <f ca="1">IFERROR(__xludf.DUMMYFUNCTION("""COMPUTED_VALUE"""),"No")</f>
        <v>No</v>
      </c>
      <c r="AU19" s="5"/>
    </row>
    <row r="20" spans="1:47" x14ac:dyDescent="0.25">
      <c r="A20" s="5" t="str">
        <f ca="1">IFERROR(__xludf.DUMMYFUNCTION("""COMPUTED_VALUE"""),"Tiptop")</f>
        <v>Tiptop</v>
      </c>
      <c r="B20" s="5" t="str">
        <f ca="1">IFERROR(__xludf.DUMMYFUNCTION("""COMPUTED_VALUE"""),"20 Dice Flames")</f>
        <v>20 Dice Flames</v>
      </c>
      <c r="C20" s="5" t="str">
        <f ca="1">IFERROR(__xludf.DUMMYFUNCTION("""COMPUTED_VALUE"""),"Unicorn20DiceFlames")</f>
        <v>Unicorn20DiceFlames</v>
      </c>
      <c r="D20" s="6">
        <f ca="1">IFERROR(__xludf.DUMMYFUNCTION("""COMPUTED_VALUE"""),44735)</f>
        <v>44735</v>
      </c>
      <c r="E20" s="5" t="str">
        <f ca="1">IFERROR(__xludf.DUMMYFUNCTION("""COMPUTED_VALUE"""),"Dice Slots")</f>
        <v>Dice Slots</v>
      </c>
      <c r="F20" s="5">
        <f ca="1">IFERROR(__xludf.DUMMYFUNCTION("""COMPUTED_VALUE"""),13.2)</f>
        <v>13.2</v>
      </c>
      <c r="G20" s="5" t="str">
        <f ca="1">IFERROR(__xludf.DUMMYFUNCTION("""COMPUTED_VALUE"""),"5X3")</f>
        <v>5X3</v>
      </c>
      <c r="H20" s="5" t="str">
        <f ca="1">IFERROR(__xludf.DUMMYFUNCTION("""COMPUTED_VALUE"""),"20")</f>
        <v>20</v>
      </c>
      <c r="I20" s="5" t="str">
        <f ca="1">IFERROR(__xludf.DUMMYFUNCTION("""COMPUTED_VALUE"""),"20")</f>
        <v>20</v>
      </c>
      <c r="J20" s="5" t="str">
        <f ca="1">IFERROR(__xludf.DUMMYFUNCTION("""COMPUTED_VALUE"""),"96%")</f>
        <v>96%</v>
      </c>
      <c r="K20" s="5" t="str">
        <f ca="1">IFERROR(__xludf.DUMMYFUNCTION("""COMPUTED_VALUE"""),"Low")</f>
        <v>Low</v>
      </c>
      <c r="L20" s="5" t="str">
        <f ca="1">IFERROR(__xludf.DUMMYFUNCTION("""COMPUTED_VALUE"""),"30.07%")</f>
        <v>30.07%</v>
      </c>
      <c r="M20" s="5" t="str">
        <f ca="1">IFERROR(__xludf.DUMMYFUNCTION("""COMPUTED_VALUE"""),"x200")</f>
        <v>x200</v>
      </c>
      <c r="N20" s="5" t="str">
        <f ca="1">IFERROR(__xludf.DUMMYFUNCTION("""COMPUTED_VALUE"""),"0.2/100")</f>
        <v>0.2/100</v>
      </c>
      <c r="O20" s="5" t="str">
        <f ca="1">IFERROR(__xludf.DUMMYFUNCTION("""COMPUTED_VALUE"""),"No")</f>
        <v>No</v>
      </c>
      <c r="P20" s="5"/>
      <c r="Q20" s="7" t="str">
        <f ca="1">IFERROR(__xludf.DUMMYFUNCTION("""COMPUTED_VALUE"""),"https://gameserver-store-client-area.orbionlimited.com/Home/IntegrationGameLaunch/client-area?moneyType=0&amp;gameName=Unicorn20DiceFlames&amp;platform=desktop&amp;languageCode=eng&amp;currency=EUR")</f>
        <v>https://gameserver-store-client-area.orbionlimited.com/Home/IntegrationGameLaunch/client-area?moneyType=0&amp;gameName=Unicorn20DiceFlames&amp;platform=desktop&amp;languageCode=eng&amp;currency=EUR</v>
      </c>
      <c r="R20" s="5" t="str">
        <f ca="1">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S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IFERROR(__xludf.DUMMYFUNCTION("""COMPUTED_VALUE"""),"Yes")</f>
        <v>Yes</v>
      </c>
      <c r="AF20" s="5" t="str">
        <f ca="1">IFERROR(__xludf.DUMMYFUNCTION("""COMPUTED_VALUE"""),"Yes")</f>
        <v>Yes</v>
      </c>
      <c r="AG20" s="5" t="str">
        <f ca="1">IFERROR(__xludf.DUMMYFUNCTION("""COMPUTED_VALUE"""),"Yes")</f>
        <v>Yes</v>
      </c>
      <c r="AH20" s="5" t="str">
        <f ca="1">IFERROR(__xludf.DUMMYFUNCTION("""COMPUTED_VALUE"""),"Yes")</f>
        <v>Yes</v>
      </c>
      <c r="AI20" s="5" t="str">
        <f ca="1">IFERROR(__xludf.DUMMYFUNCTION("""COMPUTED_VALUE"""),"Yes")</f>
        <v>Yes</v>
      </c>
      <c r="AJ20" s="5" t="str">
        <f ca="1">IFERROR(__xludf.DUMMYFUNCTION("""COMPUTED_VALUE"""),"Yes")</f>
        <v>Yes</v>
      </c>
      <c r="AK20" s="5" t="str">
        <f ca="1">IFERROR(__xludf.DUMMYFUNCTION("""COMPUTED_VALUE"""),"Yes")</f>
        <v>Yes</v>
      </c>
      <c r="AL20" s="5" t="str">
        <f ca="1">IFERROR(__xludf.DUMMYFUNCTION("""COMPUTED_VALUE"""),"Yes")</f>
        <v>Yes</v>
      </c>
      <c r="AM20" s="5" t="str">
        <f ca="1">IFERROR(__xludf.DUMMYFUNCTION("""COMPUTED_VALUE"""),"Yes")</f>
        <v>Yes</v>
      </c>
      <c r="AN20" s="5" t="str">
        <f ca="1">IFERROR(__xludf.DUMMYFUNCTION("""COMPUTED_VALUE"""),"Yes")</f>
        <v>Yes</v>
      </c>
      <c r="AO20" s="5" t="str">
        <f ca="1">IFERROR(__xludf.DUMMYFUNCTION("""COMPUTED_VALUE"""),"Yes")</f>
        <v>Yes</v>
      </c>
      <c r="AP20" s="5" t="str">
        <f ca="1">IFERROR(__xludf.DUMMYFUNCTION("""COMPUTED_VALUE"""),"Yes")</f>
        <v>Yes</v>
      </c>
      <c r="AQ20" s="5" t="str">
        <f ca="1">IFERROR(__xludf.DUMMYFUNCTION("""COMPUTED_VALUE"""),"Yes")</f>
        <v>Yes</v>
      </c>
      <c r="AR20" s="5" t="str">
        <f ca="1">IFERROR(__xludf.DUMMYFUNCTION("""COMPUTED_VALUE"""),"Yes")</f>
        <v>Yes</v>
      </c>
      <c r="AS20" s="5" t="str">
        <f ca="1">IFERROR(__xludf.DUMMYFUNCTION("""COMPUTED_VALUE"""),"Yes")</f>
        <v>Yes</v>
      </c>
      <c r="AT20" s="5"/>
      <c r="AU20" s="5"/>
    </row>
    <row r="21" spans="1:47" x14ac:dyDescent="0.25">
      <c r="A21" s="5" t="str">
        <f ca="1">IFERROR(__xludf.DUMMYFUNCTION("""COMPUTED_VALUE"""),"Tiptop")</f>
        <v>Tiptop</v>
      </c>
      <c r="B21" s="5" t="str">
        <f ca="1">IFERROR(__xludf.DUMMYFUNCTION("""COMPUTED_VALUE"""),"40 Mega Flames")</f>
        <v>40 Mega Flames</v>
      </c>
      <c r="C21" s="5" t="str">
        <f ca="1">IFERROR(__xludf.DUMMYFUNCTION("""COMPUTED_VALUE"""),"Unicorn40MegaFlames")</f>
        <v>Unicorn40MegaFlames</v>
      </c>
      <c r="D21" s="6">
        <f ca="1">IFERROR(__xludf.DUMMYFUNCTION("""COMPUTED_VALUE"""),44824)</f>
        <v>44824</v>
      </c>
      <c r="E21" s="5" t="str">
        <f ca="1">IFERROR(__xludf.DUMMYFUNCTION("""COMPUTED_VALUE"""),"Slot")</f>
        <v>Slot</v>
      </c>
      <c r="F21" s="5">
        <f ca="1">IFERROR(__xludf.DUMMYFUNCTION("""COMPUTED_VALUE"""),12.9)</f>
        <v>12.9</v>
      </c>
      <c r="G21" s="5" t="str">
        <f ca="1">IFERROR(__xludf.DUMMYFUNCTION("""COMPUTED_VALUE"""),"5X4")</f>
        <v>5X4</v>
      </c>
      <c r="H21" s="5" t="str">
        <f ca="1">IFERROR(__xludf.DUMMYFUNCTION("""COMPUTED_VALUE"""),"40")</f>
        <v>40</v>
      </c>
      <c r="I21" s="5" t="str">
        <f ca="1">IFERROR(__xludf.DUMMYFUNCTION("""COMPUTED_VALUE"""),"40")</f>
        <v>40</v>
      </c>
      <c r="J21" s="5" t="str">
        <f ca="1">IFERROR(__xludf.DUMMYFUNCTION("""COMPUTED_VALUE"""),"96%")</f>
        <v>96%</v>
      </c>
      <c r="K21" s="5" t="str">
        <f ca="1">IFERROR(__xludf.DUMMYFUNCTION("""COMPUTED_VALUE"""),"Low")</f>
        <v>Low</v>
      </c>
      <c r="L21" s="5" t="str">
        <f ca="1">IFERROR(__xludf.DUMMYFUNCTION("""COMPUTED_VALUE"""),"21.4%")</f>
        <v>21.4%</v>
      </c>
      <c r="M21" s="5" t="str">
        <f ca="1">IFERROR(__xludf.DUMMYFUNCTION("""COMPUTED_VALUE"""),"x2000")</f>
        <v>x2000</v>
      </c>
      <c r="N21" s="5" t="str">
        <f ca="1">IFERROR(__xludf.DUMMYFUNCTION("""COMPUTED_VALUE"""),"0.4/100")</f>
        <v>0.4/100</v>
      </c>
      <c r="O21" s="5" t="str">
        <f ca="1">IFERROR(__xludf.DUMMYFUNCTION("""COMPUTED_VALUE"""),"No")</f>
        <v>No</v>
      </c>
      <c r="P21" s="5" t="str">
        <f ca="1">IFERROR(__xludf.DUMMYFUNCTION("""COMPUTED_VALUE"""),"Scatter")</f>
        <v>Scatter</v>
      </c>
      <c r="Q21" s="7" t="str">
        <f ca="1">IFERROR(__xludf.DUMMYFUNCTION("""COMPUTED_VALUE"""),"https://gameserver-store-client-area.orbionlimited.com/Home/IntegrationGameLaunch/client-area?moneyType=0&amp;gameName=Unicorn40MegaFlames&amp;platform=desktop&amp;languageCode=eng&amp;currency=EUR")</f>
        <v>https://gameserver-store-client-area.orbionlimited.com/Home/IntegrationGameLaunch/client-area?moneyType=0&amp;gameName=Unicorn40MegaFlames&amp;platform=desktop&amp;languageCode=eng&amp;currency=EUR</v>
      </c>
      <c r="R21" s="5" t="str">
        <f ca="1">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S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IFERROR(__xludf.DUMMYFUNCTION("""COMPUTED_VALUE"""),"Yes")</f>
        <v>Yes</v>
      </c>
      <c r="AA21" s="5" t="str">
        <f ca="1">IFERROR(__xludf.DUMMYFUNCTION("""COMPUTED_VALUE"""),"Yes")</f>
        <v>Yes</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IFERROR(__xludf.DUMMYFUNCTION("""COMPUTED_VALUE"""),"Yes")</f>
        <v>Yes</v>
      </c>
      <c r="AF21" s="5" t="str">
        <f ca="1">IFERROR(__xludf.DUMMYFUNCTION("""COMPUTED_VALUE"""),"Yes")</f>
        <v>Yes</v>
      </c>
      <c r="AG21" s="5" t="str">
        <f ca="1">IFERROR(__xludf.DUMMYFUNCTION("""COMPUTED_VALUE"""),"Yes")</f>
        <v>Yes</v>
      </c>
      <c r="AH21" s="5" t="str">
        <f ca="1">IFERROR(__xludf.DUMMYFUNCTION("""COMPUTED_VALUE"""),"Yes")</f>
        <v>Yes</v>
      </c>
      <c r="AI21" s="5" t="str">
        <f ca="1">IFERROR(__xludf.DUMMYFUNCTION("""COMPUTED_VALUE"""),"Yes")</f>
        <v>Yes</v>
      </c>
      <c r="AJ21" s="5" t="str">
        <f ca="1">IFERROR(__xludf.DUMMYFUNCTION("""COMPUTED_VALUE"""),"Yes")</f>
        <v>Yes</v>
      </c>
      <c r="AK21" s="5" t="str">
        <f ca="1">IFERROR(__xludf.DUMMYFUNCTION("""COMPUTED_VALUE"""),"Yes")</f>
        <v>Yes</v>
      </c>
      <c r="AL21" s="5" t="str">
        <f ca="1">IFERROR(__xludf.DUMMYFUNCTION("""COMPUTED_VALUE"""),"Yes")</f>
        <v>Yes</v>
      </c>
      <c r="AM21" s="5" t="str">
        <f ca="1">IFERROR(__xludf.DUMMYFUNCTION("""COMPUTED_VALUE"""),"Yes")</f>
        <v>Yes</v>
      </c>
      <c r="AN21" s="5" t="str">
        <f ca="1">IFERROR(__xludf.DUMMYFUNCTION("""COMPUTED_VALUE"""),"Yes")</f>
        <v>Yes</v>
      </c>
      <c r="AO21" s="5" t="str">
        <f ca="1">IFERROR(__xludf.DUMMYFUNCTION("""COMPUTED_VALUE"""),"Yes")</f>
        <v>Yes</v>
      </c>
      <c r="AP21" s="5" t="str">
        <f ca="1">IFERROR(__xludf.DUMMYFUNCTION("""COMPUTED_VALUE"""),"Yes")</f>
        <v>Yes</v>
      </c>
      <c r="AQ21" s="5" t="str">
        <f ca="1">IFERROR(__xludf.DUMMYFUNCTION("""COMPUTED_VALUE"""),"Yes")</f>
        <v>Yes</v>
      </c>
      <c r="AR21" s="5" t="str">
        <f ca="1">IFERROR(__xludf.DUMMYFUNCTION("""COMPUTED_VALUE"""),"Yes")</f>
        <v>Yes</v>
      </c>
      <c r="AS21" s="5" t="str">
        <f ca="1">IFERROR(__xludf.DUMMYFUNCTION("""COMPUTED_VALUE"""),"Yes")</f>
        <v>Yes</v>
      </c>
      <c r="AT21" s="5"/>
      <c r="AU21" s="5"/>
    </row>
    <row r="22" spans="1:47" x14ac:dyDescent="0.25">
      <c r="A22" s="5" t="str">
        <f ca="1">IFERROR(__xludf.DUMMYFUNCTION("""COMPUTED_VALUE"""),"Tiptop")</f>
        <v>Tiptop</v>
      </c>
      <c r="B22" s="5" t="str">
        <f ca="1">IFERROR(__xludf.DUMMYFUNCTION("""COMPUTED_VALUE"""),"40 Dice Flames")</f>
        <v>40 Dice Flames</v>
      </c>
      <c r="C22" s="5" t="str">
        <f ca="1">IFERROR(__xludf.DUMMYFUNCTION("""COMPUTED_VALUE"""),"Unicorn40DiceFlames")</f>
        <v>Unicorn40DiceFlames</v>
      </c>
      <c r="D22" s="6">
        <f ca="1">IFERROR(__xludf.DUMMYFUNCTION("""COMPUTED_VALUE"""),44859)</f>
        <v>44859</v>
      </c>
      <c r="E22" s="5" t="str">
        <f ca="1">IFERROR(__xludf.DUMMYFUNCTION("""COMPUTED_VALUE"""),"Dice Slots")</f>
        <v>Dice Slots</v>
      </c>
      <c r="F22" s="5">
        <f ca="1">IFERROR(__xludf.DUMMYFUNCTION("""COMPUTED_VALUE"""),13.6)</f>
        <v>13.6</v>
      </c>
      <c r="G22" s="5" t="str">
        <f ca="1">IFERROR(__xludf.DUMMYFUNCTION("""COMPUTED_VALUE"""),"5X4")</f>
        <v>5X4</v>
      </c>
      <c r="H22" s="5" t="str">
        <f ca="1">IFERROR(__xludf.DUMMYFUNCTION("""COMPUTED_VALUE"""),"40")</f>
        <v>40</v>
      </c>
      <c r="I22" s="5" t="str">
        <f ca="1">IFERROR(__xludf.DUMMYFUNCTION("""COMPUTED_VALUE"""),"40")</f>
        <v>40</v>
      </c>
      <c r="J22" s="5" t="str">
        <f ca="1">IFERROR(__xludf.DUMMYFUNCTION("""COMPUTED_VALUE"""),"96%")</f>
        <v>96%</v>
      </c>
      <c r="K22" s="5" t="str">
        <f ca="1">IFERROR(__xludf.DUMMYFUNCTION("""COMPUTED_VALUE"""),"Low")</f>
        <v>Low</v>
      </c>
      <c r="L22" s="5" t="str">
        <f ca="1">IFERROR(__xludf.DUMMYFUNCTION("""COMPUTED_VALUE"""),"21.4%")</f>
        <v>21.4%</v>
      </c>
      <c r="M22" s="5" t="str">
        <f ca="1">IFERROR(__xludf.DUMMYFUNCTION("""COMPUTED_VALUE"""),"x2000")</f>
        <v>x2000</v>
      </c>
      <c r="N22" s="5" t="str">
        <f ca="1">IFERROR(__xludf.DUMMYFUNCTION("""COMPUTED_VALUE"""),"0.4/100")</f>
        <v>0.4/100</v>
      </c>
      <c r="O22" s="5" t="str">
        <f ca="1">IFERROR(__xludf.DUMMYFUNCTION("""COMPUTED_VALUE"""),"No")</f>
        <v>No</v>
      </c>
      <c r="P22" s="5" t="str">
        <f ca="1">IFERROR(__xludf.DUMMYFUNCTION("""COMPUTED_VALUE"""),"Scatter")</f>
        <v>Scatter</v>
      </c>
      <c r="Q22" s="7" t="str">
        <f ca="1">IFERROR(__xludf.DUMMYFUNCTION("""COMPUTED_VALUE"""),"https://gameserver-store-client-area.orbionlimited.com/Home/IntegrationGameLaunch/client-area?moneyType=0&amp;gameName=Unicorn40DiceFlames&amp;platform=desktop&amp;languageCode=eng&amp;currency=EUR")</f>
        <v>https://gameserver-store-client-area.orbionlimited.com/Home/IntegrationGameLaunch/client-area?moneyType=0&amp;gameName=Unicorn40DiceFlames&amp;platform=desktop&amp;languageCode=eng&amp;currency=EUR</v>
      </c>
      <c r="R22" s="5" t="str">
        <f ca="1">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S2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IFERROR(__xludf.DUMMYFUNCTION("""COMPUTED_VALUE"""),"No")</f>
        <v>No</v>
      </c>
      <c r="X22" s="5" t="str">
        <f ca="1">IFERROR(__xludf.DUMMYFUNCTION("""COMPUTED_VALUE"""),"No")</f>
        <v>No</v>
      </c>
      <c r="Y22" s="5" t="str">
        <f ca="1">IFERROR(__xludf.DUMMYFUNCTION("""COMPUTED_VALUE"""),"No")</f>
        <v>No</v>
      </c>
      <c r="Z22" s="5" t="str">
        <f ca="1">IFERROR(__xludf.DUMMYFUNCTION("""COMPUTED_VALUE"""),"No")</f>
        <v>No</v>
      </c>
      <c r="AA22" s="5" t="str">
        <f ca="1">IFERROR(__xludf.DUMMYFUNCTION("""COMPUTED_VALUE"""),"No")</f>
        <v>No</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IFERROR(__xludf.DUMMYFUNCTION("""COMPUTED_VALUE"""),"Yes")</f>
        <v>Yes</v>
      </c>
      <c r="AF22" s="5" t="str">
        <f ca="1">IFERROR(__xludf.DUMMYFUNCTION("""COMPUTED_VALUE"""),"Yes")</f>
        <v>Yes</v>
      </c>
      <c r="AG22" s="5" t="str">
        <f ca="1">IFERROR(__xludf.DUMMYFUNCTION("""COMPUTED_VALUE"""),"No")</f>
        <v>No</v>
      </c>
      <c r="AH22" s="5" t="str">
        <f ca="1">IFERROR(__xludf.DUMMYFUNCTION("""COMPUTED_VALUE"""),"Yes")</f>
        <v>Yes</v>
      </c>
      <c r="AI22" s="5" t="str">
        <f ca="1">IFERROR(__xludf.DUMMYFUNCTION("""COMPUTED_VALUE"""),"No")</f>
        <v>No</v>
      </c>
      <c r="AJ22" s="5" t="str">
        <f ca="1">IFERROR(__xludf.DUMMYFUNCTION("""COMPUTED_VALUE"""),"No")</f>
        <v>No</v>
      </c>
      <c r="AK22" s="5" t="str">
        <f ca="1">IFERROR(__xludf.DUMMYFUNCTION("""COMPUTED_VALUE"""),"No")</f>
        <v>No</v>
      </c>
      <c r="AL22" s="5" t="str">
        <f ca="1">IFERROR(__xludf.DUMMYFUNCTION("""COMPUTED_VALUE"""),"No")</f>
        <v>No</v>
      </c>
      <c r="AM22" s="5" t="str">
        <f ca="1">IFERROR(__xludf.DUMMYFUNCTION("""COMPUTED_VALUE"""),"No")</f>
        <v>No</v>
      </c>
      <c r="AN22" s="5"/>
      <c r="AO22" s="5"/>
      <c r="AP22" s="5"/>
      <c r="AQ22" s="5" t="str">
        <f ca="1">IFERROR(__xludf.DUMMYFUNCTION("""COMPUTED_VALUE"""),"No")</f>
        <v>No</v>
      </c>
      <c r="AR22" s="5"/>
      <c r="AS22" s="5"/>
      <c r="AT22" s="5"/>
      <c r="AU22" s="5"/>
    </row>
    <row r="23" spans="1:47" x14ac:dyDescent="0.25">
      <c r="A23" s="5" t="str">
        <f ca="1">IFERROR(__xludf.DUMMYFUNCTION("""COMPUTED_VALUE"""),"Tiptop")</f>
        <v>Tiptop</v>
      </c>
      <c r="B23" s="5" t="str">
        <f ca="1">IFERROR(__xludf.DUMMYFUNCTION("""COMPUTED_VALUE"""),"Da Vinci's Dice")</f>
        <v>Da Vinci's Dice</v>
      </c>
      <c r="C23" s="5" t="str">
        <f ca="1">IFERROR(__xludf.DUMMYFUNCTION("""COMPUTED_VALUE"""),"UnicornDaVincisDice")</f>
        <v>UnicornDaVincisDice</v>
      </c>
      <c r="D23" s="6">
        <f ca="1">IFERROR(__xludf.DUMMYFUNCTION("""COMPUTED_VALUE"""),44845)</f>
        <v>44845</v>
      </c>
      <c r="E23" s="5" t="str">
        <f ca="1">IFERROR(__xludf.DUMMYFUNCTION("""COMPUTED_VALUE"""),"Dice Slots")</f>
        <v>Dice Slots</v>
      </c>
      <c r="F23" s="5">
        <f ca="1">IFERROR(__xludf.DUMMYFUNCTION("""COMPUTED_VALUE"""),10.7)</f>
        <v>10.7</v>
      </c>
      <c r="G23" s="5" t="str">
        <f ca="1">IFERROR(__xludf.DUMMYFUNCTION("""COMPUTED_VALUE"""),"5X3")</f>
        <v>5X3</v>
      </c>
      <c r="H23" s="5" t="str">
        <f ca="1">IFERROR(__xludf.DUMMYFUNCTION("""COMPUTED_VALUE"""),"5")</f>
        <v>5</v>
      </c>
      <c r="I23" s="5" t="str">
        <f ca="1">IFERROR(__xludf.DUMMYFUNCTION("""COMPUTED_VALUE"""),"5")</f>
        <v>5</v>
      </c>
      <c r="J23" s="5" t="str">
        <f ca="1">IFERROR(__xludf.DUMMYFUNCTION("""COMPUTED_VALUE"""),"96%")</f>
        <v>96%</v>
      </c>
      <c r="K23" s="5" t="str">
        <f ca="1">IFERROR(__xludf.DUMMYFUNCTION("""COMPUTED_VALUE"""),"Low")</f>
        <v>Low</v>
      </c>
      <c r="L23" s="5" t="str">
        <f ca="1">IFERROR(__xludf.DUMMYFUNCTION("""COMPUTED_VALUE"""),"10.5%")</f>
        <v>10.5%</v>
      </c>
      <c r="M23" s="5" t="str">
        <f ca="1">IFERROR(__xludf.DUMMYFUNCTION("""COMPUTED_VALUE"""),"x1000")</f>
        <v>x1000</v>
      </c>
      <c r="N23" s="5" t="str">
        <f ca="1">IFERROR(__xludf.DUMMYFUNCTION("""COMPUTED_VALUE"""),"0.1/100")</f>
        <v>0.1/100</v>
      </c>
      <c r="O23" s="5" t="str">
        <f ca="1">IFERROR(__xludf.DUMMYFUNCTION("""COMPUTED_VALUE"""),"No")</f>
        <v>No</v>
      </c>
      <c r="P23" s="5"/>
      <c r="Q23" s="7" t="str">
        <f ca="1">IFERROR(__xludf.DUMMYFUNCTION("""COMPUTED_VALUE"""),"https://gameserver-store-client-area.orbionlimited.com/Home/IntegrationGameLaunch/client-area?moneyType=0&amp;gameName=UnicornDaVincisDice&amp;platform=desktop&amp;languageCode=eng&amp;currency=EUR")</f>
        <v>https://gameserver-store-client-area.orbionlimited.com/Home/IntegrationGameLaunch/client-area?moneyType=0&amp;gameName=UnicornDaVincisDice&amp;platform=desktop&amp;languageCode=eng&amp;currency=EUR</v>
      </c>
      <c r="R23" s="5" t="str">
        <f ca="1">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S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IFERROR(__xludf.DUMMYFUNCTION("""COMPUTED_VALUE"""),"Yes")</f>
        <v>Yes</v>
      </c>
      <c r="AF23" s="5" t="str">
        <f ca="1">IFERROR(__xludf.DUMMYFUNCTION("""COMPUTED_VALUE"""),"Yes")</f>
        <v>Yes</v>
      </c>
      <c r="AG23" s="5" t="str">
        <f ca="1">IFERROR(__xludf.DUMMYFUNCTION("""COMPUTED_VALUE"""),"Yes")</f>
        <v>Yes</v>
      </c>
      <c r="AH23" s="5" t="str">
        <f ca="1">IFERROR(__xludf.DUMMYFUNCTION("""COMPUTED_VALUE"""),"Yes")</f>
        <v>Yes</v>
      </c>
      <c r="AI23" s="5" t="str">
        <f ca="1">IFERROR(__xludf.DUMMYFUNCTION("""COMPUTED_VALUE"""),"Yes")</f>
        <v>Yes</v>
      </c>
      <c r="AJ23" s="5" t="str">
        <f ca="1">IFERROR(__xludf.DUMMYFUNCTION("""COMPUTED_VALUE"""),"Yes")</f>
        <v>Yes</v>
      </c>
      <c r="AK23" s="5" t="str">
        <f ca="1">IFERROR(__xludf.DUMMYFUNCTION("""COMPUTED_VALUE"""),"Yes")</f>
        <v>Yes</v>
      </c>
      <c r="AL23" s="5" t="str">
        <f ca="1">IFERROR(__xludf.DUMMYFUNCTION("""COMPUTED_VALUE"""),"Yes")</f>
        <v>Yes</v>
      </c>
      <c r="AM23" s="5" t="str">
        <f ca="1">IFERROR(__xludf.DUMMYFUNCTION("""COMPUTED_VALUE"""),"Yes")</f>
        <v>Yes</v>
      </c>
      <c r="AN23" s="5" t="str">
        <f ca="1">IFERROR(__xludf.DUMMYFUNCTION("""COMPUTED_VALUE"""),"Yes")</f>
        <v>Yes</v>
      </c>
      <c r="AO23" s="5" t="str">
        <f ca="1">IFERROR(__xludf.DUMMYFUNCTION("""COMPUTED_VALUE"""),"Yes")</f>
        <v>Yes</v>
      </c>
      <c r="AP23" s="5" t="str">
        <f ca="1">IFERROR(__xludf.DUMMYFUNCTION("""COMPUTED_VALUE"""),"Yes")</f>
        <v>Yes</v>
      </c>
      <c r="AQ23" s="5" t="str">
        <f ca="1">IFERROR(__xludf.DUMMYFUNCTION("""COMPUTED_VALUE"""),"Yes")</f>
        <v>Yes</v>
      </c>
      <c r="AR23" s="5" t="str">
        <f ca="1">IFERROR(__xludf.DUMMYFUNCTION("""COMPUTED_VALUE"""),"Yes")</f>
        <v>Yes</v>
      </c>
      <c r="AS23" s="5" t="str">
        <f ca="1">IFERROR(__xludf.DUMMYFUNCTION("""COMPUTED_VALUE"""),"Yes")</f>
        <v>Yes</v>
      </c>
      <c r="AT23" s="5"/>
      <c r="AU23" s="5"/>
    </row>
    <row r="24" spans="1:47" x14ac:dyDescent="0.25">
      <c r="A24" s="5" t="str">
        <f ca="1">IFERROR(__xludf.DUMMYFUNCTION("""COMPUTED_VALUE"""),"Tiptop")</f>
        <v>Tiptop</v>
      </c>
      <c r="B24" s="5" t="str">
        <f ca="1">IFERROR(__xludf.DUMMYFUNCTION("""COMPUTED_VALUE"""),"Winter Fruits")</f>
        <v>Winter Fruits</v>
      </c>
      <c r="C24" s="5" t="str">
        <f ca="1">IFERROR(__xludf.DUMMYFUNCTION("""COMPUTED_VALUE"""),"UnicornWinterFruits")</f>
        <v>UnicornWinterFruits</v>
      </c>
      <c r="D24" s="6">
        <f ca="1">IFERROR(__xludf.DUMMYFUNCTION("""COMPUTED_VALUE"""),44873)</f>
        <v>44873</v>
      </c>
      <c r="E24" s="5" t="str">
        <f ca="1">IFERROR(__xludf.DUMMYFUNCTION("""COMPUTED_VALUE"""),"Slot")</f>
        <v>Slot</v>
      </c>
      <c r="F24" s="5">
        <f ca="1">IFERROR(__xludf.DUMMYFUNCTION("""COMPUTED_VALUE"""),12.3)</f>
        <v>12.3</v>
      </c>
      <c r="G24" s="5" t="str">
        <f ca="1">IFERROR(__xludf.DUMMYFUNCTION("""COMPUTED_VALUE"""),"5X4")</f>
        <v>5X4</v>
      </c>
      <c r="H24" s="5" t="str">
        <f ca="1">IFERROR(__xludf.DUMMYFUNCTION("""COMPUTED_VALUE"""),"40")</f>
        <v>40</v>
      </c>
      <c r="I24" s="5" t="str">
        <f ca="1">IFERROR(__xludf.DUMMYFUNCTION("""COMPUTED_VALUE"""),"40")</f>
        <v>40</v>
      </c>
      <c r="J24" s="5" t="str">
        <f ca="1">IFERROR(__xludf.DUMMYFUNCTION("""COMPUTED_VALUE"""),"96%")</f>
        <v>96%</v>
      </c>
      <c r="K24" s="5" t="str">
        <f ca="1">IFERROR(__xludf.DUMMYFUNCTION("""COMPUTED_VALUE"""),"Low")</f>
        <v>Low</v>
      </c>
      <c r="L24" s="5" t="str">
        <f ca="1">IFERROR(__xludf.DUMMYFUNCTION("""COMPUTED_VALUE"""),"11.91%")</f>
        <v>11.91%</v>
      </c>
      <c r="M24" s="5" t="str">
        <f ca="1">IFERROR(__xludf.DUMMYFUNCTION("""COMPUTED_VALUE"""),"x1000")</f>
        <v>x1000</v>
      </c>
      <c r="N24" s="5" t="str">
        <f ca="1">IFERROR(__xludf.DUMMYFUNCTION("""COMPUTED_VALUE"""),"0.4/100")</f>
        <v>0.4/100</v>
      </c>
      <c r="O24" s="5" t="str">
        <f ca="1">IFERROR(__xludf.DUMMYFUNCTION("""COMPUTED_VALUE"""),"No")</f>
        <v>No</v>
      </c>
      <c r="P24" s="5" t="str">
        <f ca="1">IFERROR(__xludf.DUMMYFUNCTION("""COMPUTED_VALUE"""),"Wild Symbol, Scatter")</f>
        <v>Wild Symbol, Scatter</v>
      </c>
      <c r="Q24" s="7" t="str">
        <f ca="1">IFERROR(__xludf.DUMMYFUNCTION("""COMPUTED_VALUE"""),"https://gameserver-store-client-area.orbionlimited.com/Home/IntegrationGameLaunch/client-area?moneyType=0&amp;gameName=UnicornWinterFruits&amp;platform=desktop&amp;languageCode=eng&amp;currency=EUR")</f>
        <v>https://gameserver-store-client-area.orbionlimited.com/Home/IntegrationGameLaunch/client-area?moneyType=0&amp;gameName=UnicornWinterFruits&amp;platform=desktop&amp;languageCode=eng&amp;currency=EUR</v>
      </c>
      <c r="R24" s="5" t="str">
        <f ca="1">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S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IFERROR(__xludf.DUMMYFUNCTION("""COMPUTED_VALUE"""),"No")</f>
        <v>No</v>
      </c>
      <c r="X24" s="5" t="str">
        <f ca="1">IFERROR(__xludf.DUMMYFUNCTION("""COMPUTED_VALUE"""),"No")</f>
        <v>No</v>
      </c>
      <c r="Y24" s="5" t="str">
        <f ca="1">IFERROR(__xludf.DUMMYFUNCTION("""COMPUTED_VALUE"""),"No")</f>
        <v>No</v>
      </c>
      <c r="Z24" s="5" t="str">
        <f ca="1">IFERROR(__xludf.DUMMYFUNCTION("""COMPUTED_VALUE"""),"No")</f>
        <v>No</v>
      </c>
      <c r="AA24" s="5" t="str">
        <f ca="1">IFERROR(__xludf.DUMMYFUNCTION("""COMPUTED_VALUE"""),"No")</f>
        <v>No</v>
      </c>
      <c r="AB24" s="5" t="str">
        <f ca="1">IFERROR(__xludf.DUMMYFUNCTION("""COMPUTED_VALUE"""),"Yes")</f>
        <v>Yes</v>
      </c>
      <c r="AC24" s="5" t="str">
        <f ca="1">IFERROR(__xludf.DUMMYFUNCTION("""COMPUTED_VALUE"""),"Yes")</f>
        <v>Yes</v>
      </c>
      <c r="AD24" s="5" t="str">
        <f ca="1">IFERROR(__xludf.DUMMYFUNCTION("""COMPUTED_VALUE"""),"Yes")</f>
        <v>Yes</v>
      </c>
      <c r="AE24" s="5" t="str">
        <f ca="1">IFERROR(__xludf.DUMMYFUNCTION("""COMPUTED_VALUE"""),"Yes")</f>
        <v>Yes</v>
      </c>
      <c r="AF24" s="5" t="str">
        <f ca="1">IFERROR(__xludf.DUMMYFUNCTION("""COMPUTED_VALUE"""),"Yes")</f>
        <v>Yes</v>
      </c>
      <c r="AG24" s="5" t="str">
        <f ca="1">IFERROR(__xludf.DUMMYFUNCTION("""COMPUTED_VALUE"""),"No")</f>
        <v>No</v>
      </c>
      <c r="AH24" s="5" t="str">
        <f ca="1">IFERROR(__xludf.DUMMYFUNCTION("""COMPUTED_VALUE"""),"Yes")</f>
        <v>Yes</v>
      </c>
      <c r="AI24" s="5" t="str">
        <f ca="1">IFERROR(__xludf.DUMMYFUNCTION("""COMPUTED_VALUE"""),"No")</f>
        <v>No</v>
      </c>
      <c r="AJ24" s="5" t="str">
        <f ca="1">IFERROR(__xludf.DUMMYFUNCTION("""COMPUTED_VALUE"""),"No")</f>
        <v>No</v>
      </c>
      <c r="AK24" s="5" t="str">
        <f ca="1">IFERROR(__xludf.DUMMYFUNCTION("""COMPUTED_VALUE"""),"No")</f>
        <v>No</v>
      </c>
      <c r="AL24" s="5" t="str">
        <f ca="1">IFERROR(__xludf.DUMMYFUNCTION("""COMPUTED_VALUE"""),"No")</f>
        <v>No</v>
      </c>
      <c r="AM24" s="5" t="str">
        <f ca="1">IFERROR(__xludf.DUMMYFUNCTION("""COMPUTED_VALUE"""),"No")</f>
        <v>No</v>
      </c>
      <c r="AN24" s="5"/>
      <c r="AO24" s="5"/>
      <c r="AP24" s="5"/>
      <c r="AQ24" s="5" t="str">
        <f ca="1">IFERROR(__xludf.DUMMYFUNCTION("""COMPUTED_VALUE"""),"No")</f>
        <v>No</v>
      </c>
      <c r="AR24" s="5"/>
      <c r="AS24" s="5"/>
      <c r="AT24" s="5"/>
      <c r="AU24" s="5"/>
    </row>
    <row r="25" spans="1:47" x14ac:dyDescent="0.25">
      <c r="A25" s="5" t="str">
        <f ca="1">IFERROR(__xludf.DUMMYFUNCTION("""COMPUTED_VALUE"""),"Tiptop")</f>
        <v>Tiptop</v>
      </c>
      <c r="B25" s="5" t="str">
        <f ca="1">IFERROR(__xludf.DUMMYFUNCTION("""COMPUTED_VALUE"""),"Fast Fruits")</f>
        <v>Fast Fruits</v>
      </c>
      <c r="C25" s="5" t="str">
        <f ca="1">IFERROR(__xludf.DUMMYFUNCTION("""COMPUTED_VALUE"""),"UnicornFastFruits")</f>
        <v>UnicornFastFruits</v>
      </c>
      <c r="D25" s="6">
        <f ca="1">IFERROR(__xludf.DUMMYFUNCTION("""COMPUTED_VALUE"""),44887)</f>
        <v>44887</v>
      </c>
      <c r="E25" s="5" t="str">
        <f ca="1">IFERROR(__xludf.DUMMYFUNCTION("""COMPUTED_VALUE"""),"Slot")</f>
        <v>Slot</v>
      </c>
      <c r="F25" s="5">
        <f ca="1">IFERROR(__xludf.DUMMYFUNCTION("""COMPUTED_VALUE"""),13.4)</f>
        <v>13.4</v>
      </c>
      <c r="G25" s="5" t="str">
        <f ca="1">IFERROR(__xludf.DUMMYFUNCTION("""COMPUTED_VALUE"""),"5X3")</f>
        <v>5X3</v>
      </c>
      <c r="H25" s="5" t="str">
        <f ca="1">IFERROR(__xludf.DUMMYFUNCTION("""COMPUTED_VALUE"""),"10")</f>
        <v>10</v>
      </c>
      <c r="I25" s="5" t="str">
        <f ca="1">IFERROR(__xludf.DUMMYFUNCTION("""COMPUTED_VALUE"""),"10")</f>
        <v>10</v>
      </c>
      <c r="J25" s="5" t="str">
        <f ca="1">IFERROR(__xludf.DUMMYFUNCTION("""COMPUTED_VALUE"""),"96%")</f>
        <v>96%</v>
      </c>
      <c r="K25" s="5" t="str">
        <f ca="1">IFERROR(__xludf.DUMMYFUNCTION("""COMPUTED_VALUE"""),"Low")</f>
        <v>Low</v>
      </c>
      <c r="L25" s="5" t="str">
        <f ca="1">IFERROR(__xludf.DUMMYFUNCTION("""COMPUTED_VALUE"""),"10.24%")</f>
        <v>10.24%</v>
      </c>
      <c r="M25" s="5" t="str">
        <f ca="1">IFERROR(__xludf.DUMMYFUNCTION("""COMPUTED_VALUE"""),"x1000")</f>
        <v>x1000</v>
      </c>
      <c r="N25" s="5" t="str">
        <f ca="1">IFERROR(__xludf.DUMMYFUNCTION("""COMPUTED_VALUE"""),"0.1/100")</f>
        <v>0.1/100</v>
      </c>
      <c r="O25" s="5" t="str">
        <f ca="1">IFERROR(__xludf.DUMMYFUNCTION("""COMPUTED_VALUE"""),"No")</f>
        <v>No</v>
      </c>
      <c r="P25" s="5"/>
      <c r="Q25" s="7" t="str">
        <f ca="1">IFERROR(__xludf.DUMMYFUNCTION("""COMPUTED_VALUE"""),"https://gameserver-store-client-area.orbionlimited.com/Home/IntegrationGameLaunch/client-area?moneyType=0&amp;gameName=UnicornFastFruits&amp;platform=desktop&amp;languageCode=eng&amp;currency=EUR")</f>
        <v>https://gameserver-store-client-area.orbionlimited.com/Home/IntegrationGameLaunch/client-area?moneyType=0&amp;gameName=UnicornFastFruits&amp;platform=desktop&amp;languageCode=eng&amp;currency=EUR</v>
      </c>
      <c r="R25" s="5" t="str">
        <f ca="1">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S2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5" s="5" t="str">
        <f ca="1">IFERROR(__xludf.DUMMYFUNCTION("""COMPUTED_VALUE"""),"Yes")</f>
        <v>Yes</v>
      </c>
      <c r="U25" s="5" t="str">
        <f ca="1">IFERROR(__xludf.DUMMYFUNCTION("""COMPUTED_VALUE"""),"Yes")</f>
        <v>Yes</v>
      </c>
      <c r="V25" s="5" t="str">
        <f ca="1">IFERROR(__xludf.DUMMYFUNCTION("""COMPUTED_VALUE"""),"No")</f>
        <v>No</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IFERROR(__xludf.DUMMYFUNCTION("""COMPUTED_VALUE"""),"Yes")</f>
        <v>Yes</v>
      </c>
      <c r="AF25" s="5" t="str">
        <f ca="1">IFERROR(__xludf.DUMMYFUNCTION("""COMPUTED_VALUE"""),"Yes")</f>
        <v>Yes</v>
      </c>
      <c r="AG25" s="5" t="str">
        <f ca="1">IFERROR(__xludf.DUMMYFUNCTION("""COMPUTED_VALUE"""),"Yes")</f>
        <v>Yes</v>
      </c>
      <c r="AH25" s="5" t="str">
        <f ca="1">IFERROR(__xludf.DUMMYFUNCTION("""COMPUTED_VALUE"""),"Yes")</f>
        <v>Yes</v>
      </c>
      <c r="AI25" s="5" t="str">
        <f ca="1">IFERROR(__xludf.DUMMYFUNCTION("""COMPUTED_VALUE"""),"No")</f>
        <v>No</v>
      </c>
      <c r="AJ25" s="5" t="str">
        <f ca="1">IFERROR(__xludf.DUMMYFUNCTION("""COMPUTED_VALUE"""),"No")</f>
        <v>No</v>
      </c>
      <c r="AK25" s="5" t="str">
        <f ca="1">IFERROR(__xludf.DUMMYFUNCTION("""COMPUTED_VALUE"""),"No")</f>
        <v>No</v>
      </c>
      <c r="AL25" s="5" t="str">
        <f ca="1">IFERROR(__xludf.DUMMYFUNCTION("""COMPUTED_VALUE"""),"No")</f>
        <v>No</v>
      </c>
      <c r="AM25" s="5" t="str">
        <f ca="1">IFERROR(__xludf.DUMMYFUNCTION("""COMPUTED_VALUE"""),"No")</f>
        <v>No</v>
      </c>
      <c r="AN25" s="5" t="str">
        <f ca="1">IFERROR(__xludf.DUMMYFUNCTION("""COMPUTED_VALUE"""),"No")</f>
        <v>No</v>
      </c>
      <c r="AO25" s="5" t="str">
        <f ca="1">IFERROR(__xludf.DUMMYFUNCTION("""COMPUTED_VALUE"""),"No")</f>
        <v>No</v>
      </c>
      <c r="AP25" s="5" t="str">
        <f ca="1">IFERROR(__xludf.DUMMYFUNCTION("""COMPUTED_VALUE"""),"No")</f>
        <v>No</v>
      </c>
      <c r="AQ25" s="5" t="str">
        <f ca="1">IFERROR(__xludf.DUMMYFUNCTION("""COMPUTED_VALUE"""),"No")</f>
        <v>No</v>
      </c>
      <c r="AR25" s="5" t="str">
        <f ca="1">IFERROR(__xludf.DUMMYFUNCTION("""COMPUTED_VALUE"""),"No")</f>
        <v>No</v>
      </c>
      <c r="AS25" s="5" t="str">
        <f ca="1">IFERROR(__xludf.DUMMYFUNCTION("""COMPUTED_VALUE"""),"Yes")</f>
        <v>Yes</v>
      </c>
      <c r="AT25" s="5" t="str">
        <f ca="1">IFERROR(__xludf.DUMMYFUNCTION("""COMPUTED_VALUE"""),"No")</f>
        <v>No</v>
      </c>
      <c r="AU25" s="5"/>
    </row>
    <row r="26" spans="1:47" x14ac:dyDescent="0.25">
      <c r="A26" s="5" t="str">
        <f ca="1">IFERROR(__xludf.DUMMYFUNCTION("""COMPUTED_VALUE"""),"Tiptop")</f>
        <v>Tiptop</v>
      </c>
      <c r="B26" s="5" t="str">
        <f ca="1">IFERROR(__xludf.DUMMYFUNCTION("""COMPUTED_VALUE"""),"Money Standard Wild")</f>
        <v>Money Standard Wild</v>
      </c>
      <c r="C26" s="5" t="str">
        <f ca="1">IFERROR(__xludf.DUMMYFUNCTION("""COMPUTED_VALUE"""),"UnicornMoneyStandardWild")</f>
        <v>UnicornMoneyStandardWild</v>
      </c>
      <c r="D26" s="6">
        <f ca="1">IFERROR(__xludf.DUMMYFUNCTION("""COMPUTED_VALUE"""),44901)</f>
        <v>44901</v>
      </c>
      <c r="E26" s="5" t="str">
        <f ca="1">IFERROR(__xludf.DUMMYFUNCTION("""COMPUTED_VALUE"""),"Slot")</f>
        <v>Slot</v>
      </c>
      <c r="F26" s="5">
        <f ca="1">IFERROR(__xludf.DUMMYFUNCTION("""COMPUTED_VALUE"""),14.6)</f>
        <v>14.6</v>
      </c>
      <c r="G26" s="5" t="str">
        <f ca="1">IFERROR(__xludf.DUMMYFUNCTION("""COMPUTED_VALUE"""),"5X4")</f>
        <v>5X4</v>
      </c>
      <c r="H26" s="5" t="str">
        <f ca="1">IFERROR(__xludf.DUMMYFUNCTION("""COMPUTED_VALUE"""),"20")</f>
        <v>20</v>
      </c>
      <c r="I26" s="5" t="str">
        <f ca="1">IFERROR(__xludf.DUMMYFUNCTION("""COMPUTED_VALUE"""),"20")</f>
        <v>20</v>
      </c>
      <c r="J26" s="5" t="str">
        <f ca="1">IFERROR(__xludf.DUMMYFUNCTION("""COMPUTED_VALUE"""),"96%")</f>
        <v>96%</v>
      </c>
      <c r="K26" s="5" t="str">
        <f ca="1">IFERROR(__xludf.DUMMYFUNCTION("""COMPUTED_VALUE"""),"Medium")</f>
        <v>Medium</v>
      </c>
      <c r="L26" s="5" t="str">
        <f ca="1">IFERROR(__xludf.DUMMYFUNCTION("""COMPUTED_VALUE"""),"10.94%")</f>
        <v>10.94%</v>
      </c>
      <c r="M26" s="5" t="str">
        <f ca="1">IFERROR(__xludf.DUMMYFUNCTION("""COMPUTED_VALUE"""),"x5000")</f>
        <v>x5000</v>
      </c>
      <c r="N26" s="5" t="str">
        <f ca="1">IFERROR(__xludf.DUMMYFUNCTION("""COMPUTED_VALUE"""),"0.2/100")</f>
        <v>0.2/100</v>
      </c>
      <c r="O26" s="5" t="str">
        <f ca="1">IFERROR(__xludf.DUMMYFUNCTION("""COMPUTED_VALUE"""),"No")</f>
        <v>No</v>
      </c>
      <c r="P26" s="5" t="str">
        <f ca="1">IFERROR(__xludf.DUMMYFUNCTION("""COMPUTED_VALUE"""),"Wild Symbol")</f>
        <v>Wild Symbol</v>
      </c>
      <c r="Q26" s="7" t="str">
        <f ca="1">IFERROR(__xludf.DUMMYFUNCTION("""COMPUTED_VALUE"""),"https://gameserver-store-client-area.orbionlimited.com/Home/IntegrationGameLaunch/client-area?moneyType=0&amp;gameName=UnicornMoneyStandardWild&amp;platform=desktop&amp;languageCode=eng&amp;currency=EUR")</f>
        <v>https://gameserver-store-client-area.orbionlimited.com/Home/IntegrationGameLaunch/client-area?moneyType=0&amp;gameName=UnicornMoneyStandardWild&amp;platform=desktop&amp;languageCode=eng&amp;currency=EUR</v>
      </c>
      <c r="R26" s="5" t="str">
        <f ca="1">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S2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IFERROR(__xludf.DUMMYFUNCTION("""COMPUTED_VALUE"""),"No")</f>
        <v>No</v>
      </c>
      <c r="X26" s="5" t="str">
        <f ca="1">IFERROR(__xludf.DUMMYFUNCTION("""COMPUTED_VALUE"""),"No")</f>
        <v>No</v>
      </c>
      <c r="Y26" s="5" t="str">
        <f ca="1">IFERROR(__xludf.DUMMYFUNCTION("""COMPUTED_VALUE"""),"No")</f>
        <v>No</v>
      </c>
      <c r="Z26" s="5" t="str">
        <f ca="1">IFERROR(__xludf.DUMMYFUNCTION("""COMPUTED_VALUE"""),"No")</f>
        <v>No</v>
      </c>
      <c r="AA26" s="5" t="str">
        <f ca="1">IFERROR(__xludf.DUMMYFUNCTION("""COMPUTED_VALUE"""),"No")</f>
        <v>No</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IFERROR(__xludf.DUMMYFUNCTION("""COMPUTED_VALUE"""),"Yes")</f>
        <v>Yes</v>
      </c>
      <c r="AF26" s="5" t="str">
        <f ca="1">IFERROR(__xludf.DUMMYFUNCTION("""COMPUTED_VALUE"""),"Yes")</f>
        <v>Yes</v>
      </c>
      <c r="AG26" s="5" t="str">
        <f ca="1">IFERROR(__xludf.DUMMYFUNCTION("""COMPUTED_VALUE"""),"No")</f>
        <v>No</v>
      </c>
      <c r="AH26" s="5" t="str">
        <f ca="1">IFERROR(__xludf.DUMMYFUNCTION("""COMPUTED_VALUE"""),"Yes")</f>
        <v>Yes</v>
      </c>
      <c r="AI26" s="5" t="str">
        <f ca="1">IFERROR(__xludf.DUMMYFUNCTION("""COMPUTED_VALUE"""),"No")</f>
        <v>No</v>
      </c>
      <c r="AJ26" s="5" t="str">
        <f ca="1">IFERROR(__xludf.DUMMYFUNCTION("""COMPUTED_VALUE"""),"No")</f>
        <v>No</v>
      </c>
      <c r="AK26" s="5" t="str">
        <f ca="1">IFERROR(__xludf.DUMMYFUNCTION("""COMPUTED_VALUE"""),"No")</f>
        <v>No</v>
      </c>
      <c r="AL26" s="5" t="str">
        <f ca="1">IFERROR(__xludf.DUMMYFUNCTION("""COMPUTED_VALUE"""),"No")</f>
        <v>No</v>
      </c>
      <c r="AM26" s="5" t="str">
        <f ca="1">IFERROR(__xludf.DUMMYFUNCTION("""COMPUTED_VALUE"""),"No")</f>
        <v>No</v>
      </c>
      <c r="AN26" s="5"/>
      <c r="AO26" s="5"/>
      <c r="AP26" s="5"/>
      <c r="AQ26" s="5" t="str">
        <f ca="1">IFERROR(__xludf.DUMMYFUNCTION("""COMPUTED_VALUE"""),"No")</f>
        <v>No</v>
      </c>
      <c r="AR26" s="5"/>
      <c r="AS26" s="5"/>
      <c r="AT26" s="5"/>
      <c r="AU26" s="5"/>
    </row>
    <row r="27" spans="1:47" x14ac:dyDescent="0.25">
      <c r="A27" s="5" t="str">
        <f ca="1">IFERROR(__xludf.DUMMYFUNCTION("""COMPUTED_VALUE"""),"Tiptop")</f>
        <v>Tiptop</v>
      </c>
      <c r="B27" s="5" t="str">
        <f ca="1">IFERROR(__xludf.DUMMYFUNCTION("""COMPUTED_VALUE"""),"Dice Mega Cash")</f>
        <v>Dice Mega Cash</v>
      </c>
      <c r="C27" s="5" t="str">
        <f ca="1">IFERROR(__xludf.DUMMYFUNCTION("""COMPUTED_VALUE"""),"UnicornDiceMegaCash")</f>
        <v>UnicornDiceMegaCash</v>
      </c>
      <c r="D27" s="6">
        <f ca="1">IFERROR(__xludf.DUMMYFUNCTION("""COMPUTED_VALUE"""),44950)</f>
        <v>44950</v>
      </c>
      <c r="E27" s="5" t="str">
        <f ca="1">IFERROR(__xludf.DUMMYFUNCTION("""COMPUTED_VALUE"""),"Dice Slots")</f>
        <v>Dice Slots</v>
      </c>
      <c r="F27" s="5">
        <f ca="1">IFERROR(__xludf.DUMMYFUNCTION("""COMPUTED_VALUE"""),12.7)</f>
        <v>12.7</v>
      </c>
      <c r="G27" s="5" t="str">
        <f ca="1">IFERROR(__xludf.DUMMYFUNCTION("""COMPUTED_VALUE"""),"5X3")</f>
        <v>5X3</v>
      </c>
      <c r="H27" s="5" t="str">
        <f ca="1">IFERROR(__xludf.DUMMYFUNCTION("""COMPUTED_VALUE"""),"10")</f>
        <v>10</v>
      </c>
      <c r="I27" s="5" t="str">
        <f ca="1">IFERROR(__xludf.DUMMYFUNCTION("""COMPUTED_VALUE"""),"10")</f>
        <v>10</v>
      </c>
      <c r="J27" s="5" t="str">
        <f ca="1">IFERROR(__xludf.DUMMYFUNCTION("""COMPUTED_VALUE"""),"96%")</f>
        <v>96%</v>
      </c>
      <c r="K27" s="5" t="str">
        <f ca="1">IFERROR(__xludf.DUMMYFUNCTION("""COMPUTED_VALUE"""),"Low")</f>
        <v>Low</v>
      </c>
      <c r="L27" s="5" t="str">
        <f ca="1">IFERROR(__xludf.DUMMYFUNCTION("""COMPUTED_VALUE"""),"21.22%")</f>
        <v>21.22%</v>
      </c>
      <c r="M27" s="5" t="str">
        <f ca="1">IFERROR(__xludf.DUMMYFUNCTION("""COMPUTED_VALUE"""),"x5000")</f>
        <v>x5000</v>
      </c>
      <c r="N27" s="5" t="str">
        <f ca="1">IFERROR(__xludf.DUMMYFUNCTION("""COMPUTED_VALUE"""),"0.1/100")</f>
        <v>0.1/100</v>
      </c>
      <c r="O27" s="5" t="str">
        <f ca="1">IFERROR(__xludf.DUMMYFUNCTION("""COMPUTED_VALUE"""),"No")</f>
        <v>No</v>
      </c>
      <c r="P27" s="5" t="str">
        <f ca="1">IFERROR(__xludf.DUMMYFUNCTION("""COMPUTED_VALUE"""),"Scatter")</f>
        <v>Scatter</v>
      </c>
      <c r="Q27" s="7" t="str">
        <f ca="1">IFERROR(__xludf.DUMMYFUNCTION("""COMPUTED_VALUE"""),"https://gameserver-store-client-area.orbionlimited.com/Home/IntegrationGameLaunch/client-area?moneyType=0&amp;gameName=UnicornDiceMegaCash&amp;platform=desktop&amp;languageCode=eng&amp;currency=EUR")</f>
        <v>https://gameserver-store-client-area.orbionlimited.com/Home/IntegrationGameLaunch/client-area?moneyType=0&amp;gameName=UnicornDiceMegaCash&amp;platform=desktop&amp;languageCode=eng&amp;currency=EUR</v>
      </c>
      <c r="R27" s="5" t="str">
        <f ca="1">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S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IFERROR(__xludf.DUMMYFUNCTION("""COMPUTED_VALUE"""),"Yes")</f>
        <v>Yes</v>
      </c>
      <c r="X27" s="5" t="str">
        <f ca="1">IFERROR(__xludf.DUMMYFUNCTION("""COMPUTED_VALUE"""),"Yes")</f>
        <v>Yes</v>
      </c>
      <c r="Y27" s="5" t="str">
        <f ca="1">IFERROR(__xludf.DUMMYFUNCTION("""COMPUTED_VALUE"""),"Yes")</f>
        <v>Yes</v>
      </c>
      <c r="Z27" s="5" t="str">
        <f ca="1">IFERROR(__xludf.DUMMYFUNCTION("""COMPUTED_VALUE"""),"Yes")</f>
        <v>Yes</v>
      </c>
      <c r="AA27" s="5" t="str">
        <f ca="1">IFERROR(__xludf.DUMMYFUNCTION("""COMPUTED_VALUE"""),"Yes")</f>
        <v>Yes</v>
      </c>
      <c r="AB27" s="5" t="str">
        <f ca="1">IFERROR(__xludf.DUMMYFUNCTION("""COMPUTED_VALUE"""),"Yes")</f>
        <v>Yes</v>
      </c>
      <c r="AC27" s="5" t="str">
        <f ca="1">IFERROR(__xludf.DUMMYFUNCTION("""COMPUTED_VALUE"""),"Yes")</f>
        <v>Yes</v>
      </c>
      <c r="AD27" s="5" t="str">
        <f ca="1">IFERROR(__xludf.DUMMYFUNCTION("""COMPUTED_VALUE"""),"Yes")</f>
        <v>Yes</v>
      </c>
      <c r="AE27" s="5" t="str">
        <f ca="1">IFERROR(__xludf.DUMMYFUNCTION("""COMPUTED_VALUE"""),"Yes")</f>
        <v>Yes</v>
      </c>
      <c r="AF27" s="5" t="str">
        <f ca="1">IFERROR(__xludf.DUMMYFUNCTION("""COMPUTED_VALUE"""),"Yes")</f>
        <v>Yes</v>
      </c>
      <c r="AG27" s="5" t="str">
        <f ca="1">IFERROR(__xludf.DUMMYFUNCTION("""COMPUTED_VALUE"""),"Yes")</f>
        <v>Yes</v>
      </c>
      <c r="AH27" s="5" t="str">
        <f ca="1">IFERROR(__xludf.DUMMYFUNCTION("""COMPUTED_VALUE"""),"Yes")</f>
        <v>Yes</v>
      </c>
      <c r="AI27" s="5" t="str">
        <f ca="1">IFERROR(__xludf.DUMMYFUNCTION("""COMPUTED_VALUE"""),"Yes")</f>
        <v>Yes</v>
      </c>
      <c r="AJ27" s="5" t="str">
        <f ca="1">IFERROR(__xludf.DUMMYFUNCTION("""COMPUTED_VALUE"""),"Yes")</f>
        <v>Yes</v>
      </c>
      <c r="AK27" s="5" t="str">
        <f ca="1">IFERROR(__xludf.DUMMYFUNCTION("""COMPUTED_VALUE"""),"Yes")</f>
        <v>Yes</v>
      </c>
      <c r="AL27" s="5" t="str">
        <f ca="1">IFERROR(__xludf.DUMMYFUNCTION("""COMPUTED_VALUE"""),"Yes")</f>
        <v>Yes</v>
      </c>
      <c r="AM27" s="5" t="str">
        <f ca="1">IFERROR(__xludf.DUMMYFUNCTION("""COMPUTED_VALUE"""),"Yes")</f>
        <v>Yes</v>
      </c>
      <c r="AN27" s="5" t="str">
        <f ca="1">IFERROR(__xludf.DUMMYFUNCTION("""COMPUTED_VALUE"""),"Yes")</f>
        <v>Yes</v>
      </c>
      <c r="AO27" s="5" t="str">
        <f ca="1">IFERROR(__xludf.DUMMYFUNCTION("""COMPUTED_VALUE"""),"Yes")</f>
        <v>Yes</v>
      </c>
      <c r="AP27" s="5" t="str">
        <f ca="1">IFERROR(__xludf.DUMMYFUNCTION("""COMPUTED_VALUE"""),"Yes")</f>
        <v>Yes</v>
      </c>
      <c r="AQ27" s="5" t="str">
        <f ca="1">IFERROR(__xludf.DUMMYFUNCTION("""COMPUTED_VALUE"""),"Yes")</f>
        <v>Yes</v>
      </c>
      <c r="AR27" s="5" t="str">
        <f ca="1">IFERROR(__xludf.DUMMYFUNCTION("""COMPUTED_VALUE"""),"Yes")</f>
        <v>Yes</v>
      </c>
      <c r="AS27" s="5" t="str">
        <f ca="1">IFERROR(__xludf.DUMMYFUNCTION("""COMPUTED_VALUE"""),"Yes")</f>
        <v>Yes</v>
      </c>
      <c r="AT27" s="5"/>
      <c r="AU27" s="5"/>
    </row>
    <row r="28" spans="1:47" x14ac:dyDescent="0.25">
      <c r="A28" s="5" t="str">
        <f ca="1">IFERROR(__xludf.DUMMYFUNCTION("""COMPUTED_VALUE"""),"Tiptop")</f>
        <v>Tiptop</v>
      </c>
      <c r="B28" s="5" t="str">
        <f ca="1">IFERROR(__xludf.DUMMYFUNCTION("""COMPUTED_VALUE"""),"40 Hot Strike")</f>
        <v>40 Hot Strike</v>
      </c>
      <c r="C28" s="5" t="str">
        <f ca="1">IFERROR(__xludf.DUMMYFUNCTION("""COMPUTED_VALUE"""),"Unicorn40HotStrike")</f>
        <v>Unicorn40HotStrike</v>
      </c>
      <c r="D28" s="6">
        <f ca="1">IFERROR(__xludf.DUMMYFUNCTION("""COMPUTED_VALUE"""),44957)</f>
        <v>44957</v>
      </c>
      <c r="E28" s="5" t="str">
        <f ca="1">IFERROR(__xludf.DUMMYFUNCTION("""COMPUTED_VALUE"""),"Slot")</f>
        <v>Slot</v>
      </c>
      <c r="F28" s="5">
        <f ca="1">IFERROR(__xludf.DUMMYFUNCTION("""COMPUTED_VALUE"""),12.8)</f>
        <v>12.8</v>
      </c>
      <c r="G28" s="5" t="str">
        <f ca="1">IFERROR(__xludf.DUMMYFUNCTION("""COMPUTED_VALUE"""),"5X4")</f>
        <v>5X4</v>
      </c>
      <c r="H28" s="5" t="str">
        <f ca="1">IFERROR(__xludf.DUMMYFUNCTION("""COMPUTED_VALUE"""),"40")</f>
        <v>40</v>
      </c>
      <c r="I28" s="5" t="str">
        <f ca="1">IFERROR(__xludf.DUMMYFUNCTION("""COMPUTED_VALUE"""),"40")</f>
        <v>40</v>
      </c>
      <c r="J28" s="5" t="str">
        <f ca="1">IFERROR(__xludf.DUMMYFUNCTION("""COMPUTED_VALUE"""),"96%")</f>
        <v>96%</v>
      </c>
      <c r="K28" s="5" t="str">
        <f ca="1">IFERROR(__xludf.DUMMYFUNCTION("""COMPUTED_VALUE"""),"Low")</f>
        <v>Low</v>
      </c>
      <c r="L28" s="5" t="str">
        <f ca="1">IFERROR(__xludf.DUMMYFUNCTION("""COMPUTED_VALUE"""),"11.91%")</f>
        <v>11.91%</v>
      </c>
      <c r="M28" s="5" t="str">
        <f ca="1">IFERROR(__xludf.DUMMYFUNCTION("""COMPUTED_VALUE"""),"x1000")</f>
        <v>x1000</v>
      </c>
      <c r="N28" s="5" t="str">
        <f ca="1">IFERROR(__xludf.DUMMYFUNCTION("""COMPUTED_VALUE"""),"0.4/100")</f>
        <v>0.4/100</v>
      </c>
      <c r="O28" s="5" t="str">
        <f ca="1">IFERROR(__xludf.DUMMYFUNCTION("""COMPUTED_VALUE"""),"No")</f>
        <v>No</v>
      </c>
      <c r="P28" s="5" t="str">
        <f ca="1">IFERROR(__xludf.DUMMYFUNCTION("""COMPUTED_VALUE"""),"Wild Symbol, Scatter")</f>
        <v>Wild Symbol, Scatter</v>
      </c>
      <c r="Q28" s="7" t="str">
        <f ca="1">IFERROR(__xludf.DUMMYFUNCTION("""COMPUTED_VALUE"""),"https://gameserver-store-client-area.orbionlimited.com/Home/IntegrationGameLaunch/client-area?moneyType=0&amp;gameName=Unicorn40HotStrike&amp;platform=desktop&amp;languageCode=eng&amp;currency=EUR")</f>
        <v>https://gameserver-store-client-area.orbionlimited.com/Home/IntegrationGameLaunch/client-area?moneyType=0&amp;gameName=Unicorn40HotStrike&amp;platform=desktop&amp;languageCode=eng&amp;currency=EUR</v>
      </c>
      <c r="R28" s="5" t="str">
        <f ca="1">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S2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IFERROR(__xludf.DUMMYFUNCTION("""COMPUTED_VALUE"""),"No")</f>
        <v>No</v>
      </c>
      <c r="X28" s="5" t="str">
        <f ca="1">IFERROR(__xludf.DUMMYFUNCTION("""COMPUTED_VALUE"""),"No")</f>
        <v>No</v>
      </c>
      <c r="Y28" s="5" t="str">
        <f ca="1">IFERROR(__xludf.DUMMYFUNCTION("""COMPUTED_VALUE"""),"No")</f>
        <v>No</v>
      </c>
      <c r="Z28" s="5" t="str">
        <f ca="1">IFERROR(__xludf.DUMMYFUNCTION("""COMPUTED_VALUE"""),"No")</f>
        <v>No</v>
      </c>
      <c r="AA28" s="5" t="str">
        <f ca="1">IFERROR(__xludf.DUMMYFUNCTION("""COMPUTED_VALUE"""),"No")</f>
        <v>No</v>
      </c>
      <c r="AB28" s="5" t="str">
        <f ca="1">IFERROR(__xludf.DUMMYFUNCTION("""COMPUTED_VALUE"""),"Yes")</f>
        <v>Yes</v>
      </c>
      <c r="AC28" s="5" t="str">
        <f ca="1">IFERROR(__xludf.DUMMYFUNCTION("""COMPUTED_VALUE"""),"Yes")</f>
        <v>Yes</v>
      </c>
      <c r="AD28" s="5" t="str">
        <f ca="1">IFERROR(__xludf.DUMMYFUNCTION("""COMPUTED_VALUE"""),"Yes")</f>
        <v>Yes</v>
      </c>
      <c r="AE28" s="5" t="str">
        <f ca="1">IFERROR(__xludf.DUMMYFUNCTION("""COMPUTED_VALUE"""),"Yes")</f>
        <v>Yes</v>
      </c>
      <c r="AF28" s="5" t="str">
        <f ca="1">IFERROR(__xludf.DUMMYFUNCTION("""COMPUTED_VALUE"""),"Yes")</f>
        <v>Yes</v>
      </c>
      <c r="AG28" s="5" t="str">
        <f ca="1">IFERROR(__xludf.DUMMYFUNCTION("""COMPUTED_VALUE"""),"No")</f>
        <v>No</v>
      </c>
      <c r="AH28" s="5" t="str">
        <f ca="1">IFERROR(__xludf.DUMMYFUNCTION("""COMPUTED_VALUE"""),"Yes")</f>
        <v>Yes</v>
      </c>
      <c r="AI28" s="5" t="str">
        <f ca="1">IFERROR(__xludf.DUMMYFUNCTION("""COMPUTED_VALUE"""),"No")</f>
        <v>No</v>
      </c>
      <c r="AJ28" s="5" t="str">
        <f ca="1">IFERROR(__xludf.DUMMYFUNCTION("""COMPUTED_VALUE"""),"No")</f>
        <v>No</v>
      </c>
      <c r="AK28" s="5" t="str">
        <f ca="1">IFERROR(__xludf.DUMMYFUNCTION("""COMPUTED_VALUE"""),"No")</f>
        <v>No</v>
      </c>
      <c r="AL28" s="5" t="str">
        <f ca="1">IFERROR(__xludf.DUMMYFUNCTION("""COMPUTED_VALUE"""),"No")</f>
        <v>No</v>
      </c>
      <c r="AM28" s="5" t="str">
        <f ca="1">IFERROR(__xludf.DUMMYFUNCTION("""COMPUTED_VALUE"""),"No")</f>
        <v>No</v>
      </c>
      <c r="AN28" s="5"/>
      <c r="AO28" s="5"/>
      <c r="AP28" s="5"/>
      <c r="AQ28" s="5" t="str">
        <f ca="1">IFERROR(__xludf.DUMMYFUNCTION("""COMPUTED_VALUE"""),"No")</f>
        <v>No</v>
      </c>
      <c r="AR28" s="5"/>
      <c r="AS28" s="5"/>
      <c r="AT28" s="5"/>
      <c r="AU28" s="5"/>
    </row>
    <row r="29" spans="1:47" x14ac:dyDescent="0.25">
      <c r="A29" s="5" t="str">
        <f ca="1">IFERROR(__xludf.DUMMYFUNCTION("""COMPUTED_VALUE"""),"Tiptop")</f>
        <v>Tiptop</v>
      </c>
      <c r="B29" s="5" t="str">
        <f ca="1">IFERROR(__xludf.DUMMYFUNCTION("""COMPUTED_VALUE"""),"40 Hot Strike Dice")</f>
        <v>40 Hot Strike Dice</v>
      </c>
      <c r="C29" s="5" t="str">
        <f ca="1">IFERROR(__xludf.DUMMYFUNCTION("""COMPUTED_VALUE"""),"Unicorn40HotStrikeDice")</f>
        <v>Unicorn40HotStrikeDice</v>
      </c>
      <c r="D29" s="6">
        <f ca="1">IFERROR(__xludf.DUMMYFUNCTION("""COMPUTED_VALUE"""),44980)</f>
        <v>44980</v>
      </c>
      <c r="E29" s="5" t="str">
        <f ca="1">IFERROR(__xludf.DUMMYFUNCTION("""COMPUTED_VALUE"""),"Dice Slots")</f>
        <v>Dice Slots</v>
      </c>
      <c r="F29" s="5">
        <f ca="1">IFERROR(__xludf.DUMMYFUNCTION("""COMPUTED_VALUE"""),11.8)</f>
        <v>11.8</v>
      </c>
      <c r="G29" s="5" t="str">
        <f ca="1">IFERROR(__xludf.DUMMYFUNCTION("""COMPUTED_VALUE"""),"5X4")</f>
        <v>5X4</v>
      </c>
      <c r="H29" s="5" t="str">
        <f ca="1">IFERROR(__xludf.DUMMYFUNCTION("""COMPUTED_VALUE"""),"40")</f>
        <v>40</v>
      </c>
      <c r="I29" s="5" t="str">
        <f ca="1">IFERROR(__xludf.DUMMYFUNCTION("""COMPUTED_VALUE"""),"40")</f>
        <v>40</v>
      </c>
      <c r="J29" s="5" t="str">
        <f ca="1">IFERROR(__xludf.DUMMYFUNCTION("""COMPUTED_VALUE"""),"96%")</f>
        <v>96%</v>
      </c>
      <c r="K29" s="5" t="str">
        <f ca="1">IFERROR(__xludf.DUMMYFUNCTION("""COMPUTED_VALUE"""),"Low")</f>
        <v>Low</v>
      </c>
      <c r="L29" s="5" t="str">
        <f ca="1">IFERROR(__xludf.DUMMYFUNCTION("""COMPUTED_VALUE"""),"11.91%")</f>
        <v>11.91%</v>
      </c>
      <c r="M29" s="5" t="str">
        <f ca="1">IFERROR(__xludf.DUMMYFUNCTION("""COMPUTED_VALUE"""),"x1000")</f>
        <v>x1000</v>
      </c>
      <c r="N29" s="5" t="str">
        <f ca="1">IFERROR(__xludf.DUMMYFUNCTION("""COMPUTED_VALUE"""),"0.4/100")</f>
        <v>0.4/100</v>
      </c>
      <c r="O29" s="5" t="str">
        <f ca="1">IFERROR(__xludf.DUMMYFUNCTION("""COMPUTED_VALUE"""),"No")</f>
        <v>No</v>
      </c>
      <c r="P29" s="5" t="str">
        <f ca="1">IFERROR(__xludf.DUMMYFUNCTION("""COMPUTED_VALUE"""),"Wild Symbol, Scatter")</f>
        <v>Wild Symbol, Scatter</v>
      </c>
      <c r="Q29" s="7" t="str">
        <f ca="1">IFERROR(__xludf.DUMMYFUNCTION("""COMPUTED_VALUE"""),"https://gameserver-store-client-area.orbionlimited.com/Home/IntegrationGameLaunch/client-area?moneyType=0&amp;gameName=Unicorn40HotStrikeDice&amp;platform=desktop&amp;languageCode=eng&amp;currency=EUR")</f>
        <v>https://gameserver-store-client-area.orbionlimited.com/Home/IntegrationGameLaunch/client-area?moneyType=0&amp;gameName=Unicorn40HotStrikeDice&amp;platform=desktop&amp;languageCode=eng&amp;currency=EUR</v>
      </c>
      <c r="R29" s="5" t="str">
        <f ca="1">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S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IFERROR(__xludf.DUMMYFUNCTION("""COMPUTED_VALUE"""),"Yes")</f>
        <v>Yes</v>
      </c>
      <c r="AF29" s="5" t="str">
        <f ca="1">IFERROR(__xludf.DUMMYFUNCTION("""COMPUTED_VALUE"""),"Yes")</f>
        <v>Yes</v>
      </c>
      <c r="AG29" s="5" t="str">
        <f ca="1">IFERROR(__xludf.DUMMYFUNCTION("""COMPUTED_VALUE"""),"Yes")</f>
        <v>Yes</v>
      </c>
      <c r="AH29" s="5" t="str">
        <f ca="1">IFERROR(__xludf.DUMMYFUNCTION("""COMPUTED_VALUE"""),"Yes")</f>
        <v>Yes</v>
      </c>
      <c r="AI29" s="5" t="str">
        <f ca="1">IFERROR(__xludf.DUMMYFUNCTION("""COMPUTED_VALUE"""),"Yes")</f>
        <v>Yes</v>
      </c>
      <c r="AJ29" s="5" t="str">
        <f ca="1">IFERROR(__xludf.DUMMYFUNCTION("""COMPUTED_VALUE"""),"Yes")</f>
        <v>Yes</v>
      </c>
      <c r="AK29" s="5" t="str">
        <f ca="1">IFERROR(__xludf.DUMMYFUNCTION("""COMPUTED_VALUE"""),"Yes")</f>
        <v>Yes</v>
      </c>
      <c r="AL29" s="5" t="str">
        <f ca="1">IFERROR(__xludf.DUMMYFUNCTION("""COMPUTED_VALUE"""),"Yes")</f>
        <v>Yes</v>
      </c>
      <c r="AM29" s="5" t="str">
        <f ca="1">IFERROR(__xludf.DUMMYFUNCTION("""COMPUTED_VALUE"""),"Yes")</f>
        <v>Yes</v>
      </c>
      <c r="AN29" s="5" t="str">
        <f ca="1">IFERROR(__xludf.DUMMYFUNCTION("""COMPUTED_VALUE"""),"Yes")</f>
        <v>Yes</v>
      </c>
      <c r="AO29" s="5" t="str">
        <f ca="1">IFERROR(__xludf.DUMMYFUNCTION("""COMPUTED_VALUE"""),"Yes")</f>
        <v>Yes</v>
      </c>
      <c r="AP29" s="5" t="str">
        <f ca="1">IFERROR(__xludf.DUMMYFUNCTION("""COMPUTED_VALUE"""),"Yes")</f>
        <v>Yes</v>
      </c>
      <c r="AQ29" s="5" t="str">
        <f ca="1">IFERROR(__xludf.DUMMYFUNCTION("""COMPUTED_VALUE"""),"Yes")</f>
        <v>Yes</v>
      </c>
      <c r="AR29" s="5" t="str">
        <f ca="1">IFERROR(__xludf.DUMMYFUNCTION("""COMPUTED_VALUE"""),"Yes")</f>
        <v>Yes</v>
      </c>
      <c r="AS29" s="5" t="str">
        <f ca="1">IFERROR(__xludf.DUMMYFUNCTION("""COMPUTED_VALUE"""),"Yes")</f>
        <v>Yes</v>
      </c>
      <c r="AT29" s="5"/>
      <c r="AU29" s="5"/>
    </row>
    <row r="30" spans="1:47" x14ac:dyDescent="0.25">
      <c r="A30" s="5" t="str">
        <f ca="1">IFERROR(__xludf.DUMMYFUNCTION("""COMPUTED_VALUE"""),"Tiptop")</f>
        <v>Tiptop</v>
      </c>
      <c r="B30" s="5" t="str">
        <f ca="1">IFERROR(__xludf.DUMMYFUNCTION("""COMPUTED_VALUE"""),"20 Hot Strike")</f>
        <v>20 Hot Strike</v>
      </c>
      <c r="C30" s="5" t="str">
        <f ca="1">IFERROR(__xludf.DUMMYFUNCTION("""COMPUTED_VALUE"""),"Unicorn20HotStrike")</f>
        <v>Unicorn20HotStrike</v>
      </c>
      <c r="D30" s="6">
        <f ca="1">IFERROR(__xludf.DUMMYFUNCTION("""COMPUTED_VALUE"""),44985)</f>
        <v>44985</v>
      </c>
      <c r="E30" s="5" t="str">
        <f ca="1">IFERROR(__xludf.DUMMYFUNCTION("""COMPUTED_VALUE"""),"Slot")</f>
        <v>Slot</v>
      </c>
      <c r="F30" s="5">
        <f ca="1">IFERROR(__xludf.DUMMYFUNCTION("""COMPUTED_VALUE"""),13.2)</f>
        <v>13.2</v>
      </c>
      <c r="G30" s="5" t="str">
        <f ca="1">IFERROR(__xludf.DUMMYFUNCTION("""COMPUTED_VALUE"""),"5X3")</f>
        <v>5X3</v>
      </c>
      <c r="H30" s="5" t="str">
        <f ca="1">IFERROR(__xludf.DUMMYFUNCTION("""COMPUTED_VALUE"""),"20")</f>
        <v>20</v>
      </c>
      <c r="I30" s="5" t="str">
        <f ca="1">IFERROR(__xludf.DUMMYFUNCTION("""COMPUTED_VALUE"""),"20")</f>
        <v>20</v>
      </c>
      <c r="J30" s="5" t="str">
        <f ca="1">IFERROR(__xludf.DUMMYFUNCTION("""COMPUTED_VALUE"""),"96%")</f>
        <v>96%</v>
      </c>
      <c r="K30" s="5" t="str">
        <f ca="1">IFERROR(__xludf.DUMMYFUNCTION("""COMPUTED_VALUE"""),"Low")</f>
        <v>Low</v>
      </c>
      <c r="L30" s="5" t="str">
        <f ca="1">IFERROR(__xludf.DUMMYFUNCTION("""COMPUTED_VALUE"""),"14.62%")</f>
        <v>14.62%</v>
      </c>
      <c r="M30" s="5" t="str">
        <f ca="1">IFERROR(__xludf.DUMMYFUNCTION("""COMPUTED_VALUE"""),"x800")</f>
        <v>x800</v>
      </c>
      <c r="N30" s="5" t="str">
        <f ca="1">IFERROR(__xludf.DUMMYFUNCTION("""COMPUTED_VALUE"""),"0.2/100")</f>
        <v>0.2/100</v>
      </c>
      <c r="O30" s="5" t="str">
        <f ca="1">IFERROR(__xludf.DUMMYFUNCTION("""COMPUTED_VALUE"""),"No")</f>
        <v>No</v>
      </c>
      <c r="P30" s="5" t="str">
        <f ca="1">IFERROR(__xludf.DUMMYFUNCTION("""COMPUTED_VALUE"""),"Wild Symbol, Scatter")</f>
        <v>Wild Symbol, Scatter</v>
      </c>
      <c r="Q30" s="7" t="str">
        <f ca="1">IFERROR(__xludf.DUMMYFUNCTION("""COMPUTED_VALUE"""),"https://gameserver-store-client-area.orbionlimited.com/Home/IntegrationGameLaunch/client-area?moneyType=0&amp;gameName=Unicorn20HotStrike&amp;platform=desktop&amp;languageCode=eng&amp;currency=EUR")</f>
        <v>https://gameserver-store-client-area.orbionlimited.com/Home/IntegrationGameLaunch/client-area?moneyType=0&amp;gameName=Unicorn20HotStrike&amp;platform=desktop&amp;languageCode=eng&amp;currency=EUR</v>
      </c>
      <c r="R30" s="5" t="str">
        <f ca="1">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S3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IFERROR(__xludf.DUMMYFUNCTION("""COMPUTED_VALUE"""),"No")</f>
        <v>No</v>
      </c>
      <c r="X30" s="5" t="str">
        <f ca="1">IFERROR(__xludf.DUMMYFUNCTION("""COMPUTED_VALUE"""),"No")</f>
        <v>No</v>
      </c>
      <c r="Y30" s="5" t="str">
        <f ca="1">IFERROR(__xludf.DUMMYFUNCTION("""COMPUTED_VALUE"""),"No")</f>
        <v>No</v>
      </c>
      <c r="Z30" s="5" t="str">
        <f ca="1">IFERROR(__xludf.DUMMYFUNCTION("""COMPUTED_VALUE"""),"No")</f>
        <v>No</v>
      </c>
      <c r="AA30" s="5" t="str">
        <f ca="1">IFERROR(__xludf.DUMMYFUNCTION("""COMPUTED_VALUE"""),"No")</f>
        <v>No</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IFERROR(__xludf.DUMMYFUNCTION("""COMPUTED_VALUE"""),"Yes")</f>
        <v>Yes</v>
      </c>
      <c r="AF30" s="5" t="str">
        <f ca="1">IFERROR(__xludf.DUMMYFUNCTION("""COMPUTED_VALUE"""),"Yes")</f>
        <v>Yes</v>
      </c>
      <c r="AG30" s="5" t="str">
        <f ca="1">IFERROR(__xludf.DUMMYFUNCTION("""COMPUTED_VALUE"""),"No")</f>
        <v>No</v>
      </c>
      <c r="AH30" s="5" t="str">
        <f ca="1">IFERROR(__xludf.DUMMYFUNCTION("""COMPUTED_VALUE"""),"Yes")</f>
        <v>Yes</v>
      </c>
      <c r="AI30" s="5" t="str">
        <f ca="1">IFERROR(__xludf.DUMMYFUNCTION("""COMPUTED_VALUE"""),"No")</f>
        <v>No</v>
      </c>
      <c r="AJ30" s="5" t="str">
        <f ca="1">IFERROR(__xludf.DUMMYFUNCTION("""COMPUTED_VALUE"""),"No")</f>
        <v>No</v>
      </c>
      <c r="AK30" s="5" t="str">
        <f ca="1">IFERROR(__xludf.DUMMYFUNCTION("""COMPUTED_VALUE"""),"No")</f>
        <v>No</v>
      </c>
      <c r="AL30" s="5" t="str">
        <f ca="1">IFERROR(__xludf.DUMMYFUNCTION("""COMPUTED_VALUE"""),"No")</f>
        <v>No</v>
      </c>
      <c r="AM30" s="5" t="str">
        <f ca="1">IFERROR(__xludf.DUMMYFUNCTION("""COMPUTED_VALUE"""),"No")</f>
        <v>No</v>
      </c>
      <c r="AN30" s="5"/>
      <c r="AO30" s="5"/>
      <c r="AP30" s="5"/>
      <c r="AQ30" s="5" t="str">
        <f ca="1">IFERROR(__xludf.DUMMYFUNCTION("""COMPUTED_VALUE"""),"No")</f>
        <v>No</v>
      </c>
      <c r="AR30" s="5"/>
      <c r="AS30" s="5"/>
      <c r="AT30" s="5"/>
      <c r="AU30" s="5"/>
    </row>
    <row r="31" spans="1:47" x14ac:dyDescent="0.25">
      <c r="A31" s="5" t="str">
        <f ca="1">IFERROR(__xludf.DUMMYFUNCTION("""COMPUTED_VALUE"""),"Tiptop")</f>
        <v>Tiptop</v>
      </c>
      <c r="B31" s="5" t="str">
        <f ca="1">IFERROR(__xludf.DUMMYFUNCTION("""COMPUTED_VALUE"""),"Coyote Sevens")</f>
        <v>Coyote Sevens</v>
      </c>
      <c r="C31" s="5" t="str">
        <f ca="1">IFERROR(__xludf.DUMMYFUNCTION("""COMPUTED_VALUE"""),"UnicornCoyoteSevens")</f>
        <v>UnicornCoyoteSevens</v>
      </c>
      <c r="D31" s="6">
        <f ca="1">IFERROR(__xludf.DUMMYFUNCTION("""COMPUTED_VALUE"""),44971)</f>
        <v>44971</v>
      </c>
      <c r="E31" s="5" t="str">
        <f ca="1">IFERROR(__xludf.DUMMYFUNCTION("""COMPUTED_VALUE"""),"Slot")</f>
        <v>Slot</v>
      </c>
      <c r="F31" s="5">
        <f ca="1">IFERROR(__xludf.DUMMYFUNCTION("""COMPUTED_VALUE"""),11.1)</f>
        <v>11.1</v>
      </c>
      <c r="G31" s="5" t="str">
        <f ca="1">IFERROR(__xludf.DUMMYFUNCTION("""COMPUTED_VALUE"""),"5X3")</f>
        <v>5X3</v>
      </c>
      <c r="H31" s="5" t="str">
        <f ca="1">IFERROR(__xludf.DUMMYFUNCTION("""COMPUTED_VALUE"""),"5")</f>
        <v>5</v>
      </c>
      <c r="I31" s="5" t="str">
        <f ca="1">IFERROR(__xludf.DUMMYFUNCTION("""COMPUTED_VALUE"""),"5")</f>
        <v>5</v>
      </c>
      <c r="J31" s="5" t="str">
        <f ca="1">IFERROR(__xludf.DUMMYFUNCTION("""COMPUTED_VALUE"""),"96%")</f>
        <v>96%</v>
      </c>
      <c r="K31" s="5" t="str">
        <f ca="1">IFERROR(__xludf.DUMMYFUNCTION("""COMPUTED_VALUE"""),"Medium")</f>
        <v>Medium</v>
      </c>
      <c r="L31" s="5" t="str">
        <f ca="1">IFERROR(__xludf.DUMMYFUNCTION("""COMPUTED_VALUE"""),"10.1%")</f>
        <v>10.1%</v>
      </c>
      <c r="M31" s="5" t="str">
        <f ca="1">IFERROR(__xludf.DUMMYFUNCTION("""COMPUTED_VALUE"""),"x1000")</f>
        <v>x1000</v>
      </c>
      <c r="N31" s="5" t="str">
        <f ca="1">IFERROR(__xludf.DUMMYFUNCTION("""COMPUTED_VALUE"""),"0.05/100")</f>
        <v>0.05/100</v>
      </c>
      <c r="O31" s="5" t="str">
        <f ca="1">IFERROR(__xludf.DUMMYFUNCTION("""COMPUTED_VALUE"""),"No")</f>
        <v>No</v>
      </c>
      <c r="P31" s="5"/>
      <c r="Q31" s="7" t="str">
        <f ca="1">IFERROR(__xludf.DUMMYFUNCTION("""COMPUTED_VALUE"""),"https://gameserver-store-client-area.orbionlimited.com/Home/IntegrationGameLaunch/client-area?moneyType=0&amp;gameName=UnicornCoyoteSevens&amp;platform=desktop&amp;languageCode=eng&amp;currency=EUR")</f>
        <v>https://gameserver-store-client-area.orbionlimited.com/Home/IntegrationGameLaunch/client-area?moneyType=0&amp;gameName=UnicornCoyoteSevens&amp;platform=desktop&amp;languageCode=eng&amp;currency=EUR</v>
      </c>
      <c r="R31" s="5" t="str">
        <f ca="1">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S31" s="5" t="str">
        <f ca="1">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T31" s="5" t="str">
        <f ca="1">IFERROR(__xludf.DUMMYFUNCTION("""COMPUTED_VALUE"""),"Yes")</f>
        <v>Yes</v>
      </c>
      <c r="U31" s="5" t="str">
        <f ca="1">IFERROR(__xludf.DUMMYFUNCTION("""COMPUTED_VALUE"""),"Yes")</f>
        <v>Yes</v>
      </c>
      <c r="V31" s="5" t="str">
        <f ca="1">IFERROR(__xludf.DUMMYFUNCTION("""COMPUTED_VALUE"""),"No")</f>
        <v>No</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IFERROR(__xludf.DUMMYFUNCTION("""COMPUTED_VALUE"""),"Yes")</f>
        <v>Yes</v>
      </c>
      <c r="AA31" s="5" t="str">
        <f ca="1">IFERROR(__xludf.DUMMYFUNCTION("""COMPUTED_VALUE"""),"Yes")</f>
        <v>Yes</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IFERROR(__xludf.DUMMYFUNCTION("""COMPUTED_VALUE"""),"Yes")</f>
        <v>Yes</v>
      </c>
      <c r="AF31" s="5" t="str">
        <f ca="1">IFERROR(__xludf.DUMMYFUNCTION("""COMPUTED_VALUE"""),"Yes")</f>
        <v>Yes</v>
      </c>
      <c r="AG31" s="5" t="str">
        <f ca="1">IFERROR(__xludf.DUMMYFUNCTION("""COMPUTED_VALUE"""),"Yes")</f>
        <v>Yes</v>
      </c>
      <c r="AH31" s="5" t="str">
        <f ca="1">IFERROR(__xludf.DUMMYFUNCTION("""COMPUTED_VALUE"""),"Yes")</f>
        <v>Yes</v>
      </c>
      <c r="AI31" s="5" t="str">
        <f ca="1">IFERROR(__xludf.DUMMYFUNCTION("""COMPUTED_VALUE"""),"Yes")</f>
        <v>Yes</v>
      </c>
      <c r="AJ31" s="5" t="str">
        <f ca="1">IFERROR(__xludf.DUMMYFUNCTION("""COMPUTED_VALUE"""),"Yes")</f>
        <v>Yes</v>
      </c>
      <c r="AK31" s="5" t="str">
        <f ca="1">IFERROR(__xludf.DUMMYFUNCTION("""COMPUTED_VALUE"""),"No")</f>
        <v>No</v>
      </c>
      <c r="AL31" s="5" t="str">
        <f ca="1">IFERROR(__xludf.DUMMYFUNCTION("""COMPUTED_VALUE"""),"No")</f>
        <v>No</v>
      </c>
      <c r="AM31" s="5" t="str">
        <f ca="1">IFERROR(__xludf.DUMMYFUNCTION("""COMPUTED_VALUE"""),"No")</f>
        <v>No</v>
      </c>
      <c r="AN31" s="5" t="str">
        <f ca="1">IFERROR(__xludf.DUMMYFUNCTION("""COMPUTED_VALUE"""),"No")</f>
        <v>No</v>
      </c>
      <c r="AO31" s="5" t="str">
        <f ca="1">IFERROR(__xludf.DUMMYFUNCTION("""COMPUTED_VALUE"""),"No")</f>
        <v>No</v>
      </c>
      <c r="AP31" s="5" t="str">
        <f ca="1">IFERROR(__xludf.DUMMYFUNCTION("""COMPUTED_VALUE"""),"No")</f>
        <v>No</v>
      </c>
      <c r="AQ31" s="5" t="str">
        <f ca="1">IFERROR(__xludf.DUMMYFUNCTION("""COMPUTED_VALUE"""),"No")</f>
        <v>No</v>
      </c>
      <c r="AR31" s="5" t="str">
        <f ca="1">IFERROR(__xludf.DUMMYFUNCTION("""COMPUTED_VALUE"""),"No")</f>
        <v>No</v>
      </c>
      <c r="AS31" s="5" t="str">
        <f ca="1">IFERROR(__xludf.DUMMYFUNCTION("""COMPUTED_VALUE"""),"Yes")</f>
        <v>Yes</v>
      </c>
      <c r="AT31" s="5" t="str">
        <f ca="1">IFERROR(__xludf.DUMMYFUNCTION("""COMPUTED_VALUE"""),"No")</f>
        <v>No</v>
      </c>
      <c r="AU31" s="5"/>
    </row>
    <row r="32" spans="1:47" x14ac:dyDescent="0.25">
      <c r="A32" s="5" t="str">
        <f ca="1">IFERROR(__xludf.DUMMYFUNCTION("""COMPUTED_VALUE"""),"Tiptop")</f>
        <v>Tiptop</v>
      </c>
      <c r="B32" s="5" t="str">
        <f ca="1">IFERROR(__xludf.DUMMYFUNCTION("""COMPUTED_VALUE"""),"Coyote Dice")</f>
        <v>Coyote Dice</v>
      </c>
      <c r="C32" s="5" t="str">
        <f ca="1">IFERROR(__xludf.DUMMYFUNCTION("""COMPUTED_VALUE"""),"UnicornCoyoteDice")</f>
        <v>UnicornCoyoteDice</v>
      </c>
      <c r="D32" s="6">
        <f ca="1">IFERROR(__xludf.DUMMYFUNCTION("""COMPUTED_VALUE"""),44999)</f>
        <v>44999</v>
      </c>
      <c r="E32" s="5" t="str">
        <f ca="1">IFERROR(__xludf.DUMMYFUNCTION("""COMPUTED_VALUE"""),"Dice Slots")</f>
        <v>Dice Slots</v>
      </c>
      <c r="F32" s="5">
        <f ca="1">IFERROR(__xludf.DUMMYFUNCTION("""COMPUTED_VALUE"""),11.1)</f>
        <v>11.1</v>
      </c>
      <c r="G32" s="5" t="str">
        <f ca="1">IFERROR(__xludf.DUMMYFUNCTION("""COMPUTED_VALUE"""),"5X3")</f>
        <v>5X3</v>
      </c>
      <c r="H32" s="5" t="str">
        <f ca="1">IFERROR(__xludf.DUMMYFUNCTION("""COMPUTED_VALUE"""),"5")</f>
        <v>5</v>
      </c>
      <c r="I32" s="5" t="str">
        <f ca="1">IFERROR(__xludf.DUMMYFUNCTION("""COMPUTED_VALUE"""),"5")</f>
        <v>5</v>
      </c>
      <c r="J32" s="5" t="str">
        <f ca="1">IFERROR(__xludf.DUMMYFUNCTION("""COMPUTED_VALUE"""),"96%")</f>
        <v>96%</v>
      </c>
      <c r="K32" s="5" t="str">
        <f ca="1">IFERROR(__xludf.DUMMYFUNCTION("""COMPUTED_VALUE"""),"Medium")</f>
        <v>Medium</v>
      </c>
      <c r="L32" s="5" t="str">
        <f ca="1">IFERROR(__xludf.DUMMYFUNCTION("""COMPUTED_VALUE"""),"10.1%")</f>
        <v>10.1%</v>
      </c>
      <c r="M32" s="5" t="str">
        <f ca="1">IFERROR(__xludf.DUMMYFUNCTION("""COMPUTED_VALUE"""),"x1000")</f>
        <v>x1000</v>
      </c>
      <c r="N32" s="5" t="str">
        <f ca="1">IFERROR(__xludf.DUMMYFUNCTION("""COMPUTED_VALUE"""),"0.05/100")</f>
        <v>0.05/100</v>
      </c>
      <c r="O32" s="5" t="str">
        <f ca="1">IFERROR(__xludf.DUMMYFUNCTION("""COMPUTED_VALUE"""),"No")</f>
        <v>No</v>
      </c>
      <c r="P32" s="5"/>
      <c r="Q32" s="7" t="str">
        <f ca="1">IFERROR(__xludf.DUMMYFUNCTION("""COMPUTED_VALUE"""),"https://gameserver-store-client-area.orbionlimited.com/Home/IntegrationGameLaunch/client-area?moneyType=0&amp;gameName=UnicornCoyoteDice&amp;platform=desktop&amp;languageCode=eng&amp;currency=EUR")</f>
        <v>https://gameserver-store-client-area.orbionlimited.com/Home/IntegrationGameLaunch/client-area?moneyType=0&amp;gameName=UnicornCoyoteDice&amp;platform=desktop&amp;languageCode=eng&amp;currency=EUR</v>
      </c>
      <c r="R32" s="5" t="str">
        <f ca="1">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S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IFERROR(__xludf.DUMMYFUNCTION("""COMPUTED_VALUE"""),"Yes")</f>
        <v>Yes</v>
      </c>
      <c r="AF32" s="5" t="str">
        <f ca="1">IFERROR(__xludf.DUMMYFUNCTION("""COMPUTED_VALUE"""),"Yes")</f>
        <v>Yes</v>
      </c>
      <c r="AG32" s="5" t="str">
        <f ca="1">IFERROR(__xludf.DUMMYFUNCTION("""COMPUTED_VALUE"""),"Yes")</f>
        <v>Yes</v>
      </c>
      <c r="AH32" s="5" t="str">
        <f ca="1">IFERROR(__xludf.DUMMYFUNCTION("""COMPUTED_VALUE"""),"Yes")</f>
        <v>Yes</v>
      </c>
      <c r="AI32" s="5" t="str">
        <f ca="1">IFERROR(__xludf.DUMMYFUNCTION("""COMPUTED_VALUE"""),"Yes")</f>
        <v>Yes</v>
      </c>
      <c r="AJ32" s="5" t="str">
        <f ca="1">IFERROR(__xludf.DUMMYFUNCTION("""COMPUTED_VALUE"""),"Yes")</f>
        <v>Yes</v>
      </c>
      <c r="AK32" s="5" t="str">
        <f ca="1">IFERROR(__xludf.DUMMYFUNCTION("""COMPUTED_VALUE"""),"Yes")</f>
        <v>Yes</v>
      </c>
      <c r="AL32" s="5" t="str">
        <f ca="1">IFERROR(__xludf.DUMMYFUNCTION("""COMPUTED_VALUE"""),"Yes")</f>
        <v>Yes</v>
      </c>
      <c r="AM32" s="5" t="str">
        <f ca="1">IFERROR(__xludf.DUMMYFUNCTION("""COMPUTED_VALUE"""),"Yes")</f>
        <v>Yes</v>
      </c>
      <c r="AN32" s="5" t="str">
        <f ca="1">IFERROR(__xludf.DUMMYFUNCTION("""COMPUTED_VALUE"""),"Yes")</f>
        <v>Yes</v>
      </c>
      <c r="AO32" s="5" t="str">
        <f ca="1">IFERROR(__xludf.DUMMYFUNCTION("""COMPUTED_VALUE"""),"Yes")</f>
        <v>Yes</v>
      </c>
      <c r="AP32" s="5" t="str">
        <f ca="1">IFERROR(__xludf.DUMMYFUNCTION("""COMPUTED_VALUE"""),"Yes")</f>
        <v>Yes</v>
      </c>
      <c r="AQ32" s="5" t="str">
        <f ca="1">IFERROR(__xludf.DUMMYFUNCTION("""COMPUTED_VALUE"""),"Yes")</f>
        <v>Yes</v>
      </c>
      <c r="AR32" s="5" t="str">
        <f ca="1">IFERROR(__xludf.DUMMYFUNCTION("""COMPUTED_VALUE"""),"Yes")</f>
        <v>Yes</v>
      </c>
      <c r="AS32" s="5" t="str">
        <f ca="1">IFERROR(__xludf.DUMMYFUNCTION("""COMPUTED_VALUE"""),"Yes")</f>
        <v>Yes</v>
      </c>
      <c r="AT32" s="5"/>
      <c r="AU32" s="5"/>
    </row>
    <row r="33" spans="1:47" x14ac:dyDescent="0.25">
      <c r="A33" s="5" t="str">
        <f ca="1">IFERROR(__xludf.DUMMYFUNCTION("""COMPUTED_VALUE"""),"Tiptop")</f>
        <v>Tiptop</v>
      </c>
      <c r="B33" s="5" t="str">
        <f ca="1">IFERROR(__xludf.DUMMYFUNCTION("""COMPUTED_VALUE"""),"Fruit Wild Lines")</f>
        <v>Fruit Wild Lines</v>
      </c>
      <c r="C33" s="5" t="str">
        <f ca="1">IFERROR(__xludf.DUMMYFUNCTION("""COMPUTED_VALUE"""),"UnicornFruitWildLines")</f>
        <v>UnicornFruitWildLines</v>
      </c>
      <c r="D33" s="6">
        <f ca="1">IFERROR(__xludf.DUMMYFUNCTION("""COMPUTED_VALUE"""),45076)</f>
        <v>45076</v>
      </c>
      <c r="E33" s="5" t="str">
        <f ca="1">IFERROR(__xludf.DUMMYFUNCTION("""COMPUTED_VALUE"""),"Slot")</f>
        <v>Slot</v>
      </c>
      <c r="F33" s="5">
        <f ca="1">IFERROR(__xludf.DUMMYFUNCTION("""COMPUTED_VALUE"""),13.9)</f>
        <v>13.9</v>
      </c>
      <c r="G33" s="5" t="str">
        <f ca="1">IFERROR(__xludf.DUMMYFUNCTION("""COMPUTED_VALUE"""),"5X3")</f>
        <v>5X3</v>
      </c>
      <c r="H33" s="5" t="str">
        <f ca="1">IFERROR(__xludf.DUMMYFUNCTION("""COMPUTED_VALUE"""),"10")</f>
        <v>10</v>
      </c>
      <c r="I33" s="5" t="str">
        <f ca="1">IFERROR(__xludf.DUMMYFUNCTION("""COMPUTED_VALUE"""),"10")</f>
        <v>10</v>
      </c>
      <c r="J33" s="5" t="str">
        <f ca="1">IFERROR(__xludf.DUMMYFUNCTION("""COMPUTED_VALUE"""),"96%")</f>
        <v>96%</v>
      </c>
      <c r="K33" s="5" t="str">
        <f ca="1">IFERROR(__xludf.DUMMYFUNCTION("""COMPUTED_VALUE"""),"High")</f>
        <v>High</v>
      </c>
      <c r="L33" s="5" t="str">
        <f ca="1">IFERROR(__xludf.DUMMYFUNCTION("""COMPUTED_VALUE"""),"9.46%")</f>
        <v>9.46%</v>
      </c>
      <c r="M33" s="5" t="str">
        <f ca="1">IFERROR(__xludf.DUMMYFUNCTION("""COMPUTED_VALUE"""),"x1000")</f>
        <v>x1000</v>
      </c>
      <c r="N33" s="5" t="str">
        <f ca="1">IFERROR(__xludf.DUMMYFUNCTION("""COMPUTED_VALUE"""),"0.1/100")</f>
        <v>0.1/100</v>
      </c>
      <c r="O33" s="5" t="str">
        <f ca="1">IFERROR(__xludf.DUMMYFUNCTION("""COMPUTED_VALUE"""),"No")</f>
        <v>No</v>
      </c>
      <c r="P33" s="5" t="str">
        <f ca="1">IFERROR(__xludf.DUMMYFUNCTION("""COMPUTED_VALUE"""),"Converting Wild")</f>
        <v>Converting Wild</v>
      </c>
      <c r="Q33" s="7" t="str">
        <f ca="1">IFERROR(__xludf.DUMMYFUNCTION("""COMPUTED_VALUE"""),"https://gameserver-store-client-area.orbionlimited.com/Home/IntegrationGameLaunch/client-area?moneyType=0&amp;gameName=UnicornFruitWildLines&amp;platform=desktop&amp;languageCode=eng&amp;currency=EUR")</f>
        <v>https://gameserver-store-client-area.orbionlimited.com/Home/IntegrationGameLaunch/client-area?moneyType=0&amp;gameName=UnicornFruitWildLines&amp;platform=desktop&amp;languageCode=eng&amp;currency=EUR</v>
      </c>
      <c r="R33" s="5" t="str">
        <f ca="1">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S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IFERROR(__xludf.DUMMYFUNCTION("""COMPUTED_VALUE"""),"Yes")</f>
        <v>Yes</v>
      </c>
      <c r="AF33" s="5" t="str">
        <f ca="1">IFERROR(__xludf.DUMMYFUNCTION("""COMPUTED_VALUE"""),"Yes")</f>
        <v>Yes</v>
      </c>
      <c r="AG33" s="5" t="str">
        <f ca="1">IFERROR(__xludf.DUMMYFUNCTION("""COMPUTED_VALUE"""),"Yes")</f>
        <v>Yes</v>
      </c>
      <c r="AH33" s="5" t="str">
        <f ca="1">IFERROR(__xludf.DUMMYFUNCTION("""COMPUTED_VALUE"""),"Yes")</f>
        <v>Yes</v>
      </c>
      <c r="AI33" s="5" t="str">
        <f ca="1">IFERROR(__xludf.DUMMYFUNCTION("""COMPUTED_VALUE"""),"Yes")</f>
        <v>Yes</v>
      </c>
      <c r="AJ33" s="5" t="str">
        <f ca="1">IFERROR(__xludf.DUMMYFUNCTION("""COMPUTED_VALUE"""),"Yes")</f>
        <v>Yes</v>
      </c>
      <c r="AK33" s="5" t="str">
        <f ca="1">IFERROR(__xludf.DUMMYFUNCTION("""COMPUTED_VALUE"""),"Yes")</f>
        <v>Yes</v>
      </c>
      <c r="AL33" s="5" t="str">
        <f ca="1">IFERROR(__xludf.DUMMYFUNCTION("""COMPUTED_VALUE"""),"Yes")</f>
        <v>Yes</v>
      </c>
      <c r="AM33" s="5" t="str">
        <f ca="1">IFERROR(__xludf.DUMMYFUNCTION("""COMPUTED_VALUE"""),"Yes")</f>
        <v>Yes</v>
      </c>
      <c r="AN33" s="5" t="str">
        <f ca="1">IFERROR(__xludf.DUMMYFUNCTION("""COMPUTED_VALUE"""),"Yes")</f>
        <v>Yes</v>
      </c>
      <c r="AO33" s="5"/>
      <c r="AP33" s="5"/>
      <c r="AQ33" s="5" t="str">
        <f ca="1">IFERROR(__xludf.DUMMYFUNCTION("""COMPUTED_VALUE"""),"Yes")</f>
        <v>Yes</v>
      </c>
      <c r="AR33" s="5"/>
      <c r="AS33" s="5"/>
      <c r="AT33" s="5"/>
      <c r="AU33" s="5"/>
    </row>
    <row r="34" spans="1:47" x14ac:dyDescent="0.25">
      <c r="A34" s="5" t="str">
        <f ca="1">IFERROR(__xludf.DUMMYFUNCTION("""COMPUTED_VALUE"""),"Tiptop")</f>
        <v>Tiptop</v>
      </c>
      <c r="B34" s="5" t="str">
        <f ca="1">IFERROR(__xludf.DUMMYFUNCTION("""COMPUTED_VALUE"""),"Money Standard Dice")</f>
        <v>Money Standard Dice</v>
      </c>
      <c r="C34" s="5" t="str">
        <f ca="1">IFERROR(__xludf.DUMMYFUNCTION("""COMPUTED_VALUE"""),"UnicornMoneyStandardDice")</f>
        <v>UnicornMoneyStandardDice</v>
      </c>
      <c r="D34" s="6">
        <f ca="1">IFERROR(__xludf.DUMMYFUNCTION("""COMPUTED_VALUE"""),45041)</f>
        <v>45041</v>
      </c>
      <c r="E34" s="5" t="str">
        <f ca="1">IFERROR(__xludf.DUMMYFUNCTION("""COMPUTED_VALUE"""),"Dice Slots")</f>
        <v>Dice Slots</v>
      </c>
      <c r="F34" s="5">
        <f ca="1">IFERROR(__xludf.DUMMYFUNCTION("""COMPUTED_VALUE"""),14.8)</f>
        <v>14.8</v>
      </c>
      <c r="G34" s="5" t="str">
        <f ca="1">IFERROR(__xludf.DUMMYFUNCTION("""COMPUTED_VALUE"""),"5X4")</f>
        <v>5X4</v>
      </c>
      <c r="H34" s="5" t="str">
        <f ca="1">IFERROR(__xludf.DUMMYFUNCTION("""COMPUTED_VALUE"""),"20")</f>
        <v>20</v>
      </c>
      <c r="I34" s="5" t="str">
        <f ca="1">IFERROR(__xludf.DUMMYFUNCTION("""COMPUTED_VALUE"""),"20")</f>
        <v>20</v>
      </c>
      <c r="J34" s="5" t="str">
        <f ca="1">IFERROR(__xludf.DUMMYFUNCTION("""COMPUTED_VALUE"""),"96%")</f>
        <v>96%</v>
      </c>
      <c r="K34" s="5" t="str">
        <f ca="1">IFERROR(__xludf.DUMMYFUNCTION("""COMPUTED_VALUE"""),"Low")</f>
        <v>Low</v>
      </c>
      <c r="L34" s="5" t="str">
        <f ca="1">IFERROR(__xludf.DUMMYFUNCTION("""COMPUTED_VALUE"""),"11.7%")</f>
        <v>11.7%</v>
      </c>
      <c r="M34" s="5" t="str">
        <f ca="1">IFERROR(__xludf.DUMMYFUNCTION("""COMPUTED_VALUE"""),"x5000")</f>
        <v>x5000</v>
      </c>
      <c r="N34" s="5" t="str">
        <f ca="1">IFERROR(__xludf.DUMMYFUNCTION("""COMPUTED_VALUE"""),"0.2/100")</f>
        <v>0.2/100</v>
      </c>
      <c r="O34" s="5" t="str">
        <f ca="1">IFERROR(__xludf.DUMMYFUNCTION("""COMPUTED_VALUE"""),"No")</f>
        <v>No</v>
      </c>
      <c r="P34" s="5"/>
      <c r="Q34" s="7" t="str">
        <f ca="1">IFERROR(__xludf.DUMMYFUNCTION("""COMPUTED_VALUE"""),"https://gameserver-store-client-area.orbionlimited.com/Home/IntegrationGameLaunch/client-area?moneyType=0&amp;gameName=UnicornMoneyStandardDice&amp;platform=desktop&amp;languageCode=eng&amp;currency=EUR")</f>
        <v>https://gameserver-store-client-area.orbionlimited.com/Home/IntegrationGameLaunch/client-area?moneyType=0&amp;gameName=UnicornMoneyStandardDice&amp;platform=desktop&amp;languageCode=eng&amp;currency=EUR</v>
      </c>
      <c r="R34" s="5" t="str">
        <f ca="1">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S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IFERROR(__xludf.DUMMYFUNCTION("""COMPUTED_VALUE"""),"Yes")</f>
        <v>Yes</v>
      </c>
      <c r="AF34" s="5" t="str">
        <f ca="1">IFERROR(__xludf.DUMMYFUNCTION("""COMPUTED_VALUE"""),"Yes")</f>
        <v>Yes</v>
      </c>
      <c r="AG34" s="5" t="str">
        <f ca="1">IFERROR(__xludf.DUMMYFUNCTION("""COMPUTED_VALUE"""),"Yes")</f>
        <v>Yes</v>
      </c>
      <c r="AH34" s="5" t="str">
        <f ca="1">IFERROR(__xludf.DUMMYFUNCTION("""COMPUTED_VALUE"""),"Yes")</f>
        <v>Yes</v>
      </c>
      <c r="AI34" s="5" t="str">
        <f ca="1">IFERROR(__xludf.DUMMYFUNCTION("""COMPUTED_VALUE"""),"Yes")</f>
        <v>Yes</v>
      </c>
      <c r="AJ34" s="5" t="str">
        <f ca="1">IFERROR(__xludf.DUMMYFUNCTION("""COMPUTED_VALUE"""),"Yes")</f>
        <v>Yes</v>
      </c>
      <c r="AK34" s="5" t="str">
        <f ca="1">IFERROR(__xludf.DUMMYFUNCTION("""COMPUTED_VALUE"""),"Yes")</f>
        <v>Yes</v>
      </c>
      <c r="AL34" s="5" t="str">
        <f ca="1">IFERROR(__xludf.DUMMYFUNCTION("""COMPUTED_VALUE"""),"Yes")</f>
        <v>Yes</v>
      </c>
      <c r="AM34" s="5" t="str">
        <f ca="1">IFERROR(__xludf.DUMMYFUNCTION("""COMPUTED_VALUE"""),"Yes")</f>
        <v>Yes</v>
      </c>
      <c r="AN34" s="5" t="str">
        <f ca="1">IFERROR(__xludf.DUMMYFUNCTION("""COMPUTED_VALUE"""),"Yes")</f>
        <v>Yes</v>
      </c>
      <c r="AO34" s="5" t="str">
        <f ca="1">IFERROR(__xludf.DUMMYFUNCTION("""COMPUTED_VALUE"""),"Yes")</f>
        <v>Yes</v>
      </c>
      <c r="AP34" s="5" t="str">
        <f ca="1">IFERROR(__xludf.DUMMYFUNCTION("""COMPUTED_VALUE"""),"Yes")</f>
        <v>Yes</v>
      </c>
      <c r="AQ34" s="5" t="str">
        <f ca="1">IFERROR(__xludf.DUMMYFUNCTION("""COMPUTED_VALUE"""),"Yes")</f>
        <v>Yes</v>
      </c>
      <c r="AR34" s="5" t="str">
        <f ca="1">IFERROR(__xludf.DUMMYFUNCTION("""COMPUTED_VALUE"""),"Yes")</f>
        <v>Yes</v>
      </c>
      <c r="AS34" s="5" t="str">
        <f ca="1">IFERROR(__xludf.DUMMYFUNCTION("""COMPUTED_VALUE"""),"Yes")</f>
        <v>Yes</v>
      </c>
      <c r="AT34" s="5"/>
      <c r="AU34" s="5"/>
    </row>
    <row r="35" spans="1:47" x14ac:dyDescent="0.25">
      <c r="A35" s="5" t="str">
        <f ca="1">IFERROR(__xludf.DUMMYFUNCTION("""COMPUTED_VALUE"""),"Tiptop")</f>
        <v>Tiptop</v>
      </c>
      <c r="B35" s="5" t="str">
        <f ca="1">IFERROR(__xludf.DUMMYFUNCTION("""COMPUTED_VALUE"""),"Double Wild Dice")</f>
        <v>Double Wild Dice</v>
      </c>
      <c r="C35" s="5" t="str">
        <f ca="1">IFERROR(__xludf.DUMMYFUNCTION("""COMPUTED_VALUE"""),"UnicornDoubleWildDice")</f>
        <v>UnicornDoubleWildDice</v>
      </c>
      <c r="D35" s="6">
        <f ca="1">IFERROR(__xludf.DUMMYFUNCTION("""COMPUTED_VALUE"""),45085)</f>
        <v>45085</v>
      </c>
      <c r="E35" s="5" t="str">
        <f ca="1">IFERROR(__xludf.DUMMYFUNCTION("""COMPUTED_VALUE"""),"Dice Slots")</f>
        <v>Dice Slots</v>
      </c>
      <c r="F35" s="5">
        <f ca="1">IFERROR(__xludf.DUMMYFUNCTION("""COMPUTED_VALUE"""),10.3)</f>
        <v>10.3</v>
      </c>
      <c r="G35" s="5" t="str">
        <f ca="1">IFERROR(__xludf.DUMMYFUNCTION("""COMPUTED_VALUE"""),"5X3")</f>
        <v>5X3</v>
      </c>
      <c r="H35" s="5" t="str">
        <f ca="1">IFERROR(__xludf.DUMMYFUNCTION("""COMPUTED_VALUE"""),"20")</f>
        <v>20</v>
      </c>
      <c r="I35" s="5" t="str">
        <f ca="1">IFERROR(__xludf.DUMMYFUNCTION("""COMPUTED_VALUE"""),"20")</f>
        <v>20</v>
      </c>
      <c r="J35" s="5" t="str">
        <f ca="1">IFERROR(__xludf.DUMMYFUNCTION("""COMPUTED_VALUE"""),"96%")</f>
        <v>96%</v>
      </c>
      <c r="K35" s="5" t="str">
        <f ca="1">IFERROR(__xludf.DUMMYFUNCTION("""COMPUTED_VALUE"""),"Low")</f>
        <v>Low</v>
      </c>
      <c r="L35" s="5" t="str">
        <f ca="1">IFERROR(__xludf.DUMMYFUNCTION("""COMPUTED_VALUE"""),"14.62%")</f>
        <v>14.62%</v>
      </c>
      <c r="M35" s="5" t="str">
        <f ca="1">IFERROR(__xludf.DUMMYFUNCTION("""COMPUTED_VALUE"""),"x800")</f>
        <v>x800</v>
      </c>
      <c r="N35" s="5" t="str">
        <f ca="1">IFERROR(__xludf.DUMMYFUNCTION("""COMPUTED_VALUE"""),"0.2/100")</f>
        <v>0.2/100</v>
      </c>
      <c r="O35" s="5" t="str">
        <f ca="1">IFERROR(__xludf.DUMMYFUNCTION("""COMPUTED_VALUE"""),"No")</f>
        <v>No</v>
      </c>
      <c r="P35" s="5" t="str">
        <f ca="1">IFERROR(__xludf.DUMMYFUNCTION("""COMPUTED_VALUE"""),"Wild Symbol, Scatter")</f>
        <v>Wild Symbol, Scatter</v>
      </c>
      <c r="Q35" s="7" t="str">
        <f ca="1">IFERROR(__xludf.DUMMYFUNCTION("""COMPUTED_VALUE"""),"https://gameserver-store-client-area.orbionlimited.com/Home/IntegrationGameLaunch/client-area?moneyType=0&amp;gameName=UnicornDoubleWildDice&amp;platform=desktop&amp;languageCode=eng&amp;currency=EUR")</f>
        <v>https://gameserver-store-client-area.orbionlimited.com/Home/IntegrationGameLaunch/client-area?moneyType=0&amp;gameName=UnicornDoubleWildDice&amp;platform=desktop&amp;languageCode=eng&amp;currency=EUR</v>
      </c>
      <c r="R35" s="5" t="str">
        <f ca="1">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S3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IFERROR(__xludf.DUMMYFUNCTION("""COMPUTED_VALUE"""),"No")</f>
        <v>No</v>
      </c>
      <c r="X35" s="5" t="str">
        <f ca="1">IFERROR(__xludf.DUMMYFUNCTION("""COMPUTED_VALUE"""),"No")</f>
        <v>No</v>
      </c>
      <c r="Y35" s="5" t="str">
        <f ca="1">IFERROR(__xludf.DUMMYFUNCTION("""COMPUTED_VALUE"""),"No")</f>
        <v>No</v>
      </c>
      <c r="Z35" s="5" t="str">
        <f ca="1">IFERROR(__xludf.DUMMYFUNCTION("""COMPUTED_VALUE"""),"No")</f>
        <v>No</v>
      </c>
      <c r="AA35" s="5" t="str">
        <f ca="1">IFERROR(__xludf.DUMMYFUNCTION("""COMPUTED_VALUE"""),"No")</f>
        <v>No</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IFERROR(__xludf.DUMMYFUNCTION("""COMPUTED_VALUE"""),"Yes")</f>
        <v>Yes</v>
      </c>
      <c r="AF35" s="5" t="str">
        <f ca="1">IFERROR(__xludf.DUMMYFUNCTION("""COMPUTED_VALUE"""),"Yes")</f>
        <v>Yes</v>
      </c>
      <c r="AG35" s="5" t="str">
        <f ca="1">IFERROR(__xludf.DUMMYFUNCTION("""COMPUTED_VALUE"""),"No")</f>
        <v>No</v>
      </c>
      <c r="AH35" s="5" t="str">
        <f ca="1">IFERROR(__xludf.DUMMYFUNCTION("""COMPUTED_VALUE"""),"Yes")</f>
        <v>Yes</v>
      </c>
      <c r="AI35" s="5" t="str">
        <f ca="1">IFERROR(__xludf.DUMMYFUNCTION("""COMPUTED_VALUE"""),"No")</f>
        <v>No</v>
      </c>
      <c r="AJ35" s="5" t="str">
        <f ca="1">IFERROR(__xludf.DUMMYFUNCTION("""COMPUTED_VALUE"""),"No")</f>
        <v>No</v>
      </c>
      <c r="AK35" s="5" t="str">
        <f ca="1">IFERROR(__xludf.DUMMYFUNCTION("""COMPUTED_VALUE"""),"No")</f>
        <v>No</v>
      </c>
      <c r="AL35" s="5" t="str">
        <f ca="1">IFERROR(__xludf.DUMMYFUNCTION("""COMPUTED_VALUE"""),"No")</f>
        <v>No</v>
      </c>
      <c r="AM35" s="5" t="str">
        <f ca="1">IFERROR(__xludf.DUMMYFUNCTION("""COMPUTED_VALUE"""),"No")</f>
        <v>No</v>
      </c>
      <c r="AN35" s="5"/>
      <c r="AO35" s="5"/>
      <c r="AP35" s="5"/>
      <c r="AQ35" s="5" t="str">
        <f ca="1">IFERROR(__xludf.DUMMYFUNCTION("""COMPUTED_VALUE"""),"No")</f>
        <v>No</v>
      </c>
      <c r="AR35" s="5"/>
      <c r="AS35" s="5"/>
      <c r="AT35" s="5"/>
      <c r="AU35" s="5"/>
    </row>
    <row r="36" spans="1:47" x14ac:dyDescent="0.25">
      <c r="A36" s="5" t="str">
        <f ca="1">IFERROR(__xludf.DUMMYFUNCTION("""COMPUTED_VALUE"""),"Tiptop")</f>
        <v>Tiptop</v>
      </c>
      <c r="B36" s="5" t="str">
        <f ca="1">IFERROR(__xludf.DUMMYFUNCTION("""COMPUTED_VALUE"""),"40 Fruit Reels")</f>
        <v>40 Fruit Reels</v>
      </c>
      <c r="C36" s="5" t="str">
        <f ca="1">IFERROR(__xludf.DUMMYFUNCTION("""COMPUTED_VALUE"""),"Unicorn40FruitReels")</f>
        <v>Unicorn40FruitReels</v>
      </c>
      <c r="D36" s="6">
        <f ca="1">IFERROR(__xludf.DUMMYFUNCTION("""COMPUTED_VALUE"""),45062)</f>
        <v>45062</v>
      </c>
      <c r="E36" s="5" t="str">
        <f ca="1">IFERROR(__xludf.DUMMYFUNCTION("""COMPUTED_VALUE"""),"Slot")</f>
        <v>Slot</v>
      </c>
      <c r="F36" s="5">
        <f ca="1">IFERROR(__xludf.DUMMYFUNCTION("""COMPUTED_VALUE"""),9.5)</f>
        <v>9.5</v>
      </c>
      <c r="G36" s="5" t="str">
        <f ca="1">IFERROR(__xludf.DUMMYFUNCTION("""COMPUTED_VALUE"""),"5X4")</f>
        <v>5X4</v>
      </c>
      <c r="H36" s="5" t="str">
        <f ca="1">IFERROR(__xludf.DUMMYFUNCTION("""COMPUTED_VALUE"""),"40")</f>
        <v>40</v>
      </c>
      <c r="I36" s="5" t="str">
        <f ca="1">IFERROR(__xludf.DUMMYFUNCTION("""COMPUTED_VALUE"""),"40")</f>
        <v>40</v>
      </c>
      <c r="J36" s="5" t="str">
        <f ca="1">IFERROR(__xludf.DUMMYFUNCTION("""COMPUTED_VALUE"""),"96%")</f>
        <v>96%</v>
      </c>
      <c r="K36" s="5" t="str">
        <f ca="1">IFERROR(__xludf.DUMMYFUNCTION("""COMPUTED_VALUE"""),"Low")</f>
        <v>Low</v>
      </c>
      <c r="L36" s="5" t="str">
        <f ca="1">IFERROR(__xludf.DUMMYFUNCTION("""COMPUTED_VALUE"""),"11.65%")</f>
        <v>11.65%</v>
      </c>
      <c r="M36" s="5" t="str">
        <f ca="1">IFERROR(__xludf.DUMMYFUNCTION("""COMPUTED_VALUE"""),"x5000")</f>
        <v>x5000</v>
      </c>
      <c r="N36" s="5" t="str">
        <f ca="1">IFERROR(__xludf.DUMMYFUNCTION("""COMPUTED_VALUE"""),"0.4/100")</f>
        <v>0.4/100</v>
      </c>
      <c r="O36" s="5" t="str">
        <f ca="1">IFERROR(__xludf.DUMMYFUNCTION("""COMPUTED_VALUE"""),"No")</f>
        <v>No</v>
      </c>
      <c r="P36" s="5"/>
      <c r="Q36" s="7" t="str">
        <f ca="1">IFERROR(__xludf.DUMMYFUNCTION("""COMPUTED_VALUE"""),"https://gameserver-store-client-area.orbionlimited.com/Home/IntegrationGameLaunch/client-area?moneyType=0&amp;gameName=Unicorn40FruitReels&amp;platform=desktop&amp;languageCode=eng&amp;currency=EUR")</f>
        <v>https://gameserver-store-client-area.orbionlimited.com/Home/IntegrationGameLaunch/client-area?moneyType=0&amp;gameName=Unicorn40FruitReels&amp;platform=desktop&amp;languageCode=eng&amp;currency=EUR</v>
      </c>
      <c r="R36" s="5" t="str">
        <f ca="1">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S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 ca="1">IFERROR(__xludf.DUMMYFUNCTION("""COMPUTED_VALUE"""),"Yes")</f>
        <v>Yes</v>
      </c>
      <c r="U36" s="5" t="str">
        <f ca="1">IFERROR(__xludf.DUMMYFUNCTION("""COMPUTED_VALUE"""),"Yes")</f>
        <v>Yes</v>
      </c>
      <c r="V36" s="5" t="str">
        <f ca="1">IFERROR(__xludf.DUMMYFUNCTION("""COMPUTED_VALUE"""),"Yes")</f>
        <v>Yes</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IFERROR(__xludf.DUMMYFUNCTION("""COMPUTED_VALUE"""),"Yes")</f>
        <v>Yes</v>
      </c>
      <c r="AF36" s="5" t="str">
        <f ca="1">IFERROR(__xludf.DUMMYFUNCTION("""COMPUTED_VALUE"""),"Yes")</f>
        <v>Yes</v>
      </c>
      <c r="AG36" s="5" t="str">
        <f ca="1">IFERROR(__xludf.DUMMYFUNCTION("""COMPUTED_VALUE"""),"Yes")</f>
        <v>Yes</v>
      </c>
      <c r="AH36" s="5" t="str">
        <f ca="1">IFERROR(__xludf.DUMMYFUNCTION("""COMPUTED_VALUE"""),"Yes")</f>
        <v>Yes</v>
      </c>
      <c r="AI36" s="5" t="str">
        <f ca="1">IFERROR(__xludf.DUMMYFUNCTION("""COMPUTED_VALUE"""),"Yes")</f>
        <v>Yes</v>
      </c>
      <c r="AJ36" s="5" t="str">
        <f ca="1">IFERROR(__xludf.DUMMYFUNCTION("""COMPUTED_VALUE"""),"Yes")</f>
        <v>Yes</v>
      </c>
      <c r="AK36" s="5" t="str">
        <f ca="1">IFERROR(__xludf.DUMMYFUNCTION("""COMPUTED_VALUE"""),"Yes")</f>
        <v>Yes</v>
      </c>
      <c r="AL36" s="5" t="str">
        <f ca="1">IFERROR(__xludf.DUMMYFUNCTION("""COMPUTED_VALUE"""),"Yes")</f>
        <v>Yes</v>
      </c>
      <c r="AM36" s="5" t="str">
        <f ca="1">IFERROR(__xludf.DUMMYFUNCTION("""COMPUTED_VALUE"""),"Yes")</f>
        <v>Yes</v>
      </c>
      <c r="AN36" s="5" t="str">
        <f ca="1">IFERROR(__xludf.DUMMYFUNCTION("""COMPUTED_VALUE"""),"Yes")</f>
        <v>Yes</v>
      </c>
      <c r="AO36" s="5" t="str">
        <f ca="1">IFERROR(__xludf.DUMMYFUNCTION("""COMPUTED_VALUE"""),"Yes")</f>
        <v>Yes</v>
      </c>
      <c r="AP36" s="5" t="str">
        <f ca="1">IFERROR(__xludf.DUMMYFUNCTION("""COMPUTED_VALUE"""),"Yes")</f>
        <v>Yes</v>
      </c>
      <c r="AQ36" s="5" t="str">
        <f ca="1">IFERROR(__xludf.DUMMYFUNCTION("""COMPUTED_VALUE"""),"Yes")</f>
        <v>Yes</v>
      </c>
      <c r="AR36" s="5" t="str">
        <f ca="1">IFERROR(__xludf.DUMMYFUNCTION("""COMPUTED_VALUE"""),"Yes")</f>
        <v>Yes</v>
      </c>
      <c r="AS36" s="5" t="str">
        <f ca="1">IFERROR(__xludf.DUMMYFUNCTION("""COMPUTED_VALUE"""),"Yes")</f>
        <v>Yes</v>
      </c>
      <c r="AT36" s="5"/>
      <c r="AU36" s="5"/>
    </row>
    <row r="37" spans="1:47" x14ac:dyDescent="0.25">
      <c r="A37" s="5" t="str">
        <f ca="1">IFERROR(__xludf.DUMMYFUNCTION("""COMPUTED_VALUE"""),"Tiptop")</f>
        <v>Tiptop</v>
      </c>
      <c r="B37" s="5" t="str">
        <f ca="1">IFERROR(__xludf.DUMMYFUNCTION("""COMPUTED_VALUE"""),"5 Hot Strike")</f>
        <v>5 Hot Strike</v>
      </c>
      <c r="C37" s="5" t="str">
        <f ca="1">IFERROR(__xludf.DUMMYFUNCTION("""COMPUTED_VALUE"""),"Unicorn5HotStrike")</f>
        <v>Unicorn5HotStrike</v>
      </c>
      <c r="D37" s="6">
        <f ca="1">IFERROR(__xludf.DUMMYFUNCTION("""COMPUTED_VALUE"""),45090)</f>
        <v>45090</v>
      </c>
      <c r="E37" s="5" t="str">
        <f ca="1">IFERROR(__xludf.DUMMYFUNCTION("""COMPUTED_VALUE"""),"Slot")</f>
        <v>Slot</v>
      </c>
      <c r="F37" s="5">
        <f ca="1">IFERROR(__xludf.DUMMYFUNCTION("""COMPUTED_VALUE"""),12.3)</f>
        <v>12.3</v>
      </c>
      <c r="G37" s="5" t="str">
        <f ca="1">IFERROR(__xludf.DUMMYFUNCTION("""COMPUTED_VALUE"""),"5X3")</f>
        <v>5X3</v>
      </c>
      <c r="H37" s="5" t="str">
        <f ca="1">IFERROR(__xludf.DUMMYFUNCTION("""COMPUTED_VALUE"""),"5")</f>
        <v>5</v>
      </c>
      <c r="I37" s="5" t="str">
        <f ca="1">IFERROR(__xludf.DUMMYFUNCTION("""COMPUTED_VALUE"""),"5")</f>
        <v>5</v>
      </c>
      <c r="J37" s="5" t="str">
        <f ca="1">IFERROR(__xludf.DUMMYFUNCTION("""COMPUTED_VALUE"""),"96%")</f>
        <v>96%</v>
      </c>
      <c r="K37" s="5" t="str">
        <f ca="1">IFERROR(__xludf.DUMMYFUNCTION("""COMPUTED_VALUE"""),"Low")</f>
        <v>Low</v>
      </c>
      <c r="L37" s="5" t="str">
        <f ca="1">IFERROR(__xludf.DUMMYFUNCTION("""COMPUTED_VALUE"""),"11.41%")</f>
        <v>11.41%</v>
      </c>
      <c r="M37" s="5" t="str">
        <f ca="1">IFERROR(__xludf.DUMMYFUNCTION("""COMPUTED_VALUE"""),"x2000")</f>
        <v>x2000</v>
      </c>
      <c r="N37" s="5" t="str">
        <f ca="1">IFERROR(__xludf.DUMMYFUNCTION("""COMPUTED_VALUE"""),"0.05/100")</f>
        <v>0.05/100</v>
      </c>
      <c r="O37" s="5" t="str">
        <f ca="1">IFERROR(__xludf.DUMMYFUNCTION("""COMPUTED_VALUE"""),"No")</f>
        <v>No</v>
      </c>
      <c r="P37" s="5" t="str">
        <f ca="1">IFERROR(__xludf.DUMMYFUNCTION("""COMPUTED_VALUE"""),"Wild Symbol, Scatter, Wild Multiplier")</f>
        <v>Wild Symbol, Scatter, Wild Multiplier</v>
      </c>
      <c r="Q37" s="7" t="str">
        <f ca="1">IFERROR(__xludf.DUMMYFUNCTION("""COMPUTED_VALUE"""),"https://gameserver-store-client-area.orbionlimited.com/Home/IntegrationGameLaunch/client-area?moneyType=0&amp;gameName=Unicorn5HotStrike&amp;platform=desktop&amp;languageCode=eng&amp;currency=EUR")</f>
        <v>https://gameserver-store-client-area.orbionlimited.com/Home/IntegrationGameLaunch/client-area?moneyType=0&amp;gameName=Unicorn5HotStrike&amp;platform=desktop&amp;languageCode=eng&amp;currency=EUR</v>
      </c>
      <c r="R37" s="5" t="str">
        <f ca="1">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S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37" s="5" t="str">
        <f ca="1">IFERROR(__xludf.DUMMYFUNCTION("""COMPUTED_VALUE"""),"Yes")</f>
        <v>Yes</v>
      </c>
      <c r="U37" s="5" t="str">
        <f ca="1">IFERROR(__xludf.DUMMYFUNCTION("""COMPUTED_VALUE"""),"Yes")</f>
        <v>Yes</v>
      </c>
      <c r="V37" s="5" t="str">
        <f ca="1">IFERROR(__xludf.DUMMYFUNCTION("""COMPUTED_VALUE"""),"Yes")</f>
        <v>Yes</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IFERROR(__xludf.DUMMYFUNCTION("""COMPUTED_VALUE"""),"Yes")</f>
        <v>Yes</v>
      </c>
      <c r="AF37" s="5" t="str">
        <f ca="1">IFERROR(__xludf.DUMMYFUNCTION("""COMPUTED_VALUE"""),"Yes")</f>
        <v>Yes</v>
      </c>
      <c r="AG37" s="5" t="str">
        <f ca="1">IFERROR(__xludf.DUMMYFUNCTION("""COMPUTED_VALUE"""),"Yes")</f>
        <v>Yes</v>
      </c>
      <c r="AH37" s="5" t="str">
        <f ca="1">IFERROR(__xludf.DUMMYFUNCTION("""COMPUTED_VALUE"""),"Yes")</f>
        <v>Yes</v>
      </c>
      <c r="AI37" s="5" t="str">
        <f ca="1">IFERROR(__xludf.DUMMYFUNCTION("""COMPUTED_VALUE"""),"Yes")</f>
        <v>Yes</v>
      </c>
      <c r="AJ37" s="5" t="str">
        <f ca="1">IFERROR(__xludf.DUMMYFUNCTION("""COMPUTED_VALUE"""),"Yes")</f>
        <v>Yes</v>
      </c>
      <c r="AK37" s="5" t="str">
        <f ca="1">IFERROR(__xludf.DUMMYFUNCTION("""COMPUTED_VALUE"""),"Yes")</f>
        <v>Yes</v>
      </c>
      <c r="AL37" s="5" t="str">
        <f ca="1">IFERROR(__xludf.DUMMYFUNCTION("""COMPUTED_VALUE"""),"Yes")</f>
        <v>Yes</v>
      </c>
      <c r="AM37" s="5" t="str">
        <f ca="1">IFERROR(__xludf.DUMMYFUNCTION("""COMPUTED_VALUE"""),"Yes")</f>
        <v>Yes</v>
      </c>
      <c r="AN37" s="5"/>
      <c r="AO37" s="5"/>
      <c r="AP37" s="5"/>
      <c r="AQ37" s="5" t="str">
        <f ca="1">IFERROR(__xludf.DUMMYFUNCTION("""COMPUTED_VALUE"""),"Yes")</f>
        <v>Yes</v>
      </c>
      <c r="AR37" s="5"/>
      <c r="AS37" s="5"/>
      <c r="AT37" s="5"/>
      <c r="AU37" s="5"/>
    </row>
    <row r="38" spans="1:47" x14ac:dyDescent="0.25">
      <c r="A38" s="5" t="str">
        <f ca="1">IFERROR(__xludf.DUMMYFUNCTION("""COMPUTED_VALUE"""),"Tiptop")</f>
        <v>Tiptop</v>
      </c>
      <c r="B38" s="5" t="str">
        <f ca="1">IFERROR(__xludf.DUMMYFUNCTION("""COMPUTED_VALUE"""),"Bikini Fruits")</f>
        <v>Bikini Fruits</v>
      </c>
      <c r="C38" s="5" t="str">
        <f ca="1">IFERROR(__xludf.DUMMYFUNCTION("""COMPUTED_VALUE"""),"UnicornBikiniFruits")</f>
        <v>UnicornBikiniFruits</v>
      </c>
      <c r="D38" s="6">
        <f ca="1">IFERROR(__xludf.DUMMYFUNCTION("""COMPUTED_VALUE"""),45106)</f>
        <v>45106</v>
      </c>
      <c r="E38" s="5" t="str">
        <f ca="1">IFERROR(__xludf.DUMMYFUNCTION("""COMPUTED_VALUE"""),"Slot")</f>
        <v>Slot</v>
      </c>
      <c r="F38" s="5">
        <f ca="1">IFERROR(__xludf.DUMMYFUNCTION("""COMPUTED_VALUE"""),13.8)</f>
        <v>13.8</v>
      </c>
      <c r="G38" s="5" t="str">
        <f ca="1">IFERROR(__xludf.DUMMYFUNCTION("""COMPUTED_VALUE"""),"5X3")</f>
        <v>5X3</v>
      </c>
      <c r="H38" s="5" t="str">
        <f ca="1">IFERROR(__xludf.DUMMYFUNCTION("""COMPUTED_VALUE"""),"10")</f>
        <v>10</v>
      </c>
      <c r="I38" s="5" t="str">
        <f ca="1">IFERROR(__xludf.DUMMYFUNCTION("""COMPUTED_VALUE"""),"10")</f>
        <v>10</v>
      </c>
      <c r="J38" s="5" t="str">
        <f ca="1">IFERROR(__xludf.DUMMYFUNCTION("""COMPUTED_VALUE"""),"96%")</f>
        <v>96%</v>
      </c>
      <c r="K38" s="5" t="str">
        <f ca="1">IFERROR(__xludf.DUMMYFUNCTION("""COMPUTED_VALUE"""),"High")</f>
        <v>High</v>
      </c>
      <c r="L38" s="5" t="str">
        <f ca="1">IFERROR(__xludf.DUMMYFUNCTION("""COMPUTED_VALUE"""),"36.03%")</f>
        <v>36.03%</v>
      </c>
      <c r="M38" s="5" t="str">
        <f ca="1">IFERROR(__xludf.DUMMYFUNCTION("""COMPUTED_VALUE"""),"x5000")</f>
        <v>x5000</v>
      </c>
      <c r="N38" s="5" t="str">
        <f ca="1">IFERROR(__xludf.DUMMYFUNCTION("""COMPUTED_VALUE"""),"0.1/100")</f>
        <v>0.1/100</v>
      </c>
      <c r="O38" s="5" t="str">
        <f ca="1">IFERROR(__xludf.DUMMYFUNCTION("""COMPUTED_VALUE"""),"No")</f>
        <v>No</v>
      </c>
      <c r="P38" s="5" t="str">
        <f ca="1">IFERROR(__xludf.DUMMYFUNCTION("""COMPUTED_VALUE"""),"Bonus Game with Multiplier, Wild Symbol")</f>
        <v>Bonus Game with Multiplier, Wild Symbol</v>
      </c>
      <c r="Q38" s="7" t="str">
        <f ca="1">IFERROR(__xludf.DUMMYFUNCTION("""COMPUTED_VALUE"""),"https://gameserver-store-client-area.orbionlimited.com/Home/IntegrationGameLaunch/client-area?moneyType=0&amp;gameName=UnicornBikiniFruits&amp;platform=desktop&amp;languageCode=eng&amp;currency=EUR")</f>
        <v>https://gameserver-store-client-area.orbionlimited.com/Home/IntegrationGameLaunch/client-area?moneyType=0&amp;gameName=UnicornBikiniFruits&amp;platform=desktop&amp;languageCode=eng&amp;currency=EUR</v>
      </c>
      <c r="R38" s="5" t="str">
        <f ca="1">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S3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8" s="5" t="str">
        <f ca="1">IFERROR(__xludf.DUMMYFUNCTION("""COMPUTED_VALUE"""),"Yes")</f>
        <v>Yes</v>
      </c>
      <c r="U38" s="5" t="str">
        <f ca="1">IFERROR(__xludf.DUMMYFUNCTION("""COMPUTED_VALUE"""),"Yes")</f>
        <v>Yes</v>
      </c>
      <c r="V38" s="5" t="str">
        <f ca="1">IFERROR(__xludf.DUMMYFUNCTION("""COMPUTED_VALUE"""),"Yes")</f>
        <v>Yes</v>
      </c>
      <c r="W38" s="5" t="str">
        <f ca="1">IFERROR(__xludf.DUMMYFUNCTION("""COMPUTED_VALUE"""),"No")</f>
        <v>No</v>
      </c>
      <c r="X38" s="5" t="str">
        <f ca="1">IFERROR(__xludf.DUMMYFUNCTION("""COMPUTED_VALUE"""),"No")</f>
        <v>No</v>
      </c>
      <c r="Y38" s="5" t="str">
        <f ca="1">IFERROR(__xludf.DUMMYFUNCTION("""COMPUTED_VALUE"""),"No")</f>
        <v>No</v>
      </c>
      <c r="Z38" s="5" t="str">
        <f ca="1">IFERROR(__xludf.DUMMYFUNCTION("""COMPUTED_VALUE"""),"No")</f>
        <v>No</v>
      </c>
      <c r="AA38" s="5" t="str">
        <f ca="1">IFERROR(__xludf.DUMMYFUNCTION("""COMPUTED_VALUE"""),"No")</f>
        <v>No</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IFERROR(__xludf.DUMMYFUNCTION("""COMPUTED_VALUE"""),"Yes")</f>
        <v>Yes</v>
      </c>
      <c r="AF38" s="5" t="str">
        <f ca="1">IFERROR(__xludf.DUMMYFUNCTION("""COMPUTED_VALUE"""),"Yes")</f>
        <v>Yes</v>
      </c>
      <c r="AG38" s="5" t="str">
        <f ca="1">IFERROR(__xludf.DUMMYFUNCTION("""COMPUTED_VALUE"""),"No")</f>
        <v>No</v>
      </c>
      <c r="AH38" s="5" t="str">
        <f ca="1">IFERROR(__xludf.DUMMYFUNCTION("""COMPUTED_VALUE"""),"Yes")</f>
        <v>Yes</v>
      </c>
      <c r="AI38" s="5" t="str">
        <f ca="1">IFERROR(__xludf.DUMMYFUNCTION("""COMPUTED_VALUE"""),"No")</f>
        <v>No</v>
      </c>
      <c r="AJ38" s="5" t="str">
        <f ca="1">IFERROR(__xludf.DUMMYFUNCTION("""COMPUTED_VALUE"""),"No")</f>
        <v>No</v>
      </c>
      <c r="AK38" s="5" t="str">
        <f ca="1">IFERROR(__xludf.DUMMYFUNCTION("""COMPUTED_VALUE"""),"No")</f>
        <v>No</v>
      </c>
      <c r="AL38" s="5" t="str">
        <f ca="1">IFERROR(__xludf.DUMMYFUNCTION("""COMPUTED_VALUE"""),"No")</f>
        <v>No</v>
      </c>
      <c r="AM38" s="5" t="str">
        <f ca="1">IFERROR(__xludf.DUMMYFUNCTION("""COMPUTED_VALUE"""),"No")</f>
        <v>No</v>
      </c>
      <c r="AN38" s="5"/>
      <c r="AO38" s="5"/>
      <c r="AP38" s="5"/>
      <c r="AQ38" s="5" t="str">
        <f ca="1">IFERROR(__xludf.DUMMYFUNCTION("""COMPUTED_VALUE"""),"No")</f>
        <v>No</v>
      </c>
      <c r="AR38" s="5"/>
      <c r="AS38" s="5"/>
      <c r="AT38" s="5"/>
      <c r="AU38" s="5"/>
    </row>
    <row r="39" spans="1:47" x14ac:dyDescent="0.25">
      <c r="A39" s="5" t="str">
        <f ca="1">IFERROR(__xludf.DUMMYFUNCTION("""COMPUTED_VALUE"""),"Tiptop")</f>
        <v>Tiptop</v>
      </c>
      <c r="B39" s="5" t="str">
        <f ca="1">IFERROR(__xludf.DUMMYFUNCTION("""COMPUTED_VALUE"""),"Fire Stars")</f>
        <v>Fire Stars</v>
      </c>
      <c r="C39" s="5" t="str">
        <f ca="1">IFERROR(__xludf.DUMMYFUNCTION("""COMPUTED_VALUE"""),"UnicornFireStars")</f>
        <v>UnicornFireStars</v>
      </c>
      <c r="D39" s="6">
        <f ca="1">IFERROR(__xludf.DUMMYFUNCTION("""COMPUTED_VALUE"""),45120)</f>
        <v>45120</v>
      </c>
      <c r="E39" s="5" t="str">
        <f ca="1">IFERROR(__xludf.DUMMYFUNCTION("""COMPUTED_VALUE"""),"Slot")</f>
        <v>Slot</v>
      </c>
      <c r="F39" s="5">
        <f ca="1">IFERROR(__xludf.DUMMYFUNCTION("""COMPUTED_VALUE"""),12.3)</f>
        <v>12.3</v>
      </c>
      <c r="G39" s="5" t="str">
        <f ca="1">IFERROR(__xludf.DUMMYFUNCTION("""COMPUTED_VALUE"""),"5X4")</f>
        <v>5X4</v>
      </c>
      <c r="H39" s="5" t="str">
        <f ca="1">IFERROR(__xludf.DUMMYFUNCTION("""COMPUTED_VALUE"""),"40")</f>
        <v>40</v>
      </c>
      <c r="I39" s="5" t="str">
        <f ca="1">IFERROR(__xludf.DUMMYFUNCTION("""COMPUTED_VALUE"""),"40")</f>
        <v>40</v>
      </c>
      <c r="J39" s="5" t="str">
        <f ca="1">IFERROR(__xludf.DUMMYFUNCTION("""COMPUTED_VALUE"""),"96%")</f>
        <v>96%</v>
      </c>
      <c r="K39" s="5" t="str">
        <f ca="1">IFERROR(__xludf.DUMMYFUNCTION("""COMPUTED_VALUE"""),"Medium")</f>
        <v>Medium</v>
      </c>
      <c r="L39" s="5" t="str">
        <f ca="1">IFERROR(__xludf.DUMMYFUNCTION("""COMPUTED_VALUE"""),"17.3%")</f>
        <v>17.3%</v>
      </c>
      <c r="M39" s="5" t="str">
        <f ca="1">IFERROR(__xludf.DUMMYFUNCTION("""COMPUTED_VALUE"""),"x5000")</f>
        <v>x5000</v>
      </c>
      <c r="N39" s="5" t="str">
        <f ca="1">IFERROR(__xludf.DUMMYFUNCTION("""COMPUTED_VALUE"""),"0.4/100")</f>
        <v>0.4/100</v>
      </c>
      <c r="O39" s="5" t="str">
        <f ca="1">IFERROR(__xludf.DUMMYFUNCTION("""COMPUTED_VALUE"""),"No")</f>
        <v>No</v>
      </c>
      <c r="P39" s="5" t="str">
        <f ca="1">IFERROR(__xludf.DUMMYFUNCTION("""COMPUTED_VALUE"""),"Scatter")</f>
        <v>Scatter</v>
      </c>
      <c r="Q39" s="7" t="str">
        <f ca="1">IFERROR(__xludf.DUMMYFUNCTION("""COMPUTED_VALUE"""),"https://gameserver-store-client-area.orbionlimited.com/Home/IntegrationGameLaunch/client-area?moneyType=0&amp;gameName=UnicornFireStars&amp;platform=desktop&amp;languageCode=eng&amp;currency=EUR")</f>
        <v>https://gameserver-store-client-area.orbionlimited.com/Home/IntegrationGameLaunch/client-area?moneyType=0&amp;gameName=UnicornFireStars&amp;platform=desktop&amp;languageCode=eng&amp;currency=EUR</v>
      </c>
      <c r="R39" s="5" t="str">
        <f ca="1">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S39" s="5" t="str">
        <f ca="1">IFERROR(__xludf.DUMMYFUNCTION("""COMPUTED_VALUE"""),"English(""eng"")")</f>
        <v>English("eng")</v>
      </c>
      <c r="T39" s="5" t="str">
        <f ca="1">IFERROR(__xludf.DUMMYFUNCTION("""COMPUTED_VALUE"""),"Yes")</f>
        <v>Yes</v>
      </c>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t="str">
        <f ca="1">IFERROR(__xludf.DUMMYFUNCTION("""COMPUTED_VALUE"""),"Tiptop")</f>
        <v>Tiptop</v>
      </c>
      <c r="B40" s="5" t="str">
        <f ca="1">IFERROR(__xludf.DUMMYFUNCTION("""COMPUTED_VALUE"""),"20 Hot Strike Dice")</f>
        <v>20 Hot Strike Dice</v>
      </c>
      <c r="C40" s="5" t="str">
        <f ca="1">IFERROR(__xludf.DUMMYFUNCTION("""COMPUTED_VALUE"""),"Unicorn20HotStrikeDice")</f>
        <v>Unicorn20HotStrikeDice</v>
      </c>
      <c r="D40" s="6">
        <f ca="1">IFERROR(__xludf.DUMMYFUNCTION("""COMPUTED_VALUE"""),45134)</f>
        <v>45134</v>
      </c>
      <c r="E40" s="5" t="str">
        <f ca="1">IFERROR(__xludf.DUMMYFUNCTION("""COMPUTED_VALUE"""),"Dice Slots")</f>
        <v>Dice Slots</v>
      </c>
      <c r="F40" s="5">
        <f ca="1">IFERROR(__xludf.DUMMYFUNCTION("""COMPUTED_VALUE"""),11.4)</f>
        <v>11.4</v>
      </c>
      <c r="G40" s="5" t="str">
        <f ca="1">IFERROR(__xludf.DUMMYFUNCTION("""COMPUTED_VALUE"""),"5X3")</f>
        <v>5X3</v>
      </c>
      <c r="H40" s="5" t="str">
        <f ca="1">IFERROR(__xludf.DUMMYFUNCTION("""COMPUTED_VALUE"""),"20")</f>
        <v>20</v>
      </c>
      <c r="I40" s="5" t="str">
        <f ca="1">IFERROR(__xludf.DUMMYFUNCTION("""COMPUTED_VALUE"""),"20")</f>
        <v>20</v>
      </c>
      <c r="J40" s="5" t="str">
        <f ca="1">IFERROR(__xludf.DUMMYFUNCTION("""COMPUTED_VALUE"""),"96%")</f>
        <v>96%</v>
      </c>
      <c r="K40" s="5" t="str">
        <f ca="1">IFERROR(__xludf.DUMMYFUNCTION("""COMPUTED_VALUE"""),"Low")</f>
        <v>Low</v>
      </c>
      <c r="L40" s="5" t="str">
        <f ca="1">IFERROR(__xludf.DUMMYFUNCTION("""COMPUTED_VALUE"""),"14.62%")</f>
        <v>14.62%</v>
      </c>
      <c r="M40" s="5" t="str">
        <f ca="1">IFERROR(__xludf.DUMMYFUNCTION("""COMPUTED_VALUE"""),"x800")</f>
        <v>x800</v>
      </c>
      <c r="N40" s="5" t="str">
        <f ca="1">IFERROR(__xludf.DUMMYFUNCTION("""COMPUTED_VALUE"""),"0.2/100")</f>
        <v>0.2/100</v>
      </c>
      <c r="O40" s="5" t="str">
        <f ca="1">IFERROR(__xludf.DUMMYFUNCTION("""COMPUTED_VALUE"""),"No")</f>
        <v>No</v>
      </c>
      <c r="P40" s="5" t="str">
        <f ca="1">IFERROR(__xludf.DUMMYFUNCTION("""COMPUTED_VALUE"""),"Wild Symbol, Scatter")</f>
        <v>Wild Symbol, Scatter</v>
      </c>
      <c r="Q40" s="7" t="str">
        <f ca="1">IFERROR(__xludf.DUMMYFUNCTION("""COMPUTED_VALUE"""),"https://gameserver-store-client-area.orbionlimited.com/Home/IntegrationGameLaunch/client-area?moneyType=0&amp;gameName=Unicorn20HotStrikeDice&amp;platform=desktop&amp;languageCode=eng&amp;currency=EUR")</f>
        <v>https://gameserver-store-client-area.orbionlimited.com/Home/IntegrationGameLaunch/client-area?moneyType=0&amp;gameName=Unicorn20HotStrikeDice&amp;platform=desktop&amp;languageCode=eng&amp;currency=EUR</v>
      </c>
      <c r="R40" s="5" t="str">
        <f ca="1">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S4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IFERROR(__xludf.DUMMYFUNCTION("""COMPUTED_VALUE"""),"No")</f>
        <v>No</v>
      </c>
      <c r="X40" s="5" t="str">
        <f ca="1">IFERROR(__xludf.DUMMYFUNCTION("""COMPUTED_VALUE"""),"No")</f>
        <v>No</v>
      </c>
      <c r="Y40" s="5" t="str">
        <f ca="1">IFERROR(__xludf.DUMMYFUNCTION("""COMPUTED_VALUE"""),"No")</f>
        <v>No</v>
      </c>
      <c r="Z40" s="5" t="str">
        <f ca="1">IFERROR(__xludf.DUMMYFUNCTION("""COMPUTED_VALUE"""),"No")</f>
        <v>No</v>
      </c>
      <c r="AA40" s="5" t="str">
        <f ca="1">IFERROR(__xludf.DUMMYFUNCTION("""COMPUTED_VALUE"""),"No")</f>
        <v>No</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IFERROR(__xludf.DUMMYFUNCTION("""COMPUTED_VALUE"""),"Yes")</f>
        <v>Yes</v>
      </c>
      <c r="AF40" s="5" t="str">
        <f ca="1">IFERROR(__xludf.DUMMYFUNCTION("""COMPUTED_VALUE"""),"Yes")</f>
        <v>Yes</v>
      </c>
      <c r="AG40" s="5" t="str">
        <f ca="1">IFERROR(__xludf.DUMMYFUNCTION("""COMPUTED_VALUE"""),"No")</f>
        <v>No</v>
      </c>
      <c r="AH40" s="5" t="str">
        <f ca="1">IFERROR(__xludf.DUMMYFUNCTION("""COMPUTED_VALUE"""),"Yes")</f>
        <v>Yes</v>
      </c>
      <c r="AI40" s="5" t="str">
        <f ca="1">IFERROR(__xludf.DUMMYFUNCTION("""COMPUTED_VALUE"""),"No")</f>
        <v>No</v>
      </c>
      <c r="AJ40" s="5" t="str">
        <f ca="1">IFERROR(__xludf.DUMMYFUNCTION("""COMPUTED_VALUE"""),"No")</f>
        <v>No</v>
      </c>
      <c r="AK40" s="5" t="str">
        <f ca="1">IFERROR(__xludf.DUMMYFUNCTION("""COMPUTED_VALUE"""),"No")</f>
        <v>No</v>
      </c>
      <c r="AL40" s="5" t="str">
        <f ca="1">IFERROR(__xludf.DUMMYFUNCTION("""COMPUTED_VALUE"""),"No")</f>
        <v>No</v>
      </c>
      <c r="AM40" s="5"/>
      <c r="AN40" s="5"/>
      <c r="AO40" s="5"/>
      <c r="AP40" s="5"/>
      <c r="AQ40" s="5" t="str">
        <f ca="1">IFERROR(__xludf.DUMMYFUNCTION("""COMPUTED_VALUE"""),"No")</f>
        <v>No</v>
      </c>
      <c r="AR40" s="5"/>
      <c r="AS40" s="5"/>
      <c r="AT40" s="5"/>
      <c r="AU40" s="5"/>
    </row>
    <row r="41" spans="1:47" x14ac:dyDescent="0.25">
      <c r="A41" s="5" t="str">
        <f ca="1">IFERROR(__xludf.DUMMYFUNCTION("""COMPUTED_VALUE"""),"Tiptop")</f>
        <v>Tiptop</v>
      </c>
      <c r="B41" s="5" t="str">
        <f ca="1">IFERROR(__xludf.DUMMYFUNCTION("""COMPUTED_VALUE"""),"Bikini Dice")</f>
        <v>Bikini Dice</v>
      </c>
      <c r="C41" s="5" t="str">
        <f ca="1">IFERROR(__xludf.DUMMYFUNCTION("""COMPUTED_VALUE"""),"UnicornBikiniDice")</f>
        <v>UnicornBikiniDice</v>
      </c>
      <c r="D41" s="6">
        <f ca="1">IFERROR(__xludf.DUMMYFUNCTION("""COMPUTED_VALUE"""),45162)</f>
        <v>45162</v>
      </c>
      <c r="E41" s="5" t="str">
        <f ca="1">IFERROR(__xludf.DUMMYFUNCTION("""COMPUTED_VALUE"""),"Dice Slots")</f>
        <v>Dice Slots</v>
      </c>
      <c r="F41" s="5">
        <f ca="1">IFERROR(__xludf.DUMMYFUNCTION("""COMPUTED_VALUE"""),13.7)</f>
        <v>13.7</v>
      </c>
      <c r="G41" s="5" t="str">
        <f ca="1">IFERROR(__xludf.DUMMYFUNCTION("""COMPUTED_VALUE"""),"5X3")</f>
        <v>5X3</v>
      </c>
      <c r="H41" s="5" t="str">
        <f ca="1">IFERROR(__xludf.DUMMYFUNCTION("""COMPUTED_VALUE"""),"10")</f>
        <v>10</v>
      </c>
      <c r="I41" s="5" t="str">
        <f ca="1">IFERROR(__xludf.DUMMYFUNCTION("""COMPUTED_VALUE"""),"10")</f>
        <v>10</v>
      </c>
      <c r="J41" s="5" t="str">
        <f ca="1">IFERROR(__xludf.DUMMYFUNCTION("""COMPUTED_VALUE"""),"96%")</f>
        <v>96%</v>
      </c>
      <c r="K41" s="5" t="str">
        <f ca="1">IFERROR(__xludf.DUMMYFUNCTION("""COMPUTED_VALUE"""),"High")</f>
        <v>High</v>
      </c>
      <c r="L41" s="5" t="str">
        <f ca="1">IFERROR(__xludf.DUMMYFUNCTION("""COMPUTED_VALUE"""),"36.03%")</f>
        <v>36.03%</v>
      </c>
      <c r="M41" s="5" t="str">
        <f ca="1">IFERROR(__xludf.DUMMYFUNCTION("""COMPUTED_VALUE"""),"x5000")</f>
        <v>x5000</v>
      </c>
      <c r="N41" s="5" t="str">
        <f ca="1">IFERROR(__xludf.DUMMYFUNCTION("""COMPUTED_VALUE"""),"0.1/100")</f>
        <v>0.1/100</v>
      </c>
      <c r="O41" s="5" t="str">
        <f ca="1">IFERROR(__xludf.DUMMYFUNCTION("""COMPUTED_VALUE"""),"No")</f>
        <v>No</v>
      </c>
      <c r="P41" s="5" t="str">
        <f ca="1">IFERROR(__xludf.DUMMYFUNCTION("""COMPUTED_VALUE"""),"Bonus Game with Multiplier, TipTop Feature - Bikini Dice")</f>
        <v>Bonus Game with Multiplier, TipTop Feature - Bikini Dice</v>
      </c>
      <c r="Q41" s="7" t="str">
        <f ca="1">IFERROR(__xludf.DUMMYFUNCTION("""COMPUTED_VALUE"""),"https://gameserver-store-client-area.orbionlimited.com/Home/IntegrationGameLaunch/client-area?moneyType=0&amp;gameName=UnicornBikiniDice&amp;platform=desktop&amp;languageCode=eng&amp;currency=EUR")</f>
        <v>https://gameserver-store-client-area.orbionlimited.com/Home/IntegrationGameLaunch/client-area?moneyType=0&amp;gameName=UnicornBikiniDice&amp;platform=desktop&amp;languageCode=eng&amp;currency=EUR</v>
      </c>
      <c r="R41" s="5" t="str">
        <f ca="1">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S4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IFERROR(__xludf.DUMMYFUNCTION("""COMPUTED_VALUE"""),"No")</f>
        <v>No</v>
      </c>
      <c r="X41" s="5" t="str">
        <f ca="1">IFERROR(__xludf.DUMMYFUNCTION("""COMPUTED_VALUE"""),"No")</f>
        <v>No</v>
      </c>
      <c r="Y41" s="5" t="str">
        <f ca="1">IFERROR(__xludf.DUMMYFUNCTION("""COMPUTED_VALUE"""),"No")</f>
        <v>No</v>
      </c>
      <c r="Z41" s="5" t="str">
        <f ca="1">IFERROR(__xludf.DUMMYFUNCTION("""COMPUTED_VALUE"""),"No")</f>
        <v>No</v>
      </c>
      <c r="AA41" s="5" t="str">
        <f ca="1">IFERROR(__xludf.DUMMYFUNCTION("""COMPUTED_VALUE"""),"No")</f>
        <v>No</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IFERROR(__xludf.DUMMYFUNCTION("""COMPUTED_VALUE"""),"Yes")</f>
        <v>Yes</v>
      </c>
      <c r="AF41" s="5" t="str">
        <f ca="1">IFERROR(__xludf.DUMMYFUNCTION("""COMPUTED_VALUE"""),"Yes")</f>
        <v>Yes</v>
      </c>
      <c r="AG41" s="5" t="str">
        <f ca="1">IFERROR(__xludf.DUMMYFUNCTION("""COMPUTED_VALUE"""),"No")</f>
        <v>No</v>
      </c>
      <c r="AH41" s="5" t="str">
        <f ca="1">IFERROR(__xludf.DUMMYFUNCTION("""COMPUTED_VALUE"""),"Yes")</f>
        <v>Yes</v>
      </c>
      <c r="AI41" s="5" t="str">
        <f ca="1">IFERROR(__xludf.DUMMYFUNCTION("""COMPUTED_VALUE"""),"No")</f>
        <v>No</v>
      </c>
      <c r="AJ41" s="5" t="str">
        <f ca="1">IFERROR(__xludf.DUMMYFUNCTION("""COMPUTED_VALUE"""),"No")</f>
        <v>No</v>
      </c>
      <c r="AK41" s="5" t="str">
        <f ca="1">IFERROR(__xludf.DUMMYFUNCTION("""COMPUTED_VALUE"""),"No")</f>
        <v>No</v>
      </c>
      <c r="AL41" s="5" t="str">
        <f ca="1">IFERROR(__xludf.DUMMYFUNCTION("""COMPUTED_VALUE"""),"No")</f>
        <v>No</v>
      </c>
      <c r="AM41" s="5"/>
      <c r="AN41" s="5"/>
      <c r="AO41" s="5"/>
      <c r="AP41" s="5"/>
      <c r="AQ41" s="5" t="str">
        <f ca="1">IFERROR(__xludf.DUMMYFUNCTION("""COMPUTED_VALUE"""),"No")</f>
        <v>No</v>
      </c>
      <c r="AR41" s="5"/>
      <c r="AS41" s="5"/>
      <c r="AT41" s="5"/>
      <c r="AU41" s="5"/>
    </row>
    <row r="42" spans="1:47" x14ac:dyDescent="0.25">
      <c r="A42" s="5" t="str">
        <f ca="1">IFERROR(__xludf.DUMMYFUNCTION("""COMPUTED_VALUE"""),"Tiptop")</f>
        <v>Tiptop</v>
      </c>
      <c r="B42" s="5" t="str">
        <f ca="1">IFERROR(__xludf.DUMMYFUNCTION("""COMPUTED_VALUE"""),"Simply Sevens")</f>
        <v>Simply Sevens</v>
      </c>
      <c r="C42" s="5" t="str">
        <f ca="1">IFERROR(__xludf.DUMMYFUNCTION("""COMPUTED_VALUE"""),"UnicornSimplySevens")</f>
        <v>UnicornSimplySevens</v>
      </c>
      <c r="D42" s="6">
        <f ca="1">IFERROR(__xludf.DUMMYFUNCTION("""COMPUTED_VALUE"""),45155)</f>
        <v>45155</v>
      </c>
      <c r="E42" s="5" t="str">
        <f ca="1">IFERROR(__xludf.DUMMYFUNCTION("""COMPUTED_VALUE"""),"Slot")</f>
        <v>Slot</v>
      </c>
      <c r="F42" s="5">
        <f ca="1">IFERROR(__xludf.DUMMYFUNCTION("""COMPUTED_VALUE"""),10.7)</f>
        <v>10.7</v>
      </c>
      <c r="G42" s="5" t="str">
        <f ca="1">IFERROR(__xludf.DUMMYFUNCTION("""COMPUTED_VALUE"""),"5X3")</f>
        <v>5X3</v>
      </c>
      <c r="H42" s="5" t="str">
        <f ca="1">IFERROR(__xludf.DUMMYFUNCTION("""COMPUTED_VALUE"""),"10")</f>
        <v>10</v>
      </c>
      <c r="I42" s="5" t="str">
        <f ca="1">IFERROR(__xludf.DUMMYFUNCTION("""COMPUTED_VALUE"""),"10")</f>
        <v>10</v>
      </c>
      <c r="J42" s="5" t="str">
        <f ca="1">IFERROR(__xludf.DUMMYFUNCTION("""COMPUTED_VALUE"""),"96%")</f>
        <v>96%</v>
      </c>
      <c r="K42" s="5" t="str">
        <f ca="1">IFERROR(__xludf.DUMMYFUNCTION("""COMPUTED_VALUE"""),"Low")</f>
        <v>Low</v>
      </c>
      <c r="L42" s="5" t="str">
        <f ca="1">IFERROR(__xludf.DUMMYFUNCTION("""COMPUTED_VALUE"""),"24.14%")</f>
        <v>24.14%</v>
      </c>
      <c r="M42" s="5" t="str">
        <f ca="1">IFERROR(__xludf.DUMMYFUNCTION("""COMPUTED_VALUE"""),"x10000")</f>
        <v>x10000</v>
      </c>
      <c r="N42" s="5" t="str">
        <f ca="1">IFERROR(__xludf.DUMMYFUNCTION("""COMPUTED_VALUE"""),"0.1/100")</f>
        <v>0.1/100</v>
      </c>
      <c r="O42" s="5" t="str">
        <f ca="1">IFERROR(__xludf.DUMMYFUNCTION("""COMPUTED_VALUE"""),"No")</f>
        <v>No</v>
      </c>
      <c r="P42" s="5" t="str">
        <f ca="1">IFERROR(__xludf.DUMMYFUNCTION("""COMPUTED_VALUE"""),"Scatter")</f>
        <v>Scatter</v>
      </c>
      <c r="Q42" s="7" t="str">
        <f ca="1">IFERROR(__xludf.DUMMYFUNCTION("""COMPUTED_VALUE"""),"https://gameserver-store-client-area.orbionlimited.com/Home/IntegrationGameLaunch/client-area?moneyType=0&amp;gameName=UnicornSimplySevens&amp;platform=desktop&amp;languageCode=eng&amp;currency=EUR")</f>
        <v>https://gameserver-store-client-area.orbionlimited.com/Home/IntegrationGameLaunch/client-area?moneyType=0&amp;gameName=UnicornSimplySevens&amp;platform=desktop&amp;languageCode=eng&amp;currency=EUR</v>
      </c>
      <c r="R42" s="5" t="str">
        <f ca="1">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S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IFERROR(__xludf.DUMMYFUNCTION("""COMPUTED_VALUE"""),"Yes")</f>
        <v>Yes</v>
      </c>
      <c r="AF42" s="5" t="str">
        <f ca="1">IFERROR(__xludf.DUMMYFUNCTION("""COMPUTED_VALUE"""),"Yes")</f>
        <v>Yes</v>
      </c>
      <c r="AG42" s="5" t="str">
        <f ca="1">IFERROR(__xludf.DUMMYFUNCTION("""COMPUTED_VALUE"""),"Yes")</f>
        <v>Yes</v>
      </c>
      <c r="AH42" s="5" t="str">
        <f ca="1">IFERROR(__xludf.DUMMYFUNCTION("""COMPUTED_VALUE"""),"Yes")</f>
        <v>Yes</v>
      </c>
      <c r="AI42" s="5" t="str">
        <f ca="1">IFERROR(__xludf.DUMMYFUNCTION("""COMPUTED_VALUE"""),"Yes")</f>
        <v>Yes</v>
      </c>
      <c r="AJ42" s="5" t="str">
        <f ca="1">IFERROR(__xludf.DUMMYFUNCTION("""COMPUTED_VALUE"""),"Yes")</f>
        <v>Yes</v>
      </c>
      <c r="AK42" s="5" t="str">
        <f ca="1">IFERROR(__xludf.DUMMYFUNCTION("""COMPUTED_VALUE"""),"Yes")</f>
        <v>Yes</v>
      </c>
      <c r="AL42" s="5" t="str">
        <f ca="1">IFERROR(__xludf.DUMMYFUNCTION("""COMPUTED_VALUE"""),"Yes")</f>
        <v>Yes</v>
      </c>
      <c r="AM42" s="5"/>
      <c r="AN42" s="5" t="str">
        <f ca="1">IFERROR(__xludf.DUMMYFUNCTION("""COMPUTED_VALUE"""),"Yes")</f>
        <v>Yes</v>
      </c>
      <c r="AO42" s="5" t="str">
        <f ca="1">IFERROR(__xludf.DUMMYFUNCTION("""COMPUTED_VALUE"""),"Yes")</f>
        <v>Yes</v>
      </c>
      <c r="AP42" s="5" t="str">
        <f ca="1">IFERROR(__xludf.DUMMYFUNCTION("""COMPUTED_VALUE"""),"Yes")</f>
        <v>Yes</v>
      </c>
      <c r="AQ42" s="5" t="str">
        <f ca="1">IFERROR(__xludf.DUMMYFUNCTION("""COMPUTED_VALUE"""),"Yes")</f>
        <v>Yes</v>
      </c>
      <c r="AR42" s="5" t="str">
        <f ca="1">IFERROR(__xludf.DUMMYFUNCTION("""COMPUTED_VALUE"""),"Yes")</f>
        <v>Yes</v>
      </c>
      <c r="AS42" s="5" t="str">
        <f ca="1">IFERROR(__xludf.DUMMYFUNCTION("""COMPUTED_VALUE"""),"Yes")</f>
        <v>Yes</v>
      </c>
      <c r="AT42" s="5"/>
      <c r="AU42" s="5"/>
    </row>
    <row r="43" spans="1:47" x14ac:dyDescent="0.25">
      <c r="A43" s="5" t="str">
        <f ca="1">IFERROR(__xludf.DUMMYFUNCTION("""COMPUTED_VALUE"""),"Tiptop")</f>
        <v>Tiptop</v>
      </c>
      <c r="B43" s="5" t="str">
        <f ca="1">IFERROR(__xludf.DUMMYFUNCTION("""COMPUTED_VALUE"""),"10 Jingle Fruits")</f>
        <v>10 Jingle Fruits</v>
      </c>
      <c r="C43" s="5" t="str">
        <f ca="1">IFERROR(__xludf.DUMMYFUNCTION("""COMPUTED_VALUE"""),"Unicorn10JingleFruits")</f>
        <v>Unicorn10JingleFruits</v>
      </c>
      <c r="D43" s="6">
        <f ca="1">IFERROR(__xludf.DUMMYFUNCTION("""COMPUTED_VALUE"""),45174)</f>
        <v>45174</v>
      </c>
      <c r="E43" s="5" t="str">
        <f ca="1">IFERROR(__xludf.DUMMYFUNCTION("""COMPUTED_VALUE"""),"Slot")</f>
        <v>Slot</v>
      </c>
      <c r="F43" s="5">
        <f ca="1">IFERROR(__xludf.DUMMYFUNCTION("""COMPUTED_VALUE"""),12.2)</f>
        <v>12.2</v>
      </c>
      <c r="G43" s="5" t="str">
        <f ca="1">IFERROR(__xludf.DUMMYFUNCTION("""COMPUTED_VALUE"""),"5X3")</f>
        <v>5X3</v>
      </c>
      <c r="H43" s="5" t="str">
        <f ca="1">IFERROR(__xludf.DUMMYFUNCTION("""COMPUTED_VALUE"""),"10")</f>
        <v>10</v>
      </c>
      <c r="I43" s="5" t="str">
        <f ca="1">IFERROR(__xludf.DUMMYFUNCTION("""COMPUTED_VALUE"""),"10")</f>
        <v>10</v>
      </c>
      <c r="J43" s="5" t="str">
        <f ca="1">IFERROR(__xludf.DUMMYFUNCTION("""COMPUTED_VALUE"""),"96%")</f>
        <v>96%</v>
      </c>
      <c r="K43" s="5" t="str">
        <f ca="1">IFERROR(__xludf.DUMMYFUNCTION("""COMPUTED_VALUE"""),"Low")</f>
        <v>Low</v>
      </c>
      <c r="L43" s="5" t="str">
        <f ca="1">IFERROR(__xludf.DUMMYFUNCTION("""COMPUTED_VALUE"""),"18.41%")</f>
        <v>18.41%</v>
      </c>
      <c r="M43" s="5" t="str">
        <f ca="1">IFERROR(__xludf.DUMMYFUNCTION("""COMPUTED_VALUE"""),"x1000")</f>
        <v>x1000</v>
      </c>
      <c r="N43" s="5" t="str">
        <f ca="1">IFERROR(__xludf.DUMMYFUNCTION("""COMPUTED_VALUE"""),"0.1/100")</f>
        <v>0.1/100</v>
      </c>
      <c r="O43" s="5" t="str">
        <f ca="1">IFERROR(__xludf.DUMMYFUNCTION("""COMPUTED_VALUE"""),"No")</f>
        <v>No</v>
      </c>
      <c r="P43" s="5" t="str">
        <f ca="1">IFERROR(__xludf.DUMMYFUNCTION("""COMPUTED_VALUE"""),"Scatter")</f>
        <v>Scatter</v>
      </c>
      <c r="Q43" s="7" t="str">
        <f ca="1">IFERROR(__xludf.DUMMYFUNCTION("""COMPUTED_VALUE"""),"https://gameserver-store-client-area.orbionlimited.com/Home/IntegrationGameLaunch/client-area?moneyType=0&amp;gameName=Unicorn10JingleFruits&amp;platform=desktop&amp;languageCode=eng&amp;currency=EUR")</f>
        <v>https://gameserver-store-client-area.orbionlimited.com/Home/IntegrationGameLaunch/client-area?moneyType=0&amp;gameName=Unicorn10JingleFruits&amp;platform=desktop&amp;languageCode=eng&amp;currency=EUR</v>
      </c>
      <c r="R43" s="5" t="str">
        <f ca="1">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S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IFERROR(__xludf.DUMMYFUNCTION("""COMPUTED_VALUE"""),"Yes")</f>
        <v>Yes</v>
      </c>
      <c r="AF43" s="5" t="str">
        <f ca="1">IFERROR(__xludf.DUMMYFUNCTION("""COMPUTED_VALUE"""),"Yes")</f>
        <v>Yes</v>
      </c>
      <c r="AG43" s="5" t="str">
        <f ca="1">IFERROR(__xludf.DUMMYFUNCTION("""COMPUTED_VALUE"""),"Yes")</f>
        <v>Yes</v>
      </c>
      <c r="AH43" s="5" t="str">
        <f ca="1">IFERROR(__xludf.DUMMYFUNCTION("""COMPUTED_VALUE"""),"Yes")</f>
        <v>Yes</v>
      </c>
      <c r="AI43" s="5" t="str">
        <f ca="1">IFERROR(__xludf.DUMMYFUNCTION("""COMPUTED_VALUE"""),"Yes")</f>
        <v>Yes</v>
      </c>
      <c r="AJ43" s="5" t="str">
        <f ca="1">IFERROR(__xludf.DUMMYFUNCTION("""COMPUTED_VALUE"""),"Yes")</f>
        <v>Yes</v>
      </c>
      <c r="AK43" s="5" t="str">
        <f ca="1">IFERROR(__xludf.DUMMYFUNCTION("""COMPUTED_VALUE"""),"Yes")</f>
        <v>Yes</v>
      </c>
      <c r="AL43" s="5" t="str">
        <f ca="1">IFERROR(__xludf.DUMMYFUNCTION("""COMPUTED_VALUE"""),"Yes")</f>
        <v>Yes</v>
      </c>
      <c r="AM43" s="5"/>
      <c r="AN43" s="5" t="str">
        <f ca="1">IFERROR(__xludf.DUMMYFUNCTION("""COMPUTED_VALUE"""),"Yes")</f>
        <v>Yes</v>
      </c>
      <c r="AO43" s="5"/>
      <c r="AP43" s="5"/>
      <c r="AQ43" s="5" t="str">
        <f ca="1">IFERROR(__xludf.DUMMYFUNCTION("""COMPUTED_VALUE"""),"Yes")</f>
        <v>Yes</v>
      </c>
      <c r="AR43" s="5"/>
      <c r="AS43" s="5"/>
      <c r="AT43" s="5"/>
      <c r="AU43" s="5"/>
    </row>
    <row r="44" spans="1:47" x14ac:dyDescent="0.25">
      <c r="A44" s="5" t="str">
        <f ca="1">IFERROR(__xludf.DUMMYFUNCTION("""COMPUTED_VALUE"""),"Tiptop")</f>
        <v>Tiptop</v>
      </c>
      <c r="B44" s="5" t="str">
        <f ca="1">IFERROR(__xludf.DUMMYFUNCTION("""COMPUTED_VALUE"""),"Gold Line")</f>
        <v>Gold Line</v>
      </c>
      <c r="C44" s="5" t="str">
        <f ca="1">IFERROR(__xludf.DUMMYFUNCTION("""COMPUTED_VALUE"""),"UnicornGoldLine")</f>
        <v>UnicornGoldLine</v>
      </c>
      <c r="D44" s="6">
        <f ca="1">IFERROR(__xludf.DUMMYFUNCTION("""COMPUTED_VALUE"""),45372)</f>
        <v>45372</v>
      </c>
      <c r="E44" s="5" t="str">
        <f ca="1">IFERROR(__xludf.DUMMYFUNCTION("""COMPUTED_VALUE"""),"Slot")</f>
        <v>Slot</v>
      </c>
      <c r="F44" s="5">
        <f ca="1">IFERROR(__xludf.DUMMYFUNCTION("""COMPUTED_VALUE"""),12.3)</f>
        <v>12.3</v>
      </c>
      <c r="G44" s="5" t="str">
        <f ca="1">IFERROR(__xludf.DUMMYFUNCTION("""COMPUTED_VALUE"""),"5X3")</f>
        <v>5X3</v>
      </c>
      <c r="H44" s="5" t="str">
        <f ca="1">IFERROR(__xludf.DUMMYFUNCTION("""COMPUTED_VALUE"""),"20")</f>
        <v>20</v>
      </c>
      <c r="I44" s="5" t="str">
        <f ca="1">IFERROR(__xludf.DUMMYFUNCTION("""COMPUTED_VALUE"""),"10(+1) Fixed Lines")</f>
        <v>10(+1) Fixed Lines</v>
      </c>
      <c r="J44" s="5" t="str">
        <f ca="1">IFERROR(__xludf.DUMMYFUNCTION("""COMPUTED_VALUE"""),"96%")</f>
        <v>96%</v>
      </c>
      <c r="K44" s="5" t="str">
        <f ca="1">IFERROR(__xludf.DUMMYFUNCTION("""COMPUTED_VALUE"""),"Low")</f>
        <v>Low</v>
      </c>
      <c r="L44" s="5" t="str">
        <f ca="1">IFERROR(__xludf.DUMMYFUNCTION("""COMPUTED_VALUE"""),"17.39%")</f>
        <v>17.39%</v>
      </c>
      <c r="M44" s="5" t="str">
        <f ca="1">IFERROR(__xludf.DUMMYFUNCTION("""COMPUTED_VALUE"""),"x10000")</f>
        <v>x10000</v>
      </c>
      <c r="N44" s="5" t="str">
        <f ca="1">IFERROR(__xludf.DUMMYFUNCTION("""COMPUTED_VALUE"""),"0.2/100")</f>
        <v>0.2/100</v>
      </c>
      <c r="O44" s="5" t="str">
        <f ca="1">IFERROR(__xludf.DUMMYFUNCTION("""COMPUTED_VALUE"""),"No")</f>
        <v>No</v>
      </c>
      <c r="P44" s="5" t="str">
        <f ca="1">IFERROR(__xludf.DUMMYFUNCTION("""COMPUTED_VALUE"""),"Win Multiplier")</f>
        <v>Win Multiplier</v>
      </c>
      <c r="Q44" s="7" t="str">
        <f ca="1">IFERROR(__xludf.DUMMYFUNCTION("""COMPUTED_VALUE"""),"https://gameserver-store-client-area.orbionlimited.com/Home/IntegrationGameLaunch/client-area?moneyType=0&amp;gameName=UnicornGoldLine&amp;platform=desktop&amp;languageCode=eng&amp;currency=EUR")</f>
        <v>https://gameserver-store-client-area.orbionlimited.com/Home/IntegrationGameLaunch/client-area?moneyType=0&amp;gameName=UnicornGoldLine&amp;platform=desktop&amp;languageCode=eng&amp;currency=EUR</v>
      </c>
      <c r="R44" s="5" t="str">
        <f ca="1">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IFERROR(__xludf.DUMMYFUNCTION("""COMPUTED_VALUE"""),"Yes")</f>
        <v>Yes</v>
      </c>
      <c r="AF44" s="5" t="str">
        <f ca="1">IFERROR(__xludf.DUMMYFUNCTION("""COMPUTED_VALUE"""),"Yes")</f>
        <v>Yes</v>
      </c>
      <c r="AG44" s="5" t="str">
        <f ca="1">IFERROR(__xludf.DUMMYFUNCTION("""COMPUTED_VALUE"""),"Yes")</f>
        <v>Yes</v>
      </c>
      <c r="AH44" s="5" t="str">
        <f ca="1">IFERROR(__xludf.DUMMYFUNCTION("""COMPUTED_VALUE"""),"Yes")</f>
        <v>Yes</v>
      </c>
      <c r="AI44" s="5" t="str">
        <f ca="1">IFERROR(__xludf.DUMMYFUNCTION("""COMPUTED_VALUE"""),"Yes")</f>
        <v>Yes</v>
      </c>
      <c r="AJ44" s="5" t="str">
        <f ca="1">IFERROR(__xludf.DUMMYFUNCTION("""COMPUTED_VALUE"""),"Yes")</f>
        <v>Yes</v>
      </c>
      <c r="AK44" s="5" t="str">
        <f ca="1">IFERROR(__xludf.DUMMYFUNCTION("""COMPUTED_VALUE"""),"Yes")</f>
        <v>Yes</v>
      </c>
      <c r="AL44" s="5" t="str">
        <f ca="1">IFERROR(__xludf.DUMMYFUNCTION("""COMPUTED_VALUE"""),"Yes")</f>
        <v>Yes</v>
      </c>
      <c r="AM44" s="5"/>
      <c r="AN44" s="5" t="str">
        <f ca="1">IFERROR(__xludf.DUMMYFUNCTION("""COMPUTED_VALUE"""),"Yes")</f>
        <v>Yes</v>
      </c>
      <c r="AO44" s="5" t="str">
        <f ca="1">IFERROR(__xludf.DUMMYFUNCTION("""COMPUTED_VALUE"""),"Yes")</f>
        <v>Yes</v>
      </c>
      <c r="AP44" s="5" t="str">
        <f ca="1">IFERROR(__xludf.DUMMYFUNCTION("""COMPUTED_VALUE"""),"Yes")</f>
        <v>Yes</v>
      </c>
      <c r="AQ44" s="5" t="str">
        <f ca="1">IFERROR(__xludf.DUMMYFUNCTION("""COMPUTED_VALUE"""),"Yes")</f>
        <v>Yes</v>
      </c>
      <c r="AR44" s="5" t="str">
        <f ca="1">IFERROR(__xludf.DUMMYFUNCTION("""COMPUTED_VALUE"""),"Yes")</f>
        <v>Yes</v>
      </c>
      <c r="AS44" s="5" t="str">
        <f ca="1">IFERROR(__xludf.DUMMYFUNCTION("""COMPUTED_VALUE"""),"Yes")</f>
        <v>Yes</v>
      </c>
      <c r="AT44" s="5"/>
      <c r="AU44" s="5"/>
    </row>
    <row r="45" spans="1:47" x14ac:dyDescent="0.25">
      <c r="A45" s="5" t="str">
        <f ca="1">IFERROR(__xludf.DUMMYFUNCTION("""COMPUTED_VALUE"""),"Tiptop")</f>
        <v>Tiptop</v>
      </c>
      <c r="B45" s="5" t="str">
        <f ca="1">IFERROR(__xludf.DUMMYFUNCTION("""COMPUTED_VALUE"""),"Froot Machine")</f>
        <v>Froot Machine</v>
      </c>
      <c r="C45" s="5" t="str">
        <f ca="1">IFERROR(__xludf.DUMMYFUNCTION("""COMPUTED_VALUE"""),"UnicornFrootMachine")</f>
        <v>UnicornFrootMachine</v>
      </c>
      <c r="D45" s="6">
        <f ca="1">IFERROR(__xludf.DUMMYFUNCTION("""COMPUTED_VALUE"""),45322)</f>
        <v>45322</v>
      </c>
      <c r="E45" s="5" t="str">
        <f ca="1">IFERROR(__xludf.DUMMYFUNCTION("""COMPUTED_VALUE"""),"Slot")</f>
        <v>Slot</v>
      </c>
      <c r="F45" s="5">
        <f ca="1">IFERROR(__xludf.DUMMYFUNCTION("""COMPUTED_VALUE"""),10.8)</f>
        <v>10.8</v>
      </c>
      <c r="G45" s="5" t="str">
        <f ca="1">IFERROR(__xludf.DUMMYFUNCTION("""COMPUTED_VALUE"""),"5X3")</f>
        <v>5X3</v>
      </c>
      <c r="H45" s="5" t="str">
        <f ca="1">IFERROR(__xludf.DUMMYFUNCTION("""COMPUTED_VALUE"""),"5")</f>
        <v>5</v>
      </c>
      <c r="I45" s="5" t="str">
        <f ca="1">IFERROR(__xludf.DUMMYFUNCTION("""COMPUTED_VALUE"""),"5")</f>
        <v>5</v>
      </c>
      <c r="J45" s="5" t="str">
        <f ca="1">IFERROR(__xludf.DUMMYFUNCTION("""COMPUTED_VALUE"""),"96%")</f>
        <v>96%</v>
      </c>
      <c r="K45" s="5" t="str">
        <f ca="1">IFERROR(__xludf.DUMMYFUNCTION("""COMPUTED_VALUE"""),"Low")</f>
        <v>Low</v>
      </c>
      <c r="L45" s="5" t="str">
        <f ca="1">IFERROR(__xludf.DUMMYFUNCTION("""COMPUTED_VALUE"""),"10.5%")</f>
        <v>10.5%</v>
      </c>
      <c r="M45" s="5" t="str">
        <f ca="1">IFERROR(__xludf.DUMMYFUNCTION("""COMPUTED_VALUE"""),"x1000")</f>
        <v>x1000</v>
      </c>
      <c r="N45" s="5" t="str">
        <f ca="1">IFERROR(__xludf.DUMMYFUNCTION("""COMPUTED_VALUE"""),"0.05/100")</f>
        <v>0.05/100</v>
      </c>
      <c r="O45" s="5" t="str">
        <f ca="1">IFERROR(__xludf.DUMMYFUNCTION("""COMPUTED_VALUE"""),"No")</f>
        <v>No</v>
      </c>
      <c r="P45" s="5"/>
      <c r="Q45" s="7" t="str">
        <f ca="1">IFERROR(__xludf.DUMMYFUNCTION("""COMPUTED_VALUE"""),"https://gameserver-store-client-area.orbionlimited.com/Home/IntegrationGameLaunch/client-area?moneyType=0&amp;gameName=UnicornFrootMachine&amp;platform=desktop&amp;languageCode=eng&amp;currency=EUR")</f>
        <v>https://gameserver-store-client-area.orbionlimited.com/Home/IntegrationGameLaunch/client-area?moneyType=0&amp;gameName=UnicornFrootMachine&amp;platform=desktop&amp;languageCode=eng&amp;currency=EUR</v>
      </c>
      <c r="R45" s="5" t="str">
        <f ca="1">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S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IFERROR(__xludf.DUMMYFUNCTION("""COMPUTED_VALUE"""),"Yes")</f>
        <v>Yes</v>
      </c>
      <c r="AF45" s="5" t="str">
        <f ca="1">IFERROR(__xludf.DUMMYFUNCTION("""COMPUTED_VALUE"""),"Yes")</f>
        <v>Yes</v>
      </c>
      <c r="AG45" s="5" t="str">
        <f ca="1">IFERROR(__xludf.DUMMYFUNCTION("""COMPUTED_VALUE"""),"Yes")</f>
        <v>Yes</v>
      </c>
      <c r="AH45" s="5" t="str">
        <f ca="1">IFERROR(__xludf.DUMMYFUNCTION("""COMPUTED_VALUE"""),"Yes")</f>
        <v>Yes</v>
      </c>
      <c r="AI45" s="5" t="str">
        <f ca="1">IFERROR(__xludf.DUMMYFUNCTION("""COMPUTED_VALUE"""),"Yes")</f>
        <v>Yes</v>
      </c>
      <c r="AJ45" s="5" t="str">
        <f ca="1">IFERROR(__xludf.DUMMYFUNCTION("""COMPUTED_VALUE"""),"Yes")</f>
        <v>Yes</v>
      </c>
      <c r="AK45" s="5" t="str">
        <f ca="1">IFERROR(__xludf.DUMMYFUNCTION("""COMPUTED_VALUE"""),"Yes")</f>
        <v>Yes</v>
      </c>
      <c r="AL45" s="5" t="str">
        <f ca="1">IFERROR(__xludf.DUMMYFUNCTION("""COMPUTED_VALUE"""),"Yes")</f>
        <v>Yes</v>
      </c>
      <c r="AM45" s="5"/>
      <c r="AN45" s="5"/>
      <c r="AO45" s="5"/>
      <c r="AP45" s="5"/>
      <c r="AQ45" s="5" t="str">
        <f ca="1">IFERROR(__xludf.DUMMYFUNCTION("""COMPUTED_VALUE"""),"Yes")</f>
        <v>Yes</v>
      </c>
      <c r="AR45" s="5"/>
      <c r="AS45" s="5"/>
      <c r="AT45" s="5"/>
      <c r="AU45" s="5"/>
    </row>
    <row r="46" spans="1:47" x14ac:dyDescent="0.25">
      <c r="A46" s="5" t="str">
        <f ca="1">IFERROR(__xludf.DUMMYFUNCTION("""COMPUTED_VALUE"""),"Tiptop")</f>
        <v>Tiptop</v>
      </c>
      <c r="B46" s="5" t="str">
        <f ca="1">IFERROR(__xludf.DUMMYFUNCTION("""COMPUTED_VALUE"""),"Simply Sevens Dice")</f>
        <v>Simply Sevens Dice</v>
      </c>
      <c r="C46" s="5" t="str">
        <f ca="1">IFERROR(__xludf.DUMMYFUNCTION("""COMPUTED_VALUE"""),"UnicornSimplySevensDice")</f>
        <v>UnicornSimplySevensDice</v>
      </c>
      <c r="D46" s="6">
        <f ca="1">IFERROR(__xludf.DUMMYFUNCTION("""COMPUTED_VALUE"""),45330)</f>
        <v>45330</v>
      </c>
      <c r="E46" s="5" t="str">
        <f ca="1">IFERROR(__xludf.DUMMYFUNCTION("""COMPUTED_VALUE"""),"Dice Slots")</f>
        <v>Dice Slots</v>
      </c>
      <c r="F46" s="5">
        <f ca="1">IFERROR(__xludf.DUMMYFUNCTION("""COMPUTED_VALUE"""),10.8)</f>
        <v>10.8</v>
      </c>
      <c r="G46" s="5" t="str">
        <f ca="1">IFERROR(__xludf.DUMMYFUNCTION("""COMPUTED_VALUE"""),"5X3")</f>
        <v>5X3</v>
      </c>
      <c r="H46" s="5" t="str">
        <f ca="1">IFERROR(__xludf.DUMMYFUNCTION("""COMPUTED_VALUE"""),"10")</f>
        <v>10</v>
      </c>
      <c r="I46" s="5" t="str">
        <f ca="1">IFERROR(__xludf.DUMMYFUNCTION("""COMPUTED_VALUE"""),"10")</f>
        <v>10</v>
      </c>
      <c r="J46" s="5" t="str">
        <f ca="1">IFERROR(__xludf.DUMMYFUNCTION("""COMPUTED_VALUE"""),"96%")</f>
        <v>96%</v>
      </c>
      <c r="K46" s="5" t="str">
        <f ca="1">IFERROR(__xludf.DUMMYFUNCTION("""COMPUTED_VALUE"""),"Low")</f>
        <v>Low</v>
      </c>
      <c r="L46" s="5" t="str">
        <f ca="1">IFERROR(__xludf.DUMMYFUNCTION("""COMPUTED_VALUE"""),"24.14%")</f>
        <v>24.14%</v>
      </c>
      <c r="M46" s="5" t="str">
        <f ca="1">IFERROR(__xludf.DUMMYFUNCTION("""COMPUTED_VALUE"""),"x10000")</f>
        <v>x10000</v>
      </c>
      <c r="N46" s="5" t="str">
        <f ca="1">IFERROR(__xludf.DUMMYFUNCTION("""COMPUTED_VALUE"""),"0.1/100")</f>
        <v>0.1/100</v>
      </c>
      <c r="O46" s="5" t="str">
        <f ca="1">IFERROR(__xludf.DUMMYFUNCTION("""COMPUTED_VALUE"""),"No")</f>
        <v>No</v>
      </c>
      <c r="P46" s="5" t="str">
        <f ca="1">IFERROR(__xludf.DUMMYFUNCTION("""COMPUTED_VALUE"""),"Scatter")</f>
        <v>Scatter</v>
      </c>
      <c r="Q46" s="7" t="str">
        <f ca="1">IFERROR(__xludf.DUMMYFUNCTION("""COMPUTED_VALUE"""),"https://gameserver-store-client-area.orbionlimited.com/Home/IntegrationGameLaunch/client-area?moneyType=0&amp;gameName=UnicornSimplySevensDice&amp;platform=desktop&amp;languageCode=eng&amp;currency=EUR")</f>
        <v>https://gameserver-store-client-area.orbionlimited.com/Home/IntegrationGameLaunch/client-area?moneyType=0&amp;gameName=UnicornSimplySevensDice&amp;platform=desktop&amp;languageCode=eng&amp;currency=EUR</v>
      </c>
      <c r="R46" s="5" t="str">
        <f ca="1">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S4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IFERROR(__xludf.DUMMYFUNCTION("""COMPUTED_VALUE"""),"No")</f>
        <v>No</v>
      </c>
      <c r="X46" s="5" t="str">
        <f ca="1">IFERROR(__xludf.DUMMYFUNCTION("""COMPUTED_VALUE"""),"No")</f>
        <v>No</v>
      </c>
      <c r="Y46" s="5" t="str">
        <f ca="1">IFERROR(__xludf.DUMMYFUNCTION("""COMPUTED_VALUE"""),"No")</f>
        <v>No</v>
      </c>
      <c r="Z46" s="5" t="str">
        <f ca="1">IFERROR(__xludf.DUMMYFUNCTION("""COMPUTED_VALUE"""),"No")</f>
        <v>No</v>
      </c>
      <c r="AA46" s="5" t="str">
        <f ca="1">IFERROR(__xludf.DUMMYFUNCTION("""COMPUTED_VALUE"""),"No")</f>
        <v>No</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IFERROR(__xludf.DUMMYFUNCTION("""COMPUTED_VALUE"""),"Yes")</f>
        <v>Yes</v>
      </c>
      <c r="AF46" s="5" t="str">
        <f ca="1">IFERROR(__xludf.DUMMYFUNCTION("""COMPUTED_VALUE"""),"Yes")</f>
        <v>Yes</v>
      </c>
      <c r="AG46" s="5" t="str">
        <f ca="1">IFERROR(__xludf.DUMMYFUNCTION("""COMPUTED_VALUE"""),"No")</f>
        <v>No</v>
      </c>
      <c r="AH46" s="5" t="str">
        <f ca="1">IFERROR(__xludf.DUMMYFUNCTION("""COMPUTED_VALUE"""),"Yes")</f>
        <v>Yes</v>
      </c>
      <c r="AI46" s="5" t="str">
        <f ca="1">IFERROR(__xludf.DUMMYFUNCTION("""COMPUTED_VALUE"""),"No")</f>
        <v>No</v>
      </c>
      <c r="AJ46" s="5" t="str">
        <f ca="1">IFERROR(__xludf.DUMMYFUNCTION("""COMPUTED_VALUE"""),"No")</f>
        <v>No</v>
      </c>
      <c r="AK46" s="5" t="str">
        <f ca="1">IFERROR(__xludf.DUMMYFUNCTION("""COMPUTED_VALUE"""),"No")</f>
        <v>No</v>
      </c>
      <c r="AL46" s="5" t="str">
        <f ca="1">IFERROR(__xludf.DUMMYFUNCTION("""COMPUTED_VALUE"""),"No")</f>
        <v>No</v>
      </c>
      <c r="AM46" s="5"/>
      <c r="AN46" s="5"/>
      <c r="AO46" s="5"/>
      <c r="AP46" s="5"/>
      <c r="AQ46" s="5" t="str">
        <f ca="1">IFERROR(__xludf.DUMMYFUNCTION("""COMPUTED_VALUE"""),"No")</f>
        <v>No</v>
      </c>
      <c r="AR46" s="5"/>
      <c r="AS46" s="5"/>
      <c r="AT46" s="5"/>
      <c r="AU46" s="5"/>
    </row>
    <row r="47" spans="1:47" x14ac:dyDescent="0.25">
      <c r="A47" s="5" t="str">
        <f ca="1">IFERROR(__xludf.DUMMYFUNCTION("""COMPUTED_VALUE"""),"Tiptop")</f>
        <v>Tiptop</v>
      </c>
      <c r="B47" s="5" t="str">
        <f ca="1">IFERROR(__xludf.DUMMYFUNCTION("""COMPUTED_VALUE"""),"Fruit Island Christmas")</f>
        <v>Fruit Island Christmas</v>
      </c>
      <c r="C47" s="5" t="str">
        <f ca="1">IFERROR(__xludf.DUMMYFUNCTION("""COMPUTED_VALUE"""),"UnicornFruitIslandChristmas")</f>
        <v>UnicornFruitIslandChristmas</v>
      </c>
      <c r="D47" s="6">
        <f ca="1">IFERROR(__xludf.DUMMYFUNCTION("""COMPUTED_VALUE"""),45560)</f>
        <v>45560</v>
      </c>
      <c r="E47" s="5" t="str">
        <f ca="1">IFERROR(__xludf.DUMMYFUNCTION("""COMPUTED_VALUE"""),"Slot")</f>
        <v>Slot</v>
      </c>
      <c r="F47" s="5">
        <f ca="1">IFERROR(__xludf.DUMMYFUNCTION("""COMPUTED_VALUE"""),12.9)</f>
        <v>12.9</v>
      </c>
      <c r="G47" s="5" t="str">
        <f ca="1">IFERROR(__xludf.DUMMYFUNCTION("""COMPUTED_VALUE"""),"5X3")</f>
        <v>5X3</v>
      </c>
      <c r="H47" s="5" t="str">
        <f ca="1">IFERROR(__xludf.DUMMYFUNCTION("""COMPUTED_VALUE"""),"5")</f>
        <v>5</v>
      </c>
      <c r="I47" s="5" t="str">
        <f ca="1">IFERROR(__xludf.DUMMYFUNCTION("""COMPUTED_VALUE"""),"5")</f>
        <v>5</v>
      </c>
      <c r="J47" s="5" t="str">
        <f ca="1">IFERROR(__xludf.DUMMYFUNCTION("""COMPUTED_VALUE"""),"96%")</f>
        <v>96%</v>
      </c>
      <c r="K47" s="5" t="str">
        <f ca="1">IFERROR(__xludf.DUMMYFUNCTION("""COMPUTED_VALUE"""),"Low")</f>
        <v>Low</v>
      </c>
      <c r="L47" s="5" t="str">
        <f ca="1">IFERROR(__xludf.DUMMYFUNCTION("""COMPUTED_VALUE"""),"10.5%")</f>
        <v>10.5%</v>
      </c>
      <c r="M47" s="5" t="str">
        <f ca="1">IFERROR(__xludf.DUMMYFUNCTION("""COMPUTED_VALUE"""),"x1000")</f>
        <v>x1000</v>
      </c>
      <c r="N47" s="5" t="str">
        <f ca="1">IFERROR(__xludf.DUMMYFUNCTION("""COMPUTED_VALUE"""),"0.05/40")</f>
        <v>0.05/40</v>
      </c>
      <c r="O47" s="5" t="str">
        <f ca="1">IFERROR(__xludf.DUMMYFUNCTION("""COMPUTED_VALUE"""),"No")</f>
        <v>No</v>
      </c>
      <c r="P47" s="5"/>
      <c r="Q47" s="7" t="str">
        <f ca="1">IFERROR(__xludf.DUMMYFUNCTION("""COMPUTED_VALUE"""),"https://gameserver-store-client-area.orbionlimited.com/Home/IntegrationGameLaunch/client-area?moneyType=0&amp;gameName=UnicornFruitIslandChristmas&amp;platform=desktop&amp;languageCode=eng&amp;currency=EUR")</f>
        <v>https://gameserver-store-client-area.orbionlimited.com/Home/IntegrationGameLaunch/client-area?moneyType=0&amp;gameName=UnicornFruitIslandChristmas&amp;platform=desktop&amp;languageCode=eng&amp;currency=EUR</v>
      </c>
      <c r="R47" s="5" t="str">
        <f ca="1">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S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7" s="5" t="str">
        <f ca="1">IFERROR(__xludf.DUMMYFUNCTION("""COMPUTED_VALUE"""),"Yes")</f>
        <v>Yes</v>
      </c>
      <c r="U47" s="5" t="str">
        <f ca="1">IFERROR(__xludf.DUMMYFUNCTION("""COMPUTED_VALUE"""),"Yes")</f>
        <v>Yes</v>
      </c>
      <c r="V47" s="5" t="str">
        <f ca="1">IFERROR(__xludf.DUMMYFUNCTION("""COMPUTED_VALUE"""),"Yes")</f>
        <v>Yes</v>
      </c>
      <c r="W47" s="5" t="str">
        <f ca="1">IFERROR(__xludf.DUMMYFUNCTION("""COMPUTED_VALUE"""),"Yes")</f>
        <v>Yes</v>
      </c>
      <c r="X47" s="5" t="str">
        <f ca="1">IFERROR(__xludf.DUMMYFUNCTION("""COMPUTED_VALUE"""),"Yes")</f>
        <v>Yes</v>
      </c>
      <c r="Y47" s="5" t="str">
        <f ca="1">IFERROR(__xludf.DUMMYFUNCTION("""COMPUTED_VALUE"""),"Yes")</f>
        <v>Yes</v>
      </c>
      <c r="Z47" s="5" t="str">
        <f ca="1">IFERROR(__xludf.DUMMYFUNCTION("""COMPUTED_VALUE"""),"Yes")</f>
        <v>Yes</v>
      </c>
      <c r="AA47" s="5" t="str">
        <f ca="1">IFERROR(__xludf.DUMMYFUNCTION("""COMPUTED_VALUE"""),"Yes")</f>
        <v>Yes</v>
      </c>
      <c r="AB47" s="5" t="str">
        <f ca="1">IFERROR(__xludf.DUMMYFUNCTION("""COMPUTED_VALUE"""),"Yes")</f>
        <v>Yes</v>
      </c>
      <c r="AC47" s="5" t="str">
        <f ca="1">IFERROR(__xludf.DUMMYFUNCTION("""COMPUTED_VALUE"""),"Yes")</f>
        <v>Yes</v>
      </c>
      <c r="AD47" s="5" t="str">
        <f ca="1">IFERROR(__xludf.DUMMYFUNCTION("""COMPUTED_VALUE"""),"Yes")</f>
        <v>Yes</v>
      </c>
      <c r="AE47" s="5" t="str">
        <f ca="1">IFERROR(__xludf.DUMMYFUNCTION("""COMPUTED_VALUE"""),"Yes")</f>
        <v>Yes</v>
      </c>
      <c r="AF47" s="5" t="str">
        <f ca="1">IFERROR(__xludf.DUMMYFUNCTION("""COMPUTED_VALUE"""),"Yes")</f>
        <v>Yes</v>
      </c>
      <c r="AG47" s="5" t="str">
        <f ca="1">IFERROR(__xludf.DUMMYFUNCTION("""COMPUTED_VALUE"""),"Yes")</f>
        <v>Yes</v>
      </c>
      <c r="AH47" s="5" t="str">
        <f ca="1">IFERROR(__xludf.DUMMYFUNCTION("""COMPUTED_VALUE"""),"Yes")</f>
        <v>Yes</v>
      </c>
      <c r="AI47" s="5" t="str">
        <f ca="1">IFERROR(__xludf.DUMMYFUNCTION("""COMPUTED_VALUE"""),"Yes")</f>
        <v>Yes</v>
      </c>
      <c r="AJ47" s="5" t="str">
        <f ca="1">IFERROR(__xludf.DUMMYFUNCTION("""COMPUTED_VALUE"""),"Yes")</f>
        <v>Yes</v>
      </c>
      <c r="AK47" s="5" t="str">
        <f ca="1">IFERROR(__xludf.DUMMYFUNCTION("""COMPUTED_VALUE"""),"Yes")</f>
        <v>Yes</v>
      </c>
      <c r="AL47" s="5" t="str">
        <f ca="1">IFERROR(__xludf.DUMMYFUNCTION("""COMPUTED_VALUE"""),"Yes")</f>
        <v>Yes</v>
      </c>
      <c r="AM47" s="5"/>
      <c r="AN47" s="5" t="str">
        <f ca="1">IFERROR(__xludf.DUMMYFUNCTION("""COMPUTED_VALUE"""),"Yes")</f>
        <v>Yes</v>
      </c>
      <c r="AO47" s="5" t="str">
        <f ca="1">IFERROR(__xludf.DUMMYFUNCTION("""COMPUTED_VALUE"""),"Yes")</f>
        <v>Yes</v>
      </c>
      <c r="AP47" s="5" t="str">
        <f ca="1">IFERROR(__xludf.DUMMYFUNCTION("""COMPUTED_VALUE"""),"Yes")</f>
        <v>Yes</v>
      </c>
      <c r="AQ47" s="5" t="str">
        <f ca="1">IFERROR(__xludf.DUMMYFUNCTION("""COMPUTED_VALUE"""),"Yes")</f>
        <v>Yes</v>
      </c>
      <c r="AR47" s="5" t="str">
        <f ca="1">IFERROR(__xludf.DUMMYFUNCTION("""COMPUTED_VALUE"""),"Yes")</f>
        <v>Yes</v>
      </c>
      <c r="AS47" s="5" t="str">
        <f ca="1">IFERROR(__xludf.DUMMYFUNCTION("""COMPUTED_VALUE"""),"Yes")</f>
        <v>Yes</v>
      </c>
      <c r="AT47" s="5"/>
      <c r="AU47" s="5"/>
    </row>
    <row r="48" spans="1:47" x14ac:dyDescent="0.25">
      <c r="A48" s="5" t="str">
        <f ca="1">IFERROR(__xludf.DUMMYFUNCTION("""COMPUTED_VALUE"""),"Tiptop")</f>
        <v>Tiptop</v>
      </c>
      <c r="B48" s="5" t="str">
        <f ca="1">IFERROR(__xludf.DUMMYFUNCTION("""COMPUTED_VALUE"""),"Christmas Presents")</f>
        <v>Christmas Presents</v>
      </c>
      <c r="C48" s="5" t="str">
        <f ca="1">IFERROR(__xludf.DUMMYFUNCTION("""COMPUTED_VALUE"""),"UnicornChristmasPresents")</f>
        <v>UnicornChristmasPresents</v>
      </c>
      <c r="D48" s="6">
        <f ca="1">IFERROR(__xludf.DUMMYFUNCTION("""COMPUTED_VALUE"""),45608)</f>
        <v>45608</v>
      </c>
      <c r="E48" s="5" t="str">
        <f ca="1">IFERROR(__xludf.DUMMYFUNCTION("""COMPUTED_VALUE"""),"Slot")</f>
        <v>Slot</v>
      </c>
      <c r="F48" s="5">
        <f ca="1">IFERROR(__xludf.DUMMYFUNCTION("""COMPUTED_VALUE"""),17)</f>
        <v>17</v>
      </c>
      <c r="G48" s="5" t="str">
        <f ca="1">IFERROR(__xludf.DUMMYFUNCTION("""COMPUTED_VALUE"""),"5X3")</f>
        <v>5X3</v>
      </c>
      <c r="H48" s="5" t="str">
        <f ca="1">IFERROR(__xludf.DUMMYFUNCTION("""COMPUTED_VALUE"""),"5")</f>
        <v>5</v>
      </c>
      <c r="I48" s="5" t="str">
        <f ca="1">IFERROR(__xludf.DUMMYFUNCTION("""COMPUTED_VALUE"""),"5")</f>
        <v>5</v>
      </c>
      <c r="J48" s="5" t="str">
        <f ca="1">IFERROR(__xludf.DUMMYFUNCTION("""COMPUTED_VALUE"""),"96%")</f>
        <v>96%</v>
      </c>
      <c r="K48" s="5" t="str">
        <f ca="1">IFERROR(__xludf.DUMMYFUNCTION("""COMPUTED_VALUE"""),"Low")</f>
        <v>Low</v>
      </c>
      <c r="L48" s="5" t="str">
        <f ca="1">IFERROR(__xludf.DUMMYFUNCTION("""COMPUTED_VALUE"""),"13.64%")</f>
        <v>13.64%</v>
      </c>
      <c r="M48" s="5" t="str">
        <f ca="1">IFERROR(__xludf.DUMMYFUNCTION("""COMPUTED_VALUE"""),"x10000")</f>
        <v>x10000</v>
      </c>
      <c r="N48" s="5" t="str">
        <f ca="1">IFERROR(__xludf.DUMMYFUNCTION("""COMPUTED_VALUE"""),"0.05/100")</f>
        <v>0.05/100</v>
      </c>
      <c r="O48" s="5" t="str">
        <f ca="1">IFERROR(__xludf.DUMMYFUNCTION("""COMPUTED_VALUE"""),"No")</f>
        <v>No</v>
      </c>
      <c r="P48" s="5"/>
      <c r="Q48" s="7" t="str">
        <f ca="1">IFERROR(__xludf.DUMMYFUNCTION("""COMPUTED_VALUE"""),"https://gameserver-store-client-area.orbionlimited.com/Home/IntegrationGameLaunch/client-area?moneyType=0&amp;gameName=UnicornChristmasPresents&amp;platform=desktop&amp;languageCode=eng&amp;currency=EUR")</f>
        <v>https://gameserver-store-client-area.orbionlimited.com/Home/IntegrationGameLaunch/client-area?moneyType=0&amp;gameName=UnicornChristmasPresents&amp;platform=desktop&amp;languageCode=eng&amp;currency=EUR</v>
      </c>
      <c r="R48" s="5" t="str">
        <f ca="1">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S4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IFERROR(__xludf.DUMMYFUNCTION("""COMPUTED_VALUE"""),"No")</f>
        <v>No</v>
      </c>
      <c r="X48" s="5" t="str">
        <f ca="1">IFERROR(__xludf.DUMMYFUNCTION("""COMPUTED_VALUE"""),"No")</f>
        <v>No</v>
      </c>
      <c r="Y48" s="5" t="str">
        <f ca="1">IFERROR(__xludf.DUMMYFUNCTION("""COMPUTED_VALUE"""),"No")</f>
        <v>No</v>
      </c>
      <c r="Z48" s="5" t="str">
        <f ca="1">IFERROR(__xludf.DUMMYFUNCTION("""COMPUTED_VALUE"""),"No")</f>
        <v>No</v>
      </c>
      <c r="AA48" s="5" t="str">
        <f ca="1">IFERROR(__xludf.DUMMYFUNCTION("""COMPUTED_VALUE"""),"No")</f>
        <v>No</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IFERROR(__xludf.DUMMYFUNCTION("""COMPUTED_VALUE"""),"Yes")</f>
        <v>Yes</v>
      </c>
      <c r="AF48" s="5" t="str">
        <f ca="1">IFERROR(__xludf.DUMMYFUNCTION("""COMPUTED_VALUE"""),"Yes")</f>
        <v>Yes</v>
      </c>
      <c r="AG48" s="5" t="str">
        <f ca="1">IFERROR(__xludf.DUMMYFUNCTION("""COMPUTED_VALUE"""),"No")</f>
        <v>No</v>
      </c>
      <c r="AH48" s="5" t="str">
        <f ca="1">IFERROR(__xludf.DUMMYFUNCTION("""COMPUTED_VALUE"""),"Yes")</f>
        <v>Yes</v>
      </c>
      <c r="AI48" s="5" t="str">
        <f ca="1">IFERROR(__xludf.DUMMYFUNCTION("""COMPUTED_VALUE"""),"No")</f>
        <v>No</v>
      </c>
      <c r="AJ48" s="5" t="str">
        <f ca="1">IFERROR(__xludf.DUMMYFUNCTION("""COMPUTED_VALUE"""),"No")</f>
        <v>No</v>
      </c>
      <c r="AK48" s="5" t="str">
        <f ca="1">IFERROR(__xludf.DUMMYFUNCTION("""COMPUTED_VALUE"""),"No")</f>
        <v>No</v>
      </c>
      <c r="AL48" s="5" t="str">
        <f ca="1">IFERROR(__xludf.DUMMYFUNCTION("""COMPUTED_VALUE"""),"No")</f>
        <v>No</v>
      </c>
      <c r="AM48" s="5"/>
      <c r="AN48" s="5"/>
      <c r="AO48" s="5"/>
      <c r="AP48" s="5"/>
      <c r="AQ48" s="5" t="str">
        <f ca="1">IFERROR(__xludf.DUMMYFUNCTION("""COMPUTED_VALUE"""),"No")</f>
        <v>No</v>
      </c>
      <c r="AR48" s="5"/>
      <c r="AS48" s="5"/>
      <c r="AT48" s="5"/>
      <c r="AU48" s="5"/>
    </row>
    <row r="49" spans="1:47" x14ac:dyDescent="0.25">
      <c r="A49" s="5" t="str">
        <f ca="1">IFERROR(__xludf.DUMMYFUNCTION("""COMPUTED_VALUE"""),"Tiptop")</f>
        <v>Tiptop</v>
      </c>
      <c r="B49" s="5" t="str">
        <f ca="1">IFERROR(__xludf.DUMMYFUNCTION("""COMPUTED_VALUE"""),"Lava Diamonds")</f>
        <v>Lava Diamonds</v>
      </c>
      <c r="C49" s="5" t="str">
        <f ca="1">IFERROR(__xludf.DUMMYFUNCTION("""COMPUTED_VALUE"""),"UnicornLavaDiamonds")</f>
        <v>UnicornLavaDiamonds</v>
      </c>
      <c r="D49" s="6">
        <f ca="1">IFERROR(__xludf.DUMMYFUNCTION("""COMPUTED_VALUE"""),45398)</f>
        <v>45398</v>
      </c>
      <c r="E49" s="5" t="str">
        <f ca="1">IFERROR(__xludf.DUMMYFUNCTION("""COMPUTED_VALUE"""),"Slot")</f>
        <v>Slot</v>
      </c>
      <c r="F49" s="5">
        <f ca="1">IFERROR(__xludf.DUMMYFUNCTION("""COMPUTED_VALUE"""),11)</f>
        <v>11</v>
      </c>
      <c r="G49" s="5" t="str">
        <f ca="1">IFERROR(__xludf.DUMMYFUNCTION("""COMPUTED_VALUE"""),"5X3")</f>
        <v>5X3</v>
      </c>
      <c r="H49" s="5" t="str">
        <f ca="1">IFERROR(__xludf.DUMMYFUNCTION("""COMPUTED_VALUE"""),"10")</f>
        <v>10</v>
      </c>
      <c r="I49" s="5" t="str">
        <f ca="1">IFERROR(__xludf.DUMMYFUNCTION("""COMPUTED_VALUE"""),"10")</f>
        <v>10</v>
      </c>
      <c r="J49" s="5" t="str">
        <f ca="1">IFERROR(__xludf.DUMMYFUNCTION("""COMPUTED_VALUE"""),"96%")</f>
        <v>96%</v>
      </c>
      <c r="K49" s="5" t="str">
        <f ca="1">IFERROR(__xludf.DUMMYFUNCTION("""COMPUTED_VALUE"""),"Low")</f>
        <v>Low</v>
      </c>
      <c r="L49" s="5" t="str">
        <f ca="1">IFERROR(__xludf.DUMMYFUNCTION("""COMPUTED_VALUE"""),"24.14%")</f>
        <v>24.14%</v>
      </c>
      <c r="M49" s="5" t="str">
        <f ca="1">IFERROR(__xludf.DUMMYFUNCTION("""COMPUTED_VALUE"""),"x10000")</f>
        <v>x10000</v>
      </c>
      <c r="N49" s="5" t="str">
        <f ca="1">IFERROR(__xludf.DUMMYFUNCTION("""COMPUTED_VALUE"""),"0.1/100")</f>
        <v>0.1/100</v>
      </c>
      <c r="O49" s="5" t="str">
        <f ca="1">IFERROR(__xludf.DUMMYFUNCTION("""COMPUTED_VALUE"""),"No")</f>
        <v>No</v>
      </c>
      <c r="P49" s="5" t="str">
        <f ca="1">IFERROR(__xludf.DUMMYFUNCTION("""COMPUTED_VALUE"""),"Scatter")</f>
        <v>Scatter</v>
      </c>
      <c r="Q49" s="7" t="str">
        <f ca="1">IFERROR(__xludf.DUMMYFUNCTION("""COMPUTED_VALUE"""),"https://gameserver-store-client-area.orbionlimited.com/Home/IntegrationGameLaunch/client-area?moneyType=0&amp;gameName=UnicornLavaDiamonds&amp;platform=desktop&amp;languageCode=eng&amp;currency=EUR")</f>
        <v>https://gameserver-store-client-area.orbionlimited.com/Home/IntegrationGameLaunch/client-area?moneyType=0&amp;gameName=UnicornLavaDiamonds&amp;platform=desktop&amp;languageCode=eng&amp;currency=EUR</v>
      </c>
      <c r="R49" s="5" t="str">
        <f ca="1">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4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 ca="1">IFERROR(__xludf.DUMMYFUNCTION("""COMPUTED_VALUE"""),"Yes")</f>
        <v>Yes</v>
      </c>
      <c r="U49" s="5" t="str">
        <f ca="1">IFERROR(__xludf.DUMMYFUNCTION("""COMPUTED_VALUE"""),"Yes")</f>
        <v>Yes</v>
      </c>
      <c r="V49" s="5" t="str">
        <f ca="1">IFERROR(__xludf.DUMMYFUNCTION("""COMPUTED_VALUE"""),"No")</f>
        <v>No</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IFERROR(__xludf.DUMMYFUNCTION("""COMPUTED_VALUE"""),"Yes")</f>
        <v>Yes</v>
      </c>
      <c r="AF49" s="5" t="str">
        <f ca="1">IFERROR(__xludf.DUMMYFUNCTION("""COMPUTED_VALUE"""),"Yes")</f>
        <v>Yes</v>
      </c>
      <c r="AG49" s="5" t="str">
        <f ca="1">IFERROR(__xludf.DUMMYFUNCTION("""COMPUTED_VALUE"""),"Yes")</f>
        <v>Yes</v>
      </c>
      <c r="AH49" s="5" t="str">
        <f ca="1">IFERROR(__xludf.DUMMYFUNCTION("""COMPUTED_VALUE"""),"Yes")</f>
        <v>Yes</v>
      </c>
      <c r="AI49" s="5" t="str">
        <f ca="1">IFERROR(__xludf.DUMMYFUNCTION("""COMPUTED_VALUE"""),"No")</f>
        <v>No</v>
      </c>
      <c r="AJ49" s="5" t="str">
        <f ca="1">IFERROR(__xludf.DUMMYFUNCTION("""COMPUTED_VALUE"""),"No")</f>
        <v>No</v>
      </c>
      <c r="AK49" s="5" t="str">
        <f ca="1">IFERROR(__xludf.DUMMYFUNCTION("""COMPUTED_VALUE"""),"No")</f>
        <v>No</v>
      </c>
      <c r="AL49" s="5" t="str">
        <f ca="1">IFERROR(__xludf.DUMMYFUNCTION("""COMPUTED_VALUE"""),"No")</f>
        <v>No</v>
      </c>
      <c r="AM49" s="5" t="str">
        <f ca="1">IFERROR(__xludf.DUMMYFUNCTION("""COMPUTED_VALUE"""),"No")</f>
        <v>No</v>
      </c>
      <c r="AN49" s="5" t="str">
        <f ca="1">IFERROR(__xludf.DUMMYFUNCTION("""COMPUTED_VALUE"""),"No")</f>
        <v>No</v>
      </c>
      <c r="AO49" s="5" t="str">
        <f ca="1">IFERROR(__xludf.DUMMYFUNCTION("""COMPUTED_VALUE"""),"No")</f>
        <v>No</v>
      </c>
      <c r="AP49" s="5" t="str">
        <f ca="1">IFERROR(__xludf.DUMMYFUNCTION("""COMPUTED_VALUE"""),"No")</f>
        <v>No</v>
      </c>
      <c r="AQ49" s="5" t="str">
        <f ca="1">IFERROR(__xludf.DUMMYFUNCTION("""COMPUTED_VALUE"""),"No")</f>
        <v>No</v>
      </c>
      <c r="AR49" s="5" t="str">
        <f ca="1">IFERROR(__xludf.DUMMYFUNCTION("""COMPUTED_VALUE"""),"No")</f>
        <v>No</v>
      </c>
      <c r="AS49" s="5" t="str">
        <f ca="1">IFERROR(__xludf.DUMMYFUNCTION("""COMPUTED_VALUE"""),"Yes")</f>
        <v>Yes</v>
      </c>
      <c r="AT49" s="5" t="str">
        <f ca="1">IFERROR(__xludf.DUMMYFUNCTION("""COMPUTED_VALUE"""),"No")</f>
        <v>No</v>
      </c>
      <c r="AU49" s="5"/>
    </row>
    <row r="50" spans="1:47" x14ac:dyDescent="0.25">
      <c r="A50" s="5" t="str">
        <f ca="1">IFERROR(__xludf.DUMMYFUNCTION("""COMPUTED_VALUE"""),"Tiptop")</f>
        <v>Tiptop</v>
      </c>
      <c r="B50" s="5" t="str">
        <f ca="1">IFERROR(__xludf.DUMMYFUNCTION("""COMPUTED_VALUE"""),"5 Hot Strike Dice")</f>
        <v>5 Hot Strike Dice</v>
      </c>
      <c r="C50" s="5" t="str">
        <f ca="1">IFERROR(__xludf.DUMMYFUNCTION("""COMPUTED_VALUE"""),"Unicorn5HotStrikeDice")</f>
        <v>Unicorn5HotStrikeDice</v>
      </c>
      <c r="D50" s="6">
        <f ca="1">IFERROR(__xludf.DUMMYFUNCTION("""COMPUTED_VALUE"""),45420)</f>
        <v>45420</v>
      </c>
      <c r="E50" s="5" t="str">
        <f ca="1">IFERROR(__xludf.DUMMYFUNCTION("""COMPUTED_VALUE"""),"Dice Slots")</f>
        <v>Dice Slots</v>
      </c>
      <c r="F50" s="5">
        <f ca="1">IFERROR(__xludf.DUMMYFUNCTION("""COMPUTED_VALUE"""),11)</f>
        <v>11</v>
      </c>
      <c r="G50" s="5" t="str">
        <f ca="1">IFERROR(__xludf.DUMMYFUNCTION("""COMPUTED_VALUE"""),"5X3")</f>
        <v>5X3</v>
      </c>
      <c r="H50" s="5" t="str">
        <f ca="1">IFERROR(__xludf.DUMMYFUNCTION("""COMPUTED_VALUE"""),"5")</f>
        <v>5</v>
      </c>
      <c r="I50" s="5" t="str">
        <f ca="1">IFERROR(__xludf.DUMMYFUNCTION("""COMPUTED_VALUE"""),"5")</f>
        <v>5</v>
      </c>
      <c r="J50" s="5" t="str">
        <f ca="1">IFERROR(__xludf.DUMMYFUNCTION("""COMPUTED_VALUE"""),"96%")</f>
        <v>96%</v>
      </c>
      <c r="K50" s="5" t="str">
        <f ca="1">IFERROR(__xludf.DUMMYFUNCTION("""COMPUTED_VALUE"""),"Low")</f>
        <v>Low</v>
      </c>
      <c r="L50" s="5" t="str">
        <f ca="1">IFERROR(__xludf.DUMMYFUNCTION("""COMPUTED_VALUE"""),"11.41%")</f>
        <v>11.41%</v>
      </c>
      <c r="M50" s="5" t="str">
        <f ca="1">IFERROR(__xludf.DUMMYFUNCTION("""COMPUTED_VALUE"""),"x2000")</f>
        <v>x2000</v>
      </c>
      <c r="N50" s="5" t="str">
        <f ca="1">IFERROR(__xludf.DUMMYFUNCTION("""COMPUTED_VALUE"""),"0.05/100")</f>
        <v>0.05/100</v>
      </c>
      <c r="O50" s="5" t="str">
        <f ca="1">IFERROR(__xludf.DUMMYFUNCTION("""COMPUTED_VALUE"""),"No")</f>
        <v>No</v>
      </c>
      <c r="P50" s="5" t="str">
        <f ca="1">IFERROR(__xludf.DUMMYFUNCTION("""COMPUTED_VALUE"""),"Wild Symbol, Scatter")</f>
        <v>Wild Symbol, Scatter</v>
      </c>
      <c r="Q50" s="7" t="str">
        <f ca="1">IFERROR(__xludf.DUMMYFUNCTION("""COMPUTED_VALUE"""),"https://gameserver-store-client-area.orbionlimited.com/Home/IntegrationGameLaunch/client-area?moneyType=0&amp;gameName=Unicorn5HotStrikeDice&amp;platform=desktop&amp;languageCode=eng&amp;currency=EUR")</f>
        <v>https://gameserver-store-client-area.orbionlimited.com/Home/IntegrationGameLaunch/client-area?moneyType=0&amp;gameName=Unicorn5HotStrikeDice&amp;platform=desktop&amp;languageCode=eng&amp;currency=EUR</v>
      </c>
      <c r="R50" s="5" t="str">
        <f ca="1">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5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IFERROR(__xludf.DUMMYFUNCTION("""COMPUTED_VALUE"""),"No")</f>
        <v>No</v>
      </c>
      <c r="X50" s="5" t="str">
        <f ca="1">IFERROR(__xludf.DUMMYFUNCTION("""COMPUTED_VALUE"""),"No")</f>
        <v>No</v>
      </c>
      <c r="Y50" s="5" t="str">
        <f ca="1">IFERROR(__xludf.DUMMYFUNCTION("""COMPUTED_VALUE"""),"No")</f>
        <v>No</v>
      </c>
      <c r="Z50" s="5" t="str">
        <f ca="1">IFERROR(__xludf.DUMMYFUNCTION("""COMPUTED_VALUE"""),"No")</f>
        <v>No</v>
      </c>
      <c r="AA50" s="5" t="str">
        <f ca="1">IFERROR(__xludf.DUMMYFUNCTION("""COMPUTED_VALUE"""),"No")</f>
        <v>No</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IFERROR(__xludf.DUMMYFUNCTION("""COMPUTED_VALUE"""),"Yes")</f>
        <v>Yes</v>
      </c>
      <c r="AF50" s="5" t="str">
        <f ca="1">IFERROR(__xludf.DUMMYFUNCTION("""COMPUTED_VALUE"""),"Yes")</f>
        <v>Yes</v>
      </c>
      <c r="AG50" s="5" t="str">
        <f ca="1">IFERROR(__xludf.DUMMYFUNCTION("""COMPUTED_VALUE"""),"No")</f>
        <v>No</v>
      </c>
      <c r="AH50" s="5" t="str">
        <f ca="1">IFERROR(__xludf.DUMMYFUNCTION("""COMPUTED_VALUE"""),"Yes")</f>
        <v>Yes</v>
      </c>
      <c r="AI50" s="5" t="str">
        <f ca="1">IFERROR(__xludf.DUMMYFUNCTION("""COMPUTED_VALUE"""),"No")</f>
        <v>No</v>
      </c>
      <c r="AJ50" s="5" t="str">
        <f ca="1">IFERROR(__xludf.DUMMYFUNCTION("""COMPUTED_VALUE"""),"No")</f>
        <v>No</v>
      </c>
      <c r="AK50" s="5" t="str">
        <f ca="1">IFERROR(__xludf.DUMMYFUNCTION("""COMPUTED_VALUE"""),"No")</f>
        <v>No</v>
      </c>
      <c r="AL50" s="5" t="str">
        <f ca="1">IFERROR(__xludf.DUMMYFUNCTION("""COMPUTED_VALUE"""),"No")</f>
        <v>No</v>
      </c>
      <c r="AM50" s="5"/>
      <c r="AN50" s="5"/>
      <c r="AO50" s="5"/>
      <c r="AP50" s="5"/>
      <c r="AQ50" s="5" t="str">
        <f ca="1">IFERROR(__xludf.DUMMYFUNCTION("""COMPUTED_VALUE"""),"No")</f>
        <v>No</v>
      </c>
      <c r="AR50" s="5"/>
      <c r="AS50" s="5"/>
      <c r="AT50" s="5"/>
      <c r="AU50" s="5"/>
    </row>
    <row r="51" spans="1:47" x14ac:dyDescent="0.25">
      <c r="A51" s="5" t="str">
        <f ca="1">IFERROR(__xludf.DUMMYFUNCTION("""COMPUTED_VALUE"""),"Tiptop")</f>
        <v>Tiptop</v>
      </c>
      <c r="B51" s="5" t="str">
        <f ca="1">IFERROR(__xludf.DUMMYFUNCTION("""COMPUTED_VALUE"""),"Buffalo Sevens")</f>
        <v>Buffalo Sevens</v>
      </c>
      <c r="C51" s="5" t="str">
        <f ca="1">IFERROR(__xludf.DUMMYFUNCTION("""COMPUTED_VALUE"""),"UnicornBuffaloSevens")</f>
        <v>UnicornBuffaloSevens</v>
      </c>
      <c r="D51" s="6">
        <f ca="1">IFERROR(__xludf.DUMMYFUNCTION("""COMPUTED_VALUE"""),45462)</f>
        <v>45462</v>
      </c>
      <c r="E51" s="5" t="str">
        <f ca="1">IFERROR(__xludf.DUMMYFUNCTION("""COMPUTED_VALUE"""),"Slot")</f>
        <v>Slot</v>
      </c>
      <c r="F51" s="5">
        <f ca="1">IFERROR(__xludf.DUMMYFUNCTION("""COMPUTED_VALUE"""),10.8)</f>
        <v>10.8</v>
      </c>
      <c r="G51" s="5" t="str">
        <f ca="1">IFERROR(__xludf.DUMMYFUNCTION("""COMPUTED_VALUE"""),"5X3")</f>
        <v>5X3</v>
      </c>
      <c r="H51" s="5" t="str">
        <f ca="1">IFERROR(__xludf.DUMMYFUNCTION("""COMPUTED_VALUE"""),"10")</f>
        <v>10</v>
      </c>
      <c r="I51" s="5" t="str">
        <f ca="1">IFERROR(__xludf.DUMMYFUNCTION("""COMPUTED_VALUE"""),"10")</f>
        <v>10</v>
      </c>
      <c r="J51" s="5" t="str">
        <f ca="1">IFERROR(__xludf.DUMMYFUNCTION("""COMPUTED_VALUE"""),"96%")</f>
        <v>96%</v>
      </c>
      <c r="K51" s="5" t="str">
        <f ca="1">IFERROR(__xludf.DUMMYFUNCTION("""COMPUTED_VALUE"""),"Low")</f>
        <v>Low</v>
      </c>
      <c r="L51" s="5" t="str">
        <f ca="1">IFERROR(__xludf.DUMMYFUNCTION("""COMPUTED_VALUE"""),"9.08%")</f>
        <v>9.08%</v>
      </c>
      <c r="M51" s="5" t="str">
        <f ca="1">IFERROR(__xludf.DUMMYFUNCTION("""COMPUTED_VALUE"""),"x5000")</f>
        <v>x5000</v>
      </c>
      <c r="N51" s="5" t="str">
        <f ca="1">IFERROR(__xludf.DUMMYFUNCTION("""COMPUTED_VALUE"""),"0.1/100")</f>
        <v>0.1/100</v>
      </c>
      <c r="O51" s="5" t="str">
        <f ca="1">IFERROR(__xludf.DUMMYFUNCTION("""COMPUTED_VALUE"""),"No")</f>
        <v>No</v>
      </c>
      <c r="P51" s="5"/>
      <c r="Q51" s="7" t="str">
        <f ca="1">IFERROR(__xludf.DUMMYFUNCTION("""COMPUTED_VALUE"""),"https://gameserver-store-client-area.orbionlimited.com/Home/IntegrationGameLaunch/client-area?moneyType=0&amp;gameName=UnicornBuffaloSevens&amp;platform=desktop&amp;languageCode=eng&amp;currency=EUR")</f>
        <v>https://gameserver-store-client-area.orbionlimited.com/Home/IntegrationGameLaunch/client-area?moneyType=0&amp;gameName=UnicornBuffaloSevens&amp;platform=desktop&amp;languageCode=eng&amp;currency=EUR</v>
      </c>
      <c r="R51" s="5" t="str">
        <f ca="1">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S51" s="5" t="str">
        <f ca="1">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T51" s="5" t="str">
        <f ca="1">IFERROR(__xludf.DUMMYFUNCTION("""COMPUTED_VALUE"""),"Yes")</f>
        <v>Yes</v>
      </c>
      <c r="U51" s="5" t="str">
        <f ca="1">IFERROR(__xludf.DUMMYFUNCTION("""COMPUTED_VALUE"""),"Yes")</f>
        <v>Yes</v>
      </c>
      <c r="V51" s="5" t="str">
        <f ca="1">IFERROR(__xludf.DUMMYFUNCTION("""COMPUTED_VALUE"""),"No")</f>
        <v>No</v>
      </c>
      <c r="W51" s="5" t="str">
        <f ca="1">IFERROR(__xludf.DUMMYFUNCTION("""COMPUTED_VALUE"""),"Yes")</f>
        <v>Yes</v>
      </c>
      <c r="X51" s="5" t="str">
        <f ca="1">IFERROR(__xludf.DUMMYFUNCTION("""COMPUTED_VALUE"""),"Yes")</f>
        <v>Yes</v>
      </c>
      <c r="Y51" s="5" t="str">
        <f ca="1">IFERROR(__xludf.DUMMYFUNCTION("""COMPUTED_VALUE"""),"Yes")</f>
        <v>Yes</v>
      </c>
      <c r="Z51" s="5" t="str">
        <f ca="1">IFERROR(__xludf.DUMMYFUNCTION("""COMPUTED_VALUE"""),"Yes")</f>
        <v>Yes</v>
      </c>
      <c r="AA51" s="5" t="str">
        <f ca="1">IFERROR(__xludf.DUMMYFUNCTION("""COMPUTED_VALUE"""),"Yes")</f>
        <v>Yes</v>
      </c>
      <c r="AB51" s="5" t="str">
        <f ca="1">IFERROR(__xludf.DUMMYFUNCTION("""COMPUTED_VALUE"""),"Yes")</f>
        <v>Yes</v>
      </c>
      <c r="AC51" s="5" t="str">
        <f ca="1">IFERROR(__xludf.DUMMYFUNCTION("""COMPUTED_VALUE"""),"Yes")</f>
        <v>Yes</v>
      </c>
      <c r="AD51" s="5" t="str">
        <f ca="1">IFERROR(__xludf.DUMMYFUNCTION("""COMPUTED_VALUE"""),"Yes")</f>
        <v>Yes</v>
      </c>
      <c r="AE51" s="5" t="str">
        <f ca="1">IFERROR(__xludf.DUMMYFUNCTION("""COMPUTED_VALUE"""),"Yes")</f>
        <v>Yes</v>
      </c>
      <c r="AF51" s="5" t="str">
        <f ca="1">IFERROR(__xludf.DUMMYFUNCTION("""COMPUTED_VALUE"""),"Yes")</f>
        <v>Yes</v>
      </c>
      <c r="AG51" s="5" t="str">
        <f ca="1">IFERROR(__xludf.DUMMYFUNCTION("""COMPUTED_VALUE"""),"Yes")</f>
        <v>Yes</v>
      </c>
      <c r="AH51" s="5" t="str">
        <f ca="1">IFERROR(__xludf.DUMMYFUNCTION("""COMPUTED_VALUE"""),"Yes")</f>
        <v>Yes</v>
      </c>
      <c r="AI51" s="5" t="str">
        <f ca="1">IFERROR(__xludf.DUMMYFUNCTION("""COMPUTED_VALUE"""),"No")</f>
        <v>No</v>
      </c>
      <c r="AJ51" s="5" t="str">
        <f ca="1">IFERROR(__xludf.DUMMYFUNCTION("""COMPUTED_VALUE"""),"No")</f>
        <v>No</v>
      </c>
      <c r="AK51" s="5" t="str">
        <f ca="1">IFERROR(__xludf.DUMMYFUNCTION("""COMPUTED_VALUE"""),"No")</f>
        <v>No</v>
      </c>
      <c r="AL51" s="5" t="str">
        <f ca="1">IFERROR(__xludf.DUMMYFUNCTION("""COMPUTED_VALUE"""),"No")</f>
        <v>No</v>
      </c>
      <c r="AM51" s="5" t="str">
        <f ca="1">IFERROR(__xludf.DUMMYFUNCTION("""COMPUTED_VALUE"""),"No")</f>
        <v>No</v>
      </c>
      <c r="AN51" s="5" t="str">
        <f ca="1">IFERROR(__xludf.DUMMYFUNCTION("""COMPUTED_VALUE"""),"No")</f>
        <v>No</v>
      </c>
      <c r="AO51" s="5" t="str">
        <f ca="1">IFERROR(__xludf.DUMMYFUNCTION("""COMPUTED_VALUE"""),"No")</f>
        <v>No</v>
      </c>
      <c r="AP51" s="5" t="str">
        <f ca="1">IFERROR(__xludf.DUMMYFUNCTION("""COMPUTED_VALUE"""),"No")</f>
        <v>No</v>
      </c>
      <c r="AQ51" s="5" t="str">
        <f ca="1">IFERROR(__xludf.DUMMYFUNCTION("""COMPUTED_VALUE"""),"Yes")</f>
        <v>Yes</v>
      </c>
      <c r="AR51" s="5" t="str">
        <f ca="1">IFERROR(__xludf.DUMMYFUNCTION("""COMPUTED_VALUE"""),"No")</f>
        <v>No</v>
      </c>
      <c r="AS51" s="5" t="str">
        <f ca="1">IFERROR(__xludf.DUMMYFUNCTION("""COMPUTED_VALUE"""),"Yes")</f>
        <v>Yes</v>
      </c>
      <c r="AT51" s="5" t="str">
        <f ca="1">IFERROR(__xludf.DUMMYFUNCTION("""COMPUTED_VALUE"""),"No")</f>
        <v>No</v>
      </c>
      <c r="AU51" s="5"/>
    </row>
    <row r="52" spans="1:47" x14ac:dyDescent="0.25">
      <c r="A52" s="5" t="str">
        <f ca="1">IFERROR(__xludf.DUMMYFUNCTION("""COMPUTED_VALUE"""),"Tiptop")</f>
        <v>Tiptop</v>
      </c>
      <c r="B52" s="5" t="str">
        <f ca="1">IFERROR(__xludf.DUMMYFUNCTION("""COMPUTED_VALUE"""),"Mister Luck")</f>
        <v>Mister Luck</v>
      </c>
      <c r="C52" s="5" t="str">
        <f ca="1">IFERROR(__xludf.DUMMYFUNCTION("""COMPUTED_VALUE"""),"UnicornMisterLuck")</f>
        <v>UnicornMisterLuck</v>
      </c>
      <c r="D52" s="6">
        <f ca="1">IFERROR(__xludf.DUMMYFUNCTION("""COMPUTED_VALUE"""),45441)</f>
        <v>45441</v>
      </c>
      <c r="E52" s="5" t="str">
        <f ca="1">IFERROR(__xludf.DUMMYFUNCTION("""COMPUTED_VALUE"""),"Slot")</f>
        <v>Slot</v>
      </c>
      <c r="F52" s="5">
        <f ca="1">IFERROR(__xludf.DUMMYFUNCTION("""COMPUTED_VALUE"""),15.5)</f>
        <v>15.5</v>
      </c>
      <c r="G52" s="5" t="str">
        <f ca="1">IFERROR(__xludf.DUMMYFUNCTION("""COMPUTED_VALUE"""),"5X3")</f>
        <v>5X3</v>
      </c>
      <c r="H52" s="5" t="str">
        <f ca="1">IFERROR(__xludf.DUMMYFUNCTION("""COMPUTED_VALUE"""),"5")</f>
        <v>5</v>
      </c>
      <c r="I52" s="5" t="str">
        <f ca="1">IFERROR(__xludf.DUMMYFUNCTION("""COMPUTED_VALUE"""),"5")</f>
        <v>5</v>
      </c>
      <c r="J52" s="5" t="str">
        <f ca="1">IFERROR(__xludf.DUMMYFUNCTION("""COMPUTED_VALUE"""),"96%")</f>
        <v>96%</v>
      </c>
      <c r="K52" s="5" t="str">
        <f ca="1">IFERROR(__xludf.DUMMYFUNCTION("""COMPUTED_VALUE"""),"Low")</f>
        <v>Low</v>
      </c>
      <c r="L52" s="5" t="str">
        <f ca="1">IFERROR(__xludf.DUMMYFUNCTION("""COMPUTED_VALUE"""),"13.64%")</f>
        <v>13.64%</v>
      </c>
      <c r="M52" s="5" t="str">
        <f ca="1">IFERROR(__xludf.DUMMYFUNCTION("""COMPUTED_VALUE"""),"x10000")</f>
        <v>x10000</v>
      </c>
      <c r="N52" s="5" t="str">
        <f ca="1">IFERROR(__xludf.DUMMYFUNCTION("""COMPUTED_VALUE"""),"0.05/100")</f>
        <v>0.05/100</v>
      </c>
      <c r="O52" s="5" t="str">
        <f ca="1">IFERROR(__xludf.DUMMYFUNCTION("""COMPUTED_VALUE"""),"No")</f>
        <v>No</v>
      </c>
      <c r="P52" s="5"/>
      <c r="Q52" s="7" t="str">
        <f ca="1">IFERROR(__xludf.DUMMYFUNCTION("""COMPUTED_VALUE"""),"https://gameserver-store-client-area.orbionlimited.com/Home/IntegrationGameLaunch/client-area?moneyType=0&amp;gameName=UnicornMisterLuck&amp;platform=desktop&amp;languageCode=eng&amp;currency=EUR")</f>
        <v>https://gameserver-store-client-area.orbionlimited.com/Home/IntegrationGameLaunch/client-area?moneyType=0&amp;gameName=UnicornMisterLuck&amp;platform=desktop&amp;languageCode=eng&amp;currency=EUR</v>
      </c>
      <c r="R52" s="5" t="str">
        <f ca="1">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S5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2" s="5" t="str">
        <f ca="1">IFERROR(__xludf.DUMMYFUNCTION("""COMPUTED_VALUE"""),"Yes")</f>
        <v>Yes</v>
      </c>
      <c r="U52" s="5" t="str">
        <f ca="1">IFERROR(__xludf.DUMMYFUNCTION("""COMPUTED_VALUE"""),"Yes")</f>
        <v>Yes</v>
      </c>
      <c r="V52" s="5" t="str">
        <f ca="1">IFERROR(__xludf.DUMMYFUNCTION("""COMPUTED_VALUE"""),"Yes")</f>
        <v>Yes</v>
      </c>
      <c r="W52" s="5" t="str">
        <f ca="1">IFERROR(__xludf.DUMMYFUNCTION("""COMPUTED_VALUE"""),"No")</f>
        <v>No</v>
      </c>
      <c r="X52" s="5" t="str">
        <f ca="1">IFERROR(__xludf.DUMMYFUNCTION("""COMPUTED_VALUE"""),"No")</f>
        <v>No</v>
      </c>
      <c r="Y52" s="5" t="str">
        <f ca="1">IFERROR(__xludf.DUMMYFUNCTION("""COMPUTED_VALUE"""),"No")</f>
        <v>No</v>
      </c>
      <c r="Z52" s="5" t="str">
        <f ca="1">IFERROR(__xludf.DUMMYFUNCTION("""COMPUTED_VALUE"""),"No")</f>
        <v>No</v>
      </c>
      <c r="AA52" s="5" t="str">
        <f ca="1">IFERROR(__xludf.DUMMYFUNCTION("""COMPUTED_VALUE"""),"No")</f>
        <v>No</v>
      </c>
      <c r="AB52" s="5" t="str">
        <f ca="1">IFERROR(__xludf.DUMMYFUNCTION("""COMPUTED_VALUE"""),"Yes")</f>
        <v>Yes</v>
      </c>
      <c r="AC52" s="5" t="str">
        <f ca="1">IFERROR(__xludf.DUMMYFUNCTION("""COMPUTED_VALUE"""),"Yes")</f>
        <v>Yes</v>
      </c>
      <c r="AD52" s="5" t="str">
        <f ca="1">IFERROR(__xludf.DUMMYFUNCTION("""COMPUTED_VALUE"""),"Yes")</f>
        <v>Yes</v>
      </c>
      <c r="AE52" s="5" t="str">
        <f ca="1">IFERROR(__xludf.DUMMYFUNCTION("""COMPUTED_VALUE"""),"Yes")</f>
        <v>Yes</v>
      </c>
      <c r="AF52" s="5" t="str">
        <f ca="1">IFERROR(__xludf.DUMMYFUNCTION("""COMPUTED_VALUE"""),"Yes")</f>
        <v>Yes</v>
      </c>
      <c r="AG52" s="5" t="str">
        <f ca="1">IFERROR(__xludf.DUMMYFUNCTION("""COMPUTED_VALUE"""),"No")</f>
        <v>No</v>
      </c>
      <c r="AH52" s="5" t="str">
        <f ca="1">IFERROR(__xludf.DUMMYFUNCTION("""COMPUTED_VALUE"""),"Yes")</f>
        <v>Yes</v>
      </c>
      <c r="AI52" s="5" t="str">
        <f ca="1">IFERROR(__xludf.DUMMYFUNCTION("""COMPUTED_VALUE"""),"No")</f>
        <v>No</v>
      </c>
      <c r="AJ52" s="5" t="str">
        <f ca="1">IFERROR(__xludf.DUMMYFUNCTION("""COMPUTED_VALUE"""),"No")</f>
        <v>No</v>
      </c>
      <c r="AK52" s="5" t="str">
        <f ca="1">IFERROR(__xludf.DUMMYFUNCTION("""COMPUTED_VALUE"""),"No")</f>
        <v>No</v>
      </c>
      <c r="AL52" s="5" t="str">
        <f ca="1">IFERROR(__xludf.DUMMYFUNCTION("""COMPUTED_VALUE"""),"No")</f>
        <v>No</v>
      </c>
      <c r="AM52" s="5"/>
      <c r="AN52" s="5"/>
      <c r="AO52" s="5"/>
      <c r="AP52" s="5"/>
      <c r="AQ52" s="5" t="str">
        <f ca="1">IFERROR(__xludf.DUMMYFUNCTION("""COMPUTED_VALUE"""),"No")</f>
        <v>No</v>
      </c>
      <c r="AR52" s="5"/>
      <c r="AS52" s="5"/>
      <c r="AT52" s="5"/>
      <c r="AU52" s="5"/>
    </row>
    <row r="53" spans="1:47" x14ac:dyDescent="0.25">
      <c r="A53" s="5" t="str">
        <f ca="1">IFERROR(__xludf.DUMMYFUNCTION("""COMPUTED_VALUE"""),"Tiptop")</f>
        <v>Tiptop</v>
      </c>
      <c r="B53" s="5" t="str">
        <f ca="1">IFERROR(__xludf.DUMMYFUNCTION("""COMPUTED_VALUE"""),"Froot Classic")</f>
        <v>Froot Classic</v>
      </c>
      <c r="C53" s="5" t="str">
        <f ca="1">IFERROR(__xludf.DUMMYFUNCTION("""COMPUTED_VALUE"""),"UnicornFrootClassic")</f>
        <v>UnicornFrootClassic</v>
      </c>
      <c r="D53" s="6">
        <f ca="1">IFERROR(__xludf.DUMMYFUNCTION("""COMPUTED_VALUE"""),45455)</f>
        <v>45455</v>
      </c>
      <c r="E53" s="5" t="str">
        <f ca="1">IFERROR(__xludf.DUMMYFUNCTION("""COMPUTED_VALUE"""),"Slot")</f>
        <v>Slot</v>
      </c>
      <c r="F53" s="5">
        <f ca="1">IFERROR(__xludf.DUMMYFUNCTION("""COMPUTED_VALUE"""),12.2)</f>
        <v>12.2</v>
      </c>
      <c r="G53" s="5" t="str">
        <f ca="1">IFERROR(__xludf.DUMMYFUNCTION("""COMPUTED_VALUE"""),"5X3")</f>
        <v>5X3</v>
      </c>
      <c r="H53" s="5" t="str">
        <f ca="1">IFERROR(__xludf.DUMMYFUNCTION("""COMPUTED_VALUE"""),"5")</f>
        <v>5</v>
      </c>
      <c r="I53" s="5" t="str">
        <f ca="1">IFERROR(__xludf.DUMMYFUNCTION("""COMPUTED_VALUE"""),"5")</f>
        <v>5</v>
      </c>
      <c r="J53" s="5" t="str">
        <f ca="1">IFERROR(__xludf.DUMMYFUNCTION("""COMPUTED_VALUE"""),"96%")</f>
        <v>96%</v>
      </c>
      <c r="K53" s="5" t="str">
        <f ca="1">IFERROR(__xludf.DUMMYFUNCTION("""COMPUTED_VALUE"""),"Low")</f>
        <v>Low</v>
      </c>
      <c r="L53" s="5" t="str">
        <f ca="1">IFERROR(__xludf.DUMMYFUNCTION("""COMPUTED_VALUE"""),"10.57%")</f>
        <v>10.57%</v>
      </c>
      <c r="M53" s="5" t="str">
        <f ca="1">IFERROR(__xludf.DUMMYFUNCTION("""COMPUTED_VALUE"""),"x1200")</f>
        <v>x1200</v>
      </c>
      <c r="N53" s="5" t="str">
        <f ca="1">IFERROR(__xludf.DUMMYFUNCTION("""COMPUTED_VALUE"""),"0.05/100")</f>
        <v>0.05/100</v>
      </c>
      <c r="O53" s="5" t="str">
        <f ca="1">IFERROR(__xludf.DUMMYFUNCTION("""COMPUTED_VALUE"""),"No")</f>
        <v>No</v>
      </c>
      <c r="P53" s="5"/>
      <c r="Q53" s="7" t="str">
        <f ca="1">IFERROR(__xludf.DUMMYFUNCTION("""COMPUTED_VALUE"""),"https://gameserver-store-client-area.orbionlimited.com/Home/IntegrationGameLaunch/client-area?moneyType=0&amp;gameName=UnicornFrootClassic&amp;platform=desktop&amp;languageCode=eng&amp;currency=EUR")</f>
        <v>https://gameserver-store-client-area.orbionlimited.com/Home/IntegrationGameLaunch/client-area?moneyType=0&amp;gameName=UnicornFrootClassic&amp;platform=desktop&amp;languageCode=eng&amp;currency=EUR</v>
      </c>
      <c r="R53" s="5" t="str">
        <f ca="1">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S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IFERROR(__xludf.DUMMYFUNCTION("""COMPUTED_VALUE"""),"Yes")</f>
        <v>Yes</v>
      </c>
      <c r="AA53" s="5" t="str">
        <f ca="1">IFERROR(__xludf.DUMMYFUNCTION("""COMPUTED_VALUE"""),"Yes")</f>
        <v>Yes</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IFERROR(__xludf.DUMMYFUNCTION("""COMPUTED_VALUE"""),"Yes")</f>
        <v>Yes</v>
      </c>
      <c r="AF53" s="5" t="str">
        <f ca="1">IFERROR(__xludf.DUMMYFUNCTION("""COMPUTED_VALUE"""),"Yes")</f>
        <v>Yes</v>
      </c>
      <c r="AG53" s="5" t="str">
        <f ca="1">IFERROR(__xludf.DUMMYFUNCTION("""COMPUTED_VALUE"""),"Yes")</f>
        <v>Yes</v>
      </c>
      <c r="AH53" s="5" t="str">
        <f ca="1">IFERROR(__xludf.DUMMYFUNCTION("""COMPUTED_VALUE"""),"Yes")</f>
        <v>Yes</v>
      </c>
      <c r="AI53" s="5" t="str">
        <f ca="1">IFERROR(__xludf.DUMMYFUNCTION("""COMPUTED_VALUE"""),"Yes")</f>
        <v>Yes</v>
      </c>
      <c r="AJ53" s="5" t="str">
        <f ca="1">IFERROR(__xludf.DUMMYFUNCTION("""COMPUTED_VALUE"""),"Yes")</f>
        <v>Yes</v>
      </c>
      <c r="AK53" s="5" t="str">
        <f ca="1">IFERROR(__xludf.DUMMYFUNCTION("""COMPUTED_VALUE"""),"Yes")</f>
        <v>Yes</v>
      </c>
      <c r="AL53" s="5" t="str">
        <f ca="1">IFERROR(__xludf.DUMMYFUNCTION("""COMPUTED_VALUE"""),"Yes")</f>
        <v>Yes</v>
      </c>
      <c r="AM53" s="5"/>
      <c r="AN53" s="5" t="str">
        <f ca="1">IFERROR(__xludf.DUMMYFUNCTION("""COMPUTED_VALUE"""),"Yes")</f>
        <v>Yes</v>
      </c>
      <c r="AO53" s="5"/>
      <c r="AP53" s="5"/>
      <c r="AQ53" s="5" t="str">
        <f ca="1">IFERROR(__xludf.DUMMYFUNCTION("""COMPUTED_VALUE"""),"Yes")</f>
        <v>Yes</v>
      </c>
      <c r="AR53" s="5"/>
      <c r="AS53" s="5"/>
      <c r="AT53" s="5"/>
      <c r="AU53" s="5"/>
    </row>
    <row r="54" spans="1:47" x14ac:dyDescent="0.25">
      <c r="A54" s="5" t="str">
        <f ca="1">IFERROR(__xludf.DUMMYFUNCTION("""COMPUTED_VALUE"""),"Tiptop")</f>
        <v>Tiptop</v>
      </c>
      <c r="B54" s="5" t="str">
        <f ca="1">IFERROR(__xludf.DUMMYFUNCTION("""COMPUTED_VALUE"""),"Dice Wild Lines")</f>
        <v>Dice Wild Lines</v>
      </c>
      <c r="C54" s="5" t="str">
        <f ca="1">IFERROR(__xludf.DUMMYFUNCTION("""COMPUTED_VALUE"""),"UnicornDiceWildLines")</f>
        <v>UnicornDiceWildLines</v>
      </c>
      <c r="D54" s="6">
        <f ca="1">IFERROR(__xludf.DUMMYFUNCTION("""COMPUTED_VALUE"""),45488)</f>
        <v>45488</v>
      </c>
      <c r="E54" s="5" t="str">
        <f ca="1">IFERROR(__xludf.DUMMYFUNCTION("""COMPUTED_VALUE"""),"Dice Slots")</f>
        <v>Dice Slots</v>
      </c>
      <c r="F54" s="5">
        <f ca="1">IFERROR(__xludf.DUMMYFUNCTION("""COMPUTED_VALUE"""),13.3)</f>
        <v>13.3</v>
      </c>
      <c r="G54" s="5" t="str">
        <f ca="1">IFERROR(__xludf.DUMMYFUNCTION("""COMPUTED_VALUE"""),"5X3")</f>
        <v>5X3</v>
      </c>
      <c r="H54" s="5" t="str">
        <f ca="1">IFERROR(__xludf.DUMMYFUNCTION("""COMPUTED_VALUE"""),"10")</f>
        <v>10</v>
      </c>
      <c r="I54" s="5" t="str">
        <f ca="1">IFERROR(__xludf.DUMMYFUNCTION("""COMPUTED_VALUE"""),"10")</f>
        <v>10</v>
      </c>
      <c r="J54" s="5" t="str">
        <f ca="1">IFERROR(__xludf.DUMMYFUNCTION("""COMPUTED_VALUE"""),"96%")</f>
        <v>96%</v>
      </c>
      <c r="K54" s="5" t="str">
        <f ca="1">IFERROR(__xludf.DUMMYFUNCTION("""COMPUTED_VALUE"""),"High")</f>
        <v>High</v>
      </c>
      <c r="L54" s="5" t="str">
        <f ca="1">IFERROR(__xludf.DUMMYFUNCTION("""COMPUTED_VALUE"""),"9.46%")</f>
        <v>9.46%</v>
      </c>
      <c r="M54" s="5" t="str">
        <f ca="1">IFERROR(__xludf.DUMMYFUNCTION("""COMPUTED_VALUE"""),"x1000")</f>
        <v>x1000</v>
      </c>
      <c r="N54" s="5" t="str">
        <f ca="1">IFERROR(__xludf.DUMMYFUNCTION("""COMPUTED_VALUE"""),"0.1/100")</f>
        <v>0.1/100</v>
      </c>
      <c r="O54" s="5" t="str">
        <f ca="1">IFERROR(__xludf.DUMMYFUNCTION("""COMPUTED_VALUE"""),"No")</f>
        <v>No</v>
      </c>
      <c r="P54" s="5"/>
      <c r="Q54" s="7" t="str">
        <f ca="1">IFERROR(__xludf.DUMMYFUNCTION("""COMPUTED_VALUE"""),"https://gameserver-store-client-area.orbionlimited.com/Home/IntegrationGameLaunch/client-area?moneyType=0&amp;gameName=UnicornDiceWildLines&amp;platform=desktop&amp;languageCode=eng&amp;currency=EUR")</f>
        <v>https://gameserver-store-client-area.orbionlimited.com/Home/IntegrationGameLaunch/client-area?moneyType=0&amp;gameName=UnicornDiceWildLines&amp;platform=desktop&amp;languageCode=eng&amp;currency=EUR</v>
      </c>
      <c r="R54" s="5" t="str">
        <f ca="1">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S5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IFERROR(__xludf.DUMMYFUNCTION("""COMPUTED_VALUE"""),"No")</f>
        <v>No</v>
      </c>
      <c r="X54" s="5" t="str">
        <f ca="1">IFERROR(__xludf.DUMMYFUNCTION("""COMPUTED_VALUE"""),"No")</f>
        <v>No</v>
      </c>
      <c r="Y54" s="5" t="str">
        <f ca="1">IFERROR(__xludf.DUMMYFUNCTION("""COMPUTED_VALUE"""),"No")</f>
        <v>No</v>
      </c>
      <c r="Z54" s="5" t="str">
        <f ca="1">IFERROR(__xludf.DUMMYFUNCTION("""COMPUTED_VALUE"""),"No")</f>
        <v>No</v>
      </c>
      <c r="AA54" s="5" t="str">
        <f ca="1">IFERROR(__xludf.DUMMYFUNCTION("""COMPUTED_VALUE"""),"No")</f>
        <v>No</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IFERROR(__xludf.DUMMYFUNCTION("""COMPUTED_VALUE"""),"Yes")</f>
        <v>Yes</v>
      </c>
      <c r="AF54" s="5" t="str">
        <f ca="1">IFERROR(__xludf.DUMMYFUNCTION("""COMPUTED_VALUE"""),"Yes")</f>
        <v>Yes</v>
      </c>
      <c r="AG54" s="5" t="str">
        <f ca="1">IFERROR(__xludf.DUMMYFUNCTION("""COMPUTED_VALUE"""),"No")</f>
        <v>No</v>
      </c>
      <c r="AH54" s="5" t="str">
        <f ca="1">IFERROR(__xludf.DUMMYFUNCTION("""COMPUTED_VALUE"""),"Yes")</f>
        <v>Yes</v>
      </c>
      <c r="AI54" s="5" t="str">
        <f ca="1">IFERROR(__xludf.DUMMYFUNCTION("""COMPUTED_VALUE"""),"No")</f>
        <v>No</v>
      </c>
      <c r="AJ54" s="5" t="str">
        <f ca="1">IFERROR(__xludf.DUMMYFUNCTION("""COMPUTED_VALUE"""),"No")</f>
        <v>No</v>
      </c>
      <c r="AK54" s="5" t="str">
        <f ca="1">IFERROR(__xludf.DUMMYFUNCTION("""COMPUTED_VALUE"""),"No")</f>
        <v>No</v>
      </c>
      <c r="AL54" s="5" t="str">
        <f ca="1">IFERROR(__xludf.DUMMYFUNCTION("""COMPUTED_VALUE"""),"No")</f>
        <v>No</v>
      </c>
      <c r="AM54" s="5"/>
      <c r="AN54" s="5"/>
      <c r="AO54" s="5"/>
      <c r="AP54" s="5"/>
      <c r="AQ54" s="5" t="str">
        <f ca="1">IFERROR(__xludf.DUMMYFUNCTION("""COMPUTED_VALUE"""),"No")</f>
        <v>No</v>
      </c>
      <c r="AR54" s="5"/>
      <c r="AS54" s="5"/>
      <c r="AT54" s="5"/>
      <c r="AU54" s="5"/>
    </row>
    <row r="55" spans="1:47" x14ac:dyDescent="0.25">
      <c r="A55" s="5" t="str">
        <f ca="1">IFERROR(__xludf.DUMMYFUNCTION("""COMPUTED_VALUE"""),"Tiptop")</f>
        <v>Tiptop</v>
      </c>
      <c r="B55" s="5" t="str">
        <f ca="1">IFERROR(__xludf.DUMMYFUNCTION("""COMPUTED_VALUE"""),"Sticky Hot")</f>
        <v>Sticky Hot</v>
      </c>
      <c r="C55" s="5" t="str">
        <f ca="1">IFERROR(__xludf.DUMMYFUNCTION("""COMPUTED_VALUE"""),"UnicornStickyHot")</f>
        <v>UnicornStickyHot</v>
      </c>
      <c r="D55" s="6">
        <f ca="1">IFERROR(__xludf.DUMMYFUNCTION("""COMPUTED_VALUE"""),45503)</f>
        <v>45503</v>
      </c>
      <c r="E55" s="5" t="str">
        <f ca="1">IFERROR(__xludf.DUMMYFUNCTION("""COMPUTED_VALUE"""),"Slot")</f>
        <v>Slot</v>
      </c>
      <c r="F55" s="5">
        <f ca="1">IFERROR(__xludf.DUMMYFUNCTION("""COMPUTED_VALUE"""),12.9)</f>
        <v>12.9</v>
      </c>
      <c r="G55" s="5" t="str">
        <f ca="1">IFERROR(__xludf.DUMMYFUNCTION("""COMPUTED_VALUE"""),"5X3")</f>
        <v>5X3</v>
      </c>
      <c r="H55" s="5" t="str">
        <f ca="1">IFERROR(__xludf.DUMMYFUNCTION("""COMPUTED_VALUE"""),"10")</f>
        <v>10</v>
      </c>
      <c r="I55" s="5" t="str">
        <f ca="1">IFERROR(__xludf.DUMMYFUNCTION("""COMPUTED_VALUE"""),"10")</f>
        <v>10</v>
      </c>
      <c r="J55" s="5" t="str">
        <f ca="1">IFERROR(__xludf.DUMMYFUNCTION("""COMPUTED_VALUE"""),"96%")</f>
        <v>96%</v>
      </c>
      <c r="K55" s="5" t="str">
        <f ca="1">IFERROR(__xludf.DUMMYFUNCTION("""COMPUTED_VALUE"""),"Medium")</f>
        <v>Medium</v>
      </c>
      <c r="L55" s="5" t="str">
        <f ca="1">IFERROR(__xludf.DUMMYFUNCTION("""COMPUTED_VALUE"""),"17.47%")</f>
        <v>17.47%</v>
      </c>
      <c r="M55" s="5" t="str">
        <f ca="1">IFERROR(__xludf.DUMMYFUNCTION("""COMPUTED_VALUE"""),"x3500")</f>
        <v>x3500</v>
      </c>
      <c r="N55" s="5" t="str">
        <f ca="1">IFERROR(__xludf.DUMMYFUNCTION("""COMPUTED_VALUE"""),"0.1/100")</f>
        <v>0.1/100</v>
      </c>
      <c r="O55" s="5" t="str">
        <f ca="1">IFERROR(__xludf.DUMMYFUNCTION("""COMPUTED_VALUE"""),"No")</f>
        <v>No</v>
      </c>
      <c r="P55" s="5"/>
      <c r="Q55" s="7" t="str">
        <f ca="1">IFERROR(__xludf.DUMMYFUNCTION("""COMPUTED_VALUE"""),"https://gameserver-store-client-area.orbionlimited.com/Home/IntegrationGameLaunch/client-area?moneyType=0&amp;gameName=UnicornStickyHot&amp;platform=desktop&amp;languageCode=eng&amp;currency=EUR")</f>
        <v>https://gameserver-store-client-area.orbionlimited.com/Home/IntegrationGameLaunch/client-area?moneyType=0&amp;gameName=UnicornStickyHot&amp;platform=desktop&amp;languageCode=eng&amp;currency=EUR</v>
      </c>
      <c r="R55" s="5" t="str">
        <f ca="1">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S55"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5" s="5" t="str">
        <f ca="1">IFERROR(__xludf.DUMMYFUNCTION("""COMPUTED_VALUE"""),"Yes")</f>
        <v>Yes</v>
      </c>
      <c r="U55" s="5" t="str">
        <f ca="1">IFERROR(__xludf.DUMMYFUNCTION("""COMPUTED_VALUE"""),"Yes")</f>
        <v>Yes</v>
      </c>
      <c r="V55" s="5" t="str">
        <f ca="1">IFERROR(__xludf.DUMMYFUNCTION("""COMPUTED_VALUE"""),"No")</f>
        <v>No</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IFERROR(__xludf.DUMMYFUNCTION("""COMPUTED_VALUE"""),"Yes")</f>
        <v>Yes</v>
      </c>
      <c r="AA55" s="5" t="str">
        <f ca="1">IFERROR(__xludf.DUMMYFUNCTION("""COMPUTED_VALUE"""),"Yes")</f>
        <v>Yes</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IFERROR(__xludf.DUMMYFUNCTION("""COMPUTED_VALUE"""),"Yes")</f>
        <v>Yes</v>
      </c>
      <c r="AF55" s="5" t="str">
        <f ca="1">IFERROR(__xludf.DUMMYFUNCTION("""COMPUTED_VALUE"""),"Yes")</f>
        <v>Yes</v>
      </c>
      <c r="AG55" s="5" t="str">
        <f ca="1">IFERROR(__xludf.DUMMYFUNCTION("""COMPUTED_VALUE"""),"No")</f>
        <v>No</v>
      </c>
      <c r="AH55" s="5" t="str">
        <f ca="1">IFERROR(__xludf.DUMMYFUNCTION("""COMPUTED_VALUE"""),"Yes")</f>
        <v>Yes</v>
      </c>
      <c r="AI55" s="5" t="str">
        <f ca="1">IFERROR(__xludf.DUMMYFUNCTION("""COMPUTED_VALUE"""),"No")</f>
        <v>No</v>
      </c>
      <c r="AJ55" s="5" t="str">
        <f ca="1">IFERROR(__xludf.DUMMYFUNCTION("""COMPUTED_VALUE"""),"No")</f>
        <v>No</v>
      </c>
      <c r="AK55" s="5" t="str">
        <f ca="1">IFERROR(__xludf.DUMMYFUNCTION("""COMPUTED_VALUE"""),"No")</f>
        <v>No</v>
      </c>
      <c r="AL55" s="5" t="str">
        <f ca="1">IFERROR(__xludf.DUMMYFUNCTION("""COMPUTED_VALUE"""),"No")</f>
        <v>No</v>
      </c>
      <c r="AM55" s="5" t="str">
        <f ca="1">IFERROR(__xludf.DUMMYFUNCTION("""COMPUTED_VALUE"""),"No")</f>
        <v>No</v>
      </c>
      <c r="AN55" s="5" t="str">
        <f ca="1">IFERROR(__xludf.DUMMYFUNCTION("""COMPUTED_VALUE"""),"No")</f>
        <v>No</v>
      </c>
      <c r="AO55" s="5" t="str">
        <f ca="1">IFERROR(__xludf.DUMMYFUNCTION("""COMPUTED_VALUE"""),"No")</f>
        <v>No</v>
      </c>
      <c r="AP55" s="5" t="str">
        <f ca="1">IFERROR(__xludf.DUMMYFUNCTION("""COMPUTED_VALUE"""),"No")</f>
        <v>No</v>
      </c>
      <c r="AQ55" s="5" t="str">
        <f ca="1">IFERROR(__xludf.DUMMYFUNCTION("""COMPUTED_VALUE"""),"No")</f>
        <v>No</v>
      </c>
      <c r="AR55" s="5" t="str">
        <f ca="1">IFERROR(__xludf.DUMMYFUNCTION("""COMPUTED_VALUE"""),"No")</f>
        <v>No</v>
      </c>
      <c r="AS55" s="5" t="str">
        <f ca="1">IFERROR(__xludf.DUMMYFUNCTION("""COMPUTED_VALUE"""),"Yes")</f>
        <v>Yes</v>
      </c>
      <c r="AT55" s="5" t="str">
        <f ca="1">IFERROR(__xludf.DUMMYFUNCTION("""COMPUTED_VALUE"""),"No")</f>
        <v>No</v>
      </c>
      <c r="AU55" s="5"/>
    </row>
    <row r="56" spans="1:47" x14ac:dyDescent="0.25">
      <c r="A56" s="5" t="str">
        <f ca="1">IFERROR(__xludf.DUMMYFUNCTION("""COMPUTED_VALUE"""),"Tiptop")</f>
        <v>Tiptop</v>
      </c>
      <c r="B56" s="5" t="str">
        <f ca="1">IFERROR(__xludf.DUMMYFUNCTION("""COMPUTED_VALUE"""),"Buffalo Dice")</f>
        <v>Buffalo Dice</v>
      </c>
      <c r="C56" s="5" t="str">
        <f ca="1">IFERROR(__xludf.DUMMYFUNCTION("""COMPUTED_VALUE"""),"UnicornBuffaloDice")</f>
        <v>UnicornBuffaloDice</v>
      </c>
      <c r="D56" s="6">
        <f ca="1">IFERROR(__xludf.DUMMYFUNCTION("""COMPUTED_VALUE"""),45516)</f>
        <v>45516</v>
      </c>
      <c r="E56" s="5" t="str">
        <f ca="1">IFERROR(__xludf.DUMMYFUNCTION("""COMPUTED_VALUE"""),"Dice Slots")</f>
        <v>Dice Slots</v>
      </c>
      <c r="F56" s="5">
        <f ca="1">IFERROR(__xludf.DUMMYFUNCTION("""COMPUTED_VALUE"""),10.8)</f>
        <v>10.8</v>
      </c>
      <c r="G56" s="5" t="str">
        <f ca="1">IFERROR(__xludf.DUMMYFUNCTION("""COMPUTED_VALUE"""),"5X3")</f>
        <v>5X3</v>
      </c>
      <c r="H56" s="5">
        <f ca="1">IFERROR(__xludf.DUMMYFUNCTION("""COMPUTED_VALUE"""),10)</f>
        <v>10</v>
      </c>
      <c r="I56" s="5">
        <f ca="1">IFERROR(__xludf.DUMMYFUNCTION("""COMPUTED_VALUE"""),10)</f>
        <v>10</v>
      </c>
      <c r="J56" s="5" t="str">
        <f ca="1">IFERROR(__xludf.DUMMYFUNCTION("""COMPUTED_VALUE"""),"96%")</f>
        <v>96%</v>
      </c>
      <c r="K56" s="5" t="str">
        <f ca="1">IFERROR(__xludf.DUMMYFUNCTION("""COMPUTED_VALUE"""),"Low")</f>
        <v>Low</v>
      </c>
      <c r="L56" s="5" t="str">
        <f ca="1">IFERROR(__xludf.DUMMYFUNCTION("""COMPUTED_VALUE"""),"9.08%")</f>
        <v>9.08%</v>
      </c>
      <c r="M56" s="5" t="str">
        <f ca="1">IFERROR(__xludf.DUMMYFUNCTION("""COMPUTED_VALUE"""),"x5000")</f>
        <v>x5000</v>
      </c>
      <c r="N56" s="5" t="str">
        <f ca="1">IFERROR(__xludf.DUMMYFUNCTION("""COMPUTED_VALUE"""),"0.1/100")</f>
        <v>0.1/100</v>
      </c>
      <c r="O56" s="5" t="str">
        <f ca="1">IFERROR(__xludf.DUMMYFUNCTION("""COMPUTED_VALUE"""),"No")</f>
        <v>No</v>
      </c>
      <c r="P56" s="5"/>
      <c r="Q56" s="7" t="str">
        <f ca="1">IFERROR(__xludf.DUMMYFUNCTION("""COMPUTED_VALUE"""),"https://gameserver-store-client-area.orbionlimited.com/Home/IntegrationGameLaunch/client-area?moneyType=0&amp;gameName=UnicornBuffaloDice&amp;platform=desktop&amp;languageCode=eng&amp;currency=EUR")</f>
        <v>https://gameserver-store-client-area.orbionlimited.com/Home/IntegrationGameLaunch/client-area?moneyType=0&amp;gameName=UnicornBuffaloDice&amp;platform=desktop&amp;languageCode=eng&amp;currency=EUR</v>
      </c>
      <c r="R56" s="5" t="str">
        <f ca="1">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S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IFERROR(__xludf.DUMMYFUNCTION("""COMPUTED_VALUE"""),"Yes")</f>
        <v>Yes</v>
      </c>
      <c r="AF56" s="5" t="str">
        <f ca="1">IFERROR(__xludf.DUMMYFUNCTION("""COMPUTED_VALUE"""),"Yes")</f>
        <v>Yes</v>
      </c>
      <c r="AG56" s="5" t="str">
        <f ca="1">IFERROR(__xludf.DUMMYFUNCTION("""COMPUTED_VALUE"""),"Yes")</f>
        <v>Yes</v>
      </c>
      <c r="AH56" s="5" t="str">
        <f ca="1">IFERROR(__xludf.DUMMYFUNCTION("""COMPUTED_VALUE"""),"Yes")</f>
        <v>Yes</v>
      </c>
      <c r="AI56" s="5" t="str">
        <f ca="1">IFERROR(__xludf.DUMMYFUNCTION("""COMPUTED_VALUE"""),"Yes")</f>
        <v>Yes</v>
      </c>
      <c r="AJ56" s="5" t="str">
        <f ca="1">IFERROR(__xludf.DUMMYFUNCTION("""COMPUTED_VALUE"""),"Yes")</f>
        <v>Yes</v>
      </c>
      <c r="AK56" s="5" t="str">
        <f ca="1">IFERROR(__xludf.DUMMYFUNCTION("""COMPUTED_VALUE"""),"Yes")</f>
        <v>Yes</v>
      </c>
      <c r="AL56" s="5" t="str">
        <f ca="1">IFERROR(__xludf.DUMMYFUNCTION("""COMPUTED_VALUE"""),"Yes")</f>
        <v>Yes</v>
      </c>
      <c r="AM56" s="5"/>
      <c r="AN56" s="5" t="str">
        <f ca="1">IFERROR(__xludf.DUMMYFUNCTION("""COMPUTED_VALUE"""),"Yes")</f>
        <v>Yes</v>
      </c>
      <c r="AO56" s="5" t="str">
        <f ca="1">IFERROR(__xludf.DUMMYFUNCTION("""COMPUTED_VALUE"""),"Yes")</f>
        <v>Yes</v>
      </c>
      <c r="AP56" s="5" t="str">
        <f ca="1">IFERROR(__xludf.DUMMYFUNCTION("""COMPUTED_VALUE"""),"Yes")</f>
        <v>Yes</v>
      </c>
      <c r="AQ56" s="5" t="str">
        <f ca="1">IFERROR(__xludf.DUMMYFUNCTION("""COMPUTED_VALUE"""),"Yes")</f>
        <v>Yes</v>
      </c>
      <c r="AR56" s="5" t="str">
        <f ca="1">IFERROR(__xludf.DUMMYFUNCTION("""COMPUTED_VALUE"""),"Yes")</f>
        <v>Yes</v>
      </c>
      <c r="AS56" s="5" t="str">
        <f ca="1">IFERROR(__xludf.DUMMYFUNCTION("""COMPUTED_VALUE"""),"Yes")</f>
        <v>Yes</v>
      </c>
      <c r="AT56" s="5"/>
      <c r="AU56" s="5"/>
    </row>
    <row r="57" spans="1:47" x14ac:dyDescent="0.25">
      <c r="A57" s="5" t="str">
        <f ca="1">IFERROR(__xludf.DUMMYFUNCTION("""COMPUTED_VALUE"""),"Tiptop")</f>
        <v>Tiptop</v>
      </c>
      <c r="B57" s="5" t="str">
        <f ca="1">IFERROR(__xludf.DUMMYFUNCTION("""COMPUTED_VALUE"""),"Lava Dice")</f>
        <v>Lava Dice</v>
      </c>
      <c r="C57" s="5" t="str">
        <f ca="1">IFERROR(__xludf.DUMMYFUNCTION("""COMPUTED_VALUE"""),"UnicornLavaDice")</f>
        <v>UnicornLavaDice</v>
      </c>
      <c r="D57" s="6">
        <f ca="1">IFERROR(__xludf.DUMMYFUNCTION("""COMPUTED_VALUE"""),45476)</f>
        <v>45476</v>
      </c>
      <c r="E57" s="5" t="str">
        <f ca="1">IFERROR(__xludf.DUMMYFUNCTION("""COMPUTED_VALUE"""),"Dice Slots")</f>
        <v>Dice Slots</v>
      </c>
      <c r="F57" s="5">
        <f ca="1">IFERROR(__xludf.DUMMYFUNCTION("""COMPUTED_VALUE"""),10.9)</f>
        <v>10.9</v>
      </c>
      <c r="G57" s="5" t="str">
        <f ca="1">IFERROR(__xludf.DUMMYFUNCTION("""COMPUTED_VALUE"""),"5X3")</f>
        <v>5X3</v>
      </c>
      <c r="H57" s="5">
        <f ca="1">IFERROR(__xludf.DUMMYFUNCTION("""COMPUTED_VALUE"""),10)</f>
        <v>10</v>
      </c>
      <c r="I57" s="5">
        <f ca="1">IFERROR(__xludf.DUMMYFUNCTION("""COMPUTED_VALUE"""),10)</f>
        <v>10</v>
      </c>
      <c r="J57" s="5" t="str">
        <f ca="1">IFERROR(__xludf.DUMMYFUNCTION("""COMPUTED_VALUE"""),"96%")</f>
        <v>96%</v>
      </c>
      <c r="K57" s="5" t="str">
        <f ca="1">IFERROR(__xludf.DUMMYFUNCTION("""COMPUTED_VALUE"""),"Low")</f>
        <v>Low</v>
      </c>
      <c r="L57" s="5" t="str">
        <f ca="1">IFERROR(__xludf.DUMMYFUNCTION("""COMPUTED_VALUE"""),"24.14%")</f>
        <v>24.14%</v>
      </c>
      <c r="M57" s="5" t="str">
        <f ca="1">IFERROR(__xludf.DUMMYFUNCTION("""COMPUTED_VALUE"""),"x10000")</f>
        <v>x10000</v>
      </c>
      <c r="N57" s="5" t="str">
        <f ca="1">IFERROR(__xludf.DUMMYFUNCTION("""COMPUTED_VALUE"""),"0.1/100")</f>
        <v>0.1/100</v>
      </c>
      <c r="O57" s="5" t="str">
        <f ca="1">IFERROR(__xludf.DUMMYFUNCTION("""COMPUTED_VALUE"""),"No")</f>
        <v>No</v>
      </c>
      <c r="P57" s="5"/>
      <c r="Q57" s="7" t="str">
        <f ca="1">IFERROR(__xludf.DUMMYFUNCTION("""COMPUTED_VALUE"""),"https://gameserver-store-client-area.orbionlimited.com/Home/IntegrationGameLaunch/client-area?moneyType=0&amp;gameName=UnicornLavaDice&amp;platform=desktop&amp;languageCode=eng&amp;currency=EUR")</f>
        <v>https://gameserver-store-client-area.orbionlimited.com/Home/IntegrationGameLaunch/client-area?moneyType=0&amp;gameName=UnicornLavaDice&amp;platform=desktop&amp;languageCode=eng&amp;currency=EUR</v>
      </c>
      <c r="R57" s="5" t="str">
        <f ca="1">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S57"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7" s="5" t="str">
        <f ca="1">IFERROR(__xludf.DUMMYFUNCTION("""COMPUTED_VALUE"""),"Yes")</f>
        <v>Yes</v>
      </c>
      <c r="U57" s="5" t="str">
        <f ca="1">IFERROR(__xludf.DUMMYFUNCTION("""COMPUTED_VALUE"""),"Yes")</f>
        <v>Yes</v>
      </c>
      <c r="V57" s="5" t="str">
        <f ca="1">IFERROR(__xludf.DUMMYFUNCTION("""COMPUTED_VALUE"""),"No")</f>
        <v>No</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IFERROR(__xludf.DUMMYFUNCTION("""COMPUTED_VALUE"""),"Yes")</f>
        <v>Yes</v>
      </c>
      <c r="AF57" s="5" t="str">
        <f ca="1">IFERROR(__xludf.DUMMYFUNCTION("""COMPUTED_VALUE"""),"Yes")</f>
        <v>Yes</v>
      </c>
      <c r="AG57" s="5" t="str">
        <f ca="1">IFERROR(__xludf.DUMMYFUNCTION("""COMPUTED_VALUE"""),"No")</f>
        <v>No</v>
      </c>
      <c r="AH57" s="5" t="str">
        <f ca="1">IFERROR(__xludf.DUMMYFUNCTION("""COMPUTED_VALUE"""),"Yes")</f>
        <v>Yes</v>
      </c>
      <c r="AI57" s="5" t="str">
        <f ca="1">IFERROR(__xludf.DUMMYFUNCTION("""COMPUTED_VALUE"""),"No")</f>
        <v>No</v>
      </c>
      <c r="AJ57" s="5" t="str">
        <f ca="1">IFERROR(__xludf.DUMMYFUNCTION("""COMPUTED_VALUE"""),"No")</f>
        <v>No</v>
      </c>
      <c r="AK57" s="5" t="str">
        <f ca="1">IFERROR(__xludf.DUMMYFUNCTION("""COMPUTED_VALUE"""),"No")</f>
        <v>No</v>
      </c>
      <c r="AL57" s="5" t="str">
        <f ca="1">IFERROR(__xludf.DUMMYFUNCTION("""COMPUTED_VALUE"""),"No")</f>
        <v>No</v>
      </c>
      <c r="AM57" s="5" t="str">
        <f ca="1">IFERROR(__xludf.DUMMYFUNCTION("""COMPUTED_VALUE"""),"No")</f>
        <v>No</v>
      </c>
      <c r="AN57" s="5" t="str">
        <f ca="1">IFERROR(__xludf.DUMMYFUNCTION("""COMPUTED_VALUE"""),"No")</f>
        <v>No</v>
      </c>
      <c r="AO57" s="5" t="str">
        <f ca="1">IFERROR(__xludf.DUMMYFUNCTION("""COMPUTED_VALUE"""),"No")</f>
        <v>No</v>
      </c>
      <c r="AP57" s="5" t="str">
        <f ca="1">IFERROR(__xludf.DUMMYFUNCTION("""COMPUTED_VALUE"""),"No")</f>
        <v>No</v>
      </c>
      <c r="AQ57" s="5" t="str">
        <f ca="1">IFERROR(__xludf.DUMMYFUNCTION("""COMPUTED_VALUE"""),"No")</f>
        <v>No</v>
      </c>
      <c r="AR57" s="5" t="str">
        <f ca="1">IFERROR(__xludf.DUMMYFUNCTION("""COMPUTED_VALUE"""),"No")</f>
        <v>No</v>
      </c>
      <c r="AS57" s="5" t="str">
        <f ca="1">IFERROR(__xludf.DUMMYFUNCTION("""COMPUTED_VALUE"""),"Yes")</f>
        <v>Yes</v>
      </c>
      <c r="AT57" s="5" t="str">
        <f ca="1">IFERROR(__xludf.DUMMYFUNCTION("""COMPUTED_VALUE"""),"No")</f>
        <v>No</v>
      </c>
      <c r="AU57" s="5"/>
    </row>
    <row r="58" spans="1:47" x14ac:dyDescent="0.25">
      <c r="A58" s="5" t="str">
        <f ca="1">IFERROR(__xludf.DUMMYFUNCTION("""COMPUTED_VALUE"""),"Tiptop")</f>
        <v>Tiptop</v>
      </c>
      <c r="B58" s="5" t="str">
        <f ca="1">IFERROR(__xludf.DUMMYFUNCTION("""COMPUTED_VALUE"""),"Gold Line Dice")</f>
        <v>Gold Line Dice</v>
      </c>
      <c r="C58" s="5" t="str">
        <f ca="1">IFERROR(__xludf.DUMMYFUNCTION("""COMPUTED_VALUE"""),"UnicornGoldLineDice")</f>
        <v>UnicornGoldLineDice</v>
      </c>
      <c r="D58" s="6">
        <f ca="1">IFERROR(__xludf.DUMMYFUNCTION("""COMPUTED_VALUE"""),45533)</f>
        <v>45533</v>
      </c>
      <c r="E58" s="5" t="str">
        <f ca="1">IFERROR(__xludf.DUMMYFUNCTION("""COMPUTED_VALUE"""),"Dice Slots")</f>
        <v>Dice Slots</v>
      </c>
      <c r="F58" s="5">
        <f ca="1">IFERROR(__xludf.DUMMYFUNCTION("""COMPUTED_VALUE"""),12.9)</f>
        <v>12.9</v>
      </c>
      <c r="G58" s="5" t="str">
        <f ca="1">IFERROR(__xludf.DUMMYFUNCTION("""COMPUTED_VALUE"""),"5X3")</f>
        <v>5X3</v>
      </c>
      <c r="H58" s="5">
        <f ca="1">IFERROR(__xludf.DUMMYFUNCTION("""COMPUTED_VALUE"""),20)</f>
        <v>20</v>
      </c>
      <c r="I58" s="5" t="str">
        <f ca="1">IFERROR(__xludf.DUMMYFUNCTION("""COMPUTED_VALUE"""),"10+1 ")</f>
        <v xml:space="preserve">10+1 </v>
      </c>
      <c r="J58" s="5" t="str">
        <f ca="1">IFERROR(__xludf.DUMMYFUNCTION("""COMPUTED_VALUE"""),"96%")</f>
        <v>96%</v>
      </c>
      <c r="K58" s="5" t="str">
        <f ca="1">IFERROR(__xludf.DUMMYFUNCTION("""COMPUTED_VALUE"""),"Low")</f>
        <v>Low</v>
      </c>
      <c r="L58" s="5" t="str">
        <f ca="1">IFERROR(__xludf.DUMMYFUNCTION("""COMPUTED_VALUE"""),"17.39%")</f>
        <v>17.39%</v>
      </c>
      <c r="M58" s="5" t="str">
        <f ca="1">IFERROR(__xludf.DUMMYFUNCTION("""COMPUTED_VALUE"""),"x10000")</f>
        <v>x10000</v>
      </c>
      <c r="N58" s="5" t="str">
        <f ca="1">IFERROR(__xludf.DUMMYFUNCTION("""COMPUTED_VALUE"""),"0.2/100")</f>
        <v>0.2/100</v>
      </c>
      <c r="O58" s="5" t="str">
        <f ca="1">IFERROR(__xludf.DUMMYFUNCTION("""COMPUTED_VALUE"""),"No")</f>
        <v>No</v>
      </c>
      <c r="P58" s="5"/>
      <c r="Q58" s="7" t="str">
        <f ca="1">IFERROR(__xludf.DUMMYFUNCTION("""COMPUTED_VALUE"""),"https://gameserver-store-client-area.orbionlimited.com/Home/IntegrationGameLaunch/client-area?moneyType=0&amp;gameName=UnicornGoldLineDice&amp;platform=desktop&amp;languageCode=eng&amp;currency=EUR")</f>
        <v>https://gameserver-store-client-area.orbionlimited.com/Home/IntegrationGameLaunch/client-area?moneyType=0&amp;gameName=UnicornGoldLineDice&amp;platform=desktop&amp;languageCode=eng&amp;currency=EUR</v>
      </c>
      <c r="R58" s="5" t="str">
        <f ca="1">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5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 ca="1">IFERROR(__xludf.DUMMYFUNCTION("""COMPUTED_VALUE"""),"Yes")</f>
        <v>Yes</v>
      </c>
      <c r="U58" s="5" t="str">
        <f ca="1">IFERROR(__xludf.DUMMYFUNCTION("""COMPUTED_VALUE"""),"Yes")</f>
        <v>Yes</v>
      </c>
      <c r="V58" s="5" t="str">
        <f ca="1">IFERROR(__xludf.DUMMYFUNCTION("""COMPUTED_VALUE"""),"No")</f>
        <v>No</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IFERROR(__xludf.DUMMYFUNCTION("""COMPUTED_VALUE"""),"Yes")</f>
        <v>Yes</v>
      </c>
      <c r="AF58" s="5" t="str">
        <f ca="1">IFERROR(__xludf.DUMMYFUNCTION("""COMPUTED_VALUE"""),"Yes")</f>
        <v>Yes</v>
      </c>
      <c r="AG58" s="5" t="str">
        <f ca="1">IFERROR(__xludf.DUMMYFUNCTION("""COMPUTED_VALUE"""),"Yes")</f>
        <v>Yes</v>
      </c>
      <c r="AH58" s="5" t="str">
        <f ca="1">IFERROR(__xludf.DUMMYFUNCTION("""COMPUTED_VALUE"""),"Yes")</f>
        <v>Yes</v>
      </c>
      <c r="AI58" s="5" t="str">
        <f ca="1">IFERROR(__xludf.DUMMYFUNCTION("""COMPUTED_VALUE"""),"No")</f>
        <v>No</v>
      </c>
      <c r="AJ58" s="5" t="str">
        <f ca="1">IFERROR(__xludf.DUMMYFUNCTION("""COMPUTED_VALUE"""),"No")</f>
        <v>No</v>
      </c>
      <c r="AK58" s="5" t="str">
        <f ca="1">IFERROR(__xludf.DUMMYFUNCTION("""COMPUTED_VALUE"""),"No")</f>
        <v>No</v>
      </c>
      <c r="AL58" s="5" t="str">
        <f ca="1">IFERROR(__xludf.DUMMYFUNCTION("""COMPUTED_VALUE"""),"No")</f>
        <v>No</v>
      </c>
      <c r="AM58" s="5" t="str">
        <f ca="1">IFERROR(__xludf.DUMMYFUNCTION("""COMPUTED_VALUE"""),"No")</f>
        <v>No</v>
      </c>
      <c r="AN58" s="5" t="str">
        <f ca="1">IFERROR(__xludf.DUMMYFUNCTION("""COMPUTED_VALUE"""),"No")</f>
        <v>No</v>
      </c>
      <c r="AO58" s="5" t="str">
        <f ca="1">IFERROR(__xludf.DUMMYFUNCTION("""COMPUTED_VALUE"""),"No")</f>
        <v>No</v>
      </c>
      <c r="AP58" s="5" t="str">
        <f ca="1">IFERROR(__xludf.DUMMYFUNCTION("""COMPUTED_VALUE"""),"No")</f>
        <v>No</v>
      </c>
      <c r="AQ58" s="5" t="str">
        <f ca="1">IFERROR(__xludf.DUMMYFUNCTION("""COMPUTED_VALUE"""),"No")</f>
        <v>No</v>
      </c>
      <c r="AR58" s="5" t="str">
        <f ca="1">IFERROR(__xludf.DUMMYFUNCTION("""COMPUTED_VALUE"""),"No")</f>
        <v>No</v>
      </c>
      <c r="AS58" s="5" t="str">
        <f ca="1">IFERROR(__xludf.DUMMYFUNCTION("""COMPUTED_VALUE"""),"Yes")</f>
        <v>Yes</v>
      </c>
      <c r="AT58" s="5" t="str">
        <f ca="1">IFERROR(__xludf.DUMMYFUNCTION("""COMPUTED_VALUE"""),"No")</f>
        <v>No</v>
      </c>
      <c r="AU58" s="5"/>
    </row>
    <row r="59" spans="1:47" x14ac:dyDescent="0.25">
      <c r="A59" s="5" t="str">
        <f ca="1">IFERROR(__xludf.DUMMYFUNCTION("""COMPUTED_VALUE"""),"Tiptop")</f>
        <v>Tiptop</v>
      </c>
      <c r="B59" s="5" t="str">
        <f ca="1">IFERROR(__xludf.DUMMYFUNCTION("""COMPUTED_VALUE"""),"Lava Diamonds Christmas")</f>
        <v>Lava Diamonds Christmas</v>
      </c>
      <c r="C59" s="5" t="str">
        <f ca="1">IFERROR(__xludf.DUMMYFUNCTION("""COMPUTED_VALUE"""),"UnicornLavaDiamondsChristmas")</f>
        <v>UnicornLavaDiamondsChristmas</v>
      </c>
      <c r="D59" s="6">
        <f ca="1">IFERROR(__xludf.DUMMYFUNCTION("""COMPUTED_VALUE"""),45588)</f>
        <v>45588</v>
      </c>
      <c r="E59" s="5" t="str">
        <f ca="1">IFERROR(__xludf.DUMMYFUNCTION("""COMPUTED_VALUE"""),"Slot")</f>
        <v>Slot</v>
      </c>
      <c r="F59" s="5">
        <f ca="1">IFERROR(__xludf.DUMMYFUNCTION("""COMPUTED_VALUE"""),11.9)</f>
        <v>11.9</v>
      </c>
      <c r="G59" s="5" t="str">
        <f ca="1">IFERROR(__xludf.DUMMYFUNCTION("""COMPUTED_VALUE"""),"5X3")</f>
        <v>5X3</v>
      </c>
      <c r="H59" s="5">
        <f ca="1">IFERROR(__xludf.DUMMYFUNCTION("""COMPUTED_VALUE"""),10)</f>
        <v>10</v>
      </c>
      <c r="I59" s="5">
        <f ca="1">IFERROR(__xludf.DUMMYFUNCTION("""COMPUTED_VALUE"""),10)</f>
        <v>10</v>
      </c>
      <c r="J59" s="5" t="str">
        <f ca="1">IFERROR(__xludf.DUMMYFUNCTION("""COMPUTED_VALUE"""),"96%")</f>
        <v>96%</v>
      </c>
      <c r="K59" s="5" t="str">
        <f ca="1">IFERROR(__xludf.DUMMYFUNCTION("""COMPUTED_VALUE"""),"Low")</f>
        <v>Low</v>
      </c>
      <c r="L59" s="5" t="str">
        <f ca="1">IFERROR(__xludf.DUMMYFUNCTION("""COMPUTED_VALUE"""),"24.14%")</f>
        <v>24.14%</v>
      </c>
      <c r="M59" s="5" t="str">
        <f ca="1">IFERROR(__xludf.DUMMYFUNCTION("""COMPUTED_VALUE"""),"x10000")</f>
        <v>x10000</v>
      </c>
      <c r="N59" s="5" t="str">
        <f ca="1">IFERROR(__xludf.DUMMYFUNCTION("""COMPUTED_VALUE"""),"0.1/100")</f>
        <v>0.1/100</v>
      </c>
      <c r="O59" s="5" t="str">
        <f ca="1">IFERROR(__xludf.DUMMYFUNCTION("""COMPUTED_VALUE"""),"No")</f>
        <v>No</v>
      </c>
      <c r="P59" s="5"/>
      <c r="Q59" s="7" t="str">
        <f ca="1">IFERROR(__xludf.DUMMYFUNCTION("""COMPUTED_VALUE"""),"https://gameserver-store-client-area.orbionlimited.com/Home/IntegrationGameLaunch/client-area?moneyType=0&amp;gameName=UnicornLavaDiamondsChristmas&amp;platform=desktop&amp;languageCode=eng&amp;currency=EUR")</f>
        <v>https://gameserver-store-client-area.orbionlimited.com/Home/IntegrationGameLaunch/client-area?moneyType=0&amp;gameName=UnicornLavaDiamondsChristmas&amp;platform=desktop&amp;languageCode=eng&amp;currency=EUR</v>
      </c>
      <c r="R59" s="5" t="str">
        <f ca="1">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S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IFERROR(__xludf.DUMMYFUNCTION("""COMPUTED_VALUE"""),"Yes")</f>
        <v>Yes</v>
      </c>
      <c r="AF59" s="5" t="str">
        <f ca="1">IFERROR(__xludf.DUMMYFUNCTION("""COMPUTED_VALUE"""),"Yes")</f>
        <v>Yes</v>
      </c>
      <c r="AG59" s="5" t="str">
        <f ca="1">IFERROR(__xludf.DUMMYFUNCTION("""COMPUTED_VALUE"""),"Yes")</f>
        <v>Yes</v>
      </c>
      <c r="AH59" s="5" t="str">
        <f ca="1">IFERROR(__xludf.DUMMYFUNCTION("""COMPUTED_VALUE"""),"Yes")</f>
        <v>Yes</v>
      </c>
      <c r="AI59" s="5" t="str">
        <f ca="1">IFERROR(__xludf.DUMMYFUNCTION("""COMPUTED_VALUE"""),"Yes")</f>
        <v>Yes</v>
      </c>
      <c r="AJ59" s="5" t="str">
        <f ca="1">IFERROR(__xludf.DUMMYFUNCTION("""COMPUTED_VALUE"""),"Yes")</f>
        <v>Yes</v>
      </c>
      <c r="AK59" s="5" t="str">
        <f ca="1">IFERROR(__xludf.DUMMYFUNCTION("""COMPUTED_VALUE"""),"Yes")</f>
        <v>Yes</v>
      </c>
      <c r="AL59" s="5" t="str">
        <f ca="1">IFERROR(__xludf.DUMMYFUNCTION("""COMPUTED_VALUE"""),"Yes")</f>
        <v>Yes</v>
      </c>
      <c r="AM59" s="5"/>
      <c r="AN59" s="5"/>
      <c r="AO59" s="5"/>
      <c r="AP59" s="5"/>
      <c r="AQ59" s="5" t="str">
        <f ca="1">IFERROR(__xludf.DUMMYFUNCTION("""COMPUTED_VALUE"""),"Yes")</f>
        <v>Yes</v>
      </c>
      <c r="AR59" s="5"/>
      <c r="AS59" s="5"/>
      <c r="AT59" s="5"/>
      <c r="AU59" s="5"/>
    </row>
    <row r="60" spans="1:47" x14ac:dyDescent="0.25">
      <c r="A60" s="5" t="str">
        <f ca="1">IFERROR(__xludf.DUMMYFUNCTION("""COMPUTED_VALUE"""),"Tiptop")</f>
        <v>Tiptop</v>
      </c>
      <c r="B60" s="5" t="str">
        <f ca="1">IFERROR(__xludf.DUMMYFUNCTION("""COMPUTED_VALUE"""),"Pumpkin Horror")</f>
        <v>Pumpkin Horror</v>
      </c>
      <c r="C60" s="5" t="str">
        <f ca="1">IFERROR(__xludf.DUMMYFUNCTION("""COMPUTED_VALUE"""),"UnicornPumpkinHorror")</f>
        <v>UnicornPumpkinHorror</v>
      </c>
      <c r="D60" s="6">
        <f ca="1">IFERROR(__xludf.DUMMYFUNCTION("""COMPUTED_VALUE"""),45576)</f>
        <v>45576</v>
      </c>
      <c r="E60" s="5" t="str">
        <f ca="1">IFERROR(__xludf.DUMMYFUNCTION("""COMPUTED_VALUE"""),"Slot")</f>
        <v>Slot</v>
      </c>
      <c r="F60" s="5">
        <f ca="1">IFERROR(__xludf.DUMMYFUNCTION("""COMPUTED_VALUE"""),12.6)</f>
        <v>12.6</v>
      </c>
      <c r="G60" s="5" t="str">
        <f ca="1">IFERROR(__xludf.DUMMYFUNCTION("""COMPUTED_VALUE"""),"5X3")</f>
        <v>5X3</v>
      </c>
      <c r="H60" s="5">
        <f ca="1">IFERROR(__xludf.DUMMYFUNCTION("""COMPUTED_VALUE"""),10)</f>
        <v>10</v>
      </c>
      <c r="I60" s="5">
        <f ca="1">IFERROR(__xludf.DUMMYFUNCTION("""COMPUTED_VALUE"""),10)</f>
        <v>10</v>
      </c>
      <c r="J60" s="5" t="str">
        <f ca="1">IFERROR(__xludf.DUMMYFUNCTION("""COMPUTED_VALUE"""),"96%")</f>
        <v>96%</v>
      </c>
      <c r="K60" s="5" t="str">
        <f ca="1">IFERROR(__xludf.DUMMYFUNCTION("""COMPUTED_VALUE"""),"Medium")</f>
        <v>Medium</v>
      </c>
      <c r="L60" s="5" t="str">
        <f ca="1">IFERROR(__xludf.DUMMYFUNCTION("""COMPUTED_VALUE"""),"23.31%")</f>
        <v>23.31%</v>
      </c>
      <c r="M60" s="5" t="str">
        <f ca="1">IFERROR(__xludf.DUMMYFUNCTION("""COMPUTED_VALUE"""),"x10000")</f>
        <v>x10000</v>
      </c>
      <c r="N60" s="5" t="str">
        <f ca="1">IFERROR(__xludf.DUMMYFUNCTION("""COMPUTED_VALUE"""),"0.1/100")</f>
        <v>0.1/100</v>
      </c>
      <c r="O60" s="5" t="str">
        <f ca="1">IFERROR(__xludf.DUMMYFUNCTION("""COMPUTED_VALUE"""),"No")</f>
        <v>No</v>
      </c>
      <c r="P60" s="5"/>
      <c r="Q60" s="7" t="str">
        <f ca="1">IFERROR(__xludf.DUMMYFUNCTION("""COMPUTED_VALUE"""),"https://gameserver-store-client-area.orbionlimited.com/Home/IntegrationGameLaunch/client-area?moneyType=0&amp;gameName=UnicornPumpkinHorror&amp;platform=desktop&amp;languageCode=eng&amp;currency=EUR")</f>
        <v>https://gameserver-store-client-area.orbionlimited.com/Home/IntegrationGameLaunch/client-area?moneyType=0&amp;gameName=UnicornPumpkinHorror&amp;platform=desktop&amp;languageCode=eng&amp;currency=EUR</v>
      </c>
      <c r="R60" s="5" t="str">
        <f ca="1">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S6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IFERROR(__xludf.DUMMYFUNCTION("""COMPUTED_VALUE"""),"No")</f>
        <v>No</v>
      </c>
      <c r="X60" s="5" t="str">
        <f ca="1">IFERROR(__xludf.DUMMYFUNCTION("""COMPUTED_VALUE"""),"No")</f>
        <v>No</v>
      </c>
      <c r="Y60" s="5" t="str">
        <f ca="1">IFERROR(__xludf.DUMMYFUNCTION("""COMPUTED_VALUE"""),"No")</f>
        <v>No</v>
      </c>
      <c r="Z60" s="5" t="str">
        <f ca="1">IFERROR(__xludf.DUMMYFUNCTION("""COMPUTED_VALUE"""),"No")</f>
        <v>No</v>
      </c>
      <c r="AA60" s="5" t="str">
        <f ca="1">IFERROR(__xludf.DUMMYFUNCTION("""COMPUTED_VALUE"""),"No")</f>
        <v>No</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IFERROR(__xludf.DUMMYFUNCTION("""COMPUTED_VALUE"""),"Yes")</f>
        <v>Yes</v>
      </c>
      <c r="AF60" s="5" t="str">
        <f ca="1">IFERROR(__xludf.DUMMYFUNCTION("""COMPUTED_VALUE"""),"Yes")</f>
        <v>Yes</v>
      </c>
      <c r="AG60" s="5" t="str">
        <f ca="1">IFERROR(__xludf.DUMMYFUNCTION("""COMPUTED_VALUE"""),"No")</f>
        <v>No</v>
      </c>
      <c r="AH60" s="5" t="str">
        <f ca="1">IFERROR(__xludf.DUMMYFUNCTION("""COMPUTED_VALUE"""),"Yes")</f>
        <v>Yes</v>
      </c>
      <c r="AI60" s="5" t="str">
        <f ca="1">IFERROR(__xludf.DUMMYFUNCTION("""COMPUTED_VALUE"""),"No")</f>
        <v>No</v>
      </c>
      <c r="AJ60" s="5" t="str">
        <f ca="1">IFERROR(__xludf.DUMMYFUNCTION("""COMPUTED_VALUE"""),"No")</f>
        <v>No</v>
      </c>
      <c r="AK60" s="5" t="str">
        <f ca="1">IFERROR(__xludf.DUMMYFUNCTION("""COMPUTED_VALUE"""),"No")</f>
        <v>No</v>
      </c>
      <c r="AL60" s="5" t="str">
        <f ca="1">IFERROR(__xludf.DUMMYFUNCTION("""COMPUTED_VALUE"""),"No")</f>
        <v>No</v>
      </c>
      <c r="AM60" s="5"/>
      <c r="AN60" s="5"/>
      <c r="AO60" s="5"/>
      <c r="AP60" s="5"/>
      <c r="AQ60" s="5" t="str">
        <f ca="1">IFERROR(__xludf.DUMMYFUNCTION("""COMPUTED_VALUE"""),"No")</f>
        <v>No</v>
      </c>
      <c r="AR60" s="5"/>
      <c r="AS60" s="5"/>
      <c r="AT60" s="5"/>
      <c r="AU60" s="5"/>
    </row>
    <row r="61" spans="1:47" x14ac:dyDescent="0.25">
      <c r="A61" s="5" t="str">
        <f ca="1">IFERROR(__xludf.DUMMYFUNCTION("""COMPUTED_VALUE"""),"Tiptop")</f>
        <v>Tiptop</v>
      </c>
      <c r="B61" s="5" t="str">
        <f ca="1">IFERROR(__xludf.DUMMYFUNCTION("""COMPUTED_VALUE"""),"Hit Line")</f>
        <v>Hit Line</v>
      </c>
      <c r="C61" s="5" t="str">
        <f ca="1">IFERROR(__xludf.DUMMYFUNCTION("""COMPUTED_VALUE"""),"UnicornHitLine")</f>
        <v>UnicornHitLine</v>
      </c>
      <c r="D61" s="6">
        <f ca="1">IFERROR(__xludf.DUMMYFUNCTION("""COMPUTED_VALUE"""),45547)</f>
        <v>45547</v>
      </c>
      <c r="E61" s="5" t="str">
        <f ca="1">IFERROR(__xludf.DUMMYFUNCTION("""COMPUTED_VALUE"""),"Slot")</f>
        <v>Slot</v>
      </c>
      <c r="F61" s="5">
        <f ca="1">IFERROR(__xludf.DUMMYFUNCTION("""COMPUTED_VALUE"""),13.3)</f>
        <v>13.3</v>
      </c>
      <c r="G61" s="5" t="str">
        <f ca="1">IFERROR(__xludf.DUMMYFUNCTION("""COMPUTED_VALUE"""),"5X3")</f>
        <v>5X3</v>
      </c>
      <c r="H61" s="5">
        <f ca="1">IFERROR(__xludf.DUMMYFUNCTION("""COMPUTED_VALUE"""),10)</f>
        <v>10</v>
      </c>
      <c r="I61" s="5">
        <f ca="1">IFERROR(__xludf.DUMMYFUNCTION("""COMPUTED_VALUE"""),10)</f>
        <v>10</v>
      </c>
      <c r="J61" s="5" t="str">
        <f ca="1">IFERROR(__xludf.DUMMYFUNCTION("""COMPUTED_VALUE"""),"96%")</f>
        <v>96%</v>
      </c>
      <c r="K61" s="5" t="str">
        <f ca="1">IFERROR(__xludf.DUMMYFUNCTION("""COMPUTED_VALUE"""),"Low")</f>
        <v>Low</v>
      </c>
      <c r="L61" s="5" t="str">
        <f ca="1">IFERROR(__xludf.DUMMYFUNCTION("""COMPUTED_VALUE"""),"10.88%")</f>
        <v>10.88%</v>
      </c>
      <c r="M61" s="5" t="str">
        <f ca="1">IFERROR(__xludf.DUMMYFUNCTION("""COMPUTED_VALUE"""),"x8000")</f>
        <v>x8000</v>
      </c>
      <c r="N61" s="5" t="str">
        <f ca="1">IFERROR(__xludf.DUMMYFUNCTION("""COMPUTED_VALUE"""),"0.1/100")</f>
        <v>0.1/100</v>
      </c>
      <c r="O61" s="5" t="str">
        <f ca="1">IFERROR(__xludf.DUMMYFUNCTION("""COMPUTED_VALUE"""),"No")</f>
        <v>No</v>
      </c>
      <c r="P61" s="5"/>
      <c r="Q61" s="7" t="str">
        <f ca="1">IFERROR(__xludf.DUMMYFUNCTION("""COMPUTED_VALUE"""),"https://gameserver-store-client-area.orbionlimited.com/Home/IntegrationGameLaunch/client-area?moneyType=0&amp;gameName=UnicornHitLine&amp;platform=desktop&amp;languageCode=eng&amp;currency=EUR")</f>
        <v>https://gameserver-store-client-area.orbionlimited.com/Home/IntegrationGameLaunch/client-area?moneyType=0&amp;gameName=UnicornHitLine&amp;platform=desktop&amp;languageCode=eng&amp;currency=EUR</v>
      </c>
      <c r="R61" s="5" t="str">
        <f ca="1">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IFERROR(__xludf.DUMMYFUNCTION("""COMPUTED_VALUE"""),"No")</f>
        <v>No</v>
      </c>
      <c r="X61" s="5" t="str">
        <f ca="1">IFERROR(__xludf.DUMMYFUNCTION("""COMPUTED_VALUE"""),"No")</f>
        <v>No</v>
      </c>
      <c r="Y61" s="5" t="str">
        <f ca="1">IFERROR(__xludf.DUMMYFUNCTION("""COMPUTED_VALUE"""),"No")</f>
        <v>No</v>
      </c>
      <c r="Z61" s="5" t="str">
        <f ca="1">IFERROR(__xludf.DUMMYFUNCTION("""COMPUTED_VALUE"""),"No")</f>
        <v>No</v>
      </c>
      <c r="AA61" s="5" t="str">
        <f ca="1">IFERROR(__xludf.DUMMYFUNCTION("""COMPUTED_VALUE"""),"No")</f>
        <v>No</v>
      </c>
      <c r="AB61" s="5" t="str">
        <f ca="1">IFERROR(__xludf.DUMMYFUNCTION("""COMPUTED_VALUE"""),"Yes")</f>
        <v>Yes</v>
      </c>
      <c r="AC61" s="5" t="str">
        <f ca="1">IFERROR(__xludf.DUMMYFUNCTION("""COMPUTED_VALUE"""),"Yes")</f>
        <v>Yes</v>
      </c>
      <c r="AD61" s="5" t="str">
        <f ca="1">IFERROR(__xludf.DUMMYFUNCTION("""COMPUTED_VALUE"""),"Yes")</f>
        <v>Yes</v>
      </c>
      <c r="AE61" s="5" t="str">
        <f ca="1">IFERROR(__xludf.DUMMYFUNCTION("""COMPUTED_VALUE"""),"Yes")</f>
        <v>Yes</v>
      </c>
      <c r="AF61" s="5" t="str">
        <f ca="1">IFERROR(__xludf.DUMMYFUNCTION("""COMPUTED_VALUE"""),"Yes")</f>
        <v>Yes</v>
      </c>
      <c r="AG61" s="5" t="str">
        <f ca="1">IFERROR(__xludf.DUMMYFUNCTION("""COMPUTED_VALUE"""),"No")</f>
        <v>No</v>
      </c>
      <c r="AH61" s="5" t="str">
        <f ca="1">IFERROR(__xludf.DUMMYFUNCTION("""COMPUTED_VALUE"""),"Yes")</f>
        <v>Yes</v>
      </c>
      <c r="AI61" s="5" t="str">
        <f ca="1">IFERROR(__xludf.DUMMYFUNCTION("""COMPUTED_VALUE"""),"No")</f>
        <v>No</v>
      </c>
      <c r="AJ61" s="5" t="str">
        <f ca="1">IFERROR(__xludf.DUMMYFUNCTION("""COMPUTED_VALUE"""),"No")</f>
        <v>No</v>
      </c>
      <c r="AK61" s="5" t="str">
        <f ca="1">IFERROR(__xludf.DUMMYFUNCTION("""COMPUTED_VALUE"""),"No")</f>
        <v>No</v>
      </c>
      <c r="AL61" s="5" t="str">
        <f ca="1">IFERROR(__xludf.DUMMYFUNCTION("""COMPUTED_VALUE"""),"No")</f>
        <v>No</v>
      </c>
      <c r="AM61" s="5"/>
      <c r="AN61" s="5"/>
      <c r="AO61" s="5"/>
      <c r="AP61" s="5"/>
      <c r="AQ61" s="5" t="str">
        <f ca="1">IFERROR(__xludf.DUMMYFUNCTION("""COMPUTED_VALUE"""),"No")</f>
        <v>No</v>
      </c>
      <c r="AR61" s="5"/>
      <c r="AS61" s="5"/>
      <c r="AT61" s="5"/>
      <c r="AU61" s="5"/>
    </row>
    <row r="62" spans="1:47" x14ac:dyDescent="0.25">
      <c r="A62" s="5" t="str">
        <f ca="1">IFERROR(__xludf.DUMMYFUNCTION("""COMPUTED_VALUE"""),"Tiptop")</f>
        <v>Tiptop</v>
      </c>
      <c r="B62" s="5" t="str">
        <f ca="1">IFERROR(__xludf.DUMMYFUNCTION("""COMPUTED_VALUE"""),"20 Super Flames")</f>
        <v>20 Super Flames</v>
      </c>
      <c r="C62" s="5" t="str">
        <f ca="1">IFERROR(__xludf.DUMMYFUNCTION("""COMPUTED_VALUE"""),"Unicorn20SuperFlames")</f>
        <v>Unicorn20SuperFlames</v>
      </c>
      <c r="D62" s="6">
        <f ca="1">IFERROR(__xludf.DUMMYFUNCTION("""COMPUTED_VALUE"""),45580)</f>
        <v>45580</v>
      </c>
      <c r="E62" s="5" t="str">
        <f ca="1">IFERROR(__xludf.DUMMYFUNCTION("""COMPUTED_VALUE"""),"Slot")</f>
        <v>Slot</v>
      </c>
      <c r="F62" s="5">
        <f ca="1">IFERROR(__xludf.DUMMYFUNCTION("""COMPUTED_VALUE"""),9.2)</f>
        <v>9.1999999999999993</v>
      </c>
      <c r="G62" s="5" t="str">
        <f ca="1">IFERROR(__xludf.DUMMYFUNCTION("""COMPUTED_VALUE"""),"5X3")</f>
        <v>5X3</v>
      </c>
      <c r="H62" s="5">
        <f ca="1">IFERROR(__xludf.DUMMYFUNCTION("""COMPUTED_VALUE"""),20)</f>
        <v>20</v>
      </c>
      <c r="I62" s="5">
        <f ca="1">IFERROR(__xludf.DUMMYFUNCTION("""COMPUTED_VALUE"""),20)</f>
        <v>20</v>
      </c>
      <c r="J62" s="5" t="str">
        <f ca="1">IFERROR(__xludf.DUMMYFUNCTION("""COMPUTED_VALUE"""),"96%")</f>
        <v>96%</v>
      </c>
      <c r="K62" s="5" t="str">
        <f ca="1">IFERROR(__xludf.DUMMYFUNCTION("""COMPUTED_VALUE"""),"Low")</f>
        <v>Low</v>
      </c>
      <c r="L62" s="5" t="str">
        <f ca="1">IFERROR(__xludf.DUMMYFUNCTION("""COMPUTED_VALUE"""),"16.45%")</f>
        <v>16.45%</v>
      </c>
      <c r="M62" s="5" t="str">
        <f ca="1">IFERROR(__xludf.DUMMYFUNCTION("""COMPUTED_VALUE"""),"x2000")</f>
        <v>x2000</v>
      </c>
      <c r="N62" s="5" t="str">
        <f ca="1">IFERROR(__xludf.DUMMYFUNCTION("""COMPUTED_VALUE"""),"0.2/100")</f>
        <v>0.2/100</v>
      </c>
      <c r="O62" s="5" t="str">
        <f ca="1">IFERROR(__xludf.DUMMYFUNCTION("""COMPUTED_VALUE"""),"No")</f>
        <v>No</v>
      </c>
      <c r="P62" s="5"/>
      <c r="Q62" s="7" t="str">
        <f ca="1">IFERROR(__xludf.DUMMYFUNCTION("""COMPUTED_VALUE"""),"https://gameserver-store-client-area.orbionlimited.com/Home/IntegrationGameLaunch/client-area?moneyType=0&amp;gameName=Unicorn20SuperFlames&amp;platform=desktop&amp;languageCode=eng&amp;currency=EUR")</f>
        <v>https://gameserver-store-client-area.orbionlimited.com/Home/IntegrationGameLaunch/client-area?moneyType=0&amp;gameName=Unicorn20SuperFlames&amp;platform=desktop&amp;languageCode=eng&amp;currency=EUR</v>
      </c>
      <c r="R62" s="5" t="str">
        <f ca="1">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S6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5" t="str">
        <f ca="1">IFERROR(__xludf.DUMMYFUNCTION("""COMPUTED_VALUE"""),"Yes")</f>
        <v>Yes</v>
      </c>
      <c r="U62" s="5" t="str">
        <f ca="1">IFERROR(__xludf.DUMMYFUNCTION("""COMPUTED_VALUE"""),"Yes")</f>
        <v>Yes</v>
      </c>
      <c r="V62" s="5" t="str">
        <f ca="1">IFERROR(__xludf.DUMMYFUNCTION("""COMPUTED_VALUE"""),"No")</f>
        <v>No</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IFERROR(__xludf.DUMMYFUNCTION("""COMPUTED_VALUE"""),"Yes")</f>
        <v>Yes</v>
      </c>
      <c r="AA62" s="5" t="str">
        <f ca="1">IFERROR(__xludf.DUMMYFUNCTION("""COMPUTED_VALUE"""),"Yes")</f>
        <v>Yes</v>
      </c>
      <c r="AB62" s="5" t="str">
        <f ca="1">IFERROR(__xludf.DUMMYFUNCTION("""COMPUTED_VALUE"""),"Yes")</f>
        <v>Yes</v>
      </c>
      <c r="AC62" s="5" t="str">
        <f ca="1">IFERROR(__xludf.DUMMYFUNCTION("""COMPUTED_VALUE"""),"Yes")</f>
        <v>Yes</v>
      </c>
      <c r="AD62" s="5" t="str">
        <f ca="1">IFERROR(__xludf.DUMMYFUNCTION("""COMPUTED_VALUE"""),"Yes")</f>
        <v>Yes</v>
      </c>
      <c r="AE62" s="5" t="str">
        <f ca="1">IFERROR(__xludf.DUMMYFUNCTION("""COMPUTED_VALUE"""),"Yes")</f>
        <v>Yes</v>
      </c>
      <c r="AF62" s="5" t="str">
        <f ca="1">IFERROR(__xludf.DUMMYFUNCTION("""COMPUTED_VALUE"""),"Yes")</f>
        <v>Yes</v>
      </c>
      <c r="AG62" s="5" t="str">
        <f ca="1">IFERROR(__xludf.DUMMYFUNCTION("""COMPUTED_VALUE"""),"Yes")</f>
        <v>Yes</v>
      </c>
      <c r="AH62" s="5" t="str">
        <f ca="1">IFERROR(__xludf.DUMMYFUNCTION("""COMPUTED_VALUE"""),"Yes")</f>
        <v>Yes</v>
      </c>
      <c r="AI62" s="5" t="str">
        <f ca="1">IFERROR(__xludf.DUMMYFUNCTION("""COMPUTED_VALUE"""),"No")</f>
        <v>No</v>
      </c>
      <c r="AJ62" s="5" t="str">
        <f ca="1">IFERROR(__xludf.DUMMYFUNCTION("""COMPUTED_VALUE"""),"No")</f>
        <v>No</v>
      </c>
      <c r="AK62" s="5" t="str">
        <f ca="1">IFERROR(__xludf.DUMMYFUNCTION("""COMPUTED_VALUE"""),"No")</f>
        <v>No</v>
      </c>
      <c r="AL62" s="5" t="str">
        <f ca="1">IFERROR(__xludf.DUMMYFUNCTION("""COMPUTED_VALUE"""),"No")</f>
        <v>No</v>
      </c>
      <c r="AM62" s="5" t="str">
        <f ca="1">IFERROR(__xludf.DUMMYFUNCTION("""COMPUTED_VALUE"""),"No")</f>
        <v>No</v>
      </c>
      <c r="AN62" s="5" t="str">
        <f ca="1">IFERROR(__xludf.DUMMYFUNCTION("""COMPUTED_VALUE"""),"No")</f>
        <v>No</v>
      </c>
      <c r="AO62" s="5" t="str">
        <f ca="1">IFERROR(__xludf.DUMMYFUNCTION("""COMPUTED_VALUE"""),"No")</f>
        <v>No</v>
      </c>
      <c r="AP62" s="5" t="str">
        <f ca="1">IFERROR(__xludf.DUMMYFUNCTION("""COMPUTED_VALUE"""),"No")</f>
        <v>No</v>
      </c>
      <c r="AQ62" s="5" t="str">
        <f ca="1">IFERROR(__xludf.DUMMYFUNCTION("""COMPUTED_VALUE"""),"No")</f>
        <v>No</v>
      </c>
      <c r="AR62" s="5" t="str">
        <f ca="1">IFERROR(__xludf.DUMMYFUNCTION("""COMPUTED_VALUE"""),"No")</f>
        <v>No</v>
      </c>
      <c r="AS62" s="5" t="str">
        <f ca="1">IFERROR(__xludf.DUMMYFUNCTION("""COMPUTED_VALUE"""),"Yes")</f>
        <v>Yes</v>
      </c>
      <c r="AT62" s="5" t="str">
        <f ca="1">IFERROR(__xludf.DUMMYFUNCTION("""COMPUTED_VALUE"""),"No")</f>
        <v>No</v>
      </c>
      <c r="AU62" s="5"/>
    </row>
    <row r="63" spans="1:47" x14ac:dyDescent="0.25">
      <c r="A63" s="5" t="str">
        <f ca="1">IFERROR(__xludf.DUMMYFUNCTION("""COMPUTED_VALUE"""),"Tiptop")</f>
        <v>Tiptop</v>
      </c>
      <c r="B63" s="5" t="str">
        <f ca="1">IFERROR(__xludf.DUMMYFUNCTION("""COMPUTED_VALUE"""),"20 Hot Strike Jackpot")</f>
        <v>20 Hot Strike Jackpot</v>
      </c>
      <c r="C63" s="5" t="str">
        <f ca="1">IFERROR(__xludf.DUMMYFUNCTION("""COMPUTED_VALUE"""),"Unicorn20HotStrikeJackpot")</f>
        <v>Unicorn20HotStrikeJackpot</v>
      </c>
      <c r="D63" s="6">
        <f ca="1">IFERROR(__xludf.DUMMYFUNCTION("""COMPUTED_VALUE"""),45603)</f>
        <v>45603</v>
      </c>
      <c r="E63" s="5" t="str">
        <f ca="1">IFERROR(__xludf.DUMMYFUNCTION("""COMPUTED_VALUE"""),"Slot")</f>
        <v>Slot</v>
      </c>
      <c r="F63" s="5">
        <f ca="1">IFERROR(__xludf.DUMMYFUNCTION("""COMPUTED_VALUE"""),14.2)</f>
        <v>14.2</v>
      </c>
      <c r="G63" s="5" t="str">
        <f ca="1">IFERROR(__xludf.DUMMYFUNCTION("""COMPUTED_VALUE"""),"5X3")</f>
        <v>5X3</v>
      </c>
      <c r="H63" s="5">
        <f ca="1">IFERROR(__xludf.DUMMYFUNCTION("""COMPUTED_VALUE"""),20)</f>
        <v>20</v>
      </c>
      <c r="I63" s="5">
        <f ca="1">IFERROR(__xludf.DUMMYFUNCTION("""COMPUTED_VALUE"""),20)</f>
        <v>20</v>
      </c>
      <c r="J63" s="5" t="str">
        <f ca="1">IFERROR(__xludf.DUMMYFUNCTION("""COMPUTED_VALUE"""),"96%")</f>
        <v>96%</v>
      </c>
      <c r="K63" s="5" t="str">
        <f ca="1">IFERROR(__xludf.DUMMYFUNCTION("""COMPUTED_VALUE"""),"Low")</f>
        <v>Low</v>
      </c>
      <c r="L63" s="5" t="str">
        <f ca="1">IFERROR(__xludf.DUMMYFUNCTION("""COMPUTED_VALUE"""),"14.46%")</f>
        <v>14.46%</v>
      </c>
      <c r="M63" s="5" t="str">
        <f ca="1">IFERROR(__xludf.DUMMYFUNCTION("""COMPUTED_VALUE"""),"x10000")</f>
        <v>x10000</v>
      </c>
      <c r="N63" s="5" t="str">
        <f ca="1">IFERROR(__xludf.DUMMYFUNCTION("""COMPUTED_VALUE"""),"0.2/100")</f>
        <v>0.2/100</v>
      </c>
      <c r="O63" s="5" t="str">
        <f ca="1">IFERROR(__xludf.DUMMYFUNCTION("""COMPUTED_VALUE"""),"No")</f>
        <v>No</v>
      </c>
      <c r="P63" s="5"/>
      <c r="Q63" s="7" t="str">
        <f ca="1">IFERROR(__xludf.DUMMYFUNCTION("""COMPUTED_VALUE"""),"https://gameserver-store-client-area.orbionlimited.com/Home/IntegrationGameLaunch/client-area?moneyType=0&amp;gameName=Unicorn20HotStrikeJackpot&amp;platform=desktop&amp;languageCode=eng&amp;currency=EUR")</f>
        <v>https://gameserver-store-client-area.orbionlimited.com/Home/IntegrationGameLaunch/client-area?moneyType=0&amp;gameName=Unicorn20HotStrikeJackpot&amp;platform=desktop&amp;languageCode=eng&amp;currency=EUR</v>
      </c>
      <c r="R63" s="5" t="str">
        <f ca="1">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3" s="5" t="str">
        <f ca="1">IFERROR(__xludf.DUMMYFUNCTION("""COMPUTED_VALUE"""),"Yes")</f>
        <v>Yes</v>
      </c>
      <c r="U63" s="5" t="str">
        <f ca="1">IFERROR(__xludf.DUMMYFUNCTION("""COMPUTED_VALUE"""),"Yes")</f>
        <v>Yes</v>
      </c>
      <c r="V63" s="5" t="str">
        <f ca="1">IFERROR(__xludf.DUMMYFUNCTION("""COMPUTED_VALUE"""),"Yes")</f>
        <v>Yes</v>
      </c>
      <c r="W63" s="5" t="str">
        <f ca="1">IFERROR(__xludf.DUMMYFUNCTION("""COMPUTED_VALUE"""),"No")</f>
        <v>No</v>
      </c>
      <c r="X63" s="5" t="str">
        <f ca="1">IFERROR(__xludf.DUMMYFUNCTION("""COMPUTED_VALUE"""),"No")</f>
        <v>No</v>
      </c>
      <c r="Y63" s="5" t="str">
        <f ca="1">IFERROR(__xludf.DUMMYFUNCTION("""COMPUTED_VALUE"""),"No")</f>
        <v>No</v>
      </c>
      <c r="Z63" s="5" t="str">
        <f ca="1">IFERROR(__xludf.DUMMYFUNCTION("""COMPUTED_VALUE"""),"No")</f>
        <v>No</v>
      </c>
      <c r="AA63" s="5" t="str">
        <f ca="1">IFERROR(__xludf.DUMMYFUNCTION("""COMPUTED_VALUE"""),"No")</f>
        <v>No</v>
      </c>
      <c r="AB63" s="5" t="str">
        <f ca="1">IFERROR(__xludf.DUMMYFUNCTION("""COMPUTED_VALUE"""),"Yes")</f>
        <v>Yes</v>
      </c>
      <c r="AC63" s="5" t="str">
        <f ca="1">IFERROR(__xludf.DUMMYFUNCTION("""COMPUTED_VALUE"""),"Yes")</f>
        <v>Yes</v>
      </c>
      <c r="AD63" s="5" t="str">
        <f ca="1">IFERROR(__xludf.DUMMYFUNCTION("""COMPUTED_VALUE"""),"Yes")</f>
        <v>Yes</v>
      </c>
      <c r="AE63" s="5" t="str">
        <f ca="1">IFERROR(__xludf.DUMMYFUNCTION("""COMPUTED_VALUE"""),"Yes")</f>
        <v>Yes</v>
      </c>
      <c r="AF63" s="5" t="str">
        <f ca="1">IFERROR(__xludf.DUMMYFUNCTION("""COMPUTED_VALUE"""),"Yes")</f>
        <v>Yes</v>
      </c>
      <c r="AG63" s="5" t="str">
        <f ca="1">IFERROR(__xludf.DUMMYFUNCTION("""COMPUTED_VALUE"""),"No")</f>
        <v>No</v>
      </c>
      <c r="AH63" s="5" t="str">
        <f ca="1">IFERROR(__xludf.DUMMYFUNCTION("""COMPUTED_VALUE"""),"Yes")</f>
        <v>Yes</v>
      </c>
      <c r="AI63" s="5" t="str">
        <f ca="1">IFERROR(__xludf.DUMMYFUNCTION("""COMPUTED_VALUE"""),"No")</f>
        <v>No</v>
      </c>
      <c r="AJ63" s="5" t="str">
        <f ca="1">IFERROR(__xludf.DUMMYFUNCTION("""COMPUTED_VALUE"""),"No")</f>
        <v>No</v>
      </c>
      <c r="AK63" s="5" t="str">
        <f ca="1">IFERROR(__xludf.DUMMYFUNCTION("""COMPUTED_VALUE"""),"No")</f>
        <v>No</v>
      </c>
      <c r="AL63" s="5" t="str">
        <f ca="1">IFERROR(__xludf.DUMMYFUNCTION("""COMPUTED_VALUE"""),"No")</f>
        <v>No</v>
      </c>
      <c r="AM63" s="5"/>
      <c r="AN63" s="5"/>
      <c r="AO63" s="5" t="str">
        <f ca="1">IFERROR(__xludf.DUMMYFUNCTION("""COMPUTED_VALUE"""),"No")</f>
        <v>No</v>
      </c>
      <c r="AP63" s="5"/>
      <c r="AQ63" s="5" t="str">
        <f ca="1">IFERROR(__xludf.DUMMYFUNCTION("""COMPUTED_VALUE"""),"No")</f>
        <v>No</v>
      </c>
      <c r="AR63" s="5"/>
      <c r="AS63" s="5"/>
      <c r="AT63" s="5"/>
      <c r="AU63" s="5"/>
    </row>
    <row r="64" spans="1:47" x14ac:dyDescent="0.25">
      <c r="A64" s="5" t="str">
        <f ca="1">IFERROR(__xludf.DUMMYFUNCTION("""COMPUTED_VALUE"""),"Tiptop")</f>
        <v>Tiptop</v>
      </c>
      <c r="B64" s="5" t="str">
        <f ca="1">IFERROR(__xludf.DUMMYFUNCTION("""COMPUTED_VALUE"""),"Hit Line Dice")</f>
        <v>Hit Line Dice</v>
      </c>
      <c r="C64" s="5" t="str">
        <f ca="1">IFERROR(__xludf.DUMMYFUNCTION("""COMPUTED_VALUE"""),"UnicornHitLineDice")</f>
        <v>UnicornHitLineDice</v>
      </c>
      <c r="D64" s="6">
        <f ca="1">IFERROR(__xludf.DUMMYFUNCTION("""COMPUTED_VALUE"""),45624)</f>
        <v>45624</v>
      </c>
      <c r="E64" s="5" t="str">
        <f ca="1">IFERROR(__xludf.DUMMYFUNCTION("""COMPUTED_VALUE"""),"Dice Slots")</f>
        <v>Dice Slots</v>
      </c>
      <c r="F64" s="5">
        <f ca="1">IFERROR(__xludf.DUMMYFUNCTION("""COMPUTED_VALUE"""),13.4)</f>
        <v>13.4</v>
      </c>
      <c r="G64" s="5" t="str">
        <f ca="1">IFERROR(__xludf.DUMMYFUNCTION("""COMPUTED_VALUE"""),"5X3")</f>
        <v>5X3</v>
      </c>
      <c r="H64" s="5">
        <f ca="1">IFERROR(__xludf.DUMMYFUNCTION("""COMPUTED_VALUE"""),10)</f>
        <v>10</v>
      </c>
      <c r="I64" s="5">
        <f ca="1">IFERROR(__xludf.DUMMYFUNCTION("""COMPUTED_VALUE"""),10)</f>
        <v>10</v>
      </c>
      <c r="J64" s="5" t="str">
        <f ca="1">IFERROR(__xludf.DUMMYFUNCTION("""COMPUTED_VALUE"""),"96%")</f>
        <v>96%</v>
      </c>
      <c r="K64" s="5" t="str">
        <f ca="1">IFERROR(__xludf.DUMMYFUNCTION("""COMPUTED_VALUE"""),"Low")</f>
        <v>Low</v>
      </c>
      <c r="L64" s="5" t="str">
        <f ca="1">IFERROR(__xludf.DUMMYFUNCTION("""COMPUTED_VALUE"""),"10.88%")</f>
        <v>10.88%</v>
      </c>
      <c r="M64" s="5" t="str">
        <f ca="1">IFERROR(__xludf.DUMMYFUNCTION("""COMPUTED_VALUE"""),"x8000")</f>
        <v>x8000</v>
      </c>
      <c r="N64" s="5" t="str">
        <f ca="1">IFERROR(__xludf.DUMMYFUNCTION("""COMPUTED_VALUE"""),"0.1/100")</f>
        <v>0.1/100</v>
      </c>
      <c r="O64" s="5" t="str">
        <f ca="1">IFERROR(__xludf.DUMMYFUNCTION("""COMPUTED_VALUE"""),"No")</f>
        <v>No</v>
      </c>
      <c r="P64" s="5"/>
      <c r="Q64" s="7" t="str">
        <f ca="1">IFERROR(__xludf.DUMMYFUNCTION("""COMPUTED_VALUE"""),"https://gameserver-store-client-area.orbionlimited.com/Home/IntegrationGameLaunch/client-area?moneyType=0&amp;gameName=UnicornHitLineDice&amp;platform=desktop&amp;languageCode=eng&amp;currency=EUR")</f>
        <v>https://gameserver-store-client-area.orbionlimited.com/Home/IntegrationGameLaunch/client-area?moneyType=0&amp;gameName=UnicornHitLineDice&amp;platform=desktop&amp;languageCode=eng&amp;currency=EUR</v>
      </c>
      <c r="R64" s="5" t="str">
        <f ca="1">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IFERROR(__xludf.DUMMYFUNCTION("""COMPUTED_VALUE"""),"No")</f>
        <v>No</v>
      </c>
      <c r="X64" s="5" t="str">
        <f ca="1">IFERROR(__xludf.DUMMYFUNCTION("""COMPUTED_VALUE"""),"No")</f>
        <v>No</v>
      </c>
      <c r="Y64" s="5" t="str">
        <f ca="1">IFERROR(__xludf.DUMMYFUNCTION("""COMPUTED_VALUE"""),"No")</f>
        <v>No</v>
      </c>
      <c r="Z64" s="5" t="str">
        <f ca="1">IFERROR(__xludf.DUMMYFUNCTION("""COMPUTED_VALUE"""),"No")</f>
        <v>No</v>
      </c>
      <c r="AA64" s="5" t="str">
        <f ca="1">IFERROR(__xludf.DUMMYFUNCTION("""COMPUTED_VALUE"""),"No")</f>
        <v>No</v>
      </c>
      <c r="AB64" s="5" t="str">
        <f ca="1">IFERROR(__xludf.DUMMYFUNCTION("""COMPUTED_VALUE"""),"Yes")</f>
        <v>Yes</v>
      </c>
      <c r="AC64" s="5" t="str">
        <f ca="1">IFERROR(__xludf.DUMMYFUNCTION("""COMPUTED_VALUE"""),"Yes")</f>
        <v>Yes</v>
      </c>
      <c r="AD64" s="5" t="str">
        <f ca="1">IFERROR(__xludf.DUMMYFUNCTION("""COMPUTED_VALUE"""),"Yes")</f>
        <v>Yes</v>
      </c>
      <c r="AE64" s="5" t="str">
        <f ca="1">IFERROR(__xludf.DUMMYFUNCTION("""COMPUTED_VALUE"""),"Yes")</f>
        <v>Yes</v>
      </c>
      <c r="AF64" s="5" t="str">
        <f ca="1">IFERROR(__xludf.DUMMYFUNCTION("""COMPUTED_VALUE"""),"Yes")</f>
        <v>Yes</v>
      </c>
      <c r="AG64" s="5" t="str">
        <f ca="1">IFERROR(__xludf.DUMMYFUNCTION("""COMPUTED_VALUE"""),"No")</f>
        <v>No</v>
      </c>
      <c r="AH64" s="5" t="str">
        <f ca="1">IFERROR(__xludf.DUMMYFUNCTION("""COMPUTED_VALUE"""),"Yes")</f>
        <v>Yes</v>
      </c>
      <c r="AI64" s="5" t="str">
        <f ca="1">IFERROR(__xludf.DUMMYFUNCTION("""COMPUTED_VALUE"""),"No")</f>
        <v>No</v>
      </c>
      <c r="AJ64" s="5" t="str">
        <f ca="1">IFERROR(__xludf.DUMMYFUNCTION("""COMPUTED_VALUE"""),"No")</f>
        <v>No</v>
      </c>
      <c r="AK64" s="5" t="str">
        <f ca="1">IFERROR(__xludf.DUMMYFUNCTION("""COMPUTED_VALUE"""),"No")</f>
        <v>No</v>
      </c>
      <c r="AL64" s="5" t="str">
        <f ca="1">IFERROR(__xludf.DUMMYFUNCTION("""COMPUTED_VALUE"""),"No")</f>
        <v>No</v>
      </c>
      <c r="AM64" s="5"/>
      <c r="AN64" s="5"/>
      <c r="AO64" s="5"/>
      <c r="AP64" s="5"/>
      <c r="AQ64" s="5" t="str">
        <f ca="1">IFERROR(__xludf.DUMMYFUNCTION("""COMPUTED_VALUE"""),"No")</f>
        <v>No</v>
      </c>
      <c r="AR64" s="5"/>
      <c r="AS64" s="5"/>
      <c r="AT64" s="5"/>
      <c r="AU64" s="5"/>
    </row>
    <row r="65" spans="1:47" x14ac:dyDescent="0.25">
      <c r="A65" s="5" t="str">
        <f ca="1">IFERROR(__xludf.DUMMYFUNCTION("""COMPUTED_VALUE"""),"Tiptop")</f>
        <v>Tiptop</v>
      </c>
      <c r="B65" s="5" t="str">
        <f ca="1">IFERROR(__xludf.DUMMYFUNCTION("""COMPUTED_VALUE"""),"Dynamite Run")</f>
        <v>Dynamite Run</v>
      </c>
      <c r="C65" s="5" t="str">
        <f ca="1">IFERROR(__xludf.DUMMYFUNCTION("""COMPUTED_VALUE"""),"UnicornDynamiteRun")</f>
        <v>UnicornDynamiteRun</v>
      </c>
      <c r="D65" s="6">
        <f ca="1">IFERROR(__xludf.DUMMYFUNCTION("""COMPUTED_VALUE"""),45644)</f>
        <v>45644</v>
      </c>
      <c r="E65" s="5" t="str">
        <f ca="1">IFERROR(__xludf.DUMMYFUNCTION("""COMPUTED_VALUE"""),"Slot")</f>
        <v>Slot</v>
      </c>
      <c r="F65" s="5">
        <f ca="1">IFERROR(__xludf.DUMMYFUNCTION("""COMPUTED_VALUE"""),12.3)</f>
        <v>12.3</v>
      </c>
      <c r="G65" s="5" t="str">
        <f ca="1">IFERROR(__xludf.DUMMYFUNCTION("""COMPUTED_VALUE"""),"5X3")</f>
        <v>5X3</v>
      </c>
      <c r="H65" s="5">
        <f ca="1">IFERROR(__xludf.DUMMYFUNCTION("""COMPUTED_VALUE"""),10)</f>
        <v>10</v>
      </c>
      <c r="I65" s="5">
        <f ca="1">IFERROR(__xludf.DUMMYFUNCTION("""COMPUTED_VALUE"""),10)</f>
        <v>10</v>
      </c>
      <c r="J65" s="5" t="str">
        <f ca="1">IFERROR(__xludf.DUMMYFUNCTION("""COMPUTED_VALUE"""),"96%")</f>
        <v>96%</v>
      </c>
      <c r="K65" s="5" t="str">
        <f ca="1">IFERROR(__xludf.DUMMYFUNCTION("""COMPUTED_VALUE"""),"Low")</f>
        <v>Low</v>
      </c>
      <c r="L65" s="5" t="str">
        <f ca="1">IFERROR(__xludf.DUMMYFUNCTION("""COMPUTED_VALUE"""),"26.12%")</f>
        <v>26.12%</v>
      </c>
      <c r="M65" s="5" t="str">
        <f ca="1">IFERROR(__xludf.DUMMYFUNCTION("""COMPUTED_VALUE"""),"x1100")</f>
        <v>x1100</v>
      </c>
      <c r="N65" s="5" t="str">
        <f ca="1">IFERROR(__xludf.DUMMYFUNCTION("""COMPUTED_VALUE"""),"0.1/100")</f>
        <v>0.1/100</v>
      </c>
      <c r="O65" s="5" t="str">
        <f ca="1">IFERROR(__xludf.DUMMYFUNCTION("""COMPUTED_VALUE"""),"No")</f>
        <v>No</v>
      </c>
      <c r="P65" s="5"/>
      <c r="Q65" s="7" t="str">
        <f ca="1">IFERROR(__xludf.DUMMYFUNCTION("""COMPUTED_VALUE"""),"https://gameserver-store-client-area.orbionlimited.com/Home/IntegrationGameLaunch/client-area?moneyType=0&amp;gameName=UnicornDynamiteRun&amp;platform=desktop&amp;languageCode=eng&amp;currency=EUR")</f>
        <v>https://gameserver-store-client-area.orbionlimited.com/Home/IntegrationGameLaunch/client-area?moneyType=0&amp;gameName=UnicornDynamiteRun&amp;platform=desktop&amp;languageCode=eng&amp;currency=EUR</v>
      </c>
      <c r="R65" s="5" t="str">
        <f ca="1">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S65" s="5" t="str">
        <f ca="1">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T65" s="5" t="str">
        <f ca="1">IFERROR(__xludf.DUMMYFUNCTION("""COMPUTED_VALUE"""),"Yes")</f>
        <v>Yes</v>
      </c>
      <c r="U65" s="5" t="str">
        <f ca="1">IFERROR(__xludf.DUMMYFUNCTION("""COMPUTED_VALUE"""),"Yes")</f>
        <v>Yes</v>
      </c>
      <c r="V65" s="5" t="str">
        <f ca="1">IFERROR(__xludf.DUMMYFUNCTION("""COMPUTED_VALUE"""),"No")</f>
        <v>No</v>
      </c>
      <c r="W65" s="5" t="str">
        <f ca="1">IFERROR(__xludf.DUMMYFUNCTION("""COMPUTED_VALUE"""),"No")</f>
        <v>No</v>
      </c>
      <c r="X65" s="5" t="str">
        <f ca="1">IFERROR(__xludf.DUMMYFUNCTION("""COMPUTED_VALUE"""),"Yes")</f>
        <v>Yes</v>
      </c>
      <c r="Y65" s="5" t="str">
        <f ca="1">IFERROR(__xludf.DUMMYFUNCTION("""COMPUTED_VALUE"""),"Yes")</f>
        <v>Yes</v>
      </c>
      <c r="Z65" s="5" t="str">
        <f ca="1">IFERROR(__xludf.DUMMYFUNCTION("""COMPUTED_VALUE"""),"Yes")</f>
        <v>Yes</v>
      </c>
      <c r="AA65" s="5" t="str">
        <f ca="1">IFERROR(__xludf.DUMMYFUNCTION("""COMPUTED_VALUE"""),"Yes")</f>
        <v>Yes</v>
      </c>
      <c r="AB65" s="5" t="str">
        <f ca="1">IFERROR(__xludf.DUMMYFUNCTION("""COMPUTED_VALUE"""),"Yes")</f>
        <v>Yes</v>
      </c>
      <c r="AC65" s="5" t="str">
        <f ca="1">IFERROR(__xludf.DUMMYFUNCTION("""COMPUTED_VALUE"""),"Yes")</f>
        <v>Yes</v>
      </c>
      <c r="AD65" s="5" t="str">
        <f ca="1">IFERROR(__xludf.DUMMYFUNCTION("""COMPUTED_VALUE"""),"Yes")</f>
        <v>Yes</v>
      </c>
      <c r="AE65" s="5" t="str">
        <f ca="1">IFERROR(__xludf.DUMMYFUNCTION("""COMPUTED_VALUE"""),"Yes")</f>
        <v>Yes</v>
      </c>
      <c r="AF65" s="5" t="str">
        <f ca="1">IFERROR(__xludf.DUMMYFUNCTION("""COMPUTED_VALUE"""),"Yes")</f>
        <v>Yes</v>
      </c>
      <c r="AG65" s="5" t="str">
        <f ca="1">IFERROR(__xludf.DUMMYFUNCTION("""COMPUTED_VALUE"""),"Yes")</f>
        <v>Yes</v>
      </c>
      <c r="AH65" s="5" t="str">
        <f ca="1">IFERROR(__xludf.DUMMYFUNCTION("""COMPUTED_VALUE"""),"Yes")</f>
        <v>Yes</v>
      </c>
      <c r="AI65" s="5" t="str">
        <f ca="1">IFERROR(__xludf.DUMMYFUNCTION("""COMPUTED_VALUE"""),"No")</f>
        <v>No</v>
      </c>
      <c r="AJ65" s="5" t="str">
        <f ca="1">IFERROR(__xludf.DUMMYFUNCTION("""COMPUTED_VALUE"""),"No")</f>
        <v>No</v>
      </c>
      <c r="AK65" s="5" t="str">
        <f ca="1">IFERROR(__xludf.DUMMYFUNCTION("""COMPUTED_VALUE"""),"No")</f>
        <v>No</v>
      </c>
      <c r="AL65" s="5" t="str">
        <f ca="1">IFERROR(__xludf.DUMMYFUNCTION("""COMPUTED_VALUE"""),"No")</f>
        <v>No</v>
      </c>
      <c r="AM65" s="5" t="str">
        <f ca="1">IFERROR(__xludf.DUMMYFUNCTION("""COMPUTED_VALUE"""),"No")</f>
        <v>No</v>
      </c>
      <c r="AN65" s="5" t="str">
        <f ca="1">IFERROR(__xludf.DUMMYFUNCTION("""COMPUTED_VALUE"""),"No")</f>
        <v>No</v>
      </c>
      <c r="AO65" s="5" t="str">
        <f ca="1">IFERROR(__xludf.DUMMYFUNCTION("""COMPUTED_VALUE"""),"No")</f>
        <v>No</v>
      </c>
      <c r="AP65" s="5" t="str">
        <f ca="1">IFERROR(__xludf.DUMMYFUNCTION("""COMPUTED_VALUE"""),"No")</f>
        <v>No</v>
      </c>
      <c r="AQ65" s="5" t="str">
        <f ca="1">IFERROR(__xludf.DUMMYFUNCTION("""COMPUTED_VALUE"""),"No")</f>
        <v>No</v>
      </c>
      <c r="AR65" s="5" t="str">
        <f ca="1">IFERROR(__xludf.DUMMYFUNCTION("""COMPUTED_VALUE"""),"No")</f>
        <v>No</v>
      </c>
      <c r="AS65" s="5" t="str">
        <f ca="1">IFERROR(__xludf.DUMMYFUNCTION("""COMPUTED_VALUE"""),"Yes")</f>
        <v>Yes</v>
      </c>
      <c r="AT65" s="5" t="str">
        <f ca="1">IFERROR(__xludf.DUMMYFUNCTION("""COMPUTED_VALUE"""),"No")</f>
        <v>No</v>
      </c>
      <c r="AU65" s="5"/>
    </row>
    <row r="66" spans="1:47" x14ac:dyDescent="0.25">
      <c r="A66" s="5" t="str">
        <f ca="1">IFERROR(__xludf.DUMMYFUNCTION("""COMPUTED_VALUE"""),"Tiptop")</f>
        <v>Tiptop</v>
      </c>
      <c r="B66" s="5" t="str">
        <f ca="1">IFERROR(__xludf.DUMMYFUNCTION("""COMPUTED_VALUE"""),"20 Hot Strike Dice Jackpot")</f>
        <v>20 Hot Strike Dice Jackpot</v>
      </c>
      <c r="C66" s="5" t="str">
        <f ca="1">IFERROR(__xludf.DUMMYFUNCTION("""COMPUTED_VALUE"""),"Unicorn20HotStrikeDiceJackpot")</f>
        <v>Unicorn20HotStrikeDiceJackpot</v>
      </c>
      <c r="D66" s="6">
        <f ca="1">IFERROR(__xludf.DUMMYFUNCTION("""COMPUTED_VALUE"""),45679)</f>
        <v>45679</v>
      </c>
      <c r="E66" s="5" t="str">
        <f ca="1">IFERROR(__xludf.DUMMYFUNCTION("""COMPUTED_VALUE"""),"Dice Slots")</f>
        <v>Dice Slots</v>
      </c>
      <c r="F66" s="5">
        <f ca="1">IFERROR(__xludf.DUMMYFUNCTION("""COMPUTED_VALUE"""),13.1)</f>
        <v>13.1</v>
      </c>
      <c r="G66" s="5" t="str">
        <f ca="1">IFERROR(__xludf.DUMMYFUNCTION("""COMPUTED_VALUE"""),"5x3")</f>
        <v>5x3</v>
      </c>
      <c r="H66" s="5">
        <f ca="1">IFERROR(__xludf.DUMMYFUNCTION("""COMPUTED_VALUE"""),20)</f>
        <v>20</v>
      </c>
      <c r="I66" s="5">
        <f ca="1">IFERROR(__xludf.DUMMYFUNCTION("""COMPUTED_VALUE"""),20)</f>
        <v>20</v>
      </c>
      <c r="J66" s="5" t="str">
        <f ca="1">IFERROR(__xludf.DUMMYFUNCTION("""COMPUTED_VALUE"""),"96%")</f>
        <v>96%</v>
      </c>
      <c r="K66" s="5" t="str">
        <f ca="1">IFERROR(__xludf.DUMMYFUNCTION("""COMPUTED_VALUE"""),"Low")</f>
        <v>Low</v>
      </c>
      <c r="L66" s="5" t="str">
        <f ca="1">IFERROR(__xludf.DUMMYFUNCTION("""COMPUTED_VALUE"""),"14.46%")</f>
        <v>14.46%</v>
      </c>
      <c r="M66" s="5" t="str">
        <f ca="1">IFERROR(__xludf.DUMMYFUNCTION("""COMPUTED_VALUE"""),"x10000")</f>
        <v>x10000</v>
      </c>
      <c r="N66" s="5" t="str">
        <f ca="1">IFERROR(__xludf.DUMMYFUNCTION("""COMPUTED_VALUE"""),"0.2/100")</f>
        <v>0.2/100</v>
      </c>
      <c r="O66" s="5" t="str">
        <f ca="1">IFERROR(__xludf.DUMMYFUNCTION("""COMPUTED_VALUE"""),"No")</f>
        <v>No</v>
      </c>
      <c r="P66" s="5"/>
      <c r="Q66" s="7" t="str">
        <f ca="1">IFERROR(__xludf.DUMMYFUNCTION("""COMPUTED_VALUE"""),"https://gameserver-store-client-area.orbionlimited.com/Home/IntegrationGameLaunch/client-area?moneyType=0&amp;gameName=Unicorn20HotStrikeDiceJackpot&amp;platform=desktop&amp;languageCode=eng&amp;currency=EUR")</f>
        <v>https://gameserver-store-client-area.orbionlimited.com/Home/IntegrationGameLaunch/client-area?moneyType=0&amp;gameName=Unicorn20HotStrikeDiceJackpot&amp;platform=desktop&amp;languageCode=eng&amp;currency=EUR</v>
      </c>
      <c r="R66" s="5" t="str">
        <f ca="1">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6" s="5" t="str">
        <f ca="1">IFERROR(__xludf.DUMMYFUNCTION("""COMPUTED_VALUE"""),"Yes")</f>
        <v>Yes</v>
      </c>
      <c r="U66" s="5" t="str">
        <f ca="1">IFERROR(__xludf.DUMMYFUNCTION("""COMPUTED_VALUE"""),"Yes")</f>
        <v>Yes</v>
      </c>
      <c r="V66" s="5" t="str">
        <f ca="1">IFERROR(__xludf.DUMMYFUNCTION("""COMPUTED_VALUE"""),"No")</f>
        <v>No</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IFERROR(__xludf.DUMMYFUNCTION("""COMPUTED_VALUE"""),"Yes")</f>
        <v>Yes</v>
      </c>
      <c r="AA66" s="5" t="str">
        <f ca="1">IFERROR(__xludf.DUMMYFUNCTION("""COMPUTED_VALUE"""),"Yes")</f>
        <v>Yes</v>
      </c>
      <c r="AB66" s="5" t="str">
        <f ca="1">IFERROR(__xludf.DUMMYFUNCTION("""COMPUTED_VALUE"""),"Yes")</f>
        <v>Yes</v>
      </c>
      <c r="AC66" s="5" t="str">
        <f ca="1">IFERROR(__xludf.DUMMYFUNCTION("""COMPUTED_VALUE"""),"Yes")</f>
        <v>Yes</v>
      </c>
      <c r="AD66" s="5" t="str">
        <f ca="1">IFERROR(__xludf.DUMMYFUNCTION("""COMPUTED_VALUE"""),"Yes")</f>
        <v>Yes</v>
      </c>
      <c r="AE66" s="5" t="str">
        <f ca="1">IFERROR(__xludf.DUMMYFUNCTION("""COMPUTED_VALUE"""),"Yes")</f>
        <v>Yes</v>
      </c>
      <c r="AF66" s="5" t="str">
        <f ca="1">IFERROR(__xludf.DUMMYFUNCTION("""COMPUTED_VALUE"""),"Yes")</f>
        <v>Yes</v>
      </c>
      <c r="AG66" s="5" t="str">
        <f ca="1">IFERROR(__xludf.DUMMYFUNCTION("""COMPUTED_VALUE"""),"Yes")</f>
        <v>Yes</v>
      </c>
      <c r="AH66" s="5" t="str">
        <f ca="1">IFERROR(__xludf.DUMMYFUNCTION("""COMPUTED_VALUE"""),"Yes")</f>
        <v>Yes</v>
      </c>
      <c r="AI66" s="5" t="str">
        <f ca="1">IFERROR(__xludf.DUMMYFUNCTION("""COMPUTED_VALUE"""),"No")</f>
        <v>No</v>
      </c>
      <c r="AJ66" s="5" t="str">
        <f ca="1">IFERROR(__xludf.DUMMYFUNCTION("""COMPUTED_VALUE"""),"No")</f>
        <v>No</v>
      </c>
      <c r="AK66" s="5" t="str">
        <f ca="1">IFERROR(__xludf.DUMMYFUNCTION("""COMPUTED_VALUE"""),"No")</f>
        <v>No</v>
      </c>
      <c r="AL66" s="5" t="str">
        <f ca="1">IFERROR(__xludf.DUMMYFUNCTION("""COMPUTED_VALUE"""),"No")</f>
        <v>No</v>
      </c>
      <c r="AM66" s="5" t="str">
        <f ca="1">IFERROR(__xludf.DUMMYFUNCTION("""COMPUTED_VALUE"""),"No")</f>
        <v>No</v>
      </c>
      <c r="AN66" s="5" t="str">
        <f ca="1">IFERROR(__xludf.DUMMYFUNCTION("""COMPUTED_VALUE"""),"No")</f>
        <v>No</v>
      </c>
      <c r="AO66" s="5" t="str">
        <f ca="1">IFERROR(__xludf.DUMMYFUNCTION("""COMPUTED_VALUE"""),"Yes")</f>
        <v>Yes</v>
      </c>
      <c r="AP66" s="5" t="str">
        <f ca="1">IFERROR(__xludf.DUMMYFUNCTION("""COMPUTED_VALUE"""),"No")</f>
        <v>No</v>
      </c>
      <c r="AQ66" s="5" t="str">
        <f ca="1">IFERROR(__xludf.DUMMYFUNCTION("""COMPUTED_VALUE"""),"No")</f>
        <v>No</v>
      </c>
      <c r="AR66" s="5" t="str">
        <f ca="1">IFERROR(__xludf.DUMMYFUNCTION("""COMPUTED_VALUE"""),"No")</f>
        <v>No</v>
      </c>
      <c r="AS66" s="5" t="str">
        <f ca="1">IFERROR(__xludf.DUMMYFUNCTION("""COMPUTED_VALUE"""),"Yes")</f>
        <v>Yes</v>
      </c>
      <c r="AT66" s="5" t="str">
        <f ca="1">IFERROR(__xludf.DUMMYFUNCTION("""COMPUTED_VALUE"""),"No")</f>
        <v>No</v>
      </c>
      <c r="AU66" s="5"/>
    </row>
    <row r="67" spans="1:47" x14ac:dyDescent="0.25">
      <c r="A67" s="5" t="str">
        <f ca="1">IFERROR(__xludf.DUMMYFUNCTION("""COMPUTED_VALUE"""),"Tiptop")</f>
        <v>Tiptop</v>
      </c>
      <c r="B67" s="5" t="str">
        <f ca="1">IFERROR(__xludf.DUMMYFUNCTION("""COMPUTED_VALUE"""),"Dice Machine")</f>
        <v>Dice Machine</v>
      </c>
      <c r="C67" s="5" t="str">
        <f ca="1">IFERROR(__xludf.DUMMYFUNCTION("""COMPUTED_VALUE"""),"UnicornDiceMachine")</f>
        <v>UnicornDiceMachine</v>
      </c>
      <c r="D67" s="6">
        <f ca="1">IFERROR(__xludf.DUMMYFUNCTION("""COMPUTED_VALUE"""),45687)</f>
        <v>45687</v>
      </c>
      <c r="E67" s="5" t="str">
        <f ca="1">IFERROR(__xludf.DUMMYFUNCTION("""COMPUTED_VALUE"""),"Dice Slots")</f>
        <v>Dice Slots</v>
      </c>
      <c r="F67" s="5">
        <f ca="1">IFERROR(__xludf.DUMMYFUNCTION("""COMPUTED_VALUE"""),10.9)</f>
        <v>10.9</v>
      </c>
      <c r="G67" s="5" t="str">
        <f ca="1">IFERROR(__xludf.DUMMYFUNCTION("""COMPUTED_VALUE"""),"5x3")</f>
        <v>5x3</v>
      </c>
      <c r="H67" s="5">
        <f ca="1">IFERROR(__xludf.DUMMYFUNCTION("""COMPUTED_VALUE"""),5)</f>
        <v>5</v>
      </c>
      <c r="I67" s="5">
        <f ca="1">IFERROR(__xludf.DUMMYFUNCTION("""COMPUTED_VALUE"""),5)</f>
        <v>5</v>
      </c>
      <c r="J67" s="5" t="str">
        <f ca="1">IFERROR(__xludf.DUMMYFUNCTION("""COMPUTED_VALUE"""),"96%")</f>
        <v>96%</v>
      </c>
      <c r="K67" s="5" t="str">
        <f ca="1">IFERROR(__xludf.DUMMYFUNCTION("""COMPUTED_VALUE"""),"Low")</f>
        <v>Low</v>
      </c>
      <c r="L67" s="5" t="str">
        <f ca="1">IFERROR(__xludf.DUMMYFUNCTION("""COMPUTED_VALUE"""),"10.5%")</f>
        <v>10.5%</v>
      </c>
      <c r="M67" s="5" t="str">
        <f ca="1">IFERROR(__xludf.DUMMYFUNCTION("""COMPUTED_VALUE"""),"x1000")</f>
        <v>x1000</v>
      </c>
      <c r="N67" s="5" t="str">
        <f ca="1">IFERROR(__xludf.DUMMYFUNCTION("""COMPUTED_VALUE"""),"0.05/100")</f>
        <v>0.05/100</v>
      </c>
      <c r="O67" s="5" t="str">
        <f ca="1">IFERROR(__xludf.DUMMYFUNCTION("""COMPUTED_VALUE"""),"No")</f>
        <v>No</v>
      </c>
      <c r="P67" s="5"/>
      <c r="Q67" s="7" t="str">
        <f ca="1">IFERROR(__xludf.DUMMYFUNCTION("""COMPUTED_VALUE"""),"https://gameserver-store-client-area.orbionlimited.com/Home/IntegrationGameLaunch/client-area?moneyType=0&amp;gameName=UnicornDiceMachine&amp;platform=desktop&amp;languageCode=eng&amp;currency=EUR")</f>
        <v>https://gameserver-store-client-area.orbionlimited.com/Home/IntegrationGameLaunch/client-area?moneyType=0&amp;gameName=UnicornDiceMachine&amp;platform=desktop&amp;languageCode=eng&amp;currency=EUR</v>
      </c>
      <c r="R67" s="5" t="str">
        <f ca="1">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S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7" s="5" t="str">
        <f ca="1">IFERROR(__xludf.DUMMYFUNCTION("""COMPUTED_VALUE"""),"Yes")</f>
        <v>Yes</v>
      </c>
      <c r="U67" s="5" t="str">
        <f ca="1">IFERROR(__xludf.DUMMYFUNCTION("""COMPUTED_VALUE"""),"Yes")</f>
        <v>Yes</v>
      </c>
      <c r="V67" s="5" t="str">
        <f ca="1">IFERROR(__xludf.DUMMYFUNCTION("""COMPUTED_VALUE"""),"Yes")</f>
        <v>Yes</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IFERROR(__xludf.DUMMYFUNCTION("""COMPUTED_VALUE"""),"Yes")</f>
        <v>Yes</v>
      </c>
      <c r="AA67" s="5" t="str">
        <f ca="1">IFERROR(__xludf.DUMMYFUNCTION("""COMPUTED_VALUE"""),"Yes")</f>
        <v>Yes</v>
      </c>
      <c r="AB67" s="5" t="str">
        <f ca="1">IFERROR(__xludf.DUMMYFUNCTION("""COMPUTED_VALUE"""),"Yes")</f>
        <v>Yes</v>
      </c>
      <c r="AC67" s="5" t="str">
        <f ca="1">IFERROR(__xludf.DUMMYFUNCTION("""COMPUTED_VALUE"""),"Yes")</f>
        <v>Yes</v>
      </c>
      <c r="AD67" s="5" t="str">
        <f ca="1">IFERROR(__xludf.DUMMYFUNCTION("""COMPUTED_VALUE"""),"Yes")</f>
        <v>Yes</v>
      </c>
      <c r="AE67" s="5" t="str">
        <f ca="1">IFERROR(__xludf.DUMMYFUNCTION("""COMPUTED_VALUE"""),"Yes")</f>
        <v>Yes</v>
      </c>
      <c r="AF67" s="5" t="str">
        <f ca="1">IFERROR(__xludf.DUMMYFUNCTION("""COMPUTED_VALUE"""),"Yes")</f>
        <v>Yes</v>
      </c>
      <c r="AG67" s="5" t="str">
        <f ca="1">IFERROR(__xludf.DUMMYFUNCTION("""COMPUTED_VALUE"""),"Yes")</f>
        <v>Yes</v>
      </c>
      <c r="AH67" s="5" t="str">
        <f ca="1">IFERROR(__xludf.DUMMYFUNCTION("""COMPUTED_VALUE"""),"Yes")</f>
        <v>Yes</v>
      </c>
      <c r="AI67" s="5" t="str">
        <f ca="1">IFERROR(__xludf.DUMMYFUNCTION("""COMPUTED_VALUE"""),"Yes")</f>
        <v>Yes</v>
      </c>
      <c r="AJ67" s="5" t="str">
        <f ca="1">IFERROR(__xludf.DUMMYFUNCTION("""COMPUTED_VALUE"""),"Yes")</f>
        <v>Yes</v>
      </c>
      <c r="AK67" s="5" t="str">
        <f ca="1">IFERROR(__xludf.DUMMYFUNCTION("""COMPUTED_VALUE"""),"Yes")</f>
        <v>Yes</v>
      </c>
      <c r="AL67" s="5" t="str">
        <f ca="1">IFERROR(__xludf.DUMMYFUNCTION("""COMPUTED_VALUE"""),"Yes")</f>
        <v>Yes</v>
      </c>
      <c r="AM67" s="5"/>
      <c r="AN67" s="5"/>
      <c r="AO67" s="5"/>
      <c r="AP67" s="5"/>
      <c r="AQ67" s="5" t="str">
        <f ca="1">IFERROR(__xludf.DUMMYFUNCTION("""COMPUTED_VALUE"""),"Yes")</f>
        <v>Yes</v>
      </c>
      <c r="AR67" s="5"/>
      <c r="AS67" s="5"/>
      <c r="AT67" s="5"/>
      <c r="AU67" s="5"/>
    </row>
    <row r="68" spans="1:47" x14ac:dyDescent="0.25">
      <c r="A68" s="5" t="str">
        <f ca="1">IFERROR(__xludf.DUMMYFUNCTION("""COMPUTED_VALUE"""),"Tiptop")</f>
        <v>Tiptop</v>
      </c>
      <c r="B68" s="5" t="str">
        <f ca="1">IFERROR(__xludf.DUMMYFUNCTION("""COMPUTED_VALUE"""),"Thunder Fruits")</f>
        <v>Thunder Fruits</v>
      </c>
      <c r="C68" s="5" t="str">
        <f ca="1">IFERROR(__xludf.DUMMYFUNCTION("""COMPUTED_VALUE"""),"UnicornThunderFruits")</f>
        <v>UnicornThunderFruits</v>
      </c>
      <c r="D68" s="6">
        <f ca="1">IFERROR(__xludf.DUMMYFUNCTION("""COMPUTED_VALUE"""),45694)</f>
        <v>45694</v>
      </c>
      <c r="E68" s="5" t="str">
        <f ca="1">IFERROR(__xludf.DUMMYFUNCTION("""COMPUTED_VALUE"""),"Slot")</f>
        <v>Slot</v>
      </c>
      <c r="F68" s="5">
        <f ca="1">IFERROR(__xludf.DUMMYFUNCTION("""COMPUTED_VALUE"""),11.1)</f>
        <v>11.1</v>
      </c>
      <c r="G68" s="5" t="str">
        <f ca="1">IFERROR(__xludf.DUMMYFUNCTION("""COMPUTED_VALUE"""),"5x3")</f>
        <v>5x3</v>
      </c>
      <c r="H68" s="5">
        <f ca="1">IFERROR(__xludf.DUMMYFUNCTION("""COMPUTED_VALUE"""),5)</f>
        <v>5</v>
      </c>
      <c r="I68" s="5">
        <f ca="1">IFERROR(__xludf.DUMMYFUNCTION("""COMPUTED_VALUE"""),5)</f>
        <v>5</v>
      </c>
      <c r="J68" s="5" t="str">
        <f ca="1">IFERROR(__xludf.DUMMYFUNCTION("""COMPUTED_VALUE"""),"96%")</f>
        <v>96%</v>
      </c>
      <c r="K68" s="5" t="str">
        <f ca="1">IFERROR(__xludf.DUMMYFUNCTION("""COMPUTED_VALUE"""),"Low")</f>
        <v>Low</v>
      </c>
      <c r="L68" s="5" t="str">
        <f ca="1">IFERROR(__xludf.DUMMYFUNCTION("""COMPUTED_VALUE"""),"9.2%")</f>
        <v>9.2%</v>
      </c>
      <c r="M68" s="5" t="str">
        <f ca="1">IFERROR(__xludf.DUMMYFUNCTION("""COMPUTED_VALUE"""),"x1000")</f>
        <v>x1000</v>
      </c>
      <c r="N68" s="5" t="str">
        <f ca="1">IFERROR(__xludf.DUMMYFUNCTION("""COMPUTED_VALUE"""),"0.05/100")</f>
        <v>0.05/100</v>
      </c>
      <c r="O68" s="5" t="str">
        <f ca="1">IFERROR(__xludf.DUMMYFUNCTION("""COMPUTED_VALUE"""),"No")</f>
        <v>No</v>
      </c>
      <c r="P68" s="5"/>
      <c r="Q68" s="7" t="str">
        <f ca="1">IFERROR(__xludf.DUMMYFUNCTION("""COMPUTED_VALUE"""),"https://gameserver-store-client-area.orbionlimited.com/Home/IntegrationGameLaunch/client-area?moneyType=0&amp;gameName=UnicornThunderFruits&amp;platform=desktop&amp;languageCode=eng&amp;currency=EUR")</f>
        <v>https://gameserver-store-client-area.orbionlimited.com/Home/IntegrationGameLaunch/client-area?moneyType=0&amp;gameName=UnicornThunderFruits&amp;platform=desktop&amp;languageCode=eng&amp;currency=EUR</v>
      </c>
      <c r="R68" s="5" t="str">
        <f ca="1">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S6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 ca="1">IFERROR(__xludf.DUMMYFUNCTION("""COMPUTED_VALUE"""),"Yes")</f>
        <v>Yes</v>
      </c>
      <c r="U68" s="5" t="str">
        <f ca="1">IFERROR(__xludf.DUMMYFUNCTION("""COMPUTED_VALUE"""),"Yes")</f>
        <v>Yes</v>
      </c>
      <c r="V68" s="5" t="str">
        <f ca="1">IFERROR(__xludf.DUMMYFUNCTION("""COMPUTED_VALUE"""),"No")</f>
        <v>No</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IFERROR(__xludf.DUMMYFUNCTION("""COMPUTED_VALUE"""),"Yes")</f>
        <v>Yes</v>
      </c>
      <c r="AA68" s="5" t="str">
        <f ca="1">IFERROR(__xludf.DUMMYFUNCTION("""COMPUTED_VALUE"""),"Yes")</f>
        <v>Yes</v>
      </c>
      <c r="AB68" s="5" t="str">
        <f ca="1">IFERROR(__xludf.DUMMYFUNCTION("""COMPUTED_VALUE"""),"Yes")</f>
        <v>Yes</v>
      </c>
      <c r="AC68" s="5" t="str">
        <f ca="1">IFERROR(__xludf.DUMMYFUNCTION("""COMPUTED_VALUE"""),"Yes")</f>
        <v>Yes</v>
      </c>
      <c r="AD68" s="5" t="str">
        <f ca="1">IFERROR(__xludf.DUMMYFUNCTION("""COMPUTED_VALUE"""),"Yes")</f>
        <v>Yes</v>
      </c>
      <c r="AE68" s="5" t="str">
        <f ca="1">IFERROR(__xludf.DUMMYFUNCTION("""COMPUTED_VALUE"""),"Yes")</f>
        <v>Yes</v>
      </c>
      <c r="AF68" s="5" t="str">
        <f ca="1">IFERROR(__xludf.DUMMYFUNCTION("""COMPUTED_VALUE"""),"Yes")</f>
        <v>Yes</v>
      </c>
      <c r="AG68" s="5" t="str">
        <f ca="1">IFERROR(__xludf.DUMMYFUNCTION("""COMPUTED_VALUE"""),"Yes")</f>
        <v>Yes</v>
      </c>
      <c r="AH68" s="5" t="str">
        <f ca="1">IFERROR(__xludf.DUMMYFUNCTION("""COMPUTED_VALUE"""),"Yes")</f>
        <v>Yes</v>
      </c>
      <c r="AI68" s="5" t="str">
        <f ca="1">IFERROR(__xludf.DUMMYFUNCTION("""COMPUTED_VALUE"""),"No")</f>
        <v>No</v>
      </c>
      <c r="AJ68" s="5" t="str">
        <f ca="1">IFERROR(__xludf.DUMMYFUNCTION("""COMPUTED_VALUE"""),"No")</f>
        <v>No</v>
      </c>
      <c r="AK68" s="5" t="str">
        <f ca="1">IFERROR(__xludf.DUMMYFUNCTION("""COMPUTED_VALUE"""),"No")</f>
        <v>No</v>
      </c>
      <c r="AL68" s="5" t="str">
        <f ca="1">IFERROR(__xludf.DUMMYFUNCTION("""COMPUTED_VALUE"""),"No")</f>
        <v>No</v>
      </c>
      <c r="AM68" s="5" t="str">
        <f ca="1">IFERROR(__xludf.DUMMYFUNCTION("""COMPUTED_VALUE"""),"No")</f>
        <v>No</v>
      </c>
      <c r="AN68" s="5" t="str">
        <f ca="1">IFERROR(__xludf.DUMMYFUNCTION("""COMPUTED_VALUE"""),"No")</f>
        <v>No</v>
      </c>
      <c r="AO68" s="5" t="str">
        <f ca="1">IFERROR(__xludf.DUMMYFUNCTION("""COMPUTED_VALUE"""),"Yes")</f>
        <v>Yes</v>
      </c>
      <c r="AP68" s="5" t="str">
        <f ca="1">IFERROR(__xludf.DUMMYFUNCTION("""COMPUTED_VALUE"""),"No")</f>
        <v>No</v>
      </c>
      <c r="AQ68" s="5" t="str">
        <f ca="1">IFERROR(__xludf.DUMMYFUNCTION("""COMPUTED_VALUE"""),"No")</f>
        <v>No</v>
      </c>
      <c r="AR68" s="5" t="str">
        <f ca="1">IFERROR(__xludf.DUMMYFUNCTION("""COMPUTED_VALUE"""),"No")</f>
        <v>No</v>
      </c>
      <c r="AS68" s="5" t="str">
        <f ca="1">IFERROR(__xludf.DUMMYFUNCTION("""COMPUTED_VALUE"""),"Yes")</f>
        <v>Yes</v>
      </c>
      <c r="AT68" s="5" t="str">
        <f ca="1">IFERROR(__xludf.DUMMYFUNCTION("""COMPUTED_VALUE"""),"No")</f>
        <v>No</v>
      </c>
      <c r="AU68" s="5"/>
    </row>
    <row r="69" spans="1:47" x14ac:dyDescent="0.25">
      <c r="A69" s="5" t="str">
        <f ca="1">IFERROR(__xludf.DUMMYFUNCTION("""COMPUTED_VALUE"""),"Tiptop")</f>
        <v>Tiptop</v>
      </c>
      <c r="B69" s="5" t="str">
        <f ca="1">IFERROR(__xludf.DUMMYFUNCTION("""COMPUTED_VALUE"""),"Epic Mega Cash")</f>
        <v>Epic Mega Cash</v>
      </c>
      <c r="C69" s="5" t="str">
        <f ca="1">IFERROR(__xludf.DUMMYFUNCTION("""COMPUTED_VALUE"""),"UnicornEpicMegaCash")</f>
        <v>UnicornEpicMegaCash</v>
      </c>
      <c r="D69" s="6">
        <f ca="1">IFERROR(__xludf.DUMMYFUNCTION("""COMPUTED_VALUE"""),45701)</f>
        <v>45701</v>
      </c>
      <c r="E69" s="5" t="str">
        <f ca="1">IFERROR(__xludf.DUMMYFUNCTION("""COMPUTED_VALUE"""),"Slot")</f>
        <v>Slot</v>
      </c>
      <c r="F69" s="5">
        <f ca="1">IFERROR(__xludf.DUMMYFUNCTION("""COMPUTED_VALUE"""),12)</f>
        <v>12</v>
      </c>
      <c r="G69" s="5" t="str">
        <f ca="1">IFERROR(__xludf.DUMMYFUNCTION("""COMPUTED_VALUE"""),"5x3")</f>
        <v>5x3</v>
      </c>
      <c r="H69" s="5">
        <f ca="1">IFERROR(__xludf.DUMMYFUNCTION("""COMPUTED_VALUE"""),10)</f>
        <v>10</v>
      </c>
      <c r="I69" s="5">
        <f ca="1">IFERROR(__xludf.DUMMYFUNCTION("""COMPUTED_VALUE"""),10)</f>
        <v>10</v>
      </c>
      <c r="J69" s="5" t="str">
        <f ca="1">IFERROR(__xludf.DUMMYFUNCTION("""COMPUTED_VALUE"""),"96%")</f>
        <v>96%</v>
      </c>
      <c r="K69" s="5" t="str">
        <f ca="1">IFERROR(__xludf.DUMMYFUNCTION("""COMPUTED_VALUE"""),"Medium")</f>
        <v>Medium</v>
      </c>
      <c r="L69" s="5" t="str">
        <f ca="1">IFERROR(__xludf.DUMMYFUNCTION("""COMPUTED_VALUE"""),"15.91%")</f>
        <v>15.91%</v>
      </c>
      <c r="M69" s="5" t="str">
        <f ca="1">IFERROR(__xludf.DUMMYFUNCTION("""COMPUTED_VALUE"""),"x5000")</f>
        <v>x5000</v>
      </c>
      <c r="N69" s="5" t="str">
        <f ca="1">IFERROR(__xludf.DUMMYFUNCTION("""COMPUTED_VALUE"""),"0.1/100")</f>
        <v>0.1/100</v>
      </c>
      <c r="O69" s="5" t="str">
        <f ca="1">IFERROR(__xludf.DUMMYFUNCTION("""COMPUTED_VALUE"""),"No")</f>
        <v>No</v>
      </c>
      <c r="P69" s="5"/>
      <c r="Q69" s="7" t="str">
        <f ca="1">IFERROR(__xludf.DUMMYFUNCTION("""COMPUTED_VALUE"""),"https://gameserver-store-client-area.orbionlimited.com/Home/IntegrationGameLaunch/client-area?moneyType=0&amp;gameName=UnicornEpicMegaCash&amp;platform=desktop&amp;languageCode=eng&amp;currency=EUR")</f>
        <v>https://gameserver-store-client-area.orbionlimited.com/Home/IntegrationGameLaunch/client-area?moneyType=0&amp;gameName=UnicornEpicMegaCash&amp;platform=desktop&amp;languageCode=eng&amp;currency=EUR</v>
      </c>
      <c r="R69" s="5" t="str">
        <f ca="1">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S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9" s="5" t="str">
        <f ca="1">IFERROR(__xludf.DUMMYFUNCTION("""COMPUTED_VALUE"""),"Yes")</f>
        <v>Yes</v>
      </c>
      <c r="U69" s="5" t="str">
        <f ca="1">IFERROR(__xludf.DUMMYFUNCTION("""COMPUTED_VALUE"""),"Yes")</f>
        <v>Yes</v>
      </c>
      <c r="V69" s="5" t="str">
        <f ca="1">IFERROR(__xludf.DUMMYFUNCTION("""COMPUTED_VALUE"""),"Yes")</f>
        <v>Yes</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IFERROR(__xludf.DUMMYFUNCTION("""COMPUTED_VALUE"""),"Yes")</f>
        <v>Yes</v>
      </c>
      <c r="AA69" s="5" t="str">
        <f ca="1">IFERROR(__xludf.DUMMYFUNCTION("""COMPUTED_VALUE"""),"Yes")</f>
        <v>Yes</v>
      </c>
      <c r="AB69" s="5" t="str">
        <f ca="1">IFERROR(__xludf.DUMMYFUNCTION("""COMPUTED_VALUE"""),"Yes")</f>
        <v>Yes</v>
      </c>
      <c r="AC69" s="5" t="str">
        <f ca="1">IFERROR(__xludf.DUMMYFUNCTION("""COMPUTED_VALUE"""),"Yes")</f>
        <v>Yes</v>
      </c>
      <c r="AD69" s="5" t="str">
        <f ca="1">IFERROR(__xludf.DUMMYFUNCTION("""COMPUTED_VALUE"""),"Yes")</f>
        <v>Yes</v>
      </c>
      <c r="AE69" s="5" t="str">
        <f ca="1">IFERROR(__xludf.DUMMYFUNCTION("""COMPUTED_VALUE"""),"Yes")</f>
        <v>Yes</v>
      </c>
      <c r="AF69" s="5" t="str">
        <f ca="1">IFERROR(__xludf.DUMMYFUNCTION("""COMPUTED_VALUE"""),"Yes")</f>
        <v>Yes</v>
      </c>
      <c r="AG69" s="5" t="str">
        <f ca="1">IFERROR(__xludf.DUMMYFUNCTION("""COMPUTED_VALUE"""),"Yes")</f>
        <v>Yes</v>
      </c>
      <c r="AH69" s="5" t="str">
        <f ca="1">IFERROR(__xludf.DUMMYFUNCTION("""COMPUTED_VALUE"""),"Yes")</f>
        <v>Yes</v>
      </c>
      <c r="AI69" s="5" t="str">
        <f ca="1">IFERROR(__xludf.DUMMYFUNCTION("""COMPUTED_VALUE"""),"Yes")</f>
        <v>Yes</v>
      </c>
      <c r="AJ69" s="5" t="str">
        <f ca="1">IFERROR(__xludf.DUMMYFUNCTION("""COMPUTED_VALUE"""),"Yes")</f>
        <v>Yes</v>
      </c>
      <c r="AK69" s="5" t="str">
        <f ca="1">IFERROR(__xludf.DUMMYFUNCTION("""COMPUTED_VALUE"""),"Yes")</f>
        <v>Yes</v>
      </c>
      <c r="AL69" s="5" t="str">
        <f ca="1">IFERROR(__xludf.DUMMYFUNCTION("""COMPUTED_VALUE"""),"Yes")</f>
        <v>Yes</v>
      </c>
      <c r="AM69" s="5"/>
      <c r="AN69" s="5"/>
      <c r="AO69" s="5"/>
      <c r="AP69" s="5"/>
      <c r="AQ69" s="5" t="str">
        <f ca="1">IFERROR(__xludf.DUMMYFUNCTION("""COMPUTED_VALUE"""),"Yes")</f>
        <v>Yes</v>
      </c>
      <c r="AR69" s="5"/>
      <c r="AS69" s="5"/>
      <c r="AT69" s="5"/>
      <c r="AU69" s="5"/>
    </row>
    <row r="70" spans="1:47" x14ac:dyDescent="0.25">
      <c r="A70" s="5" t="str">
        <f ca="1">IFERROR(__xludf.DUMMYFUNCTION("""COMPUTED_VALUE"""),"Tiptop")</f>
        <v>Tiptop</v>
      </c>
      <c r="B70" s="5" t="str">
        <f ca="1">IFERROR(__xludf.DUMMYFUNCTION("""COMPUTED_VALUE"""),"Wild Hoppers")</f>
        <v>Wild Hoppers</v>
      </c>
      <c r="C70" s="5" t="str">
        <f ca="1">IFERROR(__xludf.DUMMYFUNCTION("""COMPUTED_VALUE"""),"UnicornWildHoppers")</f>
        <v>UnicornWildHoppers</v>
      </c>
      <c r="D70" s="6">
        <f ca="1">IFERROR(__xludf.DUMMYFUNCTION("""COMPUTED_VALUE"""),45714)</f>
        <v>45714</v>
      </c>
      <c r="E70" s="5" t="str">
        <f ca="1">IFERROR(__xludf.DUMMYFUNCTION("""COMPUTED_VALUE"""),"Slot")</f>
        <v>Slot</v>
      </c>
      <c r="F70" s="5">
        <f ca="1">IFERROR(__xludf.DUMMYFUNCTION("""COMPUTED_VALUE"""),12.6)</f>
        <v>12.6</v>
      </c>
      <c r="G70" s="5" t="str">
        <f ca="1">IFERROR(__xludf.DUMMYFUNCTION("""COMPUTED_VALUE"""),"5x3")</f>
        <v>5x3</v>
      </c>
      <c r="H70" s="5">
        <f ca="1">IFERROR(__xludf.DUMMYFUNCTION("""COMPUTED_VALUE"""),10)</f>
        <v>10</v>
      </c>
      <c r="I70" s="5">
        <f ca="1">IFERROR(__xludf.DUMMYFUNCTION("""COMPUTED_VALUE"""),10)</f>
        <v>10</v>
      </c>
      <c r="J70" s="5" t="str">
        <f ca="1">IFERROR(__xludf.DUMMYFUNCTION("""COMPUTED_VALUE"""),"96%")</f>
        <v>96%</v>
      </c>
      <c r="K70" s="5" t="str">
        <f ca="1">IFERROR(__xludf.DUMMYFUNCTION("""COMPUTED_VALUE"""),"Medium")</f>
        <v>Medium</v>
      </c>
      <c r="L70" s="5" t="str">
        <f ca="1">IFERROR(__xludf.DUMMYFUNCTION("""COMPUTED_VALUE"""),"23.31%")</f>
        <v>23.31%</v>
      </c>
      <c r="M70" s="5" t="str">
        <f ca="1">IFERROR(__xludf.DUMMYFUNCTION("""COMPUTED_VALUE"""),"x10000")</f>
        <v>x10000</v>
      </c>
      <c r="N70" s="5" t="str">
        <f ca="1">IFERROR(__xludf.DUMMYFUNCTION("""COMPUTED_VALUE"""),"0.1/100")</f>
        <v>0.1/100</v>
      </c>
      <c r="O70" s="5" t="str">
        <f ca="1">IFERROR(__xludf.DUMMYFUNCTION("""COMPUTED_VALUE"""),"No")</f>
        <v>No</v>
      </c>
      <c r="P70" s="5"/>
      <c r="Q70" s="7" t="str">
        <f ca="1">IFERROR(__xludf.DUMMYFUNCTION("""COMPUTED_VALUE"""),"https://gameserver-store-client-area.orbionlimited.com/Home/IntegrationGameLaunch/client-area?moneyType=0&amp;gameName=UnicornWildHoppers&amp;platform=desktop&amp;languageCode=eng&amp;currency=EUR")</f>
        <v>https://gameserver-store-client-area.orbionlimited.com/Home/IntegrationGameLaunch/client-area?moneyType=0&amp;gameName=UnicornWildHoppers&amp;platform=desktop&amp;languageCode=eng&amp;currency=EUR</v>
      </c>
      <c r="R70" s="5" t="str">
        <f ca="1">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S7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0" s="5" t="str">
        <f ca="1">IFERROR(__xludf.DUMMYFUNCTION("""COMPUTED_VALUE"""),"Yes")</f>
        <v>Yes</v>
      </c>
      <c r="U70" s="5" t="str">
        <f ca="1">IFERROR(__xludf.DUMMYFUNCTION("""COMPUTED_VALUE"""),"Yes")</f>
        <v>Yes</v>
      </c>
      <c r="V70" s="5" t="str">
        <f ca="1">IFERROR(__xludf.DUMMYFUNCTION("""COMPUTED_VALUE"""),"No")</f>
        <v>No</v>
      </c>
      <c r="W70" s="5" t="str">
        <f ca="1">IFERROR(__xludf.DUMMYFUNCTION("""COMPUTED_VALUE"""),"Yes")</f>
        <v>Yes</v>
      </c>
      <c r="X70" s="5" t="str">
        <f ca="1">IFERROR(__xludf.DUMMYFUNCTION("""COMPUTED_VALUE"""),"Yes")</f>
        <v>Yes</v>
      </c>
      <c r="Y70" s="5" t="str">
        <f ca="1">IFERROR(__xludf.DUMMYFUNCTION("""COMPUTED_VALUE"""),"Yes")</f>
        <v>Yes</v>
      </c>
      <c r="Z70" s="5" t="str">
        <f ca="1">IFERROR(__xludf.DUMMYFUNCTION("""COMPUTED_VALUE"""),"Yes")</f>
        <v>Yes</v>
      </c>
      <c r="AA70" s="5" t="str">
        <f ca="1">IFERROR(__xludf.DUMMYFUNCTION("""COMPUTED_VALUE"""),"Yes")</f>
        <v>Yes</v>
      </c>
      <c r="AB70" s="5" t="str">
        <f ca="1">IFERROR(__xludf.DUMMYFUNCTION("""COMPUTED_VALUE"""),"Yes")</f>
        <v>Yes</v>
      </c>
      <c r="AC70" s="5" t="str">
        <f ca="1">IFERROR(__xludf.DUMMYFUNCTION("""COMPUTED_VALUE"""),"Yes")</f>
        <v>Yes</v>
      </c>
      <c r="AD70" s="5" t="str">
        <f ca="1">IFERROR(__xludf.DUMMYFUNCTION("""COMPUTED_VALUE"""),"Yes")</f>
        <v>Yes</v>
      </c>
      <c r="AE70" s="5" t="str">
        <f ca="1">IFERROR(__xludf.DUMMYFUNCTION("""COMPUTED_VALUE"""),"Yes")</f>
        <v>Yes</v>
      </c>
      <c r="AF70" s="5" t="str">
        <f ca="1">IFERROR(__xludf.DUMMYFUNCTION("""COMPUTED_VALUE"""),"Yes")</f>
        <v>Yes</v>
      </c>
      <c r="AG70" s="5" t="str">
        <f ca="1">IFERROR(__xludf.DUMMYFUNCTION("""COMPUTED_VALUE"""),"Yes")</f>
        <v>Yes</v>
      </c>
      <c r="AH70" s="5" t="str">
        <f ca="1">IFERROR(__xludf.DUMMYFUNCTION("""COMPUTED_VALUE"""),"Yes")</f>
        <v>Yes</v>
      </c>
      <c r="AI70" s="5" t="str">
        <f ca="1">IFERROR(__xludf.DUMMYFUNCTION("""COMPUTED_VALUE"""),"No")</f>
        <v>No</v>
      </c>
      <c r="AJ70" s="5" t="str">
        <f ca="1">IFERROR(__xludf.DUMMYFUNCTION("""COMPUTED_VALUE"""),"No")</f>
        <v>No</v>
      </c>
      <c r="AK70" s="5" t="str">
        <f ca="1">IFERROR(__xludf.DUMMYFUNCTION("""COMPUTED_VALUE"""),"No")</f>
        <v>No</v>
      </c>
      <c r="AL70" s="5" t="str">
        <f ca="1">IFERROR(__xludf.DUMMYFUNCTION("""COMPUTED_VALUE"""),"No")</f>
        <v>No</v>
      </c>
      <c r="AM70" s="5" t="str">
        <f ca="1">IFERROR(__xludf.DUMMYFUNCTION("""COMPUTED_VALUE"""),"No")</f>
        <v>No</v>
      </c>
      <c r="AN70" s="5" t="str">
        <f ca="1">IFERROR(__xludf.DUMMYFUNCTION("""COMPUTED_VALUE"""),"No")</f>
        <v>No</v>
      </c>
      <c r="AO70" s="5" t="str">
        <f ca="1">IFERROR(__xludf.DUMMYFUNCTION("""COMPUTED_VALUE"""),"Yes")</f>
        <v>Yes</v>
      </c>
      <c r="AP70" s="5" t="str">
        <f ca="1">IFERROR(__xludf.DUMMYFUNCTION("""COMPUTED_VALUE"""),"No")</f>
        <v>No</v>
      </c>
      <c r="AQ70" s="5" t="str">
        <f ca="1">IFERROR(__xludf.DUMMYFUNCTION("""COMPUTED_VALUE"""),"No")</f>
        <v>No</v>
      </c>
      <c r="AR70" s="5" t="str">
        <f ca="1">IFERROR(__xludf.DUMMYFUNCTION("""COMPUTED_VALUE"""),"No")</f>
        <v>No</v>
      </c>
      <c r="AS70" s="5" t="str">
        <f ca="1">IFERROR(__xludf.DUMMYFUNCTION("""COMPUTED_VALUE"""),"Yes")</f>
        <v>Yes</v>
      </c>
      <c r="AT70" s="5" t="str">
        <f ca="1">IFERROR(__xludf.DUMMYFUNCTION("""COMPUTED_VALUE"""),"No")</f>
        <v>No</v>
      </c>
      <c r="AU70" s="5"/>
    </row>
    <row r="71" spans="1:47" x14ac:dyDescent="0.25">
      <c r="A71" s="5" t="str">
        <f ca="1">IFERROR(__xludf.DUMMYFUNCTION("""COMPUTED_VALUE"""),"Tiptop")</f>
        <v>Tiptop</v>
      </c>
      <c r="B71" s="5" t="str">
        <f ca="1">IFERROR(__xludf.DUMMYFUNCTION("""COMPUTED_VALUE"""),"Simply Sevens Dice Easter")</f>
        <v>Simply Sevens Dice Easter</v>
      </c>
      <c r="C71" s="5" t="str">
        <f ca="1">IFERROR(__xludf.DUMMYFUNCTION("""COMPUTED_VALUE"""),"UnicornSimplySevensDiceEaster")</f>
        <v>UnicornSimplySevensDiceEaster</v>
      </c>
      <c r="D71" s="6">
        <f ca="1">IFERROR(__xludf.DUMMYFUNCTION("""COMPUTED_VALUE"""),45715)</f>
        <v>45715</v>
      </c>
      <c r="E71" s="5" t="str">
        <f ca="1">IFERROR(__xludf.DUMMYFUNCTION("""COMPUTED_VALUE"""),"Dice Slots")</f>
        <v>Dice Slots</v>
      </c>
      <c r="F71" s="5">
        <f ca="1">IFERROR(__xludf.DUMMYFUNCTION("""COMPUTED_VALUE"""),11)</f>
        <v>11</v>
      </c>
      <c r="G71" s="5" t="str">
        <f ca="1">IFERROR(__xludf.DUMMYFUNCTION("""COMPUTED_VALUE"""),"5x3")</f>
        <v>5x3</v>
      </c>
      <c r="H71" s="5">
        <f ca="1">IFERROR(__xludf.DUMMYFUNCTION("""COMPUTED_VALUE"""),10)</f>
        <v>10</v>
      </c>
      <c r="I71" s="5">
        <f ca="1">IFERROR(__xludf.DUMMYFUNCTION("""COMPUTED_VALUE"""),10)</f>
        <v>10</v>
      </c>
      <c r="J71" s="5" t="str">
        <f ca="1">IFERROR(__xludf.DUMMYFUNCTION("""COMPUTED_VALUE"""),"96%")</f>
        <v>96%</v>
      </c>
      <c r="K71" s="5" t="str">
        <f ca="1">IFERROR(__xludf.DUMMYFUNCTION("""COMPUTED_VALUE"""),"Low")</f>
        <v>Low</v>
      </c>
      <c r="L71" s="5" t="str">
        <f ca="1">IFERROR(__xludf.DUMMYFUNCTION("""COMPUTED_VALUE"""),"24.14%")</f>
        <v>24.14%</v>
      </c>
      <c r="M71" s="5" t="str">
        <f ca="1">IFERROR(__xludf.DUMMYFUNCTION("""COMPUTED_VALUE"""),"x10000")</f>
        <v>x10000</v>
      </c>
      <c r="N71" s="5" t="str">
        <f ca="1">IFERROR(__xludf.DUMMYFUNCTION("""COMPUTED_VALUE"""),"0.1/100")</f>
        <v>0.1/100</v>
      </c>
      <c r="O71" s="5" t="str">
        <f ca="1">IFERROR(__xludf.DUMMYFUNCTION("""COMPUTED_VALUE"""),"No")</f>
        <v>No</v>
      </c>
      <c r="P71" s="5"/>
      <c r="Q71" s="7" t="str">
        <f ca="1">IFERROR(__xludf.DUMMYFUNCTION("""COMPUTED_VALUE"""),"https://gameserver-store-client-area.orbionlimited.com/Home/IntegrationGameLaunch/client-area?moneyType=0&amp;gameName=UnicornSimplySevensDiceEaster&amp;platform=desktop&amp;languageCode=eng&amp;currency=EUR")</f>
        <v>https://gameserver-store-client-area.orbionlimited.com/Home/IntegrationGameLaunch/client-area?moneyType=0&amp;gameName=UnicornSimplySevensDiceEaster&amp;platform=desktop&amp;languageCode=eng&amp;currency=EUR</v>
      </c>
      <c r="R71" s="5" t="str">
        <f ca="1">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S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IFERROR(__xludf.DUMMYFUNCTION("""COMPUTED_VALUE"""),"Yes")</f>
        <v>Yes</v>
      </c>
      <c r="X71" s="5" t="str">
        <f ca="1">IFERROR(__xludf.DUMMYFUNCTION("""COMPUTED_VALUE"""),"Yes")</f>
        <v>Yes</v>
      </c>
      <c r="Y71" s="5" t="str">
        <f ca="1">IFERROR(__xludf.DUMMYFUNCTION("""COMPUTED_VALUE"""),"Yes")</f>
        <v>Yes</v>
      </c>
      <c r="Z71" s="5" t="str">
        <f ca="1">IFERROR(__xludf.DUMMYFUNCTION("""COMPUTED_VALUE"""),"Yes")</f>
        <v>Yes</v>
      </c>
      <c r="AA71" s="5" t="str">
        <f ca="1">IFERROR(__xludf.DUMMYFUNCTION("""COMPUTED_VALUE"""),"Yes")</f>
        <v>Yes</v>
      </c>
      <c r="AB71" s="5" t="str">
        <f ca="1">IFERROR(__xludf.DUMMYFUNCTION("""COMPUTED_VALUE"""),"Yes")</f>
        <v>Yes</v>
      </c>
      <c r="AC71" s="5" t="str">
        <f ca="1">IFERROR(__xludf.DUMMYFUNCTION("""COMPUTED_VALUE"""),"Yes")</f>
        <v>Yes</v>
      </c>
      <c r="AD71" s="5" t="str">
        <f ca="1">IFERROR(__xludf.DUMMYFUNCTION("""COMPUTED_VALUE"""),"Yes")</f>
        <v>Yes</v>
      </c>
      <c r="AE71" s="5" t="str">
        <f ca="1">IFERROR(__xludf.DUMMYFUNCTION("""COMPUTED_VALUE"""),"Yes")</f>
        <v>Yes</v>
      </c>
      <c r="AF71" s="5" t="str">
        <f ca="1">IFERROR(__xludf.DUMMYFUNCTION("""COMPUTED_VALUE"""),"Yes")</f>
        <v>Yes</v>
      </c>
      <c r="AG71" s="5" t="str">
        <f ca="1">IFERROR(__xludf.DUMMYFUNCTION("""COMPUTED_VALUE"""),"Yes")</f>
        <v>Yes</v>
      </c>
      <c r="AH71" s="5" t="str">
        <f ca="1">IFERROR(__xludf.DUMMYFUNCTION("""COMPUTED_VALUE"""),"Yes")</f>
        <v>Yes</v>
      </c>
      <c r="AI71" s="5" t="str">
        <f ca="1">IFERROR(__xludf.DUMMYFUNCTION("""COMPUTED_VALUE"""),"Yes")</f>
        <v>Yes</v>
      </c>
      <c r="AJ71" s="5" t="str">
        <f ca="1">IFERROR(__xludf.DUMMYFUNCTION("""COMPUTED_VALUE"""),"Yes")</f>
        <v>Yes</v>
      </c>
      <c r="AK71" s="5" t="str">
        <f ca="1">IFERROR(__xludf.DUMMYFUNCTION("""COMPUTED_VALUE"""),"Yes")</f>
        <v>Yes</v>
      </c>
      <c r="AL71" s="5" t="str">
        <f ca="1">IFERROR(__xludf.DUMMYFUNCTION("""COMPUTED_VALUE"""),"Yes")</f>
        <v>Yes</v>
      </c>
      <c r="AM71" s="5"/>
      <c r="AN71" s="5"/>
      <c r="AO71" s="5"/>
      <c r="AP71" s="5"/>
      <c r="AQ71" s="5" t="str">
        <f ca="1">IFERROR(__xludf.DUMMYFUNCTION("""COMPUTED_VALUE"""),"Yes")</f>
        <v>Yes</v>
      </c>
      <c r="AR71" s="5"/>
      <c r="AS71" s="5"/>
      <c r="AT71" s="5"/>
      <c r="AU71" s="5"/>
    </row>
    <row r="72" spans="1:47" x14ac:dyDescent="0.25">
      <c r="A72" s="5" t="str">
        <f ca="1">IFERROR(__xludf.DUMMYFUNCTION("""COMPUTED_VALUE"""),"Tiptop")</f>
        <v>Tiptop</v>
      </c>
      <c r="B72" s="5" t="str">
        <f ca="1">IFERROR(__xludf.DUMMYFUNCTION("""COMPUTED_VALUE"""),"Fruit Island Gems")</f>
        <v>Fruit Island Gems</v>
      </c>
      <c r="C72" s="5" t="str">
        <f ca="1">IFERROR(__xludf.DUMMYFUNCTION("""COMPUTED_VALUE"""),"UnicornFruitIslandGems")</f>
        <v>UnicornFruitIslandGems</v>
      </c>
      <c r="D72" s="6">
        <f ca="1">IFERROR(__xludf.DUMMYFUNCTION("""COMPUTED_VALUE"""),45722)</f>
        <v>45722</v>
      </c>
      <c r="E72" s="5" t="str">
        <f ca="1">IFERROR(__xludf.DUMMYFUNCTION("""COMPUTED_VALUE"""),"Slot")</f>
        <v>Slot</v>
      </c>
      <c r="F72" s="5">
        <f ca="1">IFERROR(__xludf.DUMMYFUNCTION("""COMPUTED_VALUE"""),11.1)</f>
        <v>11.1</v>
      </c>
      <c r="G72" s="5" t="str">
        <f ca="1">IFERROR(__xludf.DUMMYFUNCTION("""COMPUTED_VALUE"""),"5x3")</f>
        <v>5x3</v>
      </c>
      <c r="H72" s="5">
        <f ca="1">IFERROR(__xludf.DUMMYFUNCTION("""COMPUTED_VALUE"""),5)</f>
        <v>5</v>
      </c>
      <c r="I72" s="5">
        <f ca="1">IFERROR(__xludf.DUMMYFUNCTION("""COMPUTED_VALUE"""),5)</f>
        <v>5</v>
      </c>
      <c r="J72" s="5" t="str">
        <f ca="1">IFERROR(__xludf.DUMMYFUNCTION("""COMPUTED_VALUE"""),"96%")</f>
        <v>96%</v>
      </c>
      <c r="K72" s="5" t="str">
        <f ca="1">IFERROR(__xludf.DUMMYFUNCTION("""COMPUTED_VALUE"""),"Low")</f>
        <v>Low</v>
      </c>
      <c r="L72" s="5" t="str">
        <f ca="1">IFERROR(__xludf.DUMMYFUNCTION("""COMPUTED_VALUE"""),"10.5%")</f>
        <v>10.5%</v>
      </c>
      <c r="M72" s="5" t="str">
        <f ca="1">IFERROR(__xludf.DUMMYFUNCTION("""COMPUTED_VALUE"""),"x1000")</f>
        <v>x1000</v>
      </c>
      <c r="N72" s="5" t="str">
        <f ca="1">IFERROR(__xludf.DUMMYFUNCTION("""COMPUTED_VALUE"""),"0.05/100")</f>
        <v>0.05/100</v>
      </c>
      <c r="O72" s="5" t="str">
        <f ca="1">IFERROR(__xludf.DUMMYFUNCTION("""COMPUTED_VALUE"""),"No")</f>
        <v>No</v>
      </c>
      <c r="P72" s="5"/>
      <c r="Q72" s="7" t="str">
        <f ca="1">IFERROR(__xludf.DUMMYFUNCTION("""COMPUTED_VALUE"""),"https://gameserver-store-client-area.orbionlimited.com/Home/IntegrationGameLaunch/client-area?moneyType=0&amp;gameName=UnicornFruitIslandGems&amp;platform=desktop&amp;languageCode=eng&amp;currency=EUR")</f>
        <v>https://gameserver-store-client-area.orbionlimited.com/Home/IntegrationGameLaunch/client-area?moneyType=0&amp;gameName=UnicornFruitIslandGems&amp;platform=desktop&amp;languageCode=eng&amp;currency=EUR</v>
      </c>
      <c r="R72" s="5" t="str">
        <f ca="1">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S7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2" s="5" t="str">
        <f ca="1">IFERROR(__xludf.DUMMYFUNCTION("""COMPUTED_VALUE"""),"Yes")</f>
        <v>Yes</v>
      </c>
      <c r="U72" s="5" t="str">
        <f ca="1">IFERROR(__xludf.DUMMYFUNCTION("""COMPUTED_VALUE"""),"Yes")</f>
        <v>Yes</v>
      </c>
      <c r="V72" s="5" t="str">
        <f ca="1">IFERROR(__xludf.DUMMYFUNCTION("""COMPUTED_VALUE"""),"No")</f>
        <v>No</v>
      </c>
      <c r="W72" s="5" t="str">
        <f ca="1">IFERROR(__xludf.DUMMYFUNCTION("""COMPUTED_VALUE"""),"Yes")</f>
        <v>Yes</v>
      </c>
      <c r="X72" s="5" t="str">
        <f ca="1">IFERROR(__xludf.DUMMYFUNCTION("""COMPUTED_VALUE"""),"Yes")</f>
        <v>Yes</v>
      </c>
      <c r="Y72" s="5" t="str">
        <f ca="1">IFERROR(__xludf.DUMMYFUNCTION("""COMPUTED_VALUE"""),"Yes")</f>
        <v>Yes</v>
      </c>
      <c r="Z72" s="5" t="str">
        <f ca="1">IFERROR(__xludf.DUMMYFUNCTION("""COMPUTED_VALUE"""),"Yes")</f>
        <v>Yes</v>
      </c>
      <c r="AA72" s="5" t="str">
        <f ca="1">IFERROR(__xludf.DUMMYFUNCTION("""COMPUTED_VALUE"""),"Yes")</f>
        <v>Yes</v>
      </c>
      <c r="AB72" s="5" t="str">
        <f ca="1">IFERROR(__xludf.DUMMYFUNCTION("""COMPUTED_VALUE"""),"Yes")</f>
        <v>Yes</v>
      </c>
      <c r="AC72" s="5" t="str">
        <f ca="1">IFERROR(__xludf.DUMMYFUNCTION("""COMPUTED_VALUE"""),"Yes")</f>
        <v>Yes</v>
      </c>
      <c r="AD72" s="5" t="str">
        <f ca="1">IFERROR(__xludf.DUMMYFUNCTION("""COMPUTED_VALUE"""),"Yes")</f>
        <v>Yes</v>
      </c>
      <c r="AE72" s="5" t="str">
        <f ca="1">IFERROR(__xludf.DUMMYFUNCTION("""COMPUTED_VALUE"""),"Yes")</f>
        <v>Yes</v>
      </c>
      <c r="AF72" s="5" t="str">
        <f ca="1">IFERROR(__xludf.DUMMYFUNCTION("""COMPUTED_VALUE"""),"Yes")</f>
        <v>Yes</v>
      </c>
      <c r="AG72" s="5" t="str">
        <f ca="1">IFERROR(__xludf.DUMMYFUNCTION("""COMPUTED_VALUE"""),"Yes")</f>
        <v>Yes</v>
      </c>
      <c r="AH72" s="5" t="str">
        <f ca="1">IFERROR(__xludf.DUMMYFUNCTION("""COMPUTED_VALUE"""),"Yes")</f>
        <v>Yes</v>
      </c>
      <c r="AI72" s="5" t="str">
        <f ca="1">IFERROR(__xludf.DUMMYFUNCTION("""COMPUTED_VALUE"""),"No")</f>
        <v>No</v>
      </c>
      <c r="AJ72" s="5" t="str">
        <f ca="1">IFERROR(__xludf.DUMMYFUNCTION("""COMPUTED_VALUE"""),"No")</f>
        <v>No</v>
      </c>
      <c r="AK72" s="5" t="str">
        <f ca="1">IFERROR(__xludf.DUMMYFUNCTION("""COMPUTED_VALUE"""),"No")</f>
        <v>No</v>
      </c>
      <c r="AL72" s="5" t="str">
        <f ca="1">IFERROR(__xludf.DUMMYFUNCTION("""COMPUTED_VALUE"""),"No")</f>
        <v>No</v>
      </c>
      <c r="AM72" s="5" t="str">
        <f ca="1">IFERROR(__xludf.DUMMYFUNCTION("""COMPUTED_VALUE"""),"No")</f>
        <v>No</v>
      </c>
      <c r="AN72" s="5" t="str">
        <f ca="1">IFERROR(__xludf.DUMMYFUNCTION("""COMPUTED_VALUE"""),"No")</f>
        <v>No</v>
      </c>
      <c r="AO72" s="5" t="str">
        <f ca="1">IFERROR(__xludf.DUMMYFUNCTION("""COMPUTED_VALUE"""),"Yes")</f>
        <v>Yes</v>
      </c>
      <c r="AP72" s="5" t="str">
        <f ca="1">IFERROR(__xludf.DUMMYFUNCTION("""COMPUTED_VALUE"""),"No")</f>
        <v>No</v>
      </c>
      <c r="AQ72" s="5" t="str">
        <f ca="1">IFERROR(__xludf.DUMMYFUNCTION("""COMPUTED_VALUE"""),"No")</f>
        <v>No</v>
      </c>
      <c r="AR72" s="5" t="str">
        <f ca="1">IFERROR(__xludf.DUMMYFUNCTION("""COMPUTED_VALUE"""),"No")</f>
        <v>No</v>
      </c>
      <c r="AS72" s="5" t="str">
        <f ca="1">IFERROR(__xludf.DUMMYFUNCTION("""COMPUTED_VALUE"""),"Yes")</f>
        <v>Yes</v>
      </c>
      <c r="AT72" s="5" t="str">
        <f ca="1">IFERROR(__xludf.DUMMYFUNCTION("""COMPUTED_VALUE"""),"No")</f>
        <v>No</v>
      </c>
      <c r="AU72" s="5"/>
    </row>
    <row r="73" spans="1:47" x14ac:dyDescent="0.25">
      <c r="A73" s="5" t="str">
        <f ca="1">IFERROR(__xludf.DUMMYFUNCTION("""COMPUTED_VALUE"""),"Tiptop")</f>
        <v>Tiptop</v>
      </c>
      <c r="B73" s="5" t="str">
        <f ca="1">IFERROR(__xludf.DUMMYFUNCTION("""COMPUTED_VALUE"""),"Bunny Dice")</f>
        <v>Bunny Dice</v>
      </c>
      <c r="C73" s="5" t="str">
        <f ca="1">IFERROR(__xludf.DUMMYFUNCTION("""COMPUTED_VALUE"""),"UnicornBunnyDice")</f>
        <v>UnicornBunnyDice</v>
      </c>
      <c r="D73" s="6">
        <f ca="1">IFERROR(__xludf.DUMMYFUNCTION("""COMPUTED_VALUE"""),45729)</f>
        <v>45729</v>
      </c>
      <c r="E73" s="5" t="str">
        <f ca="1">IFERROR(__xludf.DUMMYFUNCTION("""COMPUTED_VALUE"""),"Dice Slots")</f>
        <v>Dice Slots</v>
      </c>
      <c r="F73" s="5">
        <f ca="1">IFERROR(__xludf.DUMMYFUNCTION("""COMPUTED_VALUE"""),12.2)</f>
        <v>12.2</v>
      </c>
      <c r="G73" s="5" t="str">
        <f ca="1">IFERROR(__xludf.DUMMYFUNCTION("""COMPUTED_VALUE"""),"5x3")</f>
        <v>5x3</v>
      </c>
      <c r="H73" s="5">
        <f ca="1">IFERROR(__xludf.DUMMYFUNCTION("""COMPUTED_VALUE"""),10)</f>
        <v>10</v>
      </c>
      <c r="I73" s="5">
        <f ca="1">IFERROR(__xludf.DUMMYFUNCTION("""COMPUTED_VALUE"""),10)</f>
        <v>10</v>
      </c>
      <c r="J73" s="5" t="str">
        <f ca="1">IFERROR(__xludf.DUMMYFUNCTION("""COMPUTED_VALUE"""),"96%")</f>
        <v>96%</v>
      </c>
      <c r="K73" s="5" t="str">
        <f ca="1">IFERROR(__xludf.DUMMYFUNCTION("""COMPUTED_VALUE"""),"Low")</f>
        <v>Low</v>
      </c>
      <c r="L73" s="5" t="str">
        <f ca="1">IFERROR(__xludf.DUMMYFUNCTION("""COMPUTED_VALUE"""),"24.14%")</f>
        <v>24.14%</v>
      </c>
      <c r="M73" s="5" t="str">
        <f ca="1">IFERROR(__xludf.DUMMYFUNCTION("""COMPUTED_VALUE"""),"x10000")</f>
        <v>x10000</v>
      </c>
      <c r="N73" s="5" t="str">
        <f ca="1">IFERROR(__xludf.DUMMYFUNCTION("""COMPUTED_VALUE"""),"0.1/100")</f>
        <v>0.1/100</v>
      </c>
      <c r="O73" s="5" t="str">
        <f ca="1">IFERROR(__xludf.DUMMYFUNCTION("""COMPUTED_VALUE"""),"No")</f>
        <v>No</v>
      </c>
      <c r="P73" s="5"/>
      <c r="Q73" s="7" t="str">
        <f ca="1">IFERROR(__xludf.DUMMYFUNCTION("""COMPUTED_VALUE"""),"https://gameserver-store-client-area.orbionlimited.com/Home/IntegrationGameLaunch/client-area?moneyType=0&amp;gameName=UnicornBunnyDice&amp;platform=desktop&amp;languageCode=eng&amp;currency=EUR")</f>
        <v>https://gameserver-store-client-area.orbionlimited.com/Home/IntegrationGameLaunch/client-area?moneyType=0&amp;gameName=UnicornBunnyDice&amp;platform=desktop&amp;languageCode=eng&amp;currency=EUR</v>
      </c>
      <c r="R73" s="5" t="str">
        <f ca="1">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S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3" s="5" t="str">
        <f ca="1">IFERROR(__xludf.DUMMYFUNCTION("""COMPUTED_VALUE"""),"Yes")</f>
        <v>Yes</v>
      </c>
      <c r="U73" s="5" t="str">
        <f ca="1">IFERROR(__xludf.DUMMYFUNCTION("""COMPUTED_VALUE"""),"Yes")</f>
        <v>Yes</v>
      </c>
      <c r="V73" s="5" t="str">
        <f ca="1">IFERROR(__xludf.DUMMYFUNCTION("""COMPUTED_VALUE"""),"Yes")</f>
        <v>Yes</v>
      </c>
      <c r="W73" s="5" t="str">
        <f ca="1">IFERROR(__xludf.DUMMYFUNCTION("""COMPUTED_VALUE"""),"Yes")</f>
        <v>Yes</v>
      </c>
      <c r="X73" s="5" t="str">
        <f ca="1">IFERROR(__xludf.DUMMYFUNCTION("""COMPUTED_VALUE"""),"Yes")</f>
        <v>Yes</v>
      </c>
      <c r="Y73" s="5" t="str">
        <f ca="1">IFERROR(__xludf.DUMMYFUNCTION("""COMPUTED_VALUE"""),"Yes")</f>
        <v>Yes</v>
      </c>
      <c r="Z73" s="5" t="str">
        <f ca="1">IFERROR(__xludf.DUMMYFUNCTION("""COMPUTED_VALUE"""),"Yes")</f>
        <v>Yes</v>
      </c>
      <c r="AA73" s="5" t="str">
        <f ca="1">IFERROR(__xludf.DUMMYFUNCTION("""COMPUTED_VALUE"""),"Yes")</f>
        <v>Yes</v>
      </c>
      <c r="AB73" s="5" t="str">
        <f ca="1">IFERROR(__xludf.DUMMYFUNCTION("""COMPUTED_VALUE"""),"Yes")</f>
        <v>Yes</v>
      </c>
      <c r="AC73" s="5" t="str">
        <f ca="1">IFERROR(__xludf.DUMMYFUNCTION("""COMPUTED_VALUE"""),"Yes")</f>
        <v>Yes</v>
      </c>
      <c r="AD73" s="5" t="str">
        <f ca="1">IFERROR(__xludf.DUMMYFUNCTION("""COMPUTED_VALUE"""),"Yes")</f>
        <v>Yes</v>
      </c>
      <c r="AE73" s="5" t="str">
        <f ca="1">IFERROR(__xludf.DUMMYFUNCTION("""COMPUTED_VALUE"""),"Yes")</f>
        <v>Yes</v>
      </c>
      <c r="AF73" s="5" t="str">
        <f ca="1">IFERROR(__xludf.DUMMYFUNCTION("""COMPUTED_VALUE"""),"Yes")</f>
        <v>Yes</v>
      </c>
      <c r="AG73" s="5" t="str">
        <f ca="1">IFERROR(__xludf.DUMMYFUNCTION("""COMPUTED_VALUE"""),"Yes")</f>
        <v>Yes</v>
      </c>
      <c r="AH73" s="5" t="str">
        <f ca="1">IFERROR(__xludf.DUMMYFUNCTION("""COMPUTED_VALUE"""),"Yes")</f>
        <v>Yes</v>
      </c>
      <c r="AI73" s="5" t="str">
        <f ca="1">IFERROR(__xludf.DUMMYFUNCTION("""COMPUTED_VALUE"""),"Yes")</f>
        <v>Yes</v>
      </c>
      <c r="AJ73" s="5" t="str">
        <f ca="1">IFERROR(__xludf.DUMMYFUNCTION("""COMPUTED_VALUE"""),"Yes")</f>
        <v>Yes</v>
      </c>
      <c r="AK73" s="5" t="str">
        <f ca="1">IFERROR(__xludf.DUMMYFUNCTION("""COMPUTED_VALUE"""),"Yes")</f>
        <v>Yes</v>
      </c>
      <c r="AL73" s="5" t="str">
        <f ca="1">IFERROR(__xludf.DUMMYFUNCTION("""COMPUTED_VALUE"""),"Yes")</f>
        <v>Yes</v>
      </c>
      <c r="AM73" s="5"/>
      <c r="AN73" s="5"/>
      <c r="AO73" s="5"/>
      <c r="AP73" s="5"/>
      <c r="AQ73" s="5" t="str">
        <f ca="1">IFERROR(__xludf.DUMMYFUNCTION("""COMPUTED_VALUE"""),"Yes")</f>
        <v>Yes</v>
      </c>
      <c r="AR73" s="5"/>
      <c r="AS73" s="5"/>
      <c r="AT73" s="5"/>
      <c r="AU73" s="5"/>
    </row>
    <row r="74" spans="1:47" x14ac:dyDescent="0.25">
      <c r="A74" s="5" t="str">
        <f ca="1">IFERROR(__xludf.DUMMYFUNCTION("""COMPUTED_VALUE"""),"Tiptop")</f>
        <v>Tiptop</v>
      </c>
      <c r="B74" s="5" t="str">
        <f ca="1">IFERROR(__xludf.DUMMYFUNCTION("""COMPUTED_VALUE"""),"Savana Fruits")</f>
        <v>Savana Fruits</v>
      </c>
      <c r="C74" s="5" t="str">
        <f ca="1">IFERROR(__xludf.DUMMYFUNCTION("""COMPUTED_VALUE"""),"UnicornSavanaFruits")</f>
        <v>UnicornSavanaFruits</v>
      </c>
      <c r="D74" s="6">
        <f ca="1">IFERROR(__xludf.DUMMYFUNCTION("""COMPUTED_VALUE"""),45742)</f>
        <v>45742</v>
      </c>
      <c r="E74" s="5" t="str">
        <f ca="1">IFERROR(__xludf.DUMMYFUNCTION("""COMPUTED_VALUE"""),"Slot")</f>
        <v>Slot</v>
      </c>
      <c r="F74" s="5">
        <f ca="1">IFERROR(__xludf.DUMMYFUNCTION("""COMPUTED_VALUE"""),10.9)</f>
        <v>10.9</v>
      </c>
      <c r="G74" s="5" t="str">
        <f ca="1">IFERROR(__xludf.DUMMYFUNCTION("""COMPUTED_VALUE"""),"5x3")</f>
        <v>5x3</v>
      </c>
      <c r="H74" s="5">
        <f ca="1">IFERROR(__xludf.DUMMYFUNCTION("""COMPUTED_VALUE"""),5)</f>
        <v>5</v>
      </c>
      <c r="I74" s="5">
        <f ca="1">IFERROR(__xludf.DUMMYFUNCTION("""COMPUTED_VALUE"""),5)</f>
        <v>5</v>
      </c>
      <c r="J74" s="5" t="str">
        <f ca="1">IFERROR(__xludf.DUMMYFUNCTION("""COMPUTED_VALUE"""),"96%")</f>
        <v>96%</v>
      </c>
      <c r="K74" s="5" t="str">
        <f ca="1">IFERROR(__xludf.DUMMYFUNCTION("""COMPUTED_VALUE"""),"Medium")</f>
        <v>Medium</v>
      </c>
      <c r="L74" s="5" t="str">
        <f ca="1">IFERROR(__xludf.DUMMYFUNCTION("""COMPUTED_VALUE"""),"10.1%")</f>
        <v>10.1%</v>
      </c>
      <c r="M74" s="5" t="str">
        <f ca="1">IFERROR(__xludf.DUMMYFUNCTION("""COMPUTED_VALUE"""),"x1000")</f>
        <v>x1000</v>
      </c>
      <c r="N74" s="5" t="str">
        <f ca="1">IFERROR(__xludf.DUMMYFUNCTION("""COMPUTED_VALUE"""),"0.05/100")</f>
        <v>0.05/100</v>
      </c>
      <c r="O74" s="5" t="str">
        <f ca="1">IFERROR(__xludf.DUMMYFUNCTION("""COMPUTED_VALUE"""),"No")</f>
        <v>No</v>
      </c>
      <c r="P74" s="5"/>
      <c r="Q74" s="7" t="str">
        <f ca="1">IFERROR(__xludf.DUMMYFUNCTION("""COMPUTED_VALUE"""),"https://gameserver-store-client-area.orbionlimited.com/Home/IntegrationGameLaunch/client-area?moneyType=0&amp;gameName=UnicornSavanaFruits&amp;platform=desktop&amp;languageCode=eng&amp;currency=EUR")</f>
        <v>https://gameserver-store-client-area.orbionlimited.com/Home/IntegrationGameLaunch/client-area?moneyType=0&amp;gameName=UnicornSavanaFruits&amp;platform=desktop&amp;languageCode=eng&amp;currency=EUR</v>
      </c>
      <c r="R74" s="5" t="str">
        <f ca="1">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S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IFERROR(__xludf.DUMMYFUNCTION("""COMPUTED_VALUE"""),"Yes")</f>
        <v>Yes</v>
      </c>
      <c r="X74" s="5" t="str">
        <f ca="1">IFERROR(__xludf.DUMMYFUNCTION("""COMPUTED_VALUE"""),"Yes")</f>
        <v>Yes</v>
      </c>
      <c r="Y74" s="5" t="str">
        <f ca="1">IFERROR(__xludf.DUMMYFUNCTION("""COMPUTED_VALUE"""),"Yes")</f>
        <v>Yes</v>
      </c>
      <c r="Z74" s="5" t="str">
        <f ca="1">IFERROR(__xludf.DUMMYFUNCTION("""COMPUTED_VALUE"""),"Yes")</f>
        <v>Yes</v>
      </c>
      <c r="AA74" s="5" t="str">
        <f ca="1">IFERROR(__xludf.DUMMYFUNCTION("""COMPUTED_VALUE"""),"Yes")</f>
        <v>Yes</v>
      </c>
      <c r="AB74" s="5" t="str">
        <f ca="1">IFERROR(__xludf.DUMMYFUNCTION("""COMPUTED_VALUE"""),"Yes")</f>
        <v>Yes</v>
      </c>
      <c r="AC74" s="5" t="str">
        <f ca="1">IFERROR(__xludf.DUMMYFUNCTION("""COMPUTED_VALUE"""),"Yes")</f>
        <v>Yes</v>
      </c>
      <c r="AD74" s="5" t="str">
        <f ca="1">IFERROR(__xludf.DUMMYFUNCTION("""COMPUTED_VALUE"""),"Yes")</f>
        <v>Yes</v>
      </c>
      <c r="AE74" s="5" t="str">
        <f ca="1">IFERROR(__xludf.DUMMYFUNCTION("""COMPUTED_VALUE"""),"Yes")</f>
        <v>Yes</v>
      </c>
      <c r="AF74" s="5" t="str">
        <f ca="1">IFERROR(__xludf.DUMMYFUNCTION("""COMPUTED_VALUE"""),"Yes")</f>
        <v>Yes</v>
      </c>
      <c r="AG74" s="5" t="str">
        <f ca="1">IFERROR(__xludf.DUMMYFUNCTION("""COMPUTED_VALUE"""),"Yes")</f>
        <v>Yes</v>
      </c>
      <c r="AH74" s="5" t="str">
        <f ca="1">IFERROR(__xludf.DUMMYFUNCTION("""COMPUTED_VALUE"""),"Yes")</f>
        <v>Yes</v>
      </c>
      <c r="AI74" s="5" t="str">
        <f ca="1">IFERROR(__xludf.DUMMYFUNCTION("""COMPUTED_VALUE"""),"Yes")</f>
        <v>Yes</v>
      </c>
      <c r="AJ74" s="5" t="str">
        <f ca="1">IFERROR(__xludf.DUMMYFUNCTION("""COMPUTED_VALUE"""),"Yes")</f>
        <v>Yes</v>
      </c>
      <c r="AK74" s="5" t="str">
        <f ca="1">IFERROR(__xludf.DUMMYFUNCTION("""COMPUTED_VALUE"""),"Yes")</f>
        <v>Yes</v>
      </c>
      <c r="AL74" s="5" t="str">
        <f ca="1">IFERROR(__xludf.DUMMYFUNCTION("""COMPUTED_VALUE"""),"Yes")</f>
        <v>Yes</v>
      </c>
      <c r="AM74" s="5"/>
      <c r="AN74" s="5"/>
      <c r="AO74" s="5"/>
      <c r="AP74" s="5"/>
      <c r="AQ74" s="5" t="str">
        <f ca="1">IFERROR(__xludf.DUMMYFUNCTION("""COMPUTED_VALUE"""),"Yes")</f>
        <v>Yes</v>
      </c>
      <c r="AR74" s="5"/>
      <c r="AS74" s="5"/>
      <c r="AT74" s="5"/>
      <c r="AU74" s="5"/>
    </row>
    <row r="75" spans="1:47" x14ac:dyDescent="0.25">
      <c r="A75" s="5" t="str">
        <f ca="1">IFERROR(__xludf.DUMMYFUNCTION("""COMPUTED_VALUE"""),"Tiptop")</f>
        <v>Tiptop</v>
      </c>
      <c r="B75" s="5" t="str">
        <f ca="1">IFERROR(__xludf.DUMMYFUNCTION("""COMPUTED_VALUE"""),"Big Spin Sevens")</f>
        <v>Big Spin Sevens</v>
      </c>
      <c r="C75" s="5" t="str">
        <f ca="1">IFERROR(__xludf.DUMMYFUNCTION("""COMPUTED_VALUE"""),"UnicornBigSpinSevens")</f>
        <v>UnicornBigSpinSevens</v>
      </c>
      <c r="D75" s="6">
        <f ca="1">IFERROR(__xludf.DUMMYFUNCTION("""COMPUTED_VALUE"""),45427)</f>
        <v>45427</v>
      </c>
      <c r="E75" s="5" t="str">
        <f ca="1">IFERROR(__xludf.DUMMYFUNCTION("""COMPUTED_VALUE"""),"Slot")</f>
        <v>Slot</v>
      </c>
      <c r="F75" s="5">
        <f ca="1">IFERROR(__xludf.DUMMYFUNCTION("""COMPUTED_VALUE"""),9.9)</f>
        <v>9.9</v>
      </c>
      <c r="G75" s="5" t="str">
        <f ca="1">IFERROR(__xludf.DUMMYFUNCTION("""COMPUTED_VALUE"""),"5X3")</f>
        <v>5X3</v>
      </c>
      <c r="H75" s="5" t="str">
        <f ca="1">IFERROR(__xludf.DUMMYFUNCTION("""COMPUTED_VALUE"""),"5")</f>
        <v>5</v>
      </c>
      <c r="I75" s="5">
        <f ca="1">IFERROR(__xludf.DUMMYFUNCTION("""COMPUTED_VALUE"""),5)</f>
        <v>5</v>
      </c>
      <c r="J75" s="5" t="str">
        <f ca="1">IFERROR(__xludf.DUMMYFUNCTION("""COMPUTED_VALUE"""),"96%")</f>
        <v>96%</v>
      </c>
      <c r="K75" s="5" t="str">
        <f ca="1">IFERROR(__xludf.DUMMYFUNCTION("""COMPUTED_VALUE"""),"Low")</f>
        <v>Low</v>
      </c>
      <c r="L75" s="5" t="str">
        <f ca="1">IFERROR(__xludf.DUMMYFUNCTION("""COMPUTED_VALUE"""),"8.83%")</f>
        <v>8.83%</v>
      </c>
      <c r="M75" s="5" t="str">
        <f ca="1">IFERROR(__xludf.DUMMYFUNCTION("""COMPUTED_VALUE"""),"x1000")</f>
        <v>x1000</v>
      </c>
      <c r="N75" s="5" t="str">
        <f ca="1">IFERROR(__xludf.DUMMYFUNCTION("""COMPUTED_VALUE"""),"0.05/100")</f>
        <v>0.05/100</v>
      </c>
      <c r="O75" s="5" t="str">
        <f ca="1">IFERROR(__xludf.DUMMYFUNCTION("""COMPUTED_VALUE"""),"No")</f>
        <v>No</v>
      </c>
      <c r="P75" s="5"/>
      <c r="Q75" s="7" t="str">
        <f ca="1">IFERROR(__xludf.DUMMYFUNCTION("""COMPUTED_VALUE"""),"https://gameserver-store-client-area.orbionlimited.com/Home/IntegrationGameLaunch/client-area?moneyType=0&amp;gameName=UnicornBigSpinSevens&amp;platform=desktop&amp;languageCode=eng&amp;currency=EUR")</f>
        <v>https://gameserver-store-client-area.orbionlimited.com/Home/IntegrationGameLaunch/client-area?moneyType=0&amp;gameName=UnicornBigSpinSevens&amp;platform=desktop&amp;languageCode=eng&amp;currency=EUR</v>
      </c>
      <c r="R75" s="5" t="str">
        <f ca="1">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S75" s="5" t="str">
        <f ca="1">IFERROR(__xludf.DUMMYFUNCTION("""COMPUTED_VALUE"""),"English(""eng"")")</f>
        <v>English("eng")</v>
      </c>
      <c r="T75" s="5" t="str">
        <f ca="1">IFERROR(__xludf.DUMMYFUNCTION("""COMPUTED_VALUE"""),"Yes")</f>
        <v>Yes</v>
      </c>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row r="76" spans="1:47" x14ac:dyDescent="0.25">
      <c r="A76" s="5" t="str">
        <f ca="1">IFERROR(__xludf.DUMMYFUNCTION("""COMPUTED_VALUE"""),"Tiptop")</f>
        <v>Tiptop</v>
      </c>
      <c r="B76" s="5" t="str">
        <f ca="1">IFERROR(__xludf.DUMMYFUNCTION("""COMPUTED_VALUE"""),"Dynamite Run Platinum")</f>
        <v>Dynamite Run Platinum</v>
      </c>
      <c r="C76" s="5" t="str">
        <f ca="1">IFERROR(__xludf.DUMMYFUNCTION("""COMPUTED_VALUE"""),"UnicornDynamiteRunPlatinum")</f>
        <v>UnicornDynamiteRunPlatinum</v>
      </c>
      <c r="D76" s="6">
        <f ca="1">IFERROR(__xludf.DUMMYFUNCTION("""COMPUTED_VALUE"""),45735)</f>
        <v>45735</v>
      </c>
      <c r="E76" s="5" t="str">
        <f ca="1">IFERROR(__xludf.DUMMYFUNCTION("""COMPUTED_VALUE"""),"Slot")</f>
        <v>Slot</v>
      </c>
      <c r="F76" s="5">
        <f ca="1">IFERROR(__xludf.DUMMYFUNCTION("""COMPUTED_VALUE"""),13)</f>
        <v>13</v>
      </c>
      <c r="G76" s="5" t="str">
        <f ca="1">IFERROR(__xludf.DUMMYFUNCTION("""COMPUTED_VALUE"""),"5x3")</f>
        <v>5x3</v>
      </c>
      <c r="H76" s="5">
        <f ca="1">IFERROR(__xludf.DUMMYFUNCTION("""COMPUTED_VALUE"""),10)</f>
        <v>10</v>
      </c>
      <c r="I76" s="5">
        <f ca="1">IFERROR(__xludf.DUMMYFUNCTION("""COMPUTED_VALUE"""),10)</f>
        <v>10</v>
      </c>
      <c r="J76" s="5" t="str">
        <f ca="1">IFERROR(__xludf.DUMMYFUNCTION("""COMPUTED_VALUE"""),"96%")</f>
        <v>96%</v>
      </c>
      <c r="K76" s="5" t="str">
        <f ca="1">IFERROR(__xludf.DUMMYFUNCTION("""COMPUTED_VALUE"""),"Low")</f>
        <v>Low</v>
      </c>
      <c r="L76" s="5" t="str">
        <f ca="1">IFERROR(__xludf.DUMMYFUNCTION("""COMPUTED_VALUE"""),"26.12%")</f>
        <v>26.12%</v>
      </c>
      <c r="M76" s="5" t="str">
        <f ca="1">IFERROR(__xludf.DUMMYFUNCTION("""COMPUTED_VALUE"""),"x1100")</f>
        <v>x1100</v>
      </c>
      <c r="N76" s="5" t="str">
        <f ca="1">IFERROR(__xludf.DUMMYFUNCTION("""COMPUTED_VALUE"""),"0.1/100")</f>
        <v>0.1/100</v>
      </c>
      <c r="O76" s="5" t="str">
        <f ca="1">IFERROR(__xludf.DUMMYFUNCTION("""COMPUTED_VALUE"""),"No")</f>
        <v>No</v>
      </c>
      <c r="P76" s="5"/>
      <c r="Q76" s="7" t="str">
        <f ca="1">IFERROR(__xludf.DUMMYFUNCTION("""COMPUTED_VALUE"""),"https://gameserver-store-client-area.orbionlimited.com/Home/IntegrationGameLaunch/client-area?moneyType=0&amp;gameName=UnicornDynamiteRunPlatinum&amp;platform=desktop&amp;languageCode=eng&amp;currency=EUR")</f>
        <v>https://gameserver-store-client-area.orbionlimited.com/Home/IntegrationGameLaunch/client-area?moneyType=0&amp;gameName=UnicornDynamiteRunPlatinum&amp;platform=desktop&amp;languageCode=eng&amp;currency=EUR</v>
      </c>
      <c r="R76" s="5" t="str">
        <f ca="1">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S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IFERROR(__xludf.DUMMYFUNCTION("""COMPUTED_VALUE"""),"Yes")</f>
        <v>Yes</v>
      </c>
      <c r="X76" s="5" t="str">
        <f ca="1">IFERROR(__xludf.DUMMYFUNCTION("""COMPUTED_VALUE"""),"Yes")</f>
        <v>Yes</v>
      </c>
      <c r="Y76" s="5" t="str">
        <f ca="1">IFERROR(__xludf.DUMMYFUNCTION("""COMPUTED_VALUE"""),"Yes")</f>
        <v>Yes</v>
      </c>
      <c r="Z76" s="5" t="str">
        <f ca="1">IFERROR(__xludf.DUMMYFUNCTION("""COMPUTED_VALUE"""),"Yes")</f>
        <v>Yes</v>
      </c>
      <c r="AA76" s="5" t="str">
        <f ca="1">IFERROR(__xludf.DUMMYFUNCTION("""COMPUTED_VALUE"""),"Yes")</f>
        <v>Yes</v>
      </c>
      <c r="AB76" s="5" t="str">
        <f ca="1">IFERROR(__xludf.DUMMYFUNCTION("""COMPUTED_VALUE"""),"Yes")</f>
        <v>Yes</v>
      </c>
      <c r="AC76" s="5" t="str">
        <f ca="1">IFERROR(__xludf.DUMMYFUNCTION("""COMPUTED_VALUE"""),"Yes")</f>
        <v>Yes</v>
      </c>
      <c r="AD76" s="5" t="str">
        <f ca="1">IFERROR(__xludf.DUMMYFUNCTION("""COMPUTED_VALUE"""),"Yes")</f>
        <v>Yes</v>
      </c>
      <c r="AE76" s="5" t="str">
        <f ca="1">IFERROR(__xludf.DUMMYFUNCTION("""COMPUTED_VALUE"""),"Yes")</f>
        <v>Yes</v>
      </c>
      <c r="AF76" s="5" t="str">
        <f ca="1">IFERROR(__xludf.DUMMYFUNCTION("""COMPUTED_VALUE"""),"Yes")</f>
        <v>Yes</v>
      </c>
      <c r="AG76" s="5" t="str">
        <f ca="1">IFERROR(__xludf.DUMMYFUNCTION("""COMPUTED_VALUE"""),"Yes")</f>
        <v>Yes</v>
      </c>
      <c r="AH76" s="5" t="str">
        <f ca="1">IFERROR(__xludf.DUMMYFUNCTION("""COMPUTED_VALUE"""),"Yes")</f>
        <v>Yes</v>
      </c>
      <c r="AI76" s="5" t="str">
        <f ca="1">IFERROR(__xludf.DUMMYFUNCTION("""COMPUTED_VALUE"""),"Yes")</f>
        <v>Yes</v>
      </c>
      <c r="AJ76" s="5" t="str">
        <f ca="1">IFERROR(__xludf.DUMMYFUNCTION("""COMPUTED_VALUE"""),"Yes")</f>
        <v>Yes</v>
      </c>
      <c r="AK76" s="5" t="str">
        <f ca="1">IFERROR(__xludf.DUMMYFUNCTION("""COMPUTED_VALUE"""),"Yes")</f>
        <v>Yes</v>
      </c>
      <c r="AL76" s="5" t="str">
        <f ca="1">IFERROR(__xludf.DUMMYFUNCTION("""COMPUTED_VALUE"""),"Yes")</f>
        <v>Yes</v>
      </c>
      <c r="AM76" s="5"/>
      <c r="AN76" s="5"/>
      <c r="AO76" s="5"/>
      <c r="AP76" s="5"/>
      <c r="AQ76" s="5" t="str">
        <f ca="1">IFERROR(__xludf.DUMMYFUNCTION("""COMPUTED_VALUE"""),"Yes")</f>
        <v>Yes</v>
      </c>
      <c r="AR76" s="5"/>
      <c r="AS76" s="5"/>
      <c r="AT76" s="5"/>
      <c r="AU76" s="5"/>
    </row>
    <row r="77" spans="1:47" x14ac:dyDescent="0.25">
      <c r="A77" s="5" t="str">
        <f ca="1">IFERROR(__xludf.DUMMYFUNCTION("""COMPUTED_VALUE"""),"Tiptop")</f>
        <v>Tiptop</v>
      </c>
      <c r="B77" s="5" t="str">
        <f ca="1">IFERROR(__xludf.DUMMYFUNCTION("""COMPUTED_VALUE"""),"Big Hit Sevens")</f>
        <v>Big Hit Sevens</v>
      </c>
      <c r="C77" s="5" t="str">
        <f ca="1">IFERROR(__xludf.DUMMYFUNCTION("""COMPUTED_VALUE"""),"UnicornBigHitSevens")</f>
        <v>UnicornBigHitSevens</v>
      </c>
      <c r="D77" s="6">
        <f ca="1">IFERROR(__xludf.DUMMYFUNCTION("""COMPUTED_VALUE"""),45764)</f>
        <v>45764</v>
      </c>
      <c r="E77" s="5" t="str">
        <f ca="1">IFERROR(__xludf.DUMMYFUNCTION("""COMPUTED_VALUE"""),"Slot")</f>
        <v>Slot</v>
      </c>
      <c r="F77" s="5">
        <f ca="1">IFERROR(__xludf.DUMMYFUNCTION("""COMPUTED_VALUE"""),10.1)</f>
        <v>10.1</v>
      </c>
      <c r="G77" s="5" t="str">
        <f ca="1">IFERROR(__xludf.DUMMYFUNCTION("""COMPUTED_VALUE"""),"5x3")</f>
        <v>5x3</v>
      </c>
      <c r="H77" s="5">
        <f ca="1">IFERROR(__xludf.DUMMYFUNCTION("""COMPUTED_VALUE"""),10)</f>
        <v>10</v>
      </c>
      <c r="I77" s="5">
        <f ca="1">IFERROR(__xludf.DUMMYFUNCTION("""COMPUTED_VALUE"""),10)</f>
        <v>10</v>
      </c>
      <c r="J77" s="5" t="str">
        <f ca="1">IFERROR(__xludf.DUMMYFUNCTION("""COMPUTED_VALUE"""),"96%")</f>
        <v>96%</v>
      </c>
      <c r="K77" s="5" t="str">
        <f ca="1">IFERROR(__xludf.DUMMYFUNCTION("""COMPUTED_VALUE"""),"Low")</f>
        <v>Low</v>
      </c>
      <c r="L77" s="5" t="str">
        <f ca="1">IFERROR(__xludf.DUMMYFUNCTION("""COMPUTED_VALUE"""),"10.84%")</f>
        <v>10.84%</v>
      </c>
      <c r="M77" s="5" t="str">
        <f ca="1">IFERROR(__xludf.DUMMYFUNCTION("""COMPUTED_VALUE"""),"x1200")</f>
        <v>x1200</v>
      </c>
      <c r="N77" s="5" t="str">
        <f ca="1">IFERROR(__xludf.DUMMYFUNCTION("""COMPUTED_VALUE"""),"0.1/100")</f>
        <v>0.1/100</v>
      </c>
      <c r="O77" s="5" t="str">
        <f ca="1">IFERROR(__xludf.DUMMYFUNCTION("""COMPUTED_VALUE"""),"No")</f>
        <v>No</v>
      </c>
      <c r="P77" s="5"/>
      <c r="Q77" s="7" t="str">
        <f ca="1">IFERROR(__xludf.DUMMYFUNCTION("""COMPUTED_VALUE"""),"https://gameserver-store-client-area.orbionlimited.com/Home/IntegrationGameLaunch/client-area?moneyType=0&amp;gameName=UnicornBigHitSevens&amp;platform=desktop&amp;languageCode=eng&amp;currency=EUR")</f>
        <v>https://gameserver-store-client-area.orbionlimited.com/Home/IntegrationGameLaunch/client-area?moneyType=0&amp;gameName=UnicornBigHitSevens&amp;platform=desktop&amp;languageCode=eng&amp;currency=EUR</v>
      </c>
      <c r="R77" s="5" t="str">
        <f ca="1">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IFERROR(__xludf.DUMMYFUNCTION("""COMPUTED_VALUE"""),"Yes")</f>
        <v>Yes</v>
      </c>
      <c r="X77" s="5" t="str">
        <f ca="1">IFERROR(__xludf.DUMMYFUNCTION("""COMPUTED_VALUE"""),"Yes")</f>
        <v>Yes</v>
      </c>
      <c r="Y77" s="5" t="str">
        <f ca="1">IFERROR(__xludf.DUMMYFUNCTION("""COMPUTED_VALUE"""),"Yes")</f>
        <v>Yes</v>
      </c>
      <c r="Z77" s="5" t="str">
        <f ca="1">IFERROR(__xludf.DUMMYFUNCTION("""COMPUTED_VALUE"""),"Yes")</f>
        <v>Yes</v>
      </c>
      <c r="AA77" s="5" t="str">
        <f ca="1">IFERROR(__xludf.DUMMYFUNCTION("""COMPUTED_VALUE"""),"Yes")</f>
        <v>Yes</v>
      </c>
      <c r="AB77" s="5" t="str">
        <f ca="1">IFERROR(__xludf.DUMMYFUNCTION("""COMPUTED_VALUE"""),"Yes")</f>
        <v>Yes</v>
      </c>
      <c r="AC77" s="5" t="str">
        <f ca="1">IFERROR(__xludf.DUMMYFUNCTION("""COMPUTED_VALUE"""),"Yes")</f>
        <v>Yes</v>
      </c>
      <c r="AD77" s="5" t="str">
        <f ca="1">IFERROR(__xludf.DUMMYFUNCTION("""COMPUTED_VALUE"""),"Yes")</f>
        <v>Yes</v>
      </c>
      <c r="AE77" s="5" t="str">
        <f ca="1">IFERROR(__xludf.DUMMYFUNCTION("""COMPUTED_VALUE"""),"Yes")</f>
        <v>Yes</v>
      </c>
      <c r="AF77" s="5" t="str">
        <f ca="1">IFERROR(__xludf.DUMMYFUNCTION("""COMPUTED_VALUE"""),"Yes")</f>
        <v>Yes</v>
      </c>
      <c r="AG77" s="5" t="str">
        <f ca="1">IFERROR(__xludf.DUMMYFUNCTION("""COMPUTED_VALUE"""),"Yes")</f>
        <v>Yes</v>
      </c>
      <c r="AH77" s="5" t="str">
        <f ca="1">IFERROR(__xludf.DUMMYFUNCTION("""COMPUTED_VALUE"""),"Yes")</f>
        <v>Yes</v>
      </c>
      <c r="AI77" s="5" t="str">
        <f ca="1">IFERROR(__xludf.DUMMYFUNCTION("""COMPUTED_VALUE"""),"Yes")</f>
        <v>Yes</v>
      </c>
      <c r="AJ77" s="5" t="str">
        <f ca="1">IFERROR(__xludf.DUMMYFUNCTION("""COMPUTED_VALUE"""),"Yes")</f>
        <v>Yes</v>
      </c>
      <c r="AK77" s="5" t="str">
        <f ca="1">IFERROR(__xludf.DUMMYFUNCTION("""COMPUTED_VALUE"""),"Yes")</f>
        <v>Yes</v>
      </c>
      <c r="AL77" s="5" t="str">
        <f ca="1">IFERROR(__xludf.DUMMYFUNCTION("""COMPUTED_VALUE"""),"Yes")</f>
        <v>Yes</v>
      </c>
      <c r="AM77" s="5"/>
      <c r="AN77" s="5"/>
      <c r="AO77" s="5"/>
      <c r="AP77" s="5"/>
      <c r="AQ77" s="5" t="str">
        <f ca="1">IFERROR(__xludf.DUMMYFUNCTION("""COMPUTED_VALUE"""),"Yes")</f>
        <v>Yes</v>
      </c>
      <c r="AR77" s="5"/>
      <c r="AS77" s="5"/>
      <c r="AT77" s="5"/>
      <c r="AU77" s="5"/>
    </row>
    <row r="78" spans="1:47" x14ac:dyDescent="0.25">
      <c r="A78" s="5" t="str">
        <f ca="1">IFERROR(__xludf.DUMMYFUNCTION("""COMPUTED_VALUE"""),"Tiptop")</f>
        <v>Tiptop</v>
      </c>
      <c r="B78" s="5" t="str">
        <f ca="1">IFERROR(__xludf.DUMMYFUNCTION("""COMPUTED_VALUE"""),"Supreme Sevens")</f>
        <v>Supreme Sevens</v>
      </c>
      <c r="C78" s="5" t="str">
        <f ca="1">IFERROR(__xludf.DUMMYFUNCTION("""COMPUTED_VALUE"""),"UnicornSupremeSevens")</f>
        <v>UnicornSupremeSevens</v>
      </c>
      <c r="D78" s="6">
        <f ca="1">IFERROR(__xludf.DUMMYFUNCTION("""COMPUTED_VALUE"""),45749)</f>
        <v>45749</v>
      </c>
      <c r="E78" s="5" t="str">
        <f ca="1">IFERROR(__xludf.DUMMYFUNCTION("""COMPUTED_VALUE"""),"Slot")</f>
        <v>Slot</v>
      </c>
      <c r="F78" s="5">
        <f ca="1">IFERROR(__xludf.DUMMYFUNCTION("""COMPUTED_VALUE"""),10.1)</f>
        <v>10.1</v>
      </c>
      <c r="G78" s="5" t="str">
        <f ca="1">IFERROR(__xludf.DUMMYFUNCTION("""COMPUTED_VALUE"""),"5x3")</f>
        <v>5x3</v>
      </c>
      <c r="H78" s="5">
        <f ca="1">IFERROR(__xludf.DUMMYFUNCTION("""COMPUTED_VALUE"""),5)</f>
        <v>5</v>
      </c>
      <c r="I78" s="5">
        <f ca="1">IFERROR(__xludf.DUMMYFUNCTION("""COMPUTED_VALUE"""),5)</f>
        <v>5</v>
      </c>
      <c r="J78" s="5" t="str">
        <f ca="1">IFERROR(__xludf.DUMMYFUNCTION("""COMPUTED_VALUE"""),"96%")</f>
        <v>96%</v>
      </c>
      <c r="K78" s="5" t="str">
        <f ca="1">IFERROR(__xludf.DUMMYFUNCTION("""COMPUTED_VALUE"""),"Low")</f>
        <v>Low</v>
      </c>
      <c r="L78" s="5" t="str">
        <f ca="1">IFERROR(__xludf.DUMMYFUNCTION("""COMPUTED_VALUE"""),"10.5%")</f>
        <v>10.5%</v>
      </c>
      <c r="M78" s="5" t="str">
        <f ca="1">IFERROR(__xludf.DUMMYFUNCTION("""COMPUTED_VALUE"""),"x1000")</f>
        <v>x1000</v>
      </c>
      <c r="N78" s="5" t="str">
        <f ca="1">IFERROR(__xludf.DUMMYFUNCTION("""COMPUTED_VALUE"""),"0.05/100")</f>
        <v>0.05/100</v>
      </c>
      <c r="O78" s="5" t="str">
        <f ca="1">IFERROR(__xludf.DUMMYFUNCTION("""COMPUTED_VALUE"""),"No")</f>
        <v>No</v>
      </c>
      <c r="P78" s="5"/>
      <c r="Q78" s="7" t="str">
        <f ca="1">IFERROR(__xludf.DUMMYFUNCTION("""COMPUTED_VALUE"""),"https://gameserver-store-client-area.orbionlimited.com/Home/IntegrationGameLaunch/client-area?moneyType=0&amp;gameName=UnicornSupremeSevens&amp;platform=desktop&amp;languageCode=eng&amp;currency=EUR")</f>
        <v>https://gameserver-store-client-area.orbionlimited.com/Home/IntegrationGameLaunch/client-area?moneyType=0&amp;gameName=UnicornSupremeSevens&amp;platform=desktop&amp;languageCode=eng&amp;currency=EUR</v>
      </c>
      <c r="R78" s="5" t="str">
        <f ca="1">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 ca="1">IFERROR(__xludf.DUMMYFUNCTION("""COMPUTED_VALUE"""),"Yes")</f>
        <v>Yes</v>
      </c>
      <c r="U78" s="5" t="str">
        <f ca="1">IFERROR(__xludf.DUMMYFUNCTION("""COMPUTED_VALUE"""),"Yes")</f>
        <v>Yes</v>
      </c>
      <c r="V78" s="5" t="str">
        <f ca="1">IFERROR(__xludf.DUMMYFUNCTION("""COMPUTED_VALUE"""),"Yes")</f>
        <v>Yes</v>
      </c>
      <c r="W78" s="5" t="str">
        <f ca="1">IFERROR(__xludf.DUMMYFUNCTION("""COMPUTED_VALUE"""),"No")</f>
        <v>No</v>
      </c>
      <c r="X78" s="5" t="str">
        <f ca="1">IFERROR(__xludf.DUMMYFUNCTION("""COMPUTED_VALUE"""),"No")</f>
        <v>No</v>
      </c>
      <c r="Y78" s="5" t="str">
        <f ca="1">IFERROR(__xludf.DUMMYFUNCTION("""COMPUTED_VALUE"""),"No")</f>
        <v>No</v>
      </c>
      <c r="Z78" s="5" t="str">
        <f ca="1">IFERROR(__xludf.DUMMYFUNCTION("""COMPUTED_VALUE"""),"No")</f>
        <v>No</v>
      </c>
      <c r="AA78" s="5" t="str">
        <f ca="1">IFERROR(__xludf.DUMMYFUNCTION("""COMPUTED_VALUE"""),"No")</f>
        <v>No</v>
      </c>
      <c r="AB78" s="5" t="str">
        <f ca="1">IFERROR(__xludf.DUMMYFUNCTION("""COMPUTED_VALUE"""),"Yes")</f>
        <v>Yes</v>
      </c>
      <c r="AC78" s="5" t="str">
        <f ca="1">IFERROR(__xludf.DUMMYFUNCTION("""COMPUTED_VALUE"""),"Yes")</f>
        <v>Yes</v>
      </c>
      <c r="AD78" s="5" t="str">
        <f ca="1">IFERROR(__xludf.DUMMYFUNCTION("""COMPUTED_VALUE"""),"Yes")</f>
        <v>Yes</v>
      </c>
      <c r="AE78" s="5" t="str">
        <f ca="1">IFERROR(__xludf.DUMMYFUNCTION("""COMPUTED_VALUE"""),"Yes")</f>
        <v>Yes</v>
      </c>
      <c r="AF78" s="5" t="str">
        <f ca="1">IFERROR(__xludf.DUMMYFUNCTION("""COMPUTED_VALUE"""),"Yes")</f>
        <v>Yes</v>
      </c>
      <c r="AG78" s="5" t="str">
        <f ca="1">IFERROR(__xludf.DUMMYFUNCTION("""COMPUTED_VALUE"""),"No")</f>
        <v>No</v>
      </c>
      <c r="AH78" s="5" t="str">
        <f ca="1">IFERROR(__xludf.DUMMYFUNCTION("""COMPUTED_VALUE"""),"Yes")</f>
        <v>Yes</v>
      </c>
      <c r="AI78" s="5" t="str">
        <f ca="1">IFERROR(__xludf.DUMMYFUNCTION("""COMPUTED_VALUE"""),"No")</f>
        <v>No</v>
      </c>
      <c r="AJ78" s="5" t="str">
        <f ca="1">IFERROR(__xludf.DUMMYFUNCTION("""COMPUTED_VALUE"""),"No")</f>
        <v>No</v>
      </c>
      <c r="AK78" s="5" t="str">
        <f ca="1">IFERROR(__xludf.DUMMYFUNCTION("""COMPUTED_VALUE"""),"No")</f>
        <v>No</v>
      </c>
      <c r="AL78" s="5" t="str">
        <f ca="1">IFERROR(__xludf.DUMMYFUNCTION("""COMPUTED_VALUE"""),"No")</f>
        <v>No</v>
      </c>
      <c r="AM78" s="5"/>
      <c r="AN78" s="5"/>
      <c r="AO78" s="5" t="str">
        <f ca="1">IFERROR(__xludf.DUMMYFUNCTION("""COMPUTED_VALUE"""),"Yes")</f>
        <v>Yes</v>
      </c>
      <c r="AP78" s="5"/>
      <c r="AQ78" s="5" t="str">
        <f ca="1">IFERROR(__xludf.DUMMYFUNCTION("""COMPUTED_VALUE"""),"No")</f>
        <v>No</v>
      </c>
      <c r="AR78" s="5"/>
      <c r="AS78" s="5" t="str">
        <f ca="1">IFERROR(__xludf.DUMMYFUNCTION("""COMPUTED_VALUE"""),"Yes")</f>
        <v>Yes</v>
      </c>
      <c r="AT78" s="5" t="str">
        <f ca="1">IFERROR(__xludf.DUMMYFUNCTION("""COMPUTED_VALUE"""),"Yes")</f>
        <v>Yes</v>
      </c>
      <c r="AU78" s="5"/>
    </row>
    <row r="79" spans="1:47" x14ac:dyDescent="0.25">
      <c r="A79" s="5" t="str">
        <f ca="1">IFERROR(__xludf.DUMMYFUNCTION("""COMPUTED_VALUE"""),"Tiptop")</f>
        <v>Tiptop</v>
      </c>
      <c r="B79" s="5" t="str">
        <f ca="1">IFERROR(__xludf.DUMMYFUNCTION("""COMPUTED_VALUE"""),"Triple Stacked Diamonds")</f>
        <v>Triple Stacked Diamonds</v>
      </c>
      <c r="C79" s="5" t="str">
        <f ca="1">IFERROR(__xludf.DUMMYFUNCTION("""COMPUTED_VALUE"""),"UnicornTripleStackedDiamonds")</f>
        <v>UnicornTripleStackedDiamonds</v>
      </c>
      <c r="D79" s="6">
        <f ca="1">IFERROR(__xludf.DUMMYFUNCTION("""COMPUTED_VALUE"""),45755)</f>
        <v>45755</v>
      </c>
      <c r="E79" s="5" t="str">
        <f ca="1">IFERROR(__xludf.DUMMYFUNCTION("""COMPUTED_VALUE"""),"Slot")</f>
        <v>Slot</v>
      </c>
      <c r="F79" s="5">
        <f ca="1">IFERROR(__xludf.DUMMYFUNCTION("""COMPUTED_VALUE"""),10.7)</f>
        <v>10.7</v>
      </c>
      <c r="G79" s="5" t="str">
        <f ca="1">IFERROR(__xludf.DUMMYFUNCTION("""COMPUTED_VALUE"""),"5x3")</f>
        <v>5x3</v>
      </c>
      <c r="H79" s="5">
        <f ca="1">IFERROR(__xludf.DUMMYFUNCTION("""COMPUTED_VALUE"""),10)</f>
        <v>10</v>
      </c>
      <c r="I79" s="5">
        <f ca="1">IFERROR(__xludf.DUMMYFUNCTION("""COMPUTED_VALUE"""),10)</f>
        <v>10</v>
      </c>
      <c r="J79" s="5" t="str">
        <f ca="1">IFERROR(__xludf.DUMMYFUNCTION("""COMPUTED_VALUE"""),"96%")</f>
        <v>96%</v>
      </c>
      <c r="K79" s="5" t="str">
        <f ca="1">IFERROR(__xludf.DUMMYFUNCTION("""COMPUTED_VALUE"""),"Low")</f>
        <v>Low</v>
      </c>
      <c r="L79" s="5" t="str">
        <f ca="1">IFERROR(__xludf.DUMMYFUNCTION("""COMPUTED_VALUE"""),"9.08%")</f>
        <v>9.08%</v>
      </c>
      <c r="M79" s="5" t="str">
        <f ca="1">IFERROR(__xludf.DUMMYFUNCTION("""COMPUTED_VALUE"""),"x5000")</f>
        <v>x5000</v>
      </c>
      <c r="N79" s="5" t="str">
        <f ca="1">IFERROR(__xludf.DUMMYFUNCTION("""COMPUTED_VALUE"""),"0.1/100")</f>
        <v>0.1/100</v>
      </c>
      <c r="O79" s="5" t="str">
        <f ca="1">IFERROR(__xludf.DUMMYFUNCTION("""COMPUTED_VALUE"""),"No")</f>
        <v>No</v>
      </c>
      <c r="P79" s="5"/>
      <c r="Q79" s="7" t="str">
        <f ca="1">IFERROR(__xludf.DUMMYFUNCTION("""COMPUTED_VALUE"""),"https://gameserver-store-client-area.orbionlimited.com/Home/IntegrationGameLaunch/client-area?moneyType=0&amp;gameName=UnicornTripleStackedDiamonds&amp;platform=desktop&amp;languageCode=eng&amp;currency=EUR")</f>
        <v>https://gameserver-store-client-area.orbionlimited.com/Home/IntegrationGameLaunch/client-area?moneyType=0&amp;gameName=UnicornTripleStackedDiamonds&amp;platform=desktop&amp;languageCode=eng&amp;currency=EUR</v>
      </c>
      <c r="R79" s="5" t="str">
        <f ca="1">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S79" s="5" t="str">
        <f ca="1">IFERROR(__xludf.DUMMYFUNCTION("""COMPUTED_VALUE"""),"English(""eng"")")</f>
        <v>English("eng")</v>
      </c>
      <c r="T79" s="5" t="str">
        <f ca="1">IFERROR(__xludf.DUMMYFUNCTION("""COMPUTED_VALUE"""),"Yes")</f>
        <v>Yes</v>
      </c>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row>
    <row r="80" spans="1:47" x14ac:dyDescent="0.25">
      <c r="A80" s="5" t="str">
        <f ca="1">IFERROR(__xludf.DUMMYFUNCTION("""COMPUTED_VALUE"""),"Tiptop")</f>
        <v>Tiptop</v>
      </c>
      <c r="B80" s="5" t="str">
        <f ca="1">IFERROR(__xludf.DUMMYFUNCTION("""COMPUTED_VALUE"""),"Dynamite Boom")</f>
        <v>Dynamite Boom</v>
      </c>
      <c r="C80" s="5" t="str">
        <f ca="1">IFERROR(__xludf.DUMMYFUNCTION("""COMPUTED_VALUE"""),"UnicornDynamiteBoom")</f>
        <v>UnicornDynamiteBoom</v>
      </c>
      <c r="D80" s="6">
        <f ca="1">IFERROR(__xludf.DUMMYFUNCTION("""COMPUTED_VALUE"""),45776)</f>
        <v>45776</v>
      </c>
      <c r="E80" s="5" t="str">
        <f ca="1">IFERROR(__xludf.DUMMYFUNCTION("""COMPUTED_VALUE"""),"Slot")</f>
        <v>Slot</v>
      </c>
      <c r="F80" s="5">
        <f ca="1">IFERROR(__xludf.DUMMYFUNCTION("""COMPUTED_VALUE"""),14.2)</f>
        <v>14.2</v>
      </c>
      <c r="G80" s="5" t="str">
        <f ca="1">IFERROR(__xludf.DUMMYFUNCTION("""COMPUTED_VALUE"""),"5x3")</f>
        <v>5x3</v>
      </c>
      <c r="H80" s="5">
        <f ca="1">IFERROR(__xludf.DUMMYFUNCTION("""COMPUTED_VALUE"""),5)</f>
        <v>5</v>
      </c>
      <c r="I80" s="5">
        <f ca="1">IFERROR(__xludf.DUMMYFUNCTION("""COMPUTED_VALUE"""),5)</f>
        <v>5</v>
      </c>
      <c r="J80" s="5" t="str">
        <f ca="1">IFERROR(__xludf.DUMMYFUNCTION("""COMPUTED_VALUE"""),"96%")</f>
        <v>96%</v>
      </c>
      <c r="K80" s="5" t="str">
        <f ca="1">IFERROR(__xludf.DUMMYFUNCTION("""COMPUTED_VALUE"""),"Low")</f>
        <v>Low</v>
      </c>
      <c r="L80" s="5" t="str">
        <f ca="1">IFERROR(__xludf.DUMMYFUNCTION("""COMPUTED_VALUE"""),"13.64%")</f>
        <v>13.64%</v>
      </c>
      <c r="M80" s="5" t="str">
        <f ca="1">IFERROR(__xludf.DUMMYFUNCTION("""COMPUTED_VALUE"""),"x10000")</f>
        <v>x10000</v>
      </c>
      <c r="N80" s="5" t="str">
        <f ca="1">IFERROR(__xludf.DUMMYFUNCTION("""COMPUTED_VALUE"""),"0.05/100")</f>
        <v>0.05/100</v>
      </c>
      <c r="O80" s="5" t="str">
        <f ca="1">IFERROR(__xludf.DUMMYFUNCTION("""COMPUTED_VALUE"""),"No")</f>
        <v>No</v>
      </c>
      <c r="P80" s="5"/>
      <c r="Q80" s="7" t="str">
        <f ca="1">IFERROR(__xludf.DUMMYFUNCTION("""COMPUTED_VALUE"""),"https://gameserver-store-client-area.orbionlimited.com/Home/IntegrationGameLaunch/client-area?moneyType=0&amp;gameName=UnicornDynamiteBoom&amp;platform=desktop&amp;languageCode=eng&amp;currency=EUR")</f>
        <v>https://gameserver-store-client-area.orbionlimited.com/Home/IntegrationGameLaunch/client-area?moneyType=0&amp;gameName=UnicornDynamiteBoom&amp;platform=desktop&amp;languageCode=eng&amp;currency=EUR</v>
      </c>
      <c r="R80" s="5" t="str">
        <f ca="1">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S8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 ca="1">IFERROR(__xludf.DUMMYFUNCTION("""COMPUTED_VALUE"""),"Yes")</f>
        <v>Yes</v>
      </c>
      <c r="U80" s="5" t="str">
        <f ca="1">IFERROR(__xludf.DUMMYFUNCTION("""COMPUTED_VALUE"""),"Yes")</f>
        <v>Yes</v>
      </c>
      <c r="V80" s="5" t="str">
        <f ca="1">IFERROR(__xludf.DUMMYFUNCTION("""COMPUTED_VALUE"""),"Yes")</f>
        <v>Yes</v>
      </c>
      <c r="W80" s="5" t="str">
        <f ca="1">IFERROR(__xludf.DUMMYFUNCTION("""COMPUTED_VALUE"""),"No")</f>
        <v>No</v>
      </c>
      <c r="X80" s="5" t="str">
        <f ca="1">IFERROR(__xludf.DUMMYFUNCTION("""COMPUTED_VALUE"""),"No")</f>
        <v>No</v>
      </c>
      <c r="Y80" s="5" t="str">
        <f ca="1">IFERROR(__xludf.DUMMYFUNCTION("""COMPUTED_VALUE"""),"No")</f>
        <v>No</v>
      </c>
      <c r="Z80" s="5" t="str">
        <f ca="1">IFERROR(__xludf.DUMMYFUNCTION("""COMPUTED_VALUE"""),"No")</f>
        <v>No</v>
      </c>
      <c r="AA80" s="5" t="str">
        <f ca="1">IFERROR(__xludf.DUMMYFUNCTION("""COMPUTED_VALUE"""),"No")</f>
        <v>No</v>
      </c>
      <c r="AB80" s="5" t="str">
        <f ca="1">IFERROR(__xludf.DUMMYFUNCTION("""COMPUTED_VALUE"""),"Yes")</f>
        <v>Yes</v>
      </c>
      <c r="AC80" s="5" t="str">
        <f ca="1">IFERROR(__xludf.DUMMYFUNCTION("""COMPUTED_VALUE"""),"Yes")</f>
        <v>Yes</v>
      </c>
      <c r="AD80" s="5" t="str">
        <f ca="1">IFERROR(__xludf.DUMMYFUNCTION("""COMPUTED_VALUE"""),"Yes")</f>
        <v>Yes</v>
      </c>
      <c r="AE80" s="5" t="str">
        <f ca="1">IFERROR(__xludf.DUMMYFUNCTION("""COMPUTED_VALUE"""),"Yes")</f>
        <v>Yes</v>
      </c>
      <c r="AF80" s="5" t="str">
        <f ca="1">IFERROR(__xludf.DUMMYFUNCTION("""COMPUTED_VALUE"""),"Yes")</f>
        <v>Yes</v>
      </c>
      <c r="AG80" s="5" t="str">
        <f ca="1">IFERROR(__xludf.DUMMYFUNCTION("""COMPUTED_VALUE"""),"No")</f>
        <v>No</v>
      </c>
      <c r="AH80" s="5" t="str">
        <f ca="1">IFERROR(__xludf.DUMMYFUNCTION("""COMPUTED_VALUE"""),"Yes")</f>
        <v>Yes</v>
      </c>
      <c r="AI80" s="5" t="str">
        <f ca="1">IFERROR(__xludf.DUMMYFUNCTION("""COMPUTED_VALUE"""),"No")</f>
        <v>No</v>
      </c>
      <c r="AJ80" s="5" t="str">
        <f ca="1">IFERROR(__xludf.DUMMYFUNCTION("""COMPUTED_VALUE"""),"No")</f>
        <v>No</v>
      </c>
      <c r="AK80" s="5" t="str">
        <f ca="1">IFERROR(__xludf.DUMMYFUNCTION("""COMPUTED_VALUE"""),"No")</f>
        <v>No</v>
      </c>
      <c r="AL80" s="5" t="str">
        <f ca="1">IFERROR(__xludf.DUMMYFUNCTION("""COMPUTED_VALUE"""),"No")</f>
        <v>No</v>
      </c>
      <c r="AM80" s="5"/>
      <c r="AN80" s="5"/>
      <c r="AO80" s="5" t="str">
        <f ca="1">IFERROR(__xludf.DUMMYFUNCTION("""COMPUTED_VALUE"""),"Yes")</f>
        <v>Yes</v>
      </c>
      <c r="AP80" s="5"/>
      <c r="AQ80" s="5" t="str">
        <f ca="1">IFERROR(__xludf.DUMMYFUNCTION("""COMPUTED_VALUE"""),"No")</f>
        <v>No</v>
      </c>
      <c r="AR80" s="5"/>
      <c r="AS80" s="5" t="str">
        <f ca="1">IFERROR(__xludf.DUMMYFUNCTION("""COMPUTED_VALUE"""),"Yes")</f>
        <v>Yes</v>
      </c>
      <c r="AT80" s="5" t="str">
        <f ca="1">IFERROR(__xludf.DUMMYFUNCTION("""COMPUTED_VALUE"""),"Yes")</f>
        <v>Yes</v>
      </c>
      <c r="AU80" s="5"/>
    </row>
    <row r="81" spans="1:47" x14ac:dyDescent="0.25">
      <c r="A81" s="5" t="str">
        <f ca="1">IFERROR(__xludf.DUMMYFUNCTION("""COMPUTED_VALUE"""),"Tiptop")</f>
        <v>Tiptop</v>
      </c>
      <c r="B81" s="5" t="str">
        <f ca="1">IFERROR(__xludf.DUMMYFUNCTION("""COMPUTED_VALUE"""),"Fast Pay")</f>
        <v>Fast Pay</v>
      </c>
      <c r="C81" s="5" t="str">
        <f ca="1">IFERROR(__xludf.DUMMYFUNCTION("""COMPUTED_VALUE"""),"UnicornFastPay")</f>
        <v>UnicornFastPay</v>
      </c>
      <c r="D81" s="6">
        <f ca="1">IFERROR(__xludf.DUMMYFUNCTION("""COMPUTED_VALUE"""),45770)</f>
        <v>45770</v>
      </c>
      <c r="E81" s="5" t="str">
        <f ca="1">IFERROR(__xludf.DUMMYFUNCTION("""COMPUTED_VALUE"""),"Slot")</f>
        <v>Slot</v>
      </c>
      <c r="F81" s="5">
        <f ca="1">IFERROR(__xludf.DUMMYFUNCTION("""COMPUTED_VALUE"""),11)</f>
        <v>11</v>
      </c>
      <c r="G81" s="5" t="str">
        <f ca="1">IFERROR(__xludf.DUMMYFUNCTION("""COMPUTED_VALUE"""),"5x3")</f>
        <v>5x3</v>
      </c>
      <c r="H81" s="5">
        <f ca="1">IFERROR(__xludf.DUMMYFUNCTION("""COMPUTED_VALUE"""),10)</f>
        <v>10</v>
      </c>
      <c r="I81" s="5">
        <f ca="1">IFERROR(__xludf.DUMMYFUNCTION("""COMPUTED_VALUE"""),10)</f>
        <v>10</v>
      </c>
      <c r="J81" s="5" t="str">
        <f ca="1">IFERROR(__xludf.DUMMYFUNCTION("""COMPUTED_VALUE"""),"96%")</f>
        <v>96%</v>
      </c>
      <c r="K81" s="5" t="str">
        <f ca="1">IFERROR(__xludf.DUMMYFUNCTION("""COMPUTED_VALUE"""),"Low")</f>
        <v>Low</v>
      </c>
      <c r="L81" s="5" t="str">
        <f ca="1">IFERROR(__xludf.DUMMYFUNCTION("""COMPUTED_VALUE"""),"24.14%")</f>
        <v>24.14%</v>
      </c>
      <c r="M81" s="5" t="str">
        <f ca="1">IFERROR(__xludf.DUMMYFUNCTION("""COMPUTED_VALUE"""),"x10000")</f>
        <v>x10000</v>
      </c>
      <c r="N81" s="5" t="str">
        <f ca="1">IFERROR(__xludf.DUMMYFUNCTION("""COMPUTED_VALUE"""),"0.1/100")</f>
        <v>0.1/100</v>
      </c>
      <c r="O81" s="5" t="str">
        <f ca="1">IFERROR(__xludf.DUMMYFUNCTION("""COMPUTED_VALUE"""),"No")</f>
        <v>No</v>
      </c>
      <c r="P81" s="5"/>
      <c r="Q81" s="7" t="str">
        <f ca="1">IFERROR(__xludf.DUMMYFUNCTION("""COMPUTED_VALUE"""),"https://gameserver-store-client-area.orbionlimited.com/Home/IntegrationGameLaunch/client-area?moneyType=0&amp;gameName=UnicornFastPay&amp;platform=desktop&amp;languageCode=eng&amp;currency=EUR")</f>
        <v>https://gameserver-store-client-area.orbionlimited.com/Home/IntegrationGameLaunch/client-area?moneyType=0&amp;gameName=UnicornFastPay&amp;platform=desktop&amp;languageCode=eng&amp;currency=EUR</v>
      </c>
      <c r="R81" s="5" t="str">
        <f ca="1">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S8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 ca="1">IFERROR(__xludf.DUMMYFUNCTION("""COMPUTED_VALUE"""),"Yes")</f>
        <v>Yes</v>
      </c>
      <c r="U81" s="5" t="str">
        <f ca="1">IFERROR(__xludf.DUMMYFUNCTION("""COMPUTED_VALUE"""),"Yes")</f>
        <v>Yes</v>
      </c>
      <c r="V81" s="5" t="str">
        <f ca="1">IFERROR(__xludf.DUMMYFUNCTION("""COMPUTED_VALUE"""),"Yes")</f>
        <v>Yes</v>
      </c>
      <c r="W81" s="5"/>
      <c r="X81" s="5"/>
      <c r="Y81" s="5"/>
      <c r="Z81" s="5"/>
      <c r="AA81" s="5"/>
      <c r="AB81" s="5" t="str">
        <f ca="1">IFERROR(__xludf.DUMMYFUNCTION("""COMPUTED_VALUE"""),"Yes")</f>
        <v>Yes</v>
      </c>
      <c r="AC81" s="5" t="str">
        <f ca="1">IFERROR(__xludf.DUMMYFUNCTION("""COMPUTED_VALUE"""),"Yes")</f>
        <v>Yes</v>
      </c>
      <c r="AD81" s="5" t="str">
        <f ca="1">IFERROR(__xludf.DUMMYFUNCTION("""COMPUTED_VALUE"""),"Yes")</f>
        <v>Yes</v>
      </c>
      <c r="AE81" s="5" t="str">
        <f ca="1">IFERROR(__xludf.DUMMYFUNCTION("""COMPUTED_VALUE"""),"Yes")</f>
        <v>Yes</v>
      </c>
      <c r="AF81" s="5" t="str">
        <f ca="1">IFERROR(__xludf.DUMMYFUNCTION("""COMPUTED_VALUE"""),"Yes")</f>
        <v>Yes</v>
      </c>
      <c r="AG81" s="5"/>
      <c r="AH81" s="5" t="str">
        <f ca="1">IFERROR(__xludf.DUMMYFUNCTION("""COMPUTED_VALUE"""),"Yes")</f>
        <v>Yes</v>
      </c>
      <c r="AI81" s="5"/>
      <c r="AJ81" s="5"/>
      <c r="AK81" s="5"/>
      <c r="AL81" s="5"/>
      <c r="AM81" s="5"/>
      <c r="AN81" s="5"/>
      <c r="AO81" s="5" t="str">
        <f ca="1">IFERROR(__xludf.DUMMYFUNCTION("""COMPUTED_VALUE"""),"Yes")</f>
        <v>Yes</v>
      </c>
      <c r="AP81" s="5"/>
      <c r="AQ81" s="5"/>
      <c r="AR81" s="5"/>
      <c r="AS81" s="5" t="str">
        <f ca="1">IFERROR(__xludf.DUMMYFUNCTION("""COMPUTED_VALUE"""),"Yes")</f>
        <v>Yes</v>
      </c>
      <c r="AT81" s="5" t="str">
        <f ca="1">IFERROR(__xludf.DUMMYFUNCTION("""COMPUTED_VALUE"""),"Yes")</f>
        <v>Yes</v>
      </c>
      <c r="AU81" s="5"/>
    </row>
    <row r="82" spans="1:47" x14ac:dyDescent="0.25">
      <c r="A82" s="5" t="str">
        <f ca="1">IFERROR(__xludf.DUMMYFUNCTION("""COMPUTED_VALUE"""),"Tiptop")</f>
        <v>Tiptop</v>
      </c>
      <c r="B82" s="5" t="str">
        <f ca="1">IFERROR(__xludf.DUMMYFUNCTION("""COMPUTED_VALUE"""),"Super Fire Jackpot")</f>
        <v>Super Fire Jackpot</v>
      </c>
      <c r="C82" s="5" t="str">
        <f ca="1">IFERROR(__xludf.DUMMYFUNCTION("""COMPUTED_VALUE"""),"UnicornSuperFireJackpot")</f>
        <v>UnicornSuperFireJackpot</v>
      </c>
      <c r="D82" s="6">
        <f ca="1">IFERROR(__xludf.DUMMYFUNCTION("""COMPUTED_VALUE"""),45785)</f>
        <v>45785</v>
      </c>
      <c r="E82" s="5" t="str">
        <f ca="1">IFERROR(__xludf.DUMMYFUNCTION("""COMPUTED_VALUE"""),"Slot")</f>
        <v>Slot</v>
      </c>
      <c r="F82" s="5">
        <f ca="1">IFERROR(__xludf.DUMMYFUNCTION("""COMPUTED_VALUE"""),10.6)</f>
        <v>10.6</v>
      </c>
      <c r="G82" s="5" t="str">
        <f ca="1">IFERROR(__xludf.DUMMYFUNCTION("""COMPUTED_VALUE"""),"5x3")</f>
        <v>5x3</v>
      </c>
      <c r="H82" s="5">
        <f ca="1">IFERROR(__xludf.DUMMYFUNCTION("""COMPUTED_VALUE"""),20)</f>
        <v>20</v>
      </c>
      <c r="I82" s="5">
        <f ca="1">IFERROR(__xludf.DUMMYFUNCTION("""COMPUTED_VALUE"""),20)</f>
        <v>20</v>
      </c>
      <c r="J82" s="5" t="str">
        <f ca="1">IFERROR(__xludf.DUMMYFUNCTION("""COMPUTED_VALUE"""),"96%")</f>
        <v>96%</v>
      </c>
      <c r="K82" s="5" t="str">
        <f ca="1">IFERROR(__xludf.DUMMYFUNCTION("""COMPUTED_VALUE"""),"Low")</f>
        <v>Low</v>
      </c>
      <c r="L82" s="5" t="str">
        <f ca="1">IFERROR(__xludf.DUMMYFUNCTION("""COMPUTED_VALUE"""),"14.46%")</f>
        <v>14.46%</v>
      </c>
      <c r="M82" s="5" t="str">
        <f ca="1">IFERROR(__xludf.DUMMYFUNCTION("""COMPUTED_VALUE"""),"x10000")</f>
        <v>x10000</v>
      </c>
      <c r="N82" s="5" t="str">
        <f ca="1">IFERROR(__xludf.DUMMYFUNCTION("""COMPUTED_VALUE"""),"0.2/100")</f>
        <v>0.2/100</v>
      </c>
      <c r="O82" s="5" t="str">
        <f ca="1">IFERROR(__xludf.DUMMYFUNCTION("""COMPUTED_VALUE"""),"No")</f>
        <v>No</v>
      </c>
      <c r="P82" s="5"/>
      <c r="Q82" s="7" t="str">
        <f ca="1">IFERROR(__xludf.DUMMYFUNCTION("""COMPUTED_VALUE"""),"https://gameserver-store-client-area.orbionlimited.com/Home/IntegrationGameLaunch/client-area?moneyType=0&amp;gameName=UnicornSuperFireJackpot&amp;platform=desktop&amp;languageCode=eng&amp;currency=EUR")</f>
        <v>https://gameserver-store-client-area.orbionlimited.com/Home/IntegrationGameLaunch/client-area?moneyType=0&amp;gameName=UnicornSuperFireJackpot&amp;platform=desktop&amp;languageCode=eng&amp;currency=EUR</v>
      </c>
      <c r="R82" s="5" t="str">
        <f ca="1">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S8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2" s="5" t="str">
        <f ca="1">IFERROR(__xludf.DUMMYFUNCTION("""COMPUTED_VALUE"""),"Yes")</f>
        <v>Yes</v>
      </c>
      <c r="U82" s="5" t="str">
        <f ca="1">IFERROR(__xludf.DUMMYFUNCTION("""COMPUTED_VALUE"""),"Yes")</f>
        <v>Yes</v>
      </c>
      <c r="V82" s="5" t="str">
        <f ca="1">IFERROR(__xludf.DUMMYFUNCTION("""COMPUTED_VALUE"""),"Yes")</f>
        <v>Yes</v>
      </c>
      <c r="W82" s="5"/>
      <c r="X82" s="5"/>
      <c r="Y82" s="5"/>
      <c r="Z82" s="5"/>
      <c r="AA82" s="5"/>
      <c r="AB82" s="5" t="str">
        <f ca="1">IFERROR(__xludf.DUMMYFUNCTION("""COMPUTED_VALUE"""),"Yes")</f>
        <v>Yes</v>
      </c>
      <c r="AC82" s="5" t="str">
        <f ca="1">IFERROR(__xludf.DUMMYFUNCTION("""COMPUTED_VALUE"""),"Yes")</f>
        <v>Yes</v>
      </c>
      <c r="AD82" s="5" t="str">
        <f ca="1">IFERROR(__xludf.DUMMYFUNCTION("""COMPUTED_VALUE"""),"Yes")</f>
        <v>Yes</v>
      </c>
      <c r="AE82" s="5" t="str">
        <f ca="1">IFERROR(__xludf.DUMMYFUNCTION("""COMPUTED_VALUE"""),"Yes")</f>
        <v>Yes</v>
      </c>
      <c r="AF82" s="5" t="str">
        <f ca="1">IFERROR(__xludf.DUMMYFUNCTION("""COMPUTED_VALUE"""),"Yes")</f>
        <v>Yes</v>
      </c>
      <c r="AG82" s="5"/>
      <c r="AH82" s="5" t="str">
        <f ca="1">IFERROR(__xludf.DUMMYFUNCTION("""COMPUTED_VALUE"""),"Yes")</f>
        <v>Yes</v>
      </c>
      <c r="AI82" s="5"/>
      <c r="AJ82" s="5"/>
      <c r="AK82" s="5"/>
      <c r="AL82" s="5"/>
      <c r="AM82" s="5"/>
      <c r="AN82" s="5"/>
      <c r="AO82" s="5" t="str">
        <f ca="1">IFERROR(__xludf.DUMMYFUNCTION("""COMPUTED_VALUE"""),"Yes")</f>
        <v>Yes</v>
      </c>
      <c r="AP82" s="5"/>
      <c r="AQ82" s="5"/>
      <c r="AR82" s="5"/>
      <c r="AS82" s="5" t="str">
        <f ca="1">IFERROR(__xludf.DUMMYFUNCTION("""COMPUTED_VALUE"""),"Yes")</f>
        <v>Yes</v>
      </c>
      <c r="AT82" s="5" t="str">
        <f ca="1">IFERROR(__xludf.DUMMYFUNCTION("""COMPUTED_VALUE"""),"Yes")</f>
        <v>Yes</v>
      </c>
      <c r="AU82" s="5"/>
    </row>
    <row r="83" spans="1:47" x14ac:dyDescent="0.25">
      <c r="A83" s="5" t="str">
        <f ca="1">IFERROR(__xludf.DUMMYFUNCTION("""COMPUTED_VALUE"""),"Tiptop")</f>
        <v>Tiptop</v>
      </c>
      <c r="B83" s="5" t="str">
        <f ca="1">IFERROR(__xludf.DUMMYFUNCTION("""COMPUTED_VALUE"""),"Coyote Gems")</f>
        <v>Coyote Gems</v>
      </c>
      <c r="C83" s="5" t="str">
        <f ca="1">IFERROR(__xludf.DUMMYFUNCTION("""COMPUTED_VALUE"""),"UnicornCoyoteGems")</f>
        <v>UnicornCoyoteGems</v>
      </c>
      <c r="D83" s="6">
        <f ca="1">IFERROR(__xludf.DUMMYFUNCTION("""COMPUTED_VALUE"""),45792)</f>
        <v>45792</v>
      </c>
      <c r="E83" s="5" t="str">
        <f ca="1">IFERROR(__xludf.DUMMYFUNCTION("""COMPUTED_VALUE"""),"Slot")</f>
        <v>Slot</v>
      </c>
      <c r="F83" s="5">
        <f ca="1">IFERROR(__xludf.DUMMYFUNCTION("""COMPUTED_VALUE"""),10.8)</f>
        <v>10.8</v>
      </c>
      <c r="G83" s="5" t="str">
        <f ca="1">IFERROR(__xludf.DUMMYFUNCTION("""COMPUTED_VALUE"""),"5x3")</f>
        <v>5x3</v>
      </c>
      <c r="H83" s="5">
        <f ca="1">IFERROR(__xludf.DUMMYFUNCTION("""COMPUTED_VALUE"""),5)</f>
        <v>5</v>
      </c>
      <c r="I83" s="5">
        <f ca="1">IFERROR(__xludf.DUMMYFUNCTION("""COMPUTED_VALUE"""),5)</f>
        <v>5</v>
      </c>
      <c r="J83" s="5" t="str">
        <f ca="1">IFERROR(__xludf.DUMMYFUNCTION("""COMPUTED_VALUE"""),"96%")</f>
        <v>96%</v>
      </c>
      <c r="K83" s="5" t="str">
        <f ca="1">IFERROR(__xludf.DUMMYFUNCTION("""COMPUTED_VALUE"""),"Medium")</f>
        <v>Medium</v>
      </c>
      <c r="L83" s="5" t="str">
        <f ca="1">IFERROR(__xludf.DUMMYFUNCTION("""COMPUTED_VALUE"""),"10.1%")</f>
        <v>10.1%</v>
      </c>
      <c r="M83" s="5" t="str">
        <f ca="1">IFERROR(__xludf.DUMMYFUNCTION("""COMPUTED_VALUE"""),"x1000")</f>
        <v>x1000</v>
      </c>
      <c r="N83" s="5" t="str">
        <f ca="1">IFERROR(__xludf.DUMMYFUNCTION("""COMPUTED_VALUE"""),"0.05/100")</f>
        <v>0.05/100</v>
      </c>
      <c r="O83" s="5" t="str">
        <f ca="1">IFERROR(__xludf.DUMMYFUNCTION("""COMPUTED_VALUE"""),"No")</f>
        <v>No</v>
      </c>
      <c r="P83" s="5"/>
      <c r="Q83" s="7" t="str">
        <f ca="1">IFERROR(__xludf.DUMMYFUNCTION("""COMPUTED_VALUE"""),"https://gameserver-store-client-area.orbionlimited.com/Home/IntegrationGameLaunch/client-area?moneyType=0&amp;gameName=UnicornCoyoteGems&amp;platform=desktop&amp;languageCode=eng&amp;currency=EUR")</f>
        <v>https://gameserver-store-client-area.orbionlimited.com/Home/IntegrationGameLaunch/client-area?moneyType=0&amp;gameName=UnicornCoyoteGems&amp;platform=desktop&amp;languageCode=eng&amp;currency=EUR</v>
      </c>
      <c r="R83" s="5" t="str">
        <f ca="1">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S8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3" s="5" t="str">
        <f ca="1">IFERROR(__xludf.DUMMYFUNCTION("""COMPUTED_VALUE"""),"Yes")</f>
        <v>Yes</v>
      </c>
      <c r="U83" s="5" t="str">
        <f ca="1">IFERROR(__xludf.DUMMYFUNCTION("""COMPUTED_VALUE"""),"Yes")</f>
        <v>Yes</v>
      </c>
      <c r="V83" s="5" t="str">
        <f ca="1">IFERROR(__xludf.DUMMYFUNCTION("""COMPUTED_VALUE"""),"Yes")</f>
        <v>Yes</v>
      </c>
      <c r="W83" s="5"/>
      <c r="X83" s="5"/>
      <c r="Y83" s="5"/>
      <c r="Z83" s="5"/>
      <c r="AA83" s="5"/>
      <c r="AB83" s="5" t="str">
        <f ca="1">IFERROR(__xludf.DUMMYFUNCTION("""COMPUTED_VALUE"""),"Yes")</f>
        <v>Yes</v>
      </c>
      <c r="AC83" s="5" t="str">
        <f ca="1">IFERROR(__xludf.DUMMYFUNCTION("""COMPUTED_VALUE"""),"Yes")</f>
        <v>Yes</v>
      </c>
      <c r="AD83" s="5" t="str">
        <f ca="1">IFERROR(__xludf.DUMMYFUNCTION("""COMPUTED_VALUE"""),"Yes")</f>
        <v>Yes</v>
      </c>
      <c r="AE83" s="5" t="str">
        <f ca="1">IFERROR(__xludf.DUMMYFUNCTION("""COMPUTED_VALUE"""),"Yes")</f>
        <v>Yes</v>
      </c>
      <c r="AF83" s="5" t="str">
        <f ca="1">IFERROR(__xludf.DUMMYFUNCTION("""COMPUTED_VALUE"""),"Yes")</f>
        <v>Yes</v>
      </c>
      <c r="AG83" s="5"/>
      <c r="AH83" s="5" t="str">
        <f ca="1">IFERROR(__xludf.DUMMYFUNCTION("""COMPUTED_VALUE"""),"Yes")</f>
        <v>Yes</v>
      </c>
      <c r="AI83" s="5"/>
      <c r="AJ83" s="5"/>
      <c r="AK83" s="5"/>
      <c r="AL83" s="5"/>
      <c r="AM83" s="5"/>
      <c r="AN83" s="5"/>
      <c r="AO83" s="5" t="str">
        <f ca="1">IFERROR(__xludf.DUMMYFUNCTION("""COMPUTED_VALUE"""),"Yes")</f>
        <v>Yes</v>
      </c>
      <c r="AP83" s="5"/>
      <c r="AQ83" s="5"/>
      <c r="AR83" s="5"/>
      <c r="AS83" s="5" t="str">
        <f ca="1">IFERROR(__xludf.DUMMYFUNCTION("""COMPUTED_VALUE"""),"Yes")</f>
        <v>Yes</v>
      </c>
      <c r="AT83" s="5" t="str">
        <f ca="1">IFERROR(__xludf.DUMMYFUNCTION("""COMPUTED_VALUE"""),"Yes")</f>
        <v>Yes</v>
      </c>
      <c r="AU83" s="5"/>
    </row>
    <row r="84" spans="1:47" x14ac:dyDescent="0.25">
      <c r="A84" s="5" t="str">
        <f ca="1">IFERROR(__xludf.DUMMYFUNCTION("""COMPUTED_VALUE"""),"Tiptop")</f>
        <v>Tiptop</v>
      </c>
      <c r="B84" s="5" t="str">
        <f ca="1">IFERROR(__xludf.DUMMYFUNCTION("""COMPUTED_VALUE"""),"Dynamite Run Dice")</f>
        <v>Dynamite Run Dice</v>
      </c>
      <c r="C84" s="5" t="str">
        <f ca="1">IFERROR(__xludf.DUMMYFUNCTION("""COMPUTED_VALUE"""),"UnicornDynamiteRunDice")</f>
        <v>UnicornDynamiteRunDice</v>
      </c>
      <c r="D84" s="6">
        <f ca="1">IFERROR(__xludf.DUMMYFUNCTION("""COMPUTED_VALUE"""),45797)</f>
        <v>45797</v>
      </c>
      <c r="E84" s="5" t="str">
        <f ca="1">IFERROR(__xludf.DUMMYFUNCTION("""COMPUTED_VALUE"""),"Dice Slots")</f>
        <v>Dice Slots</v>
      </c>
      <c r="F84" s="5">
        <f ca="1">IFERROR(__xludf.DUMMYFUNCTION("""COMPUTED_VALUE"""),12.7)</f>
        <v>12.7</v>
      </c>
      <c r="G84" s="5" t="str">
        <f ca="1">IFERROR(__xludf.DUMMYFUNCTION("""COMPUTED_VALUE"""),"5x3")</f>
        <v>5x3</v>
      </c>
      <c r="H84" s="5">
        <f ca="1">IFERROR(__xludf.DUMMYFUNCTION("""COMPUTED_VALUE"""),10)</f>
        <v>10</v>
      </c>
      <c r="I84" s="5">
        <f ca="1">IFERROR(__xludf.DUMMYFUNCTION("""COMPUTED_VALUE"""),10)</f>
        <v>10</v>
      </c>
      <c r="J84" s="5" t="str">
        <f ca="1">IFERROR(__xludf.DUMMYFUNCTION("""COMPUTED_VALUE"""),"96%")</f>
        <v>96%</v>
      </c>
      <c r="K84" s="5" t="str">
        <f ca="1">IFERROR(__xludf.DUMMYFUNCTION("""COMPUTED_VALUE"""),"Low")</f>
        <v>Low</v>
      </c>
      <c r="L84" s="5" t="str">
        <f ca="1">IFERROR(__xludf.DUMMYFUNCTION("""COMPUTED_VALUE"""),"26.12%")</f>
        <v>26.12%</v>
      </c>
      <c r="M84" s="5" t="str">
        <f ca="1">IFERROR(__xludf.DUMMYFUNCTION("""COMPUTED_VALUE"""),"x1100")</f>
        <v>x1100</v>
      </c>
      <c r="N84" s="5" t="str">
        <f ca="1">IFERROR(__xludf.DUMMYFUNCTION("""COMPUTED_VALUE"""),"0.1/100")</f>
        <v>0.1/100</v>
      </c>
      <c r="O84" s="5" t="str">
        <f ca="1">IFERROR(__xludf.DUMMYFUNCTION("""COMPUTED_VALUE"""),"No")</f>
        <v>No</v>
      </c>
      <c r="P84" s="5"/>
      <c r="Q84" s="7" t="str">
        <f ca="1">IFERROR(__xludf.DUMMYFUNCTION("""COMPUTED_VALUE"""),"https://gameserver-store-client-area.orbionlimited.com/Home/IntegrationGameLaunch/client-area?moneyType=0&amp;gameName=UnicornDynamiteRunDice&amp;platform=desktop&amp;languageCode=eng&amp;currency=EUR")</f>
        <v>https://gameserver-store-client-area.orbionlimited.com/Home/IntegrationGameLaunch/client-area?moneyType=0&amp;gameName=UnicornDynamiteRunDice&amp;platform=desktop&amp;languageCode=eng&amp;currency=EUR</v>
      </c>
      <c r="R84" s="5" t="str">
        <f ca="1">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S8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4" s="5" t="str">
        <f ca="1">IFERROR(__xludf.DUMMYFUNCTION("""COMPUTED_VALUE"""),"Yes")</f>
        <v>Yes</v>
      </c>
      <c r="U84" s="5" t="str">
        <f ca="1">IFERROR(__xludf.DUMMYFUNCTION("""COMPUTED_VALUE"""),"Yes")</f>
        <v>Yes</v>
      </c>
      <c r="V84" s="5" t="str">
        <f ca="1">IFERROR(__xludf.DUMMYFUNCTION("""COMPUTED_VALUE"""),"Yes")</f>
        <v>Yes</v>
      </c>
      <c r="W84" s="5"/>
      <c r="X84" s="5"/>
      <c r="Y84" s="5"/>
      <c r="Z84" s="5"/>
      <c r="AA84" s="5"/>
      <c r="AB84" s="5" t="str">
        <f ca="1">IFERROR(__xludf.DUMMYFUNCTION("""COMPUTED_VALUE"""),"Yes")</f>
        <v>Yes</v>
      </c>
      <c r="AC84" s="5" t="str">
        <f ca="1">IFERROR(__xludf.DUMMYFUNCTION("""COMPUTED_VALUE"""),"Yes")</f>
        <v>Yes</v>
      </c>
      <c r="AD84" s="5" t="str">
        <f ca="1">IFERROR(__xludf.DUMMYFUNCTION("""COMPUTED_VALUE"""),"Yes")</f>
        <v>Yes</v>
      </c>
      <c r="AE84" s="5" t="str">
        <f ca="1">IFERROR(__xludf.DUMMYFUNCTION("""COMPUTED_VALUE"""),"Yes")</f>
        <v>Yes</v>
      </c>
      <c r="AF84" s="5" t="str">
        <f ca="1">IFERROR(__xludf.DUMMYFUNCTION("""COMPUTED_VALUE"""),"Yes")</f>
        <v>Yes</v>
      </c>
      <c r="AG84" s="5"/>
      <c r="AH84" s="5" t="str">
        <f ca="1">IFERROR(__xludf.DUMMYFUNCTION("""COMPUTED_VALUE"""),"Yes")</f>
        <v>Yes</v>
      </c>
      <c r="AI84" s="5"/>
      <c r="AJ84" s="5"/>
      <c r="AK84" s="5"/>
      <c r="AL84" s="5"/>
      <c r="AM84" s="5"/>
      <c r="AN84" s="5"/>
      <c r="AO84" s="5" t="str">
        <f ca="1">IFERROR(__xludf.DUMMYFUNCTION("""COMPUTED_VALUE"""),"Yes")</f>
        <v>Yes</v>
      </c>
      <c r="AP84" s="5"/>
      <c r="AQ84" s="5"/>
      <c r="AR84" s="5"/>
      <c r="AS84" s="5" t="str">
        <f ca="1">IFERROR(__xludf.DUMMYFUNCTION("""COMPUTED_VALUE"""),"Yes")</f>
        <v>Yes</v>
      </c>
      <c r="AT84" s="5" t="str">
        <f ca="1">IFERROR(__xludf.DUMMYFUNCTION("""COMPUTED_VALUE"""),"Yes")</f>
        <v>Yes</v>
      </c>
      <c r="AU84" s="5"/>
    </row>
    <row r="85" spans="1:47" x14ac:dyDescent="0.25">
      <c r="A85" s="5" t="str">
        <f ca="1">IFERROR(__xludf.DUMMYFUNCTION("""COMPUTED_VALUE"""),"Tiptop")</f>
        <v>Tiptop</v>
      </c>
      <c r="B85" s="5" t="str">
        <f ca="1">IFERROR(__xludf.DUMMYFUNCTION("""COMPUTED_VALUE"""),"Big Spin Dragons")</f>
        <v>Big Spin Dragons</v>
      </c>
      <c r="C85" s="5" t="str">
        <f ca="1">IFERROR(__xludf.DUMMYFUNCTION("""COMPUTED_VALUE"""),"UnicornBigSpinDragons")</f>
        <v>UnicornBigSpinDragons</v>
      </c>
      <c r="D85" s="6">
        <f ca="1">IFERROR(__xludf.DUMMYFUNCTION("""COMPUTED_VALUE"""),45806)</f>
        <v>45806</v>
      </c>
      <c r="E85" s="5" t="str">
        <f ca="1">IFERROR(__xludf.DUMMYFUNCTION("""COMPUTED_VALUE"""),"Slot")</f>
        <v>Slot</v>
      </c>
      <c r="F85" s="5">
        <f ca="1">IFERROR(__xludf.DUMMYFUNCTION("""COMPUTED_VALUE"""),12)</f>
        <v>12</v>
      </c>
      <c r="G85" s="5" t="str">
        <f ca="1">IFERROR(__xludf.DUMMYFUNCTION("""COMPUTED_VALUE"""),"5x3")</f>
        <v>5x3</v>
      </c>
      <c r="H85" s="5">
        <f ca="1">IFERROR(__xludf.DUMMYFUNCTION("""COMPUTED_VALUE"""),5)</f>
        <v>5</v>
      </c>
      <c r="I85" s="5">
        <f ca="1">IFERROR(__xludf.DUMMYFUNCTION("""COMPUTED_VALUE"""),5)</f>
        <v>5</v>
      </c>
      <c r="J85" s="5" t="str">
        <f ca="1">IFERROR(__xludf.DUMMYFUNCTION("""COMPUTED_VALUE"""),"96%")</f>
        <v>96%</v>
      </c>
      <c r="K85" s="5" t="str">
        <f ca="1">IFERROR(__xludf.DUMMYFUNCTION("""COMPUTED_VALUE"""),"Low")</f>
        <v>Low</v>
      </c>
      <c r="L85" s="5" t="str">
        <f ca="1">IFERROR(__xludf.DUMMYFUNCTION("""COMPUTED_VALUE"""),"14.4%")</f>
        <v>14.4%</v>
      </c>
      <c r="M85" s="5" t="str">
        <f ca="1">IFERROR(__xludf.DUMMYFUNCTION("""COMPUTED_VALUE"""),"x10000")</f>
        <v>x10000</v>
      </c>
      <c r="N85" s="5" t="str">
        <f ca="1">IFERROR(__xludf.DUMMYFUNCTION("""COMPUTED_VALUE"""),"0.05/100")</f>
        <v>0.05/100</v>
      </c>
      <c r="O85" s="5" t="str">
        <f ca="1">IFERROR(__xludf.DUMMYFUNCTION("""COMPUTED_VALUE"""),"No")</f>
        <v>No</v>
      </c>
      <c r="P85" s="5"/>
      <c r="Q85" s="7" t="str">
        <f ca="1">IFERROR(__xludf.DUMMYFUNCTION("""COMPUTED_VALUE"""),"https://gameserver-store-client-area.orbionlimited.com/Home/IntegrationGameLaunch/client-area?moneyType=0&amp;gameName=UnicornBigSpinDragons&amp;platform=desktop&amp;languageCode=eng&amp;currency=EUR")</f>
        <v>https://gameserver-store-client-area.orbionlimited.com/Home/IntegrationGameLaunch/client-area?moneyType=0&amp;gameName=UnicornBigSpinDragons&amp;platform=desktop&amp;languageCode=eng&amp;currency=EUR</v>
      </c>
      <c r="R85" s="5" t="str">
        <f ca="1">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S8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IFERROR(__xludf.DUMMYFUNCTION("""COMPUTED_VALUE"""),"No")</f>
        <v>No</v>
      </c>
      <c r="X85" s="5" t="str">
        <f ca="1">IFERROR(__xludf.DUMMYFUNCTION("""COMPUTED_VALUE"""),"No")</f>
        <v>No</v>
      </c>
      <c r="Y85" s="5" t="str">
        <f ca="1">IFERROR(__xludf.DUMMYFUNCTION("""COMPUTED_VALUE"""),"No")</f>
        <v>No</v>
      </c>
      <c r="Z85" s="5" t="str">
        <f ca="1">IFERROR(__xludf.DUMMYFUNCTION("""COMPUTED_VALUE"""),"No")</f>
        <v>No</v>
      </c>
      <c r="AA85" s="5" t="str">
        <f ca="1">IFERROR(__xludf.DUMMYFUNCTION("""COMPUTED_VALUE"""),"No")</f>
        <v>No</v>
      </c>
      <c r="AB85" s="5" t="str">
        <f ca="1">IFERROR(__xludf.DUMMYFUNCTION("""COMPUTED_VALUE"""),"Yes")</f>
        <v>Yes</v>
      </c>
      <c r="AC85" s="5" t="str">
        <f ca="1">IFERROR(__xludf.DUMMYFUNCTION("""COMPUTED_VALUE"""),"Yes")</f>
        <v>Yes</v>
      </c>
      <c r="AD85" s="5" t="str">
        <f ca="1">IFERROR(__xludf.DUMMYFUNCTION("""COMPUTED_VALUE"""),"Yes")</f>
        <v>Yes</v>
      </c>
      <c r="AE85" s="5" t="str">
        <f ca="1">IFERROR(__xludf.DUMMYFUNCTION("""COMPUTED_VALUE"""),"Yes")</f>
        <v>Yes</v>
      </c>
      <c r="AF85" s="5" t="str">
        <f ca="1">IFERROR(__xludf.DUMMYFUNCTION("""COMPUTED_VALUE"""),"Yes")</f>
        <v>Yes</v>
      </c>
      <c r="AG85" s="5" t="str">
        <f ca="1">IFERROR(__xludf.DUMMYFUNCTION("""COMPUTED_VALUE"""),"No")</f>
        <v>No</v>
      </c>
      <c r="AH85" s="5" t="str">
        <f ca="1">IFERROR(__xludf.DUMMYFUNCTION("""COMPUTED_VALUE"""),"Yes")</f>
        <v>Yes</v>
      </c>
      <c r="AI85" s="5" t="str">
        <f ca="1">IFERROR(__xludf.DUMMYFUNCTION("""COMPUTED_VALUE"""),"No")</f>
        <v>No</v>
      </c>
      <c r="AJ85" s="5" t="str">
        <f ca="1">IFERROR(__xludf.DUMMYFUNCTION("""COMPUTED_VALUE"""),"No")</f>
        <v>No</v>
      </c>
      <c r="AK85" s="5" t="str">
        <f ca="1">IFERROR(__xludf.DUMMYFUNCTION("""COMPUTED_VALUE"""),"No")</f>
        <v>No</v>
      </c>
      <c r="AL85" s="5" t="str">
        <f ca="1">IFERROR(__xludf.DUMMYFUNCTION("""COMPUTED_VALUE"""),"No")</f>
        <v>No</v>
      </c>
      <c r="AM85" s="5"/>
      <c r="AN85" s="5"/>
      <c r="AO85" s="5" t="str">
        <f ca="1">IFERROR(__xludf.DUMMYFUNCTION("""COMPUTED_VALUE"""),"Yes")</f>
        <v>Yes</v>
      </c>
      <c r="AP85" s="5"/>
      <c r="AQ85" s="5" t="str">
        <f ca="1">IFERROR(__xludf.DUMMYFUNCTION("""COMPUTED_VALUE"""),"No")</f>
        <v>No</v>
      </c>
      <c r="AR85" s="5"/>
      <c r="AS85" s="5" t="str">
        <f ca="1">IFERROR(__xludf.DUMMYFUNCTION("""COMPUTED_VALUE"""),"Yes")</f>
        <v>Yes</v>
      </c>
      <c r="AT85" s="5" t="str">
        <f ca="1">IFERROR(__xludf.DUMMYFUNCTION("""COMPUTED_VALUE"""),"Yes")</f>
        <v>Yes</v>
      </c>
      <c r="AU85" s="5"/>
    </row>
    <row r="86" spans="1:47" x14ac:dyDescent="0.25">
      <c r="A86" s="5" t="str">
        <f ca="1">IFERROR(__xludf.DUMMYFUNCTION("""COMPUTED_VALUE"""),"Tiptop")</f>
        <v>Tiptop</v>
      </c>
      <c r="B86" s="5" t="str">
        <f ca="1">IFERROR(__xludf.DUMMYFUNCTION("""COMPUTED_VALUE"""),"Simply Sevens Gems")</f>
        <v>Simply Sevens Gems</v>
      </c>
      <c r="C86" s="5" t="str">
        <f ca="1">IFERROR(__xludf.DUMMYFUNCTION("""COMPUTED_VALUE"""),"UnicornSimplySevensGems")</f>
        <v>UnicornSimplySevensGems</v>
      </c>
      <c r="D86" s="6">
        <f ca="1">IFERROR(__xludf.DUMMYFUNCTION("""COMPUTED_VALUE"""),45813)</f>
        <v>45813</v>
      </c>
      <c r="E86" s="5" t="str">
        <f ca="1">IFERROR(__xludf.DUMMYFUNCTION("""COMPUTED_VALUE"""),"Slot")</f>
        <v>Slot</v>
      </c>
      <c r="F86" s="5">
        <f ca="1">IFERROR(__xludf.DUMMYFUNCTION("""COMPUTED_VALUE"""),10.7)</f>
        <v>10.7</v>
      </c>
      <c r="G86" s="5" t="str">
        <f ca="1">IFERROR(__xludf.DUMMYFUNCTION("""COMPUTED_VALUE"""),"5x3")</f>
        <v>5x3</v>
      </c>
      <c r="H86" s="5">
        <f ca="1">IFERROR(__xludf.DUMMYFUNCTION("""COMPUTED_VALUE"""),10)</f>
        <v>10</v>
      </c>
      <c r="I86" s="5">
        <f ca="1">IFERROR(__xludf.DUMMYFUNCTION("""COMPUTED_VALUE"""),10)</f>
        <v>10</v>
      </c>
      <c r="J86" s="5" t="str">
        <f ca="1">IFERROR(__xludf.DUMMYFUNCTION("""COMPUTED_VALUE"""),"96%")</f>
        <v>96%</v>
      </c>
      <c r="K86" s="5" t="str">
        <f ca="1">IFERROR(__xludf.DUMMYFUNCTION("""COMPUTED_VALUE"""),"Low")</f>
        <v>Low</v>
      </c>
      <c r="L86" s="5" t="str">
        <f ca="1">IFERROR(__xludf.DUMMYFUNCTION("""COMPUTED_VALUE"""),"24.14%")</f>
        <v>24.14%</v>
      </c>
      <c r="M86" s="5" t="str">
        <f ca="1">IFERROR(__xludf.DUMMYFUNCTION("""COMPUTED_VALUE"""),"x10000")</f>
        <v>x10000</v>
      </c>
      <c r="N86" s="5" t="str">
        <f ca="1">IFERROR(__xludf.DUMMYFUNCTION("""COMPUTED_VALUE"""),"0.1/100")</f>
        <v>0.1/100</v>
      </c>
      <c r="O86" s="5" t="str">
        <f ca="1">IFERROR(__xludf.DUMMYFUNCTION("""COMPUTED_VALUE"""),"No")</f>
        <v>No</v>
      </c>
      <c r="P86" s="5"/>
      <c r="Q86" s="7" t="str">
        <f ca="1">IFERROR(__xludf.DUMMYFUNCTION("""COMPUTED_VALUE"""),"https://gameserver-store-client-area.orbionlimited.com/Home/IntegrationGameLaunch/client-area?moneyType=0&amp;gameName=UnicornSimplySevensGems&amp;platform=desktop&amp;languageCode=eng&amp;currency=EUR")</f>
        <v>https://gameserver-store-client-area.orbionlimited.com/Home/IntegrationGameLaunch/client-area?moneyType=0&amp;gameName=UnicornSimplySevensGems&amp;platform=desktop&amp;languageCode=eng&amp;currency=EUR</v>
      </c>
      <c r="R86" s="5" t="str">
        <f ca="1">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S8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IFERROR(__xludf.DUMMYFUNCTION("""COMPUTED_VALUE"""),"No")</f>
        <v>No</v>
      </c>
      <c r="X86" s="5" t="str">
        <f ca="1">IFERROR(__xludf.DUMMYFUNCTION("""COMPUTED_VALUE"""),"No")</f>
        <v>No</v>
      </c>
      <c r="Y86" s="5" t="str">
        <f ca="1">IFERROR(__xludf.DUMMYFUNCTION("""COMPUTED_VALUE"""),"No")</f>
        <v>No</v>
      </c>
      <c r="Z86" s="5" t="str">
        <f ca="1">IFERROR(__xludf.DUMMYFUNCTION("""COMPUTED_VALUE"""),"No")</f>
        <v>No</v>
      </c>
      <c r="AA86" s="5" t="str">
        <f ca="1">IFERROR(__xludf.DUMMYFUNCTION("""COMPUTED_VALUE"""),"No")</f>
        <v>No</v>
      </c>
      <c r="AB86" s="5" t="str">
        <f ca="1">IFERROR(__xludf.DUMMYFUNCTION("""COMPUTED_VALUE"""),"Yes")</f>
        <v>Yes</v>
      </c>
      <c r="AC86" s="5" t="str">
        <f ca="1">IFERROR(__xludf.DUMMYFUNCTION("""COMPUTED_VALUE"""),"Yes")</f>
        <v>Yes</v>
      </c>
      <c r="AD86" s="5" t="str">
        <f ca="1">IFERROR(__xludf.DUMMYFUNCTION("""COMPUTED_VALUE"""),"Yes")</f>
        <v>Yes</v>
      </c>
      <c r="AE86" s="5" t="str">
        <f ca="1">IFERROR(__xludf.DUMMYFUNCTION("""COMPUTED_VALUE"""),"Yes")</f>
        <v>Yes</v>
      </c>
      <c r="AF86" s="5" t="str">
        <f ca="1">IFERROR(__xludf.DUMMYFUNCTION("""COMPUTED_VALUE"""),"Yes")</f>
        <v>Yes</v>
      </c>
      <c r="AG86" s="5" t="str">
        <f ca="1">IFERROR(__xludf.DUMMYFUNCTION("""COMPUTED_VALUE"""),"No")</f>
        <v>No</v>
      </c>
      <c r="AH86" s="5" t="str">
        <f ca="1">IFERROR(__xludf.DUMMYFUNCTION("""COMPUTED_VALUE"""),"Yes")</f>
        <v>Yes</v>
      </c>
      <c r="AI86" s="5" t="str">
        <f ca="1">IFERROR(__xludf.DUMMYFUNCTION("""COMPUTED_VALUE"""),"No")</f>
        <v>No</v>
      </c>
      <c r="AJ86" s="5" t="str">
        <f ca="1">IFERROR(__xludf.DUMMYFUNCTION("""COMPUTED_VALUE"""),"No")</f>
        <v>No</v>
      </c>
      <c r="AK86" s="5" t="str">
        <f ca="1">IFERROR(__xludf.DUMMYFUNCTION("""COMPUTED_VALUE"""),"No")</f>
        <v>No</v>
      </c>
      <c r="AL86" s="5" t="str">
        <f ca="1">IFERROR(__xludf.DUMMYFUNCTION("""COMPUTED_VALUE"""),"No")</f>
        <v>No</v>
      </c>
      <c r="AM86" s="5"/>
      <c r="AN86" s="5"/>
      <c r="AO86" s="5" t="str">
        <f ca="1">IFERROR(__xludf.DUMMYFUNCTION("""COMPUTED_VALUE"""),"Yes")</f>
        <v>Yes</v>
      </c>
      <c r="AP86" s="5"/>
      <c r="AQ86" s="5" t="str">
        <f ca="1">IFERROR(__xludf.DUMMYFUNCTION("""COMPUTED_VALUE"""),"No")</f>
        <v>No</v>
      </c>
      <c r="AR86" s="5"/>
      <c r="AS86" s="5" t="str">
        <f ca="1">IFERROR(__xludf.DUMMYFUNCTION("""COMPUTED_VALUE"""),"Yes")</f>
        <v>Yes</v>
      </c>
      <c r="AT86" s="5" t="str">
        <f ca="1">IFERROR(__xludf.DUMMYFUNCTION("""COMPUTED_VALUE"""),"Yes")</f>
        <v>Yes</v>
      </c>
      <c r="AU86" s="5"/>
    </row>
    <row r="87" spans="1:47" x14ac:dyDescent="0.25">
      <c r="A87" s="5" t="str">
        <f ca="1">IFERROR(__xludf.DUMMYFUNCTION("""COMPUTED_VALUE"""),"Tiptop")</f>
        <v>Tiptop</v>
      </c>
      <c r="B87" s="5" t="str">
        <f ca="1">IFERROR(__xludf.DUMMYFUNCTION("""COMPUTED_VALUE"""),"Super Fire Dice Jackpot")</f>
        <v>Super Fire Dice Jackpot</v>
      </c>
      <c r="C87" s="5" t="str">
        <f ca="1">IFERROR(__xludf.DUMMYFUNCTION("""COMPUTED_VALUE"""),"UnicornSuperFireDiceJackpot")</f>
        <v>UnicornSuperFireDiceJackpot</v>
      </c>
      <c r="D87" s="6">
        <f ca="1">IFERROR(__xludf.DUMMYFUNCTION("""COMPUTED_VALUE"""),45820)</f>
        <v>45820</v>
      </c>
      <c r="E87" s="5" t="str">
        <f ca="1">IFERROR(__xludf.DUMMYFUNCTION("""COMPUTED_VALUE"""),"Dice Slots")</f>
        <v>Dice Slots</v>
      </c>
      <c r="F87" s="5">
        <f ca="1">IFERROR(__xludf.DUMMYFUNCTION("""COMPUTED_VALUE"""),10.6)</f>
        <v>10.6</v>
      </c>
      <c r="G87" s="5" t="str">
        <f ca="1">IFERROR(__xludf.DUMMYFUNCTION("""COMPUTED_VALUE"""),"5x3")</f>
        <v>5x3</v>
      </c>
      <c r="H87" s="5">
        <f ca="1">IFERROR(__xludf.DUMMYFUNCTION("""COMPUTED_VALUE"""),20)</f>
        <v>20</v>
      </c>
      <c r="I87" s="5">
        <f ca="1">IFERROR(__xludf.DUMMYFUNCTION("""COMPUTED_VALUE"""),20)</f>
        <v>20</v>
      </c>
      <c r="J87" s="5" t="str">
        <f ca="1">IFERROR(__xludf.DUMMYFUNCTION("""COMPUTED_VALUE"""),"96%")</f>
        <v>96%</v>
      </c>
      <c r="K87" s="5" t="str">
        <f ca="1">IFERROR(__xludf.DUMMYFUNCTION("""COMPUTED_VALUE"""),"Low")</f>
        <v>Low</v>
      </c>
      <c r="L87" s="5" t="str">
        <f ca="1">IFERROR(__xludf.DUMMYFUNCTION("""COMPUTED_VALUE"""),"14.46%")</f>
        <v>14.46%</v>
      </c>
      <c r="M87" s="5" t="str">
        <f ca="1">IFERROR(__xludf.DUMMYFUNCTION("""COMPUTED_VALUE"""),"x10000")</f>
        <v>x10000</v>
      </c>
      <c r="N87" s="5" t="str">
        <f ca="1">IFERROR(__xludf.DUMMYFUNCTION("""COMPUTED_VALUE"""),"0.2/100")</f>
        <v>0.2/100</v>
      </c>
      <c r="O87" s="5" t="str">
        <f ca="1">IFERROR(__xludf.DUMMYFUNCTION("""COMPUTED_VALUE"""),"No")</f>
        <v>No</v>
      </c>
      <c r="P87" s="5"/>
      <c r="Q87" s="7" t="str">
        <f ca="1">IFERROR(__xludf.DUMMYFUNCTION("""COMPUTED_VALUE"""),"https://gameserver-store-client-area.orbionlimited.com/Home/IntegrationGameLaunch/client-area?moneyType=0&amp;gameName=UnicornSuperFireDiceJackpot&amp;platform=desktop&amp;languageCode=eng&amp;currency=EUR")</f>
        <v>https://gameserver-store-client-area.orbionlimited.com/Home/IntegrationGameLaunch/client-area?moneyType=0&amp;gameName=UnicornSuperFireDiceJackpot&amp;platform=desktop&amp;languageCode=eng&amp;currency=EUR</v>
      </c>
      <c r="R87" s="5" t="str">
        <f ca="1">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S8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7" s="5" t="str">
        <f ca="1">IFERROR(__xludf.DUMMYFUNCTION("""COMPUTED_VALUE"""),"Yes")</f>
        <v>Yes</v>
      </c>
      <c r="U87" s="5" t="str">
        <f ca="1">IFERROR(__xludf.DUMMYFUNCTION("""COMPUTED_VALUE"""),"Yes")</f>
        <v>Yes</v>
      </c>
      <c r="V87" s="5" t="str">
        <f ca="1">IFERROR(__xludf.DUMMYFUNCTION("""COMPUTED_VALUE"""),"Yes")</f>
        <v>Yes</v>
      </c>
      <c r="W87" s="5" t="str">
        <f ca="1">IFERROR(__xludf.DUMMYFUNCTION("""COMPUTED_VALUE"""),"No")</f>
        <v>No</v>
      </c>
      <c r="X87" s="5" t="str">
        <f ca="1">IFERROR(__xludf.DUMMYFUNCTION("""COMPUTED_VALUE"""),"No")</f>
        <v>No</v>
      </c>
      <c r="Y87" s="5" t="str">
        <f ca="1">IFERROR(__xludf.DUMMYFUNCTION("""COMPUTED_VALUE"""),"No")</f>
        <v>No</v>
      </c>
      <c r="Z87" s="5" t="str">
        <f ca="1">IFERROR(__xludf.DUMMYFUNCTION("""COMPUTED_VALUE"""),"No")</f>
        <v>No</v>
      </c>
      <c r="AA87" s="5" t="str">
        <f ca="1">IFERROR(__xludf.DUMMYFUNCTION("""COMPUTED_VALUE"""),"No")</f>
        <v>No</v>
      </c>
      <c r="AB87" s="5" t="str">
        <f ca="1">IFERROR(__xludf.DUMMYFUNCTION("""COMPUTED_VALUE"""),"Yes")</f>
        <v>Yes</v>
      </c>
      <c r="AC87" s="5" t="str">
        <f ca="1">IFERROR(__xludf.DUMMYFUNCTION("""COMPUTED_VALUE"""),"Yes")</f>
        <v>Yes</v>
      </c>
      <c r="AD87" s="5" t="str">
        <f ca="1">IFERROR(__xludf.DUMMYFUNCTION("""COMPUTED_VALUE"""),"Yes")</f>
        <v>Yes</v>
      </c>
      <c r="AE87" s="5" t="str">
        <f ca="1">IFERROR(__xludf.DUMMYFUNCTION("""COMPUTED_VALUE"""),"Yes")</f>
        <v>Yes</v>
      </c>
      <c r="AF87" s="5" t="str">
        <f ca="1">IFERROR(__xludf.DUMMYFUNCTION("""COMPUTED_VALUE"""),"Yes")</f>
        <v>Yes</v>
      </c>
      <c r="AG87" s="5" t="str">
        <f ca="1">IFERROR(__xludf.DUMMYFUNCTION("""COMPUTED_VALUE"""),"No")</f>
        <v>No</v>
      </c>
      <c r="AH87" s="5" t="str">
        <f ca="1">IFERROR(__xludf.DUMMYFUNCTION("""COMPUTED_VALUE"""),"Yes")</f>
        <v>Yes</v>
      </c>
      <c r="AI87" s="5" t="str">
        <f ca="1">IFERROR(__xludf.DUMMYFUNCTION("""COMPUTED_VALUE"""),"No")</f>
        <v>No</v>
      </c>
      <c r="AJ87" s="5" t="str">
        <f ca="1">IFERROR(__xludf.DUMMYFUNCTION("""COMPUTED_VALUE"""),"No")</f>
        <v>No</v>
      </c>
      <c r="AK87" s="5" t="str">
        <f ca="1">IFERROR(__xludf.DUMMYFUNCTION("""COMPUTED_VALUE"""),"No")</f>
        <v>No</v>
      </c>
      <c r="AL87" s="5" t="str">
        <f ca="1">IFERROR(__xludf.DUMMYFUNCTION("""COMPUTED_VALUE"""),"No")</f>
        <v>No</v>
      </c>
      <c r="AM87" s="5"/>
      <c r="AN87" s="5"/>
      <c r="AO87" s="5" t="str">
        <f ca="1">IFERROR(__xludf.DUMMYFUNCTION("""COMPUTED_VALUE"""),"Yes")</f>
        <v>Yes</v>
      </c>
      <c r="AP87" s="5"/>
      <c r="AQ87" s="5" t="str">
        <f ca="1">IFERROR(__xludf.DUMMYFUNCTION("""COMPUTED_VALUE"""),"No")</f>
        <v>No</v>
      </c>
      <c r="AR87" s="5"/>
      <c r="AS87" s="5" t="str">
        <f ca="1">IFERROR(__xludf.DUMMYFUNCTION("""COMPUTED_VALUE"""),"Yes")</f>
        <v>Yes</v>
      </c>
      <c r="AT87" s="5" t="str">
        <f ca="1">IFERROR(__xludf.DUMMYFUNCTION("""COMPUTED_VALUE"""),"Yes")</f>
        <v>Yes</v>
      </c>
      <c r="AU87" s="5"/>
    </row>
    <row r="88" spans="1:47" x14ac:dyDescent="0.25">
      <c r="A88" s="5" t="str">
        <f ca="1">IFERROR(__xludf.DUMMYFUNCTION("""COMPUTED_VALUE"""),"Tiptop")</f>
        <v>Tiptop</v>
      </c>
      <c r="B88" s="5" t="str">
        <f ca="1">IFERROR(__xludf.DUMMYFUNCTION("""COMPUTED_VALUE"""),"Mister Dice")</f>
        <v>Mister Dice</v>
      </c>
      <c r="C88" s="5" t="str">
        <f ca="1">IFERROR(__xludf.DUMMYFUNCTION("""COMPUTED_VALUE"""),"UnicornMisterDice")</f>
        <v>UnicornMisterDice</v>
      </c>
      <c r="D88" s="6">
        <f ca="1">IFERROR(__xludf.DUMMYFUNCTION("""COMPUTED_VALUE"""),45825)</f>
        <v>45825</v>
      </c>
      <c r="E88" s="5" t="str">
        <f ca="1">IFERROR(__xludf.DUMMYFUNCTION("""COMPUTED_VALUE"""),"Dice Slots")</f>
        <v>Dice Slots</v>
      </c>
      <c r="F88" s="5">
        <f ca="1">IFERROR(__xludf.DUMMYFUNCTION("""COMPUTED_VALUE"""),15.1)</f>
        <v>15.1</v>
      </c>
      <c r="G88" s="5" t="str">
        <f ca="1">IFERROR(__xludf.DUMMYFUNCTION("""COMPUTED_VALUE"""),"5x3")</f>
        <v>5x3</v>
      </c>
      <c r="H88" s="5">
        <f ca="1">IFERROR(__xludf.DUMMYFUNCTION("""COMPUTED_VALUE"""),5)</f>
        <v>5</v>
      </c>
      <c r="I88" s="5">
        <f ca="1">IFERROR(__xludf.DUMMYFUNCTION("""COMPUTED_VALUE"""),5)</f>
        <v>5</v>
      </c>
      <c r="J88" s="5" t="str">
        <f ca="1">IFERROR(__xludf.DUMMYFUNCTION("""COMPUTED_VALUE"""),"96%")</f>
        <v>96%</v>
      </c>
      <c r="K88" s="5" t="str">
        <f ca="1">IFERROR(__xludf.DUMMYFUNCTION("""COMPUTED_VALUE"""),"Low")</f>
        <v>Low</v>
      </c>
      <c r="L88" s="5" t="str">
        <f ca="1">IFERROR(__xludf.DUMMYFUNCTION("""COMPUTED_VALUE"""),"13.64%")</f>
        <v>13.64%</v>
      </c>
      <c r="M88" s="5" t="str">
        <f ca="1">IFERROR(__xludf.DUMMYFUNCTION("""COMPUTED_VALUE"""),"x10000")</f>
        <v>x10000</v>
      </c>
      <c r="N88" s="5" t="str">
        <f ca="1">IFERROR(__xludf.DUMMYFUNCTION("""COMPUTED_VALUE"""),"0.05/100")</f>
        <v>0.05/100</v>
      </c>
      <c r="O88" s="5" t="str">
        <f ca="1">IFERROR(__xludf.DUMMYFUNCTION("""COMPUTED_VALUE"""),"No")</f>
        <v>No</v>
      </c>
      <c r="P88" s="5"/>
      <c r="Q88" s="7" t="str">
        <f ca="1">IFERROR(__xludf.DUMMYFUNCTION("""COMPUTED_VALUE"""),"https://gameserver-store-client-area.orbionlimited.com/Home/IntegrationGameLaunch/client-area?moneyType=0&amp;gameName=UnicornMisterDice&amp;platform=desktop&amp;languageCode=eng&amp;currency=EUR")</f>
        <v>https://gameserver-store-client-area.orbionlimited.com/Home/IntegrationGameLaunch/client-area?moneyType=0&amp;gameName=UnicornMisterDice&amp;platform=desktop&amp;languageCode=eng&amp;currency=EUR</v>
      </c>
      <c r="R88" s="5" t="str">
        <f ca="1">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S8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8" s="5" t="str">
        <f ca="1">IFERROR(__xludf.DUMMYFUNCTION("""COMPUTED_VALUE"""),"Yes")</f>
        <v>Yes</v>
      </c>
      <c r="U88" s="5" t="str">
        <f ca="1">IFERROR(__xludf.DUMMYFUNCTION("""COMPUTED_VALUE"""),"Yes")</f>
        <v>Yes</v>
      </c>
      <c r="V88" s="5" t="str">
        <f ca="1">IFERROR(__xludf.DUMMYFUNCTION("""COMPUTED_VALUE"""),"Yes")</f>
        <v>Yes</v>
      </c>
      <c r="W88" s="5" t="str">
        <f ca="1">IFERROR(__xludf.DUMMYFUNCTION("""COMPUTED_VALUE"""),"No")</f>
        <v>No</v>
      </c>
      <c r="X88" s="5" t="str">
        <f ca="1">IFERROR(__xludf.DUMMYFUNCTION("""COMPUTED_VALUE"""),"No")</f>
        <v>No</v>
      </c>
      <c r="Y88" s="5" t="str">
        <f ca="1">IFERROR(__xludf.DUMMYFUNCTION("""COMPUTED_VALUE"""),"No")</f>
        <v>No</v>
      </c>
      <c r="Z88" s="5" t="str">
        <f ca="1">IFERROR(__xludf.DUMMYFUNCTION("""COMPUTED_VALUE"""),"No")</f>
        <v>No</v>
      </c>
      <c r="AA88" s="5" t="str">
        <f ca="1">IFERROR(__xludf.DUMMYFUNCTION("""COMPUTED_VALUE"""),"No")</f>
        <v>No</v>
      </c>
      <c r="AB88" s="5" t="str">
        <f ca="1">IFERROR(__xludf.DUMMYFUNCTION("""COMPUTED_VALUE"""),"Yes")</f>
        <v>Yes</v>
      </c>
      <c r="AC88" s="5" t="str">
        <f ca="1">IFERROR(__xludf.DUMMYFUNCTION("""COMPUTED_VALUE"""),"Yes")</f>
        <v>Yes</v>
      </c>
      <c r="AD88" s="5" t="str">
        <f ca="1">IFERROR(__xludf.DUMMYFUNCTION("""COMPUTED_VALUE"""),"Yes")</f>
        <v>Yes</v>
      </c>
      <c r="AE88" s="5" t="str">
        <f ca="1">IFERROR(__xludf.DUMMYFUNCTION("""COMPUTED_VALUE"""),"Yes")</f>
        <v>Yes</v>
      </c>
      <c r="AF88" s="5" t="str">
        <f ca="1">IFERROR(__xludf.DUMMYFUNCTION("""COMPUTED_VALUE"""),"Yes")</f>
        <v>Yes</v>
      </c>
      <c r="AG88" s="5" t="str">
        <f ca="1">IFERROR(__xludf.DUMMYFUNCTION("""COMPUTED_VALUE"""),"No")</f>
        <v>No</v>
      </c>
      <c r="AH88" s="5" t="str">
        <f ca="1">IFERROR(__xludf.DUMMYFUNCTION("""COMPUTED_VALUE"""),"Yes")</f>
        <v>Yes</v>
      </c>
      <c r="AI88" s="5" t="str">
        <f ca="1">IFERROR(__xludf.DUMMYFUNCTION("""COMPUTED_VALUE"""),"No")</f>
        <v>No</v>
      </c>
      <c r="AJ88" s="5" t="str">
        <f ca="1">IFERROR(__xludf.DUMMYFUNCTION("""COMPUTED_VALUE"""),"No")</f>
        <v>No</v>
      </c>
      <c r="AK88" s="5" t="str">
        <f ca="1">IFERROR(__xludf.DUMMYFUNCTION("""COMPUTED_VALUE"""),"No")</f>
        <v>No</v>
      </c>
      <c r="AL88" s="5" t="str">
        <f ca="1">IFERROR(__xludf.DUMMYFUNCTION("""COMPUTED_VALUE"""),"No")</f>
        <v>No</v>
      </c>
      <c r="AM88" s="5"/>
      <c r="AN88" s="5"/>
      <c r="AO88" s="5" t="str">
        <f ca="1">IFERROR(__xludf.DUMMYFUNCTION("""COMPUTED_VALUE"""),"Yes")</f>
        <v>Yes</v>
      </c>
      <c r="AP88" s="5"/>
      <c r="AQ88" s="5" t="str">
        <f ca="1">IFERROR(__xludf.DUMMYFUNCTION("""COMPUTED_VALUE"""),"No")</f>
        <v>No</v>
      </c>
      <c r="AR88" s="5"/>
      <c r="AS88" s="5" t="str">
        <f ca="1">IFERROR(__xludf.DUMMYFUNCTION("""COMPUTED_VALUE"""),"Yes")</f>
        <v>Yes</v>
      </c>
      <c r="AT88" s="5" t="str">
        <f ca="1">IFERROR(__xludf.DUMMYFUNCTION("""COMPUTED_VALUE"""),"Yes")</f>
        <v>Yes</v>
      </c>
      <c r="AU88" s="5"/>
    </row>
    <row r="89" spans="1:47" x14ac:dyDescent="0.25">
      <c r="A89" s="5" t="str">
        <f ca="1">IFERROR(__xludf.DUMMYFUNCTION("""COMPUTED_VALUE"""),"Tiptop")</f>
        <v>Tiptop</v>
      </c>
      <c r="B89" s="5" t="str">
        <f ca="1">IFERROR(__xludf.DUMMYFUNCTION("""COMPUTED_VALUE"""),"Three Reel Sevens")</f>
        <v>Three Reel Sevens</v>
      </c>
      <c r="C89" s="5" t="str">
        <f ca="1">IFERROR(__xludf.DUMMYFUNCTION("""COMPUTED_VALUE"""),"UnicornThreeReelSevens")</f>
        <v>UnicornThreeReelSevens</v>
      </c>
      <c r="D89" s="6">
        <f ca="1">IFERROR(__xludf.DUMMYFUNCTION("""COMPUTED_VALUE"""),45833)</f>
        <v>45833</v>
      </c>
      <c r="E89" s="5" t="str">
        <f ca="1">IFERROR(__xludf.DUMMYFUNCTION("""COMPUTED_VALUE"""),"Slot")</f>
        <v>Slot</v>
      </c>
      <c r="F89" s="5">
        <f ca="1">IFERROR(__xludf.DUMMYFUNCTION("""COMPUTED_VALUE"""),10.5)</f>
        <v>10.5</v>
      </c>
      <c r="G89" s="5" t="str">
        <f ca="1">IFERROR(__xludf.DUMMYFUNCTION("""COMPUTED_VALUE"""),"3x3")</f>
        <v>3x3</v>
      </c>
      <c r="H89" s="5">
        <f ca="1">IFERROR(__xludf.DUMMYFUNCTION("""COMPUTED_VALUE"""),5)</f>
        <v>5</v>
      </c>
      <c r="I89" s="5">
        <f ca="1">IFERROR(__xludf.DUMMYFUNCTION("""COMPUTED_VALUE"""),5)</f>
        <v>5</v>
      </c>
      <c r="J89" s="5" t="str">
        <f ca="1">IFERROR(__xludf.DUMMYFUNCTION("""COMPUTED_VALUE"""),"96%")</f>
        <v>96%</v>
      </c>
      <c r="K89" s="5" t="str">
        <f ca="1">IFERROR(__xludf.DUMMYFUNCTION("""COMPUTED_VALUE"""),"Low")</f>
        <v>Low</v>
      </c>
      <c r="L89" s="5" t="str">
        <f ca="1">IFERROR(__xludf.DUMMYFUNCTION("""COMPUTED_VALUE"""),"12.6%")</f>
        <v>12.6%</v>
      </c>
      <c r="M89" s="5" t="str">
        <f ca="1">IFERROR(__xludf.DUMMYFUNCTION("""COMPUTED_VALUE"""),"x1000")</f>
        <v>x1000</v>
      </c>
      <c r="N89" s="5" t="str">
        <f ca="1">IFERROR(__xludf.DUMMYFUNCTION("""COMPUTED_VALUE"""),"0.05/100")</f>
        <v>0.05/100</v>
      </c>
      <c r="O89" s="5" t="str">
        <f ca="1">IFERROR(__xludf.DUMMYFUNCTION("""COMPUTED_VALUE"""),"No")</f>
        <v>No</v>
      </c>
      <c r="P89" s="5"/>
      <c r="Q89" s="7" t="str">
        <f ca="1">IFERROR(__xludf.DUMMYFUNCTION("""COMPUTED_VALUE"""),"https://gameserver-store-client-area.orbionlimited.com/Home/IntegrationGameLaunch/client-area?moneyType=0&amp;gameName=UnicornThreeReelSevens&amp;platform=desktop&amp;languageCode=eng&amp;currency=EUR")</f>
        <v>https://gameserver-store-client-area.orbionlimited.com/Home/IntegrationGameLaunch/client-area?moneyType=0&amp;gameName=UnicornThreeReelSevens&amp;platform=desktop&amp;languageCode=eng&amp;currency=EUR</v>
      </c>
      <c r="R89" s="5" t="str">
        <f ca="1">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S8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9" s="5" t="str">
        <f ca="1">IFERROR(__xludf.DUMMYFUNCTION("""COMPUTED_VALUE"""),"Yes")</f>
        <v>Yes</v>
      </c>
      <c r="U89" s="5" t="str">
        <f ca="1">IFERROR(__xludf.DUMMYFUNCTION("""COMPUTED_VALUE"""),"Yes")</f>
        <v>Yes</v>
      </c>
      <c r="V89" s="5" t="str">
        <f ca="1">IFERROR(__xludf.DUMMYFUNCTION("""COMPUTED_VALUE"""),"Yes")</f>
        <v>Yes</v>
      </c>
      <c r="W89" s="5" t="str">
        <f ca="1">IFERROR(__xludf.DUMMYFUNCTION("""COMPUTED_VALUE"""),"No")</f>
        <v>No</v>
      </c>
      <c r="X89" s="5" t="str">
        <f ca="1">IFERROR(__xludf.DUMMYFUNCTION("""COMPUTED_VALUE"""),"No")</f>
        <v>No</v>
      </c>
      <c r="Y89" s="5" t="str">
        <f ca="1">IFERROR(__xludf.DUMMYFUNCTION("""COMPUTED_VALUE"""),"No")</f>
        <v>No</v>
      </c>
      <c r="Z89" s="5" t="str">
        <f ca="1">IFERROR(__xludf.DUMMYFUNCTION("""COMPUTED_VALUE"""),"No")</f>
        <v>No</v>
      </c>
      <c r="AA89" s="5" t="str">
        <f ca="1">IFERROR(__xludf.DUMMYFUNCTION("""COMPUTED_VALUE"""),"No")</f>
        <v>No</v>
      </c>
      <c r="AB89" s="5" t="str">
        <f ca="1">IFERROR(__xludf.DUMMYFUNCTION("""COMPUTED_VALUE"""),"Yes")</f>
        <v>Yes</v>
      </c>
      <c r="AC89" s="5" t="str">
        <f ca="1">IFERROR(__xludf.DUMMYFUNCTION("""COMPUTED_VALUE"""),"Yes")</f>
        <v>Yes</v>
      </c>
      <c r="AD89" s="5" t="str">
        <f ca="1">IFERROR(__xludf.DUMMYFUNCTION("""COMPUTED_VALUE"""),"Yes")</f>
        <v>Yes</v>
      </c>
      <c r="AE89" s="5" t="str">
        <f ca="1">IFERROR(__xludf.DUMMYFUNCTION("""COMPUTED_VALUE"""),"Yes")</f>
        <v>Yes</v>
      </c>
      <c r="AF89" s="5" t="str">
        <f ca="1">IFERROR(__xludf.DUMMYFUNCTION("""COMPUTED_VALUE"""),"Yes")</f>
        <v>Yes</v>
      </c>
      <c r="AG89" s="5" t="str">
        <f ca="1">IFERROR(__xludf.DUMMYFUNCTION("""COMPUTED_VALUE"""),"No")</f>
        <v>No</v>
      </c>
      <c r="AH89" s="5" t="str">
        <f ca="1">IFERROR(__xludf.DUMMYFUNCTION("""COMPUTED_VALUE"""),"Yes")</f>
        <v>Yes</v>
      </c>
      <c r="AI89" s="5" t="str">
        <f ca="1">IFERROR(__xludf.DUMMYFUNCTION("""COMPUTED_VALUE"""),"No")</f>
        <v>No</v>
      </c>
      <c r="AJ89" s="5" t="str">
        <f ca="1">IFERROR(__xludf.DUMMYFUNCTION("""COMPUTED_VALUE"""),"No")</f>
        <v>No</v>
      </c>
      <c r="AK89" s="5" t="str">
        <f ca="1">IFERROR(__xludf.DUMMYFUNCTION("""COMPUTED_VALUE"""),"No")</f>
        <v>No</v>
      </c>
      <c r="AL89" s="5" t="str">
        <f ca="1">IFERROR(__xludf.DUMMYFUNCTION("""COMPUTED_VALUE"""),"No")</f>
        <v>No</v>
      </c>
      <c r="AM89" s="5"/>
      <c r="AN89" s="5"/>
      <c r="AO89" s="5" t="str">
        <f ca="1">IFERROR(__xludf.DUMMYFUNCTION("""COMPUTED_VALUE"""),"Yes")</f>
        <v>Yes</v>
      </c>
      <c r="AP89" s="5"/>
      <c r="AQ89" s="5" t="str">
        <f ca="1">IFERROR(__xludf.DUMMYFUNCTION("""COMPUTED_VALUE"""),"No")</f>
        <v>No</v>
      </c>
      <c r="AR89" s="5"/>
      <c r="AS89" s="5" t="str">
        <f ca="1">IFERROR(__xludf.DUMMYFUNCTION("""COMPUTED_VALUE"""),"Yes")</f>
        <v>Yes</v>
      </c>
      <c r="AT89" s="5" t="str">
        <f ca="1">IFERROR(__xludf.DUMMYFUNCTION("""COMPUTED_VALUE"""),"Yes")</f>
        <v>Yes</v>
      </c>
      <c r="AU89" s="5"/>
    </row>
    <row r="90" spans="1:47" x14ac:dyDescent="0.25">
      <c r="A90" s="5" t="str">
        <f ca="1">IFERROR(__xludf.DUMMYFUNCTION("""COMPUTED_VALUE"""),"Tiptop")</f>
        <v>Tiptop</v>
      </c>
      <c r="B90" s="5" t="str">
        <f ca="1">IFERROR(__xludf.DUMMYFUNCTION("""COMPUTED_VALUE"""),"Enchanted Gems")</f>
        <v>Enchanted Gems</v>
      </c>
      <c r="C90" s="5" t="str">
        <f ca="1">IFERROR(__xludf.DUMMYFUNCTION("""COMPUTED_VALUE"""),"UnicornEnchantedGems")</f>
        <v>UnicornEnchantedGems</v>
      </c>
      <c r="D90" s="6">
        <f ca="1">IFERROR(__xludf.DUMMYFUNCTION("""COMPUTED_VALUE"""),45841)</f>
        <v>45841</v>
      </c>
      <c r="E90" s="5" t="str">
        <f ca="1">IFERROR(__xludf.DUMMYFUNCTION("""COMPUTED_VALUE"""),"Slot")</f>
        <v>Slot</v>
      </c>
      <c r="F90" s="5">
        <f ca="1">IFERROR(__xludf.DUMMYFUNCTION("""COMPUTED_VALUE"""),13.6)</f>
        <v>13.6</v>
      </c>
      <c r="G90" s="5" t="str">
        <f ca="1">IFERROR(__xludf.DUMMYFUNCTION("""COMPUTED_VALUE"""),"5x3")</f>
        <v>5x3</v>
      </c>
      <c r="H90" s="5">
        <f ca="1">IFERROR(__xludf.DUMMYFUNCTION("""COMPUTED_VALUE"""),10)</f>
        <v>10</v>
      </c>
      <c r="I90" s="5">
        <f ca="1">IFERROR(__xludf.DUMMYFUNCTION("""COMPUTED_VALUE"""),10)</f>
        <v>10</v>
      </c>
      <c r="J90" s="5" t="str">
        <f ca="1">IFERROR(__xludf.DUMMYFUNCTION("""COMPUTED_VALUE"""),"96%")</f>
        <v>96%</v>
      </c>
      <c r="K90" s="5" t="str">
        <f ca="1">IFERROR(__xludf.DUMMYFUNCTION("""COMPUTED_VALUE"""),"Low")</f>
        <v>Low</v>
      </c>
      <c r="L90" s="5" t="str">
        <f ca="1">IFERROR(__xludf.DUMMYFUNCTION("""COMPUTED_VALUE"""),"24.14%")</f>
        <v>24.14%</v>
      </c>
      <c r="M90" s="5" t="str">
        <f ca="1">IFERROR(__xludf.DUMMYFUNCTION("""COMPUTED_VALUE"""),"x10000")</f>
        <v>x10000</v>
      </c>
      <c r="N90" s="5" t="str">
        <f ca="1">IFERROR(__xludf.DUMMYFUNCTION("""COMPUTED_VALUE"""),"0.1/100")</f>
        <v>0.1/100</v>
      </c>
      <c r="O90" s="5" t="str">
        <f ca="1">IFERROR(__xludf.DUMMYFUNCTION("""COMPUTED_VALUE"""),"No")</f>
        <v>No</v>
      </c>
      <c r="P90" s="5"/>
      <c r="Q90" s="7" t="str">
        <f ca="1">IFERROR(__xludf.DUMMYFUNCTION("""COMPUTED_VALUE"""),"https://gameserver-store-client-area.orbionlimited.com/Home/IntegrationGameLaunch/client-area?moneyType=0&amp;gameName=UnicornEnchantedGems&amp;platform=desktop&amp;languageCode=eng&amp;currency=EUR")</f>
        <v>https://gameserver-store-client-area.orbionlimited.com/Home/IntegrationGameLaunch/client-area?moneyType=0&amp;gameName=UnicornEnchantedGems&amp;platform=desktop&amp;languageCode=eng&amp;currency=EUR</v>
      </c>
      <c r="R90" s="5" t="str">
        <f ca="1">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S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0" s="5" t="str">
        <f ca="1">IFERROR(__xludf.DUMMYFUNCTION("""COMPUTED_VALUE"""),"Yes")</f>
        <v>Yes</v>
      </c>
      <c r="U90" s="5" t="str">
        <f ca="1">IFERROR(__xludf.DUMMYFUNCTION("""COMPUTED_VALUE"""),"Yes")</f>
        <v>Yes</v>
      </c>
      <c r="V90" s="5" t="str">
        <f ca="1">IFERROR(__xludf.DUMMYFUNCTION("""COMPUTED_VALUE"""),"Yes")</f>
        <v>Yes</v>
      </c>
      <c r="W90" s="5" t="str">
        <f ca="1">IFERROR(__xludf.DUMMYFUNCTION("""COMPUTED_VALUE"""),"Yes")</f>
        <v>Yes</v>
      </c>
      <c r="X90" s="5" t="str">
        <f ca="1">IFERROR(__xludf.DUMMYFUNCTION("""COMPUTED_VALUE"""),"Yes")</f>
        <v>Yes</v>
      </c>
      <c r="Y90" s="5" t="str">
        <f ca="1">IFERROR(__xludf.DUMMYFUNCTION("""COMPUTED_VALUE"""),"Yes")</f>
        <v>Yes</v>
      </c>
      <c r="Z90" s="5" t="str">
        <f ca="1">IFERROR(__xludf.DUMMYFUNCTION("""COMPUTED_VALUE"""),"Yes")</f>
        <v>Yes</v>
      </c>
      <c r="AA90" s="5" t="str">
        <f ca="1">IFERROR(__xludf.DUMMYFUNCTION("""COMPUTED_VALUE"""),"Yes")</f>
        <v>Yes</v>
      </c>
      <c r="AB90" s="5" t="str">
        <f ca="1">IFERROR(__xludf.DUMMYFUNCTION("""COMPUTED_VALUE"""),"Yes")</f>
        <v>Yes</v>
      </c>
      <c r="AC90" s="5" t="str">
        <f ca="1">IFERROR(__xludf.DUMMYFUNCTION("""COMPUTED_VALUE"""),"Yes")</f>
        <v>Yes</v>
      </c>
      <c r="AD90" s="5" t="str">
        <f ca="1">IFERROR(__xludf.DUMMYFUNCTION("""COMPUTED_VALUE"""),"Yes")</f>
        <v>Yes</v>
      </c>
      <c r="AE90" s="5" t="str">
        <f ca="1">IFERROR(__xludf.DUMMYFUNCTION("""COMPUTED_VALUE"""),"Yes")</f>
        <v>Yes</v>
      </c>
      <c r="AF90" s="5" t="str">
        <f ca="1">IFERROR(__xludf.DUMMYFUNCTION("""COMPUTED_VALUE"""),"Yes")</f>
        <v>Yes</v>
      </c>
      <c r="AG90" s="5" t="str">
        <f ca="1">IFERROR(__xludf.DUMMYFUNCTION("""COMPUTED_VALUE"""),"Yes")</f>
        <v>Yes</v>
      </c>
      <c r="AH90" s="5" t="str">
        <f ca="1">IFERROR(__xludf.DUMMYFUNCTION("""COMPUTED_VALUE"""),"Yes")</f>
        <v>Yes</v>
      </c>
      <c r="AI90" s="5" t="str">
        <f ca="1">IFERROR(__xludf.DUMMYFUNCTION("""COMPUTED_VALUE"""),"Yes")</f>
        <v>Yes</v>
      </c>
      <c r="AJ90" s="5" t="str">
        <f ca="1">IFERROR(__xludf.DUMMYFUNCTION("""COMPUTED_VALUE"""),"Yes")</f>
        <v>Yes</v>
      </c>
      <c r="AK90" s="5" t="str">
        <f ca="1">IFERROR(__xludf.DUMMYFUNCTION("""COMPUTED_VALUE"""),"Yes")</f>
        <v>Yes</v>
      </c>
      <c r="AL90" s="5" t="str">
        <f ca="1">IFERROR(__xludf.DUMMYFUNCTION("""COMPUTED_VALUE"""),"Yes")</f>
        <v>Yes</v>
      </c>
      <c r="AM90" s="5"/>
      <c r="AN90" s="5"/>
      <c r="AO90" s="5"/>
      <c r="AP90" s="5"/>
      <c r="AQ90" s="5" t="str">
        <f ca="1">IFERROR(__xludf.DUMMYFUNCTION("""COMPUTED_VALUE"""),"Yes")</f>
        <v>Yes</v>
      </c>
      <c r="AR90" s="5"/>
      <c r="AS90" s="5"/>
      <c r="AT90" s="5"/>
      <c r="AU90" s="5"/>
    </row>
    <row r="91" spans="1:47" x14ac:dyDescent="0.25">
      <c r="A91" s="5" t="str">
        <f ca="1">IFERROR(__xludf.DUMMYFUNCTION("""COMPUTED_VALUE"""),"Tiptop")</f>
        <v>Tiptop</v>
      </c>
      <c r="B91" s="5" t="str">
        <f ca="1">IFERROR(__xludf.DUMMYFUNCTION("""COMPUTED_VALUE"""),"Supreme Sevens Dice")</f>
        <v>Supreme Sevens Dice</v>
      </c>
      <c r="C91" s="5" t="str">
        <f ca="1">IFERROR(__xludf.DUMMYFUNCTION("""COMPUTED_VALUE"""),"UnicornSupremeSevensDice")</f>
        <v>UnicornSupremeSevensDice</v>
      </c>
      <c r="D91" s="6">
        <f ca="1">IFERROR(__xludf.DUMMYFUNCTION("""COMPUTED_VALUE"""),45847)</f>
        <v>45847</v>
      </c>
      <c r="E91" s="5" t="str">
        <f ca="1">IFERROR(__xludf.DUMMYFUNCTION("""COMPUTED_VALUE"""),"Dice Slots")</f>
        <v>Dice Slots</v>
      </c>
      <c r="F91" s="5">
        <f ca="1">IFERROR(__xludf.DUMMYFUNCTION("""COMPUTED_VALUE"""),10.4)</f>
        <v>10.4</v>
      </c>
      <c r="G91" s="5" t="str">
        <f ca="1">IFERROR(__xludf.DUMMYFUNCTION("""COMPUTED_VALUE"""),"5x3")</f>
        <v>5x3</v>
      </c>
      <c r="H91" s="5">
        <f ca="1">IFERROR(__xludf.DUMMYFUNCTION("""COMPUTED_VALUE"""),5)</f>
        <v>5</v>
      </c>
      <c r="I91" s="5">
        <f ca="1">IFERROR(__xludf.DUMMYFUNCTION("""COMPUTED_VALUE"""),5)</f>
        <v>5</v>
      </c>
      <c r="J91" s="5" t="str">
        <f ca="1">IFERROR(__xludf.DUMMYFUNCTION("""COMPUTED_VALUE"""),"96%")</f>
        <v>96%</v>
      </c>
      <c r="K91" s="5" t="str">
        <f ca="1">IFERROR(__xludf.DUMMYFUNCTION("""COMPUTED_VALUE"""),"Low")</f>
        <v>Low</v>
      </c>
      <c r="L91" s="5" t="str">
        <f ca="1">IFERROR(__xludf.DUMMYFUNCTION("""COMPUTED_VALUE"""),"10.5%")</f>
        <v>10.5%</v>
      </c>
      <c r="M91" s="5" t="str">
        <f ca="1">IFERROR(__xludf.DUMMYFUNCTION("""COMPUTED_VALUE"""),"x1000")</f>
        <v>x1000</v>
      </c>
      <c r="N91" s="5" t="str">
        <f ca="1">IFERROR(__xludf.DUMMYFUNCTION("""COMPUTED_VALUE"""),"0.05/100")</f>
        <v>0.05/100</v>
      </c>
      <c r="O91" s="5" t="str">
        <f ca="1">IFERROR(__xludf.DUMMYFUNCTION("""COMPUTED_VALUE"""),"No")</f>
        <v>No</v>
      </c>
      <c r="P91" s="5"/>
      <c r="Q91" s="7" t="str">
        <f ca="1">IFERROR(__xludf.DUMMYFUNCTION("""COMPUTED_VALUE"""),"https://gameserver-store-client-area.orbionlimited.com/Home/IntegrationGameLaunch/client-area?moneyType=0&amp;gameName=UnicornSupremeSevensDice&amp;platform=desktop&amp;languageCode=eng&amp;currency=EUR")</f>
        <v>https://gameserver-store-client-area.orbionlimited.com/Home/IntegrationGameLaunch/client-area?moneyType=0&amp;gameName=UnicornSupremeSevensDice&amp;platform=desktop&amp;languageCode=eng&amp;currency=EUR</v>
      </c>
      <c r="R91" s="5" t="str">
        <f ca="1">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1" s="5" t="str">
        <f ca="1">IFERROR(__xludf.DUMMYFUNCTION("""COMPUTED_VALUE"""),"Yes")</f>
        <v>Yes</v>
      </c>
      <c r="U91" s="5" t="str">
        <f ca="1">IFERROR(__xludf.DUMMYFUNCTION("""COMPUTED_VALUE"""),"Yes")</f>
        <v>Yes</v>
      </c>
      <c r="V91" s="5" t="str">
        <f ca="1">IFERROR(__xludf.DUMMYFUNCTION("""COMPUTED_VALUE"""),"Yes")</f>
        <v>Yes</v>
      </c>
      <c r="W91" s="5" t="str">
        <f ca="1">IFERROR(__xludf.DUMMYFUNCTION("""COMPUTED_VALUE"""),"Yes")</f>
        <v>Yes</v>
      </c>
      <c r="X91" s="5" t="str">
        <f ca="1">IFERROR(__xludf.DUMMYFUNCTION("""COMPUTED_VALUE"""),"Yes")</f>
        <v>Yes</v>
      </c>
      <c r="Y91" s="5" t="str">
        <f ca="1">IFERROR(__xludf.DUMMYFUNCTION("""COMPUTED_VALUE"""),"Yes")</f>
        <v>Yes</v>
      </c>
      <c r="Z91" s="5" t="str">
        <f ca="1">IFERROR(__xludf.DUMMYFUNCTION("""COMPUTED_VALUE"""),"Yes")</f>
        <v>Yes</v>
      </c>
      <c r="AA91" s="5" t="str">
        <f ca="1">IFERROR(__xludf.DUMMYFUNCTION("""COMPUTED_VALUE"""),"Yes")</f>
        <v>Yes</v>
      </c>
      <c r="AB91" s="5" t="str">
        <f ca="1">IFERROR(__xludf.DUMMYFUNCTION("""COMPUTED_VALUE"""),"Yes")</f>
        <v>Yes</v>
      </c>
      <c r="AC91" s="5" t="str">
        <f ca="1">IFERROR(__xludf.DUMMYFUNCTION("""COMPUTED_VALUE"""),"Yes")</f>
        <v>Yes</v>
      </c>
      <c r="AD91" s="5" t="str">
        <f ca="1">IFERROR(__xludf.DUMMYFUNCTION("""COMPUTED_VALUE"""),"Yes")</f>
        <v>Yes</v>
      </c>
      <c r="AE91" s="5" t="str">
        <f ca="1">IFERROR(__xludf.DUMMYFUNCTION("""COMPUTED_VALUE"""),"Yes")</f>
        <v>Yes</v>
      </c>
      <c r="AF91" s="5" t="str">
        <f ca="1">IFERROR(__xludf.DUMMYFUNCTION("""COMPUTED_VALUE"""),"Yes")</f>
        <v>Yes</v>
      </c>
      <c r="AG91" s="5" t="str">
        <f ca="1">IFERROR(__xludf.DUMMYFUNCTION("""COMPUTED_VALUE"""),"Yes")</f>
        <v>Yes</v>
      </c>
      <c r="AH91" s="5" t="str">
        <f ca="1">IFERROR(__xludf.DUMMYFUNCTION("""COMPUTED_VALUE"""),"Yes")</f>
        <v>Yes</v>
      </c>
      <c r="AI91" s="5" t="str">
        <f ca="1">IFERROR(__xludf.DUMMYFUNCTION("""COMPUTED_VALUE"""),"Yes")</f>
        <v>Yes</v>
      </c>
      <c r="AJ91" s="5" t="str">
        <f ca="1">IFERROR(__xludf.DUMMYFUNCTION("""COMPUTED_VALUE"""),"Yes")</f>
        <v>Yes</v>
      </c>
      <c r="AK91" s="5" t="str">
        <f ca="1">IFERROR(__xludf.DUMMYFUNCTION("""COMPUTED_VALUE"""),"Yes")</f>
        <v>Yes</v>
      </c>
      <c r="AL91" s="5" t="str">
        <f ca="1">IFERROR(__xludf.DUMMYFUNCTION("""COMPUTED_VALUE"""),"Yes")</f>
        <v>Yes</v>
      </c>
      <c r="AM91" s="5"/>
      <c r="AN91" s="5"/>
      <c r="AO91" s="5"/>
      <c r="AP91" s="5"/>
      <c r="AQ91" s="5" t="str">
        <f ca="1">IFERROR(__xludf.DUMMYFUNCTION("""COMPUTED_VALUE"""),"Yes")</f>
        <v>Yes</v>
      </c>
      <c r="AR91" s="5"/>
      <c r="AS91" s="5"/>
      <c r="AT91" s="5"/>
      <c r="AU91" s="5"/>
    </row>
    <row r="92" spans="1:47" x14ac:dyDescent="0.25">
      <c r="A92" s="5" t="str">
        <f ca="1">IFERROR(__xludf.DUMMYFUNCTION("""COMPUTED_VALUE"""),"Tiptop")</f>
        <v>Tiptop</v>
      </c>
      <c r="B92" s="5" t="str">
        <f ca="1">IFERROR(__xludf.DUMMYFUNCTION("""COMPUTED_VALUE"""),"Reely Wild Reels")</f>
        <v>Reely Wild Reels</v>
      </c>
      <c r="C92" s="5" t="str">
        <f ca="1">IFERROR(__xludf.DUMMYFUNCTION("""COMPUTED_VALUE"""),"UnicornReelyWildReels")</f>
        <v>UnicornReelyWildReels</v>
      </c>
      <c r="D92" s="6">
        <f ca="1">IFERROR(__xludf.DUMMYFUNCTION("""COMPUTED_VALUE"""),45853)</f>
        <v>45853</v>
      </c>
      <c r="E92" s="5" t="str">
        <f ca="1">IFERROR(__xludf.DUMMYFUNCTION("""COMPUTED_VALUE"""),"Slot")</f>
        <v>Slot</v>
      </c>
      <c r="F92" s="5">
        <f ca="1">IFERROR(__xludf.DUMMYFUNCTION("""COMPUTED_VALUE"""),10.5)</f>
        <v>10.5</v>
      </c>
      <c r="G92" s="5" t="str">
        <f ca="1">IFERROR(__xludf.DUMMYFUNCTION("""COMPUTED_VALUE"""),"5x3")</f>
        <v>5x3</v>
      </c>
      <c r="H92" s="5">
        <f ca="1">IFERROR(__xludf.DUMMYFUNCTION("""COMPUTED_VALUE"""),10)</f>
        <v>10</v>
      </c>
      <c r="I92" s="5">
        <f ca="1">IFERROR(__xludf.DUMMYFUNCTION("""COMPUTED_VALUE"""),10)</f>
        <v>10</v>
      </c>
      <c r="J92" s="5" t="str">
        <f ca="1">IFERROR(__xludf.DUMMYFUNCTION("""COMPUTED_VALUE"""),"96%")</f>
        <v>96%</v>
      </c>
      <c r="K92" s="5" t="str">
        <f ca="1">IFERROR(__xludf.DUMMYFUNCTION("""COMPUTED_VALUE"""),"Low")</f>
        <v>Low</v>
      </c>
      <c r="L92" s="5" t="str">
        <f ca="1">IFERROR(__xludf.DUMMYFUNCTION("""COMPUTED_VALUE"""),"12.79%")</f>
        <v>12.79%</v>
      </c>
      <c r="M92" s="5" t="str">
        <f ca="1">IFERROR(__xludf.DUMMYFUNCTION("""COMPUTED_VALUE"""),"x2000")</f>
        <v>x2000</v>
      </c>
      <c r="N92" s="5" t="str">
        <f ca="1">IFERROR(__xludf.DUMMYFUNCTION("""COMPUTED_VALUE"""),"0.1/100")</f>
        <v>0.1/100</v>
      </c>
      <c r="O92" s="5" t="str">
        <f ca="1">IFERROR(__xludf.DUMMYFUNCTION("""COMPUTED_VALUE"""),"No")</f>
        <v>No</v>
      </c>
      <c r="P92" s="5"/>
      <c r="Q92" s="7" t="str">
        <f ca="1">IFERROR(__xludf.DUMMYFUNCTION("""COMPUTED_VALUE"""),"https://gameserver-store-client-area.orbionlimited.com/Home/IntegrationGameLaunch/client-area?moneyType=0&amp;gameName=UnicornReelyWildReels&amp;platform=desktop&amp;languageCode=eng&amp;currency=EUR")</f>
        <v>https://gameserver-store-client-area.orbionlimited.com/Home/IntegrationGameLaunch/client-area?moneyType=0&amp;gameName=UnicornReelyWildReels&amp;platform=desktop&amp;languageCode=eng&amp;currency=EUR</v>
      </c>
      <c r="R92" s="5" t="str">
        <f ca="1">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S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2" s="5" t="str">
        <f ca="1">IFERROR(__xludf.DUMMYFUNCTION("""COMPUTED_VALUE"""),"Yes")</f>
        <v>Yes</v>
      </c>
      <c r="U92" s="5" t="str">
        <f ca="1">IFERROR(__xludf.DUMMYFUNCTION("""COMPUTED_VALUE"""),"Yes")</f>
        <v>Yes</v>
      </c>
      <c r="V92" s="5" t="str">
        <f ca="1">IFERROR(__xludf.DUMMYFUNCTION("""COMPUTED_VALUE"""),"Yes")</f>
        <v>Yes</v>
      </c>
      <c r="W92" s="5" t="str">
        <f ca="1">IFERROR(__xludf.DUMMYFUNCTION("""COMPUTED_VALUE"""),"Yes")</f>
        <v>Yes</v>
      </c>
      <c r="X92" s="5" t="str">
        <f ca="1">IFERROR(__xludf.DUMMYFUNCTION("""COMPUTED_VALUE"""),"Yes")</f>
        <v>Yes</v>
      </c>
      <c r="Y92" s="5" t="str">
        <f ca="1">IFERROR(__xludf.DUMMYFUNCTION("""COMPUTED_VALUE"""),"Yes")</f>
        <v>Yes</v>
      </c>
      <c r="Z92" s="5" t="str">
        <f ca="1">IFERROR(__xludf.DUMMYFUNCTION("""COMPUTED_VALUE"""),"Yes")</f>
        <v>Yes</v>
      </c>
      <c r="AA92" s="5" t="str">
        <f ca="1">IFERROR(__xludf.DUMMYFUNCTION("""COMPUTED_VALUE"""),"Yes")</f>
        <v>Yes</v>
      </c>
      <c r="AB92" s="5" t="str">
        <f ca="1">IFERROR(__xludf.DUMMYFUNCTION("""COMPUTED_VALUE"""),"Yes")</f>
        <v>Yes</v>
      </c>
      <c r="AC92" s="5" t="str">
        <f ca="1">IFERROR(__xludf.DUMMYFUNCTION("""COMPUTED_VALUE"""),"Yes")</f>
        <v>Yes</v>
      </c>
      <c r="AD92" s="5" t="str">
        <f ca="1">IFERROR(__xludf.DUMMYFUNCTION("""COMPUTED_VALUE"""),"Yes")</f>
        <v>Yes</v>
      </c>
      <c r="AE92" s="5" t="str">
        <f ca="1">IFERROR(__xludf.DUMMYFUNCTION("""COMPUTED_VALUE"""),"Yes")</f>
        <v>Yes</v>
      </c>
      <c r="AF92" s="5" t="str">
        <f ca="1">IFERROR(__xludf.DUMMYFUNCTION("""COMPUTED_VALUE"""),"Yes")</f>
        <v>Yes</v>
      </c>
      <c r="AG92" s="5" t="str">
        <f ca="1">IFERROR(__xludf.DUMMYFUNCTION("""COMPUTED_VALUE"""),"Yes")</f>
        <v>Yes</v>
      </c>
      <c r="AH92" s="5" t="str">
        <f ca="1">IFERROR(__xludf.DUMMYFUNCTION("""COMPUTED_VALUE"""),"Yes")</f>
        <v>Yes</v>
      </c>
      <c r="AI92" s="5" t="str">
        <f ca="1">IFERROR(__xludf.DUMMYFUNCTION("""COMPUTED_VALUE"""),"Yes")</f>
        <v>Yes</v>
      </c>
      <c r="AJ92" s="5" t="str">
        <f ca="1">IFERROR(__xludf.DUMMYFUNCTION("""COMPUTED_VALUE"""),"Yes")</f>
        <v>Yes</v>
      </c>
      <c r="AK92" s="5" t="str">
        <f ca="1">IFERROR(__xludf.DUMMYFUNCTION("""COMPUTED_VALUE"""),"Yes")</f>
        <v>Yes</v>
      </c>
      <c r="AL92" s="5" t="str">
        <f ca="1">IFERROR(__xludf.DUMMYFUNCTION("""COMPUTED_VALUE"""),"Yes")</f>
        <v>Yes</v>
      </c>
      <c r="AM92" s="5"/>
      <c r="AN92" s="5"/>
      <c r="AO92" s="5"/>
      <c r="AP92" s="5"/>
      <c r="AQ92" s="5" t="str">
        <f ca="1">IFERROR(__xludf.DUMMYFUNCTION("""COMPUTED_VALUE"""),"Yes")</f>
        <v>Yes</v>
      </c>
      <c r="AR92" s="5"/>
      <c r="AS92" s="5"/>
      <c r="AT92" s="5"/>
      <c r="AU92" s="5"/>
    </row>
    <row r="93" spans="1:47" x14ac:dyDescent="0.25">
      <c r="A93" s="5" t="str">
        <f ca="1">IFERROR(__xludf.DUMMYFUNCTION("""COMPUTED_VALUE"""),"Tiptop")</f>
        <v>Tiptop</v>
      </c>
      <c r="B93" s="5" t="str">
        <f ca="1">IFERROR(__xludf.DUMMYFUNCTION("""COMPUTED_VALUE"""),"Dynamite Escape")</f>
        <v>Dynamite Escape</v>
      </c>
      <c r="C93" s="5" t="str">
        <f ca="1">IFERROR(__xludf.DUMMYFUNCTION("""COMPUTED_VALUE"""),"UnicornDynamiteEscape")</f>
        <v>UnicornDynamiteEscape</v>
      </c>
      <c r="D93" s="6">
        <f ca="1">IFERROR(__xludf.DUMMYFUNCTION("""COMPUTED_VALUE"""),45862)</f>
        <v>45862</v>
      </c>
      <c r="E93" s="5" t="str">
        <f ca="1">IFERROR(__xludf.DUMMYFUNCTION("""COMPUTED_VALUE"""),"Slot")</f>
        <v>Slot</v>
      </c>
      <c r="F93" s="5">
        <f ca="1">IFERROR(__xludf.DUMMYFUNCTION("""COMPUTED_VALUE"""),13.7)</f>
        <v>13.7</v>
      </c>
      <c r="G93" s="5" t="str">
        <f ca="1">IFERROR(__xludf.DUMMYFUNCTION("""COMPUTED_VALUE"""),"5X3")</f>
        <v>5X3</v>
      </c>
      <c r="H93" s="5">
        <f ca="1">IFERROR(__xludf.DUMMYFUNCTION("""COMPUTED_VALUE"""),5)</f>
        <v>5</v>
      </c>
      <c r="I93" s="5">
        <f ca="1">IFERROR(__xludf.DUMMYFUNCTION("""COMPUTED_VALUE"""),5)</f>
        <v>5</v>
      </c>
      <c r="J93" s="5" t="str">
        <f ca="1">IFERROR(__xludf.DUMMYFUNCTION("""COMPUTED_VALUE"""),"96%")</f>
        <v>96%</v>
      </c>
      <c r="K93" s="5" t="str">
        <f ca="1">IFERROR(__xludf.DUMMYFUNCTION("""COMPUTED_VALUE"""),"Medium")</f>
        <v>Medium</v>
      </c>
      <c r="L93" s="5" t="str">
        <f ca="1">IFERROR(__xludf.DUMMYFUNCTION("""COMPUTED_VALUE"""),"19.17%")</f>
        <v>19.17%</v>
      </c>
      <c r="M93" s="5" t="str">
        <f ca="1">IFERROR(__xludf.DUMMYFUNCTION("""COMPUTED_VALUE"""),"x4000")</f>
        <v>x4000</v>
      </c>
      <c r="N93" s="5" t="str">
        <f ca="1">IFERROR(__xludf.DUMMYFUNCTION("""COMPUTED_VALUE"""),"0.05/100")</f>
        <v>0.05/100</v>
      </c>
      <c r="O93" s="5" t="str">
        <f ca="1">IFERROR(__xludf.DUMMYFUNCTION("""COMPUTED_VALUE"""),"No")</f>
        <v>No</v>
      </c>
      <c r="P93" s="5"/>
      <c r="Q93" s="7" t="str">
        <f ca="1">IFERROR(__xludf.DUMMYFUNCTION("""COMPUTED_VALUE"""),"https://gameserver-store-client-area.orbionlimited.com/Home/IntegrationGameLaunch/client-area?moneyType=0&amp;gameName=UnicornDynamiteEscape&amp;platform=desktop&amp;languageCode=eng&amp;currency=EUR")</f>
        <v>https://gameserver-store-client-area.orbionlimited.com/Home/IntegrationGameLaunch/client-area?moneyType=0&amp;gameName=UnicornDynamiteEscape&amp;platform=desktop&amp;languageCode=eng&amp;currency=EUR</v>
      </c>
      <c r="R93" s="5" t="str">
        <f ca="1">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S9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3" s="5" t="str">
        <f ca="1">IFERROR(__xludf.DUMMYFUNCTION("""COMPUTED_VALUE"""),"Yes")</f>
        <v>Yes</v>
      </c>
      <c r="U93" s="5" t="str">
        <f ca="1">IFERROR(__xludf.DUMMYFUNCTION("""COMPUTED_VALUE"""),"Yes")</f>
        <v>Yes</v>
      </c>
      <c r="V93" s="5" t="str">
        <f ca="1">IFERROR(__xludf.DUMMYFUNCTION("""COMPUTED_VALUE"""),"Yes")</f>
        <v>Yes</v>
      </c>
      <c r="W93" s="5" t="str">
        <f ca="1">IFERROR(__xludf.DUMMYFUNCTION("""COMPUTED_VALUE"""),"No")</f>
        <v>No</v>
      </c>
      <c r="X93" s="5" t="str">
        <f ca="1">IFERROR(__xludf.DUMMYFUNCTION("""COMPUTED_VALUE"""),"No")</f>
        <v>No</v>
      </c>
      <c r="Y93" s="5" t="str">
        <f ca="1">IFERROR(__xludf.DUMMYFUNCTION("""COMPUTED_VALUE"""),"No")</f>
        <v>No</v>
      </c>
      <c r="Z93" s="5" t="str">
        <f ca="1">IFERROR(__xludf.DUMMYFUNCTION("""COMPUTED_VALUE"""),"No")</f>
        <v>No</v>
      </c>
      <c r="AA93" s="5" t="str">
        <f ca="1">IFERROR(__xludf.DUMMYFUNCTION("""COMPUTED_VALUE"""),"No")</f>
        <v>No</v>
      </c>
      <c r="AB93" s="5" t="str">
        <f ca="1">IFERROR(__xludf.DUMMYFUNCTION("""COMPUTED_VALUE"""),"Yes")</f>
        <v>Yes</v>
      </c>
      <c r="AC93" s="5" t="str">
        <f ca="1">IFERROR(__xludf.DUMMYFUNCTION("""COMPUTED_VALUE"""),"Yes")</f>
        <v>Yes</v>
      </c>
      <c r="AD93" s="5" t="str">
        <f ca="1">IFERROR(__xludf.DUMMYFUNCTION("""COMPUTED_VALUE"""),"Yes")</f>
        <v>Yes</v>
      </c>
      <c r="AE93" s="5" t="str">
        <f ca="1">IFERROR(__xludf.DUMMYFUNCTION("""COMPUTED_VALUE"""),"Yes")</f>
        <v>Yes</v>
      </c>
      <c r="AF93" s="5" t="str">
        <f ca="1">IFERROR(__xludf.DUMMYFUNCTION("""COMPUTED_VALUE"""),"Yes")</f>
        <v>Yes</v>
      </c>
      <c r="AG93" s="5" t="str">
        <f ca="1">IFERROR(__xludf.DUMMYFUNCTION("""COMPUTED_VALUE"""),"No")</f>
        <v>No</v>
      </c>
      <c r="AH93" s="5" t="str">
        <f ca="1">IFERROR(__xludf.DUMMYFUNCTION("""COMPUTED_VALUE"""),"Yes")</f>
        <v>Yes</v>
      </c>
      <c r="AI93" s="5" t="str">
        <f ca="1">IFERROR(__xludf.DUMMYFUNCTION("""COMPUTED_VALUE"""),"No")</f>
        <v>No</v>
      </c>
      <c r="AJ93" s="5" t="str">
        <f ca="1">IFERROR(__xludf.DUMMYFUNCTION("""COMPUTED_VALUE"""),"No")</f>
        <v>No</v>
      </c>
      <c r="AK93" s="5" t="str">
        <f ca="1">IFERROR(__xludf.DUMMYFUNCTION("""COMPUTED_VALUE"""),"No")</f>
        <v>No</v>
      </c>
      <c r="AL93" s="5" t="str">
        <f ca="1">IFERROR(__xludf.DUMMYFUNCTION("""COMPUTED_VALUE"""),"No")</f>
        <v>No</v>
      </c>
      <c r="AM93" s="5"/>
      <c r="AN93" s="5"/>
      <c r="AO93" s="5" t="str">
        <f ca="1">IFERROR(__xludf.DUMMYFUNCTION("""COMPUTED_VALUE"""),"Yes")</f>
        <v>Yes</v>
      </c>
      <c r="AP93" s="5"/>
      <c r="AQ93" s="5" t="str">
        <f ca="1">IFERROR(__xludf.DUMMYFUNCTION("""COMPUTED_VALUE"""),"No")</f>
        <v>No</v>
      </c>
      <c r="AR93" s="5"/>
      <c r="AS93" s="5" t="str">
        <f ca="1">IFERROR(__xludf.DUMMYFUNCTION("""COMPUTED_VALUE"""),"Yes")</f>
        <v>Yes</v>
      </c>
      <c r="AT93" s="5" t="str">
        <f ca="1">IFERROR(__xludf.DUMMYFUNCTION("""COMPUTED_VALUE"""),"Yes")</f>
        <v>Yes</v>
      </c>
      <c r="AU93" s="5"/>
    </row>
    <row r="94" spans="1:47" x14ac:dyDescent="0.25">
      <c r="A94" s="5" t="str">
        <f ca="1">IFERROR(__xludf.DUMMYFUNCTION("""COMPUTED_VALUE"""),"Tiptop")</f>
        <v>Tiptop</v>
      </c>
      <c r="B94" s="5" t="str">
        <f ca="1">IFERROR(__xludf.DUMMYFUNCTION("""COMPUTED_VALUE"""),"Buffalo Sevens Jackpot")</f>
        <v>Buffalo Sevens Jackpot</v>
      </c>
      <c r="C94" s="5" t="str">
        <f ca="1">IFERROR(__xludf.DUMMYFUNCTION("""COMPUTED_VALUE"""),"UnicornBuffaloSevensJackpot")</f>
        <v>UnicornBuffaloSevensJackpot</v>
      </c>
      <c r="D94" s="6">
        <f ca="1">IFERROR(__xludf.DUMMYFUNCTION("""COMPUTED_VALUE"""),45869)</f>
        <v>45869</v>
      </c>
      <c r="E94" s="5" t="str">
        <f ca="1">IFERROR(__xludf.DUMMYFUNCTION("""COMPUTED_VALUE"""),"Slot")</f>
        <v>Slot</v>
      </c>
      <c r="F94" s="5">
        <f ca="1">IFERROR(__xludf.DUMMYFUNCTION("""COMPUTED_VALUE"""),11.8)</f>
        <v>11.8</v>
      </c>
      <c r="G94" s="5" t="str">
        <f ca="1">IFERROR(__xludf.DUMMYFUNCTION("""COMPUTED_VALUE"""),"5X3")</f>
        <v>5X3</v>
      </c>
      <c r="H94" s="5">
        <f ca="1">IFERROR(__xludf.DUMMYFUNCTION("""COMPUTED_VALUE"""),10)</f>
        <v>10</v>
      </c>
      <c r="I94" s="5">
        <f ca="1">IFERROR(__xludf.DUMMYFUNCTION("""COMPUTED_VALUE"""),10)</f>
        <v>10</v>
      </c>
      <c r="J94" s="5" t="str">
        <f ca="1">IFERROR(__xludf.DUMMYFUNCTION("""COMPUTED_VALUE"""),"96%")</f>
        <v>96%</v>
      </c>
      <c r="K94" s="5" t="str">
        <f ca="1">IFERROR(__xludf.DUMMYFUNCTION("""COMPUTED_VALUE"""),"Low")</f>
        <v>Low</v>
      </c>
      <c r="L94" s="5" t="str">
        <f ca="1">IFERROR(__xludf.DUMMYFUNCTION("""COMPUTED_VALUE"""),"9.08%")</f>
        <v>9.08%</v>
      </c>
      <c r="M94" s="5" t="str">
        <f ca="1">IFERROR(__xludf.DUMMYFUNCTION("""COMPUTED_VALUE"""),"x10000")</f>
        <v>x10000</v>
      </c>
      <c r="N94" s="5" t="str">
        <f ca="1">IFERROR(__xludf.DUMMYFUNCTION("""COMPUTED_VALUE"""),"0.1/100")</f>
        <v>0.1/100</v>
      </c>
      <c r="O94" s="5" t="str">
        <f ca="1">IFERROR(__xludf.DUMMYFUNCTION("""COMPUTED_VALUE"""),"No")</f>
        <v>No</v>
      </c>
      <c r="P94" s="5"/>
      <c r="Q94" s="7" t="str">
        <f ca="1">IFERROR(__xludf.DUMMYFUNCTION("""COMPUTED_VALUE"""),"https://gameserver-store-client-area.orbionlimited.com/Home/IntegrationGameLaunch/client-area?moneyType=0&amp;gameName=UnicornBuffaloSevensJackpot&amp;platform=desktop&amp;languageCode=eng&amp;currency=EUR")</f>
        <v>https://gameserver-store-client-area.orbionlimited.com/Home/IntegrationGameLaunch/client-area?moneyType=0&amp;gameName=UnicornBuffaloSevensJackpot&amp;platform=desktop&amp;languageCode=eng&amp;currency=EUR</v>
      </c>
      <c r="R94" s="5" t="str">
        <f ca="1">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4" s="5" t="str">
        <f ca="1">IFERROR(__xludf.DUMMYFUNCTION("""COMPUTED_VALUE"""),"Yes")</f>
        <v>Yes</v>
      </c>
      <c r="U94" s="5" t="str">
        <f ca="1">IFERROR(__xludf.DUMMYFUNCTION("""COMPUTED_VALUE"""),"Yes")</f>
        <v>Yes</v>
      </c>
      <c r="V94" s="5" t="str">
        <f ca="1">IFERROR(__xludf.DUMMYFUNCTION("""COMPUTED_VALUE"""),"Yes")</f>
        <v>Yes</v>
      </c>
      <c r="W94" s="5" t="str">
        <f ca="1">IFERROR(__xludf.DUMMYFUNCTION("""COMPUTED_VALUE"""),"No")</f>
        <v>No</v>
      </c>
      <c r="X94" s="5" t="str">
        <f ca="1">IFERROR(__xludf.DUMMYFUNCTION("""COMPUTED_VALUE"""),"No")</f>
        <v>No</v>
      </c>
      <c r="Y94" s="5" t="str">
        <f ca="1">IFERROR(__xludf.DUMMYFUNCTION("""COMPUTED_VALUE"""),"No")</f>
        <v>No</v>
      </c>
      <c r="Z94" s="5" t="str">
        <f ca="1">IFERROR(__xludf.DUMMYFUNCTION("""COMPUTED_VALUE"""),"No")</f>
        <v>No</v>
      </c>
      <c r="AA94" s="5" t="str">
        <f ca="1">IFERROR(__xludf.DUMMYFUNCTION("""COMPUTED_VALUE"""),"No")</f>
        <v>No</v>
      </c>
      <c r="AB94" s="5" t="str">
        <f ca="1">IFERROR(__xludf.DUMMYFUNCTION("""COMPUTED_VALUE"""),"Yes")</f>
        <v>Yes</v>
      </c>
      <c r="AC94" s="5" t="str">
        <f ca="1">IFERROR(__xludf.DUMMYFUNCTION("""COMPUTED_VALUE"""),"Yes")</f>
        <v>Yes</v>
      </c>
      <c r="AD94" s="5" t="str">
        <f ca="1">IFERROR(__xludf.DUMMYFUNCTION("""COMPUTED_VALUE"""),"Yes")</f>
        <v>Yes</v>
      </c>
      <c r="AE94" s="5" t="str">
        <f ca="1">IFERROR(__xludf.DUMMYFUNCTION("""COMPUTED_VALUE"""),"Yes")</f>
        <v>Yes</v>
      </c>
      <c r="AF94" s="5" t="str">
        <f ca="1">IFERROR(__xludf.DUMMYFUNCTION("""COMPUTED_VALUE"""),"Yes")</f>
        <v>Yes</v>
      </c>
      <c r="AG94" s="5" t="str">
        <f ca="1">IFERROR(__xludf.DUMMYFUNCTION("""COMPUTED_VALUE"""),"No")</f>
        <v>No</v>
      </c>
      <c r="AH94" s="5" t="str">
        <f ca="1">IFERROR(__xludf.DUMMYFUNCTION("""COMPUTED_VALUE"""),"Yes")</f>
        <v>Yes</v>
      </c>
      <c r="AI94" s="5" t="str">
        <f ca="1">IFERROR(__xludf.DUMMYFUNCTION("""COMPUTED_VALUE"""),"No")</f>
        <v>No</v>
      </c>
      <c r="AJ94" s="5" t="str">
        <f ca="1">IFERROR(__xludf.DUMMYFUNCTION("""COMPUTED_VALUE"""),"No")</f>
        <v>No</v>
      </c>
      <c r="AK94" s="5" t="str">
        <f ca="1">IFERROR(__xludf.DUMMYFUNCTION("""COMPUTED_VALUE"""),"No")</f>
        <v>No</v>
      </c>
      <c r="AL94" s="5" t="str">
        <f ca="1">IFERROR(__xludf.DUMMYFUNCTION("""COMPUTED_VALUE"""),"No")</f>
        <v>No</v>
      </c>
      <c r="AM94" s="5"/>
      <c r="AN94" s="5"/>
      <c r="AO94" s="5" t="str">
        <f ca="1">IFERROR(__xludf.DUMMYFUNCTION("""COMPUTED_VALUE"""),"Yes")</f>
        <v>Yes</v>
      </c>
      <c r="AP94" s="5"/>
      <c r="AQ94" s="5" t="str">
        <f ca="1">IFERROR(__xludf.DUMMYFUNCTION("""COMPUTED_VALUE"""),"No")</f>
        <v>No</v>
      </c>
      <c r="AR94" s="5"/>
      <c r="AS94" s="5" t="str">
        <f ca="1">IFERROR(__xludf.DUMMYFUNCTION("""COMPUTED_VALUE"""),"Yes")</f>
        <v>Yes</v>
      </c>
      <c r="AT94" s="5" t="str">
        <f ca="1">IFERROR(__xludf.DUMMYFUNCTION("""COMPUTED_VALUE"""),"Yes")</f>
        <v>Yes</v>
      </c>
      <c r="AU94" s="5"/>
    </row>
    <row r="95" spans="1:47" x14ac:dyDescent="0.25">
      <c r="A95" s="5" t="str">
        <f ca="1">IFERROR(__xludf.DUMMYFUNCTION("""COMPUTED_VALUE"""),"Tiptop")</f>
        <v>Tiptop</v>
      </c>
      <c r="B95" s="5" t="str">
        <f ca="1">IFERROR(__xludf.DUMMYFUNCTION("""COMPUTED_VALUE"""),"Scatter Kaching")</f>
        <v>Scatter Kaching</v>
      </c>
      <c r="C95" s="5" t="str">
        <f ca="1">IFERROR(__xludf.DUMMYFUNCTION("""COMPUTED_VALUE"""),"UnicornScatterKaChing")</f>
        <v>UnicornScatterKaChing</v>
      </c>
      <c r="D95" s="6">
        <f ca="1">IFERROR(__xludf.DUMMYFUNCTION("""COMPUTED_VALUE"""),45882)</f>
        <v>45882</v>
      </c>
      <c r="E95" s="5" t="str">
        <f ca="1">IFERROR(__xludf.DUMMYFUNCTION("""COMPUTED_VALUE"""),"Slot")</f>
        <v>Slot</v>
      </c>
      <c r="F95" s="5">
        <f ca="1">IFERROR(__xludf.DUMMYFUNCTION("""COMPUTED_VALUE"""),11.9)</f>
        <v>11.9</v>
      </c>
      <c r="G95" s="5" t="str">
        <f ca="1">IFERROR(__xludf.DUMMYFUNCTION("""COMPUTED_VALUE"""),"5X3")</f>
        <v>5X3</v>
      </c>
      <c r="H95" s="5">
        <f ca="1">IFERROR(__xludf.DUMMYFUNCTION("""COMPUTED_VALUE"""),10)</f>
        <v>10</v>
      </c>
      <c r="I95" s="5">
        <f ca="1">IFERROR(__xludf.DUMMYFUNCTION("""COMPUTED_VALUE"""),10)</f>
        <v>10</v>
      </c>
      <c r="J95" s="5" t="str">
        <f ca="1">IFERROR(__xludf.DUMMYFUNCTION("""COMPUTED_VALUE"""),"96%")</f>
        <v>96%</v>
      </c>
      <c r="K95" s="5" t="str">
        <f ca="1">IFERROR(__xludf.DUMMYFUNCTION("""COMPUTED_VALUE"""),"Low")</f>
        <v>Low</v>
      </c>
      <c r="L95" s="5" t="str">
        <f ca="1">IFERROR(__xludf.DUMMYFUNCTION("""COMPUTED_VALUE"""),"27.38%")</f>
        <v>27.38%</v>
      </c>
      <c r="M95" s="5" t="str">
        <f ca="1">IFERROR(__xludf.DUMMYFUNCTION("""COMPUTED_VALUE"""),"x10000")</f>
        <v>x10000</v>
      </c>
      <c r="N95" s="5" t="str">
        <f ca="1">IFERROR(__xludf.DUMMYFUNCTION("""COMPUTED_VALUE"""),"0.1/100")</f>
        <v>0.1/100</v>
      </c>
      <c r="O95" s="5" t="str">
        <f ca="1">IFERROR(__xludf.DUMMYFUNCTION("""COMPUTED_VALUE"""),"No")</f>
        <v>No</v>
      </c>
      <c r="P95" s="5"/>
      <c r="Q95" s="7" t="str">
        <f ca="1">IFERROR(__xludf.DUMMYFUNCTION("""COMPUTED_VALUE"""),"https://gameserver-store-client-area.orbionlimited.com/Home/IntegrationGameLaunch/client-area?moneyType=0&amp;gameName=UnicornScatterKaChing&amp;platform=desktop&amp;languageCode=eng&amp;currency=EUR")</f>
        <v>https://gameserver-store-client-area.orbionlimited.com/Home/IntegrationGameLaunch/client-area?moneyType=0&amp;gameName=UnicornScatterKaChing&amp;platform=desktop&amp;languageCode=eng&amp;currency=EUR</v>
      </c>
      <c r="R95" s="5" t="str">
        <f ca="1">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S9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5" s="5" t="str">
        <f ca="1">IFERROR(__xludf.DUMMYFUNCTION("""COMPUTED_VALUE"""),"Yes")</f>
        <v>Yes</v>
      </c>
      <c r="U95" s="5" t="str">
        <f ca="1">IFERROR(__xludf.DUMMYFUNCTION("""COMPUTED_VALUE"""),"Yes")</f>
        <v>Yes</v>
      </c>
      <c r="V95" s="5" t="str">
        <f ca="1">IFERROR(__xludf.DUMMYFUNCTION("""COMPUTED_VALUE"""),"Yes")</f>
        <v>Yes</v>
      </c>
      <c r="W95" s="5" t="str">
        <f ca="1">IFERROR(__xludf.DUMMYFUNCTION("""COMPUTED_VALUE"""),"No")</f>
        <v>No</v>
      </c>
      <c r="X95" s="5" t="str">
        <f ca="1">IFERROR(__xludf.DUMMYFUNCTION("""COMPUTED_VALUE"""),"No")</f>
        <v>No</v>
      </c>
      <c r="Y95" s="5" t="str">
        <f ca="1">IFERROR(__xludf.DUMMYFUNCTION("""COMPUTED_VALUE"""),"No")</f>
        <v>No</v>
      </c>
      <c r="Z95" s="5" t="str">
        <f ca="1">IFERROR(__xludf.DUMMYFUNCTION("""COMPUTED_VALUE"""),"No")</f>
        <v>No</v>
      </c>
      <c r="AA95" s="5" t="str">
        <f ca="1">IFERROR(__xludf.DUMMYFUNCTION("""COMPUTED_VALUE"""),"No")</f>
        <v>No</v>
      </c>
      <c r="AB95" s="5" t="str">
        <f ca="1">IFERROR(__xludf.DUMMYFUNCTION("""COMPUTED_VALUE"""),"Yes")</f>
        <v>Yes</v>
      </c>
      <c r="AC95" s="5" t="str">
        <f ca="1">IFERROR(__xludf.DUMMYFUNCTION("""COMPUTED_VALUE"""),"Yes")</f>
        <v>Yes</v>
      </c>
      <c r="AD95" s="5" t="str">
        <f ca="1">IFERROR(__xludf.DUMMYFUNCTION("""COMPUTED_VALUE"""),"Yes")</f>
        <v>Yes</v>
      </c>
      <c r="AE95" s="5" t="str">
        <f ca="1">IFERROR(__xludf.DUMMYFUNCTION("""COMPUTED_VALUE"""),"Yes")</f>
        <v>Yes</v>
      </c>
      <c r="AF95" s="5" t="str">
        <f ca="1">IFERROR(__xludf.DUMMYFUNCTION("""COMPUTED_VALUE"""),"Yes")</f>
        <v>Yes</v>
      </c>
      <c r="AG95" s="5" t="str">
        <f ca="1">IFERROR(__xludf.DUMMYFUNCTION("""COMPUTED_VALUE"""),"No")</f>
        <v>No</v>
      </c>
      <c r="AH95" s="5" t="str">
        <f ca="1">IFERROR(__xludf.DUMMYFUNCTION("""COMPUTED_VALUE"""),"Yes")</f>
        <v>Yes</v>
      </c>
      <c r="AI95" s="5" t="str">
        <f ca="1">IFERROR(__xludf.DUMMYFUNCTION("""COMPUTED_VALUE"""),"No")</f>
        <v>No</v>
      </c>
      <c r="AJ95" s="5" t="str">
        <f ca="1">IFERROR(__xludf.DUMMYFUNCTION("""COMPUTED_VALUE"""),"No")</f>
        <v>No</v>
      </c>
      <c r="AK95" s="5" t="str">
        <f ca="1">IFERROR(__xludf.DUMMYFUNCTION("""COMPUTED_VALUE"""),"No")</f>
        <v>No</v>
      </c>
      <c r="AL95" s="5" t="str">
        <f ca="1">IFERROR(__xludf.DUMMYFUNCTION("""COMPUTED_VALUE"""),"No")</f>
        <v>No</v>
      </c>
      <c r="AM95" s="5"/>
      <c r="AN95" s="5"/>
      <c r="AO95" s="5" t="str">
        <f ca="1">IFERROR(__xludf.DUMMYFUNCTION("""COMPUTED_VALUE"""),"Yes")</f>
        <v>Yes</v>
      </c>
      <c r="AP95" s="5"/>
      <c r="AQ95" s="5" t="str">
        <f ca="1">IFERROR(__xludf.DUMMYFUNCTION("""COMPUTED_VALUE"""),"No")</f>
        <v>No</v>
      </c>
      <c r="AR95" s="5"/>
      <c r="AS95" s="5" t="str">
        <f ca="1">IFERROR(__xludf.DUMMYFUNCTION("""COMPUTED_VALUE"""),"Yes")</f>
        <v>Yes</v>
      </c>
      <c r="AT95" s="5" t="str">
        <f ca="1">IFERROR(__xludf.DUMMYFUNCTION("""COMPUTED_VALUE"""),"Yes")</f>
        <v>Yes</v>
      </c>
      <c r="AU95" s="5"/>
    </row>
    <row r="96" spans="1:47" x14ac:dyDescent="0.25">
      <c r="A96" s="5" t="str">
        <f ca="1">IFERROR(__xludf.DUMMYFUNCTION("""COMPUTED_VALUE"""),"Tiptop")</f>
        <v>Tiptop</v>
      </c>
      <c r="B96" s="5" t="str">
        <f ca="1">IFERROR(__xludf.DUMMYFUNCTION("""COMPUTED_VALUE"""),"Fruit Play")</f>
        <v>Fruit Play</v>
      </c>
      <c r="C96" s="5" t="str">
        <f ca="1">IFERROR(__xludf.DUMMYFUNCTION("""COMPUTED_VALUE"""),"UnicornFruitPlay")</f>
        <v>UnicornFruitPlay</v>
      </c>
      <c r="D96" s="6">
        <f ca="1">IFERROR(__xludf.DUMMYFUNCTION("""COMPUTED_VALUE"""),45910)</f>
        <v>45910</v>
      </c>
      <c r="E96" s="5" t="str">
        <f ca="1">IFERROR(__xludf.DUMMYFUNCTION("""COMPUTED_VALUE"""),"Slot")</f>
        <v>Slot</v>
      </c>
      <c r="F96" s="5">
        <f ca="1">IFERROR(__xludf.DUMMYFUNCTION("""COMPUTED_VALUE"""),11.9)</f>
        <v>11.9</v>
      </c>
      <c r="G96" s="5" t="str">
        <f ca="1">IFERROR(__xludf.DUMMYFUNCTION("""COMPUTED_VALUE"""),"5X3")</f>
        <v>5X3</v>
      </c>
      <c r="H96" s="5">
        <f ca="1">IFERROR(__xludf.DUMMYFUNCTION("""COMPUTED_VALUE"""),10)</f>
        <v>10</v>
      </c>
      <c r="I96" s="5">
        <f ca="1">IFERROR(__xludf.DUMMYFUNCTION("""COMPUTED_VALUE"""),10)</f>
        <v>10</v>
      </c>
      <c r="J96" s="5" t="str">
        <f ca="1">IFERROR(__xludf.DUMMYFUNCTION("""COMPUTED_VALUE"""),"96%")</f>
        <v>96%</v>
      </c>
      <c r="K96" s="5" t="str">
        <f ca="1">IFERROR(__xludf.DUMMYFUNCTION("""COMPUTED_VALUE"""),"Low")</f>
        <v>Low</v>
      </c>
      <c r="L96" s="5" t="str">
        <f ca="1">IFERROR(__xludf.DUMMYFUNCTION("""COMPUTED_VALUE"""),"15.07%")</f>
        <v>15.07%</v>
      </c>
      <c r="M96" s="5" t="str">
        <f ca="1">IFERROR(__xludf.DUMMYFUNCTION("""COMPUTED_VALUE"""),"x10000")</f>
        <v>x10000</v>
      </c>
      <c r="N96" s="5" t="str">
        <f ca="1">IFERROR(__xludf.DUMMYFUNCTION("""COMPUTED_VALUE"""),"0.1/100")</f>
        <v>0.1/100</v>
      </c>
      <c r="O96" s="5" t="str">
        <f ca="1">IFERROR(__xludf.DUMMYFUNCTION("""COMPUTED_VALUE"""),"No")</f>
        <v>No</v>
      </c>
      <c r="P96" s="5"/>
      <c r="Q96" s="7" t="str">
        <f ca="1">IFERROR(__xludf.DUMMYFUNCTION("""COMPUTED_VALUE"""),"https://gameserver-store-client-area.orbionlimited.com/Home/IntegrationGameLaunch/client-area?moneyType=0&amp;gameName=UnicornFruitPlay&amp;platform=desktop&amp;languageCode=eng&amp;currency=EUR")</f>
        <v>https://gameserver-store-client-area.orbionlimited.com/Home/IntegrationGameLaunch/client-area?moneyType=0&amp;gameName=UnicornFruitPlay&amp;platform=desktop&amp;languageCode=eng&amp;currency=EUR</v>
      </c>
      <c r="R96" s="5" t="str">
        <f ca="1">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S9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6" s="5" t="str">
        <f ca="1">IFERROR(__xludf.DUMMYFUNCTION("""COMPUTED_VALUE"""),"Yes")</f>
        <v>Yes</v>
      </c>
      <c r="U96" s="5" t="str">
        <f ca="1">IFERROR(__xludf.DUMMYFUNCTION("""COMPUTED_VALUE"""),"Yes")</f>
        <v>Yes</v>
      </c>
      <c r="V96" s="5" t="str">
        <f ca="1">IFERROR(__xludf.DUMMYFUNCTION("""COMPUTED_VALUE"""),"Yes")</f>
        <v>Yes</v>
      </c>
      <c r="W96" s="5" t="str">
        <f ca="1">IFERROR(__xludf.DUMMYFUNCTION("""COMPUTED_VALUE"""),"No")</f>
        <v>No</v>
      </c>
      <c r="X96" s="5" t="str">
        <f ca="1">IFERROR(__xludf.DUMMYFUNCTION("""COMPUTED_VALUE"""),"No")</f>
        <v>No</v>
      </c>
      <c r="Y96" s="5" t="str">
        <f ca="1">IFERROR(__xludf.DUMMYFUNCTION("""COMPUTED_VALUE"""),"No")</f>
        <v>No</v>
      </c>
      <c r="Z96" s="5" t="str">
        <f ca="1">IFERROR(__xludf.DUMMYFUNCTION("""COMPUTED_VALUE"""),"No")</f>
        <v>No</v>
      </c>
      <c r="AA96" s="5" t="str">
        <f ca="1">IFERROR(__xludf.DUMMYFUNCTION("""COMPUTED_VALUE"""),"No")</f>
        <v>No</v>
      </c>
      <c r="AB96" s="5" t="str">
        <f ca="1">IFERROR(__xludf.DUMMYFUNCTION("""COMPUTED_VALUE"""),"Yes")</f>
        <v>Yes</v>
      </c>
      <c r="AC96" s="5" t="str">
        <f ca="1">IFERROR(__xludf.DUMMYFUNCTION("""COMPUTED_VALUE"""),"Yes")</f>
        <v>Yes</v>
      </c>
      <c r="AD96" s="5" t="str">
        <f ca="1">IFERROR(__xludf.DUMMYFUNCTION("""COMPUTED_VALUE"""),"Yes")</f>
        <v>Yes</v>
      </c>
      <c r="AE96" s="5" t="str">
        <f ca="1">IFERROR(__xludf.DUMMYFUNCTION("""COMPUTED_VALUE"""),"Yes")</f>
        <v>Yes</v>
      </c>
      <c r="AF96" s="5" t="str">
        <f ca="1">IFERROR(__xludf.DUMMYFUNCTION("""COMPUTED_VALUE"""),"Yes")</f>
        <v>Yes</v>
      </c>
      <c r="AG96" s="5" t="str">
        <f ca="1">IFERROR(__xludf.DUMMYFUNCTION("""COMPUTED_VALUE"""),"No")</f>
        <v>No</v>
      </c>
      <c r="AH96" s="5" t="str">
        <f ca="1">IFERROR(__xludf.DUMMYFUNCTION("""COMPUTED_VALUE"""),"Yes")</f>
        <v>Yes</v>
      </c>
      <c r="AI96" s="5" t="str">
        <f ca="1">IFERROR(__xludf.DUMMYFUNCTION("""COMPUTED_VALUE"""),"No")</f>
        <v>No</v>
      </c>
      <c r="AJ96" s="5" t="str">
        <f ca="1">IFERROR(__xludf.DUMMYFUNCTION("""COMPUTED_VALUE"""),"No")</f>
        <v>No</v>
      </c>
      <c r="AK96" s="5" t="str">
        <f ca="1">IFERROR(__xludf.DUMMYFUNCTION("""COMPUTED_VALUE"""),"No")</f>
        <v>No</v>
      </c>
      <c r="AL96" s="5" t="str">
        <f ca="1">IFERROR(__xludf.DUMMYFUNCTION("""COMPUTED_VALUE"""),"No")</f>
        <v>No</v>
      </c>
      <c r="AM96" s="5"/>
      <c r="AN96" s="5"/>
      <c r="AO96" s="5" t="str">
        <f ca="1">IFERROR(__xludf.DUMMYFUNCTION("""COMPUTED_VALUE"""),"Yes")</f>
        <v>Yes</v>
      </c>
      <c r="AP96" s="5"/>
      <c r="AQ96" s="5" t="str">
        <f ca="1">IFERROR(__xludf.DUMMYFUNCTION("""COMPUTED_VALUE"""),"No")</f>
        <v>No</v>
      </c>
      <c r="AR96" s="5"/>
      <c r="AS96" s="5" t="str">
        <f ca="1">IFERROR(__xludf.DUMMYFUNCTION("""COMPUTED_VALUE"""),"Yes")</f>
        <v>Yes</v>
      </c>
      <c r="AT96" s="5" t="str">
        <f ca="1">IFERROR(__xludf.DUMMYFUNCTION("""COMPUTED_VALUE"""),"Yes")</f>
        <v>Yes</v>
      </c>
      <c r="AU96" s="5"/>
    </row>
    <row r="97" spans="1:47" x14ac:dyDescent="0.25">
      <c r="A97" s="5" t="str">
        <f ca="1">IFERROR(__xludf.DUMMYFUNCTION("""COMPUTED_VALUE"""),"Tiptop")</f>
        <v>Tiptop</v>
      </c>
      <c r="B97" s="5" t="str">
        <f ca="1">IFERROR(__xludf.DUMMYFUNCTION("""COMPUTED_VALUE"""),"Fruit Island Jackpot")</f>
        <v>Fruit Island Jackpot</v>
      </c>
      <c r="C97" s="5" t="str">
        <f ca="1">IFERROR(__xludf.DUMMYFUNCTION("""COMPUTED_VALUE"""),"UnicornFruitIslandJackpot")</f>
        <v>UnicornFruitIslandJackpot</v>
      </c>
      <c r="D97" s="6">
        <f ca="1">IFERROR(__xludf.DUMMYFUNCTION("""COMPUTED_VALUE"""),45896)</f>
        <v>45896</v>
      </c>
      <c r="E97" s="5" t="str">
        <f ca="1">IFERROR(__xludf.DUMMYFUNCTION("""COMPUTED_VALUE"""),"Slot")</f>
        <v>Slot</v>
      </c>
      <c r="F97" s="5">
        <f ca="1">IFERROR(__xludf.DUMMYFUNCTION("""COMPUTED_VALUE"""),10.8)</f>
        <v>10.8</v>
      </c>
      <c r="G97" s="5" t="str">
        <f ca="1">IFERROR(__xludf.DUMMYFUNCTION("""COMPUTED_VALUE"""),"5X3")</f>
        <v>5X3</v>
      </c>
      <c r="H97" s="5">
        <f ca="1">IFERROR(__xludf.DUMMYFUNCTION("""COMPUTED_VALUE"""),5)</f>
        <v>5</v>
      </c>
      <c r="I97" s="5">
        <f ca="1">IFERROR(__xludf.DUMMYFUNCTION("""COMPUTED_VALUE"""),5)</f>
        <v>5</v>
      </c>
      <c r="J97" s="5" t="str">
        <f ca="1">IFERROR(__xludf.DUMMYFUNCTION("""COMPUTED_VALUE"""),"96%")</f>
        <v>96%</v>
      </c>
      <c r="K97" s="5" t="str">
        <f ca="1">IFERROR(__xludf.DUMMYFUNCTION("""COMPUTED_VALUE"""),"Low")</f>
        <v>Low</v>
      </c>
      <c r="L97" s="5" t="str">
        <f ca="1">IFERROR(__xludf.DUMMYFUNCTION("""COMPUTED_VALUE"""),"10.39%")</f>
        <v>10.39%</v>
      </c>
      <c r="M97" s="5" t="str">
        <f ca="1">IFERROR(__xludf.DUMMYFUNCTION("""COMPUTED_VALUE"""),"x10000")</f>
        <v>x10000</v>
      </c>
      <c r="N97" s="5" t="str">
        <f ca="1">IFERROR(__xludf.DUMMYFUNCTION("""COMPUTED_VALUE"""),"0.05/100")</f>
        <v>0.05/100</v>
      </c>
      <c r="O97" s="5" t="str">
        <f ca="1">IFERROR(__xludf.DUMMYFUNCTION("""COMPUTED_VALUE"""),"No")</f>
        <v>No</v>
      </c>
      <c r="P97" s="5"/>
      <c r="Q97" s="7" t="str">
        <f ca="1">IFERROR(__xludf.DUMMYFUNCTION("""COMPUTED_VALUE"""),"https://gameserver-store-client-area.orbionlimited.com/Home/IntegrationGameLaunch/client-area?moneyType=0&amp;gameName=UnicornFruitIslandJackpot&amp;platform=desktop&amp;languageCode=eng&amp;currency=EUR")</f>
        <v>https://gameserver-store-client-area.orbionlimited.com/Home/IntegrationGameLaunch/client-area?moneyType=0&amp;gameName=UnicornFruitIslandJackpot&amp;platform=desktop&amp;languageCode=eng&amp;currency=EUR</v>
      </c>
      <c r="R97" s="5" t="str">
        <f ca="1">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S9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7" s="5" t="str">
        <f ca="1">IFERROR(__xludf.DUMMYFUNCTION("""COMPUTED_VALUE"""),"Yes")</f>
        <v>Yes</v>
      </c>
      <c r="U97" s="5" t="str">
        <f ca="1">IFERROR(__xludf.DUMMYFUNCTION("""COMPUTED_VALUE"""),"Yes")</f>
        <v>Yes</v>
      </c>
      <c r="V97" s="5" t="str">
        <f ca="1">IFERROR(__xludf.DUMMYFUNCTION("""COMPUTED_VALUE"""),"Yes")</f>
        <v>Yes</v>
      </c>
      <c r="W97" s="5" t="str">
        <f ca="1">IFERROR(__xludf.DUMMYFUNCTION("""COMPUTED_VALUE"""),"No")</f>
        <v>No</v>
      </c>
      <c r="X97" s="5" t="str">
        <f ca="1">IFERROR(__xludf.DUMMYFUNCTION("""COMPUTED_VALUE"""),"No")</f>
        <v>No</v>
      </c>
      <c r="Y97" s="5" t="str">
        <f ca="1">IFERROR(__xludf.DUMMYFUNCTION("""COMPUTED_VALUE"""),"No")</f>
        <v>No</v>
      </c>
      <c r="Z97" s="5" t="str">
        <f ca="1">IFERROR(__xludf.DUMMYFUNCTION("""COMPUTED_VALUE"""),"No")</f>
        <v>No</v>
      </c>
      <c r="AA97" s="5" t="str">
        <f ca="1">IFERROR(__xludf.DUMMYFUNCTION("""COMPUTED_VALUE"""),"No")</f>
        <v>No</v>
      </c>
      <c r="AB97" s="5" t="str">
        <f ca="1">IFERROR(__xludf.DUMMYFUNCTION("""COMPUTED_VALUE"""),"Yes")</f>
        <v>Yes</v>
      </c>
      <c r="AC97" s="5" t="str">
        <f ca="1">IFERROR(__xludf.DUMMYFUNCTION("""COMPUTED_VALUE"""),"Yes")</f>
        <v>Yes</v>
      </c>
      <c r="AD97" s="5" t="str">
        <f ca="1">IFERROR(__xludf.DUMMYFUNCTION("""COMPUTED_VALUE"""),"Yes")</f>
        <v>Yes</v>
      </c>
      <c r="AE97" s="5" t="str">
        <f ca="1">IFERROR(__xludf.DUMMYFUNCTION("""COMPUTED_VALUE"""),"Yes")</f>
        <v>Yes</v>
      </c>
      <c r="AF97" s="5" t="str">
        <f ca="1">IFERROR(__xludf.DUMMYFUNCTION("""COMPUTED_VALUE"""),"Yes")</f>
        <v>Yes</v>
      </c>
      <c r="AG97" s="5" t="str">
        <f ca="1">IFERROR(__xludf.DUMMYFUNCTION("""COMPUTED_VALUE"""),"No")</f>
        <v>No</v>
      </c>
      <c r="AH97" s="5" t="str">
        <f ca="1">IFERROR(__xludf.DUMMYFUNCTION("""COMPUTED_VALUE"""),"Yes")</f>
        <v>Yes</v>
      </c>
      <c r="AI97" s="5" t="str">
        <f ca="1">IFERROR(__xludf.DUMMYFUNCTION("""COMPUTED_VALUE"""),"No")</f>
        <v>No</v>
      </c>
      <c r="AJ97" s="5" t="str">
        <f ca="1">IFERROR(__xludf.DUMMYFUNCTION("""COMPUTED_VALUE"""),"No")</f>
        <v>No</v>
      </c>
      <c r="AK97" s="5" t="str">
        <f ca="1">IFERROR(__xludf.DUMMYFUNCTION("""COMPUTED_VALUE"""),"No")</f>
        <v>No</v>
      </c>
      <c r="AL97" s="5" t="str">
        <f ca="1">IFERROR(__xludf.DUMMYFUNCTION("""COMPUTED_VALUE"""),"No")</f>
        <v>No</v>
      </c>
      <c r="AM97" s="5"/>
      <c r="AN97" s="5"/>
      <c r="AO97" s="5" t="str">
        <f ca="1">IFERROR(__xludf.DUMMYFUNCTION("""COMPUTED_VALUE"""),"Yes")</f>
        <v>Yes</v>
      </c>
      <c r="AP97" s="5"/>
      <c r="AQ97" s="5" t="str">
        <f ca="1">IFERROR(__xludf.DUMMYFUNCTION("""COMPUTED_VALUE"""),"No")</f>
        <v>No</v>
      </c>
      <c r="AR97" s="5"/>
      <c r="AS97" s="5" t="str">
        <f ca="1">IFERROR(__xludf.DUMMYFUNCTION("""COMPUTED_VALUE"""),"Yes")</f>
        <v>Yes</v>
      </c>
      <c r="AT97" s="5" t="str">
        <f ca="1">IFERROR(__xludf.DUMMYFUNCTION("""COMPUTED_VALUE"""),"Yes")</f>
        <v>Yes</v>
      </c>
      <c r="AU97" s="5"/>
    </row>
    <row r="98" spans="1:47" x14ac:dyDescent="0.25">
      <c r="A98" s="5" t="str">
        <f ca="1">IFERROR(__xludf.DUMMYFUNCTION("""COMPUTED_VALUE"""),"Tiptop")</f>
        <v>Tiptop</v>
      </c>
      <c r="B98" s="5" t="str">
        <f ca="1">IFERROR(__xludf.DUMMYFUNCTION("""COMPUTED_VALUE"""),"Collect Call")</f>
        <v>Collect Call</v>
      </c>
      <c r="C98" s="5" t="str">
        <f ca="1">IFERROR(__xludf.DUMMYFUNCTION("""COMPUTED_VALUE"""),"UnicornCollectCall")</f>
        <v>UnicornCollectCall</v>
      </c>
      <c r="D98" s="6">
        <f ca="1">IFERROR(__xludf.DUMMYFUNCTION("""COMPUTED_VALUE"""),45923)</f>
        <v>45923</v>
      </c>
      <c r="E98" s="5" t="str">
        <f ca="1">IFERROR(__xludf.DUMMYFUNCTION("""COMPUTED_VALUE"""),"Slot")</f>
        <v>Slot</v>
      </c>
      <c r="F98" s="5">
        <f ca="1">IFERROR(__xludf.DUMMYFUNCTION("""COMPUTED_VALUE"""),13)</f>
        <v>13</v>
      </c>
      <c r="G98" s="5" t="str">
        <f ca="1">IFERROR(__xludf.DUMMYFUNCTION("""COMPUTED_VALUE"""),"5X4")</f>
        <v>5X4</v>
      </c>
      <c r="H98" s="5">
        <f ca="1">IFERROR(__xludf.DUMMYFUNCTION("""COMPUTED_VALUE"""),40)</f>
        <v>40</v>
      </c>
      <c r="I98" s="5">
        <f ca="1">IFERROR(__xludf.DUMMYFUNCTION("""COMPUTED_VALUE"""),40)</f>
        <v>40</v>
      </c>
      <c r="J98" s="5" t="str">
        <f ca="1">IFERROR(__xludf.DUMMYFUNCTION("""COMPUTED_VALUE"""),"96%")</f>
        <v>96%</v>
      </c>
      <c r="K98" s="5" t="str">
        <f ca="1">IFERROR(__xludf.DUMMYFUNCTION("""COMPUTED_VALUE"""),"Low")</f>
        <v>Low</v>
      </c>
      <c r="L98" s="5" t="str">
        <f ca="1">IFERROR(__xludf.DUMMYFUNCTION("""COMPUTED_VALUE"""),"13.69%")</f>
        <v>13.69%</v>
      </c>
      <c r="M98" s="5" t="str">
        <f ca="1">IFERROR(__xludf.DUMMYFUNCTION("""COMPUTED_VALUE"""),"x1000")</f>
        <v>x1000</v>
      </c>
      <c r="N98" s="5" t="str">
        <f ca="1">IFERROR(__xludf.DUMMYFUNCTION("""COMPUTED_VALUE"""),"0.4/100")</f>
        <v>0.4/100</v>
      </c>
      <c r="O98" s="5" t="str">
        <f ca="1">IFERROR(__xludf.DUMMYFUNCTION("""COMPUTED_VALUE"""),"No")</f>
        <v>No</v>
      </c>
      <c r="P98" s="5"/>
      <c r="Q98" s="7" t="str">
        <f ca="1">IFERROR(__xludf.DUMMYFUNCTION("""COMPUTED_VALUE"""),"https://gameserver-store-client-area.orbionlimited.com/Home/IntegrationGameLaunch/client-area?moneyType=0&amp;gameName=UnicornCollectCall&amp;platform=desktop&amp;languageCode=eng&amp;currency=EUR")</f>
        <v>https://gameserver-store-client-area.orbionlimited.com/Home/IntegrationGameLaunch/client-area?moneyType=0&amp;gameName=UnicornCollectCall&amp;platform=desktop&amp;languageCode=eng&amp;currency=EUR</v>
      </c>
      <c r="R98" s="5" t="str">
        <f ca="1">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S9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8" s="5" t="str">
        <f ca="1">IFERROR(__xludf.DUMMYFUNCTION("""COMPUTED_VALUE"""),"Yes")</f>
        <v>Yes</v>
      </c>
      <c r="U98" s="5" t="str">
        <f ca="1">IFERROR(__xludf.DUMMYFUNCTION("""COMPUTED_VALUE"""),"Yes")</f>
        <v>Yes</v>
      </c>
      <c r="V98" s="5" t="str">
        <f ca="1">IFERROR(__xludf.DUMMYFUNCTION("""COMPUTED_VALUE"""),"Yes")</f>
        <v>Yes</v>
      </c>
      <c r="W98" s="5" t="str">
        <f ca="1">IFERROR(__xludf.DUMMYFUNCTION("""COMPUTED_VALUE"""),"No")</f>
        <v>No</v>
      </c>
      <c r="X98" s="5" t="str">
        <f ca="1">IFERROR(__xludf.DUMMYFUNCTION("""COMPUTED_VALUE"""),"No")</f>
        <v>No</v>
      </c>
      <c r="Y98" s="5" t="str">
        <f ca="1">IFERROR(__xludf.DUMMYFUNCTION("""COMPUTED_VALUE"""),"No")</f>
        <v>No</v>
      </c>
      <c r="Z98" s="5" t="str">
        <f ca="1">IFERROR(__xludf.DUMMYFUNCTION("""COMPUTED_VALUE"""),"No")</f>
        <v>No</v>
      </c>
      <c r="AA98" s="5" t="str">
        <f ca="1">IFERROR(__xludf.DUMMYFUNCTION("""COMPUTED_VALUE"""),"No")</f>
        <v>No</v>
      </c>
      <c r="AB98" s="5" t="str">
        <f ca="1">IFERROR(__xludf.DUMMYFUNCTION("""COMPUTED_VALUE"""),"Yes")</f>
        <v>Yes</v>
      </c>
      <c r="AC98" s="5" t="str">
        <f ca="1">IFERROR(__xludf.DUMMYFUNCTION("""COMPUTED_VALUE"""),"Yes")</f>
        <v>Yes</v>
      </c>
      <c r="AD98" s="5" t="str">
        <f ca="1">IFERROR(__xludf.DUMMYFUNCTION("""COMPUTED_VALUE"""),"Yes")</f>
        <v>Yes</v>
      </c>
      <c r="AE98" s="5" t="str">
        <f ca="1">IFERROR(__xludf.DUMMYFUNCTION("""COMPUTED_VALUE"""),"Yes")</f>
        <v>Yes</v>
      </c>
      <c r="AF98" s="5" t="str">
        <f ca="1">IFERROR(__xludf.DUMMYFUNCTION("""COMPUTED_VALUE"""),"Yes")</f>
        <v>Yes</v>
      </c>
      <c r="AG98" s="5" t="str">
        <f ca="1">IFERROR(__xludf.DUMMYFUNCTION("""COMPUTED_VALUE"""),"No")</f>
        <v>No</v>
      </c>
      <c r="AH98" s="5" t="str">
        <f ca="1">IFERROR(__xludf.DUMMYFUNCTION("""COMPUTED_VALUE"""),"Yes")</f>
        <v>Yes</v>
      </c>
      <c r="AI98" s="5" t="str">
        <f ca="1">IFERROR(__xludf.DUMMYFUNCTION("""COMPUTED_VALUE"""),"No")</f>
        <v>No</v>
      </c>
      <c r="AJ98" s="5" t="str">
        <f ca="1">IFERROR(__xludf.DUMMYFUNCTION("""COMPUTED_VALUE"""),"No")</f>
        <v>No</v>
      </c>
      <c r="AK98" s="5" t="str">
        <f ca="1">IFERROR(__xludf.DUMMYFUNCTION("""COMPUTED_VALUE"""),"No")</f>
        <v>No</v>
      </c>
      <c r="AL98" s="5" t="str">
        <f ca="1">IFERROR(__xludf.DUMMYFUNCTION("""COMPUTED_VALUE"""),"No")</f>
        <v>No</v>
      </c>
      <c r="AM98" s="5" t="str">
        <f ca="1">IFERROR(__xludf.DUMMYFUNCTION("""COMPUTED_VALUE"""),"No")</f>
        <v>No</v>
      </c>
      <c r="AN98" s="5" t="str">
        <f ca="1">IFERROR(__xludf.DUMMYFUNCTION("""COMPUTED_VALUE"""),"No")</f>
        <v>No</v>
      </c>
      <c r="AO98" s="5" t="str">
        <f ca="1">IFERROR(__xludf.DUMMYFUNCTION("""COMPUTED_VALUE"""),"Yes")</f>
        <v>Yes</v>
      </c>
      <c r="AP98" s="5" t="str">
        <f ca="1">IFERROR(__xludf.DUMMYFUNCTION("""COMPUTED_VALUE"""),"No")</f>
        <v>No</v>
      </c>
      <c r="AQ98" s="5" t="str">
        <f ca="1">IFERROR(__xludf.DUMMYFUNCTION("""COMPUTED_VALUE"""),"No")</f>
        <v>No</v>
      </c>
      <c r="AR98" s="5" t="str">
        <f ca="1">IFERROR(__xludf.DUMMYFUNCTION("""COMPUTED_VALUE"""),"No")</f>
        <v>No</v>
      </c>
      <c r="AS98" s="5" t="str">
        <f ca="1">IFERROR(__xludf.DUMMYFUNCTION("""COMPUTED_VALUE"""),"Yes")</f>
        <v>Yes</v>
      </c>
      <c r="AT98" s="5" t="str">
        <f ca="1">IFERROR(__xludf.DUMMYFUNCTION("""COMPUTED_VALUE"""),"Yes")</f>
        <v>Yes</v>
      </c>
      <c r="AU98" s="5"/>
    </row>
    <row r="99" spans="1:47" x14ac:dyDescent="0.25">
      <c r="A99" s="5" t="str">
        <f ca="1">IFERROR(__xludf.DUMMYFUNCTION("""COMPUTED_VALUE"""),"Tiptop")</f>
        <v>Tiptop</v>
      </c>
      <c r="B99" s="5" t="str">
        <f ca="1">IFERROR(__xludf.DUMMYFUNCTION("""COMPUTED_VALUE"""),"Coyote Sevens Halloween")</f>
        <v>Coyote Sevens Halloween</v>
      </c>
      <c r="C99" s="5" t="str">
        <f ca="1">IFERROR(__xludf.DUMMYFUNCTION("""COMPUTED_VALUE"""),"UnicornCoyoteSevensHalloween")</f>
        <v>UnicornCoyoteSevensHalloween</v>
      </c>
      <c r="D99" s="6">
        <f ca="1">IFERROR(__xludf.DUMMYFUNCTION("""COMPUTED_VALUE"""),45916)</f>
        <v>45916</v>
      </c>
      <c r="E99" s="5" t="str">
        <f ca="1">IFERROR(__xludf.DUMMYFUNCTION("""COMPUTED_VALUE"""),"Slot")</f>
        <v>Slot</v>
      </c>
      <c r="F99" s="5">
        <f ca="1">IFERROR(__xludf.DUMMYFUNCTION("""COMPUTED_VALUE"""),11.8)</f>
        <v>11.8</v>
      </c>
      <c r="G99" s="5" t="str">
        <f ca="1">IFERROR(__xludf.DUMMYFUNCTION("""COMPUTED_VALUE"""),"5X3")</f>
        <v>5X3</v>
      </c>
      <c r="H99" s="5">
        <f ca="1">IFERROR(__xludf.DUMMYFUNCTION("""COMPUTED_VALUE"""),5)</f>
        <v>5</v>
      </c>
      <c r="I99" s="5">
        <f ca="1">IFERROR(__xludf.DUMMYFUNCTION("""COMPUTED_VALUE"""),5)</f>
        <v>5</v>
      </c>
      <c r="J99" s="5" t="str">
        <f ca="1">IFERROR(__xludf.DUMMYFUNCTION("""COMPUTED_VALUE"""),"96%")</f>
        <v>96%</v>
      </c>
      <c r="K99" s="5" t="str">
        <f ca="1">IFERROR(__xludf.DUMMYFUNCTION("""COMPUTED_VALUE"""),"Medium")</f>
        <v>Medium</v>
      </c>
      <c r="L99" s="5" t="str">
        <f ca="1">IFERROR(__xludf.DUMMYFUNCTION("""COMPUTED_VALUE"""),"10.1%")</f>
        <v>10.1%</v>
      </c>
      <c r="M99" s="5" t="str">
        <f ca="1">IFERROR(__xludf.DUMMYFUNCTION("""COMPUTED_VALUE"""),"x1000")</f>
        <v>x1000</v>
      </c>
      <c r="N99" s="5" t="str">
        <f ca="1">IFERROR(__xludf.DUMMYFUNCTION("""COMPUTED_VALUE"""),"0.05/100")</f>
        <v>0.05/100</v>
      </c>
      <c r="O99" s="5" t="str">
        <f ca="1">IFERROR(__xludf.DUMMYFUNCTION("""COMPUTED_VALUE"""),"No")</f>
        <v>No</v>
      </c>
      <c r="P99" s="5"/>
      <c r="Q99" s="7" t="str">
        <f ca="1">IFERROR(__xludf.DUMMYFUNCTION("""COMPUTED_VALUE"""),"https://gameserver-store-client-area.orbionlimited.com/Home/IntegrationGameLaunch/client-area?moneyType=0&amp;gameName=UnicornCoyoteSevensHalloween&amp;platform=desktop&amp;languageCode=eng&amp;currency=EUR")</f>
        <v>https://gameserver-store-client-area.orbionlimited.com/Home/IntegrationGameLaunch/client-area?moneyType=0&amp;gameName=UnicornCoyoteSevensHalloween&amp;platform=desktop&amp;languageCode=eng&amp;currency=EUR</v>
      </c>
      <c r="R99" s="5" t="str">
        <f ca="1">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S9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9" s="5" t="str">
        <f ca="1">IFERROR(__xludf.DUMMYFUNCTION("""COMPUTED_VALUE"""),"Yes")</f>
        <v>Yes</v>
      </c>
      <c r="U99" s="5" t="str">
        <f ca="1">IFERROR(__xludf.DUMMYFUNCTION("""COMPUTED_VALUE"""),"Yes")</f>
        <v>Yes</v>
      </c>
      <c r="V99" s="5" t="str">
        <f ca="1">IFERROR(__xludf.DUMMYFUNCTION("""COMPUTED_VALUE"""),"Yes")</f>
        <v>Yes</v>
      </c>
      <c r="W99" s="5" t="str">
        <f ca="1">IFERROR(__xludf.DUMMYFUNCTION("""COMPUTED_VALUE"""),"No")</f>
        <v>No</v>
      </c>
      <c r="X99" s="5" t="str">
        <f ca="1">IFERROR(__xludf.DUMMYFUNCTION("""COMPUTED_VALUE"""),"No")</f>
        <v>No</v>
      </c>
      <c r="Y99" s="5" t="str">
        <f ca="1">IFERROR(__xludf.DUMMYFUNCTION("""COMPUTED_VALUE"""),"No")</f>
        <v>No</v>
      </c>
      <c r="Z99" s="5" t="str">
        <f ca="1">IFERROR(__xludf.DUMMYFUNCTION("""COMPUTED_VALUE"""),"No")</f>
        <v>No</v>
      </c>
      <c r="AA99" s="5" t="str">
        <f ca="1">IFERROR(__xludf.DUMMYFUNCTION("""COMPUTED_VALUE"""),"No")</f>
        <v>No</v>
      </c>
      <c r="AB99" s="5" t="str">
        <f ca="1">IFERROR(__xludf.DUMMYFUNCTION("""COMPUTED_VALUE"""),"Yes")</f>
        <v>Yes</v>
      </c>
      <c r="AC99" s="5" t="str">
        <f ca="1">IFERROR(__xludf.DUMMYFUNCTION("""COMPUTED_VALUE"""),"Yes")</f>
        <v>Yes</v>
      </c>
      <c r="AD99" s="5" t="str">
        <f ca="1">IFERROR(__xludf.DUMMYFUNCTION("""COMPUTED_VALUE"""),"Yes")</f>
        <v>Yes</v>
      </c>
      <c r="AE99" s="5" t="str">
        <f ca="1">IFERROR(__xludf.DUMMYFUNCTION("""COMPUTED_VALUE"""),"Yes")</f>
        <v>Yes</v>
      </c>
      <c r="AF99" s="5" t="str">
        <f ca="1">IFERROR(__xludf.DUMMYFUNCTION("""COMPUTED_VALUE"""),"Yes")</f>
        <v>Yes</v>
      </c>
      <c r="AG99" s="5" t="str">
        <f ca="1">IFERROR(__xludf.DUMMYFUNCTION("""COMPUTED_VALUE"""),"No")</f>
        <v>No</v>
      </c>
      <c r="AH99" s="5" t="str">
        <f ca="1">IFERROR(__xludf.DUMMYFUNCTION("""COMPUTED_VALUE"""),"Yes")</f>
        <v>Yes</v>
      </c>
      <c r="AI99" s="5" t="str">
        <f ca="1">IFERROR(__xludf.DUMMYFUNCTION("""COMPUTED_VALUE"""),"No")</f>
        <v>No</v>
      </c>
      <c r="AJ99" s="5" t="str">
        <f ca="1">IFERROR(__xludf.DUMMYFUNCTION("""COMPUTED_VALUE"""),"No")</f>
        <v>No</v>
      </c>
      <c r="AK99" s="5" t="str">
        <f ca="1">IFERROR(__xludf.DUMMYFUNCTION("""COMPUTED_VALUE"""),"No")</f>
        <v>No</v>
      </c>
      <c r="AL99" s="5" t="str">
        <f ca="1">IFERROR(__xludf.DUMMYFUNCTION("""COMPUTED_VALUE"""),"No")</f>
        <v>No</v>
      </c>
      <c r="AM99" s="5"/>
      <c r="AN99" s="5"/>
      <c r="AO99" s="5" t="str">
        <f ca="1">IFERROR(__xludf.DUMMYFUNCTION("""COMPUTED_VALUE"""),"Yes")</f>
        <v>Yes</v>
      </c>
      <c r="AP99" s="5"/>
      <c r="AQ99" s="5" t="str">
        <f ca="1">IFERROR(__xludf.DUMMYFUNCTION("""COMPUTED_VALUE"""),"No")</f>
        <v>No</v>
      </c>
      <c r="AR99" s="5"/>
      <c r="AS99" s="5" t="str">
        <f ca="1">IFERROR(__xludf.DUMMYFUNCTION("""COMPUTED_VALUE"""),"Yes")</f>
        <v>Yes</v>
      </c>
      <c r="AT99" s="5" t="str">
        <f ca="1">IFERROR(__xludf.DUMMYFUNCTION("""COMPUTED_VALUE"""),"Yes")</f>
        <v>Yes</v>
      </c>
      <c r="AU99" s="5"/>
    </row>
    <row r="100" spans="1:47" x14ac:dyDescent="0.25">
      <c r="A100" s="5" t="str">
        <f ca="1">IFERROR(__xludf.DUMMYFUNCTION("""COMPUTED_VALUE"""),"Tiptop")</f>
        <v>Tiptop</v>
      </c>
      <c r="B100" s="5" t="str">
        <f ca="1">IFERROR(__xludf.DUMMYFUNCTION("""COMPUTED_VALUE"""),"Lava Gems")</f>
        <v>Lava Gems</v>
      </c>
      <c r="C100" s="5" t="str">
        <f ca="1">IFERROR(__xludf.DUMMYFUNCTION("""COMPUTED_VALUE"""),"UnicornLavaGems")</f>
        <v>UnicornLavaGems</v>
      </c>
      <c r="D100" s="6">
        <f ca="1">IFERROR(__xludf.DUMMYFUNCTION("""COMPUTED_VALUE"""),45938)</f>
        <v>45938</v>
      </c>
      <c r="E100" s="5" t="str">
        <f ca="1">IFERROR(__xludf.DUMMYFUNCTION("""COMPUTED_VALUE"""),"Slot")</f>
        <v>Slot</v>
      </c>
      <c r="F100" s="5">
        <f ca="1">IFERROR(__xludf.DUMMYFUNCTION("""COMPUTED_VALUE"""),11)</f>
        <v>11</v>
      </c>
      <c r="G100" s="5" t="str">
        <f ca="1">IFERROR(__xludf.DUMMYFUNCTION("""COMPUTED_VALUE"""),"5X3")</f>
        <v>5X3</v>
      </c>
      <c r="H100" s="5">
        <f ca="1">IFERROR(__xludf.DUMMYFUNCTION("""COMPUTED_VALUE"""),10)</f>
        <v>10</v>
      </c>
      <c r="I100" s="5">
        <f ca="1">IFERROR(__xludf.DUMMYFUNCTION("""COMPUTED_VALUE"""),10)</f>
        <v>10</v>
      </c>
      <c r="J100" s="5" t="str">
        <f ca="1">IFERROR(__xludf.DUMMYFUNCTION("""COMPUTED_VALUE"""),"96%")</f>
        <v>96%</v>
      </c>
      <c r="K100" s="5" t="str">
        <f ca="1">IFERROR(__xludf.DUMMYFUNCTION("""COMPUTED_VALUE"""),"Low")</f>
        <v>Low</v>
      </c>
      <c r="L100" s="5" t="str">
        <f ca="1">IFERROR(__xludf.DUMMYFUNCTION("""COMPUTED_VALUE"""),"24.14%")</f>
        <v>24.14%</v>
      </c>
      <c r="M100" s="5" t="str">
        <f ca="1">IFERROR(__xludf.DUMMYFUNCTION("""COMPUTED_VALUE"""),"x10000")</f>
        <v>x10000</v>
      </c>
      <c r="N100" s="5" t="str">
        <f ca="1">IFERROR(__xludf.DUMMYFUNCTION("""COMPUTED_VALUE"""),"0.1/100")</f>
        <v>0.1/100</v>
      </c>
      <c r="O100" s="5" t="str">
        <f ca="1">IFERROR(__xludf.DUMMYFUNCTION("""COMPUTED_VALUE"""),"No")</f>
        <v>No</v>
      </c>
      <c r="P100" s="5"/>
      <c r="Q100" s="7" t="str">
        <f ca="1">IFERROR(__xludf.DUMMYFUNCTION("""COMPUTED_VALUE"""),"https://gameserver-store-client-area.orbionlimited.com/Home/IntegrationGameLaunch/client-area?moneyType=0&amp;gameName=UnicornLavaGems&amp;platform=desktop&amp;languageCode=eng&amp;currency=EUR")</f>
        <v>https://gameserver-store-client-area.orbionlimited.com/Home/IntegrationGameLaunch/client-area?moneyType=0&amp;gameName=UnicornLavaGems&amp;platform=desktop&amp;languageCode=eng&amp;currency=EUR</v>
      </c>
      <c r="R100" s="5" t="str">
        <f ca="1">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S10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0" s="5" t="str">
        <f ca="1">IFERROR(__xludf.DUMMYFUNCTION("""COMPUTED_VALUE"""),"Yes")</f>
        <v>Yes</v>
      </c>
      <c r="U100" s="5" t="str">
        <f ca="1">IFERROR(__xludf.DUMMYFUNCTION("""COMPUTED_VALUE"""),"Yes")</f>
        <v>Yes</v>
      </c>
      <c r="V100" s="5" t="str">
        <f ca="1">IFERROR(__xludf.DUMMYFUNCTION("""COMPUTED_VALUE"""),"Yes")</f>
        <v>Yes</v>
      </c>
      <c r="W100" s="5" t="str">
        <f ca="1">IFERROR(__xludf.DUMMYFUNCTION("""COMPUTED_VALUE"""),"No")</f>
        <v>No</v>
      </c>
      <c r="X100" s="5" t="str">
        <f ca="1">IFERROR(__xludf.DUMMYFUNCTION("""COMPUTED_VALUE"""),"No")</f>
        <v>No</v>
      </c>
      <c r="Y100" s="5" t="str">
        <f ca="1">IFERROR(__xludf.DUMMYFUNCTION("""COMPUTED_VALUE"""),"No")</f>
        <v>No</v>
      </c>
      <c r="Z100" s="5" t="str">
        <f ca="1">IFERROR(__xludf.DUMMYFUNCTION("""COMPUTED_VALUE"""),"No")</f>
        <v>No</v>
      </c>
      <c r="AA100" s="5" t="str">
        <f ca="1">IFERROR(__xludf.DUMMYFUNCTION("""COMPUTED_VALUE"""),"No")</f>
        <v>No</v>
      </c>
      <c r="AB100" s="5" t="str">
        <f ca="1">IFERROR(__xludf.DUMMYFUNCTION("""COMPUTED_VALUE"""),"Yes")</f>
        <v>Yes</v>
      </c>
      <c r="AC100" s="5" t="str">
        <f ca="1">IFERROR(__xludf.DUMMYFUNCTION("""COMPUTED_VALUE"""),"Yes")</f>
        <v>Yes</v>
      </c>
      <c r="AD100" s="5" t="str">
        <f ca="1">IFERROR(__xludf.DUMMYFUNCTION("""COMPUTED_VALUE"""),"Yes")</f>
        <v>Yes</v>
      </c>
      <c r="AE100" s="5" t="str">
        <f ca="1">IFERROR(__xludf.DUMMYFUNCTION("""COMPUTED_VALUE"""),"Yes")</f>
        <v>Yes</v>
      </c>
      <c r="AF100" s="5" t="str">
        <f ca="1">IFERROR(__xludf.DUMMYFUNCTION("""COMPUTED_VALUE"""),"Yes")</f>
        <v>Yes</v>
      </c>
      <c r="AG100" s="5" t="str">
        <f ca="1">IFERROR(__xludf.DUMMYFUNCTION("""COMPUTED_VALUE"""),"No")</f>
        <v>No</v>
      </c>
      <c r="AH100" s="5" t="str">
        <f ca="1">IFERROR(__xludf.DUMMYFUNCTION("""COMPUTED_VALUE"""),"Yes")</f>
        <v>Yes</v>
      </c>
      <c r="AI100" s="5" t="str">
        <f ca="1">IFERROR(__xludf.DUMMYFUNCTION("""COMPUTED_VALUE"""),"No")</f>
        <v>No</v>
      </c>
      <c r="AJ100" s="5" t="str">
        <f ca="1">IFERROR(__xludf.DUMMYFUNCTION("""COMPUTED_VALUE"""),"No")</f>
        <v>No</v>
      </c>
      <c r="AK100" s="5" t="str">
        <f ca="1">IFERROR(__xludf.DUMMYFUNCTION("""COMPUTED_VALUE"""),"No")</f>
        <v>No</v>
      </c>
      <c r="AL100" s="5" t="str">
        <f ca="1">IFERROR(__xludf.DUMMYFUNCTION("""COMPUTED_VALUE"""),"No")</f>
        <v>No</v>
      </c>
      <c r="AM100" s="5"/>
      <c r="AN100" s="5"/>
      <c r="AO100" s="5" t="str">
        <f ca="1">IFERROR(__xludf.DUMMYFUNCTION("""COMPUTED_VALUE"""),"Yes")</f>
        <v>Yes</v>
      </c>
      <c r="AP100" s="5"/>
      <c r="AQ100" s="5" t="str">
        <f ca="1">IFERROR(__xludf.DUMMYFUNCTION("""COMPUTED_VALUE"""),"No")</f>
        <v>No</v>
      </c>
      <c r="AR100" s="5"/>
      <c r="AS100" s="5" t="str">
        <f ca="1">IFERROR(__xludf.DUMMYFUNCTION("""COMPUTED_VALUE"""),"Yes")</f>
        <v>Yes</v>
      </c>
      <c r="AT100" s="5" t="str">
        <f ca="1">IFERROR(__xludf.DUMMYFUNCTION("""COMPUTED_VALUE"""),"Yes")</f>
        <v>Yes</v>
      </c>
      <c r="AU100" s="5"/>
    </row>
    <row r="101" spans="1:47" x14ac:dyDescent="0.25">
      <c r="A101" s="5" t="str">
        <f ca="1">IFERROR(__xludf.DUMMYFUNCTION("""COMPUTED_VALUE"""),"Tiptop")</f>
        <v>Tiptop</v>
      </c>
      <c r="B101" s="5" t="str">
        <f ca="1">IFERROR(__xludf.DUMMYFUNCTION("""COMPUTED_VALUE"""),"The Kings Halloween")</f>
        <v>The Kings Halloween</v>
      </c>
      <c r="C101" s="5" t="str">
        <f ca="1">IFERROR(__xludf.DUMMYFUNCTION("""COMPUTED_VALUE"""),"UnicornTheKingsHalloween")</f>
        <v>UnicornTheKingsHalloween</v>
      </c>
      <c r="D101" s="6">
        <f ca="1">IFERROR(__xludf.DUMMYFUNCTION("""COMPUTED_VALUE"""),45931)</f>
        <v>45931</v>
      </c>
      <c r="E101" s="5" t="str">
        <f ca="1">IFERROR(__xludf.DUMMYFUNCTION("""COMPUTED_VALUE"""),"Slot")</f>
        <v>Slot</v>
      </c>
      <c r="F101" s="5">
        <f ca="1">IFERROR(__xludf.DUMMYFUNCTION("""COMPUTED_VALUE"""),11.8)</f>
        <v>11.8</v>
      </c>
      <c r="G101" s="5" t="str">
        <f ca="1">IFERROR(__xludf.DUMMYFUNCTION("""COMPUTED_VALUE"""),"5X3")</f>
        <v>5X3</v>
      </c>
      <c r="H101" s="5">
        <f ca="1">IFERROR(__xludf.DUMMYFUNCTION("""COMPUTED_VALUE"""),5)</f>
        <v>5</v>
      </c>
      <c r="I101" s="5">
        <f ca="1">IFERROR(__xludf.DUMMYFUNCTION("""COMPUTED_VALUE"""),5)</f>
        <v>5</v>
      </c>
      <c r="J101" s="5" t="str">
        <f ca="1">IFERROR(__xludf.DUMMYFUNCTION("""COMPUTED_VALUE"""),"96%")</f>
        <v>96%</v>
      </c>
      <c r="K101" s="5" t="str">
        <f ca="1">IFERROR(__xludf.DUMMYFUNCTION("""COMPUTED_VALUE"""),"Low")</f>
        <v>Low</v>
      </c>
      <c r="L101" s="5" t="str">
        <f ca="1">IFERROR(__xludf.DUMMYFUNCTION("""COMPUTED_VALUE"""),"17.5%")</f>
        <v>17.5%</v>
      </c>
      <c r="M101" s="5" t="str">
        <f ca="1">IFERROR(__xludf.DUMMYFUNCTION("""COMPUTED_VALUE"""),"x1100")</f>
        <v>x1100</v>
      </c>
      <c r="N101" s="5" t="str">
        <f ca="1">IFERROR(__xludf.DUMMYFUNCTION("""COMPUTED_VALUE"""),"0.05/100")</f>
        <v>0.05/100</v>
      </c>
      <c r="O101" s="5" t="str">
        <f ca="1">IFERROR(__xludf.DUMMYFUNCTION("""COMPUTED_VALUE"""),"No")</f>
        <v>No</v>
      </c>
      <c r="P101" s="5"/>
      <c r="Q101" s="7" t="str">
        <f ca="1">IFERROR(__xludf.DUMMYFUNCTION("""COMPUTED_VALUE"""),"https://gameserver-store-client-area.orbionlimited.com/Home/IntegrationGameLaunch/client-area?moneyType=0&amp;gameName=UnicornTheKingsHalloween&amp;platform=desktop&amp;languageCode=eng&amp;currency=EUR")</f>
        <v>https://gameserver-store-client-area.orbionlimited.com/Home/IntegrationGameLaunch/client-area?moneyType=0&amp;gameName=UnicornTheKingsHalloween&amp;platform=desktop&amp;languageCode=eng&amp;currency=EUR</v>
      </c>
      <c r="R101" s="5" t="str">
        <f ca="1">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S10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1" s="5" t="str">
        <f ca="1">IFERROR(__xludf.DUMMYFUNCTION("""COMPUTED_VALUE"""),"Yes")</f>
        <v>Yes</v>
      </c>
      <c r="U101" s="5" t="str">
        <f ca="1">IFERROR(__xludf.DUMMYFUNCTION("""COMPUTED_VALUE"""),"Yes")</f>
        <v>Yes</v>
      </c>
      <c r="V101" s="5" t="str">
        <f ca="1">IFERROR(__xludf.DUMMYFUNCTION("""COMPUTED_VALUE"""),"Yes")</f>
        <v>Yes</v>
      </c>
      <c r="W101" s="5"/>
      <c r="X101" s="5"/>
      <c r="Y101" s="5"/>
      <c r="Z101" s="5"/>
      <c r="AA101" s="5"/>
      <c r="AB101" s="5" t="str">
        <f ca="1">IFERROR(__xludf.DUMMYFUNCTION("""COMPUTED_VALUE"""),"Yes")</f>
        <v>Yes</v>
      </c>
      <c r="AC101" s="5" t="str">
        <f ca="1">IFERROR(__xludf.DUMMYFUNCTION("""COMPUTED_VALUE"""),"Yes")</f>
        <v>Yes</v>
      </c>
      <c r="AD101" s="5" t="str">
        <f ca="1">IFERROR(__xludf.DUMMYFUNCTION("""COMPUTED_VALUE"""),"Yes")</f>
        <v>Yes</v>
      </c>
      <c r="AE101" s="5" t="str">
        <f ca="1">IFERROR(__xludf.DUMMYFUNCTION("""COMPUTED_VALUE"""),"Yes")</f>
        <v>Yes</v>
      </c>
      <c r="AF101" s="5" t="str">
        <f ca="1">IFERROR(__xludf.DUMMYFUNCTION("""COMPUTED_VALUE"""),"Yes")</f>
        <v>Yes</v>
      </c>
      <c r="AG101" s="5"/>
      <c r="AH101" s="5" t="str">
        <f ca="1">IFERROR(__xludf.DUMMYFUNCTION("""COMPUTED_VALUE"""),"Yes")</f>
        <v>Yes</v>
      </c>
      <c r="AI101" s="5"/>
      <c r="AJ101" s="5"/>
      <c r="AK101" s="5"/>
      <c r="AL101" s="5"/>
      <c r="AM101" s="5"/>
      <c r="AN101" s="5"/>
      <c r="AO101" s="5" t="str">
        <f ca="1">IFERROR(__xludf.DUMMYFUNCTION("""COMPUTED_VALUE"""),"Yes")</f>
        <v>Yes</v>
      </c>
      <c r="AP101" s="5"/>
      <c r="AQ101" s="5"/>
      <c r="AR101" s="5"/>
      <c r="AS101" s="5" t="str">
        <f ca="1">IFERROR(__xludf.DUMMYFUNCTION("""COMPUTED_VALUE"""),"Yes")</f>
        <v>Yes</v>
      </c>
      <c r="AT101" s="5" t="str">
        <f ca="1">IFERROR(__xludf.DUMMYFUNCTION("""COMPUTED_VALUE"""),"Yes")</f>
        <v>Yes</v>
      </c>
      <c r="AU101" s="5"/>
    </row>
    <row r="102" spans="1:47" x14ac:dyDescent="0.25">
      <c r="A102" s="5" t="str">
        <f ca="1">IFERROR(__xludf.DUMMYFUNCTION("""COMPUTED_VALUE"""),"Tiptop")</f>
        <v>Tiptop</v>
      </c>
      <c r="B102" s="5" t="str">
        <f ca="1">IFERROR(__xludf.DUMMYFUNCTION("""COMPUTED_VALUE"""),"Super High Runner")</f>
        <v>Super High Runner</v>
      </c>
      <c r="C102" s="5" t="str">
        <f ca="1">IFERROR(__xludf.DUMMYFUNCTION("""COMPUTED_VALUE"""),"UnicornSuperHighRunner")</f>
        <v>UnicornSuperHighRunner</v>
      </c>
      <c r="D102" s="6">
        <f ca="1">IFERROR(__xludf.DUMMYFUNCTION("""COMPUTED_VALUE"""),45945)</f>
        <v>45945</v>
      </c>
      <c r="E102" s="5" t="str">
        <f ca="1">IFERROR(__xludf.DUMMYFUNCTION("""COMPUTED_VALUE"""),"Slot")</f>
        <v>Slot</v>
      </c>
      <c r="F102" s="5">
        <f ca="1">IFERROR(__xludf.DUMMYFUNCTION("""COMPUTED_VALUE"""),10.3)</f>
        <v>10.3</v>
      </c>
      <c r="G102" s="5" t="str">
        <f ca="1">IFERROR(__xludf.DUMMYFUNCTION("""COMPUTED_VALUE"""),"5X3")</f>
        <v>5X3</v>
      </c>
      <c r="H102" s="5">
        <f ca="1">IFERROR(__xludf.DUMMYFUNCTION("""COMPUTED_VALUE"""),5)</f>
        <v>5</v>
      </c>
      <c r="I102" s="5">
        <f ca="1">IFERROR(__xludf.DUMMYFUNCTION("""COMPUTED_VALUE"""),5)</f>
        <v>5</v>
      </c>
      <c r="J102" s="5" t="str">
        <f ca="1">IFERROR(__xludf.DUMMYFUNCTION("""COMPUTED_VALUE"""),"96%")</f>
        <v>96%</v>
      </c>
      <c r="K102" s="5" t="str">
        <f ca="1">IFERROR(__xludf.DUMMYFUNCTION("""COMPUTED_VALUE"""),"Low")</f>
        <v>Low</v>
      </c>
      <c r="L102" s="5" t="str">
        <f ca="1">IFERROR(__xludf.DUMMYFUNCTION("""COMPUTED_VALUE"""),"10.9%")</f>
        <v>10.9%</v>
      </c>
      <c r="M102" s="5" t="str">
        <f ca="1">IFERROR(__xludf.DUMMYFUNCTION("""COMPUTED_VALUE"""),"x1030")</f>
        <v>x1030</v>
      </c>
      <c r="N102" s="5" t="str">
        <f ca="1">IFERROR(__xludf.DUMMYFUNCTION("""COMPUTED_VALUE"""),"0.05/100")</f>
        <v>0.05/100</v>
      </c>
      <c r="O102" s="5" t="str">
        <f ca="1">IFERROR(__xludf.DUMMYFUNCTION("""COMPUTED_VALUE"""),"No")</f>
        <v>No</v>
      </c>
      <c r="P102" s="5"/>
      <c r="Q102" s="7" t="str">
        <f ca="1">IFERROR(__xludf.DUMMYFUNCTION("""COMPUTED_VALUE"""),"https://gameserver-store-client-area.orbionlimited.com/Home/IntegrationGameLaunch/client-area?moneyType=0&amp;gameName=UnicornSuperHighRunner&amp;platform=desktop&amp;languageCode=eng&amp;currency=EUR")</f>
        <v>https://gameserver-store-client-area.orbionlimited.com/Home/IntegrationGameLaunch/client-area?moneyType=0&amp;gameName=UnicornSuperHighRunner&amp;platform=desktop&amp;languageCode=eng&amp;currency=EUR</v>
      </c>
      <c r="R102" s="5" t="str">
        <f ca="1">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S102" s="5" t="str">
        <f ca="1">IFERROR(__xludf.DUMMYFUNCTION("""COMPUTED_VALUE"""),"English(""eng"")")</f>
        <v>English("eng")</v>
      </c>
      <c r="T102" s="5" t="str">
        <f ca="1">IFERROR(__xludf.DUMMYFUNCTION("""COMPUTED_VALUE"""),"Yes")</f>
        <v>Yes</v>
      </c>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row>
    <row r="103" spans="1:47" x14ac:dyDescent="0.25">
      <c r="A103" s="5" t="str">
        <f ca="1">IFERROR(__xludf.DUMMYFUNCTION("""COMPUTED_VALUE"""),"Tiptop")</f>
        <v>Tiptop</v>
      </c>
      <c r="B103" s="5" t="str">
        <f ca="1">IFERROR(__xludf.DUMMYFUNCTION("""COMPUTED_VALUE"""),"Big Spin Dice")</f>
        <v>Big Spin Dice</v>
      </c>
      <c r="C103" s="5" t="str">
        <f ca="1">IFERROR(__xludf.DUMMYFUNCTION("""COMPUTED_VALUE"""),"UnicornBigSpinDice")</f>
        <v>UnicornBigSpinDice</v>
      </c>
      <c r="D103" s="6">
        <f ca="1">IFERROR(__xludf.DUMMYFUNCTION("""COMPUTED_VALUE"""),45952)</f>
        <v>45952</v>
      </c>
      <c r="E103" s="5" t="str">
        <f ca="1">IFERROR(__xludf.DUMMYFUNCTION("""COMPUTED_VALUE"""),"Dice Slots")</f>
        <v>Dice Slots</v>
      </c>
      <c r="F103" s="5">
        <f ca="1">IFERROR(__xludf.DUMMYFUNCTION("""COMPUTED_VALUE"""),10.8)</f>
        <v>10.8</v>
      </c>
      <c r="G103" s="5" t="str">
        <f ca="1">IFERROR(__xludf.DUMMYFUNCTION("""COMPUTED_VALUE"""),"5X3")</f>
        <v>5X3</v>
      </c>
      <c r="H103" s="5">
        <f ca="1">IFERROR(__xludf.DUMMYFUNCTION("""COMPUTED_VALUE"""),5)</f>
        <v>5</v>
      </c>
      <c r="I103" s="5">
        <f ca="1">IFERROR(__xludf.DUMMYFUNCTION("""COMPUTED_VALUE"""),5)</f>
        <v>5</v>
      </c>
      <c r="J103" s="5" t="str">
        <f ca="1">IFERROR(__xludf.DUMMYFUNCTION("""COMPUTED_VALUE"""),"96%")</f>
        <v>96%</v>
      </c>
      <c r="K103" s="5" t="str">
        <f ca="1">IFERROR(__xludf.DUMMYFUNCTION("""COMPUTED_VALUE"""),"Low")</f>
        <v>Low</v>
      </c>
      <c r="L103" s="5" t="str">
        <f ca="1">IFERROR(__xludf.DUMMYFUNCTION("""COMPUTED_VALUE"""),"14.4%")</f>
        <v>14.4%</v>
      </c>
      <c r="M103" s="5" t="str">
        <f ca="1">IFERROR(__xludf.DUMMYFUNCTION("""COMPUTED_VALUE"""),"x10000")</f>
        <v>x10000</v>
      </c>
      <c r="N103" s="5" t="str">
        <f ca="1">IFERROR(__xludf.DUMMYFUNCTION("""COMPUTED_VALUE"""),"0.05/100")</f>
        <v>0.05/100</v>
      </c>
      <c r="O103" s="5" t="str">
        <f ca="1">IFERROR(__xludf.DUMMYFUNCTION("""COMPUTED_VALUE"""),"No")</f>
        <v>No</v>
      </c>
      <c r="P103" s="5"/>
      <c r="Q103" s="7" t="str">
        <f ca="1">IFERROR(__xludf.DUMMYFUNCTION("""COMPUTED_VALUE"""),"https://gameserver-store-client-area.orbionlimited.com/Home/IntegrationGameLaunch/client-area?moneyType=0&amp;gameName=UnicornBigSpinDice&amp;platform=desktop&amp;languageCode=eng&amp;currency=EUR")</f>
        <v>https://gameserver-store-client-area.orbionlimited.com/Home/IntegrationGameLaunch/client-area?moneyType=0&amp;gameName=UnicornBigSpinDice&amp;platform=desktop&amp;languageCode=eng&amp;currency=EUR</v>
      </c>
      <c r="R103" s="5" t="str">
        <f ca="1">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S103" s="5" t="str">
        <f ca="1">IFERROR(__xludf.DUMMYFUNCTION("""COMPUTED_VALUE"""),"Social English(""sen"")")</f>
        <v>Social English("sen")</v>
      </c>
      <c r="T103" s="5"/>
      <c r="U103" s="5"/>
      <c r="V103" s="5"/>
      <c r="W103" s="5"/>
      <c r="X103" s="5"/>
      <c r="Y103" s="5"/>
      <c r="Z103" s="5"/>
      <c r="AA103" s="5"/>
      <c r="AB103" s="5"/>
      <c r="AC103" s="5"/>
      <c r="AD103" s="5"/>
      <c r="AE103" s="5"/>
      <c r="AF103" s="5"/>
      <c r="AG103" s="5"/>
      <c r="AH103" s="5"/>
      <c r="AI103" s="5"/>
      <c r="AJ103" s="5"/>
      <c r="AK103" s="5"/>
      <c r="AL103" s="5"/>
      <c r="AM103" s="5"/>
      <c r="AN103" s="5" t="str">
        <f ca="1">IFERROR(__xludf.DUMMYFUNCTION("""COMPUTED_VALUE"""),"Yes")</f>
        <v>Yes</v>
      </c>
      <c r="AO103" s="5"/>
      <c r="AP103" s="5"/>
      <c r="AQ103" s="5"/>
      <c r="AR103" s="5"/>
      <c r="AS103" s="5"/>
      <c r="AT103" s="5"/>
      <c r="AU103" s="5"/>
    </row>
    <row r="104" spans="1:47" x14ac:dyDescent="0.25">
      <c r="A104" s="5" t="str">
        <f ca="1">IFERROR(__xludf.DUMMYFUNCTION("""COMPUTED_VALUE"""),"Tiptop")</f>
        <v>Tiptop</v>
      </c>
      <c r="B104" s="5" t="str">
        <f ca="1">IFERROR(__xludf.DUMMYFUNCTION("""COMPUTED_VALUE"""),"Fruit Island Dice")</f>
        <v>Fruit Island Dice</v>
      </c>
      <c r="C104" s="5" t="str">
        <f ca="1">IFERROR(__xludf.DUMMYFUNCTION("""COMPUTED_VALUE"""),"UnicornFruitIslandDice")</f>
        <v>UnicornFruitIslandDice</v>
      </c>
      <c r="D104" s="6">
        <f ca="1">IFERROR(__xludf.DUMMYFUNCTION("""COMPUTED_VALUE"""),45959)</f>
        <v>45959</v>
      </c>
      <c r="E104" s="5" t="str">
        <f ca="1">IFERROR(__xludf.DUMMYFUNCTION("""COMPUTED_VALUE"""),"Dice Slots")</f>
        <v>Dice Slots</v>
      </c>
      <c r="F104" s="5">
        <f ca="1">IFERROR(__xludf.DUMMYFUNCTION("""COMPUTED_VALUE"""),10.2)</f>
        <v>10.199999999999999</v>
      </c>
      <c r="G104" s="5" t="str">
        <f ca="1">IFERROR(__xludf.DUMMYFUNCTION("""COMPUTED_VALUE"""),"5X3")</f>
        <v>5X3</v>
      </c>
      <c r="H104" s="5">
        <f ca="1">IFERROR(__xludf.DUMMYFUNCTION("""COMPUTED_VALUE"""),5)</f>
        <v>5</v>
      </c>
      <c r="I104" s="5">
        <f ca="1">IFERROR(__xludf.DUMMYFUNCTION("""COMPUTED_VALUE"""),5)</f>
        <v>5</v>
      </c>
      <c r="J104" s="5" t="str">
        <f ca="1">IFERROR(__xludf.DUMMYFUNCTION("""COMPUTED_VALUE"""),"96%")</f>
        <v>96%</v>
      </c>
      <c r="K104" s="5" t="str">
        <f ca="1">IFERROR(__xludf.DUMMYFUNCTION("""COMPUTED_VALUE"""),"Low")</f>
        <v>Low</v>
      </c>
      <c r="L104" s="5" t="str">
        <f ca="1">IFERROR(__xludf.DUMMYFUNCTION("""COMPUTED_VALUE"""),"10.5%")</f>
        <v>10.5%</v>
      </c>
      <c r="M104" s="5" t="str">
        <f ca="1">IFERROR(__xludf.DUMMYFUNCTION("""COMPUTED_VALUE"""),"x1000")</f>
        <v>x1000</v>
      </c>
      <c r="N104" s="5" t="str">
        <f ca="1">IFERROR(__xludf.DUMMYFUNCTION("""COMPUTED_VALUE"""),"0.05/100")</f>
        <v>0.05/100</v>
      </c>
      <c r="O104" s="5" t="str">
        <f ca="1">IFERROR(__xludf.DUMMYFUNCTION("""COMPUTED_VALUE"""),"No")</f>
        <v>No</v>
      </c>
      <c r="P104" s="5"/>
      <c r="Q104" s="7" t="str">
        <f ca="1">IFERROR(__xludf.DUMMYFUNCTION("""COMPUTED_VALUE"""),"https://gameserver-store-client-area.orbionlimited.com/Home/IntegrationGameLaunch/client-area?moneyType=0&amp;gameName=UnicornFruitIslandDice&amp;platform=desktop&amp;languageCode=eng&amp;currency=EUR")</f>
        <v>https://gameserver-store-client-area.orbionlimited.com/Home/IntegrationGameLaunch/client-area?moneyType=0&amp;gameName=UnicornFruitIslandDice&amp;platform=desktop&amp;languageCode=eng&amp;currency=EUR</v>
      </c>
      <c r="R104" s="5" t="str">
        <f ca="1">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S10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4" s="5" t="str">
        <f ca="1">IFERROR(__xludf.DUMMYFUNCTION("""COMPUTED_VALUE"""),"Yes")</f>
        <v>Yes</v>
      </c>
      <c r="U104" s="5" t="str">
        <f ca="1">IFERROR(__xludf.DUMMYFUNCTION("""COMPUTED_VALUE"""),"Yes")</f>
        <v>Yes</v>
      </c>
      <c r="V104" s="5" t="str">
        <f ca="1">IFERROR(__xludf.DUMMYFUNCTION("""COMPUTED_VALUE"""),"Yes")</f>
        <v>Yes</v>
      </c>
      <c r="W104" s="5"/>
      <c r="X104" s="5"/>
      <c r="Y104" s="5"/>
      <c r="Z104" s="5"/>
      <c r="AA104" s="5"/>
      <c r="AB104" s="5" t="str">
        <f ca="1">IFERROR(__xludf.DUMMYFUNCTION("""COMPUTED_VALUE"""),"Yes")</f>
        <v>Yes</v>
      </c>
      <c r="AC104" s="5" t="str">
        <f ca="1">IFERROR(__xludf.DUMMYFUNCTION("""COMPUTED_VALUE"""),"Yes")</f>
        <v>Yes</v>
      </c>
      <c r="AD104" s="5" t="str">
        <f ca="1">IFERROR(__xludf.DUMMYFUNCTION("""COMPUTED_VALUE"""),"Yes")</f>
        <v>Yes</v>
      </c>
      <c r="AE104" s="5" t="str">
        <f ca="1">IFERROR(__xludf.DUMMYFUNCTION("""COMPUTED_VALUE"""),"Yes")</f>
        <v>Yes</v>
      </c>
      <c r="AF104" s="5" t="str">
        <f ca="1">IFERROR(__xludf.DUMMYFUNCTION("""COMPUTED_VALUE"""),"Yes")</f>
        <v>Yes</v>
      </c>
      <c r="AG104" s="5"/>
      <c r="AH104" s="5" t="str">
        <f ca="1">IFERROR(__xludf.DUMMYFUNCTION("""COMPUTED_VALUE"""),"Yes")</f>
        <v>Yes</v>
      </c>
      <c r="AI104" s="5"/>
      <c r="AJ104" s="5"/>
      <c r="AK104" s="5"/>
      <c r="AL104" s="5"/>
      <c r="AM104" s="5"/>
      <c r="AN104" s="5"/>
      <c r="AO104" s="5" t="str">
        <f ca="1">IFERROR(__xludf.DUMMYFUNCTION("""COMPUTED_VALUE"""),"Yes")</f>
        <v>Yes</v>
      </c>
      <c r="AP104" s="5"/>
      <c r="AQ104" s="5"/>
      <c r="AR104" s="5"/>
      <c r="AS104" s="5" t="str">
        <f ca="1">IFERROR(__xludf.DUMMYFUNCTION("""COMPUTED_VALUE"""),"Yes")</f>
        <v>Yes</v>
      </c>
      <c r="AT104" s="5" t="str">
        <f ca="1">IFERROR(__xludf.DUMMYFUNCTION("""COMPUTED_VALUE"""),"Yes")</f>
        <v>Yes</v>
      </c>
      <c r="AU104" s="5"/>
    </row>
    <row r="105" spans="1:47" x14ac:dyDescent="0.25">
      <c r="A105" s="5" t="str">
        <f ca="1">IFERROR(__xludf.DUMMYFUNCTION("""COMPUTED_VALUE"""),"Tiptop")</f>
        <v>Tiptop</v>
      </c>
      <c r="B105" s="5" t="str">
        <f ca="1">IFERROR(__xludf.DUMMYFUNCTION("""COMPUTED_VALUE"""),"Storm Dice")</f>
        <v>Storm Dice</v>
      </c>
      <c r="C105" s="5" t="str">
        <f ca="1">IFERROR(__xludf.DUMMYFUNCTION("""COMPUTED_VALUE"""),"UnicornStormDice")</f>
        <v>UnicornStormDice</v>
      </c>
      <c r="D105" s="6">
        <f ca="1">IFERROR(__xludf.DUMMYFUNCTION("""COMPUTED_VALUE"""),45966)</f>
        <v>45966</v>
      </c>
      <c r="E105" s="5" t="str">
        <f ca="1">IFERROR(__xludf.DUMMYFUNCTION("""COMPUTED_VALUE"""),"Dice Slots")</f>
        <v>Dice Slots</v>
      </c>
      <c r="F105" s="5">
        <f ca="1">IFERROR(__xludf.DUMMYFUNCTION("""COMPUTED_VALUE"""),10.5)</f>
        <v>10.5</v>
      </c>
      <c r="G105" s="5" t="str">
        <f ca="1">IFERROR(__xludf.DUMMYFUNCTION("""COMPUTED_VALUE"""),"5X3")</f>
        <v>5X3</v>
      </c>
      <c r="H105" s="5">
        <f ca="1">IFERROR(__xludf.DUMMYFUNCTION("""COMPUTED_VALUE"""),5)</f>
        <v>5</v>
      </c>
      <c r="I105" s="5">
        <f ca="1">IFERROR(__xludf.DUMMYFUNCTION("""COMPUTED_VALUE"""),5)</f>
        <v>5</v>
      </c>
      <c r="J105" s="5" t="str">
        <f ca="1">IFERROR(__xludf.DUMMYFUNCTION("""COMPUTED_VALUE"""),"96%")</f>
        <v>96%</v>
      </c>
      <c r="K105" s="5" t="str">
        <f ca="1">IFERROR(__xludf.DUMMYFUNCTION("""COMPUTED_VALUE"""),"Medium")</f>
        <v>Medium</v>
      </c>
      <c r="L105" s="5" t="str">
        <f ca="1">IFERROR(__xludf.DUMMYFUNCTION("""COMPUTED_VALUE"""),"10.1%")</f>
        <v>10.1%</v>
      </c>
      <c r="M105" s="5" t="str">
        <f ca="1">IFERROR(__xludf.DUMMYFUNCTION("""COMPUTED_VALUE"""),"x1000")</f>
        <v>x1000</v>
      </c>
      <c r="N105" s="5" t="str">
        <f ca="1">IFERROR(__xludf.DUMMYFUNCTION("""COMPUTED_VALUE"""),"0.05/100")</f>
        <v>0.05/100</v>
      </c>
      <c r="O105" s="5" t="str">
        <f ca="1">IFERROR(__xludf.DUMMYFUNCTION("""COMPUTED_VALUE"""),"No")</f>
        <v>No</v>
      </c>
      <c r="P105" s="5"/>
      <c r="Q105" s="7" t="str">
        <f ca="1">IFERROR(__xludf.DUMMYFUNCTION("""COMPUTED_VALUE"""),"https://gameserver-store-client-area.orbionlimited.com/Home/IntegrationGameLaunch/client-area?moneyType=0&amp;gameName=UnicornStormDice&amp;platform=desktop&amp;languageCode=eng&amp;currency=EUR")</f>
        <v>https://gameserver-store-client-area.orbionlimited.com/Home/IntegrationGameLaunch/client-area?moneyType=0&amp;gameName=UnicornStormDice&amp;platform=desktop&amp;languageCode=eng&amp;currency=EUR</v>
      </c>
      <c r="R105" s="5" t="str">
        <f ca="1">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S105" s="5" t="str">
        <f ca="1">IFERROR(__xludf.DUMMYFUNCTION("""COMPUTED_VALUE"""),"English(""eng"")")</f>
        <v>English("eng")</v>
      </c>
      <c r="T105" s="5" t="str">
        <f ca="1">IFERROR(__xludf.DUMMYFUNCTION("""COMPUTED_VALUE"""),"Yes")</f>
        <v>Yes</v>
      </c>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row>
    <row r="106" spans="1:47" x14ac:dyDescent="0.25">
      <c r="A106" s="5" t="str">
        <f ca="1">IFERROR(__xludf.DUMMYFUNCTION("""COMPUTED_VALUE"""),"Tiptop")</f>
        <v>Tiptop</v>
      </c>
      <c r="B106" s="5" t="str">
        <f ca="1">IFERROR(__xludf.DUMMYFUNCTION("""COMPUTED_VALUE"""),"Santas Rudolf")</f>
        <v>Santas Rudolf</v>
      </c>
      <c r="C106" s="5" t="str">
        <f ca="1">IFERROR(__xludf.DUMMYFUNCTION("""COMPUTED_VALUE"""),"UnicornSantasRudolf")</f>
        <v>UnicornSantasRudolf</v>
      </c>
      <c r="D106" s="6">
        <f ca="1">IFERROR(__xludf.DUMMYFUNCTION("""COMPUTED_VALUE"""),45973)</f>
        <v>45973</v>
      </c>
      <c r="E106" s="5" t="str">
        <f ca="1">IFERROR(__xludf.DUMMYFUNCTION("""COMPUTED_VALUE"""),"Slot")</f>
        <v>Slot</v>
      </c>
      <c r="F106" s="5">
        <f ca="1">IFERROR(__xludf.DUMMYFUNCTION("""COMPUTED_VALUE"""),10.5)</f>
        <v>10.5</v>
      </c>
      <c r="G106" s="5" t="str">
        <f ca="1">IFERROR(__xludf.DUMMYFUNCTION("""COMPUTED_VALUE"""),"5X3")</f>
        <v>5X3</v>
      </c>
      <c r="H106" s="5">
        <f ca="1">IFERROR(__xludf.DUMMYFUNCTION("""COMPUTED_VALUE"""),10)</f>
        <v>10</v>
      </c>
      <c r="I106" s="5">
        <f ca="1">IFERROR(__xludf.DUMMYFUNCTION("""COMPUTED_VALUE"""),10)</f>
        <v>10</v>
      </c>
      <c r="J106" s="5" t="str">
        <f ca="1">IFERROR(__xludf.DUMMYFUNCTION("""COMPUTED_VALUE"""),"96%")</f>
        <v>96%</v>
      </c>
      <c r="K106" s="5" t="str">
        <f ca="1">IFERROR(__xludf.DUMMYFUNCTION("""COMPUTED_VALUE"""),"Low")</f>
        <v>Low</v>
      </c>
      <c r="L106" s="5" t="str">
        <f ca="1">IFERROR(__xludf.DUMMYFUNCTION("""COMPUTED_VALUE"""),"9.08%")</f>
        <v>9.08%</v>
      </c>
      <c r="M106" s="5" t="str">
        <f ca="1">IFERROR(__xludf.DUMMYFUNCTION("""COMPUTED_VALUE"""),"x10000")</f>
        <v>x10000</v>
      </c>
      <c r="N106" s="5" t="str">
        <f ca="1">IFERROR(__xludf.DUMMYFUNCTION("""COMPUTED_VALUE"""),"0.1/100")</f>
        <v>0.1/100</v>
      </c>
      <c r="O106" s="5" t="str">
        <f ca="1">IFERROR(__xludf.DUMMYFUNCTION("""COMPUTED_VALUE"""),"No")</f>
        <v>No</v>
      </c>
      <c r="P106" s="5"/>
      <c r="Q106" s="7" t="str">
        <f ca="1">IFERROR(__xludf.DUMMYFUNCTION("""COMPUTED_VALUE"""),"https://gameserver-store-client-area.orbionlimited.com/Home/IntegrationGameLaunch/client-area?moneyType=0&amp;gameName=UnicornSantasRudolf&amp;platform=desktop&amp;languageCode=eng&amp;currency=EUR")</f>
        <v>https://gameserver-store-client-area.orbionlimited.com/Home/IntegrationGameLaunch/client-area?moneyType=0&amp;gameName=UnicornSantasRudolf&amp;platform=desktop&amp;languageCode=eng&amp;currency=EUR</v>
      </c>
      <c r="R106" s="5" t="str">
        <f ca="1">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S10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6" s="5" t="str">
        <f ca="1">IFERROR(__xludf.DUMMYFUNCTION("""COMPUTED_VALUE"""),"Yes")</f>
        <v>Yes</v>
      </c>
      <c r="U106" s="5" t="str">
        <f ca="1">IFERROR(__xludf.DUMMYFUNCTION("""COMPUTED_VALUE"""),"Yes")</f>
        <v>Yes</v>
      </c>
      <c r="V106" s="5" t="str">
        <f ca="1">IFERROR(__xludf.DUMMYFUNCTION("""COMPUTED_VALUE"""),"Yes")</f>
        <v>Yes</v>
      </c>
      <c r="W106" s="5"/>
      <c r="X106" s="5"/>
      <c r="Y106" s="5"/>
      <c r="Z106" s="5"/>
      <c r="AA106" s="5"/>
      <c r="AB106" s="5" t="str">
        <f ca="1">IFERROR(__xludf.DUMMYFUNCTION("""COMPUTED_VALUE"""),"Yes")</f>
        <v>Yes</v>
      </c>
      <c r="AC106" s="5" t="str">
        <f ca="1">IFERROR(__xludf.DUMMYFUNCTION("""COMPUTED_VALUE"""),"Yes")</f>
        <v>Yes</v>
      </c>
      <c r="AD106" s="5" t="str">
        <f ca="1">IFERROR(__xludf.DUMMYFUNCTION("""COMPUTED_VALUE"""),"Yes")</f>
        <v>Yes</v>
      </c>
      <c r="AE106" s="5" t="str">
        <f ca="1">IFERROR(__xludf.DUMMYFUNCTION("""COMPUTED_VALUE"""),"Yes")</f>
        <v>Yes</v>
      </c>
      <c r="AF106" s="5" t="str">
        <f ca="1">IFERROR(__xludf.DUMMYFUNCTION("""COMPUTED_VALUE"""),"Yes")</f>
        <v>Yes</v>
      </c>
      <c r="AG106" s="5"/>
      <c r="AH106" s="5" t="str">
        <f ca="1">IFERROR(__xludf.DUMMYFUNCTION("""COMPUTED_VALUE"""),"Yes")</f>
        <v>Yes</v>
      </c>
      <c r="AI106" s="5"/>
      <c r="AJ106" s="5"/>
      <c r="AK106" s="5"/>
      <c r="AL106" s="5"/>
      <c r="AM106" s="5"/>
      <c r="AN106" s="5"/>
      <c r="AO106" s="5" t="str">
        <f ca="1">IFERROR(__xludf.DUMMYFUNCTION("""COMPUTED_VALUE"""),"Yes")</f>
        <v>Yes</v>
      </c>
      <c r="AP106" s="5"/>
      <c r="AQ106" s="5"/>
      <c r="AR106" s="5"/>
      <c r="AS106" s="5" t="str">
        <f ca="1">IFERROR(__xludf.DUMMYFUNCTION("""COMPUTED_VALUE"""),"Yes")</f>
        <v>Yes</v>
      </c>
      <c r="AT106" s="5" t="str">
        <f ca="1">IFERROR(__xludf.DUMMYFUNCTION("""COMPUTED_VALUE"""),"Yes")</f>
        <v>Yes</v>
      </c>
      <c r="AU106" s="5"/>
    </row>
    <row r="107" spans="1:47" x14ac:dyDescent="0.25">
      <c r="A107" s="5" t="str">
        <f ca="1">IFERROR(__xludf.DUMMYFUNCTION("""COMPUTED_VALUE"""),"Tiptop")</f>
        <v>Tiptop</v>
      </c>
      <c r="B107" s="5" t="str">
        <f ca="1">IFERROR(__xludf.DUMMYFUNCTION("""COMPUTED_VALUE"""),"Gold Line Gems")</f>
        <v>Gold Line Gems</v>
      </c>
      <c r="C107" s="5" t="str">
        <f ca="1">IFERROR(__xludf.DUMMYFUNCTION("""COMPUTED_VALUE"""),"UnicornGoldLineGems")</f>
        <v>UnicornGoldLineGems</v>
      </c>
      <c r="D107" s="6">
        <f ca="1">IFERROR(__xludf.DUMMYFUNCTION("""COMPUTED_VALUE"""),45980)</f>
        <v>45980</v>
      </c>
      <c r="E107" s="5" t="str">
        <f ca="1">IFERROR(__xludf.DUMMYFUNCTION("""COMPUTED_VALUE"""),"Slot")</f>
        <v>Slot</v>
      </c>
      <c r="F107" s="5">
        <f ca="1">IFERROR(__xludf.DUMMYFUNCTION("""COMPUTED_VALUE"""),12.4)</f>
        <v>12.4</v>
      </c>
      <c r="G107" s="5" t="str">
        <f ca="1">IFERROR(__xludf.DUMMYFUNCTION("""COMPUTED_VALUE"""),"5X3")</f>
        <v>5X3</v>
      </c>
      <c r="H107" s="5">
        <f ca="1">IFERROR(__xludf.DUMMYFUNCTION("""COMPUTED_VALUE"""),20)</f>
        <v>20</v>
      </c>
      <c r="I107" s="5" t="str">
        <f ca="1">IFERROR(__xludf.DUMMYFUNCTION("""COMPUTED_VALUE"""),"10+1")</f>
        <v>10+1</v>
      </c>
      <c r="J107" s="5" t="str">
        <f ca="1">IFERROR(__xludf.DUMMYFUNCTION("""COMPUTED_VALUE"""),"96%")</f>
        <v>96%</v>
      </c>
      <c r="K107" s="5" t="str">
        <f ca="1">IFERROR(__xludf.DUMMYFUNCTION("""COMPUTED_VALUE"""),"Low")</f>
        <v>Low</v>
      </c>
      <c r="L107" s="5" t="str">
        <f ca="1">IFERROR(__xludf.DUMMYFUNCTION("""COMPUTED_VALUE"""),"17.39%")</f>
        <v>17.39%</v>
      </c>
      <c r="M107" s="5" t="str">
        <f ca="1">IFERROR(__xludf.DUMMYFUNCTION("""COMPUTED_VALUE"""),"x10000")</f>
        <v>x10000</v>
      </c>
      <c r="N107" s="5" t="str">
        <f ca="1">IFERROR(__xludf.DUMMYFUNCTION("""COMPUTED_VALUE"""),"0.2/100")</f>
        <v>0.2/100</v>
      </c>
      <c r="O107" s="5" t="str">
        <f ca="1">IFERROR(__xludf.DUMMYFUNCTION("""COMPUTED_VALUE"""),"No")</f>
        <v>No</v>
      </c>
      <c r="P107" s="5"/>
      <c r="Q107" s="7" t="str">
        <f ca="1">IFERROR(__xludf.DUMMYFUNCTION("""COMPUTED_VALUE"""),"https://gameserver-store-client-area.orbionlimited.com/Home/IntegrationGameLaunch/client-area?moneyType=0&amp;gameName=UnicornGoldLineGems&amp;platform=desktop&amp;languageCode=eng&amp;currency=EUR")</f>
        <v>https://gameserver-store-client-area.orbionlimited.com/Home/IntegrationGameLaunch/client-area?moneyType=0&amp;gameName=UnicornGoldLineGems&amp;platform=desktop&amp;languageCode=eng&amp;currency=EUR</v>
      </c>
      <c r="R107" s="5" t="str">
        <f ca="1">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S10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7" s="5" t="str">
        <f ca="1">IFERROR(__xludf.DUMMYFUNCTION("""COMPUTED_VALUE"""),"Yes")</f>
        <v>Yes</v>
      </c>
      <c r="U107" s="5" t="str">
        <f ca="1">IFERROR(__xludf.DUMMYFUNCTION("""COMPUTED_VALUE"""),"Yes")</f>
        <v>Yes</v>
      </c>
      <c r="V107" s="5" t="str">
        <f ca="1">IFERROR(__xludf.DUMMYFUNCTION("""COMPUTED_VALUE"""),"Yes")</f>
        <v>Yes</v>
      </c>
      <c r="W107" s="5"/>
      <c r="X107" s="5"/>
      <c r="Y107" s="5"/>
      <c r="Z107" s="5"/>
      <c r="AA107" s="5"/>
      <c r="AB107" s="5" t="str">
        <f ca="1">IFERROR(__xludf.DUMMYFUNCTION("""COMPUTED_VALUE"""),"Yes")</f>
        <v>Yes</v>
      </c>
      <c r="AC107" s="5" t="str">
        <f ca="1">IFERROR(__xludf.DUMMYFUNCTION("""COMPUTED_VALUE"""),"Yes")</f>
        <v>Yes</v>
      </c>
      <c r="AD107" s="5" t="str">
        <f ca="1">IFERROR(__xludf.DUMMYFUNCTION("""COMPUTED_VALUE"""),"Yes")</f>
        <v>Yes</v>
      </c>
      <c r="AE107" s="5" t="str">
        <f ca="1">IFERROR(__xludf.DUMMYFUNCTION("""COMPUTED_VALUE"""),"Yes")</f>
        <v>Yes</v>
      </c>
      <c r="AF107" s="5" t="str">
        <f ca="1">IFERROR(__xludf.DUMMYFUNCTION("""COMPUTED_VALUE"""),"Yes")</f>
        <v>Yes</v>
      </c>
      <c r="AG107" s="5"/>
      <c r="AH107" s="5" t="str">
        <f ca="1">IFERROR(__xludf.DUMMYFUNCTION("""COMPUTED_VALUE"""),"Yes")</f>
        <v>Yes</v>
      </c>
      <c r="AI107" s="5"/>
      <c r="AJ107" s="5"/>
      <c r="AK107" s="5"/>
      <c r="AL107" s="5"/>
      <c r="AM107" s="5"/>
      <c r="AN107" s="5"/>
      <c r="AO107" s="5" t="str">
        <f ca="1">IFERROR(__xludf.DUMMYFUNCTION("""COMPUTED_VALUE"""),"Yes")</f>
        <v>Yes</v>
      </c>
      <c r="AP107" s="5"/>
      <c r="AQ107" s="5"/>
      <c r="AR107" s="5"/>
      <c r="AS107" s="5" t="str">
        <f ca="1">IFERROR(__xludf.DUMMYFUNCTION("""COMPUTED_VALUE"""),"Yes")</f>
        <v>Yes</v>
      </c>
      <c r="AT107" s="5" t="str">
        <f ca="1">IFERROR(__xludf.DUMMYFUNCTION("""COMPUTED_VALUE"""),"Yes")</f>
        <v>Yes</v>
      </c>
      <c r="AU107" s="5"/>
    </row>
    <row r="108" spans="1:47" x14ac:dyDescent="0.25">
      <c r="A108" s="5" t="str">
        <f ca="1">IFERROR(__xludf.DUMMYFUNCTION("""COMPUTED_VALUE"""),"Tiptop")</f>
        <v>Tiptop</v>
      </c>
      <c r="B108" s="5" t="str">
        <f ca="1">IFERROR(__xludf.DUMMYFUNCTION("""COMPUTED_VALUE"""),"Christmas Presents 2025")</f>
        <v>Christmas Presents 2025</v>
      </c>
      <c r="C108" s="5" t="str">
        <f ca="1">IFERROR(__xludf.DUMMYFUNCTION("""COMPUTED_VALUE"""),"UnicornChristmasPresents2025")</f>
        <v>UnicornChristmasPresents2025</v>
      </c>
      <c r="D108" s="6">
        <f ca="1">IFERROR(__xludf.DUMMYFUNCTION("""COMPUTED_VALUE"""),45987)</f>
        <v>45987</v>
      </c>
      <c r="E108" s="5" t="str">
        <f ca="1">IFERROR(__xludf.DUMMYFUNCTION("""COMPUTED_VALUE"""),"Slot")</f>
        <v>Slot</v>
      </c>
      <c r="F108" s="5">
        <f ca="1">IFERROR(__xludf.DUMMYFUNCTION("""COMPUTED_VALUE"""),16.7)</f>
        <v>16.7</v>
      </c>
      <c r="G108" s="5" t="str">
        <f ca="1">IFERROR(__xludf.DUMMYFUNCTION("""COMPUTED_VALUE"""),"5X3")</f>
        <v>5X3</v>
      </c>
      <c r="H108" s="5">
        <f ca="1">IFERROR(__xludf.DUMMYFUNCTION("""COMPUTED_VALUE"""),5)</f>
        <v>5</v>
      </c>
      <c r="I108" s="5">
        <f ca="1">IFERROR(__xludf.DUMMYFUNCTION("""COMPUTED_VALUE"""),5)</f>
        <v>5</v>
      </c>
      <c r="J108" s="5" t="str">
        <f ca="1">IFERROR(__xludf.DUMMYFUNCTION("""COMPUTED_VALUE"""),"96%")</f>
        <v>96%</v>
      </c>
      <c r="K108" s="5" t="str">
        <f ca="1">IFERROR(__xludf.DUMMYFUNCTION("""COMPUTED_VALUE"""),"Low")</f>
        <v>Low</v>
      </c>
      <c r="L108" s="5" t="str">
        <f ca="1">IFERROR(__xludf.DUMMYFUNCTION("""COMPUTED_VALUE"""),"13.64%")</f>
        <v>13.64%</v>
      </c>
      <c r="M108" s="5" t="str">
        <f ca="1">IFERROR(__xludf.DUMMYFUNCTION("""COMPUTED_VALUE"""),"x10000")</f>
        <v>x10000</v>
      </c>
      <c r="N108" s="5" t="str">
        <f ca="1">IFERROR(__xludf.DUMMYFUNCTION("""COMPUTED_VALUE"""),"0.05/100")</f>
        <v>0.05/100</v>
      </c>
      <c r="O108" s="5" t="str">
        <f ca="1">IFERROR(__xludf.DUMMYFUNCTION("""COMPUTED_VALUE"""),"No")</f>
        <v>No</v>
      </c>
      <c r="P108" s="5"/>
      <c r="Q108" s="7" t="str">
        <f ca="1">IFERROR(__xludf.DUMMYFUNCTION("""COMPUTED_VALUE"""),"https://gameserver-store-client-area.orbionlimited.com/Home/IntegrationGameLaunch/client-area?moneyType=0&amp;gameName=UnicornChristmasPresents2025&amp;platform=desktop&amp;languageCode=eng&amp;currency=EUR")</f>
        <v>https://gameserver-store-client-area.orbionlimited.com/Home/IntegrationGameLaunch/client-area?moneyType=0&amp;gameName=UnicornChristmasPresents2025&amp;platform=desktop&amp;languageCode=eng&amp;currency=EUR</v>
      </c>
      <c r="R108" s="5" t="str">
        <f ca="1">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S10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8" s="5" t="str">
        <f ca="1">IFERROR(__xludf.DUMMYFUNCTION("""COMPUTED_VALUE"""),"Yes")</f>
        <v>Yes</v>
      </c>
      <c r="U108" s="5" t="str">
        <f ca="1">IFERROR(__xludf.DUMMYFUNCTION("""COMPUTED_VALUE"""),"Yes")</f>
        <v>Yes</v>
      </c>
      <c r="V108" s="5" t="str">
        <f ca="1">IFERROR(__xludf.DUMMYFUNCTION("""COMPUTED_VALUE"""),"Yes")</f>
        <v>Yes</v>
      </c>
      <c r="W108" s="5" t="str">
        <f ca="1">IFERROR(__xludf.DUMMYFUNCTION("""COMPUTED_VALUE"""),"No")</f>
        <v>No</v>
      </c>
      <c r="X108" s="5" t="str">
        <f ca="1">IFERROR(__xludf.DUMMYFUNCTION("""COMPUTED_VALUE"""),"No")</f>
        <v>No</v>
      </c>
      <c r="Y108" s="5" t="str">
        <f ca="1">IFERROR(__xludf.DUMMYFUNCTION("""COMPUTED_VALUE"""),"No")</f>
        <v>No</v>
      </c>
      <c r="Z108" s="5" t="str">
        <f ca="1">IFERROR(__xludf.DUMMYFUNCTION("""COMPUTED_VALUE"""),"No")</f>
        <v>No</v>
      </c>
      <c r="AA108" s="5" t="str">
        <f ca="1">IFERROR(__xludf.DUMMYFUNCTION("""COMPUTED_VALUE"""),"No")</f>
        <v>No</v>
      </c>
      <c r="AB108" s="5" t="str">
        <f ca="1">IFERROR(__xludf.DUMMYFUNCTION("""COMPUTED_VALUE"""),"Yes")</f>
        <v>Yes</v>
      </c>
      <c r="AC108" s="5" t="str">
        <f ca="1">IFERROR(__xludf.DUMMYFUNCTION("""COMPUTED_VALUE"""),"Yes")</f>
        <v>Yes</v>
      </c>
      <c r="AD108" s="5" t="str">
        <f ca="1">IFERROR(__xludf.DUMMYFUNCTION("""COMPUTED_VALUE"""),"Yes")</f>
        <v>Yes</v>
      </c>
      <c r="AE108" s="5" t="str">
        <f ca="1">IFERROR(__xludf.DUMMYFUNCTION("""COMPUTED_VALUE"""),"Yes")</f>
        <v>Yes</v>
      </c>
      <c r="AF108" s="5" t="str">
        <f ca="1">IFERROR(__xludf.DUMMYFUNCTION("""COMPUTED_VALUE"""),"Yes")</f>
        <v>Yes</v>
      </c>
      <c r="AG108" s="5" t="str">
        <f ca="1">IFERROR(__xludf.DUMMYFUNCTION("""COMPUTED_VALUE"""),"No")</f>
        <v>No</v>
      </c>
      <c r="AH108" s="5" t="str">
        <f ca="1">IFERROR(__xludf.DUMMYFUNCTION("""COMPUTED_VALUE"""),"Yes")</f>
        <v>Yes</v>
      </c>
      <c r="AI108" s="5" t="str">
        <f ca="1">IFERROR(__xludf.DUMMYFUNCTION("""COMPUTED_VALUE"""),"No")</f>
        <v>No</v>
      </c>
      <c r="AJ108" s="5" t="str">
        <f ca="1">IFERROR(__xludf.DUMMYFUNCTION("""COMPUTED_VALUE"""),"No")</f>
        <v>No</v>
      </c>
      <c r="AK108" s="5" t="str">
        <f ca="1">IFERROR(__xludf.DUMMYFUNCTION("""COMPUTED_VALUE"""),"No")</f>
        <v>No</v>
      </c>
      <c r="AL108" s="5" t="str">
        <f ca="1">IFERROR(__xludf.DUMMYFUNCTION("""COMPUTED_VALUE"""),"No")</f>
        <v>No</v>
      </c>
      <c r="AM108" s="5" t="str">
        <f ca="1">IFERROR(__xludf.DUMMYFUNCTION("""COMPUTED_VALUE"""),"No")</f>
        <v>No</v>
      </c>
      <c r="AN108" s="5" t="str">
        <f ca="1">IFERROR(__xludf.DUMMYFUNCTION("""COMPUTED_VALUE"""),"No")</f>
        <v>No</v>
      </c>
      <c r="AO108" s="5" t="str">
        <f ca="1">IFERROR(__xludf.DUMMYFUNCTION("""COMPUTED_VALUE"""),"Yes")</f>
        <v>Yes</v>
      </c>
      <c r="AP108" s="5" t="str">
        <f ca="1">IFERROR(__xludf.DUMMYFUNCTION("""COMPUTED_VALUE"""),"No")</f>
        <v>No</v>
      </c>
      <c r="AQ108" s="5" t="str">
        <f ca="1">IFERROR(__xludf.DUMMYFUNCTION("""COMPUTED_VALUE"""),"No")</f>
        <v>No</v>
      </c>
      <c r="AR108" s="5" t="str">
        <f ca="1">IFERROR(__xludf.DUMMYFUNCTION("""COMPUTED_VALUE"""),"No")</f>
        <v>No</v>
      </c>
      <c r="AS108" s="5" t="str">
        <f ca="1">IFERROR(__xludf.DUMMYFUNCTION("""COMPUTED_VALUE"""),"Yes")</f>
        <v>Yes</v>
      </c>
      <c r="AT108" s="5" t="str">
        <f ca="1">IFERROR(__xludf.DUMMYFUNCTION("""COMPUTED_VALUE"""),"Yes")</f>
        <v>Yes</v>
      </c>
      <c r="AU108" s="5"/>
    </row>
    <row r="109" spans="1:47" x14ac:dyDescent="0.25">
      <c r="A109" s="5" t="str">
        <f ca="1">IFERROR(__xludf.DUMMYFUNCTION("""COMPUTED_VALUE"""),"Tiptop")</f>
        <v>Tiptop</v>
      </c>
      <c r="B109" s="5" t="str">
        <f ca="1">IFERROR(__xludf.DUMMYFUNCTION("""COMPUTED_VALUE"""),"Money Standard Platinum")</f>
        <v>Money Standard Platinum</v>
      </c>
      <c r="C109" s="5" t="str">
        <f ca="1">IFERROR(__xludf.DUMMYFUNCTION("""COMPUTED_VALUE"""),"UnicornMoneyStandardPlatinum")</f>
        <v>UnicornMoneyStandardPlatinum</v>
      </c>
      <c r="D109" s="6">
        <f ca="1">IFERROR(__xludf.DUMMYFUNCTION("""COMPUTED_VALUE"""),45994)</f>
        <v>45994</v>
      </c>
      <c r="E109" s="5" t="str">
        <f ca="1">IFERROR(__xludf.DUMMYFUNCTION("""COMPUTED_VALUE"""),"Slot")</f>
        <v>Slot</v>
      </c>
      <c r="F109" s="5">
        <f ca="1">IFERROR(__xludf.DUMMYFUNCTION("""COMPUTED_VALUE"""),10.1)</f>
        <v>10.1</v>
      </c>
      <c r="G109" s="5" t="str">
        <f ca="1">IFERROR(__xludf.DUMMYFUNCTION("""COMPUTED_VALUE"""),"5X4")</f>
        <v>5X4</v>
      </c>
      <c r="H109" s="5">
        <f ca="1">IFERROR(__xludf.DUMMYFUNCTION("""COMPUTED_VALUE"""),20)</f>
        <v>20</v>
      </c>
      <c r="I109" s="5">
        <f ca="1">IFERROR(__xludf.DUMMYFUNCTION("""COMPUTED_VALUE"""),20)</f>
        <v>20</v>
      </c>
      <c r="J109" s="5" t="str">
        <f ca="1">IFERROR(__xludf.DUMMYFUNCTION("""COMPUTED_VALUE"""),"96%")</f>
        <v>96%</v>
      </c>
      <c r="K109" s="5" t="str">
        <f ca="1">IFERROR(__xludf.DUMMYFUNCTION("""COMPUTED_VALUE"""),"Low")</f>
        <v>Low</v>
      </c>
      <c r="L109" s="5" t="str">
        <f ca="1">IFERROR(__xludf.DUMMYFUNCTION("""COMPUTED_VALUE"""),"11.7%")</f>
        <v>11.7%</v>
      </c>
      <c r="M109" s="5" t="str">
        <f ca="1">IFERROR(__xludf.DUMMYFUNCTION("""COMPUTED_VALUE"""),"x5000")</f>
        <v>x5000</v>
      </c>
      <c r="N109" s="5" t="str">
        <f ca="1">IFERROR(__xludf.DUMMYFUNCTION("""COMPUTED_VALUE"""),"0.2/100")</f>
        <v>0.2/100</v>
      </c>
      <c r="O109" s="5" t="str">
        <f ca="1">IFERROR(__xludf.DUMMYFUNCTION("""COMPUTED_VALUE"""),"No")</f>
        <v>No</v>
      </c>
      <c r="P109" s="5"/>
      <c r="Q109" s="7" t="str">
        <f ca="1">IFERROR(__xludf.DUMMYFUNCTION("""COMPUTED_VALUE"""),"https://gameserver-store-client-area.orbionlimited.com/Home/IntegrationGameLaunch/client-area?moneyType=0&amp;gameName=UnicornMoneyStandardPlatinum&amp;platform=desktop&amp;languageCode=eng&amp;currency=EUR")</f>
        <v>https://gameserver-store-client-area.orbionlimited.com/Home/IntegrationGameLaunch/client-area?moneyType=0&amp;gameName=UnicornMoneyStandardPlatinum&amp;platform=desktop&amp;languageCode=eng&amp;currency=EUR</v>
      </c>
      <c r="R109" s="5" t="str">
        <f ca="1">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S109"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09" s="5" t="str">
        <f ca="1">IFERROR(__xludf.DUMMYFUNCTION("""COMPUTED_VALUE"""),"Yes")</f>
        <v>Yes</v>
      </c>
      <c r="U109" s="5" t="str">
        <f ca="1">IFERROR(__xludf.DUMMYFUNCTION("""COMPUTED_VALUE"""),"Yes")</f>
        <v>Yes</v>
      </c>
      <c r="V109" s="5" t="str">
        <f ca="1">IFERROR(__xludf.DUMMYFUNCTION("""COMPUTED_VALUE"""),"Yes")</f>
        <v>Yes</v>
      </c>
      <c r="W109" s="5"/>
      <c r="X109" s="5" t="str">
        <f ca="1">IFERROR(__xludf.DUMMYFUNCTION("""COMPUTED_VALUE"""),"Yes")</f>
        <v>Yes</v>
      </c>
      <c r="Y109" s="5"/>
      <c r="Z109" s="5"/>
      <c r="AA109" s="5"/>
      <c r="AB109" s="5" t="str">
        <f ca="1">IFERROR(__xludf.DUMMYFUNCTION("""COMPUTED_VALUE"""),"Yes")</f>
        <v>Yes</v>
      </c>
      <c r="AC109" s="5" t="str">
        <f ca="1">IFERROR(__xludf.DUMMYFUNCTION("""COMPUTED_VALUE"""),"Yes")</f>
        <v>Yes</v>
      </c>
      <c r="AD109" s="5" t="str">
        <f ca="1">IFERROR(__xludf.DUMMYFUNCTION("""COMPUTED_VALUE"""),"Yes")</f>
        <v>Yes</v>
      </c>
      <c r="AE109" s="5" t="str">
        <f ca="1">IFERROR(__xludf.DUMMYFUNCTION("""COMPUTED_VALUE"""),"Yes")</f>
        <v>Yes</v>
      </c>
      <c r="AF109" s="5" t="str">
        <f ca="1">IFERROR(__xludf.DUMMYFUNCTION("""COMPUTED_VALUE"""),"Yes")</f>
        <v>Yes</v>
      </c>
      <c r="AG109" s="5"/>
      <c r="AH109" s="5" t="str">
        <f ca="1">IFERROR(__xludf.DUMMYFUNCTION("""COMPUTED_VALUE"""),"Yes")</f>
        <v>Yes</v>
      </c>
      <c r="AI109" s="5"/>
      <c r="AJ109" s="5"/>
      <c r="AK109" s="5"/>
      <c r="AL109" s="5"/>
      <c r="AM109" s="5"/>
      <c r="AN109" s="5"/>
      <c r="AO109" s="5" t="str">
        <f ca="1">IFERROR(__xludf.DUMMYFUNCTION("""COMPUTED_VALUE"""),"Yes")</f>
        <v>Yes</v>
      </c>
      <c r="AP109" s="5"/>
      <c r="AQ109" s="5"/>
      <c r="AR109" s="5"/>
      <c r="AS109" s="5" t="str">
        <f ca="1">IFERROR(__xludf.DUMMYFUNCTION("""COMPUTED_VALUE"""),"Yes")</f>
        <v>Yes</v>
      </c>
      <c r="AT109" s="5" t="str">
        <f ca="1">IFERROR(__xludf.DUMMYFUNCTION("""COMPUTED_VALUE"""),"Yes")</f>
        <v>Yes</v>
      </c>
      <c r="AU109" s="5"/>
    </row>
    <row r="110" spans="1:47" x14ac:dyDescent="0.25">
      <c r="A110" s="5" t="str">
        <f ca="1">IFERROR(__xludf.DUMMYFUNCTION("""COMPUTED_VALUE"""),"Tiptop")</f>
        <v>Tiptop</v>
      </c>
      <c r="B110" s="5" t="str">
        <f ca="1">IFERROR(__xludf.DUMMYFUNCTION("""COMPUTED_VALUE"""),"Fruit Multipliers")</f>
        <v>Fruit Multipliers</v>
      </c>
      <c r="C110" s="5" t="str">
        <f ca="1">IFERROR(__xludf.DUMMYFUNCTION("""COMPUTED_VALUE"""),"UnicornFruitMultipliers")</f>
        <v>UnicornFruitMultipliers</v>
      </c>
      <c r="D110" s="6">
        <f ca="1">IFERROR(__xludf.DUMMYFUNCTION("""COMPUTED_VALUE"""),46001)</f>
        <v>46001</v>
      </c>
      <c r="E110" s="5" t="str">
        <f ca="1">IFERROR(__xludf.DUMMYFUNCTION("""COMPUTED_VALUE"""),"Slot")</f>
        <v>Slot</v>
      </c>
      <c r="F110" s="5">
        <f ca="1">IFERROR(__xludf.DUMMYFUNCTION("""COMPUTED_VALUE"""),11.3)</f>
        <v>11.3</v>
      </c>
      <c r="G110" s="5" t="str">
        <f ca="1">IFERROR(__xludf.DUMMYFUNCTION("""COMPUTED_VALUE"""),"5X3")</f>
        <v>5X3</v>
      </c>
      <c r="H110" s="5">
        <f ca="1">IFERROR(__xludf.DUMMYFUNCTION("""COMPUTED_VALUE"""),10)</f>
        <v>10</v>
      </c>
      <c r="I110" s="5">
        <f ca="1">IFERROR(__xludf.DUMMYFUNCTION("""COMPUTED_VALUE"""),10)</f>
        <v>10</v>
      </c>
      <c r="J110" s="5" t="str">
        <f ca="1">IFERROR(__xludf.DUMMYFUNCTION("""COMPUTED_VALUE"""),"96%")</f>
        <v>96%</v>
      </c>
      <c r="K110" s="5" t="str">
        <f ca="1">IFERROR(__xludf.DUMMYFUNCTION("""COMPUTED_VALUE"""),"Low")</f>
        <v>Low</v>
      </c>
      <c r="L110" s="5" t="str">
        <f ca="1">IFERROR(__xludf.DUMMYFUNCTION("""COMPUTED_VALUE"""),"22.81%")</f>
        <v>22.81%</v>
      </c>
      <c r="M110" s="5" t="str">
        <f ca="1">IFERROR(__xludf.DUMMYFUNCTION("""COMPUTED_VALUE"""),"x10000")</f>
        <v>x10000</v>
      </c>
      <c r="N110" s="5" t="str">
        <f ca="1">IFERROR(__xludf.DUMMYFUNCTION("""COMPUTED_VALUE"""),"0.1/100")</f>
        <v>0.1/100</v>
      </c>
      <c r="O110" s="5" t="str">
        <f ca="1">IFERROR(__xludf.DUMMYFUNCTION("""COMPUTED_VALUE"""),"No")</f>
        <v>No</v>
      </c>
      <c r="P110" s="5"/>
      <c r="Q110" s="7" t="str">
        <f ca="1">IFERROR(__xludf.DUMMYFUNCTION("""COMPUTED_VALUE"""),"https://gameserver-store-client-area.orbionlimited.com/Home/IntegrationGameLaunch/client-area?moneyType=0&amp;gameName=UnicornFruitMultipliers&amp;platform=desktop&amp;languageCode=eng&amp;currency=EUR")</f>
        <v>https://gameserver-store-client-area.orbionlimited.com/Home/IntegrationGameLaunch/client-area?moneyType=0&amp;gameName=UnicornFruitMultipliers&amp;platform=desktop&amp;languageCode=eng&amp;currency=EUR</v>
      </c>
      <c r="R110" s="5" t="str">
        <f ca="1">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S110"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0" s="5" t="str">
        <f ca="1">IFERROR(__xludf.DUMMYFUNCTION("""COMPUTED_VALUE"""),"Yes")</f>
        <v>Yes</v>
      </c>
      <c r="U110" s="5" t="str">
        <f ca="1">IFERROR(__xludf.DUMMYFUNCTION("""COMPUTED_VALUE"""),"Yes")</f>
        <v>Yes</v>
      </c>
      <c r="V110" s="5" t="str">
        <f ca="1">IFERROR(__xludf.DUMMYFUNCTION("""COMPUTED_VALUE"""),"Yes")</f>
        <v>Yes</v>
      </c>
      <c r="W110" s="5"/>
      <c r="X110" s="5" t="str">
        <f ca="1">IFERROR(__xludf.DUMMYFUNCTION("""COMPUTED_VALUE"""),"Yes")</f>
        <v>Yes</v>
      </c>
      <c r="Y110" s="5"/>
      <c r="Z110" s="5"/>
      <c r="AA110" s="5"/>
      <c r="AB110" s="5" t="str">
        <f ca="1">IFERROR(__xludf.DUMMYFUNCTION("""COMPUTED_VALUE"""),"Yes")</f>
        <v>Yes</v>
      </c>
      <c r="AC110" s="5" t="str">
        <f ca="1">IFERROR(__xludf.DUMMYFUNCTION("""COMPUTED_VALUE"""),"Yes")</f>
        <v>Yes</v>
      </c>
      <c r="AD110" s="5" t="str">
        <f ca="1">IFERROR(__xludf.DUMMYFUNCTION("""COMPUTED_VALUE"""),"Yes")</f>
        <v>Yes</v>
      </c>
      <c r="AE110" s="5" t="str">
        <f ca="1">IFERROR(__xludf.DUMMYFUNCTION("""COMPUTED_VALUE"""),"Yes")</f>
        <v>Yes</v>
      </c>
      <c r="AF110" s="5" t="str">
        <f ca="1">IFERROR(__xludf.DUMMYFUNCTION("""COMPUTED_VALUE"""),"Yes")</f>
        <v>Yes</v>
      </c>
      <c r="AG110" s="5"/>
      <c r="AH110" s="5" t="str">
        <f ca="1">IFERROR(__xludf.DUMMYFUNCTION("""COMPUTED_VALUE"""),"Yes")</f>
        <v>Yes</v>
      </c>
      <c r="AI110" s="5"/>
      <c r="AJ110" s="5"/>
      <c r="AK110" s="5"/>
      <c r="AL110" s="5"/>
      <c r="AM110" s="5"/>
      <c r="AN110" s="5"/>
      <c r="AO110" s="5" t="str">
        <f ca="1">IFERROR(__xludf.DUMMYFUNCTION("""COMPUTED_VALUE"""),"Yes")</f>
        <v>Yes</v>
      </c>
      <c r="AP110" s="5"/>
      <c r="AQ110" s="5"/>
      <c r="AR110" s="5"/>
      <c r="AS110" s="5" t="str">
        <f ca="1">IFERROR(__xludf.DUMMYFUNCTION("""COMPUTED_VALUE"""),"Yes")</f>
        <v>Yes</v>
      </c>
      <c r="AT110" s="5" t="str">
        <f ca="1">IFERROR(__xludf.DUMMYFUNCTION("""COMPUTED_VALUE"""),"Yes")</f>
        <v>Yes</v>
      </c>
      <c r="AU110" s="5"/>
    </row>
    <row r="111" spans="1:47" x14ac:dyDescent="0.25">
      <c r="A111" s="5" t="str">
        <f ca="1">IFERROR(__xludf.DUMMYFUNCTION("""COMPUTED_VALUE"""),"Tiptop")</f>
        <v>Tiptop</v>
      </c>
      <c r="B111" s="5" t="str">
        <f ca="1">IFERROR(__xludf.DUMMYFUNCTION("""COMPUTED_VALUE"""),"Sevens Pay")</f>
        <v>Sevens Pay</v>
      </c>
      <c r="C111" s="5" t="str">
        <f ca="1">IFERROR(__xludf.DUMMYFUNCTION("""COMPUTED_VALUE"""),"UnicornSevensPay")</f>
        <v>UnicornSevensPay</v>
      </c>
      <c r="D111" s="6">
        <f ca="1">IFERROR(__xludf.DUMMYFUNCTION("""COMPUTED_VALUE"""),46008)</f>
        <v>46008</v>
      </c>
      <c r="E111" s="5" t="str">
        <f ca="1">IFERROR(__xludf.DUMMYFUNCTION("""COMPUTED_VALUE"""),"Slot")</f>
        <v>Slot</v>
      </c>
      <c r="F111" s="5">
        <f ca="1">IFERROR(__xludf.DUMMYFUNCTION("""COMPUTED_VALUE"""),9.8)</f>
        <v>9.8000000000000007</v>
      </c>
      <c r="G111" s="5" t="str">
        <f ca="1">IFERROR(__xludf.DUMMYFUNCTION("""COMPUTED_VALUE"""),"5X3")</f>
        <v>5X3</v>
      </c>
      <c r="H111" s="5">
        <f ca="1">IFERROR(__xludf.DUMMYFUNCTION("""COMPUTED_VALUE"""),10)</f>
        <v>10</v>
      </c>
      <c r="I111" s="5">
        <f ca="1">IFERROR(__xludf.DUMMYFUNCTION("""COMPUTED_VALUE"""),10)</f>
        <v>10</v>
      </c>
      <c r="J111" s="5" t="str">
        <f ca="1">IFERROR(__xludf.DUMMYFUNCTION("""COMPUTED_VALUE"""),"96%")</f>
        <v>96%</v>
      </c>
      <c r="K111" s="5" t="str">
        <f ca="1">IFERROR(__xludf.DUMMYFUNCTION("""COMPUTED_VALUE"""),"Low")</f>
        <v>Low</v>
      </c>
      <c r="L111" s="5" t="str">
        <f ca="1">IFERROR(__xludf.DUMMYFUNCTION("""COMPUTED_VALUE"""),"9.85%")</f>
        <v>9.85%</v>
      </c>
      <c r="M111" s="5" t="str">
        <f ca="1">IFERROR(__xludf.DUMMYFUNCTION("""COMPUTED_VALUE"""),"x1000")</f>
        <v>x1000</v>
      </c>
      <c r="N111" s="5" t="str">
        <f ca="1">IFERROR(__xludf.DUMMYFUNCTION("""COMPUTED_VALUE"""),"0.1/100")</f>
        <v>0.1/100</v>
      </c>
      <c r="O111" s="5" t="str">
        <f ca="1">IFERROR(__xludf.DUMMYFUNCTION("""COMPUTED_VALUE"""),"No")</f>
        <v>No</v>
      </c>
      <c r="P111" s="5"/>
      <c r="Q111" s="7" t="str">
        <f ca="1">IFERROR(__xludf.DUMMYFUNCTION("""COMPUTED_VALUE"""),"https://gameserver-store-client-area.orbionlimited.com/Home/IntegrationGameLaunch/client-area?moneyType=0&amp;gameName=UnicornSevensPay&amp;platform=desktop&amp;languageCode=eng&amp;currency=EUR")</f>
        <v>https://gameserver-store-client-area.orbionlimited.com/Home/IntegrationGameLaunch/client-area?moneyType=0&amp;gameName=UnicornSevensPay&amp;platform=desktop&amp;languageCode=eng&amp;currency=EUR</v>
      </c>
      <c r="R111" s="5" t="str">
        <f ca="1">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S111"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1" s="5" t="str">
        <f ca="1">IFERROR(__xludf.DUMMYFUNCTION("""COMPUTED_VALUE"""),"Yes")</f>
        <v>Yes</v>
      </c>
      <c r="U111" s="5" t="str">
        <f ca="1">IFERROR(__xludf.DUMMYFUNCTION("""COMPUTED_VALUE"""),"Yes")</f>
        <v>Yes</v>
      </c>
      <c r="V111" s="5" t="str">
        <f ca="1">IFERROR(__xludf.DUMMYFUNCTION("""COMPUTED_VALUE"""),"Yes")</f>
        <v>Yes</v>
      </c>
      <c r="W111" s="5"/>
      <c r="X111" s="5" t="str">
        <f ca="1">IFERROR(__xludf.DUMMYFUNCTION("""COMPUTED_VALUE"""),"Yes")</f>
        <v>Yes</v>
      </c>
      <c r="Y111" s="5"/>
      <c r="Z111" s="5"/>
      <c r="AA111" s="5"/>
      <c r="AB111" s="5" t="str">
        <f ca="1">IFERROR(__xludf.DUMMYFUNCTION("""COMPUTED_VALUE"""),"Yes")</f>
        <v>Yes</v>
      </c>
      <c r="AC111" s="5" t="str">
        <f ca="1">IFERROR(__xludf.DUMMYFUNCTION("""COMPUTED_VALUE"""),"Yes")</f>
        <v>Yes</v>
      </c>
      <c r="AD111" s="5" t="str">
        <f ca="1">IFERROR(__xludf.DUMMYFUNCTION("""COMPUTED_VALUE"""),"Yes")</f>
        <v>Yes</v>
      </c>
      <c r="AE111" s="5" t="str">
        <f ca="1">IFERROR(__xludf.DUMMYFUNCTION("""COMPUTED_VALUE"""),"Yes")</f>
        <v>Yes</v>
      </c>
      <c r="AF111" s="5" t="str">
        <f ca="1">IFERROR(__xludf.DUMMYFUNCTION("""COMPUTED_VALUE"""),"Yes")</f>
        <v>Yes</v>
      </c>
      <c r="AG111" s="5"/>
      <c r="AH111" s="5" t="str">
        <f ca="1">IFERROR(__xludf.DUMMYFUNCTION("""COMPUTED_VALUE"""),"Yes")</f>
        <v>Yes</v>
      </c>
      <c r="AI111" s="5"/>
      <c r="AJ111" s="5"/>
      <c r="AK111" s="5"/>
      <c r="AL111" s="5"/>
      <c r="AM111" s="5"/>
      <c r="AN111" s="5"/>
      <c r="AO111" s="5" t="str">
        <f ca="1">IFERROR(__xludf.DUMMYFUNCTION("""COMPUTED_VALUE"""),"Yes")</f>
        <v>Yes</v>
      </c>
      <c r="AP111" s="5"/>
      <c r="AQ111" s="5"/>
      <c r="AR111" s="5"/>
      <c r="AS111" s="5" t="str">
        <f ca="1">IFERROR(__xludf.DUMMYFUNCTION("""COMPUTED_VALUE"""),"Yes")</f>
        <v>Yes</v>
      </c>
      <c r="AT111" s="5" t="str">
        <f ca="1">IFERROR(__xludf.DUMMYFUNCTION("""COMPUTED_VALUE"""),"Yes")</f>
        <v>Yes</v>
      </c>
      <c r="AU111" s="5"/>
    </row>
    <row r="112" spans="1:47" x14ac:dyDescent="0.25">
      <c r="A112" s="5" t="str">
        <f ca="1">IFERROR(__xludf.DUMMYFUNCTION("""COMPUTED_VALUE"""),"Tiptop")</f>
        <v>Tiptop</v>
      </c>
      <c r="B112" s="5" t="str">
        <f ca="1">IFERROR(__xludf.DUMMYFUNCTION("""COMPUTED_VALUE"""),"Dynamite Boom Dice")</f>
        <v>Dynamite Boom Dice</v>
      </c>
      <c r="C112" s="5" t="str">
        <f ca="1">IFERROR(__xludf.DUMMYFUNCTION("""COMPUTED_VALUE"""),"UnicornDynamiteBoomDice")</f>
        <v>UnicornDynamiteBoomDice</v>
      </c>
      <c r="D112" s="6">
        <f ca="1">IFERROR(__xludf.DUMMYFUNCTION("""COMPUTED_VALUE"""),46050)</f>
        <v>46050</v>
      </c>
      <c r="E112" s="5" t="str">
        <f ca="1">IFERROR(__xludf.DUMMYFUNCTION("""COMPUTED_VALUE"""),"Slot")</f>
        <v>Slot</v>
      </c>
      <c r="F112" s="5">
        <f ca="1">IFERROR(__xludf.DUMMYFUNCTION("""COMPUTED_VALUE"""),14.2)</f>
        <v>14.2</v>
      </c>
      <c r="G112" s="5" t="str">
        <f ca="1">IFERROR(__xludf.DUMMYFUNCTION("""COMPUTED_VALUE"""),"5X3")</f>
        <v>5X3</v>
      </c>
      <c r="H112" s="5">
        <f ca="1">IFERROR(__xludf.DUMMYFUNCTION("""COMPUTED_VALUE"""),5)</f>
        <v>5</v>
      </c>
      <c r="I112" s="5">
        <f ca="1">IFERROR(__xludf.DUMMYFUNCTION("""COMPUTED_VALUE"""),5)</f>
        <v>5</v>
      </c>
      <c r="J112" s="5" t="str">
        <f ca="1">IFERROR(__xludf.DUMMYFUNCTION("""COMPUTED_VALUE"""),"96%")</f>
        <v>96%</v>
      </c>
      <c r="K112" s="5" t="str">
        <f ca="1">IFERROR(__xludf.DUMMYFUNCTION("""COMPUTED_VALUE"""),"Low")</f>
        <v>Low</v>
      </c>
      <c r="L112" s="5" t="str">
        <f ca="1">IFERROR(__xludf.DUMMYFUNCTION("""COMPUTED_VALUE"""),"13.64%")</f>
        <v>13.64%</v>
      </c>
      <c r="M112" s="5" t="str">
        <f ca="1">IFERROR(__xludf.DUMMYFUNCTION("""COMPUTED_VALUE"""),"x10000")</f>
        <v>x10000</v>
      </c>
      <c r="N112" s="5" t="str">
        <f ca="1">IFERROR(__xludf.DUMMYFUNCTION("""COMPUTED_VALUE"""),"0.05/100")</f>
        <v>0.05/100</v>
      </c>
      <c r="O112" s="5" t="str">
        <f ca="1">IFERROR(__xludf.DUMMYFUNCTION("""COMPUTED_VALUE"""),"No")</f>
        <v>No</v>
      </c>
      <c r="P112" s="5"/>
      <c r="Q112" s="7" t="str">
        <f ca="1">IFERROR(__xludf.DUMMYFUNCTION("""COMPUTED_VALUE"""),"https://gameserver-store-client-area.orbionlimited.com/Home/IntegrationGameLaunch/client-area?moneyType=0&amp;gameName=UnicornDynamiteBoomDice&amp;platform=desktop&amp;languageCode=eng&amp;currency=EUR")</f>
        <v>https://gameserver-store-client-area.orbionlimited.com/Home/IntegrationGameLaunch/client-area?moneyType=0&amp;gameName=UnicornDynamiteBoomDice&amp;platform=desktop&amp;languageCode=eng&amp;currency=EUR</v>
      </c>
      <c r="R112" s="5" t="str">
        <f ca="1">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S112" s="5" t="str">
        <f ca="1">IFERROR(__xludf.DUMMYFUNCTION("""COMPUTED_VALUE"""),"English(""eng"")")</f>
        <v>English("eng")</v>
      </c>
      <c r="T112" s="5" t="str">
        <f ca="1">IFERROR(__xludf.DUMMYFUNCTION("""COMPUTED_VALUE"""),"Yes")</f>
        <v>Yes</v>
      </c>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row>
    <row r="113" spans="1:47" x14ac:dyDescent="0.25">
      <c r="A113" s="5" t="str">
        <f ca="1">IFERROR(__xludf.DUMMYFUNCTION("""COMPUTED_VALUE"""),"Tiptop")</f>
        <v>Tiptop</v>
      </c>
      <c r="B113" s="5" t="str">
        <f ca="1">IFERROR(__xludf.DUMMYFUNCTION("""COMPUTED_VALUE"""),"Buffalo Dice Jackpot")</f>
        <v>Buffalo Dice Jackpot</v>
      </c>
      <c r="C113" s="5" t="str">
        <f ca="1">IFERROR(__xludf.DUMMYFUNCTION("""COMPUTED_VALUE"""),"UnicornBuffaloDiceJackpot")</f>
        <v>UnicornBuffaloDiceJackpot</v>
      </c>
      <c r="D113" s="6">
        <f ca="1">IFERROR(__xludf.DUMMYFUNCTION("""COMPUTED_VALUE"""),46071)</f>
        <v>46071</v>
      </c>
      <c r="E113" s="5" t="str">
        <f ca="1">IFERROR(__xludf.DUMMYFUNCTION("""COMPUTED_VALUE"""),"Slot")</f>
        <v>Slot</v>
      </c>
      <c r="F113" s="5">
        <f ca="1">IFERROR(__xludf.DUMMYFUNCTION("""COMPUTED_VALUE"""),11.7)</f>
        <v>11.7</v>
      </c>
      <c r="G113" s="5" t="str">
        <f ca="1">IFERROR(__xludf.DUMMYFUNCTION("""COMPUTED_VALUE"""),"5X3")</f>
        <v>5X3</v>
      </c>
      <c r="H113" s="5">
        <f ca="1">IFERROR(__xludf.DUMMYFUNCTION("""COMPUTED_VALUE"""),10)</f>
        <v>10</v>
      </c>
      <c r="I113" s="5">
        <f ca="1">IFERROR(__xludf.DUMMYFUNCTION("""COMPUTED_VALUE"""),10)</f>
        <v>10</v>
      </c>
      <c r="J113" s="5" t="str">
        <f ca="1">IFERROR(__xludf.DUMMYFUNCTION("""COMPUTED_VALUE"""),"96%")</f>
        <v>96%</v>
      </c>
      <c r="K113" s="5" t="str">
        <f ca="1">IFERROR(__xludf.DUMMYFUNCTION("""COMPUTED_VALUE"""),"Low")</f>
        <v>Low</v>
      </c>
      <c r="L113" s="5" t="str">
        <f ca="1">IFERROR(__xludf.DUMMYFUNCTION("""COMPUTED_VALUE"""),"9.08%")</f>
        <v>9.08%</v>
      </c>
      <c r="M113" s="5" t="str">
        <f ca="1">IFERROR(__xludf.DUMMYFUNCTION("""COMPUTED_VALUE"""),"x10000")</f>
        <v>x10000</v>
      </c>
      <c r="N113" s="5" t="str">
        <f ca="1">IFERROR(__xludf.DUMMYFUNCTION("""COMPUTED_VALUE"""),"0.1/100")</f>
        <v>0.1/100</v>
      </c>
      <c r="O113" s="5" t="str">
        <f ca="1">IFERROR(__xludf.DUMMYFUNCTION("""COMPUTED_VALUE"""),"No")</f>
        <v>No</v>
      </c>
      <c r="P113" s="5"/>
      <c r="Q113" s="7" t="str">
        <f ca="1">IFERROR(__xludf.DUMMYFUNCTION("""COMPUTED_VALUE"""),"https://gameserver-store-client-area.orbionlimited.com/Home/IntegrationGameLaunch/client-area?moneyType=0&amp;gameName=UnicornBuffaloDiceJackpot&amp;platform=desktop&amp;languageCode=eng&amp;currency=EUR")</f>
        <v>https://gameserver-store-client-area.orbionlimited.com/Home/IntegrationGameLaunch/client-area?moneyType=0&amp;gameName=UnicornBuffaloDiceJackpot&amp;platform=desktop&amp;languageCode=eng&amp;currency=EUR</v>
      </c>
      <c r="R113" s="5" t="str">
        <f ca="1">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S113" s="5" t="str">
        <f ca="1">IFERROR(__xludf.DUMMYFUNCTION("""COMPUTED_VALUE"""),"English(""eng"")")</f>
        <v>English("eng")</v>
      </c>
      <c r="T113" s="5" t="str">
        <f ca="1">IFERROR(__xludf.DUMMYFUNCTION("""COMPUTED_VALUE"""),"Yes")</f>
        <v>Yes</v>
      </c>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row>
    <row r="114" spans="1:47" x14ac:dyDescent="0.25">
      <c r="A114" s="5" t="str">
        <f ca="1">IFERROR(__xludf.DUMMYFUNCTION("""COMPUTED_VALUE"""),"Tiptop")</f>
        <v>Tiptop</v>
      </c>
      <c r="B114" s="5" t="str">
        <f ca="1">IFERROR(__xludf.DUMMYFUNCTION("""COMPUTED_VALUE"""),"Triple Stacked Diamond Jackpot")</f>
        <v>Triple Stacked Diamond Jackpot</v>
      </c>
      <c r="C114" s="5" t="str">
        <f ca="1">IFERROR(__xludf.DUMMYFUNCTION("""COMPUTED_VALUE"""),"UnicornTripleStackedDiamondJackpot")</f>
        <v>UnicornTripleStackedDiamondJackpot</v>
      </c>
      <c r="D114" s="6">
        <f ca="1">IFERROR(__xludf.DUMMYFUNCTION("""COMPUTED_VALUE"""),46036)</f>
        <v>46036</v>
      </c>
      <c r="E114" s="5" t="str">
        <f ca="1">IFERROR(__xludf.DUMMYFUNCTION("""COMPUTED_VALUE"""),"Slot")</f>
        <v>Slot</v>
      </c>
      <c r="F114" s="5">
        <f ca="1">IFERROR(__xludf.DUMMYFUNCTION("""COMPUTED_VALUE"""),11.5)</f>
        <v>11.5</v>
      </c>
      <c r="G114" s="5" t="str">
        <f ca="1">IFERROR(__xludf.DUMMYFUNCTION("""COMPUTED_VALUE"""),"5X3")</f>
        <v>5X3</v>
      </c>
      <c r="H114" s="5">
        <f ca="1">IFERROR(__xludf.DUMMYFUNCTION("""COMPUTED_VALUE"""),10)</f>
        <v>10</v>
      </c>
      <c r="I114" s="5">
        <f ca="1">IFERROR(__xludf.DUMMYFUNCTION("""COMPUTED_VALUE"""),10)</f>
        <v>10</v>
      </c>
      <c r="J114" s="5" t="str">
        <f ca="1">IFERROR(__xludf.DUMMYFUNCTION("""COMPUTED_VALUE"""),"96%")</f>
        <v>96%</v>
      </c>
      <c r="K114" s="5" t="str">
        <f ca="1">IFERROR(__xludf.DUMMYFUNCTION("""COMPUTED_VALUE"""),"Low")</f>
        <v>Low</v>
      </c>
      <c r="L114" s="5" t="str">
        <f ca="1">IFERROR(__xludf.DUMMYFUNCTION("""COMPUTED_VALUE"""),"9.08%")</f>
        <v>9.08%</v>
      </c>
      <c r="M114" s="5" t="str">
        <f ca="1">IFERROR(__xludf.DUMMYFUNCTION("""COMPUTED_VALUE"""),"x10000")</f>
        <v>x10000</v>
      </c>
      <c r="N114" s="5" t="str">
        <f ca="1">IFERROR(__xludf.DUMMYFUNCTION("""COMPUTED_VALUE"""),"0.1/100")</f>
        <v>0.1/100</v>
      </c>
      <c r="O114" s="5" t="str">
        <f ca="1">IFERROR(__xludf.DUMMYFUNCTION("""COMPUTED_VALUE"""),"No")</f>
        <v>No</v>
      </c>
      <c r="P114" s="5"/>
      <c r="Q114" s="7" t="str">
        <f ca="1">IFERROR(__xludf.DUMMYFUNCTION("""COMPUTED_VALUE"""),"https://gameserver-store-client-area.orbionlimited.com/Home/IntegrationGameLaunch/client-area?moneyType=0&amp;gameName=UnicornTripleStackedDiamondJackpot&amp;platform=desktop&amp;languageCode=eng&amp;currency=EUR")</f>
        <v>https://gameserver-store-client-area.orbionlimited.com/Home/IntegrationGameLaunch/client-area?moneyType=0&amp;gameName=UnicornTripleStackedDiamondJackpot&amp;platform=desktop&amp;languageCode=eng&amp;currency=EUR</v>
      </c>
      <c r="R114" s="5" t="str">
        <f ca="1">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S114" s="5" t="str">
        <f ca="1">IFERROR(__xludf.DUMMYFUNCTION("""COMPUTED_VALUE"""),"English(""eng"")")</f>
        <v>English("eng")</v>
      </c>
      <c r="T114" s="5" t="str">
        <f ca="1">IFERROR(__xludf.DUMMYFUNCTION("""COMPUTED_VALUE"""),"Yes")</f>
        <v>Yes</v>
      </c>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row>
    <row r="115" spans="1:47" x14ac:dyDescent="0.25">
      <c r="A115" s="5" t="str">
        <f ca="1">IFERROR(__xludf.DUMMYFUNCTION("""COMPUTED_VALUE"""),"Tiptop")</f>
        <v>Tiptop</v>
      </c>
      <c r="B115" s="5" t="str">
        <f ca="1">IFERROR(__xludf.DUMMYFUNCTION("""COMPUTED_VALUE"""),"Three Reel Fruit Boost")</f>
        <v>Three Reel Fruit Boost</v>
      </c>
      <c r="C115" s="5" t="str">
        <f ca="1">IFERROR(__xludf.DUMMYFUNCTION("""COMPUTED_VALUE"""),"UnicornThreeReelFruitBoost")</f>
        <v>UnicornThreeReelFruitBoost</v>
      </c>
      <c r="D115" s="6">
        <f ca="1">IFERROR(__xludf.DUMMYFUNCTION("""COMPUTED_VALUE"""),46176)</f>
        <v>46176</v>
      </c>
      <c r="E115" s="5" t="str">
        <f ca="1">IFERROR(__xludf.DUMMYFUNCTION("""COMPUTED_VALUE"""),"Slot")</f>
        <v>Slot</v>
      </c>
      <c r="F115" s="5">
        <f ca="1">IFERROR(__xludf.DUMMYFUNCTION("""COMPUTED_VALUE"""),11.43)</f>
        <v>11.43</v>
      </c>
      <c r="G115" s="5" t="str">
        <f ca="1">IFERROR(__xludf.DUMMYFUNCTION("""COMPUTED_VALUE"""),"3X3")</f>
        <v>3X3</v>
      </c>
      <c r="H115" s="5">
        <f ca="1">IFERROR(__xludf.DUMMYFUNCTION("""COMPUTED_VALUE"""),5)</f>
        <v>5</v>
      </c>
      <c r="I115" s="5">
        <f ca="1">IFERROR(__xludf.DUMMYFUNCTION("""COMPUTED_VALUE"""),5)</f>
        <v>5</v>
      </c>
      <c r="J115" s="5" t="str">
        <f ca="1">IFERROR(__xludf.DUMMYFUNCTION("""COMPUTED_VALUE"""),"96%")</f>
        <v>96%</v>
      </c>
      <c r="K115" s="5" t="str">
        <f ca="1">IFERROR(__xludf.DUMMYFUNCTION("""COMPUTED_VALUE"""),"Low")</f>
        <v>Low</v>
      </c>
      <c r="L115" s="5" t="str">
        <f ca="1">IFERROR(__xludf.DUMMYFUNCTION("""COMPUTED_VALUE"""),"17.07%")</f>
        <v>17.07%</v>
      </c>
      <c r="M115" s="5" t="str">
        <f ca="1">IFERROR(__xludf.DUMMYFUNCTION("""COMPUTED_VALUE"""),"x500")</f>
        <v>x500</v>
      </c>
      <c r="N115" s="5" t="str">
        <f ca="1">IFERROR(__xludf.DUMMYFUNCTION("""COMPUTED_VALUE"""),"0.05/100")</f>
        <v>0.05/100</v>
      </c>
      <c r="O115" s="5" t="str">
        <f ca="1">IFERROR(__xludf.DUMMYFUNCTION("""COMPUTED_VALUE"""),"No")</f>
        <v>No</v>
      </c>
      <c r="P115" s="5"/>
      <c r="Q115" s="7" t="str">
        <f ca="1">IFERROR(__xludf.DUMMYFUNCTION("""COMPUTED_VALUE"""),"https://gameserver-store-client-area.orbionlimited.com/Home/IntegrationGameLaunch/client-area?moneyType=0&amp;gameName=UnicornThreeReelFruitBoost&amp;platform=desktop&amp;languageCode=eng&amp;currency=EUR")</f>
        <v>https://gameserver-store-client-area.orbionlimited.com/Home/IntegrationGameLaunch/client-area?moneyType=0&amp;gameName=UnicornThreeReelFruitBoost&amp;platform=desktop&amp;languageCode=eng&amp;currency=EUR</v>
      </c>
      <c r="R115" s="5" t="str">
        <f ca="1">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S115" s="5" t="str">
        <f ca="1">IFERROR(__xludf.DUMMYFUNCTION("""COMPUTED_VALUE"""),"English(""eng"")")</f>
        <v>English("eng")</v>
      </c>
      <c r="T115" s="5" t="str">
        <f ca="1">IFERROR(__xludf.DUMMYFUNCTION("""COMPUTED_VALUE"""),"Yes")</f>
        <v>Yes</v>
      </c>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row>
    <row r="116" spans="1:47" x14ac:dyDescent="0.25">
      <c r="A116" s="5" t="str">
        <f ca="1">IFERROR(__xludf.DUMMYFUNCTION("""COMPUTED_VALUE"""),"Tiptop")</f>
        <v>Tiptop</v>
      </c>
      <c r="B116" s="5" t="str">
        <f ca="1">IFERROR(__xludf.DUMMYFUNCTION("""COMPUTED_VALUE"""),"Super Dice Runner")</f>
        <v>Super Dice Runner</v>
      </c>
      <c r="C116" s="5" t="str">
        <f ca="1">IFERROR(__xludf.DUMMYFUNCTION("""COMPUTED_VALUE"""),"UnicornSuperDiceRunner")</f>
        <v>UnicornSuperDiceRunner</v>
      </c>
      <c r="D116" s="6">
        <f ca="1">IFERROR(__xludf.DUMMYFUNCTION("""COMPUTED_VALUE"""),46092)</f>
        <v>46092</v>
      </c>
      <c r="E116" s="5" t="str">
        <f ca="1">IFERROR(__xludf.DUMMYFUNCTION("""COMPUTED_VALUE"""),"Dice Slots")</f>
        <v>Dice Slots</v>
      </c>
      <c r="F116" s="5">
        <f ca="1">IFERROR(__xludf.DUMMYFUNCTION("""COMPUTED_VALUE"""),10.9)</f>
        <v>10.9</v>
      </c>
      <c r="G116" s="5" t="str">
        <f ca="1">IFERROR(__xludf.DUMMYFUNCTION("""COMPUTED_VALUE"""),"5X3")</f>
        <v>5X3</v>
      </c>
      <c r="H116" s="5">
        <f ca="1">IFERROR(__xludf.DUMMYFUNCTION("""COMPUTED_VALUE"""),5)</f>
        <v>5</v>
      </c>
      <c r="I116" s="5">
        <f ca="1">IFERROR(__xludf.DUMMYFUNCTION("""COMPUTED_VALUE"""),5)</f>
        <v>5</v>
      </c>
      <c r="J116" s="5" t="str">
        <f ca="1">IFERROR(__xludf.DUMMYFUNCTION("""COMPUTED_VALUE"""),"96%")</f>
        <v>96%</v>
      </c>
      <c r="K116" s="5" t="str">
        <f ca="1">IFERROR(__xludf.DUMMYFUNCTION("""COMPUTED_VALUE"""),"Low")</f>
        <v>Low</v>
      </c>
      <c r="L116" s="5" t="str">
        <f ca="1">IFERROR(__xludf.DUMMYFUNCTION("""COMPUTED_VALUE"""),"10.9%")</f>
        <v>10.9%</v>
      </c>
      <c r="M116" s="5" t="str">
        <f ca="1">IFERROR(__xludf.DUMMYFUNCTION("""COMPUTED_VALUE"""),"x1030")</f>
        <v>x1030</v>
      </c>
      <c r="N116" s="5" t="str">
        <f ca="1">IFERROR(__xludf.DUMMYFUNCTION("""COMPUTED_VALUE"""),"0.05/100")</f>
        <v>0.05/100</v>
      </c>
      <c r="O116" s="5" t="str">
        <f ca="1">IFERROR(__xludf.DUMMYFUNCTION("""COMPUTED_VALUE"""),"No")</f>
        <v>No</v>
      </c>
      <c r="P116" s="5"/>
      <c r="Q116" s="7" t="str">
        <f ca="1">IFERROR(__xludf.DUMMYFUNCTION("""COMPUTED_VALUE"""),"https://gameserver-store-client-area.orbionlimited.com/Home/IntegrationGameLaunch/client-area?moneyType=0&amp;gameName=UnicornSuperDiceRunner&amp;platform=desktop&amp;languageCode=eng&amp;currency=EUR")</f>
        <v>https://gameserver-store-client-area.orbionlimited.com/Home/IntegrationGameLaunch/client-area?moneyType=0&amp;gameName=UnicornSuperDiceRunner&amp;platform=desktop&amp;languageCode=eng&amp;currency=EUR</v>
      </c>
      <c r="R116" s="5" t="str">
        <f ca="1">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S116" s="5" t="str">
        <f ca="1">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T116" s="5" t="str">
        <f ca="1">IFERROR(__xludf.DUMMYFUNCTION("""COMPUTED_VALUE"""),"Yes")</f>
        <v>Yes</v>
      </c>
      <c r="U116" s="5" t="str">
        <f ca="1">IFERROR(__xludf.DUMMYFUNCTION("""COMPUTED_VALUE"""),"Yes")</f>
        <v>Yes</v>
      </c>
      <c r="V116" s="5" t="str">
        <f ca="1">IFERROR(__xludf.DUMMYFUNCTION("""COMPUTED_VALUE"""),"No")</f>
        <v>No</v>
      </c>
      <c r="W116" s="5" t="str">
        <f ca="1">IFERROR(__xludf.DUMMYFUNCTION("""COMPUTED_VALUE"""),"Yes")</f>
        <v>Yes</v>
      </c>
      <c r="X116" s="5" t="str">
        <f ca="1">IFERROR(__xludf.DUMMYFUNCTION("""COMPUTED_VALUE"""),"Yes")</f>
        <v>Yes</v>
      </c>
      <c r="Y116" s="5" t="str">
        <f ca="1">IFERROR(__xludf.DUMMYFUNCTION("""COMPUTED_VALUE"""),"Yes")</f>
        <v>Yes</v>
      </c>
      <c r="Z116" s="5"/>
      <c r="AA116" s="5" t="str">
        <f ca="1">IFERROR(__xludf.DUMMYFUNCTION("""COMPUTED_VALUE"""),"Yes")</f>
        <v>Yes</v>
      </c>
      <c r="AB116" s="5" t="str">
        <f ca="1">IFERROR(__xludf.DUMMYFUNCTION("""COMPUTED_VALUE"""),"Yes")</f>
        <v>Yes</v>
      </c>
      <c r="AC116" s="5" t="str">
        <f ca="1">IFERROR(__xludf.DUMMYFUNCTION("""COMPUTED_VALUE"""),"Yes")</f>
        <v>Yes</v>
      </c>
      <c r="AD116" s="5" t="str">
        <f ca="1">IFERROR(__xludf.DUMMYFUNCTION("""COMPUTED_VALUE"""),"Yes")</f>
        <v>Yes</v>
      </c>
      <c r="AE116" s="5" t="str">
        <f ca="1">IFERROR(__xludf.DUMMYFUNCTION("""COMPUTED_VALUE"""),"Yes")</f>
        <v>Yes</v>
      </c>
      <c r="AF116" s="5" t="str">
        <f ca="1">IFERROR(__xludf.DUMMYFUNCTION("""COMPUTED_VALUE"""),"Yes")</f>
        <v>Yes</v>
      </c>
      <c r="AG116" s="5" t="str">
        <f ca="1">IFERROR(__xludf.DUMMYFUNCTION("""COMPUTED_VALUE"""),"Yes")</f>
        <v>Yes</v>
      </c>
      <c r="AH116" s="5" t="str">
        <f ca="1">IFERROR(__xludf.DUMMYFUNCTION("""COMPUTED_VALUE"""),"Yes")</f>
        <v>Yes</v>
      </c>
      <c r="AI116" s="5" t="str">
        <f ca="1">IFERROR(__xludf.DUMMYFUNCTION("""COMPUTED_VALUE"""),"No")</f>
        <v>No</v>
      </c>
      <c r="AJ116" s="5" t="str">
        <f ca="1">IFERROR(__xludf.DUMMYFUNCTION("""COMPUTED_VALUE"""),"No")</f>
        <v>No</v>
      </c>
      <c r="AK116" s="5" t="str">
        <f ca="1">IFERROR(__xludf.DUMMYFUNCTION("""COMPUTED_VALUE"""),"No")</f>
        <v>No</v>
      </c>
      <c r="AL116" s="5" t="str">
        <f ca="1">IFERROR(__xludf.DUMMYFUNCTION("""COMPUTED_VALUE"""),"No")</f>
        <v>No</v>
      </c>
      <c r="AM116" s="5" t="str">
        <f ca="1">IFERROR(__xludf.DUMMYFUNCTION("""COMPUTED_VALUE"""),"No")</f>
        <v>No</v>
      </c>
      <c r="AN116" s="5" t="str">
        <f ca="1">IFERROR(__xludf.DUMMYFUNCTION("""COMPUTED_VALUE"""),"No")</f>
        <v>No</v>
      </c>
      <c r="AO116" s="5" t="str">
        <f ca="1">IFERROR(__xludf.DUMMYFUNCTION("""COMPUTED_VALUE"""),"Yes")</f>
        <v>Yes</v>
      </c>
      <c r="AP116" s="5" t="str">
        <f ca="1">IFERROR(__xludf.DUMMYFUNCTION("""COMPUTED_VALUE"""),"No")</f>
        <v>No</v>
      </c>
      <c r="AQ116" s="5" t="str">
        <f ca="1">IFERROR(__xludf.DUMMYFUNCTION("""COMPUTED_VALUE"""),"No")</f>
        <v>No</v>
      </c>
      <c r="AR116" s="5" t="str">
        <f ca="1">IFERROR(__xludf.DUMMYFUNCTION("""COMPUTED_VALUE"""),"No")</f>
        <v>No</v>
      </c>
      <c r="AS116" s="5" t="str">
        <f ca="1">IFERROR(__xludf.DUMMYFUNCTION("""COMPUTED_VALUE"""),"Yes")</f>
        <v>Yes</v>
      </c>
      <c r="AT116" s="5" t="str">
        <f ca="1">IFERROR(__xludf.DUMMYFUNCTION("""COMPUTED_VALUE"""),"No")</f>
        <v>No</v>
      </c>
      <c r="AU116" s="5"/>
    </row>
    <row r="117" spans="1:47" x14ac:dyDescent="0.25">
      <c r="A117" s="5" t="str">
        <f ca="1">IFERROR(__xludf.DUMMYFUNCTION("""COMPUTED_VALUE"""),"Tiptop")</f>
        <v>Tiptop</v>
      </c>
      <c r="B117" s="5" t="str">
        <f ca="1">IFERROR(__xludf.DUMMYFUNCTION("""COMPUTED_VALUE"""),"Lucky Ginger")</f>
        <v>Lucky Ginger</v>
      </c>
      <c r="C117" s="5" t="str">
        <f ca="1">IFERROR(__xludf.DUMMYFUNCTION("""COMPUTED_VALUE"""),"UnicornLuckyGinger")</f>
        <v>UnicornLuckyGinger</v>
      </c>
      <c r="D117" s="6">
        <f ca="1">IFERROR(__xludf.DUMMYFUNCTION("""COMPUTED_VALUE"""),46085)</f>
        <v>46085</v>
      </c>
      <c r="E117" s="5" t="str">
        <f ca="1">IFERROR(__xludf.DUMMYFUNCTION("""COMPUTED_VALUE"""),"Slot")</f>
        <v>Slot</v>
      </c>
      <c r="F117" s="5">
        <f ca="1">IFERROR(__xludf.DUMMYFUNCTION("""COMPUTED_VALUE"""),10.9)</f>
        <v>10.9</v>
      </c>
      <c r="G117" s="5" t="str">
        <f ca="1">IFERROR(__xludf.DUMMYFUNCTION("""COMPUTED_VALUE"""),"5X3")</f>
        <v>5X3</v>
      </c>
      <c r="H117" s="5">
        <f ca="1">IFERROR(__xludf.DUMMYFUNCTION("""COMPUTED_VALUE"""),5)</f>
        <v>5</v>
      </c>
      <c r="I117" s="5">
        <f ca="1">IFERROR(__xludf.DUMMYFUNCTION("""COMPUTED_VALUE"""),5)</f>
        <v>5</v>
      </c>
      <c r="J117" s="5" t="str">
        <f ca="1">IFERROR(__xludf.DUMMYFUNCTION("""COMPUTED_VALUE"""),"96%")</f>
        <v>96%</v>
      </c>
      <c r="K117" s="5" t="str">
        <f ca="1">IFERROR(__xludf.DUMMYFUNCTION("""COMPUTED_VALUE"""),"Low")</f>
        <v>Low</v>
      </c>
      <c r="L117" s="5" t="str">
        <f ca="1">IFERROR(__xludf.DUMMYFUNCTION("""COMPUTED_VALUE"""),"17.5%")</f>
        <v>17.5%</v>
      </c>
      <c r="M117" s="5" t="str">
        <f ca="1">IFERROR(__xludf.DUMMYFUNCTION("""COMPUTED_VALUE"""),"x1100")</f>
        <v>x1100</v>
      </c>
      <c r="N117" s="5" t="str">
        <f ca="1">IFERROR(__xludf.DUMMYFUNCTION("""COMPUTED_VALUE"""),"0.05/100")</f>
        <v>0.05/100</v>
      </c>
      <c r="O117" s="5" t="str">
        <f ca="1">IFERROR(__xludf.DUMMYFUNCTION("""COMPUTED_VALUE"""),"No")</f>
        <v>No</v>
      </c>
      <c r="P117" s="5"/>
      <c r="Q117" s="7" t="str">
        <f ca="1">IFERROR(__xludf.DUMMYFUNCTION("""COMPUTED_VALUE"""),"https://gameserver-store-client-area.orbionlimited.com/Home/IntegrationGameLaunch/client-area?moneyType=0&amp;gameName=UnicornLuckyGinger&amp;platform=desktop&amp;languageCode=eng&amp;currency=EUR")</f>
        <v>https://gameserver-store-client-area.orbionlimited.com/Home/IntegrationGameLaunch/client-area?moneyType=0&amp;gameName=UnicornLuckyGinger&amp;platform=desktop&amp;languageCode=eng&amp;currency=EUR</v>
      </c>
      <c r="R117" s="5" t="str">
        <f ca="1">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S117" s="5" t="str">
        <f ca="1">IFERROR(__xludf.DUMMYFUNCTION("""COMPUTED_VALUE"""),"")</f>
        <v/>
      </c>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row>
    <row r="118" spans="1:47" x14ac:dyDescent="0.25">
      <c r="A118" s="5" t="str">
        <f ca="1">IFERROR(__xludf.DUMMYFUNCTION("""COMPUTED_VALUE"""),"Tiptop")</f>
        <v>Tiptop</v>
      </c>
      <c r="B118" s="5" t="str">
        <f ca="1">IFERROR(__xludf.DUMMYFUNCTION("""COMPUTED_VALUE"""),"Lions Sevens Extreme")</f>
        <v>Lions Sevens Extreme</v>
      </c>
      <c r="C118" s="5" t="str">
        <f ca="1">IFERROR(__xludf.DUMMYFUNCTION("""COMPUTED_VALUE"""),"UnicornLionsSevensExtreme")</f>
        <v>UnicornLionsSevensExtreme</v>
      </c>
      <c r="D118" s="6">
        <f ca="1">IFERROR(__xludf.DUMMYFUNCTION("""COMPUTED_VALUE"""),46063)</f>
        <v>46063</v>
      </c>
      <c r="E118" s="5" t="str">
        <f ca="1">IFERROR(__xludf.DUMMYFUNCTION("""COMPUTED_VALUE"""),"Slot")</f>
        <v>Slot</v>
      </c>
      <c r="F118" s="5">
        <f ca="1">IFERROR(__xludf.DUMMYFUNCTION("""COMPUTED_VALUE"""),11.8)</f>
        <v>11.8</v>
      </c>
      <c r="G118" s="5" t="str">
        <f ca="1">IFERROR(__xludf.DUMMYFUNCTION("""COMPUTED_VALUE"""),"5x3")</f>
        <v>5x3</v>
      </c>
      <c r="H118" s="5">
        <f ca="1">IFERROR(__xludf.DUMMYFUNCTION("""COMPUTED_VALUE"""),5)</f>
        <v>5</v>
      </c>
      <c r="I118" s="5">
        <f ca="1">IFERROR(__xludf.DUMMYFUNCTION("""COMPUTED_VALUE"""),5)</f>
        <v>5</v>
      </c>
      <c r="J118" s="5" t="str">
        <f ca="1">IFERROR(__xludf.DUMMYFUNCTION("""COMPUTED_VALUE"""),"96%")</f>
        <v>96%</v>
      </c>
      <c r="K118" s="5" t="str">
        <f ca="1">IFERROR(__xludf.DUMMYFUNCTION("""COMPUTED_VALUE"""),"Low")</f>
        <v>Low</v>
      </c>
      <c r="L118" s="5" t="str">
        <f ca="1">IFERROR(__xludf.DUMMYFUNCTION("""COMPUTED_VALUE"""),"10.5%")</f>
        <v>10.5%</v>
      </c>
      <c r="M118" s="5" t="str">
        <f ca="1">IFERROR(__xludf.DUMMYFUNCTION("""COMPUTED_VALUE"""),"x10000")</f>
        <v>x10000</v>
      </c>
      <c r="N118" s="5" t="str">
        <f ca="1">IFERROR(__xludf.DUMMYFUNCTION("""COMPUTED_VALUE"""),"0.05/100")</f>
        <v>0.05/100</v>
      </c>
      <c r="O118" s="5" t="str">
        <f ca="1">IFERROR(__xludf.DUMMYFUNCTION("""COMPUTED_VALUE"""),"No")</f>
        <v>No</v>
      </c>
      <c r="P118" s="5"/>
      <c r="Q118" s="7" t="str">
        <f ca="1">IFERROR(__xludf.DUMMYFUNCTION("""COMPUTED_VALUE"""),"https://gameserver-store-client-area.orbionlimited.com/Home/IntegrationGameLaunch/client-area?moneyType=0&amp;gameName=UnicornLionsSevensExtreme&amp;platform=desktop&amp;languageCode=eng&amp;currency=EUR")</f>
        <v>https://gameserver-store-client-area.orbionlimited.com/Home/IntegrationGameLaunch/client-area?moneyType=0&amp;gameName=UnicornLionsSevensExtreme&amp;platform=desktop&amp;languageCode=eng&amp;currency=EUR</v>
      </c>
      <c r="R118" s="5" t="str">
        <f ca="1">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S11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8" s="5" t="str">
        <f ca="1">IFERROR(__xludf.DUMMYFUNCTION("""COMPUTED_VALUE"""),"Yes")</f>
        <v>Yes</v>
      </c>
      <c r="U118" s="5" t="str">
        <f ca="1">IFERROR(__xludf.DUMMYFUNCTION("""COMPUTED_VALUE"""),"Yes")</f>
        <v>Yes</v>
      </c>
      <c r="V118" s="5" t="str">
        <f ca="1">IFERROR(__xludf.DUMMYFUNCTION("""COMPUTED_VALUE"""),"No")</f>
        <v>No</v>
      </c>
      <c r="W118" s="5" t="str">
        <f ca="1">IFERROR(__xludf.DUMMYFUNCTION("""COMPUTED_VALUE"""),"Yes")</f>
        <v>Yes</v>
      </c>
      <c r="X118" s="5" t="str">
        <f ca="1">IFERROR(__xludf.DUMMYFUNCTION("""COMPUTED_VALUE"""),"Yes")</f>
        <v>Yes</v>
      </c>
      <c r="Y118" s="5" t="str">
        <f ca="1">IFERROR(__xludf.DUMMYFUNCTION("""COMPUTED_VALUE"""),"Yes")</f>
        <v>Yes</v>
      </c>
      <c r="Z118" s="5" t="str">
        <f ca="1">IFERROR(__xludf.DUMMYFUNCTION("""COMPUTED_VALUE"""),"Yes")</f>
        <v>Yes</v>
      </c>
      <c r="AA118" s="5" t="str">
        <f ca="1">IFERROR(__xludf.DUMMYFUNCTION("""COMPUTED_VALUE"""),"Yes")</f>
        <v>Yes</v>
      </c>
      <c r="AB118" s="5" t="str">
        <f ca="1">IFERROR(__xludf.DUMMYFUNCTION("""COMPUTED_VALUE"""),"Yes")</f>
        <v>Yes</v>
      </c>
      <c r="AC118" s="5" t="str">
        <f ca="1">IFERROR(__xludf.DUMMYFUNCTION("""COMPUTED_VALUE"""),"Yes")</f>
        <v>Yes</v>
      </c>
      <c r="AD118" s="5" t="str">
        <f ca="1">IFERROR(__xludf.DUMMYFUNCTION("""COMPUTED_VALUE"""),"Yes")</f>
        <v>Yes</v>
      </c>
      <c r="AE118" s="5" t="str">
        <f ca="1">IFERROR(__xludf.DUMMYFUNCTION("""COMPUTED_VALUE"""),"Yes")</f>
        <v>Yes</v>
      </c>
      <c r="AF118" s="5" t="str">
        <f ca="1">IFERROR(__xludf.DUMMYFUNCTION("""COMPUTED_VALUE"""),"Yes")</f>
        <v>Yes</v>
      </c>
      <c r="AG118" s="5" t="str">
        <f ca="1">IFERROR(__xludf.DUMMYFUNCTION("""COMPUTED_VALUE"""),"Yes")</f>
        <v>Yes</v>
      </c>
      <c r="AH118" s="5" t="str">
        <f ca="1">IFERROR(__xludf.DUMMYFUNCTION("""COMPUTED_VALUE"""),"Yes")</f>
        <v>Yes</v>
      </c>
      <c r="AI118" s="5" t="str">
        <f ca="1">IFERROR(__xludf.DUMMYFUNCTION("""COMPUTED_VALUE"""),"No")</f>
        <v>No</v>
      </c>
      <c r="AJ118" s="5" t="str">
        <f ca="1">IFERROR(__xludf.DUMMYFUNCTION("""COMPUTED_VALUE"""),"No")</f>
        <v>No</v>
      </c>
      <c r="AK118" s="5" t="str">
        <f ca="1">IFERROR(__xludf.DUMMYFUNCTION("""COMPUTED_VALUE"""),"No")</f>
        <v>No</v>
      </c>
      <c r="AL118" s="5" t="str">
        <f ca="1">IFERROR(__xludf.DUMMYFUNCTION("""COMPUTED_VALUE"""),"No")</f>
        <v>No</v>
      </c>
      <c r="AM118" s="5" t="str">
        <f ca="1">IFERROR(__xludf.DUMMYFUNCTION("""COMPUTED_VALUE"""),"No")</f>
        <v>No</v>
      </c>
      <c r="AN118" s="5"/>
      <c r="AO118" s="5" t="str">
        <f ca="1">IFERROR(__xludf.DUMMYFUNCTION("""COMPUTED_VALUE"""),"No")</f>
        <v>No</v>
      </c>
      <c r="AP118" s="5"/>
      <c r="AQ118" s="5"/>
      <c r="AR118" s="5"/>
      <c r="AS118" s="5" t="str">
        <f ca="1">IFERROR(__xludf.DUMMYFUNCTION("""COMPUTED_VALUE"""),"Yes")</f>
        <v>Yes</v>
      </c>
      <c r="AT118" s="5"/>
      <c r="AU118" s="5"/>
    </row>
    <row r="119" spans="1:47" x14ac:dyDescent="0.25">
      <c r="A119" s="5" t="str">
        <f ca="1">IFERROR(__xludf.DUMMYFUNCTION("""COMPUTED_VALUE"""),"Tiptop")</f>
        <v>Tiptop</v>
      </c>
      <c r="B119" s="5" t="str">
        <f ca="1">IFERROR(__xludf.DUMMYFUNCTION("""COMPUTED_VALUE"""),"Coyote Sevens Jackpot")</f>
        <v>Coyote Sevens Jackpot</v>
      </c>
      <c r="C119" s="5" t="str">
        <f ca="1">IFERROR(__xludf.DUMMYFUNCTION("""COMPUTED_VALUE"""),"UnicornCoyoteSevensJackpot")</f>
        <v>UnicornCoyoteSevensJackpot</v>
      </c>
      <c r="D119" s="6">
        <f ca="1">IFERROR(__xludf.DUMMYFUNCTION("""COMPUTED_VALUE"""),46077)</f>
        <v>46077</v>
      </c>
      <c r="E119" s="5" t="str">
        <f ca="1">IFERROR(__xludf.DUMMYFUNCTION("""COMPUTED_VALUE"""),"Slot")</f>
        <v>Slot</v>
      </c>
      <c r="F119" s="5">
        <f ca="1">IFERROR(__xludf.DUMMYFUNCTION("""COMPUTED_VALUE"""),11.3)</f>
        <v>11.3</v>
      </c>
      <c r="G119" s="5" t="str">
        <f ca="1">IFERROR(__xludf.DUMMYFUNCTION("""COMPUTED_VALUE"""),"5x3")</f>
        <v>5x3</v>
      </c>
      <c r="H119" s="5">
        <f ca="1">IFERROR(__xludf.DUMMYFUNCTION("""COMPUTED_VALUE"""),5)</f>
        <v>5</v>
      </c>
      <c r="I119" s="5">
        <f ca="1">IFERROR(__xludf.DUMMYFUNCTION("""COMPUTED_VALUE"""),5)</f>
        <v>5</v>
      </c>
      <c r="J119" s="5" t="str">
        <f ca="1">IFERROR(__xludf.DUMMYFUNCTION("""COMPUTED_VALUE"""),"96%")</f>
        <v>96%</v>
      </c>
      <c r="K119" s="5" t="str">
        <f ca="1">IFERROR(__xludf.DUMMYFUNCTION("""COMPUTED_VALUE"""),"Medium")</f>
        <v>Medium</v>
      </c>
      <c r="L119" s="5" t="str">
        <f ca="1">IFERROR(__xludf.DUMMYFUNCTION("""COMPUTED_VALUE"""),"10.11%")</f>
        <v>10.11%</v>
      </c>
      <c r="M119" s="5" t="str">
        <f ca="1">IFERROR(__xludf.DUMMYFUNCTION("""COMPUTED_VALUE"""),"x10000")</f>
        <v>x10000</v>
      </c>
      <c r="N119" s="5" t="str">
        <f ca="1">IFERROR(__xludf.DUMMYFUNCTION("""COMPUTED_VALUE"""),"0.05/100")</f>
        <v>0.05/100</v>
      </c>
      <c r="O119" s="5" t="str">
        <f ca="1">IFERROR(__xludf.DUMMYFUNCTION("""COMPUTED_VALUE"""),"No")</f>
        <v>No</v>
      </c>
      <c r="P119" s="5"/>
      <c r="Q119" s="7" t="str">
        <f ca="1">IFERROR(__xludf.DUMMYFUNCTION("""COMPUTED_VALUE"""),"https://gameserver-store-client-area.orbionlimited.com/Home/IntegrationGameLaunch/client-area?moneyType=0&amp;gameName=UnicornCoyoteSevensJackpot&amp;platform=desktop&amp;languageCode=eng&amp;currency=EUR")</f>
        <v>https://gameserver-store-client-area.orbionlimited.com/Home/IntegrationGameLaunch/client-area?moneyType=0&amp;gameName=UnicornCoyoteSevensJackpot&amp;platform=desktop&amp;languageCode=eng&amp;currency=EUR</v>
      </c>
      <c r="R119" s="5" t="str">
        <f ca="1">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S119" s="5" t="str">
        <f ca="1">IFERROR(__xludf.DUMMYFUNCTION("""COMPUTED_VALUE"""),"English(""eng"")")</f>
        <v>English("eng")</v>
      </c>
      <c r="T119" s="5" t="str">
        <f ca="1">IFERROR(__xludf.DUMMYFUNCTION("""COMPUTED_VALUE"""),"Yes")</f>
        <v>Yes</v>
      </c>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row>
    <row r="120" spans="1:47" x14ac:dyDescent="0.25">
      <c r="A120" s="5" t="str">
        <f ca="1">IFERROR(__xludf.DUMMYFUNCTION("""COMPUTED_VALUE"""),"Tiptop")</f>
        <v>Tiptop</v>
      </c>
      <c r="B120" s="5" t="str">
        <f ca="1">IFERROR(__xludf.DUMMYFUNCTION("""COMPUTED_VALUE"""),"Dragon Gems")</f>
        <v>Dragon Gems</v>
      </c>
      <c r="C120" s="5" t="str">
        <f ca="1">IFERROR(__xludf.DUMMYFUNCTION("""COMPUTED_VALUE"""),"UnicornDragonGems")</f>
        <v>UnicornDragonGems</v>
      </c>
      <c r="D120" s="6">
        <f ca="1">IFERROR(__xludf.DUMMYFUNCTION("""COMPUTED_VALUE"""),46073)</f>
        <v>46073</v>
      </c>
      <c r="E120" s="5" t="str">
        <f ca="1">IFERROR(__xludf.DUMMYFUNCTION("""COMPUTED_VALUE"""),"Slot")</f>
        <v>Slot</v>
      </c>
      <c r="F120" s="5">
        <f ca="1">IFERROR(__xludf.DUMMYFUNCTION("""COMPUTED_VALUE"""),14.1)</f>
        <v>14.1</v>
      </c>
      <c r="G120" s="5" t="str">
        <f ca="1">IFERROR(__xludf.DUMMYFUNCTION("""COMPUTED_VALUE"""),"5x3")</f>
        <v>5x3</v>
      </c>
      <c r="H120" s="5">
        <f ca="1">IFERROR(__xludf.DUMMYFUNCTION("""COMPUTED_VALUE"""),5)</f>
        <v>5</v>
      </c>
      <c r="I120" s="5">
        <f ca="1">IFERROR(__xludf.DUMMYFUNCTION("""COMPUTED_VALUE"""),5)</f>
        <v>5</v>
      </c>
      <c r="J120" s="5" t="str">
        <f ca="1">IFERROR(__xludf.DUMMYFUNCTION("""COMPUTED_VALUE"""),"96%")</f>
        <v>96%</v>
      </c>
      <c r="K120" s="5" t="str">
        <f ca="1">IFERROR(__xludf.DUMMYFUNCTION("""COMPUTED_VALUE"""),"Low")</f>
        <v>Low</v>
      </c>
      <c r="L120" s="5" t="str">
        <f ca="1">IFERROR(__xludf.DUMMYFUNCTION("""COMPUTED_VALUE"""),"14.4%")</f>
        <v>14.4%</v>
      </c>
      <c r="M120" s="5" t="str">
        <f ca="1">IFERROR(__xludf.DUMMYFUNCTION("""COMPUTED_VALUE"""),"x10000")</f>
        <v>x10000</v>
      </c>
      <c r="N120" s="5" t="str">
        <f ca="1">IFERROR(__xludf.DUMMYFUNCTION("""COMPUTED_VALUE"""),"0.05/100")</f>
        <v>0.05/100</v>
      </c>
      <c r="O120" s="5" t="str">
        <f ca="1">IFERROR(__xludf.DUMMYFUNCTION("""COMPUTED_VALUE"""),"No")</f>
        <v>No</v>
      </c>
      <c r="P120" s="5"/>
      <c r="Q120" s="7" t="str">
        <f ca="1">IFERROR(__xludf.DUMMYFUNCTION("""COMPUTED_VALUE"""),"https://gameserver-store-client-area.orbionlimited.com/Home/IntegrationGameLaunch/client-area?moneyType=0&amp;gameName=UnicornDragonGems&amp;platform=desktop&amp;languageCode=eng&amp;currency=EUR")</f>
        <v>https://gameserver-store-client-area.orbionlimited.com/Home/IntegrationGameLaunch/client-area?moneyType=0&amp;gameName=UnicornDragonGems&amp;platform=desktop&amp;languageCode=eng&amp;currency=EUR</v>
      </c>
      <c r="R120" s="5" t="str">
        <f ca="1">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S120" s="5" t="str">
        <f ca="1">IFERROR(__xludf.DUMMYFUNCTION("""COMPUTED_VALUE"""),"English(""eng"")")</f>
        <v>English("eng")</v>
      </c>
      <c r="T120" s="5" t="str">
        <f ca="1">IFERROR(__xludf.DUMMYFUNCTION("""COMPUTED_VALUE"""),"Yes")</f>
        <v>Yes</v>
      </c>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row>
    <row r="121" spans="1:47" x14ac:dyDescent="0.25">
      <c r="A121" s="5" t="str">
        <f ca="1">IFERROR(__xludf.DUMMYFUNCTION("""COMPUTED_VALUE"""),"Tiptop")</f>
        <v>Tiptop</v>
      </c>
      <c r="B121" s="5" t="str">
        <f ca="1">IFERROR(__xludf.DUMMYFUNCTION("""COMPUTED_VALUE"""),"Bye Bouse")</f>
        <v>Bye Bouse</v>
      </c>
      <c r="C121" s="5" t="str">
        <f ca="1">IFERROR(__xludf.DUMMYFUNCTION("""COMPUTED_VALUE"""),"UnicornByeBouse")</f>
        <v>UnicornByeBouse</v>
      </c>
      <c r="D121" s="6">
        <f ca="1">IFERROR(__xludf.DUMMYFUNCTION("""COMPUTED_VALUE"""),46120)</f>
        <v>46120</v>
      </c>
      <c r="E121" s="5" t="str">
        <f ca="1">IFERROR(__xludf.DUMMYFUNCTION("""COMPUTED_VALUE"""),"Slot")</f>
        <v>Slot</v>
      </c>
      <c r="F121" s="5">
        <f ca="1">IFERROR(__xludf.DUMMYFUNCTION("""COMPUTED_VALUE"""),15.3)</f>
        <v>15.3</v>
      </c>
      <c r="G121" s="5" t="str">
        <f ca="1">IFERROR(__xludf.DUMMYFUNCTION("""COMPUTED_VALUE"""),"5x4")</f>
        <v>5x4</v>
      </c>
      <c r="H121" s="5">
        <f ca="1">IFERROR(__xludf.DUMMYFUNCTION("""COMPUTED_VALUE"""),40)</f>
        <v>40</v>
      </c>
      <c r="I121" s="5">
        <f ca="1">IFERROR(__xludf.DUMMYFUNCTION("""COMPUTED_VALUE"""),40)</f>
        <v>40</v>
      </c>
      <c r="J121" s="5" t="str">
        <f ca="1">IFERROR(__xludf.DUMMYFUNCTION("""COMPUTED_VALUE"""),"96%")</f>
        <v>96%</v>
      </c>
      <c r="K121" s="5" t="str">
        <f ca="1">IFERROR(__xludf.DUMMYFUNCTION("""COMPUTED_VALUE"""),"Low")</f>
        <v>Low</v>
      </c>
      <c r="L121" s="5" t="str">
        <f ca="1">IFERROR(__xludf.DUMMYFUNCTION("""COMPUTED_VALUE"""),"17.365%")</f>
        <v>17.365%</v>
      </c>
      <c r="M121" s="5" t="str">
        <f ca="1">IFERROR(__xludf.DUMMYFUNCTION("""COMPUTED_VALUE"""),"x10000")</f>
        <v>x10000</v>
      </c>
      <c r="N121" s="5" t="str">
        <f ca="1">IFERROR(__xludf.DUMMYFUNCTION("""COMPUTED_VALUE"""),"0.05/100")</f>
        <v>0.05/100</v>
      </c>
      <c r="O121" s="5" t="str">
        <f ca="1">IFERROR(__xludf.DUMMYFUNCTION("""COMPUTED_VALUE"""),"No")</f>
        <v>No</v>
      </c>
      <c r="P121" s="5"/>
      <c r="Q121" s="7" t="str">
        <f ca="1">IFERROR(__xludf.DUMMYFUNCTION("""COMPUTED_VALUE"""),"https://gameserver-store-client-area.orbionlimited.com/Home/IntegrationGameLaunch/client-area?moneyType=0&amp;gameName=UnicornByeBouse&amp;platform=desktop&amp;languageCode=eng&amp;currency=EUR")</f>
        <v>https://gameserver-store-client-area.orbionlimited.com/Home/IntegrationGameLaunch/client-area?moneyType=0&amp;gameName=UnicornByeBouse&amp;platform=desktop&amp;languageCode=eng&amp;currency=EUR</v>
      </c>
      <c r="R121" s="5" t="str">
        <f ca="1">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S121" s="5" t="str">
        <f ca="1">IFERROR(__xludf.DUMMYFUNCTION("""COMPUTED_VALUE"""),"English(""eng"")")</f>
        <v>English("eng")</v>
      </c>
      <c r="T121" s="5" t="str">
        <f ca="1">IFERROR(__xludf.DUMMYFUNCTION("""COMPUTED_VALUE"""),"Yes")</f>
        <v>Yes</v>
      </c>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row>
    <row r="122" spans="1:47" x14ac:dyDescent="0.25">
      <c r="A122" s="5" t="str">
        <f ca="1">IFERROR(__xludf.DUMMYFUNCTION("""COMPUTED_VALUE"""),"Tiptop")</f>
        <v>Tiptop</v>
      </c>
      <c r="B122" s="5" t="str">
        <f ca="1">IFERROR(__xludf.DUMMYFUNCTION("""COMPUTED_VALUE"""),"Triple Royal Wilds")</f>
        <v>Triple Royal Wilds</v>
      </c>
      <c r="C122" s="5" t="str">
        <f ca="1">IFERROR(__xludf.DUMMYFUNCTION("""COMPUTED_VALUE"""),"UnicornTripleRoyalWilds")</f>
        <v>UnicornTripleRoyalWilds</v>
      </c>
      <c r="D122" s="6">
        <f ca="1">IFERROR(__xludf.DUMMYFUNCTION("""COMPUTED_VALUE"""),46106)</f>
        <v>46106</v>
      </c>
      <c r="E122" s="5" t="str">
        <f ca="1">IFERROR(__xludf.DUMMYFUNCTION("""COMPUTED_VALUE"""),"Slot")</f>
        <v>Slot</v>
      </c>
      <c r="F122" s="5">
        <f ca="1">IFERROR(__xludf.DUMMYFUNCTION("""COMPUTED_VALUE"""),12.05)</f>
        <v>12.05</v>
      </c>
      <c r="G122" s="5" t="str">
        <f ca="1">IFERROR(__xludf.DUMMYFUNCTION("""COMPUTED_VALUE"""),"5x3")</f>
        <v>5x3</v>
      </c>
      <c r="H122" s="5">
        <f ca="1">IFERROR(__xludf.DUMMYFUNCTION("""COMPUTED_VALUE"""),5)</f>
        <v>5</v>
      </c>
      <c r="I122" s="5">
        <f ca="1">IFERROR(__xludf.DUMMYFUNCTION("""COMPUTED_VALUE"""),5)</f>
        <v>5</v>
      </c>
      <c r="J122" s="5" t="str">
        <f ca="1">IFERROR(__xludf.DUMMYFUNCTION("""COMPUTED_VALUE"""),"96%")</f>
        <v>96%</v>
      </c>
      <c r="K122" s="5" t="str">
        <f ca="1">IFERROR(__xludf.DUMMYFUNCTION("""COMPUTED_VALUE"""),"Low")</f>
        <v>Low</v>
      </c>
      <c r="L122" s="5" t="str">
        <f ca="1">IFERROR(__xludf.DUMMYFUNCTION("""COMPUTED_VALUE"""),"18.4%")</f>
        <v>18.4%</v>
      </c>
      <c r="M122" s="5" t="str">
        <f ca="1">IFERROR(__xludf.DUMMYFUNCTION("""COMPUTED_VALUE"""),"x1150")</f>
        <v>x1150</v>
      </c>
      <c r="N122" s="5" t="str">
        <f ca="1">IFERROR(__xludf.DUMMYFUNCTION("""COMPUTED_VALUE"""),"0.05 / 100")</f>
        <v>0.05 / 100</v>
      </c>
      <c r="O122" s="5" t="str">
        <f ca="1">IFERROR(__xludf.DUMMYFUNCTION("""COMPUTED_VALUE"""),"No")</f>
        <v>No</v>
      </c>
      <c r="P122" s="5"/>
      <c r="Q122" s="7" t="str">
        <f ca="1">IFERROR(__xludf.DUMMYFUNCTION("""COMPUTED_VALUE"""),"https://gameserver-store-client-area.orbionlimited.com/Home/IntegrationGameLaunch/client-area?moneyType=0&amp;gameName=UnicornTripleRoyalWilds&amp;platform=desktop&amp;languageCode=eng&amp;currency=EUR")</f>
        <v>https://gameserver-store-client-area.orbionlimited.com/Home/IntegrationGameLaunch/client-area?moneyType=0&amp;gameName=UnicornTripleRoyalWilds&amp;platform=desktop&amp;languageCode=eng&amp;currency=EUR</v>
      </c>
      <c r="R122" s="5" t="str">
        <f ca="1">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S122" s="5" t="str">
        <f ca="1">IFERROR(__xludf.DUMMYFUNCTION("""COMPUTED_VALUE"""),"English(""eng"")")</f>
        <v>English("eng")</v>
      </c>
      <c r="T122" s="5" t="str">
        <f ca="1">IFERROR(__xludf.DUMMYFUNCTION("""COMPUTED_VALUE"""),"Yes")</f>
        <v>Yes</v>
      </c>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row>
    <row r="123" spans="1:47" x14ac:dyDescent="0.25">
      <c r="A123" s="5" t="str">
        <f ca="1">IFERROR(__xludf.DUMMYFUNCTION("""COMPUTED_VALUE"""),"Tiptop")</f>
        <v>Tiptop</v>
      </c>
      <c r="B123" s="5" t="str">
        <f ca="1">IFERROR(__xludf.DUMMYFUNCTION("""COMPUTED_VALUE"""),"Three Reel Triple Fruit")</f>
        <v>Three Reel Triple Fruit</v>
      </c>
      <c r="C123" s="5" t="str">
        <f ca="1">IFERROR(__xludf.DUMMYFUNCTION("""COMPUTED_VALUE"""),"UnicornThreeReelTripleFruit")</f>
        <v>UnicornThreeReelTripleFruit</v>
      </c>
      <c r="D123" s="6">
        <f ca="1">IFERROR(__xludf.DUMMYFUNCTION("""COMPUTED_VALUE"""),46099)</f>
        <v>46099</v>
      </c>
      <c r="E123" s="5" t="str">
        <f ca="1">IFERROR(__xludf.DUMMYFUNCTION("""COMPUTED_VALUE"""),"Slot")</f>
        <v>Slot</v>
      </c>
      <c r="F123" s="5">
        <f ca="1">IFERROR(__xludf.DUMMYFUNCTION("""COMPUTED_VALUE"""),11.54)</f>
        <v>11.54</v>
      </c>
      <c r="G123" s="5" t="str">
        <f ca="1">IFERROR(__xludf.DUMMYFUNCTION("""COMPUTED_VALUE"""),"3x3")</f>
        <v>3x3</v>
      </c>
      <c r="H123" s="5">
        <f ca="1">IFERROR(__xludf.DUMMYFUNCTION("""COMPUTED_VALUE"""),5)</f>
        <v>5</v>
      </c>
      <c r="I123" s="5">
        <f ca="1">IFERROR(__xludf.DUMMYFUNCTION("""COMPUTED_VALUE"""),5)</f>
        <v>5</v>
      </c>
      <c r="J123" s="5" t="str">
        <f ca="1">IFERROR(__xludf.DUMMYFUNCTION("""COMPUTED_VALUE"""),"96%")</f>
        <v>96%</v>
      </c>
      <c r="K123" s="5" t="str">
        <f ca="1">IFERROR(__xludf.DUMMYFUNCTION("""COMPUTED_VALUE"""),"Low")</f>
        <v>Low</v>
      </c>
      <c r="L123" s="5" t="str">
        <f ca="1">IFERROR(__xludf.DUMMYFUNCTION("""COMPUTED_VALUE"""),"18.4%")</f>
        <v>18.4%</v>
      </c>
      <c r="M123" s="5" t="str">
        <f ca="1">IFERROR(__xludf.DUMMYFUNCTION("""COMPUTED_VALUE"""),"x350")</f>
        <v>x350</v>
      </c>
      <c r="N123" s="5" t="str">
        <f ca="1">IFERROR(__xludf.DUMMYFUNCTION("""COMPUTED_VALUE"""),"0.05/100")</f>
        <v>0.05/100</v>
      </c>
      <c r="O123" s="5" t="str">
        <f ca="1">IFERROR(__xludf.DUMMYFUNCTION("""COMPUTED_VALUE"""),"No")</f>
        <v>No</v>
      </c>
      <c r="P123" s="5"/>
      <c r="Q123" s="5" t="str">
        <f ca="1">IFERROR(__xludf.DUMMYFUNCTION("""COMPUTED_VALUE"""),"https://gameserver-store-client-area.orbionlimited.com/Home/IntegrationGameLaunch/client-area?moneyType=0&amp;gameName=Three Reel Triple Fruit&amp;platform=desktop&amp;languageCode=eng&amp;currency=EUR")</f>
        <v>https://gameserver-store-client-area.orbionlimited.com/Home/IntegrationGameLaunch/client-area?moneyType=0&amp;gameName=Three Reel Triple Fruit&amp;platform=desktop&amp;languageCode=eng&amp;currency=EUR</v>
      </c>
      <c r="R123" s="5" t="str">
        <f ca="1">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S123" s="5" t="str">
        <f ca="1">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T123" s="5" t="str">
        <f ca="1">IFERROR(__xludf.DUMMYFUNCTION("""COMPUTED_VALUE"""),"Yes")</f>
        <v>Yes</v>
      </c>
      <c r="U123" s="5" t="str">
        <f ca="1">IFERROR(__xludf.DUMMYFUNCTION("""COMPUTED_VALUE"""),"Yes")</f>
        <v>Yes</v>
      </c>
      <c r="V123" s="5" t="str">
        <f ca="1">IFERROR(__xludf.DUMMYFUNCTION("""COMPUTED_VALUE"""),"Yes")</f>
        <v>Yes</v>
      </c>
      <c r="W123" s="5" t="str">
        <f ca="1">IFERROR(__xludf.DUMMYFUNCTION("""COMPUTED_VALUE"""),"No")</f>
        <v>No</v>
      </c>
      <c r="X123" s="5" t="str">
        <f ca="1">IFERROR(__xludf.DUMMYFUNCTION("""COMPUTED_VALUE"""),"Yes")</f>
        <v>Yes</v>
      </c>
      <c r="Y123" s="5" t="str">
        <f ca="1">IFERROR(__xludf.DUMMYFUNCTION("""COMPUTED_VALUE"""),"No")</f>
        <v>No</v>
      </c>
      <c r="Z123" s="5" t="str">
        <f ca="1">IFERROR(__xludf.DUMMYFUNCTION("""COMPUTED_VALUE"""),"No")</f>
        <v>No</v>
      </c>
      <c r="AA123" s="5" t="str">
        <f ca="1">IFERROR(__xludf.DUMMYFUNCTION("""COMPUTED_VALUE"""),"No")</f>
        <v>No</v>
      </c>
      <c r="AB123" s="5" t="str">
        <f ca="1">IFERROR(__xludf.DUMMYFUNCTION("""COMPUTED_VALUE"""),"Yes")</f>
        <v>Yes</v>
      </c>
      <c r="AC123" s="5" t="str">
        <f ca="1">IFERROR(__xludf.DUMMYFUNCTION("""COMPUTED_VALUE"""),"Yes")</f>
        <v>Yes</v>
      </c>
      <c r="AD123" s="5" t="str">
        <f ca="1">IFERROR(__xludf.DUMMYFUNCTION("""COMPUTED_VALUE"""),"Yes")</f>
        <v>Yes</v>
      </c>
      <c r="AE123" s="5" t="str">
        <f ca="1">IFERROR(__xludf.DUMMYFUNCTION("""COMPUTED_VALUE"""),"Yes")</f>
        <v>Yes</v>
      </c>
      <c r="AF123" s="5" t="str">
        <f ca="1">IFERROR(__xludf.DUMMYFUNCTION("""COMPUTED_VALUE"""),"Yes")</f>
        <v>Yes</v>
      </c>
      <c r="AG123" s="5" t="str">
        <f ca="1">IFERROR(__xludf.DUMMYFUNCTION("""COMPUTED_VALUE"""),"No")</f>
        <v>No</v>
      </c>
      <c r="AH123" s="5" t="str">
        <f ca="1">IFERROR(__xludf.DUMMYFUNCTION("""COMPUTED_VALUE"""),"Yes")</f>
        <v>Yes</v>
      </c>
      <c r="AI123" s="5" t="str">
        <f ca="1">IFERROR(__xludf.DUMMYFUNCTION("""COMPUTED_VALUE"""),"No")</f>
        <v>No</v>
      </c>
      <c r="AJ123" s="5"/>
      <c r="AK123" s="5"/>
      <c r="AL123" s="5"/>
      <c r="AM123" s="5" t="str">
        <f ca="1">IFERROR(__xludf.DUMMYFUNCTION("""COMPUTED_VALUE"""),"No")</f>
        <v>No</v>
      </c>
      <c r="AN123" s="5" t="str">
        <f ca="1">IFERROR(__xludf.DUMMYFUNCTION("""COMPUTED_VALUE"""),"Yes")</f>
        <v>Yes</v>
      </c>
      <c r="AO123" s="5" t="str">
        <f ca="1">IFERROR(__xludf.DUMMYFUNCTION("""COMPUTED_VALUE"""),"Yes")</f>
        <v>Yes</v>
      </c>
      <c r="AP123" s="5"/>
      <c r="AQ123" s="5"/>
      <c r="AR123" s="5"/>
      <c r="AS123" s="5" t="str">
        <f ca="1">IFERROR(__xludf.DUMMYFUNCTION("""COMPUTED_VALUE"""),"Yes")</f>
        <v>Yes</v>
      </c>
      <c r="AT123" s="5" t="str">
        <f ca="1">IFERROR(__xludf.DUMMYFUNCTION("""COMPUTED_VALUE"""),"Yes")</f>
        <v>Yes</v>
      </c>
      <c r="AU123" s="5"/>
    </row>
    <row r="124" spans="1:47" x14ac:dyDescent="0.25">
      <c r="A124" s="5" t="str">
        <f ca="1">IFERROR(__xludf.DUMMYFUNCTION("""COMPUTED_VALUE"""),"Tiptop")</f>
        <v>Tiptop</v>
      </c>
      <c r="B124" s="5" t="str">
        <f ca="1">IFERROR(__xludf.DUMMYFUNCTION("""COMPUTED_VALUE"""),"Hot Fireballs")</f>
        <v>Hot Fireballs</v>
      </c>
      <c r="C124" s="5" t="str">
        <f ca="1">IFERROR(__xludf.DUMMYFUNCTION("""COMPUTED_VALUE"""),"UnicornHotFireballs")</f>
        <v>UnicornHotFireballs</v>
      </c>
      <c r="D124" s="6">
        <f ca="1">IFERROR(__xludf.DUMMYFUNCTION("""COMPUTED_VALUE"""),46113)</f>
        <v>46113</v>
      </c>
      <c r="E124" s="5" t="str">
        <f ca="1">IFERROR(__xludf.DUMMYFUNCTION("""COMPUTED_VALUE"""),"Slot")</f>
        <v>Slot</v>
      </c>
      <c r="F124" s="5">
        <f ca="1">IFERROR(__xludf.DUMMYFUNCTION("""COMPUTED_VALUE"""),15.92)</f>
        <v>15.92</v>
      </c>
      <c r="G124" s="5" t="str">
        <f ca="1">IFERROR(__xludf.DUMMYFUNCTION("""COMPUTED_VALUE"""),"5x3")</f>
        <v>5x3</v>
      </c>
      <c r="H124" s="5">
        <f ca="1">IFERROR(__xludf.DUMMYFUNCTION("""COMPUTED_VALUE"""),5)</f>
        <v>5</v>
      </c>
      <c r="I124" s="5">
        <f ca="1">IFERROR(__xludf.DUMMYFUNCTION("""COMPUTED_VALUE"""),5)</f>
        <v>5</v>
      </c>
      <c r="J124" s="5" t="str">
        <f ca="1">IFERROR(__xludf.DUMMYFUNCTION("""COMPUTED_VALUE"""),"96%")</f>
        <v>96%</v>
      </c>
      <c r="K124" s="5" t="str">
        <f ca="1">IFERROR(__xludf.DUMMYFUNCTION("""COMPUTED_VALUE"""),"Low")</f>
        <v>Low</v>
      </c>
      <c r="L124" s="5" t="str">
        <f ca="1">IFERROR(__xludf.DUMMYFUNCTION("""COMPUTED_VALUE"""),"15.33%")</f>
        <v>15.33%</v>
      </c>
      <c r="M124" s="5" t="str">
        <f ca="1">IFERROR(__xludf.DUMMYFUNCTION("""COMPUTED_VALUE"""),"x1260")</f>
        <v>x1260</v>
      </c>
      <c r="N124" s="5" t="str">
        <f ca="1">IFERROR(__xludf.DUMMYFUNCTION("""COMPUTED_VALUE"""),"0.1/100")</f>
        <v>0.1/100</v>
      </c>
      <c r="O124" s="5" t="str">
        <f ca="1">IFERROR(__xludf.DUMMYFUNCTION("""COMPUTED_VALUE"""),"No")</f>
        <v>No</v>
      </c>
      <c r="P124" s="5"/>
      <c r="Q124" s="7" t="str">
        <f ca="1">IFERROR(__xludf.DUMMYFUNCTION("""COMPUTED_VALUE"""),"https://gameserver-store-client-area.orbionlimited.com/Home/IntegrationGameLaunch/client-area?moneyType=0&amp;gameName=UnicornHotFireballs&amp;platform=desktop&amp;languageCode=eng&amp;currency=EUR")</f>
        <v>https://gameserver-store-client-area.orbionlimited.com/Home/IntegrationGameLaunch/client-area?moneyType=0&amp;gameName=UnicornHotFireballs&amp;platform=desktop&amp;languageCode=eng&amp;currency=EUR</v>
      </c>
      <c r="R124" s="5" t="str">
        <f ca="1">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S124" s="5" t="str">
        <f ca="1">IFERROR(__xludf.DUMMYFUNCTION("""COMPUTED_VALUE"""),"English(""eng"")")</f>
        <v>English("eng")</v>
      </c>
      <c r="T124" s="5" t="str">
        <f ca="1">IFERROR(__xludf.DUMMYFUNCTION("""COMPUTED_VALUE"""),"Yes")</f>
        <v>Yes</v>
      </c>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row>
    <row r="125" spans="1:47" x14ac:dyDescent="0.25">
      <c r="A125" s="5" t="str">
        <f ca="1">IFERROR(__xludf.DUMMYFUNCTION("""COMPUTED_VALUE"""),"Tiptop")</f>
        <v>Tiptop</v>
      </c>
      <c r="B125" s="5" t="str">
        <f ca="1">IFERROR(__xludf.DUMMYFUNCTION("""COMPUTED_VALUE"""),"Three Reel Dice")</f>
        <v>Three Reel Dice</v>
      </c>
      <c r="C125" s="5" t="str">
        <f ca="1">IFERROR(__xludf.DUMMYFUNCTION("""COMPUTED_VALUE"""),"UnicornThreeReelDice")</f>
        <v>UnicornThreeReelDice</v>
      </c>
      <c r="D125" s="6">
        <f ca="1">IFERROR(__xludf.DUMMYFUNCTION("""COMPUTED_VALUE"""),46127)</f>
        <v>46127</v>
      </c>
      <c r="E125" s="5" t="str">
        <f ca="1">IFERROR(__xludf.DUMMYFUNCTION("""COMPUTED_VALUE"""),"Dice Slots")</f>
        <v>Dice Slots</v>
      </c>
      <c r="F125" s="5">
        <f ca="1">IFERROR(__xludf.DUMMYFUNCTION("""COMPUTED_VALUE"""),10.4)</f>
        <v>10.4</v>
      </c>
      <c r="G125" s="5" t="str">
        <f ca="1">IFERROR(__xludf.DUMMYFUNCTION("""COMPUTED_VALUE"""),"3x3")</f>
        <v>3x3</v>
      </c>
      <c r="H125" s="5">
        <f ca="1">IFERROR(__xludf.DUMMYFUNCTION("""COMPUTED_VALUE"""),5)</f>
        <v>5</v>
      </c>
      <c r="I125" s="5">
        <f ca="1">IFERROR(__xludf.DUMMYFUNCTION("""COMPUTED_VALUE"""),5)</f>
        <v>5</v>
      </c>
      <c r="J125" s="5" t="str">
        <f ca="1">IFERROR(__xludf.DUMMYFUNCTION("""COMPUTED_VALUE"""),"96%")</f>
        <v>96%</v>
      </c>
      <c r="K125" s="5" t="str">
        <f ca="1">IFERROR(__xludf.DUMMYFUNCTION("""COMPUTED_VALUE"""),"Low")</f>
        <v>Low</v>
      </c>
      <c r="L125" s="5" t="str">
        <f ca="1">IFERROR(__xludf.DUMMYFUNCTION("""COMPUTED_VALUE"""),"12.6%")</f>
        <v>12.6%</v>
      </c>
      <c r="M125" s="5" t="str">
        <f ca="1">IFERROR(__xludf.DUMMYFUNCTION("""COMPUTED_VALUE"""),"x1000")</f>
        <v>x1000</v>
      </c>
      <c r="N125" s="5" t="str">
        <f ca="1">IFERROR(__xludf.DUMMYFUNCTION("""COMPUTED_VALUE"""),"0.05/100")</f>
        <v>0.05/100</v>
      </c>
      <c r="O125" s="5" t="str">
        <f ca="1">IFERROR(__xludf.DUMMYFUNCTION("""COMPUTED_VALUE"""),"No")</f>
        <v>No</v>
      </c>
      <c r="P125" s="5"/>
      <c r="Q125" s="7" t="str">
        <f ca="1">IFERROR(__xludf.DUMMYFUNCTION("""COMPUTED_VALUE"""),"https://gameserver-store-client-area.orbionlimited.com/Home/IntegrationGameLaunch/client-area?moneyType=0&amp;gameName=UnicornThreeReelDice&amp;platform=desktop&amp;languageCode=eng&amp;currency=EUR")</f>
        <v>https://gameserver-store-client-area.orbionlimited.com/Home/IntegrationGameLaunch/client-area?moneyType=0&amp;gameName=UnicornThreeReelDice&amp;platform=desktop&amp;languageCode=eng&amp;currency=EUR</v>
      </c>
      <c r="R125" s="5" t="str">
        <f ca="1">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S125" s="5" t="str">
        <f ca="1">IFERROR(__xludf.DUMMYFUNCTION("""COMPUTED_VALUE"""),"English(""eng"")")</f>
        <v>English("eng")</v>
      </c>
      <c r="T125" s="5" t="str">
        <f ca="1">IFERROR(__xludf.DUMMYFUNCTION("""COMPUTED_VALUE"""),"Yes")</f>
        <v>Yes</v>
      </c>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row>
    <row r="126" spans="1:47" x14ac:dyDescent="0.25">
      <c r="A126" s="5" t="str">
        <f ca="1">IFERROR(__xludf.DUMMYFUNCTION("""COMPUTED_VALUE"""),"Tiptop")</f>
        <v>Tiptop</v>
      </c>
      <c r="B126" s="5" t="str">
        <f ca="1">IFERROR(__xludf.DUMMYFUNCTION("""COMPUTED_VALUE"""),"Tropical Treasure")</f>
        <v>Tropical Treasure</v>
      </c>
      <c r="C126" s="5" t="str">
        <f ca="1">IFERROR(__xludf.DUMMYFUNCTION("""COMPUTED_VALUE"""),"UnicornTropicalTreasure")</f>
        <v>UnicornTropicalTreasure</v>
      </c>
      <c r="D126" s="6">
        <f ca="1">IFERROR(__xludf.DUMMYFUNCTION("""COMPUTED_VALUE"""),46134)</f>
        <v>46134</v>
      </c>
      <c r="E126" s="5" t="str">
        <f ca="1">IFERROR(__xludf.DUMMYFUNCTION("""COMPUTED_VALUE"""),"Slot")</f>
        <v>Slot</v>
      </c>
      <c r="F126" s="5">
        <f ca="1">IFERROR(__xludf.DUMMYFUNCTION("""COMPUTED_VALUE"""),10.91)</f>
        <v>10.91</v>
      </c>
      <c r="G126" s="5" t="str">
        <f ca="1">IFERROR(__xludf.DUMMYFUNCTION("""COMPUTED_VALUE"""),"5x3")</f>
        <v>5x3</v>
      </c>
      <c r="H126" s="5">
        <f ca="1">IFERROR(__xludf.DUMMYFUNCTION("""COMPUTED_VALUE"""),5)</f>
        <v>5</v>
      </c>
      <c r="I126" s="5">
        <f ca="1">IFERROR(__xludf.DUMMYFUNCTION("""COMPUTED_VALUE"""),5)</f>
        <v>5</v>
      </c>
      <c r="J126" s="5" t="str">
        <f ca="1">IFERROR(__xludf.DUMMYFUNCTION("""COMPUTED_VALUE"""),"96%")</f>
        <v>96%</v>
      </c>
      <c r="K126" s="5" t="str">
        <f ca="1">IFERROR(__xludf.DUMMYFUNCTION("""COMPUTED_VALUE"""),"Low")</f>
        <v>Low</v>
      </c>
      <c r="L126" s="5" t="str">
        <f ca="1">IFERROR(__xludf.DUMMYFUNCTION("""COMPUTED_VALUE"""),"11.15%")</f>
        <v>11.15%</v>
      </c>
      <c r="M126" s="5" t="str">
        <f ca="1">IFERROR(__xludf.DUMMYFUNCTION("""COMPUTED_VALUE"""),"x1400")</f>
        <v>x1400</v>
      </c>
      <c r="N126" s="5" t="str">
        <f ca="1">IFERROR(__xludf.DUMMYFUNCTION("""COMPUTED_VALUE"""),"0.05/100")</f>
        <v>0.05/100</v>
      </c>
      <c r="O126" s="5" t="str">
        <f ca="1">IFERROR(__xludf.DUMMYFUNCTION("""COMPUTED_VALUE"""),"No")</f>
        <v>No</v>
      </c>
      <c r="P126" s="5"/>
      <c r="Q126" s="7" t="str">
        <f ca="1">IFERROR(__xludf.DUMMYFUNCTION("""COMPUTED_VALUE"""),"https://gameserver-store-client-area.orbionlimited.com/Home/IntegrationGameLaunch/client-area?moneyType=0&amp;gameName=UnicornTropicalTreasure&amp;platform=desktop&amp;languageCode=eng&amp;currency=EUR")</f>
        <v>https://gameserver-store-client-area.orbionlimited.com/Home/IntegrationGameLaunch/client-area?moneyType=0&amp;gameName=UnicornTropicalTreasure&amp;platform=desktop&amp;languageCode=eng&amp;currency=EUR</v>
      </c>
      <c r="R126" s="5" t="str">
        <f ca="1">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S126" s="5" t="str">
        <f ca="1">IFERROR(__xludf.DUMMYFUNCTION("""COMPUTED_VALUE"""),"English(""eng"")")</f>
        <v>English("eng")</v>
      </c>
      <c r="T126" s="5" t="str">
        <f ca="1">IFERROR(__xludf.DUMMYFUNCTION("""COMPUTED_VALUE"""),"Yes")</f>
        <v>Yes</v>
      </c>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row>
    <row r="127" spans="1:47" x14ac:dyDescent="0.25">
      <c r="A127" s="5" t="str">
        <f ca="1">IFERROR(__xludf.DUMMYFUNCTION("""COMPUTED_VALUE"""),"Tiptop")</f>
        <v>Tiptop</v>
      </c>
      <c r="B127" s="5" t="str">
        <f ca="1">IFERROR(__xludf.DUMMYFUNCTION("""COMPUTED_VALUE"""),"Golden Gate Fruit")</f>
        <v>Golden Gate Fruit</v>
      </c>
      <c r="C127" s="5" t="str">
        <f ca="1">IFERROR(__xludf.DUMMYFUNCTION("""COMPUTED_VALUE"""),"UnicornGoldenGateFruit")</f>
        <v>UnicornGoldenGateFruit</v>
      </c>
      <c r="D127" s="6">
        <f ca="1">IFERROR(__xludf.DUMMYFUNCTION("""COMPUTED_VALUE"""),46141)</f>
        <v>46141</v>
      </c>
      <c r="E127" s="5" t="str">
        <f ca="1">IFERROR(__xludf.DUMMYFUNCTION("""COMPUTED_VALUE"""),"Slot")</f>
        <v>Slot</v>
      </c>
      <c r="F127" s="5">
        <f ca="1">IFERROR(__xludf.DUMMYFUNCTION("""COMPUTED_VALUE"""),12.24)</f>
        <v>12.24</v>
      </c>
      <c r="G127" s="5" t="str">
        <f ca="1">IFERROR(__xludf.DUMMYFUNCTION("""COMPUTED_VALUE"""),"5x3")</f>
        <v>5x3</v>
      </c>
      <c r="H127" s="5">
        <f ca="1">IFERROR(__xludf.DUMMYFUNCTION("""COMPUTED_VALUE"""),5)</f>
        <v>5</v>
      </c>
      <c r="I127" s="5">
        <f ca="1">IFERROR(__xludf.DUMMYFUNCTION("""COMPUTED_VALUE"""),5)</f>
        <v>5</v>
      </c>
      <c r="J127" s="5" t="str">
        <f ca="1">IFERROR(__xludf.DUMMYFUNCTION("""COMPUTED_VALUE"""),"96%")</f>
        <v>96%</v>
      </c>
      <c r="K127" s="5" t="str">
        <f ca="1">IFERROR(__xludf.DUMMYFUNCTION("""COMPUTED_VALUE"""),"Low")</f>
        <v>Low</v>
      </c>
      <c r="L127" s="5" t="str">
        <f ca="1">IFERROR(__xludf.DUMMYFUNCTION("""COMPUTED_VALUE"""),"16.38%")</f>
        <v>16.38%</v>
      </c>
      <c r="M127" s="5" t="str">
        <f ca="1">IFERROR(__xludf.DUMMYFUNCTION("""COMPUTED_VALUE"""),"x10000")</f>
        <v>x10000</v>
      </c>
      <c r="N127" s="5" t="str">
        <f ca="1">IFERROR(__xludf.DUMMYFUNCTION("""COMPUTED_VALUE"""),"0.05/100")</f>
        <v>0.05/100</v>
      </c>
      <c r="O127" s="5" t="str">
        <f ca="1">IFERROR(__xludf.DUMMYFUNCTION("""COMPUTED_VALUE"""),"No")</f>
        <v>No</v>
      </c>
      <c r="P127" s="5"/>
      <c r="Q127" s="7" t="str">
        <f ca="1">IFERROR(__xludf.DUMMYFUNCTION("""COMPUTED_VALUE"""),"https://gameserver-store-client-area.orbionlimited.com/Home/IntegrationGameLaunch/client-area?moneyType=0&amp;gameName=UnicornGoldenGateFruit&amp;platform=desktop&amp;languageCode=eng&amp;currency=EUR")</f>
        <v>https://gameserver-store-client-area.orbionlimited.com/Home/IntegrationGameLaunch/client-area?moneyType=0&amp;gameName=UnicornGoldenGateFruit&amp;platform=desktop&amp;languageCode=eng&amp;currency=EUR</v>
      </c>
      <c r="R127" s="5" t="str">
        <f ca="1">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S127" s="5" t="str">
        <f ca="1">IFERROR(__xludf.DUMMYFUNCTION("""COMPUTED_VALUE"""),"English(""eng"")")</f>
        <v>English("eng")</v>
      </c>
      <c r="T127" s="5" t="str">
        <f ca="1">IFERROR(__xludf.DUMMYFUNCTION("""COMPUTED_VALUE"""),"Yes")</f>
        <v>Yes</v>
      </c>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row>
    <row r="128" spans="1:47" x14ac:dyDescent="0.25">
      <c r="A128" s="5" t="str">
        <f ca="1">IFERROR(__xludf.DUMMYFUNCTION("""COMPUTED_VALUE"""),"Tiptop")</f>
        <v>Tiptop</v>
      </c>
      <c r="B128" s="5" t="str">
        <f ca="1">IFERROR(__xludf.DUMMYFUNCTION("""COMPUTED_VALUE"""),"Money Standard Jackpot")</f>
        <v>Money Standard Jackpot</v>
      </c>
      <c r="C128" s="5" t="str">
        <f ca="1">IFERROR(__xludf.DUMMYFUNCTION("""COMPUTED_VALUE"""),"UnicornMoneyStandardJackpot")</f>
        <v>UnicornMoneyStandardJackpot</v>
      </c>
      <c r="D128" s="6">
        <f ca="1">IFERROR(__xludf.DUMMYFUNCTION("""COMPUTED_VALUE"""),46148)</f>
        <v>46148</v>
      </c>
      <c r="E128" s="5" t="str">
        <f ca="1">IFERROR(__xludf.DUMMYFUNCTION("""COMPUTED_VALUE"""),"Slot")</f>
        <v>Slot</v>
      </c>
      <c r="F128" s="5">
        <f ca="1">IFERROR(__xludf.DUMMYFUNCTION("""COMPUTED_VALUE"""),11.3)</f>
        <v>11.3</v>
      </c>
      <c r="G128" s="5" t="str">
        <f ca="1">IFERROR(__xludf.DUMMYFUNCTION("""COMPUTED_VALUE"""),"5x4")</f>
        <v>5x4</v>
      </c>
      <c r="H128" s="5">
        <f ca="1">IFERROR(__xludf.DUMMYFUNCTION("""COMPUTED_VALUE"""),20)</f>
        <v>20</v>
      </c>
      <c r="I128" s="5">
        <f ca="1">IFERROR(__xludf.DUMMYFUNCTION("""COMPUTED_VALUE"""),20)</f>
        <v>20</v>
      </c>
      <c r="J128" s="5" t="str">
        <f ca="1">IFERROR(__xludf.DUMMYFUNCTION("""COMPUTED_VALUE"""),"96%")</f>
        <v>96%</v>
      </c>
      <c r="K128" s="5" t="str">
        <f ca="1">IFERROR(__xludf.DUMMYFUNCTION("""COMPUTED_VALUE"""),"Low")</f>
        <v>Low</v>
      </c>
      <c r="L128" s="5" t="str">
        <f ca="1">IFERROR(__xludf.DUMMYFUNCTION("""COMPUTED_VALUE"""),"11.93%")</f>
        <v>11.93%</v>
      </c>
      <c r="M128" s="5" t="str">
        <f ca="1">IFERROR(__xludf.DUMMYFUNCTION("""COMPUTED_VALUE"""),"x10000")</f>
        <v>x10000</v>
      </c>
      <c r="N128" s="5" t="str">
        <f ca="1">IFERROR(__xludf.DUMMYFUNCTION("""COMPUTED_VALUE"""),"0.05/100")</f>
        <v>0.05/100</v>
      </c>
      <c r="O128" s="5" t="str">
        <f ca="1">IFERROR(__xludf.DUMMYFUNCTION("""COMPUTED_VALUE"""),"No")</f>
        <v>No</v>
      </c>
      <c r="P128" s="5"/>
      <c r="Q128" s="7" t="str">
        <f ca="1">IFERROR(__xludf.DUMMYFUNCTION("""COMPUTED_VALUE"""),"https://gameserver-store-client-area.orbionlimited.com/Home/IntegrationGameLaunch/client-area?moneyType=0&amp;gameName=UnicornMoneyStandardJackpot&amp;platform=desktop&amp;languageCode=eng&amp;currency=EUR")</f>
        <v>https://gameserver-store-client-area.orbionlimited.com/Home/IntegrationGameLaunch/client-area?moneyType=0&amp;gameName=UnicornMoneyStandardJackpot&amp;platform=desktop&amp;languageCode=eng&amp;currency=EUR</v>
      </c>
      <c r="R128" s="5" t="str">
        <f ca="1">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S128" s="5" t="str">
        <f ca="1">IFERROR(__xludf.DUMMYFUNCTION("""COMPUTED_VALUE"""),"English(""eng"")")</f>
        <v>English("eng")</v>
      </c>
      <c r="T128" s="5" t="str">
        <f ca="1">IFERROR(__xludf.DUMMYFUNCTION("""COMPUTED_VALUE"""),"Yes")</f>
        <v>Yes</v>
      </c>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row>
    <row r="129" spans="1:47" x14ac:dyDescent="0.25">
      <c r="A129" s="5" t="str">
        <f ca="1">IFERROR(__xludf.DUMMYFUNCTION("""COMPUTED_VALUE"""),"Tiptop")</f>
        <v>Tiptop</v>
      </c>
      <c r="B129" s="5" t="str">
        <f ca="1">IFERROR(__xludf.DUMMYFUNCTION("""COMPUTED_VALUE"""),"Shiny Fireballs")</f>
        <v>Shiny Fireballs</v>
      </c>
      <c r="C129" s="5" t="str">
        <f ca="1">IFERROR(__xludf.DUMMYFUNCTION("""COMPUTED_VALUE"""),"UnicornShinyFireballs")</f>
        <v>UnicornShinyFireballs</v>
      </c>
      <c r="D129" s="6">
        <f ca="1">IFERROR(__xludf.DUMMYFUNCTION("""COMPUTED_VALUE"""),46155)</f>
        <v>46155</v>
      </c>
      <c r="E129" s="5" t="str">
        <f ca="1">IFERROR(__xludf.DUMMYFUNCTION("""COMPUTED_VALUE"""),"Slot")</f>
        <v>Slot</v>
      </c>
      <c r="F129" s="5">
        <f ca="1">IFERROR(__xludf.DUMMYFUNCTION("""COMPUTED_VALUE"""),16.19)</f>
        <v>16.190000000000001</v>
      </c>
      <c r="G129" s="5" t="str">
        <f ca="1">IFERROR(__xludf.DUMMYFUNCTION("""COMPUTED_VALUE"""),"5x3")</f>
        <v>5x3</v>
      </c>
      <c r="H129" s="5">
        <f ca="1">IFERROR(__xludf.DUMMYFUNCTION("""COMPUTED_VALUE"""),10)</f>
        <v>10</v>
      </c>
      <c r="I129" s="5">
        <f ca="1">IFERROR(__xludf.DUMMYFUNCTION("""COMPUTED_VALUE"""),10)</f>
        <v>10</v>
      </c>
      <c r="J129" s="5" t="str">
        <f ca="1">IFERROR(__xludf.DUMMYFUNCTION("""COMPUTED_VALUE"""),"96%")</f>
        <v>96%</v>
      </c>
      <c r="K129" s="5" t="str">
        <f ca="1">IFERROR(__xludf.DUMMYFUNCTION("""COMPUTED_VALUE"""),"Low")</f>
        <v>Low</v>
      </c>
      <c r="L129" s="5" t="str">
        <f ca="1">IFERROR(__xludf.DUMMYFUNCTION("""COMPUTED_VALUE"""),"15%")</f>
        <v>15%</v>
      </c>
      <c r="M129" s="5" t="str">
        <f ca="1">IFERROR(__xludf.DUMMYFUNCTION("""COMPUTED_VALUE"""),"x1615")</f>
        <v>x1615</v>
      </c>
      <c r="N129" s="5" t="str">
        <f ca="1">IFERROR(__xludf.DUMMYFUNCTION("""COMPUTED_VALUE"""),"0.05/100")</f>
        <v>0.05/100</v>
      </c>
      <c r="O129" s="5" t="str">
        <f ca="1">IFERROR(__xludf.DUMMYFUNCTION("""COMPUTED_VALUE"""),"No")</f>
        <v>No</v>
      </c>
      <c r="P129" s="5"/>
      <c r="Q129" s="7" t="str">
        <f ca="1">IFERROR(__xludf.DUMMYFUNCTION("""COMPUTED_VALUE"""),"https://gameserver-store-client-area.orbionlimited.com/Home/IntegrationGameLaunch/client-area?moneyType=0&amp;gameName=UnicornShinyFireballs&amp;platform=desktop&amp;languageCode=eng&amp;currency=EUR")</f>
        <v>https://gameserver-store-client-area.orbionlimited.com/Home/IntegrationGameLaunch/client-area?moneyType=0&amp;gameName=UnicornShinyFireballs&amp;platform=desktop&amp;languageCode=eng&amp;currency=EUR</v>
      </c>
      <c r="R129" s="5" t="str">
        <f ca="1">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S129" s="5" t="str">
        <f ca="1">IFERROR(__xludf.DUMMYFUNCTION("""COMPUTED_VALUE"""),"English(""eng"")")</f>
        <v>English("eng")</v>
      </c>
      <c r="T129" s="5" t="str">
        <f ca="1">IFERROR(__xludf.DUMMYFUNCTION("""COMPUTED_VALUE"""),"Yes")</f>
        <v>Yes</v>
      </c>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row>
    <row r="130" spans="1:47" x14ac:dyDescent="0.25">
      <c r="A130" s="5" t="str">
        <f ca="1">IFERROR(__xludf.DUMMYFUNCTION("""COMPUTED_VALUE"""),"Tiptop")</f>
        <v>Tiptop</v>
      </c>
      <c r="B130" s="5" t="str">
        <f ca="1">IFERROR(__xludf.DUMMYFUNCTION("""COMPUTED_VALUE"""),"Hot Eighty One")</f>
        <v>Hot Eighty One</v>
      </c>
      <c r="C130" s="5" t="str">
        <f ca="1">IFERROR(__xludf.DUMMYFUNCTION("""COMPUTED_VALUE"""),"UnicornHotEightyOne")</f>
        <v>UnicornHotEightyOne</v>
      </c>
      <c r="D130" s="6">
        <f ca="1">IFERROR(__xludf.DUMMYFUNCTION("""COMPUTED_VALUE"""),46162)</f>
        <v>46162</v>
      </c>
      <c r="E130" s="5" t="str">
        <f ca="1">IFERROR(__xludf.DUMMYFUNCTION("""COMPUTED_VALUE"""),"Slot")</f>
        <v>Slot</v>
      </c>
      <c r="F130" s="5">
        <f ca="1">IFERROR(__xludf.DUMMYFUNCTION("""COMPUTED_VALUE"""),11.8)</f>
        <v>11.8</v>
      </c>
      <c r="G130" s="5" t="str">
        <f ca="1">IFERROR(__xludf.DUMMYFUNCTION("""COMPUTED_VALUE"""),"4x3")</f>
        <v>4x3</v>
      </c>
      <c r="H130" s="5">
        <f ca="1">IFERROR(__xludf.DUMMYFUNCTION("""COMPUTED_VALUE"""),81)</f>
        <v>81</v>
      </c>
      <c r="I130" s="5">
        <f ca="1">IFERROR(__xludf.DUMMYFUNCTION("""COMPUTED_VALUE"""),81)</f>
        <v>81</v>
      </c>
      <c r="J130" s="5" t="str">
        <f ca="1">IFERROR(__xludf.DUMMYFUNCTION("""COMPUTED_VALUE"""),"96%")</f>
        <v>96%</v>
      </c>
      <c r="K130" s="5" t="str">
        <f ca="1">IFERROR(__xludf.DUMMYFUNCTION("""COMPUTED_VALUE"""),"Low")</f>
        <v>Low</v>
      </c>
      <c r="L130" s="5" t="str">
        <f ca="1">IFERROR(__xludf.DUMMYFUNCTION("""COMPUTED_VALUE"""),"10.5%")</f>
        <v>10.5%</v>
      </c>
      <c r="M130" s="5" t="str">
        <f ca="1">IFERROR(__xludf.DUMMYFUNCTION("""COMPUTED_VALUE"""),"x8400")</f>
        <v>x8400</v>
      </c>
      <c r="N130" s="5" t="str">
        <f ca="1">IFERROR(__xludf.DUMMYFUNCTION("""COMPUTED_VALUE"""),"0.05/100")</f>
        <v>0.05/100</v>
      </c>
      <c r="O130" s="5" t="str">
        <f ca="1">IFERROR(__xludf.DUMMYFUNCTION("""COMPUTED_VALUE"""),"No")</f>
        <v>No</v>
      </c>
      <c r="P130" s="5"/>
      <c r="Q130" s="7" t="str">
        <f ca="1">IFERROR(__xludf.DUMMYFUNCTION("""COMPUTED_VALUE"""),"https://gameserver-store-client-area.orbionlimited.com/Home/IntegrationGameLaunch/client-area?moneyType=0&amp;gameName=UnicornHotEightyOne&amp;platform=desktop&amp;languageCode=eng&amp;currency=EUR")</f>
        <v>https://gameserver-store-client-area.orbionlimited.com/Home/IntegrationGameLaunch/client-area?moneyType=0&amp;gameName=UnicornHotEightyOne&amp;platform=desktop&amp;languageCode=eng&amp;currency=EUR</v>
      </c>
      <c r="R130" s="5" t="str">
        <f ca="1">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S130" s="5" t="str">
        <f ca="1">IFERROR(__xludf.DUMMYFUNCTION("""COMPUTED_VALUE"""),"English(""eng"")")</f>
        <v>English("eng")</v>
      </c>
      <c r="T130" s="5" t="str">
        <f ca="1">IFERROR(__xludf.DUMMYFUNCTION("""COMPUTED_VALUE"""),"Yes")</f>
        <v>Yes</v>
      </c>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row>
    <row r="131" spans="1:47" x14ac:dyDescent="0.25">
      <c r="A131" s="5" t="str">
        <f ca="1">IFERROR(__xludf.DUMMYFUNCTION("""COMPUTED_VALUE"""),"Tiptop")</f>
        <v>Tiptop</v>
      </c>
      <c r="B131" s="5" t="str">
        <f ca="1">IFERROR(__xludf.DUMMYFUNCTION("""COMPUTED_VALUE"""),"Hot Firedice")</f>
        <v>Hot Firedice</v>
      </c>
      <c r="C131" s="5" t="str">
        <f ca="1">IFERROR(__xludf.DUMMYFUNCTION("""COMPUTED_VALUE"""),"UnicornHotFiredice")</f>
        <v>UnicornHotFiredice</v>
      </c>
      <c r="D131" s="6">
        <f ca="1">IFERROR(__xludf.DUMMYFUNCTION("""COMPUTED_VALUE"""),46169)</f>
        <v>46169</v>
      </c>
      <c r="E131" s="5" t="str">
        <f ca="1">IFERROR(__xludf.DUMMYFUNCTION("""COMPUTED_VALUE"""),"Dice Slots")</f>
        <v>Dice Slots</v>
      </c>
      <c r="F131" s="5">
        <f ca="1">IFERROR(__xludf.DUMMYFUNCTION("""COMPUTED_VALUE"""),15.44)</f>
        <v>15.44</v>
      </c>
      <c r="G131" s="5" t="str">
        <f ca="1">IFERROR(__xludf.DUMMYFUNCTION("""COMPUTED_VALUE"""),"5x3")</f>
        <v>5x3</v>
      </c>
      <c r="H131" s="5">
        <f ca="1">IFERROR(__xludf.DUMMYFUNCTION("""COMPUTED_VALUE"""),5)</f>
        <v>5</v>
      </c>
      <c r="I131" s="5">
        <f ca="1">IFERROR(__xludf.DUMMYFUNCTION("""COMPUTED_VALUE"""),5)</f>
        <v>5</v>
      </c>
      <c r="J131" s="5" t="str">
        <f ca="1">IFERROR(__xludf.DUMMYFUNCTION("""COMPUTED_VALUE"""),"96%")</f>
        <v>96%</v>
      </c>
      <c r="K131" s="5" t="str">
        <f ca="1">IFERROR(__xludf.DUMMYFUNCTION("""COMPUTED_VALUE"""),"Low")</f>
        <v>Low</v>
      </c>
      <c r="L131" s="5" t="str">
        <f ca="1">IFERROR(__xludf.DUMMYFUNCTION("""COMPUTED_VALUE"""),"15.33%")</f>
        <v>15.33%</v>
      </c>
      <c r="M131" s="5" t="str">
        <f ca="1">IFERROR(__xludf.DUMMYFUNCTION("""COMPUTED_VALUE"""),"x1260")</f>
        <v>x1260</v>
      </c>
      <c r="N131" s="5" t="str">
        <f ca="1">IFERROR(__xludf.DUMMYFUNCTION("""COMPUTED_VALUE"""),"0.01/100")</f>
        <v>0.01/100</v>
      </c>
      <c r="O131" s="5" t="str">
        <f ca="1">IFERROR(__xludf.DUMMYFUNCTION("""COMPUTED_VALUE"""),"No")</f>
        <v>No</v>
      </c>
      <c r="P131" s="5"/>
      <c r="Q131" s="7" t="str">
        <f ca="1">IFERROR(__xludf.DUMMYFUNCTION("""COMPUTED_VALUE"""),"https://gameserver-store-client-area.orbionlimited.com/Home/IntegrationGameLaunch/client-area?moneyType=0&amp;gameName=UnicornHotFiredice&amp;platform=desktop&amp;languageCode=eng&amp;currency=EUR")</f>
        <v>https://gameserver-store-client-area.orbionlimited.com/Home/IntegrationGameLaunch/client-area?moneyType=0&amp;gameName=UnicornHotFiredice&amp;platform=desktop&amp;languageCode=eng&amp;currency=EUR</v>
      </c>
      <c r="R131" s="5" t="str">
        <f ca="1">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S131" s="5" t="str">
        <f ca="1">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T131" s="5" t="str">
        <f ca="1">IFERROR(__xludf.DUMMYFUNCTION("""COMPUTED_VALUE"""),"Yes")</f>
        <v>Yes</v>
      </c>
      <c r="U131" s="5" t="str">
        <f ca="1">IFERROR(__xludf.DUMMYFUNCTION("""COMPUTED_VALUE"""),"Yes")</f>
        <v>Yes</v>
      </c>
      <c r="V131" s="5" t="str">
        <f ca="1">IFERROR(__xludf.DUMMYFUNCTION("""COMPUTED_VALUE"""),"Yes")</f>
        <v>Yes</v>
      </c>
      <c r="W131" s="5" t="str">
        <f ca="1">IFERROR(__xludf.DUMMYFUNCTION("""COMPUTED_VALUE"""),"No")</f>
        <v>No</v>
      </c>
      <c r="X131" s="5" t="str">
        <f ca="1">IFERROR(__xludf.DUMMYFUNCTION("""COMPUTED_VALUE"""),"Yes")</f>
        <v>Yes</v>
      </c>
      <c r="Y131" s="5" t="str">
        <f ca="1">IFERROR(__xludf.DUMMYFUNCTION("""COMPUTED_VALUE"""),"No")</f>
        <v>No</v>
      </c>
      <c r="Z131" s="5" t="str">
        <f ca="1">IFERROR(__xludf.DUMMYFUNCTION("""COMPUTED_VALUE"""),"No")</f>
        <v>No</v>
      </c>
      <c r="AA131" s="5" t="str">
        <f ca="1">IFERROR(__xludf.DUMMYFUNCTION("""COMPUTED_VALUE"""),"No")</f>
        <v>No</v>
      </c>
      <c r="AB131" s="5" t="str">
        <f ca="1">IFERROR(__xludf.DUMMYFUNCTION("""COMPUTED_VALUE"""),"Yes")</f>
        <v>Yes</v>
      </c>
      <c r="AC131" s="5" t="str">
        <f ca="1">IFERROR(__xludf.DUMMYFUNCTION("""COMPUTED_VALUE"""),"Yes")</f>
        <v>Yes</v>
      </c>
      <c r="AD131" s="5" t="str">
        <f ca="1">IFERROR(__xludf.DUMMYFUNCTION("""COMPUTED_VALUE"""),"Yes")</f>
        <v>Yes</v>
      </c>
      <c r="AE131" s="5" t="str">
        <f ca="1">IFERROR(__xludf.DUMMYFUNCTION("""COMPUTED_VALUE"""),"Yes")</f>
        <v>Yes</v>
      </c>
      <c r="AF131" s="5" t="str">
        <f ca="1">IFERROR(__xludf.DUMMYFUNCTION("""COMPUTED_VALUE"""),"Yes")</f>
        <v>Yes</v>
      </c>
      <c r="AG131" s="5" t="str">
        <f ca="1">IFERROR(__xludf.DUMMYFUNCTION("""COMPUTED_VALUE"""),"Yes")</f>
        <v>Yes</v>
      </c>
      <c r="AH131" s="5" t="str">
        <f ca="1">IFERROR(__xludf.DUMMYFUNCTION("""COMPUTED_VALUE"""),"Yes")</f>
        <v>Yes</v>
      </c>
      <c r="AI131" s="5" t="str">
        <f ca="1">IFERROR(__xludf.DUMMYFUNCTION("""COMPUTED_VALUE"""),"No")</f>
        <v>No</v>
      </c>
      <c r="AJ131" s="5" t="str">
        <f ca="1">IFERROR(__xludf.DUMMYFUNCTION("""COMPUTED_VALUE"""),"No")</f>
        <v>No</v>
      </c>
      <c r="AK131" s="5" t="str">
        <f ca="1">IFERROR(__xludf.DUMMYFUNCTION("""COMPUTED_VALUE"""),"No")</f>
        <v>No</v>
      </c>
      <c r="AL131" s="5" t="str">
        <f ca="1">IFERROR(__xludf.DUMMYFUNCTION("""COMPUTED_VALUE"""),"No")</f>
        <v>No</v>
      </c>
      <c r="AM131" s="5" t="str">
        <f ca="1">IFERROR(__xludf.DUMMYFUNCTION("""COMPUTED_VALUE"""),"No")</f>
        <v>No</v>
      </c>
      <c r="AN131" s="5" t="str">
        <f ca="1">IFERROR(__xludf.DUMMYFUNCTION("""COMPUTED_VALUE"""),"No")</f>
        <v>No</v>
      </c>
      <c r="AO131" s="5" t="str">
        <f ca="1">IFERROR(__xludf.DUMMYFUNCTION("""COMPUTED_VALUE"""),"Yes")</f>
        <v>Yes</v>
      </c>
      <c r="AP131" s="5" t="str">
        <f ca="1">IFERROR(__xludf.DUMMYFUNCTION("""COMPUTED_VALUE"""),"No")</f>
        <v>No</v>
      </c>
      <c r="AQ131" s="5" t="str">
        <f ca="1">IFERROR(__xludf.DUMMYFUNCTION("""COMPUTED_VALUE"""),"No")</f>
        <v>No</v>
      </c>
      <c r="AR131" s="5" t="str">
        <f ca="1">IFERROR(__xludf.DUMMYFUNCTION("""COMPUTED_VALUE"""),"No")</f>
        <v>No</v>
      </c>
      <c r="AS131" s="5" t="str">
        <f ca="1">IFERROR(__xludf.DUMMYFUNCTION("""COMPUTED_VALUE"""),"Yes")</f>
        <v>Yes</v>
      </c>
      <c r="AT131" s="5" t="str">
        <f ca="1">IFERROR(__xludf.DUMMYFUNCTION("""COMPUTED_VALUE"""),"Yes")</f>
        <v>Yes</v>
      </c>
      <c r="AU131" s="5"/>
    </row>
    <row r="132" spans="1:47" x14ac:dyDescent="0.25">
      <c r="A132" s="5" t="str">
        <f ca="1">IFERROR(__xludf.DUMMYFUNCTION("""COMPUTED_VALUE"""),"Tiptop")</f>
        <v>Tiptop</v>
      </c>
      <c r="B132" s="5" t="str">
        <f ca="1">IFERROR(__xludf.DUMMYFUNCTION("""COMPUTED_VALUE"""),"Mystic Treasure")</f>
        <v>Mystic Treasure</v>
      </c>
      <c r="C132" s="5" t="str">
        <f ca="1">IFERROR(__xludf.DUMMYFUNCTION("""COMPUTED_VALUE"""),"UnicornMysticTreasure")</f>
        <v>UnicornMysticTreasure</v>
      </c>
      <c r="D132" s="6">
        <f ca="1">IFERROR(__xludf.DUMMYFUNCTION("""COMPUTED_VALUE"""),46183)</f>
        <v>46183</v>
      </c>
      <c r="E132" s="5" t="str">
        <f ca="1">IFERROR(__xludf.DUMMYFUNCTION("""COMPUTED_VALUE"""),"Slot")</f>
        <v>Slot</v>
      </c>
      <c r="F132" s="5">
        <f ca="1">IFERROR(__xludf.DUMMYFUNCTION("""COMPUTED_VALUE"""),12.62)</f>
        <v>12.62</v>
      </c>
      <c r="G132" s="5" t="str">
        <f ca="1">IFERROR(__xludf.DUMMYFUNCTION("""COMPUTED_VALUE"""),"5x3")</f>
        <v>5x3</v>
      </c>
      <c r="H132" s="5">
        <f ca="1">IFERROR(__xludf.DUMMYFUNCTION("""COMPUTED_VALUE"""),5)</f>
        <v>5</v>
      </c>
      <c r="I132" s="5">
        <f ca="1">IFERROR(__xludf.DUMMYFUNCTION("""COMPUTED_VALUE"""),5)</f>
        <v>5</v>
      </c>
      <c r="J132" s="5" t="str">
        <f ca="1">IFERROR(__xludf.DUMMYFUNCTION("""COMPUTED_VALUE"""),"96%")</f>
        <v>96%</v>
      </c>
      <c r="K132" s="5" t="str">
        <f ca="1">IFERROR(__xludf.DUMMYFUNCTION("""COMPUTED_VALUE"""),"Low")</f>
        <v>Low</v>
      </c>
      <c r="L132" s="5" t="str">
        <f ca="1">IFERROR(__xludf.DUMMYFUNCTION("""COMPUTED_VALUE"""),"17.6%")</f>
        <v>17.6%</v>
      </c>
      <c r="M132" s="5" t="str">
        <f ca="1">IFERROR(__xludf.DUMMYFUNCTION("""COMPUTED_VALUE"""),"x1400")</f>
        <v>x1400</v>
      </c>
      <c r="N132" s="5" t="str">
        <f ca="1">IFERROR(__xludf.DUMMYFUNCTION("""COMPUTED_VALUE"""),"0.01/100")</f>
        <v>0.01/100</v>
      </c>
      <c r="O132" s="5" t="str">
        <f ca="1">IFERROR(__xludf.DUMMYFUNCTION("""COMPUTED_VALUE"""),"No")</f>
        <v>No</v>
      </c>
      <c r="P132" s="5"/>
      <c r="Q132" s="7" t="str">
        <f ca="1">IFERROR(__xludf.DUMMYFUNCTION("""COMPUTED_VALUE"""),"https://gameserver-store-client-area.orbionlimited.com/Home/IntegrationGameLaunch/client-area?moneyType=0&amp;gameName=UnicornMysticTreasure&amp;platform=desktop&amp;languageCode=eng&amp;currency=EUR")</f>
        <v>https://gameserver-store-client-area.orbionlimited.com/Home/IntegrationGameLaunch/client-area?moneyType=0&amp;gameName=UnicornMysticTreasure&amp;platform=desktop&amp;languageCode=eng&amp;currency=EUR</v>
      </c>
      <c r="R132" s="5" t="str">
        <f ca="1">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S132" s="5" t="str">
        <f ca="1">IFERROR(__xludf.DUMMYFUNCTION("""COMPUTED_VALUE"""),"English(""eng"")")</f>
        <v>English("eng")</v>
      </c>
      <c r="T132" s="5" t="str">
        <f ca="1">IFERROR(__xludf.DUMMYFUNCTION("""COMPUTED_VALUE"""),"Yes")</f>
        <v>Yes</v>
      </c>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row>
    <row r="133" spans="1:47" x14ac:dyDescent="0.25">
      <c r="A133" s="5" t="str">
        <f ca="1">IFERROR(__xludf.DUMMYFUNCTION("""COMPUTED_VALUE"""),"Tiptop")</f>
        <v>Tiptop</v>
      </c>
      <c r="B133" s="5" t="str">
        <f ca="1">IFERROR(__xludf.DUMMYFUNCTION("""COMPUTED_VALUE"""),"Golden Gate Dice")</f>
        <v>Golden Gate Dice</v>
      </c>
      <c r="C133" s="5" t="str">
        <f ca="1">IFERROR(__xludf.DUMMYFUNCTION("""COMPUTED_VALUE"""),"UnicornGoldenGateDice")</f>
        <v>UnicornGoldenGateDice</v>
      </c>
      <c r="D133" s="6">
        <f ca="1">IFERROR(__xludf.DUMMYFUNCTION("""COMPUTED_VALUE"""),46190)</f>
        <v>46190</v>
      </c>
      <c r="E133" s="5" t="str">
        <f ca="1">IFERROR(__xludf.DUMMYFUNCTION("""COMPUTED_VALUE"""),"Dice Slots")</f>
        <v>Dice Slots</v>
      </c>
      <c r="F133" s="5">
        <f ca="1">IFERROR(__xludf.DUMMYFUNCTION("""COMPUTED_VALUE"""),12.27)</f>
        <v>12.27</v>
      </c>
      <c r="G133" s="5" t="str">
        <f ca="1">IFERROR(__xludf.DUMMYFUNCTION("""COMPUTED_VALUE"""),"5x3")</f>
        <v>5x3</v>
      </c>
      <c r="H133" s="5">
        <f ca="1">IFERROR(__xludf.DUMMYFUNCTION("""COMPUTED_VALUE"""),5)</f>
        <v>5</v>
      </c>
      <c r="I133" s="5">
        <f ca="1">IFERROR(__xludf.DUMMYFUNCTION("""COMPUTED_VALUE"""),5)</f>
        <v>5</v>
      </c>
      <c r="J133" s="5" t="str">
        <f ca="1">IFERROR(__xludf.DUMMYFUNCTION("""COMPUTED_VALUE"""),"96%")</f>
        <v>96%</v>
      </c>
      <c r="K133" s="5" t="str">
        <f ca="1">IFERROR(__xludf.DUMMYFUNCTION("""COMPUTED_VALUE"""),"Low")</f>
        <v>Low</v>
      </c>
      <c r="L133" s="5" t="str">
        <f ca="1">IFERROR(__xludf.DUMMYFUNCTION("""COMPUTED_VALUE"""),"16.38%")</f>
        <v>16.38%</v>
      </c>
      <c r="M133" s="5" t="str">
        <f ca="1">IFERROR(__xludf.DUMMYFUNCTION("""COMPUTED_VALUE"""),"x10000")</f>
        <v>x10000</v>
      </c>
      <c r="N133" s="5" t="str">
        <f ca="1">IFERROR(__xludf.DUMMYFUNCTION("""COMPUTED_VALUE"""),"0.05/100")</f>
        <v>0.05/100</v>
      </c>
      <c r="O133" s="5" t="str">
        <f ca="1">IFERROR(__xludf.DUMMYFUNCTION("""COMPUTED_VALUE"""),"No")</f>
        <v>No</v>
      </c>
      <c r="P133" s="5"/>
      <c r="Q133" s="7" t="str">
        <f ca="1">IFERROR(__xludf.DUMMYFUNCTION("""COMPUTED_VALUE"""),"https://gameserver-store-client-area.orbionlimited.com/Home/IntegrationGameLaunch/client-area?moneyType=0&amp;gameName=UnicornGoldenGateDice&amp;platform=desktop&amp;languageCode=eng&amp;currency=EUR")</f>
        <v>https://gameserver-store-client-area.orbionlimited.com/Home/IntegrationGameLaunch/client-area?moneyType=0&amp;gameName=UnicornGoldenGateDice&amp;platform=desktop&amp;languageCode=eng&amp;currency=EUR</v>
      </c>
      <c r="R133" s="5" t="str">
        <f ca="1">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S133" s="5" t="str">
        <f ca="1">IFERROR(__xludf.DUMMYFUNCTION("""COMPUTED_VALUE"""),"English(""eng"")")</f>
        <v>English("eng")</v>
      </c>
      <c r="T133" s="5" t="str">
        <f ca="1">IFERROR(__xludf.DUMMYFUNCTION("""COMPUTED_VALUE"""),"Yes")</f>
        <v>Yes</v>
      </c>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row>
    <row r="134" spans="1:47" x14ac:dyDescent="0.25">
      <c r="A134" s="5" t="str">
        <f ca="1">IFERROR(__xludf.DUMMYFUNCTION("""COMPUTED_VALUE"""),"Tiptop")</f>
        <v>Tiptop</v>
      </c>
      <c r="B134" s="5" t="str">
        <f ca="1">IFERROR(__xludf.DUMMYFUNCTION("""COMPUTED_VALUE"""),"Barrels Of Riches")</f>
        <v>Barrels Of Riches</v>
      </c>
      <c r="C134" s="5" t="str">
        <f ca="1">IFERROR(__xludf.DUMMYFUNCTION("""COMPUTED_VALUE"""),"UnicornBarrelsOfRiches")</f>
        <v>UnicornBarrelsOfRiches</v>
      </c>
      <c r="D134" s="6">
        <f ca="1">IFERROR(__xludf.DUMMYFUNCTION("""COMPUTED_VALUE"""),46197)</f>
        <v>46197</v>
      </c>
      <c r="E134" s="5" t="str">
        <f ca="1">IFERROR(__xludf.DUMMYFUNCTION("""COMPUTED_VALUE"""),"Slot")</f>
        <v>Slot</v>
      </c>
      <c r="F134" s="5">
        <f ca="1">IFERROR(__xludf.DUMMYFUNCTION("""COMPUTED_VALUE"""),12.93)</f>
        <v>12.93</v>
      </c>
      <c r="G134" s="5" t="str">
        <f ca="1">IFERROR(__xludf.DUMMYFUNCTION("""COMPUTED_VALUE"""),"5x3")</f>
        <v>5x3</v>
      </c>
      <c r="H134" s="5">
        <f ca="1">IFERROR(__xludf.DUMMYFUNCTION("""COMPUTED_VALUE"""),10)</f>
        <v>10</v>
      </c>
      <c r="I134" s="5">
        <f ca="1">IFERROR(__xludf.DUMMYFUNCTION("""COMPUTED_VALUE"""),10)</f>
        <v>10</v>
      </c>
      <c r="J134" s="5" t="str">
        <f ca="1">IFERROR(__xludf.DUMMYFUNCTION("""COMPUTED_VALUE"""),"96%")</f>
        <v>96%</v>
      </c>
      <c r="K134" s="5" t="str">
        <f ca="1">IFERROR(__xludf.DUMMYFUNCTION("""COMPUTED_VALUE"""),"Low")</f>
        <v>Low</v>
      </c>
      <c r="L134" s="5" t="str">
        <f ca="1">IFERROR(__xludf.DUMMYFUNCTION("""COMPUTED_VALUE"""),"49%")</f>
        <v>49%</v>
      </c>
      <c r="M134" s="5" t="str">
        <f ca="1">IFERROR(__xludf.DUMMYFUNCTION("""COMPUTED_VALUE"""),"x5010")</f>
        <v>x5010</v>
      </c>
      <c r="N134" s="5" t="str">
        <f ca="1">IFERROR(__xludf.DUMMYFUNCTION("""COMPUTED_VALUE"""),"0.05/100")</f>
        <v>0.05/100</v>
      </c>
      <c r="O134" s="5" t="str">
        <f ca="1">IFERROR(__xludf.DUMMYFUNCTION("""COMPUTED_VALUE"""),"No")</f>
        <v>No</v>
      </c>
      <c r="P134" s="5"/>
      <c r="Q134" s="7" t="str">
        <f ca="1">IFERROR(__xludf.DUMMYFUNCTION("""COMPUTED_VALUE"""),"https://gameserver-store-client-area.orbionlimited.com/Home/IntegrationGameLaunch/client-area?moneyType=0&amp;gameName=UnicornBarrelsOfRiches&amp;platform=desktop&amp;languageCode=eng&amp;currency=EUR")</f>
        <v>https://gameserver-store-client-area.orbionlimited.com/Home/IntegrationGameLaunch/client-area?moneyType=0&amp;gameName=UnicornBarrelsOfRiches&amp;platform=desktop&amp;languageCode=eng&amp;currency=EUR</v>
      </c>
      <c r="R134" s="5" t="str">
        <f ca="1">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S134" s="5" t="str">
        <f ca="1">IFERROR(__xludf.DUMMYFUNCTION("""COMPUTED_VALUE"""),"English(""eng"")")</f>
        <v>English("eng")</v>
      </c>
      <c r="T134" s="5" t="str">
        <f ca="1">IFERROR(__xludf.DUMMYFUNCTION("""COMPUTED_VALUE"""),"Yes")</f>
        <v>Yes</v>
      </c>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row>
    <row r="135" spans="1:47" x14ac:dyDescent="0.25">
      <c r="A135" s="5" t="str">
        <f ca="1">IFERROR(__xludf.DUMMYFUNCTION("""COMPUTED_VALUE"""),"Tiptop")</f>
        <v>Tiptop</v>
      </c>
      <c r="B135" s="5" t="str">
        <f ca="1">IFERROR(__xludf.DUMMYFUNCTION("""COMPUTED_VALUE"""),"Flamy Fireballs")</f>
        <v>Flamy Fireballs</v>
      </c>
      <c r="C135" s="5" t="str">
        <f ca="1">IFERROR(__xludf.DUMMYFUNCTION("""COMPUTED_VALUE"""),"UnicornFlamyFireballs")</f>
        <v>UnicornFlamyFireballs</v>
      </c>
      <c r="D135" s="6">
        <f ca="1">IFERROR(__xludf.DUMMYFUNCTION("""COMPUTED_VALUE"""),46204)</f>
        <v>46204</v>
      </c>
      <c r="E135" s="5" t="str">
        <f ca="1">IFERROR(__xludf.DUMMYFUNCTION("""COMPUTED_VALUE"""),"Slot")</f>
        <v>Slot</v>
      </c>
      <c r="F135" s="5">
        <f ca="1">IFERROR(__xludf.DUMMYFUNCTION("""COMPUTED_VALUE"""),14.08)</f>
        <v>14.08</v>
      </c>
      <c r="G135" s="5" t="str">
        <f ca="1">IFERROR(__xludf.DUMMYFUNCTION("""COMPUTED_VALUE"""),"5x4")</f>
        <v>5x4</v>
      </c>
      <c r="H135" s="5">
        <f ca="1">IFERROR(__xludf.DUMMYFUNCTION("""COMPUTED_VALUE"""),40)</f>
        <v>40</v>
      </c>
      <c r="I135" s="5">
        <f ca="1">IFERROR(__xludf.DUMMYFUNCTION("""COMPUTED_VALUE"""),40)</f>
        <v>40</v>
      </c>
      <c r="J135" s="5" t="str">
        <f ca="1">IFERROR(__xludf.DUMMYFUNCTION("""COMPUTED_VALUE"""),"96%")</f>
        <v>96%</v>
      </c>
      <c r="K135" s="5" t="str">
        <f ca="1">IFERROR(__xludf.DUMMYFUNCTION("""COMPUTED_VALUE"""),"Low")</f>
        <v>Low</v>
      </c>
      <c r="L135" s="5" t="str">
        <f ca="1">IFERROR(__xludf.DUMMYFUNCTION("""COMPUTED_VALUE"""),"14.45%")</f>
        <v>14.45%</v>
      </c>
      <c r="M135" s="5" t="str">
        <f ca="1">IFERROR(__xludf.DUMMYFUNCTION("""COMPUTED_VALUE"""),"x1000")</f>
        <v>x1000</v>
      </c>
      <c r="N135" s="5" t="str">
        <f ca="1">IFERROR(__xludf.DUMMYFUNCTION("""COMPUTED_VALUE"""),"0.05/100")</f>
        <v>0.05/100</v>
      </c>
      <c r="O135" s="5" t="str">
        <f ca="1">IFERROR(__xludf.DUMMYFUNCTION("""COMPUTED_VALUE"""),"No")</f>
        <v>No</v>
      </c>
      <c r="P135" s="5"/>
      <c r="Q135" s="7" t="str">
        <f ca="1">IFERROR(__xludf.DUMMYFUNCTION("""COMPUTED_VALUE"""),"https://gameserver-store-client-area.orbionlimited.com/Home/IntegrationGameLaunch/client-area?moneyType=0&amp;gameName=UnicornFlamyFireballs&amp;platform=desktop&amp;languageCode=eng&amp;currency=EUR")</f>
        <v>https://gameserver-store-client-area.orbionlimited.com/Home/IntegrationGameLaunch/client-area?moneyType=0&amp;gameName=UnicornFlamyFireballs&amp;platform=desktop&amp;languageCode=eng&amp;currency=EUR</v>
      </c>
      <c r="R135" s="5" t="str">
        <f ca="1">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S1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IFERROR(__xludf.DUMMYFUNCTION("""COMPUTED_VALUE"""),"Yes")</f>
        <v>Yes</v>
      </c>
      <c r="AA135" s="5" t="str">
        <f ca="1">IFERROR(__xludf.DUMMYFUNCTION("""COMPUTED_VALUE"""),"Yes")</f>
        <v>Yes</v>
      </c>
      <c r="AB135" s="5" t="str">
        <f ca="1">IFERROR(__xludf.DUMMYFUNCTION("""COMPUTED_VALUE"""),"Yes")</f>
        <v>Yes</v>
      </c>
      <c r="AC135" s="5" t="str">
        <f ca="1">IFERROR(__xludf.DUMMYFUNCTION("""COMPUTED_VALUE"""),"Yes")</f>
        <v>Yes</v>
      </c>
      <c r="AD135" s="5" t="str">
        <f ca="1">IFERROR(__xludf.DUMMYFUNCTION("""COMPUTED_VALUE"""),"Yes")</f>
        <v>Yes</v>
      </c>
      <c r="AE135" s="5" t="str">
        <f ca="1">IFERROR(__xludf.DUMMYFUNCTION("""COMPUTED_VALUE"""),"Yes")</f>
        <v>Yes</v>
      </c>
      <c r="AF135" s="5" t="str">
        <f ca="1">IFERROR(__xludf.DUMMYFUNCTION("""COMPUTED_VALUE"""),"Yes")</f>
        <v>Yes</v>
      </c>
      <c r="AG135" s="5" t="str">
        <f ca="1">IFERROR(__xludf.DUMMYFUNCTION("""COMPUTED_VALUE"""),"Yes")</f>
        <v>Yes</v>
      </c>
      <c r="AH135" s="5" t="str">
        <f ca="1">IFERROR(__xludf.DUMMYFUNCTION("""COMPUTED_VALUE"""),"Yes")</f>
        <v>Yes</v>
      </c>
      <c r="AI135" s="5" t="str">
        <f ca="1">IFERROR(__xludf.DUMMYFUNCTION("""COMPUTED_VALUE"""),"Yes")</f>
        <v>Yes</v>
      </c>
      <c r="AJ135" s="5" t="str">
        <f ca="1">IFERROR(__xludf.DUMMYFUNCTION("""COMPUTED_VALUE"""),"Yes")</f>
        <v>Yes</v>
      </c>
      <c r="AK135" s="5" t="str">
        <f ca="1">IFERROR(__xludf.DUMMYFUNCTION("""COMPUTED_VALUE"""),"Yes")</f>
        <v>Yes</v>
      </c>
      <c r="AL135" s="5" t="str">
        <f ca="1">IFERROR(__xludf.DUMMYFUNCTION("""COMPUTED_VALUE"""),"Yes")</f>
        <v>Yes</v>
      </c>
      <c r="AM135" s="5" t="str">
        <f ca="1">IFERROR(__xludf.DUMMYFUNCTION("""COMPUTED_VALUE"""),"Yes")</f>
        <v>Yes</v>
      </c>
      <c r="AN135" s="5" t="str">
        <f ca="1">IFERROR(__xludf.DUMMYFUNCTION("""COMPUTED_VALUE"""),"Yes")</f>
        <v>Yes</v>
      </c>
      <c r="AO135" s="5" t="str">
        <f ca="1">IFERROR(__xludf.DUMMYFUNCTION("""COMPUTED_VALUE"""),"Yes")</f>
        <v>Yes</v>
      </c>
      <c r="AP135" s="5" t="str">
        <f ca="1">IFERROR(__xludf.DUMMYFUNCTION("""COMPUTED_VALUE"""),"Yes")</f>
        <v>Yes</v>
      </c>
      <c r="AQ135" s="5" t="str">
        <f ca="1">IFERROR(__xludf.DUMMYFUNCTION("""COMPUTED_VALUE"""),"Yes")</f>
        <v>Yes</v>
      </c>
      <c r="AR135" s="5" t="str">
        <f ca="1">IFERROR(__xludf.DUMMYFUNCTION("""COMPUTED_VALUE"""),"Yes")</f>
        <v>Yes</v>
      </c>
      <c r="AS135" s="5" t="str">
        <f ca="1">IFERROR(__xludf.DUMMYFUNCTION("""COMPUTED_VALUE"""),"Yes")</f>
        <v>Yes</v>
      </c>
      <c r="AT135" s="5" t="str">
        <f ca="1">IFERROR(__xludf.DUMMYFUNCTION("""COMPUTED_VALUE"""),"No")</f>
        <v>No</v>
      </c>
      <c r="AU135" s="5"/>
    </row>
    <row r="136" spans="1:47" x14ac:dyDescent="0.25">
      <c r="A136" s="5" t="str">
        <f ca="1">IFERROR(__xludf.DUMMYFUNCTION("""COMPUTED_VALUE"""),"Tiptop")</f>
        <v>Tiptop</v>
      </c>
      <c r="B136" s="5" t="str">
        <f ca="1">IFERROR(__xludf.DUMMYFUNCTION("""COMPUTED_VALUE"""),"Fruit Play Dice")</f>
        <v>Fruit Play Dice</v>
      </c>
      <c r="C136" s="5" t="str">
        <f ca="1">IFERROR(__xludf.DUMMYFUNCTION("""COMPUTED_VALUE"""),"UnicornFruitPlayDice")</f>
        <v>UnicornFruitPlayDice</v>
      </c>
      <c r="D136" s="6">
        <f ca="1">IFERROR(__xludf.DUMMYFUNCTION("""COMPUTED_VALUE"""),46209)</f>
        <v>46209</v>
      </c>
      <c r="E136" s="5" t="str">
        <f ca="1">IFERROR(__xludf.DUMMYFUNCTION("""COMPUTED_VALUE"""),"Dice Slots")</f>
        <v>Dice Slots</v>
      </c>
      <c r="F136" s="5">
        <f ca="1">IFERROR(__xludf.DUMMYFUNCTION("""COMPUTED_VALUE"""),12.8)</f>
        <v>12.8</v>
      </c>
      <c r="G136" s="5" t="str">
        <f ca="1">IFERROR(__xludf.DUMMYFUNCTION("""COMPUTED_VALUE"""),"5x3")</f>
        <v>5x3</v>
      </c>
      <c r="H136" s="5">
        <f ca="1">IFERROR(__xludf.DUMMYFUNCTION("""COMPUTED_VALUE"""),10)</f>
        <v>10</v>
      </c>
      <c r="I136" s="5">
        <f ca="1">IFERROR(__xludf.DUMMYFUNCTION("""COMPUTED_VALUE"""),10)</f>
        <v>10</v>
      </c>
      <c r="J136" s="5" t="str">
        <f ca="1">IFERROR(__xludf.DUMMYFUNCTION("""COMPUTED_VALUE"""),"96%")</f>
        <v>96%</v>
      </c>
      <c r="K136" s="5" t="str">
        <f ca="1">IFERROR(__xludf.DUMMYFUNCTION("""COMPUTED_VALUE"""),"Low")</f>
        <v>Low</v>
      </c>
      <c r="L136" s="5" t="str">
        <f ca="1">IFERROR(__xludf.DUMMYFUNCTION("""COMPUTED_VALUE"""),"15.07%")</f>
        <v>15.07%</v>
      </c>
      <c r="M136" s="5" t="str">
        <f ca="1">IFERROR(__xludf.DUMMYFUNCTION("""COMPUTED_VALUE"""),"x10000")</f>
        <v>x10000</v>
      </c>
      <c r="N136" s="5" t="str">
        <f ca="1">IFERROR(__xludf.DUMMYFUNCTION("""COMPUTED_VALUE"""),"0.01/100")</f>
        <v>0.01/100</v>
      </c>
      <c r="O136" s="5" t="str">
        <f ca="1">IFERROR(__xludf.DUMMYFUNCTION("""COMPUTED_VALUE"""),"No")</f>
        <v>No</v>
      </c>
      <c r="P136" s="5"/>
      <c r="Q136" s="7" t="str">
        <f ca="1">IFERROR(__xludf.DUMMYFUNCTION("""COMPUTED_VALUE"""),"https://gameserver-store-client-area.orbionlimited.com/Home/IntegrationGameLaunch/client-area?moneyType=0&amp;gameName=UnicornFruitPlayDice&amp;platform=desktop&amp;languageCode=eng&amp;currency=EUR")</f>
        <v>https://gameserver-store-client-area.orbionlimited.com/Home/IntegrationGameLaunch/client-area?moneyType=0&amp;gameName=UnicornFruitPlayDice&amp;platform=desktop&amp;languageCode=eng&amp;currency=EUR</v>
      </c>
      <c r="R136" s="5" t="str">
        <f ca="1">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S1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IFERROR(__xludf.DUMMYFUNCTION("""COMPUTED_VALUE"""),"Yes")</f>
        <v>Yes</v>
      </c>
      <c r="AA136" s="5" t="str">
        <f ca="1">IFERROR(__xludf.DUMMYFUNCTION("""COMPUTED_VALUE"""),"Yes")</f>
        <v>Yes</v>
      </c>
      <c r="AB136" s="5" t="str">
        <f ca="1">IFERROR(__xludf.DUMMYFUNCTION("""COMPUTED_VALUE"""),"Yes")</f>
        <v>Yes</v>
      </c>
      <c r="AC136" s="5" t="str">
        <f ca="1">IFERROR(__xludf.DUMMYFUNCTION("""COMPUTED_VALUE"""),"Yes")</f>
        <v>Yes</v>
      </c>
      <c r="AD136" s="5" t="str">
        <f ca="1">IFERROR(__xludf.DUMMYFUNCTION("""COMPUTED_VALUE"""),"Yes")</f>
        <v>Yes</v>
      </c>
      <c r="AE136" s="5" t="str">
        <f ca="1">IFERROR(__xludf.DUMMYFUNCTION("""COMPUTED_VALUE"""),"Yes")</f>
        <v>Yes</v>
      </c>
      <c r="AF136" s="5" t="str">
        <f ca="1">IFERROR(__xludf.DUMMYFUNCTION("""COMPUTED_VALUE"""),"Yes")</f>
        <v>Yes</v>
      </c>
      <c r="AG136" s="5" t="str">
        <f ca="1">IFERROR(__xludf.DUMMYFUNCTION("""COMPUTED_VALUE"""),"Yes")</f>
        <v>Yes</v>
      </c>
      <c r="AH136" s="5" t="str">
        <f ca="1">IFERROR(__xludf.DUMMYFUNCTION("""COMPUTED_VALUE"""),"Yes")</f>
        <v>Yes</v>
      </c>
      <c r="AI136" s="5" t="str">
        <f ca="1">IFERROR(__xludf.DUMMYFUNCTION("""COMPUTED_VALUE"""),"Yes")</f>
        <v>Yes</v>
      </c>
      <c r="AJ136" s="5" t="str">
        <f ca="1">IFERROR(__xludf.DUMMYFUNCTION("""COMPUTED_VALUE"""),"Yes")</f>
        <v>Yes</v>
      </c>
      <c r="AK136" s="5" t="str">
        <f ca="1">IFERROR(__xludf.DUMMYFUNCTION("""COMPUTED_VALUE"""),"Yes")</f>
        <v>Yes</v>
      </c>
      <c r="AL136" s="5" t="str">
        <f ca="1">IFERROR(__xludf.DUMMYFUNCTION("""COMPUTED_VALUE"""),"Yes")</f>
        <v>Yes</v>
      </c>
      <c r="AM136" s="5" t="str">
        <f ca="1">IFERROR(__xludf.DUMMYFUNCTION("""COMPUTED_VALUE"""),"Yes")</f>
        <v>Yes</v>
      </c>
      <c r="AN136" s="5" t="str">
        <f ca="1">IFERROR(__xludf.DUMMYFUNCTION("""COMPUTED_VALUE"""),"Yes")</f>
        <v>Yes</v>
      </c>
      <c r="AO136" s="5" t="str">
        <f ca="1">IFERROR(__xludf.DUMMYFUNCTION("""COMPUTED_VALUE"""),"Yes")</f>
        <v>Yes</v>
      </c>
      <c r="AP136" s="5" t="str">
        <f ca="1">IFERROR(__xludf.DUMMYFUNCTION("""COMPUTED_VALUE"""),"Yes")</f>
        <v>Yes</v>
      </c>
      <c r="AQ136" s="5" t="str">
        <f ca="1">IFERROR(__xludf.DUMMYFUNCTION("""COMPUTED_VALUE"""),"Yes")</f>
        <v>Yes</v>
      </c>
      <c r="AR136" s="5" t="str">
        <f ca="1">IFERROR(__xludf.DUMMYFUNCTION("""COMPUTED_VALUE"""),"Yes")</f>
        <v>Yes</v>
      </c>
      <c r="AS136" s="5" t="str">
        <f ca="1">IFERROR(__xludf.DUMMYFUNCTION("""COMPUTED_VALUE"""),"Yes")</f>
        <v>Yes</v>
      </c>
      <c r="AT136" s="5" t="str">
        <f ca="1">IFERROR(__xludf.DUMMYFUNCTION("""COMPUTED_VALUE"""),"No")</f>
        <v>No</v>
      </c>
      <c r="AU136" s="5"/>
    </row>
    <row r="137" spans="1:47" x14ac:dyDescent="0.25">
      <c r="A137" s="5" t="str">
        <f ca="1">IFERROR(__xludf.DUMMYFUNCTION("""COMPUTED_VALUE"""),"Tiptop")</f>
        <v>Tiptop</v>
      </c>
      <c r="B137" s="5" t="str">
        <f ca="1">IFERROR(__xludf.DUMMYFUNCTION("""COMPUTED_VALUE"""),"Spin The Sevens")</f>
        <v>Spin The Sevens</v>
      </c>
      <c r="C137" s="5" t="str">
        <f ca="1">IFERROR(__xludf.DUMMYFUNCTION("""COMPUTED_VALUE"""),"UnicornSpinTheSevens")</f>
        <v>UnicornSpinTheSevens</v>
      </c>
      <c r="D137" s="6">
        <f ca="1">IFERROR(__xludf.DUMMYFUNCTION("""COMPUTED_VALUE"""),46218)</f>
        <v>46218</v>
      </c>
      <c r="E137" s="5" t="str">
        <f ca="1">IFERROR(__xludf.DUMMYFUNCTION("""COMPUTED_VALUE"""),"Slot")</f>
        <v>Slot</v>
      </c>
      <c r="F137" s="5">
        <f ca="1">IFERROR(__xludf.DUMMYFUNCTION("""COMPUTED_VALUE"""),10.7)</f>
        <v>10.7</v>
      </c>
      <c r="G137" s="5" t="str">
        <f ca="1">IFERROR(__xludf.DUMMYFUNCTION("""COMPUTED_VALUE"""),"5x3")</f>
        <v>5x3</v>
      </c>
      <c r="H137" s="5">
        <f ca="1">IFERROR(__xludf.DUMMYFUNCTION("""COMPUTED_VALUE"""),10)</f>
        <v>10</v>
      </c>
      <c r="I137" s="5">
        <f ca="1">IFERROR(__xludf.DUMMYFUNCTION("""COMPUTED_VALUE"""),10)</f>
        <v>10</v>
      </c>
      <c r="J137" s="5" t="str">
        <f ca="1">IFERROR(__xludf.DUMMYFUNCTION("""COMPUTED_VALUE"""),"96%")</f>
        <v>96%</v>
      </c>
      <c r="K137" s="5" t="str">
        <f ca="1">IFERROR(__xludf.DUMMYFUNCTION("""COMPUTED_VALUE"""),"Low")</f>
        <v>Low</v>
      </c>
      <c r="L137" s="5" t="str">
        <f ca="1">IFERROR(__xludf.DUMMYFUNCTION("""COMPUTED_VALUE"""),"10.84%")</f>
        <v>10.84%</v>
      </c>
      <c r="M137" s="5" t="str">
        <f ca="1">IFERROR(__xludf.DUMMYFUNCTION("""COMPUTED_VALUE"""),"x1200")</f>
        <v>x1200</v>
      </c>
      <c r="N137" s="5" t="str">
        <f ca="1">IFERROR(__xludf.DUMMYFUNCTION("""COMPUTED_VALUE"""),"0.05/100")</f>
        <v>0.05/100</v>
      </c>
      <c r="O137" s="5" t="str">
        <f ca="1">IFERROR(__xludf.DUMMYFUNCTION("""COMPUTED_VALUE"""),"No")</f>
        <v>No</v>
      </c>
      <c r="P137" s="5"/>
      <c r="Q137" s="7" t="str">
        <f ca="1">IFERROR(__xludf.DUMMYFUNCTION("""COMPUTED_VALUE"""),"https://gameserver-store-client-area.orbionlimited.com/Home/IntegrationGameLaunch/client-area?moneyType=0&amp;gameName=UnicornSpinTheSevens&amp;platform=desktop&amp;languageCode=eng&amp;currency=EUR")</f>
        <v>https://gameserver-store-client-area.orbionlimited.com/Home/IntegrationGameLaunch/client-area?moneyType=0&amp;gameName=UnicornSpinTheSevens&amp;platform=desktop&amp;languageCode=eng&amp;currency=EUR</v>
      </c>
      <c r="R137" s="5" t="str">
        <f ca="1">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S137" s="5" t="str">
        <f ca="1">IFERROR(__xludf.DUMMYFUNCTION("""COMPUTED_VALUE"""),"English(""eng"")")</f>
        <v>English("eng")</v>
      </c>
      <c r="T137" s="5" t="str">
        <f ca="1">IFERROR(__xludf.DUMMYFUNCTION("""COMPUTED_VALUE"""),"Yes")</f>
        <v>Yes</v>
      </c>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row>
    <row r="138" spans="1:47" x14ac:dyDescent="0.25">
      <c r="A138" s="5" t="str">
        <f ca="1">IFERROR(__xludf.DUMMYFUNCTION("""COMPUTED_VALUE"""),"Tiptop")</f>
        <v>Tiptop</v>
      </c>
      <c r="B138" s="5" t="str">
        <f ca="1">IFERROR(__xludf.DUMMYFUNCTION("""COMPUTED_VALUE"""),"Crazy Wild Sevens")</f>
        <v>Crazy Wild Sevens</v>
      </c>
      <c r="C138" s="5" t="str">
        <f ca="1">IFERROR(__xludf.DUMMYFUNCTION("""COMPUTED_VALUE"""),"UnicornCrazyWildSevens")</f>
        <v>UnicornCrazyWildSevens</v>
      </c>
      <c r="D138" s="6">
        <f ca="1">IFERROR(__xludf.DUMMYFUNCTION("""COMPUTED_VALUE"""),46225)</f>
        <v>46225</v>
      </c>
      <c r="E138" s="5" t="str">
        <f ca="1">IFERROR(__xludf.DUMMYFUNCTION("""COMPUTED_VALUE"""),"Slot")</f>
        <v>Slot</v>
      </c>
      <c r="F138" s="5">
        <f ca="1">IFERROR(__xludf.DUMMYFUNCTION("""COMPUTED_VALUE"""),11.08)</f>
        <v>11.08</v>
      </c>
      <c r="G138" s="5" t="str">
        <f ca="1">IFERROR(__xludf.DUMMYFUNCTION("""COMPUTED_VALUE"""),"5x3")</f>
        <v>5x3</v>
      </c>
      <c r="H138" s="5">
        <f ca="1">IFERROR(__xludf.DUMMYFUNCTION("""COMPUTED_VALUE"""),5)</f>
        <v>5</v>
      </c>
      <c r="I138" s="5">
        <f ca="1">IFERROR(__xludf.DUMMYFUNCTION("""COMPUTED_VALUE"""),5)</f>
        <v>5</v>
      </c>
      <c r="J138" s="5" t="str">
        <f ca="1">IFERROR(__xludf.DUMMYFUNCTION("""COMPUTED_VALUE"""),"96%")</f>
        <v>96%</v>
      </c>
      <c r="K138" s="5" t="str">
        <f ca="1">IFERROR(__xludf.DUMMYFUNCTION("""COMPUTED_VALUE"""),"Low")</f>
        <v>Low</v>
      </c>
      <c r="L138" s="5" t="str">
        <f ca="1">IFERROR(__xludf.DUMMYFUNCTION("""COMPUTED_VALUE"""),"15.32%")</f>
        <v>15.32%</v>
      </c>
      <c r="M138" s="5" t="str">
        <f ca="1">IFERROR(__xludf.DUMMYFUNCTION("""COMPUTED_VALUE"""),"x1150")</f>
        <v>x1150</v>
      </c>
      <c r="N138" s="5" t="str">
        <f ca="1">IFERROR(__xludf.DUMMYFUNCTION("""COMPUTED_VALUE"""),"0.05/100")</f>
        <v>0.05/100</v>
      </c>
      <c r="O138" s="5" t="str">
        <f ca="1">IFERROR(__xludf.DUMMYFUNCTION("""COMPUTED_VALUE"""),"No")</f>
        <v>No</v>
      </c>
      <c r="P138" s="5"/>
      <c r="Q138" s="7" t="str">
        <f ca="1">IFERROR(__xludf.DUMMYFUNCTION("""COMPUTED_VALUE"""),"https://gameserver-store-client-area.orbionlimited.com/Home/IntegrationGameLaunch/client-area?moneyType=0&amp;gameName=UnicornCrazyWildSevens&amp;platform=desktop&amp;languageCode=eng&amp;currency=EUR")</f>
        <v>https://gameserver-store-client-area.orbionlimited.com/Home/IntegrationGameLaunch/client-area?moneyType=0&amp;gameName=UnicornCrazyWildSevens&amp;platform=desktop&amp;languageCode=eng&amp;currency=EUR</v>
      </c>
      <c r="R138" s="5" t="str">
        <f ca="1">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S138" s="5" t="str">
        <f ca="1">IFERROR(__xludf.DUMMYFUNCTION("""COMPUTED_VALUE"""),"English(""eng"")")</f>
        <v>English("eng")</v>
      </c>
      <c r="T138" s="5" t="str">
        <f ca="1">IFERROR(__xludf.DUMMYFUNCTION("""COMPUTED_VALUE"""),"Yes")</f>
        <v>Yes</v>
      </c>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row>
    <row r="139" spans="1:47" x14ac:dyDescent="0.25">
      <c r="A139" s="5" t="str">
        <f ca="1">IFERROR(__xludf.DUMMYFUNCTION("""COMPUTED_VALUE"""),"Tiptop")</f>
        <v>Tiptop</v>
      </c>
      <c r="B139" s="5" t="str">
        <f ca="1">IFERROR(__xludf.DUMMYFUNCTION("""COMPUTED_VALUE"""),"Sun Of The Nile")</f>
        <v>Sun Of The Nile</v>
      </c>
      <c r="C139" s="5" t="str">
        <f ca="1">IFERROR(__xludf.DUMMYFUNCTION("""COMPUTED_VALUE"""),"UnicornSunOfTheNile")</f>
        <v>UnicornSunOfTheNile</v>
      </c>
      <c r="D139" s="6">
        <f ca="1">IFERROR(__xludf.DUMMYFUNCTION("""COMPUTED_VALUE"""),46232)</f>
        <v>46232</v>
      </c>
      <c r="E139" s="5" t="str">
        <f ca="1">IFERROR(__xludf.DUMMYFUNCTION("""COMPUTED_VALUE"""),"Slot")</f>
        <v>Slot</v>
      </c>
      <c r="F139" s="5">
        <f ca="1">IFERROR(__xludf.DUMMYFUNCTION("""COMPUTED_VALUE"""),11.84)</f>
        <v>11.84</v>
      </c>
      <c r="G139" s="5" t="str">
        <f ca="1">IFERROR(__xludf.DUMMYFUNCTION("""COMPUTED_VALUE"""),"5x3")</f>
        <v>5x3</v>
      </c>
      <c r="H139" s="5">
        <f ca="1">IFERROR(__xludf.DUMMYFUNCTION("""COMPUTED_VALUE"""),10)</f>
        <v>10</v>
      </c>
      <c r="I139" s="5">
        <f ca="1">IFERROR(__xludf.DUMMYFUNCTION("""COMPUTED_VALUE"""),10)</f>
        <v>10</v>
      </c>
      <c r="J139" s="5" t="str">
        <f ca="1">IFERROR(__xludf.DUMMYFUNCTION("""COMPUTED_VALUE"""),"96%")</f>
        <v>96%</v>
      </c>
      <c r="K139" s="5" t="str">
        <f ca="1">IFERROR(__xludf.DUMMYFUNCTION("""COMPUTED_VALUE"""),"Low")</f>
        <v>Low</v>
      </c>
      <c r="L139" s="5" t="str">
        <f ca="1">IFERROR(__xludf.DUMMYFUNCTION("""COMPUTED_VALUE"""),"9.08%")</f>
        <v>9.08%</v>
      </c>
      <c r="M139" s="5" t="str">
        <f ca="1">IFERROR(__xludf.DUMMYFUNCTION("""COMPUTED_VALUE"""),"x5000")</f>
        <v>x5000</v>
      </c>
      <c r="N139" s="5" t="str">
        <f ca="1">IFERROR(__xludf.DUMMYFUNCTION("""COMPUTED_VALUE"""),"0.05/100")</f>
        <v>0.05/100</v>
      </c>
      <c r="O139" s="5" t="str">
        <f ca="1">IFERROR(__xludf.DUMMYFUNCTION("""COMPUTED_VALUE"""),"No")</f>
        <v>No</v>
      </c>
      <c r="P139" s="5"/>
      <c r="Q139" s="7" t="str">
        <f ca="1">IFERROR(__xludf.DUMMYFUNCTION("""COMPUTED_VALUE"""),"https://gameserver-store-client-area.orbionlimited.com/Home/IntegrationGameLaunch/client-area?moneyType=0&amp;gameName=UnicornSunOfTheNile&amp;platform=desktop&amp;languageCode=eng&amp;currency=EUR")</f>
        <v>https://gameserver-store-client-area.orbionlimited.com/Home/IntegrationGameLaunch/client-area?moneyType=0&amp;gameName=UnicornSunOfTheNile&amp;platform=desktop&amp;languageCode=eng&amp;currency=EUR</v>
      </c>
      <c r="R139" s="5" t="str">
        <f ca="1">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S139" s="5" t="str">
        <f ca="1">IFERROR(__xludf.DUMMYFUNCTION("""COMPUTED_VALUE"""),"English(""eng"")")</f>
        <v>English("eng")</v>
      </c>
      <c r="T139" s="5" t="str">
        <f ca="1">IFERROR(__xludf.DUMMYFUNCTION("""COMPUTED_VALUE"""),"Yes")</f>
        <v>Yes</v>
      </c>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row>
    <row r="140" spans="1:47" x14ac:dyDescent="0.25">
      <c r="A140" s="5" t="str">
        <f ca="1">IFERROR(__xludf.DUMMYFUNCTION("""COMPUTED_VALUE"""),"Tiptop")</f>
        <v>Tiptop</v>
      </c>
      <c r="B140" s="5" t="str">
        <f ca="1">IFERROR(__xludf.DUMMYFUNCTION("""COMPUTED_VALUE"""),"Dazzle Fireballs")</f>
        <v>Dazzle Fireballs</v>
      </c>
      <c r="C140" s="5" t="str">
        <f ca="1">IFERROR(__xludf.DUMMYFUNCTION("""COMPUTED_VALUE"""),"UnicornDazzleFireballs")</f>
        <v>UnicornDazzleFireballs</v>
      </c>
      <c r="D140" s="6">
        <f ca="1">IFERROR(__xludf.DUMMYFUNCTION("""COMPUTED_VALUE"""),46239)</f>
        <v>46239</v>
      </c>
      <c r="E140" s="5" t="str">
        <f ca="1">IFERROR(__xludf.DUMMYFUNCTION("""COMPUTED_VALUE"""),"Slot")</f>
        <v>Slot</v>
      </c>
      <c r="F140" s="5">
        <f ca="1">IFERROR(__xludf.DUMMYFUNCTION("""COMPUTED_VALUE"""),12.96)</f>
        <v>12.96</v>
      </c>
      <c r="G140" s="5" t="str">
        <f ca="1">IFERROR(__xludf.DUMMYFUNCTION("""COMPUTED_VALUE"""),"5x3")</f>
        <v>5x3</v>
      </c>
      <c r="H140" s="5">
        <f ca="1">IFERROR(__xludf.DUMMYFUNCTION("""COMPUTED_VALUE"""),5)</f>
        <v>5</v>
      </c>
      <c r="I140" s="5">
        <f ca="1">IFERROR(__xludf.DUMMYFUNCTION("""COMPUTED_VALUE"""),5)</f>
        <v>5</v>
      </c>
      <c r="J140" s="5" t="str">
        <f ca="1">IFERROR(__xludf.DUMMYFUNCTION("""COMPUTED_VALUE"""),"96%")</f>
        <v>96%</v>
      </c>
      <c r="K140" s="5" t="str">
        <f ca="1">IFERROR(__xludf.DUMMYFUNCTION("""COMPUTED_VALUE"""),"Low")</f>
        <v>Low</v>
      </c>
      <c r="L140" s="5" t="str">
        <f ca="1">IFERROR(__xludf.DUMMYFUNCTION("""COMPUTED_VALUE"""),"11.53%")</f>
        <v>11.53%</v>
      </c>
      <c r="M140" s="5" t="str">
        <f ca="1">IFERROR(__xludf.DUMMYFUNCTION("""COMPUTED_VALUE"""),"x1004")</f>
        <v>x1004</v>
      </c>
      <c r="N140" s="5" t="str">
        <f ca="1">IFERROR(__xludf.DUMMYFUNCTION("""COMPUTED_VALUE"""),"0.05/100")</f>
        <v>0.05/100</v>
      </c>
      <c r="O140" s="5" t="str">
        <f ca="1">IFERROR(__xludf.DUMMYFUNCTION("""COMPUTED_VALUE"""),"No")</f>
        <v>No</v>
      </c>
      <c r="P140" s="5"/>
      <c r="Q140" s="7" t="str">
        <f ca="1">IFERROR(__xludf.DUMMYFUNCTION("""COMPUTED_VALUE"""),"https://gameserver-store-client-area.orbionlimited.com/Home/IntegrationGameLaunch/client-area?moneyType=0&amp;gameName=UnicornDazzleFireballs&amp;platform=desktop&amp;languageCode=eng&amp;currency=EUR")</f>
        <v>https://gameserver-store-client-area.orbionlimited.com/Home/IntegrationGameLaunch/client-area?moneyType=0&amp;gameName=UnicornDazzleFireballs&amp;platform=desktop&amp;languageCode=eng&amp;currency=EUR</v>
      </c>
      <c r="R140" s="5" t="str">
        <f ca="1">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S140" s="5" t="str">
        <f ca="1">IFERROR(__xludf.DUMMYFUNCTION("""COMPUTED_VALUE"""),"English(""eng"")")</f>
        <v>English("eng")</v>
      </c>
      <c r="T140" s="5" t="str">
        <f ca="1">IFERROR(__xludf.DUMMYFUNCTION("""COMPUTED_VALUE"""),"Yes")</f>
        <v>Yes</v>
      </c>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row>
    <row r="141" spans="1:47" x14ac:dyDescent="0.25">
      <c r="A141" s="5" t="str">
        <f ca="1">IFERROR(__xludf.DUMMYFUNCTION("""COMPUTED_VALUE"""),"Tiptop")</f>
        <v>Tiptop</v>
      </c>
      <c r="B141" s="5" t="str">
        <f ca="1">IFERROR(__xludf.DUMMYFUNCTION("""COMPUTED_VALUE"""),"Sevens Pay Dice")</f>
        <v>Sevens Pay Dice</v>
      </c>
      <c r="C141" s="5" t="str">
        <f ca="1">IFERROR(__xludf.DUMMYFUNCTION("""COMPUTED_VALUE"""),"UnicornSevensPayDice")</f>
        <v>UnicornSevensPayDice</v>
      </c>
      <c r="D141" s="6">
        <f ca="1">IFERROR(__xludf.DUMMYFUNCTION("""COMPUTED_VALUE"""),46246)</f>
        <v>46246</v>
      </c>
      <c r="E141" s="5" t="str">
        <f ca="1">IFERROR(__xludf.DUMMYFUNCTION("""COMPUTED_VALUE"""),"Dice Slots")</f>
        <v>Dice Slots</v>
      </c>
      <c r="F141" s="5">
        <f ca="1">IFERROR(__xludf.DUMMYFUNCTION("""COMPUTED_VALUE"""),10.24)</f>
        <v>10.24</v>
      </c>
      <c r="G141" s="5" t="str">
        <f ca="1">IFERROR(__xludf.DUMMYFUNCTION("""COMPUTED_VALUE"""),"5x3")</f>
        <v>5x3</v>
      </c>
      <c r="H141" s="5">
        <f ca="1">IFERROR(__xludf.DUMMYFUNCTION("""COMPUTED_VALUE"""),10)</f>
        <v>10</v>
      </c>
      <c r="I141" s="5">
        <f ca="1">IFERROR(__xludf.DUMMYFUNCTION("""COMPUTED_VALUE"""),10)</f>
        <v>10</v>
      </c>
      <c r="J141" s="5" t="str">
        <f ca="1">IFERROR(__xludf.DUMMYFUNCTION("""COMPUTED_VALUE"""),"96%")</f>
        <v>96%</v>
      </c>
      <c r="K141" s="5" t="str">
        <f ca="1">IFERROR(__xludf.DUMMYFUNCTION("""COMPUTED_VALUE"""),"Low")</f>
        <v>Low</v>
      </c>
      <c r="L141" s="5" t="str">
        <f ca="1">IFERROR(__xludf.DUMMYFUNCTION("""COMPUTED_VALUE"""),"9.85%")</f>
        <v>9.85%</v>
      </c>
      <c r="M141" s="5" t="str">
        <f ca="1">IFERROR(__xludf.DUMMYFUNCTION("""COMPUTED_VALUE"""),"x1000")</f>
        <v>x1000</v>
      </c>
      <c r="N141" s="5" t="str">
        <f ca="1">IFERROR(__xludf.DUMMYFUNCTION("""COMPUTED_VALUE"""),"0.05/100")</f>
        <v>0.05/100</v>
      </c>
      <c r="O141" s="5" t="str">
        <f ca="1">IFERROR(__xludf.DUMMYFUNCTION("""COMPUTED_VALUE"""),"No")</f>
        <v>No</v>
      </c>
      <c r="P141" s="5"/>
      <c r="Q141" s="7" t="str">
        <f ca="1">IFERROR(__xludf.DUMMYFUNCTION("""COMPUTED_VALUE"""),"https://gameserver-store-client-area.orbionlimited.com/Home/IntegrationGameLaunch/client-area?moneyType=0&amp;gameName=UnicornSevensPayDice&amp;platform=desktop&amp;languageCode=eng&amp;currency=EUR")</f>
        <v>https://gameserver-store-client-area.orbionlimited.com/Home/IntegrationGameLaunch/client-area?moneyType=0&amp;gameName=UnicornSevensPayDice&amp;platform=desktop&amp;languageCode=eng&amp;currency=EUR</v>
      </c>
      <c r="R141" s="5" t="str">
        <f ca="1">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S141" s="5" t="str">
        <f ca="1">IFERROR(__xludf.DUMMYFUNCTION("""COMPUTED_VALUE"""),"English(""eng"")")</f>
        <v>English("eng")</v>
      </c>
      <c r="T141" s="5" t="str">
        <f ca="1">IFERROR(__xludf.DUMMYFUNCTION("""COMPUTED_VALUE"""),"Yes")</f>
        <v>Yes</v>
      </c>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row>
    <row r="142" spans="1:47" x14ac:dyDescent="0.25">
      <c r="D142" s="6"/>
    </row>
    <row r="143" spans="1:47" x14ac:dyDescent="0.25">
      <c r="D143" s="6"/>
    </row>
    <row r="144" spans="1:47"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gameserver-store-client-area.orbionlimited.com/Home/IntegrationGameLaunch/client-area?moneyType=0&amp;gameName=UnicornVegasDice&amp;platform=desktop&amp;languageCode=eng&amp;currency=EUR" xr:uid="{00000000-0004-0000-0400-000000000000}"/>
    <hyperlink ref="Q4" r:id="rId2" display="https://gameserver-store-client-area.orbionlimited.com/Home/IntegrationGameLaunch/client-area?moneyType=0&amp;gameName=UnicornReelDice&amp;platform=desktop&amp;languageCode=eng&amp;currency=EUR" xr:uid="{00000000-0004-0000-0400-000001000000}"/>
    <hyperlink ref="Q5" r:id="rId3" display="https://gameserver-store-client-area.orbionlimited.com/Home/IntegrationGameLaunch/client-area?moneyType=0&amp;gameName=UnicornFruitIsland&amp;platform=desktop&amp;languageCode=eng&amp;currency=EUR" xr:uid="{00000000-0004-0000-0400-000002000000}"/>
    <hyperlink ref="Q6" r:id="rId4" display="https://gameserver-store-client-area.orbionlimited.com/Home/IntegrationGameLaunch/client-area?moneyType=0&amp;gameName=UnicornWildParadise&amp;platform=desktop&amp;languageCode=eng&amp;currency=EUR" xr:uid="{00000000-0004-0000-0400-000003000000}"/>
    <hyperlink ref="Q7" r:id="rId5" display="https://gameserver-store-client-area.orbionlimited.com/Home/IntegrationGameLaunch/client-area?moneyType=0&amp;gameName=UnicornRainbowSevens&amp;platform=desktop&amp;languageCode=eng&amp;currency=EUR" xr:uid="{00000000-0004-0000-0400-000004000000}"/>
    <hyperlink ref="Q8" r:id="rId6" display="https://gameserver-store-client-area.orbionlimited.com/Home/IntegrationGameLaunch/client-area?moneyType=0&amp;gameName=UnicornHavanaDice&amp;platform=desktop&amp;languageCode=eng&amp;currency=EUR" xr:uid="{00000000-0004-0000-0400-000005000000}"/>
    <hyperlink ref="Q9" r:id="rId7" display="https://gameserver-store-client-area.orbionlimited.com/Home/IntegrationGameLaunch/client-area?moneyType=0&amp;gameName=UnicornCasinoFruits&amp;platform=desktop&amp;languageCode=eng&amp;currency=EUR" xr:uid="{00000000-0004-0000-0400-000006000000}"/>
    <hyperlink ref="Q10" r:id="rId8" display="https://gameserver-store-client-area.orbionlimited.com/Home/IntegrationGameLaunch/client-area?moneyType=0&amp;gameName=UnicornTheCrownFruit&amp;platform=desktop&amp;languageCode=eng&amp;currency=EUR" xr:uid="{00000000-0004-0000-0400-000007000000}"/>
    <hyperlink ref="Q11" r:id="rId9" display="https://gameserver-store-client-area.orbionlimited.com/Home/IntegrationGameLaunch/client-area?moneyType=0&amp;gameName=UnicornTwentyFruits&amp;platform=desktop&amp;languageCode=eng&amp;currency=EUR" xr:uid="{00000000-0004-0000-0400-000008000000}"/>
    <hyperlink ref="Q12" r:id="rId10" display="https://gameserver-store-client-area.orbionlimited.com/Home/IntegrationGameLaunch/client-area?moneyType=0&amp;gameName=UnicornTwentyDice&amp;platform=desktop&amp;languageCode=eng&amp;currency=EUR" xr:uid="{00000000-0004-0000-0400-000009000000}"/>
    <hyperlink ref="Q13" r:id="rId11" display="https://gameserver-store-client-area.orbionlimited.com/Home/IntegrationGameLaunch/client-area?moneyType=0&amp;gameName=UnicornIslandRespins&amp;platform=desktop&amp;languageCode=eng&amp;currency=EUR" xr:uid="{00000000-0004-0000-0400-00000A000000}"/>
    <hyperlink ref="Q14" r:id="rId12" display="https://gameserver-store-client-area.orbionlimited.com/Home/IntegrationGameLaunch/client-area?moneyType=0&amp;gameName=UnicornGreatWhale&amp;platform=desktop&amp;languageCode=eng&amp;currency=EUR" xr:uid="{00000000-0004-0000-0400-00000B000000}"/>
    <hyperlink ref="Q15" r:id="rId13" display="https://gameserver-store-client-area.orbionlimited.com/Home/IntegrationGameLaunch/client-area?moneyType=0&amp;gameName=Unicorn20MegaFlames&amp;platform=desktop&amp;languageCode=eng&amp;currency=EUR" xr:uid="{00000000-0004-0000-0400-00000C000000}"/>
    <hyperlink ref="Q16" r:id="rId14" display="https://gameserver-store-client-area.orbionlimited.com/Home/IntegrationGameLaunch/client-area?moneyType=0&amp;gameName=UnicornDaVincisFruits&amp;platform=desktop&amp;languageCode=eng&amp;currency=EUR" xr:uid="{00000000-0004-0000-0400-00000D000000}"/>
    <hyperlink ref="Q17" r:id="rId15" display="https://gameserver-store-client-area.orbionlimited.com/Home/IntegrationGameLaunch/client-area?moneyType=0&amp;gameName=UnicornFruitMagic&amp;platform=desktop&amp;languageCode=eng&amp;currency=EUR" xr:uid="{00000000-0004-0000-0400-00000E000000}"/>
    <hyperlink ref="Q18" r:id="rId16" display="https://gameserver-store-client-area.orbionlimited.com/Home/IntegrationGameLaunch/client-area?moneyType=0&amp;gameName=UnicornMoneyStandard&amp;platform=desktop&amp;languageCode=eng&amp;currency=EUR" xr:uid="{00000000-0004-0000-0400-00000F000000}"/>
    <hyperlink ref="Q19" r:id="rId17" display="https://gameserver-store-client-area.orbionlimited.com/Home/IntegrationGameLaunch/client-area?moneyType=0&amp;gameName=UnicornMiniMegaCash&amp;platform=desktop&amp;languageCode=eng&amp;currency=EUR" xr:uid="{00000000-0004-0000-0400-000010000000}"/>
    <hyperlink ref="Q20" r:id="rId18" display="https://gameserver-store-client-area.orbionlimited.com/Home/IntegrationGameLaunch/client-area?moneyType=0&amp;gameName=Unicorn20DiceFlames&amp;platform=desktop&amp;languageCode=eng&amp;currency=EUR" xr:uid="{00000000-0004-0000-0400-000011000000}"/>
    <hyperlink ref="Q21" r:id="rId19" display="https://gameserver-store-client-area.orbionlimited.com/Home/IntegrationGameLaunch/client-area?moneyType=0&amp;gameName=Unicorn40MegaFlames&amp;platform=desktop&amp;languageCode=eng&amp;currency=EUR" xr:uid="{00000000-0004-0000-0400-000012000000}"/>
    <hyperlink ref="Q22" r:id="rId20" display="https://gameserver-store-client-area.orbionlimited.com/Home/IntegrationGameLaunch/client-area?moneyType=0&amp;gameName=Unicorn40DiceFlames&amp;platform=desktop&amp;languageCode=eng&amp;currency=EUR" xr:uid="{00000000-0004-0000-0400-000013000000}"/>
    <hyperlink ref="Q23" r:id="rId21" display="https://gameserver-store-client-area.orbionlimited.com/Home/IntegrationGameLaunch/client-area?moneyType=0&amp;gameName=UnicornDaVincisDice&amp;platform=desktop&amp;languageCode=eng&amp;currency=EUR" xr:uid="{00000000-0004-0000-0400-000014000000}"/>
    <hyperlink ref="Q24" r:id="rId22" display="https://gameserver-store-client-area.orbionlimited.com/Home/IntegrationGameLaunch/client-area?moneyType=0&amp;gameName=UnicornWinterFruits&amp;platform=desktop&amp;languageCode=eng&amp;currency=EUR" xr:uid="{00000000-0004-0000-0400-000015000000}"/>
    <hyperlink ref="Q25" r:id="rId23" display="https://gameserver-store-client-area.orbionlimited.com/Home/IntegrationGameLaunch/client-area?moneyType=0&amp;gameName=UnicornFastFruits&amp;platform=desktop&amp;languageCode=eng&amp;currency=EUR" xr:uid="{00000000-0004-0000-0400-000016000000}"/>
    <hyperlink ref="Q26" r:id="rId24" display="https://gameserver-store-client-area.orbionlimited.com/Home/IntegrationGameLaunch/client-area?moneyType=0&amp;gameName=UnicornMoneyStandardWild&amp;platform=desktop&amp;languageCode=eng&amp;currency=EUR" xr:uid="{00000000-0004-0000-0400-000017000000}"/>
    <hyperlink ref="Q27" r:id="rId25" display="https://gameserver-store-client-area.orbionlimited.com/Home/IntegrationGameLaunch/client-area?moneyType=0&amp;gameName=UnicornDiceMegaCash&amp;platform=desktop&amp;languageCode=eng&amp;currency=EUR" xr:uid="{00000000-0004-0000-0400-000018000000}"/>
    <hyperlink ref="Q28" r:id="rId26" display="https://gameserver-store-client-area.orbionlimited.com/Home/IntegrationGameLaunch/client-area?moneyType=0&amp;gameName=Unicorn40HotStrike&amp;platform=desktop&amp;languageCode=eng&amp;currency=EUR" xr:uid="{00000000-0004-0000-0400-000019000000}"/>
    <hyperlink ref="Q29" r:id="rId27" display="https://gameserver-store-client-area.orbionlimited.com/Home/IntegrationGameLaunch/client-area?moneyType=0&amp;gameName=Unicorn40HotStrikeDice&amp;platform=desktop&amp;languageCode=eng&amp;currency=EUR" xr:uid="{00000000-0004-0000-0400-00001A000000}"/>
    <hyperlink ref="Q30" r:id="rId28" display="https://gameserver-store-client-area.orbionlimited.com/Home/IntegrationGameLaunch/client-area?moneyType=0&amp;gameName=Unicorn20HotStrike&amp;platform=desktop&amp;languageCode=eng&amp;currency=EUR" xr:uid="{00000000-0004-0000-0400-00001B000000}"/>
    <hyperlink ref="Q31" r:id="rId29" display="https://gameserver-store-client-area.orbionlimited.com/Home/IntegrationGameLaunch/client-area?moneyType=0&amp;gameName=UnicornCoyoteSevens&amp;platform=desktop&amp;languageCode=eng&amp;currency=EUR" xr:uid="{00000000-0004-0000-0400-00001C000000}"/>
    <hyperlink ref="Q32" r:id="rId30" display="https://gameserver-store-client-area.orbionlimited.com/Home/IntegrationGameLaunch/client-area?moneyType=0&amp;gameName=UnicornCoyoteDice&amp;platform=desktop&amp;languageCode=eng&amp;currency=EUR" xr:uid="{00000000-0004-0000-0400-00001D000000}"/>
    <hyperlink ref="Q33" r:id="rId31" display="https://gameserver-store-client-area.orbionlimited.com/Home/IntegrationGameLaunch/client-area?moneyType=0&amp;gameName=UnicornFruitWildLines&amp;platform=desktop&amp;languageCode=eng&amp;currency=EUR" xr:uid="{00000000-0004-0000-0400-00001E000000}"/>
    <hyperlink ref="Q34" r:id="rId32" display="https://gameserver-store-client-area.orbionlimited.com/Home/IntegrationGameLaunch/client-area?moneyType=0&amp;gameName=UnicornMoneyStandardDice&amp;platform=desktop&amp;languageCode=eng&amp;currency=EUR" xr:uid="{00000000-0004-0000-0400-00001F000000}"/>
    <hyperlink ref="Q35" r:id="rId33" display="https://gameserver-store-client-area.orbionlimited.com/Home/IntegrationGameLaunch/client-area?moneyType=0&amp;gameName=UnicornDoubleWildDice&amp;platform=desktop&amp;languageCode=eng&amp;currency=EUR" xr:uid="{00000000-0004-0000-0400-000020000000}"/>
    <hyperlink ref="Q36" r:id="rId34" display="https://gameserver-store-client-area.orbionlimited.com/Home/IntegrationGameLaunch/client-area?moneyType=0&amp;gameName=Unicorn40FruitReels&amp;platform=desktop&amp;languageCode=eng&amp;currency=EUR" xr:uid="{00000000-0004-0000-0400-000021000000}"/>
    <hyperlink ref="Q37" r:id="rId35" display="https://gameserver-store-client-area.orbionlimited.com/Home/IntegrationGameLaunch/client-area?moneyType=0&amp;gameName=Unicorn5HotStrike&amp;platform=desktop&amp;languageCode=eng&amp;currency=EUR" xr:uid="{00000000-0004-0000-0400-000022000000}"/>
    <hyperlink ref="Q38" r:id="rId36" display="https://gameserver-store-client-area.orbionlimited.com/Home/IntegrationGameLaunch/client-area?moneyType=0&amp;gameName=UnicornBikiniFruits&amp;platform=desktop&amp;languageCode=eng&amp;currency=EUR" xr:uid="{00000000-0004-0000-0400-000023000000}"/>
    <hyperlink ref="Q39" r:id="rId37" display="https://gameserver-store-client-area.orbionlimited.com/Home/IntegrationGameLaunch/client-area?moneyType=0&amp;gameName=UnicornFireStars&amp;platform=desktop&amp;languageCode=eng&amp;currency=EUR" xr:uid="{00000000-0004-0000-0400-000024000000}"/>
    <hyperlink ref="Q40" r:id="rId38" display="https://gameserver-store-client-area.orbionlimited.com/Home/IntegrationGameLaunch/client-area?moneyType=0&amp;gameName=Unicorn20HotStrikeDice&amp;platform=desktop&amp;languageCode=eng&amp;currency=EUR" xr:uid="{00000000-0004-0000-0400-000025000000}"/>
    <hyperlink ref="Q41" r:id="rId39" display="https://gameserver-store-client-area.orbionlimited.com/Home/IntegrationGameLaunch/client-area?moneyType=0&amp;gameName=UnicornBikiniDice&amp;platform=desktop&amp;languageCode=eng&amp;currency=EUR" xr:uid="{00000000-0004-0000-0400-000026000000}"/>
    <hyperlink ref="Q42" r:id="rId40" display="https://gameserver-store-client-area.orbionlimited.com/Home/IntegrationGameLaunch/client-area?moneyType=0&amp;gameName=UnicornSimplySevens&amp;platform=desktop&amp;languageCode=eng&amp;currency=EUR" xr:uid="{00000000-0004-0000-0400-000027000000}"/>
    <hyperlink ref="Q43" r:id="rId41" display="https://gameserver-store-client-area.orbionlimited.com/Home/IntegrationGameLaunch/client-area?moneyType=0&amp;gameName=Unicorn10JingleFruits&amp;platform=desktop&amp;languageCode=eng&amp;currency=EUR" xr:uid="{00000000-0004-0000-0400-000028000000}"/>
    <hyperlink ref="Q44" r:id="rId42" display="https://gameserver-store-client-area.orbionlimited.com/Home/IntegrationGameLaunch/client-area?moneyType=0&amp;gameName=UnicornGoldLine&amp;platform=desktop&amp;languageCode=eng&amp;currency=EUR" xr:uid="{00000000-0004-0000-0400-000029000000}"/>
    <hyperlink ref="Q45" r:id="rId43" display="https://gameserver-store-client-area.orbionlimited.com/Home/IntegrationGameLaunch/client-area?moneyType=0&amp;gameName=UnicornFrootMachine&amp;platform=desktop&amp;languageCode=eng&amp;currency=EUR" xr:uid="{00000000-0004-0000-0400-00002A000000}"/>
    <hyperlink ref="Q46" r:id="rId44" display="https://gameserver-store-client-area.orbionlimited.com/Home/IntegrationGameLaunch/client-area?moneyType=0&amp;gameName=UnicornSimplySevensDice&amp;platform=desktop&amp;languageCode=eng&amp;currency=EUR" xr:uid="{00000000-0004-0000-0400-00002B000000}"/>
    <hyperlink ref="Q47" r:id="rId45" display="https://gameserver-store-client-area.orbionlimited.com/Home/IntegrationGameLaunch/client-area?moneyType=0&amp;gameName=UnicornFruitIslandChristmas&amp;platform=desktop&amp;languageCode=eng&amp;currency=EUR" xr:uid="{00000000-0004-0000-0400-00002C000000}"/>
    <hyperlink ref="Q48" r:id="rId46" display="https://gameserver-store-client-area.orbionlimited.com/Home/IntegrationGameLaunch/client-area?moneyType=0&amp;gameName=UnicornChristmasPresents&amp;platform=desktop&amp;languageCode=eng&amp;currency=EUR" xr:uid="{00000000-0004-0000-0400-00002D000000}"/>
    <hyperlink ref="Q49" r:id="rId47" display="https://gameserver-store-client-area.orbionlimited.com/Home/IntegrationGameLaunch/client-area?moneyType=0&amp;gameName=UnicornLavaDiamonds&amp;platform=desktop&amp;languageCode=eng&amp;currency=EUR" xr:uid="{00000000-0004-0000-0400-00002E000000}"/>
    <hyperlink ref="Q50" r:id="rId48" display="https://gameserver-store-client-area.orbionlimited.com/Home/IntegrationGameLaunch/client-area?moneyType=0&amp;gameName=Unicorn5HotStrikeDice&amp;platform=desktop&amp;languageCode=eng&amp;currency=EUR" xr:uid="{00000000-0004-0000-0400-00002F000000}"/>
    <hyperlink ref="Q51" r:id="rId49" display="https://gameserver-store-client-area.orbionlimited.com/Home/IntegrationGameLaunch/client-area?moneyType=0&amp;gameName=UnicornBuffaloSevens&amp;platform=desktop&amp;languageCode=eng&amp;currency=EUR" xr:uid="{00000000-0004-0000-0400-000030000000}"/>
    <hyperlink ref="Q52" r:id="rId50" display="https://gameserver-store-client-area.orbionlimited.com/Home/IntegrationGameLaunch/client-area?moneyType=0&amp;gameName=UnicornMisterLuck&amp;platform=desktop&amp;languageCode=eng&amp;currency=EUR" xr:uid="{00000000-0004-0000-0400-000031000000}"/>
    <hyperlink ref="Q53" r:id="rId51" display="https://gameserver-store-client-area.orbionlimited.com/Home/IntegrationGameLaunch/client-area?moneyType=0&amp;gameName=UnicornFrootClassic&amp;platform=desktop&amp;languageCode=eng&amp;currency=EUR" xr:uid="{00000000-0004-0000-0400-000032000000}"/>
    <hyperlink ref="Q54" r:id="rId52" display="https://gameserver-store-client-area.orbionlimited.com/Home/IntegrationGameLaunch/client-area?moneyType=0&amp;gameName=UnicornDiceWildLines&amp;platform=desktop&amp;languageCode=eng&amp;currency=EUR" xr:uid="{00000000-0004-0000-0400-000033000000}"/>
    <hyperlink ref="Q55" r:id="rId53" display="https://gameserver-store-client-area.orbionlimited.com/Home/IntegrationGameLaunch/client-area?moneyType=0&amp;gameName=UnicornStickyHot&amp;platform=desktop&amp;languageCode=eng&amp;currency=EUR" xr:uid="{00000000-0004-0000-0400-000034000000}"/>
    <hyperlink ref="Q56" r:id="rId54" display="https://gameserver-store-client-area.orbionlimited.com/Home/IntegrationGameLaunch/client-area?moneyType=0&amp;gameName=UnicornBuffaloDice&amp;platform=desktop&amp;languageCode=eng&amp;currency=EUR" xr:uid="{00000000-0004-0000-0400-000035000000}"/>
    <hyperlink ref="Q57" r:id="rId55" display="https://gameserver-store-client-area.orbionlimited.com/Home/IntegrationGameLaunch/client-area?moneyType=0&amp;gameName=UnicornLavaDice&amp;platform=desktop&amp;languageCode=eng&amp;currency=EUR" xr:uid="{00000000-0004-0000-0400-000036000000}"/>
    <hyperlink ref="Q58" r:id="rId56" display="https://gameserver-store-client-area.orbionlimited.com/Home/IntegrationGameLaunch/client-area?moneyType=0&amp;gameName=UnicornGoldLineDice&amp;platform=desktop&amp;languageCode=eng&amp;currency=EUR" xr:uid="{00000000-0004-0000-0400-000037000000}"/>
    <hyperlink ref="Q59" r:id="rId57" display="https://gameserver-store-client-area.orbionlimited.com/Home/IntegrationGameLaunch/client-area?moneyType=0&amp;gameName=UnicornLavaDiamondsChristmas&amp;platform=desktop&amp;languageCode=eng&amp;currency=EUR" xr:uid="{00000000-0004-0000-0400-000038000000}"/>
    <hyperlink ref="Q60" r:id="rId58" display="https://gameserver-store-client-area.orbionlimited.com/Home/IntegrationGameLaunch/client-area?moneyType=0&amp;gameName=UnicornPumpkinHorror&amp;platform=desktop&amp;languageCode=eng&amp;currency=EUR" xr:uid="{00000000-0004-0000-0400-000039000000}"/>
    <hyperlink ref="Q61" r:id="rId59" display="https://gameserver-store-client-area.orbionlimited.com/Home/IntegrationGameLaunch/client-area?moneyType=0&amp;gameName=UnicornHitLine&amp;platform=desktop&amp;languageCode=eng&amp;currency=EUR" xr:uid="{00000000-0004-0000-0400-00003A000000}"/>
    <hyperlink ref="Q62" r:id="rId60" display="https://gameserver-store-client-area.orbionlimited.com/Home/IntegrationGameLaunch/client-area?moneyType=0&amp;gameName=Unicorn20SuperFlames&amp;platform=desktop&amp;languageCode=eng&amp;currency=EUR" xr:uid="{00000000-0004-0000-0400-00003B000000}"/>
    <hyperlink ref="Q63" r:id="rId61" display="https://gameserver-store-client-area.orbionlimited.com/Home/IntegrationGameLaunch/client-area?moneyType=0&amp;gameName=Unicorn20HotStrikeJackpot&amp;platform=desktop&amp;languageCode=eng&amp;currency=EUR" xr:uid="{00000000-0004-0000-0400-00003C000000}"/>
    <hyperlink ref="Q64" r:id="rId62" display="https://gameserver-store-client-area.orbionlimited.com/Home/IntegrationGameLaunch/client-area?moneyType=0&amp;gameName=UnicornHitLineDice&amp;platform=desktop&amp;languageCode=eng&amp;currency=EUR" xr:uid="{00000000-0004-0000-0400-00003D000000}"/>
    <hyperlink ref="Q65" r:id="rId63" display="https://gameserver-store-client-area.orbionlimited.com/Home/IntegrationGameLaunch/client-area?moneyType=0&amp;gameName=UnicornDynamiteRun&amp;platform=desktop&amp;languageCode=eng&amp;currency=EUR" xr:uid="{00000000-0004-0000-0400-00003E000000}"/>
    <hyperlink ref="Q66" r:id="rId64" display="https://gameserver-store-client-area.orbionlimited.com/Home/IntegrationGameLaunch/client-area?moneyType=0&amp;gameName=Unicorn20HotStrikeDiceJackpot&amp;platform=desktop&amp;languageCode=eng&amp;currency=EUR" xr:uid="{00000000-0004-0000-0400-00003F000000}"/>
    <hyperlink ref="Q67" r:id="rId65" display="https://gameserver-store-client-area.orbionlimited.com/Home/IntegrationGameLaunch/client-area?moneyType=0&amp;gameName=UnicornDiceMachine&amp;platform=desktop&amp;languageCode=eng&amp;currency=EUR" xr:uid="{00000000-0004-0000-0400-000040000000}"/>
    <hyperlink ref="Q68" r:id="rId66" display="https://gameserver-store-client-area.orbionlimited.com/Home/IntegrationGameLaunch/client-area?moneyType=0&amp;gameName=UnicornThunderFruits&amp;platform=desktop&amp;languageCode=eng&amp;currency=EUR" xr:uid="{00000000-0004-0000-0400-000041000000}"/>
    <hyperlink ref="Q69" r:id="rId67" display="https://gameserver-store-client-area.orbionlimited.com/Home/IntegrationGameLaunch/client-area?moneyType=0&amp;gameName=UnicornEpicMegaCash&amp;platform=desktop&amp;languageCode=eng&amp;currency=EUR" xr:uid="{00000000-0004-0000-0400-000042000000}"/>
    <hyperlink ref="Q70" r:id="rId68" display="https://gameserver-store-client-area.orbionlimited.com/Home/IntegrationGameLaunch/client-area?moneyType=0&amp;gameName=UnicornWildHoppers&amp;platform=desktop&amp;languageCode=eng&amp;currency=EUR" xr:uid="{00000000-0004-0000-0400-000043000000}"/>
    <hyperlink ref="Q71" r:id="rId69" display="https://gameserver-store-client-area.orbionlimited.com/Home/IntegrationGameLaunch/client-area?moneyType=0&amp;gameName=UnicornSimplySevensDiceEaster&amp;platform=desktop&amp;languageCode=eng&amp;currency=EUR" xr:uid="{00000000-0004-0000-0400-000044000000}"/>
    <hyperlink ref="Q72" r:id="rId70" display="https://gameserver-store-client-area.orbionlimited.com/Home/IntegrationGameLaunch/client-area?moneyType=0&amp;gameName=UnicornFruitIslandGems&amp;platform=desktop&amp;languageCode=eng&amp;currency=EUR" xr:uid="{00000000-0004-0000-0400-000045000000}"/>
    <hyperlink ref="Q73" r:id="rId71" display="https://gameserver-store-client-area.orbionlimited.com/Home/IntegrationGameLaunch/client-area?moneyType=0&amp;gameName=UnicornBunnyDice&amp;platform=desktop&amp;languageCode=eng&amp;currency=EUR" xr:uid="{00000000-0004-0000-0400-000046000000}"/>
    <hyperlink ref="Q74" r:id="rId72" display="https://gameserver-store-client-area.orbionlimited.com/Home/IntegrationGameLaunch/client-area?moneyType=0&amp;gameName=UnicornSavanaFruits&amp;platform=desktop&amp;languageCode=eng&amp;currency=EUR" xr:uid="{00000000-0004-0000-0400-000047000000}"/>
    <hyperlink ref="Q75" r:id="rId73" display="https://gameserver-store-client-area.orbionlimited.com/Home/IntegrationGameLaunch/client-area?moneyType=0&amp;gameName=UnicornBigSpinSevens&amp;platform=desktop&amp;languageCode=eng&amp;currency=EUR" xr:uid="{00000000-0004-0000-0400-000048000000}"/>
    <hyperlink ref="Q76" r:id="rId74" display="https://gameserver-store-client-area.orbionlimited.com/Home/IntegrationGameLaunch/client-area?moneyType=0&amp;gameName=UnicornDynamiteRunPlatinum&amp;platform=desktop&amp;languageCode=eng&amp;currency=EUR" xr:uid="{00000000-0004-0000-0400-000049000000}"/>
    <hyperlink ref="Q77" r:id="rId75" display="https://gameserver-store-client-area.orbionlimited.com/Home/IntegrationGameLaunch/client-area?moneyType=0&amp;gameName=UnicornBigHitSevens&amp;platform=desktop&amp;languageCode=eng&amp;currency=EUR" xr:uid="{00000000-0004-0000-0400-00004A000000}"/>
    <hyperlink ref="Q78" r:id="rId76" display="https://gameserver-store-client-area.orbionlimited.com/Home/IntegrationGameLaunch/client-area?moneyType=0&amp;gameName=UnicornSupremeSevens&amp;platform=desktop&amp;languageCode=eng&amp;currency=EUR" xr:uid="{00000000-0004-0000-0400-00004B000000}"/>
    <hyperlink ref="Q79" r:id="rId77" display="https://gameserver-store-client-area.orbionlimited.com/Home/IntegrationGameLaunch/client-area?moneyType=0&amp;gameName=UnicornTripleStackedDiamonds&amp;platform=desktop&amp;languageCode=eng&amp;currency=EUR" xr:uid="{00000000-0004-0000-0400-00004C000000}"/>
    <hyperlink ref="Q80" r:id="rId78" display="https://gameserver-store-client-area.orbionlimited.com/Home/IntegrationGameLaunch/client-area?moneyType=0&amp;gameName=UnicornDynamiteBoom&amp;platform=desktop&amp;languageCode=eng&amp;currency=EUR" xr:uid="{00000000-0004-0000-0400-00004D000000}"/>
    <hyperlink ref="Q81" r:id="rId79" display="https://gameserver-store-client-area.orbionlimited.com/Home/IntegrationGameLaunch/client-area?moneyType=0&amp;gameName=UnicornFastPay&amp;platform=desktop&amp;languageCode=eng&amp;currency=EUR" xr:uid="{00000000-0004-0000-0400-00004E000000}"/>
    <hyperlink ref="Q82" r:id="rId80" display="https://gameserver-store-client-area.orbionlimited.com/Home/IntegrationGameLaunch/client-area?moneyType=0&amp;gameName=UnicornSuperFireJackpot&amp;platform=desktop&amp;languageCode=eng&amp;currency=EUR" xr:uid="{00000000-0004-0000-0400-00004F000000}"/>
    <hyperlink ref="Q83" r:id="rId81" display="https://gameserver-store-client-area.orbionlimited.com/Home/IntegrationGameLaunch/client-area?moneyType=0&amp;gameName=UnicornCoyoteGems&amp;platform=desktop&amp;languageCode=eng&amp;currency=EUR" xr:uid="{00000000-0004-0000-0400-000050000000}"/>
    <hyperlink ref="Q84" r:id="rId82" display="https://gameserver-store-client-area.orbionlimited.com/Home/IntegrationGameLaunch/client-area?moneyType=0&amp;gameName=UnicornDynamiteRunDice&amp;platform=desktop&amp;languageCode=eng&amp;currency=EUR" xr:uid="{00000000-0004-0000-0400-000051000000}"/>
    <hyperlink ref="Q85" r:id="rId83" display="https://gameserver-store-client-area.orbionlimited.com/Home/IntegrationGameLaunch/client-area?moneyType=0&amp;gameName=UnicornBigSpinDragons&amp;platform=desktop&amp;languageCode=eng&amp;currency=EUR" xr:uid="{00000000-0004-0000-0400-000052000000}"/>
    <hyperlink ref="Q86" r:id="rId84" display="https://gameserver-store-client-area.orbionlimited.com/Home/IntegrationGameLaunch/client-area?moneyType=0&amp;gameName=UnicornSimplySevensGems&amp;platform=desktop&amp;languageCode=eng&amp;currency=EUR" xr:uid="{00000000-0004-0000-0400-000053000000}"/>
    <hyperlink ref="Q87" r:id="rId85" display="https://gameserver-store-client-area.orbionlimited.com/Home/IntegrationGameLaunch/client-area?moneyType=0&amp;gameName=UnicornSuperFireDiceJackpot&amp;platform=desktop&amp;languageCode=eng&amp;currency=EUR" xr:uid="{00000000-0004-0000-0400-000054000000}"/>
    <hyperlink ref="Q88" r:id="rId86" display="https://gameserver-store-client-area.orbionlimited.com/Home/IntegrationGameLaunch/client-area?moneyType=0&amp;gameName=UnicornMisterDice&amp;platform=desktop&amp;languageCode=eng&amp;currency=EUR" xr:uid="{00000000-0004-0000-0400-000055000000}"/>
    <hyperlink ref="Q89" r:id="rId87" display="https://gameserver-store-client-area.orbionlimited.com/Home/IntegrationGameLaunch/client-area?moneyType=0&amp;gameName=UnicornThreeReelSevens&amp;platform=desktop&amp;languageCode=eng&amp;currency=EUR" xr:uid="{00000000-0004-0000-0400-000056000000}"/>
    <hyperlink ref="Q90" r:id="rId88" display="https://gameserver-store-client-area.orbionlimited.com/Home/IntegrationGameLaunch/client-area?moneyType=0&amp;gameName=UnicornEnchantedGems&amp;platform=desktop&amp;languageCode=eng&amp;currency=EUR" xr:uid="{00000000-0004-0000-0400-000057000000}"/>
    <hyperlink ref="Q91" r:id="rId89" display="https://gameserver-store-client-area.orbionlimited.com/Home/IntegrationGameLaunch/client-area?moneyType=0&amp;gameName=UnicornSupremeSevensDice&amp;platform=desktop&amp;languageCode=eng&amp;currency=EUR" xr:uid="{00000000-0004-0000-0400-000058000000}"/>
    <hyperlink ref="Q92" r:id="rId90" display="https://gameserver-store-client-area.orbionlimited.com/Home/IntegrationGameLaunch/client-area?moneyType=0&amp;gameName=UnicornReelyWildReels&amp;platform=desktop&amp;languageCode=eng&amp;currency=EUR" xr:uid="{00000000-0004-0000-0400-000059000000}"/>
    <hyperlink ref="Q93" r:id="rId91" display="https://gameserver-store-client-area.orbionlimited.com/Home/IntegrationGameLaunch/client-area?moneyType=0&amp;gameName=UnicornDynamiteEscape&amp;platform=desktop&amp;languageCode=eng&amp;currency=EUR" xr:uid="{00000000-0004-0000-0400-00005A000000}"/>
    <hyperlink ref="Q94" r:id="rId92" display="https://gameserver-store-client-area.orbionlimited.com/Home/IntegrationGameLaunch/client-area?moneyType=0&amp;gameName=UnicornBuffaloSevensJackpot&amp;platform=desktop&amp;languageCode=eng&amp;currency=EUR" xr:uid="{00000000-0004-0000-0400-00005B000000}"/>
    <hyperlink ref="Q95" r:id="rId93" display="https://gameserver-store-client-area.orbionlimited.com/Home/IntegrationGameLaunch/client-area?moneyType=0&amp;gameName=UnicornScatterKaChing&amp;platform=desktop&amp;languageCode=eng&amp;currency=EUR" xr:uid="{00000000-0004-0000-0400-00005C000000}"/>
    <hyperlink ref="Q96" r:id="rId94" display="https://gameserver-store-client-area.orbionlimited.com/Home/IntegrationGameLaunch/client-area?moneyType=0&amp;gameName=UnicornFruitPlay&amp;platform=desktop&amp;languageCode=eng&amp;currency=EUR" xr:uid="{00000000-0004-0000-0400-00005D000000}"/>
    <hyperlink ref="Q97" r:id="rId95" display="https://gameserver-store-client-area.orbionlimited.com/Home/IntegrationGameLaunch/client-area?moneyType=0&amp;gameName=UnicornFruitIslandJackpot&amp;platform=desktop&amp;languageCode=eng&amp;currency=EUR" xr:uid="{00000000-0004-0000-0400-00005E000000}"/>
    <hyperlink ref="Q98" r:id="rId96" display="https://gameserver-store-client-area.orbionlimited.com/Home/IntegrationGameLaunch/client-area?moneyType=0&amp;gameName=UnicornCollectCall&amp;platform=desktop&amp;languageCode=eng&amp;currency=EUR" xr:uid="{00000000-0004-0000-0400-00005F000000}"/>
    <hyperlink ref="Q99" r:id="rId97" display="https://gameserver-store-client-area.orbionlimited.com/Home/IntegrationGameLaunch/client-area?moneyType=0&amp;gameName=UnicornCoyoteSevensHalloween&amp;platform=desktop&amp;languageCode=eng&amp;currency=EUR" xr:uid="{00000000-0004-0000-0400-000060000000}"/>
    <hyperlink ref="Q100" r:id="rId98" display="https://gameserver-store-client-area.orbionlimited.com/Home/IntegrationGameLaunch/client-area?moneyType=0&amp;gameName=UnicornLavaGems&amp;platform=desktop&amp;languageCode=eng&amp;currency=EUR" xr:uid="{00000000-0004-0000-0400-000061000000}"/>
    <hyperlink ref="Q101" r:id="rId99" display="https://gameserver-store-client-area.orbionlimited.com/Home/IntegrationGameLaunch/client-area?moneyType=0&amp;gameName=UnicornTheKingsHalloween&amp;platform=desktop&amp;languageCode=eng&amp;currency=EUR" xr:uid="{00000000-0004-0000-0400-000062000000}"/>
    <hyperlink ref="Q102" r:id="rId100" display="https://gameserver-store-client-area.orbionlimited.com/Home/IntegrationGameLaunch/client-area?moneyType=0&amp;gameName=UnicornSuperHighRunner&amp;platform=desktop&amp;languageCode=eng&amp;currency=EUR" xr:uid="{00000000-0004-0000-0400-000063000000}"/>
    <hyperlink ref="Q103" r:id="rId101" display="https://gameserver-store-client-area.orbionlimited.com/Home/IntegrationGameLaunch/client-area?moneyType=0&amp;gameName=UnicornBigSpinDice&amp;platform=desktop&amp;languageCode=eng&amp;currency=EUR" xr:uid="{00000000-0004-0000-0400-000064000000}"/>
    <hyperlink ref="Q104" r:id="rId102" display="https://gameserver-store-client-area.orbionlimited.com/Home/IntegrationGameLaunch/client-area?moneyType=0&amp;gameName=UnicornFruitIslandDice&amp;platform=desktop&amp;languageCode=eng&amp;currency=EUR" xr:uid="{00000000-0004-0000-0400-000065000000}"/>
    <hyperlink ref="Q105" r:id="rId103" display="https://gameserver-store-client-area.orbionlimited.com/Home/IntegrationGameLaunch/client-area?moneyType=0&amp;gameName=UnicornStormDice&amp;platform=desktop&amp;languageCode=eng&amp;currency=EUR" xr:uid="{00000000-0004-0000-0400-000066000000}"/>
    <hyperlink ref="Q106" r:id="rId104" display="https://gameserver-store-client-area.orbionlimited.com/Home/IntegrationGameLaunch/client-area?moneyType=0&amp;gameName=UnicornSantasRudolf&amp;platform=desktop&amp;languageCode=eng&amp;currency=EUR" xr:uid="{00000000-0004-0000-0400-000067000000}"/>
    <hyperlink ref="Q107" r:id="rId105" display="https://gameserver-store-client-area.orbionlimited.com/Home/IntegrationGameLaunch/client-area?moneyType=0&amp;gameName=UnicornGoldLineGems&amp;platform=desktop&amp;languageCode=eng&amp;currency=EUR" xr:uid="{00000000-0004-0000-0400-000068000000}"/>
    <hyperlink ref="Q108" r:id="rId106" display="https://gameserver-store-client-area.orbionlimited.com/Home/IntegrationGameLaunch/client-area?moneyType=0&amp;gameName=UnicornChristmasPresents2025&amp;platform=desktop&amp;languageCode=eng&amp;currency=EUR" xr:uid="{00000000-0004-0000-0400-000069000000}"/>
    <hyperlink ref="Q109" r:id="rId107" display="https://gameserver-store-client-area.orbionlimited.com/Home/IntegrationGameLaunch/client-area?moneyType=0&amp;gameName=UnicornMoneyStandardPlatinum&amp;platform=desktop&amp;languageCode=eng&amp;currency=EUR" xr:uid="{00000000-0004-0000-0400-00006A000000}"/>
    <hyperlink ref="Q110" r:id="rId108" display="https://gameserver-store-client-area.orbionlimited.com/Home/IntegrationGameLaunch/client-area?moneyType=0&amp;gameName=UnicornFruitMultipliers&amp;platform=desktop&amp;languageCode=eng&amp;currency=EUR" xr:uid="{00000000-0004-0000-0400-00006B000000}"/>
    <hyperlink ref="Q111" r:id="rId109" display="https://gameserver-store-client-area.orbionlimited.com/Home/IntegrationGameLaunch/client-area?moneyType=0&amp;gameName=UnicornSevensPay&amp;platform=desktop&amp;languageCode=eng&amp;currency=EUR" xr:uid="{00000000-0004-0000-0400-00006C000000}"/>
    <hyperlink ref="Q112" r:id="rId110" display="https://gameserver-store-client-area.orbionlimited.com/Home/IntegrationGameLaunch/client-area?moneyType=0&amp;gameName=UnicornDynamiteBoomDice&amp;platform=desktop&amp;languageCode=eng&amp;currency=EUR" xr:uid="{00000000-0004-0000-0400-00006D000000}"/>
    <hyperlink ref="Q113" r:id="rId111" display="https://gameserver-store-client-area.orbionlimited.com/Home/IntegrationGameLaunch/client-area?moneyType=0&amp;gameName=UnicornBuffaloDiceJackpot&amp;platform=desktop&amp;languageCode=eng&amp;currency=EUR" xr:uid="{00000000-0004-0000-0400-00006E000000}"/>
    <hyperlink ref="Q114" r:id="rId112" display="https://gameserver-store-client-area.orbionlimited.com/Home/IntegrationGameLaunch/client-area?moneyType=0&amp;gameName=UnicornTripleStackedDiamondJackpot&amp;platform=desktop&amp;languageCode=eng&amp;currency=EUR" xr:uid="{00000000-0004-0000-0400-00006F000000}"/>
    <hyperlink ref="Q115" r:id="rId113" display="https://gameserver-store-client-area.orbionlimited.com/Home/IntegrationGameLaunch/client-area?moneyType=0&amp;gameName=UnicornThreeReelFruitBoost&amp;platform=desktop&amp;languageCode=eng&amp;currency=EUR" xr:uid="{00000000-0004-0000-0400-000070000000}"/>
    <hyperlink ref="Q116" r:id="rId114" display="https://gameserver-store-client-area.orbionlimited.com/Home/IntegrationGameLaunch/client-area?moneyType=0&amp;gameName=UnicornSuperDiceRunner&amp;platform=desktop&amp;languageCode=eng&amp;currency=EUR" xr:uid="{00000000-0004-0000-0400-000071000000}"/>
    <hyperlink ref="Q117" r:id="rId115" display="https://gameserver-store-client-area.orbionlimited.com/Home/IntegrationGameLaunch/client-area?moneyType=0&amp;gameName=UnicornLuckyGinger&amp;platform=desktop&amp;languageCode=eng&amp;currency=EUR" xr:uid="{00000000-0004-0000-0400-000072000000}"/>
    <hyperlink ref="Q118" r:id="rId116" display="https://gameserver-store-client-area.orbionlimited.com/Home/IntegrationGameLaunch/client-area?moneyType=0&amp;gameName=UnicornLionsSevensExtreme&amp;platform=desktop&amp;languageCode=eng&amp;currency=EUR" xr:uid="{00000000-0004-0000-0400-000073000000}"/>
    <hyperlink ref="Q119" r:id="rId117" display="https://gameserver-store-client-area.orbionlimited.com/Home/IntegrationGameLaunch/client-area?moneyType=0&amp;gameName=UnicornCoyoteSevensJackpot&amp;platform=desktop&amp;languageCode=eng&amp;currency=EUR" xr:uid="{00000000-0004-0000-0400-000074000000}"/>
    <hyperlink ref="Q120" r:id="rId118" display="https://gameserver-store-client-area.orbionlimited.com/Home/IntegrationGameLaunch/client-area?moneyType=0&amp;gameName=UnicornDragonGems&amp;platform=desktop&amp;languageCode=eng&amp;currency=EUR" xr:uid="{00000000-0004-0000-0400-000075000000}"/>
    <hyperlink ref="Q121" r:id="rId119" display="https://gameserver-store-client-area.orbionlimited.com/Home/IntegrationGameLaunch/client-area?moneyType=0&amp;gameName=UnicornByeBouse&amp;platform=desktop&amp;languageCode=eng&amp;currency=EUR" xr:uid="{00000000-0004-0000-0400-000076000000}"/>
    <hyperlink ref="Q122" r:id="rId120" display="https://gameserver-store-client-area.orbionlimited.com/Home/IntegrationGameLaunch/client-area?moneyType=0&amp;gameName=UnicornTripleRoyalWilds&amp;platform=desktop&amp;languageCode=eng&amp;currency=EUR" xr:uid="{00000000-0004-0000-0400-000077000000}"/>
    <hyperlink ref="Q124" r:id="rId121" display="https://gameserver-store-client-area.orbionlimited.com/Home/IntegrationGameLaunch/client-area?moneyType=0&amp;gameName=UnicornHotFireballs&amp;platform=desktop&amp;languageCode=eng&amp;currency=EUR" xr:uid="{00000000-0004-0000-0400-000078000000}"/>
    <hyperlink ref="Q125" r:id="rId122" display="https://gameserver-store-client-area.orbionlimited.com/Home/IntegrationGameLaunch/client-area?moneyType=0&amp;gameName=UnicornThreeReelDice&amp;platform=desktop&amp;languageCode=eng&amp;currency=EUR" xr:uid="{00000000-0004-0000-0400-000079000000}"/>
    <hyperlink ref="Q126" r:id="rId123" display="https://gameserver-store-client-area.orbionlimited.com/Home/IntegrationGameLaunch/client-area?moneyType=0&amp;gameName=UnicornTropicalTreasure&amp;platform=desktop&amp;languageCode=eng&amp;currency=EUR" xr:uid="{00000000-0004-0000-0400-00007A000000}"/>
    <hyperlink ref="Q127" r:id="rId124" display="https://gameserver-store-client-area.orbionlimited.com/Home/IntegrationGameLaunch/client-area?moneyType=0&amp;gameName=UnicornGoldenGateFruit&amp;platform=desktop&amp;languageCode=eng&amp;currency=EUR" xr:uid="{00000000-0004-0000-0400-00007B000000}"/>
    <hyperlink ref="Q128" r:id="rId125" display="https://gameserver-store-client-area.orbionlimited.com/Home/IntegrationGameLaunch/client-area?moneyType=0&amp;gameName=UnicornMoneyStandardJackpot&amp;platform=desktop&amp;languageCode=eng&amp;currency=EUR" xr:uid="{00000000-0004-0000-0400-00007C000000}"/>
    <hyperlink ref="Q129" r:id="rId126" display="https://gameserver-store-client-area.orbionlimited.com/Home/IntegrationGameLaunch/client-area?moneyType=0&amp;gameName=UnicornShinyFireballs&amp;platform=desktop&amp;languageCode=eng&amp;currency=EUR" xr:uid="{00000000-0004-0000-0400-00007D000000}"/>
    <hyperlink ref="Q130" r:id="rId127" display="https://gameserver-store-client-area.orbionlimited.com/Home/IntegrationGameLaunch/client-area?moneyType=0&amp;gameName=UnicornHotEightyOne&amp;platform=desktop&amp;languageCode=eng&amp;currency=EUR" xr:uid="{00000000-0004-0000-0400-00007E000000}"/>
    <hyperlink ref="Q131" r:id="rId128" display="https://gameserver-store-client-area.orbionlimited.com/Home/IntegrationGameLaunch/client-area?moneyType=0&amp;gameName=UnicornHotFiredice&amp;platform=desktop&amp;languageCode=eng&amp;currency=EUR" xr:uid="{00000000-0004-0000-0400-00007F000000}"/>
    <hyperlink ref="Q132" r:id="rId129" display="https://gameserver-store-client-area.orbionlimited.com/Home/IntegrationGameLaunch/client-area?moneyType=0&amp;gameName=UnicornMysticTreasure&amp;platform=desktop&amp;languageCode=eng&amp;currency=EUR" xr:uid="{00000000-0004-0000-0400-000080000000}"/>
    <hyperlink ref="Q133" r:id="rId130" display="https://gameserver-store-client-area.orbionlimited.com/Home/IntegrationGameLaunch/client-area?moneyType=0&amp;gameName=UnicornGoldenGateDice&amp;platform=desktop&amp;languageCode=eng&amp;currency=EUR" xr:uid="{00000000-0004-0000-0400-000081000000}"/>
    <hyperlink ref="Q134" r:id="rId131" display="https://gameserver-store-client-area.orbionlimited.com/Home/IntegrationGameLaunch/client-area?moneyType=0&amp;gameName=UnicornBarrelsOfRiches&amp;platform=desktop&amp;languageCode=eng&amp;currency=EUR" xr:uid="{00000000-0004-0000-0400-000082000000}"/>
    <hyperlink ref="Q135" r:id="rId132" display="https://gameserver-store-client-area.orbionlimited.com/Home/IntegrationGameLaunch/client-area?moneyType=0&amp;gameName=UnicornFlamyFireballs&amp;platform=desktop&amp;languageCode=eng&amp;currency=EUR" xr:uid="{00000000-0004-0000-0400-000083000000}"/>
    <hyperlink ref="Q136" r:id="rId133" display="https://gameserver-store-client-area.orbionlimited.com/Home/IntegrationGameLaunch/client-area?moneyType=0&amp;gameName=UnicornFruitPlayDice&amp;platform=desktop&amp;languageCode=eng&amp;currency=EUR" xr:uid="{00000000-0004-0000-0400-000084000000}"/>
    <hyperlink ref="Q137" r:id="rId134" display="https://gameserver-store-client-area.orbionlimited.com/Home/IntegrationGameLaunch/client-area?moneyType=0&amp;gameName=UnicornSpinTheSevens&amp;platform=desktop&amp;languageCode=eng&amp;currency=EUR" xr:uid="{00000000-0004-0000-0400-000085000000}"/>
    <hyperlink ref="Q138" r:id="rId135" display="https://gameserver-store-client-area.orbionlimited.com/Home/IntegrationGameLaunch/client-area?moneyType=0&amp;gameName=UnicornCrazyWildSevens&amp;platform=desktop&amp;languageCode=eng&amp;currency=EUR" xr:uid="{00000000-0004-0000-0400-000086000000}"/>
    <hyperlink ref="Q139" r:id="rId136" display="https://gameserver-store-client-area.orbionlimited.com/Home/IntegrationGameLaunch/client-area?moneyType=0&amp;gameName=UnicornSunOfTheNile&amp;platform=desktop&amp;languageCode=eng&amp;currency=EUR" xr:uid="{00000000-0004-0000-0400-000087000000}"/>
    <hyperlink ref="Q140" r:id="rId137" display="https://gameserver-store-client-area.orbionlimited.com/Home/IntegrationGameLaunch/client-area?moneyType=0&amp;gameName=UnicornDazzleFireballs&amp;platform=desktop&amp;languageCode=eng&amp;currency=EUR" xr:uid="{00000000-0004-0000-0400-000088000000}"/>
    <hyperlink ref="Q141" r:id="rId138" display="https://gameserver-store-client-area.orbionlimited.com/Home/IntegrationGameLaunch/client-area?moneyType=0&amp;gameName=UnicornSevensPayDice&amp;platform=desktop&amp;languageCode=eng&amp;currency=EUR" xr:uid="{00000000-0004-0000-0400-000089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BY1001"/>
  <sheetViews>
    <sheetView workbookViewId="0">
      <pane ySplit="2" topLeftCell="A3" activePane="bottomLeft" state="frozen"/>
      <selection pane="bottomLeft" activeCell="B4" sqref="B4"/>
    </sheetView>
  </sheetViews>
  <sheetFormatPr defaultColWidth="12.6640625" defaultRowHeight="15.75" customHeight="1" x14ac:dyDescent="0.25"/>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""SOKO studio"",
  all_rows, IFERROR(FILTER(AllGames_Games!A2:BZ1001, (AllGames_Games!BE2:BE1001 = TRUE) + (AllGames_Games!BE2:BE1001 = ""TRUE"")), """"),
  base_games, IFERROR(FILTER(all_rows, IF(studio_filter = """", 1, CHOOSECO"&amp;"LS(all_rows, 55) = studio_filter)), """"),
  IF(INDEX(base_games, 1, 1) = """", ""Nema rezultata za filter"",
    LET(
      gamename_keys, CHOOSECOLS(base_games, 4),
      gameid_keys, CHOOSECOLS(base_games, 6),
      studio, VSTACK(""GameStudi"&amp;"o"", CHOOSECOLS(base_games, 55)),
      name, VSTACK(""GameName"", gamename_keys),
      gameID, VSTACK(""GameID"", gameid_keys),
      release, VSTACK(""ReleaseDate"", CHOOSECOLS(base_games, 19)),
      category, VSTACK(""GameCategoryID"", CHOOSECOLS(bas"&amp;"e_games, 11)),
      size, VSTACK(""GameSize"", CHOOSECOLS(base_games, 16)),
      reels, VSTACK(""ReelsAndRows"", CHOOSECOLS(base_games, 21)),
      lines, VSTACK(""Paylines"", CHOOSECOLS(base_games, 22)),
      payLines, VSTACK(""PayableLines"", CHOOSEC"&amp;"OLS(base_games, 23)),
      rtp, VSTACK(""RTP%"", ARRAYFORMULA(IF(CHOOSECOLS(base_games, 24)="""", """", CHOOSECOLS(base_games, 24) &amp; ""%""))),
      volatility, VSTACK(""VolatilityID"", CHOOSECOLS(base_games, 25)),
      hit, VSTACK(""HitFrequency%"", AR"&amp;"RAYFORMULA(IF(CHOOSECOLS(base_games, 26)="""", """", CHOOSECOLS(base_games, 26) &amp; ""%""))),
      exposure, VSTACK(""MaxExposure"", ARRAYFORMULA(IF(CHOOSECOLS(base_games, 27)="""", """", ""x"" &amp; CHOOSECOLS(base_games, 27)))),
      bet, VSTACK(""MinandMax"&amp;"Bet(EUR)"", CHOOSECOLS(base_games, 30)),
      jackpot, VSTACK(""Jackpot"", CHOOSECOLS(base_games, 38)),
      features, VSTACK(""Features"", CHOOSECOLS(base_games, 29)),
      demo, VSTACK(""DemoLink"", CHOOSECOLS(base_games, 56)),
      promo, VSTACK("""&amp;"PromoText"", CHOOSECOLS(base_games, 45)),
      part1, HSTACK(studio, name, gameID, release, category, size, reels, lines, payLines, rtp, volatility, hit, exposure, bet, jackpot, features, demo, promo),
      lang_headers, GameLanguages_za_C"&amp;"A!B1:AD1,
      lang_data, ARRAYFORMULA(IFERROR(VLOOKUP(gameid_keys, GameLanguages_za_CA!A:AD, SEQUENCE(1, COLUMNS(lang_headers), 2), 0), """")),
      part2, VSTACK(lang_headers, lang_data),
      jur_headers, FILTER(Jurisdiction_report!B1:BY1, Ju"&amp;"risdiction_report!B1:BY1 &lt;&gt; """"),
      jur_data_raw, ARRAYFORMULA(IFERROR(VLOOKUP(gamename_keys, Jurisdiction_report!A:ZZ, SEQUENCE(1, COLUMNS(jur_headers), 2), 0), """")),
      has_available, BYCOL(jur_data_raw, LAMBDA(col, COUNTIF(col, ""Avail"&amp;"able"") &gt; 0)),
      valid_col_indices, IFERROR(FILTER(SEQUENCE(1, COLUMNS(jur_headers)), has_available), 0),
      part3, IF(INDEX(valid_col_indices, 1, 1) = 0,
        MAKEARRAY(ROWS(base_games) + 1, 1, LAMBDA(r, c, IF(r = 1, ""Jurisdictions (Non"&amp;"e Available)"", """"))),
        LET(
          filtered_headers, CHOOSECOLS(jur_headers, valid_col_indices),
          filtered_data_raw, CHOOSECOLS(jur_data_raw, valid_col_indices),
          filtered_data, ARRAYFORMULA(IF(filtered_data_raw = ""Availabl"&amp;"e"", ""Available"", """")),
          VSTACK(filtered_headers, filtered_data)
        )
      ),
      HSTACK(part1, part2)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IFERROR(__xludf.DUMMYFUNCTION("""COMPUTED_VALUE"""),"SOKO studio")</f>
        <v>SOKO studio</v>
      </c>
      <c r="B3" s="5" t="str">
        <f ca="1">IFERROR(__xludf.DUMMYFUNCTION("""COMPUTED_VALUE"""),"Lucky Crown 10")</f>
        <v>Lucky Crown 10</v>
      </c>
      <c r="C3" s="5" t="str">
        <f ca="1">IFERROR(__xludf.DUMMYFUNCTION("""COMPUTED_VALUE"""),"SokoLuckyCrown10")</f>
        <v>SokoLuckyCrown10</v>
      </c>
      <c r="D3" s="6">
        <f ca="1">IFERROR(__xludf.DUMMYFUNCTION("""COMPUTED_VALUE"""),46204)</f>
        <v>46204</v>
      </c>
      <c r="E3" s="5" t="str">
        <f ca="1">IFERROR(__xludf.DUMMYFUNCTION("""COMPUTED_VALUE"""),"Slot")</f>
        <v>Slot</v>
      </c>
      <c r="F3" s="5">
        <f ca="1">IFERROR(__xludf.DUMMYFUNCTION("""COMPUTED_VALUE"""),20.8)</f>
        <v>20.8</v>
      </c>
      <c r="G3" s="5" t="str">
        <f ca="1">IFERROR(__xludf.DUMMYFUNCTION("""COMPUTED_VALUE"""),"5x3")</f>
        <v>5x3</v>
      </c>
      <c r="H3" s="5">
        <f ca="1">IFERROR(__xludf.DUMMYFUNCTION("""COMPUTED_VALUE"""),10)</f>
        <v>10</v>
      </c>
      <c r="I3" s="5">
        <f ca="1">IFERROR(__xludf.DUMMYFUNCTION("""COMPUTED_VALUE"""),10)</f>
        <v>10</v>
      </c>
      <c r="J3" s="5" t="str">
        <f ca="1">IFERROR(__xludf.DUMMYFUNCTION("""COMPUTED_VALUE"""),"94.91%")</f>
        <v>94.91%</v>
      </c>
      <c r="K3" s="5" t="str">
        <f ca="1">IFERROR(__xludf.DUMMYFUNCTION("""COMPUTED_VALUE"""),"High")</f>
        <v>High</v>
      </c>
      <c r="L3" s="5" t="str">
        <f ca="1">IFERROR(__xludf.DUMMYFUNCTION("""COMPUTED_VALUE"""),"9.5%")</f>
        <v>9.5%</v>
      </c>
      <c r="M3" s="5" t="str">
        <f ca="1">IFERROR(__xludf.DUMMYFUNCTION("""COMPUTED_VALUE"""),"x2666")</f>
        <v>x2666</v>
      </c>
      <c r="N3" s="5" t="str">
        <f ca="1">IFERROR(__xludf.DUMMYFUNCTION("""COMPUTED_VALUE"""),"0.10/100")</f>
        <v>0.10/100</v>
      </c>
      <c r="O3" s="5" t="str">
        <f ca="1">IFERROR(__xludf.DUMMYFUNCTION("""COMPUTED_VALUE"""),"No")</f>
        <v>No</v>
      </c>
      <c r="P3" s="5" t="str">
        <f ca="1">IFERROR(__xludf.DUMMYFUNCTION("""COMPUTED_VALUE"""),"Expanding Wild, Scatter, Wild Symbol")</f>
        <v>Expanding Wild, Scatter, Wild Symbol</v>
      </c>
      <c r="Q3" s="7" t="str">
        <f ca="1">IFERROR(__xludf.DUMMYFUNCTION("""COMPUTED_VALUE"""),"https://rgs-lucky-crown-10.soko.games/")</f>
        <v>https://rgs-lucky-crown-10.soko.games/</v>
      </c>
      <c r="R3" s="5" t="str">
        <f ca="1">IFERROR(__xludf.DUMMYFUNCTION("""COMPUTED_VALUE"""),"Lucky Crown 10 is a vibrant fruit slot with a classic casino feel, built around 10 paylines, high volatility, and an expanding wild feature for bigger win potential. ")</f>
        <v xml:space="preserve">Lucky Crown 10 is a vibrant fruit slot with a classic casino feel, built around 10 paylines, high volatility, and an expanding wild feature for bigger win potential. </v>
      </c>
      <c r="S3" s="5" t="str">
        <f ca="1">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IFERROR(__xludf.DUMMYFUNCTION("""COMPUTED_VALUE"""),"Yes")</f>
        <v>Yes</v>
      </c>
      <c r="AH3" s="5" t="str">
        <f ca="1">IFERROR(__xludf.DUMMYFUNCTION("""COMPUTED_VALUE"""),"Yes")</f>
        <v>Yes</v>
      </c>
      <c r="AI3" s="5" t="str">
        <f ca="1">IFERROR(__xludf.DUMMYFUNCTION("""COMPUTED_VALUE"""),"Yes")</f>
        <v>Yes</v>
      </c>
      <c r="AJ3" s="5" t="str">
        <f ca="1">IFERROR(__xludf.DUMMYFUNCTION("""COMPUTED_VALUE"""),"Yes")</f>
        <v>Yes</v>
      </c>
      <c r="AK3" s="5" t="str">
        <f ca="1">IFERROR(__xludf.DUMMYFUNCTION("""COMPUTED_VALUE"""),"No")</f>
        <v>No</v>
      </c>
      <c r="AL3" s="5" t="str">
        <f ca="1">IFERROR(__xludf.DUMMYFUNCTION("""COMPUTED_VALUE"""),"No")</f>
        <v>No</v>
      </c>
      <c r="AM3" s="5" t="str">
        <f ca="1">IFERROR(__xludf.DUMMYFUNCTION("""COMPUTED_VALUE"""),"No")</f>
        <v>No</v>
      </c>
      <c r="AN3" s="5" t="str">
        <f ca="1">IFERROR(__xludf.DUMMYFUNCTION("""COMPUTED_VALUE"""),"No")</f>
        <v>No</v>
      </c>
      <c r="AO3" s="5" t="str">
        <f ca="1">IFERROR(__xludf.DUMMYFUNCTION("""COMPUTED_VALUE"""),"No")</f>
        <v>No</v>
      </c>
      <c r="AP3" s="5" t="str">
        <f ca="1">IFERROR(__xludf.DUMMYFUNCTION("""COMPUTED_VALUE"""),"Yes")</f>
        <v>Yes</v>
      </c>
      <c r="AQ3" s="5" t="str">
        <f ca="1">IFERROR(__xludf.DUMMYFUNCTION("""COMPUTED_VALUE"""),"No")</f>
        <v>No</v>
      </c>
      <c r="AR3" s="5" t="str">
        <f ca="1">IFERROR(__xludf.DUMMYFUNCTION("""COMPUTED_VALUE"""),"No")</f>
        <v>No</v>
      </c>
      <c r="AS3" s="5" t="str">
        <f ca="1">IFERROR(__xludf.DUMMYFUNCTION("""COMPUTED_VALUE"""),"No")</f>
        <v>No</v>
      </c>
      <c r="AT3" s="5" t="str">
        <f ca="1">IFERROR(__xludf.DUMMYFUNCTION("""COMPUTED_VALUE"""),"No")</f>
        <v>No</v>
      </c>
      <c r="AU3" s="5"/>
    </row>
    <row r="4" spans="1:77" x14ac:dyDescent="0.25">
      <c r="A4" s="5" t="str">
        <f ca="1">IFERROR(__xludf.DUMMYFUNCTION("""COMPUTED_VALUE"""),"SOKO studio")</f>
        <v>SOKO studio</v>
      </c>
      <c r="B4" s="5" t="str">
        <f ca="1">IFERROR(__xludf.DUMMYFUNCTION("""COMPUTED_VALUE"""),"Hot Chili Fiesta")</f>
        <v>Hot Chili Fiesta</v>
      </c>
      <c r="C4" s="5" t="str">
        <f ca="1">IFERROR(__xludf.DUMMYFUNCTION("""COMPUTED_VALUE"""),"SokoHotChiliFiesta")</f>
        <v>SokoHotChiliFiesta</v>
      </c>
      <c r="D4" s="6">
        <f ca="1">IFERROR(__xludf.DUMMYFUNCTION("""COMPUTED_VALUE"""),46212)</f>
        <v>46212</v>
      </c>
      <c r="E4" s="5" t="str">
        <f ca="1">IFERROR(__xludf.DUMMYFUNCTION("""COMPUTED_VALUE"""),"Slot")</f>
        <v>Slot</v>
      </c>
      <c r="F4" s="5">
        <f ca="1">IFERROR(__xludf.DUMMYFUNCTION("""COMPUTED_VALUE"""),29)</f>
        <v>29</v>
      </c>
      <c r="G4" s="5" t="str">
        <f ca="1">IFERROR(__xludf.DUMMYFUNCTION("""COMPUTED_VALUE"""),"5x3")</f>
        <v>5x3</v>
      </c>
      <c r="H4" s="5">
        <f ca="1">IFERROR(__xludf.DUMMYFUNCTION("""COMPUTED_VALUE"""),5)</f>
        <v>5</v>
      </c>
      <c r="I4" s="5">
        <f ca="1">IFERROR(__xludf.DUMMYFUNCTION("""COMPUTED_VALUE"""),5)</f>
        <v>5</v>
      </c>
      <c r="J4" s="5" t="str">
        <f ca="1">IFERROR(__xludf.DUMMYFUNCTION("""COMPUTED_VALUE"""),"95.05%")</f>
        <v>95.05%</v>
      </c>
      <c r="K4" s="5" t="str">
        <f ca="1">IFERROR(__xludf.DUMMYFUNCTION("""COMPUTED_VALUE"""),"High")</f>
        <v>High</v>
      </c>
      <c r="L4" s="5" t="str">
        <f ca="1">IFERROR(__xludf.DUMMYFUNCTION("""COMPUTED_VALUE"""),"10.78%")</f>
        <v>10.78%</v>
      </c>
      <c r="M4" s="5" t="str">
        <f ca="1">IFERROR(__xludf.DUMMYFUNCTION("""COMPUTED_VALUE"""),"x2525")</f>
        <v>x2525</v>
      </c>
      <c r="N4" s="5" t="str">
        <f ca="1">IFERROR(__xludf.DUMMYFUNCTION("""COMPUTED_VALUE"""),"0.10/100")</f>
        <v>0.10/100</v>
      </c>
      <c r="O4" s="5" t="str">
        <f ca="1">IFERROR(__xludf.DUMMYFUNCTION("""COMPUTED_VALUE"""),"No")</f>
        <v>No</v>
      </c>
      <c r="P4" s="5" t="str">
        <f ca="1">IFERROR(__xludf.DUMMYFUNCTION("""COMPUTED_VALUE"""),"Hold and Win, Expanding Wild, Wild Multiplier, Wild Symbol, Scatter")</f>
        <v>Hold and Win, Expanding Wild, Wild Multiplier, Wild Symbol, Scatter</v>
      </c>
      <c r="Q4" s="5" t="str">
        <f ca="1">IFERROR(__xludf.DUMMYFUNCTION("""COMPUTED_VALUE"""),"rgs-hot-chili-fiesta.soko.games")</f>
        <v>rgs-hot-chili-fiesta.soko.games</v>
      </c>
      <c r="R4" s="5" t="str">
        <f ca="1">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S4"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IFERROR(__xludf.DUMMYFUNCTION("""COMPUTED_VALUE"""),"Yes")</f>
        <v>Yes</v>
      </c>
      <c r="AF4" s="5" t="str">
        <f ca="1">IFERROR(__xludf.DUMMYFUNCTION("""COMPUTED_VALUE"""),"Yes")</f>
        <v>Yes</v>
      </c>
      <c r="AG4" s="5" t="str">
        <f ca="1">IFERROR(__xludf.DUMMYFUNCTION("""COMPUTED_VALUE"""),"Yes")</f>
        <v>Yes</v>
      </c>
      <c r="AH4" s="5" t="str">
        <f ca="1">IFERROR(__xludf.DUMMYFUNCTION("""COMPUTED_VALUE"""),"Yes")</f>
        <v>Yes</v>
      </c>
      <c r="AI4" s="5" t="str">
        <f ca="1">IFERROR(__xludf.DUMMYFUNCTION("""COMPUTED_VALUE"""),"No")</f>
        <v>No</v>
      </c>
      <c r="AJ4" s="5" t="str">
        <f ca="1">IFERROR(__xludf.DUMMYFUNCTION("""COMPUTED_VALUE"""),"Yes")</f>
        <v>Yes</v>
      </c>
      <c r="AK4" s="5" t="str">
        <f ca="1">IFERROR(__xludf.DUMMYFUNCTION("""COMPUTED_VALUE"""),"No")</f>
        <v>No</v>
      </c>
      <c r="AL4" s="5" t="str">
        <f ca="1">IFERROR(__xludf.DUMMYFUNCTION("""COMPUTED_VALUE"""),"No")</f>
        <v>No</v>
      </c>
      <c r="AM4" s="5" t="str">
        <f ca="1">IFERROR(__xludf.DUMMYFUNCTION("""COMPUTED_VALUE"""),"No")</f>
        <v>No</v>
      </c>
      <c r="AN4" s="5" t="str">
        <f ca="1">IFERROR(__xludf.DUMMYFUNCTION("""COMPUTED_VALUE"""),"No")</f>
        <v>No</v>
      </c>
      <c r="AO4" s="5" t="str">
        <f ca="1">IFERROR(__xludf.DUMMYFUNCTION("""COMPUTED_VALUE"""),"No")</f>
        <v>No</v>
      </c>
      <c r="AP4" s="5" t="str">
        <f ca="1">IFERROR(__xludf.DUMMYFUNCTION("""COMPUTED_VALUE"""),"Yes")</f>
        <v>Yes</v>
      </c>
      <c r="AQ4" s="5" t="str">
        <f ca="1">IFERROR(__xludf.DUMMYFUNCTION("""COMPUTED_VALUE"""),"No")</f>
        <v>No</v>
      </c>
      <c r="AR4" s="5" t="str">
        <f ca="1">IFERROR(__xludf.DUMMYFUNCTION("""COMPUTED_VALUE"""),"No")</f>
        <v>No</v>
      </c>
      <c r="AS4" s="5" t="str">
        <f ca="1">IFERROR(__xludf.DUMMYFUNCTION("""COMPUTED_VALUE"""),"No")</f>
        <v>No</v>
      </c>
      <c r="AT4" s="5" t="str">
        <f ca="1">IFERROR(__xludf.DUMMYFUNCTION("""COMPUTED_VALUE"""),"No")</f>
        <v>No</v>
      </c>
      <c r="AU4" s="5"/>
    </row>
    <row r="5" spans="1:77" x14ac:dyDescent="0.25">
      <c r="A5" s="5" t="str">
        <f ca="1">IFERROR(__xludf.DUMMYFUNCTION("""COMPUTED_VALUE"""),"SOKO studio")</f>
        <v>SOKO studio</v>
      </c>
      <c r="B5" s="5" t="str">
        <f ca="1">IFERROR(__xludf.DUMMYFUNCTION("""COMPUTED_VALUE"""),"Double Hot Chili")</f>
        <v>Double Hot Chili</v>
      </c>
      <c r="C5" s="5" t="str">
        <f ca="1">IFERROR(__xludf.DUMMYFUNCTION("""COMPUTED_VALUE"""),"SokoDoubleHotChili")</f>
        <v>SokoDoubleHotChili</v>
      </c>
      <c r="D5" s="6">
        <f ca="1">IFERROR(__xludf.DUMMYFUNCTION("""COMPUTED_VALUE"""),46218)</f>
        <v>46218</v>
      </c>
      <c r="E5" s="5" t="str">
        <f ca="1">IFERROR(__xludf.DUMMYFUNCTION("""COMPUTED_VALUE"""),"Slot")</f>
        <v>Slot</v>
      </c>
      <c r="F5" s="5">
        <f ca="1">IFERROR(__xludf.DUMMYFUNCTION("""COMPUTED_VALUE"""),20)</f>
        <v>20</v>
      </c>
      <c r="G5" s="5" t="str">
        <f ca="1">IFERROR(__xludf.DUMMYFUNCTION("""COMPUTED_VALUE"""),"5x3")</f>
        <v>5x3</v>
      </c>
      <c r="H5" s="5">
        <f ca="1">IFERROR(__xludf.DUMMYFUNCTION("""COMPUTED_VALUE"""),10)</f>
        <v>10</v>
      </c>
      <c r="I5" s="5">
        <f ca="1">IFERROR(__xludf.DUMMYFUNCTION("""COMPUTED_VALUE"""),10)</f>
        <v>10</v>
      </c>
      <c r="J5" s="5" t="str">
        <f ca="1">IFERROR(__xludf.DUMMYFUNCTION("""COMPUTED_VALUE"""),"94.91%")</f>
        <v>94.91%</v>
      </c>
      <c r="K5" s="5" t="str">
        <f ca="1">IFERROR(__xludf.DUMMYFUNCTION("""COMPUTED_VALUE"""),"High")</f>
        <v>High</v>
      </c>
      <c r="L5" s="5" t="str">
        <f ca="1">IFERROR(__xludf.DUMMYFUNCTION("""COMPUTED_VALUE"""),"9.5%")</f>
        <v>9.5%</v>
      </c>
      <c r="M5" s="5" t="str">
        <f ca="1">IFERROR(__xludf.DUMMYFUNCTION("""COMPUTED_VALUE"""),"x2666")</f>
        <v>x2666</v>
      </c>
      <c r="N5" s="5" t="str">
        <f ca="1">IFERROR(__xludf.DUMMYFUNCTION("""COMPUTED_VALUE"""),"0.10/100")</f>
        <v>0.10/100</v>
      </c>
      <c r="O5" s="5" t="str">
        <f ca="1">IFERROR(__xludf.DUMMYFUNCTION("""COMPUTED_VALUE"""),"No")</f>
        <v>No</v>
      </c>
      <c r="P5" s="5" t="str">
        <f ca="1">IFERROR(__xludf.DUMMYFUNCTION("""COMPUTED_VALUE"""),"Wild Symbol, Expanding Wild, Scatter")</f>
        <v>Wild Symbol, Expanding Wild, Scatter</v>
      </c>
      <c r="Q5" s="7" t="str">
        <f ca="1">IFERROR(__xludf.DUMMYFUNCTION("""COMPUTED_VALUE"""),"https://rgs-double-hot-chili.soko.games/?demo=True&amp;locale=eng")</f>
        <v>https://rgs-double-hot-chili.soko.games/?demo=True&amp;locale=eng</v>
      </c>
      <c r="R5" s="5" t="str">
        <f ca="1">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S5" s="5" t="str">
        <f ca="1">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IFERROR(__xludf.DUMMYFUNCTION("""COMPUTED_VALUE"""),"No")</f>
        <v>No</v>
      </c>
      <c r="AH5" s="5" t="str">
        <f ca="1">IFERROR(__xludf.DUMMYFUNCTION("""COMPUTED_VALUE"""),"Yes")</f>
        <v>Yes</v>
      </c>
      <c r="AI5" s="5" t="str">
        <f ca="1">IFERROR(__xludf.DUMMYFUNCTION("""COMPUTED_VALUE"""),"No")</f>
        <v>No</v>
      </c>
      <c r="AJ5" s="5" t="str">
        <f ca="1">IFERROR(__xludf.DUMMYFUNCTION("""COMPUTED_VALUE"""),"No")</f>
        <v>No</v>
      </c>
      <c r="AK5" s="5" t="str">
        <f ca="1">IFERROR(__xludf.DUMMYFUNCTION("""COMPUTED_VALUE"""),"No")</f>
        <v>No</v>
      </c>
      <c r="AL5" s="5" t="str">
        <f ca="1">IFERROR(__xludf.DUMMYFUNCTION("""COMPUTED_VALUE"""),"No")</f>
        <v>No</v>
      </c>
      <c r="AM5" s="5" t="str">
        <f ca="1">IFERROR(__xludf.DUMMYFUNCTION("""COMPUTED_VALUE"""),"No")</f>
        <v>No</v>
      </c>
      <c r="AN5" s="5" t="str">
        <f ca="1">IFERROR(__xludf.DUMMYFUNCTION("""COMPUTED_VALUE"""),"No")</f>
        <v>No</v>
      </c>
      <c r="AO5" s="5" t="str">
        <f ca="1">IFERROR(__xludf.DUMMYFUNCTION("""COMPUTED_VALUE"""),"No")</f>
        <v>No</v>
      </c>
      <c r="AP5" s="5" t="str">
        <f ca="1">IFERROR(__xludf.DUMMYFUNCTION("""COMPUTED_VALUE"""),"Yes")</f>
        <v>Yes</v>
      </c>
      <c r="AQ5" s="5" t="str">
        <f ca="1">IFERROR(__xludf.DUMMYFUNCTION("""COMPUTED_VALUE"""),"No")</f>
        <v>No</v>
      </c>
      <c r="AR5" s="5" t="str">
        <f ca="1">IFERROR(__xludf.DUMMYFUNCTION("""COMPUTED_VALUE"""),"No")</f>
        <v>No</v>
      </c>
      <c r="AS5" s="5" t="str">
        <f ca="1">IFERROR(__xludf.DUMMYFUNCTION("""COMPUTED_VALUE"""),"No")</f>
        <v>No</v>
      </c>
      <c r="AT5" s="5" t="str">
        <f ca="1">IFERROR(__xludf.DUMMYFUNCTION("""COMPUTED_VALUE"""),"No")</f>
        <v>No</v>
      </c>
      <c r="AU5" s="5"/>
    </row>
    <row r="6" spans="1:77" x14ac:dyDescent="0.25">
      <c r="A6" s="5" t="str">
        <f ca="1">IFERROR(__xludf.DUMMYFUNCTION("""COMPUTED_VALUE"""),"SOKO studio")</f>
        <v>SOKO studio</v>
      </c>
      <c r="B6" s="5" t="str">
        <f ca="1">IFERROR(__xludf.DUMMYFUNCTION("""COMPUTED_VALUE"""),"Royal Jewels Fortune Deluxe")</f>
        <v>Royal Jewels Fortune Deluxe</v>
      </c>
      <c r="C6" s="5" t="str">
        <f ca="1">IFERROR(__xludf.DUMMYFUNCTION("""COMPUTED_VALUE"""),"SokoRoyalJewelsFortuneDeluxe")</f>
        <v>SokoRoyalJewelsFortuneDeluxe</v>
      </c>
      <c r="D6" s="6">
        <f ca="1">IFERROR(__xludf.DUMMYFUNCTION("""COMPUTED_VALUE"""),46240)</f>
        <v>46240</v>
      </c>
      <c r="E6" s="5" t="str">
        <f ca="1">IFERROR(__xludf.DUMMYFUNCTION("""COMPUTED_VALUE"""),"Slot")</f>
        <v>Slot</v>
      </c>
      <c r="F6" s="5">
        <f ca="1">IFERROR(__xludf.DUMMYFUNCTION("""COMPUTED_VALUE"""),21.06)</f>
        <v>21.06</v>
      </c>
      <c r="G6" s="5" t="str">
        <f ca="1">IFERROR(__xludf.DUMMYFUNCTION("""COMPUTED_VALUE"""),"5x3")</f>
        <v>5x3</v>
      </c>
      <c r="H6" s="5">
        <f ca="1">IFERROR(__xludf.DUMMYFUNCTION("""COMPUTED_VALUE"""),5)</f>
        <v>5</v>
      </c>
      <c r="I6" s="5">
        <f ca="1">IFERROR(__xludf.DUMMYFUNCTION("""COMPUTED_VALUE"""),5)</f>
        <v>5</v>
      </c>
      <c r="J6" s="5" t="str">
        <f ca="1">IFERROR(__xludf.DUMMYFUNCTION("""COMPUTED_VALUE"""),"94.91%")</f>
        <v>94.91%</v>
      </c>
      <c r="K6" s="5" t="str">
        <f ca="1">IFERROR(__xludf.DUMMYFUNCTION("""COMPUTED_VALUE"""),"High")</f>
        <v>High</v>
      </c>
      <c r="L6" s="5" t="str">
        <f ca="1">IFERROR(__xludf.DUMMYFUNCTION("""COMPUTED_VALUE"""),"10.5%")</f>
        <v>10.5%</v>
      </c>
      <c r="M6" s="5" t="str">
        <f ca="1">IFERROR(__xludf.DUMMYFUNCTION("""COMPUTED_VALUE"""),"x1234")</f>
        <v>x1234</v>
      </c>
      <c r="N6" s="5" t="str">
        <f ca="1">IFERROR(__xludf.DUMMYFUNCTION("""COMPUTED_VALUE"""),"0.05€/50€")</f>
        <v>0.05€/50€</v>
      </c>
      <c r="O6" s="5" t="str">
        <f ca="1">IFERROR(__xludf.DUMMYFUNCTION("""COMPUTED_VALUE"""),"No")</f>
        <v>No</v>
      </c>
      <c r="P6" s="5" t="str">
        <f ca="1">IFERROR(__xludf.DUMMYFUNCTION("""COMPUTED_VALUE"""),"Expanding Wild, Wild Symbol")</f>
        <v>Expanding Wild, Wild Symbol</v>
      </c>
      <c r="Q6" s="7" t="str">
        <f ca="1">IFERROR(__xludf.DUMMYFUNCTION("""COMPUTED_VALUE"""),"https://rgs-royal-jewels-fortune-deluxe.soko.games/?demo=True&amp;locale=eng")</f>
        <v>https://rgs-royal-jewels-fortune-deluxe.soko.games/?demo=True&amp;locale=eng</v>
      </c>
      <c r="R6" s="5" t="str">
        <f ca="1">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S6" s="5" t="str">
        <f ca="1">IFERROR(__xludf.DUMMYFUNCTION("""COMPUTED_VALUE"""),"")</f>
        <v/>
      </c>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77" x14ac:dyDescent="0.25">
      <c r="A7" s="5" t="str">
        <f ca="1">IFERROR(__xludf.DUMMYFUNCTION("""COMPUTED_VALUE"""),"SOKO studio")</f>
        <v>SOKO studio</v>
      </c>
      <c r="B7" s="5" t="str">
        <f ca="1">IFERROR(__xludf.DUMMYFUNCTION("""COMPUTED_VALUE"""),"Royal Crown Delight Deluxe")</f>
        <v>Royal Crown Delight Deluxe</v>
      </c>
      <c r="C7" s="5" t="str">
        <f ca="1">IFERROR(__xludf.DUMMYFUNCTION("""COMPUTED_VALUE"""),"SokoRoyalCrownDelightDeluxe")</f>
        <v>SokoRoyalCrownDelightDeluxe</v>
      </c>
      <c r="D7" s="6">
        <f ca="1">IFERROR(__xludf.DUMMYFUNCTION("""COMPUTED_VALUE"""),46246)</f>
        <v>46246</v>
      </c>
      <c r="E7" s="5" t="str">
        <f ca="1">IFERROR(__xludf.DUMMYFUNCTION("""COMPUTED_VALUE"""),"Slot")</f>
        <v>Slot</v>
      </c>
      <c r="F7" s="5">
        <f ca="1">IFERROR(__xludf.DUMMYFUNCTION("""COMPUTED_VALUE"""),21.06)</f>
        <v>21.06</v>
      </c>
      <c r="G7" s="5" t="str">
        <f ca="1">IFERROR(__xludf.DUMMYFUNCTION("""COMPUTED_VALUE"""),"5x3")</f>
        <v>5x3</v>
      </c>
      <c r="H7" s="5">
        <f ca="1">IFERROR(__xludf.DUMMYFUNCTION("""COMPUTED_VALUE"""),5)</f>
        <v>5</v>
      </c>
      <c r="I7" s="5">
        <f ca="1">IFERROR(__xludf.DUMMYFUNCTION("""COMPUTED_VALUE"""),5)</f>
        <v>5</v>
      </c>
      <c r="J7" s="5" t="str">
        <f ca="1">IFERROR(__xludf.DUMMYFUNCTION("""COMPUTED_VALUE"""),"95.13%")</f>
        <v>95.13%</v>
      </c>
      <c r="K7" s="5" t="str">
        <f ca="1">IFERROR(__xludf.DUMMYFUNCTION("""COMPUTED_VALUE"""),"High")</f>
        <v>High</v>
      </c>
      <c r="L7" s="5" t="str">
        <f ca="1">IFERROR(__xludf.DUMMYFUNCTION("""COMPUTED_VALUE"""),"16.4%")</f>
        <v>16.4%</v>
      </c>
      <c r="M7" s="5" t="str">
        <f ca="1">IFERROR(__xludf.DUMMYFUNCTION("""COMPUTED_VALUE"""),"x1234")</f>
        <v>x1234</v>
      </c>
      <c r="N7" s="5" t="str">
        <f ca="1">IFERROR(__xludf.DUMMYFUNCTION("""COMPUTED_VALUE"""),"0.05€/50€")</f>
        <v>0.05€/50€</v>
      </c>
      <c r="O7" s="5" t="str">
        <f ca="1">IFERROR(__xludf.DUMMYFUNCTION("""COMPUTED_VALUE"""),"No")</f>
        <v>No</v>
      </c>
      <c r="P7" s="5" t="str">
        <f ca="1">IFERROR(__xludf.DUMMYFUNCTION("""COMPUTED_VALUE"""),"Wild Symbol, Expanding Wild")</f>
        <v>Wild Symbol, Expanding Wild</v>
      </c>
      <c r="Q7" s="7" t="str">
        <f ca="1">IFERROR(__xludf.DUMMYFUNCTION("""COMPUTED_VALUE"""),"https://rgs-royal-crown-delight.soko.games/?demo=True&amp;locale=eng")</f>
        <v>https://rgs-royal-crown-delight.soko.games/?demo=True&amp;locale=eng</v>
      </c>
      <c r="R7" s="5" t="str">
        <f ca="1">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S7" s="5" t="str">
        <f ca="1">IFERROR(__xludf.DUMMYFUNCTION("""COMPUTED_VALUE"""),"")</f>
        <v/>
      </c>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77" x14ac:dyDescent="0.25">
      <c r="D8" s="6"/>
    </row>
    <row r="9" spans="1:77" x14ac:dyDescent="0.25">
      <c r="D9" s="6"/>
    </row>
    <row r="10" spans="1:77" x14ac:dyDescent="0.25">
      <c r="D10" s="6"/>
    </row>
    <row r="11" spans="1:77" x14ac:dyDescent="0.25">
      <c r="D11" s="6"/>
    </row>
    <row r="12" spans="1:77" x14ac:dyDescent="0.25">
      <c r="D12" s="6"/>
    </row>
    <row r="13" spans="1:77" x14ac:dyDescent="0.25">
      <c r="D13" s="6"/>
    </row>
    <row r="14" spans="1:77" x14ac:dyDescent="0.25">
      <c r="D14" s="6"/>
    </row>
    <row r="15" spans="1:77" x14ac:dyDescent="0.25">
      <c r="D15" s="6"/>
    </row>
    <row r="16" spans="1:77" x14ac:dyDescent="0.25">
      <c r="D16" s="6"/>
    </row>
    <row r="17" spans="4:4" x14ac:dyDescent="0.25">
      <c r="D17" s="6"/>
    </row>
    <row r="18" spans="4:4" x14ac:dyDescent="0.25">
      <c r="D18" s="6"/>
    </row>
    <row r="19" spans="4:4" x14ac:dyDescent="0.25">
      <c r="D19" s="6"/>
    </row>
    <row r="20" spans="4:4" x14ac:dyDescent="0.25">
      <c r="D20" s="6"/>
    </row>
    <row r="21" spans="4:4" x14ac:dyDescent="0.25">
      <c r="D21" s="6"/>
    </row>
    <row r="22" spans="4:4" x14ac:dyDescent="0.25">
      <c r="D22" s="6"/>
    </row>
    <row r="23" spans="4:4" x14ac:dyDescent="0.25">
      <c r="D23" s="6"/>
    </row>
    <row r="24" spans="4:4" x14ac:dyDescent="0.25">
      <c r="D24" s="6"/>
    </row>
    <row r="25" spans="4:4" x14ac:dyDescent="0.25">
      <c r="D25" s="6"/>
    </row>
    <row r="26" spans="4:4" x14ac:dyDescent="0.25">
      <c r="D26" s="6"/>
    </row>
    <row r="27" spans="4:4" x14ac:dyDescent="0.25">
      <c r="D27" s="6"/>
    </row>
    <row r="28" spans="4:4" x14ac:dyDescent="0.25">
      <c r="D28" s="6"/>
    </row>
    <row r="29" spans="4:4" x14ac:dyDescent="0.25">
      <c r="D29" s="6"/>
    </row>
    <row r="30" spans="4:4" x14ac:dyDescent="0.25">
      <c r="D30" s="6"/>
    </row>
    <row r="31" spans="4:4" x14ac:dyDescent="0.25">
      <c r="D31" s="6"/>
    </row>
    <row r="32" spans="4:4" x14ac:dyDescent="0.25">
      <c r="D32" s="6"/>
    </row>
    <row r="33" spans="4:4" x14ac:dyDescent="0.25">
      <c r="D33" s="6"/>
    </row>
    <row r="34" spans="4:4" x14ac:dyDescent="0.25">
      <c r="D34" s="6"/>
    </row>
    <row r="35" spans="4:4" x14ac:dyDescent="0.25">
      <c r="D35" s="6"/>
    </row>
    <row r="36" spans="4:4" x14ac:dyDescent="0.25">
      <c r="D36" s="6"/>
    </row>
    <row r="37" spans="4:4" x14ac:dyDescent="0.25">
      <c r="D37" s="6"/>
    </row>
    <row r="38" spans="4:4" x14ac:dyDescent="0.25">
      <c r="D38" s="6"/>
    </row>
    <row r="39" spans="4:4" x14ac:dyDescent="0.25">
      <c r="D39" s="6"/>
    </row>
    <row r="40" spans="4:4" x14ac:dyDescent="0.25">
      <c r="D40" s="6"/>
    </row>
    <row r="41" spans="4:4" x14ac:dyDescent="0.25">
      <c r="D41" s="6"/>
    </row>
    <row r="42" spans="4:4" x14ac:dyDescent="0.25">
      <c r="D42" s="6"/>
    </row>
    <row r="43" spans="4:4" x14ac:dyDescent="0.25">
      <c r="D43" s="6"/>
    </row>
    <row r="44" spans="4:4" x14ac:dyDescent="0.25">
      <c r="D44" s="6"/>
    </row>
    <row r="45" spans="4:4" x14ac:dyDescent="0.25">
      <c r="D45" s="6"/>
    </row>
    <row r="46" spans="4:4" x14ac:dyDescent="0.25">
      <c r="D46" s="6"/>
    </row>
    <row r="47" spans="4:4" x14ac:dyDescent="0.25">
      <c r="D47" s="6"/>
    </row>
    <row r="48" spans="4:4" x14ac:dyDescent="0.25">
      <c r="D48" s="6"/>
    </row>
    <row r="49" spans="4:4" x14ac:dyDescent="0.25">
      <c r="D49" s="6"/>
    </row>
    <row r="50" spans="4:4" x14ac:dyDescent="0.25">
      <c r="D50" s="6"/>
    </row>
    <row r="51" spans="4:4" x14ac:dyDescent="0.25">
      <c r="D51" s="6"/>
    </row>
    <row r="52" spans="4:4" x14ac:dyDescent="0.25">
      <c r="D52" s="6"/>
    </row>
    <row r="53" spans="4:4" x14ac:dyDescent="0.25">
      <c r="D53" s="6"/>
    </row>
    <row r="54" spans="4:4" x14ac:dyDescent="0.25">
      <c r="D54" s="6"/>
    </row>
    <row r="55" spans="4:4" x14ac:dyDescent="0.25">
      <c r="D55" s="6"/>
    </row>
    <row r="56" spans="4:4" x14ac:dyDescent="0.25">
      <c r="D56" s="6"/>
    </row>
    <row r="57" spans="4:4" x14ac:dyDescent="0.25">
      <c r="D57" s="6"/>
    </row>
    <row r="58" spans="4:4" x14ac:dyDescent="0.25">
      <c r="D58" s="6"/>
    </row>
    <row r="59" spans="4:4" x14ac:dyDescent="0.25">
      <c r="D59" s="6"/>
    </row>
    <row r="60" spans="4:4" x14ac:dyDescent="0.25">
      <c r="D60" s="6"/>
    </row>
    <row r="61" spans="4:4" x14ac:dyDescent="0.25">
      <c r="D61" s="6"/>
    </row>
    <row r="62" spans="4:4" x14ac:dyDescent="0.25">
      <c r="D62" s="6"/>
    </row>
    <row r="63" spans="4:4" x14ac:dyDescent="0.25">
      <c r="D63" s="6"/>
    </row>
    <row r="64" spans="4:4" x14ac:dyDescent="0.25">
      <c r="D64" s="6"/>
    </row>
    <row r="65" spans="4:4" x14ac:dyDescent="0.25">
      <c r="D65" s="6"/>
    </row>
    <row r="66" spans="4:4" x14ac:dyDescent="0.25">
      <c r="D66" s="6"/>
    </row>
    <row r="67" spans="4:4" x14ac:dyDescent="0.25">
      <c r="D67" s="6"/>
    </row>
    <row r="68" spans="4:4" x14ac:dyDescent="0.25">
      <c r="D68" s="6"/>
    </row>
    <row r="69" spans="4:4" x14ac:dyDescent="0.25">
      <c r="D69" s="6"/>
    </row>
    <row r="70" spans="4:4" x14ac:dyDescent="0.25">
      <c r="D70" s="6"/>
    </row>
    <row r="71" spans="4:4" x14ac:dyDescent="0.25">
      <c r="D71" s="6"/>
    </row>
    <row r="72" spans="4:4" x14ac:dyDescent="0.25">
      <c r="D72" s="6"/>
    </row>
    <row r="73" spans="4:4" x14ac:dyDescent="0.25">
      <c r="D73" s="6"/>
    </row>
    <row r="74" spans="4:4" x14ac:dyDescent="0.25">
      <c r="D74" s="6"/>
    </row>
    <row r="75" spans="4:4" x14ac:dyDescent="0.25">
      <c r="D75" s="6"/>
    </row>
    <row r="76" spans="4:4" x14ac:dyDescent="0.25">
      <c r="D76" s="6"/>
    </row>
    <row r="77" spans="4:4" x14ac:dyDescent="0.25">
      <c r="D77" s="6"/>
    </row>
    <row r="78" spans="4:4" x14ac:dyDescent="0.25">
      <c r="D78" s="6"/>
    </row>
    <row r="79" spans="4:4" x14ac:dyDescent="0.25">
      <c r="D79" s="6"/>
    </row>
    <row r="80" spans="4:4" x14ac:dyDescent="0.25">
      <c r="D80" s="6"/>
    </row>
    <row r="81" spans="4:4" x14ac:dyDescent="0.25">
      <c r="D81" s="6"/>
    </row>
    <row r="82" spans="4:4" x14ac:dyDescent="0.25">
      <c r="D82" s="6"/>
    </row>
    <row r="83" spans="4:4" x14ac:dyDescent="0.25">
      <c r="D83" s="6"/>
    </row>
    <row r="84" spans="4:4" x14ac:dyDescent="0.25">
      <c r="D84" s="6"/>
    </row>
    <row r="85" spans="4:4" x14ac:dyDescent="0.25">
      <c r="D85" s="6"/>
    </row>
    <row r="86" spans="4:4" x14ac:dyDescent="0.25">
      <c r="D86" s="6"/>
    </row>
    <row r="87" spans="4:4" x14ac:dyDescent="0.25">
      <c r="D87" s="6"/>
    </row>
    <row r="88" spans="4:4" x14ac:dyDescent="0.25">
      <c r="D88" s="6"/>
    </row>
    <row r="89" spans="4:4" x14ac:dyDescent="0.25">
      <c r="D89" s="6"/>
    </row>
    <row r="90" spans="4:4" x14ac:dyDescent="0.25">
      <c r="D90" s="6"/>
    </row>
    <row r="91" spans="4:4" x14ac:dyDescent="0.25">
      <c r="D91" s="6"/>
    </row>
    <row r="92" spans="4:4" x14ac:dyDescent="0.25">
      <c r="D92" s="6"/>
    </row>
    <row r="93" spans="4:4" x14ac:dyDescent="0.25">
      <c r="D93" s="6"/>
    </row>
    <row r="94" spans="4:4" x14ac:dyDescent="0.25">
      <c r="D94" s="6"/>
    </row>
    <row r="95" spans="4:4" x14ac:dyDescent="0.25">
      <c r="D95" s="6"/>
    </row>
    <row r="96" spans="4:4" x14ac:dyDescent="0.25">
      <c r="D96" s="6"/>
    </row>
    <row r="97" spans="4:4" x14ac:dyDescent="0.25">
      <c r="D97" s="6"/>
    </row>
    <row r="98" spans="4:4" x14ac:dyDescent="0.25">
      <c r="D98" s="6"/>
    </row>
    <row r="99" spans="4:4" x14ac:dyDescent="0.25">
      <c r="D99" s="6"/>
    </row>
    <row r="100" spans="4:4" x14ac:dyDescent="0.25">
      <c r="D100" s="6"/>
    </row>
    <row r="101" spans="4:4" x14ac:dyDescent="0.25">
      <c r="D101" s="6"/>
    </row>
    <row r="102" spans="4:4" x14ac:dyDescent="0.25">
      <c r="D102" s="6"/>
    </row>
    <row r="103" spans="4:4" x14ac:dyDescent="0.25">
      <c r="D103" s="6"/>
    </row>
    <row r="104" spans="4:4" x14ac:dyDescent="0.25">
      <c r="D104" s="6"/>
    </row>
    <row r="105" spans="4:4" x14ac:dyDescent="0.25">
      <c r="D105" s="6"/>
    </row>
    <row r="106" spans="4:4" x14ac:dyDescent="0.25">
      <c r="D106" s="6"/>
    </row>
    <row r="107" spans="4:4" x14ac:dyDescent="0.25">
      <c r="D107" s="6"/>
    </row>
    <row r="108" spans="4:4" x14ac:dyDescent="0.25">
      <c r="D108" s="6"/>
    </row>
    <row r="109" spans="4:4" x14ac:dyDescent="0.25">
      <c r="D109" s="6"/>
    </row>
    <row r="110" spans="4:4" x14ac:dyDescent="0.25">
      <c r="D110" s="6"/>
    </row>
    <row r="111" spans="4:4" x14ac:dyDescent="0.25">
      <c r="D111" s="6"/>
    </row>
    <row r="112" spans="4:4" x14ac:dyDescent="0.25">
      <c r="D112" s="6"/>
    </row>
    <row r="113" spans="4:4" x14ac:dyDescent="0.25">
      <c r="D113" s="6"/>
    </row>
    <row r="114" spans="4:4" x14ac:dyDescent="0.25">
      <c r="D114" s="6"/>
    </row>
    <row r="115" spans="4:4" x14ac:dyDescent="0.25">
      <c r="D115" s="6"/>
    </row>
    <row r="116" spans="4:4" x14ac:dyDescent="0.25">
      <c r="D116" s="6"/>
    </row>
    <row r="117" spans="4:4" x14ac:dyDescent="0.25">
      <c r="D117" s="6"/>
    </row>
    <row r="118" spans="4:4" x14ac:dyDescent="0.25">
      <c r="D118" s="6"/>
    </row>
    <row r="119" spans="4:4" x14ac:dyDescent="0.25">
      <c r="D119" s="6"/>
    </row>
    <row r="120" spans="4:4" x14ac:dyDescent="0.25">
      <c r="D120" s="6"/>
    </row>
    <row r="121" spans="4:4" x14ac:dyDescent="0.25">
      <c r="D121" s="6"/>
    </row>
    <row r="122" spans="4:4" x14ac:dyDescent="0.25">
      <c r="D122" s="6"/>
    </row>
    <row r="123" spans="4:4" x14ac:dyDescent="0.25">
      <c r="D123" s="6"/>
    </row>
    <row r="124" spans="4:4" x14ac:dyDescent="0.25">
      <c r="D124" s="6"/>
    </row>
    <row r="125" spans="4:4" x14ac:dyDescent="0.25">
      <c r="D125" s="6"/>
    </row>
    <row r="126" spans="4:4" x14ac:dyDescent="0.25">
      <c r="D126" s="6"/>
    </row>
    <row r="127" spans="4:4" x14ac:dyDescent="0.25">
      <c r="D127" s="6"/>
    </row>
    <row r="128" spans="4:4" x14ac:dyDescent="0.25">
      <c r="D128" s="6"/>
    </row>
    <row r="129" spans="4:4" x14ac:dyDescent="0.25">
      <c r="D129" s="6"/>
    </row>
    <row r="130" spans="4:4" x14ac:dyDescent="0.25">
      <c r="D130" s="6"/>
    </row>
    <row r="131" spans="4:4" x14ac:dyDescent="0.25">
      <c r="D131" s="6"/>
    </row>
    <row r="132" spans="4:4" x14ac:dyDescent="0.25">
      <c r="D132" s="6"/>
    </row>
    <row r="133" spans="4:4" x14ac:dyDescent="0.25">
      <c r="D133" s="6"/>
    </row>
    <row r="134" spans="4:4" x14ac:dyDescent="0.25">
      <c r="D134" s="6"/>
    </row>
    <row r="135" spans="4:4" x14ac:dyDescent="0.25">
      <c r="D135" s="6"/>
    </row>
    <row r="136" spans="4:4" x14ac:dyDescent="0.25">
      <c r="D136" s="6"/>
    </row>
    <row r="137" spans="4:4" x14ac:dyDescent="0.25">
      <c r="D137" s="6"/>
    </row>
    <row r="138" spans="4:4" x14ac:dyDescent="0.25">
      <c r="D138" s="6"/>
    </row>
    <row r="139" spans="4:4" x14ac:dyDescent="0.25">
      <c r="D139" s="6"/>
    </row>
    <row r="140" spans="4:4" x14ac:dyDescent="0.25">
      <c r="D140" s="6"/>
    </row>
    <row r="141" spans="4:4" x14ac:dyDescent="0.25">
      <c r="D141" s="6"/>
    </row>
    <row r="142" spans="4:4" x14ac:dyDescent="0.25">
      <c r="D142" s="6"/>
    </row>
    <row r="143" spans="4:4" x14ac:dyDescent="0.25">
      <c r="D143" s="6"/>
    </row>
    <row r="144" spans="4:4"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rgs-lucky-crown-10.soko.games/" xr:uid="{00000000-0004-0000-0500-000000000000}"/>
    <hyperlink ref="Q5" r:id="rId2" display="https://rgs-double-hot-chili.soko.games/?demo=True&amp;locale=eng" xr:uid="{00000000-0004-0000-0500-000001000000}"/>
    <hyperlink ref="Q6" r:id="rId3" display="https://rgs-royal-jewels-fortune-deluxe.soko.games/?demo=True&amp;locale=eng" xr:uid="{00000000-0004-0000-0500-000002000000}"/>
    <hyperlink ref="Q7" r:id="rId4" display="https://rgs-royal-crown-delight.soko.games/?demo=True&amp;locale=eng" xr:uid="{00000000-0004-0000-0500-000003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E1000"/>
  <sheetViews>
    <sheetView workbookViewId="0"/>
  </sheetViews>
  <sheetFormatPr defaultColWidth="12.6640625" defaultRowHeight="15.75" customHeight="1" x14ac:dyDescent="0.25"/>
  <cols>
    <col min="1" max="1" width="28" customWidth="1"/>
    <col min="2" max="2" width="7.77734375" customWidth="1"/>
    <col min="3" max="3" width="25.33203125" customWidth="1"/>
    <col min="4" max="4" width="18.21875" customWidth="1"/>
    <col min="5" max="5" width="13.6640625" customWidth="1"/>
  </cols>
  <sheetData>
    <row r="1" spans="1:5" x14ac:dyDescent="0.25">
      <c r="A1" s="8" t="str">
        <f ca="1">IFERROR(__xludf.DUMMYFUNCTION("LET(
  pocetak_kvartala, EDATE(DATE(YEAR(TODAY()), FLOOR(MONTH(TODAY())-1, 3)+1, 1), 3),
  kraj_kvartala, EDATE(pocetak_kvartala, 3) - 1,
  datumi_pravi, MAP(AllGames_Games!S2:S1000, LAMBDA(d, 
    IF(ISBLANK(d), 0, 
      IF(ISNUMBER(d), d, 
        I"&amp;"FERROR(DATE(LEFT(d,4), MID(d,6,2), RIGHT(d,2)), 0)
      )
    )
  )),
  rezultat, IFERROR(
    SORT(
      FILTER(
        {AllGames_Games!D2:D1000, AllGames_Games!B2:B1000, AllGames_Games!F2:F1000, AllGames_Games!S2:S1000, AllGames_Games!C2:C1000},
 "&amp;"       (AllGames_Games!T2:T1000 = TRUE) + (AllGames_Games!T2:T1000 = ""TRUE""),
        datumi_pravi &gt;= pocetak_kvartala,
        datumi_pravi &lt;= kraj_kvartala
      ),
      4, TRUE
    ),
    {""Nema potvrđenih igara za naredni kvartal"", """", """", """&amp;""", """"}
  ),
  VSTACK({""GameName"", ""GameId"", ""GameCode"", ""ReleaseDate"", ""Provider""}, rezultat)
)"),"GameName")</f>
        <v>GameName</v>
      </c>
      <c r="B1" s="8" t="str">
        <f ca="1">IFERROR(__xludf.DUMMYFUNCTION("""COMPUTED_VALUE"""),"GameId")</f>
        <v>GameId</v>
      </c>
      <c r="C1" s="8" t="str">
        <f ca="1">IFERROR(__xludf.DUMMYFUNCTION("""COMPUTED_VALUE"""),"GameCode")</f>
        <v>GameCode</v>
      </c>
      <c r="D1" s="9" t="str">
        <f ca="1">IFERROR(__xludf.DUMMYFUNCTION("""COMPUTED_VALUE"""),"ReleaseDate")</f>
        <v>ReleaseDate</v>
      </c>
      <c r="E1" s="8" t="str">
        <f ca="1">IFERROR(__xludf.DUMMYFUNCTION("""COMPUTED_VALUE"""),"Provider")</f>
        <v>Provider</v>
      </c>
    </row>
    <row r="2" spans="1:5" x14ac:dyDescent="0.25">
      <c r="A2" s="5" t="str">
        <f ca="1">IFERROR(__xludf.DUMMYFUNCTION("""COMPUTED_VALUE"""),"Nema potvrđenih igara za naredni kvartal")</f>
        <v>Nema potvrđenih igara za naredni kvartal</v>
      </c>
      <c r="B2" s="5" t="str">
        <f ca="1">IFERROR(__xludf.DUMMYFUNCTION("""COMPUTED_VALUE"""),"")</f>
        <v/>
      </c>
      <c r="C2" s="5" t="str">
        <f ca="1">IFERROR(__xludf.DUMMYFUNCTION("""COMPUTED_VALUE"""),"")</f>
        <v/>
      </c>
      <c r="D2" s="6" t="str">
        <f ca="1">IFERROR(__xludf.DUMMYFUNCTION("""COMPUTED_VALUE"""),"")</f>
        <v/>
      </c>
      <c r="E2" s="5" t="str">
        <f ca="1">IFERROR(__xludf.DUMMYFUNCTION("""COMPUTED_VALUE"""),"")</f>
        <v/>
      </c>
    </row>
    <row r="3" spans="1:5" x14ac:dyDescent="0.25">
      <c r="D3" s="6"/>
    </row>
    <row r="4" spans="1:5" x14ac:dyDescent="0.25">
      <c r="D4" s="6"/>
    </row>
    <row r="5" spans="1:5" x14ac:dyDescent="0.25">
      <c r="D5" s="6"/>
    </row>
    <row r="6" spans="1:5" x14ac:dyDescent="0.25">
      <c r="D6" s="6"/>
    </row>
    <row r="7" spans="1:5" x14ac:dyDescent="0.25">
      <c r="D7" s="6"/>
    </row>
    <row r="8" spans="1:5" x14ac:dyDescent="0.25">
      <c r="D8" s="6"/>
    </row>
    <row r="9" spans="1:5" x14ac:dyDescent="0.25">
      <c r="D9" s="6"/>
    </row>
    <row r="10" spans="1:5" x14ac:dyDescent="0.25">
      <c r="D10" s="6"/>
    </row>
    <row r="11" spans="1:5" x14ac:dyDescent="0.25">
      <c r="D11" s="6"/>
    </row>
    <row r="12" spans="1:5" x14ac:dyDescent="0.25">
      <c r="D12" s="6"/>
    </row>
    <row r="13" spans="1:5" x14ac:dyDescent="0.25">
      <c r="D13" s="6"/>
    </row>
    <row r="14" spans="1:5" x14ac:dyDescent="0.25">
      <c r="D14" s="6"/>
    </row>
    <row r="15" spans="1:5" x14ac:dyDescent="0.25">
      <c r="D15" s="6"/>
    </row>
    <row r="16" spans="1:5" x14ac:dyDescent="0.25">
      <c r="D16" s="6"/>
    </row>
    <row r="17" spans="4:4" x14ac:dyDescent="0.25">
      <c r="D17" s="6"/>
    </row>
    <row r="18" spans="4:4" x14ac:dyDescent="0.25">
      <c r="D18" s="6"/>
    </row>
    <row r="19" spans="4:4" x14ac:dyDescent="0.25">
      <c r="D19" s="6"/>
    </row>
    <row r="20" spans="4:4" x14ac:dyDescent="0.25">
      <c r="D20" s="6"/>
    </row>
    <row r="21" spans="4:4" x14ac:dyDescent="0.25">
      <c r="D21" s="6"/>
    </row>
    <row r="22" spans="4:4" x14ac:dyDescent="0.25">
      <c r="D22" s="6"/>
    </row>
    <row r="23" spans="4:4" x14ac:dyDescent="0.25">
      <c r="D23" s="6"/>
    </row>
    <row r="24" spans="4:4" x14ac:dyDescent="0.25">
      <c r="D24" s="6"/>
    </row>
    <row r="25" spans="4:4" x14ac:dyDescent="0.25">
      <c r="D25" s="6"/>
    </row>
    <row r="26" spans="4:4" x14ac:dyDescent="0.25">
      <c r="D26" s="6"/>
    </row>
    <row r="27" spans="4:4" x14ac:dyDescent="0.25">
      <c r="D27" s="6"/>
    </row>
    <row r="28" spans="4:4" x14ac:dyDescent="0.25">
      <c r="D28" s="6"/>
    </row>
    <row r="29" spans="4:4" x14ac:dyDescent="0.25">
      <c r="D29" s="6"/>
    </row>
    <row r="30" spans="4:4" x14ac:dyDescent="0.25">
      <c r="D30" s="6"/>
    </row>
    <row r="31" spans="4:4" x14ac:dyDescent="0.25">
      <c r="D31" s="6"/>
    </row>
    <row r="32" spans="4:4" x14ac:dyDescent="0.25">
      <c r="D32" s="6"/>
    </row>
    <row r="33" spans="4:4" x14ac:dyDescent="0.25">
      <c r="D33" s="6"/>
    </row>
    <row r="34" spans="4:4" x14ac:dyDescent="0.25">
      <c r="D34" s="6"/>
    </row>
    <row r="35" spans="4:4" x14ac:dyDescent="0.25">
      <c r="D35" s="6"/>
    </row>
    <row r="36" spans="4:4" x14ac:dyDescent="0.25">
      <c r="D36" s="6"/>
    </row>
    <row r="37" spans="4:4" x14ac:dyDescent="0.25">
      <c r="D37" s="6"/>
    </row>
    <row r="38" spans="4:4" x14ac:dyDescent="0.25">
      <c r="D38" s="6"/>
    </row>
    <row r="39" spans="4:4" x14ac:dyDescent="0.25">
      <c r="D39" s="6"/>
    </row>
    <row r="40" spans="4:4" x14ac:dyDescent="0.25">
      <c r="D40" s="6"/>
    </row>
    <row r="41" spans="4:4" x14ac:dyDescent="0.25">
      <c r="D41" s="6"/>
    </row>
    <row r="42" spans="4:4" x14ac:dyDescent="0.25">
      <c r="D42" s="6"/>
    </row>
    <row r="43" spans="4:4" x14ac:dyDescent="0.25">
      <c r="D43" s="6"/>
    </row>
    <row r="44" spans="4:4" x14ac:dyDescent="0.25">
      <c r="D44" s="6"/>
    </row>
    <row r="45" spans="4:4" x14ac:dyDescent="0.25">
      <c r="D45" s="6"/>
    </row>
    <row r="46" spans="4:4" x14ac:dyDescent="0.25">
      <c r="D46" s="6"/>
    </row>
    <row r="47" spans="4:4" x14ac:dyDescent="0.25">
      <c r="D47" s="6"/>
    </row>
    <row r="48" spans="4:4" x14ac:dyDescent="0.25">
      <c r="D48" s="6"/>
    </row>
    <row r="49" spans="4:4" x14ac:dyDescent="0.25">
      <c r="D49" s="6"/>
    </row>
    <row r="50" spans="4:4" x14ac:dyDescent="0.25">
      <c r="D50" s="6"/>
    </row>
    <row r="51" spans="4:4" x14ac:dyDescent="0.25">
      <c r="D51" s="6"/>
    </row>
    <row r="52" spans="4:4" x14ac:dyDescent="0.25">
      <c r="D52" s="6"/>
    </row>
    <row r="53" spans="4:4" x14ac:dyDescent="0.25">
      <c r="D53" s="6"/>
    </row>
    <row r="54" spans="4:4" x14ac:dyDescent="0.25">
      <c r="D54" s="6"/>
    </row>
    <row r="55" spans="4:4" x14ac:dyDescent="0.25">
      <c r="D55" s="6"/>
    </row>
    <row r="56" spans="4:4" x14ac:dyDescent="0.25">
      <c r="D56" s="6"/>
    </row>
    <row r="57" spans="4:4" x14ac:dyDescent="0.25">
      <c r="D57" s="6"/>
    </row>
    <row r="58" spans="4:4" x14ac:dyDescent="0.25">
      <c r="D58" s="6"/>
    </row>
    <row r="59" spans="4:4" x14ac:dyDescent="0.25">
      <c r="D59" s="6"/>
    </row>
    <row r="60" spans="4:4" x14ac:dyDescent="0.25">
      <c r="D60" s="6"/>
    </row>
    <row r="61" spans="4:4" x14ac:dyDescent="0.25">
      <c r="D61" s="6"/>
    </row>
    <row r="62" spans="4:4" x14ac:dyDescent="0.25">
      <c r="D62" s="6"/>
    </row>
    <row r="63" spans="4:4" x14ac:dyDescent="0.25">
      <c r="D63" s="6"/>
    </row>
    <row r="64" spans="4:4" x14ac:dyDescent="0.25">
      <c r="D64" s="6"/>
    </row>
    <row r="65" spans="4:4" x14ac:dyDescent="0.25">
      <c r="D65" s="6"/>
    </row>
    <row r="66" spans="4:4" x14ac:dyDescent="0.25">
      <c r="D66" s="6"/>
    </row>
    <row r="67" spans="4:4" x14ac:dyDescent="0.25">
      <c r="D67" s="6"/>
    </row>
    <row r="68" spans="4:4" x14ac:dyDescent="0.25">
      <c r="D68" s="6"/>
    </row>
    <row r="69" spans="4:4" x14ac:dyDescent="0.25">
      <c r="D69" s="6"/>
    </row>
    <row r="70" spans="4:4" x14ac:dyDescent="0.25">
      <c r="D70" s="6"/>
    </row>
    <row r="71" spans="4:4" x14ac:dyDescent="0.25">
      <c r="D71" s="6"/>
    </row>
    <row r="72" spans="4:4" x14ac:dyDescent="0.25">
      <c r="D72" s="6"/>
    </row>
    <row r="73" spans="4:4" x14ac:dyDescent="0.25">
      <c r="D73" s="6"/>
    </row>
    <row r="74" spans="4:4" x14ac:dyDescent="0.25">
      <c r="D74" s="6"/>
    </row>
    <row r="75" spans="4:4" x14ac:dyDescent="0.25">
      <c r="D75" s="6"/>
    </row>
    <row r="76" spans="4:4" x14ac:dyDescent="0.25">
      <c r="D76" s="6"/>
    </row>
    <row r="77" spans="4:4" x14ac:dyDescent="0.25">
      <c r="D77" s="6"/>
    </row>
    <row r="78" spans="4:4" x14ac:dyDescent="0.25">
      <c r="D78" s="6"/>
    </row>
    <row r="79" spans="4:4" x14ac:dyDescent="0.25">
      <c r="D79" s="6"/>
    </row>
    <row r="80" spans="4:4" x14ac:dyDescent="0.25">
      <c r="D80" s="6"/>
    </row>
    <row r="81" spans="4:4" x14ac:dyDescent="0.25">
      <c r="D81" s="6"/>
    </row>
    <row r="82" spans="4:4" x14ac:dyDescent="0.25">
      <c r="D82" s="6"/>
    </row>
    <row r="83" spans="4:4" x14ac:dyDescent="0.25">
      <c r="D83" s="6"/>
    </row>
    <row r="84" spans="4:4" x14ac:dyDescent="0.25">
      <c r="D84" s="6"/>
    </row>
    <row r="85" spans="4:4" x14ac:dyDescent="0.25">
      <c r="D85" s="6"/>
    </row>
    <row r="86" spans="4:4" x14ac:dyDescent="0.25">
      <c r="D86" s="6"/>
    </row>
    <row r="87" spans="4:4" x14ac:dyDescent="0.25">
      <c r="D87" s="6"/>
    </row>
    <row r="88" spans="4:4" x14ac:dyDescent="0.25">
      <c r="D88" s="6"/>
    </row>
    <row r="89" spans="4:4" x14ac:dyDescent="0.25">
      <c r="D89" s="6"/>
    </row>
    <row r="90" spans="4:4" x14ac:dyDescent="0.25">
      <c r="D90" s="6"/>
    </row>
    <row r="91" spans="4:4" x14ac:dyDescent="0.25">
      <c r="D91" s="6"/>
    </row>
    <row r="92" spans="4:4" x14ac:dyDescent="0.25">
      <c r="D92" s="6"/>
    </row>
    <row r="93" spans="4:4" x14ac:dyDescent="0.25">
      <c r="D93" s="6"/>
    </row>
    <row r="94" spans="4:4" x14ac:dyDescent="0.25">
      <c r="D94" s="6"/>
    </row>
    <row r="95" spans="4:4" x14ac:dyDescent="0.25">
      <c r="D95" s="6"/>
    </row>
    <row r="96" spans="4:4" x14ac:dyDescent="0.25">
      <c r="D96" s="6"/>
    </row>
    <row r="97" spans="4:4" x14ac:dyDescent="0.25">
      <c r="D97" s="6"/>
    </row>
    <row r="98" spans="4:4" x14ac:dyDescent="0.25">
      <c r="D98" s="6"/>
    </row>
    <row r="99" spans="4:4" x14ac:dyDescent="0.25">
      <c r="D99" s="6"/>
    </row>
    <row r="100" spans="4:4" x14ac:dyDescent="0.25">
      <c r="D100" s="6"/>
    </row>
    <row r="101" spans="4:4" x14ac:dyDescent="0.25">
      <c r="D101" s="6"/>
    </row>
    <row r="102" spans="4:4" x14ac:dyDescent="0.25">
      <c r="D102" s="6"/>
    </row>
    <row r="103" spans="4:4" x14ac:dyDescent="0.25">
      <c r="D103" s="6"/>
    </row>
    <row r="104" spans="4:4" x14ac:dyDescent="0.25">
      <c r="D104" s="6"/>
    </row>
    <row r="105" spans="4:4" x14ac:dyDescent="0.25">
      <c r="D105" s="6"/>
    </row>
    <row r="106" spans="4:4" x14ac:dyDescent="0.25">
      <c r="D106" s="6"/>
    </row>
    <row r="107" spans="4:4" x14ac:dyDescent="0.25">
      <c r="D107" s="6"/>
    </row>
    <row r="108" spans="4:4" x14ac:dyDescent="0.25">
      <c r="D108" s="6"/>
    </row>
    <row r="109" spans="4:4" x14ac:dyDescent="0.25">
      <c r="D109" s="6"/>
    </row>
    <row r="110" spans="4:4" x14ac:dyDescent="0.25">
      <c r="D110" s="6"/>
    </row>
    <row r="111" spans="4:4" x14ac:dyDescent="0.25">
      <c r="D111" s="6"/>
    </row>
    <row r="112" spans="4:4" x14ac:dyDescent="0.25">
      <c r="D112" s="6"/>
    </row>
    <row r="113" spans="4:4" x14ac:dyDescent="0.25">
      <c r="D113" s="6"/>
    </row>
    <row r="114" spans="4:4" x14ac:dyDescent="0.25">
      <c r="D114" s="6"/>
    </row>
    <row r="115" spans="4:4" x14ac:dyDescent="0.25">
      <c r="D115" s="6"/>
    </row>
    <row r="116" spans="4:4" x14ac:dyDescent="0.25">
      <c r="D116" s="6"/>
    </row>
    <row r="117" spans="4:4" x14ac:dyDescent="0.25">
      <c r="D117" s="6"/>
    </row>
    <row r="118" spans="4:4" x14ac:dyDescent="0.25">
      <c r="D118" s="6"/>
    </row>
    <row r="119" spans="4:4" x14ac:dyDescent="0.25">
      <c r="D119" s="6"/>
    </row>
    <row r="120" spans="4:4" x14ac:dyDescent="0.25">
      <c r="D120" s="6"/>
    </row>
    <row r="121" spans="4:4" x14ac:dyDescent="0.25">
      <c r="D121" s="6"/>
    </row>
    <row r="122" spans="4:4" x14ac:dyDescent="0.25">
      <c r="D122" s="6"/>
    </row>
    <row r="123" spans="4:4" x14ac:dyDescent="0.25">
      <c r="D123" s="6"/>
    </row>
    <row r="124" spans="4:4" x14ac:dyDescent="0.25">
      <c r="D124" s="6"/>
    </row>
    <row r="125" spans="4:4" x14ac:dyDescent="0.25">
      <c r="D125" s="6"/>
    </row>
    <row r="126" spans="4:4" x14ac:dyDescent="0.25">
      <c r="D126" s="6"/>
    </row>
    <row r="127" spans="4:4" x14ac:dyDescent="0.25">
      <c r="D127" s="6"/>
    </row>
    <row r="128" spans="4:4" x14ac:dyDescent="0.25">
      <c r="D128" s="6"/>
    </row>
    <row r="129" spans="4:4" x14ac:dyDescent="0.25">
      <c r="D129" s="6"/>
    </row>
    <row r="130" spans="4:4" x14ac:dyDescent="0.25">
      <c r="D130" s="6"/>
    </row>
    <row r="131" spans="4:4" x14ac:dyDescent="0.25">
      <c r="D131" s="6"/>
    </row>
    <row r="132" spans="4:4" x14ac:dyDescent="0.25">
      <c r="D132" s="6"/>
    </row>
    <row r="133" spans="4:4" x14ac:dyDescent="0.25">
      <c r="D133" s="6"/>
    </row>
    <row r="134" spans="4:4" x14ac:dyDescent="0.25">
      <c r="D134" s="6"/>
    </row>
    <row r="135" spans="4:4" x14ac:dyDescent="0.25">
      <c r="D135" s="6"/>
    </row>
    <row r="136" spans="4:4" x14ac:dyDescent="0.25">
      <c r="D136" s="6"/>
    </row>
    <row r="137" spans="4:4" x14ac:dyDescent="0.25">
      <c r="D137" s="6"/>
    </row>
    <row r="138" spans="4:4" x14ac:dyDescent="0.25">
      <c r="D138" s="6"/>
    </row>
    <row r="139" spans="4:4" x14ac:dyDescent="0.25">
      <c r="D139" s="6"/>
    </row>
    <row r="140" spans="4:4" x14ac:dyDescent="0.25">
      <c r="D140" s="6"/>
    </row>
    <row r="141" spans="4:4" x14ac:dyDescent="0.25">
      <c r="D141" s="6"/>
    </row>
    <row r="142" spans="4:4" x14ac:dyDescent="0.25">
      <c r="D142" s="6"/>
    </row>
    <row r="143" spans="4:4" x14ac:dyDescent="0.25">
      <c r="D143" s="6"/>
    </row>
    <row r="144" spans="4:4"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C811"/>
  <sheetViews>
    <sheetView workbookViewId="0"/>
  </sheetViews>
  <sheetFormatPr defaultColWidth="12.6640625" defaultRowHeight="15.75" customHeight="1" x14ac:dyDescent="0.25"/>
  <sheetData>
    <row r="1" spans="1:29" x14ac:dyDescent="0.25">
      <c r="A1" s="5" t="str">
        <f ca="1">IFERROR(__xludf.DUMMYFUNCTION("LET(
  cista_imena, ARRAYFORMULA(TRIM(AllGames_Languages!C:C)),
  kodovi, ARRAYFORMULA(TRIM(AllGames_Languages!D:D)),
  spojeni_jezici, ARRAYFORMULA(cista_imena &amp; ""("""""" &amp; kodovi &amp; """""")""),
  valid_langs, FILTER(AllGames_Languages!C2:C1000, (AllGam"&amp;"es_Languages!K2:K1000 = TRUE) + (AllGames_Languages!K2:K1000 = ""TRUE"")),
  lang_headers, GameLanguages_report!E1:AM1,
  lang_indices, FILTER(
    SEQUENCE(1, COLUMNS(lang_headers), 5), 
    ARRAYFORMULA(ISNUMBER(MATCH(TRIM(lang_headers), TRIM(valid_l"&amp;"angs), 0)))
  ),
  odobrena_zaglavlja, CHOOSECOLS(GameLanguages_report!1:1, lang_indices),
  formirana_zaglavlja, MAP(odobrena_zaglavlja, LAMBDA(h, IFERROR(XLOOKUP(TRIM(h), cista_imena, spojeni_jezici), h))),
  slika_podataka, FILTER(GameLanguages_r"&amp;"eport!A2:ZZ1000, GameLanguages_report!D2:D1000 &lt;&gt; """"),
  gamename_podaci, CHOOSECOLS(slika_podataka, 4),
  jezici_podaci, CHOOSECOLS(slika_podataka, lang_indices),
  sracunat_langcode, BYROW(jezici_podaci, LAMBDA(r, TEXTJOIN("", "", TRUE, IFERROR("&amp;"FILTER(formirana_zaglavlja, r = ""Yes""), """")))),
  sadrzaj, HSTACK(gamename_podaci, sracunat_langcode, jezici_podaci),
  zaglavlje, HSTACK(""GameName"", ""LanguageCode"", odobrena_zaglavlja),
  VSTACK(zaglavlje, sadrzaj)
)"),"GameName")</f>
        <v>GameName</v>
      </c>
      <c r="B1" s="5" t="str">
        <f ca="1">IFERROR(__xludf.DUMMYFUNCTION("""COMPUTED_VALUE"""),"LanguageCode")</f>
        <v>LanguageCode</v>
      </c>
      <c r="C1" s="5" t="str">
        <f ca="1">IFERROR(__xludf.DUMMYFUNCTION("""COMPUTED_VALUE"""),"English")</f>
        <v>English</v>
      </c>
      <c r="D1" s="5" t="str">
        <f ca="1">IFERROR(__xludf.DUMMYFUNCTION("""COMPUTED_VALUE"""),"Serbian")</f>
        <v>Serbian</v>
      </c>
      <c r="E1" s="5" t="str">
        <f ca="1">IFERROR(__xludf.DUMMYFUNCTION("""COMPUTED_VALUE"""),"Montenegrian")</f>
        <v>Montenegrian</v>
      </c>
      <c r="F1" s="5" t="str">
        <f ca="1">IFERROR(__xludf.DUMMYFUNCTION("""COMPUTED_VALUE"""),"Bulgarian")</f>
        <v>Bulgarian</v>
      </c>
      <c r="G1" s="5" t="str">
        <f ca="1">IFERROR(__xludf.DUMMYFUNCTION("""COMPUTED_VALUE"""),"Spanish")</f>
        <v>Spanish</v>
      </c>
      <c r="H1" s="5" t="str">
        <f ca="1">IFERROR(__xludf.DUMMYFUNCTION("""COMPUTED_VALUE"""),"Portuguese")</f>
        <v>Portuguese</v>
      </c>
      <c r="I1" s="5" t="str">
        <f ca="1">IFERROR(__xludf.DUMMYFUNCTION("""COMPUTED_VALUE"""),"Italian")</f>
        <v>Italian</v>
      </c>
      <c r="J1" s="5" t="str">
        <f ca="1">IFERROR(__xludf.DUMMYFUNCTION("""COMPUTED_VALUE"""),"Romanian")</f>
        <v>Romanian</v>
      </c>
      <c r="K1" s="5" t="str">
        <f ca="1">IFERROR(__xludf.DUMMYFUNCTION("""COMPUTED_VALUE"""),"Croatian")</f>
        <v>Croatian</v>
      </c>
      <c r="L1" s="5" t="str">
        <f ca="1">IFERROR(__xludf.DUMMYFUNCTION("""COMPUTED_VALUE"""),"French")</f>
        <v>French</v>
      </c>
      <c r="M1" s="5" t="str">
        <f ca="1">IFERROR(__xludf.DUMMYFUNCTION("""COMPUTED_VALUE"""),"German")</f>
        <v>German</v>
      </c>
      <c r="N1" s="5" t="str">
        <f ca="1">IFERROR(__xludf.DUMMYFUNCTION("""COMPUTED_VALUE"""),"Dutch")</f>
        <v>Dutch</v>
      </c>
      <c r="O1" s="5" t="str">
        <f ca="1">IFERROR(__xludf.DUMMYFUNCTION("""COMPUTED_VALUE"""),"Turkish")</f>
        <v>Turkish</v>
      </c>
      <c r="P1" s="5" t="str">
        <f ca="1">IFERROR(__xludf.DUMMYFUNCTION("""COMPUTED_VALUE"""),"Greek")</f>
        <v>Greek</v>
      </c>
      <c r="Q1" s="5" t="str">
        <f ca="1">IFERROR(__xludf.DUMMYFUNCTION("""COMPUTED_VALUE"""),"Russian")</f>
        <v>Russian</v>
      </c>
      <c r="R1" s="5" t="str">
        <f ca="1">IFERROR(__xludf.DUMMYFUNCTION("""COMPUTED_VALUE"""),"Czech")</f>
        <v>Czech</v>
      </c>
      <c r="S1" s="5" t="str">
        <f ca="1">IFERROR(__xludf.DUMMYFUNCTION("""COMPUTED_VALUE"""),"Hungarian")</f>
        <v>Hungarian</v>
      </c>
      <c r="T1" s="5" t="str">
        <f ca="1">IFERROR(__xludf.DUMMYFUNCTION("""COMPUTED_VALUE"""),"N. Macedonian")</f>
        <v>N. Macedonian</v>
      </c>
      <c r="U1" s="5" t="str">
        <f ca="1">IFERROR(__xludf.DUMMYFUNCTION("""COMPUTED_VALUE"""),"Finnish")</f>
        <v>Finnish</v>
      </c>
      <c r="V1" s="5" t="str">
        <f ca="1">IFERROR(__xludf.DUMMYFUNCTION("""COMPUTED_VALUE"""),"Armenian")</f>
        <v>Armenian</v>
      </c>
      <c r="W1" s="5" t="str">
        <f ca="1">IFERROR(__xludf.DUMMYFUNCTION("""COMPUTED_VALUE"""),"Social English")</f>
        <v>Social English</v>
      </c>
      <c r="X1" s="5" t="str">
        <f ca="1">IFERROR(__xludf.DUMMYFUNCTION("""COMPUTED_VALUE"""),"Swahili")</f>
        <v>Swahili</v>
      </c>
      <c r="Y1" s="5" t="str">
        <f ca="1">IFERROR(__xludf.DUMMYFUNCTION("""COMPUTED_VALUE"""),"Polish")</f>
        <v>Polish</v>
      </c>
      <c r="Z1" s="5" t="str">
        <f ca="1">IFERROR(__xludf.DUMMYFUNCTION("""COMPUTED_VALUE"""),"Latvian")</f>
        <v>Latvian</v>
      </c>
      <c r="AA1" s="5" t="str">
        <f ca="1">IFERROR(__xludf.DUMMYFUNCTION("""COMPUTED_VALUE"""),"Lithuanian")</f>
        <v>Lithuanian</v>
      </c>
      <c r="AB1" s="5" t="str">
        <f ca="1">IFERROR(__xludf.DUMMYFUNCTION("""COMPUTED_VALUE"""),"Ukrainian")</f>
        <v>Ukrainian</v>
      </c>
      <c r="AC1" s="5" t="str">
        <f ca="1">IFERROR(__xludf.DUMMYFUNCTION("""COMPUTED_VALUE"""),"Bosnian")</f>
        <v>Bosnian</v>
      </c>
    </row>
    <row r="2" spans="1:29" x14ac:dyDescent="0.25">
      <c r="A2" s="5" t="str">
        <f ca="1">IFERROR(__xludf.DUMMYFUNCTION("""COMPUTED_VALUE"""),"Postman")</f>
        <v>Postman</v>
      </c>
      <c r="B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 s="5" t="str">
        <f ca="1">IFERROR(__xludf.DUMMYFUNCTION("""COMPUTED_VALUE"""),"Yes")</f>
        <v>Yes</v>
      </c>
      <c r="D2" s="5" t="str">
        <f ca="1">IFERROR(__xludf.DUMMYFUNCTION("""COMPUTED_VALUE"""),"Yes")</f>
        <v>Yes</v>
      </c>
      <c r="E2" s="5" t="str">
        <f ca="1">IFERROR(__xludf.DUMMYFUNCTION("""COMPUTED_VALUE"""),"Yes")</f>
        <v>Yes</v>
      </c>
      <c r="F2" s="5" t="str">
        <f ca="1">IFERROR(__xludf.DUMMYFUNCTION("""COMPUTED_VALUE"""),"Yes")</f>
        <v>Yes</v>
      </c>
      <c r="G2" s="5" t="str">
        <f ca="1">IFERROR(__xludf.DUMMYFUNCTION("""COMPUTED_VALUE"""),"Yes")</f>
        <v>Yes</v>
      </c>
      <c r="H2" s="5" t="str">
        <f ca="1">IFERROR(__xludf.DUMMYFUNCTION("""COMPUTED_VALUE"""),"Yes")</f>
        <v>Yes</v>
      </c>
      <c r="I2" s="5" t="str">
        <f ca="1">IFERROR(__xludf.DUMMYFUNCTION("""COMPUTED_VALUE"""),"Yes")</f>
        <v>Yes</v>
      </c>
      <c r="J2" s="5" t="str">
        <f ca="1">IFERROR(__xludf.DUMMYFUNCTION("""COMPUTED_VALUE"""),"Yes")</f>
        <v>Yes</v>
      </c>
      <c r="K2" s="5" t="str">
        <f ca="1">IFERROR(__xludf.DUMMYFUNCTION("""COMPUTED_VALUE"""),"Yes")</f>
        <v>Yes</v>
      </c>
      <c r="L2" s="5" t="str">
        <f ca="1">IFERROR(__xludf.DUMMYFUNCTION("""COMPUTED_VALUE"""),"Yes")</f>
        <v>Yes</v>
      </c>
      <c r="M2" s="5" t="str">
        <f ca="1">IFERROR(__xludf.DUMMYFUNCTION("""COMPUTED_VALUE"""),"Yes")</f>
        <v>Yes</v>
      </c>
      <c r="N2" s="5" t="str">
        <f ca="1">IFERROR(__xludf.DUMMYFUNCTION("""COMPUTED_VALUE"""),"Yes")</f>
        <v>Yes</v>
      </c>
      <c r="O2" s="5" t="str">
        <f ca="1">IFERROR(__xludf.DUMMYFUNCTION("""COMPUTED_VALUE"""),"Yes")</f>
        <v>Yes</v>
      </c>
      <c r="P2" s="5" t="str">
        <f ca="1">IFERROR(__xludf.DUMMYFUNCTION("""COMPUTED_VALUE"""),"Yes")</f>
        <v>Yes</v>
      </c>
      <c r="Q2" s="5" t="str">
        <f ca="1">IFERROR(__xludf.DUMMYFUNCTION("""COMPUTED_VALUE"""),"Yes")</f>
        <v>Yes</v>
      </c>
      <c r="R2" s="5" t="str">
        <f ca="1">IFERROR(__xludf.DUMMYFUNCTION("""COMPUTED_VALUE"""),"Yes")</f>
        <v>Yes</v>
      </c>
      <c r="S2" s="5" t="str">
        <f ca="1">IFERROR(__xludf.DUMMYFUNCTION("""COMPUTED_VALUE"""),"Yes")</f>
        <v>Yes</v>
      </c>
      <c r="T2" s="5" t="str">
        <f ca="1">IFERROR(__xludf.DUMMYFUNCTION("""COMPUTED_VALUE"""),"Yes")</f>
        <v>Yes</v>
      </c>
      <c r="U2" s="5" t="str">
        <f ca="1">IFERROR(__xludf.DUMMYFUNCTION("""COMPUTED_VALUE"""),"Yes")</f>
        <v>Yes</v>
      </c>
      <c r="V2" s="5" t="str">
        <f ca="1">IFERROR(__xludf.DUMMYFUNCTION("""COMPUTED_VALUE"""),"Yes")</f>
        <v>Yes</v>
      </c>
      <c r="W2" s="5" t="str">
        <f ca="1">IFERROR(__xludf.DUMMYFUNCTION("""COMPUTED_VALUE"""),"Yes")</f>
        <v>Yes</v>
      </c>
      <c r="X2" s="5" t="str">
        <f ca="1">IFERROR(__xludf.DUMMYFUNCTION("""COMPUTED_VALUE"""),"Yes")</f>
        <v>Yes</v>
      </c>
      <c r="Y2" s="5" t="str">
        <f ca="1">IFERROR(__xludf.DUMMYFUNCTION("""COMPUTED_VALUE"""),"Yes")</f>
        <v>Yes</v>
      </c>
      <c r="Z2" s="5" t="str">
        <f ca="1">IFERROR(__xludf.DUMMYFUNCTION("""COMPUTED_VALUE"""),"Yes")</f>
        <v>Yes</v>
      </c>
      <c r="AA2" s="5" t="str">
        <f ca="1">IFERROR(__xludf.DUMMYFUNCTION("""COMPUTED_VALUE"""),"Yes")</f>
        <v>Yes</v>
      </c>
      <c r="AB2" s="5" t="str">
        <f ca="1">IFERROR(__xludf.DUMMYFUNCTION("""COMPUTED_VALUE"""),"Yes")</f>
        <v>Yes</v>
      </c>
      <c r="AC2" s="5" t="str">
        <f ca="1">IFERROR(__xludf.DUMMYFUNCTION("""COMPUTED_VALUE"""),"No")</f>
        <v>No</v>
      </c>
    </row>
    <row r="3" spans="1:29" x14ac:dyDescent="0.25">
      <c r="A3" s="5" t="str">
        <f ca="1">IFERROR(__xludf.DUMMYFUNCTION("""COMPUTED_VALUE"""),"DeepJungle")</f>
        <v>DeepJungle</v>
      </c>
      <c r="B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 s="5" t="str">
        <f ca="1">IFERROR(__xludf.DUMMYFUNCTION("""COMPUTED_VALUE"""),"Yes")</f>
        <v>Yes</v>
      </c>
      <c r="D3" s="5" t="str">
        <f ca="1">IFERROR(__xludf.DUMMYFUNCTION("""COMPUTED_VALUE"""),"Yes")</f>
        <v>Yes</v>
      </c>
      <c r="E3" s="5" t="str">
        <f ca="1">IFERROR(__xludf.DUMMYFUNCTION("""COMPUTED_VALUE"""),"Yes")</f>
        <v>Yes</v>
      </c>
      <c r="F3" s="5" t="str">
        <f ca="1">IFERROR(__xludf.DUMMYFUNCTION("""COMPUTED_VALUE"""),"Yes")</f>
        <v>Yes</v>
      </c>
      <c r="G3" s="5" t="str">
        <f ca="1">IFERROR(__xludf.DUMMYFUNCTION("""COMPUTED_VALUE"""),"Yes")</f>
        <v>Yes</v>
      </c>
      <c r="H3" s="5" t="str">
        <f ca="1">IFERROR(__xludf.DUMMYFUNCTION("""COMPUTED_VALUE"""),"Yes")</f>
        <v>Yes</v>
      </c>
      <c r="I3" s="5" t="str">
        <f ca="1">IFERROR(__xludf.DUMMYFUNCTION("""COMPUTED_VALUE"""),"Yes")</f>
        <v>Yes</v>
      </c>
      <c r="J3" s="5" t="str">
        <f ca="1">IFERROR(__xludf.DUMMYFUNCTION("""COMPUTED_VALUE"""),"Yes")</f>
        <v>Yes</v>
      </c>
      <c r="K3" s="5" t="str">
        <f ca="1">IFERROR(__xludf.DUMMYFUNCTION("""COMPUTED_VALUE"""),"Yes")</f>
        <v>Yes</v>
      </c>
      <c r="L3" s="5" t="str">
        <f ca="1">IFERROR(__xludf.DUMMYFUNCTION("""COMPUTED_VALUE"""),"Yes")</f>
        <v>Yes</v>
      </c>
      <c r="M3" s="5" t="str">
        <f ca="1">IFERROR(__xludf.DUMMYFUNCTION("""COMPUTED_VALUE"""),"Yes")</f>
        <v>Yes</v>
      </c>
      <c r="N3" s="5" t="str">
        <f ca="1">IFERROR(__xludf.DUMMYFUNCTION("""COMPUTED_VALUE"""),"Yes")</f>
        <v>Yes</v>
      </c>
      <c r="O3" s="5" t="str">
        <f ca="1">IFERROR(__xludf.DUMMYFUNCTION("""COMPUTED_VALUE"""),"Yes")</f>
        <v>Yes</v>
      </c>
      <c r="P3" s="5" t="str">
        <f ca="1">IFERROR(__xludf.DUMMYFUNCTION("""COMPUTED_VALUE"""),"Yes")</f>
        <v>Yes</v>
      </c>
      <c r="Q3" s="5" t="str">
        <f ca="1">IFERROR(__xludf.DUMMYFUNCTION("""COMPUTED_VALUE"""),"Yes")</f>
        <v>Yes</v>
      </c>
      <c r="R3" s="5" t="str">
        <f ca="1">IFERROR(__xludf.DUMMYFUNCTION("""COMPUTED_VALUE"""),"Yes")</f>
        <v>Yes</v>
      </c>
      <c r="S3" s="5" t="str">
        <f ca="1">IFERROR(__xludf.DUMMYFUNCTION("""COMPUTED_VALUE"""),"Yes")</f>
        <v>Yes</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IFERROR(__xludf.DUMMYFUNCTION("""COMPUTED_VALUE"""),"No")</f>
        <v>No</v>
      </c>
    </row>
    <row r="4" spans="1:29" x14ac:dyDescent="0.25">
      <c r="A4" s="5" t="str">
        <f ca="1">IFERROR(__xludf.DUMMYFUNCTION("""COMPUTED_VALUE"""),"Wizard")</f>
        <v>Wizard</v>
      </c>
      <c r="B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 s="5" t="str">
        <f ca="1">IFERROR(__xludf.DUMMYFUNCTION("""COMPUTED_VALUE"""),"Yes")</f>
        <v>Yes</v>
      </c>
      <c r="D4" s="5" t="str">
        <f ca="1">IFERROR(__xludf.DUMMYFUNCTION("""COMPUTED_VALUE"""),"Yes")</f>
        <v>Yes</v>
      </c>
      <c r="E4" s="5" t="str">
        <f ca="1">IFERROR(__xludf.DUMMYFUNCTION("""COMPUTED_VALUE"""),"Yes")</f>
        <v>Yes</v>
      </c>
      <c r="F4" s="5" t="str">
        <f ca="1">IFERROR(__xludf.DUMMYFUNCTION("""COMPUTED_VALUE"""),"Yes")</f>
        <v>Yes</v>
      </c>
      <c r="G4" s="5" t="str">
        <f ca="1">IFERROR(__xludf.DUMMYFUNCTION("""COMPUTED_VALUE"""),"Yes")</f>
        <v>Yes</v>
      </c>
      <c r="H4" s="5" t="str">
        <f ca="1">IFERROR(__xludf.DUMMYFUNCTION("""COMPUTED_VALUE"""),"Yes")</f>
        <v>Yes</v>
      </c>
      <c r="I4" s="5" t="str">
        <f ca="1">IFERROR(__xludf.DUMMYFUNCTION("""COMPUTED_VALUE"""),"Yes")</f>
        <v>Yes</v>
      </c>
      <c r="J4" s="5" t="str">
        <f ca="1">IFERROR(__xludf.DUMMYFUNCTION("""COMPUTED_VALUE"""),"Yes")</f>
        <v>Yes</v>
      </c>
      <c r="K4" s="5" t="str">
        <f ca="1">IFERROR(__xludf.DUMMYFUNCTION("""COMPUTED_VALUE"""),"Yes")</f>
        <v>Yes</v>
      </c>
      <c r="L4" s="5" t="str">
        <f ca="1">IFERROR(__xludf.DUMMYFUNCTION("""COMPUTED_VALUE"""),"Yes")</f>
        <v>Yes</v>
      </c>
      <c r="M4" s="5" t="str">
        <f ca="1">IFERROR(__xludf.DUMMYFUNCTION("""COMPUTED_VALUE"""),"Yes")</f>
        <v>Yes</v>
      </c>
      <c r="N4" s="5" t="str">
        <f ca="1">IFERROR(__xludf.DUMMYFUNCTION("""COMPUTED_VALUE"""),"Yes")</f>
        <v>Yes</v>
      </c>
      <c r="O4" s="5" t="str">
        <f ca="1">IFERROR(__xludf.DUMMYFUNCTION("""COMPUTED_VALUE"""),"Yes")</f>
        <v>Yes</v>
      </c>
      <c r="P4" s="5" t="str">
        <f ca="1">IFERROR(__xludf.DUMMYFUNCTION("""COMPUTED_VALUE"""),"Yes")</f>
        <v>Yes</v>
      </c>
      <c r="Q4" s="5" t="str">
        <f ca="1">IFERROR(__xludf.DUMMYFUNCTION("""COMPUTED_VALUE"""),"Yes")</f>
        <v>Yes</v>
      </c>
      <c r="R4" s="5" t="str">
        <f ca="1">IFERROR(__xludf.DUMMYFUNCTION("""COMPUTED_VALUE"""),"Yes")</f>
        <v>Yes</v>
      </c>
      <c r="S4" s="5" t="str">
        <f ca="1">IFERROR(__xludf.DUMMYFUNCTION("""COMPUTED_VALUE"""),"Yes")</f>
        <v>Yes</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IFERROR(__xludf.DUMMYFUNCTION("""COMPUTED_VALUE"""),"No")</f>
        <v>No</v>
      </c>
    </row>
    <row r="5" spans="1:29" x14ac:dyDescent="0.25">
      <c r="A5" s="5" t="str">
        <f ca="1">IFERROR(__xludf.DUMMYFUNCTION("""COMPUTED_VALUE"""),"FruitsAndStars")</f>
        <v>FruitsAndStars</v>
      </c>
      <c r="B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 s="5" t="str">
        <f ca="1">IFERROR(__xludf.DUMMYFUNCTION("""COMPUTED_VALUE"""),"Yes")</f>
        <v>Yes</v>
      </c>
      <c r="D5" s="5" t="str">
        <f ca="1">IFERROR(__xludf.DUMMYFUNCTION("""COMPUTED_VALUE"""),"Yes")</f>
        <v>Yes</v>
      </c>
      <c r="E5" s="5" t="str">
        <f ca="1">IFERROR(__xludf.DUMMYFUNCTION("""COMPUTED_VALUE"""),"Yes")</f>
        <v>Yes</v>
      </c>
      <c r="F5" s="5" t="str">
        <f ca="1">IFERROR(__xludf.DUMMYFUNCTION("""COMPUTED_VALUE"""),"Yes")</f>
        <v>Yes</v>
      </c>
      <c r="G5" s="5" t="str">
        <f ca="1">IFERROR(__xludf.DUMMYFUNCTION("""COMPUTED_VALUE"""),"Yes")</f>
        <v>Yes</v>
      </c>
      <c r="H5" s="5" t="str">
        <f ca="1">IFERROR(__xludf.DUMMYFUNCTION("""COMPUTED_VALUE"""),"Yes")</f>
        <v>Yes</v>
      </c>
      <c r="I5" s="5" t="str">
        <f ca="1">IFERROR(__xludf.DUMMYFUNCTION("""COMPUTED_VALUE"""),"Yes")</f>
        <v>Yes</v>
      </c>
      <c r="J5" s="5" t="str">
        <f ca="1">IFERROR(__xludf.DUMMYFUNCTION("""COMPUTED_VALUE"""),"Yes")</f>
        <v>Yes</v>
      </c>
      <c r="K5" s="5" t="str">
        <f ca="1">IFERROR(__xludf.DUMMYFUNCTION("""COMPUTED_VALUE"""),"Yes")</f>
        <v>Yes</v>
      </c>
      <c r="L5" s="5" t="str">
        <f ca="1">IFERROR(__xludf.DUMMYFUNCTION("""COMPUTED_VALUE"""),"Yes")</f>
        <v>Yes</v>
      </c>
      <c r="M5" s="5" t="str">
        <f ca="1">IFERROR(__xludf.DUMMYFUNCTION("""COMPUTED_VALUE"""),"Yes")</f>
        <v>Yes</v>
      </c>
      <c r="N5" s="5" t="str">
        <f ca="1">IFERROR(__xludf.DUMMYFUNCTION("""COMPUTED_VALUE"""),"Yes")</f>
        <v>Yes</v>
      </c>
      <c r="O5" s="5" t="str">
        <f ca="1">IFERROR(__xludf.DUMMYFUNCTION("""COMPUTED_VALUE"""),"Yes")</f>
        <v>Yes</v>
      </c>
      <c r="P5" s="5" t="str">
        <f ca="1">IFERROR(__xludf.DUMMYFUNCTION("""COMPUTED_VALUE"""),"Yes")</f>
        <v>Yes</v>
      </c>
      <c r="Q5" s="5" t="str">
        <f ca="1">IFERROR(__xludf.DUMMYFUNCTION("""COMPUTED_VALUE"""),"Yes")</f>
        <v>Yes</v>
      </c>
      <c r="R5" s="5" t="str">
        <f ca="1">IFERROR(__xludf.DUMMYFUNCTION("""COMPUTED_VALUE"""),"Yes")</f>
        <v>Yes</v>
      </c>
      <c r="S5" s="5" t="str">
        <f ca="1">IFERROR(__xludf.DUMMYFUNCTION("""COMPUTED_VALUE"""),"Yes")</f>
        <v>Yes</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IFERROR(__xludf.DUMMYFUNCTION("""COMPUTED_VALUE"""),"No")</f>
        <v>No</v>
      </c>
    </row>
    <row r="6" spans="1:29" x14ac:dyDescent="0.25">
      <c r="A6" s="5" t="str">
        <f ca="1">IFERROR(__xludf.DUMMYFUNCTION("""COMPUTED_VALUE"""),"VegasHot")</f>
        <v>VegasHot</v>
      </c>
      <c r="B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6" s="5" t="str">
        <f ca="1">IFERROR(__xludf.DUMMYFUNCTION("""COMPUTED_VALUE"""),"Yes")</f>
        <v>Yes</v>
      </c>
      <c r="D6" s="5" t="str">
        <f ca="1">IFERROR(__xludf.DUMMYFUNCTION("""COMPUTED_VALUE"""),"Yes")</f>
        <v>Yes</v>
      </c>
      <c r="E6" s="5" t="str">
        <f ca="1">IFERROR(__xludf.DUMMYFUNCTION("""COMPUTED_VALUE"""),"Yes")</f>
        <v>Yes</v>
      </c>
      <c r="F6" s="5" t="str">
        <f ca="1">IFERROR(__xludf.DUMMYFUNCTION("""COMPUTED_VALUE"""),"Yes")</f>
        <v>Yes</v>
      </c>
      <c r="G6" s="5" t="str">
        <f ca="1">IFERROR(__xludf.DUMMYFUNCTION("""COMPUTED_VALUE"""),"Yes")</f>
        <v>Yes</v>
      </c>
      <c r="H6" s="5" t="str">
        <f ca="1">IFERROR(__xludf.DUMMYFUNCTION("""COMPUTED_VALUE"""),"Yes")</f>
        <v>Yes</v>
      </c>
      <c r="I6" s="5" t="str">
        <f ca="1">IFERROR(__xludf.DUMMYFUNCTION("""COMPUTED_VALUE"""),"Yes")</f>
        <v>Yes</v>
      </c>
      <c r="J6" s="5" t="str">
        <f ca="1">IFERROR(__xludf.DUMMYFUNCTION("""COMPUTED_VALUE"""),"Yes")</f>
        <v>Yes</v>
      </c>
      <c r="K6" s="5" t="str">
        <f ca="1">IFERROR(__xludf.DUMMYFUNCTION("""COMPUTED_VALUE"""),"Yes")</f>
        <v>Yes</v>
      </c>
      <c r="L6" s="5" t="str">
        <f ca="1">IFERROR(__xludf.DUMMYFUNCTION("""COMPUTED_VALUE"""),"Yes")</f>
        <v>Yes</v>
      </c>
      <c r="M6" s="5" t="str">
        <f ca="1">IFERROR(__xludf.DUMMYFUNCTION("""COMPUTED_VALUE"""),"Yes")</f>
        <v>Yes</v>
      </c>
      <c r="N6" s="5" t="str">
        <f ca="1">IFERROR(__xludf.DUMMYFUNCTION("""COMPUTED_VALUE"""),"Yes")</f>
        <v>Yes</v>
      </c>
      <c r="O6" s="5" t="str">
        <f ca="1">IFERROR(__xludf.DUMMYFUNCTION("""COMPUTED_VALUE"""),"Yes")</f>
        <v>Yes</v>
      </c>
      <c r="P6" s="5" t="str">
        <f ca="1">IFERROR(__xludf.DUMMYFUNCTION("""COMPUTED_VALUE"""),"Yes")</f>
        <v>Yes</v>
      </c>
      <c r="Q6" s="5" t="str">
        <f ca="1">IFERROR(__xludf.DUMMYFUNCTION("""COMPUTED_VALUE"""),"Yes")</f>
        <v>Yes</v>
      </c>
      <c r="R6" s="5" t="str">
        <f ca="1">IFERROR(__xludf.DUMMYFUNCTION("""COMPUTED_VALUE"""),"Yes")</f>
        <v>Yes</v>
      </c>
      <c r="S6" s="5" t="str">
        <f ca="1">IFERROR(__xludf.DUMMYFUNCTION("""COMPUTED_VALUE"""),"Yes")</f>
        <v>Yes</v>
      </c>
      <c r="T6" s="5" t="str">
        <f ca="1">IFERROR(__xludf.DUMMYFUNCTION("""COMPUTED_VALUE"""),"Yes")</f>
        <v>Yes</v>
      </c>
      <c r="U6" s="5" t="str">
        <f ca="1">IFERROR(__xludf.DUMMYFUNCTION("""COMPUTED_VALUE"""),"Yes")</f>
        <v>Yes</v>
      </c>
      <c r="V6" s="5" t="str">
        <f ca="1">IFERROR(__xludf.DUMMYFUNCTION("""COMPUTED_VALUE"""),"Yes")</f>
        <v>Yes</v>
      </c>
      <c r="W6" s="5"/>
      <c r="X6" s="5"/>
      <c r="Y6" s="5"/>
      <c r="Z6" s="5" t="str">
        <f ca="1">IFERROR(__xludf.DUMMYFUNCTION("""COMPUTED_VALUE"""),"Yes")</f>
        <v>Yes</v>
      </c>
      <c r="AA6" s="5"/>
      <c r="AB6" s="5"/>
      <c r="AC6" s="5"/>
    </row>
    <row r="7" spans="1:29" x14ac:dyDescent="0.25">
      <c r="A7" s="5" t="str">
        <f ca="1">IFERROR(__xludf.DUMMYFUNCTION("""COMPUTED_VALUE"""),"FenixPlay")</f>
        <v>FenixPlay</v>
      </c>
      <c r="B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 s="5" t="str">
        <f ca="1">IFERROR(__xludf.DUMMYFUNCTION("""COMPUTED_VALUE"""),"Yes")</f>
        <v>Yes</v>
      </c>
      <c r="D7" s="5" t="str">
        <f ca="1">IFERROR(__xludf.DUMMYFUNCTION("""COMPUTED_VALUE"""),"Yes")</f>
        <v>Yes</v>
      </c>
      <c r="E7" s="5" t="str">
        <f ca="1">IFERROR(__xludf.DUMMYFUNCTION("""COMPUTED_VALUE"""),"Yes")</f>
        <v>Yes</v>
      </c>
      <c r="F7" s="5" t="str">
        <f ca="1">IFERROR(__xludf.DUMMYFUNCTION("""COMPUTED_VALUE"""),"Yes")</f>
        <v>Yes</v>
      </c>
      <c r="G7" s="5" t="str">
        <f ca="1">IFERROR(__xludf.DUMMYFUNCTION("""COMPUTED_VALUE"""),"Yes")</f>
        <v>Yes</v>
      </c>
      <c r="H7" s="5" t="str">
        <f ca="1">IFERROR(__xludf.DUMMYFUNCTION("""COMPUTED_VALUE"""),"Yes")</f>
        <v>Yes</v>
      </c>
      <c r="I7" s="5" t="str">
        <f ca="1">IFERROR(__xludf.DUMMYFUNCTION("""COMPUTED_VALUE"""),"Yes")</f>
        <v>Yes</v>
      </c>
      <c r="J7" s="5" t="str">
        <f ca="1">IFERROR(__xludf.DUMMYFUNCTION("""COMPUTED_VALUE"""),"Yes")</f>
        <v>Yes</v>
      </c>
      <c r="K7" s="5" t="str">
        <f ca="1">IFERROR(__xludf.DUMMYFUNCTION("""COMPUTED_VALUE"""),"Yes")</f>
        <v>Yes</v>
      </c>
      <c r="L7" s="5" t="str">
        <f ca="1">IFERROR(__xludf.DUMMYFUNCTION("""COMPUTED_VALUE"""),"Yes")</f>
        <v>Yes</v>
      </c>
      <c r="M7" s="5" t="str">
        <f ca="1">IFERROR(__xludf.DUMMYFUNCTION("""COMPUTED_VALUE"""),"Yes")</f>
        <v>Yes</v>
      </c>
      <c r="N7" s="5" t="str">
        <f ca="1">IFERROR(__xludf.DUMMYFUNCTION("""COMPUTED_VALUE"""),"Yes")</f>
        <v>Yes</v>
      </c>
      <c r="O7" s="5" t="str">
        <f ca="1">IFERROR(__xludf.DUMMYFUNCTION("""COMPUTED_VALUE"""),"Yes")</f>
        <v>Yes</v>
      </c>
      <c r="P7" s="5" t="str">
        <f ca="1">IFERROR(__xludf.DUMMYFUNCTION("""COMPUTED_VALUE"""),"Yes")</f>
        <v>Yes</v>
      </c>
      <c r="Q7" s="5" t="str">
        <f ca="1">IFERROR(__xludf.DUMMYFUNCTION("""COMPUTED_VALUE"""),"Yes")</f>
        <v>Yes</v>
      </c>
      <c r="R7" s="5" t="str">
        <f ca="1">IFERROR(__xludf.DUMMYFUNCTION("""COMPUTED_VALUE"""),"Yes")</f>
        <v>Yes</v>
      </c>
      <c r="S7" s="5" t="str">
        <f ca="1">IFERROR(__xludf.DUMMYFUNCTION("""COMPUTED_VALUE"""),"Yes")</f>
        <v>Yes</v>
      </c>
      <c r="T7" s="5" t="str">
        <f ca="1">IFERROR(__xludf.DUMMYFUNCTION("""COMPUTED_VALUE"""),"Yes")</f>
        <v>Yes</v>
      </c>
      <c r="U7" s="5" t="str">
        <f ca="1">IFERROR(__xludf.DUMMYFUNCTION("""COMPUTED_VALUE"""),"Yes")</f>
        <v>Yes</v>
      </c>
      <c r="V7" s="5" t="str">
        <f ca="1">IFERROR(__xludf.DUMMYFUNCTION("""COMPUTED_VALUE"""),"Yes")</f>
        <v>Yes</v>
      </c>
      <c r="W7" s="5"/>
      <c r="X7" s="5"/>
      <c r="Y7" s="5"/>
      <c r="Z7" s="5" t="str">
        <f ca="1">IFERROR(__xludf.DUMMYFUNCTION("""COMPUTED_VALUE"""),"Yes")</f>
        <v>Yes</v>
      </c>
      <c r="AA7" s="5"/>
      <c r="AB7" s="5"/>
      <c r="AC7" s="5"/>
    </row>
    <row r="8" spans="1:29" x14ac:dyDescent="0.25">
      <c r="A8" s="5" t="str">
        <f ca="1">IFERROR(__xludf.DUMMYFUNCTION("""COMPUTED_VALUE"""),"HotParty")</f>
        <v>HotParty</v>
      </c>
      <c r="B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 s="5" t="str">
        <f ca="1">IFERROR(__xludf.DUMMYFUNCTION("""COMPUTED_VALUE"""),"Yes")</f>
        <v>Yes</v>
      </c>
      <c r="D8" s="5" t="str">
        <f ca="1">IFERROR(__xludf.DUMMYFUNCTION("""COMPUTED_VALUE"""),"Yes")</f>
        <v>Yes</v>
      </c>
      <c r="E8" s="5" t="str">
        <f ca="1">IFERROR(__xludf.DUMMYFUNCTION("""COMPUTED_VALUE"""),"Yes")</f>
        <v>Yes</v>
      </c>
      <c r="F8" s="5" t="str">
        <f ca="1">IFERROR(__xludf.DUMMYFUNCTION("""COMPUTED_VALUE"""),"Yes")</f>
        <v>Yes</v>
      </c>
      <c r="G8" s="5" t="str">
        <f ca="1">IFERROR(__xludf.DUMMYFUNCTION("""COMPUTED_VALUE"""),"Yes")</f>
        <v>Yes</v>
      </c>
      <c r="H8" s="5" t="str">
        <f ca="1">IFERROR(__xludf.DUMMYFUNCTION("""COMPUTED_VALUE"""),"Yes")</f>
        <v>Yes</v>
      </c>
      <c r="I8" s="5" t="str">
        <f ca="1">IFERROR(__xludf.DUMMYFUNCTION("""COMPUTED_VALUE"""),"Yes")</f>
        <v>Yes</v>
      </c>
      <c r="J8" s="5" t="str">
        <f ca="1">IFERROR(__xludf.DUMMYFUNCTION("""COMPUTED_VALUE"""),"Yes")</f>
        <v>Yes</v>
      </c>
      <c r="K8" s="5" t="str">
        <f ca="1">IFERROR(__xludf.DUMMYFUNCTION("""COMPUTED_VALUE"""),"Yes")</f>
        <v>Yes</v>
      </c>
      <c r="L8" s="5" t="str">
        <f ca="1">IFERROR(__xludf.DUMMYFUNCTION("""COMPUTED_VALUE"""),"Yes")</f>
        <v>Yes</v>
      </c>
      <c r="M8" s="5" t="str">
        <f ca="1">IFERROR(__xludf.DUMMYFUNCTION("""COMPUTED_VALUE"""),"Yes")</f>
        <v>Yes</v>
      </c>
      <c r="N8" s="5" t="str">
        <f ca="1">IFERROR(__xludf.DUMMYFUNCTION("""COMPUTED_VALUE"""),"Yes")</f>
        <v>Yes</v>
      </c>
      <c r="O8" s="5" t="str">
        <f ca="1">IFERROR(__xludf.DUMMYFUNCTION("""COMPUTED_VALUE"""),"Yes")</f>
        <v>Yes</v>
      </c>
      <c r="P8" s="5" t="str">
        <f ca="1">IFERROR(__xludf.DUMMYFUNCTION("""COMPUTED_VALUE"""),"Yes")</f>
        <v>Yes</v>
      </c>
      <c r="Q8" s="5" t="str">
        <f ca="1">IFERROR(__xludf.DUMMYFUNCTION("""COMPUTED_VALUE"""),"Yes")</f>
        <v>Yes</v>
      </c>
      <c r="R8" s="5" t="str">
        <f ca="1">IFERROR(__xludf.DUMMYFUNCTION("""COMPUTED_VALUE"""),"Yes")</f>
        <v>Yes</v>
      </c>
      <c r="S8" s="5" t="str">
        <f ca="1">IFERROR(__xludf.DUMMYFUNCTION("""COMPUTED_VALUE"""),"Yes")</f>
        <v>Yes</v>
      </c>
      <c r="T8" s="5" t="str">
        <f ca="1">IFERROR(__xludf.DUMMYFUNCTION("""COMPUTED_VALUE"""),"Yes")</f>
        <v>Yes</v>
      </c>
      <c r="U8" s="5" t="str">
        <f ca="1">IFERROR(__xludf.DUMMYFUNCTION("""COMPUTED_VALUE"""),"Yes")</f>
        <v>Yes</v>
      </c>
      <c r="V8" s="5" t="str">
        <f ca="1">IFERROR(__xludf.DUMMYFUNCTION("""COMPUTED_VALUE"""),"Yes")</f>
        <v>Yes</v>
      </c>
      <c r="W8" s="5"/>
      <c r="X8" s="5"/>
      <c r="Y8" s="5"/>
      <c r="Z8" s="5" t="str">
        <f ca="1">IFERROR(__xludf.DUMMYFUNCTION("""COMPUTED_VALUE"""),"Yes")</f>
        <v>Yes</v>
      </c>
      <c r="AA8" s="5"/>
      <c r="AB8" s="5"/>
      <c r="AC8" s="5"/>
    </row>
    <row r="9" spans="1:29" x14ac:dyDescent="0.25">
      <c r="A9" s="5" t="str">
        <f ca="1">IFERROR(__xludf.DUMMYFUNCTION("""COMPUTED_VALUE"""),"CaptainShark")</f>
        <v>CaptainShark</v>
      </c>
      <c r="B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9" s="5" t="str">
        <f ca="1">IFERROR(__xludf.DUMMYFUNCTION("""COMPUTED_VALUE"""),"Yes")</f>
        <v>Yes</v>
      </c>
      <c r="D9" s="5" t="str">
        <f ca="1">IFERROR(__xludf.DUMMYFUNCTION("""COMPUTED_VALUE"""),"Yes")</f>
        <v>Yes</v>
      </c>
      <c r="E9" s="5" t="str">
        <f ca="1">IFERROR(__xludf.DUMMYFUNCTION("""COMPUTED_VALUE"""),"Yes")</f>
        <v>Yes</v>
      </c>
      <c r="F9" s="5" t="str">
        <f ca="1">IFERROR(__xludf.DUMMYFUNCTION("""COMPUTED_VALUE"""),"Yes")</f>
        <v>Yes</v>
      </c>
      <c r="G9" s="5" t="str">
        <f ca="1">IFERROR(__xludf.DUMMYFUNCTION("""COMPUTED_VALUE"""),"Yes")</f>
        <v>Yes</v>
      </c>
      <c r="H9" s="5" t="str">
        <f ca="1">IFERROR(__xludf.DUMMYFUNCTION("""COMPUTED_VALUE"""),"Yes")</f>
        <v>Yes</v>
      </c>
      <c r="I9" s="5" t="str">
        <f ca="1">IFERROR(__xludf.DUMMYFUNCTION("""COMPUTED_VALUE"""),"Yes")</f>
        <v>Yes</v>
      </c>
      <c r="J9" s="5" t="str">
        <f ca="1">IFERROR(__xludf.DUMMYFUNCTION("""COMPUTED_VALUE"""),"Yes")</f>
        <v>Yes</v>
      </c>
      <c r="K9" s="5" t="str">
        <f ca="1">IFERROR(__xludf.DUMMYFUNCTION("""COMPUTED_VALUE"""),"Yes")</f>
        <v>Yes</v>
      </c>
      <c r="L9" s="5" t="str">
        <f ca="1">IFERROR(__xludf.DUMMYFUNCTION("""COMPUTED_VALUE"""),"Yes")</f>
        <v>Yes</v>
      </c>
      <c r="M9" s="5" t="str">
        <f ca="1">IFERROR(__xludf.DUMMYFUNCTION("""COMPUTED_VALUE"""),"Yes")</f>
        <v>Yes</v>
      </c>
      <c r="N9" s="5" t="str">
        <f ca="1">IFERROR(__xludf.DUMMYFUNCTION("""COMPUTED_VALUE"""),"Yes")</f>
        <v>Yes</v>
      </c>
      <c r="O9" s="5" t="str">
        <f ca="1">IFERROR(__xludf.DUMMYFUNCTION("""COMPUTED_VALUE"""),"Yes")</f>
        <v>Yes</v>
      </c>
      <c r="P9" s="5" t="str">
        <f ca="1">IFERROR(__xludf.DUMMYFUNCTION("""COMPUTED_VALUE"""),"Yes")</f>
        <v>Yes</v>
      </c>
      <c r="Q9" s="5" t="str">
        <f ca="1">IFERROR(__xludf.DUMMYFUNCTION("""COMPUTED_VALUE"""),"Yes")</f>
        <v>Yes</v>
      </c>
      <c r="R9" s="5" t="str">
        <f ca="1">IFERROR(__xludf.DUMMYFUNCTION("""COMPUTED_VALUE"""),"Yes")</f>
        <v>Yes</v>
      </c>
      <c r="S9" s="5" t="str">
        <f ca="1">IFERROR(__xludf.DUMMYFUNCTION("""COMPUTED_VALUE"""),"Yes")</f>
        <v>Yes</v>
      </c>
      <c r="T9" s="5" t="str">
        <f ca="1">IFERROR(__xludf.DUMMYFUNCTION("""COMPUTED_VALUE"""),"Yes")</f>
        <v>Yes</v>
      </c>
      <c r="U9" s="5" t="str">
        <f ca="1">IFERROR(__xludf.DUMMYFUNCTION("""COMPUTED_VALUE"""),"Yes")</f>
        <v>Yes</v>
      </c>
      <c r="V9" s="5" t="str">
        <f ca="1">IFERROR(__xludf.DUMMYFUNCTION("""COMPUTED_VALUE"""),"Yes")</f>
        <v>Yes</v>
      </c>
      <c r="W9" s="5"/>
      <c r="X9" s="5"/>
      <c r="Y9" s="5"/>
      <c r="Z9" s="5" t="str">
        <f ca="1">IFERROR(__xludf.DUMMYFUNCTION("""COMPUTED_VALUE"""),"Yes")</f>
        <v>Yes</v>
      </c>
      <c r="AA9" s="5"/>
      <c r="AB9" s="5"/>
      <c r="AC9" s="5"/>
    </row>
    <row r="10" spans="1:29" x14ac:dyDescent="0.25">
      <c r="A10" s="5" t="str">
        <f ca="1">IFERROR(__xludf.DUMMYFUNCTION("""COMPUTED_VALUE"""),"MagicTarget")</f>
        <v>MagicTarget</v>
      </c>
      <c r="B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0" s="5" t="str">
        <f ca="1">IFERROR(__xludf.DUMMYFUNCTION("""COMPUTED_VALUE"""),"Yes")</f>
        <v>Yes</v>
      </c>
      <c r="D10" s="5" t="str">
        <f ca="1">IFERROR(__xludf.DUMMYFUNCTION("""COMPUTED_VALUE"""),"Yes")</f>
        <v>Yes</v>
      </c>
      <c r="E10" s="5" t="str">
        <f ca="1">IFERROR(__xludf.DUMMYFUNCTION("""COMPUTED_VALUE"""),"Yes")</f>
        <v>Yes</v>
      </c>
      <c r="F10" s="5" t="str">
        <f ca="1">IFERROR(__xludf.DUMMYFUNCTION("""COMPUTED_VALUE"""),"Yes")</f>
        <v>Yes</v>
      </c>
      <c r="G10" s="5" t="str">
        <f ca="1">IFERROR(__xludf.DUMMYFUNCTION("""COMPUTED_VALUE"""),"Yes")</f>
        <v>Yes</v>
      </c>
      <c r="H10" s="5" t="str">
        <f ca="1">IFERROR(__xludf.DUMMYFUNCTION("""COMPUTED_VALUE"""),"Yes")</f>
        <v>Yes</v>
      </c>
      <c r="I10" s="5" t="str">
        <f ca="1">IFERROR(__xludf.DUMMYFUNCTION("""COMPUTED_VALUE"""),"Yes")</f>
        <v>Yes</v>
      </c>
      <c r="J10" s="5" t="str">
        <f ca="1">IFERROR(__xludf.DUMMYFUNCTION("""COMPUTED_VALUE"""),"Yes")</f>
        <v>Yes</v>
      </c>
      <c r="K10" s="5" t="str">
        <f ca="1">IFERROR(__xludf.DUMMYFUNCTION("""COMPUTED_VALUE"""),"Yes")</f>
        <v>Yes</v>
      </c>
      <c r="L10" s="5" t="str">
        <f ca="1">IFERROR(__xludf.DUMMYFUNCTION("""COMPUTED_VALUE"""),"Yes")</f>
        <v>Yes</v>
      </c>
      <c r="M10" s="5" t="str">
        <f ca="1">IFERROR(__xludf.DUMMYFUNCTION("""COMPUTED_VALUE"""),"Yes")</f>
        <v>Yes</v>
      </c>
      <c r="N10" s="5" t="str">
        <f ca="1">IFERROR(__xludf.DUMMYFUNCTION("""COMPUTED_VALUE"""),"Yes")</f>
        <v>Yes</v>
      </c>
      <c r="O10" s="5" t="str">
        <f ca="1">IFERROR(__xludf.DUMMYFUNCTION("""COMPUTED_VALUE"""),"Yes")</f>
        <v>Yes</v>
      </c>
      <c r="P10" s="5" t="str">
        <f ca="1">IFERROR(__xludf.DUMMYFUNCTION("""COMPUTED_VALUE"""),"Yes")</f>
        <v>Yes</v>
      </c>
      <c r="Q10" s="5" t="str">
        <f ca="1">IFERROR(__xludf.DUMMYFUNCTION("""COMPUTED_VALUE"""),"Yes")</f>
        <v>Yes</v>
      </c>
      <c r="R10" s="5" t="str">
        <f ca="1">IFERROR(__xludf.DUMMYFUNCTION("""COMPUTED_VALUE"""),"Yes")</f>
        <v>Yes</v>
      </c>
      <c r="S10" s="5" t="str">
        <f ca="1">IFERROR(__xludf.DUMMYFUNCTION("""COMPUTED_VALUE"""),"Yes")</f>
        <v>Yes</v>
      </c>
      <c r="T10" s="5" t="str">
        <f ca="1">IFERROR(__xludf.DUMMYFUNCTION("""COMPUTED_VALUE"""),"Yes")</f>
        <v>Yes</v>
      </c>
      <c r="U10" s="5" t="str">
        <f ca="1">IFERROR(__xludf.DUMMYFUNCTION("""COMPUTED_VALUE"""),"Yes")</f>
        <v>Yes</v>
      </c>
      <c r="V10" s="5" t="str">
        <f ca="1">IFERROR(__xludf.DUMMYFUNCTION("""COMPUTED_VALUE"""),"Yes")</f>
        <v>Yes</v>
      </c>
      <c r="W10" s="5"/>
      <c r="X10" s="5"/>
      <c r="Y10" s="5"/>
      <c r="Z10" s="5" t="str">
        <f ca="1">IFERROR(__xludf.DUMMYFUNCTION("""COMPUTED_VALUE"""),"Yes")</f>
        <v>Yes</v>
      </c>
      <c r="AA10" s="5"/>
      <c r="AB10" s="5"/>
      <c r="AC10" s="5"/>
    </row>
    <row r="11" spans="1:29" x14ac:dyDescent="0.25">
      <c r="A11" s="5" t="str">
        <f ca="1">IFERROR(__xludf.DUMMYFUNCTION("""COMPUTED_VALUE"""),"MagicOfTheRing")</f>
        <v>MagicOfTheRing</v>
      </c>
      <c r="B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1" s="5" t="str">
        <f ca="1">IFERROR(__xludf.DUMMYFUNCTION("""COMPUTED_VALUE"""),"Yes")</f>
        <v>Yes</v>
      </c>
      <c r="D11" s="5" t="str">
        <f ca="1">IFERROR(__xludf.DUMMYFUNCTION("""COMPUTED_VALUE"""),"Yes")</f>
        <v>Yes</v>
      </c>
      <c r="E11" s="5" t="str">
        <f ca="1">IFERROR(__xludf.DUMMYFUNCTION("""COMPUTED_VALUE"""),"Yes")</f>
        <v>Yes</v>
      </c>
      <c r="F11" s="5" t="str">
        <f ca="1">IFERROR(__xludf.DUMMYFUNCTION("""COMPUTED_VALUE"""),"Yes")</f>
        <v>Yes</v>
      </c>
      <c r="G11" s="5" t="str">
        <f ca="1">IFERROR(__xludf.DUMMYFUNCTION("""COMPUTED_VALUE"""),"Yes")</f>
        <v>Yes</v>
      </c>
      <c r="H11" s="5" t="str">
        <f ca="1">IFERROR(__xludf.DUMMYFUNCTION("""COMPUTED_VALUE"""),"Yes")</f>
        <v>Yes</v>
      </c>
      <c r="I11" s="5" t="str">
        <f ca="1">IFERROR(__xludf.DUMMYFUNCTION("""COMPUTED_VALUE"""),"Yes")</f>
        <v>Yes</v>
      </c>
      <c r="J11" s="5" t="str">
        <f ca="1">IFERROR(__xludf.DUMMYFUNCTION("""COMPUTED_VALUE"""),"Yes")</f>
        <v>Yes</v>
      </c>
      <c r="K11" s="5" t="str">
        <f ca="1">IFERROR(__xludf.DUMMYFUNCTION("""COMPUTED_VALUE"""),"Yes")</f>
        <v>Yes</v>
      </c>
      <c r="L11" s="5" t="str">
        <f ca="1">IFERROR(__xludf.DUMMYFUNCTION("""COMPUTED_VALUE"""),"Yes")</f>
        <v>Yes</v>
      </c>
      <c r="M11" s="5" t="str">
        <f ca="1">IFERROR(__xludf.DUMMYFUNCTION("""COMPUTED_VALUE"""),"Yes")</f>
        <v>Yes</v>
      </c>
      <c r="N11" s="5" t="str">
        <f ca="1">IFERROR(__xludf.DUMMYFUNCTION("""COMPUTED_VALUE"""),"Yes")</f>
        <v>Yes</v>
      </c>
      <c r="O11" s="5" t="str">
        <f ca="1">IFERROR(__xludf.DUMMYFUNCTION("""COMPUTED_VALUE"""),"Yes")</f>
        <v>Yes</v>
      </c>
      <c r="P11" s="5" t="str">
        <f ca="1">IFERROR(__xludf.DUMMYFUNCTION("""COMPUTED_VALUE"""),"Yes")</f>
        <v>Yes</v>
      </c>
      <c r="Q11" s="5" t="str">
        <f ca="1">IFERROR(__xludf.DUMMYFUNCTION("""COMPUTED_VALUE"""),"Yes")</f>
        <v>Yes</v>
      </c>
      <c r="R11" s="5" t="str">
        <f ca="1">IFERROR(__xludf.DUMMYFUNCTION("""COMPUTED_VALUE"""),"Yes")</f>
        <v>Yes</v>
      </c>
      <c r="S11" s="5" t="str">
        <f ca="1">IFERROR(__xludf.DUMMYFUNCTION("""COMPUTED_VALUE"""),"Yes")</f>
        <v>Yes</v>
      </c>
      <c r="T11" s="5" t="str">
        <f ca="1">IFERROR(__xludf.DUMMYFUNCTION("""COMPUTED_VALUE"""),"Yes")</f>
        <v>Yes</v>
      </c>
      <c r="U11" s="5" t="str">
        <f ca="1">IFERROR(__xludf.DUMMYFUNCTION("""COMPUTED_VALUE"""),"Yes")</f>
        <v>Yes</v>
      </c>
      <c r="V11" s="5" t="str">
        <f ca="1">IFERROR(__xludf.DUMMYFUNCTION("""COMPUTED_VALUE"""),"Yes")</f>
        <v>Yes</v>
      </c>
      <c r="W11" s="5"/>
      <c r="X11" s="5"/>
      <c r="Y11" s="5"/>
      <c r="Z11" s="5" t="str">
        <f ca="1">IFERROR(__xludf.DUMMYFUNCTION("""COMPUTED_VALUE"""),"Yes")</f>
        <v>Yes</v>
      </c>
      <c r="AA11" s="5"/>
      <c r="AB11" s="5"/>
      <c r="AC11" s="5"/>
    </row>
    <row r="12" spans="1:29" x14ac:dyDescent="0.25">
      <c r="A12" s="5" t="str">
        <f ca="1">IFERROR(__xludf.DUMMYFUNCTION("""COMPUTED_VALUE"""),"Hot777")</f>
        <v>Hot777</v>
      </c>
      <c r="B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 s="5" t="str">
        <f ca="1">IFERROR(__xludf.DUMMYFUNCTION("""COMPUTED_VALUE"""),"Yes")</f>
        <v>Yes</v>
      </c>
      <c r="D12" s="5" t="str">
        <f ca="1">IFERROR(__xludf.DUMMYFUNCTION("""COMPUTED_VALUE"""),"Yes")</f>
        <v>Yes</v>
      </c>
      <c r="E12" s="5" t="str">
        <f ca="1">IFERROR(__xludf.DUMMYFUNCTION("""COMPUTED_VALUE"""),"Yes")</f>
        <v>Yes</v>
      </c>
      <c r="F12" s="5" t="str">
        <f ca="1">IFERROR(__xludf.DUMMYFUNCTION("""COMPUTED_VALUE"""),"Yes")</f>
        <v>Yes</v>
      </c>
      <c r="G12" s="5" t="str">
        <f ca="1">IFERROR(__xludf.DUMMYFUNCTION("""COMPUTED_VALUE"""),"Yes")</f>
        <v>Yes</v>
      </c>
      <c r="H12" s="5" t="str">
        <f ca="1">IFERROR(__xludf.DUMMYFUNCTION("""COMPUTED_VALUE"""),"Yes")</f>
        <v>Yes</v>
      </c>
      <c r="I12" s="5" t="str">
        <f ca="1">IFERROR(__xludf.DUMMYFUNCTION("""COMPUTED_VALUE"""),"Yes")</f>
        <v>Yes</v>
      </c>
      <c r="J12" s="5" t="str">
        <f ca="1">IFERROR(__xludf.DUMMYFUNCTION("""COMPUTED_VALUE"""),"Yes")</f>
        <v>Yes</v>
      </c>
      <c r="K12" s="5" t="str">
        <f ca="1">IFERROR(__xludf.DUMMYFUNCTION("""COMPUTED_VALUE"""),"Yes")</f>
        <v>Yes</v>
      </c>
      <c r="L12" s="5" t="str">
        <f ca="1">IFERROR(__xludf.DUMMYFUNCTION("""COMPUTED_VALUE"""),"Yes")</f>
        <v>Yes</v>
      </c>
      <c r="M12" s="5" t="str">
        <f ca="1">IFERROR(__xludf.DUMMYFUNCTION("""COMPUTED_VALUE"""),"Yes")</f>
        <v>Yes</v>
      </c>
      <c r="N12" s="5" t="str">
        <f ca="1">IFERROR(__xludf.DUMMYFUNCTION("""COMPUTED_VALUE"""),"Yes")</f>
        <v>Yes</v>
      </c>
      <c r="O12" s="5" t="str">
        <f ca="1">IFERROR(__xludf.DUMMYFUNCTION("""COMPUTED_VALUE"""),"Yes")</f>
        <v>Yes</v>
      </c>
      <c r="P12" s="5" t="str">
        <f ca="1">IFERROR(__xludf.DUMMYFUNCTION("""COMPUTED_VALUE"""),"Yes")</f>
        <v>Yes</v>
      </c>
      <c r="Q12" s="5" t="str">
        <f ca="1">IFERROR(__xludf.DUMMYFUNCTION("""COMPUTED_VALUE"""),"Yes")</f>
        <v>Yes</v>
      </c>
      <c r="R12" s="5" t="str">
        <f ca="1">IFERROR(__xludf.DUMMYFUNCTION("""COMPUTED_VALUE"""),"Yes")</f>
        <v>Yes</v>
      </c>
      <c r="S12" s="5" t="str">
        <f ca="1">IFERROR(__xludf.DUMMYFUNCTION("""COMPUTED_VALUE"""),"Yes")</f>
        <v>Yes</v>
      </c>
      <c r="T12" s="5" t="str">
        <f ca="1">IFERROR(__xludf.DUMMYFUNCTION("""COMPUTED_VALUE"""),"Yes")</f>
        <v>Yes</v>
      </c>
      <c r="U12" s="5" t="str">
        <f ca="1">IFERROR(__xludf.DUMMYFUNCTION("""COMPUTED_VALUE"""),"Yes")</f>
        <v>Yes</v>
      </c>
      <c r="V12" s="5" t="str">
        <f ca="1">IFERROR(__xludf.DUMMYFUNCTION("""COMPUTED_VALUE"""),"Yes")</f>
        <v>Yes</v>
      </c>
      <c r="W12" s="5"/>
      <c r="X12" s="5"/>
      <c r="Y12" s="5"/>
      <c r="Z12" s="5" t="str">
        <f ca="1">IFERROR(__xludf.DUMMYFUNCTION("""COMPUTED_VALUE"""),"Yes")</f>
        <v>Yes</v>
      </c>
      <c r="AA12" s="5"/>
      <c r="AB12" s="5"/>
      <c r="AC12" s="5"/>
    </row>
    <row r="13" spans="1:29" x14ac:dyDescent="0.25">
      <c r="A13" s="5" t="str">
        <f ca="1">IFERROR(__xludf.DUMMYFUNCTION("""COMPUTED_VALUE"""),"MagicFruits")</f>
        <v>MagicFruits</v>
      </c>
      <c r="B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3" s="5" t="str">
        <f ca="1">IFERROR(__xludf.DUMMYFUNCTION("""COMPUTED_VALUE"""),"Yes")</f>
        <v>Yes</v>
      </c>
      <c r="D13" s="5" t="str">
        <f ca="1">IFERROR(__xludf.DUMMYFUNCTION("""COMPUTED_VALUE"""),"Yes")</f>
        <v>Yes</v>
      </c>
      <c r="E13" s="5" t="str">
        <f ca="1">IFERROR(__xludf.DUMMYFUNCTION("""COMPUTED_VALUE"""),"Yes")</f>
        <v>Yes</v>
      </c>
      <c r="F13" s="5" t="str">
        <f ca="1">IFERROR(__xludf.DUMMYFUNCTION("""COMPUTED_VALUE"""),"Yes")</f>
        <v>Yes</v>
      </c>
      <c r="G13" s="5" t="str">
        <f ca="1">IFERROR(__xludf.DUMMYFUNCTION("""COMPUTED_VALUE"""),"Yes")</f>
        <v>Yes</v>
      </c>
      <c r="H13" s="5" t="str">
        <f ca="1">IFERROR(__xludf.DUMMYFUNCTION("""COMPUTED_VALUE"""),"Yes")</f>
        <v>Yes</v>
      </c>
      <c r="I13" s="5" t="str">
        <f ca="1">IFERROR(__xludf.DUMMYFUNCTION("""COMPUTED_VALUE"""),"Yes")</f>
        <v>Yes</v>
      </c>
      <c r="J13" s="5" t="str">
        <f ca="1">IFERROR(__xludf.DUMMYFUNCTION("""COMPUTED_VALUE"""),"Yes")</f>
        <v>Yes</v>
      </c>
      <c r="K13" s="5" t="str">
        <f ca="1">IFERROR(__xludf.DUMMYFUNCTION("""COMPUTED_VALUE"""),"Yes")</f>
        <v>Yes</v>
      </c>
      <c r="L13" s="5" t="str">
        <f ca="1">IFERROR(__xludf.DUMMYFUNCTION("""COMPUTED_VALUE"""),"Yes")</f>
        <v>Yes</v>
      </c>
      <c r="M13" s="5" t="str">
        <f ca="1">IFERROR(__xludf.DUMMYFUNCTION("""COMPUTED_VALUE"""),"Yes")</f>
        <v>Yes</v>
      </c>
      <c r="N13" s="5" t="str">
        <f ca="1">IFERROR(__xludf.DUMMYFUNCTION("""COMPUTED_VALUE"""),"Yes")</f>
        <v>Yes</v>
      </c>
      <c r="O13" s="5" t="str">
        <f ca="1">IFERROR(__xludf.DUMMYFUNCTION("""COMPUTED_VALUE"""),"Yes")</f>
        <v>Yes</v>
      </c>
      <c r="P13" s="5" t="str">
        <f ca="1">IFERROR(__xludf.DUMMYFUNCTION("""COMPUTED_VALUE"""),"Yes")</f>
        <v>Yes</v>
      </c>
      <c r="Q13" s="5" t="str">
        <f ca="1">IFERROR(__xludf.DUMMYFUNCTION("""COMPUTED_VALUE"""),"Yes")</f>
        <v>Yes</v>
      </c>
      <c r="R13" s="5" t="str">
        <f ca="1">IFERROR(__xludf.DUMMYFUNCTION("""COMPUTED_VALUE"""),"Yes")</f>
        <v>Yes</v>
      </c>
      <c r="S13" s="5" t="str">
        <f ca="1">IFERROR(__xludf.DUMMYFUNCTION("""COMPUTED_VALUE"""),"Yes")</f>
        <v>Yes</v>
      </c>
      <c r="T13" s="5" t="str">
        <f ca="1">IFERROR(__xludf.DUMMYFUNCTION("""COMPUTED_VALUE"""),"Yes")</f>
        <v>Yes</v>
      </c>
      <c r="U13" s="5" t="str">
        <f ca="1">IFERROR(__xludf.DUMMYFUNCTION("""COMPUTED_VALUE"""),"Yes")</f>
        <v>Yes</v>
      </c>
      <c r="V13" s="5" t="str">
        <f ca="1">IFERROR(__xludf.DUMMYFUNCTION("""COMPUTED_VALUE"""),"Yes")</f>
        <v>Yes</v>
      </c>
      <c r="W13" s="5"/>
      <c r="X13" s="5"/>
      <c r="Y13" s="5"/>
      <c r="Z13" s="5" t="str">
        <f ca="1">IFERROR(__xludf.DUMMYFUNCTION("""COMPUTED_VALUE"""),"Yes")</f>
        <v>Yes</v>
      </c>
      <c r="AA13" s="5"/>
      <c r="AB13" s="5"/>
      <c r="AC13" s="5"/>
    </row>
    <row r="14" spans="1:29" x14ac:dyDescent="0.25">
      <c r="A14" s="5" t="str">
        <f ca="1">IFERROR(__xludf.DUMMYFUNCTION("""COMPUTED_VALUE"""),"Spellbook")</f>
        <v>Spellbook</v>
      </c>
      <c r="B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 s="5" t="str">
        <f ca="1">IFERROR(__xludf.DUMMYFUNCTION("""COMPUTED_VALUE"""),"Yes")</f>
        <v>Yes</v>
      </c>
      <c r="D14" s="5" t="str">
        <f ca="1">IFERROR(__xludf.DUMMYFUNCTION("""COMPUTED_VALUE"""),"Yes")</f>
        <v>Yes</v>
      </c>
      <c r="E14" s="5" t="str">
        <f ca="1">IFERROR(__xludf.DUMMYFUNCTION("""COMPUTED_VALUE"""),"Yes")</f>
        <v>Yes</v>
      </c>
      <c r="F14" s="5" t="str">
        <f ca="1">IFERROR(__xludf.DUMMYFUNCTION("""COMPUTED_VALUE"""),"Yes")</f>
        <v>Yes</v>
      </c>
      <c r="G14" s="5" t="str">
        <f ca="1">IFERROR(__xludf.DUMMYFUNCTION("""COMPUTED_VALUE"""),"Yes")</f>
        <v>Yes</v>
      </c>
      <c r="H14" s="5" t="str">
        <f ca="1">IFERROR(__xludf.DUMMYFUNCTION("""COMPUTED_VALUE"""),"Yes")</f>
        <v>Yes</v>
      </c>
      <c r="I14" s="5" t="str">
        <f ca="1">IFERROR(__xludf.DUMMYFUNCTION("""COMPUTED_VALUE"""),"Yes")</f>
        <v>Yes</v>
      </c>
      <c r="J14" s="5" t="str">
        <f ca="1">IFERROR(__xludf.DUMMYFUNCTION("""COMPUTED_VALUE"""),"Yes")</f>
        <v>Yes</v>
      </c>
      <c r="K14" s="5" t="str">
        <f ca="1">IFERROR(__xludf.DUMMYFUNCTION("""COMPUTED_VALUE"""),"Yes")</f>
        <v>Yes</v>
      </c>
      <c r="L14" s="5" t="str">
        <f ca="1">IFERROR(__xludf.DUMMYFUNCTION("""COMPUTED_VALUE"""),"Yes")</f>
        <v>Yes</v>
      </c>
      <c r="M14" s="5" t="str">
        <f ca="1">IFERROR(__xludf.DUMMYFUNCTION("""COMPUTED_VALUE"""),"Yes")</f>
        <v>Yes</v>
      </c>
      <c r="N14" s="5" t="str">
        <f ca="1">IFERROR(__xludf.DUMMYFUNCTION("""COMPUTED_VALUE"""),"Yes")</f>
        <v>Yes</v>
      </c>
      <c r="O14" s="5" t="str">
        <f ca="1">IFERROR(__xludf.DUMMYFUNCTION("""COMPUTED_VALUE"""),"Yes")</f>
        <v>Yes</v>
      </c>
      <c r="P14" s="5" t="str">
        <f ca="1">IFERROR(__xludf.DUMMYFUNCTION("""COMPUTED_VALUE"""),"Yes")</f>
        <v>Yes</v>
      </c>
      <c r="Q14" s="5" t="str">
        <f ca="1">IFERROR(__xludf.DUMMYFUNCTION("""COMPUTED_VALUE"""),"Yes")</f>
        <v>Yes</v>
      </c>
      <c r="R14" s="5" t="str">
        <f ca="1">IFERROR(__xludf.DUMMYFUNCTION("""COMPUTED_VALUE"""),"Yes")</f>
        <v>Yes</v>
      </c>
      <c r="S14" s="5" t="str">
        <f ca="1">IFERROR(__xludf.DUMMYFUNCTION("""COMPUTED_VALUE"""),"Yes")</f>
        <v>Yes</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IFERROR(__xludf.DUMMYFUNCTION("""COMPUTED_VALUE"""),"No")</f>
        <v>No</v>
      </c>
    </row>
    <row r="15" spans="1:29" x14ac:dyDescent="0.25">
      <c r="A15" s="5" t="str">
        <f ca="1">IFERROR(__xludf.DUMMYFUNCTION("""COMPUTED_VALUE"""),"WildWest")</f>
        <v>WildWest</v>
      </c>
      <c r="B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 s="5" t="str">
        <f ca="1">IFERROR(__xludf.DUMMYFUNCTION("""COMPUTED_VALUE"""),"Yes")</f>
        <v>Yes</v>
      </c>
      <c r="D15" s="5" t="str">
        <f ca="1">IFERROR(__xludf.DUMMYFUNCTION("""COMPUTED_VALUE"""),"Yes")</f>
        <v>Yes</v>
      </c>
      <c r="E15" s="5" t="str">
        <f ca="1">IFERROR(__xludf.DUMMYFUNCTION("""COMPUTED_VALUE"""),"Yes")</f>
        <v>Yes</v>
      </c>
      <c r="F15" s="5" t="str">
        <f ca="1">IFERROR(__xludf.DUMMYFUNCTION("""COMPUTED_VALUE"""),"Yes")</f>
        <v>Yes</v>
      </c>
      <c r="G15" s="5" t="str">
        <f ca="1">IFERROR(__xludf.DUMMYFUNCTION("""COMPUTED_VALUE"""),"Yes")</f>
        <v>Yes</v>
      </c>
      <c r="H15" s="5" t="str">
        <f ca="1">IFERROR(__xludf.DUMMYFUNCTION("""COMPUTED_VALUE"""),"Yes")</f>
        <v>Yes</v>
      </c>
      <c r="I15" s="5" t="str">
        <f ca="1">IFERROR(__xludf.DUMMYFUNCTION("""COMPUTED_VALUE"""),"Yes")</f>
        <v>Yes</v>
      </c>
      <c r="J15" s="5" t="str">
        <f ca="1">IFERROR(__xludf.DUMMYFUNCTION("""COMPUTED_VALUE"""),"Yes")</f>
        <v>Yes</v>
      </c>
      <c r="K15" s="5" t="str">
        <f ca="1">IFERROR(__xludf.DUMMYFUNCTION("""COMPUTED_VALUE"""),"Yes")</f>
        <v>Yes</v>
      </c>
      <c r="L15" s="5" t="str">
        <f ca="1">IFERROR(__xludf.DUMMYFUNCTION("""COMPUTED_VALUE"""),"Yes")</f>
        <v>Yes</v>
      </c>
      <c r="M15" s="5" t="str">
        <f ca="1">IFERROR(__xludf.DUMMYFUNCTION("""COMPUTED_VALUE"""),"Yes")</f>
        <v>Yes</v>
      </c>
      <c r="N15" s="5" t="str">
        <f ca="1">IFERROR(__xludf.DUMMYFUNCTION("""COMPUTED_VALUE"""),"Yes")</f>
        <v>Yes</v>
      </c>
      <c r="O15" s="5" t="str">
        <f ca="1">IFERROR(__xludf.DUMMYFUNCTION("""COMPUTED_VALUE"""),"Yes")</f>
        <v>Yes</v>
      </c>
      <c r="P15" s="5" t="str">
        <f ca="1">IFERROR(__xludf.DUMMYFUNCTION("""COMPUTED_VALUE"""),"Yes")</f>
        <v>Yes</v>
      </c>
      <c r="Q15" s="5" t="str">
        <f ca="1">IFERROR(__xludf.DUMMYFUNCTION("""COMPUTED_VALUE"""),"Yes")</f>
        <v>Yes</v>
      </c>
      <c r="R15" s="5" t="str">
        <f ca="1">IFERROR(__xludf.DUMMYFUNCTION("""COMPUTED_VALUE"""),"Yes")</f>
        <v>Yes</v>
      </c>
      <c r="S15" s="5" t="str">
        <f ca="1">IFERROR(__xludf.DUMMYFUNCTION("""COMPUTED_VALUE"""),"Yes")</f>
        <v>Yes</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IFERROR(__xludf.DUMMYFUNCTION("""COMPUTED_VALUE"""),"No")</f>
        <v>No</v>
      </c>
    </row>
    <row r="16" spans="1:29" x14ac:dyDescent="0.25">
      <c r="A16" s="5" t="str">
        <f ca="1">IFERROR(__xludf.DUMMYFUNCTION("""COMPUTED_VALUE"""),"RollingDices81")</f>
        <v>RollingDices81</v>
      </c>
      <c r="B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6" s="5" t="str">
        <f ca="1">IFERROR(__xludf.DUMMYFUNCTION("""COMPUTED_VALUE"""),"Yes")</f>
        <v>Yes</v>
      </c>
      <c r="D16" s="5" t="str">
        <f ca="1">IFERROR(__xludf.DUMMYFUNCTION("""COMPUTED_VALUE"""),"Yes")</f>
        <v>Yes</v>
      </c>
      <c r="E16" s="5" t="str">
        <f ca="1">IFERROR(__xludf.DUMMYFUNCTION("""COMPUTED_VALUE"""),"Yes")</f>
        <v>Yes</v>
      </c>
      <c r="F16" s="5" t="str">
        <f ca="1">IFERROR(__xludf.DUMMYFUNCTION("""COMPUTED_VALUE"""),"Yes")</f>
        <v>Yes</v>
      </c>
      <c r="G16" s="5" t="str">
        <f ca="1">IFERROR(__xludf.DUMMYFUNCTION("""COMPUTED_VALUE"""),"Yes")</f>
        <v>Yes</v>
      </c>
      <c r="H16" s="5" t="str">
        <f ca="1">IFERROR(__xludf.DUMMYFUNCTION("""COMPUTED_VALUE"""),"Yes")</f>
        <v>Yes</v>
      </c>
      <c r="I16" s="5" t="str">
        <f ca="1">IFERROR(__xludf.DUMMYFUNCTION("""COMPUTED_VALUE"""),"Yes")</f>
        <v>Yes</v>
      </c>
      <c r="J16" s="5" t="str">
        <f ca="1">IFERROR(__xludf.DUMMYFUNCTION("""COMPUTED_VALUE"""),"Yes")</f>
        <v>Yes</v>
      </c>
      <c r="K16" s="5" t="str">
        <f ca="1">IFERROR(__xludf.DUMMYFUNCTION("""COMPUTED_VALUE"""),"Yes")</f>
        <v>Yes</v>
      </c>
      <c r="L16" s="5" t="str">
        <f ca="1">IFERROR(__xludf.DUMMYFUNCTION("""COMPUTED_VALUE"""),"Yes")</f>
        <v>Yes</v>
      </c>
      <c r="M16" s="5" t="str">
        <f ca="1">IFERROR(__xludf.DUMMYFUNCTION("""COMPUTED_VALUE"""),"Yes")</f>
        <v>Yes</v>
      </c>
      <c r="N16" s="5" t="str">
        <f ca="1">IFERROR(__xludf.DUMMYFUNCTION("""COMPUTED_VALUE"""),"Yes")</f>
        <v>Yes</v>
      </c>
      <c r="O16" s="5" t="str">
        <f ca="1">IFERROR(__xludf.DUMMYFUNCTION("""COMPUTED_VALUE"""),"Yes")</f>
        <v>Yes</v>
      </c>
      <c r="P16" s="5" t="str">
        <f ca="1">IFERROR(__xludf.DUMMYFUNCTION("""COMPUTED_VALUE"""),"Yes")</f>
        <v>Yes</v>
      </c>
      <c r="Q16" s="5" t="str">
        <f ca="1">IFERROR(__xludf.DUMMYFUNCTION("""COMPUTED_VALUE"""),"Yes")</f>
        <v>Yes</v>
      </c>
      <c r="R16" s="5" t="str">
        <f ca="1">IFERROR(__xludf.DUMMYFUNCTION("""COMPUTED_VALUE"""),"Yes")</f>
        <v>Yes</v>
      </c>
      <c r="S16" s="5" t="str">
        <f ca="1">IFERROR(__xludf.DUMMYFUNCTION("""COMPUTED_VALUE"""),"Yes")</f>
        <v>Yes</v>
      </c>
      <c r="T16" s="5" t="str">
        <f ca="1">IFERROR(__xludf.DUMMYFUNCTION("""COMPUTED_VALUE"""),"Yes")</f>
        <v>Yes</v>
      </c>
      <c r="U16" s="5" t="str">
        <f ca="1">IFERROR(__xludf.DUMMYFUNCTION("""COMPUTED_VALUE"""),"Yes")</f>
        <v>Yes</v>
      </c>
      <c r="V16" s="5" t="str">
        <f ca="1">IFERROR(__xludf.DUMMYFUNCTION("""COMPUTED_VALUE"""),"Yes")</f>
        <v>Yes</v>
      </c>
      <c r="W16" s="5"/>
      <c r="X16" s="5"/>
      <c r="Y16" s="5"/>
      <c r="Z16" s="5" t="str">
        <f ca="1">IFERROR(__xludf.DUMMYFUNCTION("""COMPUTED_VALUE"""),"Yes")</f>
        <v>Yes</v>
      </c>
      <c r="AA16" s="5"/>
      <c r="AB16" s="5"/>
      <c r="AC16" s="5"/>
    </row>
    <row r="17" spans="1:29" x14ac:dyDescent="0.25">
      <c r="A17" s="5" t="str">
        <f ca="1">IFERROR(__xludf.DUMMYFUNCTION("""COMPUTED_VALUE"""),"Pyramid")</f>
        <v>Pyramid</v>
      </c>
      <c r="B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 s="5" t="str">
        <f ca="1">IFERROR(__xludf.DUMMYFUNCTION("""COMPUTED_VALUE"""),"Yes")</f>
        <v>Yes</v>
      </c>
      <c r="D17" s="5" t="str">
        <f ca="1">IFERROR(__xludf.DUMMYFUNCTION("""COMPUTED_VALUE"""),"Yes")</f>
        <v>Yes</v>
      </c>
      <c r="E17" s="5" t="str">
        <f ca="1">IFERROR(__xludf.DUMMYFUNCTION("""COMPUTED_VALUE"""),"Yes")</f>
        <v>Yes</v>
      </c>
      <c r="F17" s="5" t="str">
        <f ca="1">IFERROR(__xludf.DUMMYFUNCTION("""COMPUTED_VALUE"""),"Yes")</f>
        <v>Yes</v>
      </c>
      <c r="G17" s="5" t="str">
        <f ca="1">IFERROR(__xludf.DUMMYFUNCTION("""COMPUTED_VALUE"""),"Yes")</f>
        <v>Yes</v>
      </c>
      <c r="H17" s="5" t="str">
        <f ca="1">IFERROR(__xludf.DUMMYFUNCTION("""COMPUTED_VALUE"""),"Yes")</f>
        <v>Yes</v>
      </c>
      <c r="I17" s="5" t="str">
        <f ca="1">IFERROR(__xludf.DUMMYFUNCTION("""COMPUTED_VALUE"""),"Yes")</f>
        <v>Yes</v>
      </c>
      <c r="J17" s="5" t="str">
        <f ca="1">IFERROR(__xludf.DUMMYFUNCTION("""COMPUTED_VALUE"""),"Yes")</f>
        <v>Yes</v>
      </c>
      <c r="K17" s="5" t="str">
        <f ca="1">IFERROR(__xludf.DUMMYFUNCTION("""COMPUTED_VALUE"""),"Yes")</f>
        <v>Yes</v>
      </c>
      <c r="L17" s="5" t="str">
        <f ca="1">IFERROR(__xludf.DUMMYFUNCTION("""COMPUTED_VALUE"""),"Yes")</f>
        <v>Yes</v>
      </c>
      <c r="M17" s="5" t="str">
        <f ca="1">IFERROR(__xludf.DUMMYFUNCTION("""COMPUTED_VALUE"""),"Yes")</f>
        <v>Yes</v>
      </c>
      <c r="N17" s="5" t="str">
        <f ca="1">IFERROR(__xludf.DUMMYFUNCTION("""COMPUTED_VALUE"""),"Yes")</f>
        <v>Yes</v>
      </c>
      <c r="O17" s="5" t="str">
        <f ca="1">IFERROR(__xludf.DUMMYFUNCTION("""COMPUTED_VALUE"""),"Yes")</f>
        <v>Yes</v>
      </c>
      <c r="P17" s="5" t="str">
        <f ca="1">IFERROR(__xludf.DUMMYFUNCTION("""COMPUTED_VALUE"""),"Yes")</f>
        <v>Yes</v>
      </c>
      <c r="Q17" s="5" t="str">
        <f ca="1">IFERROR(__xludf.DUMMYFUNCTION("""COMPUTED_VALUE"""),"Yes")</f>
        <v>Yes</v>
      </c>
      <c r="R17" s="5" t="str">
        <f ca="1">IFERROR(__xludf.DUMMYFUNCTION("""COMPUTED_VALUE"""),"Yes")</f>
        <v>Yes</v>
      </c>
      <c r="S17" s="5" t="str">
        <f ca="1">IFERROR(__xludf.DUMMYFUNCTION("""COMPUTED_VALUE"""),"Yes")</f>
        <v>Yes</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IFERROR(__xludf.DUMMYFUNCTION("""COMPUTED_VALUE"""),"Yes")</f>
        <v>Yes</v>
      </c>
      <c r="AA17" s="5" t="str">
        <f ca="1">IFERROR(__xludf.DUMMYFUNCTION("""COMPUTED_VALUE"""),"Yes")</f>
        <v>Yes</v>
      </c>
      <c r="AB17" s="5" t="str">
        <f ca="1">IFERROR(__xludf.DUMMYFUNCTION("""COMPUTED_VALUE"""),"Yes")</f>
        <v>Yes</v>
      </c>
      <c r="AC17" s="5" t="str">
        <f ca="1">IFERROR(__xludf.DUMMYFUNCTION("""COMPUTED_VALUE"""),"No")</f>
        <v>No</v>
      </c>
    </row>
    <row r="18" spans="1:29" x14ac:dyDescent="0.25">
      <c r="A18" s="5" t="str">
        <f ca="1">IFERROR(__xludf.DUMMYFUNCTION("""COMPUTED_VALUE"""),"Roulette")</f>
        <v>Roulette</v>
      </c>
      <c r="B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 s="5" t="str">
        <f ca="1">IFERROR(__xludf.DUMMYFUNCTION("""COMPUTED_VALUE"""),"Yes")</f>
        <v>Yes</v>
      </c>
      <c r="D18" s="5" t="str">
        <f ca="1">IFERROR(__xludf.DUMMYFUNCTION("""COMPUTED_VALUE"""),"Yes")</f>
        <v>Yes</v>
      </c>
      <c r="E18" s="5" t="str">
        <f ca="1">IFERROR(__xludf.DUMMYFUNCTION("""COMPUTED_VALUE"""),"Yes")</f>
        <v>Yes</v>
      </c>
      <c r="F18" s="5" t="str">
        <f ca="1">IFERROR(__xludf.DUMMYFUNCTION("""COMPUTED_VALUE"""),"Yes")</f>
        <v>Yes</v>
      </c>
      <c r="G18" s="5" t="str">
        <f ca="1">IFERROR(__xludf.DUMMYFUNCTION("""COMPUTED_VALUE"""),"Yes")</f>
        <v>Yes</v>
      </c>
      <c r="H18" s="5" t="str">
        <f ca="1">IFERROR(__xludf.DUMMYFUNCTION("""COMPUTED_VALUE"""),"Yes")</f>
        <v>Yes</v>
      </c>
      <c r="I18" s="5" t="str">
        <f ca="1">IFERROR(__xludf.DUMMYFUNCTION("""COMPUTED_VALUE"""),"Yes")</f>
        <v>Yes</v>
      </c>
      <c r="J18" s="5" t="str">
        <f ca="1">IFERROR(__xludf.DUMMYFUNCTION("""COMPUTED_VALUE"""),"Yes")</f>
        <v>Yes</v>
      </c>
      <c r="K18" s="5" t="str">
        <f ca="1">IFERROR(__xludf.DUMMYFUNCTION("""COMPUTED_VALUE"""),"Yes")</f>
        <v>Yes</v>
      </c>
      <c r="L18" s="5" t="str">
        <f ca="1">IFERROR(__xludf.DUMMYFUNCTION("""COMPUTED_VALUE"""),"Yes")</f>
        <v>Yes</v>
      </c>
      <c r="M18" s="5" t="str">
        <f ca="1">IFERROR(__xludf.DUMMYFUNCTION("""COMPUTED_VALUE"""),"Yes")</f>
        <v>Yes</v>
      </c>
      <c r="N18" s="5" t="str">
        <f ca="1">IFERROR(__xludf.DUMMYFUNCTION("""COMPUTED_VALUE"""),"Yes")</f>
        <v>Yes</v>
      </c>
      <c r="O18" s="5" t="str">
        <f ca="1">IFERROR(__xludf.DUMMYFUNCTION("""COMPUTED_VALUE"""),"Yes")</f>
        <v>Yes</v>
      </c>
      <c r="P18" s="5" t="str">
        <f ca="1">IFERROR(__xludf.DUMMYFUNCTION("""COMPUTED_VALUE"""),"Yes")</f>
        <v>Yes</v>
      </c>
      <c r="Q18" s="5" t="str">
        <f ca="1">IFERROR(__xludf.DUMMYFUNCTION("""COMPUTED_VALUE"""),"Yes")</f>
        <v>Yes</v>
      </c>
      <c r="R18" s="5" t="str">
        <f ca="1">IFERROR(__xludf.DUMMYFUNCTION("""COMPUTED_VALUE"""),"Yes")</f>
        <v>Yes</v>
      </c>
      <c r="S18" s="5" t="str">
        <f ca="1">IFERROR(__xludf.DUMMYFUNCTION("""COMPUTED_VALUE"""),"Yes")</f>
        <v>Yes</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IFERROR(__xludf.DUMMYFUNCTION("""COMPUTED_VALUE"""),"Yes")</f>
        <v>Yes</v>
      </c>
      <c r="AA18" s="5" t="str">
        <f ca="1">IFERROR(__xludf.DUMMYFUNCTION("""COMPUTED_VALUE"""),"Yes")</f>
        <v>Yes</v>
      </c>
      <c r="AB18" s="5" t="str">
        <f ca="1">IFERROR(__xludf.DUMMYFUNCTION("""COMPUTED_VALUE"""),"Yes")</f>
        <v>Yes</v>
      </c>
      <c r="AC18" s="5" t="str">
        <f ca="1">IFERROR(__xludf.DUMMYFUNCTION("""COMPUTED_VALUE"""),"No")</f>
        <v>No</v>
      </c>
    </row>
    <row r="19" spans="1:29" x14ac:dyDescent="0.25">
      <c r="A19" s="5" t="str">
        <f ca="1">IFERROR(__xludf.DUMMYFUNCTION("""COMPUTED_VALUE"""),"JollyPoker")</f>
        <v>JollyPoker</v>
      </c>
      <c r="B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 s="5" t="str">
        <f ca="1">IFERROR(__xludf.DUMMYFUNCTION("""COMPUTED_VALUE"""),"Yes")</f>
        <v>Yes</v>
      </c>
      <c r="D19" s="5" t="str">
        <f ca="1">IFERROR(__xludf.DUMMYFUNCTION("""COMPUTED_VALUE"""),"Yes")</f>
        <v>Yes</v>
      </c>
      <c r="E19" s="5" t="str">
        <f ca="1">IFERROR(__xludf.DUMMYFUNCTION("""COMPUTED_VALUE"""),"Yes")</f>
        <v>Yes</v>
      </c>
      <c r="F19" s="5" t="str">
        <f ca="1">IFERROR(__xludf.DUMMYFUNCTION("""COMPUTED_VALUE"""),"Yes")</f>
        <v>Yes</v>
      </c>
      <c r="G19" s="5" t="str">
        <f ca="1">IFERROR(__xludf.DUMMYFUNCTION("""COMPUTED_VALUE"""),"Yes")</f>
        <v>Yes</v>
      </c>
      <c r="H19" s="5" t="str">
        <f ca="1">IFERROR(__xludf.DUMMYFUNCTION("""COMPUTED_VALUE"""),"Yes")</f>
        <v>Yes</v>
      </c>
      <c r="I19" s="5" t="str">
        <f ca="1">IFERROR(__xludf.DUMMYFUNCTION("""COMPUTED_VALUE"""),"Yes")</f>
        <v>Yes</v>
      </c>
      <c r="J19" s="5" t="str">
        <f ca="1">IFERROR(__xludf.DUMMYFUNCTION("""COMPUTED_VALUE"""),"Yes")</f>
        <v>Yes</v>
      </c>
      <c r="K19" s="5" t="str">
        <f ca="1">IFERROR(__xludf.DUMMYFUNCTION("""COMPUTED_VALUE"""),"Yes")</f>
        <v>Yes</v>
      </c>
      <c r="L19" s="5" t="str">
        <f ca="1">IFERROR(__xludf.DUMMYFUNCTION("""COMPUTED_VALUE"""),"Yes")</f>
        <v>Yes</v>
      </c>
      <c r="M19" s="5" t="str">
        <f ca="1">IFERROR(__xludf.DUMMYFUNCTION("""COMPUTED_VALUE"""),"Yes")</f>
        <v>Yes</v>
      </c>
      <c r="N19" s="5" t="str">
        <f ca="1">IFERROR(__xludf.DUMMYFUNCTION("""COMPUTED_VALUE"""),"Yes")</f>
        <v>Yes</v>
      </c>
      <c r="O19" s="5" t="str">
        <f ca="1">IFERROR(__xludf.DUMMYFUNCTION("""COMPUTED_VALUE"""),"Yes")</f>
        <v>Yes</v>
      </c>
      <c r="P19" s="5" t="str">
        <f ca="1">IFERROR(__xludf.DUMMYFUNCTION("""COMPUTED_VALUE"""),"Yes")</f>
        <v>Yes</v>
      </c>
      <c r="Q19" s="5" t="str">
        <f ca="1">IFERROR(__xludf.DUMMYFUNCTION("""COMPUTED_VALUE"""),"Yes")</f>
        <v>Yes</v>
      </c>
      <c r="R19" s="5" t="str">
        <f ca="1">IFERROR(__xludf.DUMMYFUNCTION("""COMPUTED_VALUE"""),"Yes")</f>
        <v>Yes</v>
      </c>
      <c r="S19" s="5" t="str">
        <f ca="1">IFERROR(__xludf.DUMMYFUNCTION("""COMPUTED_VALUE"""),"Yes")</f>
        <v>Yes</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IFERROR(__xludf.DUMMYFUNCTION("""COMPUTED_VALUE"""),"No")</f>
        <v>No</v>
      </c>
    </row>
    <row r="20" spans="1:29" x14ac:dyDescent="0.25">
      <c r="A20" s="5" t="str">
        <f ca="1">IFERROR(__xludf.DUMMYFUNCTION("""COMPUTED_VALUE"""),"Alpinist")</f>
        <v>Alpinist</v>
      </c>
      <c r="B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 s="5" t="str">
        <f ca="1">IFERROR(__xludf.DUMMYFUNCTION("""COMPUTED_VALUE"""),"Yes")</f>
        <v>Yes</v>
      </c>
      <c r="D20" s="5" t="str">
        <f ca="1">IFERROR(__xludf.DUMMYFUNCTION("""COMPUTED_VALUE"""),"Yes")</f>
        <v>Yes</v>
      </c>
      <c r="E20" s="5" t="str">
        <f ca="1">IFERROR(__xludf.DUMMYFUNCTION("""COMPUTED_VALUE"""),"Yes")</f>
        <v>Yes</v>
      </c>
      <c r="F20" s="5" t="str">
        <f ca="1">IFERROR(__xludf.DUMMYFUNCTION("""COMPUTED_VALUE"""),"Yes")</f>
        <v>Yes</v>
      </c>
      <c r="G20" s="5" t="str">
        <f ca="1">IFERROR(__xludf.DUMMYFUNCTION("""COMPUTED_VALUE"""),"Yes")</f>
        <v>Yes</v>
      </c>
      <c r="H20" s="5" t="str">
        <f ca="1">IFERROR(__xludf.DUMMYFUNCTION("""COMPUTED_VALUE"""),"Yes")</f>
        <v>Yes</v>
      </c>
      <c r="I20" s="5" t="str">
        <f ca="1">IFERROR(__xludf.DUMMYFUNCTION("""COMPUTED_VALUE"""),"Yes")</f>
        <v>Yes</v>
      </c>
      <c r="J20" s="5" t="str">
        <f ca="1">IFERROR(__xludf.DUMMYFUNCTION("""COMPUTED_VALUE"""),"Yes")</f>
        <v>Yes</v>
      </c>
      <c r="K20" s="5" t="str">
        <f ca="1">IFERROR(__xludf.DUMMYFUNCTION("""COMPUTED_VALUE"""),"Yes")</f>
        <v>Yes</v>
      </c>
      <c r="L20" s="5" t="str">
        <f ca="1">IFERROR(__xludf.DUMMYFUNCTION("""COMPUTED_VALUE"""),"Yes")</f>
        <v>Yes</v>
      </c>
      <c r="M20" s="5" t="str">
        <f ca="1">IFERROR(__xludf.DUMMYFUNCTION("""COMPUTED_VALUE"""),"Yes")</f>
        <v>Yes</v>
      </c>
      <c r="N20" s="5" t="str">
        <f ca="1">IFERROR(__xludf.DUMMYFUNCTION("""COMPUTED_VALUE"""),"Yes")</f>
        <v>Yes</v>
      </c>
      <c r="O20" s="5" t="str">
        <f ca="1">IFERROR(__xludf.DUMMYFUNCTION("""COMPUTED_VALUE"""),"Yes")</f>
        <v>Yes</v>
      </c>
      <c r="P20" s="5" t="str">
        <f ca="1">IFERROR(__xludf.DUMMYFUNCTION("""COMPUTED_VALUE"""),"Yes")</f>
        <v>Yes</v>
      </c>
      <c r="Q20" s="5" t="str">
        <f ca="1">IFERROR(__xludf.DUMMYFUNCTION("""COMPUTED_VALUE"""),"Yes")</f>
        <v>Yes</v>
      </c>
      <c r="R20" s="5" t="str">
        <f ca="1">IFERROR(__xludf.DUMMYFUNCTION("""COMPUTED_VALUE"""),"Yes")</f>
        <v>Yes</v>
      </c>
      <c r="S20" s="5" t="str">
        <f ca="1">IFERROR(__xludf.DUMMYFUNCTION("""COMPUTED_VALUE"""),"Yes")</f>
        <v>Yes</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IFERROR(__xludf.DUMMYFUNCTION("""COMPUTED_VALUE"""),"No")</f>
        <v>No</v>
      </c>
    </row>
    <row r="21" spans="1:29" x14ac:dyDescent="0.25">
      <c r="A21" s="5" t="str">
        <f ca="1">IFERROR(__xludf.DUMMYFUNCTION("""COMPUTED_VALUE"""),"Diamonds")</f>
        <v>Diamonds</v>
      </c>
      <c r="B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 s="5" t="str">
        <f ca="1">IFERROR(__xludf.DUMMYFUNCTION("""COMPUTED_VALUE"""),"Yes")</f>
        <v>Yes</v>
      </c>
      <c r="D21" s="5" t="str">
        <f ca="1">IFERROR(__xludf.DUMMYFUNCTION("""COMPUTED_VALUE"""),"Yes")</f>
        <v>Yes</v>
      </c>
      <c r="E21" s="5" t="str">
        <f ca="1">IFERROR(__xludf.DUMMYFUNCTION("""COMPUTED_VALUE"""),"Yes")</f>
        <v>Yes</v>
      </c>
      <c r="F21" s="5" t="str">
        <f ca="1">IFERROR(__xludf.DUMMYFUNCTION("""COMPUTED_VALUE"""),"Yes")</f>
        <v>Yes</v>
      </c>
      <c r="G21" s="5" t="str">
        <f ca="1">IFERROR(__xludf.DUMMYFUNCTION("""COMPUTED_VALUE"""),"Yes")</f>
        <v>Yes</v>
      </c>
      <c r="H21" s="5" t="str">
        <f ca="1">IFERROR(__xludf.DUMMYFUNCTION("""COMPUTED_VALUE"""),"Yes")</f>
        <v>Yes</v>
      </c>
      <c r="I21" s="5" t="str">
        <f ca="1">IFERROR(__xludf.DUMMYFUNCTION("""COMPUTED_VALUE"""),"Yes")</f>
        <v>Yes</v>
      </c>
      <c r="J21" s="5" t="str">
        <f ca="1">IFERROR(__xludf.DUMMYFUNCTION("""COMPUTED_VALUE"""),"Yes")</f>
        <v>Yes</v>
      </c>
      <c r="K21" s="5" t="str">
        <f ca="1">IFERROR(__xludf.DUMMYFUNCTION("""COMPUTED_VALUE"""),"Yes")</f>
        <v>Yes</v>
      </c>
      <c r="L21" s="5" t="str">
        <f ca="1">IFERROR(__xludf.DUMMYFUNCTION("""COMPUTED_VALUE"""),"Yes")</f>
        <v>Yes</v>
      </c>
      <c r="M21" s="5" t="str">
        <f ca="1">IFERROR(__xludf.DUMMYFUNCTION("""COMPUTED_VALUE"""),"Yes")</f>
        <v>Yes</v>
      </c>
      <c r="N21" s="5" t="str">
        <f ca="1">IFERROR(__xludf.DUMMYFUNCTION("""COMPUTED_VALUE"""),"Yes")</f>
        <v>Yes</v>
      </c>
      <c r="O21" s="5" t="str">
        <f ca="1">IFERROR(__xludf.DUMMYFUNCTION("""COMPUTED_VALUE"""),"Yes")</f>
        <v>Yes</v>
      </c>
      <c r="P21" s="5" t="str">
        <f ca="1">IFERROR(__xludf.DUMMYFUNCTION("""COMPUTED_VALUE"""),"Yes")</f>
        <v>Yes</v>
      </c>
      <c r="Q21" s="5" t="str">
        <f ca="1">IFERROR(__xludf.DUMMYFUNCTION("""COMPUTED_VALUE"""),"Yes")</f>
        <v>Yes</v>
      </c>
      <c r="R21" s="5" t="str">
        <f ca="1">IFERROR(__xludf.DUMMYFUNCTION("""COMPUTED_VALUE"""),"Yes")</f>
        <v>Yes</v>
      </c>
      <c r="S21" s="5" t="str">
        <f ca="1">IFERROR(__xludf.DUMMYFUNCTION("""COMPUTED_VALUE"""),"Yes")</f>
        <v>Yes</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IFERROR(__xludf.DUMMYFUNCTION("""COMPUTED_VALUE"""),"Yes")</f>
        <v>Yes</v>
      </c>
      <c r="AA21" s="5" t="str">
        <f ca="1">IFERROR(__xludf.DUMMYFUNCTION("""COMPUTED_VALUE"""),"Yes")</f>
        <v>Yes</v>
      </c>
      <c r="AB21" s="5" t="str">
        <f ca="1">IFERROR(__xludf.DUMMYFUNCTION("""COMPUTED_VALUE"""),"Yes")</f>
        <v>Yes</v>
      </c>
      <c r="AC21" s="5" t="str">
        <f ca="1">IFERROR(__xludf.DUMMYFUNCTION("""COMPUTED_VALUE"""),"No")</f>
        <v>No</v>
      </c>
    </row>
    <row r="22" spans="1:29" x14ac:dyDescent="0.25">
      <c r="A22" s="5" t="str">
        <f ca="1">IFERROR(__xludf.DUMMYFUNCTION("""COMPUTED_VALUE"""),"JuicyHot")</f>
        <v>JuicyHot</v>
      </c>
      <c r="B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 s="5" t="str">
        <f ca="1">IFERROR(__xludf.DUMMYFUNCTION("""COMPUTED_VALUE"""),"Yes")</f>
        <v>Yes</v>
      </c>
      <c r="D22" s="5" t="str">
        <f ca="1">IFERROR(__xludf.DUMMYFUNCTION("""COMPUTED_VALUE"""),"Yes")</f>
        <v>Yes</v>
      </c>
      <c r="E22" s="5" t="str">
        <f ca="1">IFERROR(__xludf.DUMMYFUNCTION("""COMPUTED_VALUE"""),"Yes")</f>
        <v>Yes</v>
      </c>
      <c r="F22" s="5" t="str">
        <f ca="1">IFERROR(__xludf.DUMMYFUNCTION("""COMPUTED_VALUE"""),"Yes")</f>
        <v>Yes</v>
      </c>
      <c r="G22" s="5" t="str">
        <f ca="1">IFERROR(__xludf.DUMMYFUNCTION("""COMPUTED_VALUE"""),"Yes")</f>
        <v>Yes</v>
      </c>
      <c r="H22" s="5" t="str">
        <f ca="1">IFERROR(__xludf.DUMMYFUNCTION("""COMPUTED_VALUE"""),"Yes")</f>
        <v>Yes</v>
      </c>
      <c r="I22" s="5" t="str">
        <f ca="1">IFERROR(__xludf.DUMMYFUNCTION("""COMPUTED_VALUE"""),"Yes")</f>
        <v>Yes</v>
      </c>
      <c r="J22" s="5" t="str">
        <f ca="1">IFERROR(__xludf.DUMMYFUNCTION("""COMPUTED_VALUE"""),"Yes")</f>
        <v>Yes</v>
      </c>
      <c r="K22" s="5" t="str">
        <f ca="1">IFERROR(__xludf.DUMMYFUNCTION("""COMPUTED_VALUE"""),"Yes")</f>
        <v>Yes</v>
      </c>
      <c r="L22" s="5" t="str">
        <f ca="1">IFERROR(__xludf.DUMMYFUNCTION("""COMPUTED_VALUE"""),"Yes")</f>
        <v>Yes</v>
      </c>
      <c r="M22" s="5" t="str">
        <f ca="1">IFERROR(__xludf.DUMMYFUNCTION("""COMPUTED_VALUE"""),"Yes")</f>
        <v>Yes</v>
      </c>
      <c r="N22" s="5" t="str">
        <f ca="1">IFERROR(__xludf.DUMMYFUNCTION("""COMPUTED_VALUE"""),"Yes")</f>
        <v>Yes</v>
      </c>
      <c r="O22" s="5" t="str">
        <f ca="1">IFERROR(__xludf.DUMMYFUNCTION("""COMPUTED_VALUE"""),"Yes")</f>
        <v>Yes</v>
      </c>
      <c r="P22" s="5" t="str">
        <f ca="1">IFERROR(__xludf.DUMMYFUNCTION("""COMPUTED_VALUE"""),"Yes")</f>
        <v>Yes</v>
      </c>
      <c r="Q22" s="5" t="str">
        <f ca="1">IFERROR(__xludf.DUMMYFUNCTION("""COMPUTED_VALUE"""),"Yes")</f>
        <v>Yes</v>
      </c>
      <c r="R22" s="5" t="str">
        <f ca="1">IFERROR(__xludf.DUMMYFUNCTION("""COMPUTED_VALUE"""),"Yes")</f>
        <v>Yes</v>
      </c>
      <c r="S22" s="5" t="str">
        <f ca="1">IFERROR(__xludf.DUMMYFUNCTION("""COMPUTED_VALUE"""),"Yes")</f>
        <v>Yes</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IFERROR(__xludf.DUMMYFUNCTION("""COMPUTED_VALUE"""),"Yes")</f>
        <v>Yes</v>
      </c>
      <c r="AA22" s="5" t="str">
        <f ca="1">IFERROR(__xludf.DUMMYFUNCTION("""COMPUTED_VALUE"""),"Yes")</f>
        <v>Yes</v>
      </c>
      <c r="AB22" s="5" t="str">
        <f ca="1">IFERROR(__xludf.DUMMYFUNCTION("""COMPUTED_VALUE"""),"Yes")</f>
        <v>Yes</v>
      </c>
      <c r="AC22" s="5" t="str">
        <f ca="1">IFERROR(__xludf.DUMMYFUNCTION("""COMPUTED_VALUE"""),"No")</f>
        <v>No</v>
      </c>
    </row>
    <row r="23" spans="1:29" x14ac:dyDescent="0.25">
      <c r="A23" s="5" t="str">
        <f ca="1">IFERROR(__xludf.DUMMYFUNCTION("""COMPUTED_VALUE"""),"HotStars")</f>
        <v>HotStars</v>
      </c>
      <c r="B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 s="5" t="str">
        <f ca="1">IFERROR(__xludf.DUMMYFUNCTION("""COMPUTED_VALUE"""),"Yes")</f>
        <v>Yes</v>
      </c>
      <c r="D23" s="5" t="str">
        <f ca="1">IFERROR(__xludf.DUMMYFUNCTION("""COMPUTED_VALUE"""),"Yes")</f>
        <v>Yes</v>
      </c>
      <c r="E23" s="5" t="str">
        <f ca="1">IFERROR(__xludf.DUMMYFUNCTION("""COMPUTED_VALUE"""),"Yes")</f>
        <v>Yes</v>
      </c>
      <c r="F23" s="5" t="str">
        <f ca="1">IFERROR(__xludf.DUMMYFUNCTION("""COMPUTED_VALUE"""),"Yes")</f>
        <v>Yes</v>
      </c>
      <c r="G23" s="5" t="str">
        <f ca="1">IFERROR(__xludf.DUMMYFUNCTION("""COMPUTED_VALUE"""),"Yes")</f>
        <v>Yes</v>
      </c>
      <c r="H23" s="5" t="str">
        <f ca="1">IFERROR(__xludf.DUMMYFUNCTION("""COMPUTED_VALUE"""),"Yes")</f>
        <v>Yes</v>
      </c>
      <c r="I23" s="5" t="str">
        <f ca="1">IFERROR(__xludf.DUMMYFUNCTION("""COMPUTED_VALUE"""),"Yes")</f>
        <v>Yes</v>
      </c>
      <c r="J23" s="5" t="str">
        <f ca="1">IFERROR(__xludf.DUMMYFUNCTION("""COMPUTED_VALUE"""),"Yes")</f>
        <v>Yes</v>
      </c>
      <c r="K23" s="5" t="str">
        <f ca="1">IFERROR(__xludf.DUMMYFUNCTION("""COMPUTED_VALUE"""),"Yes")</f>
        <v>Yes</v>
      </c>
      <c r="L23" s="5" t="str">
        <f ca="1">IFERROR(__xludf.DUMMYFUNCTION("""COMPUTED_VALUE"""),"Yes")</f>
        <v>Yes</v>
      </c>
      <c r="M23" s="5" t="str">
        <f ca="1">IFERROR(__xludf.DUMMYFUNCTION("""COMPUTED_VALUE"""),"Yes")</f>
        <v>Yes</v>
      </c>
      <c r="N23" s="5" t="str">
        <f ca="1">IFERROR(__xludf.DUMMYFUNCTION("""COMPUTED_VALUE"""),"Yes")</f>
        <v>Yes</v>
      </c>
      <c r="O23" s="5" t="str">
        <f ca="1">IFERROR(__xludf.DUMMYFUNCTION("""COMPUTED_VALUE"""),"Yes")</f>
        <v>Yes</v>
      </c>
      <c r="P23" s="5" t="str">
        <f ca="1">IFERROR(__xludf.DUMMYFUNCTION("""COMPUTED_VALUE"""),"Yes")</f>
        <v>Yes</v>
      </c>
      <c r="Q23" s="5" t="str">
        <f ca="1">IFERROR(__xludf.DUMMYFUNCTION("""COMPUTED_VALUE"""),"Yes")</f>
        <v>Yes</v>
      </c>
      <c r="R23" s="5" t="str">
        <f ca="1">IFERROR(__xludf.DUMMYFUNCTION("""COMPUTED_VALUE"""),"Yes")</f>
        <v>Yes</v>
      </c>
      <c r="S23" s="5" t="str">
        <f ca="1">IFERROR(__xludf.DUMMYFUNCTION("""COMPUTED_VALUE"""),"Yes")</f>
        <v>Yes</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IFERROR(__xludf.DUMMYFUNCTION("""COMPUTED_VALUE"""),"No")</f>
        <v>No</v>
      </c>
    </row>
    <row r="24" spans="1:29" x14ac:dyDescent="0.25">
      <c r="A24" s="5" t="str">
        <f ca="1">IFERROR(__xludf.DUMMYFUNCTION("""COMPUTED_VALUE"""),"TripleCrown")</f>
        <v>TripleCrown</v>
      </c>
      <c r="B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 s="5" t="str">
        <f ca="1">IFERROR(__xludf.DUMMYFUNCTION("""COMPUTED_VALUE"""),"Yes")</f>
        <v>Yes</v>
      </c>
      <c r="D24" s="5" t="str">
        <f ca="1">IFERROR(__xludf.DUMMYFUNCTION("""COMPUTED_VALUE"""),"Yes")</f>
        <v>Yes</v>
      </c>
      <c r="E24" s="5" t="str">
        <f ca="1">IFERROR(__xludf.DUMMYFUNCTION("""COMPUTED_VALUE"""),"Yes")</f>
        <v>Yes</v>
      </c>
      <c r="F24" s="5" t="str">
        <f ca="1">IFERROR(__xludf.DUMMYFUNCTION("""COMPUTED_VALUE"""),"Yes")</f>
        <v>Yes</v>
      </c>
      <c r="G24" s="5" t="str">
        <f ca="1">IFERROR(__xludf.DUMMYFUNCTION("""COMPUTED_VALUE"""),"Yes")</f>
        <v>Yes</v>
      </c>
      <c r="H24" s="5" t="str">
        <f ca="1">IFERROR(__xludf.DUMMYFUNCTION("""COMPUTED_VALUE"""),"Yes")</f>
        <v>Yes</v>
      </c>
      <c r="I24" s="5" t="str">
        <f ca="1">IFERROR(__xludf.DUMMYFUNCTION("""COMPUTED_VALUE"""),"Yes")</f>
        <v>Yes</v>
      </c>
      <c r="J24" s="5" t="str">
        <f ca="1">IFERROR(__xludf.DUMMYFUNCTION("""COMPUTED_VALUE"""),"Yes")</f>
        <v>Yes</v>
      </c>
      <c r="K24" s="5" t="str">
        <f ca="1">IFERROR(__xludf.DUMMYFUNCTION("""COMPUTED_VALUE"""),"Yes")</f>
        <v>Yes</v>
      </c>
      <c r="L24" s="5" t="str">
        <f ca="1">IFERROR(__xludf.DUMMYFUNCTION("""COMPUTED_VALUE"""),"Yes")</f>
        <v>Yes</v>
      </c>
      <c r="M24" s="5" t="str">
        <f ca="1">IFERROR(__xludf.DUMMYFUNCTION("""COMPUTED_VALUE"""),"Yes")</f>
        <v>Yes</v>
      </c>
      <c r="N24" s="5" t="str">
        <f ca="1">IFERROR(__xludf.DUMMYFUNCTION("""COMPUTED_VALUE"""),"Yes")</f>
        <v>Yes</v>
      </c>
      <c r="O24" s="5" t="str">
        <f ca="1">IFERROR(__xludf.DUMMYFUNCTION("""COMPUTED_VALUE"""),"Yes")</f>
        <v>Yes</v>
      </c>
      <c r="P24" s="5" t="str">
        <f ca="1">IFERROR(__xludf.DUMMYFUNCTION("""COMPUTED_VALUE"""),"Yes")</f>
        <v>Yes</v>
      </c>
      <c r="Q24" s="5" t="str">
        <f ca="1">IFERROR(__xludf.DUMMYFUNCTION("""COMPUTED_VALUE"""),"Yes")</f>
        <v>Yes</v>
      </c>
      <c r="R24" s="5" t="str">
        <f ca="1">IFERROR(__xludf.DUMMYFUNCTION("""COMPUTED_VALUE"""),"Yes")</f>
        <v>Yes</v>
      </c>
      <c r="S24" s="5" t="str">
        <f ca="1">IFERROR(__xludf.DUMMYFUNCTION("""COMPUTED_VALUE"""),"Yes")</f>
        <v>Yes</v>
      </c>
      <c r="T24" s="5" t="str">
        <f ca="1">IFERROR(__xludf.DUMMYFUNCTION("""COMPUTED_VALUE"""),"Yes")</f>
        <v>Yes</v>
      </c>
      <c r="U24" s="5" t="str">
        <f ca="1">IFERROR(__xludf.DUMMYFUNCTION("""COMPUTED_VALUE"""),"Yes")</f>
        <v>Yes</v>
      </c>
      <c r="V24" s="5" t="str">
        <f ca="1">IFERROR(__xludf.DUMMYFUNCTION("""COMPUTED_VALUE"""),"Yes")</f>
        <v>Yes</v>
      </c>
      <c r="W24" s="5"/>
      <c r="X24" s="5"/>
      <c r="Y24" s="5"/>
      <c r="Z24" s="5" t="str">
        <f ca="1">IFERROR(__xludf.DUMMYFUNCTION("""COMPUTED_VALUE"""),"Yes")</f>
        <v>Yes</v>
      </c>
      <c r="AA24" s="5"/>
      <c r="AB24" s="5"/>
      <c r="AC24" s="5"/>
    </row>
    <row r="25" spans="1:29" x14ac:dyDescent="0.25">
      <c r="A25" s="5" t="str">
        <f ca="1">IFERROR(__xludf.DUMMYFUNCTION("""COMPUTED_VALUE"""),"BookOfSpells")</f>
        <v>BookOfSpells</v>
      </c>
      <c r="B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 s="5" t="str">
        <f ca="1">IFERROR(__xludf.DUMMYFUNCTION("""COMPUTED_VALUE"""),"Yes")</f>
        <v>Yes</v>
      </c>
      <c r="D25" s="5" t="str">
        <f ca="1">IFERROR(__xludf.DUMMYFUNCTION("""COMPUTED_VALUE"""),"Yes")</f>
        <v>Yes</v>
      </c>
      <c r="E25" s="5" t="str">
        <f ca="1">IFERROR(__xludf.DUMMYFUNCTION("""COMPUTED_VALUE"""),"Yes")</f>
        <v>Yes</v>
      </c>
      <c r="F25" s="5" t="str">
        <f ca="1">IFERROR(__xludf.DUMMYFUNCTION("""COMPUTED_VALUE"""),"Yes")</f>
        <v>Yes</v>
      </c>
      <c r="G25" s="5" t="str">
        <f ca="1">IFERROR(__xludf.DUMMYFUNCTION("""COMPUTED_VALUE"""),"Yes")</f>
        <v>Yes</v>
      </c>
      <c r="H25" s="5" t="str">
        <f ca="1">IFERROR(__xludf.DUMMYFUNCTION("""COMPUTED_VALUE"""),"Yes")</f>
        <v>Yes</v>
      </c>
      <c r="I25" s="5" t="str">
        <f ca="1">IFERROR(__xludf.DUMMYFUNCTION("""COMPUTED_VALUE"""),"Yes")</f>
        <v>Yes</v>
      </c>
      <c r="J25" s="5" t="str">
        <f ca="1">IFERROR(__xludf.DUMMYFUNCTION("""COMPUTED_VALUE"""),"Yes")</f>
        <v>Yes</v>
      </c>
      <c r="K25" s="5" t="str">
        <f ca="1">IFERROR(__xludf.DUMMYFUNCTION("""COMPUTED_VALUE"""),"Yes")</f>
        <v>Yes</v>
      </c>
      <c r="L25" s="5" t="str">
        <f ca="1">IFERROR(__xludf.DUMMYFUNCTION("""COMPUTED_VALUE"""),"Yes")</f>
        <v>Yes</v>
      </c>
      <c r="M25" s="5" t="str">
        <f ca="1">IFERROR(__xludf.DUMMYFUNCTION("""COMPUTED_VALUE"""),"Yes")</f>
        <v>Yes</v>
      </c>
      <c r="N25" s="5" t="str">
        <f ca="1">IFERROR(__xludf.DUMMYFUNCTION("""COMPUTED_VALUE"""),"Yes")</f>
        <v>Yes</v>
      </c>
      <c r="O25" s="5" t="str">
        <f ca="1">IFERROR(__xludf.DUMMYFUNCTION("""COMPUTED_VALUE"""),"Yes")</f>
        <v>Yes</v>
      </c>
      <c r="P25" s="5" t="str">
        <f ca="1">IFERROR(__xludf.DUMMYFUNCTION("""COMPUTED_VALUE"""),"Yes")</f>
        <v>Yes</v>
      </c>
      <c r="Q25" s="5" t="str">
        <f ca="1">IFERROR(__xludf.DUMMYFUNCTION("""COMPUTED_VALUE"""),"Yes")</f>
        <v>Yes</v>
      </c>
      <c r="R25" s="5" t="str">
        <f ca="1">IFERROR(__xludf.DUMMYFUNCTION("""COMPUTED_VALUE"""),"Yes")</f>
        <v>Yes</v>
      </c>
      <c r="S25" s="5" t="str">
        <f ca="1">IFERROR(__xludf.DUMMYFUNCTION("""COMPUTED_VALUE"""),"Yes")</f>
        <v>Yes</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IFERROR(__xludf.DUMMYFUNCTION("""COMPUTED_VALUE"""),"No")</f>
        <v>No</v>
      </c>
    </row>
    <row r="26" spans="1:29" x14ac:dyDescent="0.25">
      <c r="A26" s="5" t="str">
        <f ca="1">IFERROR(__xludf.DUMMYFUNCTION("""COMPUTED_VALUE"""),"MegaHot")</f>
        <v>MegaHot</v>
      </c>
      <c r="B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 s="5" t="str">
        <f ca="1">IFERROR(__xludf.DUMMYFUNCTION("""COMPUTED_VALUE"""),"Yes")</f>
        <v>Yes</v>
      </c>
      <c r="D26" s="5" t="str">
        <f ca="1">IFERROR(__xludf.DUMMYFUNCTION("""COMPUTED_VALUE"""),"Yes")</f>
        <v>Yes</v>
      </c>
      <c r="E26" s="5" t="str">
        <f ca="1">IFERROR(__xludf.DUMMYFUNCTION("""COMPUTED_VALUE"""),"Yes")</f>
        <v>Yes</v>
      </c>
      <c r="F26" s="5" t="str">
        <f ca="1">IFERROR(__xludf.DUMMYFUNCTION("""COMPUTED_VALUE"""),"Yes")</f>
        <v>Yes</v>
      </c>
      <c r="G26" s="5" t="str">
        <f ca="1">IFERROR(__xludf.DUMMYFUNCTION("""COMPUTED_VALUE"""),"Yes")</f>
        <v>Yes</v>
      </c>
      <c r="H26" s="5" t="str">
        <f ca="1">IFERROR(__xludf.DUMMYFUNCTION("""COMPUTED_VALUE"""),"Yes")</f>
        <v>Yes</v>
      </c>
      <c r="I26" s="5" t="str">
        <f ca="1">IFERROR(__xludf.DUMMYFUNCTION("""COMPUTED_VALUE"""),"Yes")</f>
        <v>Yes</v>
      </c>
      <c r="J26" s="5" t="str">
        <f ca="1">IFERROR(__xludf.DUMMYFUNCTION("""COMPUTED_VALUE"""),"Yes")</f>
        <v>Yes</v>
      </c>
      <c r="K26" s="5" t="str">
        <f ca="1">IFERROR(__xludf.DUMMYFUNCTION("""COMPUTED_VALUE"""),"Yes")</f>
        <v>Yes</v>
      </c>
      <c r="L26" s="5" t="str">
        <f ca="1">IFERROR(__xludf.DUMMYFUNCTION("""COMPUTED_VALUE"""),"Yes")</f>
        <v>Yes</v>
      </c>
      <c r="M26" s="5" t="str">
        <f ca="1">IFERROR(__xludf.DUMMYFUNCTION("""COMPUTED_VALUE"""),"Yes")</f>
        <v>Yes</v>
      </c>
      <c r="N26" s="5" t="str">
        <f ca="1">IFERROR(__xludf.DUMMYFUNCTION("""COMPUTED_VALUE"""),"Yes")</f>
        <v>Yes</v>
      </c>
      <c r="O26" s="5" t="str">
        <f ca="1">IFERROR(__xludf.DUMMYFUNCTION("""COMPUTED_VALUE"""),"Yes")</f>
        <v>Yes</v>
      </c>
      <c r="P26" s="5" t="str">
        <f ca="1">IFERROR(__xludf.DUMMYFUNCTION("""COMPUTED_VALUE"""),"Yes")</f>
        <v>Yes</v>
      </c>
      <c r="Q26" s="5" t="str">
        <f ca="1">IFERROR(__xludf.DUMMYFUNCTION("""COMPUTED_VALUE"""),"Yes")</f>
        <v>Yes</v>
      </c>
      <c r="R26" s="5" t="str">
        <f ca="1">IFERROR(__xludf.DUMMYFUNCTION("""COMPUTED_VALUE"""),"Yes")</f>
        <v>Yes</v>
      </c>
      <c r="S26" s="5" t="str">
        <f ca="1">IFERROR(__xludf.DUMMYFUNCTION("""COMPUTED_VALUE"""),"Yes")</f>
        <v>Yes</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IFERROR(__xludf.DUMMYFUNCTION("""COMPUTED_VALUE"""),"Yes")</f>
        <v>Yes</v>
      </c>
      <c r="X26" s="5" t="str">
        <f ca="1">IFERROR(__xludf.DUMMYFUNCTION("""COMPUTED_VALUE"""),"Yes")</f>
        <v>Yes</v>
      </c>
      <c r="Y26" s="5" t="str">
        <f ca="1">IFERROR(__xludf.DUMMYFUNCTION("""COMPUTED_VALUE"""),"Yes")</f>
        <v>Yes</v>
      </c>
      <c r="Z26" s="5" t="str">
        <f ca="1">IFERROR(__xludf.DUMMYFUNCTION("""COMPUTED_VALUE"""),"Yes")</f>
        <v>Yes</v>
      </c>
      <c r="AA26" s="5" t="str">
        <f ca="1">IFERROR(__xludf.DUMMYFUNCTION("""COMPUTED_VALUE"""),"Yes")</f>
        <v>Yes</v>
      </c>
      <c r="AB26" s="5" t="str">
        <f ca="1">IFERROR(__xludf.DUMMYFUNCTION("""COMPUTED_VALUE"""),"Yes")</f>
        <v>Yes</v>
      </c>
      <c r="AC26" s="5" t="str">
        <f ca="1">IFERROR(__xludf.DUMMYFUNCTION("""COMPUTED_VALUE"""),"No")</f>
        <v>No</v>
      </c>
    </row>
    <row r="27" spans="1:29" x14ac:dyDescent="0.25">
      <c r="A27" s="5" t="str">
        <f ca="1">IFERROR(__xludf.DUMMYFUNCTION("""COMPUTED_VALUE"""),"LiveEuropeanRoulette")</f>
        <v>LiveEuropeanRoulette</v>
      </c>
      <c r="B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7" s="5" t="str">
        <f ca="1">IFERROR(__xludf.DUMMYFUNCTION("""COMPUTED_VALUE"""),"Yes")</f>
        <v>Yes</v>
      </c>
      <c r="D27" s="5" t="str">
        <f ca="1">IFERROR(__xludf.DUMMYFUNCTION("""COMPUTED_VALUE"""),"Yes")</f>
        <v>Yes</v>
      </c>
      <c r="E27" s="5" t="str">
        <f ca="1">IFERROR(__xludf.DUMMYFUNCTION("""COMPUTED_VALUE"""),"Yes")</f>
        <v>Yes</v>
      </c>
      <c r="F27" s="5" t="str">
        <f ca="1">IFERROR(__xludf.DUMMYFUNCTION("""COMPUTED_VALUE"""),"Yes")</f>
        <v>Yes</v>
      </c>
      <c r="G27" s="5" t="str">
        <f ca="1">IFERROR(__xludf.DUMMYFUNCTION("""COMPUTED_VALUE"""),"Yes")</f>
        <v>Yes</v>
      </c>
      <c r="H27" s="5" t="str">
        <f ca="1">IFERROR(__xludf.DUMMYFUNCTION("""COMPUTED_VALUE"""),"Yes")</f>
        <v>Yes</v>
      </c>
      <c r="I27" s="5" t="str">
        <f ca="1">IFERROR(__xludf.DUMMYFUNCTION("""COMPUTED_VALUE"""),"Yes")</f>
        <v>Yes</v>
      </c>
      <c r="J27" s="5" t="str">
        <f ca="1">IFERROR(__xludf.DUMMYFUNCTION("""COMPUTED_VALUE"""),"Yes")</f>
        <v>Yes</v>
      </c>
      <c r="K27" s="5" t="str">
        <f ca="1">IFERROR(__xludf.DUMMYFUNCTION("""COMPUTED_VALUE"""),"Yes")</f>
        <v>Yes</v>
      </c>
      <c r="L27" s="5" t="str">
        <f ca="1">IFERROR(__xludf.DUMMYFUNCTION("""COMPUTED_VALUE"""),"Yes")</f>
        <v>Yes</v>
      </c>
      <c r="M27" s="5" t="str">
        <f ca="1">IFERROR(__xludf.DUMMYFUNCTION("""COMPUTED_VALUE"""),"Yes")</f>
        <v>Yes</v>
      </c>
      <c r="N27" s="5" t="str">
        <f ca="1">IFERROR(__xludf.DUMMYFUNCTION("""COMPUTED_VALUE"""),"Yes")</f>
        <v>Yes</v>
      </c>
      <c r="O27" s="5" t="str">
        <f ca="1">IFERROR(__xludf.DUMMYFUNCTION("""COMPUTED_VALUE"""),"Yes")</f>
        <v>Yes</v>
      </c>
      <c r="P27" s="5" t="str">
        <f ca="1">IFERROR(__xludf.DUMMYFUNCTION("""COMPUTED_VALUE"""),"Yes")</f>
        <v>Yes</v>
      </c>
      <c r="Q27" s="5" t="str">
        <f ca="1">IFERROR(__xludf.DUMMYFUNCTION("""COMPUTED_VALUE"""),"Yes")</f>
        <v>Yes</v>
      </c>
      <c r="R27" s="5" t="str">
        <f ca="1">IFERROR(__xludf.DUMMYFUNCTION("""COMPUTED_VALUE"""),"Yes")</f>
        <v>Yes</v>
      </c>
      <c r="S27" s="5" t="str">
        <f ca="1">IFERROR(__xludf.DUMMYFUNCTION("""COMPUTED_VALUE"""),"Yes")</f>
        <v>Yes</v>
      </c>
      <c r="T27" s="5" t="str">
        <f ca="1">IFERROR(__xludf.DUMMYFUNCTION("""COMPUTED_VALUE"""),"Yes")</f>
        <v>Yes</v>
      </c>
      <c r="U27" s="5" t="str">
        <f ca="1">IFERROR(__xludf.DUMMYFUNCTION("""COMPUTED_VALUE"""),"Yes")</f>
        <v>Yes</v>
      </c>
      <c r="V27" s="5" t="str">
        <f ca="1">IFERROR(__xludf.DUMMYFUNCTION("""COMPUTED_VALUE"""),"Yes")</f>
        <v>Yes</v>
      </c>
      <c r="W27" s="5"/>
      <c r="X27" s="5"/>
      <c r="Y27" s="5"/>
      <c r="Z27" s="5" t="str">
        <f ca="1">IFERROR(__xludf.DUMMYFUNCTION("""COMPUTED_VALUE"""),"Yes")</f>
        <v>Yes</v>
      </c>
      <c r="AA27" s="5"/>
      <c r="AB27" s="5"/>
      <c r="AC27" s="5"/>
    </row>
    <row r="28" spans="1:29" x14ac:dyDescent="0.25">
      <c r="A28" s="5" t="str">
        <f ca="1">IFERROR(__xludf.DUMMYFUNCTION("""COMPUTED_VALUE"""),"LiveAmericanRoulette")</f>
        <v>LiveAmericanRoulette</v>
      </c>
      <c r="B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8" s="5" t="str">
        <f ca="1">IFERROR(__xludf.DUMMYFUNCTION("""COMPUTED_VALUE"""),"Yes")</f>
        <v>Yes</v>
      </c>
      <c r="D28" s="5" t="str">
        <f ca="1">IFERROR(__xludf.DUMMYFUNCTION("""COMPUTED_VALUE"""),"Yes")</f>
        <v>Yes</v>
      </c>
      <c r="E28" s="5" t="str">
        <f ca="1">IFERROR(__xludf.DUMMYFUNCTION("""COMPUTED_VALUE"""),"Yes")</f>
        <v>Yes</v>
      </c>
      <c r="F28" s="5" t="str">
        <f ca="1">IFERROR(__xludf.DUMMYFUNCTION("""COMPUTED_VALUE"""),"Yes")</f>
        <v>Yes</v>
      </c>
      <c r="G28" s="5" t="str">
        <f ca="1">IFERROR(__xludf.DUMMYFUNCTION("""COMPUTED_VALUE"""),"Yes")</f>
        <v>Yes</v>
      </c>
      <c r="H28" s="5" t="str">
        <f ca="1">IFERROR(__xludf.DUMMYFUNCTION("""COMPUTED_VALUE"""),"Yes")</f>
        <v>Yes</v>
      </c>
      <c r="I28" s="5" t="str">
        <f ca="1">IFERROR(__xludf.DUMMYFUNCTION("""COMPUTED_VALUE"""),"Yes")</f>
        <v>Yes</v>
      </c>
      <c r="J28" s="5" t="str">
        <f ca="1">IFERROR(__xludf.DUMMYFUNCTION("""COMPUTED_VALUE"""),"Yes")</f>
        <v>Yes</v>
      </c>
      <c r="K28" s="5" t="str">
        <f ca="1">IFERROR(__xludf.DUMMYFUNCTION("""COMPUTED_VALUE"""),"Yes")</f>
        <v>Yes</v>
      </c>
      <c r="L28" s="5" t="str">
        <f ca="1">IFERROR(__xludf.DUMMYFUNCTION("""COMPUTED_VALUE"""),"Yes")</f>
        <v>Yes</v>
      </c>
      <c r="M28" s="5" t="str">
        <f ca="1">IFERROR(__xludf.DUMMYFUNCTION("""COMPUTED_VALUE"""),"Yes")</f>
        <v>Yes</v>
      </c>
      <c r="N28" s="5" t="str">
        <f ca="1">IFERROR(__xludf.DUMMYFUNCTION("""COMPUTED_VALUE"""),"Yes")</f>
        <v>Yes</v>
      </c>
      <c r="O28" s="5" t="str">
        <f ca="1">IFERROR(__xludf.DUMMYFUNCTION("""COMPUTED_VALUE"""),"Yes")</f>
        <v>Yes</v>
      </c>
      <c r="P28" s="5" t="str">
        <f ca="1">IFERROR(__xludf.DUMMYFUNCTION("""COMPUTED_VALUE"""),"Yes")</f>
        <v>Yes</v>
      </c>
      <c r="Q28" s="5" t="str">
        <f ca="1">IFERROR(__xludf.DUMMYFUNCTION("""COMPUTED_VALUE"""),"Yes")</f>
        <v>Yes</v>
      </c>
      <c r="R28" s="5" t="str">
        <f ca="1">IFERROR(__xludf.DUMMYFUNCTION("""COMPUTED_VALUE"""),"Yes")</f>
        <v>Yes</v>
      </c>
      <c r="S28" s="5" t="str">
        <f ca="1">IFERROR(__xludf.DUMMYFUNCTION("""COMPUTED_VALUE"""),"Yes")</f>
        <v>Yes</v>
      </c>
      <c r="T28" s="5" t="str">
        <f ca="1">IFERROR(__xludf.DUMMYFUNCTION("""COMPUTED_VALUE"""),"Yes")</f>
        <v>Yes</v>
      </c>
      <c r="U28" s="5" t="str">
        <f ca="1">IFERROR(__xludf.DUMMYFUNCTION("""COMPUTED_VALUE"""),"Yes")</f>
        <v>Yes</v>
      </c>
      <c r="V28" s="5" t="str">
        <f ca="1">IFERROR(__xludf.DUMMYFUNCTION("""COMPUTED_VALUE"""),"Yes")</f>
        <v>Yes</v>
      </c>
      <c r="W28" s="5"/>
      <c r="X28" s="5"/>
      <c r="Y28" s="5"/>
      <c r="Z28" s="5" t="str">
        <f ca="1">IFERROR(__xludf.DUMMYFUNCTION("""COMPUTED_VALUE"""),"Yes")</f>
        <v>Yes</v>
      </c>
      <c r="AA28" s="5"/>
      <c r="AB28" s="5"/>
      <c r="AC28" s="5"/>
    </row>
    <row r="29" spans="1:29" x14ac:dyDescent="0.25">
      <c r="A29" s="5" t="str">
        <f ca="1">IFERROR(__xludf.DUMMYFUNCTION("""COMPUTED_VALUE"""),"BurningIce")</f>
        <v>BurningIce</v>
      </c>
      <c r="B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 s="5" t="str">
        <f ca="1">IFERROR(__xludf.DUMMYFUNCTION("""COMPUTED_VALUE"""),"Yes")</f>
        <v>Yes</v>
      </c>
      <c r="D29" s="5" t="str">
        <f ca="1">IFERROR(__xludf.DUMMYFUNCTION("""COMPUTED_VALUE"""),"Yes")</f>
        <v>Yes</v>
      </c>
      <c r="E29" s="5" t="str">
        <f ca="1">IFERROR(__xludf.DUMMYFUNCTION("""COMPUTED_VALUE"""),"Yes")</f>
        <v>Yes</v>
      </c>
      <c r="F29" s="5" t="str">
        <f ca="1">IFERROR(__xludf.DUMMYFUNCTION("""COMPUTED_VALUE"""),"Yes")</f>
        <v>Yes</v>
      </c>
      <c r="G29" s="5" t="str">
        <f ca="1">IFERROR(__xludf.DUMMYFUNCTION("""COMPUTED_VALUE"""),"Yes")</f>
        <v>Yes</v>
      </c>
      <c r="H29" s="5" t="str">
        <f ca="1">IFERROR(__xludf.DUMMYFUNCTION("""COMPUTED_VALUE"""),"Yes")</f>
        <v>Yes</v>
      </c>
      <c r="I29" s="5" t="str">
        <f ca="1">IFERROR(__xludf.DUMMYFUNCTION("""COMPUTED_VALUE"""),"Yes")</f>
        <v>Yes</v>
      </c>
      <c r="J29" s="5" t="str">
        <f ca="1">IFERROR(__xludf.DUMMYFUNCTION("""COMPUTED_VALUE"""),"Yes")</f>
        <v>Yes</v>
      </c>
      <c r="K29" s="5" t="str">
        <f ca="1">IFERROR(__xludf.DUMMYFUNCTION("""COMPUTED_VALUE"""),"Yes")</f>
        <v>Yes</v>
      </c>
      <c r="L29" s="5" t="str">
        <f ca="1">IFERROR(__xludf.DUMMYFUNCTION("""COMPUTED_VALUE"""),"Yes")</f>
        <v>Yes</v>
      </c>
      <c r="M29" s="5" t="str">
        <f ca="1">IFERROR(__xludf.DUMMYFUNCTION("""COMPUTED_VALUE"""),"Yes")</f>
        <v>Yes</v>
      </c>
      <c r="N29" s="5" t="str">
        <f ca="1">IFERROR(__xludf.DUMMYFUNCTION("""COMPUTED_VALUE"""),"Yes")</f>
        <v>Yes</v>
      </c>
      <c r="O29" s="5" t="str">
        <f ca="1">IFERROR(__xludf.DUMMYFUNCTION("""COMPUTED_VALUE"""),"Yes")</f>
        <v>Yes</v>
      </c>
      <c r="P29" s="5" t="str">
        <f ca="1">IFERROR(__xludf.DUMMYFUNCTION("""COMPUTED_VALUE"""),"Yes")</f>
        <v>Yes</v>
      </c>
      <c r="Q29" s="5" t="str">
        <f ca="1">IFERROR(__xludf.DUMMYFUNCTION("""COMPUTED_VALUE"""),"Yes")</f>
        <v>Yes</v>
      </c>
      <c r="R29" s="5" t="str">
        <f ca="1">IFERROR(__xludf.DUMMYFUNCTION("""COMPUTED_VALUE"""),"Yes")</f>
        <v>Yes</v>
      </c>
      <c r="S29" s="5" t="str">
        <f ca="1">IFERROR(__xludf.DUMMYFUNCTION("""COMPUTED_VALUE"""),"Yes")</f>
        <v>Yes</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IFERROR(__xludf.DUMMYFUNCTION("""COMPUTED_VALUE"""),"No")</f>
        <v>No</v>
      </c>
    </row>
    <row r="30" spans="1:29" x14ac:dyDescent="0.25">
      <c r="A30" s="5" t="str">
        <f ca="1">IFERROR(__xludf.DUMMYFUNCTION("""COMPUTED_VALUE"""),"TurboHot40")</f>
        <v>TurboHot40</v>
      </c>
      <c r="B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 s="5" t="str">
        <f ca="1">IFERROR(__xludf.DUMMYFUNCTION("""COMPUTED_VALUE"""),"Yes")</f>
        <v>Yes</v>
      </c>
      <c r="D30" s="5" t="str">
        <f ca="1">IFERROR(__xludf.DUMMYFUNCTION("""COMPUTED_VALUE"""),"Yes")</f>
        <v>Yes</v>
      </c>
      <c r="E30" s="5" t="str">
        <f ca="1">IFERROR(__xludf.DUMMYFUNCTION("""COMPUTED_VALUE"""),"Yes")</f>
        <v>Yes</v>
      </c>
      <c r="F30" s="5" t="str">
        <f ca="1">IFERROR(__xludf.DUMMYFUNCTION("""COMPUTED_VALUE"""),"Yes")</f>
        <v>Yes</v>
      </c>
      <c r="G30" s="5" t="str">
        <f ca="1">IFERROR(__xludf.DUMMYFUNCTION("""COMPUTED_VALUE"""),"Yes")</f>
        <v>Yes</v>
      </c>
      <c r="H30" s="5" t="str">
        <f ca="1">IFERROR(__xludf.DUMMYFUNCTION("""COMPUTED_VALUE"""),"Yes")</f>
        <v>Yes</v>
      </c>
      <c r="I30" s="5" t="str">
        <f ca="1">IFERROR(__xludf.DUMMYFUNCTION("""COMPUTED_VALUE"""),"Yes")</f>
        <v>Yes</v>
      </c>
      <c r="J30" s="5" t="str">
        <f ca="1">IFERROR(__xludf.DUMMYFUNCTION("""COMPUTED_VALUE"""),"Yes")</f>
        <v>Yes</v>
      </c>
      <c r="K30" s="5" t="str">
        <f ca="1">IFERROR(__xludf.DUMMYFUNCTION("""COMPUTED_VALUE"""),"Yes")</f>
        <v>Yes</v>
      </c>
      <c r="L30" s="5" t="str">
        <f ca="1">IFERROR(__xludf.DUMMYFUNCTION("""COMPUTED_VALUE"""),"Yes")</f>
        <v>Yes</v>
      </c>
      <c r="M30" s="5" t="str">
        <f ca="1">IFERROR(__xludf.DUMMYFUNCTION("""COMPUTED_VALUE"""),"Yes")</f>
        <v>Yes</v>
      </c>
      <c r="N30" s="5" t="str">
        <f ca="1">IFERROR(__xludf.DUMMYFUNCTION("""COMPUTED_VALUE"""),"Yes")</f>
        <v>Yes</v>
      </c>
      <c r="O30" s="5" t="str">
        <f ca="1">IFERROR(__xludf.DUMMYFUNCTION("""COMPUTED_VALUE"""),"Yes")</f>
        <v>Yes</v>
      </c>
      <c r="P30" s="5" t="str">
        <f ca="1">IFERROR(__xludf.DUMMYFUNCTION("""COMPUTED_VALUE"""),"Yes")</f>
        <v>Yes</v>
      </c>
      <c r="Q30" s="5" t="str">
        <f ca="1">IFERROR(__xludf.DUMMYFUNCTION("""COMPUTED_VALUE"""),"Yes")</f>
        <v>Yes</v>
      </c>
      <c r="R30" s="5" t="str">
        <f ca="1">IFERROR(__xludf.DUMMYFUNCTION("""COMPUTED_VALUE"""),"Yes")</f>
        <v>Yes</v>
      </c>
      <c r="S30" s="5" t="str">
        <f ca="1">IFERROR(__xludf.DUMMYFUNCTION("""COMPUTED_VALUE"""),"Yes")</f>
        <v>Yes</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IFERROR(__xludf.DUMMYFUNCTION("""COMPUTED_VALUE"""),"Yes")</f>
        <v>Yes</v>
      </c>
      <c r="AA30" s="5" t="str">
        <f ca="1">IFERROR(__xludf.DUMMYFUNCTION("""COMPUTED_VALUE"""),"Yes")</f>
        <v>Yes</v>
      </c>
      <c r="AB30" s="5" t="str">
        <f ca="1">IFERROR(__xludf.DUMMYFUNCTION("""COMPUTED_VALUE"""),"Yes")</f>
        <v>Yes</v>
      </c>
      <c r="AC30" s="5" t="str">
        <f ca="1">IFERROR(__xludf.DUMMYFUNCTION("""COMPUTED_VALUE"""),"No")</f>
        <v>No</v>
      </c>
    </row>
    <row r="31" spans="1:29" x14ac:dyDescent="0.25">
      <c r="A31" s="5" t="str">
        <f ca="1">IFERROR(__xludf.DUMMYFUNCTION("""COMPUTED_VALUE"""),"CrystalsOfMagic")</f>
        <v>CrystalsOfMagic</v>
      </c>
      <c r="B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 s="5" t="str">
        <f ca="1">IFERROR(__xludf.DUMMYFUNCTION("""COMPUTED_VALUE"""),"Yes")</f>
        <v>Yes</v>
      </c>
      <c r="D31" s="5" t="str">
        <f ca="1">IFERROR(__xludf.DUMMYFUNCTION("""COMPUTED_VALUE"""),"Yes")</f>
        <v>Yes</v>
      </c>
      <c r="E31" s="5" t="str">
        <f ca="1">IFERROR(__xludf.DUMMYFUNCTION("""COMPUTED_VALUE"""),"Yes")</f>
        <v>Yes</v>
      </c>
      <c r="F31" s="5" t="str">
        <f ca="1">IFERROR(__xludf.DUMMYFUNCTION("""COMPUTED_VALUE"""),"Yes")</f>
        <v>Yes</v>
      </c>
      <c r="G31" s="5" t="str">
        <f ca="1">IFERROR(__xludf.DUMMYFUNCTION("""COMPUTED_VALUE"""),"Yes")</f>
        <v>Yes</v>
      </c>
      <c r="H31" s="5" t="str">
        <f ca="1">IFERROR(__xludf.DUMMYFUNCTION("""COMPUTED_VALUE"""),"Yes")</f>
        <v>Yes</v>
      </c>
      <c r="I31" s="5" t="str">
        <f ca="1">IFERROR(__xludf.DUMMYFUNCTION("""COMPUTED_VALUE"""),"Yes")</f>
        <v>Yes</v>
      </c>
      <c r="J31" s="5" t="str">
        <f ca="1">IFERROR(__xludf.DUMMYFUNCTION("""COMPUTED_VALUE"""),"Yes")</f>
        <v>Yes</v>
      </c>
      <c r="K31" s="5" t="str">
        <f ca="1">IFERROR(__xludf.DUMMYFUNCTION("""COMPUTED_VALUE"""),"Yes")</f>
        <v>Yes</v>
      </c>
      <c r="L31" s="5" t="str">
        <f ca="1">IFERROR(__xludf.DUMMYFUNCTION("""COMPUTED_VALUE"""),"Yes")</f>
        <v>Yes</v>
      </c>
      <c r="M31" s="5" t="str">
        <f ca="1">IFERROR(__xludf.DUMMYFUNCTION("""COMPUTED_VALUE"""),"Yes")</f>
        <v>Yes</v>
      </c>
      <c r="N31" s="5" t="str">
        <f ca="1">IFERROR(__xludf.DUMMYFUNCTION("""COMPUTED_VALUE"""),"Yes")</f>
        <v>Yes</v>
      </c>
      <c r="O31" s="5" t="str">
        <f ca="1">IFERROR(__xludf.DUMMYFUNCTION("""COMPUTED_VALUE"""),"Yes")</f>
        <v>Yes</v>
      </c>
      <c r="P31" s="5" t="str">
        <f ca="1">IFERROR(__xludf.DUMMYFUNCTION("""COMPUTED_VALUE"""),"Yes")</f>
        <v>Yes</v>
      </c>
      <c r="Q31" s="5" t="str">
        <f ca="1">IFERROR(__xludf.DUMMYFUNCTION("""COMPUTED_VALUE"""),"Yes")</f>
        <v>Yes</v>
      </c>
      <c r="R31" s="5" t="str">
        <f ca="1">IFERROR(__xludf.DUMMYFUNCTION("""COMPUTED_VALUE"""),"Yes")</f>
        <v>Yes</v>
      </c>
      <c r="S31" s="5" t="str">
        <f ca="1">IFERROR(__xludf.DUMMYFUNCTION("""COMPUTED_VALUE"""),"Yes")</f>
        <v>Yes</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IFERROR(__xludf.DUMMYFUNCTION("""COMPUTED_VALUE"""),"Yes")</f>
        <v>Yes</v>
      </c>
      <c r="AA31" s="5" t="str">
        <f ca="1">IFERROR(__xludf.DUMMYFUNCTION("""COMPUTED_VALUE"""),"Yes")</f>
        <v>Yes</v>
      </c>
      <c r="AB31" s="5" t="str">
        <f ca="1">IFERROR(__xludf.DUMMYFUNCTION("""COMPUTED_VALUE"""),"Yes")</f>
        <v>Yes</v>
      </c>
      <c r="AC31" s="5" t="str">
        <f ca="1">IFERROR(__xludf.DUMMYFUNCTION("""COMPUTED_VALUE"""),"No")</f>
        <v>No</v>
      </c>
    </row>
    <row r="32" spans="1:29" x14ac:dyDescent="0.25">
      <c r="A32" s="5" t="str">
        <f ca="1">IFERROR(__xludf.DUMMYFUNCTION("""COMPUTED_VALUE"""),"Pirates")</f>
        <v>Pirates</v>
      </c>
      <c r="B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 s="5" t="str">
        <f ca="1">IFERROR(__xludf.DUMMYFUNCTION("""COMPUTED_VALUE"""),"Yes")</f>
        <v>Yes</v>
      </c>
      <c r="D32" s="5" t="str">
        <f ca="1">IFERROR(__xludf.DUMMYFUNCTION("""COMPUTED_VALUE"""),"Yes")</f>
        <v>Yes</v>
      </c>
      <c r="E32" s="5" t="str">
        <f ca="1">IFERROR(__xludf.DUMMYFUNCTION("""COMPUTED_VALUE"""),"Yes")</f>
        <v>Yes</v>
      </c>
      <c r="F32" s="5" t="str">
        <f ca="1">IFERROR(__xludf.DUMMYFUNCTION("""COMPUTED_VALUE"""),"Yes")</f>
        <v>Yes</v>
      </c>
      <c r="G32" s="5" t="str">
        <f ca="1">IFERROR(__xludf.DUMMYFUNCTION("""COMPUTED_VALUE"""),"Yes")</f>
        <v>Yes</v>
      </c>
      <c r="H32" s="5" t="str">
        <f ca="1">IFERROR(__xludf.DUMMYFUNCTION("""COMPUTED_VALUE"""),"Yes")</f>
        <v>Yes</v>
      </c>
      <c r="I32" s="5" t="str">
        <f ca="1">IFERROR(__xludf.DUMMYFUNCTION("""COMPUTED_VALUE"""),"Yes")</f>
        <v>Yes</v>
      </c>
      <c r="J32" s="5" t="str">
        <f ca="1">IFERROR(__xludf.DUMMYFUNCTION("""COMPUTED_VALUE"""),"Yes")</f>
        <v>Yes</v>
      </c>
      <c r="K32" s="5" t="str">
        <f ca="1">IFERROR(__xludf.DUMMYFUNCTION("""COMPUTED_VALUE"""),"Yes")</f>
        <v>Yes</v>
      </c>
      <c r="L32" s="5" t="str">
        <f ca="1">IFERROR(__xludf.DUMMYFUNCTION("""COMPUTED_VALUE"""),"Yes")</f>
        <v>Yes</v>
      </c>
      <c r="M32" s="5" t="str">
        <f ca="1">IFERROR(__xludf.DUMMYFUNCTION("""COMPUTED_VALUE"""),"Yes")</f>
        <v>Yes</v>
      </c>
      <c r="N32" s="5" t="str">
        <f ca="1">IFERROR(__xludf.DUMMYFUNCTION("""COMPUTED_VALUE"""),"Yes")</f>
        <v>Yes</v>
      </c>
      <c r="O32" s="5" t="str">
        <f ca="1">IFERROR(__xludf.DUMMYFUNCTION("""COMPUTED_VALUE"""),"Yes")</f>
        <v>Yes</v>
      </c>
      <c r="P32" s="5" t="str">
        <f ca="1">IFERROR(__xludf.DUMMYFUNCTION("""COMPUTED_VALUE"""),"Yes")</f>
        <v>Yes</v>
      </c>
      <c r="Q32" s="5" t="str">
        <f ca="1">IFERROR(__xludf.DUMMYFUNCTION("""COMPUTED_VALUE"""),"Yes")</f>
        <v>Yes</v>
      </c>
      <c r="R32" s="5" t="str">
        <f ca="1">IFERROR(__xludf.DUMMYFUNCTION("""COMPUTED_VALUE"""),"Yes")</f>
        <v>Yes</v>
      </c>
      <c r="S32" s="5" t="str">
        <f ca="1">IFERROR(__xludf.DUMMYFUNCTION("""COMPUTED_VALUE"""),"Yes")</f>
        <v>Yes</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IFERROR(__xludf.DUMMYFUNCTION("""COMPUTED_VALUE"""),"No")</f>
        <v>No</v>
      </c>
    </row>
    <row r="33" spans="1:29" x14ac:dyDescent="0.25">
      <c r="A33" s="5" t="str">
        <f ca="1">IFERROR(__xludf.DUMMYFUNCTION("""COMPUTED_VALUE"""),"BookOfBruno")</f>
        <v>BookOfBruno</v>
      </c>
      <c r="B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 s="5" t="str">
        <f ca="1">IFERROR(__xludf.DUMMYFUNCTION("""COMPUTED_VALUE"""),"Yes")</f>
        <v>Yes</v>
      </c>
      <c r="D33" s="5" t="str">
        <f ca="1">IFERROR(__xludf.DUMMYFUNCTION("""COMPUTED_VALUE"""),"Yes")</f>
        <v>Yes</v>
      </c>
      <c r="E33" s="5" t="str">
        <f ca="1">IFERROR(__xludf.DUMMYFUNCTION("""COMPUTED_VALUE"""),"Yes")</f>
        <v>Yes</v>
      </c>
      <c r="F33" s="5" t="str">
        <f ca="1">IFERROR(__xludf.DUMMYFUNCTION("""COMPUTED_VALUE"""),"Yes")</f>
        <v>Yes</v>
      </c>
      <c r="G33" s="5" t="str">
        <f ca="1">IFERROR(__xludf.DUMMYFUNCTION("""COMPUTED_VALUE"""),"Yes")</f>
        <v>Yes</v>
      </c>
      <c r="H33" s="5" t="str">
        <f ca="1">IFERROR(__xludf.DUMMYFUNCTION("""COMPUTED_VALUE"""),"Yes")</f>
        <v>Yes</v>
      </c>
      <c r="I33" s="5" t="str">
        <f ca="1">IFERROR(__xludf.DUMMYFUNCTION("""COMPUTED_VALUE"""),"Yes")</f>
        <v>Yes</v>
      </c>
      <c r="J33" s="5" t="str">
        <f ca="1">IFERROR(__xludf.DUMMYFUNCTION("""COMPUTED_VALUE"""),"Yes")</f>
        <v>Yes</v>
      </c>
      <c r="K33" s="5" t="str">
        <f ca="1">IFERROR(__xludf.DUMMYFUNCTION("""COMPUTED_VALUE"""),"Yes")</f>
        <v>Yes</v>
      </c>
      <c r="L33" s="5" t="str">
        <f ca="1">IFERROR(__xludf.DUMMYFUNCTION("""COMPUTED_VALUE"""),"Yes")</f>
        <v>Yes</v>
      </c>
      <c r="M33" s="5" t="str">
        <f ca="1">IFERROR(__xludf.DUMMYFUNCTION("""COMPUTED_VALUE"""),"Yes")</f>
        <v>Yes</v>
      </c>
      <c r="N33" s="5" t="str">
        <f ca="1">IFERROR(__xludf.DUMMYFUNCTION("""COMPUTED_VALUE"""),"Yes")</f>
        <v>Yes</v>
      </c>
      <c r="O33" s="5" t="str">
        <f ca="1">IFERROR(__xludf.DUMMYFUNCTION("""COMPUTED_VALUE"""),"Yes")</f>
        <v>Yes</v>
      </c>
      <c r="P33" s="5" t="str">
        <f ca="1">IFERROR(__xludf.DUMMYFUNCTION("""COMPUTED_VALUE"""),"Yes")</f>
        <v>Yes</v>
      </c>
      <c r="Q33" s="5" t="str">
        <f ca="1">IFERROR(__xludf.DUMMYFUNCTION("""COMPUTED_VALUE"""),"Yes")</f>
        <v>Yes</v>
      </c>
      <c r="R33" s="5" t="str">
        <f ca="1">IFERROR(__xludf.DUMMYFUNCTION("""COMPUTED_VALUE"""),"Yes")</f>
        <v>Yes</v>
      </c>
      <c r="S33" s="5" t="str">
        <f ca="1">IFERROR(__xludf.DUMMYFUNCTION("""COMPUTED_VALUE"""),"Yes")</f>
        <v>Yes</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IFERROR(__xludf.DUMMYFUNCTION("""COMPUTED_VALUE"""),"No")</f>
        <v>No</v>
      </c>
    </row>
    <row r="34" spans="1:29" x14ac:dyDescent="0.25">
      <c r="A34" s="5" t="str">
        <f ca="1">IFERROR(__xludf.DUMMYFUNCTION("""COMPUTED_VALUE"""),"TropicalHot")</f>
        <v>TropicalHot</v>
      </c>
      <c r="B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 s="5" t="str">
        <f ca="1">IFERROR(__xludf.DUMMYFUNCTION("""COMPUTED_VALUE"""),"Yes")</f>
        <v>Yes</v>
      </c>
      <c r="D34" s="5" t="str">
        <f ca="1">IFERROR(__xludf.DUMMYFUNCTION("""COMPUTED_VALUE"""),"Yes")</f>
        <v>Yes</v>
      </c>
      <c r="E34" s="5" t="str">
        <f ca="1">IFERROR(__xludf.DUMMYFUNCTION("""COMPUTED_VALUE"""),"Yes")</f>
        <v>Yes</v>
      </c>
      <c r="F34" s="5" t="str">
        <f ca="1">IFERROR(__xludf.DUMMYFUNCTION("""COMPUTED_VALUE"""),"Yes")</f>
        <v>Yes</v>
      </c>
      <c r="G34" s="5" t="str">
        <f ca="1">IFERROR(__xludf.DUMMYFUNCTION("""COMPUTED_VALUE"""),"Yes")</f>
        <v>Yes</v>
      </c>
      <c r="H34" s="5" t="str">
        <f ca="1">IFERROR(__xludf.DUMMYFUNCTION("""COMPUTED_VALUE"""),"Yes")</f>
        <v>Yes</v>
      </c>
      <c r="I34" s="5" t="str">
        <f ca="1">IFERROR(__xludf.DUMMYFUNCTION("""COMPUTED_VALUE"""),"Yes")</f>
        <v>Yes</v>
      </c>
      <c r="J34" s="5" t="str">
        <f ca="1">IFERROR(__xludf.DUMMYFUNCTION("""COMPUTED_VALUE"""),"Yes")</f>
        <v>Yes</v>
      </c>
      <c r="K34" s="5" t="str">
        <f ca="1">IFERROR(__xludf.DUMMYFUNCTION("""COMPUTED_VALUE"""),"Yes")</f>
        <v>Yes</v>
      </c>
      <c r="L34" s="5" t="str">
        <f ca="1">IFERROR(__xludf.DUMMYFUNCTION("""COMPUTED_VALUE"""),"Yes")</f>
        <v>Yes</v>
      </c>
      <c r="M34" s="5" t="str">
        <f ca="1">IFERROR(__xludf.DUMMYFUNCTION("""COMPUTED_VALUE"""),"Yes")</f>
        <v>Yes</v>
      </c>
      <c r="N34" s="5" t="str">
        <f ca="1">IFERROR(__xludf.DUMMYFUNCTION("""COMPUTED_VALUE"""),"Yes")</f>
        <v>Yes</v>
      </c>
      <c r="O34" s="5" t="str">
        <f ca="1">IFERROR(__xludf.DUMMYFUNCTION("""COMPUTED_VALUE"""),"Yes")</f>
        <v>Yes</v>
      </c>
      <c r="P34" s="5" t="str">
        <f ca="1">IFERROR(__xludf.DUMMYFUNCTION("""COMPUTED_VALUE"""),"Yes")</f>
        <v>Yes</v>
      </c>
      <c r="Q34" s="5" t="str">
        <f ca="1">IFERROR(__xludf.DUMMYFUNCTION("""COMPUTED_VALUE"""),"Yes")</f>
        <v>Yes</v>
      </c>
      <c r="R34" s="5" t="str">
        <f ca="1">IFERROR(__xludf.DUMMYFUNCTION("""COMPUTED_VALUE"""),"Yes")</f>
        <v>Yes</v>
      </c>
      <c r="S34" s="5" t="str">
        <f ca="1">IFERROR(__xludf.DUMMYFUNCTION("""COMPUTED_VALUE"""),"Yes")</f>
        <v>Yes</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IFERROR(__xludf.DUMMYFUNCTION("""COMPUTED_VALUE"""),"No")</f>
        <v>No</v>
      </c>
    </row>
    <row r="35" spans="1:29" x14ac:dyDescent="0.25">
      <c r="A35" s="5" t="str">
        <f ca="1">IFERROR(__xludf.DUMMYFUNCTION("""COMPUTED_VALUE"""),"Monsters")</f>
        <v>Monsters</v>
      </c>
      <c r="B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 s="5" t="str">
        <f ca="1">IFERROR(__xludf.DUMMYFUNCTION("""COMPUTED_VALUE"""),"Yes")</f>
        <v>Yes</v>
      </c>
      <c r="D35" s="5" t="str">
        <f ca="1">IFERROR(__xludf.DUMMYFUNCTION("""COMPUTED_VALUE"""),"Yes")</f>
        <v>Yes</v>
      </c>
      <c r="E35" s="5" t="str">
        <f ca="1">IFERROR(__xludf.DUMMYFUNCTION("""COMPUTED_VALUE"""),"Yes")</f>
        <v>Yes</v>
      </c>
      <c r="F35" s="5" t="str">
        <f ca="1">IFERROR(__xludf.DUMMYFUNCTION("""COMPUTED_VALUE"""),"Yes")</f>
        <v>Yes</v>
      </c>
      <c r="G35" s="5" t="str">
        <f ca="1">IFERROR(__xludf.DUMMYFUNCTION("""COMPUTED_VALUE"""),"Yes")</f>
        <v>Yes</v>
      </c>
      <c r="H35" s="5" t="str">
        <f ca="1">IFERROR(__xludf.DUMMYFUNCTION("""COMPUTED_VALUE"""),"Yes")</f>
        <v>Yes</v>
      </c>
      <c r="I35" s="5" t="str">
        <f ca="1">IFERROR(__xludf.DUMMYFUNCTION("""COMPUTED_VALUE"""),"Yes")</f>
        <v>Yes</v>
      </c>
      <c r="J35" s="5" t="str">
        <f ca="1">IFERROR(__xludf.DUMMYFUNCTION("""COMPUTED_VALUE"""),"Yes")</f>
        <v>Yes</v>
      </c>
      <c r="K35" s="5" t="str">
        <f ca="1">IFERROR(__xludf.DUMMYFUNCTION("""COMPUTED_VALUE"""),"Yes")</f>
        <v>Yes</v>
      </c>
      <c r="L35" s="5" t="str">
        <f ca="1">IFERROR(__xludf.DUMMYFUNCTION("""COMPUTED_VALUE"""),"Yes")</f>
        <v>Yes</v>
      </c>
      <c r="M35" s="5" t="str">
        <f ca="1">IFERROR(__xludf.DUMMYFUNCTION("""COMPUTED_VALUE"""),"Yes")</f>
        <v>Yes</v>
      </c>
      <c r="N35" s="5" t="str">
        <f ca="1">IFERROR(__xludf.DUMMYFUNCTION("""COMPUTED_VALUE"""),"Yes")</f>
        <v>Yes</v>
      </c>
      <c r="O35" s="5" t="str">
        <f ca="1">IFERROR(__xludf.DUMMYFUNCTION("""COMPUTED_VALUE"""),"Yes")</f>
        <v>Yes</v>
      </c>
      <c r="P35" s="5" t="str">
        <f ca="1">IFERROR(__xludf.DUMMYFUNCTION("""COMPUTED_VALUE"""),"Yes")</f>
        <v>Yes</v>
      </c>
      <c r="Q35" s="5" t="str">
        <f ca="1">IFERROR(__xludf.DUMMYFUNCTION("""COMPUTED_VALUE"""),"Yes")</f>
        <v>Yes</v>
      </c>
      <c r="R35" s="5" t="str">
        <f ca="1">IFERROR(__xludf.DUMMYFUNCTION("""COMPUTED_VALUE"""),"Yes")</f>
        <v>Yes</v>
      </c>
      <c r="S35" s="5" t="str">
        <f ca="1">IFERROR(__xludf.DUMMYFUNCTION("""COMPUTED_VALUE"""),"Yes")</f>
        <v>Yes</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IFERROR(__xludf.DUMMYFUNCTION("""COMPUTED_VALUE"""),"Yes")</f>
        <v>Yes</v>
      </c>
      <c r="AA35" s="5" t="str">
        <f ca="1">IFERROR(__xludf.DUMMYFUNCTION("""COMPUTED_VALUE"""),"Yes")</f>
        <v>Yes</v>
      </c>
      <c r="AB35" s="5" t="str">
        <f ca="1">IFERROR(__xludf.DUMMYFUNCTION("""COMPUTED_VALUE"""),"Yes")</f>
        <v>Yes</v>
      </c>
      <c r="AC35" s="5" t="str">
        <f ca="1">IFERROR(__xludf.DUMMYFUNCTION("""COMPUTED_VALUE"""),"No")</f>
        <v>No</v>
      </c>
    </row>
    <row r="36" spans="1:29" x14ac:dyDescent="0.25">
      <c r="A36" s="5" t="str">
        <f ca="1">IFERROR(__xludf.DUMMYFUNCTION("""COMPUTED_VALUE"""),"ForestFruits")</f>
        <v>ForestFruits</v>
      </c>
      <c r="B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 s="5" t="str">
        <f ca="1">IFERROR(__xludf.DUMMYFUNCTION("""COMPUTED_VALUE"""),"Yes")</f>
        <v>Yes</v>
      </c>
      <c r="D36" s="5" t="str">
        <f ca="1">IFERROR(__xludf.DUMMYFUNCTION("""COMPUTED_VALUE"""),"Yes")</f>
        <v>Yes</v>
      </c>
      <c r="E36" s="5" t="str">
        <f ca="1">IFERROR(__xludf.DUMMYFUNCTION("""COMPUTED_VALUE"""),"Yes")</f>
        <v>Yes</v>
      </c>
      <c r="F36" s="5" t="str">
        <f ca="1">IFERROR(__xludf.DUMMYFUNCTION("""COMPUTED_VALUE"""),"Yes")</f>
        <v>Yes</v>
      </c>
      <c r="G36" s="5" t="str">
        <f ca="1">IFERROR(__xludf.DUMMYFUNCTION("""COMPUTED_VALUE"""),"Yes")</f>
        <v>Yes</v>
      </c>
      <c r="H36" s="5" t="str">
        <f ca="1">IFERROR(__xludf.DUMMYFUNCTION("""COMPUTED_VALUE"""),"Yes")</f>
        <v>Yes</v>
      </c>
      <c r="I36" s="5" t="str">
        <f ca="1">IFERROR(__xludf.DUMMYFUNCTION("""COMPUTED_VALUE"""),"Yes")</f>
        <v>Yes</v>
      </c>
      <c r="J36" s="5" t="str">
        <f ca="1">IFERROR(__xludf.DUMMYFUNCTION("""COMPUTED_VALUE"""),"Yes")</f>
        <v>Yes</v>
      </c>
      <c r="K36" s="5" t="str">
        <f ca="1">IFERROR(__xludf.DUMMYFUNCTION("""COMPUTED_VALUE"""),"Yes")</f>
        <v>Yes</v>
      </c>
      <c r="L36" s="5" t="str">
        <f ca="1">IFERROR(__xludf.DUMMYFUNCTION("""COMPUTED_VALUE"""),"Yes")</f>
        <v>Yes</v>
      </c>
      <c r="M36" s="5" t="str">
        <f ca="1">IFERROR(__xludf.DUMMYFUNCTION("""COMPUTED_VALUE"""),"Yes")</f>
        <v>Yes</v>
      </c>
      <c r="N36" s="5" t="str">
        <f ca="1">IFERROR(__xludf.DUMMYFUNCTION("""COMPUTED_VALUE"""),"Yes")</f>
        <v>Yes</v>
      </c>
      <c r="O36" s="5" t="str">
        <f ca="1">IFERROR(__xludf.DUMMYFUNCTION("""COMPUTED_VALUE"""),"Yes")</f>
        <v>Yes</v>
      </c>
      <c r="P36" s="5" t="str">
        <f ca="1">IFERROR(__xludf.DUMMYFUNCTION("""COMPUTED_VALUE"""),"Yes")</f>
        <v>Yes</v>
      </c>
      <c r="Q36" s="5" t="str">
        <f ca="1">IFERROR(__xludf.DUMMYFUNCTION("""COMPUTED_VALUE"""),"Yes")</f>
        <v>Yes</v>
      </c>
      <c r="R36" s="5" t="str">
        <f ca="1">IFERROR(__xludf.DUMMYFUNCTION("""COMPUTED_VALUE"""),"Yes")</f>
        <v>Yes</v>
      </c>
      <c r="S36" s="5" t="str">
        <f ca="1">IFERROR(__xludf.DUMMYFUNCTION("""COMPUTED_VALUE"""),"Yes")</f>
        <v>Yes</v>
      </c>
      <c r="T36" s="5" t="str">
        <f ca="1">IFERROR(__xludf.DUMMYFUNCTION("""COMPUTED_VALUE"""),"Yes")</f>
        <v>Yes</v>
      </c>
      <c r="U36" s="5" t="str">
        <f ca="1">IFERROR(__xludf.DUMMYFUNCTION("""COMPUTED_VALUE"""),"Yes")</f>
        <v>Yes</v>
      </c>
      <c r="V36" s="5" t="str">
        <f ca="1">IFERROR(__xludf.DUMMYFUNCTION("""COMPUTED_VALUE"""),"Yes")</f>
        <v>Yes</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IFERROR(__xludf.DUMMYFUNCTION("""COMPUTED_VALUE"""),"No")</f>
        <v>No</v>
      </c>
    </row>
    <row r="37" spans="1:29" x14ac:dyDescent="0.25">
      <c r="A37" s="5" t="str">
        <f ca="1">IFERROR(__xludf.DUMMYFUNCTION("""COMPUTED_VALUE"""),"VikingGold")</f>
        <v>VikingGold</v>
      </c>
      <c r="B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7" s="5" t="str">
        <f ca="1">IFERROR(__xludf.DUMMYFUNCTION("""COMPUTED_VALUE"""),"Yes")</f>
        <v>Yes</v>
      </c>
      <c r="D37" s="5" t="str">
        <f ca="1">IFERROR(__xludf.DUMMYFUNCTION("""COMPUTED_VALUE"""),"Yes")</f>
        <v>Yes</v>
      </c>
      <c r="E37" s="5" t="str">
        <f ca="1">IFERROR(__xludf.DUMMYFUNCTION("""COMPUTED_VALUE"""),"Yes")</f>
        <v>Yes</v>
      </c>
      <c r="F37" s="5" t="str">
        <f ca="1">IFERROR(__xludf.DUMMYFUNCTION("""COMPUTED_VALUE"""),"Yes")</f>
        <v>Yes</v>
      </c>
      <c r="G37" s="5" t="str">
        <f ca="1">IFERROR(__xludf.DUMMYFUNCTION("""COMPUTED_VALUE"""),"Yes")</f>
        <v>Yes</v>
      </c>
      <c r="H37" s="5" t="str">
        <f ca="1">IFERROR(__xludf.DUMMYFUNCTION("""COMPUTED_VALUE"""),"Yes")</f>
        <v>Yes</v>
      </c>
      <c r="I37" s="5" t="str">
        <f ca="1">IFERROR(__xludf.DUMMYFUNCTION("""COMPUTED_VALUE"""),"Yes")</f>
        <v>Yes</v>
      </c>
      <c r="J37" s="5" t="str">
        <f ca="1">IFERROR(__xludf.DUMMYFUNCTION("""COMPUTED_VALUE"""),"Yes")</f>
        <v>Yes</v>
      </c>
      <c r="K37" s="5" t="str">
        <f ca="1">IFERROR(__xludf.DUMMYFUNCTION("""COMPUTED_VALUE"""),"Yes")</f>
        <v>Yes</v>
      </c>
      <c r="L37" s="5" t="str">
        <f ca="1">IFERROR(__xludf.DUMMYFUNCTION("""COMPUTED_VALUE"""),"Yes")</f>
        <v>Yes</v>
      </c>
      <c r="M37" s="5" t="str">
        <f ca="1">IFERROR(__xludf.DUMMYFUNCTION("""COMPUTED_VALUE"""),"Yes")</f>
        <v>Yes</v>
      </c>
      <c r="N37" s="5" t="str">
        <f ca="1">IFERROR(__xludf.DUMMYFUNCTION("""COMPUTED_VALUE"""),"Yes")</f>
        <v>Yes</v>
      </c>
      <c r="O37" s="5" t="str">
        <f ca="1">IFERROR(__xludf.DUMMYFUNCTION("""COMPUTED_VALUE"""),"Yes")</f>
        <v>Yes</v>
      </c>
      <c r="P37" s="5" t="str">
        <f ca="1">IFERROR(__xludf.DUMMYFUNCTION("""COMPUTED_VALUE"""),"Yes")</f>
        <v>Yes</v>
      </c>
      <c r="Q37" s="5" t="str">
        <f ca="1">IFERROR(__xludf.DUMMYFUNCTION("""COMPUTED_VALUE"""),"Yes")</f>
        <v>Yes</v>
      </c>
      <c r="R37" s="5" t="str">
        <f ca="1">IFERROR(__xludf.DUMMYFUNCTION("""COMPUTED_VALUE"""),"Yes")</f>
        <v>Yes</v>
      </c>
      <c r="S37" s="5" t="str">
        <f ca="1">IFERROR(__xludf.DUMMYFUNCTION("""COMPUTED_VALUE"""),"Yes")</f>
        <v>Yes</v>
      </c>
      <c r="T37" s="5" t="str">
        <f ca="1">IFERROR(__xludf.DUMMYFUNCTION("""COMPUTED_VALUE"""),"Yes")</f>
        <v>Yes</v>
      </c>
      <c r="U37" s="5" t="str">
        <f ca="1">IFERROR(__xludf.DUMMYFUNCTION("""COMPUTED_VALUE"""),"Yes")</f>
        <v>Yes</v>
      </c>
      <c r="V37" s="5" t="str">
        <f ca="1">IFERROR(__xludf.DUMMYFUNCTION("""COMPUTED_VALUE"""),"Yes")</f>
        <v>Yes</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IFERROR(__xludf.DUMMYFUNCTION("""COMPUTED_VALUE"""),"No")</f>
        <v>No</v>
      </c>
    </row>
    <row r="38" spans="1:29" x14ac:dyDescent="0.25">
      <c r="A38" s="5" t="str">
        <f ca="1">IFERROR(__xludf.DUMMYFUNCTION("""COMPUTED_VALUE"""),"StarGems")</f>
        <v>StarGems</v>
      </c>
      <c r="B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8" s="5" t="str">
        <f ca="1">IFERROR(__xludf.DUMMYFUNCTION("""COMPUTED_VALUE"""),"Yes")</f>
        <v>Yes</v>
      </c>
      <c r="D38" s="5" t="str">
        <f ca="1">IFERROR(__xludf.DUMMYFUNCTION("""COMPUTED_VALUE"""),"Yes")</f>
        <v>Yes</v>
      </c>
      <c r="E38" s="5" t="str">
        <f ca="1">IFERROR(__xludf.DUMMYFUNCTION("""COMPUTED_VALUE"""),"Yes")</f>
        <v>Yes</v>
      </c>
      <c r="F38" s="5" t="str">
        <f ca="1">IFERROR(__xludf.DUMMYFUNCTION("""COMPUTED_VALUE"""),"Yes")</f>
        <v>Yes</v>
      </c>
      <c r="G38" s="5" t="str">
        <f ca="1">IFERROR(__xludf.DUMMYFUNCTION("""COMPUTED_VALUE"""),"Yes")</f>
        <v>Yes</v>
      </c>
      <c r="H38" s="5" t="str">
        <f ca="1">IFERROR(__xludf.DUMMYFUNCTION("""COMPUTED_VALUE"""),"Yes")</f>
        <v>Yes</v>
      </c>
      <c r="I38" s="5" t="str">
        <f ca="1">IFERROR(__xludf.DUMMYFUNCTION("""COMPUTED_VALUE"""),"Yes")</f>
        <v>Yes</v>
      </c>
      <c r="J38" s="5" t="str">
        <f ca="1">IFERROR(__xludf.DUMMYFUNCTION("""COMPUTED_VALUE"""),"Yes")</f>
        <v>Yes</v>
      </c>
      <c r="K38" s="5" t="str">
        <f ca="1">IFERROR(__xludf.DUMMYFUNCTION("""COMPUTED_VALUE"""),"Yes")</f>
        <v>Yes</v>
      </c>
      <c r="L38" s="5" t="str">
        <f ca="1">IFERROR(__xludf.DUMMYFUNCTION("""COMPUTED_VALUE"""),"Yes")</f>
        <v>Yes</v>
      </c>
      <c r="M38" s="5" t="str">
        <f ca="1">IFERROR(__xludf.DUMMYFUNCTION("""COMPUTED_VALUE"""),"Yes")</f>
        <v>Yes</v>
      </c>
      <c r="N38" s="5" t="str">
        <f ca="1">IFERROR(__xludf.DUMMYFUNCTION("""COMPUTED_VALUE"""),"Yes")</f>
        <v>Yes</v>
      </c>
      <c r="O38" s="5" t="str">
        <f ca="1">IFERROR(__xludf.DUMMYFUNCTION("""COMPUTED_VALUE"""),"Yes")</f>
        <v>Yes</v>
      </c>
      <c r="P38" s="5" t="str">
        <f ca="1">IFERROR(__xludf.DUMMYFUNCTION("""COMPUTED_VALUE"""),"Yes")</f>
        <v>Yes</v>
      </c>
      <c r="Q38" s="5" t="str">
        <f ca="1">IFERROR(__xludf.DUMMYFUNCTION("""COMPUTED_VALUE"""),"Yes")</f>
        <v>Yes</v>
      </c>
      <c r="R38" s="5" t="str">
        <f ca="1">IFERROR(__xludf.DUMMYFUNCTION("""COMPUTED_VALUE"""),"Yes")</f>
        <v>Yes</v>
      </c>
      <c r="S38" s="5" t="str">
        <f ca="1">IFERROR(__xludf.DUMMYFUNCTION("""COMPUTED_VALUE"""),"Yes")</f>
        <v>Yes</v>
      </c>
      <c r="T38" s="5" t="str">
        <f ca="1">IFERROR(__xludf.DUMMYFUNCTION("""COMPUTED_VALUE"""),"Yes")</f>
        <v>Yes</v>
      </c>
      <c r="U38" s="5" t="str">
        <f ca="1">IFERROR(__xludf.DUMMYFUNCTION("""COMPUTED_VALUE"""),"Yes")</f>
        <v>Yes</v>
      </c>
      <c r="V38" s="5" t="str">
        <f ca="1">IFERROR(__xludf.DUMMYFUNCTION("""COMPUTED_VALUE"""),"Yes")</f>
        <v>Yes</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IFERROR(__xludf.DUMMYFUNCTION("""COMPUTED_VALUE"""),"Yes")</f>
        <v>Yes</v>
      </c>
      <c r="AA38" s="5" t="str">
        <f ca="1">IFERROR(__xludf.DUMMYFUNCTION("""COMPUTED_VALUE"""),"Yes")</f>
        <v>Yes</v>
      </c>
      <c r="AB38" s="5" t="str">
        <f ca="1">IFERROR(__xludf.DUMMYFUNCTION("""COMPUTED_VALUE"""),"Yes")</f>
        <v>Yes</v>
      </c>
      <c r="AC38" s="5" t="str">
        <f ca="1">IFERROR(__xludf.DUMMYFUNCTION("""COMPUTED_VALUE"""),"No")</f>
        <v>No</v>
      </c>
    </row>
    <row r="39" spans="1:29" x14ac:dyDescent="0.25">
      <c r="A39" s="5" t="str">
        <f ca="1">IFERROR(__xludf.DUMMYFUNCTION("""COMPUTED_VALUE"""),"BookOfSpellsV2")</f>
        <v>BookOfSpellsV2</v>
      </c>
      <c r="B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9" s="5" t="str">
        <f ca="1">IFERROR(__xludf.DUMMYFUNCTION("""COMPUTED_VALUE"""),"Yes")</f>
        <v>Yes</v>
      </c>
      <c r="D39" s="5" t="str">
        <f ca="1">IFERROR(__xludf.DUMMYFUNCTION("""COMPUTED_VALUE"""),"Yes")</f>
        <v>Yes</v>
      </c>
      <c r="E39" s="5" t="str">
        <f ca="1">IFERROR(__xludf.DUMMYFUNCTION("""COMPUTED_VALUE"""),"Yes")</f>
        <v>Yes</v>
      </c>
      <c r="F39" s="5" t="str">
        <f ca="1">IFERROR(__xludf.DUMMYFUNCTION("""COMPUTED_VALUE"""),"Yes")</f>
        <v>Yes</v>
      </c>
      <c r="G39" s="5" t="str">
        <f ca="1">IFERROR(__xludf.DUMMYFUNCTION("""COMPUTED_VALUE"""),"Yes")</f>
        <v>Yes</v>
      </c>
      <c r="H39" s="5" t="str">
        <f ca="1">IFERROR(__xludf.DUMMYFUNCTION("""COMPUTED_VALUE"""),"Yes")</f>
        <v>Yes</v>
      </c>
      <c r="I39" s="5" t="str">
        <f ca="1">IFERROR(__xludf.DUMMYFUNCTION("""COMPUTED_VALUE"""),"Yes")</f>
        <v>Yes</v>
      </c>
      <c r="J39" s="5" t="str">
        <f ca="1">IFERROR(__xludf.DUMMYFUNCTION("""COMPUTED_VALUE"""),"Yes")</f>
        <v>Yes</v>
      </c>
      <c r="K39" s="5" t="str">
        <f ca="1">IFERROR(__xludf.DUMMYFUNCTION("""COMPUTED_VALUE"""),"Yes")</f>
        <v>Yes</v>
      </c>
      <c r="L39" s="5" t="str">
        <f ca="1">IFERROR(__xludf.DUMMYFUNCTION("""COMPUTED_VALUE"""),"Yes")</f>
        <v>Yes</v>
      </c>
      <c r="M39" s="5" t="str">
        <f ca="1">IFERROR(__xludf.DUMMYFUNCTION("""COMPUTED_VALUE"""),"Yes")</f>
        <v>Yes</v>
      </c>
      <c r="N39" s="5" t="str">
        <f ca="1">IFERROR(__xludf.DUMMYFUNCTION("""COMPUTED_VALUE"""),"Yes")</f>
        <v>Yes</v>
      </c>
      <c r="O39" s="5" t="str">
        <f ca="1">IFERROR(__xludf.DUMMYFUNCTION("""COMPUTED_VALUE"""),"Yes")</f>
        <v>Yes</v>
      </c>
      <c r="P39" s="5" t="str">
        <f ca="1">IFERROR(__xludf.DUMMYFUNCTION("""COMPUTED_VALUE"""),"Yes")</f>
        <v>Yes</v>
      </c>
      <c r="Q39" s="5" t="str">
        <f ca="1">IFERROR(__xludf.DUMMYFUNCTION("""COMPUTED_VALUE"""),"Yes")</f>
        <v>Yes</v>
      </c>
      <c r="R39" s="5" t="str">
        <f ca="1">IFERROR(__xludf.DUMMYFUNCTION("""COMPUTED_VALUE"""),"Yes")</f>
        <v>Yes</v>
      </c>
      <c r="S39" s="5" t="str">
        <f ca="1">IFERROR(__xludf.DUMMYFUNCTION("""COMPUTED_VALUE"""),"Yes")</f>
        <v>Yes</v>
      </c>
      <c r="T39" s="5" t="str">
        <f ca="1">IFERROR(__xludf.DUMMYFUNCTION("""COMPUTED_VALUE"""),"Yes")</f>
        <v>Yes</v>
      </c>
      <c r="U39" s="5" t="str">
        <f ca="1">IFERROR(__xludf.DUMMYFUNCTION("""COMPUTED_VALUE"""),"Yes")</f>
        <v>Yes</v>
      </c>
      <c r="V39" s="5" t="str">
        <f ca="1">IFERROR(__xludf.DUMMYFUNCTION("""COMPUTED_VALUE"""),"Yes")</f>
        <v>Yes</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IFERROR(__xludf.DUMMYFUNCTION("""COMPUTED_VALUE"""),"Yes")</f>
        <v>Yes</v>
      </c>
      <c r="AA39" s="5" t="str">
        <f ca="1">IFERROR(__xludf.DUMMYFUNCTION("""COMPUTED_VALUE"""),"Yes")</f>
        <v>Yes</v>
      </c>
      <c r="AB39" s="5" t="str">
        <f ca="1">IFERROR(__xludf.DUMMYFUNCTION("""COMPUTED_VALUE"""),"Yes")</f>
        <v>Yes</v>
      </c>
      <c r="AC39" s="5" t="str">
        <f ca="1">IFERROR(__xludf.DUMMYFUNCTION("""COMPUTED_VALUE"""),"No")</f>
        <v>No</v>
      </c>
    </row>
    <row r="40" spans="1:29" x14ac:dyDescent="0.25">
      <c r="A40" s="5" t="str">
        <f ca="1">IFERROR(__xludf.DUMMYFUNCTION("""COMPUTED_VALUE"""),"TemplarsQuest")</f>
        <v>TemplarsQuest</v>
      </c>
      <c r="B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 s="5" t="str">
        <f ca="1">IFERROR(__xludf.DUMMYFUNCTION("""COMPUTED_VALUE"""),"Yes")</f>
        <v>Yes</v>
      </c>
      <c r="D40" s="5" t="str">
        <f ca="1">IFERROR(__xludf.DUMMYFUNCTION("""COMPUTED_VALUE"""),"Yes")</f>
        <v>Yes</v>
      </c>
      <c r="E40" s="5" t="str">
        <f ca="1">IFERROR(__xludf.DUMMYFUNCTION("""COMPUTED_VALUE"""),"Yes")</f>
        <v>Yes</v>
      </c>
      <c r="F40" s="5" t="str">
        <f ca="1">IFERROR(__xludf.DUMMYFUNCTION("""COMPUTED_VALUE"""),"Yes")</f>
        <v>Yes</v>
      </c>
      <c r="G40" s="5" t="str">
        <f ca="1">IFERROR(__xludf.DUMMYFUNCTION("""COMPUTED_VALUE"""),"Yes")</f>
        <v>Yes</v>
      </c>
      <c r="H40" s="5" t="str">
        <f ca="1">IFERROR(__xludf.DUMMYFUNCTION("""COMPUTED_VALUE"""),"Yes")</f>
        <v>Yes</v>
      </c>
      <c r="I40" s="5" t="str">
        <f ca="1">IFERROR(__xludf.DUMMYFUNCTION("""COMPUTED_VALUE"""),"Yes")</f>
        <v>Yes</v>
      </c>
      <c r="J40" s="5" t="str">
        <f ca="1">IFERROR(__xludf.DUMMYFUNCTION("""COMPUTED_VALUE"""),"Yes")</f>
        <v>Yes</v>
      </c>
      <c r="K40" s="5" t="str">
        <f ca="1">IFERROR(__xludf.DUMMYFUNCTION("""COMPUTED_VALUE"""),"Yes")</f>
        <v>Yes</v>
      </c>
      <c r="L40" s="5" t="str">
        <f ca="1">IFERROR(__xludf.DUMMYFUNCTION("""COMPUTED_VALUE"""),"Yes")</f>
        <v>Yes</v>
      </c>
      <c r="M40" s="5" t="str">
        <f ca="1">IFERROR(__xludf.DUMMYFUNCTION("""COMPUTED_VALUE"""),"Yes")</f>
        <v>Yes</v>
      </c>
      <c r="N40" s="5" t="str">
        <f ca="1">IFERROR(__xludf.DUMMYFUNCTION("""COMPUTED_VALUE"""),"Yes")</f>
        <v>Yes</v>
      </c>
      <c r="O40" s="5" t="str">
        <f ca="1">IFERROR(__xludf.DUMMYFUNCTION("""COMPUTED_VALUE"""),"Yes")</f>
        <v>Yes</v>
      </c>
      <c r="P40" s="5" t="str">
        <f ca="1">IFERROR(__xludf.DUMMYFUNCTION("""COMPUTED_VALUE"""),"Yes")</f>
        <v>Yes</v>
      </c>
      <c r="Q40" s="5" t="str">
        <f ca="1">IFERROR(__xludf.DUMMYFUNCTION("""COMPUTED_VALUE"""),"Yes")</f>
        <v>Yes</v>
      </c>
      <c r="R40" s="5" t="str">
        <f ca="1">IFERROR(__xludf.DUMMYFUNCTION("""COMPUTED_VALUE"""),"Yes")</f>
        <v>Yes</v>
      </c>
      <c r="S40" s="5" t="str">
        <f ca="1">IFERROR(__xludf.DUMMYFUNCTION("""COMPUTED_VALUE"""),"Yes")</f>
        <v>Yes</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IFERROR(__xludf.DUMMYFUNCTION("""COMPUTED_VALUE"""),"Yes")</f>
        <v>Yes</v>
      </c>
      <c r="AA40" s="5" t="str">
        <f ca="1">IFERROR(__xludf.DUMMYFUNCTION("""COMPUTED_VALUE"""),"Yes")</f>
        <v>Yes</v>
      </c>
      <c r="AB40" s="5" t="str">
        <f ca="1">IFERROR(__xludf.DUMMYFUNCTION("""COMPUTED_VALUE"""),"Yes")</f>
        <v>Yes</v>
      </c>
      <c r="AC40" s="5" t="str">
        <f ca="1">IFERROR(__xludf.DUMMYFUNCTION("""COMPUTED_VALUE"""),"No")</f>
        <v>No</v>
      </c>
    </row>
    <row r="41" spans="1:29" x14ac:dyDescent="0.25">
      <c r="A41" s="5" t="str">
        <f ca="1">IFERROR(__xludf.DUMMYFUNCTION("""COMPUTED_VALUE"""),"SpaceGuardians")</f>
        <v>SpaceGuardians</v>
      </c>
      <c r="B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1" s="5" t="str">
        <f ca="1">IFERROR(__xludf.DUMMYFUNCTION("""COMPUTED_VALUE"""),"Yes")</f>
        <v>Yes</v>
      </c>
      <c r="D41" s="5" t="str">
        <f ca="1">IFERROR(__xludf.DUMMYFUNCTION("""COMPUTED_VALUE"""),"Yes")</f>
        <v>Yes</v>
      </c>
      <c r="E41" s="5" t="str">
        <f ca="1">IFERROR(__xludf.DUMMYFUNCTION("""COMPUTED_VALUE"""),"Yes")</f>
        <v>Yes</v>
      </c>
      <c r="F41" s="5" t="str">
        <f ca="1">IFERROR(__xludf.DUMMYFUNCTION("""COMPUTED_VALUE"""),"Yes")</f>
        <v>Yes</v>
      </c>
      <c r="G41" s="5" t="str">
        <f ca="1">IFERROR(__xludf.DUMMYFUNCTION("""COMPUTED_VALUE"""),"Yes")</f>
        <v>Yes</v>
      </c>
      <c r="H41" s="5" t="str">
        <f ca="1">IFERROR(__xludf.DUMMYFUNCTION("""COMPUTED_VALUE"""),"Yes")</f>
        <v>Yes</v>
      </c>
      <c r="I41" s="5" t="str">
        <f ca="1">IFERROR(__xludf.DUMMYFUNCTION("""COMPUTED_VALUE"""),"Yes")</f>
        <v>Yes</v>
      </c>
      <c r="J41" s="5" t="str">
        <f ca="1">IFERROR(__xludf.DUMMYFUNCTION("""COMPUTED_VALUE"""),"Yes")</f>
        <v>Yes</v>
      </c>
      <c r="K41" s="5" t="str">
        <f ca="1">IFERROR(__xludf.DUMMYFUNCTION("""COMPUTED_VALUE"""),"Yes")</f>
        <v>Yes</v>
      </c>
      <c r="L41" s="5" t="str">
        <f ca="1">IFERROR(__xludf.DUMMYFUNCTION("""COMPUTED_VALUE"""),"Yes")</f>
        <v>Yes</v>
      </c>
      <c r="M41" s="5" t="str">
        <f ca="1">IFERROR(__xludf.DUMMYFUNCTION("""COMPUTED_VALUE"""),"Yes")</f>
        <v>Yes</v>
      </c>
      <c r="N41" s="5" t="str">
        <f ca="1">IFERROR(__xludf.DUMMYFUNCTION("""COMPUTED_VALUE"""),"Yes")</f>
        <v>Yes</v>
      </c>
      <c r="O41" s="5" t="str">
        <f ca="1">IFERROR(__xludf.DUMMYFUNCTION("""COMPUTED_VALUE"""),"Yes")</f>
        <v>Yes</v>
      </c>
      <c r="P41" s="5" t="str">
        <f ca="1">IFERROR(__xludf.DUMMYFUNCTION("""COMPUTED_VALUE"""),"Yes")</f>
        <v>Yes</v>
      </c>
      <c r="Q41" s="5" t="str">
        <f ca="1">IFERROR(__xludf.DUMMYFUNCTION("""COMPUTED_VALUE"""),"Yes")</f>
        <v>Yes</v>
      </c>
      <c r="R41" s="5" t="str">
        <f ca="1">IFERROR(__xludf.DUMMYFUNCTION("""COMPUTED_VALUE"""),"Yes")</f>
        <v>Yes</v>
      </c>
      <c r="S41" s="5" t="str">
        <f ca="1">IFERROR(__xludf.DUMMYFUNCTION("""COMPUTED_VALUE"""),"Yes")</f>
        <v>Yes</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IFERROR(__xludf.DUMMYFUNCTION("""COMPUTED_VALUE"""),"Yes")</f>
        <v>Yes</v>
      </c>
      <c r="AA41" s="5" t="str">
        <f ca="1">IFERROR(__xludf.DUMMYFUNCTION("""COMPUTED_VALUE"""),"Yes")</f>
        <v>Yes</v>
      </c>
      <c r="AB41" s="5" t="str">
        <f ca="1">IFERROR(__xludf.DUMMYFUNCTION("""COMPUTED_VALUE"""),"Yes")</f>
        <v>Yes</v>
      </c>
      <c r="AC41" s="5" t="str">
        <f ca="1">IFERROR(__xludf.DUMMYFUNCTION("""COMPUTED_VALUE"""),"No")</f>
        <v>No</v>
      </c>
    </row>
    <row r="42" spans="1:29" x14ac:dyDescent="0.25">
      <c r="A42" s="5" t="str">
        <f ca="1">IFERROR(__xludf.DUMMYFUNCTION("""COMPUTED_VALUE"""),"NeonHot5")</f>
        <v>NeonHot5</v>
      </c>
      <c r="B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 s="5" t="str">
        <f ca="1">IFERROR(__xludf.DUMMYFUNCTION("""COMPUTED_VALUE"""),"Yes")</f>
        <v>Yes</v>
      </c>
      <c r="D42" s="5" t="str">
        <f ca="1">IFERROR(__xludf.DUMMYFUNCTION("""COMPUTED_VALUE"""),"Yes")</f>
        <v>Yes</v>
      </c>
      <c r="E42" s="5" t="str">
        <f ca="1">IFERROR(__xludf.DUMMYFUNCTION("""COMPUTED_VALUE"""),"Yes")</f>
        <v>Yes</v>
      </c>
      <c r="F42" s="5" t="str">
        <f ca="1">IFERROR(__xludf.DUMMYFUNCTION("""COMPUTED_VALUE"""),"Yes")</f>
        <v>Yes</v>
      </c>
      <c r="G42" s="5" t="str">
        <f ca="1">IFERROR(__xludf.DUMMYFUNCTION("""COMPUTED_VALUE"""),"Yes")</f>
        <v>Yes</v>
      </c>
      <c r="H42" s="5" t="str">
        <f ca="1">IFERROR(__xludf.DUMMYFUNCTION("""COMPUTED_VALUE"""),"Yes")</f>
        <v>Yes</v>
      </c>
      <c r="I42" s="5" t="str">
        <f ca="1">IFERROR(__xludf.DUMMYFUNCTION("""COMPUTED_VALUE"""),"Yes")</f>
        <v>Yes</v>
      </c>
      <c r="J42" s="5" t="str">
        <f ca="1">IFERROR(__xludf.DUMMYFUNCTION("""COMPUTED_VALUE"""),"Yes")</f>
        <v>Yes</v>
      </c>
      <c r="K42" s="5" t="str">
        <f ca="1">IFERROR(__xludf.DUMMYFUNCTION("""COMPUTED_VALUE"""),"Yes")</f>
        <v>Yes</v>
      </c>
      <c r="L42" s="5" t="str">
        <f ca="1">IFERROR(__xludf.DUMMYFUNCTION("""COMPUTED_VALUE"""),"Yes")</f>
        <v>Yes</v>
      </c>
      <c r="M42" s="5" t="str">
        <f ca="1">IFERROR(__xludf.DUMMYFUNCTION("""COMPUTED_VALUE"""),"Yes")</f>
        <v>Yes</v>
      </c>
      <c r="N42" s="5" t="str">
        <f ca="1">IFERROR(__xludf.DUMMYFUNCTION("""COMPUTED_VALUE"""),"Yes")</f>
        <v>Yes</v>
      </c>
      <c r="O42" s="5" t="str">
        <f ca="1">IFERROR(__xludf.DUMMYFUNCTION("""COMPUTED_VALUE"""),"Yes")</f>
        <v>Yes</v>
      </c>
      <c r="P42" s="5" t="str">
        <f ca="1">IFERROR(__xludf.DUMMYFUNCTION("""COMPUTED_VALUE"""),"Yes")</f>
        <v>Yes</v>
      </c>
      <c r="Q42" s="5" t="str">
        <f ca="1">IFERROR(__xludf.DUMMYFUNCTION("""COMPUTED_VALUE"""),"Yes")</f>
        <v>Yes</v>
      </c>
      <c r="R42" s="5" t="str">
        <f ca="1">IFERROR(__xludf.DUMMYFUNCTION("""COMPUTED_VALUE"""),"Yes")</f>
        <v>Yes</v>
      </c>
      <c r="S42" s="5" t="str">
        <f ca="1">IFERROR(__xludf.DUMMYFUNCTION("""COMPUTED_VALUE"""),"Yes")</f>
        <v>Yes</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IFERROR(__xludf.DUMMYFUNCTION("""COMPUTED_VALUE"""),"No")</f>
        <v>No</v>
      </c>
    </row>
    <row r="43" spans="1:29" x14ac:dyDescent="0.25">
      <c r="A43" s="5" t="str">
        <f ca="1">IFERROR(__xludf.DUMMYFUNCTION("""COMPUTED_VALUE"""),"Starlight")</f>
        <v>Starlight</v>
      </c>
      <c r="B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 s="5" t="str">
        <f ca="1">IFERROR(__xludf.DUMMYFUNCTION("""COMPUTED_VALUE"""),"Yes")</f>
        <v>Yes</v>
      </c>
      <c r="D43" s="5" t="str">
        <f ca="1">IFERROR(__xludf.DUMMYFUNCTION("""COMPUTED_VALUE"""),"Yes")</f>
        <v>Yes</v>
      </c>
      <c r="E43" s="5" t="str">
        <f ca="1">IFERROR(__xludf.DUMMYFUNCTION("""COMPUTED_VALUE"""),"Yes")</f>
        <v>Yes</v>
      </c>
      <c r="F43" s="5" t="str">
        <f ca="1">IFERROR(__xludf.DUMMYFUNCTION("""COMPUTED_VALUE"""),"Yes")</f>
        <v>Yes</v>
      </c>
      <c r="G43" s="5" t="str">
        <f ca="1">IFERROR(__xludf.DUMMYFUNCTION("""COMPUTED_VALUE"""),"Yes")</f>
        <v>Yes</v>
      </c>
      <c r="H43" s="5" t="str">
        <f ca="1">IFERROR(__xludf.DUMMYFUNCTION("""COMPUTED_VALUE"""),"Yes")</f>
        <v>Yes</v>
      </c>
      <c r="I43" s="5" t="str">
        <f ca="1">IFERROR(__xludf.DUMMYFUNCTION("""COMPUTED_VALUE"""),"Yes")</f>
        <v>Yes</v>
      </c>
      <c r="J43" s="5" t="str">
        <f ca="1">IFERROR(__xludf.DUMMYFUNCTION("""COMPUTED_VALUE"""),"Yes")</f>
        <v>Yes</v>
      </c>
      <c r="K43" s="5" t="str">
        <f ca="1">IFERROR(__xludf.DUMMYFUNCTION("""COMPUTED_VALUE"""),"Yes")</f>
        <v>Yes</v>
      </c>
      <c r="L43" s="5" t="str">
        <f ca="1">IFERROR(__xludf.DUMMYFUNCTION("""COMPUTED_VALUE"""),"Yes")</f>
        <v>Yes</v>
      </c>
      <c r="M43" s="5" t="str">
        <f ca="1">IFERROR(__xludf.DUMMYFUNCTION("""COMPUTED_VALUE"""),"Yes")</f>
        <v>Yes</v>
      </c>
      <c r="N43" s="5" t="str">
        <f ca="1">IFERROR(__xludf.DUMMYFUNCTION("""COMPUTED_VALUE"""),"Yes")</f>
        <v>Yes</v>
      </c>
      <c r="O43" s="5" t="str">
        <f ca="1">IFERROR(__xludf.DUMMYFUNCTION("""COMPUTED_VALUE"""),"Yes")</f>
        <v>Yes</v>
      </c>
      <c r="P43" s="5" t="str">
        <f ca="1">IFERROR(__xludf.DUMMYFUNCTION("""COMPUTED_VALUE"""),"Yes")</f>
        <v>Yes</v>
      </c>
      <c r="Q43" s="5" t="str">
        <f ca="1">IFERROR(__xludf.DUMMYFUNCTION("""COMPUTED_VALUE"""),"Yes")</f>
        <v>Yes</v>
      </c>
      <c r="R43" s="5" t="str">
        <f ca="1">IFERROR(__xludf.DUMMYFUNCTION("""COMPUTED_VALUE"""),"Yes")</f>
        <v>Yes</v>
      </c>
      <c r="S43" s="5" t="str">
        <f ca="1">IFERROR(__xludf.DUMMYFUNCTION("""COMPUTED_VALUE"""),"Yes")</f>
        <v>Yes</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IFERROR(__xludf.DUMMYFUNCTION("""COMPUTED_VALUE"""),"No")</f>
        <v>No</v>
      </c>
    </row>
    <row r="44" spans="1:29" x14ac:dyDescent="0.25">
      <c r="A44" s="5" t="str">
        <f ca="1">IFERROR(__xludf.DUMMYFUNCTION("""COMPUTED_VALUE"""),"TripleHot")</f>
        <v>TripleHot</v>
      </c>
      <c r="B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4" s="5" t="str">
        <f ca="1">IFERROR(__xludf.DUMMYFUNCTION("""COMPUTED_VALUE"""),"Yes")</f>
        <v>Yes</v>
      </c>
      <c r="D44" s="5" t="str">
        <f ca="1">IFERROR(__xludf.DUMMYFUNCTION("""COMPUTED_VALUE"""),"Yes")</f>
        <v>Yes</v>
      </c>
      <c r="E44" s="5" t="str">
        <f ca="1">IFERROR(__xludf.DUMMYFUNCTION("""COMPUTED_VALUE"""),"Yes")</f>
        <v>Yes</v>
      </c>
      <c r="F44" s="5" t="str">
        <f ca="1">IFERROR(__xludf.DUMMYFUNCTION("""COMPUTED_VALUE"""),"Yes")</f>
        <v>Yes</v>
      </c>
      <c r="G44" s="5" t="str">
        <f ca="1">IFERROR(__xludf.DUMMYFUNCTION("""COMPUTED_VALUE"""),"Yes")</f>
        <v>Yes</v>
      </c>
      <c r="H44" s="5" t="str">
        <f ca="1">IFERROR(__xludf.DUMMYFUNCTION("""COMPUTED_VALUE"""),"Yes")</f>
        <v>Yes</v>
      </c>
      <c r="I44" s="5" t="str">
        <f ca="1">IFERROR(__xludf.DUMMYFUNCTION("""COMPUTED_VALUE"""),"Yes")</f>
        <v>Yes</v>
      </c>
      <c r="J44" s="5" t="str">
        <f ca="1">IFERROR(__xludf.DUMMYFUNCTION("""COMPUTED_VALUE"""),"Yes")</f>
        <v>Yes</v>
      </c>
      <c r="K44" s="5" t="str">
        <f ca="1">IFERROR(__xludf.DUMMYFUNCTION("""COMPUTED_VALUE"""),"Yes")</f>
        <v>Yes</v>
      </c>
      <c r="L44" s="5" t="str">
        <f ca="1">IFERROR(__xludf.DUMMYFUNCTION("""COMPUTED_VALUE"""),"Yes")</f>
        <v>Yes</v>
      </c>
      <c r="M44" s="5" t="str">
        <f ca="1">IFERROR(__xludf.DUMMYFUNCTION("""COMPUTED_VALUE"""),"Yes")</f>
        <v>Yes</v>
      </c>
      <c r="N44" s="5" t="str">
        <f ca="1">IFERROR(__xludf.DUMMYFUNCTION("""COMPUTED_VALUE"""),"Yes")</f>
        <v>Yes</v>
      </c>
      <c r="O44" s="5" t="str">
        <f ca="1">IFERROR(__xludf.DUMMYFUNCTION("""COMPUTED_VALUE"""),"Yes")</f>
        <v>Yes</v>
      </c>
      <c r="P44" s="5" t="str">
        <f ca="1">IFERROR(__xludf.DUMMYFUNCTION("""COMPUTED_VALUE"""),"Yes")</f>
        <v>Yes</v>
      </c>
      <c r="Q44" s="5" t="str">
        <f ca="1">IFERROR(__xludf.DUMMYFUNCTION("""COMPUTED_VALUE"""),"Yes")</f>
        <v>Yes</v>
      </c>
      <c r="R44" s="5" t="str">
        <f ca="1">IFERROR(__xludf.DUMMYFUNCTION("""COMPUTED_VALUE"""),"Yes")</f>
        <v>Yes</v>
      </c>
      <c r="S44" s="5" t="str">
        <f ca="1">IFERROR(__xludf.DUMMYFUNCTION("""COMPUTED_VALUE"""),"Yes")</f>
        <v>Yes</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IFERROR(__xludf.DUMMYFUNCTION("""COMPUTED_VALUE"""),"No")</f>
        <v>No</v>
      </c>
    </row>
    <row r="45" spans="1:29" x14ac:dyDescent="0.25">
      <c r="A45" s="5" t="str">
        <f ca="1">IFERROR(__xludf.DUMMYFUNCTION("""COMPUTED_VALUE"""),"CrystalHot40")</f>
        <v>CrystalHot40</v>
      </c>
      <c r="B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 s="5" t="str">
        <f ca="1">IFERROR(__xludf.DUMMYFUNCTION("""COMPUTED_VALUE"""),"Yes")</f>
        <v>Yes</v>
      </c>
      <c r="D45" s="5" t="str">
        <f ca="1">IFERROR(__xludf.DUMMYFUNCTION("""COMPUTED_VALUE"""),"Yes")</f>
        <v>Yes</v>
      </c>
      <c r="E45" s="5" t="str">
        <f ca="1">IFERROR(__xludf.DUMMYFUNCTION("""COMPUTED_VALUE"""),"Yes")</f>
        <v>Yes</v>
      </c>
      <c r="F45" s="5" t="str">
        <f ca="1">IFERROR(__xludf.DUMMYFUNCTION("""COMPUTED_VALUE"""),"Yes")</f>
        <v>Yes</v>
      </c>
      <c r="G45" s="5" t="str">
        <f ca="1">IFERROR(__xludf.DUMMYFUNCTION("""COMPUTED_VALUE"""),"Yes")</f>
        <v>Yes</v>
      </c>
      <c r="H45" s="5" t="str">
        <f ca="1">IFERROR(__xludf.DUMMYFUNCTION("""COMPUTED_VALUE"""),"Yes")</f>
        <v>Yes</v>
      </c>
      <c r="I45" s="5" t="str">
        <f ca="1">IFERROR(__xludf.DUMMYFUNCTION("""COMPUTED_VALUE"""),"Yes")</f>
        <v>Yes</v>
      </c>
      <c r="J45" s="5" t="str">
        <f ca="1">IFERROR(__xludf.DUMMYFUNCTION("""COMPUTED_VALUE"""),"Yes")</f>
        <v>Yes</v>
      </c>
      <c r="K45" s="5" t="str">
        <f ca="1">IFERROR(__xludf.DUMMYFUNCTION("""COMPUTED_VALUE"""),"Yes")</f>
        <v>Yes</v>
      </c>
      <c r="L45" s="5" t="str">
        <f ca="1">IFERROR(__xludf.DUMMYFUNCTION("""COMPUTED_VALUE"""),"Yes")</f>
        <v>Yes</v>
      </c>
      <c r="M45" s="5" t="str">
        <f ca="1">IFERROR(__xludf.DUMMYFUNCTION("""COMPUTED_VALUE"""),"Yes")</f>
        <v>Yes</v>
      </c>
      <c r="N45" s="5" t="str">
        <f ca="1">IFERROR(__xludf.DUMMYFUNCTION("""COMPUTED_VALUE"""),"Yes")</f>
        <v>Yes</v>
      </c>
      <c r="O45" s="5" t="str">
        <f ca="1">IFERROR(__xludf.DUMMYFUNCTION("""COMPUTED_VALUE"""),"Yes")</f>
        <v>Yes</v>
      </c>
      <c r="P45" s="5" t="str">
        <f ca="1">IFERROR(__xludf.DUMMYFUNCTION("""COMPUTED_VALUE"""),"Yes")</f>
        <v>Yes</v>
      </c>
      <c r="Q45" s="5" t="str">
        <f ca="1">IFERROR(__xludf.DUMMYFUNCTION("""COMPUTED_VALUE"""),"Yes")</f>
        <v>Yes</v>
      </c>
      <c r="R45" s="5" t="str">
        <f ca="1">IFERROR(__xludf.DUMMYFUNCTION("""COMPUTED_VALUE"""),"Yes")</f>
        <v>Yes</v>
      </c>
      <c r="S45" s="5" t="str">
        <f ca="1">IFERROR(__xludf.DUMMYFUNCTION("""COMPUTED_VALUE"""),"Yes")</f>
        <v>Yes</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IFERROR(__xludf.DUMMYFUNCTION("""COMPUTED_VALUE"""),"No")</f>
        <v>No</v>
      </c>
    </row>
    <row r="46" spans="1:29" x14ac:dyDescent="0.25">
      <c r="A46" s="5" t="str">
        <f ca="1">IFERROR(__xludf.DUMMYFUNCTION("""COMPUTED_VALUE"""),"BurningIceDeluxe")</f>
        <v>BurningIceDeluxe</v>
      </c>
      <c r="B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6" s="5" t="str">
        <f ca="1">IFERROR(__xludf.DUMMYFUNCTION("""COMPUTED_VALUE"""),"Yes")</f>
        <v>Yes</v>
      </c>
      <c r="D46" s="5" t="str">
        <f ca="1">IFERROR(__xludf.DUMMYFUNCTION("""COMPUTED_VALUE"""),"Yes")</f>
        <v>Yes</v>
      </c>
      <c r="E46" s="5" t="str">
        <f ca="1">IFERROR(__xludf.DUMMYFUNCTION("""COMPUTED_VALUE"""),"Yes")</f>
        <v>Yes</v>
      </c>
      <c r="F46" s="5" t="str">
        <f ca="1">IFERROR(__xludf.DUMMYFUNCTION("""COMPUTED_VALUE"""),"Yes")</f>
        <v>Yes</v>
      </c>
      <c r="G46" s="5" t="str">
        <f ca="1">IFERROR(__xludf.DUMMYFUNCTION("""COMPUTED_VALUE"""),"Yes")</f>
        <v>Yes</v>
      </c>
      <c r="H46" s="5" t="str">
        <f ca="1">IFERROR(__xludf.DUMMYFUNCTION("""COMPUTED_VALUE"""),"Yes")</f>
        <v>Yes</v>
      </c>
      <c r="I46" s="5" t="str">
        <f ca="1">IFERROR(__xludf.DUMMYFUNCTION("""COMPUTED_VALUE"""),"Yes")</f>
        <v>Yes</v>
      </c>
      <c r="J46" s="5" t="str">
        <f ca="1">IFERROR(__xludf.DUMMYFUNCTION("""COMPUTED_VALUE"""),"Yes")</f>
        <v>Yes</v>
      </c>
      <c r="K46" s="5" t="str">
        <f ca="1">IFERROR(__xludf.DUMMYFUNCTION("""COMPUTED_VALUE"""),"Yes")</f>
        <v>Yes</v>
      </c>
      <c r="L46" s="5" t="str">
        <f ca="1">IFERROR(__xludf.DUMMYFUNCTION("""COMPUTED_VALUE"""),"Yes")</f>
        <v>Yes</v>
      </c>
      <c r="M46" s="5" t="str">
        <f ca="1">IFERROR(__xludf.DUMMYFUNCTION("""COMPUTED_VALUE"""),"Yes")</f>
        <v>Yes</v>
      </c>
      <c r="N46" s="5" t="str">
        <f ca="1">IFERROR(__xludf.DUMMYFUNCTION("""COMPUTED_VALUE"""),"Yes")</f>
        <v>Yes</v>
      </c>
      <c r="O46" s="5" t="str">
        <f ca="1">IFERROR(__xludf.DUMMYFUNCTION("""COMPUTED_VALUE"""),"Yes")</f>
        <v>Yes</v>
      </c>
      <c r="P46" s="5" t="str">
        <f ca="1">IFERROR(__xludf.DUMMYFUNCTION("""COMPUTED_VALUE"""),"Yes")</f>
        <v>Yes</v>
      </c>
      <c r="Q46" s="5" t="str">
        <f ca="1">IFERROR(__xludf.DUMMYFUNCTION("""COMPUTED_VALUE"""),"Yes")</f>
        <v>Yes</v>
      </c>
      <c r="R46" s="5" t="str">
        <f ca="1">IFERROR(__xludf.DUMMYFUNCTION("""COMPUTED_VALUE"""),"Yes")</f>
        <v>Yes</v>
      </c>
      <c r="S46" s="5" t="str">
        <f ca="1">IFERROR(__xludf.DUMMYFUNCTION("""COMPUTED_VALUE"""),"Yes")</f>
        <v>Yes</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IFERROR(__xludf.DUMMYFUNCTION("""COMPUTED_VALUE"""),"Yes")</f>
        <v>Yes</v>
      </c>
      <c r="AA46" s="5" t="str">
        <f ca="1">IFERROR(__xludf.DUMMYFUNCTION("""COMPUTED_VALUE"""),"Yes")</f>
        <v>Yes</v>
      </c>
      <c r="AB46" s="5" t="str">
        <f ca="1">IFERROR(__xludf.DUMMYFUNCTION("""COMPUTED_VALUE"""),"Yes")</f>
        <v>Yes</v>
      </c>
      <c r="AC46" s="5" t="str">
        <f ca="1">IFERROR(__xludf.DUMMYFUNCTION("""COMPUTED_VALUE"""),"No")</f>
        <v>No</v>
      </c>
    </row>
    <row r="47" spans="1:29" x14ac:dyDescent="0.25">
      <c r="A47" s="5" t="str">
        <f ca="1">IFERROR(__xludf.DUMMYFUNCTION("""COMPUTED_VALUE"""),"NeonDice5")</f>
        <v>NeonDice5</v>
      </c>
      <c r="B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47" s="5" t="str">
        <f ca="1">IFERROR(__xludf.DUMMYFUNCTION("""COMPUTED_VALUE"""),"Yes")</f>
        <v>Yes</v>
      </c>
      <c r="D47" s="5" t="str">
        <f ca="1">IFERROR(__xludf.DUMMYFUNCTION("""COMPUTED_VALUE"""),"Yes")</f>
        <v>Yes</v>
      </c>
      <c r="E47" s="5" t="str">
        <f ca="1">IFERROR(__xludf.DUMMYFUNCTION("""COMPUTED_VALUE"""),"Yes")</f>
        <v>Yes</v>
      </c>
      <c r="F47" s="5" t="str">
        <f ca="1">IFERROR(__xludf.DUMMYFUNCTION("""COMPUTED_VALUE"""),"Yes")</f>
        <v>Yes</v>
      </c>
      <c r="G47" s="5" t="str">
        <f ca="1">IFERROR(__xludf.DUMMYFUNCTION("""COMPUTED_VALUE"""),"Yes")</f>
        <v>Yes</v>
      </c>
      <c r="H47" s="5" t="str">
        <f ca="1">IFERROR(__xludf.DUMMYFUNCTION("""COMPUTED_VALUE"""),"Yes")</f>
        <v>Yes</v>
      </c>
      <c r="I47" s="5" t="str">
        <f ca="1">IFERROR(__xludf.DUMMYFUNCTION("""COMPUTED_VALUE"""),"Yes")</f>
        <v>Yes</v>
      </c>
      <c r="J47" s="5" t="str">
        <f ca="1">IFERROR(__xludf.DUMMYFUNCTION("""COMPUTED_VALUE"""),"Yes")</f>
        <v>Yes</v>
      </c>
      <c r="K47" s="5" t="str">
        <f ca="1">IFERROR(__xludf.DUMMYFUNCTION("""COMPUTED_VALUE"""),"Yes")</f>
        <v>Yes</v>
      </c>
      <c r="L47" s="5" t="str">
        <f ca="1">IFERROR(__xludf.DUMMYFUNCTION("""COMPUTED_VALUE"""),"Yes")</f>
        <v>Yes</v>
      </c>
      <c r="M47" s="5" t="str">
        <f ca="1">IFERROR(__xludf.DUMMYFUNCTION("""COMPUTED_VALUE"""),"Yes")</f>
        <v>Yes</v>
      </c>
      <c r="N47" s="5" t="str">
        <f ca="1">IFERROR(__xludf.DUMMYFUNCTION("""COMPUTED_VALUE"""),"Yes")</f>
        <v>Yes</v>
      </c>
      <c r="O47" s="5" t="str">
        <f ca="1">IFERROR(__xludf.DUMMYFUNCTION("""COMPUTED_VALUE"""),"Yes")</f>
        <v>Yes</v>
      </c>
      <c r="P47" s="5" t="str">
        <f ca="1">IFERROR(__xludf.DUMMYFUNCTION("""COMPUTED_VALUE"""),"Yes")</f>
        <v>Yes</v>
      </c>
      <c r="Q47" s="5" t="str">
        <f ca="1">IFERROR(__xludf.DUMMYFUNCTION("""COMPUTED_VALUE"""),"Yes")</f>
        <v>Yes</v>
      </c>
      <c r="R47" s="5" t="str">
        <f ca="1">IFERROR(__xludf.DUMMYFUNCTION("""COMPUTED_VALUE"""),"Yes")</f>
        <v>Yes</v>
      </c>
      <c r="S47" s="5" t="str">
        <f ca="1">IFERROR(__xludf.DUMMYFUNCTION("""COMPUTED_VALUE"""),"Yes")</f>
        <v>Yes</v>
      </c>
      <c r="T47" s="5" t="str">
        <f ca="1">IFERROR(__xludf.DUMMYFUNCTION("""COMPUTED_VALUE"""),"Yes")</f>
        <v>Yes</v>
      </c>
      <c r="U47" s="5" t="str">
        <f ca="1">IFERROR(__xludf.DUMMYFUNCTION("""COMPUTED_VALUE"""),"Yes")</f>
        <v>Yes</v>
      </c>
      <c r="V47" s="5" t="str">
        <f ca="1">IFERROR(__xludf.DUMMYFUNCTION("""COMPUTED_VALUE"""),"Yes")</f>
        <v>Yes</v>
      </c>
      <c r="W47" s="5"/>
      <c r="X47" s="5"/>
      <c r="Y47" s="5"/>
      <c r="Z47" s="5" t="str">
        <f ca="1">IFERROR(__xludf.DUMMYFUNCTION("""COMPUTED_VALUE"""),"Yes")</f>
        <v>Yes</v>
      </c>
      <c r="AA47" s="5"/>
      <c r="AB47" s="5"/>
      <c r="AC47" s="5"/>
    </row>
    <row r="48" spans="1:29" x14ac:dyDescent="0.25">
      <c r="A48" s="5" t="str">
        <f ca="1">IFERROR(__xludf.DUMMYFUNCTION("""COMPUTED_VALUE"""),"TurboDice40")</f>
        <v>TurboDice40</v>
      </c>
      <c r="B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 s="5" t="str">
        <f ca="1">IFERROR(__xludf.DUMMYFUNCTION("""COMPUTED_VALUE"""),"Yes")</f>
        <v>Yes</v>
      </c>
      <c r="D48" s="5" t="str">
        <f ca="1">IFERROR(__xludf.DUMMYFUNCTION("""COMPUTED_VALUE"""),"Yes")</f>
        <v>Yes</v>
      </c>
      <c r="E48" s="5" t="str">
        <f ca="1">IFERROR(__xludf.DUMMYFUNCTION("""COMPUTED_VALUE"""),"Yes")</f>
        <v>Yes</v>
      </c>
      <c r="F48" s="5" t="str">
        <f ca="1">IFERROR(__xludf.DUMMYFUNCTION("""COMPUTED_VALUE"""),"Yes")</f>
        <v>Yes</v>
      </c>
      <c r="G48" s="5" t="str">
        <f ca="1">IFERROR(__xludf.DUMMYFUNCTION("""COMPUTED_VALUE"""),"Yes")</f>
        <v>Yes</v>
      </c>
      <c r="H48" s="5" t="str">
        <f ca="1">IFERROR(__xludf.DUMMYFUNCTION("""COMPUTED_VALUE"""),"Yes")</f>
        <v>Yes</v>
      </c>
      <c r="I48" s="5" t="str">
        <f ca="1">IFERROR(__xludf.DUMMYFUNCTION("""COMPUTED_VALUE"""),"Yes")</f>
        <v>Yes</v>
      </c>
      <c r="J48" s="5" t="str">
        <f ca="1">IFERROR(__xludf.DUMMYFUNCTION("""COMPUTED_VALUE"""),"Yes")</f>
        <v>Yes</v>
      </c>
      <c r="K48" s="5" t="str">
        <f ca="1">IFERROR(__xludf.DUMMYFUNCTION("""COMPUTED_VALUE"""),"Yes")</f>
        <v>Yes</v>
      </c>
      <c r="L48" s="5" t="str">
        <f ca="1">IFERROR(__xludf.DUMMYFUNCTION("""COMPUTED_VALUE"""),"Yes")</f>
        <v>Yes</v>
      </c>
      <c r="M48" s="5" t="str">
        <f ca="1">IFERROR(__xludf.DUMMYFUNCTION("""COMPUTED_VALUE"""),"Yes")</f>
        <v>Yes</v>
      </c>
      <c r="N48" s="5" t="str">
        <f ca="1">IFERROR(__xludf.DUMMYFUNCTION("""COMPUTED_VALUE"""),"Yes")</f>
        <v>Yes</v>
      </c>
      <c r="O48" s="5" t="str">
        <f ca="1">IFERROR(__xludf.DUMMYFUNCTION("""COMPUTED_VALUE"""),"Yes")</f>
        <v>Yes</v>
      </c>
      <c r="P48" s="5" t="str">
        <f ca="1">IFERROR(__xludf.DUMMYFUNCTION("""COMPUTED_VALUE"""),"Yes")</f>
        <v>Yes</v>
      </c>
      <c r="Q48" s="5" t="str">
        <f ca="1">IFERROR(__xludf.DUMMYFUNCTION("""COMPUTED_VALUE"""),"Yes")</f>
        <v>Yes</v>
      </c>
      <c r="R48" s="5" t="str">
        <f ca="1">IFERROR(__xludf.DUMMYFUNCTION("""COMPUTED_VALUE"""),"Yes")</f>
        <v>Yes</v>
      </c>
      <c r="S48" s="5" t="str">
        <f ca="1">IFERROR(__xludf.DUMMYFUNCTION("""COMPUTED_VALUE"""),"Yes")</f>
        <v>Yes</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IFERROR(__xludf.DUMMYFUNCTION("""COMPUTED_VALUE"""),"Yes")</f>
        <v>Yes</v>
      </c>
      <c r="AA48" s="5" t="str">
        <f ca="1">IFERROR(__xludf.DUMMYFUNCTION("""COMPUTED_VALUE"""),"Yes")</f>
        <v>Yes</v>
      </c>
      <c r="AB48" s="5" t="str">
        <f ca="1">IFERROR(__xludf.DUMMYFUNCTION("""COMPUTED_VALUE"""),"Yes")</f>
        <v>Yes</v>
      </c>
      <c r="AC48" s="5" t="str">
        <f ca="1">IFERROR(__xludf.DUMMYFUNCTION("""COMPUTED_VALUE"""),"No")</f>
        <v>No</v>
      </c>
    </row>
    <row r="49" spans="1:29" x14ac:dyDescent="0.25">
      <c r="A49" s="5" t="str">
        <f ca="1">IFERROR(__xludf.DUMMYFUNCTION("""COMPUTED_VALUE"""),"TripleDice")</f>
        <v>TripleDice</v>
      </c>
      <c r="B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9" s="5" t="str">
        <f ca="1">IFERROR(__xludf.DUMMYFUNCTION("""COMPUTED_VALUE"""),"Yes")</f>
        <v>Yes</v>
      </c>
      <c r="D49" s="5" t="str">
        <f ca="1">IFERROR(__xludf.DUMMYFUNCTION("""COMPUTED_VALUE"""),"Yes")</f>
        <v>Yes</v>
      </c>
      <c r="E49" s="5" t="str">
        <f ca="1">IFERROR(__xludf.DUMMYFUNCTION("""COMPUTED_VALUE"""),"Yes")</f>
        <v>Yes</v>
      </c>
      <c r="F49" s="5" t="str">
        <f ca="1">IFERROR(__xludf.DUMMYFUNCTION("""COMPUTED_VALUE"""),"Yes")</f>
        <v>Yes</v>
      </c>
      <c r="G49" s="5" t="str">
        <f ca="1">IFERROR(__xludf.DUMMYFUNCTION("""COMPUTED_VALUE"""),"Yes")</f>
        <v>Yes</v>
      </c>
      <c r="H49" s="5" t="str">
        <f ca="1">IFERROR(__xludf.DUMMYFUNCTION("""COMPUTED_VALUE"""),"Yes")</f>
        <v>Yes</v>
      </c>
      <c r="I49" s="5" t="str">
        <f ca="1">IFERROR(__xludf.DUMMYFUNCTION("""COMPUTED_VALUE"""),"Yes")</f>
        <v>Yes</v>
      </c>
      <c r="J49" s="5" t="str">
        <f ca="1">IFERROR(__xludf.DUMMYFUNCTION("""COMPUTED_VALUE"""),"Yes")</f>
        <v>Yes</v>
      </c>
      <c r="K49" s="5" t="str">
        <f ca="1">IFERROR(__xludf.DUMMYFUNCTION("""COMPUTED_VALUE"""),"Yes")</f>
        <v>Yes</v>
      </c>
      <c r="L49" s="5" t="str">
        <f ca="1">IFERROR(__xludf.DUMMYFUNCTION("""COMPUTED_VALUE"""),"Yes")</f>
        <v>Yes</v>
      </c>
      <c r="M49" s="5" t="str">
        <f ca="1">IFERROR(__xludf.DUMMYFUNCTION("""COMPUTED_VALUE"""),"Yes")</f>
        <v>Yes</v>
      </c>
      <c r="N49" s="5" t="str">
        <f ca="1">IFERROR(__xludf.DUMMYFUNCTION("""COMPUTED_VALUE"""),"Yes")</f>
        <v>Yes</v>
      </c>
      <c r="O49" s="5" t="str">
        <f ca="1">IFERROR(__xludf.DUMMYFUNCTION("""COMPUTED_VALUE"""),"Yes")</f>
        <v>Yes</v>
      </c>
      <c r="P49" s="5" t="str">
        <f ca="1">IFERROR(__xludf.DUMMYFUNCTION("""COMPUTED_VALUE"""),"Yes")</f>
        <v>Yes</v>
      </c>
      <c r="Q49" s="5" t="str">
        <f ca="1">IFERROR(__xludf.DUMMYFUNCTION("""COMPUTED_VALUE"""),"Yes")</f>
        <v>Yes</v>
      </c>
      <c r="R49" s="5" t="str">
        <f ca="1">IFERROR(__xludf.DUMMYFUNCTION("""COMPUTED_VALUE"""),"Yes")</f>
        <v>Yes</v>
      </c>
      <c r="S49" s="5" t="str">
        <f ca="1">IFERROR(__xludf.DUMMYFUNCTION("""COMPUTED_VALUE"""),"Yes")</f>
        <v>Yes</v>
      </c>
      <c r="T49" s="5" t="str">
        <f ca="1">IFERROR(__xludf.DUMMYFUNCTION("""COMPUTED_VALUE"""),"Yes")</f>
        <v>Yes</v>
      </c>
      <c r="U49" s="5" t="str">
        <f ca="1">IFERROR(__xludf.DUMMYFUNCTION("""COMPUTED_VALUE"""),"Yes")</f>
        <v>Yes</v>
      </c>
      <c r="V49" s="5" t="str">
        <f ca="1">IFERROR(__xludf.DUMMYFUNCTION("""COMPUTED_VALUE"""),"Yes")</f>
        <v>Yes</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IFERROR(__xludf.DUMMYFUNCTION("""COMPUTED_VALUE"""),"No")</f>
        <v>No</v>
      </c>
    </row>
    <row r="50" spans="1:29" x14ac:dyDescent="0.25">
      <c r="A50" s="5" t="str">
        <f ca="1">IFERROR(__xludf.DUMMYFUNCTION("""COMPUTED_VALUE"""),"FlashingDice")</f>
        <v>FlashingDice</v>
      </c>
      <c r="B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0" s="5" t="str">
        <f ca="1">IFERROR(__xludf.DUMMYFUNCTION("""COMPUTED_VALUE"""),"Yes")</f>
        <v>Yes</v>
      </c>
      <c r="D50" s="5" t="str">
        <f ca="1">IFERROR(__xludf.DUMMYFUNCTION("""COMPUTED_VALUE"""),"Yes")</f>
        <v>Yes</v>
      </c>
      <c r="E50" s="5" t="str">
        <f ca="1">IFERROR(__xludf.DUMMYFUNCTION("""COMPUTED_VALUE"""),"Yes")</f>
        <v>Yes</v>
      </c>
      <c r="F50" s="5" t="str">
        <f ca="1">IFERROR(__xludf.DUMMYFUNCTION("""COMPUTED_VALUE"""),"Yes")</f>
        <v>Yes</v>
      </c>
      <c r="G50" s="5" t="str">
        <f ca="1">IFERROR(__xludf.DUMMYFUNCTION("""COMPUTED_VALUE"""),"Yes")</f>
        <v>Yes</v>
      </c>
      <c r="H50" s="5" t="str">
        <f ca="1">IFERROR(__xludf.DUMMYFUNCTION("""COMPUTED_VALUE"""),"Yes")</f>
        <v>Yes</v>
      </c>
      <c r="I50" s="5" t="str">
        <f ca="1">IFERROR(__xludf.DUMMYFUNCTION("""COMPUTED_VALUE"""),"Yes")</f>
        <v>Yes</v>
      </c>
      <c r="J50" s="5" t="str">
        <f ca="1">IFERROR(__xludf.DUMMYFUNCTION("""COMPUTED_VALUE"""),"Yes")</f>
        <v>Yes</v>
      </c>
      <c r="K50" s="5" t="str">
        <f ca="1">IFERROR(__xludf.DUMMYFUNCTION("""COMPUTED_VALUE"""),"Yes")</f>
        <v>Yes</v>
      </c>
      <c r="L50" s="5" t="str">
        <f ca="1">IFERROR(__xludf.DUMMYFUNCTION("""COMPUTED_VALUE"""),"Yes")</f>
        <v>Yes</v>
      </c>
      <c r="M50" s="5" t="str">
        <f ca="1">IFERROR(__xludf.DUMMYFUNCTION("""COMPUTED_VALUE"""),"Yes")</f>
        <v>Yes</v>
      </c>
      <c r="N50" s="5" t="str">
        <f ca="1">IFERROR(__xludf.DUMMYFUNCTION("""COMPUTED_VALUE"""),"Yes")</f>
        <v>Yes</v>
      </c>
      <c r="O50" s="5" t="str">
        <f ca="1">IFERROR(__xludf.DUMMYFUNCTION("""COMPUTED_VALUE"""),"Yes")</f>
        <v>Yes</v>
      </c>
      <c r="P50" s="5" t="str">
        <f ca="1">IFERROR(__xludf.DUMMYFUNCTION("""COMPUTED_VALUE"""),"Yes")</f>
        <v>Yes</v>
      </c>
      <c r="Q50" s="5" t="str">
        <f ca="1">IFERROR(__xludf.DUMMYFUNCTION("""COMPUTED_VALUE"""),"Yes")</f>
        <v>Yes</v>
      </c>
      <c r="R50" s="5" t="str">
        <f ca="1">IFERROR(__xludf.DUMMYFUNCTION("""COMPUTED_VALUE"""),"Yes")</f>
        <v>Yes</v>
      </c>
      <c r="S50" s="5" t="str">
        <f ca="1">IFERROR(__xludf.DUMMYFUNCTION("""COMPUTED_VALUE"""),"Yes")</f>
        <v>Yes</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IFERROR(__xludf.DUMMYFUNCTION("""COMPUTED_VALUE"""),"Yes")</f>
        <v>Yes</v>
      </c>
      <c r="AA50" s="5" t="str">
        <f ca="1">IFERROR(__xludf.DUMMYFUNCTION("""COMPUTED_VALUE"""),"Yes")</f>
        <v>Yes</v>
      </c>
      <c r="AB50" s="5" t="str">
        <f ca="1">IFERROR(__xludf.DUMMYFUNCTION("""COMPUTED_VALUE"""),"Yes")</f>
        <v>Yes</v>
      </c>
      <c r="AC50" s="5" t="str">
        <f ca="1">IFERROR(__xludf.DUMMYFUNCTION("""COMPUTED_VALUE"""),"No")</f>
        <v>No</v>
      </c>
    </row>
    <row r="51" spans="1:29" x14ac:dyDescent="0.25">
      <c r="A51" s="5" t="str">
        <f ca="1">IFERROR(__xludf.DUMMYFUNCTION("""COMPUTED_VALUE"""),"SpinCards")</f>
        <v>SpinCards</v>
      </c>
      <c r="B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1" s="5" t="str">
        <f ca="1">IFERROR(__xludf.DUMMYFUNCTION("""COMPUTED_VALUE"""),"Yes")</f>
        <v>Yes</v>
      </c>
      <c r="D51" s="5" t="str">
        <f ca="1">IFERROR(__xludf.DUMMYFUNCTION("""COMPUTED_VALUE"""),"Yes")</f>
        <v>Yes</v>
      </c>
      <c r="E51" s="5" t="str">
        <f ca="1">IFERROR(__xludf.DUMMYFUNCTION("""COMPUTED_VALUE"""),"Yes")</f>
        <v>Yes</v>
      </c>
      <c r="F51" s="5" t="str">
        <f ca="1">IFERROR(__xludf.DUMMYFUNCTION("""COMPUTED_VALUE"""),"Yes")</f>
        <v>Yes</v>
      </c>
      <c r="G51" s="5" t="str">
        <f ca="1">IFERROR(__xludf.DUMMYFUNCTION("""COMPUTED_VALUE"""),"Yes")</f>
        <v>Yes</v>
      </c>
      <c r="H51" s="5" t="str">
        <f ca="1">IFERROR(__xludf.DUMMYFUNCTION("""COMPUTED_VALUE"""),"Yes")</f>
        <v>Yes</v>
      </c>
      <c r="I51" s="5" t="str">
        <f ca="1">IFERROR(__xludf.DUMMYFUNCTION("""COMPUTED_VALUE"""),"Yes")</f>
        <v>Yes</v>
      </c>
      <c r="J51" s="5" t="str">
        <f ca="1">IFERROR(__xludf.DUMMYFUNCTION("""COMPUTED_VALUE"""),"Yes")</f>
        <v>Yes</v>
      </c>
      <c r="K51" s="5" t="str">
        <f ca="1">IFERROR(__xludf.DUMMYFUNCTION("""COMPUTED_VALUE"""),"Yes")</f>
        <v>Yes</v>
      </c>
      <c r="L51" s="5" t="str">
        <f ca="1">IFERROR(__xludf.DUMMYFUNCTION("""COMPUTED_VALUE"""),"Yes")</f>
        <v>Yes</v>
      </c>
      <c r="M51" s="5" t="str">
        <f ca="1">IFERROR(__xludf.DUMMYFUNCTION("""COMPUTED_VALUE"""),"Yes")</f>
        <v>Yes</v>
      </c>
      <c r="N51" s="5" t="str">
        <f ca="1">IFERROR(__xludf.DUMMYFUNCTION("""COMPUTED_VALUE"""),"Yes")</f>
        <v>Yes</v>
      </c>
      <c r="O51" s="5" t="str">
        <f ca="1">IFERROR(__xludf.DUMMYFUNCTION("""COMPUTED_VALUE"""),"Yes")</f>
        <v>Yes</v>
      </c>
      <c r="P51" s="5" t="str">
        <f ca="1">IFERROR(__xludf.DUMMYFUNCTION("""COMPUTED_VALUE"""),"Yes")</f>
        <v>Yes</v>
      </c>
      <c r="Q51" s="5" t="str">
        <f ca="1">IFERROR(__xludf.DUMMYFUNCTION("""COMPUTED_VALUE"""),"Yes")</f>
        <v>Yes</v>
      </c>
      <c r="R51" s="5" t="str">
        <f ca="1">IFERROR(__xludf.DUMMYFUNCTION("""COMPUTED_VALUE"""),"Yes")</f>
        <v>Yes</v>
      </c>
      <c r="S51" s="5" t="str">
        <f ca="1">IFERROR(__xludf.DUMMYFUNCTION("""COMPUTED_VALUE"""),"Yes")</f>
        <v>Yes</v>
      </c>
      <c r="T51" s="5" t="str">
        <f ca="1">IFERROR(__xludf.DUMMYFUNCTION("""COMPUTED_VALUE"""),"Yes")</f>
        <v>Yes</v>
      </c>
      <c r="U51" s="5" t="str">
        <f ca="1">IFERROR(__xludf.DUMMYFUNCTION("""COMPUTED_VALUE"""),"Yes")</f>
        <v>Yes</v>
      </c>
      <c r="V51" s="5" t="str">
        <f ca="1">IFERROR(__xludf.DUMMYFUNCTION("""COMPUTED_VALUE"""),"Yes")</f>
        <v>Yes</v>
      </c>
      <c r="W51" s="5"/>
      <c r="X51" s="5"/>
      <c r="Y51" s="5"/>
      <c r="Z51" s="5" t="str">
        <f ca="1">IFERROR(__xludf.DUMMYFUNCTION("""COMPUTED_VALUE"""),"Yes")</f>
        <v>Yes</v>
      </c>
      <c r="AA51" s="5"/>
      <c r="AB51" s="5"/>
      <c r="AC51" s="5"/>
    </row>
    <row r="52" spans="1:29" x14ac:dyDescent="0.25">
      <c r="A52" s="5" t="str">
        <f ca="1">IFERROR(__xludf.DUMMYFUNCTION("""COMPUTED_VALUE"""),"LuckyTwister")</f>
        <v>LuckyTwister</v>
      </c>
      <c r="B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2" s="5" t="str">
        <f ca="1">IFERROR(__xludf.DUMMYFUNCTION("""COMPUTED_VALUE"""),"Yes")</f>
        <v>Yes</v>
      </c>
      <c r="D52" s="5" t="str">
        <f ca="1">IFERROR(__xludf.DUMMYFUNCTION("""COMPUTED_VALUE"""),"Yes")</f>
        <v>Yes</v>
      </c>
      <c r="E52" s="5" t="str">
        <f ca="1">IFERROR(__xludf.DUMMYFUNCTION("""COMPUTED_VALUE"""),"Yes")</f>
        <v>Yes</v>
      </c>
      <c r="F52" s="5" t="str">
        <f ca="1">IFERROR(__xludf.DUMMYFUNCTION("""COMPUTED_VALUE"""),"Yes")</f>
        <v>Yes</v>
      </c>
      <c r="G52" s="5" t="str">
        <f ca="1">IFERROR(__xludf.DUMMYFUNCTION("""COMPUTED_VALUE"""),"Yes")</f>
        <v>Yes</v>
      </c>
      <c r="H52" s="5" t="str">
        <f ca="1">IFERROR(__xludf.DUMMYFUNCTION("""COMPUTED_VALUE"""),"Yes")</f>
        <v>Yes</v>
      </c>
      <c r="I52" s="5" t="str">
        <f ca="1">IFERROR(__xludf.DUMMYFUNCTION("""COMPUTED_VALUE"""),"Yes")</f>
        <v>Yes</v>
      </c>
      <c r="J52" s="5" t="str">
        <f ca="1">IFERROR(__xludf.DUMMYFUNCTION("""COMPUTED_VALUE"""),"Yes")</f>
        <v>Yes</v>
      </c>
      <c r="K52" s="5" t="str">
        <f ca="1">IFERROR(__xludf.DUMMYFUNCTION("""COMPUTED_VALUE"""),"Yes")</f>
        <v>Yes</v>
      </c>
      <c r="L52" s="5" t="str">
        <f ca="1">IFERROR(__xludf.DUMMYFUNCTION("""COMPUTED_VALUE"""),"Yes")</f>
        <v>Yes</v>
      </c>
      <c r="M52" s="5" t="str">
        <f ca="1">IFERROR(__xludf.DUMMYFUNCTION("""COMPUTED_VALUE"""),"Yes")</f>
        <v>Yes</v>
      </c>
      <c r="N52" s="5" t="str">
        <f ca="1">IFERROR(__xludf.DUMMYFUNCTION("""COMPUTED_VALUE"""),"Yes")</f>
        <v>Yes</v>
      </c>
      <c r="O52" s="5" t="str">
        <f ca="1">IFERROR(__xludf.DUMMYFUNCTION("""COMPUTED_VALUE"""),"Yes")</f>
        <v>Yes</v>
      </c>
      <c r="P52" s="5" t="str">
        <f ca="1">IFERROR(__xludf.DUMMYFUNCTION("""COMPUTED_VALUE"""),"Yes")</f>
        <v>Yes</v>
      </c>
      <c r="Q52" s="5" t="str">
        <f ca="1">IFERROR(__xludf.DUMMYFUNCTION("""COMPUTED_VALUE"""),"Yes")</f>
        <v>Yes</v>
      </c>
      <c r="R52" s="5" t="str">
        <f ca="1">IFERROR(__xludf.DUMMYFUNCTION("""COMPUTED_VALUE"""),"Yes")</f>
        <v>Yes</v>
      </c>
      <c r="S52" s="5" t="str">
        <f ca="1">IFERROR(__xludf.DUMMYFUNCTION("""COMPUTED_VALUE"""),"Yes")</f>
        <v>Yes</v>
      </c>
      <c r="T52" s="5" t="str">
        <f ca="1">IFERROR(__xludf.DUMMYFUNCTION("""COMPUTED_VALUE"""),"Yes")</f>
        <v>Yes</v>
      </c>
      <c r="U52" s="5" t="str">
        <f ca="1">IFERROR(__xludf.DUMMYFUNCTION("""COMPUTED_VALUE"""),"Yes")</f>
        <v>Yes</v>
      </c>
      <c r="V52" s="5" t="str">
        <f ca="1">IFERROR(__xludf.DUMMYFUNCTION("""COMPUTED_VALUE"""),"Yes")</f>
        <v>Yes</v>
      </c>
      <c r="W52" s="5"/>
      <c r="X52" s="5"/>
      <c r="Y52" s="5"/>
      <c r="Z52" s="5" t="str">
        <f ca="1">IFERROR(__xludf.DUMMYFUNCTION("""COMPUTED_VALUE"""),"Yes")</f>
        <v>Yes</v>
      </c>
      <c r="AA52" s="5"/>
      <c r="AB52" s="5"/>
      <c r="AC52" s="5"/>
    </row>
    <row r="53" spans="1:29" x14ac:dyDescent="0.25">
      <c r="A53" s="5" t="str">
        <f ca="1">IFERROR(__xludf.DUMMYFUNCTION("""COMPUTED_VALUE"""),"KatanasOfTime")</f>
        <v>KatanasOfTime</v>
      </c>
      <c r="B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 s="5" t="str">
        <f ca="1">IFERROR(__xludf.DUMMYFUNCTION("""COMPUTED_VALUE"""),"Yes")</f>
        <v>Yes</v>
      </c>
      <c r="D53" s="5" t="str">
        <f ca="1">IFERROR(__xludf.DUMMYFUNCTION("""COMPUTED_VALUE"""),"Yes")</f>
        <v>Yes</v>
      </c>
      <c r="E53" s="5" t="str">
        <f ca="1">IFERROR(__xludf.DUMMYFUNCTION("""COMPUTED_VALUE"""),"Yes")</f>
        <v>Yes</v>
      </c>
      <c r="F53" s="5" t="str">
        <f ca="1">IFERROR(__xludf.DUMMYFUNCTION("""COMPUTED_VALUE"""),"Yes")</f>
        <v>Yes</v>
      </c>
      <c r="G53" s="5" t="str">
        <f ca="1">IFERROR(__xludf.DUMMYFUNCTION("""COMPUTED_VALUE"""),"Yes")</f>
        <v>Yes</v>
      </c>
      <c r="H53" s="5" t="str">
        <f ca="1">IFERROR(__xludf.DUMMYFUNCTION("""COMPUTED_VALUE"""),"Yes")</f>
        <v>Yes</v>
      </c>
      <c r="I53" s="5" t="str">
        <f ca="1">IFERROR(__xludf.DUMMYFUNCTION("""COMPUTED_VALUE"""),"Yes")</f>
        <v>Yes</v>
      </c>
      <c r="J53" s="5" t="str">
        <f ca="1">IFERROR(__xludf.DUMMYFUNCTION("""COMPUTED_VALUE"""),"Yes")</f>
        <v>Yes</v>
      </c>
      <c r="K53" s="5" t="str">
        <f ca="1">IFERROR(__xludf.DUMMYFUNCTION("""COMPUTED_VALUE"""),"Yes")</f>
        <v>Yes</v>
      </c>
      <c r="L53" s="5" t="str">
        <f ca="1">IFERROR(__xludf.DUMMYFUNCTION("""COMPUTED_VALUE"""),"Yes")</f>
        <v>Yes</v>
      </c>
      <c r="M53" s="5" t="str">
        <f ca="1">IFERROR(__xludf.DUMMYFUNCTION("""COMPUTED_VALUE"""),"Yes")</f>
        <v>Yes</v>
      </c>
      <c r="N53" s="5" t="str">
        <f ca="1">IFERROR(__xludf.DUMMYFUNCTION("""COMPUTED_VALUE"""),"Yes")</f>
        <v>Yes</v>
      </c>
      <c r="O53" s="5" t="str">
        <f ca="1">IFERROR(__xludf.DUMMYFUNCTION("""COMPUTED_VALUE"""),"Yes")</f>
        <v>Yes</v>
      </c>
      <c r="P53" s="5" t="str">
        <f ca="1">IFERROR(__xludf.DUMMYFUNCTION("""COMPUTED_VALUE"""),"Yes")</f>
        <v>Yes</v>
      </c>
      <c r="Q53" s="5" t="str">
        <f ca="1">IFERROR(__xludf.DUMMYFUNCTION("""COMPUTED_VALUE"""),"Yes")</f>
        <v>Yes</v>
      </c>
      <c r="R53" s="5" t="str">
        <f ca="1">IFERROR(__xludf.DUMMYFUNCTION("""COMPUTED_VALUE"""),"Yes")</f>
        <v>Yes</v>
      </c>
      <c r="S53" s="5" t="str">
        <f ca="1">IFERROR(__xludf.DUMMYFUNCTION("""COMPUTED_VALUE"""),"Yes")</f>
        <v>Yes</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IFERROR(__xludf.DUMMYFUNCTION("""COMPUTED_VALUE"""),"Yes")</f>
        <v>Yes</v>
      </c>
      <c r="AA53" s="5" t="str">
        <f ca="1">IFERROR(__xludf.DUMMYFUNCTION("""COMPUTED_VALUE"""),"Yes")</f>
        <v>Yes</v>
      </c>
      <c r="AB53" s="5" t="str">
        <f ca="1">IFERROR(__xludf.DUMMYFUNCTION("""COMPUTED_VALUE"""),"Yes")</f>
        <v>Yes</v>
      </c>
      <c r="AC53" s="5" t="str">
        <f ca="1">IFERROR(__xludf.DUMMYFUNCTION("""COMPUTED_VALUE"""),"No")</f>
        <v>No</v>
      </c>
    </row>
    <row r="54" spans="1:29" x14ac:dyDescent="0.25">
      <c r="A54" s="5" t="str">
        <f ca="1">IFERROR(__xludf.DUMMYFUNCTION("""COMPUTED_VALUE"""),"Retro7Hot")</f>
        <v>Retro7Hot</v>
      </c>
      <c r="B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 s="5" t="str">
        <f ca="1">IFERROR(__xludf.DUMMYFUNCTION("""COMPUTED_VALUE"""),"Yes")</f>
        <v>Yes</v>
      </c>
      <c r="D54" s="5" t="str">
        <f ca="1">IFERROR(__xludf.DUMMYFUNCTION("""COMPUTED_VALUE"""),"Yes")</f>
        <v>Yes</v>
      </c>
      <c r="E54" s="5" t="str">
        <f ca="1">IFERROR(__xludf.DUMMYFUNCTION("""COMPUTED_VALUE"""),"Yes")</f>
        <v>Yes</v>
      </c>
      <c r="F54" s="5" t="str">
        <f ca="1">IFERROR(__xludf.DUMMYFUNCTION("""COMPUTED_VALUE"""),"Yes")</f>
        <v>Yes</v>
      </c>
      <c r="G54" s="5" t="str">
        <f ca="1">IFERROR(__xludf.DUMMYFUNCTION("""COMPUTED_VALUE"""),"Yes")</f>
        <v>Yes</v>
      </c>
      <c r="H54" s="5" t="str">
        <f ca="1">IFERROR(__xludf.DUMMYFUNCTION("""COMPUTED_VALUE"""),"Yes")</f>
        <v>Yes</v>
      </c>
      <c r="I54" s="5" t="str">
        <f ca="1">IFERROR(__xludf.DUMMYFUNCTION("""COMPUTED_VALUE"""),"Yes")</f>
        <v>Yes</v>
      </c>
      <c r="J54" s="5" t="str">
        <f ca="1">IFERROR(__xludf.DUMMYFUNCTION("""COMPUTED_VALUE"""),"Yes")</f>
        <v>Yes</v>
      </c>
      <c r="K54" s="5" t="str">
        <f ca="1">IFERROR(__xludf.DUMMYFUNCTION("""COMPUTED_VALUE"""),"Yes")</f>
        <v>Yes</v>
      </c>
      <c r="L54" s="5" t="str">
        <f ca="1">IFERROR(__xludf.DUMMYFUNCTION("""COMPUTED_VALUE"""),"Yes")</f>
        <v>Yes</v>
      </c>
      <c r="M54" s="5" t="str">
        <f ca="1">IFERROR(__xludf.DUMMYFUNCTION("""COMPUTED_VALUE"""),"Yes")</f>
        <v>Yes</v>
      </c>
      <c r="N54" s="5" t="str">
        <f ca="1">IFERROR(__xludf.DUMMYFUNCTION("""COMPUTED_VALUE"""),"Yes")</f>
        <v>Yes</v>
      </c>
      <c r="O54" s="5" t="str">
        <f ca="1">IFERROR(__xludf.DUMMYFUNCTION("""COMPUTED_VALUE"""),"Yes")</f>
        <v>Yes</v>
      </c>
      <c r="P54" s="5" t="str">
        <f ca="1">IFERROR(__xludf.DUMMYFUNCTION("""COMPUTED_VALUE"""),"Yes")</f>
        <v>Yes</v>
      </c>
      <c r="Q54" s="5" t="str">
        <f ca="1">IFERROR(__xludf.DUMMYFUNCTION("""COMPUTED_VALUE"""),"Yes")</f>
        <v>Yes</v>
      </c>
      <c r="R54" s="5" t="str">
        <f ca="1">IFERROR(__xludf.DUMMYFUNCTION("""COMPUTED_VALUE"""),"Yes")</f>
        <v>Yes</v>
      </c>
      <c r="S54" s="5" t="str">
        <f ca="1">IFERROR(__xludf.DUMMYFUNCTION("""COMPUTED_VALUE"""),"Yes")</f>
        <v>Yes</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IFERROR(__xludf.DUMMYFUNCTION("""COMPUTED_VALUE"""),"Yes")</f>
        <v>Yes</v>
      </c>
      <c r="X54" s="5" t="str">
        <f ca="1">IFERROR(__xludf.DUMMYFUNCTION("""COMPUTED_VALUE"""),"Yes")</f>
        <v>Yes</v>
      </c>
      <c r="Y54" s="5" t="str">
        <f ca="1">IFERROR(__xludf.DUMMYFUNCTION("""COMPUTED_VALUE"""),"Yes")</f>
        <v>Yes</v>
      </c>
      <c r="Z54" s="5" t="str">
        <f ca="1">IFERROR(__xludf.DUMMYFUNCTION("""COMPUTED_VALUE"""),"Yes")</f>
        <v>Yes</v>
      </c>
      <c r="AA54" s="5" t="str">
        <f ca="1">IFERROR(__xludf.DUMMYFUNCTION("""COMPUTED_VALUE"""),"Yes")</f>
        <v>Yes</v>
      </c>
      <c r="AB54" s="5" t="str">
        <f ca="1">IFERROR(__xludf.DUMMYFUNCTION("""COMPUTED_VALUE"""),"Yes")</f>
        <v>Yes</v>
      </c>
      <c r="AC54" s="5" t="str">
        <f ca="1">IFERROR(__xludf.DUMMYFUNCTION("""COMPUTED_VALUE"""),"No")</f>
        <v>No</v>
      </c>
    </row>
    <row r="55" spans="1:29" x14ac:dyDescent="0.25">
      <c r="A55" s="5" t="str">
        <f ca="1">IFERROR(__xludf.DUMMYFUNCTION("""COMPUTED_VALUE"""),"VipRoulette")</f>
        <v>VipRoulette</v>
      </c>
      <c r="B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 s="5" t="str">
        <f ca="1">IFERROR(__xludf.DUMMYFUNCTION("""COMPUTED_VALUE"""),"Yes")</f>
        <v>Yes</v>
      </c>
      <c r="D55" s="5" t="str">
        <f ca="1">IFERROR(__xludf.DUMMYFUNCTION("""COMPUTED_VALUE"""),"Yes")</f>
        <v>Yes</v>
      </c>
      <c r="E55" s="5" t="str">
        <f ca="1">IFERROR(__xludf.DUMMYFUNCTION("""COMPUTED_VALUE"""),"Yes")</f>
        <v>Yes</v>
      </c>
      <c r="F55" s="5" t="str">
        <f ca="1">IFERROR(__xludf.DUMMYFUNCTION("""COMPUTED_VALUE"""),"Yes")</f>
        <v>Yes</v>
      </c>
      <c r="G55" s="5" t="str">
        <f ca="1">IFERROR(__xludf.DUMMYFUNCTION("""COMPUTED_VALUE"""),"Yes")</f>
        <v>Yes</v>
      </c>
      <c r="H55" s="5" t="str">
        <f ca="1">IFERROR(__xludf.DUMMYFUNCTION("""COMPUTED_VALUE"""),"Yes")</f>
        <v>Yes</v>
      </c>
      <c r="I55" s="5" t="str">
        <f ca="1">IFERROR(__xludf.DUMMYFUNCTION("""COMPUTED_VALUE"""),"Yes")</f>
        <v>Yes</v>
      </c>
      <c r="J55" s="5" t="str">
        <f ca="1">IFERROR(__xludf.DUMMYFUNCTION("""COMPUTED_VALUE"""),"Yes")</f>
        <v>Yes</v>
      </c>
      <c r="K55" s="5" t="str">
        <f ca="1">IFERROR(__xludf.DUMMYFUNCTION("""COMPUTED_VALUE"""),"Yes")</f>
        <v>Yes</v>
      </c>
      <c r="L55" s="5" t="str">
        <f ca="1">IFERROR(__xludf.DUMMYFUNCTION("""COMPUTED_VALUE"""),"Yes")</f>
        <v>Yes</v>
      </c>
      <c r="M55" s="5" t="str">
        <f ca="1">IFERROR(__xludf.DUMMYFUNCTION("""COMPUTED_VALUE"""),"Yes")</f>
        <v>Yes</v>
      </c>
      <c r="N55" s="5" t="str">
        <f ca="1">IFERROR(__xludf.DUMMYFUNCTION("""COMPUTED_VALUE"""),"Yes")</f>
        <v>Yes</v>
      </c>
      <c r="O55" s="5" t="str">
        <f ca="1">IFERROR(__xludf.DUMMYFUNCTION("""COMPUTED_VALUE"""),"Yes")</f>
        <v>Yes</v>
      </c>
      <c r="P55" s="5" t="str">
        <f ca="1">IFERROR(__xludf.DUMMYFUNCTION("""COMPUTED_VALUE"""),"Yes")</f>
        <v>Yes</v>
      </c>
      <c r="Q55" s="5" t="str">
        <f ca="1">IFERROR(__xludf.DUMMYFUNCTION("""COMPUTED_VALUE"""),"Yes")</f>
        <v>Yes</v>
      </c>
      <c r="R55" s="5" t="str">
        <f ca="1">IFERROR(__xludf.DUMMYFUNCTION("""COMPUTED_VALUE"""),"Yes")</f>
        <v>Yes</v>
      </c>
      <c r="S55" s="5" t="str">
        <f ca="1">IFERROR(__xludf.DUMMYFUNCTION("""COMPUTED_VALUE"""),"Yes")</f>
        <v>Yes</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IFERROR(__xludf.DUMMYFUNCTION("""COMPUTED_VALUE"""),"Yes")</f>
        <v>Yes</v>
      </c>
      <c r="AA55" s="5" t="str">
        <f ca="1">IFERROR(__xludf.DUMMYFUNCTION("""COMPUTED_VALUE"""),"Yes")</f>
        <v>Yes</v>
      </c>
      <c r="AB55" s="5" t="str">
        <f ca="1">IFERROR(__xludf.DUMMYFUNCTION("""COMPUTED_VALUE"""),"Yes")</f>
        <v>Yes</v>
      </c>
      <c r="AC55" s="5" t="str">
        <f ca="1">IFERROR(__xludf.DUMMYFUNCTION("""COMPUTED_VALUE"""),"No")</f>
        <v>No</v>
      </c>
    </row>
    <row r="56" spans="1:29" x14ac:dyDescent="0.25">
      <c r="A56" s="5" t="str">
        <f ca="1">IFERROR(__xludf.DUMMYFUNCTION("""COMPUTED_VALUE"""),"StarRunner")</f>
        <v>StarRunner</v>
      </c>
      <c r="B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6" s="5" t="str">
        <f ca="1">IFERROR(__xludf.DUMMYFUNCTION("""COMPUTED_VALUE"""),"Yes")</f>
        <v>Yes</v>
      </c>
      <c r="D56" s="5" t="str">
        <f ca="1">IFERROR(__xludf.DUMMYFUNCTION("""COMPUTED_VALUE"""),"Yes")</f>
        <v>Yes</v>
      </c>
      <c r="E56" s="5" t="str">
        <f ca="1">IFERROR(__xludf.DUMMYFUNCTION("""COMPUTED_VALUE"""),"Yes")</f>
        <v>Yes</v>
      </c>
      <c r="F56" s="5" t="str">
        <f ca="1">IFERROR(__xludf.DUMMYFUNCTION("""COMPUTED_VALUE"""),"Yes")</f>
        <v>Yes</v>
      </c>
      <c r="G56" s="5" t="str">
        <f ca="1">IFERROR(__xludf.DUMMYFUNCTION("""COMPUTED_VALUE"""),"Yes")</f>
        <v>Yes</v>
      </c>
      <c r="H56" s="5" t="str">
        <f ca="1">IFERROR(__xludf.DUMMYFUNCTION("""COMPUTED_VALUE"""),"Yes")</f>
        <v>Yes</v>
      </c>
      <c r="I56" s="5" t="str">
        <f ca="1">IFERROR(__xludf.DUMMYFUNCTION("""COMPUTED_VALUE"""),"Yes")</f>
        <v>Yes</v>
      </c>
      <c r="J56" s="5" t="str">
        <f ca="1">IFERROR(__xludf.DUMMYFUNCTION("""COMPUTED_VALUE"""),"Yes")</f>
        <v>Yes</v>
      </c>
      <c r="K56" s="5" t="str">
        <f ca="1">IFERROR(__xludf.DUMMYFUNCTION("""COMPUTED_VALUE"""),"Yes")</f>
        <v>Yes</v>
      </c>
      <c r="L56" s="5" t="str">
        <f ca="1">IFERROR(__xludf.DUMMYFUNCTION("""COMPUTED_VALUE"""),"Yes")</f>
        <v>Yes</v>
      </c>
      <c r="M56" s="5" t="str">
        <f ca="1">IFERROR(__xludf.DUMMYFUNCTION("""COMPUTED_VALUE"""),"Yes")</f>
        <v>Yes</v>
      </c>
      <c r="N56" s="5" t="str">
        <f ca="1">IFERROR(__xludf.DUMMYFUNCTION("""COMPUTED_VALUE"""),"Yes")</f>
        <v>Yes</v>
      </c>
      <c r="O56" s="5" t="str">
        <f ca="1">IFERROR(__xludf.DUMMYFUNCTION("""COMPUTED_VALUE"""),"Yes")</f>
        <v>Yes</v>
      </c>
      <c r="P56" s="5" t="str">
        <f ca="1">IFERROR(__xludf.DUMMYFUNCTION("""COMPUTED_VALUE"""),"Yes")</f>
        <v>Yes</v>
      </c>
      <c r="Q56" s="5" t="str">
        <f ca="1">IFERROR(__xludf.DUMMYFUNCTION("""COMPUTED_VALUE"""),"Yes")</f>
        <v>Yes</v>
      </c>
      <c r="R56" s="5" t="str">
        <f ca="1">IFERROR(__xludf.DUMMYFUNCTION("""COMPUTED_VALUE"""),"Yes")</f>
        <v>Yes</v>
      </c>
      <c r="S56" s="5" t="str">
        <f ca="1">IFERROR(__xludf.DUMMYFUNCTION("""COMPUTED_VALUE"""),"Yes")</f>
        <v>Yes</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IFERROR(__xludf.DUMMYFUNCTION("""COMPUTED_VALUE"""),"No")</f>
        <v>No</v>
      </c>
    </row>
    <row r="57" spans="1:29" x14ac:dyDescent="0.25">
      <c r="A57" s="5" t="str">
        <f ca="1">IFERROR(__xludf.DUMMYFUNCTION("""COMPUTED_VALUE"""),"AlohaCharm")</f>
        <v>AlohaCharm</v>
      </c>
      <c r="B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7" s="5" t="str">
        <f ca="1">IFERROR(__xludf.DUMMYFUNCTION("""COMPUTED_VALUE"""),"Yes")</f>
        <v>Yes</v>
      </c>
      <c r="D57" s="5" t="str">
        <f ca="1">IFERROR(__xludf.DUMMYFUNCTION("""COMPUTED_VALUE"""),"Yes")</f>
        <v>Yes</v>
      </c>
      <c r="E57" s="5" t="str">
        <f ca="1">IFERROR(__xludf.DUMMYFUNCTION("""COMPUTED_VALUE"""),"Yes")</f>
        <v>Yes</v>
      </c>
      <c r="F57" s="5" t="str">
        <f ca="1">IFERROR(__xludf.DUMMYFUNCTION("""COMPUTED_VALUE"""),"Yes")</f>
        <v>Yes</v>
      </c>
      <c r="G57" s="5" t="str">
        <f ca="1">IFERROR(__xludf.DUMMYFUNCTION("""COMPUTED_VALUE"""),"Yes")</f>
        <v>Yes</v>
      </c>
      <c r="H57" s="5" t="str">
        <f ca="1">IFERROR(__xludf.DUMMYFUNCTION("""COMPUTED_VALUE"""),"Yes")</f>
        <v>Yes</v>
      </c>
      <c r="I57" s="5" t="str">
        <f ca="1">IFERROR(__xludf.DUMMYFUNCTION("""COMPUTED_VALUE"""),"Yes")</f>
        <v>Yes</v>
      </c>
      <c r="J57" s="5" t="str">
        <f ca="1">IFERROR(__xludf.DUMMYFUNCTION("""COMPUTED_VALUE"""),"Yes")</f>
        <v>Yes</v>
      </c>
      <c r="K57" s="5" t="str">
        <f ca="1">IFERROR(__xludf.DUMMYFUNCTION("""COMPUTED_VALUE"""),"Yes")</f>
        <v>Yes</v>
      </c>
      <c r="L57" s="5" t="str">
        <f ca="1">IFERROR(__xludf.DUMMYFUNCTION("""COMPUTED_VALUE"""),"Yes")</f>
        <v>Yes</v>
      </c>
      <c r="M57" s="5" t="str">
        <f ca="1">IFERROR(__xludf.DUMMYFUNCTION("""COMPUTED_VALUE"""),"Yes")</f>
        <v>Yes</v>
      </c>
      <c r="N57" s="5" t="str">
        <f ca="1">IFERROR(__xludf.DUMMYFUNCTION("""COMPUTED_VALUE"""),"Yes")</f>
        <v>Yes</v>
      </c>
      <c r="O57" s="5" t="str">
        <f ca="1">IFERROR(__xludf.DUMMYFUNCTION("""COMPUTED_VALUE"""),"Yes")</f>
        <v>Yes</v>
      </c>
      <c r="P57" s="5" t="str">
        <f ca="1">IFERROR(__xludf.DUMMYFUNCTION("""COMPUTED_VALUE"""),"Yes")</f>
        <v>Yes</v>
      </c>
      <c r="Q57" s="5" t="str">
        <f ca="1">IFERROR(__xludf.DUMMYFUNCTION("""COMPUTED_VALUE"""),"Yes")</f>
        <v>Yes</v>
      </c>
      <c r="R57" s="5" t="str">
        <f ca="1">IFERROR(__xludf.DUMMYFUNCTION("""COMPUTED_VALUE"""),"Yes")</f>
        <v>Yes</v>
      </c>
      <c r="S57" s="5" t="str">
        <f ca="1">IFERROR(__xludf.DUMMYFUNCTION("""COMPUTED_VALUE"""),"Yes")</f>
        <v>Yes</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IFERROR(__xludf.DUMMYFUNCTION("""COMPUTED_VALUE"""),"No")</f>
        <v>No</v>
      </c>
    </row>
    <row r="58" spans="1:29" x14ac:dyDescent="0.25">
      <c r="A58" s="5" t="str">
        <f ca="1">IFERROR(__xludf.DUMMYFUNCTION("""COMPUTED_VALUE"""),"LuxRoulette")</f>
        <v>LuxRoulette</v>
      </c>
      <c r="B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 s="5" t="str">
        <f ca="1">IFERROR(__xludf.DUMMYFUNCTION("""COMPUTED_VALUE"""),"Yes")</f>
        <v>Yes</v>
      </c>
      <c r="D58" s="5" t="str">
        <f ca="1">IFERROR(__xludf.DUMMYFUNCTION("""COMPUTED_VALUE"""),"Yes")</f>
        <v>Yes</v>
      </c>
      <c r="E58" s="5" t="str">
        <f ca="1">IFERROR(__xludf.DUMMYFUNCTION("""COMPUTED_VALUE"""),"Yes")</f>
        <v>Yes</v>
      </c>
      <c r="F58" s="5" t="str">
        <f ca="1">IFERROR(__xludf.DUMMYFUNCTION("""COMPUTED_VALUE"""),"Yes")</f>
        <v>Yes</v>
      </c>
      <c r="G58" s="5" t="str">
        <f ca="1">IFERROR(__xludf.DUMMYFUNCTION("""COMPUTED_VALUE"""),"Yes")</f>
        <v>Yes</v>
      </c>
      <c r="H58" s="5" t="str">
        <f ca="1">IFERROR(__xludf.DUMMYFUNCTION("""COMPUTED_VALUE"""),"Yes")</f>
        <v>Yes</v>
      </c>
      <c r="I58" s="5" t="str">
        <f ca="1">IFERROR(__xludf.DUMMYFUNCTION("""COMPUTED_VALUE"""),"Yes")</f>
        <v>Yes</v>
      </c>
      <c r="J58" s="5" t="str">
        <f ca="1">IFERROR(__xludf.DUMMYFUNCTION("""COMPUTED_VALUE"""),"Yes")</f>
        <v>Yes</v>
      </c>
      <c r="K58" s="5" t="str">
        <f ca="1">IFERROR(__xludf.DUMMYFUNCTION("""COMPUTED_VALUE"""),"Yes")</f>
        <v>Yes</v>
      </c>
      <c r="L58" s="5" t="str">
        <f ca="1">IFERROR(__xludf.DUMMYFUNCTION("""COMPUTED_VALUE"""),"Yes")</f>
        <v>Yes</v>
      </c>
      <c r="M58" s="5" t="str">
        <f ca="1">IFERROR(__xludf.DUMMYFUNCTION("""COMPUTED_VALUE"""),"Yes")</f>
        <v>Yes</v>
      </c>
      <c r="N58" s="5" t="str">
        <f ca="1">IFERROR(__xludf.DUMMYFUNCTION("""COMPUTED_VALUE"""),"Yes")</f>
        <v>Yes</v>
      </c>
      <c r="O58" s="5" t="str">
        <f ca="1">IFERROR(__xludf.DUMMYFUNCTION("""COMPUTED_VALUE"""),"Yes")</f>
        <v>Yes</v>
      </c>
      <c r="P58" s="5" t="str">
        <f ca="1">IFERROR(__xludf.DUMMYFUNCTION("""COMPUTED_VALUE"""),"Yes")</f>
        <v>Yes</v>
      </c>
      <c r="Q58" s="5" t="str">
        <f ca="1">IFERROR(__xludf.DUMMYFUNCTION("""COMPUTED_VALUE"""),"Yes")</f>
        <v>Yes</v>
      </c>
      <c r="R58" s="5" t="str">
        <f ca="1">IFERROR(__xludf.DUMMYFUNCTION("""COMPUTED_VALUE"""),"Yes")</f>
        <v>Yes</v>
      </c>
      <c r="S58" s="5" t="str">
        <f ca="1">IFERROR(__xludf.DUMMYFUNCTION("""COMPUTED_VALUE"""),"Yes")</f>
        <v>Yes</v>
      </c>
      <c r="T58" s="5" t="str">
        <f ca="1">IFERROR(__xludf.DUMMYFUNCTION("""COMPUTED_VALUE"""),"Yes")</f>
        <v>Yes</v>
      </c>
      <c r="U58" s="5" t="str">
        <f ca="1">IFERROR(__xludf.DUMMYFUNCTION("""COMPUTED_VALUE"""),"Yes")</f>
        <v>Yes</v>
      </c>
      <c r="V58" s="5" t="str">
        <f ca="1">IFERROR(__xludf.DUMMYFUNCTION("""COMPUTED_VALUE"""),"Yes")</f>
        <v>Yes</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IFERROR(__xludf.DUMMYFUNCTION("""COMPUTED_VALUE"""),"No")</f>
        <v>No</v>
      </c>
    </row>
    <row r="59" spans="1:29" x14ac:dyDescent="0.25">
      <c r="A59" s="5" t="str">
        <f ca="1">IFERROR(__xludf.DUMMYFUNCTION("""COMPUTED_VALUE"""),"FruitsAndStars40")</f>
        <v>FruitsAndStars40</v>
      </c>
      <c r="B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 s="5" t="str">
        <f ca="1">IFERROR(__xludf.DUMMYFUNCTION("""COMPUTED_VALUE"""),"Yes")</f>
        <v>Yes</v>
      </c>
      <c r="D59" s="5" t="str">
        <f ca="1">IFERROR(__xludf.DUMMYFUNCTION("""COMPUTED_VALUE"""),"Yes")</f>
        <v>Yes</v>
      </c>
      <c r="E59" s="5" t="str">
        <f ca="1">IFERROR(__xludf.DUMMYFUNCTION("""COMPUTED_VALUE"""),"Yes")</f>
        <v>Yes</v>
      </c>
      <c r="F59" s="5" t="str">
        <f ca="1">IFERROR(__xludf.DUMMYFUNCTION("""COMPUTED_VALUE"""),"Yes")</f>
        <v>Yes</v>
      </c>
      <c r="G59" s="5" t="str">
        <f ca="1">IFERROR(__xludf.DUMMYFUNCTION("""COMPUTED_VALUE"""),"Yes")</f>
        <v>Yes</v>
      </c>
      <c r="H59" s="5" t="str">
        <f ca="1">IFERROR(__xludf.DUMMYFUNCTION("""COMPUTED_VALUE"""),"Yes")</f>
        <v>Yes</v>
      </c>
      <c r="I59" s="5" t="str">
        <f ca="1">IFERROR(__xludf.DUMMYFUNCTION("""COMPUTED_VALUE"""),"Yes")</f>
        <v>Yes</v>
      </c>
      <c r="J59" s="5" t="str">
        <f ca="1">IFERROR(__xludf.DUMMYFUNCTION("""COMPUTED_VALUE"""),"Yes")</f>
        <v>Yes</v>
      </c>
      <c r="K59" s="5" t="str">
        <f ca="1">IFERROR(__xludf.DUMMYFUNCTION("""COMPUTED_VALUE"""),"Yes")</f>
        <v>Yes</v>
      </c>
      <c r="L59" s="5" t="str">
        <f ca="1">IFERROR(__xludf.DUMMYFUNCTION("""COMPUTED_VALUE"""),"Yes")</f>
        <v>Yes</v>
      </c>
      <c r="M59" s="5" t="str">
        <f ca="1">IFERROR(__xludf.DUMMYFUNCTION("""COMPUTED_VALUE"""),"Yes")</f>
        <v>Yes</v>
      </c>
      <c r="N59" s="5" t="str">
        <f ca="1">IFERROR(__xludf.DUMMYFUNCTION("""COMPUTED_VALUE"""),"Yes")</f>
        <v>Yes</v>
      </c>
      <c r="O59" s="5" t="str">
        <f ca="1">IFERROR(__xludf.DUMMYFUNCTION("""COMPUTED_VALUE"""),"Yes")</f>
        <v>Yes</v>
      </c>
      <c r="P59" s="5" t="str">
        <f ca="1">IFERROR(__xludf.DUMMYFUNCTION("""COMPUTED_VALUE"""),"Yes")</f>
        <v>Yes</v>
      </c>
      <c r="Q59" s="5" t="str">
        <f ca="1">IFERROR(__xludf.DUMMYFUNCTION("""COMPUTED_VALUE"""),"Yes")</f>
        <v>Yes</v>
      </c>
      <c r="R59" s="5" t="str">
        <f ca="1">IFERROR(__xludf.DUMMYFUNCTION("""COMPUTED_VALUE"""),"Yes")</f>
        <v>Yes</v>
      </c>
      <c r="S59" s="5" t="str">
        <f ca="1">IFERROR(__xludf.DUMMYFUNCTION("""COMPUTED_VALUE"""),"Yes")</f>
        <v>Yes</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IFERROR(__xludf.DUMMYFUNCTION("""COMPUTED_VALUE"""),"No")</f>
        <v>No</v>
      </c>
    </row>
    <row r="60" spans="1:29" x14ac:dyDescent="0.25">
      <c r="A60" s="5" t="str">
        <f ca="1">IFERROR(__xludf.DUMMYFUNCTION("""COMPUTED_VALUE"""),"TwinklingHot5")</f>
        <v>TwinklingHot5</v>
      </c>
      <c r="B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 s="5" t="str">
        <f ca="1">IFERROR(__xludf.DUMMYFUNCTION("""COMPUTED_VALUE"""),"Yes")</f>
        <v>Yes</v>
      </c>
      <c r="D60" s="5" t="str">
        <f ca="1">IFERROR(__xludf.DUMMYFUNCTION("""COMPUTED_VALUE"""),"Yes")</f>
        <v>Yes</v>
      </c>
      <c r="E60" s="5" t="str">
        <f ca="1">IFERROR(__xludf.DUMMYFUNCTION("""COMPUTED_VALUE"""),"Yes")</f>
        <v>Yes</v>
      </c>
      <c r="F60" s="5" t="str">
        <f ca="1">IFERROR(__xludf.DUMMYFUNCTION("""COMPUTED_VALUE"""),"Yes")</f>
        <v>Yes</v>
      </c>
      <c r="G60" s="5" t="str">
        <f ca="1">IFERROR(__xludf.DUMMYFUNCTION("""COMPUTED_VALUE"""),"Yes")</f>
        <v>Yes</v>
      </c>
      <c r="H60" s="5" t="str">
        <f ca="1">IFERROR(__xludf.DUMMYFUNCTION("""COMPUTED_VALUE"""),"Yes")</f>
        <v>Yes</v>
      </c>
      <c r="I60" s="5" t="str">
        <f ca="1">IFERROR(__xludf.DUMMYFUNCTION("""COMPUTED_VALUE"""),"Yes")</f>
        <v>Yes</v>
      </c>
      <c r="J60" s="5" t="str">
        <f ca="1">IFERROR(__xludf.DUMMYFUNCTION("""COMPUTED_VALUE"""),"Yes")</f>
        <v>Yes</v>
      </c>
      <c r="K60" s="5" t="str">
        <f ca="1">IFERROR(__xludf.DUMMYFUNCTION("""COMPUTED_VALUE"""),"Yes")</f>
        <v>Yes</v>
      </c>
      <c r="L60" s="5" t="str">
        <f ca="1">IFERROR(__xludf.DUMMYFUNCTION("""COMPUTED_VALUE"""),"Yes")</f>
        <v>Yes</v>
      </c>
      <c r="M60" s="5" t="str">
        <f ca="1">IFERROR(__xludf.DUMMYFUNCTION("""COMPUTED_VALUE"""),"Yes")</f>
        <v>Yes</v>
      </c>
      <c r="N60" s="5" t="str">
        <f ca="1">IFERROR(__xludf.DUMMYFUNCTION("""COMPUTED_VALUE"""),"Yes")</f>
        <v>Yes</v>
      </c>
      <c r="O60" s="5" t="str">
        <f ca="1">IFERROR(__xludf.DUMMYFUNCTION("""COMPUTED_VALUE"""),"Yes")</f>
        <v>Yes</v>
      </c>
      <c r="P60" s="5" t="str">
        <f ca="1">IFERROR(__xludf.DUMMYFUNCTION("""COMPUTED_VALUE"""),"Yes")</f>
        <v>Yes</v>
      </c>
      <c r="Q60" s="5" t="str">
        <f ca="1">IFERROR(__xludf.DUMMYFUNCTION("""COMPUTED_VALUE"""),"Yes")</f>
        <v>Yes</v>
      </c>
      <c r="R60" s="5" t="str">
        <f ca="1">IFERROR(__xludf.DUMMYFUNCTION("""COMPUTED_VALUE"""),"Yes")</f>
        <v>Yes</v>
      </c>
      <c r="S60" s="5" t="str">
        <f ca="1">IFERROR(__xludf.DUMMYFUNCTION("""COMPUTED_VALUE"""),"Yes")</f>
        <v>Yes</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IFERROR(__xludf.DUMMYFUNCTION("""COMPUTED_VALUE"""),"Yes")</f>
        <v>Yes</v>
      </c>
      <c r="AA60" s="5" t="str">
        <f ca="1">IFERROR(__xludf.DUMMYFUNCTION("""COMPUTED_VALUE"""),"Yes")</f>
        <v>Yes</v>
      </c>
      <c r="AB60" s="5" t="str">
        <f ca="1">IFERROR(__xludf.DUMMYFUNCTION("""COMPUTED_VALUE"""),"Yes")</f>
        <v>Yes</v>
      </c>
      <c r="AC60" s="5" t="str">
        <f ca="1">IFERROR(__xludf.DUMMYFUNCTION("""COMPUTED_VALUE"""),"No")</f>
        <v>No</v>
      </c>
    </row>
    <row r="61" spans="1:29" x14ac:dyDescent="0.25">
      <c r="A61" s="5" t="str">
        <f ca="1">IFERROR(__xludf.DUMMYFUNCTION("""COMPUTED_VALUE"""),"DiceOfSpells")</f>
        <v>DiceOfSpells</v>
      </c>
      <c r="B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 s="5" t="str">
        <f ca="1">IFERROR(__xludf.DUMMYFUNCTION("""COMPUTED_VALUE"""),"Yes")</f>
        <v>Yes</v>
      </c>
      <c r="D61" s="5" t="str">
        <f ca="1">IFERROR(__xludf.DUMMYFUNCTION("""COMPUTED_VALUE"""),"Yes")</f>
        <v>Yes</v>
      </c>
      <c r="E61" s="5" t="str">
        <f ca="1">IFERROR(__xludf.DUMMYFUNCTION("""COMPUTED_VALUE"""),"Yes")</f>
        <v>Yes</v>
      </c>
      <c r="F61" s="5" t="str">
        <f ca="1">IFERROR(__xludf.DUMMYFUNCTION("""COMPUTED_VALUE"""),"Yes")</f>
        <v>Yes</v>
      </c>
      <c r="G61" s="5" t="str">
        <f ca="1">IFERROR(__xludf.DUMMYFUNCTION("""COMPUTED_VALUE"""),"Yes")</f>
        <v>Yes</v>
      </c>
      <c r="H61" s="5" t="str">
        <f ca="1">IFERROR(__xludf.DUMMYFUNCTION("""COMPUTED_VALUE"""),"Yes")</f>
        <v>Yes</v>
      </c>
      <c r="I61" s="5" t="str">
        <f ca="1">IFERROR(__xludf.DUMMYFUNCTION("""COMPUTED_VALUE"""),"Yes")</f>
        <v>Yes</v>
      </c>
      <c r="J61" s="5" t="str">
        <f ca="1">IFERROR(__xludf.DUMMYFUNCTION("""COMPUTED_VALUE"""),"Yes")</f>
        <v>Yes</v>
      </c>
      <c r="K61" s="5" t="str">
        <f ca="1">IFERROR(__xludf.DUMMYFUNCTION("""COMPUTED_VALUE"""),"Yes")</f>
        <v>Yes</v>
      </c>
      <c r="L61" s="5" t="str">
        <f ca="1">IFERROR(__xludf.DUMMYFUNCTION("""COMPUTED_VALUE"""),"Yes")</f>
        <v>Yes</v>
      </c>
      <c r="M61" s="5" t="str">
        <f ca="1">IFERROR(__xludf.DUMMYFUNCTION("""COMPUTED_VALUE"""),"Yes")</f>
        <v>Yes</v>
      </c>
      <c r="N61" s="5" t="str">
        <f ca="1">IFERROR(__xludf.DUMMYFUNCTION("""COMPUTED_VALUE"""),"Yes")</f>
        <v>Yes</v>
      </c>
      <c r="O61" s="5" t="str">
        <f ca="1">IFERROR(__xludf.DUMMYFUNCTION("""COMPUTED_VALUE"""),"Yes")</f>
        <v>Yes</v>
      </c>
      <c r="P61" s="5" t="str">
        <f ca="1">IFERROR(__xludf.DUMMYFUNCTION("""COMPUTED_VALUE"""),"Yes")</f>
        <v>Yes</v>
      </c>
      <c r="Q61" s="5" t="str">
        <f ca="1">IFERROR(__xludf.DUMMYFUNCTION("""COMPUTED_VALUE"""),"Yes")</f>
        <v>Yes</v>
      </c>
      <c r="R61" s="5" t="str">
        <f ca="1">IFERROR(__xludf.DUMMYFUNCTION("""COMPUTED_VALUE"""),"Yes")</f>
        <v>Yes</v>
      </c>
      <c r="S61" s="5" t="str">
        <f ca="1">IFERROR(__xludf.DUMMYFUNCTION("""COMPUTED_VALUE"""),"Yes")</f>
        <v>Yes</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IFERROR(__xludf.DUMMYFUNCTION("""COMPUTED_VALUE"""),"Yes")</f>
        <v>Yes</v>
      </c>
      <c r="X61" s="5" t="str">
        <f ca="1">IFERROR(__xludf.DUMMYFUNCTION("""COMPUTED_VALUE"""),"Yes")</f>
        <v>Yes</v>
      </c>
      <c r="Y61" s="5" t="str">
        <f ca="1">IFERROR(__xludf.DUMMYFUNCTION("""COMPUTED_VALUE"""),"Yes")</f>
        <v>Yes</v>
      </c>
      <c r="Z61" s="5" t="str">
        <f ca="1">IFERROR(__xludf.DUMMYFUNCTION("""COMPUTED_VALUE"""),"Yes")</f>
        <v>Yes</v>
      </c>
      <c r="AA61" s="5" t="str">
        <f ca="1">IFERROR(__xludf.DUMMYFUNCTION("""COMPUTED_VALUE"""),"Yes")</f>
        <v>Yes</v>
      </c>
      <c r="AB61" s="5" t="str">
        <f ca="1">IFERROR(__xludf.DUMMYFUNCTION("""COMPUTED_VALUE"""),"Yes")</f>
        <v>Yes</v>
      </c>
      <c r="AC61" s="5" t="str">
        <f ca="1">IFERROR(__xludf.DUMMYFUNCTION("""COMPUTED_VALUE"""),"No")</f>
        <v>No</v>
      </c>
    </row>
    <row r="62" spans="1:29" x14ac:dyDescent="0.25">
      <c r="A62" s="5" t="str">
        <f ca="1">IFERROR(__xludf.DUMMYFUNCTION("""COMPUTED_VALUE"""),"CubesAndStars")</f>
        <v>CubesAndStars</v>
      </c>
      <c r="B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 s="5" t="str">
        <f ca="1">IFERROR(__xludf.DUMMYFUNCTION("""COMPUTED_VALUE"""),"Yes")</f>
        <v>Yes</v>
      </c>
      <c r="D62" s="5" t="str">
        <f ca="1">IFERROR(__xludf.DUMMYFUNCTION("""COMPUTED_VALUE"""),"Yes")</f>
        <v>Yes</v>
      </c>
      <c r="E62" s="5" t="str">
        <f ca="1">IFERROR(__xludf.DUMMYFUNCTION("""COMPUTED_VALUE"""),"Yes")</f>
        <v>Yes</v>
      </c>
      <c r="F62" s="5" t="str">
        <f ca="1">IFERROR(__xludf.DUMMYFUNCTION("""COMPUTED_VALUE"""),"Yes")</f>
        <v>Yes</v>
      </c>
      <c r="G62" s="5" t="str">
        <f ca="1">IFERROR(__xludf.DUMMYFUNCTION("""COMPUTED_VALUE"""),"Yes")</f>
        <v>Yes</v>
      </c>
      <c r="H62" s="5" t="str">
        <f ca="1">IFERROR(__xludf.DUMMYFUNCTION("""COMPUTED_VALUE"""),"Yes")</f>
        <v>Yes</v>
      </c>
      <c r="I62" s="5" t="str">
        <f ca="1">IFERROR(__xludf.DUMMYFUNCTION("""COMPUTED_VALUE"""),"Yes")</f>
        <v>Yes</v>
      </c>
      <c r="J62" s="5" t="str">
        <f ca="1">IFERROR(__xludf.DUMMYFUNCTION("""COMPUTED_VALUE"""),"Yes")</f>
        <v>Yes</v>
      </c>
      <c r="K62" s="5" t="str">
        <f ca="1">IFERROR(__xludf.DUMMYFUNCTION("""COMPUTED_VALUE"""),"Yes")</f>
        <v>Yes</v>
      </c>
      <c r="L62" s="5" t="str">
        <f ca="1">IFERROR(__xludf.DUMMYFUNCTION("""COMPUTED_VALUE"""),"Yes")</f>
        <v>Yes</v>
      </c>
      <c r="M62" s="5" t="str">
        <f ca="1">IFERROR(__xludf.DUMMYFUNCTION("""COMPUTED_VALUE"""),"Yes")</f>
        <v>Yes</v>
      </c>
      <c r="N62" s="5" t="str">
        <f ca="1">IFERROR(__xludf.DUMMYFUNCTION("""COMPUTED_VALUE"""),"Yes")</f>
        <v>Yes</v>
      </c>
      <c r="O62" s="5" t="str">
        <f ca="1">IFERROR(__xludf.DUMMYFUNCTION("""COMPUTED_VALUE"""),"Yes")</f>
        <v>Yes</v>
      </c>
      <c r="P62" s="5" t="str">
        <f ca="1">IFERROR(__xludf.DUMMYFUNCTION("""COMPUTED_VALUE"""),"Yes")</f>
        <v>Yes</v>
      </c>
      <c r="Q62" s="5" t="str">
        <f ca="1">IFERROR(__xludf.DUMMYFUNCTION("""COMPUTED_VALUE"""),"Yes")</f>
        <v>Yes</v>
      </c>
      <c r="R62" s="5" t="str">
        <f ca="1">IFERROR(__xludf.DUMMYFUNCTION("""COMPUTED_VALUE"""),"Yes")</f>
        <v>Yes</v>
      </c>
      <c r="S62" s="5" t="str">
        <f ca="1">IFERROR(__xludf.DUMMYFUNCTION("""COMPUTED_VALUE"""),"Yes")</f>
        <v>Yes</v>
      </c>
      <c r="T62" s="5" t="str">
        <f ca="1">IFERROR(__xludf.DUMMYFUNCTION("""COMPUTED_VALUE"""),"Yes")</f>
        <v>Yes</v>
      </c>
      <c r="U62" s="5" t="str">
        <f ca="1">IFERROR(__xludf.DUMMYFUNCTION("""COMPUTED_VALUE"""),"Yes")</f>
        <v>Yes</v>
      </c>
      <c r="V62" s="5" t="str">
        <f ca="1">IFERROR(__xludf.DUMMYFUNCTION("""COMPUTED_VALUE"""),"Yes")</f>
        <v>Yes</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IFERROR(__xludf.DUMMYFUNCTION("""COMPUTED_VALUE"""),"Yes")</f>
        <v>Yes</v>
      </c>
      <c r="AA62" s="5" t="str">
        <f ca="1">IFERROR(__xludf.DUMMYFUNCTION("""COMPUTED_VALUE"""),"Yes")</f>
        <v>Yes</v>
      </c>
      <c r="AB62" s="5" t="str">
        <f ca="1">IFERROR(__xludf.DUMMYFUNCTION("""COMPUTED_VALUE"""),"Yes")</f>
        <v>Yes</v>
      </c>
      <c r="AC62" s="5" t="str">
        <f ca="1">IFERROR(__xludf.DUMMYFUNCTION("""COMPUTED_VALUE"""),"No")</f>
        <v>No</v>
      </c>
    </row>
    <row r="63" spans="1:29" x14ac:dyDescent="0.25">
      <c r="A63" s="5" t="str">
        <f ca="1">IFERROR(__xludf.DUMMYFUNCTION("""COMPUTED_VALUE"""),"TwinklingHot40")</f>
        <v>TwinklingHot40</v>
      </c>
      <c r="B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 s="5" t="str">
        <f ca="1">IFERROR(__xludf.DUMMYFUNCTION("""COMPUTED_VALUE"""),"Yes")</f>
        <v>Yes</v>
      </c>
      <c r="D63" s="5" t="str">
        <f ca="1">IFERROR(__xludf.DUMMYFUNCTION("""COMPUTED_VALUE"""),"Yes")</f>
        <v>Yes</v>
      </c>
      <c r="E63" s="5" t="str">
        <f ca="1">IFERROR(__xludf.DUMMYFUNCTION("""COMPUTED_VALUE"""),"Yes")</f>
        <v>Yes</v>
      </c>
      <c r="F63" s="5" t="str">
        <f ca="1">IFERROR(__xludf.DUMMYFUNCTION("""COMPUTED_VALUE"""),"Yes")</f>
        <v>Yes</v>
      </c>
      <c r="G63" s="5" t="str">
        <f ca="1">IFERROR(__xludf.DUMMYFUNCTION("""COMPUTED_VALUE"""),"Yes")</f>
        <v>Yes</v>
      </c>
      <c r="H63" s="5" t="str">
        <f ca="1">IFERROR(__xludf.DUMMYFUNCTION("""COMPUTED_VALUE"""),"Yes")</f>
        <v>Yes</v>
      </c>
      <c r="I63" s="5" t="str">
        <f ca="1">IFERROR(__xludf.DUMMYFUNCTION("""COMPUTED_VALUE"""),"Yes")</f>
        <v>Yes</v>
      </c>
      <c r="J63" s="5" t="str">
        <f ca="1">IFERROR(__xludf.DUMMYFUNCTION("""COMPUTED_VALUE"""),"Yes")</f>
        <v>Yes</v>
      </c>
      <c r="K63" s="5" t="str">
        <f ca="1">IFERROR(__xludf.DUMMYFUNCTION("""COMPUTED_VALUE"""),"Yes")</f>
        <v>Yes</v>
      </c>
      <c r="L63" s="5" t="str">
        <f ca="1">IFERROR(__xludf.DUMMYFUNCTION("""COMPUTED_VALUE"""),"Yes")</f>
        <v>Yes</v>
      </c>
      <c r="M63" s="5" t="str">
        <f ca="1">IFERROR(__xludf.DUMMYFUNCTION("""COMPUTED_VALUE"""),"Yes")</f>
        <v>Yes</v>
      </c>
      <c r="N63" s="5" t="str">
        <f ca="1">IFERROR(__xludf.DUMMYFUNCTION("""COMPUTED_VALUE"""),"Yes")</f>
        <v>Yes</v>
      </c>
      <c r="O63" s="5" t="str">
        <f ca="1">IFERROR(__xludf.DUMMYFUNCTION("""COMPUTED_VALUE"""),"Yes")</f>
        <v>Yes</v>
      </c>
      <c r="P63" s="5" t="str">
        <f ca="1">IFERROR(__xludf.DUMMYFUNCTION("""COMPUTED_VALUE"""),"Yes")</f>
        <v>Yes</v>
      </c>
      <c r="Q63" s="5" t="str">
        <f ca="1">IFERROR(__xludf.DUMMYFUNCTION("""COMPUTED_VALUE"""),"Yes")</f>
        <v>Yes</v>
      </c>
      <c r="R63" s="5" t="str">
        <f ca="1">IFERROR(__xludf.DUMMYFUNCTION("""COMPUTED_VALUE"""),"Yes")</f>
        <v>Yes</v>
      </c>
      <c r="S63" s="5" t="str">
        <f ca="1">IFERROR(__xludf.DUMMYFUNCTION("""COMPUTED_VALUE"""),"Yes")</f>
        <v>Yes</v>
      </c>
      <c r="T63" s="5" t="str">
        <f ca="1">IFERROR(__xludf.DUMMYFUNCTION("""COMPUTED_VALUE"""),"Yes")</f>
        <v>Yes</v>
      </c>
      <c r="U63" s="5" t="str">
        <f ca="1">IFERROR(__xludf.DUMMYFUNCTION("""COMPUTED_VALUE"""),"Yes")</f>
        <v>Yes</v>
      </c>
      <c r="V63" s="5" t="str">
        <f ca="1">IFERROR(__xludf.DUMMYFUNCTION("""COMPUTED_VALUE"""),"Yes")</f>
        <v>Yes</v>
      </c>
      <c r="W63" s="5" t="str">
        <f ca="1">IFERROR(__xludf.DUMMYFUNCTION("""COMPUTED_VALUE"""),"Yes")</f>
        <v>Yes</v>
      </c>
      <c r="X63" s="5" t="str">
        <f ca="1">IFERROR(__xludf.DUMMYFUNCTION("""COMPUTED_VALUE"""),"Yes")</f>
        <v>Yes</v>
      </c>
      <c r="Y63" s="5" t="str">
        <f ca="1">IFERROR(__xludf.DUMMYFUNCTION("""COMPUTED_VALUE"""),"Yes")</f>
        <v>Yes</v>
      </c>
      <c r="Z63" s="5" t="str">
        <f ca="1">IFERROR(__xludf.DUMMYFUNCTION("""COMPUTED_VALUE"""),"Yes")</f>
        <v>Yes</v>
      </c>
      <c r="AA63" s="5" t="str">
        <f ca="1">IFERROR(__xludf.DUMMYFUNCTION("""COMPUTED_VALUE"""),"Yes")</f>
        <v>Yes</v>
      </c>
      <c r="AB63" s="5" t="str">
        <f ca="1">IFERROR(__xludf.DUMMYFUNCTION("""COMPUTED_VALUE"""),"Yes")</f>
        <v>Yes</v>
      </c>
      <c r="AC63" s="5" t="str">
        <f ca="1">IFERROR(__xludf.DUMMYFUNCTION("""COMPUTED_VALUE"""),"No")</f>
        <v>No</v>
      </c>
    </row>
    <row r="64" spans="1:29" x14ac:dyDescent="0.25">
      <c r="A64" s="5" t="str">
        <f ca="1">IFERROR(__xludf.DUMMYFUNCTION("""COMPUTED_VALUE"""),"BookOfSpellsDeluxe")</f>
        <v>BookOfSpellsDeluxe</v>
      </c>
      <c r="B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 s="5" t="str">
        <f ca="1">IFERROR(__xludf.DUMMYFUNCTION("""COMPUTED_VALUE"""),"Yes")</f>
        <v>Yes</v>
      </c>
      <c r="D64" s="5" t="str">
        <f ca="1">IFERROR(__xludf.DUMMYFUNCTION("""COMPUTED_VALUE"""),"Yes")</f>
        <v>Yes</v>
      </c>
      <c r="E64" s="5" t="str">
        <f ca="1">IFERROR(__xludf.DUMMYFUNCTION("""COMPUTED_VALUE"""),"Yes")</f>
        <v>Yes</v>
      </c>
      <c r="F64" s="5" t="str">
        <f ca="1">IFERROR(__xludf.DUMMYFUNCTION("""COMPUTED_VALUE"""),"Yes")</f>
        <v>Yes</v>
      </c>
      <c r="G64" s="5" t="str">
        <f ca="1">IFERROR(__xludf.DUMMYFUNCTION("""COMPUTED_VALUE"""),"Yes")</f>
        <v>Yes</v>
      </c>
      <c r="H64" s="5" t="str">
        <f ca="1">IFERROR(__xludf.DUMMYFUNCTION("""COMPUTED_VALUE"""),"Yes")</f>
        <v>Yes</v>
      </c>
      <c r="I64" s="5" t="str">
        <f ca="1">IFERROR(__xludf.DUMMYFUNCTION("""COMPUTED_VALUE"""),"Yes")</f>
        <v>Yes</v>
      </c>
      <c r="J64" s="5" t="str">
        <f ca="1">IFERROR(__xludf.DUMMYFUNCTION("""COMPUTED_VALUE"""),"Yes")</f>
        <v>Yes</v>
      </c>
      <c r="K64" s="5" t="str">
        <f ca="1">IFERROR(__xludf.DUMMYFUNCTION("""COMPUTED_VALUE"""),"Yes")</f>
        <v>Yes</v>
      </c>
      <c r="L64" s="5" t="str">
        <f ca="1">IFERROR(__xludf.DUMMYFUNCTION("""COMPUTED_VALUE"""),"Yes")</f>
        <v>Yes</v>
      </c>
      <c r="M64" s="5" t="str">
        <f ca="1">IFERROR(__xludf.DUMMYFUNCTION("""COMPUTED_VALUE"""),"Yes")</f>
        <v>Yes</v>
      </c>
      <c r="N64" s="5" t="str">
        <f ca="1">IFERROR(__xludf.DUMMYFUNCTION("""COMPUTED_VALUE"""),"Yes")</f>
        <v>Yes</v>
      </c>
      <c r="O64" s="5" t="str">
        <f ca="1">IFERROR(__xludf.DUMMYFUNCTION("""COMPUTED_VALUE"""),"Yes")</f>
        <v>Yes</v>
      </c>
      <c r="P64" s="5" t="str">
        <f ca="1">IFERROR(__xludf.DUMMYFUNCTION("""COMPUTED_VALUE"""),"Yes")</f>
        <v>Yes</v>
      </c>
      <c r="Q64" s="5" t="str">
        <f ca="1">IFERROR(__xludf.DUMMYFUNCTION("""COMPUTED_VALUE"""),"Yes")</f>
        <v>Yes</v>
      </c>
      <c r="R64" s="5" t="str">
        <f ca="1">IFERROR(__xludf.DUMMYFUNCTION("""COMPUTED_VALUE"""),"Yes")</f>
        <v>Yes</v>
      </c>
      <c r="S64" s="5" t="str">
        <f ca="1">IFERROR(__xludf.DUMMYFUNCTION("""COMPUTED_VALUE"""),"Yes")</f>
        <v>Yes</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IFERROR(__xludf.DUMMYFUNCTION("""COMPUTED_VALUE"""),"Yes")</f>
        <v>Yes</v>
      </c>
      <c r="X64" s="5" t="str">
        <f ca="1">IFERROR(__xludf.DUMMYFUNCTION("""COMPUTED_VALUE"""),"Yes")</f>
        <v>Yes</v>
      </c>
      <c r="Y64" s="5" t="str">
        <f ca="1">IFERROR(__xludf.DUMMYFUNCTION("""COMPUTED_VALUE"""),"Yes")</f>
        <v>Yes</v>
      </c>
      <c r="Z64" s="5" t="str">
        <f ca="1">IFERROR(__xludf.DUMMYFUNCTION("""COMPUTED_VALUE"""),"Yes")</f>
        <v>Yes</v>
      </c>
      <c r="AA64" s="5" t="str">
        <f ca="1">IFERROR(__xludf.DUMMYFUNCTION("""COMPUTED_VALUE"""),"Yes")</f>
        <v>Yes</v>
      </c>
      <c r="AB64" s="5" t="str">
        <f ca="1">IFERROR(__xludf.DUMMYFUNCTION("""COMPUTED_VALUE"""),"Yes")</f>
        <v>Yes</v>
      </c>
      <c r="AC64" s="5" t="str">
        <f ca="1">IFERROR(__xludf.DUMMYFUNCTION("""COMPUTED_VALUE"""),"No")</f>
        <v>No</v>
      </c>
    </row>
    <row r="65" spans="1:29" x14ac:dyDescent="0.25">
      <c r="A65" s="5" t="str">
        <f ca="1">IFERROR(__xludf.DUMMYFUNCTION("""COMPUTED_VALUE"""),"JazzyFruits")</f>
        <v>JazzyFruits</v>
      </c>
      <c r="B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 s="5" t="str">
        <f ca="1">IFERROR(__xludf.DUMMYFUNCTION("""COMPUTED_VALUE"""),"Yes")</f>
        <v>Yes</v>
      </c>
      <c r="D65" s="5" t="str">
        <f ca="1">IFERROR(__xludf.DUMMYFUNCTION("""COMPUTED_VALUE"""),"Yes")</f>
        <v>Yes</v>
      </c>
      <c r="E65" s="5" t="str">
        <f ca="1">IFERROR(__xludf.DUMMYFUNCTION("""COMPUTED_VALUE"""),"Yes")</f>
        <v>Yes</v>
      </c>
      <c r="F65" s="5" t="str">
        <f ca="1">IFERROR(__xludf.DUMMYFUNCTION("""COMPUTED_VALUE"""),"Yes")</f>
        <v>Yes</v>
      </c>
      <c r="G65" s="5" t="str">
        <f ca="1">IFERROR(__xludf.DUMMYFUNCTION("""COMPUTED_VALUE"""),"Yes")</f>
        <v>Yes</v>
      </c>
      <c r="H65" s="5" t="str">
        <f ca="1">IFERROR(__xludf.DUMMYFUNCTION("""COMPUTED_VALUE"""),"Yes")</f>
        <v>Yes</v>
      </c>
      <c r="I65" s="5" t="str">
        <f ca="1">IFERROR(__xludf.DUMMYFUNCTION("""COMPUTED_VALUE"""),"Yes")</f>
        <v>Yes</v>
      </c>
      <c r="J65" s="5" t="str">
        <f ca="1">IFERROR(__xludf.DUMMYFUNCTION("""COMPUTED_VALUE"""),"Yes")</f>
        <v>Yes</v>
      </c>
      <c r="K65" s="5" t="str">
        <f ca="1">IFERROR(__xludf.DUMMYFUNCTION("""COMPUTED_VALUE"""),"Yes")</f>
        <v>Yes</v>
      </c>
      <c r="L65" s="5" t="str">
        <f ca="1">IFERROR(__xludf.DUMMYFUNCTION("""COMPUTED_VALUE"""),"Yes")</f>
        <v>Yes</v>
      </c>
      <c r="M65" s="5" t="str">
        <f ca="1">IFERROR(__xludf.DUMMYFUNCTION("""COMPUTED_VALUE"""),"Yes")</f>
        <v>Yes</v>
      </c>
      <c r="N65" s="5" t="str">
        <f ca="1">IFERROR(__xludf.DUMMYFUNCTION("""COMPUTED_VALUE"""),"Yes")</f>
        <v>Yes</v>
      </c>
      <c r="O65" s="5" t="str">
        <f ca="1">IFERROR(__xludf.DUMMYFUNCTION("""COMPUTED_VALUE"""),"Yes")</f>
        <v>Yes</v>
      </c>
      <c r="P65" s="5" t="str">
        <f ca="1">IFERROR(__xludf.DUMMYFUNCTION("""COMPUTED_VALUE"""),"Yes")</f>
        <v>Yes</v>
      </c>
      <c r="Q65" s="5" t="str">
        <f ca="1">IFERROR(__xludf.DUMMYFUNCTION("""COMPUTED_VALUE"""),"Yes")</f>
        <v>Yes</v>
      </c>
      <c r="R65" s="5" t="str">
        <f ca="1">IFERROR(__xludf.DUMMYFUNCTION("""COMPUTED_VALUE"""),"Yes")</f>
        <v>Yes</v>
      </c>
      <c r="S65" s="5" t="str">
        <f ca="1">IFERROR(__xludf.DUMMYFUNCTION("""COMPUTED_VALUE"""),"Yes")</f>
        <v>Yes</v>
      </c>
      <c r="T65" s="5" t="str">
        <f ca="1">IFERROR(__xludf.DUMMYFUNCTION("""COMPUTED_VALUE"""),"Yes")</f>
        <v>Yes</v>
      </c>
      <c r="U65" s="5" t="str">
        <f ca="1">IFERROR(__xludf.DUMMYFUNCTION("""COMPUTED_VALUE"""),"Yes")</f>
        <v>Yes</v>
      </c>
      <c r="V65" s="5" t="str">
        <f ca="1">IFERROR(__xludf.DUMMYFUNCTION("""COMPUTED_VALUE"""),"Yes")</f>
        <v>Yes</v>
      </c>
      <c r="W65" s="5" t="str">
        <f ca="1">IFERROR(__xludf.DUMMYFUNCTION("""COMPUTED_VALUE"""),"Yes")</f>
        <v>Yes</v>
      </c>
      <c r="X65" s="5" t="str">
        <f ca="1">IFERROR(__xludf.DUMMYFUNCTION("""COMPUTED_VALUE"""),"Yes")</f>
        <v>Yes</v>
      </c>
      <c r="Y65" s="5" t="str">
        <f ca="1">IFERROR(__xludf.DUMMYFUNCTION("""COMPUTED_VALUE"""),"Yes")</f>
        <v>Yes</v>
      </c>
      <c r="Z65" s="5" t="str">
        <f ca="1">IFERROR(__xludf.DUMMYFUNCTION("""COMPUTED_VALUE"""),"Yes")</f>
        <v>Yes</v>
      </c>
      <c r="AA65" s="5" t="str">
        <f ca="1">IFERROR(__xludf.DUMMYFUNCTION("""COMPUTED_VALUE"""),"Yes")</f>
        <v>Yes</v>
      </c>
      <c r="AB65" s="5" t="str">
        <f ca="1">IFERROR(__xludf.DUMMYFUNCTION("""COMPUTED_VALUE"""),"Yes")</f>
        <v>Yes</v>
      </c>
      <c r="AC65" s="5" t="str">
        <f ca="1">IFERROR(__xludf.DUMMYFUNCTION("""COMPUTED_VALUE"""),"No")</f>
        <v>No</v>
      </c>
    </row>
    <row r="66" spans="1:29" x14ac:dyDescent="0.25">
      <c r="A66" s="5" t="str">
        <f ca="1">IFERROR(__xludf.DUMMYFUNCTION("""COMPUTED_VALUE"""),"CrystalHot80")</f>
        <v>CrystalHot80</v>
      </c>
      <c r="B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 s="5" t="str">
        <f ca="1">IFERROR(__xludf.DUMMYFUNCTION("""COMPUTED_VALUE"""),"Yes")</f>
        <v>Yes</v>
      </c>
      <c r="D66" s="5" t="str">
        <f ca="1">IFERROR(__xludf.DUMMYFUNCTION("""COMPUTED_VALUE"""),"Yes")</f>
        <v>Yes</v>
      </c>
      <c r="E66" s="5" t="str">
        <f ca="1">IFERROR(__xludf.DUMMYFUNCTION("""COMPUTED_VALUE"""),"Yes")</f>
        <v>Yes</v>
      </c>
      <c r="F66" s="5" t="str">
        <f ca="1">IFERROR(__xludf.DUMMYFUNCTION("""COMPUTED_VALUE"""),"Yes")</f>
        <v>Yes</v>
      </c>
      <c r="G66" s="5" t="str">
        <f ca="1">IFERROR(__xludf.DUMMYFUNCTION("""COMPUTED_VALUE"""),"Yes")</f>
        <v>Yes</v>
      </c>
      <c r="H66" s="5" t="str">
        <f ca="1">IFERROR(__xludf.DUMMYFUNCTION("""COMPUTED_VALUE"""),"Yes")</f>
        <v>Yes</v>
      </c>
      <c r="I66" s="5" t="str">
        <f ca="1">IFERROR(__xludf.DUMMYFUNCTION("""COMPUTED_VALUE"""),"Yes")</f>
        <v>Yes</v>
      </c>
      <c r="J66" s="5" t="str">
        <f ca="1">IFERROR(__xludf.DUMMYFUNCTION("""COMPUTED_VALUE"""),"Yes")</f>
        <v>Yes</v>
      </c>
      <c r="K66" s="5" t="str">
        <f ca="1">IFERROR(__xludf.DUMMYFUNCTION("""COMPUTED_VALUE"""),"Yes")</f>
        <v>Yes</v>
      </c>
      <c r="L66" s="5" t="str">
        <f ca="1">IFERROR(__xludf.DUMMYFUNCTION("""COMPUTED_VALUE"""),"Yes")</f>
        <v>Yes</v>
      </c>
      <c r="M66" s="5" t="str">
        <f ca="1">IFERROR(__xludf.DUMMYFUNCTION("""COMPUTED_VALUE"""),"Yes")</f>
        <v>Yes</v>
      </c>
      <c r="N66" s="5" t="str">
        <f ca="1">IFERROR(__xludf.DUMMYFUNCTION("""COMPUTED_VALUE"""),"Yes")</f>
        <v>Yes</v>
      </c>
      <c r="O66" s="5" t="str">
        <f ca="1">IFERROR(__xludf.DUMMYFUNCTION("""COMPUTED_VALUE"""),"Yes")</f>
        <v>Yes</v>
      </c>
      <c r="P66" s="5" t="str">
        <f ca="1">IFERROR(__xludf.DUMMYFUNCTION("""COMPUTED_VALUE"""),"Yes")</f>
        <v>Yes</v>
      </c>
      <c r="Q66" s="5" t="str">
        <f ca="1">IFERROR(__xludf.DUMMYFUNCTION("""COMPUTED_VALUE"""),"Yes")</f>
        <v>Yes</v>
      </c>
      <c r="R66" s="5" t="str">
        <f ca="1">IFERROR(__xludf.DUMMYFUNCTION("""COMPUTED_VALUE"""),"Yes")</f>
        <v>Yes</v>
      </c>
      <c r="S66" s="5" t="str">
        <f ca="1">IFERROR(__xludf.DUMMYFUNCTION("""COMPUTED_VALUE"""),"Yes")</f>
        <v>Yes</v>
      </c>
      <c r="T66" s="5" t="str">
        <f ca="1">IFERROR(__xludf.DUMMYFUNCTION("""COMPUTED_VALUE"""),"Yes")</f>
        <v>Yes</v>
      </c>
      <c r="U66" s="5" t="str">
        <f ca="1">IFERROR(__xludf.DUMMYFUNCTION("""COMPUTED_VALUE"""),"Yes")</f>
        <v>Yes</v>
      </c>
      <c r="V66" s="5" t="str">
        <f ca="1">IFERROR(__xludf.DUMMYFUNCTION("""COMPUTED_VALUE"""),"Yes")</f>
        <v>Yes</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IFERROR(__xludf.DUMMYFUNCTION("""COMPUTED_VALUE"""),"Yes")</f>
        <v>Yes</v>
      </c>
      <c r="AA66" s="5" t="str">
        <f ca="1">IFERROR(__xludf.DUMMYFUNCTION("""COMPUTED_VALUE"""),"Yes")</f>
        <v>Yes</v>
      </c>
      <c r="AB66" s="5" t="str">
        <f ca="1">IFERROR(__xludf.DUMMYFUNCTION("""COMPUTED_VALUE"""),"Yes")</f>
        <v>Yes</v>
      </c>
      <c r="AC66" s="5" t="str">
        <f ca="1">IFERROR(__xludf.DUMMYFUNCTION("""COMPUTED_VALUE"""),"No")</f>
        <v>No</v>
      </c>
    </row>
    <row r="67" spans="1:29" x14ac:dyDescent="0.25">
      <c r="A67" s="5" t="str">
        <f ca="1">IFERROR(__xludf.DUMMYFUNCTION("""COMPUTED_VALUE"""),"CrystalHot40Gd")</f>
        <v>CrystalHot40Gd</v>
      </c>
      <c r="B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 s="5" t="str">
        <f ca="1">IFERROR(__xludf.DUMMYFUNCTION("""COMPUTED_VALUE"""),"Yes")</f>
        <v>Yes</v>
      </c>
      <c r="D67" s="5" t="str">
        <f ca="1">IFERROR(__xludf.DUMMYFUNCTION("""COMPUTED_VALUE"""),"Yes")</f>
        <v>Yes</v>
      </c>
      <c r="E67" s="5" t="str">
        <f ca="1">IFERROR(__xludf.DUMMYFUNCTION("""COMPUTED_VALUE"""),"Yes")</f>
        <v>Yes</v>
      </c>
      <c r="F67" s="5" t="str">
        <f ca="1">IFERROR(__xludf.DUMMYFUNCTION("""COMPUTED_VALUE"""),"Yes")</f>
        <v>Yes</v>
      </c>
      <c r="G67" s="5" t="str">
        <f ca="1">IFERROR(__xludf.DUMMYFUNCTION("""COMPUTED_VALUE"""),"Yes")</f>
        <v>Yes</v>
      </c>
      <c r="H67" s="5" t="str">
        <f ca="1">IFERROR(__xludf.DUMMYFUNCTION("""COMPUTED_VALUE"""),"Yes")</f>
        <v>Yes</v>
      </c>
      <c r="I67" s="5" t="str">
        <f ca="1">IFERROR(__xludf.DUMMYFUNCTION("""COMPUTED_VALUE"""),"Yes")</f>
        <v>Yes</v>
      </c>
      <c r="J67" s="5" t="str">
        <f ca="1">IFERROR(__xludf.DUMMYFUNCTION("""COMPUTED_VALUE"""),"Yes")</f>
        <v>Yes</v>
      </c>
      <c r="K67" s="5" t="str">
        <f ca="1">IFERROR(__xludf.DUMMYFUNCTION("""COMPUTED_VALUE"""),"Yes")</f>
        <v>Yes</v>
      </c>
      <c r="L67" s="5" t="str">
        <f ca="1">IFERROR(__xludf.DUMMYFUNCTION("""COMPUTED_VALUE"""),"Yes")</f>
        <v>Yes</v>
      </c>
      <c r="M67" s="5" t="str">
        <f ca="1">IFERROR(__xludf.DUMMYFUNCTION("""COMPUTED_VALUE"""),"Yes")</f>
        <v>Yes</v>
      </c>
      <c r="N67" s="5" t="str">
        <f ca="1">IFERROR(__xludf.DUMMYFUNCTION("""COMPUTED_VALUE"""),"Yes")</f>
        <v>Yes</v>
      </c>
      <c r="O67" s="5" t="str">
        <f ca="1">IFERROR(__xludf.DUMMYFUNCTION("""COMPUTED_VALUE"""),"Yes")</f>
        <v>Yes</v>
      </c>
      <c r="P67" s="5" t="str">
        <f ca="1">IFERROR(__xludf.DUMMYFUNCTION("""COMPUTED_VALUE"""),"Yes")</f>
        <v>Yes</v>
      </c>
      <c r="Q67" s="5" t="str">
        <f ca="1">IFERROR(__xludf.DUMMYFUNCTION("""COMPUTED_VALUE"""),"Yes")</f>
        <v>Yes</v>
      </c>
      <c r="R67" s="5" t="str">
        <f ca="1">IFERROR(__xludf.DUMMYFUNCTION("""COMPUTED_VALUE"""),"Yes")</f>
        <v>Yes</v>
      </c>
      <c r="S67" s="5" t="str">
        <f ca="1">IFERROR(__xludf.DUMMYFUNCTION("""COMPUTED_VALUE"""),"Yes")</f>
        <v>Yes</v>
      </c>
      <c r="T67" s="5" t="str">
        <f ca="1">IFERROR(__xludf.DUMMYFUNCTION("""COMPUTED_VALUE"""),"Yes")</f>
        <v>Yes</v>
      </c>
      <c r="U67" s="5" t="str">
        <f ca="1">IFERROR(__xludf.DUMMYFUNCTION("""COMPUTED_VALUE"""),"Yes")</f>
        <v>Yes</v>
      </c>
      <c r="V67" s="5" t="str">
        <f ca="1">IFERROR(__xludf.DUMMYFUNCTION("""COMPUTED_VALUE"""),"Yes")</f>
        <v>Yes</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IFERROR(__xludf.DUMMYFUNCTION("""COMPUTED_VALUE"""),"Yes")</f>
        <v>Yes</v>
      </c>
      <c r="AA67" s="5" t="str">
        <f ca="1">IFERROR(__xludf.DUMMYFUNCTION("""COMPUTED_VALUE"""),"Yes")</f>
        <v>Yes</v>
      </c>
      <c r="AB67" s="5" t="str">
        <f ca="1">IFERROR(__xludf.DUMMYFUNCTION("""COMPUTED_VALUE"""),"Yes")</f>
        <v>Yes</v>
      </c>
      <c r="AC67" s="5" t="str">
        <f ca="1">IFERROR(__xludf.DUMMYFUNCTION("""COMPUTED_VALUE"""),"No")</f>
        <v>No</v>
      </c>
    </row>
    <row r="68" spans="1:29" x14ac:dyDescent="0.25">
      <c r="A68" s="5" t="str">
        <f ca="1">IFERROR(__xludf.DUMMYFUNCTION("""COMPUTED_VALUE"""),"CrystalHot40Deluxe")</f>
        <v>CrystalHot40Deluxe</v>
      </c>
      <c r="B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8" s="5" t="str">
        <f ca="1">IFERROR(__xludf.DUMMYFUNCTION("""COMPUTED_VALUE"""),"Yes")</f>
        <v>Yes</v>
      </c>
      <c r="D68" s="5" t="str">
        <f ca="1">IFERROR(__xludf.DUMMYFUNCTION("""COMPUTED_VALUE"""),"Yes")</f>
        <v>Yes</v>
      </c>
      <c r="E68" s="5" t="str">
        <f ca="1">IFERROR(__xludf.DUMMYFUNCTION("""COMPUTED_VALUE"""),"Yes")</f>
        <v>Yes</v>
      </c>
      <c r="F68" s="5" t="str">
        <f ca="1">IFERROR(__xludf.DUMMYFUNCTION("""COMPUTED_VALUE"""),"Yes")</f>
        <v>Yes</v>
      </c>
      <c r="G68" s="5" t="str">
        <f ca="1">IFERROR(__xludf.DUMMYFUNCTION("""COMPUTED_VALUE"""),"Yes")</f>
        <v>Yes</v>
      </c>
      <c r="H68" s="5" t="str">
        <f ca="1">IFERROR(__xludf.DUMMYFUNCTION("""COMPUTED_VALUE"""),"Yes")</f>
        <v>Yes</v>
      </c>
      <c r="I68" s="5" t="str">
        <f ca="1">IFERROR(__xludf.DUMMYFUNCTION("""COMPUTED_VALUE"""),"Yes")</f>
        <v>Yes</v>
      </c>
      <c r="J68" s="5" t="str">
        <f ca="1">IFERROR(__xludf.DUMMYFUNCTION("""COMPUTED_VALUE"""),"Yes")</f>
        <v>Yes</v>
      </c>
      <c r="K68" s="5" t="str">
        <f ca="1">IFERROR(__xludf.DUMMYFUNCTION("""COMPUTED_VALUE"""),"Yes")</f>
        <v>Yes</v>
      </c>
      <c r="L68" s="5" t="str">
        <f ca="1">IFERROR(__xludf.DUMMYFUNCTION("""COMPUTED_VALUE"""),"Yes")</f>
        <v>Yes</v>
      </c>
      <c r="M68" s="5" t="str">
        <f ca="1">IFERROR(__xludf.DUMMYFUNCTION("""COMPUTED_VALUE"""),"Yes")</f>
        <v>Yes</v>
      </c>
      <c r="N68" s="5" t="str">
        <f ca="1">IFERROR(__xludf.DUMMYFUNCTION("""COMPUTED_VALUE"""),"Yes")</f>
        <v>Yes</v>
      </c>
      <c r="O68" s="5" t="str">
        <f ca="1">IFERROR(__xludf.DUMMYFUNCTION("""COMPUTED_VALUE"""),"Yes")</f>
        <v>Yes</v>
      </c>
      <c r="P68" s="5" t="str">
        <f ca="1">IFERROR(__xludf.DUMMYFUNCTION("""COMPUTED_VALUE"""),"Yes")</f>
        <v>Yes</v>
      </c>
      <c r="Q68" s="5" t="str">
        <f ca="1">IFERROR(__xludf.DUMMYFUNCTION("""COMPUTED_VALUE"""),"Yes")</f>
        <v>Yes</v>
      </c>
      <c r="R68" s="5" t="str">
        <f ca="1">IFERROR(__xludf.DUMMYFUNCTION("""COMPUTED_VALUE"""),"Yes")</f>
        <v>Yes</v>
      </c>
      <c r="S68" s="5" t="str">
        <f ca="1">IFERROR(__xludf.DUMMYFUNCTION("""COMPUTED_VALUE"""),"Yes")</f>
        <v>Yes</v>
      </c>
      <c r="T68" s="5" t="str">
        <f ca="1">IFERROR(__xludf.DUMMYFUNCTION("""COMPUTED_VALUE"""),"Yes")</f>
        <v>Yes</v>
      </c>
      <c r="U68" s="5" t="str">
        <f ca="1">IFERROR(__xludf.DUMMYFUNCTION("""COMPUTED_VALUE"""),"Yes")</f>
        <v>Yes</v>
      </c>
      <c r="V68" s="5" t="str">
        <f ca="1">IFERROR(__xludf.DUMMYFUNCTION("""COMPUTED_VALUE"""),"Yes")</f>
        <v>Yes</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IFERROR(__xludf.DUMMYFUNCTION("""COMPUTED_VALUE"""),"Yes")</f>
        <v>Yes</v>
      </c>
      <c r="AA68" s="5" t="str">
        <f ca="1">IFERROR(__xludf.DUMMYFUNCTION("""COMPUTED_VALUE"""),"Yes")</f>
        <v>Yes</v>
      </c>
      <c r="AB68" s="5" t="str">
        <f ca="1">IFERROR(__xludf.DUMMYFUNCTION("""COMPUTED_VALUE"""),"Yes")</f>
        <v>Yes</v>
      </c>
      <c r="AC68" s="5" t="str">
        <f ca="1">IFERROR(__xludf.DUMMYFUNCTION("""COMPUTED_VALUE"""),"No")</f>
        <v>No</v>
      </c>
    </row>
    <row r="69" spans="1:29" x14ac:dyDescent="0.25">
      <c r="A69" s="5" t="str">
        <f ca="1">IFERROR(__xludf.DUMMYFUNCTION("""COMPUTED_VALUE"""),"LiveFaziRoulette")</f>
        <v>LiveFaziRoulette</v>
      </c>
      <c r="B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 s="5" t="str">
        <f ca="1">IFERROR(__xludf.DUMMYFUNCTION("""COMPUTED_VALUE"""),"Yes")</f>
        <v>Yes</v>
      </c>
      <c r="D69" s="5" t="str">
        <f ca="1">IFERROR(__xludf.DUMMYFUNCTION("""COMPUTED_VALUE"""),"Yes")</f>
        <v>Yes</v>
      </c>
      <c r="E69" s="5" t="str">
        <f ca="1">IFERROR(__xludf.DUMMYFUNCTION("""COMPUTED_VALUE"""),"Yes")</f>
        <v>Yes</v>
      </c>
      <c r="F69" s="5" t="str">
        <f ca="1">IFERROR(__xludf.DUMMYFUNCTION("""COMPUTED_VALUE"""),"Yes")</f>
        <v>Yes</v>
      </c>
      <c r="G69" s="5" t="str">
        <f ca="1">IFERROR(__xludf.DUMMYFUNCTION("""COMPUTED_VALUE"""),"Yes")</f>
        <v>Yes</v>
      </c>
      <c r="H69" s="5" t="str">
        <f ca="1">IFERROR(__xludf.DUMMYFUNCTION("""COMPUTED_VALUE"""),"Yes")</f>
        <v>Yes</v>
      </c>
      <c r="I69" s="5" t="str">
        <f ca="1">IFERROR(__xludf.DUMMYFUNCTION("""COMPUTED_VALUE"""),"Yes")</f>
        <v>Yes</v>
      </c>
      <c r="J69" s="5" t="str">
        <f ca="1">IFERROR(__xludf.DUMMYFUNCTION("""COMPUTED_VALUE"""),"Yes")</f>
        <v>Yes</v>
      </c>
      <c r="K69" s="5" t="str">
        <f ca="1">IFERROR(__xludf.DUMMYFUNCTION("""COMPUTED_VALUE"""),"Yes")</f>
        <v>Yes</v>
      </c>
      <c r="L69" s="5" t="str">
        <f ca="1">IFERROR(__xludf.DUMMYFUNCTION("""COMPUTED_VALUE"""),"Yes")</f>
        <v>Yes</v>
      </c>
      <c r="M69" s="5" t="str">
        <f ca="1">IFERROR(__xludf.DUMMYFUNCTION("""COMPUTED_VALUE"""),"Yes")</f>
        <v>Yes</v>
      </c>
      <c r="N69" s="5" t="str">
        <f ca="1">IFERROR(__xludf.DUMMYFUNCTION("""COMPUTED_VALUE"""),"Yes")</f>
        <v>Yes</v>
      </c>
      <c r="O69" s="5" t="str">
        <f ca="1">IFERROR(__xludf.DUMMYFUNCTION("""COMPUTED_VALUE"""),"Yes")</f>
        <v>Yes</v>
      </c>
      <c r="P69" s="5" t="str">
        <f ca="1">IFERROR(__xludf.DUMMYFUNCTION("""COMPUTED_VALUE"""),"Yes")</f>
        <v>Yes</v>
      </c>
      <c r="Q69" s="5" t="str">
        <f ca="1">IFERROR(__xludf.DUMMYFUNCTION("""COMPUTED_VALUE"""),"Yes")</f>
        <v>Yes</v>
      </c>
      <c r="R69" s="5" t="str">
        <f ca="1">IFERROR(__xludf.DUMMYFUNCTION("""COMPUTED_VALUE"""),"Yes")</f>
        <v>Yes</v>
      </c>
      <c r="S69" s="5" t="str">
        <f ca="1">IFERROR(__xludf.DUMMYFUNCTION("""COMPUTED_VALUE"""),"Yes")</f>
        <v>Yes</v>
      </c>
      <c r="T69" s="5" t="str">
        <f ca="1">IFERROR(__xludf.DUMMYFUNCTION("""COMPUTED_VALUE"""),"Yes")</f>
        <v>Yes</v>
      </c>
      <c r="U69" s="5" t="str">
        <f ca="1">IFERROR(__xludf.DUMMYFUNCTION("""COMPUTED_VALUE"""),"Yes")</f>
        <v>Yes</v>
      </c>
      <c r="V69" s="5" t="str">
        <f ca="1">IFERROR(__xludf.DUMMYFUNCTION("""COMPUTED_VALUE"""),"Yes")</f>
        <v>Yes</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IFERROR(__xludf.DUMMYFUNCTION("""COMPUTED_VALUE"""),"Yes")</f>
        <v>Yes</v>
      </c>
      <c r="AA69" s="5" t="str">
        <f ca="1">IFERROR(__xludf.DUMMYFUNCTION("""COMPUTED_VALUE"""),"Yes")</f>
        <v>Yes</v>
      </c>
      <c r="AB69" s="5" t="str">
        <f ca="1">IFERROR(__xludf.DUMMYFUNCTION("""COMPUTED_VALUE"""),"Yes")</f>
        <v>Yes</v>
      </c>
      <c r="AC69" s="5" t="str">
        <f ca="1">IFERROR(__xludf.DUMMYFUNCTION("""COMPUTED_VALUE"""),"No")</f>
        <v>No</v>
      </c>
    </row>
    <row r="70" spans="1:29" x14ac:dyDescent="0.25">
      <c r="A70" s="5" t="str">
        <f ca="1">IFERROR(__xludf.DUMMYFUNCTION("""COMPUTED_VALUE"""),"GoldenClover")</f>
        <v>GoldenClover</v>
      </c>
      <c r="B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0" s="5" t="str">
        <f ca="1">IFERROR(__xludf.DUMMYFUNCTION("""COMPUTED_VALUE"""),"Yes")</f>
        <v>Yes</v>
      </c>
      <c r="D70" s="5" t="str">
        <f ca="1">IFERROR(__xludf.DUMMYFUNCTION("""COMPUTED_VALUE"""),"Yes")</f>
        <v>Yes</v>
      </c>
      <c r="E70" s="5" t="str">
        <f ca="1">IFERROR(__xludf.DUMMYFUNCTION("""COMPUTED_VALUE"""),"Yes")</f>
        <v>Yes</v>
      </c>
      <c r="F70" s="5" t="str">
        <f ca="1">IFERROR(__xludf.DUMMYFUNCTION("""COMPUTED_VALUE"""),"Yes")</f>
        <v>Yes</v>
      </c>
      <c r="G70" s="5" t="str">
        <f ca="1">IFERROR(__xludf.DUMMYFUNCTION("""COMPUTED_VALUE"""),"Yes")</f>
        <v>Yes</v>
      </c>
      <c r="H70" s="5" t="str">
        <f ca="1">IFERROR(__xludf.DUMMYFUNCTION("""COMPUTED_VALUE"""),"Yes")</f>
        <v>Yes</v>
      </c>
      <c r="I70" s="5" t="str">
        <f ca="1">IFERROR(__xludf.DUMMYFUNCTION("""COMPUTED_VALUE"""),"Yes")</f>
        <v>Yes</v>
      </c>
      <c r="J70" s="5" t="str">
        <f ca="1">IFERROR(__xludf.DUMMYFUNCTION("""COMPUTED_VALUE"""),"Yes")</f>
        <v>Yes</v>
      </c>
      <c r="K70" s="5" t="str">
        <f ca="1">IFERROR(__xludf.DUMMYFUNCTION("""COMPUTED_VALUE"""),"Yes")</f>
        <v>Yes</v>
      </c>
      <c r="L70" s="5" t="str">
        <f ca="1">IFERROR(__xludf.DUMMYFUNCTION("""COMPUTED_VALUE"""),"Yes")</f>
        <v>Yes</v>
      </c>
      <c r="M70" s="5" t="str">
        <f ca="1">IFERROR(__xludf.DUMMYFUNCTION("""COMPUTED_VALUE"""),"Yes")</f>
        <v>Yes</v>
      </c>
      <c r="N70" s="5" t="str">
        <f ca="1">IFERROR(__xludf.DUMMYFUNCTION("""COMPUTED_VALUE"""),"Yes")</f>
        <v>Yes</v>
      </c>
      <c r="O70" s="5" t="str">
        <f ca="1">IFERROR(__xludf.DUMMYFUNCTION("""COMPUTED_VALUE"""),"Yes")</f>
        <v>Yes</v>
      </c>
      <c r="P70" s="5" t="str">
        <f ca="1">IFERROR(__xludf.DUMMYFUNCTION("""COMPUTED_VALUE"""),"Yes")</f>
        <v>Yes</v>
      </c>
      <c r="Q70" s="5" t="str">
        <f ca="1">IFERROR(__xludf.DUMMYFUNCTION("""COMPUTED_VALUE"""),"Yes")</f>
        <v>Yes</v>
      </c>
      <c r="R70" s="5" t="str">
        <f ca="1">IFERROR(__xludf.DUMMYFUNCTION("""COMPUTED_VALUE"""),"Yes")</f>
        <v>Yes</v>
      </c>
      <c r="S70" s="5" t="str">
        <f ca="1">IFERROR(__xludf.DUMMYFUNCTION("""COMPUTED_VALUE"""),"Yes")</f>
        <v>Yes</v>
      </c>
      <c r="T70" s="5" t="str">
        <f ca="1">IFERROR(__xludf.DUMMYFUNCTION("""COMPUTED_VALUE"""),"Yes")</f>
        <v>Yes</v>
      </c>
      <c r="U70" s="5" t="str">
        <f ca="1">IFERROR(__xludf.DUMMYFUNCTION("""COMPUTED_VALUE"""),"Yes")</f>
        <v>Yes</v>
      </c>
      <c r="V70" s="5" t="str">
        <f ca="1">IFERROR(__xludf.DUMMYFUNCTION("""COMPUTED_VALUE"""),"Yes")</f>
        <v>Yes</v>
      </c>
      <c r="W70" s="5"/>
      <c r="X70" s="5"/>
      <c r="Y70" s="5"/>
      <c r="Z70" s="5" t="str">
        <f ca="1">IFERROR(__xludf.DUMMYFUNCTION("""COMPUTED_VALUE"""),"Yes")</f>
        <v>Yes</v>
      </c>
      <c r="AA70" s="5"/>
      <c r="AB70" s="5"/>
      <c r="AC70" s="5"/>
    </row>
    <row r="71" spans="1:29" x14ac:dyDescent="0.25">
      <c r="A71" s="5" t="str">
        <f ca="1">IFERROR(__xludf.DUMMYFUNCTION("""COMPUTED_VALUE"""),"CrystalHot40Gd2")</f>
        <v>CrystalHot40Gd2</v>
      </c>
      <c r="B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 s="5" t="str">
        <f ca="1">IFERROR(__xludf.DUMMYFUNCTION("""COMPUTED_VALUE"""),"Yes")</f>
        <v>Yes</v>
      </c>
      <c r="D71" s="5" t="str">
        <f ca="1">IFERROR(__xludf.DUMMYFUNCTION("""COMPUTED_VALUE"""),"Yes")</f>
        <v>Yes</v>
      </c>
      <c r="E71" s="5" t="str">
        <f ca="1">IFERROR(__xludf.DUMMYFUNCTION("""COMPUTED_VALUE"""),"Yes")</f>
        <v>Yes</v>
      </c>
      <c r="F71" s="5" t="str">
        <f ca="1">IFERROR(__xludf.DUMMYFUNCTION("""COMPUTED_VALUE"""),"Yes")</f>
        <v>Yes</v>
      </c>
      <c r="G71" s="5" t="str">
        <f ca="1">IFERROR(__xludf.DUMMYFUNCTION("""COMPUTED_VALUE"""),"Yes")</f>
        <v>Yes</v>
      </c>
      <c r="H71" s="5" t="str">
        <f ca="1">IFERROR(__xludf.DUMMYFUNCTION("""COMPUTED_VALUE"""),"Yes")</f>
        <v>Yes</v>
      </c>
      <c r="I71" s="5" t="str">
        <f ca="1">IFERROR(__xludf.DUMMYFUNCTION("""COMPUTED_VALUE"""),"Yes")</f>
        <v>Yes</v>
      </c>
      <c r="J71" s="5" t="str">
        <f ca="1">IFERROR(__xludf.DUMMYFUNCTION("""COMPUTED_VALUE"""),"Yes")</f>
        <v>Yes</v>
      </c>
      <c r="K71" s="5" t="str">
        <f ca="1">IFERROR(__xludf.DUMMYFUNCTION("""COMPUTED_VALUE"""),"Yes")</f>
        <v>Yes</v>
      </c>
      <c r="L71" s="5" t="str">
        <f ca="1">IFERROR(__xludf.DUMMYFUNCTION("""COMPUTED_VALUE"""),"Yes")</f>
        <v>Yes</v>
      </c>
      <c r="M71" s="5" t="str">
        <f ca="1">IFERROR(__xludf.DUMMYFUNCTION("""COMPUTED_VALUE"""),"Yes")</f>
        <v>Yes</v>
      </c>
      <c r="N71" s="5" t="str">
        <f ca="1">IFERROR(__xludf.DUMMYFUNCTION("""COMPUTED_VALUE"""),"Yes")</f>
        <v>Yes</v>
      </c>
      <c r="O71" s="5" t="str">
        <f ca="1">IFERROR(__xludf.DUMMYFUNCTION("""COMPUTED_VALUE"""),"Yes")</f>
        <v>Yes</v>
      </c>
      <c r="P71" s="5" t="str">
        <f ca="1">IFERROR(__xludf.DUMMYFUNCTION("""COMPUTED_VALUE"""),"Yes")</f>
        <v>Yes</v>
      </c>
      <c r="Q71" s="5" t="str">
        <f ca="1">IFERROR(__xludf.DUMMYFUNCTION("""COMPUTED_VALUE"""),"Yes")</f>
        <v>Yes</v>
      </c>
      <c r="R71" s="5" t="str">
        <f ca="1">IFERROR(__xludf.DUMMYFUNCTION("""COMPUTED_VALUE"""),"Yes")</f>
        <v>Yes</v>
      </c>
      <c r="S71" s="5" t="str">
        <f ca="1">IFERROR(__xludf.DUMMYFUNCTION("""COMPUTED_VALUE"""),"Yes")</f>
        <v>Yes</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IFERROR(__xludf.DUMMYFUNCTION("""COMPUTED_VALUE"""),"Yes")</f>
        <v>Yes</v>
      </c>
      <c r="X71" s="5" t="str">
        <f ca="1">IFERROR(__xludf.DUMMYFUNCTION("""COMPUTED_VALUE"""),"Yes")</f>
        <v>Yes</v>
      </c>
      <c r="Y71" s="5" t="str">
        <f ca="1">IFERROR(__xludf.DUMMYFUNCTION("""COMPUTED_VALUE"""),"Yes")</f>
        <v>Yes</v>
      </c>
      <c r="Z71" s="5" t="str">
        <f ca="1">IFERROR(__xludf.DUMMYFUNCTION("""COMPUTED_VALUE"""),"Yes")</f>
        <v>Yes</v>
      </c>
      <c r="AA71" s="5" t="str">
        <f ca="1">IFERROR(__xludf.DUMMYFUNCTION("""COMPUTED_VALUE"""),"Yes")</f>
        <v>Yes</v>
      </c>
      <c r="AB71" s="5" t="str">
        <f ca="1">IFERROR(__xludf.DUMMYFUNCTION("""COMPUTED_VALUE"""),"Yes")</f>
        <v>Yes</v>
      </c>
      <c r="AC71" s="5" t="str">
        <f ca="1">IFERROR(__xludf.DUMMYFUNCTION("""COMPUTED_VALUE"""),"No")</f>
        <v>No</v>
      </c>
    </row>
    <row r="72" spans="1:29" x14ac:dyDescent="0.25">
      <c r="A72" s="5" t="str">
        <f ca="1">IFERROR(__xludf.DUMMYFUNCTION("""COMPUTED_VALUE"""),"CrystalWin")</f>
        <v>CrystalWin</v>
      </c>
      <c r="B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 s="5" t="str">
        <f ca="1">IFERROR(__xludf.DUMMYFUNCTION("""COMPUTED_VALUE"""),"Yes")</f>
        <v>Yes</v>
      </c>
      <c r="D72" s="5" t="str">
        <f ca="1">IFERROR(__xludf.DUMMYFUNCTION("""COMPUTED_VALUE"""),"Yes")</f>
        <v>Yes</v>
      </c>
      <c r="E72" s="5" t="str">
        <f ca="1">IFERROR(__xludf.DUMMYFUNCTION("""COMPUTED_VALUE"""),"Yes")</f>
        <v>Yes</v>
      </c>
      <c r="F72" s="5" t="str">
        <f ca="1">IFERROR(__xludf.DUMMYFUNCTION("""COMPUTED_VALUE"""),"Yes")</f>
        <v>Yes</v>
      </c>
      <c r="G72" s="5" t="str">
        <f ca="1">IFERROR(__xludf.DUMMYFUNCTION("""COMPUTED_VALUE"""),"Yes")</f>
        <v>Yes</v>
      </c>
      <c r="H72" s="5" t="str">
        <f ca="1">IFERROR(__xludf.DUMMYFUNCTION("""COMPUTED_VALUE"""),"Yes")</f>
        <v>Yes</v>
      </c>
      <c r="I72" s="5" t="str">
        <f ca="1">IFERROR(__xludf.DUMMYFUNCTION("""COMPUTED_VALUE"""),"Yes")</f>
        <v>Yes</v>
      </c>
      <c r="J72" s="5" t="str">
        <f ca="1">IFERROR(__xludf.DUMMYFUNCTION("""COMPUTED_VALUE"""),"Yes")</f>
        <v>Yes</v>
      </c>
      <c r="K72" s="5" t="str">
        <f ca="1">IFERROR(__xludf.DUMMYFUNCTION("""COMPUTED_VALUE"""),"Yes")</f>
        <v>Yes</v>
      </c>
      <c r="L72" s="5" t="str">
        <f ca="1">IFERROR(__xludf.DUMMYFUNCTION("""COMPUTED_VALUE"""),"Yes")</f>
        <v>Yes</v>
      </c>
      <c r="M72" s="5" t="str">
        <f ca="1">IFERROR(__xludf.DUMMYFUNCTION("""COMPUTED_VALUE"""),"Yes")</f>
        <v>Yes</v>
      </c>
      <c r="N72" s="5" t="str">
        <f ca="1">IFERROR(__xludf.DUMMYFUNCTION("""COMPUTED_VALUE"""),"Yes")</f>
        <v>Yes</v>
      </c>
      <c r="O72" s="5" t="str">
        <f ca="1">IFERROR(__xludf.DUMMYFUNCTION("""COMPUTED_VALUE"""),"Yes")</f>
        <v>Yes</v>
      </c>
      <c r="P72" s="5" t="str">
        <f ca="1">IFERROR(__xludf.DUMMYFUNCTION("""COMPUTED_VALUE"""),"Yes")</f>
        <v>Yes</v>
      </c>
      <c r="Q72" s="5" t="str">
        <f ca="1">IFERROR(__xludf.DUMMYFUNCTION("""COMPUTED_VALUE"""),"Yes")</f>
        <v>Yes</v>
      </c>
      <c r="R72" s="5" t="str">
        <f ca="1">IFERROR(__xludf.DUMMYFUNCTION("""COMPUTED_VALUE"""),"Yes")</f>
        <v>Yes</v>
      </c>
      <c r="S72" s="5" t="str">
        <f ca="1">IFERROR(__xludf.DUMMYFUNCTION("""COMPUTED_VALUE"""),"Yes")</f>
        <v>Yes</v>
      </c>
      <c r="T72" s="5" t="str">
        <f ca="1">IFERROR(__xludf.DUMMYFUNCTION("""COMPUTED_VALUE"""),"Yes")</f>
        <v>Yes</v>
      </c>
      <c r="U72" s="5" t="str">
        <f ca="1">IFERROR(__xludf.DUMMYFUNCTION("""COMPUTED_VALUE"""),"Yes")</f>
        <v>Yes</v>
      </c>
      <c r="V72" s="5" t="str">
        <f ca="1">IFERROR(__xludf.DUMMYFUNCTION("""COMPUTED_VALUE"""),"Yes")</f>
        <v>Yes</v>
      </c>
      <c r="W72" s="5" t="str">
        <f ca="1">IFERROR(__xludf.DUMMYFUNCTION("""COMPUTED_VALUE"""),"Yes")</f>
        <v>Yes</v>
      </c>
      <c r="X72" s="5" t="str">
        <f ca="1">IFERROR(__xludf.DUMMYFUNCTION("""COMPUTED_VALUE"""),"Yes")</f>
        <v>Yes</v>
      </c>
      <c r="Y72" s="5" t="str">
        <f ca="1">IFERROR(__xludf.DUMMYFUNCTION("""COMPUTED_VALUE"""),"Yes")</f>
        <v>Yes</v>
      </c>
      <c r="Z72" s="5" t="str">
        <f ca="1">IFERROR(__xludf.DUMMYFUNCTION("""COMPUTED_VALUE"""),"Yes")</f>
        <v>Yes</v>
      </c>
      <c r="AA72" s="5" t="str">
        <f ca="1">IFERROR(__xludf.DUMMYFUNCTION("""COMPUTED_VALUE"""),"Yes")</f>
        <v>Yes</v>
      </c>
      <c r="AB72" s="5" t="str">
        <f ca="1">IFERROR(__xludf.DUMMYFUNCTION("""COMPUTED_VALUE"""),"Yes")</f>
        <v>Yes</v>
      </c>
      <c r="AC72" s="5" t="str">
        <f ca="1">IFERROR(__xludf.DUMMYFUNCTION("""COMPUTED_VALUE"""),"No")</f>
        <v>No</v>
      </c>
    </row>
    <row r="73" spans="1:29" x14ac:dyDescent="0.25">
      <c r="A73" s="5" t="str">
        <f ca="1">IFERROR(__xludf.DUMMYFUNCTION("""COMPUTED_VALUE"""),"UnicornVegasDice")</f>
        <v>UnicornVegasDice</v>
      </c>
      <c r="B7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73" s="5" t="str">
        <f ca="1">IFERROR(__xludf.DUMMYFUNCTION("""COMPUTED_VALUE"""),"Yes")</f>
        <v>Yes</v>
      </c>
      <c r="D73" s="5" t="str">
        <f ca="1">IFERROR(__xludf.DUMMYFUNCTION("""COMPUTED_VALUE"""),"Yes")</f>
        <v>Yes</v>
      </c>
      <c r="E73" s="5" t="str">
        <f ca="1">IFERROR(__xludf.DUMMYFUNCTION("""COMPUTED_VALUE"""),"Yes")</f>
        <v>Yes</v>
      </c>
      <c r="F73" s="5" t="str">
        <f ca="1">IFERROR(__xludf.DUMMYFUNCTION("""COMPUTED_VALUE"""),"No")</f>
        <v>No</v>
      </c>
      <c r="G73" s="5" t="str">
        <f ca="1">IFERROR(__xludf.DUMMYFUNCTION("""COMPUTED_VALUE"""),"No")</f>
        <v>No</v>
      </c>
      <c r="H73" s="5" t="str">
        <f ca="1">IFERROR(__xludf.DUMMYFUNCTION("""COMPUTED_VALUE"""),"No")</f>
        <v>No</v>
      </c>
      <c r="I73" s="5" t="str">
        <f ca="1">IFERROR(__xludf.DUMMYFUNCTION("""COMPUTED_VALUE"""),"No")</f>
        <v>No</v>
      </c>
      <c r="J73" s="5" t="str">
        <f ca="1">IFERROR(__xludf.DUMMYFUNCTION("""COMPUTED_VALUE"""),"No")</f>
        <v>No</v>
      </c>
      <c r="K73" s="5" t="str">
        <f ca="1">IFERROR(__xludf.DUMMYFUNCTION("""COMPUTED_VALUE"""),"Yes")</f>
        <v>Yes</v>
      </c>
      <c r="L73" s="5" t="str">
        <f ca="1">IFERROR(__xludf.DUMMYFUNCTION("""COMPUTED_VALUE"""),"Yes")</f>
        <v>Yes</v>
      </c>
      <c r="M73" s="5" t="str">
        <f ca="1">IFERROR(__xludf.DUMMYFUNCTION("""COMPUTED_VALUE"""),"Yes")</f>
        <v>Yes</v>
      </c>
      <c r="N73" s="5" t="str">
        <f ca="1">IFERROR(__xludf.DUMMYFUNCTION("""COMPUTED_VALUE"""),"Yes")</f>
        <v>Yes</v>
      </c>
      <c r="O73" s="5" t="str">
        <f ca="1">IFERROR(__xludf.DUMMYFUNCTION("""COMPUTED_VALUE"""),"Yes")</f>
        <v>Yes</v>
      </c>
      <c r="P73" s="5" t="str">
        <f ca="1">IFERROR(__xludf.DUMMYFUNCTION("""COMPUTED_VALUE"""),"No")</f>
        <v>No</v>
      </c>
      <c r="Q73" s="5" t="str">
        <f ca="1">IFERROR(__xludf.DUMMYFUNCTION("""COMPUTED_VALUE"""),"Yes")</f>
        <v>Yes</v>
      </c>
      <c r="R73" s="5" t="str">
        <f ca="1">IFERROR(__xludf.DUMMYFUNCTION("""COMPUTED_VALUE"""),"No")</f>
        <v>No</v>
      </c>
      <c r="S73" s="5" t="str">
        <f ca="1">IFERROR(__xludf.DUMMYFUNCTION("""COMPUTED_VALUE"""),"No")</f>
        <v>No</v>
      </c>
      <c r="T73" s="5" t="str">
        <f ca="1">IFERROR(__xludf.DUMMYFUNCTION("""COMPUTED_VALUE"""),"No")</f>
        <v>No</v>
      </c>
      <c r="U73" s="5" t="str">
        <f ca="1">IFERROR(__xludf.DUMMYFUNCTION("""COMPUTED_VALUE"""),"No")</f>
        <v>No</v>
      </c>
      <c r="V73" s="5" t="str">
        <f ca="1">IFERROR(__xludf.DUMMYFUNCTION("""COMPUTED_VALUE"""),"No")</f>
        <v>No</v>
      </c>
      <c r="W73" s="5"/>
      <c r="X73" s="5" t="str">
        <f ca="1">IFERROR(__xludf.DUMMYFUNCTION("""COMPUTED_VALUE"""),"No")</f>
        <v>No</v>
      </c>
      <c r="Y73" s="5"/>
      <c r="Z73" s="5" t="str">
        <f ca="1">IFERROR(__xludf.DUMMYFUNCTION("""COMPUTED_VALUE"""),"No")</f>
        <v>No</v>
      </c>
      <c r="AA73" s="5"/>
      <c r="AB73" s="5" t="str">
        <f ca="1">IFERROR(__xludf.DUMMYFUNCTION("""COMPUTED_VALUE"""),"No")</f>
        <v>No</v>
      </c>
      <c r="AC73" s="5" t="str">
        <f ca="1">IFERROR(__xludf.DUMMYFUNCTION("""COMPUTED_VALUE"""),"No")</f>
        <v>No</v>
      </c>
    </row>
    <row r="74" spans="1:29" x14ac:dyDescent="0.25">
      <c r="A74" s="5" t="str">
        <f ca="1">IFERROR(__xludf.DUMMYFUNCTION("""COMPUTED_VALUE"""),"BookOfMayanGold")</f>
        <v>BookOfMayanGold</v>
      </c>
      <c r="B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4" s="5" t="str">
        <f ca="1">IFERROR(__xludf.DUMMYFUNCTION("""COMPUTED_VALUE"""),"Yes")</f>
        <v>Yes</v>
      </c>
      <c r="D74" s="5" t="str">
        <f ca="1">IFERROR(__xludf.DUMMYFUNCTION("""COMPUTED_VALUE"""),"Yes")</f>
        <v>Yes</v>
      </c>
      <c r="E74" s="5" t="str">
        <f ca="1">IFERROR(__xludf.DUMMYFUNCTION("""COMPUTED_VALUE"""),"Yes")</f>
        <v>Yes</v>
      </c>
      <c r="F74" s="5" t="str">
        <f ca="1">IFERROR(__xludf.DUMMYFUNCTION("""COMPUTED_VALUE"""),"Yes")</f>
        <v>Yes</v>
      </c>
      <c r="G74" s="5" t="str">
        <f ca="1">IFERROR(__xludf.DUMMYFUNCTION("""COMPUTED_VALUE"""),"Yes")</f>
        <v>Yes</v>
      </c>
      <c r="H74" s="5" t="str">
        <f ca="1">IFERROR(__xludf.DUMMYFUNCTION("""COMPUTED_VALUE"""),"Yes")</f>
        <v>Yes</v>
      </c>
      <c r="I74" s="5" t="str">
        <f ca="1">IFERROR(__xludf.DUMMYFUNCTION("""COMPUTED_VALUE"""),"Yes")</f>
        <v>Yes</v>
      </c>
      <c r="J74" s="5" t="str">
        <f ca="1">IFERROR(__xludf.DUMMYFUNCTION("""COMPUTED_VALUE"""),"Yes")</f>
        <v>Yes</v>
      </c>
      <c r="K74" s="5" t="str">
        <f ca="1">IFERROR(__xludf.DUMMYFUNCTION("""COMPUTED_VALUE"""),"Yes")</f>
        <v>Yes</v>
      </c>
      <c r="L74" s="5" t="str">
        <f ca="1">IFERROR(__xludf.DUMMYFUNCTION("""COMPUTED_VALUE"""),"Yes")</f>
        <v>Yes</v>
      </c>
      <c r="M74" s="5" t="str">
        <f ca="1">IFERROR(__xludf.DUMMYFUNCTION("""COMPUTED_VALUE"""),"Yes")</f>
        <v>Yes</v>
      </c>
      <c r="N74" s="5" t="str">
        <f ca="1">IFERROR(__xludf.DUMMYFUNCTION("""COMPUTED_VALUE"""),"Yes")</f>
        <v>Yes</v>
      </c>
      <c r="O74" s="5" t="str">
        <f ca="1">IFERROR(__xludf.DUMMYFUNCTION("""COMPUTED_VALUE"""),"Yes")</f>
        <v>Yes</v>
      </c>
      <c r="P74" s="5" t="str">
        <f ca="1">IFERROR(__xludf.DUMMYFUNCTION("""COMPUTED_VALUE"""),"Yes")</f>
        <v>Yes</v>
      </c>
      <c r="Q74" s="5" t="str">
        <f ca="1">IFERROR(__xludf.DUMMYFUNCTION("""COMPUTED_VALUE"""),"Yes")</f>
        <v>Yes</v>
      </c>
      <c r="R74" s="5" t="str">
        <f ca="1">IFERROR(__xludf.DUMMYFUNCTION("""COMPUTED_VALUE"""),"Yes")</f>
        <v>Yes</v>
      </c>
      <c r="S74" s="5" t="str">
        <f ca="1">IFERROR(__xludf.DUMMYFUNCTION("""COMPUTED_VALUE"""),"Yes")</f>
        <v>Yes</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IFERROR(__xludf.DUMMYFUNCTION("""COMPUTED_VALUE"""),"Yes")</f>
        <v>Yes</v>
      </c>
      <c r="X74" s="5" t="str">
        <f ca="1">IFERROR(__xludf.DUMMYFUNCTION("""COMPUTED_VALUE"""),"Yes")</f>
        <v>Yes</v>
      </c>
      <c r="Y74" s="5" t="str">
        <f ca="1">IFERROR(__xludf.DUMMYFUNCTION("""COMPUTED_VALUE"""),"Yes")</f>
        <v>Yes</v>
      </c>
      <c r="Z74" s="5" t="str">
        <f ca="1">IFERROR(__xludf.DUMMYFUNCTION("""COMPUTED_VALUE"""),"Yes")</f>
        <v>Yes</v>
      </c>
      <c r="AA74" s="5" t="str">
        <f ca="1">IFERROR(__xludf.DUMMYFUNCTION("""COMPUTED_VALUE"""),"Yes")</f>
        <v>Yes</v>
      </c>
      <c r="AB74" s="5" t="str">
        <f ca="1">IFERROR(__xludf.DUMMYFUNCTION("""COMPUTED_VALUE"""),"Yes")</f>
        <v>Yes</v>
      </c>
      <c r="AC74" s="5" t="str">
        <f ca="1">IFERROR(__xludf.DUMMYFUNCTION("""COMPUTED_VALUE"""),"No")</f>
        <v>No</v>
      </c>
    </row>
    <row r="75" spans="1:29" x14ac:dyDescent="0.25">
      <c r="A75" s="5" t="str">
        <f ca="1">IFERROR(__xludf.DUMMYFUNCTION("""COMPUTED_VALUE"""),"BurstingHot5")</f>
        <v>BurstingHot5</v>
      </c>
      <c r="B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 s="5" t="str">
        <f ca="1">IFERROR(__xludf.DUMMYFUNCTION("""COMPUTED_VALUE"""),"Yes")</f>
        <v>Yes</v>
      </c>
      <c r="D75" s="5" t="str">
        <f ca="1">IFERROR(__xludf.DUMMYFUNCTION("""COMPUTED_VALUE"""),"Yes")</f>
        <v>Yes</v>
      </c>
      <c r="E75" s="5" t="str">
        <f ca="1">IFERROR(__xludf.DUMMYFUNCTION("""COMPUTED_VALUE"""),"Yes")</f>
        <v>Yes</v>
      </c>
      <c r="F75" s="5" t="str">
        <f ca="1">IFERROR(__xludf.DUMMYFUNCTION("""COMPUTED_VALUE"""),"Yes")</f>
        <v>Yes</v>
      </c>
      <c r="G75" s="5" t="str">
        <f ca="1">IFERROR(__xludf.DUMMYFUNCTION("""COMPUTED_VALUE"""),"Yes")</f>
        <v>Yes</v>
      </c>
      <c r="H75" s="5" t="str">
        <f ca="1">IFERROR(__xludf.DUMMYFUNCTION("""COMPUTED_VALUE"""),"Yes")</f>
        <v>Yes</v>
      </c>
      <c r="I75" s="5" t="str">
        <f ca="1">IFERROR(__xludf.DUMMYFUNCTION("""COMPUTED_VALUE"""),"Yes")</f>
        <v>Yes</v>
      </c>
      <c r="J75" s="5" t="str">
        <f ca="1">IFERROR(__xludf.DUMMYFUNCTION("""COMPUTED_VALUE"""),"Yes")</f>
        <v>Yes</v>
      </c>
      <c r="K75" s="5" t="str">
        <f ca="1">IFERROR(__xludf.DUMMYFUNCTION("""COMPUTED_VALUE"""),"Yes")</f>
        <v>Yes</v>
      </c>
      <c r="L75" s="5" t="str">
        <f ca="1">IFERROR(__xludf.DUMMYFUNCTION("""COMPUTED_VALUE"""),"Yes")</f>
        <v>Yes</v>
      </c>
      <c r="M75" s="5" t="str">
        <f ca="1">IFERROR(__xludf.DUMMYFUNCTION("""COMPUTED_VALUE"""),"Yes")</f>
        <v>Yes</v>
      </c>
      <c r="N75" s="5" t="str">
        <f ca="1">IFERROR(__xludf.DUMMYFUNCTION("""COMPUTED_VALUE"""),"Yes")</f>
        <v>Yes</v>
      </c>
      <c r="O75" s="5" t="str">
        <f ca="1">IFERROR(__xludf.DUMMYFUNCTION("""COMPUTED_VALUE"""),"Yes")</f>
        <v>Yes</v>
      </c>
      <c r="P75" s="5" t="str">
        <f ca="1">IFERROR(__xludf.DUMMYFUNCTION("""COMPUTED_VALUE"""),"Yes")</f>
        <v>Yes</v>
      </c>
      <c r="Q75" s="5" t="str">
        <f ca="1">IFERROR(__xludf.DUMMYFUNCTION("""COMPUTED_VALUE"""),"Yes")</f>
        <v>Yes</v>
      </c>
      <c r="R75" s="5" t="str">
        <f ca="1">IFERROR(__xludf.DUMMYFUNCTION("""COMPUTED_VALUE"""),"Yes")</f>
        <v>Yes</v>
      </c>
      <c r="S75" s="5" t="str">
        <f ca="1">IFERROR(__xludf.DUMMYFUNCTION("""COMPUTED_VALUE"""),"Yes")</f>
        <v>Yes</v>
      </c>
      <c r="T75" s="5" t="str">
        <f ca="1">IFERROR(__xludf.DUMMYFUNCTION("""COMPUTED_VALUE"""),"Yes")</f>
        <v>Yes</v>
      </c>
      <c r="U75" s="5" t="str">
        <f ca="1">IFERROR(__xludf.DUMMYFUNCTION("""COMPUTED_VALUE"""),"Yes")</f>
        <v>Yes</v>
      </c>
      <c r="V75" s="5" t="str">
        <f ca="1">IFERROR(__xludf.DUMMYFUNCTION("""COMPUTED_VALUE"""),"Yes")</f>
        <v>Yes</v>
      </c>
      <c r="W75" s="5" t="str">
        <f ca="1">IFERROR(__xludf.DUMMYFUNCTION("""COMPUTED_VALUE"""),"Yes")</f>
        <v>Yes</v>
      </c>
      <c r="X75" s="5" t="str">
        <f ca="1">IFERROR(__xludf.DUMMYFUNCTION("""COMPUTED_VALUE"""),"Yes")</f>
        <v>Yes</v>
      </c>
      <c r="Y75" s="5" t="str">
        <f ca="1">IFERROR(__xludf.DUMMYFUNCTION("""COMPUTED_VALUE"""),"Yes")</f>
        <v>Yes</v>
      </c>
      <c r="Z75" s="5" t="str">
        <f ca="1">IFERROR(__xludf.DUMMYFUNCTION("""COMPUTED_VALUE"""),"Yes")</f>
        <v>Yes</v>
      </c>
      <c r="AA75" s="5" t="str">
        <f ca="1">IFERROR(__xludf.DUMMYFUNCTION("""COMPUTED_VALUE"""),"Yes")</f>
        <v>Yes</v>
      </c>
      <c r="AB75" s="5" t="str">
        <f ca="1">IFERROR(__xludf.DUMMYFUNCTION("""COMPUTED_VALUE"""),"Yes")</f>
        <v>Yes</v>
      </c>
      <c r="AC75" s="5" t="str">
        <f ca="1">IFERROR(__xludf.DUMMYFUNCTION("""COMPUTED_VALUE"""),"No")</f>
        <v>No</v>
      </c>
    </row>
    <row r="76" spans="1:29" x14ac:dyDescent="0.25">
      <c r="A76" s="5" t="str">
        <f ca="1">IFERROR(__xludf.DUMMYFUNCTION("""COMPUTED_VALUE"""),"WildHot40")</f>
        <v>WildHot40</v>
      </c>
      <c r="B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 s="5" t="str">
        <f ca="1">IFERROR(__xludf.DUMMYFUNCTION("""COMPUTED_VALUE"""),"Yes")</f>
        <v>Yes</v>
      </c>
      <c r="D76" s="5" t="str">
        <f ca="1">IFERROR(__xludf.DUMMYFUNCTION("""COMPUTED_VALUE"""),"Yes")</f>
        <v>Yes</v>
      </c>
      <c r="E76" s="5" t="str">
        <f ca="1">IFERROR(__xludf.DUMMYFUNCTION("""COMPUTED_VALUE"""),"Yes")</f>
        <v>Yes</v>
      </c>
      <c r="F76" s="5" t="str">
        <f ca="1">IFERROR(__xludf.DUMMYFUNCTION("""COMPUTED_VALUE"""),"Yes")</f>
        <v>Yes</v>
      </c>
      <c r="G76" s="5" t="str">
        <f ca="1">IFERROR(__xludf.DUMMYFUNCTION("""COMPUTED_VALUE"""),"Yes")</f>
        <v>Yes</v>
      </c>
      <c r="H76" s="5" t="str">
        <f ca="1">IFERROR(__xludf.DUMMYFUNCTION("""COMPUTED_VALUE"""),"Yes")</f>
        <v>Yes</v>
      </c>
      <c r="I76" s="5" t="str">
        <f ca="1">IFERROR(__xludf.DUMMYFUNCTION("""COMPUTED_VALUE"""),"Yes")</f>
        <v>Yes</v>
      </c>
      <c r="J76" s="5" t="str">
        <f ca="1">IFERROR(__xludf.DUMMYFUNCTION("""COMPUTED_VALUE"""),"Yes")</f>
        <v>Yes</v>
      </c>
      <c r="K76" s="5" t="str">
        <f ca="1">IFERROR(__xludf.DUMMYFUNCTION("""COMPUTED_VALUE"""),"Yes")</f>
        <v>Yes</v>
      </c>
      <c r="L76" s="5" t="str">
        <f ca="1">IFERROR(__xludf.DUMMYFUNCTION("""COMPUTED_VALUE"""),"Yes")</f>
        <v>Yes</v>
      </c>
      <c r="M76" s="5" t="str">
        <f ca="1">IFERROR(__xludf.DUMMYFUNCTION("""COMPUTED_VALUE"""),"Yes")</f>
        <v>Yes</v>
      </c>
      <c r="N76" s="5" t="str">
        <f ca="1">IFERROR(__xludf.DUMMYFUNCTION("""COMPUTED_VALUE"""),"Yes")</f>
        <v>Yes</v>
      </c>
      <c r="O76" s="5" t="str">
        <f ca="1">IFERROR(__xludf.DUMMYFUNCTION("""COMPUTED_VALUE"""),"Yes")</f>
        <v>Yes</v>
      </c>
      <c r="P76" s="5" t="str">
        <f ca="1">IFERROR(__xludf.DUMMYFUNCTION("""COMPUTED_VALUE"""),"Yes")</f>
        <v>Yes</v>
      </c>
      <c r="Q76" s="5" t="str">
        <f ca="1">IFERROR(__xludf.DUMMYFUNCTION("""COMPUTED_VALUE"""),"Yes")</f>
        <v>Yes</v>
      </c>
      <c r="R76" s="5" t="str">
        <f ca="1">IFERROR(__xludf.DUMMYFUNCTION("""COMPUTED_VALUE"""),"Yes")</f>
        <v>Yes</v>
      </c>
      <c r="S76" s="5" t="str">
        <f ca="1">IFERROR(__xludf.DUMMYFUNCTION("""COMPUTED_VALUE"""),"Yes")</f>
        <v>Yes</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IFERROR(__xludf.DUMMYFUNCTION("""COMPUTED_VALUE"""),"Yes")</f>
        <v>Yes</v>
      </c>
      <c r="X76" s="5" t="str">
        <f ca="1">IFERROR(__xludf.DUMMYFUNCTION("""COMPUTED_VALUE"""),"Yes")</f>
        <v>Yes</v>
      </c>
      <c r="Y76" s="5" t="str">
        <f ca="1">IFERROR(__xludf.DUMMYFUNCTION("""COMPUTED_VALUE"""),"Yes")</f>
        <v>Yes</v>
      </c>
      <c r="Z76" s="5" t="str">
        <f ca="1">IFERROR(__xludf.DUMMYFUNCTION("""COMPUTED_VALUE"""),"Yes")</f>
        <v>Yes</v>
      </c>
      <c r="AA76" s="5" t="str">
        <f ca="1">IFERROR(__xludf.DUMMYFUNCTION("""COMPUTED_VALUE"""),"Yes")</f>
        <v>Yes</v>
      </c>
      <c r="AB76" s="5" t="str">
        <f ca="1">IFERROR(__xludf.DUMMYFUNCTION("""COMPUTED_VALUE"""),"Yes")</f>
        <v>Yes</v>
      </c>
      <c r="AC76" s="5" t="str">
        <f ca="1">IFERROR(__xludf.DUMMYFUNCTION("""COMPUTED_VALUE"""),"No")</f>
        <v>No</v>
      </c>
    </row>
    <row r="77" spans="1:29" x14ac:dyDescent="0.25">
      <c r="A77" s="5" t="str">
        <f ca="1">IFERROR(__xludf.DUMMYFUNCTION("""COMPUTED_VALUE"""),"BurningIceGd")</f>
        <v>BurningIceGd</v>
      </c>
      <c r="B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7" s="5" t="str">
        <f ca="1">IFERROR(__xludf.DUMMYFUNCTION("""COMPUTED_VALUE"""),"Yes")</f>
        <v>Yes</v>
      </c>
      <c r="D77" s="5" t="str">
        <f ca="1">IFERROR(__xludf.DUMMYFUNCTION("""COMPUTED_VALUE"""),"Yes")</f>
        <v>Yes</v>
      </c>
      <c r="E77" s="5" t="str">
        <f ca="1">IFERROR(__xludf.DUMMYFUNCTION("""COMPUTED_VALUE"""),"Yes")</f>
        <v>Yes</v>
      </c>
      <c r="F77" s="5" t="str">
        <f ca="1">IFERROR(__xludf.DUMMYFUNCTION("""COMPUTED_VALUE"""),"Yes")</f>
        <v>Yes</v>
      </c>
      <c r="G77" s="5" t="str">
        <f ca="1">IFERROR(__xludf.DUMMYFUNCTION("""COMPUTED_VALUE"""),"Yes")</f>
        <v>Yes</v>
      </c>
      <c r="H77" s="5" t="str">
        <f ca="1">IFERROR(__xludf.DUMMYFUNCTION("""COMPUTED_VALUE"""),"Yes")</f>
        <v>Yes</v>
      </c>
      <c r="I77" s="5" t="str">
        <f ca="1">IFERROR(__xludf.DUMMYFUNCTION("""COMPUTED_VALUE"""),"Yes")</f>
        <v>Yes</v>
      </c>
      <c r="J77" s="5" t="str">
        <f ca="1">IFERROR(__xludf.DUMMYFUNCTION("""COMPUTED_VALUE"""),"Yes")</f>
        <v>Yes</v>
      </c>
      <c r="K77" s="5" t="str">
        <f ca="1">IFERROR(__xludf.DUMMYFUNCTION("""COMPUTED_VALUE"""),"Yes")</f>
        <v>Yes</v>
      </c>
      <c r="L77" s="5" t="str">
        <f ca="1">IFERROR(__xludf.DUMMYFUNCTION("""COMPUTED_VALUE"""),"Yes")</f>
        <v>Yes</v>
      </c>
      <c r="M77" s="5" t="str">
        <f ca="1">IFERROR(__xludf.DUMMYFUNCTION("""COMPUTED_VALUE"""),"Yes")</f>
        <v>Yes</v>
      </c>
      <c r="N77" s="5" t="str">
        <f ca="1">IFERROR(__xludf.DUMMYFUNCTION("""COMPUTED_VALUE"""),"Yes")</f>
        <v>Yes</v>
      </c>
      <c r="O77" s="5" t="str">
        <f ca="1">IFERROR(__xludf.DUMMYFUNCTION("""COMPUTED_VALUE"""),"Yes")</f>
        <v>Yes</v>
      </c>
      <c r="P77" s="5" t="str">
        <f ca="1">IFERROR(__xludf.DUMMYFUNCTION("""COMPUTED_VALUE"""),"Yes")</f>
        <v>Yes</v>
      </c>
      <c r="Q77" s="5" t="str">
        <f ca="1">IFERROR(__xludf.DUMMYFUNCTION("""COMPUTED_VALUE"""),"Yes")</f>
        <v>Yes</v>
      </c>
      <c r="R77" s="5" t="str">
        <f ca="1">IFERROR(__xludf.DUMMYFUNCTION("""COMPUTED_VALUE"""),"Yes")</f>
        <v>Yes</v>
      </c>
      <c r="S77" s="5" t="str">
        <f ca="1">IFERROR(__xludf.DUMMYFUNCTION("""COMPUTED_VALUE"""),"Yes")</f>
        <v>Yes</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IFERROR(__xludf.DUMMYFUNCTION("""COMPUTED_VALUE"""),"Yes")</f>
        <v>Yes</v>
      </c>
      <c r="X77" s="5" t="str">
        <f ca="1">IFERROR(__xludf.DUMMYFUNCTION("""COMPUTED_VALUE"""),"Yes")</f>
        <v>Yes</v>
      </c>
      <c r="Y77" s="5" t="str">
        <f ca="1">IFERROR(__xludf.DUMMYFUNCTION("""COMPUTED_VALUE"""),"Yes")</f>
        <v>Yes</v>
      </c>
      <c r="Z77" s="5" t="str">
        <f ca="1">IFERROR(__xludf.DUMMYFUNCTION("""COMPUTED_VALUE"""),"Yes")</f>
        <v>Yes</v>
      </c>
      <c r="AA77" s="5" t="str">
        <f ca="1">IFERROR(__xludf.DUMMYFUNCTION("""COMPUTED_VALUE"""),"Yes")</f>
        <v>Yes</v>
      </c>
      <c r="AB77" s="5" t="str">
        <f ca="1">IFERROR(__xludf.DUMMYFUNCTION("""COMPUTED_VALUE"""),"Yes")</f>
        <v>Yes</v>
      </c>
      <c r="AC77" s="5" t="str">
        <f ca="1">IFERROR(__xludf.DUMMYFUNCTION("""COMPUTED_VALUE"""),"No")</f>
        <v>No</v>
      </c>
    </row>
    <row r="78" spans="1:29" x14ac:dyDescent="0.25">
      <c r="A78" s="5" t="str">
        <f ca="1">IFERROR(__xludf.DUMMYFUNCTION("""COMPUTED_VALUE"""),"UnicornReelDice")</f>
        <v>UnicornReelDice</v>
      </c>
      <c r="B78" s="5" t="str">
        <f ca="1">IFERROR(__xludf.DUMMYFUNCTION("""COMPUTED_VALUE"""),"English(""eng"")")</f>
        <v>English("eng")</v>
      </c>
      <c r="C78" s="5" t="str">
        <f ca="1">IFERROR(__xludf.DUMMYFUNCTION("""COMPUTED_VALUE"""),"Yes")</f>
        <v>Yes</v>
      </c>
      <c r="D78" s="5" t="str">
        <f ca="1">IFERROR(__xludf.DUMMYFUNCTION("""COMPUTED_VALUE"""),"No")</f>
        <v>No</v>
      </c>
      <c r="E78" s="5" t="str">
        <f ca="1">IFERROR(__xludf.DUMMYFUNCTION("""COMPUTED_VALUE"""),"No")</f>
        <v>No</v>
      </c>
      <c r="F78" s="5" t="str">
        <f ca="1">IFERROR(__xludf.DUMMYFUNCTION("""COMPUTED_VALUE"""),"No")</f>
        <v>No</v>
      </c>
      <c r="G78" s="5" t="str">
        <f ca="1">IFERROR(__xludf.DUMMYFUNCTION("""COMPUTED_VALUE"""),"No")</f>
        <v>No</v>
      </c>
      <c r="H78" s="5" t="str">
        <f ca="1">IFERROR(__xludf.DUMMYFUNCTION("""COMPUTED_VALUE"""),"No")</f>
        <v>No</v>
      </c>
      <c r="I78" s="5" t="str">
        <f ca="1">IFERROR(__xludf.DUMMYFUNCTION("""COMPUTED_VALUE"""),"No")</f>
        <v>No</v>
      </c>
      <c r="J78" s="5" t="str">
        <f ca="1">IFERROR(__xludf.DUMMYFUNCTION("""COMPUTED_VALUE"""),"No")</f>
        <v>No</v>
      </c>
      <c r="K78" s="5" t="str">
        <f ca="1">IFERROR(__xludf.DUMMYFUNCTION("""COMPUTED_VALUE"""),"No")</f>
        <v>No</v>
      </c>
      <c r="L78" s="5" t="str">
        <f ca="1">IFERROR(__xludf.DUMMYFUNCTION("""COMPUTED_VALUE"""),"No")</f>
        <v>No</v>
      </c>
      <c r="M78" s="5" t="str">
        <f ca="1">IFERROR(__xludf.DUMMYFUNCTION("""COMPUTED_VALUE"""),"No")</f>
        <v>No</v>
      </c>
      <c r="N78" s="5" t="str">
        <f ca="1">IFERROR(__xludf.DUMMYFUNCTION("""COMPUTED_VALUE"""),"No")</f>
        <v>No</v>
      </c>
      <c r="O78" s="5" t="str">
        <f ca="1">IFERROR(__xludf.DUMMYFUNCTION("""COMPUTED_VALUE"""),"No")</f>
        <v>No</v>
      </c>
      <c r="P78" s="5" t="str">
        <f ca="1">IFERROR(__xludf.DUMMYFUNCTION("""COMPUTED_VALUE"""),"No")</f>
        <v>No</v>
      </c>
      <c r="Q78" s="5" t="str">
        <f ca="1">IFERROR(__xludf.DUMMYFUNCTION("""COMPUTED_VALUE"""),"No")</f>
        <v>No</v>
      </c>
      <c r="R78" s="5" t="str">
        <f ca="1">IFERROR(__xludf.DUMMYFUNCTION("""COMPUTED_VALUE"""),"No")</f>
        <v>No</v>
      </c>
      <c r="S78" s="5" t="str">
        <f ca="1">IFERROR(__xludf.DUMMYFUNCTION("""COMPUTED_VALUE"""),"No")</f>
        <v>No</v>
      </c>
      <c r="T78" s="5" t="str">
        <f ca="1">IFERROR(__xludf.DUMMYFUNCTION("""COMPUTED_VALUE"""),"No")</f>
        <v>No</v>
      </c>
      <c r="U78" s="5" t="str">
        <f ca="1">IFERROR(__xludf.DUMMYFUNCTION("""COMPUTED_VALUE"""),"No")</f>
        <v>No</v>
      </c>
      <c r="V78" s="5" t="str">
        <f ca="1">IFERROR(__xludf.DUMMYFUNCTION("""COMPUTED_VALUE"""),"No")</f>
        <v>No</v>
      </c>
      <c r="W78" s="5" t="str">
        <f ca="1">IFERROR(__xludf.DUMMYFUNCTION("""COMPUTED_VALUE"""),"No")</f>
        <v>No</v>
      </c>
      <c r="X78" s="5" t="str">
        <f ca="1">IFERROR(__xludf.DUMMYFUNCTION("""COMPUTED_VALUE"""),"No")</f>
        <v>No</v>
      </c>
      <c r="Y78" s="5" t="str">
        <f ca="1">IFERROR(__xludf.DUMMYFUNCTION("""COMPUTED_VALUE"""),"No")</f>
        <v>No</v>
      </c>
      <c r="Z78" s="5" t="str">
        <f ca="1">IFERROR(__xludf.DUMMYFUNCTION("""COMPUTED_VALUE"""),"No")</f>
        <v>No</v>
      </c>
      <c r="AA78" s="5" t="str">
        <f ca="1">IFERROR(__xludf.DUMMYFUNCTION("""COMPUTED_VALUE"""),"No")</f>
        <v>No</v>
      </c>
      <c r="AB78" s="5" t="str">
        <f ca="1">IFERROR(__xludf.DUMMYFUNCTION("""COMPUTED_VALUE"""),"No")</f>
        <v>No</v>
      </c>
      <c r="AC78" s="5" t="str">
        <f ca="1">IFERROR(__xludf.DUMMYFUNCTION("""COMPUTED_VALUE"""),"No")</f>
        <v>No</v>
      </c>
    </row>
    <row r="79" spans="1:29" x14ac:dyDescent="0.25">
      <c r="A79" s="5" t="str">
        <f ca="1">IFERROR(__xludf.DUMMYFUNCTION("""COMPUTED_VALUE"""),"BurstingHot40")</f>
        <v>BurstingHot40</v>
      </c>
      <c r="B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9" s="5" t="str">
        <f ca="1">IFERROR(__xludf.DUMMYFUNCTION("""COMPUTED_VALUE"""),"Yes")</f>
        <v>Yes</v>
      </c>
      <c r="D79" s="5" t="str">
        <f ca="1">IFERROR(__xludf.DUMMYFUNCTION("""COMPUTED_VALUE"""),"Yes")</f>
        <v>Yes</v>
      </c>
      <c r="E79" s="5" t="str">
        <f ca="1">IFERROR(__xludf.DUMMYFUNCTION("""COMPUTED_VALUE"""),"Yes")</f>
        <v>Yes</v>
      </c>
      <c r="F79" s="5" t="str">
        <f ca="1">IFERROR(__xludf.DUMMYFUNCTION("""COMPUTED_VALUE"""),"Yes")</f>
        <v>Yes</v>
      </c>
      <c r="G79" s="5" t="str">
        <f ca="1">IFERROR(__xludf.DUMMYFUNCTION("""COMPUTED_VALUE"""),"Yes")</f>
        <v>Yes</v>
      </c>
      <c r="H79" s="5" t="str">
        <f ca="1">IFERROR(__xludf.DUMMYFUNCTION("""COMPUTED_VALUE"""),"Yes")</f>
        <v>Yes</v>
      </c>
      <c r="I79" s="5" t="str">
        <f ca="1">IFERROR(__xludf.DUMMYFUNCTION("""COMPUTED_VALUE"""),"Yes")</f>
        <v>Yes</v>
      </c>
      <c r="J79" s="5" t="str">
        <f ca="1">IFERROR(__xludf.DUMMYFUNCTION("""COMPUTED_VALUE"""),"Yes")</f>
        <v>Yes</v>
      </c>
      <c r="K79" s="5" t="str">
        <f ca="1">IFERROR(__xludf.DUMMYFUNCTION("""COMPUTED_VALUE"""),"Yes")</f>
        <v>Yes</v>
      </c>
      <c r="L79" s="5" t="str">
        <f ca="1">IFERROR(__xludf.DUMMYFUNCTION("""COMPUTED_VALUE"""),"Yes")</f>
        <v>Yes</v>
      </c>
      <c r="M79" s="5" t="str">
        <f ca="1">IFERROR(__xludf.DUMMYFUNCTION("""COMPUTED_VALUE"""),"Yes")</f>
        <v>Yes</v>
      </c>
      <c r="N79" s="5" t="str">
        <f ca="1">IFERROR(__xludf.DUMMYFUNCTION("""COMPUTED_VALUE"""),"Yes")</f>
        <v>Yes</v>
      </c>
      <c r="O79" s="5" t="str">
        <f ca="1">IFERROR(__xludf.DUMMYFUNCTION("""COMPUTED_VALUE"""),"Yes")</f>
        <v>Yes</v>
      </c>
      <c r="P79" s="5" t="str">
        <f ca="1">IFERROR(__xludf.DUMMYFUNCTION("""COMPUTED_VALUE"""),"Yes")</f>
        <v>Yes</v>
      </c>
      <c r="Q79" s="5" t="str">
        <f ca="1">IFERROR(__xludf.DUMMYFUNCTION("""COMPUTED_VALUE"""),"Yes")</f>
        <v>Yes</v>
      </c>
      <c r="R79" s="5" t="str">
        <f ca="1">IFERROR(__xludf.DUMMYFUNCTION("""COMPUTED_VALUE"""),"Yes")</f>
        <v>Yes</v>
      </c>
      <c r="S79" s="5" t="str">
        <f ca="1">IFERROR(__xludf.DUMMYFUNCTION("""COMPUTED_VALUE"""),"Yes")</f>
        <v>Yes</v>
      </c>
      <c r="T79" s="5" t="str">
        <f ca="1">IFERROR(__xludf.DUMMYFUNCTION("""COMPUTED_VALUE"""),"Yes")</f>
        <v>Yes</v>
      </c>
      <c r="U79" s="5" t="str">
        <f ca="1">IFERROR(__xludf.DUMMYFUNCTION("""COMPUTED_VALUE"""),"Yes")</f>
        <v>Yes</v>
      </c>
      <c r="V79" s="5" t="str">
        <f ca="1">IFERROR(__xludf.DUMMYFUNCTION("""COMPUTED_VALUE"""),"Yes")</f>
        <v>Yes</v>
      </c>
      <c r="W79" s="5" t="str">
        <f ca="1">IFERROR(__xludf.DUMMYFUNCTION("""COMPUTED_VALUE"""),"Yes")</f>
        <v>Yes</v>
      </c>
      <c r="X79" s="5" t="str">
        <f ca="1">IFERROR(__xludf.DUMMYFUNCTION("""COMPUTED_VALUE"""),"Yes")</f>
        <v>Yes</v>
      </c>
      <c r="Y79" s="5" t="str">
        <f ca="1">IFERROR(__xludf.DUMMYFUNCTION("""COMPUTED_VALUE"""),"Yes")</f>
        <v>Yes</v>
      </c>
      <c r="Z79" s="5" t="str">
        <f ca="1">IFERROR(__xludf.DUMMYFUNCTION("""COMPUTED_VALUE"""),"Yes")</f>
        <v>Yes</v>
      </c>
      <c r="AA79" s="5" t="str">
        <f ca="1">IFERROR(__xludf.DUMMYFUNCTION("""COMPUTED_VALUE"""),"Yes")</f>
        <v>Yes</v>
      </c>
      <c r="AB79" s="5" t="str">
        <f ca="1">IFERROR(__xludf.DUMMYFUNCTION("""COMPUTED_VALUE"""),"Yes")</f>
        <v>Yes</v>
      </c>
      <c r="AC79" s="5" t="str">
        <f ca="1">IFERROR(__xludf.DUMMYFUNCTION("""COMPUTED_VALUE"""),"No")</f>
        <v>No</v>
      </c>
    </row>
    <row r="80" spans="1:29" x14ac:dyDescent="0.25">
      <c r="A80" s="5" t="str">
        <f ca="1">IFERROR(__xludf.DUMMYFUNCTION("""COMPUTED_VALUE"""),"BuffaloFortune")</f>
        <v>BuffaloFortune</v>
      </c>
      <c r="B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0" s="5" t="str">
        <f ca="1">IFERROR(__xludf.DUMMYFUNCTION("""COMPUTED_VALUE"""),"Yes")</f>
        <v>Yes</v>
      </c>
      <c r="D80" s="5" t="str">
        <f ca="1">IFERROR(__xludf.DUMMYFUNCTION("""COMPUTED_VALUE"""),"Yes")</f>
        <v>Yes</v>
      </c>
      <c r="E80" s="5" t="str">
        <f ca="1">IFERROR(__xludf.DUMMYFUNCTION("""COMPUTED_VALUE"""),"Yes")</f>
        <v>Yes</v>
      </c>
      <c r="F80" s="5" t="str">
        <f ca="1">IFERROR(__xludf.DUMMYFUNCTION("""COMPUTED_VALUE"""),"Yes")</f>
        <v>Yes</v>
      </c>
      <c r="G80" s="5" t="str">
        <f ca="1">IFERROR(__xludf.DUMMYFUNCTION("""COMPUTED_VALUE"""),"Yes")</f>
        <v>Yes</v>
      </c>
      <c r="H80" s="5" t="str">
        <f ca="1">IFERROR(__xludf.DUMMYFUNCTION("""COMPUTED_VALUE"""),"Yes")</f>
        <v>Yes</v>
      </c>
      <c r="I80" s="5" t="str">
        <f ca="1">IFERROR(__xludf.DUMMYFUNCTION("""COMPUTED_VALUE"""),"Yes")</f>
        <v>Yes</v>
      </c>
      <c r="J80" s="5" t="str">
        <f ca="1">IFERROR(__xludf.DUMMYFUNCTION("""COMPUTED_VALUE"""),"Yes")</f>
        <v>Yes</v>
      </c>
      <c r="K80" s="5" t="str">
        <f ca="1">IFERROR(__xludf.DUMMYFUNCTION("""COMPUTED_VALUE"""),"Yes")</f>
        <v>Yes</v>
      </c>
      <c r="L80" s="5" t="str">
        <f ca="1">IFERROR(__xludf.DUMMYFUNCTION("""COMPUTED_VALUE"""),"Yes")</f>
        <v>Yes</v>
      </c>
      <c r="M80" s="5" t="str">
        <f ca="1">IFERROR(__xludf.DUMMYFUNCTION("""COMPUTED_VALUE"""),"Yes")</f>
        <v>Yes</v>
      </c>
      <c r="N80" s="5" t="str">
        <f ca="1">IFERROR(__xludf.DUMMYFUNCTION("""COMPUTED_VALUE"""),"Yes")</f>
        <v>Yes</v>
      </c>
      <c r="O80" s="5" t="str">
        <f ca="1">IFERROR(__xludf.DUMMYFUNCTION("""COMPUTED_VALUE"""),"Yes")</f>
        <v>Yes</v>
      </c>
      <c r="P80" s="5" t="str">
        <f ca="1">IFERROR(__xludf.DUMMYFUNCTION("""COMPUTED_VALUE"""),"Yes")</f>
        <v>Yes</v>
      </c>
      <c r="Q80" s="5" t="str">
        <f ca="1">IFERROR(__xludf.DUMMYFUNCTION("""COMPUTED_VALUE"""),"Yes")</f>
        <v>Yes</v>
      </c>
      <c r="R80" s="5" t="str">
        <f ca="1">IFERROR(__xludf.DUMMYFUNCTION("""COMPUTED_VALUE"""),"Yes")</f>
        <v>Yes</v>
      </c>
      <c r="S80" s="5" t="str">
        <f ca="1">IFERROR(__xludf.DUMMYFUNCTION("""COMPUTED_VALUE"""),"Yes")</f>
        <v>Yes</v>
      </c>
      <c r="T80" s="5" t="str">
        <f ca="1">IFERROR(__xludf.DUMMYFUNCTION("""COMPUTED_VALUE"""),"Yes")</f>
        <v>Yes</v>
      </c>
      <c r="U80" s="5" t="str">
        <f ca="1">IFERROR(__xludf.DUMMYFUNCTION("""COMPUTED_VALUE"""),"Yes")</f>
        <v>Yes</v>
      </c>
      <c r="V80" s="5" t="str">
        <f ca="1">IFERROR(__xludf.DUMMYFUNCTION("""COMPUTED_VALUE"""),"Yes")</f>
        <v>Yes</v>
      </c>
      <c r="W80" s="5"/>
      <c r="X80" s="5"/>
      <c r="Y80" s="5"/>
      <c r="Z80" s="5" t="str">
        <f ca="1">IFERROR(__xludf.DUMMYFUNCTION("""COMPUTED_VALUE"""),"Yes")</f>
        <v>Yes</v>
      </c>
      <c r="AA80" s="5"/>
      <c r="AB80" s="5"/>
      <c r="AC80" s="5"/>
    </row>
    <row r="81" spans="1:29" x14ac:dyDescent="0.25">
      <c r="A81" s="5" t="str">
        <f ca="1">IFERROR(__xludf.DUMMYFUNCTION("""COMPUTED_VALUE"""),"DolphinsShine")</f>
        <v>DolphinsShine</v>
      </c>
      <c r="B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 s="5" t="str">
        <f ca="1">IFERROR(__xludf.DUMMYFUNCTION("""COMPUTED_VALUE"""),"Yes")</f>
        <v>Yes</v>
      </c>
      <c r="D81" s="5" t="str">
        <f ca="1">IFERROR(__xludf.DUMMYFUNCTION("""COMPUTED_VALUE"""),"Yes")</f>
        <v>Yes</v>
      </c>
      <c r="E81" s="5" t="str">
        <f ca="1">IFERROR(__xludf.DUMMYFUNCTION("""COMPUTED_VALUE"""),"Yes")</f>
        <v>Yes</v>
      </c>
      <c r="F81" s="5" t="str">
        <f ca="1">IFERROR(__xludf.DUMMYFUNCTION("""COMPUTED_VALUE"""),"Yes")</f>
        <v>Yes</v>
      </c>
      <c r="G81" s="5" t="str">
        <f ca="1">IFERROR(__xludf.DUMMYFUNCTION("""COMPUTED_VALUE"""),"Yes")</f>
        <v>Yes</v>
      </c>
      <c r="H81" s="5" t="str">
        <f ca="1">IFERROR(__xludf.DUMMYFUNCTION("""COMPUTED_VALUE"""),"Yes")</f>
        <v>Yes</v>
      </c>
      <c r="I81" s="5" t="str">
        <f ca="1">IFERROR(__xludf.DUMMYFUNCTION("""COMPUTED_VALUE"""),"Yes")</f>
        <v>Yes</v>
      </c>
      <c r="J81" s="5" t="str">
        <f ca="1">IFERROR(__xludf.DUMMYFUNCTION("""COMPUTED_VALUE"""),"Yes")</f>
        <v>Yes</v>
      </c>
      <c r="K81" s="5" t="str">
        <f ca="1">IFERROR(__xludf.DUMMYFUNCTION("""COMPUTED_VALUE"""),"Yes")</f>
        <v>Yes</v>
      </c>
      <c r="L81" s="5" t="str">
        <f ca="1">IFERROR(__xludf.DUMMYFUNCTION("""COMPUTED_VALUE"""),"Yes")</f>
        <v>Yes</v>
      </c>
      <c r="M81" s="5" t="str">
        <f ca="1">IFERROR(__xludf.DUMMYFUNCTION("""COMPUTED_VALUE"""),"Yes")</f>
        <v>Yes</v>
      </c>
      <c r="N81" s="5" t="str">
        <f ca="1">IFERROR(__xludf.DUMMYFUNCTION("""COMPUTED_VALUE"""),"Yes")</f>
        <v>Yes</v>
      </c>
      <c r="O81" s="5" t="str">
        <f ca="1">IFERROR(__xludf.DUMMYFUNCTION("""COMPUTED_VALUE"""),"Yes")</f>
        <v>Yes</v>
      </c>
      <c r="P81" s="5" t="str">
        <f ca="1">IFERROR(__xludf.DUMMYFUNCTION("""COMPUTED_VALUE"""),"Yes")</f>
        <v>Yes</v>
      </c>
      <c r="Q81" s="5" t="str">
        <f ca="1">IFERROR(__xludf.DUMMYFUNCTION("""COMPUTED_VALUE"""),"Yes")</f>
        <v>Yes</v>
      </c>
      <c r="R81" s="5" t="str">
        <f ca="1">IFERROR(__xludf.DUMMYFUNCTION("""COMPUTED_VALUE"""),"Yes")</f>
        <v>Yes</v>
      </c>
      <c r="S81" s="5" t="str">
        <f ca="1">IFERROR(__xludf.DUMMYFUNCTION("""COMPUTED_VALUE"""),"Yes")</f>
        <v>Yes</v>
      </c>
      <c r="T81" s="5" t="str">
        <f ca="1">IFERROR(__xludf.DUMMYFUNCTION("""COMPUTED_VALUE"""),"Yes")</f>
        <v>Yes</v>
      </c>
      <c r="U81" s="5" t="str">
        <f ca="1">IFERROR(__xludf.DUMMYFUNCTION("""COMPUTED_VALUE"""),"Yes")</f>
        <v>Yes</v>
      </c>
      <c r="V81" s="5" t="str">
        <f ca="1">IFERROR(__xludf.DUMMYFUNCTION("""COMPUTED_VALUE"""),"Yes")</f>
        <v>Yes</v>
      </c>
      <c r="W81" s="5" t="str">
        <f ca="1">IFERROR(__xludf.DUMMYFUNCTION("""COMPUTED_VALUE"""),"Yes")</f>
        <v>Yes</v>
      </c>
      <c r="X81" s="5" t="str">
        <f ca="1">IFERROR(__xludf.DUMMYFUNCTION("""COMPUTED_VALUE"""),"Yes")</f>
        <v>Yes</v>
      </c>
      <c r="Y81" s="5" t="str">
        <f ca="1">IFERROR(__xludf.DUMMYFUNCTION("""COMPUTED_VALUE"""),"Yes")</f>
        <v>Yes</v>
      </c>
      <c r="Z81" s="5" t="str">
        <f ca="1">IFERROR(__xludf.DUMMYFUNCTION("""COMPUTED_VALUE"""),"Yes")</f>
        <v>Yes</v>
      </c>
      <c r="AA81" s="5" t="str">
        <f ca="1">IFERROR(__xludf.DUMMYFUNCTION("""COMPUTED_VALUE"""),"Yes")</f>
        <v>Yes</v>
      </c>
      <c r="AB81" s="5" t="str">
        <f ca="1">IFERROR(__xludf.DUMMYFUNCTION("""COMPUTED_VALUE"""),"Yes")</f>
        <v>Yes</v>
      </c>
      <c r="AC81" s="5" t="str">
        <f ca="1">IFERROR(__xludf.DUMMYFUNCTION("""COMPUTED_VALUE"""),"No")</f>
        <v>No</v>
      </c>
    </row>
    <row r="82" spans="1:29" x14ac:dyDescent="0.25">
      <c r="A82" s="5" t="str">
        <f ca="1">IFERROR(__xludf.DUMMYFUNCTION("""COMPUTED_VALUE"""),"GoldenCrown")</f>
        <v>GoldenCrown</v>
      </c>
      <c r="B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2" s="5" t="str">
        <f ca="1">IFERROR(__xludf.DUMMYFUNCTION("""COMPUTED_VALUE"""),"Yes")</f>
        <v>Yes</v>
      </c>
      <c r="D82" s="5" t="str">
        <f ca="1">IFERROR(__xludf.DUMMYFUNCTION("""COMPUTED_VALUE"""),"Yes")</f>
        <v>Yes</v>
      </c>
      <c r="E82" s="5" t="str">
        <f ca="1">IFERROR(__xludf.DUMMYFUNCTION("""COMPUTED_VALUE"""),"Yes")</f>
        <v>Yes</v>
      </c>
      <c r="F82" s="5" t="str">
        <f ca="1">IFERROR(__xludf.DUMMYFUNCTION("""COMPUTED_VALUE"""),"Yes")</f>
        <v>Yes</v>
      </c>
      <c r="G82" s="5" t="str">
        <f ca="1">IFERROR(__xludf.DUMMYFUNCTION("""COMPUTED_VALUE"""),"Yes")</f>
        <v>Yes</v>
      </c>
      <c r="H82" s="5" t="str">
        <f ca="1">IFERROR(__xludf.DUMMYFUNCTION("""COMPUTED_VALUE"""),"Yes")</f>
        <v>Yes</v>
      </c>
      <c r="I82" s="5" t="str">
        <f ca="1">IFERROR(__xludf.DUMMYFUNCTION("""COMPUTED_VALUE"""),"Yes")</f>
        <v>Yes</v>
      </c>
      <c r="J82" s="5" t="str">
        <f ca="1">IFERROR(__xludf.DUMMYFUNCTION("""COMPUTED_VALUE"""),"Yes")</f>
        <v>Yes</v>
      </c>
      <c r="K82" s="5" t="str">
        <f ca="1">IFERROR(__xludf.DUMMYFUNCTION("""COMPUTED_VALUE"""),"Yes")</f>
        <v>Yes</v>
      </c>
      <c r="L82" s="5" t="str">
        <f ca="1">IFERROR(__xludf.DUMMYFUNCTION("""COMPUTED_VALUE"""),"Yes")</f>
        <v>Yes</v>
      </c>
      <c r="M82" s="5" t="str">
        <f ca="1">IFERROR(__xludf.DUMMYFUNCTION("""COMPUTED_VALUE"""),"Yes")</f>
        <v>Yes</v>
      </c>
      <c r="N82" s="5" t="str">
        <f ca="1">IFERROR(__xludf.DUMMYFUNCTION("""COMPUTED_VALUE"""),"Yes")</f>
        <v>Yes</v>
      </c>
      <c r="O82" s="5" t="str">
        <f ca="1">IFERROR(__xludf.DUMMYFUNCTION("""COMPUTED_VALUE"""),"Yes")</f>
        <v>Yes</v>
      </c>
      <c r="P82" s="5" t="str">
        <f ca="1">IFERROR(__xludf.DUMMYFUNCTION("""COMPUTED_VALUE"""),"Yes")</f>
        <v>Yes</v>
      </c>
      <c r="Q82" s="5" t="str">
        <f ca="1">IFERROR(__xludf.DUMMYFUNCTION("""COMPUTED_VALUE"""),"Yes")</f>
        <v>Yes</v>
      </c>
      <c r="R82" s="5" t="str">
        <f ca="1">IFERROR(__xludf.DUMMYFUNCTION("""COMPUTED_VALUE"""),"Yes")</f>
        <v>Yes</v>
      </c>
      <c r="S82" s="5" t="str">
        <f ca="1">IFERROR(__xludf.DUMMYFUNCTION("""COMPUTED_VALUE"""),"Yes")</f>
        <v>Yes</v>
      </c>
      <c r="T82" s="5" t="str">
        <f ca="1">IFERROR(__xludf.DUMMYFUNCTION("""COMPUTED_VALUE"""),"Yes")</f>
        <v>Yes</v>
      </c>
      <c r="U82" s="5" t="str">
        <f ca="1">IFERROR(__xludf.DUMMYFUNCTION("""COMPUTED_VALUE"""),"Yes")</f>
        <v>Yes</v>
      </c>
      <c r="V82" s="5" t="str">
        <f ca="1">IFERROR(__xludf.DUMMYFUNCTION("""COMPUTED_VALUE"""),"Yes")</f>
        <v>Yes</v>
      </c>
      <c r="W82" s="5" t="str">
        <f ca="1">IFERROR(__xludf.DUMMYFUNCTION("""COMPUTED_VALUE"""),"Yes")</f>
        <v>Yes</v>
      </c>
      <c r="X82" s="5" t="str">
        <f ca="1">IFERROR(__xludf.DUMMYFUNCTION("""COMPUTED_VALUE"""),"Yes")</f>
        <v>Yes</v>
      </c>
      <c r="Y82" s="5" t="str">
        <f ca="1">IFERROR(__xludf.DUMMYFUNCTION("""COMPUTED_VALUE"""),"Yes")</f>
        <v>Yes</v>
      </c>
      <c r="Z82" s="5" t="str">
        <f ca="1">IFERROR(__xludf.DUMMYFUNCTION("""COMPUTED_VALUE"""),"Yes")</f>
        <v>Yes</v>
      </c>
      <c r="AA82" s="5" t="str">
        <f ca="1">IFERROR(__xludf.DUMMYFUNCTION("""COMPUTED_VALUE"""),"Yes")</f>
        <v>Yes</v>
      </c>
      <c r="AB82" s="5" t="str">
        <f ca="1">IFERROR(__xludf.DUMMYFUNCTION("""COMPUTED_VALUE"""),"Yes")</f>
        <v>Yes</v>
      </c>
      <c r="AC82" s="5" t="str">
        <f ca="1">IFERROR(__xludf.DUMMYFUNCTION("""COMPUTED_VALUE"""),"No")</f>
        <v>No</v>
      </c>
    </row>
    <row r="83" spans="1:29" x14ac:dyDescent="0.25">
      <c r="A83" s="5" t="str">
        <f ca="1">IFERROR(__xludf.DUMMYFUNCTION("""COMPUTED_VALUE"""),"CrystalHot401X")</f>
        <v>CrystalHot401X</v>
      </c>
      <c r="B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3" s="5" t="str">
        <f ca="1">IFERROR(__xludf.DUMMYFUNCTION("""COMPUTED_VALUE"""),"Yes")</f>
        <v>Yes</v>
      </c>
      <c r="D83" s="5" t="str">
        <f ca="1">IFERROR(__xludf.DUMMYFUNCTION("""COMPUTED_VALUE"""),"Yes")</f>
        <v>Yes</v>
      </c>
      <c r="E83" s="5" t="str">
        <f ca="1">IFERROR(__xludf.DUMMYFUNCTION("""COMPUTED_VALUE"""),"Yes")</f>
        <v>Yes</v>
      </c>
      <c r="F83" s="5" t="str">
        <f ca="1">IFERROR(__xludf.DUMMYFUNCTION("""COMPUTED_VALUE"""),"Yes")</f>
        <v>Yes</v>
      </c>
      <c r="G83" s="5" t="str">
        <f ca="1">IFERROR(__xludf.DUMMYFUNCTION("""COMPUTED_VALUE"""),"Yes")</f>
        <v>Yes</v>
      </c>
      <c r="H83" s="5" t="str">
        <f ca="1">IFERROR(__xludf.DUMMYFUNCTION("""COMPUTED_VALUE"""),"Yes")</f>
        <v>Yes</v>
      </c>
      <c r="I83" s="5" t="str">
        <f ca="1">IFERROR(__xludf.DUMMYFUNCTION("""COMPUTED_VALUE"""),"Yes")</f>
        <v>Yes</v>
      </c>
      <c r="J83" s="5" t="str">
        <f ca="1">IFERROR(__xludf.DUMMYFUNCTION("""COMPUTED_VALUE"""),"Yes")</f>
        <v>Yes</v>
      </c>
      <c r="K83" s="5" t="str">
        <f ca="1">IFERROR(__xludf.DUMMYFUNCTION("""COMPUTED_VALUE"""),"Yes")</f>
        <v>Yes</v>
      </c>
      <c r="L83" s="5" t="str">
        <f ca="1">IFERROR(__xludf.DUMMYFUNCTION("""COMPUTED_VALUE"""),"Yes")</f>
        <v>Yes</v>
      </c>
      <c r="M83" s="5" t="str">
        <f ca="1">IFERROR(__xludf.DUMMYFUNCTION("""COMPUTED_VALUE"""),"Yes")</f>
        <v>Yes</v>
      </c>
      <c r="N83" s="5" t="str">
        <f ca="1">IFERROR(__xludf.DUMMYFUNCTION("""COMPUTED_VALUE"""),"Yes")</f>
        <v>Yes</v>
      </c>
      <c r="O83" s="5" t="str">
        <f ca="1">IFERROR(__xludf.DUMMYFUNCTION("""COMPUTED_VALUE"""),"Yes")</f>
        <v>Yes</v>
      </c>
      <c r="P83" s="5" t="str">
        <f ca="1">IFERROR(__xludf.DUMMYFUNCTION("""COMPUTED_VALUE"""),"Yes")</f>
        <v>Yes</v>
      </c>
      <c r="Q83" s="5" t="str">
        <f ca="1">IFERROR(__xludf.DUMMYFUNCTION("""COMPUTED_VALUE"""),"Yes")</f>
        <v>Yes</v>
      </c>
      <c r="R83" s="5" t="str">
        <f ca="1">IFERROR(__xludf.DUMMYFUNCTION("""COMPUTED_VALUE"""),"Yes")</f>
        <v>Yes</v>
      </c>
      <c r="S83" s="5" t="str">
        <f ca="1">IFERROR(__xludf.DUMMYFUNCTION("""COMPUTED_VALUE"""),"Yes")</f>
        <v>Yes</v>
      </c>
      <c r="T83" s="5" t="str">
        <f ca="1">IFERROR(__xludf.DUMMYFUNCTION("""COMPUTED_VALUE"""),"Yes")</f>
        <v>Yes</v>
      </c>
      <c r="U83" s="5" t="str">
        <f ca="1">IFERROR(__xludf.DUMMYFUNCTION("""COMPUTED_VALUE"""),"Yes")</f>
        <v>Yes</v>
      </c>
      <c r="V83" s="5" t="str">
        <f ca="1">IFERROR(__xludf.DUMMYFUNCTION("""COMPUTED_VALUE"""),"Yes")</f>
        <v>Yes</v>
      </c>
      <c r="W83" s="5" t="str">
        <f ca="1">IFERROR(__xludf.DUMMYFUNCTION("""COMPUTED_VALUE"""),"Yes")</f>
        <v>Yes</v>
      </c>
      <c r="X83" s="5" t="str">
        <f ca="1">IFERROR(__xludf.DUMMYFUNCTION("""COMPUTED_VALUE"""),"Yes")</f>
        <v>Yes</v>
      </c>
      <c r="Y83" s="5" t="str">
        <f ca="1">IFERROR(__xludf.DUMMYFUNCTION("""COMPUTED_VALUE"""),"Yes")</f>
        <v>Yes</v>
      </c>
      <c r="Z83" s="5" t="str">
        <f ca="1">IFERROR(__xludf.DUMMYFUNCTION("""COMPUTED_VALUE"""),"Yes")</f>
        <v>Yes</v>
      </c>
      <c r="AA83" s="5" t="str">
        <f ca="1">IFERROR(__xludf.DUMMYFUNCTION("""COMPUTED_VALUE"""),"Yes")</f>
        <v>Yes</v>
      </c>
      <c r="AB83" s="5" t="str">
        <f ca="1">IFERROR(__xludf.DUMMYFUNCTION("""COMPUTED_VALUE"""),"Yes")</f>
        <v>Yes</v>
      </c>
      <c r="AC83" s="5" t="str">
        <f ca="1">IFERROR(__xludf.DUMMYFUNCTION("""COMPUTED_VALUE"""),"No")</f>
        <v>No</v>
      </c>
    </row>
    <row r="84" spans="1:29" x14ac:dyDescent="0.25">
      <c r="A84" s="5" t="str">
        <f ca="1">IFERROR(__xludf.DUMMYFUNCTION("""COMPUTED_VALUE"""),"WildClover40")</f>
        <v>WildClover40</v>
      </c>
      <c r="B8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4" s="5" t="str">
        <f ca="1">IFERROR(__xludf.DUMMYFUNCTION("""COMPUTED_VALUE"""),"Yes")</f>
        <v>Yes</v>
      </c>
      <c r="D84" s="5" t="str">
        <f ca="1">IFERROR(__xludf.DUMMYFUNCTION("""COMPUTED_VALUE"""),"Yes")</f>
        <v>Yes</v>
      </c>
      <c r="E84" s="5" t="str">
        <f ca="1">IFERROR(__xludf.DUMMYFUNCTION("""COMPUTED_VALUE"""),"No")</f>
        <v>No</v>
      </c>
      <c r="F84" s="5" t="str">
        <f ca="1">IFERROR(__xludf.DUMMYFUNCTION("""COMPUTED_VALUE"""),"Yes")</f>
        <v>Yes</v>
      </c>
      <c r="G84" s="5" t="str">
        <f ca="1">IFERROR(__xludf.DUMMYFUNCTION("""COMPUTED_VALUE"""),"Yes")</f>
        <v>Yes</v>
      </c>
      <c r="H84" s="5" t="str">
        <f ca="1">IFERROR(__xludf.DUMMYFUNCTION("""COMPUTED_VALUE"""),"Yes")</f>
        <v>Yes</v>
      </c>
      <c r="I84" s="5" t="str">
        <f ca="1">IFERROR(__xludf.DUMMYFUNCTION("""COMPUTED_VALUE"""),"Yes")</f>
        <v>Yes</v>
      </c>
      <c r="J84" s="5" t="str">
        <f ca="1">IFERROR(__xludf.DUMMYFUNCTION("""COMPUTED_VALUE"""),"Yes")</f>
        <v>Yes</v>
      </c>
      <c r="K84" s="5" t="str">
        <f ca="1">IFERROR(__xludf.DUMMYFUNCTION("""COMPUTED_VALUE"""),"Yes")</f>
        <v>Yes</v>
      </c>
      <c r="L84" s="5" t="str">
        <f ca="1">IFERROR(__xludf.DUMMYFUNCTION("""COMPUTED_VALUE"""),"Yes")</f>
        <v>Yes</v>
      </c>
      <c r="M84" s="5" t="str">
        <f ca="1">IFERROR(__xludf.DUMMYFUNCTION("""COMPUTED_VALUE"""),"Yes")</f>
        <v>Yes</v>
      </c>
      <c r="N84" s="5" t="str">
        <f ca="1">IFERROR(__xludf.DUMMYFUNCTION("""COMPUTED_VALUE"""),"Yes")</f>
        <v>Yes</v>
      </c>
      <c r="O84" s="5" t="str">
        <f ca="1">IFERROR(__xludf.DUMMYFUNCTION("""COMPUTED_VALUE"""),"Yes")</f>
        <v>Yes</v>
      </c>
      <c r="P84" s="5" t="str">
        <f ca="1">IFERROR(__xludf.DUMMYFUNCTION("""COMPUTED_VALUE"""),"Yes")</f>
        <v>Yes</v>
      </c>
      <c r="Q84" s="5" t="str">
        <f ca="1">IFERROR(__xludf.DUMMYFUNCTION("""COMPUTED_VALUE"""),"Yes")</f>
        <v>Yes</v>
      </c>
      <c r="R84" s="5" t="str">
        <f ca="1">IFERROR(__xludf.DUMMYFUNCTION("""COMPUTED_VALUE"""),"No")</f>
        <v>No</v>
      </c>
      <c r="S84" s="5" t="str">
        <f ca="1">IFERROR(__xludf.DUMMYFUNCTION("""COMPUTED_VALUE"""),"No")</f>
        <v>No</v>
      </c>
      <c r="T84" s="5" t="str">
        <f ca="1">IFERROR(__xludf.DUMMYFUNCTION("""COMPUTED_VALUE"""),"No")</f>
        <v>No</v>
      </c>
      <c r="U84" s="5" t="str">
        <f ca="1">IFERROR(__xludf.DUMMYFUNCTION("""COMPUTED_VALUE"""),"No")</f>
        <v>No</v>
      </c>
      <c r="V84" s="5" t="str">
        <f ca="1">IFERROR(__xludf.DUMMYFUNCTION("""COMPUTED_VALUE"""),"No")</f>
        <v>No</v>
      </c>
      <c r="W84" s="5" t="str">
        <f ca="1">IFERROR(__xludf.DUMMYFUNCTION("""COMPUTED_VALUE"""),"No")</f>
        <v>No</v>
      </c>
      <c r="X84" s="5" t="str">
        <f ca="1">IFERROR(__xludf.DUMMYFUNCTION("""COMPUTED_VALUE"""),"No")</f>
        <v>No</v>
      </c>
      <c r="Y84" s="5" t="str">
        <f ca="1">IFERROR(__xludf.DUMMYFUNCTION("""COMPUTED_VALUE"""),"No")</f>
        <v>No</v>
      </c>
      <c r="Z84" s="5" t="str">
        <f ca="1">IFERROR(__xludf.DUMMYFUNCTION("""COMPUTED_VALUE"""),"No")</f>
        <v>No</v>
      </c>
      <c r="AA84" s="5" t="str">
        <f ca="1">IFERROR(__xludf.DUMMYFUNCTION("""COMPUTED_VALUE"""),"No")</f>
        <v>No</v>
      </c>
      <c r="AB84" s="5" t="str">
        <f ca="1">IFERROR(__xludf.DUMMYFUNCTION("""COMPUTED_VALUE"""),"Yes")</f>
        <v>Yes</v>
      </c>
      <c r="AC84" s="5" t="str">
        <f ca="1">IFERROR(__xludf.DUMMYFUNCTION("""COMPUTED_VALUE"""),"No")</f>
        <v>No</v>
      </c>
    </row>
    <row r="85" spans="1:29" x14ac:dyDescent="0.25">
      <c r="A85" s="5" t="str">
        <f ca="1">IFERROR(__xludf.DUMMYFUNCTION("""COMPUTED_VALUE"""),"MysteryJokerHot")</f>
        <v>MysteryJokerHot</v>
      </c>
      <c r="B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5" s="5" t="str">
        <f ca="1">IFERROR(__xludf.DUMMYFUNCTION("""COMPUTED_VALUE"""),"Yes")</f>
        <v>Yes</v>
      </c>
      <c r="D85" s="5" t="str">
        <f ca="1">IFERROR(__xludf.DUMMYFUNCTION("""COMPUTED_VALUE"""),"Yes")</f>
        <v>Yes</v>
      </c>
      <c r="E85" s="5" t="str">
        <f ca="1">IFERROR(__xludf.DUMMYFUNCTION("""COMPUTED_VALUE"""),"Yes")</f>
        <v>Yes</v>
      </c>
      <c r="F85" s="5" t="str">
        <f ca="1">IFERROR(__xludf.DUMMYFUNCTION("""COMPUTED_VALUE"""),"Yes")</f>
        <v>Yes</v>
      </c>
      <c r="G85" s="5" t="str">
        <f ca="1">IFERROR(__xludf.DUMMYFUNCTION("""COMPUTED_VALUE"""),"Yes")</f>
        <v>Yes</v>
      </c>
      <c r="H85" s="5" t="str">
        <f ca="1">IFERROR(__xludf.DUMMYFUNCTION("""COMPUTED_VALUE"""),"Yes")</f>
        <v>Yes</v>
      </c>
      <c r="I85" s="5" t="str">
        <f ca="1">IFERROR(__xludf.DUMMYFUNCTION("""COMPUTED_VALUE"""),"Yes")</f>
        <v>Yes</v>
      </c>
      <c r="J85" s="5" t="str">
        <f ca="1">IFERROR(__xludf.DUMMYFUNCTION("""COMPUTED_VALUE"""),"Yes")</f>
        <v>Yes</v>
      </c>
      <c r="K85" s="5" t="str">
        <f ca="1">IFERROR(__xludf.DUMMYFUNCTION("""COMPUTED_VALUE"""),"Yes")</f>
        <v>Yes</v>
      </c>
      <c r="L85" s="5" t="str">
        <f ca="1">IFERROR(__xludf.DUMMYFUNCTION("""COMPUTED_VALUE"""),"Yes")</f>
        <v>Yes</v>
      </c>
      <c r="M85" s="5" t="str">
        <f ca="1">IFERROR(__xludf.DUMMYFUNCTION("""COMPUTED_VALUE"""),"Yes")</f>
        <v>Yes</v>
      </c>
      <c r="N85" s="5" t="str">
        <f ca="1">IFERROR(__xludf.DUMMYFUNCTION("""COMPUTED_VALUE"""),"Yes")</f>
        <v>Yes</v>
      </c>
      <c r="O85" s="5" t="str">
        <f ca="1">IFERROR(__xludf.DUMMYFUNCTION("""COMPUTED_VALUE"""),"Yes")</f>
        <v>Yes</v>
      </c>
      <c r="P85" s="5" t="str">
        <f ca="1">IFERROR(__xludf.DUMMYFUNCTION("""COMPUTED_VALUE"""),"Yes")</f>
        <v>Yes</v>
      </c>
      <c r="Q85" s="5" t="str">
        <f ca="1">IFERROR(__xludf.DUMMYFUNCTION("""COMPUTED_VALUE"""),"Yes")</f>
        <v>Yes</v>
      </c>
      <c r="R85" s="5" t="str">
        <f ca="1">IFERROR(__xludf.DUMMYFUNCTION("""COMPUTED_VALUE"""),"Yes")</f>
        <v>Yes</v>
      </c>
      <c r="S85" s="5" t="str">
        <f ca="1">IFERROR(__xludf.DUMMYFUNCTION("""COMPUTED_VALUE"""),"Yes")</f>
        <v>Yes</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IFERROR(__xludf.DUMMYFUNCTION("""COMPUTED_VALUE"""),"Yes")</f>
        <v>Yes</v>
      </c>
      <c r="X85" s="5" t="str">
        <f ca="1">IFERROR(__xludf.DUMMYFUNCTION("""COMPUTED_VALUE"""),"Yes")</f>
        <v>Yes</v>
      </c>
      <c r="Y85" s="5" t="str">
        <f ca="1">IFERROR(__xludf.DUMMYFUNCTION("""COMPUTED_VALUE"""),"Yes")</f>
        <v>Yes</v>
      </c>
      <c r="Z85" s="5" t="str">
        <f ca="1">IFERROR(__xludf.DUMMYFUNCTION("""COMPUTED_VALUE"""),"Yes")</f>
        <v>Yes</v>
      </c>
      <c r="AA85" s="5" t="str">
        <f ca="1">IFERROR(__xludf.DUMMYFUNCTION("""COMPUTED_VALUE"""),"Yes")</f>
        <v>Yes</v>
      </c>
      <c r="AB85" s="5" t="str">
        <f ca="1">IFERROR(__xludf.DUMMYFUNCTION("""COMPUTED_VALUE"""),"Yes")</f>
        <v>Yes</v>
      </c>
      <c r="AC85" s="5" t="str">
        <f ca="1">IFERROR(__xludf.DUMMYFUNCTION("""COMPUTED_VALUE"""),"No")</f>
        <v>No</v>
      </c>
    </row>
    <row r="86" spans="1:29" x14ac:dyDescent="0.25">
      <c r="A86" s="5" t="str">
        <f ca="1">IFERROR(__xludf.DUMMYFUNCTION("""COMPUTED_VALUE"""),"CrystalJokerHot")</f>
        <v>CrystalJokerHot</v>
      </c>
      <c r="B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6" s="5" t="str">
        <f ca="1">IFERROR(__xludf.DUMMYFUNCTION("""COMPUTED_VALUE"""),"Yes")</f>
        <v>Yes</v>
      </c>
      <c r="D86" s="5" t="str">
        <f ca="1">IFERROR(__xludf.DUMMYFUNCTION("""COMPUTED_VALUE"""),"Yes")</f>
        <v>Yes</v>
      </c>
      <c r="E86" s="5" t="str">
        <f ca="1">IFERROR(__xludf.DUMMYFUNCTION("""COMPUTED_VALUE"""),"Yes")</f>
        <v>Yes</v>
      </c>
      <c r="F86" s="5" t="str">
        <f ca="1">IFERROR(__xludf.DUMMYFUNCTION("""COMPUTED_VALUE"""),"Yes")</f>
        <v>Yes</v>
      </c>
      <c r="G86" s="5" t="str">
        <f ca="1">IFERROR(__xludf.DUMMYFUNCTION("""COMPUTED_VALUE"""),"Yes")</f>
        <v>Yes</v>
      </c>
      <c r="H86" s="5" t="str">
        <f ca="1">IFERROR(__xludf.DUMMYFUNCTION("""COMPUTED_VALUE"""),"Yes")</f>
        <v>Yes</v>
      </c>
      <c r="I86" s="5" t="str">
        <f ca="1">IFERROR(__xludf.DUMMYFUNCTION("""COMPUTED_VALUE"""),"Yes")</f>
        <v>Yes</v>
      </c>
      <c r="J86" s="5" t="str">
        <f ca="1">IFERROR(__xludf.DUMMYFUNCTION("""COMPUTED_VALUE"""),"Yes")</f>
        <v>Yes</v>
      </c>
      <c r="K86" s="5" t="str">
        <f ca="1">IFERROR(__xludf.DUMMYFUNCTION("""COMPUTED_VALUE"""),"Yes")</f>
        <v>Yes</v>
      </c>
      <c r="L86" s="5" t="str">
        <f ca="1">IFERROR(__xludf.DUMMYFUNCTION("""COMPUTED_VALUE"""),"Yes")</f>
        <v>Yes</v>
      </c>
      <c r="M86" s="5" t="str">
        <f ca="1">IFERROR(__xludf.DUMMYFUNCTION("""COMPUTED_VALUE"""),"Yes")</f>
        <v>Yes</v>
      </c>
      <c r="N86" s="5" t="str">
        <f ca="1">IFERROR(__xludf.DUMMYFUNCTION("""COMPUTED_VALUE"""),"Yes")</f>
        <v>Yes</v>
      </c>
      <c r="O86" s="5" t="str">
        <f ca="1">IFERROR(__xludf.DUMMYFUNCTION("""COMPUTED_VALUE"""),"Yes")</f>
        <v>Yes</v>
      </c>
      <c r="P86" s="5" t="str">
        <f ca="1">IFERROR(__xludf.DUMMYFUNCTION("""COMPUTED_VALUE"""),"Yes")</f>
        <v>Yes</v>
      </c>
      <c r="Q86" s="5" t="str">
        <f ca="1">IFERROR(__xludf.DUMMYFUNCTION("""COMPUTED_VALUE"""),"Yes")</f>
        <v>Yes</v>
      </c>
      <c r="R86" s="5" t="str">
        <f ca="1">IFERROR(__xludf.DUMMYFUNCTION("""COMPUTED_VALUE"""),"Yes")</f>
        <v>Yes</v>
      </c>
      <c r="S86" s="5" t="str">
        <f ca="1">IFERROR(__xludf.DUMMYFUNCTION("""COMPUTED_VALUE"""),"Yes")</f>
        <v>Yes</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IFERROR(__xludf.DUMMYFUNCTION("""COMPUTED_VALUE"""),"Yes")</f>
        <v>Yes</v>
      </c>
      <c r="X86" s="5" t="str">
        <f ca="1">IFERROR(__xludf.DUMMYFUNCTION("""COMPUTED_VALUE"""),"Yes")</f>
        <v>Yes</v>
      </c>
      <c r="Y86" s="5" t="str">
        <f ca="1">IFERROR(__xludf.DUMMYFUNCTION("""COMPUTED_VALUE"""),"Yes")</f>
        <v>Yes</v>
      </c>
      <c r="Z86" s="5" t="str">
        <f ca="1">IFERROR(__xludf.DUMMYFUNCTION("""COMPUTED_VALUE"""),"Yes")</f>
        <v>Yes</v>
      </c>
      <c r="AA86" s="5" t="str">
        <f ca="1">IFERROR(__xludf.DUMMYFUNCTION("""COMPUTED_VALUE"""),"Yes")</f>
        <v>Yes</v>
      </c>
      <c r="AB86" s="5" t="str">
        <f ca="1">IFERROR(__xludf.DUMMYFUNCTION("""COMPUTED_VALUE"""),"Yes")</f>
        <v>Yes</v>
      </c>
      <c r="AC86" s="5" t="str">
        <f ca="1">IFERROR(__xludf.DUMMYFUNCTION("""COMPUTED_VALUE"""),"No")</f>
        <v>No</v>
      </c>
    </row>
    <row r="87" spans="1:29" x14ac:dyDescent="0.25">
      <c r="A87" s="5" t="str">
        <f ca="1">IFERROR(__xludf.DUMMYFUNCTION("""COMPUTED_VALUE"""),"UnicornFruitIsland")</f>
        <v>UnicornFruitIsland</v>
      </c>
      <c r="B8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87" s="5" t="str">
        <f ca="1">IFERROR(__xludf.DUMMYFUNCTION("""COMPUTED_VALUE"""),"Yes")</f>
        <v>Yes</v>
      </c>
      <c r="D87" s="5" t="str">
        <f ca="1">IFERROR(__xludf.DUMMYFUNCTION("""COMPUTED_VALUE"""),"Yes")</f>
        <v>Yes</v>
      </c>
      <c r="E87" s="5" t="str">
        <f ca="1">IFERROR(__xludf.DUMMYFUNCTION("""COMPUTED_VALUE"""),"Yes")</f>
        <v>Yes</v>
      </c>
      <c r="F87" s="5" t="str">
        <f ca="1">IFERROR(__xludf.DUMMYFUNCTION("""COMPUTED_VALUE"""),"No")</f>
        <v>No</v>
      </c>
      <c r="G87" s="5" t="str">
        <f ca="1">IFERROR(__xludf.DUMMYFUNCTION("""COMPUTED_VALUE"""),"No")</f>
        <v>No</v>
      </c>
      <c r="H87" s="5" t="str">
        <f ca="1">IFERROR(__xludf.DUMMYFUNCTION("""COMPUTED_VALUE"""),"No")</f>
        <v>No</v>
      </c>
      <c r="I87" s="5" t="str">
        <f ca="1">IFERROR(__xludf.DUMMYFUNCTION("""COMPUTED_VALUE"""),"No")</f>
        <v>No</v>
      </c>
      <c r="J87" s="5" t="str">
        <f ca="1">IFERROR(__xludf.DUMMYFUNCTION("""COMPUTED_VALUE"""),"No")</f>
        <v>No</v>
      </c>
      <c r="K87" s="5" t="str">
        <f ca="1">IFERROR(__xludf.DUMMYFUNCTION("""COMPUTED_VALUE"""),"Yes")</f>
        <v>Yes</v>
      </c>
      <c r="L87" s="5" t="str">
        <f ca="1">IFERROR(__xludf.DUMMYFUNCTION("""COMPUTED_VALUE"""),"Yes")</f>
        <v>Yes</v>
      </c>
      <c r="M87" s="5" t="str">
        <f ca="1">IFERROR(__xludf.DUMMYFUNCTION("""COMPUTED_VALUE"""),"Yes")</f>
        <v>Yes</v>
      </c>
      <c r="N87" s="5" t="str">
        <f ca="1">IFERROR(__xludf.DUMMYFUNCTION("""COMPUTED_VALUE"""),"Yes")</f>
        <v>Yes</v>
      </c>
      <c r="O87" s="5" t="str">
        <f ca="1">IFERROR(__xludf.DUMMYFUNCTION("""COMPUTED_VALUE"""),"Yes")</f>
        <v>Yes</v>
      </c>
      <c r="P87" s="5" t="str">
        <f ca="1">IFERROR(__xludf.DUMMYFUNCTION("""COMPUTED_VALUE"""),"No")</f>
        <v>No</v>
      </c>
      <c r="Q87" s="5" t="str">
        <f ca="1">IFERROR(__xludf.DUMMYFUNCTION("""COMPUTED_VALUE"""),"Yes")</f>
        <v>Yes</v>
      </c>
      <c r="R87" s="5" t="str">
        <f ca="1">IFERROR(__xludf.DUMMYFUNCTION("""COMPUTED_VALUE"""),"No")</f>
        <v>No</v>
      </c>
      <c r="S87" s="5" t="str">
        <f ca="1">IFERROR(__xludf.DUMMYFUNCTION("""COMPUTED_VALUE"""),"No")</f>
        <v>No</v>
      </c>
      <c r="T87" s="5" t="str">
        <f ca="1">IFERROR(__xludf.DUMMYFUNCTION("""COMPUTED_VALUE"""),"No")</f>
        <v>No</v>
      </c>
      <c r="U87" s="5" t="str">
        <f ca="1">IFERROR(__xludf.DUMMYFUNCTION("""COMPUTED_VALUE"""),"No")</f>
        <v>No</v>
      </c>
      <c r="V87" s="5" t="str">
        <f ca="1">IFERROR(__xludf.DUMMYFUNCTION("""COMPUTED_VALUE"""),"No")</f>
        <v>No</v>
      </c>
      <c r="W87" s="5"/>
      <c r="X87" s="5"/>
      <c r="Y87" s="5"/>
      <c r="Z87" s="5" t="str">
        <f ca="1">IFERROR(__xludf.DUMMYFUNCTION("""COMPUTED_VALUE"""),"No")</f>
        <v>No</v>
      </c>
      <c r="AA87" s="5"/>
      <c r="AB87" s="5"/>
      <c r="AC87" s="5"/>
    </row>
    <row r="88" spans="1:29" x14ac:dyDescent="0.25">
      <c r="A88" s="5" t="str">
        <f ca="1">IFERROR(__xludf.DUMMYFUNCTION("""COMPUTED_VALUE"""),"FruityJokerHot")</f>
        <v>FruityJokerHot</v>
      </c>
      <c r="B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8" s="5" t="str">
        <f ca="1">IFERROR(__xludf.DUMMYFUNCTION("""COMPUTED_VALUE"""),"Yes")</f>
        <v>Yes</v>
      </c>
      <c r="D88" s="5" t="str">
        <f ca="1">IFERROR(__xludf.DUMMYFUNCTION("""COMPUTED_VALUE"""),"Yes")</f>
        <v>Yes</v>
      </c>
      <c r="E88" s="5" t="str">
        <f ca="1">IFERROR(__xludf.DUMMYFUNCTION("""COMPUTED_VALUE"""),"Yes")</f>
        <v>Yes</v>
      </c>
      <c r="F88" s="5" t="str">
        <f ca="1">IFERROR(__xludf.DUMMYFUNCTION("""COMPUTED_VALUE"""),"Yes")</f>
        <v>Yes</v>
      </c>
      <c r="G88" s="5" t="str">
        <f ca="1">IFERROR(__xludf.DUMMYFUNCTION("""COMPUTED_VALUE"""),"Yes")</f>
        <v>Yes</v>
      </c>
      <c r="H88" s="5" t="str">
        <f ca="1">IFERROR(__xludf.DUMMYFUNCTION("""COMPUTED_VALUE"""),"Yes")</f>
        <v>Yes</v>
      </c>
      <c r="I88" s="5" t="str">
        <f ca="1">IFERROR(__xludf.DUMMYFUNCTION("""COMPUTED_VALUE"""),"Yes")</f>
        <v>Yes</v>
      </c>
      <c r="J88" s="5" t="str">
        <f ca="1">IFERROR(__xludf.DUMMYFUNCTION("""COMPUTED_VALUE"""),"Yes")</f>
        <v>Yes</v>
      </c>
      <c r="K88" s="5" t="str">
        <f ca="1">IFERROR(__xludf.DUMMYFUNCTION("""COMPUTED_VALUE"""),"Yes")</f>
        <v>Yes</v>
      </c>
      <c r="L88" s="5" t="str">
        <f ca="1">IFERROR(__xludf.DUMMYFUNCTION("""COMPUTED_VALUE"""),"Yes")</f>
        <v>Yes</v>
      </c>
      <c r="M88" s="5" t="str">
        <f ca="1">IFERROR(__xludf.DUMMYFUNCTION("""COMPUTED_VALUE"""),"Yes")</f>
        <v>Yes</v>
      </c>
      <c r="N88" s="5" t="str">
        <f ca="1">IFERROR(__xludf.DUMMYFUNCTION("""COMPUTED_VALUE"""),"Yes")</f>
        <v>Yes</v>
      </c>
      <c r="O88" s="5" t="str">
        <f ca="1">IFERROR(__xludf.DUMMYFUNCTION("""COMPUTED_VALUE"""),"Yes")</f>
        <v>Yes</v>
      </c>
      <c r="P88" s="5" t="str">
        <f ca="1">IFERROR(__xludf.DUMMYFUNCTION("""COMPUTED_VALUE"""),"Yes")</f>
        <v>Yes</v>
      </c>
      <c r="Q88" s="5" t="str">
        <f ca="1">IFERROR(__xludf.DUMMYFUNCTION("""COMPUTED_VALUE"""),"Yes")</f>
        <v>Yes</v>
      </c>
      <c r="R88" s="5" t="str">
        <f ca="1">IFERROR(__xludf.DUMMYFUNCTION("""COMPUTED_VALUE"""),"Yes")</f>
        <v>Yes</v>
      </c>
      <c r="S88" s="5" t="str">
        <f ca="1">IFERROR(__xludf.DUMMYFUNCTION("""COMPUTED_VALUE"""),"Yes")</f>
        <v>Yes</v>
      </c>
      <c r="T88" s="5" t="str">
        <f ca="1">IFERROR(__xludf.DUMMYFUNCTION("""COMPUTED_VALUE"""),"Yes")</f>
        <v>Yes</v>
      </c>
      <c r="U88" s="5" t="str">
        <f ca="1">IFERROR(__xludf.DUMMYFUNCTION("""COMPUTED_VALUE"""),"Yes")</f>
        <v>Yes</v>
      </c>
      <c r="V88" s="5" t="str">
        <f ca="1">IFERROR(__xludf.DUMMYFUNCTION("""COMPUTED_VALUE"""),"Yes")</f>
        <v>Yes</v>
      </c>
      <c r="W88" s="5" t="str">
        <f ca="1">IFERROR(__xludf.DUMMYFUNCTION("""COMPUTED_VALUE"""),"Yes")</f>
        <v>Yes</v>
      </c>
      <c r="X88" s="5" t="str">
        <f ca="1">IFERROR(__xludf.DUMMYFUNCTION("""COMPUTED_VALUE"""),"Yes")</f>
        <v>Yes</v>
      </c>
      <c r="Y88" s="5" t="str">
        <f ca="1">IFERROR(__xludf.DUMMYFUNCTION("""COMPUTED_VALUE"""),"Yes")</f>
        <v>Yes</v>
      </c>
      <c r="Z88" s="5" t="str">
        <f ca="1">IFERROR(__xludf.DUMMYFUNCTION("""COMPUTED_VALUE"""),"Yes")</f>
        <v>Yes</v>
      </c>
      <c r="AA88" s="5" t="str">
        <f ca="1">IFERROR(__xludf.DUMMYFUNCTION("""COMPUTED_VALUE"""),"Yes")</f>
        <v>Yes</v>
      </c>
      <c r="AB88" s="5" t="str">
        <f ca="1">IFERROR(__xludf.DUMMYFUNCTION("""COMPUTED_VALUE"""),"Yes")</f>
        <v>Yes</v>
      </c>
      <c r="AC88" s="5" t="str">
        <f ca="1">IFERROR(__xludf.DUMMYFUNCTION("""COMPUTED_VALUE"""),"No")</f>
        <v>No</v>
      </c>
    </row>
    <row r="89" spans="1:29" x14ac:dyDescent="0.25">
      <c r="A89" s="5" t="str">
        <f ca="1">IFERROR(__xludf.DUMMYFUNCTION("""COMPUTED_VALUE"""),"UnicornWildParadise")</f>
        <v>UnicornWildParadise</v>
      </c>
      <c r="B8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89" s="5" t="str">
        <f ca="1">IFERROR(__xludf.DUMMYFUNCTION("""COMPUTED_VALUE"""),"Yes")</f>
        <v>Yes</v>
      </c>
      <c r="D89" s="5" t="str">
        <f ca="1">IFERROR(__xludf.DUMMYFUNCTION("""COMPUTED_VALUE"""),"Yes")</f>
        <v>Yes</v>
      </c>
      <c r="E89" s="5" t="str">
        <f ca="1">IFERROR(__xludf.DUMMYFUNCTION("""COMPUTED_VALUE"""),"Yes")</f>
        <v>Yes</v>
      </c>
      <c r="F89" s="5" t="str">
        <f ca="1">IFERROR(__xludf.DUMMYFUNCTION("""COMPUTED_VALUE"""),"No")</f>
        <v>No</v>
      </c>
      <c r="G89" s="5" t="str">
        <f ca="1">IFERROR(__xludf.DUMMYFUNCTION("""COMPUTED_VALUE"""),"No")</f>
        <v>No</v>
      </c>
      <c r="H89" s="5" t="str">
        <f ca="1">IFERROR(__xludf.DUMMYFUNCTION("""COMPUTED_VALUE"""),"No")</f>
        <v>No</v>
      </c>
      <c r="I89" s="5" t="str">
        <f ca="1">IFERROR(__xludf.DUMMYFUNCTION("""COMPUTED_VALUE"""),"No")</f>
        <v>No</v>
      </c>
      <c r="J89" s="5" t="str">
        <f ca="1">IFERROR(__xludf.DUMMYFUNCTION("""COMPUTED_VALUE"""),"No")</f>
        <v>No</v>
      </c>
      <c r="K89" s="5" t="str">
        <f ca="1">IFERROR(__xludf.DUMMYFUNCTION("""COMPUTED_VALUE"""),"Yes")</f>
        <v>Yes</v>
      </c>
      <c r="L89" s="5" t="str">
        <f ca="1">IFERROR(__xludf.DUMMYFUNCTION("""COMPUTED_VALUE"""),"Yes")</f>
        <v>Yes</v>
      </c>
      <c r="M89" s="5" t="str">
        <f ca="1">IFERROR(__xludf.DUMMYFUNCTION("""COMPUTED_VALUE"""),"Yes")</f>
        <v>Yes</v>
      </c>
      <c r="N89" s="5" t="str">
        <f ca="1">IFERROR(__xludf.DUMMYFUNCTION("""COMPUTED_VALUE"""),"Yes")</f>
        <v>Yes</v>
      </c>
      <c r="O89" s="5" t="str">
        <f ca="1">IFERROR(__xludf.DUMMYFUNCTION("""COMPUTED_VALUE"""),"Yes")</f>
        <v>Yes</v>
      </c>
      <c r="P89" s="5" t="str">
        <f ca="1">IFERROR(__xludf.DUMMYFUNCTION("""COMPUTED_VALUE"""),"No")</f>
        <v>No</v>
      </c>
      <c r="Q89" s="5" t="str">
        <f ca="1">IFERROR(__xludf.DUMMYFUNCTION("""COMPUTED_VALUE"""),"Yes")</f>
        <v>Yes</v>
      </c>
      <c r="R89" s="5" t="str">
        <f ca="1">IFERROR(__xludf.DUMMYFUNCTION("""COMPUTED_VALUE"""),"No")</f>
        <v>No</v>
      </c>
      <c r="S89" s="5" t="str">
        <f ca="1">IFERROR(__xludf.DUMMYFUNCTION("""COMPUTED_VALUE"""),"No")</f>
        <v>No</v>
      </c>
      <c r="T89" s="5" t="str">
        <f ca="1">IFERROR(__xludf.DUMMYFUNCTION("""COMPUTED_VALUE"""),"No")</f>
        <v>No</v>
      </c>
      <c r="U89" s="5" t="str">
        <f ca="1">IFERROR(__xludf.DUMMYFUNCTION("""COMPUTED_VALUE"""),"No")</f>
        <v>No</v>
      </c>
      <c r="V89" s="5" t="str">
        <f ca="1">IFERROR(__xludf.DUMMYFUNCTION("""COMPUTED_VALUE"""),"No")</f>
        <v>No</v>
      </c>
      <c r="W89" s="5"/>
      <c r="X89" s="5"/>
      <c r="Y89" s="5"/>
      <c r="Z89" s="5" t="str">
        <f ca="1">IFERROR(__xludf.DUMMYFUNCTION("""COMPUTED_VALUE"""),"No")</f>
        <v>No</v>
      </c>
      <c r="AA89" s="5"/>
      <c r="AB89" s="5"/>
      <c r="AC89" s="5"/>
    </row>
    <row r="90" spans="1:29" x14ac:dyDescent="0.25">
      <c r="A90" s="5" t="str">
        <f ca="1">IFERROR(__xludf.DUMMYFUNCTION("""COMPUTED_VALUE"""),"UnicornRainbowSevens")</f>
        <v>UnicornRainbowSevens</v>
      </c>
      <c r="B9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0" s="5" t="str">
        <f ca="1">IFERROR(__xludf.DUMMYFUNCTION("""COMPUTED_VALUE"""),"Yes")</f>
        <v>Yes</v>
      </c>
      <c r="D90" s="5" t="str">
        <f ca="1">IFERROR(__xludf.DUMMYFUNCTION("""COMPUTED_VALUE"""),"Yes")</f>
        <v>Yes</v>
      </c>
      <c r="E90" s="5" t="str">
        <f ca="1">IFERROR(__xludf.DUMMYFUNCTION("""COMPUTED_VALUE"""),"Yes")</f>
        <v>Yes</v>
      </c>
      <c r="F90" s="5" t="str">
        <f ca="1">IFERROR(__xludf.DUMMYFUNCTION("""COMPUTED_VALUE"""),"No")</f>
        <v>No</v>
      </c>
      <c r="G90" s="5" t="str">
        <f ca="1">IFERROR(__xludf.DUMMYFUNCTION("""COMPUTED_VALUE"""),"No")</f>
        <v>No</v>
      </c>
      <c r="H90" s="5" t="str">
        <f ca="1">IFERROR(__xludf.DUMMYFUNCTION("""COMPUTED_VALUE"""),"No")</f>
        <v>No</v>
      </c>
      <c r="I90" s="5" t="str">
        <f ca="1">IFERROR(__xludf.DUMMYFUNCTION("""COMPUTED_VALUE"""),"No")</f>
        <v>No</v>
      </c>
      <c r="J90" s="5" t="str">
        <f ca="1">IFERROR(__xludf.DUMMYFUNCTION("""COMPUTED_VALUE"""),"No")</f>
        <v>No</v>
      </c>
      <c r="K90" s="5" t="str">
        <f ca="1">IFERROR(__xludf.DUMMYFUNCTION("""COMPUTED_VALUE"""),"Yes")</f>
        <v>Yes</v>
      </c>
      <c r="L90" s="5" t="str">
        <f ca="1">IFERROR(__xludf.DUMMYFUNCTION("""COMPUTED_VALUE"""),"Yes")</f>
        <v>Yes</v>
      </c>
      <c r="M90" s="5" t="str">
        <f ca="1">IFERROR(__xludf.DUMMYFUNCTION("""COMPUTED_VALUE"""),"Yes")</f>
        <v>Yes</v>
      </c>
      <c r="N90" s="5" t="str">
        <f ca="1">IFERROR(__xludf.DUMMYFUNCTION("""COMPUTED_VALUE"""),"Yes")</f>
        <v>Yes</v>
      </c>
      <c r="O90" s="5" t="str">
        <f ca="1">IFERROR(__xludf.DUMMYFUNCTION("""COMPUTED_VALUE"""),"Yes")</f>
        <v>Yes</v>
      </c>
      <c r="P90" s="5" t="str">
        <f ca="1">IFERROR(__xludf.DUMMYFUNCTION("""COMPUTED_VALUE"""),"No")</f>
        <v>No</v>
      </c>
      <c r="Q90" s="5" t="str">
        <f ca="1">IFERROR(__xludf.DUMMYFUNCTION("""COMPUTED_VALUE"""),"Yes")</f>
        <v>Yes</v>
      </c>
      <c r="R90" s="5" t="str">
        <f ca="1">IFERROR(__xludf.DUMMYFUNCTION("""COMPUTED_VALUE"""),"No")</f>
        <v>No</v>
      </c>
      <c r="S90" s="5" t="str">
        <f ca="1">IFERROR(__xludf.DUMMYFUNCTION("""COMPUTED_VALUE"""),"No")</f>
        <v>No</v>
      </c>
      <c r="T90" s="5" t="str">
        <f ca="1">IFERROR(__xludf.DUMMYFUNCTION("""COMPUTED_VALUE"""),"No")</f>
        <v>No</v>
      </c>
      <c r="U90" s="5" t="str">
        <f ca="1">IFERROR(__xludf.DUMMYFUNCTION("""COMPUTED_VALUE"""),"No")</f>
        <v>No</v>
      </c>
      <c r="V90" s="5" t="str">
        <f ca="1">IFERROR(__xludf.DUMMYFUNCTION("""COMPUTED_VALUE"""),"No")</f>
        <v>No</v>
      </c>
      <c r="W90" s="5"/>
      <c r="X90" s="5"/>
      <c r="Y90" s="5"/>
      <c r="Z90" s="5" t="str">
        <f ca="1">IFERROR(__xludf.DUMMYFUNCTION("""COMPUTED_VALUE"""),"No")</f>
        <v>No</v>
      </c>
      <c r="AA90" s="5"/>
      <c r="AB90" s="5"/>
      <c r="AC90" s="5"/>
    </row>
    <row r="91" spans="1:29" x14ac:dyDescent="0.25">
      <c r="A91" s="5" t="str">
        <f ca="1">IFERROR(__xludf.DUMMYFUNCTION("""COMPUTED_VALUE"""),"UnicornHavanaDice")</f>
        <v>UnicornHavanaDice</v>
      </c>
      <c r="B9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1" s="5" t="str">
        <f ca="1">IFERROR(__xludf.DUMMYFUNCTION("""COMPUTED_VALUE"""),"Yes")</f>
        <v>Yes</v>
      </c>
      <c r="D91" s="5" t="str">
        <f ca="1">IFERROR(__xludf.DUMMYFUNCTION("""COMPUTED_VALUE"""),"Yes")</f>
        <v>Yes</v>
      </c>
      <c r="E91" s="5" t="str">
        <f ca="1">IFERROR(__xludf.DUMMYFUNCTION("""COMPUTED_VALUE"""),"Yes")</f>
        <v>Yes</v>
      </c>
      <c r="F91" s="5" t="str">
        <f ca="1">IFERROR(__xludf.DUMMYFUNCTION("""COMPUTED_VALUE"""),"No")</f>
        <v>No</v>
      </c>
      <c r="G91" s="5" t="str">
        <f ca="1">IFERROR(__xludf.DUMMYFUNCTION("""COMPUTED_VALUE"""),"No")</f>
        <v>No</v>
      </c>
      <c r="H91" s="5" t="str">
        <f ca="1">IFERROR(__xludf.DUMMYFUNCTION("""COMPUTED_VALUE"""),"No")</f>
        <v>No</v>
      </c>
      <c r="I91" s="5" t="str">
        <f ca="1">IFERROR(__xludf.DUMMYFUNCTION("""COMPUTED_VALUE"""),"No")</f>
        <v>No</v>
      </c>
      <c r="J91" s="5" t="str">
        <f ca="1">IFERROR(__xludf.DUMMYFUNCTION("""COMPUTED_VALUE"""),"No")</f>
        <v>No</v>
      </c>
      <c r="K91" s="5" t="str">
        <f ca="1">IFERROR(__xludf.DUMMYFUNCTION("""COMPUTED_VALUE"""),"Yes")</f>
        <v>Yes</v>
      </c>
      <c r="L91" s="5" t="str">
        <f ca="1">IFERROR(__xludf.DUMMYFUNCTION("""COMPUTED_VALUE"""),"Yes")</f>
        <v>Yes</v>
      </c>
      <c r="M91" s="5" t="str">
        <f ca="1">IFERROR(__xludf.DUMMYFUNCTION("""COMPUTED_VALUE"""),"Yes")</f>
        <v>Yes</v>
      </c>
      <c r="N91" s="5" t="str">
        <f ca="1">IFERROR(__xludf.DUMMYFUNCTION("""COMPUTED_VALUE"""),"Yes")</f>
        <v>Yes</v>
      </c>
      <c r="O91" s="5" t="str">
        <f ca="1">IFERROR(__xludf.DUMMYFUNCTION("""COMPUTED_VALUE"""),"Yes")</f>
        <v>Yes</v>
      </c>
      <c r="P91" s="5" t="str">
        <f ca="1">IFERROR(__xludf.DUMMYFUNCTION("""COMPUTED_VALUE"""),"No")</f>
        <v>No</v>
      </c>
      <c r="Q91" s="5" t="str">
        <f ca="1">IFERROR(__xludf.DUMMYFUNCTION("""COMPUTED_VALUE"""),"Yes")</f>
        <v>Yes</v>
      </c>
      <c r="R91" s="5" t="str">
        <f ca="1">IFERROR(__xludf.DUMMYFUNCTION("""COMPUTED_VALUE"""),"No")</f>
        <v>No</v>
      </c>
      <c r="S91" s="5" t="str">
        <f ca="1">IFERROR(__xludf.DUMMYFUNCTION("""COMPUTED_VALUE"""),"No")</f>
        <v>No</v>
      </c>
      <c r="T91" s="5" t="str">
        <f ca="1">IFERROR(__xludf.DUMMYFUNCTION("""COMPUTED_VALUE"""),"No")</f>
        <v>No</v>
      </c>
      <c r="U91" s="5" t="str">
        <f ca="1">IFERROR(__xludf.DUMMYFUNCTION("""COMPUTED_VALUE"""),"No")</f>
        <v>No</v>
      </c>
      <c r="V91" s="5" t="str">
        <f ca="1">IFERROR(__xludf.DUMMYFUNCTION("""COMPUTED_VALUE"""),"No")</f>
        <v>No</v>
      </c>
      <c r="W91" s="5"/>
      <c r="X91" s="5"/>
      <c r="Y91" s="5"/>
      <c r="Z91" s="5" t="str">
        <f ca="1">IFERROR(__xludf.DUMMYFUNCTION("""COMPUTED_VALUE"""),"No")</f>
        <v>No</v>
      </c>
      <c r="AA91" s="5"/>
      <c r="AB91" s="5"/>
      <c r="AC91" s="5"/>
    </row>
    <row r="92" spans="1:29" x14ac:dyDescent="0.25">
      <c r="A92" s="5" t="str">
        <f ca="1">IFERROR(__xludf.DUMMYFUNCTION("""COMPUTED_VALUE"""),"MayanCoins")</f>
        <v>MayanCoins</v>
      </c>
      <c r="B9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2" s="5" t="str">
        <f ca="1">IFERROR(__xludf.DUMMYFUNCTION("""COMPUTED_VALUE"""),"Yes")</f>
        <v>Yes</v>
      </c>
      <c r="D92" s="5" t="str">
        <f ca="1">IFERROR(__xludf.DUMMYFUNCTION("""COMPUTED_VALUE"""),"Yes")</f>
        <v>Yes</v>
      </c>
      <c r="E92" s="5" t="str">
        <f ca="1">IFERROR(__xludf.DUMMYFUNCTION("""COMPUTED_VALUE"""),"No")</f>
        <v>No</v>
      </c>
      <c r="F92" s="5" t="str">
        <f ca="1">IFERROR(__xludf.DUMMYFUNCTION("""COMPUTED_VALUE"""),"Yes")</f>
        <v>Yes</v>
      </c>
      <c r="G92" s="5" t="str">
        <f ca="1">IFERROR(__xludf.DUMMYFUNCTION("""COMPUTED_VALUE"""),"Yes")</f>
        <v>Yes</v>
      </c>
      <c r="H92" s="5" t="str">
        <f ca="1">IFERROR(__xludf.DUMMYFUNCTION("""COMPUTED_VALUE"""),"Yes")</f>
        <v>Yes</v>
      </c>
      <c r="I92" s="5" t="str">
        <f ca="1">IFERROR(__xludf.DUMMYFUNCTION("""COMPUTED_VALUE"""),"Yes")</f>
        <v>Yes</v>
      </c>
      <c r="J92" s="5" t="str">
        <f ca="1">IFERROR(__xludf.DUMMYFUNCTION("""COMPUTED_VALUE"""),"Yes")</f>
        <v>Yes</v>
      </c>
      <c r="K92" s="5" t="str">
        <f ca="1">IFERROR(__xludf.DUMMYFUNCTION("""COMPUTED_VALUE"""),"Yes")</f>
        <v>Yes</v>
      </c>
      <c r="L92" s="5" t="str">
        <f ca="1">IFERROR(__xludf.DUMMYFUNCTION("""COMPUTED_VALUE"""),"Yes")</f>
        <v>Yes</v>
      </c>
      <c r="M92" s="5" t="str">
        <f ca="1">IFERROR(__xludf.DUMMYFUNCTION("""COMPUTED_VALUE"""),"Yes")</f>
        <v>Yes</v>
      </c>
      <c r="N92" s="5" t="str">
        <f ca="1">IFERROR(__xludf.DUMMYFUNCTION("""COMPUTED_VALUE"""),"Yes")</f>
        <v>Yes</v>
      </c>
      <c r="O92" s="5" t="str">
        <f ca="1">IFERROR(__xludf.DUMMYFUNCTION("""COMPUTED_VALUE"""),"Yes")</f>
        <v>Yes</v>
      </c>
      <c r="P92" s="5" t="str">
        <f ca="1">IFERROR(__xludf.DUMMYFUNCTION("""COMPUTED_VALUE"""),"Yes")</f>
        <v>Yes</v>
      </c>
      <c r="Q92" s="5" t="str">
        <f ca="1">IFERROR(__xludf.DUMMYFUNCTION("""COMPUTED_VALUE"""),"Yes")</f>
        <v>Yes</v>
      </c>
      <c r="R92" s="5" t="str">
        <f ca="1">IFERROR(__xludf.DUMMYFUNCTION("""COMPUTED_VALUE"""),"No")</f>
        <v>No</v>
      </c>
      <c r="S92" s="5" t="str">
        <f ca="1">IFERROR(__xludf.DUMMYFUNCTION("""COMPUTED_VALUE"""),"No")</f>
        <v>No</v>
      </c>
      <c r="T92" s="5" t="str">
        <f ca="1">IFERROR(__xludf.DUMMYFUNCTION("""COMPUTED_VALUE"""),"No")</f>
        <v>No</v>
      </c>
      <c r="U92" s="5" t="str">
        <f ca="1">IFERROR(__xludf.DUMMYFUNCTION("""COMPUTED_VALUE"""),"No")</f>
        <v>No</v>
      </c>
      <c r="V92" s="5" t="str">
        <f ca="1">IFERROR(__xludf.DUMMYFUNCTION("""COMPUTED_VALUE"""),"No")</f>
        <v>No</v>
      </c>
      <c r="W92" s="5" t="str">
        <f ca="1">IFERROR(__xludf.DUMMYFUNCTION("""COMPUTED_VALUE"""),"No")</f>
        <v>No</v>
      </c>
      <c r="X92" s="5" t="str">
        <f ca="1">IFERROR(__xludf.DUMMYFUNCTION("""COMPUTED_VALUE"""),"No")</f>
        <v>No</v>
      </c>
      <c r="Y92" s="5" t="str">
        <f ca="1">IFERROR(__xludf.DUMMYFUNCTION("""COMPUTED_VALUE"""),"No")</f>
        <v>No</v>
      </c>
      <c r="Z92" s="5" t="str">
        <f ca="1">IFERROR(__xludf.DUMMYFUNCTION("""COMPUTED_VALUE"""),"No")</f>
        <v>No</v>
      </c>
      <c r="AA92" s="5" t="str">
        <f ca="1">IFERROR(__xludf.DUMMYFUNCTION("""COMPUTED_VALUE"""),"No")</f>
        <v>No</v>
      </c>
      <c r="AB92" s="5" t="str">
        <f ca="1">IFERROR(__xludf.DUMMYFUNCTION("""COMPUTED_VALUE"""),"Yes")</f>
        <v>Yes</v>
      </c>
      <c r="AC92" s="5" t="str">
        <f ca="1">IFERROR(__xludf.DUMMYFUNCTION("""COMPUTED_VALUE"""),"No")</f>
        <v>No</v>
      </c>
    </row>
    <row r="93" spans="1:29" x14ac:dyDescent="0.25">
      <c r="A93" s="5" t="str">
        <f ca="1">IFERROR(__xludf.DUMMYFUNCTION("""COMPUTED_VALUE"""),"FireClover5")</f>
        <v>FireClover5</v>
      </c>
      <c r="B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C93" s="5" t="str">
        <f ca="1">IFERROR(__xludf.DUMMYFUNCTION("""COMPUTED_VALUE"""),"Yes")</f>
        <v>Yes</v>
      </c>
      <c r="D93" s="5" t="str">
        <f ca="1">IFERROR(__xludf.DUMMYFUNCTION("""COMPUTED_VALUE"""),"Yes")</f>
        <v>Yes</v>
      </c>
      <c r="E93" s="5" t="str">
        <f ca="1">IFERROR(__xludf.DUMMYFUNCTION("""COMPUTED_VALUE"""),"Yes")</f>
        <v>Yes</v>
      </c>
      <c r="F93" s="5" t="str">
        <f ca="1">IFERROR(__xludf.DUMMYFUNCTION("""COMPUTED_VALUE"""),"Yes")</f>
        <v>Yes</v>
      </c>
      <c r="G93" s="5" t="str">
        <f ca="1">IFERROR(__xludf.DUMMYFUNCTION("""COMPUTED_VALUE"""),"Yes")</f>
        <v>Yes</v>
      </c>
      <c r="H93" s="5" t="str">
        <f ca="1">IFERROR(__xludf.DUMMYFUNCTION("""COMPUTED_VALUE"""),"Yes")</f>
        <v>Yes</v>
      </c>
      <c r="I93" s="5" t="str">
        <f ca="1">IFERROR(__xludf.DUMMYFUNCTION("""COMPUTED_VALUE"""),"Yes")</f>
        <v>Yes</v>
      </c>
      <c r="J93" s="5" t="str">
        <f ca="1">IFERROR(__xludf.DUMMYFUNCTION("""COMPUTED_VALUE"""),"Yes")</f>
        <v>Yes</v>
      </c>
      <c r="K93" s="5" t="str">
        <f ca="1">IFERROR(__xludf.DUMMYFUNCTION("""COMPUTED_VALUE"""),"Yes")</f>
        <v>Yes</v>
      </c>
      <c r="L93" s="5" t="str">
        <f ca="1">IFERROR(__xludf.DUMMYFUNCTION("""COMPUTED_VALUE"""),"Yes")</f>
        <v>Yes</v>
      </c>
      <c r="M93" s="5" t="str">
        <f ca="1">IFERROR(__xludf.DUMMYFUNCTION("""COMPUTED_VALUE"""),"Yes")</f>
        <v>Yes</v>
      </c>
      <c r="N93" s="5" t="str">
        <f ca="1">IFERROR(__xludf.DUMMYFUNCTION("""COMPUTED_VALUE"""),"Yes")</f>
        <v>Yes</v>
      </c>
      <c r="O93" s="5" t="str">
        <f ca="1">IFERROR(__xludf.DUMMYFUNCTION("""COMPUTED_VALUE"""),"Yes")</f>
        <v>Yes</v>
      </c>
      <c r="P93" s="5" t="str">
        <f ca="1">IFERROR(__xludf.DUMMYFUNCTION("""COMPUTED_VALUE"""),"Yes")</f>
        <v>Yes</v>
      </c>
      <c r="Q93" s="5" t="str">
        <f ca="1">IFERROR(__xludf.DUMMYFUNCTION("""COMPUTED_VALUE"""),"Yes")</f>
        <v>Yes</v>
      </c>
      <c r="R93" s="5" t="str">
        <f ca="1">IFERROR(__xludf.DUMMYFUNCTION("""COMPUTED_VALUE"""),"Yes")</f>
        <v>Yes</v>
      </c>
      <c r="S93" s="5" t="str">
        <f ca="1">IFERROR(__xludf.DUMMYFUNCTION("""COMPUTED_VALUE"""),"Yes")</f>
        <v>Yes</v>
      </c>
      <c r="T93" s="5" t="str">
        <f ca="1">IFERROR(__xludf.DUMMYFUNCTION("""COMPUTED_VALUE"""),"Yes")</f>
        <v>Yes</v>
      </c>
      <c r="U93" s="5" t="str">
        <f ca="1">IFERROR(__xludf.DUMMYFUNCTION("""COMPUTED_VALUE"""),"Yes")</f>
        <v>Yes</v>
      </c>
      <c r="V93" s="5" t="str">
        <f ca="1">IFERROR(__xludf.DUMMYFUNCTION("""COMPUTED_VALUE"""),"Yes")</f>
        <v>Yes</v>
      </c>
      <c r="W93" s="5"/>
      <c r="X93" s="5"/>
      <c r="Y93" s="5"/>
      <c r="Z93" s="5" t="str">
        <f ca="1">IFERROR(__xludf.DUMMYFUNCTION("""COMPUTED_VALUE"""),"Yes")</f>
        <v>Yes</v>
      </c>
      <c r="AA93" s="5"/>
      <c r="AB93" s="5" t="str">
        <f ca="1">IFERROR(__xludf.DUMMYFUNCTION("""COMPUTED_VALUE"""),"Yes")</f>
        <v>Yes</v>
      </c>
      <c r="AC93" s="5"/>
    </row>
    <row r="94" spans="1:29" x14ac:dyDescent="0.25">
      <c r="A94" s="5" t="str">
        <f ca="1">IFERROR(__xludf.DUMMYFUNCTION("""COMPUTED_VALUE"""),"CrystalHotAdmiral")</f>
        <v>CrystalHotAdmiral</v>
      </c>
      <c r="B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94" s="5" t="str">
        <f ca="1">IFERROR(__xludf.DUMMYFUNCTION("""COMPUTED_VALUE"""),"Yes")</f>
        <v>Yes</v>
      </c>
      <c r="D94" s="5" t="str">
        <f ca="1">IFERROR(__xludf.DUMMYFUNCTION("""COMPUTED_VALUE"""),"Yes")</f>
        <v>Yes</v>
      </c>
      <c r="E94" s="5" t="str">
        <f ca="1">IFERROR(__xludf.DUMMYFUNCTION("""COMPUTED_VALUE"""),"Yes")</f>
        <v>Yes</v>
      </c>
      <c r="F94" s="5" t="str">
        <f ca="1">IFERROR(__xludf.DUMMYFUNCTION("""COMPUTED_VALUE"""),"Yes")</f>
        <v>Yes</v>
      </c>
      <c r="G94" s="5" t="str">
        <f ca="1">IFERROR(__xludf.DUMMYFUNCTION("""COMPUTED_VALUE"""),"Yes")</f>
        <v>Yes</v>
      </c>
      <c r="H94" s="5" t="str">
        <f ca="1">IFERROR(__xludf.DUMMYFUNCTION("""COMPUTED_VALUE"""),"Yes")</f>
        <v>Yes</v>
      </c>
      <c r="I94" s="5" t="str">
        <f ca="1">IFERROR(__xludf.DUMMYFUNCTION("""COMPUTED_VALUE"""),"Yes")</f>
        <v>Yes</v>
      </c>
      <c r="J94" s="5" t="str">
        <f ca="1">IFERROR(__xludf.DUMMYFUNCTION("""COMPUTED_VALUE"""),"Yes")</f>
        <v>Yes</v>
      </c>
      <c r="K94" s="5" t="str">
        <f ca="1">IFERROR(__xludf.DUMMYFUNCTION("""COMPUTED_VALUE"""),"Yes")</f>
        <v>Yes</v>
      </c>
      <c r="L94" s="5" t="str">
        <f ca="1">IFERROR(__xludf.DUMMYFUNCTION("""COMPUTED_VALUE"""),"Yes")</f>
        <v>Yes</v>
      </c>
      <c r="M94" s="5" t="str">
        <f ca="1">IFERROR(__xludf.DUMMYFUNCTION("""COMPUTED_VALUE"""),"Yes")</f>
        <v>Yes</v>
      </c>
      <c r="N94" s="5" t="str">
        <f ca="1">IFERROR(__xludf.DUMMYFUNCTION("""COMPUTED_VALUE"""),"Yes")</f>
        <v>Yes</v>
      </c>
      <c r="O94" s="5" t="str">
        <f ca="1">IFERROR(__xludf.DUMMYFUNCTION("""COMPUTED_VALUE"""),"Yes")</f>
        <v>Yes</v>
      </c>
      <c r="P94" s="5" t="str">
        <f ca="1">IFERROR(__xludf.DUMMYFUNCTION("""COMPUTED_VALUE"""),"Yes")</f>
        <v>Yes</v>
      </c>
      <c r="Q94" s="5" t="str">
        <f ca="1">IFERROR(__xludf.DUMMYFUNCTION("""COMPUTED_VALUE"""),"Yes")</f>
        <v>Yes</v>
      </c>
      <c r="R94" s="5" t="str">
        <f ca="1">IFERROR(__xludf.DUMMYFUNCTION("""COMPUTED_VALUE"""),"Yes")</f>
        <v>Yes</v>
      </c>
      <c r="S94" s="5" t="str">
        <f ca="1">IFERROR(__xludf.DUMMYFUNCTION("""COMPUTED_VALUE"""),"Yes")</f>
        <v>Yes</v>
      </c>
      <c r="T94" s="5" t="str">
        <f ca="1">IFERROR(__xludf.DUMMYFUNCTION("""COMPUTED_VALUE"""),"Yes")</f>
        <v>Yes</v>
      </c>
      <c r="U94" s="5" t="str">
        <f ca="1">IFERROR(__xludf.DUMMYFUNCTION("""COMPUTED_VALUE"""),"Yes")</f>
        <v>Yes</v>
      </c>
      <c r="V94" s="5" t="str">
        <f ca="1">IFERROR(__xludf.DUMMYFUNCTION("""COMPUTED_VALUE"""),"Yes")</f>
        <v>Yes</v>
      </c>
      <c r="W94" s="5" t="str">
        <f ca="1">IFERROR(__xludf.DUMMYFUNCTION("""COMPUTED_VALUE"""),"Yes")</f>
        <v>Yes</v>
      </c>
      <c r="X94" s="5" t="str">
        <f ca="1">IFERROR(__xludf.DUMMYFUNCTION("""COMPUTED_VALUE"""),"Yes")</f>
        <v>Yes</v>
      </c>
      <c r="Y94" s="5" t="str">
        <f ca="1">IFERROR(__xludf.DUMMYFUNCTION("""COMPUTED_VALUE"""),"Yes")</f>
        <v>Yes</v>
      </c>
      <c r="Z94" s="5" t="str">
        <f ca="1">IFERROR(__xludf.DUMMYFUNCTION("""COMPUTED_VALUE"""),"Yes")</f>
        <v>Yes</v>
      </c>
      <c r="AA94" s="5" t="str">
        <f ca="1">IFERROR(__xludf.DUMMYFUNCTION("""COMPUTED_VALUE"""),"Yes")</f>
        <v>Yes</v>
      </c>
      <c r="AB94" s="5" t="str">
        <f ca="1">IFERROR(__xludf.DUMMYFUNCTION("""COMPUTED_VALUE"""),"Yes")</f>
        <v>Yes</v>
      </c>
      <c r="AC94" s="5" t="str">
        <f ca="1">IFERROR(__xludf.DUMMYFUNCTION("""COMPUTED_VALUE"""),"No")</f>
        <v>No</v>
      </c>
    </row>
    <row r="95" spans="1:29" x14ac:dyDescent="0.25">
      <c r="A95" s="5" t="str">
        <f ca="1">IFERROR(__xludf.DUMMYFUNCTION("""COMPUTED_VALUE"""),"WildCrown10")</f>
        <v>WildCrown10</v>
      </c>
      <c r="B9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5" s="5" t="str">
        <f ca="1">IFERROR(__xludf.DUMMYFUNCTION("""COMPUTED_VALUE"""),"Yes")</f>
        <v>Yes</v>
      </c>
      <c r="D95" s="5" t="str">
        <f ca="1">IFERROR(__xludf.DUMMYFUNCTION("""COMPUTED_VALUE"""),"Yes")</f>
        <v>Yes</v>
      </c>
      <c r="E95" s="5" t="str">
        <f ca="1">IFERROR(__xludf.DUMMYFUNCTION("""COMPUTED_VALUE"""),"No")</f>
        <v>No</v>
      </c>
      <c r="F95" s="5" t="str">
        <f ca="1">IFERROR(__xludf.DUMMYFUNCTION("""COMPUTED_VALUE"""),"Yes")</f>
        <v>Yes</v>
      </c>
      <c r="G95" s="5" t="str">
        <f ca="1">IFERROR(__xludf.DUMMYFUNCTION("""COMPUTED_VALUE"""),"Yes")</f>
        <v>Yes</v>
      </c>
      <c r="H95" s="5" t="str">
        <f ca="1">IFERROR(__xludf.DUMMYFUNCTION("""COMPUTED_VALUE"""),"Yes")</f>
        <v>Yes</v>
      </c>
      <c r="I95" s="5" t="str">
        <f ca="1">IFERROR(__xludf.DUMMYFUNCTION("""COMPUTED_VALUE"""),"Yes")</f>
        <v>Yes</v>
      </c>
      <c r="J95" s="5" t="str">
        <f ca="1">IFERROR(__xludf.DUMMYFUNCTION("""COMPUTED_VALUE"""),"Yes")</f>
        <v>Yes</v>
      </c>
      <c r="K95" s="5" t="str">
        <f ca="1">IFERROR(__xludf.DUMMYFUNCTION("""COMPUTED_VALUE"""),"Yes")</f>
        <v>Yes</v>
      </c>
      <c r="L95" s="5" t="str">
        <f ca="1">IFERROR(__xludf.DUMMYFUNCTION("""COMPUTED_VALUE"""),"Yes")</f>
        <v>Yes</v>
      </c>
      <c r="M95" s="5" t="str">
        <f ca="1">IFERROR(__xludf.DUMMYFUNCTION("""COMPUTED_VALUE"""),"Yes")</f>
        <v>Yes</v>
      </c>
      <c r="N95" s="5" t="str">
        <f ca="1">IFERROR(__xludf.DUMMYFUNCTION("""COMPUTED_VALUE"""),"Yes")</f>
        <v>Yes</v>
      </c>
      <c r="O95" s="5" t="str">
        <f ca="1">IFERROR(__xludf.DUMMYFUNCTION("""COMPUTED_VALUE"""),"Yes")</f>
        <v>Yes</v>
      </c>
      <c r="P95" s="5" t="str">
        <f ca="1">IFERROR(__xludf.DUMMYFUNCTION("""COMPUTED_VALUE"""),"Yes")</f>
        <v>Yes</v>
      </c>
      <c r="Q95" s="5" t="str">
        <f ca="1">IFERROR(__xludf.DUMMYFUNCTION("""COMPUTED_VALUE"""),"Yes")</f>
        <v>Yes</v>
      </c>
      <c r="R95" s="5" t="str">
        <f ca="1">IFERROR(__xludf.DUMMYFUNCTION("""COMPUTED_VALUE"""),"No")</f>
        <v>No</v>
      </c>
      <c r="S95" s="5" t="str">
        <f ca="1">IFERROR(__xludf.DUMMYFUNCTION("""COMPUTED_VALUE"""),"No")</f>
        <v>No</v>
      </c>
      <c r="T95" s="5" t="str">
        <f ca="1">IFERROR(__xludf.DUMMYFUNCTION("""COMPUTED_VALUE"""),"No")</f>
        <v>No</v>
      </c>
      <c r="U95" s="5" t="str">
        <f ca="1">IFERROR(__xludf.DUMMYFUNCTION("""COMPUTED_VALUE"""),"No")</f>
        <v>No</v>
      </c>
      <c r="V95" s="5" t="str">
        <f ca="1">IFERROR(__xludf.DUMMYFUNCTION("""COMPUTED_VALUE"""),"No")</f>
        <v>No</v>
      </c>
      <c r="W95" s="5" t="str">
        <f ca="1">IFERROR(__xludf.DUMMYFUNCTION("""COMPUTED_VALUE"""),"No")</f>
        <v>No</v>
      </c>
      <c r="X95" s="5" t="str">
        <f ca="1">IFERROR(__xludf.DUMMYFUNCTION("""COMPUTED_VALUE"""),"No")</f>
        <v>No</v>
      </c>
      <c r="Y95" s="5" t="str">
        <f ca="1">IFERROR(__xludf.DUMMYFUNCTION("""COMPUTED_VALUE"""),"No")</f>
        <v>No</v>
      </c>
      <c r="Z95" s="5" t="str">
        <f ca="1">IFERROR(__xludf.DUMMYFUNCTION("""COMPUTED_VALUE"""),"No")</f>
        <v>No</v>
      </c>
      <c r="AA95" s="5" t="str">
        <f ca="1">IFERROR(__xludf.DUMMYFUNCTION("""COMPUTED_VALUE"""),"No")</f>
        <v>No</v>
      </c>
      <c r="AB95" s="5" t="str">
        <f ca="1">IFERROR(__xludf.DUMMYFUNCTION("""COMPUTED_VALUE"""),"Yes")</f>
        <v>Yes</v>
      </c>
      <c r="AC95" s="5" t="str">
        <f ca="1">IFERROR(__xludf.DUMMYFUNCTION("""COMPUTED_VALUE"""),"No")</f>
        <v>No</v>
      </c>
    </row>
    <row r="96" spans="1:29" x14ac:dyDescent="0.25">
      <c r="A96" s="5" t="str">
        <f ca="1">IFERROR(__xludf.DUMMYFUNCTION("""COMPUTED_VALUE"""),"UnicornCasinoFruits")</f>
        <v>UnicornCasinoFruits</v>
      </c>
      <c r="B9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6" s="5" t="str">
        <f ca="1">IFERROR(__xludf.DUMMYFUNCTION("""COMPUTED_VALUE"""),"Yes")</f>
        <v>Yes</v>
      </c>
      <c r="D96" s="5" t="str">
        <f ca="1">IFERROR(__xludf.DUMMYFUNCTION("""COMPUTED_VALUE"""),"Yes")</f>
        <v>Yes</v>
      </c>
      <c r="E96" s="5" t="str">
        <f ca="1">IFERROR(__xludf.DUMMYFUNCTION("""COMPUTED_VALUE"""),"Yes")</f>
        <v>Yes</v>
      </c>
      <c r="F96" s="5" t="str">
        <f ca="1">IFERROR(__xludf.DUMMYFUNCTION("""COMPUTED_VALUE"""),"No")</f>
        <v>No</v>
      </c>
      <c r="G96" s="5" t="str">
        <f ca="1">IFERROR(__xludf.DUMMYFUNCTION("""COMPUTED_VALUE"""),"No")</f>
        <v>No</v>
      </c>
      <c r="H96" s="5" t="str">
        <f ca="1">IFERROR(__xludf.DUMMYFUNCTION("""COMPUTED_VALUE"""),"No")</f>
        <v>No</v>
      </c>
      <c r="I96" s="5" t="str">
        <f ca="1">IFERROR(__xludf.DUMMYFUNCTION("""COMPUTED_VALUE"""),"No")</f>
        <v>No</v>
      </c>
      <c r="J96" s="5" t="str">
        <f ca="1">IFERROR(__xludf.DUMMYFUNCTION("""COMPUTED_VALUE"""),"No")</f>
        <v>No</v>
      </c>
      <c r="K96" s="5" t="str">
        <f ca="1">IFERROR(__xludf.DUMMYFUNCTION("""COMPUTED_VALUE"""),"Yes")</f>
        <v>Yes</v>
      </c>
      <c r="L96" s="5" t="str">
        <f ca="1">IFERROR(__xludf.DUMMYFUNCTION("""COMPUTED_VALUE"""),"Yes")</f>
        <v>Yes</v>
      </c>
      <c r="M96" s="5" t="str">
        <f ca="1">IFERROR(__xludf.DUMMYFUNCTION("""COMPUTED_VALUE"""),"Yes")</f>
        <v>Yes</v>
      </c>
      <c r="N96" s="5" t="str">
        <f ca="1">IFERROR(__xludf.DUMMYFUNCTION("""COMPUTED_VALUE"""),"Yes")</f>
        <v>Yes</v>
      </c>
      <c r="O96" s="5" t="str">
        <f ca="1">IFERROR(__xludf.DUMMYFUNCTION("""COMPUTED_VALUE"""),"Yes")</f>
        <v>Yes</v>
      </c>
      <c r="P96" s="5" t="str">
        <f ca="1">IFERROR(__xludf.DUMMYFUNCTION("""COMPUTED_VALUE"""),"No")</f>
        <v>No</v>
      </c>
      <c r="Q96" s="5" t="str">
        <f ca="1">IFERROR(__xludf.DUMMYFUNCTION("""COMPUTED_VALUE"""),"Yes")</f>
        <v>Yes</v>
      </c>
      <c r="R96" s="5" t="str">
        <f ca="1">IFERROR(__xludf.DUMMYFUNCTION("""COMPUTED_VALUE"""),"No")</f>
        <v>No</v>
      </c>
      <c r="S96" s="5" t="str">
        <f ca="1">IFERROR(__xludf.DUMMYFUNCTION("""COMPUTED_VALUE"""),"No")</f>
        <v>No</v>
      </c>
      <c r="T96" s="5" t="str">
        <f ca="1">IFERROR(__xludf.DUMMYFUNCTION("""COMPUTED_VALUE"""),"No")</f>
        <v>No</v>
      </c>
      <c r="U96" s="5" t="str">
        <f ca="1">IFERROR(__xludf.DUMMYFUNCTION("""COMPUTED_VALUE"""),"No")</f>
        <v>No</v>
      </c>
      <c r="V96" s="5" t="str">
        <f ca="1">IFERROR(__xludf.DUMMYFUNCTION("""COMPUTED_VALUE"""),"No")</f>
        <v>No</v>
      </c>
      <c r="W96" s="5"/>
      <c r="X96" s="5"/>
      <c r="Y96" s="5"/>
      <c r="Z96" s="5" t="str">
        <f ca="1">IFERROR(__xludf.DUMMYFUNCTION("""COMPUTED_VALUE"""),"No")</f>
        <v>No</v>
      </c>
      <c r="AA96" s="5"/>
      <c r="AB96" s="5"/>
      <c r="AC96" s="5"/>
    </row>
    <row r="97" spans="1:29" x14ac:dyDescent="0.25">
      <c r="A97" s="5" t="str">
        <f ca="1">IFERROR(__xludf.DUMMYFUNCTION("""COMPUTED_VALUE"""),"UnicornTheCrownFruit")</f>
        <v>UnicornTheCrownFruit</v>
      </c>
      <c r="B9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7" s="5" t="str">
        <f ca="1">IFERROR(__xludf.DUMMYFUNCTION("""COMPUTED_VALUE"""),"Yes")</f>
        <v>Yes</v>
      </c>
      <c r="D97" s="5" t="str">
        <f ca="1">IFERROR(__xludf.DUMMYFUNCTION("""COMPUTED_VALUE"""),"Yes")</f>
        <v>Yes</v>
      </c>
      <c r="E97" s="5" t="str">
        <f ca="1">IFERROR(__xludf.DUMMYFUNCTION("""COMPUTED_VALUE"""),"Yes")</f>
        <v>Yes</v>
      </c>
      <c r="F97" s="5" t="str">
        <f ca="1">IFERROR(__xludf.DUMMYFUNCTION("""COMPUTED_VALUE"""),"No")</f>
        <v>No</v>
      </c>
      <c r="G97" s="5" t="str">
        <f ca="1">IFERROR(__xludf.DUMMYFUNCTION("""COMPUTED_VALUE"""),"No")</f>
        <v>No</v>
      </c>
      <c r="H97" s="5" t="str">
        <f ca="1">IFERROR(__xludf.DUMMYFUNCTION("""COMPUTED_VALUE"""),"No")</f>
        <v>No</v>
      </c>
      <c r="I97" s="5" t="str">
        <f ca="1">IFERROR(__xludf.DUMMYFUNCTION("""COMPUTED_VALUE"""),"No")</f>
        <v>No</v>
      </c>
      <c r="J97" s="5" t="str">
        <f ca="1">IFERROR(__xludf.DUMMYFUNCTION("""COMPUTED_VALUE"""),"No")</f>
        <v>No</v>
      </c>
      <c r="K97" s="5" t="str">
        <f ca="1">IFERROR(__xludf.DUMMYFUNCTION("""COMPUTED_VALUE"""),"Yes")</f>
        <v>Yes</v>
      </c>
      <c r="L97" s="5" t="str">
        <f ca="1">IFERROR(__xludf.DUMMYFUNCTION("""COMPUTED_VALUE"""),"Yes")</f>
        <v>Yes</v>
      </c>
      <c r="M97" s="5" t="str">
        <f ca="1">IFERROR(__xludf.DUMMYFUNCTION("""COMPUTED_VALUE"""),"Yes")</f>
        <v>Yes</v>
      </c>
      <c r="N97" s="5" t="str">
        <f ca="1">IFERROR(__xludf.DUMMYFUNCTION("""COMPUTED_VALUE"""),"Yes")</f>
        <v>Yes</v>
      </c>
      <c r="O97" s="5" t="str">
        <f ca="1">IFERROR(__xludf.DUMMYFUNCTION("""COMPUTED_VALUE"""),"Yes")</f>
        <v>Yes</v>
      </c>
      <c r="P97" s="5" t="str">
        <f ca="1">IFERROR(__xludf.DUMMYFUNCTION("""COMPUTED_VALUE"""),"No")</f>
        <v>No</v>
      </c>
      <c r="Q97" s="5" t="str">
        <f ca="1">IFERROR(__xludf.DUMMYFUNCTION("""COMPUTED_VALUE"""),"Yes")</f>
        <v>Yes</v>
      </c>
      <c r="R97" s="5" t="str">
        <f ca="1">IFERROR(__xludf.DUMMYFUNCTION("""COMPUTED_VALUE"""),"No")</f>
        <v>No</v>
      </c>
      <c r="S97" s="5" t="str">
        <f ca="1">IFERROR(__xludf.DUMMYFUNCTION("""COMPUTED_VALUE"""),"No")</f>
        <v>No</v>
      </c>
      <c r="T97" s="5" t="str">
        <f ca="1">IFERROR(__xludf.DUMMYFUNCTION("""COMPUTED_VALUE"""),"No")</f>
        <v>No</v>
      </c>
      <c r="U97" s="5" t="str">
        <f ca="1">IFERROR(__xludf.DUMMYFUNCTION("""COMPUTED_VALUE"""),"No")</f>
        <v>No</v>
      </c>
      <c r="V97" s="5" t="str">
        <f ca="1">IFERROR(__xludf.DUMMYFUNCTION("""COMPUTED_VALUE"""),"No")</f>
        <v>No</v>
      </c>
      <c r="W97" s="5"/>
      <c r="X97" s="5"/>
      <c r="Y97" s="5"/>
      <c r="Z97" s="5" t="str">
        <f ca="1">IFERROR(__xludf.DUMMYFUNCTION("""COMPUTED_VALUE"""),"No")</f>
        <v>No</v>
      </c>
      <c r="AA97" s="5"/>
      <c r="AB97" s="5"/>
      <c r="AC97" s="5"/>
    </row>
    <row r="98" spans="1:29" x14ac:dyDescent="0.25">
      <c r="A98" s="5" t="str">
        <f ca="1">IFERROR(__xludf.DUMMYFUNCTION("""COMPUTED_VALUE"""),"WildCloverDice40")</f>
        <v>WildCloverDice40</v>
      </c>
      <c r="B9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8" s="5" t="str">
        <f ca="1">IFERROR(__xludf.DUMMYFUNCTION("""COMPUTED_VALUE"""),"Yes")</f>
        <v>Yes</v>
      </c>
      <c r="D98" s="5" t="str">
        <f ca="1">IFERROR(__xludf.DUMMYFUNCTION("""COMPUTED_VALUE"""),"Yes")</f>
        <v>Yes</v>
      </c>
      <c r="E98" s="5" t="str">
        <f ca="1">IFERROR(__xludf.DUMMYFUNCTION("""COMPUTED_VALUE"""),"No")</f>
        <v>No</v>
      </c>
      <c r="F98" s="5" t="str">
        <f ca="1">IFERROR(__xludf.DUMMYFUNCTION("""COMPUTED_VALUE"""),"Yes")</f>
        <v>Yes</v>
      </c>
      <c r="G98" s="5" t="str">
        <f ca="1">IFERROR(__xludf.DUMMYFUNCTION("""COMPUTED_VALUE"""),"Yes")</f>
        <v>Yes</v>
      </c>
      <c r="H98" s="5" t="str">
        <f ca="1">IFERROR(__xludf.DUMMYFUNCTION("""COMPUTED_VALUE"""),"Yes")</f>
        <v>Yes</v>
      </c>
      <c r="I98" s="5" t="str">
        <f ca="1">IFERROR(__xludf.DUMMYFUNCTION("""COMPUTED_VALUE"""),"Yes")</f>
        <v>Yes</v>
      </c>
      <c r="J98" s="5" t="str">
        <f ca="1">IFERROR(__xludf.DUMMYFUNCTION("""COMPUTED_VALUE"""),"Yes")</f>
        <v>Yes</v>
      </c>
      <c r="K98" s="5" t="str">
        <f ca="1">IFERROR(__xludf.DUMMYFUNCTION("""COMPUTED_VALUE"""),"Yes")</f>
        <v>Yes</v>
      </c>
      <c r="L98" s="5" t="str">
        <f ca="1">IFERROR(__xludf.DUMMYFUNCTION("""COMPUTED_VALUE"""),"Yes")</f>
        <v>Yes</v>
      </c>
      <c r="M98" s="5" t="str">
        <f ca="1">IFERROR(__xludf.DUMMYFUNCTION("""COMPUTED_VALUE"""),"Yes")</f>
        <v>Yes</v>
      </c>
      <c r="N98" s="5" t="str">
        <f ca="1">IFERROR(__xludf.DUMMYFUNCTION("""COMPUTED_VALUE"""),"Yes")</f>
        <v>Yes</v>
      </c>
      <c r="O98" s="5" t="str">
        <f ca="1">IFERROR(__xludf.DUMMYFUNCTION("""COMPUTED_VALUE"""),"Yes")</f>
        <v>Yes</v>
      </c>
      <c r="P98" s="5" t="str">
        <f ca="1">IFERROR(__xludf.DUMMYFUNCTION("""COMPUTED_VALUE"""),"Yes")</f>
        <v>Yes</v>
      </c>
      <c r="Q98" s="5" t="str">
        <f ca="1">IFERROR(__xludf.DUMMYFUNCTION("""COMPUTED_VALUE"""),"Yes")</f>
        <v>Yes</v>
      </c>
      <c r="R98" s="5" t="str">
        <f ca="1">IFERROR(__xludf.DUMMYFUNCTION("""COMPUTED_VALUE"""),"No")</f>
        <v>No</v>
      </c>
      <c r="S98" s="5" t="str">
        <f ca="1">IFERROR(__xludf.DUMMYFUNCTION("""COMPUTED_VALUE"""),"No")</f>
        <v>No</v>
      </c>
      <c r="T98" s="5" t="str">
        <f ca="1">IFERROR(__xludf.DUMMYFUNCTION("""COMPUTED_VALUE"""),"No")</f>
        <v>No</v>
      </c>
      <c r="U98" s="5" t="str">
        <f ca="1">IFERROR(__xludf.DUMMYFUNCTION("""COMPUTED_VALUE"""),"No")</f>
        <v>No</v>
      </c>
      <c r="V98" s="5" t="str">
        <f ca="1">IFERROR(__xludf.DUMMYFUNCTION("""COMPUTED_VALUE"""),"No")</f>
        <v>No</v>
      </c>
      <c r="W98" s="5" t="str">
        <f ca="1">IFERROR(__xludf.DUMMYFUNCTION("""COMPUTED_VALUE"""),"No")</f>
        <v>No</v>
      </c>
      <c r="X98" s="5" t="str">
        <f ca="1">IFERROR(__xludf.DUMMYFUNCTION("""COMPUTED_VALUE"""),"No")</f>
        <v>No</v>
      </c>
      <c r="Y98" s="5" t="str">
        <f ca="1">IFERROR(__xludf.DUMMYFUNCTION("""COMPUTED_VALUE"""),"No")</f>
        <v>No</v>
      </c>
      <c r="Z98" s="5" t="str">
        <f ca="1">IFERROR(__xludf.DUMMYFUNCTION("""COMPUTED_VALUE"""),"No")</f>
        <v>No</v>
      </c>
      <c r="AA98" s="5" t="str">
        <f ca="1">IFERROR(__xludf.DUMMYFUNCTION("""COMPUTED_VALUE"""),"No")</f>
        <v>No</v>
      </c>
      <c r="AB98" s="5" t="str">
        <f ca="1">IFERROR(__xludf.DUMMYFUNCTION("""COMPUTED_VALUE"""),"Yes")</f>
        <v>Yes</v>
      </c>
      <c r="AC98" s="5" t="str">
        <f ca="1">IFERROR(__xludf.DUMMYFUNCTION("""COMPUTED_VALUE"""),"No")</f>
        <v>No</v>
      </c>
    </row>
    <row r="99" spans="1:29" x14ac:dyDescent="0.25">
      <c r="A99" s="5" t="str">
        <f ca="1">IFERROR(__xludf.DUMMYFUNCTION("""COMPUTED_VALUE"""),"UnicornTwentyFruits")</f>
        <v>UnicornTwentyFruits</v>
      </c>
      <c r="B9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9" s="5" t="str">
        <f ca="1">IFERROR(__xludf.DUMMYFUNCTION("""COMPUTED_VALUE"""),"Yes")</f>
        <v>Yes</v>
      </c>
      <c r="D99" s="5" t="str">
        <f ca="1">IFERROR(__xludf.DUMMYFUNCTION("""COMPUTED_VALUE"""),"Yes")</f>
        <v>Yes</v>
      </c>
      <c r="E99" s="5" t="str">
        <f ca="1">IFERROR(__xludf.DUMMYFUNCTION("""COMPUTED_VALUE"""),"Yes")</f>
        <v>Yes</v>
      </c>
      <c r="F99" s="5" t="str">
        <f ca="1">IFERROR(__xludf.DUMMYFUNCTION("""COMPUTED_VALUE"""),"No")</f>
        <v>No</v>
      </c>
      <c r="G99" s="5" t="str">
        <f ca="1">IFERROR(__xludf.DUMMYFUNCTION("""COMPUTED_VALUE"""),"No")</f>
        <v>No</v>
      </c>
      <c r="H99" s="5" t="str">
        <f ca="1">IFERROR(__xludf.DUMMYFUNCTION("""COMPUTED_VALUE"""),"No")</f>
        <v>No</v>
      </c>
      <c r="I99" s="5" t="str">
        <f ca="1">IFERROR(__xludf.DUMMYFUNCTION("""COMPUTED_VALUE"""),"No")</f>
        <v>No</v>
      </c>
      <c r="J99" s="5" t="str">
        <f ca="1">IFERROR(__xludf.DUMMYFUNCTION("""COMPUTED_VALUE"""),"No")</f>
        <v>No</v>
      </c>
      <c r="K99" s="5" t="str">
        <f ca="1">IFERROR(__xludf.DUMMYFUNCTION("""COMPUTED_VALUE"""),"Yes")</f>
        <v>Yes</v>
      </c>
      <c r="L99" s="5" t="str">
        <f ca="1">IFERROR(__xludf.DUMMYFUNCTION("""COMPUTED_VALUE"""),"Yes")</f>
        <v>Yes</v>
      </c>
      <c r="M99" s="5" t="str">
        <f ca="1">IFERROR(__xludf.DUMMYFUNCTION("""COMPUTED_VALUE"""),"Yes")</f>
        <v>Yes</v>
      </c>
      <c r="N99" s="5" t="str">
        <f ca="1">IFERROR(__xludf.DUMMYFUNCTION("""COMPUTED_VALUE"""),"Yes")</f>
        <v>Yes</v>
      </c>
      <c r="O99" s="5" t="str">
        <f ca="1">IFERROR(__xludf.DUMMYFUNCTION("""COMPUTED_VALUE"""),"Yes")</f>
        <v>Yes</v>
      </c>
      <c r="P99" s="5" t="str">
        <f ca="1">IFERROR(__xludf.DUMMYFUNCTION("""COMPUTED_VALUE"""),"No")</f>
        <v>No</v>
      </c>
      <c r="Q99" s="5" t="str">
        <f ca="1">IFERROR(__xludf.DUMMYFUNCTION("""COMPUTED_VALUE"""),"Yes")</f>
        <v>Yes</v>
      </c>
      <c r="R99" s="5" t="str">
        <f ca="1">IFERROR(__xludf.DUMMYFUNCTION("""COMPUTED_VALUE"""),"No")</f>
        <v>No</v>
      </c>
      <c r="S99" s="5" t="str">
        <f ca="1">IFERROR(__xludf.DUMMYFUNCTION("""COMPUTED_VALUE"""),"No")</f>
        <v>No</v>
      </c>
      <c r="T99" s="5" t="str">
        <f ca="1">IFERROR(__xludf.DUMMYFUNCTION("""COMPUTED_VALUE"""),"No")</f>
        <v>No</v>
      </c>
      <c r="U99" s="5" t="str">
        <f ca="1">IFERROR(__xludf.DUMMYFUNCTION("""COMPUTED_VALUE"""),"No")</f>
        <v>No</v>
      </c>
      <c r="V99" s="5" t="str">
        <f ca="1">IFERROR(__xludf.DUMMYFUNCTION("""COMPUTED_VALUE"""),"No")</f>
        <v>No</v>
      </c>
      <c r="W99" s="5"/>
      <c r="X99" s="5"/>
      <c r="Y99" s="5"/>
      <c r="Z99" s="5" t="str">
        <f ca="1">IFERROR(__xludf.DUMMYFUNCTION("""COMPUTED_VALUE"""),"No")</f>
        <v>No</v>
      </c>
      <c r="AA99" s="5"/>
      <c r="AB99" s="5"/>
      <c r="AC99" s="5"/>
    </row>
    <row r="100" spans="1:29" x14ac:dyDescent="0.25">
      <c r="A100" s="5" t="str">
        <f ca="1">IFERROR(__xludf.DUMMYFUNCTION("""COMPUTED_VALUE"""),"UnicornTwentyDice")</f>
        <v>UnicornTwentyDice</v>
      </c>
      <c r="B10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00" s="5" t="str">
        <f ca="1">IFERROR(__xludf.DUMMYFUNCTION("""COMPUTED_VALUE"""),"Yes")</f>
        <v>Yes</v>
      </c>
      <c r="D100" s="5" t="str">
        <f ca="1">IFERROR(__xludf.DUMMYFUNCTION("""COMPUTED_VALUE"""),"Yes")</f>
        <v>Yes</v>
      </c>
      <c r="E100" s="5" t="str">
        <f ca="1">IFERROR(__xludf.DUMMYFUNCTION("""COMPUTED_VALUE"""),"Yes")</f>
        <v>Yes</v>
      </c>
      <c r="F100" s="5" t="str">
        <f ca="1">IFERROR(__xludf.DUMMYFUNCTION("""COMPUTED_VALUE"""),"No")</f>
        <v>No</v>
      </c>
      <c r="G100" s="5" t="str">
        <f ca="1">IFERROR(__xludf.DUMMYFUNCTION("""COMPUTED_VALUE"""),"No")</f>
        <v>No</v>
      </c>
      <c r="H100" s="5" t="str">
        <f ca="1">IFERROR(__xludf.DUMMYFUNCTION("""COMPUTED_VALUE"""),"No")</f>
        <v>No</v>
      </c>
      <c r="I100" s="5" t="str">
        <f ca="1">IFERROR(__xludf.DUMMYFUNCTION("""COMPUTED_VALUE"""),"No")</f>
        <v>No</v>
      </c>
      <c r="J100" s="5" t="str">
        <f ca="1">IFERROR(__xludf.DUMMYFUNCTION("""COMPUTED_VALUE"""),"No")</f>
        <v>No</v>
      </c>
      <c r="K100" s="5" t="str">
        <f ca="1">IFERROR(__xludf.DUMMYFUNCTION("""COMPUTED_VALUE"""),"Yes")</f>
        <v>Yes</v>
      </c>
      <c r="L100" s="5" t="str">
        <f ca="1">IFERROR(__xludf.DUMMYFUNCTION("""COMPUTED_VALUE"""),"Yes")</f>
        <v>Yes</v>
      </c>
      <c r="M100" s="5" t="str">
        <f ca="1">IFERROR(__xludf.DUMMYFUNCTION("""COMPUTED_VALUE"""),"Yes")</f>
        <v>Yes</v>
      </c>
      <c r="N100" s="5" t="str">
        <f ca="1">IFERROR(__xludf.DUMMYFUNCTION("""COMPUTED_VALUE"""),"Yes")</f>
        <v>Yes</v>
      </c>
      <c r="O100" s="5" t="str">
        <f ca="1">IFERROR(__xludf.DUMMYFUNCTION("""COMPUTED_VALUE"""),"Yes")</f>
        <v>Yes</v>
      </c>
      <c r="P100" s="5" t="str">
        <f ca="1">IFERROR(__xludf.DUMMYFUNCTION("""COMPUTED_VALUE"""),"No")</f>
        <v>No</v>
      </c>
      <c r="Q100" s="5" t="str">
        <f ca="1">IFERROR(__xludf.DUMMYFUNCTION("""COMPUTED_VALUE"""),"Yes")</f>
        <v>Yes</v>
      </c>
      <c r="R100" s="5" t="str">
        <f ca="1">IFERROR(__xludf.DUMMYFUNCTION("""COMPUTED_VALUE"""),"No")</f>
        <v>No</v>
      </c>
      <c r="S100" s="5" t="str">
        <f ca="1">IFERROR(__xludf.DUMMYFUNCTION("""COMPUTED_VALUE"""),"No")</f>
        <v>No</v>
      </c>
      <c r="T100" s="5" t="str">
        <f ca="1">IFERROR(__xludf.DUMMYFUNCTION("""COMPUTED_VALUE"""),"No")</f>
        <v>No</v>
      </c>
      <c r="U100" s="5" t="str">
        <f ca="1">IFERROR(__xludf.DUMMYFUNCTION("""COMPUTED_VALUE"""),"No")</f>
        <v>No</v>
      </c>
      <c r="V100" s="5" t="str">
        <f ca="1">IFERROR(__xludf.DUMMYFUNCTION("""COMPUTED_VALUE"""),"No")</f>
        <v>No</v>
      </c>
      <c r="W100" s="5"/>
      <c r="X100" s="5"/>
      <c r="Y100" s="5"/>
      <c r="Z100" s="5" t="str">
        <f ca="1">IFERROR(__xludf.DUMMYFUNCTION("""COMPUTED_VALUE"""),"No")</f>
        <v>No</v>
      </c>
      <c r="AA100" s="5"/>
      <c r="AB100" s="5"/>
      <c r="AC100" s="5"/>
    </row>
    <row r="101" spans="1:29" x14ac:dyDescent="0.25">
      <c r="A101" s="5" t="str">
        <f ca="1">IFERROR(__xludf.DUMMYFUNCTION("""COMPUTED_VALUE"""),"FireCloverDice5")</f>
        <v>FireCloverDice5</v>
      </c>
      <c r="B10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1" s="5" t="str">
        <f ca="1">IFERROR(__xludf.DUMMYFUNCTION("""COMPUTED_VALUE"""),"Yes")</f>
        <v>Yes</v>
      </c>
      <c r="D101" s="5" t="str">
        <f ca="1">IFERROR(__xludf.DUMMYFUNCTION("""COMPUTED_VALUE"""),"Yes")</f>
        <v>Yes</v>
      </c>
      <c r="E101" s="5" t="str">
        <f ca="1">IFERROR(__xludf.DUMMYFUNCTION("""COMPUTED_VALUE"""),"No")</f>
        <v>No</v>
      </c>
      <c r="F101" s="5" t="str">
        <f ca="1">IFERROR(__xludf.DUMMYFUNCTION("""COMPUTED_VALUE"""),"Yes")</f>
        <v>Yes</v>
      </c>
      <c r="G101" s="5" t="str">
        <f ca="1">IFERROR(__xludf.DUMMYFUNCTION("""COMPUTED_VALUE"""),"Yes")</f>
        <v>Yes</v>
      </c>
      <c r="H101" s="5" t="str">
        <f ca="1">IFERROR(__xludf.DUMMYFUNCTION("""COMPUTED_VALUE"""),"Yes")</f>
        <v>Yes</v>
      </c>
      <c r="I101" s="5" t="str">
        <f ca="1">IFERROR(__xludf.DUMMYFUNCTION("""COMPUTED_VALUE"""),"Yes")</f>
        <v>Yes</v>
      </c>
      <c r="J101" s="5" t="str">
        <f ca="1">IFERROR(__xludf.DUMMYFUNCTION("""COMPUTED_VALUE"""),"Yes")</f>
        <v>Yes</v>
      </c>
      <c r="K101" s="5" t="str">
        <f ca="1">IFERROR(__xludf.DUMMYFUNCTION("""COMPUTED_VALUE"""),"Yes")</f>
        <v>Yes</v>
      </c>
      <c r="L101" s="5" t="str">
        <f ca="1">IFERROR(__xludf.DUMMYFUNCTION("""COMPUTED_VALUE"""),"Yes")</f>
        <v>Yes</v>
      </c>
      <c r="M101" s="5" t="str">
        <f ca="1">IFERROR(__xludf.DUMMYFUNCTION("""COMPUTED_VALUE"""),"Yes")</f>
        <v>Yes</v>
      </c>
      <c r="N101" s="5" t="str">
        <f ca="1">IFERROR(__xludf.DUMMYFUNCTION("""COMPUTED_VALUE"""),"Yes")</f>
        <v>Yes</v>
      </c>
      <c r="O101" s="5" t="str">
        <f ca="1">IFERROR(__xludf.DUMMYFUNCTION("""COMPUTED_VALUE"""),"Yes")</f>
        <v>Yes</v>
      </c>
      <c r="P101" s="5" t="str">
        <f ca="1">IFERROR(__xludf.DUMMYFUNCTION("""COMPUTED_VALUE"""),"Yes")</f>
        <v>Yes</v>
      </c>
      <c r="Q101" s="5" t="str">
        <f ca="1">IFERROR(__xludf.DUMMYFUNCTION("""COMPUTED_VALUE"""),"Yes")</f>
        <v>Yes</v>
      </c>
      <c r="R101" s="5" t="str">
        <f ca="1">IFERROR(__xludf.DUMMYFUNCTION("""COMPUTED_VALUE"""),"No")</f>
        <v>No</v>
      </c>
      <c r="S101" s="5" t="str">
        <f ca="1">IFERROR(__xludf.DUMMYFUNCTION("""COMPUTED_VALUE"""),"No")</f>
        <v>No</v>
      </c>
      <c r="T101" s="5" t="str">
        <f ca="1">IFERROR(__xludf.DUMMYFUNCTION("""COMPUTED_VALUE"""),"No")</f>
        <v>No</v>
      </c>
      <c r="U101" s="5" t="str">
        <f ca="1">IFERROR(__xludf.DUMMYFUNCTION("""COMPUTED_VALUE"""),"No")</f>
        <v>No</v>
      </c>
      <c r="V101" s="5" t="str">
        <f ca="1">IFERROR(__xludf.DUMMYFUNCTION("""COMPUTED_VALUE"""),"No")</f>
        <v>No</v>
      </c>
      <c r="W101" s="5" t="str">
        <f ca="1">IFERROR(__xludf.DUMMYFUNCTION("""COMPUTED_VALUE"""),"No")</f>
        <v>No</v>
      </c>
      <c r="X101" s="5" t="str">
        <f ca="1">IFERROR(__xludf.DUMMYFUNCTION("""COMPUTED_VALUE"""),"No")</f>
        <v>No</v>
      </c>
      <c r="Y101" s="5" t="str">
        <f ca="1">IFERROR(__xludf.DUMMYFUNCTION("""COMPUTED_VALUE"""),"No")</f>
        <v>No</v>
      </c>
      <c r="Z101" s="5" t="str">
        <f ca="1">IFERROR(__xludf.DUMMYFUNCTION("""COMPUTED_VALUE"""),"No")</f>
        <v>No</v>
      </c>
      <c r="AA101" s="5" t="str">
        <f ca="1">IFERROR(__xludf.DUMMYFUNCTION("""COMPUTED_VALUE"""),"No")</f>
        <v>No</v>
      </c>
      <c r="AB101" s="5" t="str">
        <f ca="1">IFERROR(__xludf.DUMMYFUNCTION("""COMPUTED_VALUE"""),"Yes")</f>
        <v>Yes</v>
      </c>
      <c r="AC101" s="5" t="str">
        <f ca="1">IFERROR(__xludf.DUMMYFUNCTION("""COMPUTED_VALUE"""),"No")</f>
        <v>No</v>
      </c>
    </row>
    <row r="102" spans="1:29" x14ac:dyDescent="0.25">
      <c r="A102" s="5" t="str">
        <f ca="1">IFERROR(__xludf.DUMMYFUNCTION("""COMPUTED_VALUE"""),"WildKingdom")</f>
        <v>WildKingdom</v>
      </c>
      <c r="B1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2" s="5" t="str">
        <f ca="1">IFERROR(__xludf.DUMMYFUNCTION("""COMPUTED_VALUE"""),"Yes")</f>
        <v>Yes</v>
      </c>
      <c r="D102" s="5" t="str">
        <f ca="1">IFERROR(__xludf.DUMMYFUNCTION("""COMPUTED_VALUE"""),"Yes")</f>
        <v>Yes</v>
      </c>
      <c r="E102" s="5" t="str">
        <f ca="1">IFERROR(__xludf.DUMMYFUNCTION("""COMPUTED_VALUE"""),"Yes")</f>
        <v>Yes</v>
      </c>
      <c r="F102" s="5" t="str">
        <f ca="1">IFERROR(__xludf.DUMMYFUNCTION("""COMPUTED_VALUE"""),"Yes")</f>
        <v>Yes</v>
      </c>
      <c r="G102" s="5" t="str">
        <f ca="1">IFERROR(__xludf.DUMMYFUNCTION("""COMPUTED_VALUE"""),"Yes")</f>
        <v>Yes</v>
      </c>
      <c r="H102" s="5" t="str">
        <f ca="1">IFERROR(__xludf.DUMMYFUNCTION("""COMPUTED_VALUE"""),"Yes")</f>
        <v>Yes</v>
      </c>
      <c r="I102" s="5" t="str">
        <f ca="1">IFERROR(__xludf.DUMMYFUNCTION("""COMPUTED_VALUE"""),"Yes")</f>
        <v>Yes</v>
      </c>
      <c r="J102" s="5" t="str">
        <f ca="1">IFERROR(__xludf.DUMMYFUNCTION("""COMPUTED_VALUE"""),"Yes")</f>
        <v>Yes</v>
      </c>
      <c r="K102" s="5" t="str">
        <f ca="1">IFERROR(__xludf.DUMMYFUNCTION("""COMPUTED_VALUE"""),"Yes")</f>
        <v>Yes</v>
      </c>
      <c r="L102" s="5" t="str">
        <f ca="1">IFERROR(__xludf.DUMMYFUNCTION("""COMPUTED_VALUE"""),"Yes")</f>
        <v>Yes</v>
      </c>
      <c r="M102" s="5" t="str">
        <f ca="1">IFERROR(__xludf.DUMMYFUNCTION("""COMPUTED_VALUE"""),"Yes")</f>
        <v>Yes</v>
      </c>
      <c r="N102" s="5" t="str">
        <f ca="1">IFERROR(__xludf.DUMMYFUNCTION("""COMPUTED_VALUE"""),"Yes")</f>
        <v>Yes</v>
      </c>
      <c r="O102" s="5" t="str">
        <f ca="1">IFERROR(__xludf.DUMMYFUNCTION("""COMPUTED_VALUE"""),"Yes")</f>
        <v>Yes</v>
      </c>
      <c r="P102" s="5" t="str">
        <f ca="1">IFERROR(__xludf.DUMMYFUNCTION("""COMPUTED_VALUE"""),"Yes")</f>
        <v>Yes</v>
      </c>
      <c r="Q102" s="5" t="str">
        <f ca="1">IFERROR(__xludf.DUMMYFUNCTION("""COMPUTED_VALUE"""),"Yes")</f>
        <v>Yes</v>
      </c>
      <c r="R102" s="5" t="str">
        <f ca="1">IFERROR(__xludf.DUMMYFUNCTION("""COMPUTED_VALUE"""),"Yes")</f>
        <v>Yes</v>
      </c>
      <c r="S102" s="5" t="str">
        <f ca="1">IFERROR(__xludf.DUMMYFUNCTION("""COMPUTED_VALUE"""),"Yes")</f>
        <v>Yes</v>
      </c>
      <c r="T102" s="5" t="str">
        <f ca="1">IFERROR(__xludf.DUMMYFUNCTION("""COMPUTED_VALUE"""),"Yes")</f>
        <v>Yes</v>
      </c>
      <c r="U102" s="5" t="str">
        <f ca="1">IFERROR(__xludf.DUMMYFUNCTION("""COMPUTED_VALUE"""),"Yes")</f>
        <v>Yes</v>
      </c>
      <c r="V102" s="5" t="str">
        <f ca="1">IFERROR(__xludf.DUMMYFUNCTION("""COMPUTED_VALUE"""),"Yes")</f>
        <v>Yes</v>
      </c>
      <c r="W102" s="5" t="str">
        <f ca="1">IFERROR(__xludf.DUMMYFUNCTION("""COMPUTED_VALUE"""),"Yes")</f>
        <v>Yes</v>
      </c>
      <c r="X102" s="5" t="str">
        <f ca="1">IFERROR(__xludf.DUMMYFUNCTION("""COMPUTED_VALUE"""),"Yes")</f>
        <v>Yes</v>
      </c>
      <c r="Y102" s="5" t="str">
        <f ca="1">IFERROR(__xludf.DUMMYFUNCTION("""COMPUTED_VALUE"""),"Yes")</f>
        <v>Yes</v>
      </c>
      <c r="Z102" s="5" t="str">
        <f ca="1">IFERROR(__xludf.DUMMYFUNCTION("""COMPUTED_VALUE"""),"Yes")</f>
        <v>Yes</v>
      </c>
      <c r="AA102" s="5" t="str">
        <f ca="1">IFERROR(__xludf.DUMMYFUNCTION("""COMPUTED_VALUE"""),"Yes")</f>
        <v>Yes</v>
      </c>
      <c r="AB102" s="5" t="str">
        <f ca="1">IFERROR(__xludf.DUMMYFUNCTION("""COMPUTED_VALUE"""),"Yes")</f>
        <v>Yes</v>
      </c>
      <c r="AC102" s="5" t="str">
        <f ca="1">IFERROR(__xludf.DUMMYFUNCTION("""COMPUTED_VALUE"""),"No")</f>
        <v>No</v>
      </c>
    </row>
    <row r="103" spans="1:29" x14ac:dyDescent="0.25">
      <c r="A103" s="5" t="str">
        <f ca="1">IFERROR(__xludf.DUMMYFUNCTION("""COMPUTED_VALUE"""),"BookOfLuxorDouble")</f>
        <v>BookOfLuxorDouble</v>
      </c>
      <c r="B1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3" s="5" t="str">
        <f ca="1">IFERROR(__xludf.DUMMYFUNCTION("""COMPUTED_VALUE"""),"Yes")</f>
        <v>Yes</v>
      </c>
      <c r="D103" s="5" t="str">
        <f ca="1">IFERROR(__xludf.DUMMYFUNCTION("""COMPUTED_VALUE"""),"Yes")</f>
        <v>Yes</v>
      </c>
      <c r="E103" s="5" t="str">
        <f ca="1">IFERROR(__xludf.DUMMYFUNCTION("""COMPUTED_VALUE"""),"Yes")</f>
        <v>Yes</v>
      </c>
      <c r="F103" s="5" t="str">
        <f ca="1">IFERROR(__xludf.DUMMYFUNCTION("""COMPUTED_VALUE"""),"Yes")</f>
        <v>Yes</v>
      </c>
      <c r="G103" s="5" t="str">
        <f ca="1">IFERROR(__xludf.DUMMYFUNCTION("""COMPUTED_VALUE"""),"Yes")</f>
        <v>Yes</v>
      </c>
      <c r="H103" s="5" t="str">
        <f ca="1">IFERROR(__xludf.DUMMYFUNCTION("""COMPUTED_VALUE"""),"Yes")</f>
        <v>Yes</v>
      </c>
      <c r="I103" s="5" t="str">
        <f ca="1">IFERROR(__xludf.DUMMYFUNCTION("""COMPUTED_VALUE"""),"Yes")</f>
        <v>Yes</v>
      </c>
      <c r="J103" s="5" t="str">
        <f ca="1">IFERROR(__xludf.DUMMYFUNCTION("""COMPUTED_VALUE"""),"Yes")</f>
        <v>Yes</v>
      </c>
      <c r="K103" s="5" t="str">
        <f ca="1">IFERROR(__xludf.DUMMYFUNCTION("""COMPUTED_VALUE"""),"Yes")</f>
        <v>Yes</v>
      </c>
      <c r="L103" s="5" t="str">
        <f ca="1">IFERROR(__xludf.DUMMYFUNCTION("""COMPUTED_VALUE"""),"Yes")</f>
        <v>Yes</v>
      </c>
      <c r="M103" s="5" t="str">
        <f ca="1">IFERROR(__xludf.DUMMYFUNCTION("""COMPUTED_VALUE"""),"Yes")</f>
        <v>Yes</v>
      </c>
      <c r="N103" s="5" t="str">
        <f ca="1">IFERROR(__xludf.DUMMYFUNCTION("""COMPUTED_VALUE"""),"Yes")</f>
        <v>Yes</v>
      </c>
      <c r="O103" s="5" t="str">
        <f ca="1">IFERROR(__xludf.DUMMYFUNCTION("""COMPUTED_VALUE"""),"Yes")</f>
        <v>Yes</v>
      </c>
      <c r="P103" s="5" t="str">
        <f ca="1">IFERROR(__xludf.DUMMYFUNCTION("""COMPUTED_VALUE"""),"Yes")</f>
        <v>Yes</v>
      </c>
      <c r="Q103" s="5" t="str">
        <f ca="1">IFERROR(__xludf.DUMMYFUNCTION("""COMPUTED_VALUE"""),"Yes")</f>
        <v>Yes</v>
      </c>
      <c r="R103" s="5" t="str">
        <f ca="1">IFERROR(__xludf.DUMMYFUNCTION("""COMPUTED_VALUE"""),"Yes")</f>
        <v>Yes</v>
      </c>
      <c r="S103" s="5" t="str">
        <f ca="1">IFERROR(__xludf.DUMMYFUNCTION("""COMPUTED_VALUE"""),"Yes")</f>
        <v>Yes</v>
      </c>
      <c r="T103" s="5" t="str">
        <f ca="1">IFERROR(__xludf.DUMMYFUNCTION("""COMPUTED_VALUE"""),"Yes")</f>
        <v>Yes</v>
      </c>
      <c r="U103" s="5" t="str">
        <f ca="1">IFERROR(__xludf.DUMMYFUNCTION("""COMPUTED_VALUE"""),"Yes")</f>
        <v>Yes</v>
      </c>
      <c r="V103" s="5" t="str">
        <f ca="1">IFERROR(__xludf.DUMMYFUNCTION("""COMPUTED_VALUE"""),"Yes")</f>
        <v>Yes</v>
      </c>
      <c r="W103" s="5" t="str">
        <f ca="1">IFERROR(__xludf.DUMMYFUNCTION("""COMPUTED_VALUE"""),"Yes")</f>
        <v>Yes</v>
      </c>
      <c r="X103" s="5" t="str">
        <f ca="1">IFERROR(__xludf.DUMMYFUNCTION("""COMPUTED_VALUE"""),"Yes")</f>
        <v>Yes</v>
      </c>
      <c r="Y103" s="5" t="str">
        <f ca="1">IFERROR(__xludf.DUMMYFUNCTION("""COMPUTED_VALUE"""),"Yes")</f>
        <v>Yes</v>
      </c>
      <c r="Z103" s="5" t="str">
        <f ca="1">IFERROR(__xludf.DUMMYFUNCTION("""COMPUTED_VALUE"""),"Yes")</f>
        <v>Yes</v>
      </c>
      <c r="AA103" s="5" t="str">
        <f ca="1">IFERROR(__xludf.DUMMYFUNCTION("""COMPUTED_VALUE"""),"Yes")</f>
        <v>Yes</v>
      </c>
      <c r="AB103" s="5" t="str">
        <f ca="1">IFERROR(__xludf.DUMMYFUNCTION("""COMPUTED_VALUE"""),"Yes")</f>
        <v>Yes</v>
      </c>
      <c r="AC103" s="5" t="str">
        <f ca="1">IFERROR(__xludf.DUMMYFUNCTION("""COMPUTED_VALUE"""),"No")</f>
        <v>No</v>
      </c>
    </row>
    <row r="104" spans="1:29" x14ac:dyDescent="0.25">
      <c r="A104" s="5" t="str">
        <f ca="1">IFERROR(__xludf.DUMMYFUNCTION("""COMPUTED_VALUE"""),"MegaCubesDeluxe")</f>
        <v>MegaCubesDeluxe</v>
      </c>
      <c r="B1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4" s="5" t="str">
        <f ca="1">IFERROR(__xludf.DUMMYFUNCTION("""COMPUTED_VALUE"""),"Yes")</f>
        <v>Yes</v>
      </c>
      <c r="D104" s="5" t="str">
        <f ca="1">IFERROR(__xludf.DUMMYFUNCTION("""COMPUTED_VALUE"""),"Yes")</f>
        <v>Yes</v>
      </c>
      <c r="E104" s="5" t="str">
        <f ca="1">IFERROR(__xludf.DUMMYFUNCTION("""COMPUTED_VALUE"""),"Yes")</f>
        <v>Yes</v>
      </c>
      <c r="F104" s="5" t="str">
        <f ca="1">IFERROR(__xludf.DUMMYFUNCTION("""COMPUTED_VALUE"""),"Yes")</f>
        <v>Yes</v>
      </c>
      <c r="G104" s="5" t="str">
        <f ca="1">IFERROR(__xludf.DUMMYFUNCTION("""COMPUTED_VALUE"""),"Yes")</f>
        <v>Yes</v>
      </c>
      <c r="H104" s="5" t="str">
        <f ca="1">IFERROR(__xludf.DUMMYFUNCTION("""COMPUTED_VALUE"""),"Yes")</f>
        <v>Yes</v>
      </c>
      <c r="I104" s="5" t="str">
        <f ca="1">IFERROR(__xludf.DUMMYFUNCTION("""COMPUTED_VALUE"""),"Yes")</f>
        <v>Yes</v>
      </c>
      <c r="J104" s="5" t="str">
        <f ca="1">IFERROR(__xludf.DUMMYFUNCTION("""COMPUTED_VALUE"""),"Yes")</f>
        <v>Yes</v>
      </c>
      <c r="K104" s="5" t="str">
        <f ca="1">IFERROR(__xludf.DUMMYFUNCTION("""COMPUTED_VALUE"""),"Yes")</f>
        <v>Yes</v>
      </c>
      <c r="L104" s="5" t="str">
        <f ca="1">IFERROR(__xludf.DUMMYFUNCTION("""COMPUTED_VALUE"""),"Yes")</f>
        <v>Yes</v>
      </c>
      <c r="M104" s="5" t="str">
        <f ca="1">IFERROR(__xludf.DUMMYFUNCTION("""COMPUTED_VALUE"""),"Yes")</f>
        <v>Yes</v>
      </c>
      <c r="N104" s="5" t="str">
        <f ca="1">IFERROR(__xludf.DUMMYFUNCTION("""COMPUTED_VALUE"""),"Yes")</f>
        <v>Yes</v>
      </c>
      <c r="O104" s="5" t="str">
        <f ca="1">IFERROR(__xludf.DUMMYFUNCTION("""COMPUTED_VALUE"""),"Yes")</f>
        <v>Yes</v>
      </c>
      <c r="P104" s="5" t="str">
        <f ca="1">IFERROR(__xludf.DUMMYFUNCTION("""COMPUTED_VALUE"""),"Yes")</f>
        <v>Yes</v>
      </c>
      <c r="Q104" s="5" t="str">
        <f ca="1">IFERROR(__xludf.DUMMYFUNCTION("""COMPUTED_VALUE"""),"Yes")</f>
        <v>Yes</v>
      </c>
      <c r="R104" s="5" t="str">
        <f ca="1">IFERROR(__xludf.DUMMYFUNCTION("""COMPUTED_VALUE"""),"Yes")</f>
        <v>Yes</v>
      </c>
      <c r="S104" s="5" t="str">
        <f ca="1">IFERROR(__xludf.DUMMYFUNCTION("""COMPUTED_VALUE"""),"Yes")</f>
        <v>Yes</v>
      </c>
      <c r="T104" s="5" t="str">
        <f ca="1">IFERROR(__xludf.DUMMYFUNCTION("""COMPUTED_VALUE"""),"Yes")</f>
        <v>Yes</v>
      </c>
      <c r="U104" s="5" t="str">
        <f ca="1">IFERROR(__xludf.DUMMYFUNCTION("""COMPUTED_VALUE"""),"Yes")</f>
        <v>Yes</v>
      </c>
      <c r="V104" s="5" t="str">
        <f ca="1">IFERROR(__xludf.DUMMYFUNCTION("""COMPUTED_VALUE"""),"Yes")</f>
        <v>Yes</v>
      </c>
      <c r="W104" s="5" t="str">
        <f ca="1">IFERROR(__xludf.DUMMYFUNCTION("""COMPUTED_VALUE"""),"Yes")</f>
        <v>Yes</v>
      </c>
      <c r="X104" s="5" t="str">
        <f ca="1">IFERROR(__xludf.DUMMYFUNCTION("""COMPUTED_VALUE"""),"Yes")</f>
        <v>Yes</v>
      </c>
      <c r="Y104" s="5" t="str">
        <f ca="1">IFERROR(__xludf.DUMMYFUNCTION("""COMPUTED_VALUE"""),"Yes")</f>
        <v>Yes</v>
      </c>
      <c r="Z104" s="5" t="str">
        <f ca="1">IFERROR(__xludf.DUMMYFUNCTION("""COMPUTED_VALUE"""),"Yes")</f>
        <v>Yes</v>
      </c>
      <c r="AA104" s="5" t="str">
        <f ca="1">IFERROR(__xludf.DUMMYFUNCTION("""COMPUTED_VALUE"""),"Yes")</f>
        <v>Yes</v>
      </c>
      <c r="AB104" s="5" t="str">
        <f ca="1">IFERROR(__xludf.DUMMYFUNCTION("""COMPUTED_VALUE"""),"Yes")</f>
        <v>Yes</v>
      </c>
      <c r="AC104" s="5" t="str">
        <f ca="1">IFERROR(__xludf.DUMMYFUNCTION("""COMPUTED_VALUE"""),"No")</f>
        <v>No</v>
      </c>
    </row>
    <row r="105" spans="1:29" x14ac:dyDescent="0.25">
      <c r="A105" s="5" t="str">
        <f ca="1">IFERROR(__xludf.DUMMYFUNCTION("""COMPUTED_VALUE"""),"LollasWorld")</f>
        <v>LollasWorld</v>
      </c>
      <c r="B1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5" s="5" t="str">
        <f ca="1">IFERROR(__xludf.DUMMYFUNCTION("""COMPUTED_VALUE"""),"Yes")</f>
        <v>Yes</v>
      </c>
      <c r="D105" s="5" t="str">
        <f ca="1">IFERROR(__xludf.DUMMYFUNCTION("""COMPUTED_VALUE"""),"Yes")</f>
        <v>Yes</v>
      </c>
      <c r="E105" s="5" t="str">
        <f ca="1">IFERROR(__xludf.DUMMYFUNCTION("""COMPUTED_VALUE"""),"Yes")</f>
        <v>Yes</v>
      </c>
      <c r="F105" s="5" t="str">
        <f ca="1">IFERROR(__xludf.DUMMYFUNCTION("""COMPUTED_VALUE"""),"Yes")</f>
        <v>Yes</v>
      </c>
      <c r="G105" s="5" t="str">
        <f ca="1">IFERROR(__xludf.DUMMYFUNCTION("""COMPUTED_VALUE"""),"Yes")</f>
        <v>Yes</v>
      </c>
      <c r="H105" s="5" t="str">
        <f ca="1">IFERROR(__xludf.DUMMYFUNCTION("""COMPUTED_VALUE"""),"Yes")</f>
        <v>Yes</v>
      </c>
      <c r="I105" s="5" t="str">
        <f ca="1">IFERROR(__xludf.DUMMYFUNCTION("""COMPUTED_VALUE"""),"Yes")</f>
        <v>Yes</v>
      </c>
      <c r="J105" s="5" t="str">
        <f ca="1">IFERROR(__xludf.DUMMYFUNCTION("""COMPUTED_VALUE"""),"Yes")</f>
        <v>Yes</v>
      </c>
      <c r="K105" s="5" t="str">
        <f ca="1">IFERROR(__xludf.DUMMYFUNCTION("""COMPUTED_VALUE"""),"Yes")</f>
        <v>Yes</v>
      </c>
      <c r="L105" s="5" t="str">
        <f ca="1">IFERROR(__xludf.DUMMYFUNCTION("""COMPUTED_VALUE"""),"Yes")</f>
        <v>Yes</v>
      </c>
      <c r="M105" s="5" t="str">
        <f ca="1">IFERROR(__xludf.DUMMYFUNCTION("""COMPUTED_VALUE"""),"Yes")</f>
        <v>Yes</v>
      </c>
      <c r="N105" s="5" t="str">
        <f ca="1">IFERROR(__xludf.DUMMYFUNCTION("""COMPUTED_VALUE"""),"Yes")</f>
        <v>Yes</v>
      </c>
      <c r="O105" s="5" t="str">
        <f ca="1">IFERROR(__xludf.DUMMYFUNCTION("""COMPUTED_VALUE"""),"Yes")</f>
        <v>Yes</v>
      </c>
      <c r="P105" s="5" t="str">
        <f ca="1">IFERROR(__xludf.DUMMYFUNCTION("""COMPUTED_VALUE"""),"Yes")</f>
        <v>Yes</v>
      </c>
      <c r="Q105" s="5" t="str">
        <f ca="1">IFERROR(__xludf.DUMMYFUNCTION("""COMPUTED_VALUE"""),"Yes")</f>
        <v>Yes</v>
      </c>
      <c r="R105" s="5" t="str">
        <f ca="1">IFERROR(__xludf.DUMMYFUNCTION("""COMPUTED_VALUE"""),"Yes")</f>
        <v>Yes</v>
      </c>
      <c r="S105" s="5" t="str">
        <f ca="1">IFERROR(__xludf.DUMMYFUNCTION("""COMPUTED_VALUE"""),"Yes")</f>
        <v>Yes</v>
      </c>
      <c r="T105" s="5" t="str">
        <f ca="1">IFERROR(__xludf.DUMMYFUNCTION("""COMPUTED_VALUE"""),"Yes")</f>
        <v>Yes</v>
      </c>
      <c r="U105" s="5" t="str">
        <f ca="1">IFERROR(__xludf.DUMMYFUNCTION("""COMPUTED_VALUE"""),"Yes")</f>
        <v>Yes</v>
      </c>
      <c r="V105" s="5" t="str">
        <f ca="1">IFERROR(__xludf.DUMMYFUNCTION("""COMPUTED_VALUE"""),"Yes")</f>
        <v>Yes</v>
      </c>
      <c r="W105" s="5" t="str">
        <f ca="1">IFERROR(__xludf.DUMMYFUNCTION("""COMPUTED_VALUE"""),"Yes")</f>
        <v>Yes</v>
      </c>
      <c r="X105" s="5" t="str">
        <f ca="1">IFERROR(__xludf.DUMMYFUNCTION("""COMPUTED_VALUE"""),"Yes")</f>
        <v>Yes</v>
      </c>
      <c r="Y105" s="5" t="str">
        <f ca="1">IFERROR(__xludf.DUMMYFUNCTION("""COMPUTED_VALUE"""),"Yes")</f>
        <v>Yes</v>
      </c>
      <c r="Z105" s="5" t="str">
        <f ca="1">IFERROR(__xludf.DUMMYFUNCTION("""COMPUTED_VALUE"""),"Yes")</f>
        <v>Yes</v>
      </c>
      <c r="AA105" s="5" t="str">
        <f ca="1">IFERROR(__xludf.DUMMYFUNCTION("""COMPUTED_VALUE"""),"Yes")</f>
        <v>Yes</v>
      </c>
      <c r="AB105" s="5" t="str">
        <f ca="1">IFERROR(__xludf.DUMMYFUNCTION("""COMPUTED_VALUE"""),"Yes")</f>
        <v>Yes</v>
      </c>
      <c r="AC105" s="5" t="str">
        <f ca="1">IFERROR(__xludf.DUMMYFUNCTION("""COMPUTED_VALUE"""),"No")</f>
        <v>No</v>
      </c>
    </row>
    <row r="106" spans="1:29" x14ac:dyDescent="0.25">
      <c r="A106" s="5" t="str">
        <f ca="1">IFERROR(__xludf.DUMMYFUNCTION("""COMPUTED_VALUE"""),"FireClover40")</f>
        <v>FireClover40</v>
      </c>
      <c r="B10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6" s="5" t="str">
        <f ca="1">IFERROR(__xludf.DUMMYFUNCTION("""COMPUTED_VALUE"""),"Yes")</f>
        <v>Yes</v>
      </c>
      <c r="D106" s="5" t="str">
        <f ca="1">IFERROR(__xludf.DUMMYFUNCTION("""COMPUTED_VALUE"""),"Yes")</f>
        <v>Yes</v>
      </c>
      <c r="E106" s="5" t="str">
        <f ca="1">IFERROR(__xludf.DUMMYFUNCTION("""COMPUTED_VALUE"""),"No")</f>
        <v>No</v>
      </c>
      <c r="F106" s="5" t="str">
        <f ca="1">IFERROR(__xludf.DUMMYFUNCTION("""COMPUTED_VALUE"""),"Yes")</f>
        <v>Yes</v>
      </c>
      <c r="G106" s="5" t="str">
        <f ca="1">IFERROR(__xludf.DUMMYFUNCTION("""COMPUTED_VALUE"""),"Yes")</f>
        <v>Yes</v>
      </c>
      <c r="H106" s="5" t="str">
        <f ca="1">IFERROR(__xludf.DUMMYFUNCTION("""COMPUTED_VALUE"""),"Yes")</f>
        <v>Yes</v>
      </c>
      <c r="I106" s="5" t="str">
        <f ca="1">IFERROR(__xludf.DUMMYFUNCTION("""COMPUTED_VALUE"""),"Yes")</f>
        <v>Yes</v>
      </c>
      <c r="J106" s="5" t="str">
        <f ca="1">IFERROR(__xludf.DUMMYFUNCTION("""COMPUTED_VALUE"""),"Yes")</f>
        <v>Yes</v>
      </c>
      <c r="K106" s="5" t="str">
        <f ca="1">IFERROR(__xludf.DUMMYFUNCTION("""COMPUTED_VALUE"""),"Yes")</f>
        <v>Yes</v>
      </c>
      <c r="L106" s="5" t="str">
        <f ca="1">IFERROR(__xludf.DUMMYFUNCTION("""COMPUTED_VALUE"""),"Yes")</f>
        <v>Yes</v>
      </c>
      <c r="M106" s="5" t="str">
        <f ca="1">IFERROR(__xludf.DUMMYFUNCTION("""COMPUTED_VALUE"""),"Yes")</f>
        <v>Yes</v>
      </c>
      <c r="N106" s="5" t="str">
        <f ca="1">IFERROR(__xludf.DUMMYFUNCTION("""COMPUTED_VALUE"""),"Yes")</f>
        <v>Yes</v>
      </c>
      <c r="O106" s="5" t="str">
        <f ca="1">IFERROR(__xludf.DUMMYFUNCTION("""COMPUTED_VALUE"""),"Yes")</f>
        <v>Yes</v>
      </c>
      <c r="P106" s="5" t="str">
        <f ca="1">IFERROR(__xludf.DUMMYFUNCTION("""COMPUTED_VALUE"""),"Yes")</f>
        <v>Yes</v>
      </c>
      <c r="Q106" s="5" t="str">
        <f ca="1">IFERROR(__xludf.DUMMYFUNCTION("""COMPUTED_VALUE"""),"Yes")</f>
        <v>Yes</v>
      </c>
      <c r="R106" s="5" t="str">
        <f ca="1">IFERROR(__xludf.DUMMYFUNCTION("""COMPUTED_VALUE"""),"No")</f>
        <v>No</v>
      </c>
      <c r="S106" s="5" t="str">
        <f ca="1">IFERROR(__xludf.DUMMYFUNCTION("""COMPUTED_VALUE"""),"No")</f>
        <v>No</v>
      </c>
      <c r="T106" s="5" t="str">
        <f ca="1">IFERROR(__xludf.DUMMYFUNCTION("""COMPUTED_VALUE"""),"No")</f>
        <v>No</v>
      </c>
      <c r="U106" s="5" t="str">
        <f ca="1">IFERROR(__xludf.DUMMYFUNCTION("""COMPUTED_VALUE"""),"No")</f>
        <v>No</v>
      </c>
      <c r="V106" s="5" t="str">
        <f ca="1">IFERROR(__xludf.DUMMYFUNCTION("""COMPUTED_VALUE"""),"No")</f>
        <v>No</v>
      </c>
      <c r="W106" s="5" t="str">
        <f ca="1">IFERROR(__xludf.DUMMYFUNCTION("""COMPUTED_VALUE"""),"No")</f>
        <v>No</v>
      </c>
      <c r="X106" s="5" t="str">
        <f ca="1">IFERROR(__xludf.DUMMYFUNCTION("""COMPUTED_VALUE"""),"No")</f>
        <v>No</v>
      </c>
      <c r="Y106" s="5" t="str">
        <f ca="1">IFERROR(__xludf.DUMMYFUNCTION("""COMPUTED_VALUE"""),"No")</f>
        <v>No</v>
      </c>
      <c r="Z106" s="5" t="str">
        <f ca="1">IFERROR(__xludf.DUMMYFUNCTION("""COMPUTED_VALUE"""),"No")</f>
        <v>No</v>
      </c>
      <c r="AA106" s="5" t="str">
        <f ca="1">IFERROR(__xludf.DUMMYFUNCTION("""COMPUTED_VALUE"""),"No")</f>
        <v>No</v>
      </c>
      <c r="AB106" s="5" t="str">
        <f ca="1">IFERROR(__xludf.DUMMYFUNCTION("""COMPUTED_VALUE"""),"Yes")</f>
        <v>Yes</v>
      </c>
      <c r="AC106" s="5" t="str">
        <f ca="1">IFERROR(__xludf.DUMMYFUNCTION("""COMPUTED_VALUE"""),"No")</f>
        <v>No</v>
      </c>
    </row>
    <row r="107" spans="1:29" x14ac:dyDescent="0.25">
      <c r="A107" s="5" t="str">
        <f ca="1">IFERROR(__xludf.DUMMYFUNCTION("""COMPUTED_VALUE"""),"VeryHot5")</f>
        <v>VeryHot5</v>
      </c>
      <c r="B1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7" s="5" t="str">
        <f ca="1">IFERROR(__xludf.DUMMYFUNCTION("""COMPUTED_VALUE"""),"Yes")</f>
        <v>Yes</v>
      </c>
      <c r="D107" s="5" t="str">
        <f ca="1">IFERROR(__xludf.DUMMYFUNCTION("""COMPUTED_VALUE"""),"Yes")</f>
        <v>Yes</v>
      </c>
      <c r="E107" s="5" t="str">
        <f ca="1">IFERROR(__xludf.DUMMYFUNCTION("""COMPUTED_VALUE"""),"Yes")</f>
        <v>Yes</v>
      </c>
      <c r="F107" s="5" t="str">
        <f ca="1">IFERROR(__xludf.DUMMYFUNCTION("""COMPUTED_VALUE"""),"Yes")</f>
        <v>Yes</v>
      </c>
      <c r="G107" s="5" t="str">
        <f ca="1">IFERROR(__xludf.DUMMYFUNCTION("""COMPUTED_VALUE"""),"Yes")</f>
        <v>Yes</v>
      </c>
      <c r="H107" s="5" t="str">
        <f ca="1">IFERROR(__xludf.DUMMYFUNCTION("""COMPUTED_VALUE"""),"Yes")</f>
        <v>Yes</v>
      </c>
      <c r="I107" s="5" t="str">
        <f ca="1">IFERROR(__xludf.DUMMYFUNCTION("""COMPUTED_VALUE"""),"Yes")</f>
        <v>Yes</v>
      </c>
      <c r="J107" s="5" t="str">
        <f ca="1">IFERROR(__xludf.DUMMYFUNCTION("""COMPUTED_VALUE"""),"Yes")</f>
        <v>Yes</v>
      </c>
      <c r="K107" s="5" t="str">
        <f ca="1">IFERROR(__xludf.DUMMYFUNCTION("""COMPUTED_VALUE"""),"Yes")</f>
        <v>Yes</v>
      </c>
      <c r="L107" s="5" t="str">
        <f ca="1">IFERROR(__xludf.DUMMYFUNCTION("""COMPUTED_VALUE"""),"Yes")</f>
        <v>Yes</v>
      </c>
      <c r="M107" s="5" t="str">
        <f ca="1">IFERROR(__xludf.DUMMYFUNCTION("""COMPUTED_VALUE"""),"Yes")</f>
        <v>Yes</v>
      </c>
      <c r="N107" s="5" t="str">
        <f ca="1">IFERROR(__xludf.DUMMYFUNCTION("""COMPUTED_VALUE"""),"Yes")</f>
        <v>Yes</v>
      </c>
      <c r="O107" s="5" t="str">
        <f ca="1">IFERROR(__xludf.DUMMYFUNCTION("""COMPUTED_VALUE"""),"Yes")</f>
        <v>Yes</v>
      </c>
      <c r="P107" s="5" t="str">
        <f ca="1">IFERROR(__xludf.DUMMYFUNCTION("""COMPUTED_VALUE"""),"Yes")</f>
        <v>Yes</v>
      </c>
      <c r="Q107" s="5" t="str">
        <f ca="1">IFERROR(__xludf.DUMMYFUNCTION("""COMPUTED_VALUE"""),"Yes")</f>
        <v>Yes</v>
      </c>
      <c r="R107" s="5" t="str">
        <f ca="1">IFERROR(__xludf.DUMMYFUNCTION("""COMPUTED_VALUE"""),"Yes")</f>
        <v>Yes</v>
      </c>
      <c r="S107" s="5" t="str">
        <f ca="1">IFERROR(__xludf.DUMMYFUNCTION("""COMPUTED_VALUE"""),"Yes")</f>
        <v>Yes</v>
      </c>
      <c r="T107" s="5" t="str">
        <f ca="1">IFERROR(__xludf.DUMMYFUNCTION("""COMPUTED_VALUE"""),"Yes")</f>
        <v>Yes</v>
      </c>
      <c r="U107" s="5" t="str">
        <f ca="1">IFERROR(__xludf.DUMMYFUNCTION("""COMPUTED_VALUE"""),"Yes")</f>
        <v>Yes</v>
      </c>
      <c r="V107" s="5" t="str">
        <f ca="1">IFERROR(__xludf.DUMMYFUNCTION("""COMPUTED_VALUE"""),"Yes")</f>
        <v>Yes</v>
      </c>
      <c r="W107" s="5" t="str">
        <f ca="1">IFERROR(__xludf.DUMMYFUNCTION("""COMPUTED_VALUE"""),"Yes")</f>
        <v>Yes</v>
      </c>
      <c r="X107" s="5" t="str">
        <f ca="1">IFERROR(__xludf.DUMMYFUNCTION("""COMPUTED_VALUE"""),"Yes")</f>
        <v>Yes</v>
      </c>
      <c r="Y107" s="5" t="str">
        <f ca="1">IFERROR(__xludf.DUMMYFUNCTION("""COMPUTED_VALUE"""),"Yes")</f>
        <v>Yes</v>
      </c>
      <c r="Z107" s="5" t="str">
        <f ca="1">IFERROR(__xludf.DUMMYFUNCTION("""COMPUTED_VALUE"""),"Yes")</f>
        <v>Yes</v>
      </c>
      <c r="AA107" s="5" t="str">
        <f ca="1">IFERROR(__xludf.DUMMYFUNCTION("""COMPUTED_VALUE"""),"Yes")</f>
        <v>Yes</v>
      </c>
      <c r="AB107" s="5" t="str">
        <f ca="1">IFERROR(__xludf.DUMMYFUNCTION("""COMPUTED_VALUE"""),"Yes")</f>
        <v>Yes</v>
      </c>
      <c r="AC107" s="5" t="str">
        <f ca="1">IFERROR(__xludf.DUMMYFUNCTION("""COMPUTED_VALUE"""),"No")</f>
        <v>No</v>
      </c>
    </row>
    <row r="108" spans="1:29" x14ac:dyDescent="0.25">
      <c r="A108" s="5" t="str">
        <f ca="1">IFERROR(__xludf.DUMMYFUNCTION("""COMPUTED_VALUE"""),"VeryHot40")</f>
        <v>VeryHot40</v>
      </c>
      <c r="B1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8" s="5" t="str">
        <f ca="1">IFERROR(__xludf.DUMMYFUNCTION("""COMPUTED_VALUE"""),"Yes")</f>
        <v>Yes</v>
      </c>
      <c r="D108" s="5" t="str">
        <f ca="1">IFERROR(__xludf.DUMMYFUNCTION("""COMPUTED_VALUE"""),"Yes")</f>
        <v>Yes</v>
      </c>
      <c r="E108" s="5" t="str">
        <f ca="1">IFERROR(__xludf.DUMMYFUNCTION("""COMPUTED_VALUE"""),"Yes")</f>
        <v>Yes</v>
      </c>
      <c r="F108" s="5" t="str">
        <f ca="1">IFERROR(__xludf.DUMMYFUNCTION("""COMPUTED_VALUE"""),"Yes")</f>
        <v>Yes</v>
      </c>
      <c r="G108" s="5" t="str">
        <f ca="1">IFERROR(__xludf.DUMMYFUNCTION("""COMPUTED_VALUE"""),"Yes")</f>
        <v>Yes</v>
      </c>
      <c r="H108" s="5" t="str">
        <f ca="1">IFERROR(__xludf.DUMMYFUNCTION("""COMPUTED_VALUE"""),"Yes")</f>
        <v>Yes</v>
      </c>
      <c r="I108" s="5" t="str">
        <f ca="1">IFERROR(__xludf.DUMMYFUNCTION("""COMPUTED_VALUE"""),"Yes")</f>
        <v>Yes</v>
      </c>
      <c r="J108" s="5" t="str">
        <f ca="1">IFERROR(__xludf.DUMMYFUNCTION("""COMPUTED_VALUE"""),"Yes")</f>
        <v>Yes</v>
      </c>
      <c r="K108" s="5" t="str">
        <f ca="1">IFERROR(__xludf.DUMMYFUNCTION("""COMPUTED_VALUE"""),"Yes")</f>
        <v>Yes</v>
      </c>
      <c r="L108" s="5" t="str">
        <f ca="1">IFERROR(__xludf.DUMMYFUNCTION("""COMPUTED_VALUE"""),"Yes")</f>
        <v>Yes</v>
      </c>
      <c r="M108" s="5" t="str">
        <f ca="1">IFERROR(__xludf.DUMMYFUNCTION("""COMPUTED_VALUE"""),"Yes")</f>
        <v>Yes</v>
      </c>
      <c r="N108" s="5" t="str">
        <f ca="1">IFERROR(__xludf.DUMMYFUNCTION("""COMPUTED_VALUE"""),"Yes")</f>
        <v>Yes</v>
      </c>
      <c r="O108" s="5" t="str">
        <f ca="1">IFERROR(__xludf.DUMMYFUNCTION("""COMPUTED_VALUE"""),"Yes")</f>
        <v>Yes</v>
      </c>
      <c r="P108" s="5" t="str">
        <f ca="1">IFERROR(__xludf.DUMMYFUNCTION("""COMPUTED_VALUE"""),"Yes")</f>
        <v>Yes</v>
      </c>
      <c r="Q108" s="5" t="str">
        <f ca="1">IFERROR(__xludf.DUMMYFUNCTION("""COMPUTED_VALUE"""),"Yes")</f>
        <v>Yes</v>
      </c>
      <c r="R108" s="5" t="str">
        <f ca="1">IFERROR(__xludf.DUMMYFUNCTION("""COMPUTED_VALUE"""),"Yes")</f>
        <v>Yes</v>
      </c>
      <c r="S108" s="5" t="str">
        <f ca="1">IFERROR(__xludf.DUMMYFUNCTION("""COMPUTED_VALUE"""),"Yes")</f>
        <v>Yes</v>
      </c>
      <c r="T108" s="5" t="str">
        <f ca="1">IFERROR(__xludf.DUMMYFUNCTION("""COMPUTED_VALUE"""),"Yes")</f>
        <v>Yes</v>
      </c>
      <c r="U108" s="5" t="str">
        <f ca="1">IFERROR(__xludf.DUMMYFUNCTION("""COMPUTED_VALUE"""),"Yes")</f>
        <v>Yes</v>
      </c>
      <c r="V108" s="5" t="str">
        <f ca="1">IFERROR(__xludf.DUMMYFUNCTION("""COMPUTED_VALUE"""),"Yes")</f>
        <v>Yes</v>
      </c>
      <c r="W108" s="5" t="str">
        <f ca="1">IFERROR(__xludf.DUMMYFUNCTION("""COMPUTED_VALUE"""),"Yes")</f>
        <v>Yes</v>
      </c>
      <c r="X108" s="5" t="str">
        <f ca="1">IFERROR(__xludf.DUMMYFUNCTION("""COMPUTED_VALUE"""),"Yes")</f>
        <v>Yes</v>
      </c>
      <c r="Y108" s="5" t="str">
        <f ca="1">IFERROR(__xludf.DUMMYFUNCTION("""COMPUTED_VALUE"""),"Yes")</f>
        <v>Yes</v>
      </c>
      <c r="Z108" s="5" t="str">
        <f ca="1">IFERROR(__xludf.DUMMYFUNCTION("""COMPUTED_VALUE"""),"Yes")</f>
        <v>Yes</v>
      </c>
      <c r="AA108" s="5" t="str">
        <f ca="1">IFERROR(__xludf.DUMMYFUNCTION("""COMPUTED_VALUE"""),"Yes")</f>
        <v>Yes</v>
      </c>
      <c r="AB108" s="5" t="str">
        <f ca="1">IFERROR(__xludf.DUMMYFUNCTION("""COMPUTED_VALUE"""),"Yes")</f>
        <v>Yes</v>
      </c>
      <c r="AC108" s="5" t="str">
        <f ca="1">IFERROR(__xludf.DUMMYFUNCTION("""COMPUTED_VALUE"""),"No")</f>
        <v>No</v>
      </c>
    </row>
    <row r="109" spans="1:29" x14ac:dyDescent="0.25">
      <c r="A109" s="5" t="str">
        <f ca="1">IFERROR(__xludf.DUMMYFUNCTION("""COMPUTED_VALUE"""),"JewelsBeat")</f>
        <v>JewelsBeat</v>
      </c>
      <c r="B1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9" s="5" t="str">
        <f ca="1">IFERROR(__xludf.DUMMYFUNCTION("""COMPUTED_VALUE"""),"Yes")</f>
        <v>Yes</v>
      </c>
      <c r="D109" s="5" t="str">
        <f ca="1">IFERROR(__xludf.DUMMYFUNCTION("""COMPUTED_VALUE"""),"Yes")</f>
        <v>Yes</v>
      </c>
      <c r="E109" s="5" t="str">
        <f ca="1">IFERROR(__xludf.DUMMYFUNCTION("""COMPUTED_VALUE"""),"Yes")</f>
        <v>Yes</v>
      </c>
      <c r="F109" s="5" t="str">
        <f ca="1">IFERROR(__xludf.DUMMYFUNCTION("""COMPUTED_VALUE"""),"Yes")</f>
        <v>Yes</v>
      </c>
      <c r="G109" s="5" t="str">
        <f ca="1">IFERROR(__xludf.DUMMYFUNCTION("""COMPUTED_VALUE"""),"Yes")</f>
        <v>Yes</v>
      </c>
      <c r="H109" s="5" t="str">
        <f ca="1">IFERROR(__xludf.DUMMYFUNCTION("""COMPUTED_VALUE"""),"Yes")</f>
        <v>Yes</v>
      </c>
      <c r="I109" s="5" t="str">
        <f ca="1">IFERROR(__xludf.DUMMYFUNCTION("""COMPUTED_VALUE"""),"Yes")</f>
        <v>Yes</v>
      </c>
      <c r="J109" s="5" t="str">
        <f ca="1">IFERROR(__xludf.DUMMYFUNCTION("""COMPUTED_VALUE"""),"Yes")</f>
        <v>Yes</v>
      </c>
      <c r="K109" s="5" t="str">
        <f ca="1">IFERROR(__xludf.DUMMYFUNCTION("""COMPUTED_VALUE"""),"Yes")</f>
        <v>Yes</v>
      </c>
      <c r="L109" s="5" t="str">
        <f ca="1">IFERROR(__xludf.DUMMYFUNCTION("""COMPUTED_VALUE"""),"Yes")</f>
        <v>Yes</v>
      </c>
      <c r="M109" s="5" t="str">
        <f ca="1">IFERROR(__xludf.DUMMYFUNCTION("""COMPUTED_VALUE"""),"Yes")</f>
        <v>Yes</v>
      </c>
      <c r="N109" s="5" t="str">
        <f ca="1">IFERROR(__xludf.DUMMYFUNCTION("""COMPUTED_VALUE"""),"Yes")</f>
        <v>Yes</v>
      </c>
      <c r="O109" s="5" t="str">
        <f ca="1">IFERROR(__xludf.DUMMYFUNCTION("""COMPUTED_VALUE"""),"Yes")</f>
        <v>Yes</v>
      </c>
      <c r="P109" s="5" t="str">
        <f ca="1">IFERROR(__xludf.DUMMYFUNCTION("""COMPUTED_VALUE"""),"Yes")</f>
        <v>Yes</v>
      </c>
      <c r="Q109" s="5" t="str">
        <f ca="1">IFERROR(__xludf.DUMMYFUNCTION("""COMPUTED_VALUE"""),"Yes")</f>
        <v>Yes</v>
      </c>
      <c r="R109" s="5" t="str">
        <f ca="1">IFERROR(__xludf.DUMMYFUNCTION("""COMPUTED_VALUE"""),"Yes")</f>
        <v>Yes</v>
      </c>
      <c r="S109" s="5" t="str">
        <f ca="1">IFERROR(__xludf.DUMMYFUNCTION("""COMPUTED_VALUE"""),"Yes")</f>
        <v>Yes</v>
      </c>
      <c r="T109" s="5" t="str">
        <f ca="1">IFERROR(__xludf.DUMMYFUNCTION("""COMPUTED_VALUE"""),"Yes")</f>
        <v>Yes</v>
      </c>
      <c r="U109" s="5" t="str">
        <f ca="1">IFERROR(__xludf.DUMMYFUNCTION("""COMPUTED_VALUE"""),"Yes")</f>
        <v>Yes</v>
      </c>
      <c r="V109" s="5" t="str">
        <f ca="1">IFERROR(__xludf.DUMMYFUNCTION("""COMPUTED_VALUE"""),"Yes")</f>
        <v>Yes</v>
      </c>
      <c r="W109" s="5" t="str">
        <f ca="1">IFERROR(__xludf.DUMMYFUNCTION("""COMPUTED_VALUE"""),"Yes")</f>
        <v>Yes</v>
      </c>
      <c r="X109" s="5" t="str">
        <f ca="1">IFERROR(__xludf.DUMMYFUNCTION("""COMPUTED_VALUE"""),"Yes")</f>
        <v>Yes</v>
      </c>
      <c r="Y109" s="5" t="str">
        <f ca="1">IFERROR(__xludf.DUMMYFUNCTION("""COMPUTED_VALUE"""),"Yes")</f>
        <v>Yes</v>
      </c>
      <c r="Z109" s="5" t="str">
        <f ca="1">IFERROR(__xludf.DUMMYFUNCTION("""COMPUTED_VALUE"""),"Yes")</f>
        <v>Yes</v>
      </c>
      <c r="AA109" s="5" t="str">
        <f ca="1">IFERROR(__xludf.DUMMYFUNCTION("""COMPUTED_VALUE"""),"Yes")</f>
        <v>Yes</v>
      </c>
      <c r="AB109" s="5" t="str">
        <f ca="1">IFERROR(__xludf.DUMMYFUNCTION("""COMPUTED_VALUE"""),"Yes")</f>
        <v>Yes</v>
      </c>
      <c r="AC109" s="5" t="str">
        <f ca="1">IFERROR(__xludf.DUMMYFUNCTION("""COMPUTED_VALUE"""),"No")</f>
        <v>No</v>
      </c>
    </row>
    <row r="110" spans="1:29" x14ac:dyDescent="0.25">
      <c r="A110" s="5" t="str">
        <f ca="1">IFERROR(__xludf.DUMMYFUNCTION("""COMPUTED_VALUE"""),"HeatingIce")</f>
        <v>HeatingIce</v>
      </c>
      <c r="B1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0" s="5" t="str">
        <f ca="1">IFERROR(__xludf.DUMMYFUNCTION("""COMPUTED_VALUE"""),"Yes")</f>
        <v>Yes</v>
      </c>
      <c r="D110" s="5" t="str">
        <f ca="1">IFERROR(__xludf.DUMMYFUNCTION("""COMPUTED_VALUE"""),"Yes")</f>
        <v>Yes</v>
      </c>
      <c r="E110" s="5" t="str">
        <f ca="1">IFERROR(__xludf.DUMMYFUNCTION("""COMPUTED_VALUE"""),"Yes")</f>
        <v>Yes</v>
      </c>
      <c r="F110" s="5" t="str">
        <f ca="1">IFERROR(__xludf.DUMMYFUNCTION("""COMPUTED_VALUE"""),"Yes")</f>
        <v>Yes</v>
      </c>
      <c r="G110" s="5" t="str">
        <f ca="1">IFERROR(__xludf.DUMMYFUNCTION("""COMPUTED_VALUE"""),"Yes")</f>
        <v>Yes</v>
      </c>
      <c r="H110" s="5" t="str">
        <f ca="1">IFERROR(__xludf.DUMMYFUNCTION("""COMPUTED_VALUE"""),"Yes")</f>
        <v>Yes</v>
      </c>
      <c r="I110" s="5" t="str">
        <f ca="1">IFERROR(__xludf.DUMMYFUNCTION("""COMPUTED_VALUE"""),"Yes")</f>
        <v>Yes</v>
      </c>
      <c r="J110" s="5" t="str">
        <f ca="1">IFERROR(__xludf.DUMMYFUNCTION("""COMPUTED_VALUE"""),"Yes")</f>
        <v>Yes</v>
      </c>
      <c r="K110" s="5" t="str">
        <f ca="1">IFERROR(__xludf.DUMMYFUNCTION("""COMPUTED_VALUE"""),"Yes")</f>
        <v>Yes</v>
      </c>
      <c r="L110" s="5" t="str">
        <f ca="1">IFERROR(__xludf.DUMMYFUNCTION("""COMPUTED_VALUE"""),"Yes")</f>
        <v>Yes</v>
      </c>
      <c r="M110" s="5" t="str">
        <f ca="1">IFERROR(__xludf.DUMMYFUNCTION("""COMPUTED_VALUE"""),"Yes")</f>
        <v>Yes</v>
      </c>
      <c r="N110" s="5" t="str">
        <f ca="1">IFERROR(__xludf.DUMMYFUNCTION("""COMPUTED_VALUE"""),"Yes")</f>
        <v>Yes</v>
      </c>
      <c r="O110" s="5" t="str">
        <f ca="1">IFERROR(__xludf.DUMMYFUNCTION("""COMPUTED_VALUE"""),"Yes")</f>
        <v>Yes</v>
      </c>
      <c r="P110" s="5" t="str">
        <f ca="1">IFERROR(__xludf.DUMMYFUNCTION("""COMPUTED_VALUE"""),"Yes")</f>
        <v>Yes</v>
      </c>
      <c r="Q110" s="5" t="str">
        <f ca="1">IFERROR(__xludf.DUMMYFUNCTION("""COMPUTED_VALUE"""),"Yes")</f>
        <v>Yes</v>
      </c>
      <c r="R110" s="5" t="str">
        <f ca="1">IFERROR(__xludf.DUMMYFUNCTION("""COMPUTED_VALUE"""),"Yes")</f>
        <v>Yes</v>
      </c>
      <c r="S110" s="5" t="str">
        <f ca="1">IFERROR(__xludf.DUMMYFUNCTION("""COMPUTED_VALUE"""),"Yes")</f>
        <v>Yes</v>
      </c>
      <c r="T110" s="5" t="str">
        <f ca="1">IFERROR(__xludf.DUMMYFUNCTION("""COMPUTED_VALUE"""),"Yes")</f>
        <v>Yes</v>
      </c>
      <c r="U110" s="5" t="str">
        <f ca="1">IFERROR(__xludf.DUMMYFUNCTION("""COMPUTED_VALUE"""),"Yes")</f>
        <v>Yes</v>
      </c>
      <c r="V110" s="5" t="str">
        <f ca="1">IFERROR(__xludf.DUMMYFUNCTION("""COMPUTED_VALUE"""),"Yes")</f>
        <v>Yes</v>
      </c>
      <c r="W110" s="5" t="str">
        <f ca="1">IFERROR(__xludf.DUMMYFUNCTION("""COMPUTED_VALUE"""),"Yes")</f>
        <v>Yes</v>
      </c>
      <c r="X110" s="5" t="str">
        <f ca="1">IFERROR(__xludf.DUMMYFUNCTION("""COMPUTED_VALUE"""),"Yes")</f>
        <v>Yes</v>
      </c>
      <c r="Y110" s="5" t="str">
        <f ca="1">IFERROR(__xludf.DUMMYFUNCTION("""COMPUTED_VALUE"""),"Yes")</f>
        <v>Yes</v>
      </c>
      <c r="Z110" s="5" t="str">
        <f ca="1">IFERROR(__xludf.DUMMYFUNCTION("""COMPUTED_VALUE"""),"Yes")</f>
        <v>Yes</v>
      </c>
      <c r="AA110" s="5" t="str">
        <f ca="1">IFERROR(__xludf.DUMMYFUNCTION("""COMPUTED_VALUE"""),"Yes")</f>
        <v>Yes</v>
      </c>
      <c r="AB110" s="5" t="str">
        <f ca="1">IFERROR(__xludf.DUMMYFUNCTION("""COMPUTED_VALUE"""),"Yes")</f>
        <v>Yes</v>
      </c>
      <c r="AC110" s="5" t="str">
        <f ca="1">IFERROR(__xludf.DUMMYFUNCTION("""COMPUTED_VALUE"""),"No")</f>
        <v>No</v>
      </c>
    </row>
    <row r="111" spans="1:29" x14ac:dyDescent="0.25">
      <c r="A111" s="5" t="str">
        <f ca="1">IFERROR(__xludf.DUMMYFUNCTION("""COMPUTED_VALUE"""),"HeatingIceDeluxe")</f>
        <v>HeatingIceDeluxe</v>
      </c>
      <c r="B1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1" s="5" t="str">
        <f ca="1">IFERROR(__xludf.DUMMYFUNCTION("""COMPUTED_VALUE"""),"Yes")</f>
        <v>Yes</v>
      </c>
      <c r="D111" s="5" t="str">
        <f ca="1">IFERROR(__xludf.DUMMYFUNCTION("""COMPUTED_VALUE"""),"Yes")</f>
        <v>Yes</v>
      </c>
      <c r="E111" s="5" t="str">
        <f ca="1">IFERROR(__xludf.DUMMYFUNCTION("""COMPUTED_VALUE"""),"Yes")</f>
        <v>Yes</v>
      </c>
      <c r="F111" s="5" t="str">
        <f ca="1">IFERROR(__xludf.DUMMYFUNCTION("""COMPUTED_VALUE"""),"Yes")</f>
        <v>Yes</v>
      </c>
      <c r="G111" s="5" t="str">
        <f ca="1">IFERROR(__xludf.DUMMYFUNCTION("""COMPUTED_VALUE"""),"Yes")</f>
        <v>Yes</v>
      </c>
      <c r="H111" s="5" t="str">
        <f ca="1">IFERROR(__xludf.DUMMYFUNCTION("""COMPUTED_VALUE"""),"Yes")</f>
        <v>Yes</v>
      </c>
      <c r="I111" s="5" t="str">
        <f ca="1">IFERROR(__xludf.DUMMYFUNCTION("""COMPUTED_VALUE"""),"Yes")</f>
        <v>Yes</v>
      </c>
      <c r="J111" s="5" t="str">
        <f ca="1">IFERROR(__xludf.DUMMYFUNCTION("""COMPUTED_VALUE"""),"Yes")</f>
        <v>Yes</v>
      </c>
      <c r="K111" s="5" t="str">
        <f ca="1">IFERROR(__xludf.DUMMYFUNCTION("""COMPUTED_VALUE"""),"Yes")</f>
        <v>Yes</v>
      </c>
      <c r="L111" s="5" t="str">
        <f ca="1">IFERROR(__xludf.DUMMYFUNCTION("""COMPUTED_VALUE"""),"Yes")</f>
        <v>Yes</v>
      </c>
      <c r="M111" s="5" t="str">
        <f ca="1">IFERROR(__xludf.DUMMYFUNCTION("""COMPUTED_VALUE"""),"Yes")</f>
        <v>Yes</v>
      </c>
      <c r="N111" s="5" t="str">
        <f ca="1">IFERROR(__xludf.DUMMYFUNCTION("""COMPUTED_VALUE"""),"Yes")</f>
        <v>Yes</v>
      </c>
      <c r="O111" s="5" t="str">
        <f ca="1">IFERROR(__xludf.DUMMYFUNCTION("""COMPUTED_VALUE"""),"Yes")</f>
        <v>Yes</v>
      </c>
      <c r="P111" s="5" t="str">
        <f ca="1">IFERROR(__xludf.DUMMYFUNCTION("""COMPUTED_VALUE"""),"Yes")</f>
        <v>Yes</v>
      </c>
      <c r="Q111" s="5" t="str">
        <f ca="1">IFERROR(__xludf.DUMMYFUNCTION("""COMPUTED_VALUE"""),"Yes")</f>
        <v>Yes</v>
      </c>
      <c r="R111" s="5" t="str">
        <f ca="1">IFERROR(__xludf.DUMMYFUNCTION("""COMPUTED_VALUE"""),"Yes")</f>
        <v>Yes</v>
      </c>
      <c r="S111" s="5" t="str">
        <f ca="1">IFERROR(__xludf.DUMMYFUNCTION("""COMPUTED_VALUE"""),"Yes")</f>
        <v>Yes</v>
      </c>
      <c r="T111" s="5" t="str">
        <f ca="1">IFERROR(__xludf.DUMMYFUNCTION("""COMPUTED_VALUE"""),"Yes")</f>
        <v>Yes</v>
      </c>
      <c r="U111" s="5" t="str">
        <f ca="1">IFERROR(__xludf.DUMMYFUNCTION("""COMPUTED_VALUE"""),"Yes")</f>
        <v>Yes</v>
      </c>
      <c r="V111" s="5" t="str">
        <f ca="1">IFERROR(__xludf.DUMMYFUNCTION("""COMPUTED_VALUE"""),"Yes")</f>
        <v>Yes</v>
      </c>
      <c r="W111" s="5" t="str">
        <f ca="1">IFERROR(__xludf.DUMMYFUNCTION("""COMPUTED_VALUE"""),"Yes")</f>
        <v>Yes</v>
      </c>
      <c r="X111" s="5" t="str">
        <f ca="1">IFERROR(__xludf.DUMMYFUNCTION("""COMPUTED_VALUE"""),"Yes")</f>
        <v>Yes</v>
      </c>
      <c r="Y111" s="5" t="str">
        <f ca="1">IFERROR(__xludf.DUMMYFUNCTION("""COMPUTED_VALUE"""),"Yes")</f>
        <v>Yes</v>
      </c>
      <c r="Z111" s="5" t="str">
        <f ca="1">IFERROR(__xludf.DUMMYFUNCTION("""COMPUTED_VALUE"""),"Yes")</f>
        <v>Yes</v>
      </c>
      <c r="AA111" s="5" t="str">
        <f ca="1">IFERROR(__xludf.DUMMYFUNCTION("""COMPUTED_VALUE"""),"Yes")</f>
        <v>Yes</v>
      </c>
      <c r="AB111" s="5" t="str">
        <f ca="1">IFERROR(__xludf.DUMMYFUNCTION("""COMPUTED_VALUE"""),"Yes")</f>
        <v>Yes</v>
      </c>
      <c r="AC111" s="5" t="str">
        <f ca="1">IFERROR(__xludf.DUMMYFUNCTION("""COMPUTED_VALUE"""),"No")</f>
        <v>No</v>
      </c>
    </row>
    <row r="112" spans="1:29" x14ac:dyDescent="0.25">
      <c r="A112" s="5" t="str">
        <f ca="1">IFERROR(__xludf.DUMMYFUNCTION("""COMPUTED_VALUE"""),"FluoDice5")</f>
        <v>FluoDice5</v>
      </c>
      <c r="B1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2" s="5" t="str">
        <f ca="1">IFERROR(__xludf.DUMMYFUNCTION("""COMPUTED_VALUE"""),"Yes")</f>
        <v>Yes</v>
      </c>
      <c r="D112" s="5" t="str">
        <f ca="1">IFERROR(__xludf.DUMMYFUNCTION("""COMPUTED_VALUE"""),"Yes")</f>
        <v>Yes</v>
      </c>
      <c r="E112" s="5" t="str">
        <f ca="1">IFERROR(__xludf.DUMMYFUNCTION("""COMPUTED_VALUE"""),"Yes")</f>
        <v>Yes</v>
      </c>
      <c r="F112" s="5" t="str">
        <f ca="1">IFERROR(__xludf.DUMMYFUNCTION("""COMPUTED_VALUE"""),"Yes")</f>
        <v>Yes</v>
      </c>
      <c r="G112" s="5" t="str">
        <f ca="1">IFERROR(__xludf.DUMMYFUNCTION("""COMPUTED_VALUE"""),"Yes")</f>
        <v>Yes</v>
      </c>
      <c r="H112" s="5" t="str">
        <f ca="1">IFERROR(__xludf.DUMMYFUNCTION("""COMPUTED_VALUE"""),"Yes")</f>
        <v>Yes</v>
      </c>
      <c r="I112" s="5" t="str">
        <f ca="1">IFERROR(__xludf.DUMMYFUNCTION("""COMPUTED_VALUE"""),"Yes")</f>
        <v>Yes</v>
      </c>
      <c r="J112" s="5" t="str">
        <f ca="1">IFERROR(__xludf.DUMMYFUNCTION("""COMPUTED_VALUE"""),"Yes")</f>
        <v>Yes</v>
      </c>
      <c r="K112" s="5" t="str">
        <f ca="1">IFERROR(__xludf.DUMMYFUNCTION("""COMPUTED_VALUE"""),"Yes")</f>
        <v>Yes</v>
      </c>
      <c r="L112" s="5" t="str">
        <f ca="1">IFERROR(__xludf.DUMMYFUNCTION("""COMPUTED_VALUE"""),"Yes")</f>
        <v>Yes</v>
      </c>
      <c r="M112" s="5" t="str">
        <f ca="1">IFERROR(__xludf.DUMMYFUNCTION("""COMPUTED_VALUE"""),"Yes")</f>
        <v>Yes</v>
      </c>
      <c r="N112" s="5" t="str">
        <f ca="1">IFERROR(__xludf.DUMMYFUNCTION("""COMPUTED_VALUE"""),"Yes")</f>
        <v>Yes</v>
      </c>
      <c r="O112" s="5" t="str">
        <f ca="1">IFERROR(__xludf.DUMMYFUNCTION("""COMPUTED_VALUE"""),"Yes")</f>
        <v>Yes</v>
      </c>
      <c r="P112" s="5" t="str">
        <f ca="1">IFERROR(__xludf.DUMMYFUNCTION("""COMPUTED_VALUE"""),"Yes")</f>
        <v>Yes</v>
      </c>
      <c r="Q112" s="5" t="str">
        <f ca="1">IFERROR(__xludf.DUMMYFUNCTION("""COMPUTED_VALUE"""),"Yes")</f>
        <v>Yes</v>
      </c>
      <c r="R112" s="5" t="str">
        <f ca="1">IFERROR(__xludf.DUMMYFUNCTION("""COMPUTED_VALUE"""),"Yes")</f>
        <v>Yes</v>
      </c>
      <c r="S112" s="5" t="str">
        <f ca="1">IFERROR(__xludf.DUMMYFUNCTION("""COMPUTED_VALUE"""),"Yes")</f>
        <v>Yes</v>
      </c>
      <c r="T112" s="5" t="str">
        <f ca="1">IFERROR(__xludf.DUMMYFUNCTION("""COMPUTED_VALUE"""),"Yes")</f>
        <v>Yes</v>
      </c>
      <c r="U112" s="5" t="str">
        <f ca="1">IFERROR(__xludf.DUMMYFUNCTION("""COMPUTED_VALUE"""),"Yes")</f>
        <v>Yes</v>
      </c>
      <c r="V112" s="5" t="str">
        <f ca="1">IFERROR(__xludf.DUMMYFUNCTION("""COMPUTED_VALUE"""),"Yes")</f>
        <v>Yes</v>
      </c>
      <c r="W112" s="5" t="str">
        <f ca="1">IFERROR(__xludf.DUMMYFUNCTION("""COMPUTED_VALUE"""),"Yes")</f>
        <v>Yes</v>
      </c>
      <c r="X112" s="5" t="str">
        <f ca="1">IFERROR(__xludf.DUMMYFUNCTION("""COMPUTED_VALUE"""),"Yes")</f>
        <v>Yes</v>
      </c>
      <c r="Y112" s="5" t="str">
        <f ca="1">IFERROR(__xludf.DUMMYFUNCTION("""COMPUTED_VALUE"""),"Yes")</f>
        <v>Yes</v>
      </c>
      <c r="Z112" s="5" t="str">
        <f ca="1">IFERROR(__xludf.DUMMYFUNCTION("""COMPUTED_VALUE"""),"Yes")</f>
        <v>Yes</v>
      </c>
      <c r="AA112" s="5" t="str">
        <f ca="1">IFERROR(__xludf.DUMMYFUNCTION("""COMPUTED_VALUE"""),"Yes")</f>
        <v>Yes</v>
      </c>
      <c r="AB112" s="5" t="str">
        <f ca="1">IFERROR(__xludf.DUMMYFUNCTION("""COMPUTED_VALUE"""),"Yes")</f>
        <v>Yes</v>
      </c>
      <c r="AC112" s="5" t="str">
        <f ca="1">IFERROR(__xludf.DUMMYFUNCTION("""COMPUTED_VALUE"""),"No")</f>
        <v>No</v>
      </c>
    </row>
    <row r="113" spans="1:29" x14ac:dyDescent="0.25">
      <c r="A113" s="5" t="str">
        <f ca="1">IFERROR(__xludf.DUMMYFUNCTION("""COMPUTED_VALUE"""),"FluoHot5")</f>
        <v>FluoHot5</v>
      </c>
      <c r="B1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3" s="5" t="str">
        <f ca="1">IFERROR(__xludf.DUMMYFUNCTION("""COMPUTED_VALUE"""),"Yes")</f>
        <v>Yes</v>
      </c>
      <c r="D113" s="5" t="str">
        <f ca="1">IFERROR(__xludf.DUMMYFUNCTION("""COMPUTED_VALUE"""),"Yes")</f>
        <v>Yes</v>
      </c>
      <c r="E113" s="5" t="str">
        <f ca="1">IFERROR(__xludf.DUMMYFUNCTION("""COMPUTED_VALUE"""),"Yes")</f>
        <v>Yes</v>
      </c>
      <c r="F113" s="5" t="str">
        <f ca="1">IFERROR(__xludf.DUMMYFUNCTION("""COMPUTED_VALUE"""),"Yes")</f>
        <v>Yes</v>
      </c>
      <c r="G113" s="5" t="str">
        <f ca="1">IFERROR(__xludf.DUMMYFUNCTION("""COMPUTED_VALUE"""),"Yes")</f>
        <v>Yes</v>
      </c>
      <c r="H113" s="5" t="str">
        <f ca="1">IFERROR(__xludf.DUMMYFUNCTION("""COMPUTED_VALUE"""),"Yes")</f>
        <v>Yes</v>
      </c>
      <c r="I113" s="5" t="str">
        <f ca="1">IFERROR(__xludf.DUMMYFUNCTION("""COMPUTED_VALUE"""),"Yes")</f>
        <v>Yes</v>
      </c>
      <c r="J113" s="5" t="str">
        <f ca="1">IFERROR(__xludf.DUMMYFUNCTION("""COMPUTED_VALUE"""),"Yes")</f>
        <v>Yes</v>
      </c>
      <c r="K113" s="5" t="str">
        <f ca="1">IFERROR(__xludf.DUMMYFUNCTION("""COMPUTED_VALUE"""),"Yes")</f>
        <v>Yes</v>
      </c>
      <c r="L113" s="5" t="str">
        <f ca="1">IFERROR(__xludf.DUMMYFUNCTION("""COMPUTED_VALUE"""),"Yes")</f>
        <v>Yes</v>
      </c>
      <c r="M113" s="5" t="str">
        <f ca="1">IFERROR(__xludf.DUMMYFUNCTION("""COMPUTED_VALUE"""),"Yes")</f>
        <v>Yes</v>
      </c>
      <c r="N113" s="5" t="str">
        <f ca="1">IFERROR(__xludf.DUMMYFUNCTION("""COMPUTED_VALUE"""),"Yes")</f>
        <v>Yes</v>
      </c>
      <c r="O113" s="5" t="str">
        <f ca="1">IFERROR(__xludf.DUMMYFUNCTION("""COMPUTED_VALUE"""),"Yes")</f>
        <v>Yes</v>
      </c>
      <c r="P113" s="5" t="str">
        <f ca="1">IFERROR(__xludf.DUMMYFUNCTION("""COMPUTED_VALUE"""),"Yes")</f>
        <v>Yes</v>
      </c>
      <c r="Q113" s="5" t="str">
        <f ca="1">IFERROR(__xludf.DUMMYFUNCTION("""COMPUTED_VALUE"""),"Yes")</f>
        <v>Yes</v>
      </c>
      <c r="R113" s="5" t="str">
        <f ca="1">IFERROR(__xludf.DUMMYFUNCTION("""COMPUTED_VALUE"""),"Yes")</f>
        <v>Yes</v>
      </c>
      <c r="S113" s="5" t="str">
        <f ca="1">IFERROR(__xludf.DUMMYFUNCTION("""COMPUTED_VALUE"""),"Yes")</f>
        <v>Yes</v>
      </c>
      <c r="T113" s="5" t="str">
        <f ca="1">IFERROR(__xludf.DUMMYFUNCTION("""COMPUTED_VALUE"""),"Yes")</f>
        <v>Yes</v>
      </c>
      <c r="U113" s="5" t="str">
        <f ca="1">IFERROR(__xludf.DUMMYFUNCTION("""COMPUTED_VALUE"""),"Yes")</f>
        <v>Yes</v>
      </c>
      <c r="V113" s="5" t="str">
        <f ca="1">IFERROR(__xludf.DUMMYFUNCTION("""COMPUTED_VALUE"""),"Yes")</f>
        <v>Yes</v>
      </c>
      <c r="W113" s="5" t="str">
        <f ca="1">IFERROR(__xludf.DUMMYFUNCTION("""COMPUTED_VALUE"""),"Yes")</f>
        <v>Yes</v>
      </c>
      <c r="X113" s="5" t="str">
        <f ca="1">IFERROR(__xludf.DUMMYFUNCTION("""COMPUTED_VALUE"""),"Yes")</f>
        <v>Yes</v>
      </c>
      <c r="Y113" s="5" t="str">
        <f ca="1">IFERROR(__xludf.DUMMYFUNCTION("""COMPUTED_VALUE"""),"Yes")</f>
        <v>Yes</v>
      </c>
      <c r="Z113" s="5" t="str">
        <f ca="1">IFERROR(__xludf.DUMMYFUNCTION("""COMPUTED_VALUE"""),"Yes")</f>
        <v>Yes</v>
      </c>
      <c r="AA113" s="5" t="str">
        <f ca="1">IFERROR(__xludf.DUMMYFUNCTION("""COMPUTED_VALUE"""),"Yes")</f>
        <v>Yes</v>
      </c>
      <c r="AB113" s="5" t="str">
        <f ca="1">IFERROR(__xludf.DUMMYFUNCTION("""COMPUTED_VALUE"""),"Yes")</f>
        <v>Yes</v>
      </c>
      <c r="AC113" s="5" t="str">
        <f ca="1">IFERROR(__xludf.DUMMYFUNCTION("""COMPUTED_VALUE"""),"No")</f>
        <v>No</v>
      </c>
    </row>
    <row r="114" spans="1:29" x14ac:dyDescent="0.25">
      <c r="A114" s="5" t="str">
        <f ca="1">IFERROR(__xludf.DUMMYFUNCTION("""COMPUTED_VALUE"""),"HeatingDice")</f>
        <v>HeatingDice</v>
      </c>
      <c r="B1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4" s="5" t="str">
        <f ca="1">IFERROR(__xludf.DUMMYFUNCTION("""COMPUTED_VALUE"""),"Yes")</f>
        <v>Yes</v>
      </c>
      <c r="D114" s="5" t="str">
        <f ca="1">IFERROR(__xludf.DUMMYFUNCTION("""COMPUTED_VALUE"""),"Yes")</f>
        <v>Yes</v>
      </c>
      <c r="E114" s="5" t="str">
        <f ca="1">IFERROR(__xludf.DUMMYFUNCTION("""COMPUTED_VALUE"""),"Yes")</f>
        <v>Yes</v>
      </c>
      <c r="F114" s="5" t="str">
        <f ca="1">IFERROR(__xludf.DUMMYFUNCTION("""COMPUTED_VALUE"""),"Yes")</f>
        <v>Yes</v>
      </c>
      <c r="G114" s="5" t="str">
        <f ca="1">IFERROR(__xludf.DUMMYFUNCTION("""COMPUTED_VALUE"""),"Yes")</f>
        <v>Yes</v>
      </c>
      <c r="H114" s="5" t="str">
        <f ca="1">IFERROR(__xludf.DUMMYFUNCTION("""COMPUTED_VALUE"""),"Yes")</f>
        <v>Yes</v>
      </c>
      <c r="I114" s="5" t="str">
        <f ca="1">IFERROR(__xludf.DUMMYFUNCTION("""COMPUTED_VALUE"""),"Yes")</f>
        <v>Yes</v>
      </c>
      <c r="J114" s="5" t="str">
        <f ca="1">IFERROR(__xludf.DUMMYFUNCTION("""COMPUTED_VALUE"""),"Yes")</f>
        <v>Yes</v>
      </c>
      <c r="K114" s="5" t="str">
        <f ca="1">IFERROR(__xludf.DUMMYFUNCTION("""COMPUTED_VALUE"""),"Yes")</f>
        <v>Yes</v>
      </c>
      <c r="L114" s="5" t="str">
        <f ca="1">IFERROR(__xludf.DUMMYFUNCTION("""COMPUTED_VALUE"""),"Yes")</f>
        <v>Yes</v>
      </c>
      <c r="M114" s="5" t="str">
        <f ca="1">IFERROR(__xludf.DUMMYFUNCTION("""COMPUTED_VALUE"""),"Yes")</f>
        <v>Yes</v>
      </c>
      <c r="N114" s="5" t="str">
        <f ca="1">IFERROR(__xludf.DUMMYFUNCTION("""COMPUTED_VALUE"""),"Yes")</f>
        <v>Yes</v>
      </c>
      <c r="O114" s="5" t="str">
        <f ca="1">IFERROR(__xludf.DUMMYFUNCTION("""COMPUTED_VALUE"""),"Yes")</f>
        <v>Yes</v>
      </c>
      <c r="P114" s="5" t="str">
        <f ca="1">IFERROR(__xludf.DUMMYFUNCTION("""COMPUTED_VALUE"""),"Yes")</f>
        <v>Yes</v>
      </c>
      <c r="Q114" s="5" t="str">
        <f ca="1">IFERROR(__xludf.DUMMYFUNCTION("""COMPUTED_VALUE"""),"Yes")</f>
        <v>Yes</v>
      </c>
      <c r="R114" s="5" t="str">
        <f ca="1">IFERROR(__xludf.DUMMYFUNCTION("""COMPUTED_VALUE"""),"Yes")</f>
        <v>Yes</v>
      </c>
      <c r="S114" s="5" t="str">
        <f ca="1">IFERROR(__xludf.DUMMYFUNCTION("""COMPUTED_VALUE"""),"Yes")</f>
        <v>Yes</v>
      </c>
      <c r="T114" s="5" t="str">
        <f ca="1">IFERROR(__xludf.DUMMYFUNCTION("""COMPUTED_VALUE"""),"Yes")</f>
        <v>Yes</v>
      </c>
      <c r="U114" s="5" t="str">
        <f ca="1">IFERROR(__xludf.DUMMYFUNCTION("""COMPUTED_VALUE"""),"Yes")</f>
        <v>Yes</v>
      </c>
      <c r="V114" s="5" t="str">
        <f ca="1">IFERROR(__xludf.DUMMYFUNCTION("""COMPUTED_VALUE"""),"Yes")</f>
        <v>Yes</v>
      </c>
      <c r="W114" s="5" t="str">
        <f ca="1">IFERROR(__xludf.DUMMYFUNCTION("""COMPUTED_VALUE"""),"Yes")</f>
        <v>Yes</v>
      </c>
      <c r="X114" s="5" t="str">
        <f ca="1">IFERROR(__xludf.DUMMYFUNCTION("""COMPUTED_VALUE"""),"Yes")</f>
        <v>Yes</v>
      </c>
      <c r="Y114" s="5" t="str">
        <f ca="1">IFERROR(__xludf.DUMMYFUNCTION("""COMPUTED_VALUE"""),"Yes")</f>
        <v>Yes</v>
      </c>
      <c r="Z114" s="5" t="str">
        <f ca="1">IFERROR(__xludf.DUMMYFUNCTION("""COMPUTED_VALUE"""),"Yes")</f>
        <v>Yes</v>
      </c>
      <c r="AA114" s="5" t="str">
        <f ca="1">IFERROR(__xludf.DUMMYFUNCTION("""COMPUTED_VALUE"""),"Yes")</f>
        <v>Yes</v>
      </c>
      <c r="AB114" s="5" t="str">
        <f ca="1">IFERROR(__xludf.DUMMYFUNCTION("""COMPUTED_VALUE"""),"Yes")</f>
        <v>Yes</v>
      </c>
      <c r="AC114" s="5" t="str">
        <f ca="1">IFERROR(__xludf.DUMMYFUNCTION("""COMPUTED_VALUE"""),"No")</f>
        <v>No</v>
      </c>
    </row>
    <row r="115" spans="1:29" x14ac:dyDescent="0.25">
      <c r="A115" s="5" t="str">
        <f ca="1">IFERROR(__xludf.DUMMYFUNCTION("""COMPUTED_VALUE"""),"CrystalJewels")</f>
        <v>CrystalJewels</v>
      </c>
      <c r="B1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5" s="5" t="str">
        <f ca="1">IFERROR(__xludf.DUMMYFUNCTION("""COMPUTED_VALUE"""),"Yes")</f>
        <v>Yes</v>
      </c>
      <c r="D115" s="5" t="str">
        <f ca="1">IFERROR(__xludf.DUMMYFUNCTION("""COMPUTED_VALUE"""),"Yes")</f>
        <v>Yes</v>
      </c>
      <c r="E115" s="5" t="str">
        <f ca="1">IFERROR(__xludf.DUMMYFUNCTION("""COMPUTED_VALUE"""),"Yes")</f>
        <v>Yes</v>
      </c>
      <c r="F115" s="5" t="str">
        <f ca="1">IFERROR(__xludf.DUMMYFUNCTION("""COMPUTED_VALUE"""),"Yes")</f>
        <v>Yes</v>
      </c>
      <c r="G115" s="5" t="str">
        <f ca="1">IFERROR(__xludf.DUMMYFUNCTION("""COMPUTED_VALUE"""),"Yes")</f>
        <v>Yes</v>
      </c>
      <c r="H115" s="5" t="str">
        <f ca="1">IFERROR(__xludf.DUMMYFUNCTION("""COMPUTED_VALUE"""),"Yes")</f>
        <v>Yes</v>
      </c>
      <c r="I115" s="5" t="str">
        <f ca="1">IFERROR(__xludf.DUMMYFUNCTION("""COMPUTED_VALUE"""),"Yes")</f>
        <v>Yes</v>
      </c>
      <c r="J115" s="5" t="str">
        <f ca="1">IFERROR(__xludf.DUMMYFUNCTION("""COMPUTED_VALUE"""),"Yes")</f>
        <v>Yes</v>
      </c>
      <c r="K115" s="5" t="str">
        <f ca="1">IFERROR(__xludf.DUMMYFUNCTION("""COMPUTED_VALUE"""),"Yes")</f>
        <v>Yes</v>
      </c>
      <c r="L115" s="5" t="str">
        <f ca="1">IFERROR(__xludf.DUMMYFUNCTION("""COMPUTED_VALUE"""),"Yes")</f>
        <v>Yes</v>
      </c>
      <c r="M115" s="5" t="str">
        <f ca="1">IFERROR(__xludf.DUMMYFUNCTION("""COMPUTED_VALUE"""),"Yes")</f>
        <v>Yes</v>
      </c>
      <c r="N115" s="5" t="str">
        <f ca="1">IFERROR(__xludf.DUMMYFUNCTION("""COMPUTED_VALUE"""),"Yes")</f>
        <v>Yes</v>
      </c>
      <c r="O115" s="5" t="str">
        <f ca="1">IFERROR(__xludf.DUMMYFUNCTION("""COMPUTED_VALUE"""),"Yes")</f>
        <v>Yes</v>
      </c>
      <c r="P115" s="5" t="str">
        <f ca="1">IFERROR(__xludf.DUMMYFUNCTION("""COMPUTED_VALUE"""),"Yes")</f>
        <v>Yes</v>
      </c>
      <c r="Q115" s="5" t="str">
        <f ca="1">IFERROR(__xludf.DUMMYFUNCTION("""COMPUTED_VALUE"""),"Yes")</f>
        <v>Yes</v>
      </c>
      <c r="R115" s="5" t="str">
        <f ca="1">IFERROR(__xludf.DUMMYFUNCTION("""COMPUTED_VALUE"""),"Yes")</f>
        <v>Yes</v>
      </c>
      <c r="S115" s="5" t="str">
        <f ca="1">IFERROR(__xludf.DUMMYFUNCTION("""COMPUTED_VALUE"""),"Yes")</f>
        <v>Yes</v>
      </c>
      <c r="T115" s="5" t="str">
        <f ca="1">IFERROR(__xludf.DUMMYFUNCTION("""COMPUTED_VALUE"""),"Yes")</f>
        <v>Yes</v>
      </c>
      <c r="U115" s="5" t="str">
        <f ca="1">IFERROR(__xludf.DUMMYFUNCTION("""COMPUTED_VALUE"""),"Yes")</f>
        <v>Yes</v>
      </c>
      <c r="V115" s="5" t="str">
        <f ca="1">IFERROR(__xludf.DUMMYFUNCTION("""COMPUTED_VALUE"""),"Yes")</f>
        <v>Yes</v>
      </c>
      <c r="W115" s="5" t="str">
        <f ca="1">IFERROR(__xludf.DUMMYFUNCTION("""COMPUTED_VALUE"""),"Yes")</f>
        <v>Yes</v>
      </c>
      <c r="X115" s="5" t="str">
        <f ca="1">IFERROR(__xludf.DUMMYFUNCTION("""COMPUTED_VALUE"""),"Yes")</f>
        <v>Yes</v>
      </c>
      <c r="Y115" s="5" t="str">
        <f ca="1">IFERROR(__xludf.DUMMYFUNCTION("""COMPUTED_VALUE"""),"Yes")</f>
        <v>Yes</v>
      </c>
      <c r="Z115" s="5" t="str">
        <f ca="1">IFERROR(__xludf.DUMMYFUNCTION("""COMPUTED_VALUE"""),"Yes")</f>
        <v>Yes</v>
      </c>
      <c r="AA115" s="5" t="str">
        <f ca="1">IFERROR(__xludf.DUMMYFUNCTION("""COMPUTED_VALUE"""),"Yes")</f>
        <v>Yes</v>
      </c>
      <c r="AB115" s="5" t="str">
        <f ca="1">IFERROR(__xludf.DUMMYFUNCTION("""COMPUTED_VALUE"""),"Yes")</f>
        <v>Yes</v>
      </c>
      <c r="AC115" s="5" t="str">
        <f ca="1">IFERROR(__xludf.DUMMYFUNCTION("""COMPUTED_VALUE"""),"No")</f>
        <v>No</v>
      </c>
    </row>
    <row r="116" spans="1:29" x14ac:dyDescent="0.25">
      <c r="A116" s="5" t="str">
        <f ca="1">IFERROR(__xludf.DUMMYFUNCTION("""COMPUTED_VALUE"""),"WildClover506")</f>
        <v>WildClover506</v>
      </c>
      <c r="B116" s="5" t="str">
        <f ca="1">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16" s="5" t="str">
        <f ca="1">IFERROR(__xludf.DUMMYFUNCTION("""COMPUTED_VALUE"""),"Yes")</f>
        <v>Yes</v>
      </c>
      <c r="D116" s="5" t="str">
        <f ca="1">IFERROR(__xludf.DUMMYFUNCTION("""COMPUTED_VALUE"""),"Yes")</f>
        <v>Yes</v>
      </c>
      <c r="E116" s="5" t="str">
        <f ca="1">IFERROR(__xludf.DUMMYFUNCTION("""COMPUTED_VALUE"""),"No")</f>
        <v>No</v>
      </c>
      <c r="F116" s="5" t="str">
        <f ca="1">IFERROR(__xludf.DUMMYFUNCTION("""COMPUTED_VALUE"""),"Yes")</f>
        <v>Yes</v>
      </c>
      <c r="G116" s="5" t="str">
        <f ca="1">IFERROR(__xludf.DUMMYFUNCTION("""COMPUTED_VALUE"""),"Yes")</f>
        <v>Yes</v>
      </c>
      <c r="H116" s="5" t="str">
        <f ca="1">IFERROR(__xludf.DUMMYFUNCTION("""COMPUTED_VALUE"""),"Yes")</f>
        <v>Yes</v>
      </c>
      <c r="I116" s="5" t="str">
        <f ca="1">IFERROR(__xludf.DUMMYFUNCTION("""COMPUTED_VALUE"""),"Yes")</f>
        <v>Yes</v>
      </c>
      <c r="J116" s="5" t="str">
        <f ca="1">IFERROR(__xludf.DUMMYFUNCTION("""COMPUTED_VALUE"""),"Yes")</f>
        <v>Yes</v>
      </c>
      <c r="K116" s="5" t="str">
        <f ca="1">IFERROR(__xludf.DUMMYFUNCTION("""COMPUTED_VALUE"""),"Yes")</f>
        <v>Yes</v>
      </c>
      <c r="L116" s="5" t="str">
        <f ca="1">IFERROR(__xludf.DUMMYFUNCTION("""COMPUTED_VALUE"""),"Yes")</f>
        <v>Yes</v>
      </c>
      <c r="M116" s="5" t="str">
        <f ca="1">IFERROR(__xludf.DUMMYFUNCTION("""COMPUTED_VALUE"""),"Yes")</f>
        <v>Yes</v>
      </c>
      <c r="N116" s="5" t="str">
        <f ca="1">IFERROR(__xludf.DUMMYFUNCTION("""COMPUTED_VALUE"""),"Yes")</f>
        <v>Yes</v>
      </c>
      <c r="O116" s="5" t="str">
        <f ca="1">IFERROR(__xludf.DUMMYFUNCTION("""COMPUTED_VALUE"""),"No")</f>
        <v>No</v>
      </c>
      <c r="P116" s="5" t="str">
        <f ca="1">IFERROR(__xludf.DUMMYFUNCTION("""COMPUTED_VALUE"""),"No")</f>
        <v>No</v>
      </c>
      <c r="Q116" s="5" t="str">
        <f ca="1">IFERROR(__xludf.DUMMYFUNCTION("""COMPUTED_VALUE"""),"Yes")</f>
        <v>Yes</v>
      </c>
      <c r="R116" s="5" t="str">
        <f ca="1">IFERROR(__xludf.DUMMYFUNCTION("""COMPUTED_VALUE"""),"No")</f>
        <v>No</v>
      </c>
      <c r="S116" s="5" t="str">
        <f ca="1">IFERROR(__xludf.DUMMYFUNCTION("""COMPUTED_VALUE"""),"No")</f>
        <v>No</v>
      </c>
      <c r="T116" s="5" t="str">
        <f ca="1">IFERROR(__xludf.DUMMYFUNCTION("""COMPUTED_VALUE"""),"No")</f>
        <v>No</v>
      </c>
      <c r="U116" s="5" t="str">
        <f ca="1">IFERROR(__xludf.DUMMYFUNCTION("""COMPUTED_VALUE"""),"No")</f>
        <v>No</v>
      </c>
      <c r="V116" s="5" t="str">
        <f ca="1">IFERROR(__xludf.DUMMYFUNCTION("""COMPUTED_VALUE"""),"No")</f>
        <v>No</v>
      </c>
      <c r="W116" s="5" t="str">
        <f ca="1">IFERROR(__xludf.DUMMYFUNCTION("""COMPUTED_VALUE"""),"No")</f>
        <v>No</v>
      </c>
      <c r="X116" s="5" t="str">
        <f ca="1">IFERROR(__xludf.DUMMYFUNCTION("""COMPUTED_VALUE"""),"No")</f>
        <v>No</v>
      </c>
      <c r="Y116" s="5" t="str">
        <f ca="1">IFERROR(__xludf.DUMMYFUNCTION("""COMPUTED_VALUE"""),"No")</f>
        <v>No</v>
      </c>
      <c r="Z116" s="5" t="str">
        <f ca="1">IFERROR(__xludf.DUMMYFUNCTION("""COMPUTED_VALUE"""),"No")</f>
        <v>No</v>
      </c>
      <c r="AA116" s="5" t="str">
        <f ca="1">IFERROR(__xludf.DUMMYFUNCTION("""COMPUTED_VALUE"""),"No")</f>
        <v>No</v>
      </c>
      <c r="AB116" s="5" t="str">
        <f ca="1">IFERROR(__xludf.DUMMYFUNCTION("""COMPUTED_VALUE"""),"Yes")</f>
        <v>Yes</v>
      </c>
      <c r="AC116" s="5" t="str">
        <f ca="1">IFERROR(__xludf.DUMMYFUNCTION("""COMPUTED_VALUE"""),"No")</f>
        <v>No</v>
      </c>
    </row>
    <row r="117" spans="1:29" x14ac:dyDescent="0.25">
      <c r="A117" s="5" t="str">
        <f ca="1">IFERROR(__xludf.DUMMYFUNCTION("""COMPUTED_VALUE"""),"TwinklingHot80")</f>
        <v>TwinklingHot80</v>
      </c>
      <c r="B1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7" s="5" t="str">
        <f ca="1">IFERROR(__xludf.DUMMYFUNCTION("""COMPUTED_VALUE"""),"Yes")</f>
        <v>Yes</v>
      </c>
      <c r="D117" s="5" t="str">
        <f ca="1">IFERROR(__xludf.DUMMYFUNCTION("""COMPUTED_VALUE"""),"Yes")</f>
        <v>Yes</v>
      </c>
      <c r="E117" s="5" t="str">
        <f ca="1">IFERROR(__xludf.DUMMYFUNCTION("""COMPUTED_VALUE"""),"Yes")</f>
        <v>Yes</v>
      </c>
      <c r="F117" s="5" t="str">
        <f ca="1">IFERROR(__xludf.DUMMYFUNCTION("""COMPUTED_VALUE"""),"Yes")</f>
        <v>Yes</v>
      </c>
      <c r="G117" s="5" t="str">
        <f ca="1">IFERROR(__xludf.DUMMYFUNCTION("""COMPUTED_VALUE"""),"Yes")</f>
        <v>Yes</v>
      </c>
      <c r="H117" s="5" t="str">
        <f ca="1">IFERROR(__xludf.DUMMYFUNCTION("""COMPUTED_VALUE"""),"Yes")</f>
        <v>Yes</v>
      </c>
      <c r="I117" s="5" t="str">
        <f ca="1">IFERROR(__xludf.DUMMYFUNCTION("""COMPUTED_VALUE"""),"Yes")</f>
        <v>Yes</v>
      </c>
      <c r="J117" s="5" t="str">
        <f ca="1">IFERROR(__xludf.DUMMYFUNCTION("""COMPUTED_VALUE"""),"Yes")</f>
        <v>Yes</v>
      </c>
      <c r="K117" s="5" t="str">
        <f ca="1">IFERROR(__xludf.DUMMYFUNCTION("""COMPUTED_VALUE"""),"Yes")</f>
        <v>Yes</v>
      </c>
      <c r="L117" s="5" t="str">
        <f ca="1">IFERROR(__xludf.DUMMYFUNCTION("""COMPUTED_VALUE"""),"Yes")</f>
        <v>Yes</v>
      </c>
      <c r="M117" s="5" t="str">
        <f ca="1">IFERROR(__xludf.DUMMYFUNCTION("""COMPUTED_VALUE"""),"Yes")</f>
        <v>Yes</v>
      </c>
      <c r="N117" s="5" t="str">
        <f ca="1">IFERROR(__xludf.DUMMYFUNCTION("""COMPUTED_VALUE"""),"Yes")</f>
        <v>Yes</v>
      </c>
      <c r="O117" s="5" t="str">
        <f ca="1">IFERROR(__xludf.DUMMYFUNCTION("""COMPUTED_VALUE"""),"Yes")</f>
        <v>Yes</v>
      </c>
      <c r="P117" s="5" t="str">
        <f ca="1">IFERROR(__xludf.DUMMYFUNCTION("""COMPUTED_VALUE"""),"Yes")</f>
        <v>Yes</v>
      </c>
      <c r="Q117" s="5" t="str">
        <f ca="1">IFERROR(__xludf.DUMMYFUNCTION("""COMPUTED_VALUE"""),"Yes")</f>
        <v>Yes</v>
      </c>
      <c r="R117" s="5" t="str">
        <f ca="1">IFERROR(__xludf.DUMMYFUNCTION("""COMPUTED_VALUE"""),"Yes")</f>
        <v>Yes</v>
      </c>
      <c r="S117" s="5" t="str">
        <f ca="1">IFERROR(__xludf.DUMMYFUNCTION("""COMPUTED_VALUE"""),"Yes")</f>
        <v>Yes</v>
      </c>
      <c r="T117" s="5" t="str">
        <f ca="1">IFERROR(__xludf.DUMMYFUNCTION("""COMPUTED_VALUE"""),"Yes")</f>
        <v>Yes</v>
      </c>
      <c r="U117" s="5" t="str">
        <f ca="1">IFERROR(__xludf.DUMMYFUNCTION("""COMPUTED_VALUE"""),"Yes")</f>
        <v>Yes</v>
      </c>
      <c r="V117" s="5" t="str">
        <f ca="1">IFERROR(__xludf.DUMMYFUNCTION("""COMPUTED_VALUE"""),"Yes")</f>
        <v>Yes</v>
      </c>
      <c r="W117" s="5" t="str">
        <f ca="1">IFERROR(__xludf.DUMMYFUNCTION("""COMPUTED_VALUE"""),"Yes")</f>
        <v>Yes</v>
      </c>
      <c r="X117" s="5" t="str">
        <f ca="1">IFERROR(__xludf.DUMMYFUNCTION("""COMPUTED_VALUE"""),"Yes")</f>
        <v>Yes</v>
      </c>
      <c r="Y117" s="5" t="str">
        <f ca="1">IFERROR(__xludf.DUMMYFUNCTION("""COMPUTED_VALUE"""),"Yes")</f>
        <v>Yes</v>
      </c>
      <c r="Z117" s="5" t="str">
        <f ca="1">IFERROR(__xludf.DUMMYFUNCTION("""COMPUTED_VALUE"""),"Yes")</f>
        <v>Yes</v>
      </c>
      <c r="AA117" s="5" t="str">
        <f ca="1">IFERROR(__xludf.DUMMYFUNCTION("""COMPUTED_VALUE"""),"Yes")</f>
        <v>Yes</v>
      </c>
      <c r="AB117" s="5" t="str">
        <f ca="1">IFERROR(__xludf.DUMMYFUNCTION("""COMPUTED_VALUE"""),"Yes")</f>
        <v>Yes</v>
      </c>
      <c r="AC117" s="5" t="str">
        <f ca="1">IFERROR(__xludf.DUMMYFUNCTION("""COMPUTED_VALUE"""),"No")</f>
        <v>No</v>
      </c>
    </row>
    <row r="118" spans="1:29" x14ac:dyDescent="0.25">
      <c r="A118" s="5" t="str">
        <f ca="1">IFERROR(__xludf.DUMMYFUNCTION("""COMPUTED_VALUE"""),"UnicornIslandRespins")</f>
        <v>UnicornIslandRespins</v>
      </c>
      <c r="B11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18" s="5" t="str">
        <f ca="1">IFERROR(__xludf.DUMMYFUNCTION("""COMPUTED_VALUE"""),"Yes")</f>
        <v>Yes</v>
      </c>
      <c r="D118" s="5" t="str">
        <f ca="1">IFERROR(__xludf.DUMMYFUNCTION("""COMPUTED_VALUE"""),"Yes")</f>
        <v>Yes</v>
      </c>
      <c r="E118" s="5" t="str">
        <f ca="1">IFERROR(__xludf.DUMMYFUNCTION("""COMPUTED_VALUE"""),"Yes")</f>
        <v>Yes</v>
      </c>
      <c r="F118" s="5" t="str">
        <f ca="1">IFERROR(__xludf.DUMMYFUNCTION("""COMPUTED_VALUE"""),"No")</f>
        <v>No</v>
      </c>
      <c r="G118" s="5" t="str">
        <f ca="1">IFERROR(__xludf.DUMMYFUNCTION("""COMPUTED_VALUE"""),"No")</f>
        <v>No</v>
      </c>
      <c r="H118" s="5" t="str">
        <f ca="1">IFERROR(__xludf.DUMMYFUNCTION("""COMPUTED_VALUE"""),"No")</f>
        <v>No</v>
      </c>
      <c r="I118" s="5" t="str">
        <f ca="1">IFERROR(__xludf.DUMMYFUNCTION("""COMPUTED_VALUE"""),"No")</f>
        <v>No</v>
      </c>
      <c r="J118" s="5" t="str">
        <f ca="1">IFERROR(__xludf.DUMMYFUNCTION("""COMPUTED_VALUE"""),"No")</f>
        <v>No</v>
      </c>
      <c r="K118" s="5" t="str">
        <f ca="1">IFERROR(__xludf.DUMMYFUNCTION("""COMPUTED_VALUE"""),"Yes")</f>
        <v>Yes</v>
      </c>
      <c r="L118" s="5" t="str">
        <f ca="1">IFERROR(__xludf.DUMMYFUNCTION("""COMPUTED_VALUE"""),"Yes")</f>
        <v>Yes</v>
      </c>
      <c r="M118" s="5" t="str">
        <f ca="1">IFERROR(__xludf.DUMMYFUNCTION("""COMPUTED_VALUE"""),"Yes")</f>
        <v>Yes</v>
      </c>
      <c r="N118" s="5" t="str">
        <f ca="1">IFERROR(__xludf.DUMMYFUNCTION("""COMPUTED_VALUE"""),"Yes")</f>
        <v>Yes</v>
      </c>
      <c r="O118" s="5" t="str">
        <f ca="1">IFERROR(__xludf.DUMMYFUNCTION("""COMPUTED_VALUE"""),"Yes")</f>
        <v>Yes</v>
      </c>
      <c r="P118" s="5" t="str">
        <f ca="1">IFERROR(__xludf.DUMMYFUNCTION("""COMPUTED_VALUE"""),"No")</f>
        <v>No</v>
      </c>
      <c r="Q118" s="5" t="str">
        <f ca="1">IFERROR(__xludf.DUMMYFUNCTION("""COMPUTED_VALUE"""),"Yes")</f>
        <v>Yes</v>
      </c>
      <c r="R118" s="5" t="str">
        <f ca="1">IFERROR(__xludf.DUMMYFUNCTION("""COMPUTED_VALUE"""),"No")</f>
        <v>No</v>
      </c>
      <c r="S118" s="5" t="str">
        <f ca="1">IFERROR(__xludf.DUMMYFUNCTION("""COMPUTED_VALUE"""),"No")</f>
        <v>No</v>
      </c>
      <c r="T118" s="5" t="str">
        <f ca="1">IFERROR(__xludf.DUMMYFUNCTION("""COMPUTED_VALUE"""),"No")</f>
        <v>No</v>
      </c>
      <c r="U118" s="5" t="str">
        <f ca="1">IFERROR(__xludf.DUMMYFUNCTION("""COMPUTED_VALUE"""),"No")</f>
        <v>No</v>
      </c>
      <c r="V118" s="5" t="str">
        <f ca="1">IFERROR(__xludf.DUMMYFUNCTION("""COMPUTED_VALUE"""),"No")</f>
        <v>No</v>
      </c>
      <c r="W118" s="5"/>
      <c r="X118" s="5"/>
      <c r="Y118" s="5"/>
      <c r="Z118" s="5" t="str">
        <f ca="1">IFERROR(__xludf.DUMMYFUNCTION("""COMPUTED_VALUE"""),"No")</f>
        <v>No</v>
      </c>
      <c r="AA118" s="5"/>
      <c r="AB118" s="5"/>
      <c r="AC118" s="5"/>
    </row>
    <row r="119" spans="1:29" x14ac:dyDescent="0.25">
      <c r="A119" s="5" t="str">
        <f ca="1">IFERROR(__xludf.DUMMYFUNCTION("""COMPUTED_VALUE"""),"UnicornDiceRespins")</f>
        <v>UnicornDiceRespins</v>
      </c>
      <c r="B11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19" s="5" t="str">
        <f ca="1">IFERROR(__xludf.DUMMYFUNCTION("""COMPUTED_VALUE"""),"Yes")</f>
        <v>Yes</v>
      </c>
      <c r="D119" s="5" t="str">
        <f ca="1">IFERROR(__xludf.DUMMYFUNCTION("""COMPUTED_VALUE"""),"Yes")</f>
        <v>Yes</v>
      </c>
      <c r="E119" s="5" t="str">
        <f ca="1">IFERROR(__xludf.DUMMYFUNCTION("""COMPUTED_VALUE"""),"Yes")</f>
        <v>Yes</v>
      </c>
      <c r="F119" s="5" t="str">
        <f ca="1">IFERROR(__xludf.DUMMYFUNCTION("""COMPUTED_VALUE"""),"No")</f>
        <v>No</v>
      </c>
      <c r="G119" s="5" t="str">
        <f ca="1">IFERROR(__xludf.DUMMYFUNCTION("""COMPUTED_VALUE"""),"No")</f>
        <v>No</v>
      </c>
      <c r="H119" s="5" t="str">
        <f ca="1">IFERROR(__xludf.DUMMYFUNCTION("""COMPUTED_VALUE"""),"No")</f>
        <v>No</v>
      </c>
      <c r="I119" s="5" t="str">
        <f ca="1">IFERROR(__xludf.DUMMYFUNCTION("""COMPUTED_VALUE"""),"No")</f>
        <v>No</v>
      </c>
      <c r="J119" s="5" t="str">
        <f ca="1">IFERROR(__xludf.DUMMYFUNCTION("""COMPUTED_VALUE"""),"No")</f>
        <v>No</v>
      </c>
      <c r="K119" s="5" t="str">
        <f ca="1">IFERROR(__xludf.DUMMYFUNCTION("""COMPUTED_VALUE"""),"Yes")</f>
        <v>Yes</v>
      </c>
      <c r="L119" s="5" t="str">
        <f ca="1">IFERROR(__xludf.DUMMYFUNCTION("""COMPUTED_VALUE"""),"Yes")</f>
        <v>Yes</v>
      </c>
      <c r="M119" s="5" t="str">
        <f ca="1">IFERROR(__xludf.DUMMYFUNCTION("""COMPUTED_VALUE"""),"Yes")</f>
        <v>Yes</v>
      </c>
      <c r="N119" s="5" t="str">
        <f ca="1">IFERROR(__xludf.DUMMYFUNCTION("""COMPUTED_VALUE"""),"Yes")</f>
        <v>Yes</v>
      </c>
      <c r="O119" s="5" t="str">
        <f ca="1">IFERROR(__xludf.DUMMYFUNCTION("""COMPUTED_VALUE"""),"Yes")</f>
        <v>Yes</v>
      </c>
      <c r="P119" s="5" t="str">
        <f ca="1">IFERROR(__xludf.DUMMYFUNCTION("""COMPUTED_VALUE"""),"No")</f>
        <v>No</v>
      </c>
      <c r="Q119" s="5" t="str">
        <f ca="1">IFERROR(__xludf.DUMMYFUNCTION("""COMPUTED_VALUE"""),"Yes")</f>
        <v>Yes</v>
      </c>
      <c r="R119" s="5" t="str">
        <f ca="1">IFERROR(__xludf.DUMMYFUNCTION("""COMPUTED_VALUE"""),"No")</f>
        <v>No</v>
      </c>
      <c r="S119" s="5" t="str">
        <f ca="1">IFERROR(__xludf.DUMMYFUNCTION("""COMPUTED_VALUE"""),"No")</f>
        <v>No</v>
      </c>
      <c r="T119" s="5" t="str">
        <f ca="1">IFERROR(__xludf.DUMMYFUNCTION("""COMPUTED_VALUE"""),"No")</f>
        <v>No</v>
      </c>
      <c r="U119" s="5" t="str">
        <f ca="1">IFERROR(__xludf.DUMMYFUNCTION("""COMPUTED_VALUE"""),"No")</f>
        <v>No</v>
      </c>
      <c r="V119" s="5" t="str">
        <f ca="1">IFERROR(__xludf.DUMMYFUNCTION("""COMPUTED_VALUE"""),"No")</f>
        <v>No</v>
      </c>
      <c r="W119" s="5"/>
      <c r="X119" s="5"/>
      <c r="Y119" s="5"/>
      <c r="Z119" s="5" t="str">
        <f ca="1">IFERROR(__xludf.DUMMYFUNCTION("""COMPUTED_VALUE"""),"No")</f>
        <v>No</v>
      </c>
      <c r="AA119" s="5"/>
      <c r="AB119" s="5"/>
      <c r="AC119" s="5"/>
    </row>
    <row r="120" spans="1:29" x14ac:dyDescent="0.25">
      <c r="A120" s="5" t="str">
        <f ca="1">IFERROR(__xludf.DUMMYFUNCTION("""COMPUTED_VALUE"""),"LostBook")</f>
        <v>LostBook</v>
      </c>
      <c r="B120" s="5" t="str">
        <f ca="1">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20" s="5" t="str">
        <f ca="1">IFERROR(__xludf.DUMMYFUNCTION("""COMPUTED_VALUE"""),"Yes")</f>
        <v>Yes</v>
      </c>
      <c r="D120" s="5" t="str">
        <f ca="1">IFERROR(__xludf.DUMMYFUNCTION("""COMPUTED_VALUE"""),"Yes")</f>
        <v>Yes</v>
      </c>
      <c r="E120" s="5" t="str">
        <f ca="1">IFERROR(__xludf.DUMMYFUNCTION("""COMPUTED_VALUE"""),"No")</f>
        <v>No</v>
      </c>
      <c r="F120" s="5" t="str">
        <f ca="1">IFERROR(__xludf.DUMMYFUNCTION("""COMPUTED_VALUE"""),"Yes")</f>
        <v>Yes</v>
      </c>
      <c r="G120" s="5" t="str">
        <f ca="1">IFERROR(__xludf.DUMMYFUNCTION("""COMPUTED_VALUE"""),"Yes")</f>
        <v>Yes</v>
      </c>
      <c r="H120" s="5" t="str">
        <f ca="1">IFERROR(__xludf.DUMMYFUNCTION("""COMPUTED_VALUE"""),"Yes")</f>
        <v>Yes</v>
      </c>
      <c r="I120" s="5" t="str">
        <f ca="1">IFERROR(__xludf.DUMMYFUNCTION("""COMPUTED_VALUE"""),"Yes")</f>
        <v>Yes</v>
      </c>
      <c r="J120" s="5" t="str">
        <f ca="1">IFERROR(__xludf.DUMMYFUNCTION("""COMPUTED_VALUE"""),"Yes")</f>
        <v>Yes</v>
      </c>
      <c r="K120" s="5" t="str">
        <f ca="1">IFERROR(__xludf.DUMMYFUNCTION("""COMPUTED_VALUE"""),"Yes")</f>
        <v>Yes</v>
      </c>
      <c r="L120" s="5" t="str">
        <f ca="1">IFERROR(__xludf.DUMMYFUNCTION("""COMPUTED_VALUE"""),"Yes")</f>
        <v>Yes</v>
      </c>
      <c r="M120" s="5" t="str">
        <f ca="1">IFERROR(__xludf.DUMMYFUNCTION("""COMPUTED_VALUE"""),"Yes")</f>
        <v>Yes</v>
      </c>
      <c r="N120" s="5" t="str">
        <f ca="1">IFERROR(__xludf.DUMMYFUNCTION("""COMPUTED_VALUE"""),"Yes")</f>
        <v>Yes</v>
      </c>
      <c r="O120" s="5" t="str">
        <f ca="1">IFERROR(__xludf.DUMMYFUNCTION("""COMPUTED_VALUE"""),"No")</f>
        <v>No</v>
      </c>
      <c r="P120" s="5" t="str">
        <f ca="1">IFERROR(__xludf.DUMMYFUNCTION("""COMPUTED_VALUE"""),"No")</f>
        <v>No</v>
      </c>
      <c r="Q120" s="5" t="str">
        <f ca="1">IFERROR(__xludf.DUMMYFUNCTION("""COMPUTED_VALUE"""),"Yes")</f>
        <v>Yes</v>
      </c>
      <c r="R120" s="5" t="str">
        <f ca="1">IFERROR(__xludf.DUMMYFUNCTION("""COMPUTED_VALUE"""),"No")</f>
        <v>No</v>
      </c>
      <c r="S120" s="5" t="str">
        <f ca="1">IFERROR(__xludf.DUMMYFUNCTION("""COMPUTED_VALUE"""),"No")</f>
        <v>No</v>
      </c>
      <c r="T120" s="5" t="str">
        <f ca="1">IFERROR(__xludf.DUMMYFUNCTION("""COMPUTED_VALUE"""),"No")</f>
        <v>No</v>
      </c>
      <c r="U120" s="5" t="str">
        <f ca="1">IFERROR(__xludf.DUMMYFUNCTION("""COMPUTED_VALUE"""),"No")</f>
        <v>No</v>
      </c>
      <c r="V120" s="5" t="str">
        <f ca="1">IFERROR(__xludf.DUMMYFUNCTION("""COMPUTED_VALUE"""),"No")</f>
        <v>No</v>
      </c>
      <c r="W120" s="5" t="str">
        <f ca="1">IFERROR(__xludf.DUMMYFUNCTION("""COMPUTED_VALUE"""),"No")</f>
        <v>No</v>
      </c>
      <c r="X120" s="5" t="str">
        <f ca="1">IFERROR(__xludf.DUMMYFUNCTION("""COMPUTED_VALUE"""),"No")</f>
        <v>No</v>
      </c>
      <c r="Y120" s="5" t="str">
        <f ca="1">IFERROR(__xludf.DUMMYFUNCTION("""COMPUTED_VALUE"""),"No")</f>
        <v>No</v>
      </c>
      <c r="Z120" s="5" t="str">
        <f ca="1">IFERROR(__xludf.DUMMYFUNCTION("""COMPUTED_VALUE"""),"No")</f>
        <v>No</v>
      </c>
      <c r="AA120" s="5" t="str">
        <f ca="1">IFERROR(__xludf.DUMMYFUNCTION("""COMPUTED_VALUE"""),"No")</f>
        <v>No</v>
      </c>
      <c r="AB120" s="5" t="str">
        <f ca="1">IFERROR(__xludf.DUMMYFUNCTION("""COMPUTED_VALUE"""),"Yes")</f>
        <v>Yes</v>
      </c>
      <c r="AC120" s="5" t="str">
        <f ca="1">IFERROR(__xludf.DUMMYFUNCTION("""COMPUTED_VALUE"""),"No")</f>
        <v>No</v>
      </c>
    </row>
    <row r="121" spans="1:29" x14ac:dyDescent="0.25">
      <c r="A121" s="5" t="str">
        <f ca="1">IFERROR(__xludf.DUMMYFUNCTION("""COMPUTED_VALUE"""),"BurstingHot40Mozzart")</f>
        <v>BurstingHot40Mozzart</v>
      </c>
      <c r="B1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1" s="5" t="str">
        <f ca="1">IFERROR(__xludf.DUMMYFUNCTION("""COMPUTED_VALUE"""),"Yes")</f>
        <v>Yes</v>
      </c>
      <c r="D121" s="5" t="str">
        <f ca="1">IFERROR(__xludf.DUMMYFUNCTION("""COMPUTED_VALUE"""),"Yes")</f>
        <v>Yes</v>
      </c>
      <c r="E121" s="5" t="str">
        <f ca="1">IFERROR(__xludf.DUMMYFUNCTION("""COMPUTED_VALUE"""),"Yes")</f>
        <v>Yes</v>
      </c>
      <c r="F121" s="5" t="str">
        <f ca="1">IFERROR(__xludf.DUMMYFUNCTION("""COMPUTED_VALUE"""),"Yes")</f>
        <v>Yes</v>
      </c>
      <c r="G121" s="5" t="str">
        <f ca="1">IFERROR(__xludf.DUMMYFUNCTION("""COMPUTED_VALUE"""),"Yes")</f>
        <v>Yes</v>
      </c>
      <c r="H121" s="5" t="str">
        <f ca="1">IFERROR(__xludf.DUMMYFUNCTION("""COMPUTED_VALUE"""),"Yes")</f>
        <v>Yes</v>
      </c>
      <c r="I121" s="5" t="str">
        <f ca="1">IFERROR(__xludf.DUMMYFUNCTION("""COMPUTED_VALUE"""),"Yes")</f>
        <v>Yes</v>
      </c>
      <c r="J121" s="5" t="str">
        <f ca="1">IFERROR(__xludf.DUMMYFUNCTION("""COMPUTED_VALUE"""),"Yes")</f>
        <v>Yes</v>
      </c>
      <c r="K121" s="5" t="str">
        <f ca="1">IFERROR(__xludf.DUMMYFUNCTION("""COMPUTED_VALUE"""),"Yes")</f>
        <v>Yes</v>
      </c>
      <c r="L121" s="5" t="str">
        <f ca="1">IFERROR(__xludf.DUMMYFUNCTION("""COMPUTED_VALUE"""),"Yes")</f>
        <v>Yes</v>
      </c>
      <c r="M121" s="5" t="str">
        <f ca="1">IFERROR(__xludf.DUMMYFUNCTION("""COMPUTED_VALUE"""),"Yes")</f>
        <v>Yes</v>
      </c>
      <c r="N121" s="5" t="str">
        <f ca="1">IFERROR(__xludf.DUMMYFUNCTION("""COMPUTED_VALUE"""),"Yes")</f>
        <v>Yes</v>
      </c>
      <c r="O121" s="5" t="str">
        <f ca="1">IFERROR(__xludf.DUMMYFUNCTION("""COMPUTED_VALUE"""),"Yes")</f>
        <v>Yes</v>
      </c>
      <c r="P121" s="5" t="str">
        <f ca="1">IFERROR(__xludf.DUMMYFUNCTION("""COMPUTED_VALUE"""),"Yes")</f>
        <v>Yes</v>
      </c>
      <c r="Q121" s="5" t="str">
        <f ca="1">IFERROR(__xludf.DUMMYFUNCTION("""COMPUTED_VALUE"""),"Yes")</f>
        <v>Yes</v>
      </c>
      <c r="R121" s="5" t="str">
        <f ca="1">IFERROR(__xludf.DUMMYFUNCTION("""COMPUTED_VALUE"""),"Yes")</f>
        <v>Yes</v>
      </c>
      <c r="S121" s="5" t="str">
        <f ca="1">IFERROR(__xludf.DUMMYFUNCTION("""COMPUTED_VALUE"""),"Yes")</f>
        <v>Yes</v>
      </c>
      <c r="T121" s="5" t="str">
        <f ca="1">IFERROR(__xludf.DUMMYFUNCTION("""COMPUTED_VALUE"""),"Yes")</f>
        <v>Yes</v>
      </c>
      <c r="U121" s="5" t="str">
        <f ca="1">IFERROR(__xludf.DUMMYFUNCTION("""COMPUTED_VALUE"""),"Yes")</f>
        <v>Yes</v>
      </c>
      <c r="V121" s="5" t="str">
        <f ca="1">IFERROR(__xludf.DUMMYFUNCTION("""COMPUTED_VALUE"""),"Yes")</f>
        <v>Yes</v>
      </c>
      <c r="W121" s="5" t="str">
        <f ca="1">IFERROR(__xludf.DUMMYFUNCTION("""COMPUTED_VALUE"""),"Yes")</f>
        <v>Yes</v>
      </c>
      <c r="X121" s="5" t="str">
        <f ca="1">IFERROR(__xludf.DUMMYFUNCTION("""COMPUTED_VALUE"""),"Yes")</f>
        <v>Yes</v>
      </c>
      <c r="Y121" s="5" t="str">
        <f ca="1">IFERROR(__xludf.DUMMYFUNCTION("""COMPUTED_VALUE"""),"Yes")</f>
        <v>Yes</v>
      </c>
      <c r="Z121" s="5" t="str">
        <f ca="1">IFERROR(__xludf.DUMMYFUNCTION("""COMPUTED_VALUE"""),"Yes")</f>
        <v>Yes</v>
      </c>
      <c r="AA121" s="5" t="str">
        <f ca="1">IFERROR(__xludf.DUMMYFUNCTION("""COMPUTED_VALUE"""),"Yes")</f>
        <v>Yes</v>
      </c>
      <c r="AB121" s="5" t="str">
        <f ca="1">IFERROR(__xludf.DUMMYFUNCTION("""COMPUTED_VALUE"""),"Yes")</f>
        <v>Yes</v>
      </c>
      <c r="AC121" s="5" t="str">
        <f ca="1">IFERROR(__xludf.DUMMYFUNCTION("""COMPUTED_VALUE"""),"No")</f>
        <v>No</v>
      </c>
    </row>
    <row r="122" spans="1:29" x14ac:dyDescent="0.25">
      <c r="A122" s="5" t="str">
        <f ca="1">IFERROR(__xludf.DUMMYFUNCTION("""COMPUTED_VALUE"""),"GoldenCrownMaxbet")</f>
        <v>GoldenCrownMaxbet</v>
      </c>
      <c r="B1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2" s="5" t="str">
        <f ca="1">IFERROR(__xludf.DUMMYFUNCTION("""COMPUTED_VALUE"""),"Yes")</f>
        <v>Yes</v>
      </c>
      <c r="D122" s="5" t="str">
        <f ca="1">IFERROR(__xludf.DUMMYFUNCTION("""COMPUTED_VALUE"""),"Yes")</f>
        <v>Yes</v>
      </c>
      <c r="E122" s="5" t="str">
        <f ca="1">IFERROR(__xludf.DUMMYFUNCTION("""COMPUTED_VALUE"""),"Yes")</f>
        <v>Yes</v>
      </c>
      <c r="F122" s="5" t="str">
        <f ca="1">IFERROR(__xludf.DUMMYFUNCTION("""COMPUTED_VALUE"""),"Yes")</f>
        <v>Yes</v>
      </c>
      <c r="G122" s="5" t="str">
        <f ca="1">IFERROR(__xludf.DUMMYFUNCTION("""COMPUTED_VALUE"""),"Yes")</f>
        <v>Yes</v>
      </c>
      <c r="H122" s="5" t="str">
        <f ca="1">IFERROR(__xludf.DUMMYFUNCTION("""COMPUTED_VALUE"""),"Yes")</f>
        <v>Yes</v>
      </c>
      <c r="I122" s="5" t="str">
        <f ca="1">IFERROR(__xludf.DUMMYFUNCTION("""COMPUTED_VALUE"""),"Yes")</f>
        <v>Yes</v>
      </c>
      <c r="J122" s="5" t="str">
        <f ca="1">IFERROR(__xludf.DUMMYFUNCTION("""COMPUTED_VALUE"""),"Yes")</f>
        <v>Yes</v>
      </c>
      <c r="K122" s="5" t="str">
        <f ca="1">IFERROR(__xludf.DUMMYFUNCTION("""COMPUTED_VALUE"""),"Yes")</f>
        <v>Yes</v>
      </c>
      <c r="L122" s="5" t="str">
        <f ca="1">IFERROR(__xludf.DUMMYFUNCTION("""COMPUTED_VALUE"""),"Yes")</f>
        <v>Yes</v>
      </c>
      <c r="M122" s="5" t="str">
        <f ca="1">IFERROR(__xludf.DUMMYFUNCTION("""COMPUTED_VALUE"""),"Yes")</f>
        <v>Yes</v>
      </c>
      <c r="N122" s="5" t="str">
        <f ca="1">IFERROR(__xludf.DUMMYFUNCTION("""COMPUTED_VALUE"""),"Yes")</f>
        <v>Yes</v>
      </c>
      <c r="O122" s="5" t="str">
        <f ca="1">IFERROR(__xludf.DUMMYFUNCTION("""COMPUTED_VALUE"""),"Yes")</f>
        <v>Yes</v>
      </c>
      <c r="P122" s="5" t="str">
        <f ca="1">IFERROR(__xludf.DUMMYFUNCTION("""COMPUTED_VALUE"""),"Yes")</f>
        <v>Yes</v>
      </c>
      <c r="Q122" s="5" t="str">
        <f ca="1">IFERROR(__xludf.DUMMYFUNCTION("""COMPUTED_VALUE"""),"Yes")</f>
        <v>Yes</v>
      </c>
      <c r="R122" s="5" t="str">
        <f ca="1">IFERROR(__xludf.DUMMYFUNCTION("""COMPUTED_VALUE"""),"Yes")</f>
        <v>Yes</v>
      </c>
      <c r="S122" s="5" t="str">
        <f ca="1">IFERROR(__xludf.DUMMYFUNCTION("""COMPUTED_VALUE"""),"Yes")</f>
        <v>Yes</v>
      </c>
      <c r="T122" s="5" t="str">
        <f ca="1">IFERROR(__xludf.DUMMYFUNCTION("""COMPUTED_VALUE"""),"Yes")</f>
        <v>Yes</v>
      </c>
      <c r="U122" s="5" t="str">
        <f ca="1">IFERROR(__xludf.DUMMYFUNCTION("""COMPUTED_VALUE"""),"Yes")</f>
        <v>Yes</v>
      </c>
      <c r="V122" s="5" t="str">
        <f ca="1">IFERROR(__xludf.DUMMYFUNCTION("""COMPUTED_VALUE"""),"Yes")</f>
        <v>Yes</v>
      </c>
      <c r="W122" s="5" t="str">
        <f ca="1">IFERROR(__xludf.DUMMYFUNCTION("""COMPUTED_VALUE"""),"Yes")</f>
        <v>Yes</v>
      </c>
      <c r="X122" s="5" t="str">
        <f ca="1">IFERROR(__xludf.DUMMYFUNCTION("""COMPUTED_VALUE"""),"Yes")</f>
        <v>Yes</v>
      </c>
      <c r="Y122" s="5" t="str">
        <f ca="1">IFERROR(__xludf.DUMMYFUNCTION("""COMPUTED_VALUE"""),"Yes")</f>
        <v>Yes</v>
      </c>
      <c r="Z122" s="5" t="str">
        <f ca="1">IFERROR(__xludf.DUMMYFUNCTION("""COMPUTED_VALUE"""),"Yes")</f>
        <v>Yes</v>
      </c>
      <c r="AA122" s="5" t="str">
        <f ca="1">IFERROR(__xludf.DUMMYFUNCTION("""COMPUTED_VALUE"""),"Yes")</f>
        <v>Yes</v>
      </c>
      <c r="AB122" s="5" t="str">
        <f ca="1">IFERROR(__xludf.DUMMYFUNCTION("""COMPUTED_VALUE"""),"Yes")</f>
        <v>Yes</v>
      </c>
      <c r="AC122" s="5" t="str">
        <f ca="1">IFERROR(__xludf.DUMMYFUNCTION("""COMPUTED_VALUE"""),"No")</f>
        <v>No</v>
      </c>
    </row>
    <row r="123" spans="1:29" x14ac:dyDescent="0.25">
      <c r="A123" s="5" t="str">
        <f ca="1">IFERROR(__xludf.DUMMYFUNCTION("""COMPUTED_VALUE"""),"FireDice40")</f>
        <v>FireDice40</v>
      </c>
      <c r="B1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3" s="5" t="str">
        <f ca="1">IFERROR(__xludf.DUMMYFUNCTION("""COMPUTED_VALUE"""),"Yes")</f>
        <v>Yes</v>
      </c>
      <c r="D123" s="5" t="str">
        <f ca="1">IFERROR(__xludf.DUMMYFUNCTION("""COMPUTED_VALUE"""),"Yes")</f>
        <v>Yes</v>
      </c>
      <c r="E123" s="5" t="str">
        <f ca="1">IFERROR(__xludf.DUMMYFUNCTION("""COMPUTED_VALUE"""),"Yes")</f>
        <v>Yes</v>
      </c>
      <c r="F123" s="5" t="str">
        <f ca="1">IFERROR(__xludf.DUMMYFUNCTION("""COMPUTED_VALUE"""),"Yes")</f>
        <v>Yes</v>
      </c>
      <c r="G123" s="5" t="str">
        <f ca="1">IFERROR(__xludf.DUMMYFUNCTION("""COMPUTED_VALUE"""),"Yes")</f>
        <v>Yes</v>
      </c>
      <c r="H123" s="5" t="str">
        <f ca="1">IFERROR(__xludf.DUMMYFUNCTION("""COMPUTED_VALUE"""),"Yes")</f>
        <v>Yes</v>
      </c>
      <c r="I123" s="5" t="str">
        <f ca="1">IFERROR(__xludf.DUMMYFUNCTION("""COMPUTED_VALUE"""),"Yes")</f>
        <v>Yes</v>
      </c>
      <c r="J123" s="5" t="str">
        <f ca="1">IFERROR(__xludf.DUMMYFUNCTION("""COMPUTED_VALUE"""),"Yes")</f>
        <v>Yes</v>
      </c>
      <c r="K123" s="5" t="str">
        <f ca="1">IFERROR(__xludf.DUMMYFUNCTION("""COMPUTED_VALUE"""),"Yes")</f>
        <v>Yes</v>
      </c>
      <c r="L123" s="5" t="str">
        <f ca="1">IFERROR(__xludf.DUMMYFUNCTION("""COMPUTED_VALUE"""),"Yes")</f>
        <v>Yes</v>
      </c>
      <c r="M123" s="5" t="str">
        <f ca="1">IFERROR(__xludf.DUMMYFUNCTION("""COMPUTED_VALUE"""),"Yes")</f>
        <v>Yes</v>
      </c>
      <c r="N123" s="5" t="str">
        <f ca="1">IFERROR(__xludf.DUMMYFUNCTION("""COMPUTED_VALUE"""),"Yes")</f>
        <v>Yes</v>
      </c>
      <c r="O123" s="5" t="str">
        <f ca="1">IFERROR(__xludf.DUMMYFUNCTION("""COMPUTED_VALUE"""),"Yes")</f>
        <v>Yes</v>
      </c>
      <c r="P123" s="5" t="str">
        <f ca="1">IFERROR(__xludf.DUMMYFUNCTION("""COMPUTED_VALUE"""),"Yes")</f>
        <v>Yes</v>
      </c>
      <c r="Q123" s="5" t="str">
        <f ca="1">IFERROR(__xludf.DUMMYFUNCTION("""COMPUTED_VALUE"""),"Yes")</f>
        <v>Yes</v>
      </c>
      <c r="R123" s="5" t="str">
        <f ca="1">IFERROR(__xludf.DUMMYFUNCTION("""COMPUTED_VALUE"""),"Yes")</f>
        <v>Yes</v>
      </c>
      <c r="S123" s="5" t="str">
        <f ca="1">IFERROR(__xludf.DUMMYFUNCTION("""COMPUTED_VALUE"""),"Yes")</f>
        <v>Yes</v>
      </c>
      <c r="T123" s="5" t="str">
        <f ca="1">IFERROR(__xludf.DUMMYFUNCTION("""COMPUTED_VALUE"""),"Yes")</f>
        <v>Yes</v>
      </c>
      <c r="U123" s="5" t="str">
        <f ca="1">IFERROR(__xludf.DUMMYFUNCTION("""COMPUTED_VALUE"""),"Yes")</f>
        <v>Yes</v>
      </c>
      <c r="V123" s="5" t="str">
        <f ca="1">IFERROR(__xludf.DUMMYFUNCTION("""COMPUTED_VALUE"""),"Yes")</f>
        <v>Yes</v>
      </c>
      <c r="W123" s="5"/>
      <c r="X123" s="5"/>
      <c r="Y123" s="5"/>
      <c r="Z123" s="5" t="str">
        <f ca="1">IFERROR(__xludf.DUMMYFUNCTION("""COMPUTED_VALUE"""),"Yes")</f>
        <v>Yes</v>
      </c>
      <c r="AA123" s="5"/>
      <c r="AB123" s="5"/>
      <c r="AC123" s="5"/>
    </row>
    <row r="124" spans="1:29" x14ac:dyDescent="0.25">
      <c r="A124" s="5" t="str">
        <f ca="1">IFERROR(__xludf.DUMMYFUNCTION("""COMPUTED_VALUE"""),"UnicornTheStolenBook")</f>
        <v>UnicornTheStolenBook</v>
      </c>
      <c r="B1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24" s="5" t="str">
        <f ca="1">IFERROR(__xludf.DUMMYFUNCTION("""COMPUTED_VALUE"""),"Yes")</f>
        <v>Yes</v>
      </c>
      <c r="D124" s="5" t="str">
        <f ca="1">IFERROR(__xludf.DUMMYFUNCTION("""COMPUTED_VALUE"""),"Yes")</f>
        <v>Yes</v>
      </c>
      <c r="E124" s="5" t="str">
        <f ca="1">IFERROR(__xludf.DUMMYFUNCTION("""COMPUTED_VALUE"""),"Yes")</f>
        <v>Yes</v>
      </c>
      <c r="F124" s="5" t="str">
        <f ca="1">IFERROR(__xludf.DUMMYFUNCTION("""COMPUTED_VALUE"""),"No")</f>
        <v>No</v>
      </c>
      <c r="G124" s="5" t="str">
        <f ca="1">IFERROR(__xludf.DUMMYFUNCTION("""COMPUTED_VALUE"""),"No")</f>
        <v>No</v>
      </c>
      <c r="H124" s="5" t="str">
        <f ca="1">IFERROR(__xludf.DUMMYFUNCTION("""COMPUTED_VALUE"""),"No")</f>
        <v>No</v>
      </c>
      <c r="I124" s="5" t="str">
        <f ca="1">IFERROR(__xludf.DUMMYFUNCTION("""COMPUTED_VALUE"""),"No")</f>
        <v>No</v>
      </c>
      <c r="J124" s="5" t="str">
        <f ca="1">IFERROR(__xludf.DUMMYFUNCTION("""COMPUTED_VALUE"""),"No")</f>
        <v>No</v>
      </c>
      <c r="K124" s="5" t="str">
        <f ca="1">IFERROR(__xludf.DUMMYFUNCTION("""COMPUTED_VALUE"""),"Yes")</f>
        <v>Yes</v>
      </c>
      <c r="L124" s="5" t="str">
        <f ca="1">IFERROR(__xludf.DUMMYFUNCTION("""COMPUTED_VALUE"""),"Yes")</f>
        <v>Yes</v>
      </c>
      <c r="M124" s="5" t="str">
        <f ca="1">IFERROR(__xludf.DUMMYFUNCTION("""COMPUTED_VALUE"""),"Yes")</f>
        <v>Yes</v>
      </c>
      <c r="N124" s="5" t="str">
        <f ca="1">IFERROR(__xludf.DUMMYFUNCTION("""COMPUTED_VALUE"""),"Yes")</f>
        <v>Yes</v>
      </c>
      <c r="O124" s="5" t="str">
        <f ca="1">IFERROR(__xludf.DUMMYFUNCTION("""COMPUTED_VALUE"""),"Yes")</f>
        <v>Yes</v>
      </c>
      <c r="P124" s="5" t="str">
        <f ca="1">IFERROR(__xludf.DUMMYFUNCTION("""COMPUTED_VALUE"""),"No")</f>
        <v>No</v>
      </c>
      <c r="Q124" s="5" t="str">
        <f ca="1">IFERROR(__xludf.DUMMYFUNCTION("""COMPUTED_VALUE"""),"Yes")</f>
        <v>Yes</v>
      </c>
      <c r="R124" s="5" t="str">
        <f ca="1">IFERROR(__xludf.DUMMYFUNCTION("""COMPUTED_VALUE"""),"No")</f>
        <v>No</v>
      </c>
      <c r="S124" s="5" t="str">
        <f ca="1">IFERROR(__xludf.DUMMYFUNCTION("""COMPUTED_VALUE"""),"No")</f>
        <v>No</v>
      </c>
      <c r="T124" s="5" t="str">
        <f ca="1">IFERROR(__xludf.DUMMYFUNCTION("""COMPUTED_VALUE"""),"No")</f>
        <v>No</v>
      </c>
      <c r="U124" s="5" t="str">
        <f ca="1">IFERROR(__xludf.DUMMYFUNCTION("""COMPUTED_VALUE"""),"No")</f>
        <v>No</v>
      </c>
      <c r="V124" s="5" t="str">
        <f ca="1">IFERROR(__xludf.DUMMYFUNCTION("""COMPUTED_VALUE"""),"No")</f>
        <v>No</v>
      </c>
      <c r="W124" s="5"/>
      <c r="X124" s="5"/>
      <c r="Y124" s="5"/>
      <c r="Z124" s="5" t="str">
        <f ca="1">IFERROR(__xludf.DUMMYFUNCTION("""COMPUTED_VALUE"""),"No")</f>
        <v>No</v>
      </c>
      <c r="AA124" s="5"/>
      <c r="AB124" s="5"/>
      <c r="AC124" s="5"/>
    </row>
    <row r="125" spans="1:29" x14ac:dyDescent="0.25">
      <c r="A125" s="5" t="str">
        <f ca="1">IFERROR(__xludf.DUMMYFUNCTION("""COMPUTED_VALUE"""),"LuckyBrilliants")</f>
        <v>LuckyBrilliants</v>
      </c>
      <c r="B1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5" s="5" t="str">
        <f ca="1">IFERROR(__xludf.DUMMYFUNCTION("""COMPUTED_VALUE"""),"Yes")</f>
        <v>Yes</v>
      </c>
      <c r="D125" s="5" t="str">
        <f ca="1">IFERROR(__xludf.DUMMYFUNCTION("""COMPUTED_VALUE"""),"Yes")</f>
        <v>Yes</v>
      </c>
      <c r="E125" s="5" t="str">
        <f ca="1">IFERROR(__xludf.DUMMYFUNCTION("""COMPUTED_VALUE"""),"Yes")</f>
        <v>Yes</v>
      </c>
      <c r="F125" s="5" t="str">
        <f ca="1">IFERROR(__xludf.DUMMYFUNCTION("""COMPUTED_VALUE"""),"Yes")</f>
        <v>Yes</v>
      </c>
      <c r="G125" s="5" t="str">
        <f ca="1">IFERROR(__xludf.DUMMYFUNCTION("""COMPUTED_VALUE"""),"Yes")</f>
        <v>Yes</v>
      </c>
      <c r="H125" s="5" t="str">
        <f ca="1">IFERROR(__xludf.DUMMYFUNCTION("""COMPUTED_VALUE"""),"Yes")</f>
        <v>Yes</v>
      </c>
      <c r="I125" s="5" t="str">
        <f ca="1">IFERROR(__xludf.DUMMYFUNCTION("""COMPUTED_VALUE"""),"Yes")</f>
        <v>Yes</v>
      </c>
      <c r="J125" s="5" t="str">
        <f ca="1">IFERROR(__xludf.DUMMYFUNCTION("""COMPUTED_VALUE"""),"Yes")</f>
        <v>Yes</v>
      </c>
      <c r="K125" s="5" t="str">
        <f ca="1">IFERROR(__xludf.DUMMYFUNCTION("""COMPUTED_VALUE"""),"Yes")</f>
        <v>Yes</v>
      </c>
      <c r="L125" s="5" t="str">
        <f ca="1">IFERROR(__xludf.DUMMYFUNCTION("""COMPUTED_VALUE"""),"Yes")</f>
        <v>Yes</v>
      </c>
      <c r="M125" s="5" t="str">
        <f ca="1">IFERROR(__xludf.DUMMYFUNCTION("""COMPUTED_VALUE"""),"Yes")</f>
        <v>Yes</v>
      </c>
      <c r="N125" s="5" t="str">
        <f ca="1">IFERROR(__xludf.DUMMYFUNCTION("""COMPUTED_VALUE"""),"Yes")</f>
        <v>Yes</v>
      </c>
      <c r="O125" s="5" t="str">
        <f ca="1">IFERROR(__xludf.DUMMYFUNCTION("""COMPUTED_VALUE"""),"Yes")</f>
        <v>Yes</v>
      </c>
      <c r="P125" s="5" t="str">
        <f ca="1">IFERROR(__xludf.DUMMYFUNCTION("""COMPUTED_VALUE"""),"Yes")</f>
        <v>Yes</v>
      </c>
      <c r="Q125" s="5" t="str">
        <f ca="1">IFERROR(__xludf.DUMMYFUNCTION("""COMPUTED_VALUE"""),"Yes")</f>
        <v>Yes</v>
      </c>
      <c r="R125" s="5" t="str">
        <f ca="1">IFERROR(__xludf.DUMMYFUNCTION("""COMPUTED_VALUE"""),"Yes")</f>
        <v>Yes</v>
      </c>
      <c r="S125" s="5" t="str">
        <f ca="1">IFERROR(__xludf.DUMMYFUNCTION("""COMPUTED_VALUE"""),"Yes")</f>
        <v>Yes</v>
      </c>
      <c r="T125" s="5" t="str">
        <f ca="1">IFERROR(__xludf.DUMMYFUNCTION("""COMPUTED_VALUE"""),"Yes")</f>
        <v>Yes</v>
      </c>
      <c r="U125" s="5" t="str">
        <f ca="1">IFERROR(__xludf.DUMMYFUNCTION("""COMPUTED_VALUE"""),"Yes")</f>
        <v>Yes</v>
      </c>
      <c r="V125" s="5" t="str">
        <f ca="1">IFERROR(__xludf.DUMMYFUNCTION("""COMPUTED_VALUE"""),"Yes")</f>
        <v>Yes</v>
      </c>
      <c r="W125" s="5" t="str">
        <f ca="1">IFERROR(__xludf.DUMMYFUNCTION("""COMPUTED_VALUE"""),"Yes")</f>
        <v>Yes</v>
      </c>
      <c r="X125" s="5" t="str">
        <f ca="1">IFERROR(__xludf.DUMMYFUNCTION("""COMPUTED_VALUE"""),"Yes")</f>
        <v>Yes</v>
      </c>
      <c r="Y125" s="5" t="str">
        <f ca="1">IFERROR(__xludf.DUMMYFUNCTION("""COMPUTED_VALUE"""),"Yes")</f>
        <v>Yes</v>
      </c>
      <c r="Z125" s="5" t="str">
        <f ca="1">IFERROR(__xludf.DUMMYFUNCTION("""COMPUTED_VALUE"""),"Yes")</f>
        <v>Yes</v>
      </c>
      <c r="AA125" s="5" t="str">
        <f ca="1">IFERROR(__xludf.DUMMYFUNCTION("""COMPUTED_VALUE"""),"Yes")</f>
        <v>Yes</v>
      </c>
      <c r="AB125" s="5" t="str">
        <f ca="1">IFERROR(__xludf.DUMMYFUNCTION("""COMPUTED_VALUE"""),"Yes")</f>
        <v>Yes</v>
      </c>
      <c r="AC125" s="5" t="str">
        <f ca="1">IFERROR(__xludf.DUMMYFUNCTION("""COMPUTED_VALUE"""),"No")</f>
        <v>No</v>
      </c>
    </row>
    <row r="126" spans="1:29" x14ac:dyDescent="0.25">
      <c r="A126" s="5" t="str">
        <f ca="1">IFERROR(__xludf.DUMMYFUNCTION("""COMPUTED_VALUE"""),"CrystalHot40Soccer")</f>
        <v>CrystalHot40Soccer</v>
      </c>
      <c r="B1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6" s="5" t="str">
        <f ca="1">IFERROR(__xludf.DUMMYFUNCTION("""COMPUTED_VALUE"""),"Yes")</f>
        <v>Yes</v>
      </c>
      <c r="D126" s="5" t="str">
        <f ca="1">IFERROR(__xludf.DUMMYFUNCTION("""COMPUTED_VALUE"""),"Yes")</f>
        <v>Yes</v>
      </c>
      <c r="E126" s="5" t="str">
        <f ca="1">IFERROR(__xludf.DUMMYFUNCTION("""COMPUTED_VALUE"""),"Yes")</f>
        <v>Yes</v>
      </c>
      <c r="F126" s="5" t="str">
        <f ca="1">IFERROR(__xludf.DUMMYFUNCTION("""COMPUTED_VALUE"""),"Yes")</f>
        <v>Yes</v>
      </c>
      <c r="G126" s="5" t="str">
        <f ca="1">IFERROR(__xludf.DUMMYFUNCTION("""COMPUTED_VALUE"""),"Yes")</f>
        <v>Yes</v>
      </c>
      <c r="H126" s="5" t="str">
        <f ca="1">IFERROR(__xludf.DUMMYFUNCTION("""COMPUTED_VALUE"""),"Yes")</f>
        <v>Yes</v>
      </c>
      <c r="I126" s="5" t="str">
        <f ca="1">IFERROR(__xludf.DUMMYFUNCTION("""COMPUTED_VALUE"""),"Yes")</f>
        <v>Yes</v>
      </c>
      <c r="J126" s="5" t="str">
        <f ca="1">IFERROR(__xludf.DUMMYFUNCTION("""COMPUTED_VALUE"""),"Yes")</f>
        <v>Yes</v>
      </c>
      <c r="K126" s="5" t="str">
        <f ca="1">IFERROR(__xludf.DUMMYFUNCTION("""COMPUTED_VALUE"""),"Yes")</f>
        <v>Yes</v>
      </c>
      <c r="L126" s="5" t="str">
        <f ca="1">IFERROR(__xludf.DUMMYFUNCTION("""COMPUTED_VALUE"""),"Yes")</f>
        <v>Yes</v>
      </c>
      <c r="M126" s="5" t="str">
        <f ca="1">IFERROR(__xludf.DUMMYFUNCTION("""COMPUTED_VALUE"""),"Yes")</f>
        <v>Yes</v>
      </c>
      <c r="N126" s="5" t="str">
        <f ca="1">IFERROR(__xludf.DUMMYFUNCTION("""COMPUTED_VALUE"""),"Yes")</f>
        <v>Yes</v>
      </c>
      <c r="O126" s="5" t="str">
        <f ca="1">IFERROR(__xludf.DUMMYFUNCTION("""COMPUTED_VALUE"""),"Yes")</f>
        <v>Yes</v>
      </c>
      <c r="P126" s="5" t="str">
        <f ca="1">IFERROR(__xludf.DUMMYFUNCTION("""COMPUTED_VALUE"""),"Yes")</f>
        <v>Yes</v>
      </c>
      <c r="Q126" s="5" t="str">
        <f ca="1">IFERROR(__xludf.DUMMYFUNCTION("""COMPUTED_VALUE"""),"Yes")</f>
        <v>Yes</v>
      </c>
      <c r="R126" s="5" t="str">
        <f ca="1">IFERROR(__xludf.DUMMYFUNCTION("""COMPUTED_VALUE"""),"Yes")</f>
        <v>Yes</v>
      </c>
      <c r="S126" s="5" t="str">
        <f ca="1">IFERROR(__xludf.DUMMYFUNCTION("""COMPUTED_VALUE"""),"Yes")</f>
        <v>Yes</v>
      </c>
      <c r="T126" s="5" t="str">
        <f ca="1">IFERROR(__xludf.DUMMYFUNCTION("""COMPUTED_VALUE"""),"Yes")</f>
        <v>Yes</v>
      </c>
      <c r="U126" s="5" t="str">
        <f ca="1">IFERROR(__xludf.DUMMYFUNCTION("""COMPUTED_VALUE"""),"Yes")</f>
        <v>Yes</v>
      </c>
      <c r="V126" s="5" t="str">
        <f ca="1">IFERROR(__xludf.DUMMYFUNCTION("""COMPUTED_VALUE"""),"Yes")</f>
        <v>Yes</v>
      </c>
      <c r="W126" s="5" t="str">
        <f ca="1">IFERROR(__xludf.DUMMYFUNCTION("""COMPUTED_VALUE"""),"Yes")</f>
        <v>Yes</v>
      </c>
      <c r="X126" s="5" t="str">
        <f ca="1">IFERROR(__xludf.DUMMYFUNCTION("""COMPUTED_VALUE"""),"Yes")</f>
        <v>Yes</v>
      </c>
      <c r="Y126" s="5" t="str">
        <f ca="1">IFERROR(__xludf.DUMMYFUNCTION("""COMPUTED_VALUE"""),"Yes")</f>
        <v>Yes</v>
      </c>
      <c r="Z126" s="5" t="str">
        <f ca="1">IFERROR(__xludf.DUMMYFUNCTION("""COMPUTED_VALUE"""),"Yes")</f>
        <v>Yes</v>
      </c>
      <c r="AA126" s="5" t="str">
        <f ca="1">IFERROR(__xludf.DUMMYFUNCTION("""COMPUTED_VALUE"""),"Yes")</f>
        <v>Yes</v>
      </c>
      <c r="AB126" s="5" t="str">
        <f ca="1">IFERROR(__xludf.DUMMYFUNCTION("""COMPUTED_VALUE"""),"Yes")</f>
        <v>Yes</v>
      </c>
      <c r="AC126" s="5" t="str">
        <f ca="1">IFERROR(__xludf.DUMMYFUNCTION("""COMPUTED_VALUE"""),"No")</f>
        <v>No</v>
      </c>
    </row>
    <row r="127" spans="1:29" x14ac:dyDescent="0.25">
      <c r="A127" s="5" t="str">
        <f ca="1">IFERROR(__xludf.DUMMYFUNCTION("""COMPUTED_VALUE"""),"BurstingHot5Admiral")</f>
        <v>BurstingHot5Admiral</v>
      </c>
      <c r="B1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7" s="5" t="str">
        <f ca="1">IFERROR(__xludf.DUMMYFUNCTION("""COMPUTED_VALUE"""),"Yes")</f>
        <v>Yes</v>
      </c>
      <c r="D127" s="5" t="str">
        <f ca="1">IFERROR(__xludf.DUMMYFUNCTION("""COMPUTED_VALUE"""),"Yes")</f>
        <v>Yes</v>
      </c>
      <c r="E127" s="5" t="str">
        <f ca="1">IFERROR(__xludf.DUMMYFUNCTION("""COMPUTED_VALUE"""),"Yes")</f>
        <v>Yes</v>
      </c>
      <c r="F127" s="5" t="str">
        <f ca="1">IFERROR(__xludf.DUMMYFUNCTION("""COMPUTED_VALUE"""),"Yes")</f>
        <v>Yes</v>
      </c>
      <c r="G127" s="5" t="str">
        <f ca="1">IFERROR(__xludf.DUMMYFUNCTION("""COMPUTED_VALUE"""),"Yes")</f>
        <v>Yes</v>
      </c>
      <c r="H127" s="5" t="str">
        <f ca="1">IFERROR(__xludf.DUMMYFUNCTION("""COMPUTED_VALUE"""),"Yes")</f>
        <v>Yes</v>
      </c>
      <c r="I127" s="5" t="str">
        <f ca="1">IFERROR(__xludf.DUMMYFUNCTION("""COMPUTED_VALUE"""),"Yes")</f>
        <v>Yes</v>
      </c>
      <c r="J127" s="5" t="str">
        <f ca="1">IFERROR(__xludf.DUMMYFUNCTION("""COMPUTED_VALUE"""),"Yes")</f>
        <v>Yes</v>
      </c>
      <c r="K127" s="5" t="str">
        <f ca="1">IFERROR(__xludf.DUMMYFUNCTION("""COMPUTED_VALUE"""),"Yes")</f>
        <v>Yes</v>
      </c>
      <c r="L127" s="5" t="str">
        <f ca="1">IFERROR(__xludf.DUMMYFUNCTION("""COMPUTED_VALUE"""),"Yes")</f>
        <v>Yes</v>
      </c>
      <c r="M127" s="5" t="str">
        <f ca="1">IFERROR(__xludf.DUMMYFUNCTION("""COMPUTED_VALUE"""),"Yes")</f>
        <v>Yes</v>
      </c>
      <c r="N127" s="5" t="str">
        <f ca="1">IFERROR(__xludf.DUMMYFUNCTION("""COMPUTED_VALUE"""),"Yes")</f>
        <v>Yes</v>
      </c>
      <c r="O127" s="5" t="str">
        <f ca="1">IFERROR(__xludf.DUMMYFUNCTION("""COMPUTED_VALUE"""),"Yes")</f>
        <v>Yes</v>
      </c>
      <c r="P127" s="5" t="str">
        <f ca="1">IFERROR(__xludf.DUMMYFUNCTION("""COMPUTED_VALUE"""),"Yes")</f>
        <v>Yes</v>
      </c>
      <c r="Q127" s="5" t="str">
        <f ca="1">IFERROR(__xludf.DUMMYFUNCTION("""COMPUTED_VALUE"""),"Yes")</f>
        <v>Yes</v>
      </c>
      <c r="R127" s="5" t="str">
        <f ca="1">IFERROR(__xludf.DUMMYFUNCTION("""COMPUTED_VALUE"""),"Yes")</f>
        <v>Yes</v>
      </c>
      <c r="S127" s="5" t="str">
        <f ca="1">IFERROR(__xludf.DUMMYFUNCTION("""COMPUTED_VALUE"""),"Yes")</f>
        <v>Yes</v>
      </c>
      <c r="T127" s="5" t="str">
        <f ca="1">IFERROR(__xludf.DUMMYFUNCTION("""COMPUTED_VALUE"""),"Yes")</f>
        <v>Yes</v>
      </c>
      <c r="U127" s="5" t="str">
        <f ca="1">IFERROR(__xludf.DUMMYFUNCTION("""COMPUTED_VALUE"""),"Yes")</f>
        <v>Yes</v>
      </c>
      <c r="V127" s="5" t="str">
        <f ca="1">IFERROR(__xludf.DUMMYFUNCTION("""COMPUTED_VALUE"""),"Yes")</f>
        <v>Yes</v>
      </c>
      <c r="W127" s="5" t="str">
        <f ca="1">IFERROR(__xludf.DUMMYFUNCTION("""COMPUTED_VALUE"""),"Yes")</f>
        <v>Yes</v>
      </c>
      <c r="X127" s="5" t="str">
        <f ca="1">IFERROR(__xludf.DUMMYFUNCTION("""COMPUTED_VALUE"""),"Yes")</f>
        <v>Yes</v>
      </c>
      <c r="Y127" s="5" t="str">
        <f ca="1">IFERROR(__xludf.DUMMYFUNCTION("""COMPUTED_VALUE"""),"Yes")</f>
        <v>Yes</v>
      </c>
      <c r="Z127" s="5" t="str">
        <f ca="1">IFERROR(__xludf.DUMMYFUNCTION("""COMPUTED_VALUE"""),"Yes")</f>
        <v>Yes</v>
      </c>
      <c r="AA127" s="5" t="str">
        <f ca="1">IFERROR(__xludf.DUMMYFUNCTION("""COMPUTED_VALUE"""),"Yes")</f>
        <v>Yes</v>
      </c>
      <c r="AB127" s="5" t="str">
        <f ca="1">IFERROR(__xludf.DUMMYFUNCTION("""COMPUTED_VALUE"""),"Yes")</f>
        <v>Yes</v>
      </c>
      <c r="AC127" s="5" t="str">
        <f ca="1">IFERROR(__xludf.DUMMYFUNCTION("""COMPUTED_VALUE"""),"No")</f>
        <v>No</v>
      </c>
    </row>
    <row r="128" spans="1:29" x14ac:dyDescent="0.25">
      <c r="A128" s="5" t="str">
        <f ca="1">IFERROR(__xludf.DUMMYFUNCTION("""COMPUTED_VALUE"""),"GoldenCrown20BalkanBet")</f>
        <v>GoldenCrown20BalkanBet</v>
      </c>
      <c r="B1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8" s="5" t="str">
        <f ca="1">IFERROR(__xludf.DUMMYFUNCTION("""COMPUTED_VALUE"""),"Yes")</f>
        <v>Yes</v>
      </c>
      <c r="D128" s="5" t="str">
        <f ca="1">IFERROR(__xludf.DUMMYFUNCTION("""COMPUTED_VALUE"""),"Yes")</f>
        <v>Yes</v>
      </c>
      <c r="E128" s="5" t="str">
        <f ca="1">IFERROR(__xludf.DUMMYFUNCTION("""COMPUTED_VALUE"""),"Yes")</f>
        <v>Yes</v>
      </c>
      <c r="F128" s="5" t="str">
        <f ca="1">IFERROR(__xludf.DUMMYFUNCTION("""COMPUTED_VALUE"""),"Yes")</f>
        <v>Yes</v>
      </c>
      <c r="G128" s="5" t="str">
        <f ca="1">IFERROR(__xludf.DUMMYFUNCTION("""COMPUTED_VALUE"""),"Yes")</f>
        <v>Yes</v>
      </c>
      <c r="H128" s="5" t="str">
        <f ca="1">IFERROR(__xludf.DUMMYFUNCTION("""COMPUTED_VALUE"""),"Yes")</f>
        <v>Yes</v>
      </c>
      <c r="I128" s="5" t="str">
        <f ca="1">IFERROR(__xludf.DUMMYFUNCTION("""COMPUTED_VALUE"""),"Yes")</f>
        <v>Yes</v>
      </c>
      <c r="J128" s="5" t="str">
        <f ca="1">IFERROR(__xludf.DUMMYFUNCTION("""COMPUTED_VALUE"""),"Yes")</f>
        <v>Yes</v>
      </c>
      <c r="K128" s="5" t="str">
        <f ca="1">IFERROR(__xludf.DUMMYFUNCTION("""COMPUTED_VALUE"""),"Yes")</f>
        <v>Yes</v>
      </c>
      <c r="L128" s="5" t="str">
        <f ca="1">IFERROR(__xludf.DUMMYFUNCTION("""COMPUTED_VALUE"""),"Yes")</f>
        <v>Yes</v>
      </c>
      <c r="M128" s="5" t="str">
        <f ca="1">IFERROR(__xludf.DUMMYFUNCTION("""COMPUTED_VALUE"""),"Yes")</f>
        <v>Yes</v>
      </c>
      <c r="N128" s="5" t="str">
        <f ca="1">IFERROR(__xludf.DUMMYFUNCTION("""COMPUTED_VALUE"""),"Yes")</f>
        <v>Yes</v>
      </c>
      <c r="O128" s="5" t="str">
        <f ca="1">IFERROR(__xludf.DUMMYFUNCTION("""COMPUTED_VALUE"""),"Yes")</f>
        <v>Yes</v>
      </c>
      <c r="P128" s="5" t="str">
        <f ca="1">IFERROR(__xludf.DUMMYFUNCTION("""COMPUTED_VALUE"""),"Yes")</f>
        <v>Yes</v>
      </c>
      <c r="Q128" s="5" t="str">
        <f ca="1">IFERROR(__xludf.DUMMYFUNCTION("""COMPUTED_VALUE"""),"Yes")</f>
        <v>Yes</v>
      </c>
      <c r="R128" s="5" t="str">
        <f ca="1">IFERROR(__xludf.DUMMYFUNCTION("""COMPUTED_VALUE"""),"Yes")</f>
        <v>Yes</v>
      </c>
      <c r="S128" s="5" t="str">
        <f ca="1">IFERROR(__xludf.DUMMYFUNCTION("""COMPUTED_VALUE"""),"Yes")</f>
        <v>Yes</v>
      </c>
      <c r="T128" s="5" t="str">
        <f ca="1">IFERROR(__xludf.DUMMYFUNCTION("""COMPUTED_VALUE"""),"Yes")</f>
        <v>Yes</v>
      </c>
      <c r="U128" s="5" t="str">
        <f ca="1">IFERROR(__xludf.DUMMYFUNCTION("""COMPUTED_VALUE"""),"Yes")</f>
        <v>Yes</v>
      </c>
      <c r="V128" s="5" t="str">
        <f ca="1">IFERROR(__xludf.DUMMYFUNCTION("""COMPUTED_VALUE"""),"Yes")</f>
        <v>Yes</v>
      </c>
      <c r="W128" s="5" t="str">
        <f ca="1">IFERROR(__xludf.DUMMYFUNCTION("""COMPUTED_VALUE"""),"Yes")</f>
        <v>Yes</v>
      </c>
      <c r="X128" s="5" t="str">
        <f ca="1">IFERROR(__xludf.DUMMYFUNCTION("""COMPUTED_VALUE"""),"Yes")</f>
        <v>Yes</v>
      </c>
      <c r="Y128" s="5" t="str">
        <f ca="1">IFERROR(__xludf.DUMMYFUNCTION("""COMPUTED_VALUE"""),"Yes")</f>
        <v>Yes</v>
      </c>
      <c r="Z128" s="5" t="str">
        <f ca="1">IFERROR(__xludf.DUMMYFUNCTION("""COMPUTED_VALUE"""),"Yes")</f>
        <v>Yes</v>
      </c>
      <c r="AA128" s="5" t="str">
        <f ca="1">IFERROR(__xludf.DUMMYFUNCTION("""COMPUTED_VALUE"""),"Yes")</f>
        <v>Yes</v>
      </c>
      <c r="AB128" s="5" t="str">
        <f ca="1">IFERROR(__xludf.DUMMYFUNCTION("""COMPUTED_VALUE"""),"Yes")</f>
        <v>Yes</v>
      </c>
      <c r="AC128" s="5" t="str">
        <f ca="1">IFERROR(__xludf.DUMMYFUNCTION("""COMPUTED_VALUE"""),"No")</f>
        <v>No</v>
      </c>
    </row>
    <row r="129" spans="1:29" x14ac:dyDescent="0.25">
      <c r="A129" s="5" t="str">
        <f ca="1">IFERROR(__xludf.DUMMYFUNCTION("""COMPUTED_VALUE"""),"WildHot40Meridian")</f>
        <v>WildHot40Meridian</v>
      </c>
      <c r="B1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9" s="5" t="str">
        <f ca="1">IFERROR(__xludf.DUMMYFUNCTION("""COMPUTED_VALUE"""),"Yes")</f>
        <v>Yes</v>
      </c>
      <c r="D129" s="5" t="str">
        <f ca="1">IFERROR(__xludf.DUMMYFUNCTION("""COMPUTED_VALUE"""),"Yes")</f>
        <v>Yes</v>
      </c>
      <c r="E129" s="5" t="str">
        <f ca="1">IFERROR(__xludf.DUMMYFUNCTION("""COMPUTED_VALUE"""),"Yes")</f>
        <v>Yes</v>
      </c>
      <c r="F129" s="5" t="str">
        <f ca="1">IFERROR(__xludf.DUMMYFUNCTION("""COMPUTED_VALUE"""),"Yes")</f>
        <v>Yes</v>
      </c>
      <c r="G129" s="5" t="str">
        <f ca="1">IFERROR(__xludf.DUMMYFUNCTION("""COMPUTED_VALUE"""),"Yes")</f>
        <v>Yes</v>
      </c>
      <c r="H129" s="5" t="str">
        <f ca="1">IFERROR(__xludf.DUMMYFUNCTION("""COMPUTED_VALUE"""),"Yes")</f>
        <v>Yes</v>
      </c>
      <c r="I129" s="5" t="str">
        <f ca="1">IFERROR(__xludf.DUMMYFUNCTION("""COMPUTED_VALUE"""),"Yes")</f>
        <v>Yes</v>
      </c>
      <c r="J129" s="5" t="str">
        <f ca="1">IFERROR(__xludf.DUMMYFUNCTION("""COMPUTED_VALUE"""),"Yes")</f>
        <v>Yes</v>
      </c>
      <c r="K129" s="5" t="str">
        <f ca="1">IFERROR(__xludf.DUMMYFUNCTION("""COMPUTED_VALUE"""),"Yes")</f>
        <v>Yes</v>
      </c>
      <c r="L129" s="5" t="str">
        <f ca="1">IFERROR(__xludf.DUMMYFUNCTION("""COMPUTED_VALUE"""),"Yes")</f>
        <v>Yes</v>
      </c>
      <c r="M129" s="5" t="str">
        <f ca="1">IFERROR(__xludf.DUMMYFUNCTION("""COMPUTED_VALUE"""),"Yes")</f>
        <v>Yes</v>
      </c>
      <c r="N129" s="5" t="str">
        <f ca="1">IFERROR(__xludf.DUMMYFUNCTION("""COMPUTED_VALUE"""),"Yes")</f>
        <v>Yes</v>
      </c>
      <c r="O129" s="5" t="str">
        <f ca="1">IFERROR(__xludf.DUMMYFUNCTION("""COMPUTED_VALUE"""),"Yes")</f>
        <v>Yes</v>
      </c>
      <c r="P129" s="5" t="str">
        <f ca="1">IFERROR(__xludf.DUMMYFUNCTION("""COMPUTED_VALUE"""),"Yes")</f>
        <v>Yes</v>
      </c>
      <c r="Q129" s="5" t="str">
        <f ca="1">IFERROR(__xludf.DUMMYFUNCTION("""COMPUTED_VALUE"""),"Yes")</f>
        <v>Yes</v>
      </c>
      <c r="R129" s="5" t="str">
        <f ca="1">IFERROR(__xludf.DUMMYFUNCTION("""COMPUTED_VALUE"""),"Yes")</f>
        <v>Yes</v>
      </c>
      <c r="S129" s="5" t="str">
        <f ca="1">IFERROR(__xludf.DUMMYFUNCTION("""COMPUTED_VALUE"""),"Yes")</f>
        <v>Yes</v>
      </c>
      <c r="T129" s="5" t="str">
        <f ca="1">IFERROR(__xludf.DUMMYFUNCTION("""COMPUTED_VALUE"""),"Yes")</f>
        <v>Yes</v>
      </c>
      <c r="U129" s="5" t="str">
        <f ca="1">IFERROR(__xludf.DUMMYFUNCTION("""COMPUTED_VALUE"""),"Yes")</f>
        <v>Yes</v>
      </c>
      <c r="V129" s="5" t="str">
        <f ca="1">IFERROR(__xludf.DUMMYFUNCTION("""COMPUTED_VALUE"""),"Yes")</f>
        <v>Yes</v>
      </c>
      <c r="W129" s="5" t="str">
        <f ca="1">IFERROR(__xludf.DUMMYFUNCTION("""COMPUTED_VALUE"""),"Yes")</f>
        <v>Yes</v>
      </c>
      <c r="X129" s="5" t="str">
        <f ca="1">IFERROR(__xludf.DUMMYFUNCTION("""COMPUTED_VALUE"""),"Yes")</f>
        <v>Yes</v>
      </c>
      <c r="Y129" s="5" t="str">
        <f ca="1">IFERROR(__xludf.DUMMYFUNCTION("""COMPUTED_VALUE"""),"Yes")</f>
        <v>Yes</v>
      </c>
      <c r="Z129" s="5" t="str">
        <f ca="1">IFERROR(__xludf.DUMMYFUNCTION("""COMPUTED_VALUE"""),"Yes")</f>
        <v>Yes</v>
      </c>
      <c r="AA129" s="5" t="str">
        <f ca="1">IFERROR(__xludf.DUMMYFUNCTION("""COMPUTED_VALUE"""),"Yes")</f>
        <v>Yes</v>
      </c>
      <c r="AB129" s="5" t="str">
        <f ca="1">IFERROR(__xludf.DUMMYFUNCTION("""COMPUTED_VALUE"""),"Yes")</f>
        <v>Yes</v>
      </c>
      <c r="AC129" s="5" t="str">
        <f ca="1">IFERROR(__xludf.DUMMYFUNCTION("""COMPUTED_VALUE"""),"No")</f>
        <v>No</v>
      </c>
    </row>
    <row r="130" spans="1:29" x14ac:dyDescent="0.25">
      <c r="A130" s="5" t="str">
        <f ca="1">IFERROR(__xludf.DUMMYFUNCTION("""COMPUTED_VALUE"""),"CrystalHot40Free")</f>
        <v>CrystalHot40Free</v>
      </c>
      <c r="B1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0" s="5" t="str">
        <f ca="1">IFERROR(__xludf.DUMMYFUNCTION("""COMPUTED_VALUE"""),"Yes")</f>
        <v>Yes</v>
      </c>
      <c r="D130" s="5" t="str">
        <f ca="1">IFERROR(__xludf.DUMMYFUNCTION("""COMPUTED_VALUE"""),"Yes")</f>
        <v>Yes</v>
      </c>
      <c r="E130" s="5" t="str">
        <f ca="1">IFERROR(__xludf.DUMMYFUNCTION("""COMPUTED_VALUE"""),"Yes")</f>
        <v>Yes</v>
      </c>
      <c r="F130" s="5" t="str">
        <f ca="1">IFERROR(__xludf.DUMMYFUNCTION("""COMPUTED_VALUE"""),"Yes")</f>
        <v>Yes</v>
      </c>
      <c r="G130" s="5" t="str">
        <f ca="1">IFERROR(__xludf.DUMMYFUNCTION("""COMPUTED_VALUE"""),"Yes")</f>
        <v>Yes</v>
      </c>
      <c r="H130" s="5" t="str">
        <f ca="1">IFERROR(__xludf.DUMMYFUNCTION("""COMPUTED_VALUE"""),"Yes")</f>
        <v>Yes</v>
      </c>
      <c r="I130" s="5" t="str">
        <f ca="1">IFERROR(__xludf.DUMMYFUNCTION("""COMPUTED_VALUE"""),"Yes")</f>
        <v>Yes</v>
      </c>
      <c r="J130" s="5" t="str">
        <f ca="1">IFERROR(__xludf.DUMMYFUNCTION("""COMPUTED_VALUE"""),"Yes")</f>
        <v>Yes</v>
      </c>
      <c r="K130" s="5" t="str">
        <f ca="1">IFERROR(__xludf.DUMMYFUNCTION("""COMPUTED_VALUE"""),"Yes")</f>
        <v>Yes</v>
      </c>
      <c r="L130" s="5" t="str">
        <f ca="1">IFERROR(__xludf.DUMMYFUNCTION("""COMPUTED_VALUE"""),"Yes")</f>
        <v>Yes</v>
      </c>
      <c r="M130" s="5" t="str">
        <f ca="1">IFERROR(__xludf.DUMMYFUNCTION("""COMPUTED_VALUE"""),"Yes")</f>
        <v>Yes</v>
      </c>
      <c r="N130" s="5" t="str">
        <f ca="1">IFERROR(__xludf.DUMMYFUNCTION("""COMPUTED_VALUE"""),"Yes")</f>
        <v>Yes</v>
      </c>
      <c r="O130" s="5" t="str">
        <f ca="1">IFERROR(__xludf.DUMMYFUNCTION("""COMPUTED_VALUE"""),"Yes")</f>
        <v>Yes</v>
      </c>
      <c r="P130" s="5" t="str">
        <f ca="1">IFERROR(__xludf.DUMMYFUNCTION("""COMPUTED_VALUE"""),"Yes")</f>
        <v>Yes</v>
      </c>
      <c r="Q130" s="5" t="str">
        <f ca="1">IFERROR(__xludf.DUMMYFUNCTION("""COMPUTED_VALUE"""),"Yes")</f>
        <v>Yes</v>
      </c>
      <c r="R130" s="5" t="str">
        <f ca="1">IFERROR(__xludf.DUMMYFUNCTION("""COMPUTED_VALUE"""),"Yes")</f>
        <v>Yes</v>
      </c>
      <c r="S130" s="5" t="str">
        <f ca="1">IFERROR(__xludf.DUMMYFUNCTION("""COMPUTED_VALUE"""),"Yes")</f>
        <v>Yes</v>
      </c>
      <c r="T130" s="5" t="str">
        <f ca="1">IFERROR(__xludf.DUMMYFUNCTION("""COMPUTED_VALUE"""),"Yes")</f>
        <v>Yes</v>
      </c>
      <c r="U130" s="5" t="str">
        <f ca="1">IFERROR(__xludf.DUMMYFUNCTION("""COMPUTED_VALUE"""),"Yes")</f>
        <v>Yes</v>
      </c>
      <c r="V130" s="5" t="str">
        <f ca="1">IFERROR(__xludf.DUMMYFUNCTION("""COMPUTED_VALUE"""),"Yes")</f>
        <v>Yes</v>
      </c>
      <c r="W130" s="5" t="str">
        <f ca="1">IFERROR(__xludf.DUMMYFUNCTION("""COMPUTED_VALUE"""),"Yes")</f>
        <v>Yes</v>
      </c>
      <c r="X130" s="5" t="str">
        <f ca="1">IFERROR(__xludf.DUMMYFUNCTION("""COMPUTED_VALUE"""),"Yes")</f>
        <v>Yes</v>
      </c>
      <c r="Y130" s="5" t="str">
        <f ca="1">IFERROR(__xludf.DUMMYFUNCTION("""COMPUTED_VALUE"""),"Yes")</f>
        <v>Yes</v>
      </c>
      <c r="Z130" s="5" t="str">
        <f ca="1">IFERROR(__xludf.DUMMYFUNCTION("""COMPUTED_VALUE"""),"Yes")</f>
        <v>Yes</v>
      </c>
      <c r="AA130" s="5" t="str">
        <f ca="1">IFERROR(__xludf.DUMMYFUNCTION("""COMPUTED_VALUE"""),"Yes")</f>
        <v>Yes</v>
      </c>
      <c r="AB130" s="5" t="str">
        <f ca="1">IFERROR(__xludf.DUMMYFUNCTION("""COMPUTED_VALUE"""),"Yes")</f>
        <v>Yes</v>
      </c>
      <c r="AC130" s="5" t="str">
        <f ca="1">IFERROR(__xludf.DUMMYFUNCTION("""COMPUTED_VALUE"""),"No")</f>
        <v>No</v>
      </c>
    </row>
    <row r="131" spans="1:29" x14ac:dyDescent="0.25">
      <c r="A131" s="5" t="str">
        <f ca="1">IFERROR(__xludf.DUMMYFUNCTION("""COMPUTED_VALUE"""),"CrystalHot40Pw")</f>
        <v>CrystalHot40Pw</v>
      </c>
      <c r="B1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1" s="5" t="str">
        <f ca="1">IFERROR(__xludf.DUMMYFUNCTION("""COMPUTED_VALUE"""),"Yes")</f>
        <v>Yes</v>
      </c>
      <c r="D131" s="5" t="str">
        <f ca="1">IFERROR(__xludf.DUMMYFUNCTION("""COMPUTED_VALUE"""),"Yes")</f>
        <v>Yes</v>
      </c>
      <c r="E131" s="5" t="str">
        <f ca="1">IFERROR(__xludf.DUMMYFUNCTION("""COMPUTED_VALUE"""),"Yes")</f>
        <v>Yes</v>
      </c>
      <c r="F131" s="5" t="str">
        <f ca="1">IFERROR(__xludf.DUMMYFUNCTION("""COMPUTED_VALUE"""),"Yes")</f>
        <v>Yes</v>
      </c>
      <c r="G131" s="5" t="str">
        <f ca="1">IFERROR(__xludf.DUMMYFUNCTION("""COMPUTED_VALUE"""),"Yes")</f>
        <v>Yes</v>
      </c>
      <c r="H131" s="5" t="str">
        <f ca="1">IFERROR(__xludf.DUMMYFUNCTION("""COMPUTED_VALUE"""),"Yes")</f>
        <v>Yes</v>
      </c>
      <c r="I131" s="5" t="str">
        <f ca="1">IFERROR(__xludf.DUMMYFUNCTION("""COMPUTED_VALUE"""),"Yes")</f>
        <v>Yes</v>
      </c>
      <c r="J131" s="5" t="str">
        <f ca="1">IFERROR(__xludf.DUMMYFUNCTION("""COMPUTED_VALUE"""),"Yes")</f>
        <v>Yes</v>
      </c>
      <c r="K131" s="5" t="str">
        <f ca="1">IFERROR(__xludf.DUMMYFUNCTION("""COMPUTED_VALUE"""),"Yes")</f>
        <v>Yes</v>
      </c>
      <c r="L131" s="5" t="str">
        <f ca="1">IFERROR(__xludf.DUMMYFUNCTION("""COMPUTED_VALUE"""),"Yes")</f>
        <v>Yes</v>
      </c>
      <c r="M131" s="5" t="str">
        <f ca="1">IFERROR(__xludf.DUMMYFUNCTION("""COMPUTED_VALUE"""),"Yes")</f>
        <v>Yes</v>
      </c>
      <c r="N131" s="5" t="str">
        <f ca="1">IFERROR(__xludf.DUMMYFUNCTION("""COMPUTED_VALUE"""),"Yes")</f>
        <v>Yes</v>
      </c>
      <c r="O131" s="5" t="str">
        <f ca="1">IFERROR(__xludf.DUMMYFUNCTION("""COMPUTED_VALUE"""),"Yes")</f>
        <v>Yes</v>
      </c>
      <c r="P131" s="5" t="str">
        <f ca="1">IFERROR(__xludf.DUMMYFUNCTION("""COMPUTED_VALUE"""),"Yes")</f>
        <v>Yes</v>
      </c>
      <c r="Q131" s="5" t="str">
        <f ca="1">IFERROR(__xludf.DUMMYFUNCTION("""COMPUTED_VALUE"""),"Yes")</f>
        <v>Yes</v>
      </c>
      <c r="R131" s="5" t="str">
        <f ca="1">IFERROR(__xludf.DUMMYFUNCTION("""COMPUTED_VALUE"""),"Yes")</f>
        <v>Yes</v>
      </c>
      <c r="S131" s="5" t="str">
        <f ca="1">IFERROR(__xludf.DUMMYFUNCTION("""COMPUTED_VALUE"""),"Yes")</f>
        <v>Yes</v>
      </c>
      <c r="T131" s="5" t="str">
        <f ca="1">IFERROR(__xludf.DUMMYFUNCTION("""COMPUTED_VALUE"""),"Yes")</f>
        <v>Yes</v>
      </c>
      <c r="U131" s="5" t="str">
        <f ca="1">IFERROR(__xludf.DUMMYFUNCTION("""COMPUTED_VALUE"""),"Yes")</f>
        <v>Yes</v>
      </c>
      <c r="V131" s="5" t="str">
        <f ca="1">IFERROR(__xludf.DUMMYFUNCTION("""COMPUTED_VALUE"""),"Yes")</f>
        <v>Yes</v>
      </c>
      <c r="W131" s="5" t="str">
        <f ca="1">IFERROR(__xludf.DUMMYFUNCTION("""COMPUTED_VALUE"""),"Yes")</f>
        <v>Yes</v>
      </c>
      <c r="X131" s="5" t="str">
        <f ca="1">IFERROR(__xludf.DUMMYFUNCTION("""COMPUTED_VALUE"""),"Yes")</f>
        <v>Yes</v>
      </c>
      <c r="Y131" s="5" t="str">
        <f ca="1">IFERROR(__xludf.DUMMYFUNCTION("""COMPUTED_VALUE"""),"Yes")</f>
        <v>Yes</v>
      </c>
      <c r="Z131" s="5" t="str">
        <f ca="1">IFERROR(__xludf.DUMMYFUNCTION("""COMPUTED_VALUE"""),"Yes")</f>
        <v>Yes</v>
      </c>
      <c r="AA131" s="5" t="str">
        <f ca="1">IFERROR(__xludf.DUMMYFUNCTION("""COMPUTED_VALUE"""),"Yes")</f>
        <v>Yes</v>
      </c>
      <c r="AB131" s="5" t="str">
        <f ca="1">IFERROR(__xludf.DUMMYFUNCTION("""COMPUTED_VALUE"""),"Yes")</f>
        <v>Yes</v>
      </c>
      <c r="AC131" s="5" t="str">
        <f ca="1">IFERROR(__xludf.DUMMYFUNCTION("""COMPUTED_VALUE"""),"No")</f>
        <v>No</v>
      </c>
    </row>
    <row r="132" spans="1:29" x14ac:dyDescent="0.25">
      <c r="A132" s="5" t="str">
        <f ca="1">IFERROR(__xludf.DUMMYFUNCTION("""COMPUTED_VALUE"""),"ElGrandeToro")</f>
        <v>ElGrandeToro</v>
      </c>
      <c r="B1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2" s="5" t="str">
        <f ca="1">IFERROR(__xludf.DUMMYFUNCTION("""COMPUTED_VALUE"""),"Yes")</f>
        <v>Yes</v>
      </c>
      <c r="D132" s="5" t="str">
        <f ca="1">IFERROR(__xludf.DUMMYFUNCTION("""COMPUTED_VALUE"""),"Yes")</f>
        <v>Yes</v>
      </c>
      <c r="E132" s="5" t="str">
        <f ca="1">IFERROR(__xludf.DUMMYFUNCTION("""COMPUTED_VALUE"""),"Yes")</f>
        <v>Yes</v>
      </c>
      <c r="F132" s="5" t="str">
        <f ca="1">IFERROR(__xludf.DUMMYFUNCTION("""COMPUTED_VALUE"""),"Yes")</f>
        <v>Yes</v>
      </c>
      <c r="G132" s="5" t="str">
        <f ca="1">IFERROR(__xludf.DUMMYFUNCTION("""COMPUTED_VALUE"""),"Yes")</f>
        <v>Yes</v>
      </c>
      <c r="H132" s="5" t="str">
        <f ca="1">IFERROR(__xludf.DUMMYFUNCTION("""COMPUTED_VALUE"""),"Yes")</f>
        <v>Yes</v>
      </c>
      <c r="I132" s="5" t="str">
        <f ca="1">IFERROR(__xludf.DUMMYFUNCTION("""COMPUTED_VALUE"""),"Yes")</f>
        <v>Yes</v>
      </c>
      <c r="J132" s="5" t="str">
        <f ca="1">IFERROR(__xludf.DUMMYFUNCTION("""COMPUTED_VALUE"""),"Yes")</f>
        <v>Yes</v>
      </c>
      <c r="K132" s="5" t="str">
        <f ca="1">IFERROR(__xludf.DUMMYFUNCTION("""COMPUTED_VALUE"""),"Yes")</f>
        <v>Yes</v>
      </c>
      <c r="L132" s="5" t="str">
        <f ca="1">IFERROR(__xludf.DUMMYFUNCTION("""COMPUTED_VALUE"""),"Yes")</f>
        <v>Yes</v>
      </c>
      <c r="M132" s="5" t="str">
        <f ca="1">IFERROR(__xludf.DUMMYFUNCTION("""COMPUTED_VALUE"""),"Yes")</f>
        <v>Yes</v>
      </c>
      <c r="N132" s="5" t="str">
        <f ca="1">IFERROR(__xludf.DUMMYFUNCTION("""COMPUTED_VALUE"""),"Yes")</f>
        <v>Yes</v>
      </c>
      <c r="O132" s="5" t="str">
        <f ca="1">IFERROR(__xludf.DUMMYFUNCTION("""COMPUTED_VALUE"""),"Yes")</f>
        <v>Yes</v>
      </c>
      <c r="P132" s="5" t="str">
        <f ca="1">IFERROR(__xludf.DUMMYFUNCTION("""COMPUTED_VALUE"""),"Yes")</f>
        <v>Yes</v>
      </c>
      <c r="Q132" s="5" t="str">
        <f ca="1">IFERROR(__xludf.DUMMYFUNCTION("""COMPUTED_VALUE"""),"Yes")</f>
        <v>Yes</v>
      </c>
      <c r="R132" s="5" t="str">
        <f ca="1">IFERROR(__xludf.DUMMYFUNCTION("""COMPUTED_VALUE"""),"Yes")</f>
        <v>Yes</v>
      </c>
      <c r="S132" s="5" t="str">
        <f ca="1">IFERROR(__xludf.DUMMYFUNCTION("""COMPUTED_VALUE"""),"Yes")</f>
        <v>Yes</v>
      </c>
      <c r="T132" s="5" t="str">
        <f ca="1">IFERROR(__xludf.DUMMYFUNCTION("""COMPUTED_VALUE"""),"Yes")</f>
        <v>Yes</v>
      </c>
      <c r="U132" s="5" t="str">
        <f ca="1">IFERROR(__xludf.DUMMYFUNCTION("""COMPUTED_VALUE"""),"Yes")</f>
        <v>Yes</v>
      </c>
      <c r="V132" s="5" t="str">
        <f ca="1">IFERROR(__xludf.DUMMYFUNCTION("""COMPUTED_VALUE"""),"Yes")</f>
        <v>Yes</v>
      </c>
      <c r="W132" s="5" t="str">
        <f ca="1">IFERROR(__xludf.DUMMYFUNCTION("""COMPUTED_VALUE"""),"Yes")</f>
        <v>Yes</v>
      </c>
      <c r="X132" s="5" t="str">
        <f ca="1">IFERROR(__xludf.DUMMYFUNCTION("""COMPUTED_VALUE"""),"Yes")</f>
        <v>Yes</v>
      </c>
      <c r="Y132" s="5" t="str">
        <f ca="1">IFERROR(__xludf.DUMMYFUNCTION("""COMPUTED_VALUE"""),"Yes")</f>
        <v>Yes</v>
      </c>
      <c r="Z132" s="5" t="str">
        <f ca="1">IFERROR(__xludf.DUMMYFUNCTION("""COMPUTED_VALUE"""),"Yes")</f>
        <v>Yes</v>
      </c>
      <c r="AA132" s="5" t="str">
        <f ca="1">IFERROR(__xludf.DUMMYFUNCTION("""COMPUTED_VALUE"""),"Yes")</f>
        <v>Yes</v>
      </c>
      <c r="AB132" s="5" t="str">
        <f ca="1">IFERROR(__xludf.DUMMYFUNCTION("""COMPUTED_VALUE"""),"Yes")</f>
        <v>Yes</v>
      </c>
      <c r="AC132" s="5" t="str">
        <f ca="1">IFERROR(__xludf.DUMMYFUNCTION("""COMPUTED_VALUE"""),"No")</f>
        <v>No</v>
      </c>
    </row>
    <row r="133" spans="1:29" x14ac:dyDescent="0.25">
      <c r="A133" s="5" t="str">
        <f ca="1">IFERROR(__xludf.DUMMYFUNCTION("""COMPUTED_VALUE"""),"UnicornGreatWhale")</f>
        <v>UnicornGreatWhale</v>
      </c>
      <c r="B1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3" s="5" t="str">
        <f ca="1">IFERROR(__xludf.DUMMYFUNCTION("""COMPUTED_VALUE"""),"Yes")</f>
        <v>Yes</v>
      </c>
      <c r="D133" s="5" t="str">
        <f ca="1">IFERROR(__xludf.DUMMYFUNCTION("""COMPUTED_VALUE"""),"Yes")</f>
        <v>Yes</v>
      </c>
      <c r="E133" s="5" t="str">
        <f ca="1">IFERROR(__xludf.DUMMYFUNCTION("""COMPUTED_VALUE"""),"Yes")</f>
        <v>Yes</v>
      </c>
      <c r="F133" s="5" t="str">
        <f ca="1">IFERROR(__xludf.DUMMYFUNCTION("""COMPUTED_VALUE"""),"Yes")</f>
        <v>Yes</v>
      </c>
      <c r="G133" s="5" t="str">
        <f ca="1">IFERROR(__xludf.DUMMYFUNCTION("""COMPUTED_VALUE"""),"Yes")</f>
        <v>Yes</v>
      </c>
      <c r="H133" s="5" t="str">
        <f ca="1">IFERROR(__xludf.DUMMYFUNCTION("""COMPUTED_VALUE"""),"Yes")</f>
        <v>Yes</v>
      </c>
      <c r="I133" s="5" t="str">
        <f ca="1">IFERROR(__xludf.DUMMYFUNCTION("""COMPUTED_VALUE"""),"Yes")</f>
        <v>Yes</v>
      </c>
      <c r="J133" s="5" t="str">
        <f ca="1">IFERROR(__xludf.DUMMYFUNCTION("""COMPUTED_VALUE"""),"Yes")</f>
        <v>Yes</v>
      </c>
      <c r="K133" s="5" t="str">
        <f ca="1">IFERROR(__xludf.DUMMYFUNCTION("""COMPUTED_VALUE"""),"Yes")</f>
        <v>Yes</v>
      </c>
      <c r="L133" s="5" t="str">
        <f ca="1">IFERROR(__xludf.DUMMYFUNCTION("""COMPUTED_VALUE"""),"Yes")</f>
        <v>Yes</v>
      </c>
      <c r="M133" s="5" t="str">
        <f ca="1">IFERROR(__xludf.DUMMYFUNCTION("""COMPUTED_VALUE"""),"Yes")</f>
        <v>Yes</v>
      </c>
      <c r="N133" s="5" t="str">
        <f ca="1">IFERROR(__xludf.DUMMYFUNCTION("""COMPUTED_VALUE"""),"Yes")</f>
        <v>Yes</v>
      </c>
      <c r="O133" s="5" t="str">
        <f ca="1">IFERROR(__xludf.DUMMYFUNCTION("""COMPUTED_VALUE"""),"Yes")</f>
        <v>Yes</v>
      </c>
      <c r="P133" s="5" t="str">
        <f ca="1">IFERROR(__xludf.DUMMYFUNCTION("""COMPUTED_VALUE"""),"Yes")</f>
        <v>Yes</v>
      </c>
      <c r="Q133" s="5" t="str">
        <f ca="1">IFERROR(__xludf.DUMMYFUNCTION("""COMPUTED_VALUE"""),"Yes")</f>
        <v>Yes</v>
      </c>
      <c r="R133" s="5" t="str">
        <f ca="1">IFERROR(__xludf.DUMMYFUNCTION("""COMPUTED_VALUE"""),"Yes")</f>
        <v>Yes</v>
      </c>
      <c r="S133" s="5" t="str">
        <f ca="1">IFERROR(__xludf.DUMMYFUNCTION("""COMPUTED_VALUE"""),"Yes")</f>
        <v>Yes</v>
      </c>
      <c r="T133" s="5" t="str">
        <f ca="1">IFERROR(__xludf.DUMMYFUNCTION("""COMPUTED_VALUE"""),"Yes")</f>
        <v>Yes</v>
      </c>
      <c r="U133" s="5" t="str">
        <f ca="1">IFERROR(__xludf.DUMMYFUNCTION("""COMPUTED_VALUE"""),"Yes")</f>
        <v>Yes</v>
      </c>
      <c r="V133" s="5" t="str">
        <f ca="1">IFERROR(__xludf.DUMMYFUNCTION("""COMPUTED_VALUE"""),"Yes")</f>
        <v>Yes</v>
      </c>
      <c r="W133" s="5" t="str">
        <f ca="1">IFERROR(__xludf.DUMMYFUNCTION("""COMPUTED_VALUE"""),"Yes")</f>
        <v>Yes</v>
      </c>
      <c r="X133" s="5" t="str">
        <f ca="1">IFERROR(__xludf.DUMMYFUNCTION("""COMPUTED_VALUE"""),"Yes")</f>
        <v>Yes</v>
      </c>
      <c r="Y133" s="5" t="str">
        <f ca="1">IFERROR(__xludf.DUMMYFUNCTION("""COMPUTED_VALUE"""),"Yes")</f>
        <v>Yes</v>
      </c>
      <c r="Z133" s="5" t="str">
        <f ca="1">IFERROR(__xludf.DUMMYFUNCTION("""COMPUTED_VALUE"""),"Yes")</f>
        <v>Yes</v>
      </c>
      <c r="AA133" s="5" t="str">
        <f ca="1">IFERROR(__xludf.DUMMYFUNCTION("""COMPUTED_VALUE"""),"Yes")</f>
        <v>Yes</v>
      </c>
      <c r="AB133" s="5" t="str">
        <f ca="1">IFERROR(__xludf.DUMMYFUNCTION("""COMPUTED_VALUE"""),"Yes")</f>
        <v>Yes</v>
      </c>
      <c r="AC133" s="5"/>
    </row>
    <row r="134" spans="1:29" x14ac:dyDescent="0.25">
      <c r="A134" s="5" t="str">
        <f ca="1">IFERROR(__xludf.DUMMYFUNCTION("""COMPUTED_VALUE"""),"WinningStars")</f>
        <v>WinningStars</v>
      </c>
      <c r="B1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4" s="5" t="str">
        <f ca="1">IFERROR(__xludf.DUMMYFUNCTION("""COMPUTED_VALUE"""),"Yes")</f>
        <v>Yes</v>
      </c>
      <c r="D134" s="5" t="str">
        <f ca="1">IFERROR(__xludf.DUMMYFUNCTION("""COMPUTED_VALUE"""),"Yes")</f>
        <v>Yes</v>
      </c>
      <c r="E134" s="5" t="str">
        <f ca="1">IFERROR(__xludf.DUMMYFUNCTION("""COMPUTED_VALUE"""),"Yes")</f>
        <v>Yes</v>
      </c>
      <c r="F134" s="5" t="str">
        <f ca="1">IFERROR(__xludf.DUMMYFUNCTION("""COMPUTED_VALUE"""),"Yes")</f>
        <v>Yes</v>
      </c>
      <c r="G134" s="5" t="str">
        <f ca="1">IFERROR(__xludf.DUMMYFUNCTION("""COMPUTED_VALUE"""),"Yes")</f>
        <v>Yes</v>
      </c>
      <c r="H134" s="5" t="str">
        <f ca="1">IFERROR(__xludf.DUMMYFUNCTION("""COMPUTED_VALUE"""),"Yes")</f>
        <v>Yes</v>
      </c>
      <c r="I134" s="5" t="str">
        <f ca="1">IFERROR(__xludf.DUMMYFUNCTION("""COMPUTED_VALUE"""),"Yes")</f>
        <v>Yes</v>
      </c>
      <c r="J134" s="5" t="str">
        <f ca="1">IFERROR(__xludf.DUMMYFUNCTION("""COMPUTED_VALUE"""),"Yes")</f>
        <v>Yes</v>
      </c>
      <c r="K134" s="5" t="str">
        <f ca="1">IFERROR(__xludf.DUMMYFUNCTION("""COMPUTED_VALUE"""),"Yes")</f>
        <v>Yes</v>
      </c>
      <c r="L134" s="5" t="str">
        <f ca="1">IFERROR(__xludf.DUMMYFUNCTION("""COMPUTED_VALUE"""),"Yes")</f>
        <v>Yes</v>
      </c>
      <c r="M134" s="5" t="str">
        <f ca="1">IFERROR(__xludf.DUMMYFUNCTION("""COMPUTED_VALUE"""),"Yes")</f>
        <v>Yes</v>
      </c>
      <c r="N134" s="5" t="str">
        <f ca="1">IFERROR(__xludf.DUMMYFUNCTION("""COMPUTED_VALUE"""),"Yes")</f>
        <v>Yes</v>
      </c>
      <c r="O134" s="5" t="str">
        <f ca="1">IFERROR(__xludf.DUMMYFUNCTION("""COMPUTED_VALUE"""),"Yes")</f>
        <v>Yes</v>
      </c>
      <c r="P134" s="5" t="str">
        <f ca="1">IFERROR(__xludf.DUMMYFUNCTION("""COMPUTED_VALUE"""),"Yes")</f>
        <v>Yes</v>
      </c>
      <c r="Q134" s="5" t="str">
        <f ca="1">IFERROR(__xludf.DUMMYFUNCTION("""COMPUTED_VALUE"""),"Yes")</f>
        <v>Yes</v>
      </c>
      <c r="R134" s="5" t="str">
        <f ca="1">IFERROR(__xludf.DUMMYFUNCTION("""COMPUTED_VALUE"""),"Yes")</f>
        <v>Yes</v>
      </c>
      <c r="S134" s="5" t="str">
        <f ca="1">IFERROR(__xludf.DUMMYFUNCTION("""COMPUTED_VALUE"""),"Yes")</f>
        <v>Yes</v>
      </c>
      <c r="T134" s="5" t="str">
        <f ca="1">IFERROR(__xludf.DUMMYFUNCTION("""COMPUTED_VALUE"""),"Yes")</f>
        <v>Yes</v>
      </c>
      <c r="U134" s="5" t="str">
        <f ca="1">IFERROR(__xludf.DUMMYFUNCTION("""COMPUTED_VALUE"""),"Yes")</f>
        <v>Yes</v>
      </c>
      <c r="V134" s="5" t="str">
        <f ca="1">IFERROR(__xludf.DUMMYFUNCTION("""COMPUTED_VALUE"""),"Yes")</f>
        <v>Yes</v>
      </c>
      <c r="W134" s="5" t="str">
        <f ca="1">IFERROR(__xludf.DUMMYFUNCTION("""COMPUTED_VALUE"""),"Yes")</f>
        <v>Yes</v>
      </c>
      <c r="X134" s="5" t="str">
        <f ca="1">IFERROR(__xludf.DUMMYFUNCTION("""COMPUTED_VALUE"""),"Yes")</f>
        <v>Yes</v>
      </c>
      <c r="Y134" s="5" t="str">
        <f ca="1">IFERROR(__xludf.DUMMYFUNCTION("""COMPUTED_VALUE"""),"Yes")</f>
        <v>Yes</v>
      </c>
      <c r="Z134" s="5" t="str">
        <f ca="1">IFERROR(__xludf.DUMMYFUNCTION("""COMPUTED_VALUE"""),"Yes")</f>
        <v>Yes</v>
      </c>
      <c r="AA134" s="5" t="str">
        <f ca="1">IFERROR(__xludf.DUMMYFUNCTION("""COMPUTED_VALUE"""),"Yes")</f>
        <v>Yes</v>
      </c>
      <c r="AB134" s="5" t="str">
        <f ca="1">IFERROR(__xludf.DUMMYFUNCTION("""COMPUTED_VALUE"""),"Yes")</f>
        <v>Yes</v>
      </c>
      <c r="AC134" s="5" t="str">
        <f ca="1">IFERROR(__xludf.DUMMYFUNCTION("""COMPUTED_VALUE"""),"No")</f>
        <v>No</v>
      </c>
    </row>
    <row r="135" spans="1:29" x14ac:dyDescent="0.25">
      <c r="A135" s="5" t="str">
        <f ca="1">IFERROR(__xludf.DUMMYFUNCTION("""COMPUTED_VALUE"""),"BigBuddha")</f>
        <v>BigBuddha</v>
      </c>
      <c r="B1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5" s="5" t="str">
        <f ca="1">IFERROR(__xludf.DUMMYFUNCTION("""COMPUTED_VALUE"""),"Yes")</f>
        <v>Yes</v>
      </c>
      <c r="D135" s="5" t="str">
        <f ca="1">IFERROR(__xludf.DUMMYFUNCTION("""COMPUTED_VALUE"""),"Yes")</f>
        <v>Yes</v>
      </c>
      <c r="E135" s="5" t="str">
        <f ca="1">IFERROR(__xludf.DUMMYFUNCTION("""COMPUTED_VALUE"""),"Yes")</f>
        <v>Yes</v>
      </c>
      <c r="F135" s="5" t="str">
        <f ca="1">IFERROR(__xludf.DUMMYFUNCTION("""COMPUTED_VALUE"""),"Yes")</f>
        <v>Yes</v>
      </c>
      <c r="G135" s="5" t="str">
        <f ca="1">IFERROR(__xludf.DUMMYFUNCTION("""COMPUTED_VALUE"""),"Yes")</f>
        <v>Yes</v>
      </c>
      <c r="H135" s="5" t="str">
        <f ca="1">IFERROR(__xludf.DUMMYFUNCTION("""COMPUTED_VALUE"""),"Yes")</f>
        <v>Yes</v>
      </c>
      <c r="I135" s="5" t="str">
        <f ca="1">IFERROR(__xludf.DUMMYFUNCTION("""COMPUTED_VALUE"""),"Yes")</f>
        <v>Yes</v>
      </c>
      <c r="J135" s="5" t="str">
        <f ca="1">IFERROR(__xludf.DUMMYFUNCTION("""COMPUTED_VALUE"""),"Yes")</f>
        <v>Yes</v>
      </c>
      <c r="K135" s="5" t="str">
        <f ca="1">IFERROR(__xludf.DUMMYFUNCTION("""COMPUTED_VALUE"""),"Yes")</f>
        <v>Yes</v>
      </c>
      <c r="L135" s="5" t="str">
        <f ca="1">IFERROR(__xludf.DUMMYFUNCTION("""COMPUTED_VALUE"""),"Yes")</f>
        <v>Yes</v>
      </c>
      <c r="M135" s="5" t="str">
        <f ca="1">IFERROR(__xludf.DUMMYFUNCTION("""COMPUTED_VALUE"""),"Yes")</f>
        <v>Yes</v>
      </c>
      <c r="N135" s="5" t="str">
        <f ca="1">IFERROR(__xludf.DUMMYFUNCTION("""COMPUTED_VALUE"""),"Yes")</f>
        <v>Yes</v>
      </c>
      <c r="O135" s="5" t="str">
        <f ca="1">IFERROR(__xludf.DUMMYFUNCTION("""COMPUTED_VALUE"""),"Yes")</f>
        <v>Yes</v>
      </c>
      <c r="P135" s="5" t="str">
        <f ca="1">IFERROR(__xludf.DUMMYFUNCTION("""COMPUTED_VALUE"""),"Yes")</f>
        <v>Yes</v>
      </c>
      <c r="Q135" s="5" t="str">
        <f ca="1">IFERROR(__xludf.DUMMYFUNCTION("""COMPUTED_VALUE"""),"Yes")</f>
        <v>Yes</v>
      </c>
      <c r="R135" s="5" t="str">
        <f ca="1">IFERROR(__xludf.DUMMYFUNCTION("""COMPUTED_VALUE"""),"Yes")</f>
        <v>Yes</v>
      </c>
      <c r="S135" s="5" t="str">
        <f ca="1">IFERROR(__xludf.DUMMYFUNCTION("""COMPUTED_VALUE"""),"Yes")</f>
        <v>Yes</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IFERROR(__xludf.DUMMYFUNCTION("""COMPUTED_VALUE"""),"Yes")</f>
        <v>Yes</v>
      </c>
      <c r="AA135" s="5" t="str">
        <f ca="1">IFERROR(__xludf.DUMMYFUNCTION("""COMPUTED_VALUE"""),"Yes")</f>
        <v>Yes</v>
      </c>
      <c r="AB135" s="5" t="str">
        <f ca="1">IFERROR(__xludf.DUMMYFUNCTION("""COMPUTED_VALUE"""),"Yes")</f>
        <v>Yes</v>
      </c>
      <c r="AC135" s="5" t="str">
        <f ca="1">IFERROR(__xludf.DUMMYFUNCTION("""COMPUTED_VALUE"""),"No")</f>
        <v>No</v>
      </c>
    </row>
    <row r="136" spans="1:29" x14ac:dyDescent="0.25">
      <c r="A136" s="5" t="str">
        <f ca="1">IFERROR(__xludf.DUMMYFUNCTION("""COMPUTED_VALUE"""),"CrystalHot100")</f>
        <v>CrystalHot100</v>
      </c>
      <c r="B1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6" s="5" t="str">
        <f ca="1">IFERROR(__xludf.DUMMYFUNCTION("""COMPUTED_VALUE"""),"Yes")</f>
        <v>Yes</v>
      </c>
      <c r="D136" s="5" t="str">
        <f ca="1">IFERROR(__xludf.DUMMYFUNCTION("""COMPUTED_VALUE"""),"Yes")</f>
        <v>Yes</v>
      </c>
      <c r="E136" s="5" t="str">
        <f ca="1">IFERROR(__xludf.DUMMYFUNCTION("""COMPUTED_VALUE"""),"Yes")</f>
        <v>Yes</v>
      </c>
      <c r="F136" s="5" t="str">
        <f ca="1">IFERROR(__xludf.DUMMYFUNCTION("""COMPUTED_VALUE"""),"Yes")</f>
        <v>Yes</v>
      </c>
      <c r="G136" s="5" t="str">
        <f ca="1">IFERROR(__xludf.DUMMYFUNCTION("""COMPUTED_VALUE"""),"Yes")</f>
        <v>Yes</v>
      </c>
      <c r="H136" s="5" t="str">
        <f ca="1">IFERROR(__xludf.DUMMYFUNCTION("""COMPUTED_VALUE"""),"Yes")</f>
        <v>Yes</v>
      </c>
      <c r="I136" s="5" t="str">
        <f ca="1">IFERROR(__xludf.DUMMYFUNCTION("""COMPUTED_VALUE"""),"Yes")</f>
        <v>Yes</v>
      </c>
      <c r="J136" s="5" t="str">
        <f ca="1">IFERROR(__xludf.DUMMYFUNCTION("""COMPUTED_VALUE"""),"Yes")</f>
        <v>Yes</v>
      </c>
      <c r="K136" s="5" t="str">
        <f ca="1">IFERROR(__xludf.DUMMYFUNCTION("""COMPUTED_VALUE"""),"Yes")</f>
        <v>Yes</v>
      </c>
      <c r="L136" s="5" t="str">
        <f ca="1">IFERROR(__xludf.DUMMYFUNCTION("""COMPUTED_VALUE"""),"Yes")</f>
        <v>Yes</v>
      </c>
      <c r="M136" s="5" t="str">
        <f ca="1">IFERROR(__xludf.DUMMYFUNCTION("""COMPUTED_VALUE"""),"Yes")</f>
        <v>Yes</v>
      </c>
      <c r="N136" s="5" t="str">
        <f ca="1">IFERROR(__xludf.DUMMYFUNCTION("""COMPUTED_VALUE"""),"Yes")</f>
        <v>Yes</v>
      </c>
      <c r="O136" s="5" t="str">
        <f ca="1">IFERROR(__xludf.DUMMYFUNCTION("""COMPUTED_VALUE"""),"Yes")</f>
        <v>Yes</v>
      </c>
      <c r="P136" s="5" t="str">
        <f ca="1">IFERROR(__xludf.DUMMYFUNCTION("""COMPUTED_VALUE"""),"Yes")</f>
        <v>Yes</v>
      </c>
      <c r="Q136" s="5" t="str">
        <f ca="1">IFERROR(__xludf.DUMMYFUNCTION("""COMPUTED_VALUE"""),"Yes")</f>
        <v>Yes</v>
      </c>
      <c r="R136" s="5" t="str">
        <f ca="1">IFERROR(__xludf.DUMMYFUNCTION("""COMPUTED_VALUE"""),"Yes")</f>
        <v>Yes</v>
      </c>
      <c r="S136" s="5" t="str">
        <f ca="1">IFERROR(__xludf.DUMMYFUNCTION("""COMPUTED_VALUE"""),"Yes")</f>
        <v>Yes</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IFERROR(__xludf.DUMMYFUNCTION("""COMPUTED_VALUE"""),"Yes")</f>
        <v>Yes</v>
      </c>
      <c r="AA136" s="5" t="str">
        <f ca="1">IFERROR(__xludf.DUMMYFUNCTION("""COMPUTED_VALUE"""),"Yes")</f>
        <v>Yes</v>
      </c>
      <c r="AB136" s="5" t="str">
        <f ca="1">IFERROR(__xludf.DUMMYFUNCTION("""COMPUTED_VALUE"""),"Yes")</f>
        <v>Yes</v>
      </c>
      <c r="AC136" s="5" t="str">
        <f ca="1">IFERROR(__xludf.DUMMYFUNCTION("""COMPUTED_VALUE"""),"No")</f>
        <v>No</v>
      </c>
    </row>
    <row r="137" spans="1:29" x14ac:dyDescent="0.25">
      <c r="A137" s="5" t="str">
        <f ca="1">IFERROR(__xludf.DUMMYFUNCTION("""COMPUTED_VALUE"""),"TurboHot80")</f>
        <v>TurboHot80</v>
      </c>
      <c r="B1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7" s="5" t="str">
        <f ca="1">IFERROR(__xludf.DUMMYFUNCTION("""COMPUTED_VALUE"""),"Yes")</f>
        <v>Yes</v>
      </c>
      <c r="D137" s="5" t="str">
        <f ca="1">IFERROR(__xludf.DUMMYFUNCTION("""COMPUTED_VALUE"""),"Yes")</f>
        <v>Yes</v>
      </c>
      <c r="E137" s="5" t="str">
        <f ca="1">IFERROR(__xludf.DUMMYFUNCTION("""COMPUTED_VALUE"""),"Yes")</f>
        <v>Yes</v>
      </c>
      <c r="F137" s="5" t="str">
        <f ca="1">IFERROR(__xludf.DUMMYFUNCTION("""COMPUTED_VALUE"""),"Yes")</f>
        <v>Yes</v>
      </c>
      <c r="G137" s="5" t="str">
        <f ca="1">IFERROR(__xludf.DUMMYFUNCTION("""COMPUTED_VALUE"""),"Yes")</f>
        <v>Yes</v>
      </c>
      <c r="H137" s="5" t="str">
        <f ca="1">IFERROR(__xludf.DUMMYFUNCTION("""COMPUTED_VALUE"""),"Yes")</f>
        <v>Yes</v>
      </c>
      <c r="I137" s="5" t="str">
        <f ca="1">IFERROR(__xludf.DUMMYFUNCTION("""COMPUTED_VALUE"""),"Yes")</f>
        <v>Yes</v>
      </c>
      <c r="J137" s="5" t="str">
        <f ca="1">IFERROR(__xludf.DUMMYFUNCTION("""COMPUTED_VALUE"""),"Yes")</f>
        <v>Yes</v>
      </c>
      <c r="K137" s="5" t="str">
        <f ca="1">IFERROR(__xludf.DUMMYFUNCTION("""COMPUTED_VALUE"""),"Yes")</f>
        <v>Yes</v>
      </c>
      <c r="L137" s="5" t="str">
        <f ca="1">IFERROR(__xludf.DUMMYFUNCTION("""COMPUTED_VALUE"""),"Yes")</f>
        <v>Yes</v>
      </c>
      <c r="M137" s="5" t="str">
        <f ca="1">IFERROR(__xludf.DUMMYFUNCTION("""COMPUTED_VALUE"""),"Yes")</f>
        <v>Yes</v>
      </c>
      <c r="N137" s="5" t="str">
        <f ca="1">IFERROR(__xludf.DUMMYFUNCTION("""COMPUTED_VALUE"""),"Yes")</f>
        <v>Yes</v>
      </c>
      <c r="O137" s="5" t="str">
        <f ca="1">IFERROR(__xludf.DUMMYFUNCTION("""COMPUTED_VALUE"""),"Yes")</f>
        <v>Yes</v>
      </c>
      <c r="P137" s="5" t="str">
        <f ca="1">IFERROR(__xludf.DUMMYFUNCTION("""COMPUTED_VALUE"""),"Yes")</f>
        <v>Yes</v>
      </c>
      <c r="Q137" s="5" t="str">
        <f ca="1">IFERROR(__xludf.DUMMYFUNCTION("""COMPUTED_VALUE"""),"Yes")</f>
        <v>Yes</v>
      </c>
      <c r="R137" s="5" t="str">
        <f ca="1">IFERROR(__xludf.DUMMYFUNCTION("""COMPUTED_VALUE"""),"Yes")</f>
        <v>Yes</v>
      </c>
      <c r="S137" s="5" t="str">
        <f ca="1">IFERROR(__xludf.DUMMYFUNCTION("""COMPUTED_VALUE"""),"Yes")</f>
        <v>Yes</v>
      </c>
      <c r="T137" s="5" t="str">
        <f ca="1">IFERROR(__xludf.DUMMYFUNCTION("""COMPUTED_VALUE"""),"Yes")</f>
        <v>Yes</v>
      </c>
      <c r="U137" s="5" t="str">
        <f ca="1">IFERROR(__xludf.DUMMYFUNCTION("""COMPUTED_VALUE"""),"Yes")</f>
        <v>Yes</v>
      </c>
      <c r="V137" s="5" t="str">
        <f ca="1">IFERROR(__xludf.DUMMYFUNCTION("""COMPUTED_VALUE"""),"Yes")</f>
        <v>Yes</v>
      </c>
      <c r="W137" s="5" t="str">
        <f ca="1">IFERROR(__xludf.DUMMYFUNCTION("""COMPUTED_VALUE"""),"Yes")</f>
        <v>Yes</v>
      </c>
      <c r="X137" s="5" t="str">
        <f ca="1">IFERROR(__xludf.DUMMYFUNCTION("""COMPUTED_VALUE"""),"Yes")</f>
        <v>Yes</v>
      </c>
      <c r="Y137" s="5" t="str">
        <f ca="1">IFERROR(__xludf.DUMMYFUNCTION("""COMPUTED_VALUE"""),"Yes")</f>
        <v>Yes</v>
      </c>
      <c r="Z137" s="5" t="str">
        <f ca="1">IFERROR(__xludf.DUMMYFUNCTION("""COMPUTED_VALUE"""),"Yes")</f>
        <v>Yes</v>
      </c>
      <c r="AA137" s="5" t="str">
        <f ca="1">IFERROR(__xludf.DUMMYFUNCTION("""COMPUTED_VALUE"""),"Yes")</f>
        <v>Yes</v>
      </c>
      <c r="AB137" s="5" t="str">
        <f ca="1">IFERROR(__xludf.DUMMYFUNCTION("""COMPUTED_VALUE"""),"Yes")</f>
        <v>Yes</v>
      </c>
      <c r="AC137" s="5" t="str">
        <f ca="1">IFERROR(__xludf.DUMMYFUNCTION("""COMPUTED_VALUE"""),"No")</f>
        <v>No</v>
      </c>
    </row>
    <row r="138" spans="1:29" x14ac:dyDescent="0.25">
      <c r="A138" s="5" t="str">
        <f ca="1">IFERROR(__xludf.DUMMYFUNCTION("""COMPUTED_VALUE"""),"SevenClassicHot")</f>
        <v>SevenClassicHot</v>
      </c>
      <c r="B1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8" s="5" t="str">
        <f ca="1">IFERROR(__xludf.DUMMYFUNCTION("""COMPUTED_VALUE"""),"Yes")</f>
        <v>Yes</v>
      </c>
      <c r="D138" s="5" t="str">
        <f ca="1">IFERROR(__xludf.DUMMYFUNCTION("""COMPUTED_VALUE"""),"Yes")</f>
        <v>Yes</v>
      </c>
      <c r="E138" s="5" t="str">
        <f ca="1">IFERROR(__xludf.DUMMYFUNCTION("""COMPUTED_VALUE"""),"Yes")</f>
        <v>Yes</v>
      </c>
      <c r="F138" s="5" t="str">
        <f ca="1">IFERROR(__xludf.DUMMYFUNCTION("""COMPUTED_VALUE"""),"Yes")</f>
        <v>Yes</v>
      </c>
      <c r="G138" s="5" t="str">
        <f ca="1">IFERROR(__xludf.DUMMYFUNCTION("""COMPUTED_VALUE"""),"Yes")</f>
        <v>Yes</v>
      </c>
      <c r="H138" s="5" t="str">
        <f ca="1">IFERROR(__xludf.DUMMYFUNCTION("""COMPUTED_VALUE"""),"Yes")</f>
        <v>Yes</v>
      </c>
      <c r="I138" s="5" t="str">
        <f ca="1">IFERROR(__xludf.DUMMYFUNCTION("""COMPUTED_VALUE"""),"Yes")</f>
        <v>Yes</v>
      </c>
      <c r="J138" s="5" t="str">
        <f ca="1">IFERROR(__xludf.DUMMYFUNCTION("""COMPUTED_VALUE"""),"Yes")</f>
        <v>Yes</v>
      </c>
      <c r="K138" s="5" t="str">
        <f ca="1">IFERROR(__xludf.DUMMYFUNCTION("""COMPUTED_VALUE"""),"Yes")</f>
        <v>Yes</v>
      </c>
      <c r="L138" s="5" t="str">
        <f ca="1">IFERROR(__xludf.DUMMYFUNCTION("""COMPUTED_VALUE"""),"Yes")</f>
        <v>Yes</v>
      </c>
      <c r="M138" s="5" t="str">
        <f ca="1">IFERROR(__xludf.DUMMYFUNCTION("""COMPUTED_VALUE"""),"Yes")</f>
        <v>Yes</v>
      </c>
      <c r="N138" s="5" t="str">
        <f ca="1">IFERROR(__xludf.DUMMYFUNCTION("""COMPUTED_VALUE"""),"Yes")</f>
        <v>Yes</v>
      </c>
      <c r="O138" s="5" t="str">
        <f ca="1">IFERROR(__xludf.DUMMYFUNCTION("""COMPUTED_VALUE"""),"Yes")</f>
        <v>Yes</v>
      </c>
      <c r="P138" s="5" t="str">
        <f ca="1">IFERROR(__xludf.DUMMYFUNCTION("""COMPUTED_VALUE"""),"Yes")</f>
        <v>Yes</v>
      </c>
      <c r="Q138" s="5" t="str">
        <f ca="1">IFERROR(__xludf.DUMMYFUNCTION("""COMPUTED_VALUE"""),"Yes")</f>
        <v>Yes</v>
      </c>
      <c r="R138" s="5" t="str">
        <f ca="1">IFERROR(__xludf.DUMMYFUNCTION("""COMPUTED_VALUE"""),"Yes")</f>
        <v>Yes</v>
      </c>
      <c r="S138" s="5" t="str">
        <f ca="1">IFERROR(__xludf.DUMMYFUNCTION("""COMPUTED_VALUE"""),"Yes")</f>
        <v>Yes</v>
      </c>
      <c r="T138" s="5" t="str">
        <f ca="1">IFERROR(__xludf.DUMMYFUNCTION("""COMPUTED_VALUE"""),"Yes")</f>
        <v>Yes</v>
      </c>
      <c r="U138" s="5" t="str">
        <f ca="1">IFERROR(__xludf.DUMMYFUNCTION("""COMPUTED_VALUE"""),"Yes")</f>
        <v>Yes</v>
      </c>
      <c r="V138" s="5" t="str">
        <f ca="1">IFERROR(__xludf.DUMMYFUNCTION("""COMPUTED_VALUE"""),"Yes")</f>
        <v>Yes</v>
      </c>
      <c r="W138" s="5" t="str">
        <f ca="1">IFERROR(__xludf.DUMMYFUNCTION("""COMPUTED_VALUE"""),"Yes")</f>
        <v>Yes</v>
      </c>
      <c r="X138" s="5" t="str">
        <f ca="1">IFERROR(__xludf.DUMMYFUNCTION("""COMPUTED_VALUE"""),"Yes")</f>
        <v>Yes</v>
      </c>
      <c r="Y138" s="5" t="str">
        <f ca="1">IFERROR(__xludf.DUMMYFUNCTION("""COMPUTED_VALUE"""),"Yes")</f>
        <v>Yes</v>
      </c>
      <c r="Z138" s="5" t="str">
        <f ca="1">IFERROR(__xludf.DUMMYFUNCTION("""COMPUTED_VALUE"""),"Yes")</f>
        <v>Yes</v>
      </c>
      <c r="AA138" s="5" t="str">
        <f ca="1">IFERROR(__xludf.DUMMYFUNCTION("""COMPUTED_VALUE"""),"Yes")</f>
        <v>Yes</v>
      </c>
      <c r="AB138" s="5" t="str">
        <f ca="1">IFERROR(__xludf.DUMMYFUNCTION("""COMPUTED_VALUE"""),"Yes")</f>
        <v>Yes</v>
      </c>
      <c r="AC138" s="5" t="str">
        <f ca="1">IFERROR(__xludf.DUMMYFUNCTION("""COMPUTED_VALUE"""),"No")</f>
        <v>No</v>
      </c>
    </row>
    <row r="139" spans="1:29" x14ac:dyDescent="0.25">
      <c r="A139" s="5" t="str">
        <f ca="1">IFERROR(__xludf.DUMMYFUNCTION("""COMPUTED_VALUE"""),"TurboHot100")</f>
        <v>TurboHot100</v>
      </c>
      <c r="B1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9" s="5" t="str">
        <f ca="1">IFERROR(__xludf.DUMMYFUNCTION("""COMPUTED_VALUE"""),"Yes")</f>
        <v>Yes</v>
      </c>
      <c r="D139" s="5" t="str">
        <f ca="1">IFERROR(__xludf.DUMMYFUNCTION("""COMPUTED_VALUE"""),"Yes")</f>
        <v>Yes</v>
      </c>
      <c r="E139" s="5" t="str">
        <f ca="1">IFERROR(__xludf.DUMMYFUNCTION("""COMPUTED_VALUE"""),"Yes")</f>
        <v>Yes</v>
      </c>
      <c r="F139" s="5" t="str">
        <f ca="1">IFERROR(__xludf.DUMMYFUNCTION("""COMPUTED_VALUE"""),"Yes")</f>
        <v>Yes</v>
      </c>
      <c r="G139" s="5" t="str">
        <f ca="1">IFERROR(__xludf.DUMMYFUNCTION("""COMPUTED_VALUE"""),"Yes")</f>
        <v>Yes</v>
      </c>
      <c r="H139" s="5" t="str">
        <f ca="1">IFERROR(__xludf.DUMMYFUNCTION("""COMPUTED_VALUE"""),"Yes")</f>
        <v>Yes</v>
      </c>
      <c r="I139" s="5" t="str">
        <f ca="1">IFERROR(__xludf.DUMMYFUNCTION("""COMPUTED_VALUE"""),"Yes")</f>
        <v>Yes</v>
      </c>
      <c r="J139" s="5" t="str">
        <f ca="1">IFERROR(__xludf.DUMMYFUNCTION("""COMPUTED_VALUE"""),"Yes")</f>
        <v>Yes</v>
      </c>
      <c r="K139" s="5" t="str">
        <f ca="1">IFERROR(__xludf.DUMMYFUNCTION("""COMPUTED_VALUE"""),"Yes")</f>
        <v>Yes</v>
      </c>
      <c r="L139" s="5" t="str">
        <f ca="1">IFERROR(__xludf.DUMMYFUNCTION("""COMPUTED_VALUE"""),"Yes")</f>
        <v>Yes</v>
      </c>
      <c r="M139" s="5" t="str">
        <f ca="1">IFERROR(__xludf.DUMMYFUNCTION("""COMPUTED_VALUE"""),"Yes")</f>
        <v>Yes</v>
      </c>
      <c r="N139" s="5" t="str">
        <f ca="1">IFERROR(__xludf.DUMMYFUNCTION("""COMPUTED_VALUE"""),"Yes")</f>
        <v>Yes</v>
      </c>
      <c r="O139" s="5" t="str">
        <f ca="1">IFERROR(__xludf.DUMMYFUNCTION("""COMPUTED_VALUE"""),"Yes")</f>
        <v>Yes</v>
      </c>
      <c r="P139" s="5" t="str">
        <f ca="1">IFERROR(__xludf.DUMMYFUNCTION("""COMPUTED_VALUE"""),"Yes")</f>
        <v>Yes</v>
      </c>
      <c r="Q139" s="5" t="str">
        <f ca="1">IFERROR(__xludf.DUMMYFUNCTION("""COMPUTED_VALUE"""),"Yes")</f>
        <v>Yes</v>
      </c>
      <c r="R139" s="5" t="str">
        <f ca="1">IFERROR(__xludf.DUMMYFUNCTION("""COMPUTED_VALUE"""),"Yes")</f>
        <v>Yes</v>
      </c>
      <c r="S139" s="5" t="str">
        <f ca="1">IFERROR(__xludf.DUMMYFUNCTION("""COMPUTED_VALUE"""),"Yes")</f>
        <v>Yes</v>
      </c>
      <c r="T139" s="5" t="str">
        <f ca="1">IFERROR(__xludf.DUMMYFUNCTION("""COMPUTED_VALUE"""),"Yes")</f>
        <v>Yes</v>
      </c>
      <c r="U139" s="5" t="str">
        <f ca="1">IFERROR(__xludf.DUMMYFUNCTION("""COMPUTED_VALUE"""),"Yes")</f>
        <v>Yes</v>
      </c>
      <c r="V139" s="5" t="str">
        <f ca="1">IFERROR(__xludf.DUMMYFUNCTION("""COMPUTED_VALUE"""),"Yes")</f>
        <v>Yes</v>
      </c>
      <c r="W139" s="5" t="str">
        <f ca="1">IFERROR(__xludf.DUMMYFUNCTION("""COMPUTED_VALUE"""),"Yes")</f>
        <v>Yes</v>
      </c>
      <c r="X139" s="5" t="str">
        <f ca="1">IFERROR(__xludf.DUMMYFUNCTION("""COMPUTED_VALUE"""),"Yes")</f>
        <v>Yes</v>
      </c>
      <c r="Y139" s="5" t="str">
        <f ca="1">IFERROR(__xludf.DUMMYFUNCTION("""COMPUTED_VALUE"""),"Yes")</f>
        <v>Yes</v>
      </c>
      <c r="Z139" s="5" t="str">
        <f ca="1">IFERROR(__xludf.DUMMYFUNCTION("""COMPUTED_VALUE"""),"Yes")</f>
        <v>Yes</v>
      </c>
      <c r="AA139" s="5" t="str">
        <f ca="1">IFERROR(__xludf.DUMMYFUNCTION("""COMPUTED_VALUE"""),"Yes")</f>
        <v>Yes</v>
      </c>
      <c r="AB139" s="5" t="str">
        <f ca="1">IFERROR(__xludf.DUMMYFUNCTION("""COMPUTED_VALUE"""),"Yes")</f>
        <v>Yes</v>
      </c>
      <c r="AC139" s="5" t="str">
        <f ca="1">IFERROR(__xludf.DUMMYFUNCTION("""COMPUTED_VALUE"""),"No")</f>
        <v>No</v>
      </c>
    </row>
    <row r="140" spans="1:29" x14ac:dyDescent="0.25">
      <c r="A140" s="5" t="str">
        <f ca="1">IFERROR(__xludf.DUMMYFUNCTION("""COMPUTED_VALUE"""),"BonusBells")</f>
        <v>BonusBells</v>
      </c>
      <c r="B1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0" s="5" t="str">
        <f ca="1">IFERROR(__xludf.DUMMYFUNCTION("""COMPUTED_VALUE"""),"Yes")</f>
        <v>Yes</v>
      </c>
      <c r="D140" s="5" t="str">
        <f ca="1">IFERROR(__xludf.DUMMYFUNCTION("""COMPUTED_VALUE"""),"Yes")</f>
        <v>Yes</v>
      </c>
      <c r="E140" s="5" t="str">
        <f ca="1">IFERROR(__xludf.DUMMYFUNCTION("""COMPUTED_VALUE"""),"Yes")</f>
        <v>Yes</v>
      </c>
      <c r="F140" s="5" t="str">
        <f ca="1">IFERROR(__xludf.DUMMYFUNCTION("""COMPUTED_VALUE"""),"Yes")</f>
        <v>Yes</v>
      </c>
      <c r="G140" s="5" t="str">
        <f ca="1">IFERROR(__xludf.DUMMYFUNCTION("""COMPUTED_VALUE"""),"Yes")</f>
        <v>Yes</v>
      </c>
      <c r="H140" s="5" t="str">
        <f ca="1">IFERROR(__xludf.DUMMYFUNCTION("""COMPUTED_VALUE"""),"Yes")</f>
        <v>Yes</v>
      </c>
      <c r="I140" s="5" t="str">
        <f ca="1">IFERROR(__xludf.DUMMYFUNCTION("""COMPUTED_VALUE"""),"Yes")</f>
        <v>Yes</v>
      </c>
      <c r="J140" s="5" t="str">
        <f ca="1">IFERROR(__xludf.DUMMYFUNCTION("""COMPUTED_VALUE"""),"Yes")</f>
        <v>Yes</v>
      </c>
      <c r="K140" s="5" t="str">
        <f ca="1">IFERROR(__xludf.DUMMYFUNCTION("""COMPUTED_VALUE"""),"Yes")</f>
        <v>Yes</v>
      </c>
      <c r="L140" s="5" t="str">
        <f ca="1">IFERROR(__xludf.DUMMYFUNCTION("""COMPUTED_VALUE"""),"Yes")</f>
        <v>Yes</v>
      </c>
      <c r="M140" s="5" t="str">
        <f ca="1">IFERROR(__xludf.DUMMYFUNCTION("""COMPUTED_VALUE"""),"Yes")</f>
        <v>Yes</v>
      </c>
      <c r="N140" s="5" t="str">
        <f ca="1">IFERROR(__xludf.DUMMYFUNCTION("""COMPUTED_VALUE"""),"Yes")</f>
        <v>Yes</v>
      </c>
      <c r="O140" s="5" t="str">
        <f ca="1">IFERROR(__xludf.DUMMYFUNCTION("""COMPUTED_VALUE"""),"Yes")</f>
        <v>Yes</v>
      </c>
      <c r="P140" s="5" t="str">
        <f ca="1">IFERROR(__xludf.DUMMYFUNCTION("""COMPUTED_VALUE"""),"Yes")</f>
        <v>Yes</v>
      </c>
      <c r="Q140" s="5" t="str">
        <f ca="1">IFERROR(__xludf.DUMMYFUNCTION("""COMPUTED_VALUE"""),"Yes")</f>
        <v>Yes</v>
      </c>
      <c r="R140" s="5" t="str">
        <f ca="1">IFERROR(__xludf.DUMMYFUNCTION("""COMPUTED_VALUE"""),"Yes")</f>
        <v>Yes</v>
      </c>
      <c r="S140" s="5" t="str">
        <f ca="1">IFERROR(__xludf.DUMMYFUNCTION("""COMPUTED_VALUE"""),"Yes")</f>
        <v>Yes</v>
      </c>
      <c r="T140" s="5" t="str">
        <f ca="1">IFERROR(__xludf.DUMMYFUNCTION("""COMPUTED_VALUE"""),"Yes")</f>
        <v>Yes</v>
      </c>
      <c r="U140" s="5" t="str">
        <f ca="1">IFERROR(__xludf.DUMMYFUNCTION("""COMPUTED_VALUE"""),"Yes")</f>
        <v>Yes</v>
      </c>
      <c r="V140" s="5" t="str">
        <f ca="1">IFERROR(__xludf.DUMMYFUNCTION("""COMPUTED_VALUE"""),"Yes")</f>
        <v>Yes</v>
      </c>
      <c r="W140" s="5" t="str">
        <f ca="1">IFERROR(__xludf.DUMMYFUNCTION("""COMPUTED_VALUE"""),"Yes")</f>
        <v>Yes</v>
      </c>
      <c r="X140" s="5" t="str">
        <f ca="1">IFERROR(__xludf.DUMMYFUNCTION("""COMPUTED_VALUE"""),"Yes")</f>
        <v>Yes</v>
      </c>
      <c r="Y140" s="5" t="str">
        <f ca="1">IFERROR(__xludf.DUMMYFUNCTION("""COMPUTED_VALUE"""),"Yes")</f>
        <v>Yes</v>
      </c>
      <c r="Z140" s="5" t="str">
        <f ca="1">IFERROR(__xludf.DUMMYFUNCTION("""COMPUTED_VALUE"""),"Yes")</f>
        <v>Yes</v>
      </c>
      <c r="AA140" s="5" t="str">
        <f ca="1">IFERROR(__xludf.DUMMYFUNCTION("""COMPUTED_VALUE"""),"Yes")</f>
        <v>Yes</v>
      </c>
      <c r="AB140" s="5" t="str">
        <f ca="1">IFERROR(__xludf.DUMMYFUNCTION("""COMPUTED_VALUE"""),"Yes")</f>
        <v>Yes</v>
      </c>
      <c r="AC140" s="5" t="str">
        <f ca="1">IFERROR(__xludf.DUMMYFUNCTION("""COMPUTED_VALUE"""),"No")</f>
        <v>No</v>
      </c>
    </row>
    <row r="141" spans="1:29" x14ac:dyDescent="0.25">
      <c r="A141" s="5" t="str">
        <f ca="1">IFERROR(__xludf.DUMMYFUNCTION("""COMPUTED_VALUE"""),"FruityHot")</f>
        <v>FruityHot</v>
      </c>
      <c r="B1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1" s="5" t="str">
        <f ca="1">IFERROR(__xludf.DUMMYFUNCTION("""COMPUTED_VALUE"""),"Yes")</f>
        <v>Yes</v>
      </c>
      <c r="D141" s="5" t="str">
        <f ca="1">IFERROR(__xludf.DUMMYFUNCTION("""COMPUTED_VALUE"""),"Yes")</f>
        <v>Yes</v>
      </c>
      <c r="E141" s="5" t="str">
        <f ca="1">IFERROR(__xludf.DUMMYFUNCTION("""COMPUTED_VALUE"""),"Yes")</f>
        <v>Yes</v>
      </c>
      <c r="F141" s="5" t="str">
        <f ca="1">IFERROR(__xludf.DUMMYFUNCTION("""COMPUTED_VALUE"""),"Yes")</f>
        <v>Yes</v>
      </c>
      <c r="G141" s="5" t="str">
        <f ca="1">IFERROR(__xludf.DUMMYFUNCTION("""COMPUTED_VALUE"""),"Yes")</f>
        <v>Yes</v>
      </c>
      <c r="H141" s="5" t="str">
        <f ca="1">IFERROR(__xludf.DUMMYFUNCTION("""COMPUTED_VALUE"""),"Yes")</f>
        <v>Yes</v>
      </c>
      <c r="I141" s="5" t="str">
        <f ca="1">IFERROR(__xludf.DUMMYFUNCTION("""COMPUTED_VALUE"""),"Yes")</f>
        <v>Yes</v>
      </c>
      <c r="J141" s="5" t="str">
        <f ca="1">IFERROR(__xludf.DUMMYFUNCTION("""COMPUTED_VALUE"""),"Yes")</f>
        <v>Yes</v>
      </c>
      <c r="K141" s="5" t="str">
        <f ca="1">IFERROR(__xludf.DUMMYFUNCTION("""COMPUTED_VALUE"""),"Yes")</f>
        <v>Yes</v>
      </c>
      <c r="L141" s="5" t="str">
        <f ca="1">IFERROR(__xludf.DUMMYFUNCTION("""COMPUTED_VALUE"""),"Yes")</f>
        <v>Yes</v>
      </c>
      <c r="M141" s="5" t="str">
        <f ca="1">IFERROR(__xludf.DUMMYFUNCTION("""COMPUTED_VALUE"""),"Yes")</f>
        <v>Yes</v>
      </c>
      <c r="N141" s="5" t="str">
        <f ca="1">IFERROR(__xludf.DUMMYFUNCTION("""COMPUTED_VALUE"""),"Yes")</f>
        <v>Yes</v>
      </c>
      <c r="O141" s="5" t="str">
        <f ca="1">IFERROR(__xludf.DUMMYFUNCTION("""COMPUTED_VALUE"""),"Yes")</f>
        <v>Yes</v>
      </c>
      <c r="P141" s="5" t="str">
        <f ca="1">IFERROR(__xludf.DUMMYFUNCTION("""COMPUTED_VALUE"""),"Yes")</f>
        <v>Yes</v>
      </c>
      <c r="Q141" s="5" t="str">
        <f ca="1">IFERROR(__xludf.DUMMYFUNCTION("""COMPUTED_VALUE"""),"Yes")</f>
        <v>Yes</v>
      </c>
      <c r="R141" s="5" t="str">
        <f ca="1">IFERROR(__xludf.DUMMYFUNCTION("""COMPUTED_VALUE"""),"Yes")</f>
        <v>Yes</v>
      </c>
      <c r="S141" s="5" t="str">
        <f ca="1">IFERROR(__xludf.DUMMYFUNCTION("""COMPUTED_VALUE"""),"Yes")</f>
        <v>Yes</v>
      </c>
      <c r="T141" s="5" t="str">
        <f ca="1">IFERROR(__xludf.DUMMYFUNCTION("""COMPUTED_VALUE"""),"Yes")</f>
        <v>Yes</v>
      </c>
      <c r="U141" s="5" t="str">
        <f ca="1">IFERROR(__xludf.DUMMYFUNCTION("""COMPUTED_VALUE"""),"Yes")</f>
        <v>Yes</v>
      </c>
      <c r="V141" s="5" t="str">
        <f ca="1">IFERROR(__xludf.DUMMYFUNCTION("""COMPUTED_VALUE"""),"Yes")</f>
        <v>Yes</v>
      </c>
      <c r="W141" s="5" t="str">
        <f ca="1">IFERROR(__xludf.DUMMYFUNCTION("""COMPUTED_VALUE"""),"Yes")</f>
        <v>Yes</v>
      </c>
      <c r="X141" s="5" t="str">
        <f ca="1">IFERROR(__xludf.DUMMYFUNCTION("""COMPUTED_VALUE"""),"Yes")</f>
        <v>Yes</v>
      </c>
      <c r="Y141" s="5" t="str">
        <f ca="1">IFERROR(__xludf.DUMMYFUNCTION("""COMPUTED_VALUE"""),"Yes")</f>
        <v>Yes</v>
      </c>
      <c r="Z141" s="5" t="str">
        <f ca="1">IFERROR(__xludf.DUMMYFUNCTION("""COMPUTED_VALUE"""),"Yes")</f>
        <v>Yes</v>
      </c>
      <c r="AA141" s="5" t="str">
        <f ca="1">IFERROR(__xludf.DUMMYFUNCTION("""COMPUTED_VALUE"""),"Yes")</f>
        <v>Yes</v>
      </c>
      <c r="AB141" s="5" t="str">
        <f ca="1">IFERROR(__xludf.DUMMYFUNCTION("""COMPUTED_VALUE"""),"Yes")</f>
        <v>Yes</v>
      </c>
      <c r="AC141" s="5" t="str">
        <f ca="1">IFERROR(__xludf.DUMMYFUNCTION("""COMPUTED_VALUE"""),"No")</f>
        <v>No</v>
      </c>
    </row>
    <row r="142" spans="1:29" x14ac:dyDescent="0.25">
      <c r="A142" s="5" t="str">
        <f ca="1">IFERROR(__xludf.DUMMYFUNCTION("""COMPUTED_VALUE"""),"ActionHot40")</f>
        <v>ActionHot40</v>
      </c>
      <c r="B1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2" s="5" t="str">
        <f ca="1">IFERROR(__xludf.DUMMYFUNCTION("""COMPUTED_VALUE"""),"Yes")</f>
        <v>Yes</v>
      </c>
      <c r="D142" s="5" t="str">
        <f ca="1">IFERROR(__xludf.DUMMYFUNCTION("""COMPUTED_VALUE"""),"Yes")</f>
        <v>Yes</v>
      </c>
      <c r="E142" s="5" t="str">
        <f ca="1">IFERROR(__xludf.DUMMYFUNCTION("""COMPUTED_VALUE"""),"Yes")</f>
        <v>Yes</v>
      </c>
      <c r="F142" s="5" t="str">
        <f ca="1">IFERROR(__xludf.DUMMYFUNCTION("""COMPUTED_VALUE"""),"Yes")</f>
        <v>Yes</v>
      </c>
      <c r="G142" s="5" t="str">
        <f ca="1">IFERROR(__xludf.DUMMYFUNCTION("""COMPUTED_VALUE"""),"Yes")</f>
        <v>Yes</v>
      </c>
      <c r="H142" s="5" t="str">
        <f ca="1">IFERROR(__xludf.DUMMYFUNCTION("""COMPUTED_VALUE"""),"Yes")</f>
        <v>Yes</v>
      </c>
      <c r="I142" s="5" t="str">
        <f ca="1">IFERROR(__xludf.DUMMYFUNCTION("""COMPUTED_VALUE"""),"Yes")</f>
        <v>Yes</v>
      </c>
      <c r="J142" s="5" t="str">
        <f ca="1">IFERROR(__xludf.DUMMYFUNCTION("""COMPUTED_VALUE"""),"Yes")</f>
        <v>Yes</v>
      </c>
      <c r="K142" s="5" t="str">
        <f ca="1">IFERROR(__xludf.DUMMYFUNCTION("""COMPUTED_VALUE"""),"Yes")</f>
        <v>Yes</v>
      </c>
      <c r="L142" s="5" t="str">
        <f ca="1">IFERROR(__xludf.DUMMYFUNCTION("""COMPUTED_VALUE"""),"Yes")</f>
        <v>Yes</v>
      </c>
      <c r="M142" s="5" t="str">
        <f ca="1">IFERROR(__xludf.DUMMYFUNCTION("""COMPUTED_VALUE"""),"Yes")</f>
        <v>Yes</v>
      </c>
      <c r="N142" s="5" t="str">
        <f ca="1">IFERROR(__xludf.DUMMYFUNCTION("""COMPUTED_VALUE"""),"Yes")</f>
        <v>Yes</v>
      </c>
      <c r="O142" s="5" t="str">
        <f ca="1">IFERROR(__xludf.DUMMYFUNCTION("""COMPUTED_VALUE"""),"Yes")</f>
        <v>Yes</v>
      </c>
      <c r="P142" s="5" t="str">
        <f ca="1">IFERROR(__xludf.DUMMYFUNCTION("""COMPUTED_VALUE"""),"Yes")</f>
        <v>Yes</v>
      </c>
      <c r="Q142" s="5" t="str">
        <f ca="1">IFERROR(__xludf.DUMMYFUNCTION("""COMPUTED_VALUE"""),"Yes")</f>
        <v>Yes</v>
      </c>
      <c r="R142" s="5" t="str">
        <f ca="1">IFERROR(__xludf.DUMMYFUNCTION("""COMPUTED_VALUE"""),"Yes")</f>
        <v>Yes</v>
      </c>
      <c r="S142" s="5" t="str">
        <f ca="1">IFERROR(__xludf.DUMMYFUNCTION("""COMPUTED_VALUE"""),"Yes")</f>
        <v>Yes</v>
      </c>
      <c r="T142" s="5" t="str">
        <f ca="1">IFERROR(__xludf.DUMMYFUNCTION("""COMPUTED_VALUE"""),"Yes")</f>
        <v>Yes</v>
      </c>
      <c r="U142" s="5" t="str">
        <f ca="1">IFERROR(__xludf.DUMMYFUNCTION("""COMPUTED_VALUE"""),"Yes")</f>
        <v>Yes</v>
      </c>
      <c r="V142" s="5" t="str">
        <f ca="1">IFERROR(__xludf.DUMMYFUNCTION("""COMPUTED_VALUE"""),"Yes")</f>
        <v>Yes</v>
      </c>
      <c r="W142" s="5" t="str">
        <f ca="1">IFERROR(__xludf.DUMMYFUNCTION("""COMPUTED_VALUE"""),"Yes")</f>
        <v>Yes</v>
      </c>
      <c r="X142" s="5" t="str">
        <f ca="1">IFERROR(__xludf.DUMMYFUNCTION("""COMPUTED_VALUE"""),"Yes")</f>
        <v>Yes</v>
      </c>
      <c r="Y142" s="5" t="str">
        <f ca="1">IFERROR(__xludf.DUMMYFUNCTION("""COMPUTED_VALUE"""),"Yes")</f>
        <v>Yes</v>
      </c>
      <c r="Z142" s="5" t="str">
        <f ca="1">IFERROR(__xludf.DUMMYFUNCTION("""COMPUTED_VALUE"""),"Yes")</f>
        <v>Yes</v>
      </c>
      <c r="AA142" s="5" t="str">
        <f ca="1">IFERROR(__xludf.DUMMYFUNCTION("""COMPUTED_VALUE"""),"Yes")</f>
        <v>Yes</v>
      </c>
      <c r="AB142" s="5" t="str">
        <f ca="1">IFERROR(__xludf.DUMMYFUNCTION("""COMPUTED_VALUE"""),"Yes")</f>
        <v>Yes</v>
      </c>
      <c r="AC142" s="5"/>
    </row>
    <row r="143" spans="1:29" x14ac:dyDescent="0.25">
      <c r="A143" s="5" t="str">
        <f ca="1">IFERROR(__xludf.DUMMYFUNCTION("""COMPUTED_VALUE"""),"TurboPinn40")</f>
        <v>TurboPinn40</v>
      </c>
      <c r="B1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3" s="5" t="str">
        <f ca="1">IFERROR(__xludf.DUMMYFUNCTION("""COMPUTED_VALUE"""),"Yes")</f>
        <v>Yes</v>
      </c>
      <c r="D143" s="5" t="str">
        <f ca="1">IFERROR(__xludf.DUMMYFUNCTION("""COMPUTED_VALUE"""),"Yes")</f>
        <v>Yes</v>
      </c>
      <c r="E143" s="5" t="str">
        <f ca="1">IFERROR(__xludf.DUMMYFUNCTION("""COMPUTED_VALUE"""),"Yes")</f>
        <v>Yes</v>
      </c>
      <c r="F143" s="5" t="str">
        <f ca="1">IFERROR(__xludf.DUMMYFUNCTION("""COMPUTED_VALUE"""),"Yes")</f>
        <v>Yes</v>
      </c>
      <c r="G143" s="5" t="str">
        <f ca="1">IFERROR(__xludf.DUMMYFUNCTION("""COMPUTED_VALUE"""),"Yes")</f>
        <v>Yes</v>
      </c>
      <c r="H143" s="5" t="str">
        <f ca="1">IFERROR(__xludf.DUMMYFUNCTION("""COMPUTED_VALUE"""),"Yes")</f>
        <v>Yes</v>
      </c>
      <c r="I143" s="5" t="str">
        <f ca="1">IFERROR(__xludf.DUMMYFUNCTION("""COMPUTED_VALUE"""),"Yes")</f>
        <v>Yes</v>
      </c>
      <c r="J143" s="5" t="str">
        <f ca="1">IFERROR(__xludf.DUMMYFUNCTION("""COMPUTED_VALUE"""),"Yes")</f>
        <v>Yes</v>
      </c>
      <c r="K143" s="5" t="str">
        <f ca="1">IFERROR(__xludf.DUMMYFUNCTION("""COMPUTED_VALUE"""),"Yes")</f>
        <v>Yes</v>
      </c>
      <c r="L143" s="5" t="str">
        <f ca="1">IFERROR(__xludf.DUMMYFUNCTION("""COMPUTED_VALUE"""),"Yes")</f>
        <v>Yes</v>
      </c>
      <c r="M143" s="5" t="str">
        <f ca="1">IFERROR(__xludf.DUMMYFUNCTION("""COMPUTED_VALUE"""),"Yes")</f>
        <v>Yes</v>
      </c>
      <c r="N143" s="5" t="str">
        <f ca="1">IFERROR(__xludf.DUMMYFUNCTION("""COMPUTED_VALUE"""),"Yes")</f>
        <v>Yes</v>
      </c>
      <c r="O143" s="5" t="str">
        <f ca="1">IFERROR(__xludf.DUMMYFUNCTION("""COMPUTED_VALUE"""),"Yes")</f>
        <v>Yes</v>
      </c>
      <c r="P143" s="5" t="str">
        <f ca="1">IFERROR(__xludf.DUMMYFUNCTION("""COMPUTED_VALUE"""),"Yes")</f>
        <v>Yes</v>
      </c>
      <c r="Q143" s="5" t="str">
        <f ca="1">IFERROR(__xludf.DUMMYFUNCTION("""COMPUTED_VALUE"""),"Yes")</f>
        <v>Yes</v>
      </c>
      <c r="R143" s="5" t="str">
        <f ca="1">IFERROR(__xludf.DUMMYFUNCTION("""COMPUTED_VALUE"""),"Yes")</f>
        <v>Yes</v>
      </c>
      <c r="S143" s="5" t="str">
        <f ca="1">IFERROR(__xludf.DUMMYFUNCTION("""COMPUTED_VALUE"""),"Yes")</f>
        <v>Yes</v>
      </c>
      <c r="T143" s="5" t="str">
        <f ca="1">IFERROR(__xludf.DUMMYFUNCTION("""COMPUTED_VALUE"""),"Yes")</f>
        <v>Yes</v>
      </c>
      <c r="U143" s="5" t="str">
        <f ca="1">IFERROR(__xludf.DUMMYFUNCTION("""COMPUTED_VALUE"""),"Yes")</f>
        <v>Yes</v>
      </c>
      <c r="V143" s="5" t="str">
        <f ca="1">IFERROR(__xludf.DUMMYFUNCTION("""COMPUTED_VALUE"""),"Yes")</f>
        <v>Yes</v>
      </c>
      <c r="W143" s="5" t="str">
        <f ca="1">IFERROR(__xludf.DUMMYFUNCTION("""COMPUTED_VALUE"""),"Yes")</f>
        <v>Yes</v>
      </c>
      <c r="X143" s="5" t="str">
        <f ca="1">IFERROR(__xludf.DUMMYFUNCTION("""COMPUTED_VALUE"""),"Yes")</f>
        <v>Yes</v>
      </c>
      <c r="Y143" s="5" t="str">
        <f ca="1">IFERROR(__xludf.DUMMYFUNCTION("""COMPUTED_VALUE"""),"Yes")</f>
        <v>Yes</v>
      </c>
      <c r="Z143" s="5" t="str">
        <f ca="1">IFERROR(__xludf.DUMMYFUNCTION("""COMPUTED_VALUE"""),"Yes")</f>
        <v>Yes</v>
      </c>
      <c r="AA143" s="5" t="str">
        <f ca="1">IFERROR(__xludf.DUMMYFUNCTION("""COMPUTED_VALUE"""),"Yes")</f>
        <v>Yes</v>
      </c>
      <c r="AB143" s="5" t="str">
        <f ca="1">IFERROR(__xludf.DUMMYFUNCTION("""COMPUTED_VALUE"""),"Yes")</f>
        <v>Yes</v>
      </c>
      <c r="AC143" s="5" t="str">
        <f ca="1">IFERROR(__xludf.DUMMYFUNCTION("""COMPUTED_VALUE"""),"No")</f>
        <v>No</v>
      </c>
    </row>
    <row r="144" spans="1:29" x14ac:dyDescent="0.25">
      <c r="A144" s="5" t="str">
        <f ca="1">IFERROR(__xludf.DUMMYFUNCTION("""COMPUTED_VALUE"""),"StarsOfOktagon")</f>
        <v>StarsOfOktagon</v>
      </c>
      <c r="B1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4" s="5" t="str">
        <f ca="1">IFERROR(__xludf.DUMMYFUNCTION("""COMPUTED_VALUE"""),"Yes")</f>
        <v>Yes</v>
      </c>
      <c r="D144" s="5" t="str">
        <f ca="1">IFERROR(__xludf.DUMMYFUNCTION("""COMPUTED_VALUE"""),"Yes")</f>
        <v>Yes</v>
      </c>
      <c r="E144" s="5" t="str">
        <f ca="1">IFERROR(__xludf.DUMMYFUNCTION("""COMPUTED_VALUE"""),"Yes")</f>
        <v>Yes</v>
      </c>
      <c r="F144" s="5" t="str">
        <f ca="1">IFERROR(__xludf.DUMMYFUNCTION("""COMPUTED_VALUE"""),"Yes")</f>
        <v>Yes</v>
      </c>
      <c r="G144" s="5" t="str">
        <f ca="1">IFERROR(__xludf.DUMMYFUNCTION("""COMPUTED_VALUE"""),"Yes")</f>
        <v>Yes</v>
      </c>
      <c r="H144" s="5" t="str">
        <f ca="1">IFERROR(__xludf.DUMMYFUNCTION("""COMPUTED_VALUE"""),"Yes")</f>
        <v>Yes</v>
      </c>
      <c r="I144" s="5" t="str">
        <f ca="1">IFERROR(__xludf.DUMMYFUNCTION("""COMPUTED_VALUE"""),"Yes")</f>
        <v>Yes</v>
      </c>
      <c r="J144" s="5" t="str">
        <f ca="1">IFERROR(__xludf.DUMMYFUNCTION("""COMPUTED_VALUE"""),"Yes")</f>
        <v>Yes</v>
      </c>
      <c r="K144" s="5" t="str">
        <f ca="1">IFERROR(__xludf.DUMMYFUNCTION("""COMPUTED_VALUE"""),"Yes")</f>
        <v>Yes</v>
      </c>
      <c r="L144" s="5" t="str">
        <f ca="1">IFERROR(__xludf.DUMMYFUNCTION("""COMPUTED_VALUE"""),"Yes")</f>
        <v>Yes</v>
      </c>
      <c r="M144" s="5" t="str">
        <f ca="1">IFERROR(__xludf.DUMMYFUNCTION("""COMPUTED_VALUE"""),"Yes")</f>
        <v>Yes</v>
      </c>
      <c r="N144" s="5" t="str">
        <f ca="1">IFERROR(__xludf.DUMMYFUNCTION("""COMPUTED_VALUE"""),"Yes")</f>
        <v>Yes</v>
      </c>
      <c r="O144" s="5" t="str">
        <f ca="1">IFERROR(__xludf.DUMMYFUNCTION("""COMPUTED_VALUE"""),"Yes")</f>
        <v>Yes</v>
      </c>
      <c r="P144" s="5" t="str">
        <f ca="1">IFERROR(__xludf.DUMMYFUNCTION("""COMPUTED_VALUE"""),"Yes")</f>
        <v>Yes</v>
      </c>
      <c r="Q144" s="5" t="str">
        <f ca="1">IFERROR(__xludf.DUMMYFUNCTION("""COMPUTED_VALUE"""),"Yes")</f>
        <v>Yes</v>
      </c>
      <c r="R144" s="5" t="str">
        <f ca="1">IFERROR(__xludf.DUMMYFUNCTION("""COMPUTED_VALUE"""),"Yes")</f>
        <v>Yes</v>
      </c>
      <c r="S144" s="5" t="str">
        <f ca="1">IFERROR(__xludf.DUMMYFUNCTION("""COMPUTED_VALUE"""),"Yes")</f>
        <v>Yes</v>
      </c>
      <c r="T144" s="5" t="str">
        <f ca="1">IFERROR(__xludf.DUMMYFUNCTION("""COMPUTED_VALUE"""),"Yes")</f>
        <v>Yes</v>
      </c>
      <c r="U144" s="5" t="str">
        <f ca="1">IFERROR(__xludf.DUMMYFUNCTION("""COMPUTED_VALUE"""),"Yes")</f>
        <v>Yes</v>
      </c>
      <c r="V144" s="5" t="str">
        <f ca="1">IFERROR(__xludf.DUMMYFUNCTION("""COMPUTED_VALUE"""),"Yes")</f>
        <v>Yes</v>
      </c>
      <c r="W144" s="5" t="str">
        <f ca="1">IFERROR(__xludf.DUMMYFUNCTION("""COMPUTED_VALUE"""),"Yes")</f>
        <v>Yes</v>
      </c>
      <c r="X144" s="5" t="str">
        <f ca="1">IFERROR(__xludf.DUMMYFUNCTION("""COMPUTED_VALUE"""),"Yes")</f>
        <v>Yes</v>
      </c>
      <c r="Y144" s="5" t="str">
        <f ca="1">IFERROR(__xludf.DUMMYFUNCTION("""COMPUTED_VALUE"""),"Yes")</f>
        <v>Yes</v>
      </c>
      <c r="Z144" s="5" t="str">
        <f ca="1">IFERROR(__xludf.DUMMYFUNCTION("""COMPUTED_VALUE"""),"Yes")</f>
        <v>Yes</v>
      </c>
      <c r="AA144" s="5" t="str">
        <f ca="1">IFERROR(__xludf.DUMMYFUNCTION("""COMPUTED_VALUE"""),"Yes")</f>
        <v>Yes</v>
      </c>
      <c r="AB144" s="5" t="str">
        <f ca="1">IFERROR(__xludf.DUMMYFUNCTION("""COMPUTED_VALUE"""),"Yes")</f>
        <v>Yes</v>
      </c>
      <c r="AC144" s="5" t="str">
        <f ca="1">IFERROR(__xludf.DUMMYFUNCTION("""COMPUTED_VALUE"""),"No")</f>
        <v>No</v>
      </c>
    </row>
    <row r="145" spans="1:29" x14ac:dyDescent="0.25">
      <c r="A145" s="5" t="str">
        <f ca="1">IFERROR(__xludf.DUMMYFUNCTION("""COMPUTED_VALUE"""),"EyeOfTut")</f>
        <v>EyeOfTut</v>
      </c>
      <c r="B1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5" s="5" t="str">
        <f ca="1">IFERROR(__xludf.DUMMYFUNCTION("""COMPUTED_VALUE"""),"Yes")</f>
        <v>Yes</v>
      </c>
      <c r="D145" s="5" t="str">
        <f ca="1">IFERROR(__xludf.DUMMYFUNCTION("""COMPUTED_VALUE"""),"Yes")</f>
        <v>Yes</v>
      </c>
      <c r="E145" s="5" t="str">
        <f ca="1">IFERROR(__xludf.DUMMYFUNCTION("""COMPUTED_VALUE"""),"Yes")</f>
        <v>Yes</v>
      </c>
      <c r="F145" s="5" t="str">
        <f ca="1">IFERROR(__xludf.DUMMYFUNCTION("""COMPUTED_VALUE"""),"Yes")</f>
        <v>Yes</v>
      </c>
      <c r="G145" s="5" t="str">
        <f ca="1">IFERROR(__xludf.DUMMYFUNCTION("""COMPUTED_VALUE"""),"Yes")</f>
        <v>Yes</v>
      </c>
      <c r="H145" s="5" t="str">
        <f ca="1">IFERROR(__xludf.DUMMYFUNCTION("""COMPUTED_VALUE"""),"Yes")</f>
        <v>Yes</v>
      </c>
      <c r="I145" s="5" t="str">
        <f ca="1">IFERROR(__xludf.DUMMYFUNCTION("""COMPUTED_VALUE"""),"Yes")</f>
        <v>Yes</v>
      </c>
      <c r="J145" s="5" t="str">
        <f ca="1">IFERROR(__xludf.DUMMYFUNCTION("""COMPUTED_VALUE"""),"Yes")</f>
        <v>Yes</v>
      </c>
      <c r="K145" s="5" t="str">
        <f ca="1">IFERROR(__xludf.DUMMYFUNCTION("""COMPUTED_VALUE"""),"Yes")</f>
        <v>Yes</v>
      </c>
      <c r="L145" s="5" t="str">
        <f ca="1">IFERROR(__xludf.DUMMYFUNCTION("""COMPUTED_VALUE"""),"Yes")</f>
        <v>Yes</v>
      </c>
      <c r="M145" s="5" t="str">
        <f ca="1">IFERROR(__xludf.DUMMYFUNCTION("""COMPUTED_VALUE"""),"Yes")</f>
        <v>Yes</v>
      </c>
      <c r="N145" s="5" t="str">
        <f ca="1">IFERROR(__xludf.DUMMYFUNCTION("""COMPUTED_VALUE"""),"Yes")</f>
        <v>Yes</v>
      </c>
      <c r="O145" s="5" t="str">
        <f ca="1">IFERROR(__xludf.DUMMYFUNCTION("""COMPUTED_VALUE"""),"Yes")</f>
        <v>Yes</v>
      </c>
      <c r="P145" s="5" t="str">
        <f ca="1">IFERROR(__xludf.DUMMYFUNCTION("""COMPUTED_VALUE"""),"Yes")</f>
        <v>Yes</v>
      </c>
      <c r="Q145" s="5" t="str">
        <f ca="1">IFERROR(__xludf.DUMMYFUNCTION("""COMPUTED_VALUE"""),"Yes")</f>
        <v>Yes</v>
      </c>
      <c r="R145" s="5" t="str">
        <f ca="1">IFERROR(__xludf.DUMMYFUNCTION("""COMPUTED_VALUE"""),"Yes")</f>
        <v>Yes</v>
      </c>
      <c r="S145" s="5" t="str">
        <f ca="1">IFERROR(__xludf.DUMMYFUNCTION("""COMPUTED_VALUE"""),"Yes")</f>
        <v>Yes</v>
      </c>
      <c r="T145" s="5" t="str">
        <f ca="1">IFERROR(__xludf.DUMMYFUNCTION("""COMPUTED_VALUE"""),"Yes")</f>
        <v>Yes</v>
      </c>
      <c r="U145" s="5" t="str">
        <f ca="1">IFERROR(__xludf.DUMMYFUNCTION("""COMPUTED_VALUE"""),"Yes")</f>
        <v>Yes</v>
      </c>
      <c r="V145" s="5" t="str">
        <f ca="1">IFERROR(__xludf.DUMMYFUNCTION("""COMPUTED_VALUE"""),"Yes")</f>
        <v>Yes</v>
      </c>
      <c r="W145" s="5" t="str">
        <f ca="1">IFERROR(__xludf.DUMMYFUNCTION("""COMPUTED_VALUE"""),"Yes")</f>
        <v>Yes</v>
      </c>
      <c r="X145" s="5" t="str">
        <f ca="1">IFERROR(__xludf.DUMMYFUNCTION("""COMPUTED_VALUE"""),"Yes")</f>
        <v>Yes</v>
      </c>
      <c r="Y145" s="5" t="str">
        <f ca="1">IFERROR(__xludf.DUMMYFUNCTION("""COMPUTED_VALUE"""),"Yes")</f>
        <v>Yes</v>
      </c>
      <c r="Z145" s="5" t="str">
        <f ca="1">IFERROR(__xludf.DUMMYFUNCTION("""COMPUTED_VALUE"""),"Yes")</f>
        <v>Yes</v>
      </c>
      <c r="AA145" s="5" t="str">
        <f ca="1">IFERROR(__xludf.DUMMYFUNCTION("""COMPUTED_VALUE"""),"Yes")</f>
        <v>Yes</v>
      </c>
      <c r="AB145" s="5" t="str">
        <f ca="1">IFERROR(__xludf.DUMMYFUNCTION("""COMPUTED_VALUE"""),"Yes")</f>
        <v>Yes</v>
      </c>
      <c r="AC145" s="5" t="str">
        <f ca="1">IFERROR(__xludf.DUMMYFUNCTION("""COMPUTED_VALUE"""),"No")</f>
        <v>No</v>
      </c>
    </row>
    <row r="146" spans="1:29" x14ac:dyDescent="0.25">
      <c r="A146" s="5" t="str">
        <f ca="1">IFERROR(__xludf.DUMMYFUNCTION("""COMPUTED_VALUE"""),"FruityWin40")</f>
        <v>FruityWin40</v>
      </c>
      <c r="B1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6" s="5" t="str">
        <f ca="1">IFERROR(__xludf.DUMMYFUNCTION("""COMPUTED_VALUE"""),"Yes")</f>
        <v>Yes</v>
      </c>
      <c r="D146" s="5" t="str">
        <f ca="1">IFERROR(__xludf.DUMMYFUNCTION("""COMPUTED_VALUE"""),"Yes")</f>
        <v>Yes</v>
      </c>
      <c r="E146" s="5" t="str">
        <f ca="1">IFERROR(__xludf.DUMMYFUNCTION("""COMPUTED_VALUE"""),"Yes")</f>
        <v>Yes</v>
      </c>
      <c r="F146" s="5" t="str">
        <f ca="1">IFERROR(__xludf.DUMMYFUNCTION("""COMPUTED_VALUE"""),"Yes")</f>
        <v>Yes</v>
      </c>
      <c r="G146" s="5" t="str">
        <f ca="1">IFERROR(__xludf.DUMMYFUNCTION("""COMPUTED_VALUE"""),"Yes")</f>
        <v>Yes</v>
      </c>
      <c r="H146" s="5" t="str">
        <f ca="1">IFERROR(__xludf.DUMMYFUNCTION("""COMPUTED_VALUE"""),"Yes")</f>
        <v>Yes</v>
      </c>
      <c r="I146" s="5" t="str">
        <f ca="1">IFERROR(__xludf.DUMMYFUNCTION("""COMPUTED_VALUE"""),"Yes")</f>
        <v>Yes</v>
      </c>
      <c r="J146" s="5" t="str">
        <f ca="1">IFERROR(__xludf.DUMMYFUNCTION("""COMPUTED_VALUE"""),"Yes")</f>
        <v>Yes</v>
      </c>
      <c r="K146" s="5" t="str">
        <f ca="1">IFERROR(__xludf.DUMMYFUNCTION("""COMPUTED_VALUE"""),"Yes")</f>
        <v>Yes</v>
      </c>
      <c r="L146" s="5" t="str">
        <f ca="1">IFERROR(__xludf.DUMMYFUNCTION("""COMPUTED_VALUE"""),"Yes")</f>
        <v>Yes</v>
      </c>
      <c r="M146" s="5" t="str">
        <f ca="1">IFERROR(__xludf.DUMMYFUNCTION("""COMPUTED_VALUE"""),"Yes")</f>
        <v>Yes</v>
      </c>
      <c r="N146" s="5" t="str">
        <f ca="1">IFERROR(__xludf.DUMMYFUNCTION("""COMPUTED_VALUE"""),"Yes")</f>
        <v>Yes</v>
      </c>
      <c r="O146" s="5" t="str">
        <f ca="1">IFERROR(__xludf.DUMMYFUNCTION("""COMPUTED_VALUE"""),"Yes")</f>
        <v>Yes</v>
      </c>
      <c r="P146" s="5" t="str">
        <f ca="1">IFERROR(__xludf.DUMMYFUNCTION("""COMPUTED_VALUE"""),"Yes")</f>
        <v>Yes</v>
      </c>
      <c r="Q146" s="5" t="str">
        <f ca="1">IFERROR(__xludf.DUMMYFUNCTION("""COMPUTED_VALUE"""),"Yes")</f>
        <v>Yes</v>
      </c>
      <c r="R146" s="5" t="str">
        <f ca="1">IFERROR(__xludf.DUMMYFUNCTION("""COMPUTED_VALUE"""),"Yes")</f>
        <v>Yes</v>
      </c>
      <c r="S146" s="5" t="str">
        <f ca="1">IFERROR(__xludf.DUMMYFUNCTION("""COMPUTED_VALUE"""),"Yes")</f>
        <v>Yes</v>
      </c>
      <c r="T146" s="5" t="str">
        <f ca="1">IFERROR(__xludf.DUMMYFUNCTION("""COMPUTED_VALUE"""),"Yes")</f>
        <v>Yes</v>
      </c>
      <c r="U146" s="5" t="str">
        <f ca="1">IFERROR(__xludf.DUMMYFUNCTION("""COMPUTED_VALUE"""),"Yes")</f>
        <v>Yes</v>
      </c>
      <c r="V146" s="5" t="str">
        <f ca="1">IFERROR(__xludf.DUMMYFUNCTION("""COMPUTED_VALUE"""),"Yes")</f>
        <v>Yes</v>
      </c>
      <c r="W146" s="5" t="str">
        <f ca="1">IFERROR(__xludf.DUMMYFUNCTION("""COMPUTED_VALUE"""),"Yes")</f>
        <v>Yes</v>
      </c>
      <c r="X146" s="5" t="str">
        <f ca="1">IFERROR(__xludf.DUMMYFUNCTION("""COMPUTED_VALUE"""),"Yes")</f>
        <v>Yes</v>
      </c>
      <c r="Y146" s="5" t="str">
        <f ca="1">IFERROR(__xludf.DUMMYFUNCTION("""COMPUTED_VALUE"""),"Yes")</f>
        <v>Yes</v>
      </c>
      <c r="Z146" s="5" t="str">
        <f ca="1">IFERROR(__xludf.DUMMYFUNCTION("""COMPUTED_VALUE"""),"Yes")</f>
        <v>Yes</v>
      </c>
      <c r="AA146" s="5" t="str">
        <f ca="1">IFERROR(__xludf.DUMMYFUNCTION("""COMPUTED_VALUE"""),"Yes")</f>
        <v>Yes</v>
      </c>
      <c r="AB146" s="5" t="str">
        <f ca="1">IFERROR(__xludf.DUMMYFUNCTION("""COMPUTED_VALUE"""),"Yes")</f>
        <v>Yes</v>
      </c>
      <c r="AC146" s="5" t="str">
        <f ca="1">IFERROR(__xludf.DUMMYFUNCTION("""COMPUTED_VALUE"""),"No")</f>
        <v>No</v>
      </c>
    </row>
    <row r="147" spans="1:29" x14ac:dyDescent="0.25">
      <c r="A147" s="5" t="str">
        <f ca="1">IFERROR(__xludf.DUMMYFUNCTION("""COMPUTED_VALUE"""),"ActionHot20")</f>
        <v>ActionHot20</v>
      </c>
      <c r="B1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7" s="5" t="str">
        <f ca="1">IFERROR(__xludf.DUMMYFUNCTION("""COMPUTED_VALUE"""),"Yes")</f>
        <v>Yes</v>
      </c>
      <c r="D147" s="5" t="str">
        <f ca="1">IFERROR(__xludf.DUMMYFUNCTION("""COMPUTED_VALUE"""),"Yes")</f>
        <v>Yes</v>
      </c>
      <c r="E147" s="5" t="str">
        <f ca="1">IFERROR(__xludf.DUMMYFUNCTION("""COMPUTED_VALUE"""),"Yes")</f>
        <v>Yes</v>
      </c>
      <c r="F147" s="5" t="str">
        <f ca="1">IFERROR(__xludf.DUMMYFUNCTION("""COMPUTED_VALUE"""),"Yes")</f>
        <v>Yes</v>
      </c>
      <c r="G147" s="5" t="str">
        <f ca="1">IFERROR(__xludf.DUMMYFUNCTION("""COMPUTED_VALUE"""),"Yes")</f>
        <v>Yes</v>
      </c>
      <c r="H147" s="5" t="str">
        <f ca="1">IFERROR(__xludf.DUMMYFUNCTION("""COMPUTED_VALUE"""),"Yes")</f>
        <v>Yes</v>
      </c>
      <c r="I147" s="5" t="str">
        <f ca="1">IFERROR(__xludf.DUMMYFUNCTION("""COMPUTED_VALUE"""),"Yes")</f>
        <v>Yes</v>
      </c>
      <c r="J147" s="5" t="str">
        <f ca="1">IFERROR(__xludf.DUMMYFUNCTION("""COMPUTED_VALUE"""),"Yes")</f>
        <v>Yes</v>
      </c>
      <c r="K147" s="5" t="str">
        <f ca="1">IFERROR(__xludf.DUMMYFUNCTION("""COMPUTED_VALUE"""),"Yes")</f>
        <v>Yes</v>
      </c>
      <c r="L147" s="5" t="str">
        <f ca="1">IFERROR(__xludf.DUMMYFUNCTION("""COMPUTED_VALUE"""),"Yes")</f>
        <v>Yes</v>
      </c>
      <c r="M147" s="5" t="str">
        <f ca="1">IFERROR(__xludf.DUMMYFUNCTION("""COMPUTED_VALUE"""),"Yes")</f>
        <v>Yes</v>
      </c>
      <c r="N147" s="5" t="str">
        <f ca="1">IFERROR(__xludf.DUMMYFUNCTION("""COMPUTED_VALUE"""),"Yes")</f>
        <v>Yes</v>
      </c>
      <c r="O147" s="5" t="str">
        <f ca="1">IFERROR(__xludf.DUMMYFUNCTION("""COMPUTED_VALUE"""),"Yes")</f>
        <v>Yes</v>
      </c>
      <c r="P147" s="5" t="str">
        <f ca="1">IFERROR(__xludf.DUMMYFUNCTION("""COMPUTED_VALUE"""),"Yes")</f>
        <v>Yes</v>
      </c>
      <c r="Q147" s="5" t="str">
        <f ca="1">IFERROR(__xludf.DUMMYFUNCTION("""COMPUTED_VALUE"""),"Yes")</f>
        <v>Yes</v>
      </c>
      <c r="R147" s="5" t="str">
        <f ca="1">IFERROR(__xludf.DUMMYFUNCTION("""COMPUTED_VALUE"""),"Yes")</f>
        <v>Yes</v>
      </c>
      <c r="S147" s="5" t="str">
        <f ca="1">IFERROR(__xludf.DUMMYFUNCTION("""COMPUTED_VALUE"""),"Yes")</f>
        <v>Yes</v>
      </c>
      <c r="T147" s="5" t="str">
        <f ca="1">IFERROR(__xludf.DUMMYFUNCTION("""COMPUTED_VALUE"""),"Yes")</f>
        <v>Yes</v>
      </c>
      <c r="U147" s="5" t="str">
        <f ca="1">IFERROR(__xludf.DUMMYFUNCTION("""COMPUTED_VALUE"""),"Yes")</f>
        <v>Yes</v>
      </c>
      <c r="V147" s="5" t="str">
        <f ca="1">IFERROR(__xludf.DUMMYFUNCTION("""COMPUTED_VALUE"""),"Yes")</f>
        <v>Yes</v>
      </c>
      <c r="W147" s="5" t="str">
        <f ca="1">IFERROR(__xludf.DUMMYFUNCTION("""COMPUTED_VALUE"""),"Yes")</f>
        <v>Yes</v>
      </c>
      <c r="X147" s="5" t="str">
        <f ca="1">IFERROR(__xludf.DUMMYFUNCTION("""COMPUTED_VALUE"""),"Yes")</f>
        <v>Yes</v>
      </c>
      <c r="Y147" s="5" t="str">
        <f ca="1">IFERROR(__xludf.DUMMYFUNCTION("""COMPUTED_VALUE"""),"Yes")</f>
        <v>Yes</v>
      </c>
      <c r="Z147" s="5" t="str">
        <f ca="1">IFERROR(__xludf.DUMMYFUNCTION("""COMPUTED_VALUE"""),"Yes")</f>
        <v>Yes</v>
      </c>
      <c r="AA147" s="5" t="str">
        <f ca="1">IFERROR(__xludf.DUMMYFUNCTION("""COMPUTED_VALUE"""),"Yes")</f>
        <v>Yes</v>
      </c>
      <c r="AB147" s="5" t="str">
        <f ca="1">IFERROR(__xludf.DUMMYFUNCTION("""COMPUTED_VALUE"""),"Yes")</f>
        <v>Yes</v>
      </c>
      <c r="AC147" s="5"/>
    </row>
    <row r="148" spans="1:29" x14ac:dyDescent="0.25">
      <c r="A148" s="5" t="str">
        <f ca="1">IFERROR(__xludf.DUMMYFUNCTION("""COMPUTED_VALUE"""),"JokerQueen")</f>
        <v>JokerQueen</v>
      </c>
      <c r="B1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8" s="5" t="str">
        <f ca="1">IFERROR(__xludf.DUMMYFUNCTION("""COMPUTED_VALUE"""),"Yes")</f>
        <v>Yes</v>
      </c>
      <c r="D148" s="5" t="str">
        <f ca="1">IFERROR(__xludf.DUMMYFUNCTION("""COMPUTED_VALUE"""),"Yes")</f>
        <v>Yes</v>
      </c>
      <c r="E148" s="5" t="str">
        <f ca="1">IFERROR(__xludf.DUMMYFUNCTION("""COMPUTED_VALUE"""),"Yes")</f>
        <v>Yes</v>
      </c>
      <c r="F148" s="5" t="str">
        <f ca="1">IFERROR(__xludf.DUMMYFUNCTION("""COMPUTED_VALUE"""),"Yes")</f>
        <v>Yes</v>
      </c>
      <c r="G148" s="5" t="str">
        <f ca="1">IFERROR(__xludf.DUMMYFUNCTION("""COMPUTED_VALUE"""),"Yes")</f>
        <v>Yes</v>
      </c>
      <c r="H148" s="5" t="str">
        <f ca="1">IFERROR(__xludf.DUMMYFUNCTION("""COMPUTED_VALUE"""),"Yes")</f>
        <v>Yes</v>
      </c>
      <c r="I148" s="5" t="str">
        <f ca="1">IFERROR(__xludf.DUMMYFUNCTION("""COMPUTED_VALUE"""),"Yes")</f>
        <v>Yes</v>
      </c>
      <c r="J148" s="5" t="str">
        <f ca="1">IFERROR(__xludf.DUMMYFUNCTION("""COMPUTED_VALUE"""),"Yes")</f>
        <v>Yes</v>
      </c>
      <c r="K148" s="5" t="str">
        <f ca="1">IFERROR(__xludf.DUMMYFUNCTION("""COMPUTED_VALUE"""),"Yes")</f>
        <v>Yes</v>
      </c>
      <c r="L148" s="5" t="str">
        <f ca="1">IFERROR(__xludf.DUMMYFUNCTION("""COMPUTED_VALUE"""),"Yes")</f>
        <v>Yes</v>
      </c>
      <c r="M148" s="5" t="str">
        <f ca="1">IFERROR(__xludf.DUMMYFUNCTION("""COMPUTED_VALUE"""),"Yes")</f>
        <v>Yes</v>
      </c>
      <c r="N148" s="5" t="str">
        <f ca="1">IFERROR(__xludf.DUMMYFUNCTION("""COMPUTED_VALUE"""),"Yes")</f>
        <v>Yes</v>
      </c>
      <c r="O148" s="5" t="str">
        <f ca="1">IFERROR(__xludf.DUMMYFUNCTION("""COMPUTED_VALUE"""),"Yes")</f>
        <v>Yes</v>
      </c>
      <c r="P148" s="5" t="str">
        <f ca="1">IFERROR(__xludf.DUMMYFUNCTION("""COMPUTED_VALUE"""),"Yes")</f>
        <v>Yes</v>
      </c>
      <c r="Q148" s="5" t="str">
        <f ca="1">IFERROR(__xludf.DUMMYFUNCTION("""COMPUTED_VALUE"""),"Yes")</f>
        <v>Yes</v>
      </c>
      <c r="R148" s="5" t="str">
        <f ca="1">IFERROR(__xludf.DUMMYFUNCTION("""COMPUTED_VALUE"""),"Yes")</f>
        <v>Yes</v>
      </c>
      <c r="S148" s="5" t="str">
        <f ca="1">IFERROR(__xludf.DUMMYFUNCTION("""COMPUTED_VALUE"""),"Yes")</f>
        <v>Yes</v>
      </c>
      <c r="T148" s="5" t="str">
        <f ca="1">IFERROR(__xludf.DUMMYFUNCTION("""COMPUTED_VALUE"""),"Yes")</f>
        <v>Yes</v>
      </c>
      <c r="U148" s="5" t="str">
        <f ca="1">IFERROR(__xludf.DUMMYFUNCTION("""COMPUTED_VALUE"""),"Yes")</f>
        <v>Yes</v>
      </c>
      <c r="V148" s="5" t="str">
        <f ca="1">IFERROR(__xludf.DUMMYFUNCTION("""COMPUTED_VALUE"""),"Yes")</f>
        <v>Yes</v>
      </c>
      <c r="W148" s="5"/>
      <c r="X148" s="5"/>
      <c r="Y148" s="5"/>
      <c r="Z148" s="5" t="str">
        <f ca="1">IFERROR(__xludf.DUMMYFUNCTION("""COMPUTED_VALUE"""),"Yes")</f>
        <v>Yes</v>
      </c>
      <c r="AA148" s="5"/>
      <c r="AB148" s="5"/>
      <c r="AC148" s="5"/>
    </row>
    <row r="149" spans="1:29" x14ac:dyDescent="0.25">
      <c r="A149" s="5" t="str">
        <f ca="1">IFERROR(__xludf.DUMMYFUNCTION("""COMPUTED_VALUE"""),"RouletteOnDemand")</f>
        <v>RouletteOnDemand</v>
      </c>
      <c r="B1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9" s="5" t="str">
        <f ca="1">IFERROR(__xludf.DUMMYFUNCTION("""COMPUTED_VALUE"""),"Yes")</f>
        <v>Yes</v>
      </c>
      <c r="D149" s="5" t="str">
        <f ca="1">IFERROR(__xludf.DUMMYFUNCTION("""COMPUTED_VALUE"""),"Yes")</f>
        <v>Yes</v>
      </c>
      <c r="E149" s="5" t="str">
        <f ca="1">IFERROR(__xludf.DUMMYFUNCTION("""COMPUTED_VALUE"""),"Yes")</f>
        <v>Yes</v>
      </c>
      <c r="F149" s="5" t="str">
        <f ca="1">IFERROR(__xludf.DUMMYFUNCTION("""COMPUTED_VALUE"""),"Yes")</f>
        <v>Yes</v>
      </c>
      <c r="G149" s="5" t="str">
        <f ca="1">IFERROR(__xludf.DUMMYFUNCTION("""COMPUTED_VALUE"""),"Yes")</f>
        <v>Yes</v>
      </c>
      <c r="H149" s="5" t="str">
        <f ca="1">IFERROR(__xludf.DUMMYFUNCTION("""COMPUTED_VALUE"""),"Yes")</f>
        <v>Yes</v>
      </c>
      <c r="I149" s="5" t="str">
        <f ca="1">IFERROR(__xludf.DUMMYFUNCTION("""COMPUTED_VALUE"""),"Yes")</f>
        <v>Yes</v>
      </c>
      <c r="J149" s="5" t="str">
        <f ca="1">IFERROR(__xludf.DUMMYFUNCTION("""COMPUTED_VALUE"""),"Yes")</f>
        <v>Yes</v>
      </c>
      <c r="K149" s="5" t="str">
        <f ca="1">IFERROR(__xludf.DUMMYFUNCTION("""COMPUTED_VALUE"""),"Yes")</f>
        <v>Yes</v>
      </c>
      <c r="L149" s="5" t="str">
        <f ca="1">IFERROR(__xludf.DUMMYFUNCTION("""COMPUTED_VALUE"""),"Yes")</f>
        <v>Yes</v>
      </c>
      <c r="M149" s="5" t="str">
        <f ca="1">IFERROR(__xludf.DUMMYFUNCTION("""COMPUTED_VALUE"""),"Yes")</f>
        <v>Yes</v>
      </c>
      <c r="N149" s="5" t="str">
        <f ca="1">IFERROR(__xludf.DUMMYFUNCTION("""COMPUTED_VALUE"""),"Yes")</f>
        <v>Yes</v>
      </c>
      <c r="O149" s="5" t="str">
        <f ca="1">IFERROR(__xludf.DUMMYFUNCTION("""COMPUTED_VALUE"""),"Yes")</f>
        <v>Yes</v>
      </c>
      <c r="P149" s="5" t="str">
        <f ca="1">IFERROR(__xludf.DUMMYFUNCTION("""COMPUTED_VALUE"""),"Yes")</f>
        <v>Yes</v>
      </c>
      <c r="Q149" s="5" t="str">
        <f ca="1">IFERROR(__xludf.DUMMYFUNCTION("""COMPUTED_VALUE"""),"Yes")</f>
        <v>Yes</v>
      </c>
      <c r="R149" s="5" t="str">
        <f ca="1">IFERROR(__xludf.DUMMYFUNCTION("""COMPUTED_VALUE"""),"Yes")</f>
        <v>Yes</v>
      </c>
      <c r="S149" s="5" t="str">
        <f ca="1">IFERROR(__xludf.DUMMYFUNCTION("""COMPUTED_VALUE"""),"Yes")</f>
        <v>Yes</v>
      </c>
      <c r="T149" s="5" t="str">
        <f ca="1">IFERROR(__xludf.DUMMYFUNCTION("""COMPUTED_VALUE"""),"Yes")</f>
        <v>Yes</v>
      </c>
      <c r="U149" s="5" t="str">
        <f ca="1">IFERROR(__xludf.DUMMYFUNCTION("""COMPUTED_VALUE"""),"Yes")</f>
        <v>Yes</v>
      </c>
      <c r="V149" s="5" t="str">
        <f ca="1">IFERROR(__xludf.DUMMYFUNCTION("""COMPUTED_VALUE"""),"Yes")</f>
        <v>Yes</v>
      </c>
      <c r="W149" s="5"/>
      <c r="X149" s="5"/>
      <c r="Y149" s="5"/>
      <c r="Z149" s="5" t="str">
        <f ca="1">IFERROR(__xludf.DUMMYFUNCTION("""COMPUTED_VALUE"""),"Yes")</f>
        <v>Yes</v>
      </c>
      <c r="AA149" s="5"/>
      <c r="AB149" s="5"/>
      <c r="AC149" s="5"/>
    </row>
    <row r="150" spans="1:29" x14ac:dyDescent="0.25">
      <c r="A150" s="5" t="str">
        <f ca="1">IFERROR(__xludf.DUMMYFUNCTION("""COMPUTED_VALUE"""),"OlimpHot")</f>
        <v>OlimpHot</v>
      </c>
      <c r="B1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0" s="5" t="str">
        <f ca="1">IFERROR(__xludf.DUMMYFUNCTION("""COMPUTED_VALUE"""),"Yes")</f>
        <v>Yes</v>
      </c>
      <c r="D150" s="5" t="str">
        <f ca="1">IFERROR(__xludf.DUMMYFUNCTION("""COMPUTED_VALUE"""),"Yes")</f>
        <v>Yes</v>
      </c>
      <c r="E150" s="5" t="str">
        <f ca="1">IFERROR(__xludf.DUMMYFUNCTION("""COMPUTED_VALUE"""),"Yes")</f>
        <v>Yes</v>
      </c>
      <c r="F150" s="5" t="str">
        <f ca="1">IFERROR(__xludf.DUMMYFUNCTION("""COMPUTED_VALUE"""),"Yes")</f>
        <v>Yes</v>
      </c>
      <c r="G150" s="5" t="str">
        <f ca="1">IFERROR(__xludf.DUMMYFUNCTION("""COMPUTED_VALUE"""),"Yes")</f>
        <v>Yes</v>
      </c>
      <c r="H150" s="5" t="str">
        <f ca="1">IFERROR(__xludf.DUMMYFUNCTION("""COMPUTED_VALUE"""),"Yes")</f>
        <v>Yes</v>
      </c>
      <c r="I150" s="5" t="str">
        <f ca="1">IFERROR(__xludf.DUMMYFUNCTION("""COMPUTED_VALUE"""),"Yes")</f>
        <v>Yes</v>
      </c>
      <c r="J150" s="5" t="str">
        <f ca="1">IFERROR(__xludf.DUMMYFUNCTION("""COMPUTED_VALUE"""),"Yes")</f>
        <v>Yes</v>
      </c>
      <c r="K150" s="5" t="str">
        <f ca="1">IFERROR(__xludf.DUMMYFUNCTION("""COMPUTED_VALUE"""),"Yes")</f>
        <v>Yes</v>
      </c>
      <c r="L150" s="5" t="str">
        <f ca="1">IFERROR(__xludf.DUMMYFUNCTION("""COMPUTED_VALUE"""),"Yes")</f>
        <v>Yes</v>
      </c>
      <c r="M150" s="5" t="str">
        <f ca="1">IFERROR(__xludf.DUMMYFUNCTION("""COMPUTED_VALUE"""),"Yes")</f>
        <v>Yes</v>
      </c>
      <c r="N150" s="5" t="str">
        <f ca="1">IFERROR(__xludf.DUMMYFUNCTION("""COMPUTED_VALUE"""),"Yes")</f>
        <v>Yes</v>
      </c>
      <c r="O150" s="5" t="str">
        <f ca="1">IFERROR(__xludf.DUMMYFUNCTION("""COMPUTED_VALUE"""),"Yes")</f>
        <v>Yes</v>
      </c>
      <c r="P150" s="5" t="str">
        <f ca="1">IFERROR(__xludf.DUMMYFUNCTION("""COMPUTED_VALUE"""),"Yes")</f>
        <v>Yes</v>
      </c>
      <c r="Q150" s="5" t="str">
        <f ca="1">IFERROR(__xludf.DUMMYFUNCTION("""COMPUTED_VALUE"""),"Yes")</f>
        <v>Yes</v>
      </c>
      <c r="R150" s="5" t="str">
        <f ca="1">IFERROR(__xludf.DUMMYFUNCTION("""COMPUTED_VALUE"""),"Yes")</f>
        <v>Yes</v>
      </c>
      <c r="S150" s="5" t="str">
        <f ca="1">IFERROR(__xludf.DUMMYFUNCTION("""COMPUTED_VALUE"""),"Yes")</f>
        <v>Yes</v>
      </c>
      <c r="T150" s="5" t="str">
        <f ca="1">IFERROR(__xludf.DUMMYFUNCTION("""COMPUTED_VALUE"""),"Yes")</f>
        <v>Yes</v>
      </c>
      <c r="U150" s="5" t="str">
        <f ca="1">IFERROR(__xludf.DUMMYFUNCTION("""COMPUTED_VALUE"""),"Yes")</f>
        <v>Yes</v>
      </c>
      <c r="V150" s="5" t="str">
        <f ca="1">IFERROR(__xludf.DUMMYFUNCTION("""COMPUTED_VALUE"""),"Yes")</f>
        <v>Yes</v>
      </c>
      <c r="W150" s="5" t="str">
        <f ca="1">IFERROR(__xludf.DUMMYFUNCTION("""COMPUTED_VALUE"""),"Yes")</f>
        <v>Yes</v>
      </c>
      <c r="X150" s="5" t="str">
        <f ca="1">IFERROR(__xludf.DUMMYFUNCTION("""COMPUTED_VALUE"""),"Yes")</f>
        <v>Yes</v>
      </c>
      <c r="Y150" s="5" t="str">
        <f ca="1">IFERROR(__xludf.DUMMYFUNCTION("""COMPUTED_VALUE"""),"Yes")</f>
        <v>Yes</v>
      </c>
      <c r="Z150" s="5" t="str">
        <f ca="1">IFERROR(__xludf.DUMMYFUNCTION("""COMPUTED_VALUE"""),"Yes")</f>
        <v>Yes</v>
      </c>
      <c r="AA150" s="5" t="str">
        <f ca="1">IFERROR(__xludf.DUMMYFUNCTION("""COMPUTED_VALUE"""),"Yes")</f>
        <v>Yes</v>
      </c>
      <c r="AB150" s="5" t="str">
        <f ca="1">IFERROR(__xludf.DUMMYFUNCTION("""COMPUTED_VALUE"""),"Yes")</f>
        <v>Yes</v>
      </c>
      <c r="AC150" s="5" t="str">
        <f ca="1">IFERROR(__xludf.DUMMYFUNCTION("""COMPUTED_VALUE"""),"No")</f>
        <v>No</v>
      </c>
    </row>
    <row r="151" spans="1:29" x14ac:dyDescent="0.25">
      <c r="A151" s="5" t="str">
        <f ca="1">IFERROR(__xludf.DUMMYFUNCTION("""COMPUTED_VALUE"""),"CashBells40")</f>
        <v>CashBells40</v>
      </c>
      <c r="B1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1" s="5" t="str">
        <f ca="1">IFERROR(__xludf.DUMMYFUNCTION("""COMPUTED_VALUE"""),"Yes")</f>
        <v>Yes</v>
      </c>
      <c r="D151" s="5" t="str">
        <f ca="1">IFERROR(__xludf.DUMMYFUNCTION("""COMPUTED_VALUE"""),"Yes")</f>
        <v>Yes</v>
      </c>
      <c r="E151" s="5" t="str">
        <f ca="1">IFERROR(__xludf.DUMMYFUNCTION("""COMPUTED_VALUE"""),"Yes")</f>
        <v>Yes</v>
      </c>
      <c r="F151" s="5" t="str">
        <f ca="1">IFERROR(__xludf.DUMMYFUNCTION("""COMPUTED_VALUE"""),"Yes")</f>
        <v>Yes</v>
      </c>
      <c r="G151" s="5" t="str">
        <f ca="1">IFERROR(__xludf.DUMMYFUNCTION("""COMPUTED_VALUE"""),"Yes")</f>
        <v>Yes</v>
      </c>
      <c r="H151" s="5" t="str">
        <f ca="1">IFERROR(__xludf.DUMMYFUNCTION("""COMPUTED_VALUE"""),"Yes")</f>
        <v>Yes</v>
      </c>
      <c r="I151" s="5" t="str">
        <f ca="1">IFERROR(__xludf.DUMMYFUNCTION("""COMPUTED_VALUE"""),"Yes")</f>
        <v>Yes</v>
      </c>
      <c r="J151" s="5" t="str">
        <f ca="1">IFERROR(__xludf.DUMMYFUNCTION("""COMPUTED_VALUE"""),"Yes")</f>
        <v>Yes</v>
      </c>
      <c r="K151" s="5" t="str">
        <f ca="1">IFERROR(__xludf.DUMMYFUNCTION("""COMPUTED_VALUE"""),"Yes")</f>
        <v>Yes</v>
      </c>
      <c r="L151" s="5" t="str">
        <f ca="1">IFERROR(__xludf.DUMMYFUNCTION("""COMPUTED_VALUE"""),"Yes")</f>
        <v>Yes</v>
      </c>
      <c r="M151" s="5" t="str">
        <f ca="1">IFERROR(__xludf.DUMMYFUNCTION("""COMPUTED_VALUE"""),"Yes")</f>
        <v>Yes</v>
      </c>
      <c r="N151" s="5" t="str">
        <f ca="1">IFERROR(__xludf.DUMMYFUNCTION("""COMPUTED_VALUE"""),"Yes")</f>
        <v>Yes</v>
      </c>
      <c r="O151" s="5" t="str">
        <f ca="1">IFERROR(__xludf.DUMMYFUNCTION("""COMPUTED_VALUE"""),"Yes")</f>
        <v>Yes</v>
      </c>
      <c r="P151" s="5" t="str">
        <f ca="1">IFERROR(__xludf.DUMMYFUNCTION("""COMPUTED_VALUE"""),"Yes")</f>
        <v>Yes</v>
      </c>
      <c r="Q151" s="5" t="str">
        <f ca="1">IFERROR(__xludf.DUMMYFUNCTION("""COMPUTED_VALUE"""),"Yes")</f>
        <v>Yes</v>
      </c>
      <c r="R151" s="5" t="str">
        <f ca="1">IFERROR(__xludf.DUMMYFUNCTION("""COMPUTED_VALUE"""),"Yes")</f>
        <v>Yes</v>
      </c>
      <c r="S151" s="5" t="str">
        <f ca="1">IFERROR(__xludf.DUMMYFUNCTION("""COMPUTED_VALUE"""),"Yes")</f>
        <v>Yes</v>
      </c>
      <c r="T151" s="5" t="str">
        <f ca="1">IFERROR(__xludf.DUMMYFUNCTION("""COMPUTED_VALUE"""),"Yes")</f>
        <v>Yes</v>
      </c>
      <c r="U151" s="5" t="str">
        <f ca="1">IFERROR(__xludf.DUMMYFUNCTION("""COMPUTED_VALUE"""),"Yes")</f>
        <v>Yes</v>
      </c>
      <c r="V151" s="5" t="str">
        <f ca="1">IFERROR(__xludf.DUMMYFUNCTION("""COMPUTED_VALUE"""),"Yes")</f>
        <v>Yes</v>
      </c>
      <c r="W151" s="5"/>
      <c r="X151" s="5"/>
      <c r="Y151" s="5"/>
      <c r="Z151" s="5" t="str">
        <f ca="1">IFERROR(__xludf.DUMMYFUNCTION("""COMPUTED_VALUE"""),"Yes")</f>
        <v>Yes</v>
      </c>
      <c r="AA151" s="5"/>
      <c r="AB151" s="5"/>
      <c r="AC151" s="5"/>
    </row>
    <row r="152" spans="1:29" x14ac:dyDescent="0.25">
      <c r="A152" s="5" t="str">
        <f ca="1">IFERROR(__xludf.DUMMYFUNCTION("""COMPUTED_VALUE"""),"SimplyRunner")</f>
        <v>SimplyRunner</v>
      </c>
      <c r="B15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52" s="5" t="str">
        <f ca="1">IFERROR(__xludf.DUMMYFUNCTION("""COMPUTED_VALUE"""),"Yes")</f>
        <v>Yes</v>
      </c>
      <c r="D152" s="5" t="str">
        <f ca="1">IFERROR(__xludf.DUMMYFUNCTION("""COMPUTED_VALUE"""),"Yes")</f>
        <v>Yes</v>
      </c>
      <c r="E152" s="5" t="str">
        <f ca="1">IFERROR(__xludf.DUMMYFUNCTION("""COMPUTED_VALUE"""),"No")</f>
        <v>No</v>
      </c>
      <c r="F152" s="5" t="str">
        <f ca="1">IFERROR(__xludf.DUMMYFUNCTION("""COMPUTED_VALUE"""),"Yes")</f>
        <v>Yes</v>
      </c>
      <c r="G152" s="5" t="str">
        <f ca="1">IFERROR(__xludf.DUMMYFUNCTION("""COMPUTED_VALUE"""),"Yes")</f>
        <v>Yes</v>
      </c>
      <c r="H152" s="5" t="str">
        <f ca="1">IFERROR(__xludf.DUMMYFUNCTION("""COMPUTED_VALUE"""),"Yes")</f>
        <v>Yes</v>
      </c>
      <c r="I152" s="5" t="str">
        <f ca="1">IFERROR(__xludf.DUMMYFUNCTION("""COMPUTED_VALUE"""),"Yes")</f>
        <v>Yes</v>
      </c>
      <c r="J152" s="5" t="str">
        <f ca="1">IFERROR(__xludf.DUMMYFUNCTION("""COMPUTED_VALUE"""),"Yes")</f>
        <v>Yes</v>
      </c>
      <c r="K152" s="5" t="str">
        <f ca="1">IFERROR(__xludf.DUMMYFUNCTION("""COMPUTED_VALUE"""),"Yes")</f>
        <v>Yes</v>
      </c>
      <c r="L152" s="5" t="str">
        <f ca="1">IFERROR(__xludf.DUMMYFUNCTION("""COMPUTED_VALUE"""),"Yes")</f>
        <v>Yes</v>
      </c>
      <c r="M152" s="5" t="str">
        <f ca="1">IFERROR(__xludf.DUMMYFUNCTION("""COMPUTED_VALUE"""),"Yes")</f>
        <v>Yes</v>
      </c>
      <c r="N152" s="5" t="str">
        <f ca="1">IFERROR(__xludf.DUMMYFUNCTION("""COMPUTED_VALUE"""),"Yes")</f>
        <v>Yes</v>
      </c>
      <c r="O152" s="5" t="str">
        <f ca="1">IFERROR(__xludf.DUMMYFUNCTION("""COMPUTED_VALUE"""),"Yes")</f>
        <v>Yes</v>
      </c>
      <c r="P152" s="5" t="str">
        <f ca="1">IFERROR(__xludf.DUMMYFUNCTION("""COMPUTED_VALUE"""),"Yes")</f>
        <v>Yes</v>
      </c>
      <c r="Q152" s="5" t="str">
        <f ca="1">IFERROR(__xludf.DUMMYFUNCTION("""COMPUTED_VALUE"""),"Yes")</f>
        <v>Yes</v>
      </c>
      <c r="R152" s="5" t="str">
        <f ca="1">IFERROR(__xludf.DUMMYFUNCTION("""COMPUTED_VALUE"""),"No")</f>
        <v>No</v>
      </c>
      <c r="S152" s="5" t="str">
        <f ca="1">IFERROR(__xludf.DUMMYFUNCTION("""COMPUTED_VALUE"""),"No")</f>
        <v>No</v>
      </c>
      <c r="T152" s="5" t="str">
        <f ca="1">IFERROR(__xludf.DUMMYFUNCTION("""COMPUTED_VALUE"""),"No")</f>
        <v>No</v>
      </c>
      <c r="U152" s="5" t="str">
        <f ca="1">IFERROR(__xludf.DUMMYFUNCTION("""COMPUTED_VALUE"""),"No")</f>
        <v>No</v>
      </c>
      <c r="V152" s="5" t="str">
        <f ca="1">IFERROR(__xludf.DUMMYFUNCTION("""COMPUTED_VALUE"""),"No")</f>
        <v>No</v>
      </c>
      <c r="W152" s="5" t="str">
        <f ca="1">IFERROR(__xludf.DUMMYFUNCTION("""COMPUTED_VALUE"""),"No")</f>
        <v>No</v>
      </c>
      <c r="X152" s="5" t="str">
        <f ca="1">IFERROR(__xludf.DUMMYFUNCTION("""COMPUTED_VALUE"""),"No")</f>
        <v>No</v>
      </c>
      <c r="Y152" s="5" t="str">
        <f ca="1">IFERROR(__xludf.DUMMYFUNCTION("""COMPUTED_VALUE"""),"No")</f>
        <v>No</v>
      </c>
      <c r="Z152" s="5" t="str">
        <f ca="1">IFERROR(__xludf.DUMMYFUNCTION("""COMPUTED_VALUE"""),"No")</f>
        <v>No</v>
      </c>
      <c r="AA152" s="5" t="str">
        <f ca="1">IFERROR(__xludf.DUMMYFUNCTION("""COMPUTED_VALUE"""),"No")</f>
        <v>No</v>
      </c>
      <c r="AB152" s="5" t="str">
        <f ca="1">IFERROR(__xludf.DUMMYFUNCTION("""COMPUTED_VALUE"""),"Yes")</f>
        <v>Yes</v>
      </c>
      <c r="AC152" s="5" t="str">
        <f ca="1">IFERROR(__xludf.DUMMYFUNCTION("""COMPUTED_VALUE"""),"No")</f>
        <v>No</v>
      </c>
    </row>
    <row r="153" spans="1:29" x14ac:dyDescent="0.25">
      <c r="A153" s="5" t="str">
        <f ca="1">IFERROR(__xludf.DUMMYFUNCTION("""COMPUTED_VALUE"""),"Unicorn20MegaFlames")</f>
        <v>Unicorn20MegaFlames</v>
      </c>
      <c r="B1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3" s="5" t="str">
        <f ca="1">IFERROR(__xludf.DUMMYFUNCTION("""COMPUTED_VALUE"""),"Yes")</f>
        <v>Yes</v>
      </c>
      <c r="D153" s="5" t="str">
        <f ca="1">IFERROR(__xludf.DUMMYFUNCTION("""COMPUTED_VALUE"""),"Yes")</f>
        <v>Yes</v>
      </c>
      <c r="E153" s="5" t="str">
        <f ca="1">IFERROR(__xludf.DUMMYFUNCTION("""COMPUTED_VALUE"""),"Yes")</f>
        <v>Yes</v>
      </c>
      <c r="F153" s="5" t="str">
        <f ca="1">IFERROR(__xludf.DUMMYFUNCTION("""COMPUTED_VALUE"""),"Yes")</f>
        <v>Yes</v>
      </c>
      <c r="G153" s="5" t="str">
        <f ca="1">IFERROR(__xludf.DUMMYFUNCTION("""COMPUTED_VALUE"""),"Yes")</f>
        <v>Yes</v>
      </c>
      <c r="H153" s="5" t="str">
        <f ca="1">IFERROR(__xludf.DUMMYFUNCTION("""COMPUTED_VALUE"""),"Yes")</f>
        <v>Yes</v>
      </c>
      <c r="I153" s="5" t="str">
        <f ca="1">IFERROR(__xludf.DUMMYFUNCTION("""COMPUTED_VALUE"""),"Yes")</f>
        <v>Yes</v>
      </c>
      <c r="J153" s="5" t="str">
        <f ca="1">IFERROR(__xludf.DUMMYFUNCTION("""COMPUTED_VALUE"""),"Yes")</f>
        <v>Yes</v>
      </c>
      <c r="K153" s="5" t="str">
        <f ca="1">IFERROR(__xludf.DUMMYFUNCTION("""COMPUTED_VALUE"""),"Yes")</f>
        <v>Yes</v>
      </c>
      <c r="L153" s="5" t="str">
        <f ca="1">IFERROR(__xludf.DUMMYFUNCTION("""COMPUTED_VALUE"""),"Yes")</f>
        <v>Yes</v>
      </c>
      <c r="M153" s="5" t="str">
        <f ca="1">IFERROR(__xludf.DUMMYFUNCTION("""COMPUTED_VALUE"""),"Yes")</f>
        <v>Yes</v>
      </c>
      <c r="N153" s="5" t="str">
        <f ca="1">IFERROR(__xludf.DUMMYFUNCTION("""COMPUTED_VALUE"""),"Yes")</f>
        <v>Yes</v>
      </c>
      <c r="O153" s="5" t="str">
        <f ca="1">IFERROR(__xludf.DUMMYFUNCTION("""COMPUTED_VALUE"""),"Yes")</f>
        <v>Yes</v>
      </c>
      <c r="P153" s="5" t="str">
        <f ca="1">IFERROR(__xludf.DUMMYFUNCTION("""COMPUTED_VALUE"""),"Yes")</f>
        <v>Yes</v>
      </c>
      <c r="Q153" s="5" t="str">
        <f ca="1">IFERROR(__xludf.DUMMYFUNCTION("""COMPUTED_VALUE"""),"Yes")</f>
        <v>Yes</v>
      </c>
      <c r="R153" s="5" t="str">
        <f ca="1">IFERROR(__xludf.DUMMYFUNCTION("""COMPUTED_VALUE"""),"Yes")</f>
        <v>Yes</v>
      </c>
      <c r="S153" s="5" t="str">
        <f ca="1">IFERROR(__xludf.DUMMYFUNCTION("""COMPUTED_VALUE"""),"Yes")</f>
        <v>Yes</v>
      </c>
      <c r="T153" s="5" t="str">
        <f ca="1">IFERROR(__xludf.DUMMYFUNCTION("""COMPUTED_VALUE"""),"Yes")</f>
        <v>Yes</v>
      </c>
      <c r="U153" s="5" t="str">
        <f ca="1">IFERROR(__xludf.DUMMYFUNCTION("""COMPUTED_VALUE"""),"Yes")</f>
        <v>Yes</v>
      </c>
      <c r="V153" s="5" t="str">
        <f ca="1">IFERROR(__xludf.DUMMYFUNCTION("""COMPUTED_VALUE"""),"Yes")</f>
        <v>Yes</v>
      </c>
      <c r="W153" s="5"/>
      <c r="X153" s="5"/>
      <c r="Y153" s="5"/>
      <c r="Z153" s="5" t="str">
        <f ca="1">IFERROR(__xludf.DUMMYFUNCTION("""COMPUTED_VALUE"""),"Yes")</f>
        <v>Yes</v>
      </c>
      <c r="AA153" s="5"/>
      <c r="AB153" s="5"/>
      <c r="AC153" s="5"/>
    </row>
    <row r="154" spans="1:29" x14ac:dyDescent="0.25">
      <c r="A154" s="5" t="str">
        <f ca="1">IFERROR(__xludf.DUMMYFUNCTION("""COMPUTED_VALUE"""),"VeryHot20")</f>
        <v>VeryHot20</v>
      </c>
      <c r="B1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4" s="5" t="str">
        <f ca="1">IFERROR(__xludf.DUMMYFUNCTION("""COMPUTED_VALUE"""),"Yes")</f>
        <v>Yes</v>
      </c>
      <c r="D154" s="5" t="str">
        <f ca="1">IFERROR(__xludf.DUMMYFUNCTION("""COMPUTED_VALUE"""),"Yes")</f>
        <v>Yes</v>
      </c>
      <c r="E154" s="5" t="str">
        <f ca="1">IFERROR(__xludf.DUMMYFUNCTION("""COMPUTED_VALUE"""),"Yes")</f>
        <v>Yes</v>
      </c>
      <c r="F154" s="5" t="str">
        <f ca="1">IFERROR(__xludf.DUMMYFUNCTION("""COMPUTED_VALUE"""),"Yes")</f>
        <v>Yes</v>
      </c>
      <c r="G154" s="5" t="str">
        <f ca="1">IFERROR(__xludf.DUMMYFUNCTION("""COMPUTED_VALUE"""),"Yes")</f>
        <v>Yes</v>
      </c>
      <c r="H154" s="5" t="str">
        <f ca="1">IFERROR(__xludf.DUMMYFUNCTION("""COMPUTED_VALUE"""),"Yes")</f>
        <v>Yes</v>
      </c>
      <c r="I154" s="5" t="str">
        <f ca="1">IFERROR(__xludf.DUMMYFUNCTION("""COMPUTED_VALUE"""),"Yes")</f>
        <v>Yes</v>
      </c>
      <c r="J154" s="5" t="str">
        <f ca="1">IFERROR(__xludf.DUMMYFUNCTION("""COMPUTED_VALUE"""),"Yes")</f>
        <v>Yes</v>
      </c>
      <c r="K154" s="5" t="str">
        <f ca="1">IFERROR(__xludf.DUMMYFUNCTION("""COMPUTED_VALUE"""),"Yes")</f>
        <v>Yes</v>
      </c>
      <c r="L154" s="5" t="str">
        <f ca="1">IFERROR(__xludf.DUMMYFUNCTION("""COMPUTED_VALUE"""),"Yes")</f>
        <v>Yes</v>
      </c>
      <c r="M154" s="5" t="str">
        <f ca="1">IFERROR(__xludf.DUMMYFUNCTION("""COMPUTED_VALUE"""),"Yes")</f>
        <v>Yes</v>
      </c>
      <c r="N154" s="5" t="str">
        <f ca="1">IFERROR(__xludf.DUMMYFUNCTION("""COMPUTED_VALUE"""),"Yes")</f>
        <v>Yes</v>
      </c>
      <c r="O154" s="5" t="str">
        <f ca="1">IFERROR(__xludf.DUMMYFUNCTION("""COMPUTED_VALUE"""),"Yes")</f>
        <v>Yes</v>
      </c>
      <c r="P154" s="5" t="str">
        <f ca="1">IFERROR(__xludf.DUMMYFUNCTION("""COMPUTED_VALUE"""),"Yes")</f>
        <v>Yes</v>
      </c>
      <c r="Q154" s="5" t="str">
        <f ca="1">IFERROR(__xludf.DUMMYFUNCTION("""COMPUTED_VALUE"""),"Yes")</f>
        <v>Yes</v>
      </c>
      <c r="R154" s="5" t="str">
        <f ca="1">IFERROR(__xludf.DUMMYFUNCTION("""COMPUTED_VALUE"""),"Yes")</f>
        <v>Yes</v>
      </c>
      <c r="S154" s="5" t="str">
        <f ca="1">IFERROR(__xludf.DUMMYFUNCTION("""COMPUTED_VALUE"""),"Yes")</f>
        <v>Yes</v>
      </c>
      <c r="T154" s="5" t="str">
        <f ca="1">IFERROR(__xludf.DUMMYFUNCTION("""COMPUTED_VALUE"""),"Yes")</f>
        <v>Yes</v>
      </c>
      <c r="U154" s="5" t="str">
        <f ca="1">IFERROR(__xludf.DUMMYFUNCTION("""COMPUTED_VALUE"""),"Yes")</f>
        <v>Yes</v>
      </c>
      <c r="V154" s="5" t="str">
        <f ca="1">IFERROR(__xludf.DUMMYFUNCTION("""COMPUTED_VALUE"""),"Yes")</f>
        <v>Yes</v>
      </c>
      <c r="W154" s="5" t="str">
        <f ca="1">IFERROR(__xludf.DUMMYFUNCTION("""COMPUTED_VALUE"""),"Yes")</f>
        <v>Yes</v>
      </c>
      <c r="X154" s="5" t="str">
        <f ca="1">IFERROR(__xludf.DUMMYFUNCTION("""COMPUTED_VALUE"""),"Yes")</f>
        <v>Yes</v>
      </c>
      <c r="Y154" s="5" t="str">
        <f ca="1">IFERROR(__xludf.DUMMYFUNCTION("""COMPUTED_VALUE"""),"Yes")</f>
        <v>Yes</v>
      </c>
      <c r="Z154" s="5" t="str">
        <f ca="1">IFERROR(__xludf.DUMMYFUNCTION("""COMPUTED_VALUE"""),"Yes")</f>
        <v>Yes</v>
      </c>
      <c r="AA154" s="5" t="str">
        <f ca="1">IFERROR(__xludf.DUMMYFUNCTION("""COMPUTED_VALUE"""),"Yes")</f>
        <v>Yes</v>
      </c>
      <c r="AB154" s="5" t="str">
        <f ca="1">IFERROR(__xludf.DUMMYFUNCTION("""COMPUTED_VALUE"""),"Yes")</f>
        <v>Yes</v>
      </c>
      <c r="AC154" s="5" t="str">
        <f ca="1">IFERROR(__xludf.DUMMYFUNCTION("""COMPUTED_VALUE"""),"No")</f>
        <v>No</v>
      </c>
    </row>
    <row r="155" spans="1:29" x14ac:dyDescent="0.25">
      <c r="A155" s="5" t="str">
        <f ca="1">IFERROR(__xludf.DUMMYFUNCTION("""COMPUTED_VALUE"""),"KingOfThunder")</f>
        <v>KingOfThunder</v>
      </c>
      <c r="B1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5" s="5" t="str">
        <f ca="1">IFERROR(__xludf.DUMMYFUNCTION("""COMPUTED_VALUE"""),"Yes")</f>
        <v>Yes</v>
      </c>
      <c r="D155" s="5" t="str">
        <f ca="1">IFERROR(__xludf.DUMMYFUNCTION("""COMPUTED_VALUE"""),"Yes")</f>
        <v>Yes</v>
      </c>
      <c r="E155" s="5" t="str">
        <f ca="1">IFERROR(__xludf.DUMMYFUNCTION("""COMPUTED_VALUE"""),"Yes")</f>
        <v>Yes</v>
      </c>
      <c r="F155" s="5" t="str">
        <f ca="1">IFERROR(__xludf.DUMMYFUNCTION("""COMPUTED_VALUE"""),"Yes")</f>
        <v>Yes</v>
      </c>
      <c r="G155" s="5" t="str">
        <f ca="1">IFERROR(__xludf.DUMMYFUNCTION("""COMPUTED_VALUE"""),"Yes")</f>
        <v>Yes</v>
      </c>
      <c r="H155" s="5" t="str">
        <f ca="1">IFERROR(__xludf.DUMMYFUNCTION("""COMPUTED_VALUE"""),"Yes")</f>
        <v>Yes</v>
      </c>
      <c r="I155" s="5" t="str">
        <f ca="1">IFERROR(__xludf.DUMMYFUNCTION("""COMPUTED_VALUE"""),"Yes")</f>
        <v>Yes</v>
      </c>
      <c r="J155" s="5" t="str">
        <f ca="1">IFERROR(__xludf.DUMMYFUNCTION("""COMPUTED_VALUE"""),"Yes")</f>
        <v>Yes</v>
      </c>
      <c r="K155" s="5" t="str">
        <f ca="1">IFERROR(__xludf.DUMMYFUNCTION("""COMPUTED_VALUE"""),"Yes")</f>
        <v>Yes</v>
      </c>
      <c r="L155" s="5" t="str">
        <f ca="1">IFERROR(__xludf.DUMMYFUNCTION("""COMPUTED_VALUE"""),"Yes")</f>
        <v>Yes</v>
      </c>
      <c r="M155" s="5" t="str">
        <f ca="1">IFERROR(__xludf.DUMMYFUNCTION("""COMPUTED_VALUE"""),"Yes")</f>
        <v>Yes</v>
      </c>
      <c r="N155" s="5" t="str">
        <f ca="1">IFERROR(__xludf.DUMMYFUNCTION("""COMPUTED_VALUE"""),"Yes")</f>
        <v>Yes</v>
      </c>
      <c r="O155" s="5" t="str">
        <f ca="1">IFERROR(__xludf.DUMMYFUNCTION("""COMPUTED_VALUE"""),"Yes")</f>
        <v>Yes</v>
      </c>
      <c r="P155" s="5" t="str">
        <f ca="1">IFERROR(__xludf.DUMMYFUNCTION("""COMPUTED_VALUE"""),"Yes")</f>
        <v>Yes</v>
      </c>
      <c r="Q155" s="5" t="str">
        <f ca="1">IFERROR(__xludf.DUMMYFUNCTION("""COMPUTED_VALUE"""),"Yes")</f>
        <v>Yes</v>
      </c>
      <c r="R155" s="5" t="str">
        <f ca="1">IFERROR(__xludf.DUMMYFUNCTION("""COMPUTED_VALUE"""),"Yes")</f>
        <v>Yes</v>
      </c>
      <c r="S155" s="5" t="str">
        <f ca="1">IFERROR(__xludf.DUMMYFUNCTION("""COMPUTED_VALUE"""),"Yes")</f>
        <v>Yes</v>
      </c>
      <c r="T155" s="5" t="str">
        <f ca="1">IFERROR(__xludf.DUMMYFUNCTION("""COMPUTED_VALUE"""),"Yes")</f>
        <v>Yes</v>
      </c>
      <c r="U155" s="5" t="str">
        <f ca="1">IFERROR(__xludf.DUMMYFUNCTION("""COMPUTED_VALUE"""),"Yes")</f>
        <v>Yes</v>
      </c>
      <c r="V155" s="5" t="str">
        <f ca="1">IFERROR(__xludf.DUMMYFUNCTION("""COMPUTED_VALUE"""),"Yes")</f>
        <v>Yes</v>
      </c>
      <c r="W155" s="5" t="str">
        <f ca="1">IFERROR(__xludf.DUMMYFUNCTION("""COMPUTED_VALUE"""),"Yes")</f>
        <v>Yes</v>
      </c>
      <c r="X155" s="5" t="str">
        <f ca="1">IFERROR(__xludf.DUMMYFUNCTION("""COMPUTED_VALUE"""),"Yes")</f>
        <v>Yes</v>
      </c>
      <c r="Y155" s="5" t="str">
        <f ca="1">IFERROR(__xludf.DUMMYFUNCTION("""COMPUTED_VALUE"""),"Yes")</f>
        <v>Yes</v>
      </c>
      <c r="Z155" s="5" t="str">
        <f ca="1">IFERROR(__xludf.DUMMYFUNCTION("""COMPUTED_VALUE"""),"Yes")</f>
        <v>Yes</v>
      </c>
      <c r="AA155" s="5" t="str">
        <f ca="1">IFERROR(__xludf.DUMMYFUNCTION("""COMPUTED_VALUE"""),"Yes")</f>
        <v>Yes</v>
      </c>
      <c r="AB155" s="5" t="str">
        <f ca="1">IFERROR(__xludf.DUMMYFUNCTION("""COMPUTED_VALUE"""),"Yes")</f>
        <v>Yes</v>
      </c>
      <c r="AC155" s="5" t="str">
        <f ca="1">IFERROR(__xludf.DUMMYFUNCTION("""COMPUTED_VALUE"""),"No")</f>
        <v>No</v>
      </c>
    </row>
    <row r="156" spans="1:29" x14ac:dyDescent="0.25">
      <c r="A156" s="5" t="str">
        <f ca="1">IFERROR(__xludf.DUMMYFUNCTION("""COMPUTED_VALUE"""),"BookOfSpells2")</f>
        <v>BookOfSpells2</v>
      </c>
      <c r="B1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6" s="5" t="str">
        <f ca="1">IFERROR(__xludf.DUMMYFUNCTION("""COMPUTED_VALUE"""),"Yes")</f>
        <v>Yes</v>
      </c>
      <c r="D156" s="5" t="str">
        <f ca="1">IFERROR(__xludf.DUMMYFUNCTION("""COMPUTED_VALUE"""),"Yes")</f>
        <v>Yes</v>
      </c>
      <c r="E156" s="5" t="str">
        <f ca="1">IFERROR(__xludf.DUMMYFUNCTION("""COMPUTED_VALUE"""),"Yes")</f>
        <v>Yes</v>
      </c>
      <c r="F156" s="5" t="str">
        <f ca="1">IFERROR(__xludf.DUMMYFUNCTION("""COMPUTED_VALUE"""),"Yes")</f>
        <v>Yes</v>
      </c>
      <c r="G156" s="5" t="str">
        <f ca="1">IFERROR(__xludf.DUMMYFUNCTION("""COMPUTED_VALUE"""),"Yes")</f>
        <v>Yes</v>
      </c>
      <c r="H156" s="5" t="str">
        <f ca="1">IFERROR(__xludf.DUMMYFUNCTION("""COMPUTED_VALUE"""),"Yes")</f>
        <v>Yes</v>
      </c>
      <c r="I156" s="5" t="str">
        <f ca="1">IFERROR(__xludf.DUMMYFUNCTION("""COMPUTED_VALUE"""),"Yes")</f>
        <v>Yes</v>
      </c>
      <c r="J156" s="5" t="str">
        <f ca="1">IFERROR(__xludf.DUMMYFUNCTION("""COMPUTED_VALUE"""),"Yes")</f>
        <v>Yes</v>
      </c>
      <c r="K156" s="5" t="str">
        <f ca="1">IFERROR(__xludf.DUMMYFUNCTION("""COMPUTED_VALUE"""),"Yes")</f>
        <v>Yes</v>
      </c>
      <c r="L156" s="5" t="str">
        <f ca="1">IFERROR(__xludf.DUMMYFUNCTION("""COMPUTED_VALUE"""),"Yes")</f>
        <v>Yes</v>
      </c>
      <c r="M156" s="5" t="str">
        <f ca="1">IFERROR(__xludf.DUMMYFUNCTION("""COMPUTED_VALUE"""),"Yes")</f>
        <v>Yes</v>
      </c>
      <c r="N156" s="5" t="str">
        <f ca="1">IFERROR(__xludf.DUMMYFUNCTION("""COMPUTED_VALUE"""),"Yes")</f>
        <v>Yes</v>
      </c>
      <c r="O156" s="5" t="str">
        <f ca="1">IFERROR(__xludf.DUMMYFUNCTION("""COMPUTED_VALUE"""),"Yes")</f>
        <v>Yes</v>
      </c>
      <c r="P156" s="5" t="str">
        <f ca="1">IFERROR(__xludf.DUMMYFUNCTION("""COMPUTED_VALUE"""),"Yes")</f>
        <v>Yes</v>
      </c>
      <c r="Q156" s="5" t="str">
        <f ca="1">IFERROR(__xludf.DUMMYFUNCTION("""COMPUTED_VALUE"""),"Yes")</f>
        <v>Yes</v>
      </c>
      <c r="R156" s="5" t="str">
        <f ca="1">IFERROR(__xludf.DUMMYFUNCTION("""COMPUTED_VALUE"""),"Yes")</f>
        <v>Yes</v>
      </c>
      <c r="S156" s="5" t="str">
        <f ca="1">IFERROR(__xludf.DUMMYFUNCTION("""COMPUTED_VALUE"""),"Yes")</f>
        <v>Yes</v>
      </c>
      <c r="T156" s="5" t="str">
        <f ca="1">IFERROR(__xludf.DUMMYFUNCTION("""COMPUTED_VALUE"""),"Yes")</f>
        <v>Yes</v>
      </c>
      <c r="U156" s="5" t="str">
        <f ca="1">IFERROR(__xludf.DUMMYFUNCTION("""COMPUTED_VALUE"""),"Yes")</f>
        <v>Yes</v>
      </c>
      <c r="V156" s="5" t="str">
        <f ca="1">IFERROR(__xludf.DUMMYFUNCTION("""COMPUTED_VALUE"""),"Yes")</f>
        <v>Yes</v>
      </c>
      <c r="W156" s="5" t="str">
        <f ca="1">IFERROR(__xludf.DUMMYFUNCTION("""COMPUTED_VALUE"""),"Yes")</f>
        <v>Yes</v>
      </c>
      <c r="X156" s="5" t="str">
        <f ca="1">IFERROR(__xludf.DUMMYFUNCTION("""COMPUTED_VALUE"""),"Yes")</f>
        <v>Yes</v>
      </c>
      <c r="Y156" s="5" t="str">
        <f ca="1">IFERROR(__xludf.DUMMYFUNCTION("""COMPUTED_VALUE"""),"Yes")</f>
        <v>Yes</v>
      </c>
      <c r="Z156" s="5" t="str">
        <f ca="1">IFERROR(__xludf.DUMMYFUNCTION("""COMPUTED_VALUE"""),"Yes")</f>
        <v>Yes</v>
      </c>
      <c r="AA156" s="5" t="str">
        <f ca="1">IFERROR(__xludf.DUMMYFUNCTION("""COMPUTED_VALUE"""),"Yes")</f>
        <v>Yes</v>
      </c>
      <c r="AB156" s="5" t="str">
        <f ca="1">IFERROR(__xludf.DUMMYFUNCTION("""COMPUTED_VALUE"""),"Yes")</f>
        <v>Yes</v>
      </c>
      <c r="AC156" s="5" t="str">
        <f ca="1">IFERROR(__xludf.DUMMYFUNCTION("""COMPUTED_VALUE"""),"No")</f>
        <v>No</v>
      </c>
    </row>
    <row r="157" spans="1:29" x14ac:dyDescent="0.25">
      <c r="A157" s="5" t="str">
        <f ca="1">IFERROR(__xludf.DUMMYFUNCTION("""COMPUTED_VALUE"""),"CrystalHot40Max")</f>
        <v>CrystalHot40Max</v>
      </c>
      <c r="B1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7" s="5" t="str">
        <f ca="1">IFERROR(__xludf.DUMMYFUNCTION("""COMPUTED_VALUE"""),"Yes")</f>
        <v>Yes</v>
      </c>
      <c r="D157" s="5" t="str">
        <f ca="1">IFERROR(__xludf.DUMMYFUNCTION("""COMPUTED_VALUE"""),"Yes")</f>
        <v>Yes</v>
      </c>
      <c r="E157" s="5" t="str">
        <f ca="1">IFERROR(__xludf.DUMMYFUNCTION("""COMPUTED_VALUE"""),"Yes")</f>
        <v>Yes</v>
      </c>
      <c r="F157" s="5" t="str">
        <f ca="1">IFERROR(__xludf.DUMMYFUNCTION("""COMPUTED_VALUE"""),"Yes")</f>
        <v>Yes</v>
      </c>
      <c r="G157" s="5" t="str">
        <f ca="1">IFERROR(__xludf.DUMMYFUNCTION("""COMPUTED_VALUE"""),"Yes")</f>
        <v>Yes</v>
      </c>
      <c r="H157" s="5" t="str">
        <f ca="1">IFERROR(__xludf.DUMMYFUNCTION("""COMPUTED_VALUE"""),"Yes")</f>
        <v>Yes</v>
      </c>
      <c r="I157" s="5" t="str">
        <f ca="1">IFERROR(__xludf.DUMMYFUNCTION("""COMPUTED_VALUE"""),"Yes")</f>
        <v>Yes</v>
      </c>
      <c r="J157" s="5" t="str">
        <f ca="1">IFERROR(__xludf.DUMMYFUNCTION("""COMPUTED_VALUE"""),"Yes")</f>
        <v>Yes</v>
      </c>
      <c r="K157" s="5" t="str">
        <f ca="1">IFERROR(__xludf.DUMMYFUNCTION("""COMPUTED_VALUE"""),"Yes")</f>
        <v>Yes</v>
      </c>
      <c r="L157" s="5" t="str">
        <f ca="1">IFERROR(__xludf.DUMMYFUNCTION("""COMPUTED_VALUE"""),"Yes")</f>
        <v>Yes</v>
      </c>
      <c r="M157" s="5" t="str">
        <f ca="1">IFERROR(__xludf.DUMMYFUNCTION("""COMPUTED_VALUE"""),"Yes")</f>
        <v>Yes</v>
      </c>
      <c r="N157" s="5" t="str">
        <f ca="1">IFERROR(__xludf.DUMMYFUNCTION("""COMPUTED_VALUE"""),"Yes")</f>
        <v>Yes</v>
      </c>
      <c r="O157" s="5" t="str">
        <f ca="1">IFERROR(__xludf.DUMMYFUNCTION("""COMPUTED_VALUE"""),"Yes")</f>
        <v>Yes</v>
      </c>
      <c r="P157" s="5" t="str">
        <f ca="1">IFERROR(__xludf.DUMMYFUNCTION("""COMPUTED_VALUE"""),"Yes")</f>
        <v>Yes</v>
      </c>
      <c r="Q157" s="5" t="str">
        <f ca="1">IFERROR(__xludf.DUMMYFUNCTION("""COMPUTED_VALUE"""),"Yes")</f>
        <v>Yes</v>
      </c>
      <c r="R157" s="5" t="str">
        <f ca="1">IFERROR(__xludf.DUMMYFUNCTION("""COMPUTED_VALUE"""),"Yes")</f>
        <v>Yes</v>
      </c>
      <c r="S157" s="5" t="str">
        <f ca="1">IFERROR(__xludf.DUMMYFUNCTION("""COMPUTED_VALUE"""),"Yes")</f>
        <v>Yes</v>
      </c>
      <c r="T157" s="5" t="str">
        <f ca="1">IFERROR(__xludf.DUMMYFUNCTION("""COMPUTED_VALUE"""),"Yes")</f>
        <v>Yes</v>
      </c>
      <c r="U157" s="5" t="str">
        <f ca="1">IFERROR(__xludf.DUMMYFUNCTION("""COMPUTED_VALUE"""),"Yes")</f>
        <v>Yes</v>
      </c>
      <c r="V157" s="5" t="str">
        <f ca="1">IFERROR(__xludf.DUMMYFUNCTION("""COMPUTED_VALUE"""),"Yes")</f>
        <v>Yes</v>
      </c>
      <c r="W157" s="5" t="str">
        <f ca="1">IFERROR(__xludf.DUMMYFUNCTION("""COMPUTED_VALUE"""),"Yes")</f>
        <v>Yes</v>
      </c>
      <c r="X157" s="5" t="str">
        <f ca="1">IFERROR(__xludf.DUMMYFUNCTION("""COMPUTED_VALUE"""),"Yes")</f>
        <v>Yes</v>
      </c>
      <c r="Y157" s="5" t="str">
        <f ca="1">IFERROR(__xludf.DUMMYFUNCTION("""COMPUTED_VALUE"""),"Yes")</f>
        <v>Yes</v>
      </c>
      <c r="Z157" s="5" t="str">
        <f ca="1">IFERROR(__xludf.DUMMYFUNCTION("""COMPUTED_VALUE"""),"Yes")</f>
        <v>Yes</v>
      </c>
      <c r="AA157" s="5" t="str">
        <f ca="1">IFERROR(__xludf.DUMMYFUNCTION("""COMPUTED_VALUE"""),"Yes")</f>
        <v>Yes</v>
      </c>
      <c r="AB157" s="5" t="str">
        <f ca="1">IFERROR(__xludf.DUMMYFUNCTION("""COMPUTED_VALUE"""),"Yes")</f>
        <v>Yes</v>
      </c>
      <c r="AC157" s="5" t="str">
        <f ca="1">IFERROR(__xludf.DUMMYFUNCTION("""COMPUTED_VALUE"""),"No")</f>
        <v>No</v>
      </c>
    </row>
    <row r="158" spans="1:29" x14ac:dyDescent="0.25">
      <c r="A158" s="5" t="str">
        <f ca="1">IFERROR(__xludf.DUMMYFUNCTION("""COMPUTED_VALUE"""),"KingOfMyCastleDice")</f>
        <v>KingOfMyCastleDice</v>
      </c>
      <c r="B1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8" s="5" t="str">
        <f ca="1">IFERROR(__xludf.DUMMYFUNCTION("""COMPUTED_VALUE"""),"Yes")</f>
        <v>Yes</v>
      </c>
      <c r="D158" s="5" t="str">
        <f ca="1">IFERROR(__xludf.DUMMYFUNCTION("""COMPUTED_VALUE"""),"Yes")</f>
        <v>Yes</v>
      </c>
      <c r="E158" s="5" t="str">
        <f ca="1">IFERROR(__xludf.DUMMYFUNCTION("""COMPUTED_VALUE"""),"Yes")</f>
        <v>Yes</v>
      </c>
      <c r="F158" s="5" t="str">
        <f ca="1">IFERROR(__xludf.DUMMYFUNCTION("""COMPUTED_VALUE"""),"Yes")</f>
        <v>Yes</v>
      </c>
      <c r="G158" s="5" t="str">
        <f ca="1">IFERROR(__xludf.DUMMYFUNCTION("""COMPUTED_VALUE"""),"Yes")</f>
        <v>Yes</v>
      </c>
      <c r="H158" s="5" t="str">
        <f ca="1">IFERROR(__xludf.DUMMYFUNCTION("""COMPUTED_VALUE"""),"Yes")</f>
        <v>Yes</v>
      </c>
      <c r="I158" s="5" t="str">
        <f ca="1">IFERROR(__xludf.DUMMYFUNCTION("""COMPUTED_VALUE"""),"Yes")</f>
        <v>Yes</v>
      </c>
      <c r="J158" s="5" t="str">
        <f ca="1">IFERROR(__xludf.DUMMYFUNCTION("""COMPUTED_VALUE"""),"Yes")</f>
        <v>Yes</v>
      </c>
      <c r="K158" s="5" t="str">
        <f ca="1">IFERROR(__xludf.DUMMYFUNCTION("""COMPUTED_VALUE"""),"Yes")</f>
        <v>Yes</v>
      </c>
      <c r="L158" s="5" t="str">
        <f ca="1">IFERROR(__xludf.DUMMYFUNCTION("""COMPUTED_VALUE"""),"Yes")</f>
        <v>Yes</v>
      </c>
      <c r="M158" s="5" t="str">
        <f ca="1">IFERROR(__xludf.DUMMYFUNCTION("""COMPUTED_VALUE"""),"Yes")</f>
        <v>Yes</v>
      </c>
      <c r="N158" s="5" t="str">
        <f ca="1">IFERROR(__xludf.DUMMYFUNCTION("""COMPUTED_VALUE"""),"Yes")</f>
        <v>Yes</v>
      </c>
      <c r="O158" s="5" t="str">
        <f ca="1">IFERROR(__xludf.DUMMYFUNCTION("""COMPUTED_VALUE"""),"Yes")</f>
        <v>Yes</v>
      </c>
      <c r="P158" s="5" t="str">
        <f ca="1">IFERROR(__xludf.DUMMYFUNCTION("""COMPUTED_VALUE"""),"Yes")</f>
        <v>Yes</v>
      </c>
      <c r="Q158" s="5" t="str">
        <f ca="1">IFERROR(__xludf.DUMMYFUNCTION("""COMPUTED_VALUE"""),"Yes")</f>
        <v>Yes</v>
      </c>
      <c r="R158" s="5" t="str">
        <f ca="1">IFERROR(__xludf.DUMMYFUNCTION("""COMPUTED_VALUE"""),"Yes")</f>
        <v>Yes</v>
      </c>
      <c r="S158" s="5" t="str">
        <f ca="1">IFERROR(__xludf.DUMMYFUNCTION("""COMPUTED_VALUE"""),"Yes")</f>
        <v>Yes</v>
      </c>
      <c r="T158" s="5" t="str">
        <f ca="1">IFERROR(__xludf.DUMMYFUNCTION("""COMPUTED_VALUE"""),"Yes")</f>
        <v>Yes</v>
      </c>
      <c r="U158" s="5" t="str">
        <f ca="1">IFERROR(__xludf.DUMMYFUNCTION("""COMPUTED_VALUE"""),"Yes")</f>
        <v>Yes</v>
      </c>
      <c r="V158" s="5" t="str">
        <f ca="1">IFERROR(__xludf.DUMMYFUNCTION("""COMPUTED_VALUE"""),"Yes")</f>
        <v>Yes</v>
      </c>
      <c r="W158" s="5" t="str">
        <f ca="1">IFERROR(__xludf.DUMMYFUNCTION("""COMPUTED_VALUE"""),"Yes")</f>
        <v>Yes</v>
      </c>
      <c r="X158" s="5" t="str">
        <f ca="1">IFERROR(__xludf.DUMMYFUNCTION("""COMPUTED_VALUE"""),"Yes")</f>
        <v>Yes</v>
      </c>
      <c r="Y158" s="5" t="str">
        <f ca="1">IFERROR(__xludf.DUMMYFUNCTION("""COMPUTED_VALUE"""),"Yes")</f>
        <v>Yes</v>
      </c>
      <c r="Z158" s="5" t="str">
        <f ca="1">IFERROR(__xludf.DUMMYFUNCTION("""COMPUTED_VALUE"""),"Yes")</f>
        <v>Yes</v>
      </c>
      <c r="AA158" s="5" t="str">
        <f ca="1">IFERROR(__xludf.DUMMYFUNCTION("""COMPUTED_VALUE"""),"Yes")</f>
        <v>Yes</v>
      </c>
      <c r="AB158" s="5" t="str">
        <f ca="1">IFERROR(__xludf.DUMMYFUNCTION("""COMPUTED_VALUE"""),"Yes")</f>
        <v>Yes</v>
      </c>
      <c r="AC158" s="5" t="str">
        <f ca="1">IFERROR(__xludf.DUMMYFUNCTION("""COMPUTED_VALUE"""),"No")</f>
        <v>No</v>
      </c>
    </row>
    <row r="159" spans="1:29" x14ac:dyDescent="0.25">
      <c r="A159" s="5" t="str">
        <f ca="1">IFERROR(__xludf.DUMMYFUNCTION("""COMPUTED_VALUE"""),"KingOfMyCastle")</f>
        <v>KingOfMyCastle</v>
      </c>
      <c r="B1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9" s="5" t="str">
        <f ca="1">IFERROR(__xludf.DUMMYFUNCTION("""COMPUTED_VALUE"""),"Yes")</f>
        <v>Yes</v>
      </c>
      <c r="D159" s="5" t="str">
        <f ca="1">IFERROR(__xludf.DUMMYFUNCTION("""COMPUTED_VALUE"""),"Yes")</f>
        <v>Yes</v>
      </c>
      <c r="E159" s="5" t="str">
        <f ca="1">IFERROR(__xludf.DUMMYFUNCTION("""COMPUTED_VALUE"""),"Yes")</f>
        <v>Yes</v>
      </c>
      <c r="F159" s="5" t="str">
        <f ca="1">IFERROR(__xludf.DUMMYFUNCTION("""COMPUTED_VALUE"""),"Yes")</f>
        <v>Yes</v>
      </c>
      <c r="G159" s="5" t="str">
        <f ca="1">IFERROR(__xludf.DUMMYFUNCTION("""COMPUTED_VALUE"""),"Yes")</f>
        <v>Yes</v>
      </c>
      <c r="H159" s="5" t="str">
        <f ca="1">IFERROR(__xludf.DUMMYFUNCTION("""COMPUTED_VALUE"""),"Yes")</f>
        <v>Yes</v>
      </c>
      <c r="I159" s="5" t="str">
        <f ca="1">IFERROR(__xludf.DUMMYFUNCTION("""COMPUTED_VALUE"""),"Yes")</f>
        <v>Yes</v>
      </c>
      <c r="J159" s="5" t="str">
        <f ca="1">IFERROR(__xludf.DUMMYFUNCTION("""COMPUTED_VALUE"""),"Yes")</f>
        <v>Yes</v>
      </c>
      <c r="K159" s="5" t="str">
        <f ca="1">IFERROR(__xludf.DUMMYFUNCTION("""COMPUTED_VALUE"""),"Yes")</f>
        <v>Yes</v>
      </c>
      <c r="L159" s="5" t="str">
        <f ca="1">IFERROR(__xludf.DUMMYFUNCTION("""COMPUTED_VALUE"""),"Yes")</f>
        <v>Yes</v>
      </c>
      <c r="M159" s="5" t="str">
        <f ca="1">IFERROR(__xludf.DUMMYFUNCTION("""COMPUTED_VALUE"""),"Yes")</f>
        <v>Yes</v>
      </c>
      <c r="N159" s="5" t="str">
        <f ca="1">IFERROR(__xludf.DUMMYFUNCTION("""COMPUTED_VALUE"""),"Yes")</f>
        <v>Yes</v>
      </c>
      <c r="O159" s="5" t="str">
        <f ca="1">IFERROR(__xludf.DUMMYFUNCTION("""COMPUTED_VALUE"""),"Yes")</f>
        <v>Yes</v>
      </c>
      <c r="P159" s="5" t="str">
        <f ca="1">IFERROR(__xludf.DUMMYFUNCTION("""COMPUTED_VALUE"""),"Yes")</f>
        <v>Yes</v>
      </c>
      <c r="Q159" s="5" t="str">
        <f ca="1">IFERROR(__xludf.DUMMYFUNCTION("""COMPUTED_VALUE"""),"Yes")</f>
        <v>Yes</v>
      </c>
      <c r="R159" s="5" t="str">
        <f ca="1">IFERROR(__xludf.DUMMYFUNCTION("""COMPUTED_VALUE"""),"Yes")</f>
        <v>Yes</v>
      </c>
      <c r="S159" s="5" t="str">
        <f ca="1">IFERROR(__xludf.DUMMYFUNCTION("""COMPUTED_VALUE"""),"Yes")</f>
        <v>Yes</v>
      </c>
      <c r="T159" s="5" t="str">
        <f ca="1">IFERROR(__xludf.DUMMYFUNCTION("""COMPUTED_VALUE"""),"Yes")</f>
        <v>Yes</v>
      </c>
      <c r="U159" s="5" t="str">
        <f ca="1">IFERROR(__xludf.DUMMYFUNCTION("""COMPUTED_VALUE"""),"Yes")</f>
        <v>Yes</v>
      </c>
      <c r="V159" s="5" t="str">
        <f ca="1">IFERROR(__xludf.DUMMYFUNCTION("""COMPUTED_VALUE"""),"Yes")</f>
        <v>Yes</v>
      </c>
      <c r="W159" s="5" t="str">
        <f ca="1">IFERROR(__xludf.DUMMYFUNCTION("""COMPUTED_VALUE"""),"Yes")</f>
        <v>Yes</v>
      </c>
      <c r="X159" s="5" t="str">
        <f ca="1">IFERROR(__xludf.DUMMYFUNCTION("""COMPUTED_VALUE"""),"Yes")</f>
        <v>Yes</v>
      </c>
      <c r="Y159" s="5" t="str">
        <f ca="1">IFERROR(__xludf.DUMMYFUNCTION("""COMPUTED_VALUE"""),"Yes")</f>
        <v>Yes</v>
      </c>
      <c r="Z159" s="5" t="str">
        <f ca="1">IFERROR(__xludf.DUMMYFUNCTION("""COMPUTED_VALUE"""),"Yes")</f>
        <v>Yes</v>
      </c>
      <c r="AA159" s="5" t="str">
        <f ca="1">IFERROR(__xludf.DUMMYFUNCTION("""COMPUTED_VALUE"""),"Yes")</f>
        <v>Yes</v>
      </c>
      <c r="AB159" s="5" t="str">
        <f ca="1">IFERROR(__xludf.DUMMYFUNCTION("""COMPUTED_VALUE"""),"Yes")</f>
        <v>Yes</v>
      </c>
      <c r="AC159" s="5" t="str">
        <f ca="1">IFERROR(__xludf.DUMMYFUNCTION("""COMPUTED_VALUE"""),"No")</f>
        <v>No</v>
      </c>
    </row>
    <row r="160" spans="1:29" x14ac:dyDescent="0.25">
      <c r="A160" s="5" t="str">
        <f ca="1">IFERROR(__xludf.DUMMYFUNCTION("""COMPUTED_VALUE"""),"FruityWin20")</f>
        <v>FruityWin20</v>
      </c>
      <c r="B1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0" s="5" t="str">
        <f ca="1">IFERROR(__xludf.DUMMYFUNCTION("""COMPUTED_VALUE"""),"Yes")</f>
        <v>Yes</v>
      </c>
      <c r="D160" s="5" t="str">
        <f ca="1">IFERROR(__xludf.DUMMYFUNCTION("""COMPUTED_VALUE"""),"Yes")</f>
        <v>Yes</v>
      </c>
      <c r="E160" s="5" t="str">
        <f ca="1">IFERROR(__xludf.DUMMYFUNCTION("""COMPUTED_VALUE"""),"Yes")</f>
        <v>Yes</v>
      </c>
      <c r="F160" s="5" t="str">
        <f ca="1">IFERROR(__xludf.DUMMYFUNCTION("""COMPUTED_VALUE"""),"Yes")</f>
        <v>Yes</v>
      </c>
      <c r="G160" s="5" t="str">
        <f ca="1">IFERROR(__xludf.DUMMYFUNCTION("""COMPUTED_VALUE"""),"Yes")</f>
        <v>Yes</v>
      </c>
      <c r="H160" s="5" t="str">
        <f ca="1">IFERROR(__xludf.DUMMYFUNCTION("""COMPUTED_VALUE"""),"Yes")</f>
        <v>Yes</v>
      </c>
      <c r="I160" s="5" t="str">
        <f ca="1">IFERROR(__xludf.DUMMYFUNCTION("""COMPUTED_VALUE"""),"Yes")</f>
        <v>Yes</v>
      </c>
      <c r="J160" s="5" t="str">
        <f ca="1">IFERROR(__xludf.DUMMYFUNCTION("""COMPUTED_VALUE"""),"Yes")</f>
        <v>Yes</v>
      </c>
      <c r="K160" s="5" t="str">
        <f ca="1">IFERROR(__xludf.DUMMYFUNCTION("""COMPUTED_VALUE"""),"Yes")</f>
        <v>Yes</v>
      </c>
      <c r="L160" s="5" t="str">
        <f ca="1">IFERROR(__xludf.DUMMYFUNCTION("""COMPUTED_VALUE"""),"Yes")</f>
        <v>Yes</v>
      </c>
      <c r="M160" s="5" t="str">
        <f ca="1">IFERROR(__xludf.DUMMYFUNCTION("""COMPUTED_VALUE"""),"Yes")</f>
        <v>Yes</v>
      </c>
      <c r="N160" s="5" t="str">
        <f ca="1">IFERROR(__xludf.DUMMYFUNCTION("""COMPUTED_VALUE"""),"Yes")</f>
        <v>Yes</v>
      </c>
      <c r="O160" s="5" t="str">
        <f ca="1">IFERROR(__xludf.DUMMYFUNCTION("""COMPUTED_VALUE"""),"Yes")</f>
        <v>Yes</v>
      </c>
      <c r="P160" s="5" t="str">
        <f ca="1">IFERROR(__xludf.DUMMYFUNCTION("""COMPUTED_VALUE"""),"Yes")</f>
        <v>Yes</v>
      </c>
      <c r="Q160" s="5" t="str">
        <f ca="1">IFERROR(__xludf.DUMMYFUNCTION("""COMPUTED_VALUE"""),"Yes")</f>
        <v>Yes</v>
      </c>
      <c r="R160" s="5" t="str">
        <f ca="1">IFERROR(__xludf.DUMMYFUNCTION("""COMPUTED_VALUE"""),"Yes")</f>
        <v>Yes</v>
      </c>
      <c r="S160" s="5" t="str">
        <f ca="1">IFERROR(__xludf.DUMMYFUNCTION("""COMPUTED_VALUE"""),"Yes")</f>
        <v>Yes</v>
      </c>
      <c r="T160" s="5" t="str">
        <f ca="1">IFERROR(__xludf.DUMMYFUNCTION("""COMPUTED_VALUE"""),"Yes")</f>
        <v>Yes</v>
      </c>
      <c r="U160" s="5" t="str">
        <f ca="1">IFERROR(__xludf.DUMMYFUNCTION("""COMPUTED_VALUE"""),"Yes")</f>
        <v>Yes</v>
      </c>
      <c r="V160" s="5" t="str">
        <f ca="1">IFERROR(__xludf.DUMMYFUNCTION("""COMPUTED_VALUE"""),"Yes")</f>
        <v>Yes</v>
      </c>
      <c r="W160" s="5" t="str">
        <f ca="1">IFERROR(__xludf.DUMMYFUNCTION("""COMPUTED_VALUE"""),"Yes")</f>
        <v>Yes</v>
      </c>
      <c r="X160" s="5" t="str">
        <f ca="1">IFERROR(__xludf.DUMMYFUNCTION("""COMPUTED_VALUE"""),"Yes")</f>
        <v>Yes</v>
      </c>
      <c r="Y160" s="5" t="str">
        <f ca="1">IFERROR(__xludf.DUMMYFUNCTION("""COMPUTED_VALUE"""),"Yes")</f>
        <v>Yes</v>
      </c>
      <c r="Z160" s="5" t="str">
        <f ca="1">IFERROR(__xludf.DUMMYFUNCTION("""COMPUTED_VALUE"""),"Yes")</f>
        <v>Yes</v>
      </c>
      <c r="AA160" s="5" t="str">
        <f ca="1">IFERROR(__xludf.DUMMYFUNCTION("""COMPUTED_VALUE"""),"Yes")</f>
        <v>Yes</v>
      </c>
      <c r="AB160" s="5" t="str">
        <f ca="1">IFERROR(__xludf.DUMMYFUNCTION("""COMPUTED_VALUE"""),"Yes")</f>
        <v>Yes</v>
      </c>
      <c r="AC160" s="5" t="str">
        <f ca="1">IFERROR(__xludf.DUMMYFUNCTION("""COMPUTED_VALUE"""),"No")</f>
        <v>No</v>
      </c>
    </row>
    <row r="161" spans="1:29" x14ac:dyDescent="0.25">
      <c r="A161" s="5" t="str">
        <f ca="1">IFERROR(__xludf.DUMMYFUNCTION("""COMPUTED_VALUE"""),"FruityHot5")</f>
        <v>FruityHot5</v>
      </c>
      <c r="B1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1" s="5" t="str">
        <f ca="1">IFERROR(__xludf.DUMMYFUNCTION("""COMPUTED_VALUE"""),"Yes")</f>
        <v>Yes</v>
      </c>
      <c r="D161" s="5" t="str">
        <f ca="1">IFERROR(__xludf.DUMMYFUNCTION("""COMPUTED_VALUE"""),"Yes")</f>
        <v>Yes</v>
      </c>
      <c r="E161" s="5" t="str">
        <f ca="1">IFERROR(__xludf.DUMMYFUNCTION("""COMPUTED_VALUE"""),"Yes")</f>
        <v>Yes</v>
      </c>
      <c r="F161" s="5" t="str">
        <f ca="1">IFERROR(__xludf.DUMMYFUNCTION("""COMPUTED_VALUE"""),"Yes")</f>
        <v>Yes</v>
      </c>
      <c r="G161" s="5" t="str">
        <f ca="1">IFERROR(__xludf.DUMMYFUNCTION("""COMPUTED_VALUE"""),"Yes")</f>
        <v>Yes</v>
      </c>
      <c r="H161" s="5" t="str">
        <f ca="1">IFERROR(__xludf.DUMMYFUNCTION("""COMPUTED_VALUE"""),"Yes")</f>
        <v>Yes</v>
      </c>
      <c r="I161" s="5" t="str">
        <f ca="1">IFERROR(__xludf.DUMMYFUNCTION("""COMPUTED_VALUE"""),"Yes")</f>
        <v>Yes</v>
      </c>
      <c r="J161" s="5" t="str">
        <f ca="1">IFERROR(__xludf.DUMMYFUNCTION("""COMPUTED_VALUE"""),"Yes")</f>
        <v>Yes</v>
      </c>
      <c r="K161" s="5" t="str">
        <f ca="1">IFERROR(__xludf.DUMMYFUNCTION("""COMPUTED_VALUE"""),"Yes")</f>
        <v>Yes</v>
      </c>
      <c r="L161" s="5" t="str">
        <f ca="1">IFERROR(__xludf.DUMMYFUNCTION("""COMPUTED_VALUE"""),"Yes")</f>
        <v>Yes</v>
      </c>
      <c r="M161" s="5" t="str">
        <f ca="1">IFERROR(__xludf.DUMMYFUNCTION("""COMPUTED_VALUE"""),"Yes")</f>
        <v>Yes</v>
      </c>
      <c r="N161" s="5" t="str">
        <f ca="1">IFERROR(__xludf.DUMMYFUNCTION("""COMPUTED_VALUE"""),"Yes")</f>
        <v>Yes</v>
      </c>
      <c r="O161" s="5" t="str">
        <f ca="1">IFERROR(__xludf.DUMMYFUNCTION("""COMPUTED_VALUE"""),"Yes")</f>
        <v>Yes</v>
      </c>
      <c r="P161" s="5" t="str">
        <f ca="1">IFERROR(__xludf.DUMMYFUNCTION("""COMPUTED_VALUE"""),"Yes")</f>
        <v>Yes</v>
      </c>
      <c r="Q161" s="5" t="str">
        <f ca="1">IFERROR(__xludf.DUMMYFUNCTION("""COMPUTED_VALUE"""),"Yes")</f>
        <v>Yes</v>
      </c>
      <c r="R161" s="5" t="str">
        <f ca="1">IFERROR(__xludf.DUMMYFUNCTION("""COMPUTED_VALUE"""),"Yes")</f>
        <v>Yes</v>
      </c>
      <c r="S161" s="5" t="str">
        <f ca="1">IFERROR(__xludf.DUMMYFUNCTION("""COMPUTED_VALUE"""),"Yes")</f>
        <v>Yes</v>
      </c>
      <c r="T161" s="5" t="str">
        <f ca="1">IFERROR(__xludf.DUMMYFUNCTION("""COMPUTED_VALUE"""),"Yes")</f>
        <v>Yes</v>
      </c>
      <c r="U161" s="5" t="str">
        <f ca="1">IFERROR(__xludf.DUMMYFUNCTION("""COMPUTED_VALUE"""),"Yes")</f>
        <v>Yes</v>
      </c>
      <c r="V161" s="5" t="str">
        <f ca="1">IFERROR(__xludf.DUMMYFUNCTION("""COMPUTED_VALUE"""),"Yes")</f>
        <v>Yes</v>
      </c>
      <c r="W161" s="5" t="str">
        <f ca="1">IFERROR(__xludf.DUMMYFUNCTION("""COMPUTED_VALUE"""),"Yes")</f>
        <v>Yes</v>
      </c>
      <c r="X161" s="5" t="str">
        <f ca="1">IFERROR(__xludf.DUMMYFUNCTION("""COMPUTED_VALUE"""),"Yes")</f>
        <v>Yes</v>
      </c>
      <c r="Y161" s="5" t="str">
        <f ca="1">IFERROR(__xludf.DUMMYFUNCTION("""COMPUTED_VALUE"""),"Yes")</f>
        <v>Yes</v>
      </c>
      <c r="Z161" s="5" t="str">
        <f ca="1">IFERROR(__xludf.DUMMYFUNCTION("""COMPUTED_VALUE"""),"Yes")</f>
        <v>Yes</v>
      </c>
      <c r="AA161" s="5" t="str">
        <f ca="1">IFERROR(__xludf.DUMMYFUNCTION("""COMPUTED_VALUE"""),"Yes")</f>
        <v>Yes</v>
      </c>
      <c r="AB161" s="5" t="str">
        <f ca="1">IFERROR(__xludf.DUMMYFUNCTION("""COMPUTED_VALUE"""),"Yes")</f>
        <v>Yes</v>
      </c>
      <c r="AC161" s="5" t="str">
        <f ca="1">IFERROR(__xludf.DUMMYFUNCTION("""COMPUTED_VALUE"""),"No")</f>
        <v>No</v>
      </c>
    </row>
    <row r="162" spans="1:29" x14ac:dyDescent="0.25">
      <c r="A162" s="5" t="str">
        <f ca="1">IFERROR(__xludf.DUMMYFUNCTION("""COMPUTED_VALUE"""),"GigaHot40")</f>
        <v>GigaHot40</v>
      </c>
      <c r="B1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2" s="5" t="str">
        <f ca="1">IFERROR(__xludf.DUMMYFUNCTION("""COMPUTED_VALUE"""),"Yes")</f>
        <v>Yes</v>
      </c>
      <c r="D162" s="5" t="str">
        <f ca="1">IFERROR(__xludf.DUMMYFUNCTION("""COMPUTED_VALUE"""),"Yes")</f>
        <v>Yes</v>
      </c>
      <c r="E162" s="5" t="str">
        <f ca="1">IFERROR(__xludf.DUMMYFUNCTION("""COMPUTED_VALUE"""),"Yes")</f>
        <v>Yes</v>
      </c>
      <c r="F162" s="5" t="str">
        <f ca="1">IFERROR(__xludf.DUMMYFUNCTION("""COMPUTED_VALUE"""),"Yes")</f>
        <v>Yes</v>
      </c>
      <c r="G162" s="5" t="str">
        <f ca="1">IFERROR(__xludf.DUMMYFUNCTION("""COMPUTED_VALUE"""),"Yes")</f>
        <v>Yes</v>
      </c>
      <c r="H162" s="5" t="str">
        <f ca="1">IFERROR(__xludf.DUMMYFUNCTION("""COMPUTED_VALUE"""),"Yes")</f>
        <v>Yes</v>
      </c>
      <c r="I162" s="5" t="str">
        <f ca="1">IFERROR(__xludf.DUMMYFUNCTION("""COMPUTED_VALUE"""),"Yes")</f>
        <v>Yes</v>
      </c>
      <c r="J162" s="5" t="str">
        <f ca="1">IFERROR(__xludf.DUMMYFUNCTION("""COMPUTED_VALUE"""),"Yes")</f>
        <v>Yes</v>
      </c>
      <c r="K162" s="5" t="str">
        <f ca="1">IFERROR(__xludf.DUMMYFUNCTION("""COMPUTED_VALUE"""),"Yes")</f>
        <v>Yes</v>
      </c>
      <c r="L162" s="5" t="str">
        <f ca="1">IFERROR(__xludf.DUMMYFUNCTION("""COMPUTED_VALUE"""),"Yes")</f>
        <v>Yes</v>
      </c>
      <c r="M162" s="5" t="str">
        <f ca="1">IFERROR(__xludf.DUMMYFUNCTION("""COMPUTED_VALUE"""),"Yes")</f>
        <v>Yes</v>
      </c>
      <c r="N162" s="5" t="str">
        <f ca="1">IFERROR(__xludf.DUMMYFUNCTION("""COMPUTED_VALUE"""),"Yes")</f>
        <v>Yes</v>
      </c>
      <c r="O162" s="5" t="str">
        <f ca="1">IFERROR(__xludf.DUMMYFUNCTION("""COMPUTED_VALUE"""),"Yes")</f>
        <v>Yes</v>
      </c>
      <c r="P162" s="5" t="str">
        <f ca="1">IFERROR(__xludf.DUMMYFUNCTION("""COMPUTED_VALUE"""),"Yes")</f>
        <v>Yes</v>
      </c>
      <c r="Q162" s="5" t="str">
        <f ca="1">IFERROR(__xludf.DUMMYFUNCTION("""COMPUTED_VALUE"""),"Yes")</f>
        <v>Yes</v>
      </c>
      <c r="R162" s="5" t="str">
        <f ca="1">IFERROR(__xludf.DUMMYFUNCTION("""COMPUTED_VALUE"""),"Yes")</f>
        <v>Yes</v>
      </c>
      <c r="S162" s="5" t="str">
        <f ca="1">IFERROR(__xludf.DUMMYFUNCTION("""COMPUTED_VALUE"""),"Yes")</f>
        <v>Yes</v>
      </c>
      <c r="T162" s="5" t="str">
        <f ca="1">IFERROR(__xludf.DUMMYFUNCTION("""COMPUTED_VALUE"""),"Yes")</f>
        <v>Yes</v>
      </c>
      <c r="U162" s="5" t="str">
        <f ca="1">IFERROR(__xludf.DUMMYFUNCTION("""COMPUTED_VALUE"""),"Yes")</f>
        <v>Yes</v>
      </c>
      <c r="V162" s="5" t="str">
        <f ca="1">IFERROR(__xludf.DUMMYFUNCTION("""COMPUTED_VALUE"""),"Yes")</f>
        <v>Yes</v>
      </c>
      <c r="W162" s="5" t="str">
        <f ca="1">IFERROR(__xludf.DUMMYFUNCTION("""COMPUTED_VALUE"""),"Yes")</f>
        <v>Yes</v>
      </c>
      <c r="X162" s="5" t="str">
        <f ca="1">IFERROR(__xludf.DUMMYFUNCTION("""COMPUTED_VALUE"""),"Yes")</f>
        <v>Yes</v>
      </c>
      <c r="Y162" s="5" t="str">
        <f ca="1">IFERROR(__xludf.DUMMYFUNCTION("""COMPUTED_VALUE"""),"Yes")</f>
        <v>Yes</v>
      </c>
      <c r="Z162" s="5" t="str">
        <f ca="1">IFERROR(__xludf.DUMMYFUNCTION("""COMPUTED_VALUE"""),"Yes")</f>
        <v>Yes</v>
      </c>
      <c r="AA162" s="5" t="str">
        <f ca="1">IFERROR(__xludf.DUMMYFUNCTION("""COMPUTED_VALUE"""),"Yes")</f>
        <v>Yes</v>
      </c>
      <c r="AB162" s="5" t="str">
        <f ca="1">IFERROR(__xludf.DUMMYFUNCTION("""COMPUTED_VALUE"""),"Yes")</f>
        <v>Yes</v>
      </c>
      <c r="AC162" s="5" t="str">
        <f ca="1">IFERROR(__xludf.DUMMYFUNCTION("""COMPUTED_VALUE"""),"No")</f>
        <v>No</v>
      </c>
    </row>
    <row r="163" spans="1:29" x14ac:dyDescent="0.25">
      <c r="A163" s="5" t="str">
        <f ca="1">IFERROR(__xludf.DUMMYFUNCTION("""COMPUTED_VALUE"""),"UnicornDaVincisFruits")</f>
        <v>UnicornDaVincisFruits</v>
      </c>
      <c r="B1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3" s="5" t="str">
        <f ca="1">IFERROR(__xludf.DUMMYFUNCTION("""COMPUTED_VALUE"""),"Yes")</f>
        <v>Yes</v>
      </c>
      <c r="D163" s="5" t="str">
        <f ca="1">IFERROR(__xludf.DUMMYFUNCTION("""COMPUTED_VALUE"""),"Yes")</f>
        <v>Yes</v>
      </c>
      <c r="E163" s="5" t="str">
        <f ca="1">IFERROR(__xludf.DUMMYFUNCTION("""COMPUTED_VALUE"""),"Yes")</f>
        <v>Yes</v>
      </c>
      <c r="F163" s="5" t="str">
        <f ca="1">IFERROR(__xludf.DUMMYFUNCTION("""COMPUTED_VALUE"""),"Yes")</f>
        <v>Yes</v>
      </c>
      <c r="G163" s="5" t="str">
        <f ca="1">IFERROR(__xludf.DUMMYFUNCTION("""COMPUTED_VALUE"""),"Yes")</f>
        <v>Yes</v>
      </c>
      <c r="H163" s="5" t="str">
        <f ca="1">IFERROR(__xludf.DUMMYFUNCTION("""COMPUTED_VALUE"""),"Yes")</f>
        <v>Yes</v>
      </c>
      <c r="I163" s="5" t="str">
        <f ca="1">IFERROR(__xludf.DUMMYFUNCTION("""COMPUTED_VALUE"""),"Yes")</f>
        <v>Yes</v>
      </c>
      <c r="J163" s="5" t="str">
        <f ca="1">IFERROR(__xludf.DUMMYFUNCTION("""COMPUTED_VALUE"""),"Yes")</f>
        <v>Yes</v>
      </c>
      <c r="K163" s="5" t="str">
        <f ca="1">IFERROR(__xludf.DUMMYFUNCTION("""COMPUTED_VALUE"""),"Yes")</f>
        <v>Yes</v>
      </c>
      <c r="L163" s="5" t="str">
        <f ca="1">IFERROR(__xludf.DUMMYFUNCTION("""COMPUTED_VALUE"""),"Yes")</f>
        <v>Yes</v>
      </c>
      <c r="M163" s="5" t="str">
        <f ca="1">IFERROR(__xludf.DUMMYFUNCTION("""COMPUTED_VALUE"""),"Yes")</f>
        <v>Yes</v>
      </c>
      <c r="N163" s="5" t="str">
        <f ca="1">IFERROR(__xludf.DUMMYFUNCTION("""COMPUTED_VALUE"""),"Yes")</f>
        <v>Yes</v>
      </c>
      <c r="O163" s="5" t="str">
        <f ca="1">IFERROR(__xludf.DUMMYFUNCTION("""COMPUTED_VALUE"""),"Yes")</f>
        <v>Yes</v>
      </c>
      <c r="P163" s="5" t="str">
        <f ca="1">IFERROR(__xludf.DUMMYFUNCTION("""COMPUTED_VALUE"""),"Yes")</f>
        <v>Yes</v>
      </c>
      <c r="Q163" s="5" t="str">
        <f ca="1">IFERROR(__xludf.DUMMYFUNCTION("""COMPUTED_VALUE"""),"Yes")</f>
        <v>Yes</v>
      </c>
      <c r="R163" s="5" t="str">
        <f ca="1">IFERROR(__xludf.DUMMYFUNCTION("""COMPUTED_VALUE"""),"Yes")</f>
        <v>Yes</v>
      </c>
      <c r="S163" s="5" t="str">
        <f ca="1">IFERROR(__xludf.DUMMYFUNCTION("""COMPUTED_VALUE"""),"Yes")</f>
        <v>Yes</v>
      </c>
      <c r="T163" s="5" t="str">
        <f ca="1">IFERROR(__xludf.DUMMYFUNCTION("""COMPUTED_VALUE"""),"Yes")</f>
        <v>Yes</v>
      </c>
      <c r="U163" s="5" t="str">
        <f ca="1">IFERROR(__xludf.DUMMYFUNCTION("""COMPUTED_VALUE"""),"Yes")</f>
        <v>Yes</v>
      </c>
      <c r="V163" s="5" t="str">
        <f ca="1">IFERROR(__xludf.DUMMYFUNCTION("""COMPUTED_VALUE"""),"Yes")</f>
        <v>Yes</v>
      </c>
      <c r="W163" s="5" t="str">
        <f ca="1">IFERROR(__xludf.DUMMYFUNCTION("""COMPUTED_VALUE"""),"Yes")</f>
        <v>Yes</v>
      </c>
      <c r="X163" s="5" t="str">
        <f ca="1">IFERROR(__xludf.DUMMYFUNCTION("""COMPUTED_VALUE"""),"Yes")</f>
        <v>Yes</v>
      </c>
      <c r="Y163" s="5" t="str">
        <f ca="1">IFERROR(__xludf.DUMMYFUNCTION("""COMPUTED_VALUE"""),"Yes")</f>
        <v>Yes</v>
      </c>
      <c r="Z163" s="5" t="str">
        <f ca="1">IFERROR(__xludf.DUMMYFUNCTION("""COMPUTED_VALUE"""),"Yes")</f>
        <v>Yes</v>
      </c>
      <c r="AA163" s="5" t="str">
        <f ca="1">IFERROR(__xludf.DUMMYFUNCTION("""COMPUTED_VALUE"""),"Yes")</f>
        <v>Yes</v>
      </c>
      <c r="AB163" s="5" t="str">
        <f ca="1">IFERROR(__xludf.DUMMYFUNCTION("""COMPUTED_VALUE"""),"Yes")</f>
        <v>Yes</v>
      </c>
      <c r="AC163" s="5"/>
    </row>
    <row r="164" spans="1:29" x14ac:dyDescent="0.25">
      <c r="A164" s="5" t="str">
        <f ca="1">IFERROR(__xludf.DUMMYFUNCTION("""COMPUTED_VALUE"""),"UnicornFruitMagic")</f>
        <v>UnicornFruitMagic</v>
      </c>
      <c r="B16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64" s="5" t="str">
        <f ca="1">IFERROR(__xludf.DUMMYFUNCTION("""COMPUTED_VALUE"""),"Yes")</f>
        <v>Yes</v>
      </c>
      <c r="D164" s="5" t="str">
        <f ca="1">IFERROR(__xludf.DUMMYFUNCTION("""COMPUTED_VALUE"""),"Yes")</f>
        <v>Yes</v>
      </c>
      <c r="E164" s="5" t="str">
        <f ca="1">IFERROR(__xludf.DUMMYFUNCTION("""COMPUTED_VALUE"""),"Yes")</f>
        <v>Yes</v>
      </c>
      <c r="F164" s="5" t="str">
        <f ca="1">IFERROR(__xludf.DUMMYFUNCTION("""COMPUTED_VALUE"""),"No")</f>
        <v>No</v>
      </c>
      <c r="G164" s="5" t="str">
        <f ca="1">IFERROR(__xludf.DUMMYFUNCTION("""COMPUTED_VALUE"""),"No")</f>
        <v>No</v>
      </c>
      <c r="H164" s="5" t="str">
        <f ca="1">IFERROR(__xludf.DUMMYFUNCTION("""COMPUTED_VALUE"""),"No")</f>
        <v>No</v>
      </c>
      <c r="I164" s="5" t="str">
        <f ca="1">IFERROR(__xludf.DUMMYFUNCTION("""COMPUTED_VALUE"""),"No")</f>
        <v>No</v>
      </c>
      <c r="J164" s="5" t="str">
        <f ca="1">IFERROR(__xludf.DUMMYFUNCTION("""COMPUTED_VALUE"""),"No")</f>
        <v>No</v>
      </c>
      <c r="K164" s="5" t="str">
        <f ca="1">IFERROR(__xludf.DUMMYFUNCTION("""COMPUTED_VALUE"""),"Yes")</f>
        <v>Yes</v>
      </c>
      <c r="L164" s="5" t="str">
        <f ca="1">IFERROR(__xludf.DUMMYFUNCTION("""COMPUTED_VALUE"""),"Yes")</f>
        <v>Yes</v>
      </c>
      <c r="M164" s="5" t="str">
        <f ca="1">IFERROR(__xludf.DUMMYFUNCTION("""COMPUTED_VALUE"""),"Yes")</f>
        <v>Yes</v>
      </c>
      <c r="N164" s="5" t="str">
        <f ca="1">IFERROR(__xludf.DUMMYFUNCTION("""COMPUTED_VALUE"""),"Yes")</f>
        <v>Yes</v>
      </c>
      <c r="O164" s="5" t="str">
        <f ca="1">IFERROR(__xludf.DUMMYFUNCTION("""COMPUTED_VALUE"""),"Yes")</f>
        <v>Yes</v>
      </c>
      <c r="P164" s="5" t="str">
        <f ca="1">IFERROR(__xludf.DUMMYFUNCTION("""COMPUTED_VALUE"""),"No")</f>
        <v>No</v>
      </c>
      <c r="Q164" s="5" t="str">
        <f ca="1">IFERROR(__xludf.DUMMYFUNCTION("""COMPUTED_VALUE"""),"Yes")</f>
        <v>Yes</v>
      </c>
      <c r="R164" s="5" t="str">
        <f ca="1">IFERROR(__xludf.DUMMYFUNCTION("""COMPUTED_VALUE"""),"No")</f>
        <v>No</v>
      </c>
      <c r="S164" s="5" t="str">
        <f ca="1">IFERROR(__xludf.DUMMYFUNCTION("""COMPUTED_VALUE"""),"No")</f>
        <v>No</v>
      </c>
      <c r="T164" s="5" t="str">
        <f ca="1">IFERROR(__xludf.DUMMYFUNCTION("""COMPUTED_VALUE"""),"No")</f>
        <v>No</v>
      </c>
      <c r="U164" s="5" t="str">
        <f ca="1">IFERROR(__xludf.DUMMYFUNCTION("""COMPUTED_VALUE"""),"No")</f>
        <v>No</v>
      </c>
      <c r="V164" s="5" t="str">
        <f ca="1">IFERROR(__xludf.DUMMYFUNCTION("""COMPUTED_VALUE"""),"No")</f>
        <v>No</v>
      </c>
      <c r="W164" s="5"/>
      <c r="X164" s="5"/>
      <c r="Y164" s="5"/>
      <c r="Z164" s="5" t="str">
        <f ca="1">IFERROR(__xludf.DUMMYFUNCTION("""COMPUTED_VALUE"""),"No")</f>
        <v>No</v>
      </c>
      <c r="AA164" s="5"/>
      <c r="AB164" s="5"/>
      <c r="AC164" s="5"/>
    </row>
    <row r="165" spans="1:29" x14ac:dyDescent="0.25">
      <c r="A165" s="5" t="str">
        <f ca="1">IFERROR(__xludf.DUMMYFUNCTION("""COMPUTED_VALUE"""),"UnicornMoneyStandard")</f>
        <v>UnicornMoneyStandard</v>
      </c>
      <c r="B16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65" s="5" t="str">
        <f ca="1">IFERROR(__xludf.DUMMYFUNCTION("""COMPUTED_VALUE"""),"Yes")</f>
        <v>Yes</v>
      </c>
      <c r="D165" s="5" t="str">
        <f ca="1">IFERROR(__xludf.DUMMYFUNCTION("""COMPUTED_VALUE"""),"Yes")</f>
        <v>Yes</v>
      </c>
      <c r="E165" s="5" t="str">
        <f ca="1">IFERROR(__xludf.DUMMYFUNCTION("""COMPUTED_VALUE"""),"Yes")</f>
        <v>Yes</v>
      </c>
      <c r="F165" s="5" t="str">
        <f ca="1">IFERROR(__xludf.DUMMYFUNCTION("""COMPUTED_VALUE"""),"No")</f>
        <v>No</v>
      </c>
      <c r="G165" s="5" t="str">
        <f ca="1">IFERROR(__xludf.DUMMYFUNCTION("""COMPUTED_VALUE"""),"No")</f>
        <v>No</v>
      </c>
      <c r="H165" s="5" t="str">
        <f ca="1">IFERROR(__xludf.DUMMYFUNCTION("""COMPUTED_VALUE"""),"No")</f>
        <v>No</v>
      </c>
      <c r="I165" s="5" t="str">
        <f ca="1">IFERROR(__xludf.DUMMYFUNCTION("""COMPUTED_VALUE"""),"No")</f>
        <v>No</v>
      </c>
      <c r="J165" s="5" t="str">
        <f ca="1">IFERROR(__xludf.DUMMYFUNCTION("""COMPUTED_VALUE"""),"No")</f>
        <v>No</v>
      </c>
      <c r="K165" s="5" t="str">
        <f ca="1">IFERROR(__xludf.DUMMYFUNCTION("""COMPUTED_VALUE"""),"Yes")</f>
        <v>Yes</v>
      </c>
      <c r="L165" s="5" t="str">
        <f ca="1">IFERROR(__xludf.DUMMYFUNCTION("""COMPUTED_VALUE"""),"Yes")</f>
        <v>Yes</v>
      </c>
      <c r="M165" s="5" t="str">
        <f ca="1">IFERROR(__xludf.DUMMYFUNCTION("""COMPUTED_VALUE"""),"Yes")</f>
        <v>Yes</v>
      </c>
      <c r="N165" s="5" t="str">
        <f ca="1">IFERROR(__xludf.DUMMYFUNCTION("""COMPUTED_VALUE"""),"Yes")</f>
        <v>Yes</v>
      </c>
      <c r="O165" s="5" t="str">
        <f ca="1">IFERROR(__xludf.DUMMYFUNCTION("""COMPUTED_VALUE"""),"Yes")</f>
        <v>Yes</v>
      </c>
      <c r="P165" s="5" t="str">
        <f ca="1">IFERROR(__xludf.DUMMYFUNCTION("""COMPUTED_VALUE"""),"No")</f>
        <v>No</v>
      </c>
      <c r="Q165" s="5" t="str">
        <f ca="1">IFERROR(__xludf.DUMMYFUNCTION("""COMPUTED_VALUE"""),"Yes")</f>
        <v>Yes</v>
      </c>
      <c r="R165" s="5" t="str">
        <f ca="1">IFERROR(__xludf.DUMMYFUNCTION("""COMPUTED_VALUE"""),"No")</f>
        <v>No</v>
      </c>
      <c r="S165" s="5" t="str">
        <f ca="1">IFERROR(__xludf.DUMMYFUNCTION("""COMPUTED_VALUE"""),"No")</f>
        <v>No</v>
      </c>
      <c r="T165" s="5" t="str">
        <f ca="1">IFERROR(__xludf.DUMMYFUNCTION("""COMPUTED_VALUE"""),"No")</f>
        <v>No</v>
      </c>
      <c r="U165" s="5" t="str">
        <f ca="1">IFERROR(__xludf.DUMMYFUNCTION("""COMPUTED_VALUE"""),"No")</f>
        <v>No</v>
      </c>
      <c r="V165" s="5" t="str">
        <f ca="1">IFERROR(__xludf.DUMMYFUNCTION("""COMPUTED_VALUE"""),"No")</f>
        <v>No</v>
      </c>
      <c r="W165" s="5"/>
      <c r="X165" s="5"/>
      <c r="Y165" s="5"/>
      <c r="Z165" s="5" t="str">
        <f ca="1">IFERROR(__xludf.DUMMYFUNCTION("""COMPUTED_VALUE"""),"No")</f>
        <v>No</v>
      </c>
      <c r="AA165" s="5"/>
      <c r="AB165" s="5"/>
      <c r="AC165" s="5"/>
    </row>
    <row r="166" spans="1:29" x14ac:dyDescent="0.25">
      <c r="A166" s="5" t="str">
        <f ca="1">IFERROR(__xludf.DUMMYFUNCTION("""COMPUTED_VALUE"""),"WildDiamond10")</f>
        <v>WildDiamond10</v>
      </c>
      <c r="B16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66" s="5" t="str">
        <f ca="1">IFERROR(__xludf.DUMMYFUNCTION("""COMPUTED_VALUE"""),"Yes")</f>
        <v>Yes</v>
      </c>
      <c r="D166" s="5" t="str">
        <f ca="1">IFERROR(__xludf.DUMMYFUNCTION("""COMPUTED_VALUE"""),"Yes")</f>
        <v>Yes</v>
      </c>
      <c r="E166" s="5" t="str">
        <f ca="1">IFERROR(__xludf.DUMMYFUNCTION("""COMPUTED_VALUE"""),"Yes")</f>
        <v>Yes</v>
      </c>
      <c r="F166" s="5" t="str">
        <f ca="1">IFERROR(__xludf.DUMMYFUNCTION("""COMPUTED_VALUE"""),"No")</f>
        <v>No</v>
      </c>
      <c r="G166" s="5" t="str">
        <f ca="1">IFERROR(__xludf.DUMMYFUNCTION("""COMPUTED_VALUE"""),"No")</f>
        <v>No</v>
      </c>
      <c r="H166" s="5" t="str">
        <f ca="1">IFERROR(__xludf.DUMMYFUNCTION("""COMPUTED_VALUE"""),"No")</f>
        <v>No</v>
      </c>
      <c r="I166" s="5" t="str">
        <f ca="1">IFERROR(__xludf.DUMMYFUNCTION("""COMPUTED_VALUE"""),"No")</f>
        <v>No</v>
      </c>
      <c r="J166" s="5" t="str">
        <f ca="1">IFERROR(__xludf.DUMMYFUNCTION("""COMPUTED_VALUE"""),"No")</f>
        <v>No</v>
      </c>
      <c r="K166" s="5" t="str">
        <f ca="1">IFERROR(__xludf.DUMMYFUNCTION("""COMPUTED_VALUE"""),"Yes")</f>
        <v>Yes</v>
      </c>
      <c r="L166" s="5" t="str">
        <f ca="1">IFERROR(__xludf.DUMMYFUNCTION("""COMPUTED_VALUE"""),"Yes")</f>
        <v>Yes</v>
      </c>
      <c r="M166" s="5" t="str">
        <f ca="1">IFERROR(__xludf.DUMMYFUNCTION("""COMPUTED_VALUE"""),"Yes")</f>
        <v>Yes</v>
      </c>
      <c r="N166" s="5" t="str">
        <f ca="1">IFERROR(__xludf.DUMMYFUNCTION("""COMPUTED_VALUE"""),"Yes")</f>
        <v>Yes</v>
      </c>
      <c r="O166" s="5" t="str">
        <f ca="1">IFERROR(__xludf.DUMMYFUNCTION("""COMPUTED_VALUE"""),"Yes")</f>
        <v>Yes</v>
      </c>
      <c r="P166" s="5" t="str">
        <f ca="1">IFERROR(__xludf.DUMMYFUNCTION("""COMPUTED_VALUE"""),"No")</f>
        <v>No</v>
      </c>
      <c r="Q166" s="5" t="str">
        <f ca="1">IFERROR(__xludf.DUMMYFUNCTION("""COMPUTED_VALUE"""),"Yes")</f>
        <v>Yes</v>
      </c>
      <c r="R166" s="5" t="str">
        <f ca="1">IFERROR(__xludf.DUMMYFUNCTION("""COMPUTED_VALUE"""),"No")</f>
        <v>No</v>
      </c>
      <c r="S166" s="5" t="str">
        <f ca="1">IFERROR(__xludf.DUMMYFUNCTION("""COMPUTED_VALUE"""),"No")</f>
        <v>No</v>
      </c>
      <c r="T166" s="5" t="str">
        <f ca="1">IFERROR(__xludf.DUMMYFUNCTION("""COMPUTED_VALUE"""),"No")</f>
        <v>No</v>
      </c>
      <c r="U166" s="5" t="str">
        <f ca="1">IFERROR(__xludf.DUMMYFUNCTION("""COMPUTED_VALUE"""),"No")</f>
        <v>No</v>
      </c>
      <c r="V166" s="5" t="str">
        <f ca="1">IFERROR(__xludf.DUMMYFUNCTION("""COMPUTED_VALUE"""),"No")</f>
        <v>No</v>
      </c>
      <c r="W166" s="5"/>
      <c r="X166" s="5"/>
      <c r="Y166" s="5"/>
      <c r="Z166" s="5" t="str">
        <f ca="1">IFERROR(__xludf.DUMMYFUNCTION("""COMPUTED_VALUE"""),"No")</f>
        <v>No</v>
      </c>
      <c r="AA166" s="5"/>
      <c r="AB166" s="5"/>
      <c r="AC166" s="5"/>
    </row>
    <row r="167" spans="1:29" x14ac:dyDescent="0.25">
      <c r="A167" s="5" t="str">
        <f ca="1">IFERROR(__xludf.DUMMYFUNCTION("""COMPUTED_VALUE"""),"UnicornMiniMegaCash")</f>
        <v>UnicornMiniMegaCash</v>
      </c>
      <c r="B16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67" s="5" t="str">
        <f ca="1">IFERROR(__xludf.DUMMYFUNCTION("""COMPUTED_VALUE"""),"Yes")</f>
        <v>Yes</v>
      </c>
      <c r="D167" s="5" t="str">
        <f ca="1">IFERROR(__xludf.DUMMYFUNCTION("""COMPUTED_VALUE"""),"Yes")</f>
        <v>Yes</v>
      </c>
      <c r="E167" s="5" t="str">
        <f ca="1">IFERROR(__xludf.DUMMYFUNCTION("""COMPUTED_VALUE"""),"No")</f>
        <v>No</v>
      </c>
      <c r="F167" s="5" t="str">
        <f ca="1">IFERROR(__xludf.DUMMYFUNCTION("""COMPUTED_VALUE"""),"Yes")</f>
        <v>Yes</v>
      </c>
      <c r="G167" s="5" t="str">
        <f ca="1">IFERROR(__xludf.DUMMYFUNCTION("""COMPUTED_VALUE"""),"Yes")</f>
        <v>Yes</v>
      </c>
      <c r="H167" s="5" t="str">
        <f ca="1">IFERROR(__xludf.DUMMYFUNCTION("""COMPUTED_VALUE"""),"Yes")</f>
        <v>Yes</v>
      </c>
      <c r="I167" s="5" t="str">
        <f ca="1">IFERROR(__xludf.DUMMYFUNCTION("""COMPUTED_VALUE"""),"Yes")</f>
        <v>Yes</v>
      </c>
      <c r="J167" s="5" t="str">
        <f ca="1">IFERROR(__xludf.DUMMYFUNCTION("""COMPUTED_VALUE"""),"Yes")</f>
        <v>Yes</v>
      </c>
      <c r="K167" s="5" t="str">
        <f ca="1">IFERROR(__xludf.DUMMYFUNCTION("""COMPUTED_VALUE"""),"Yes")</f>
        <v>Yes</v>
      </c>
      <c r="L167" s="5" t="str">
        <f ca="1">IFERROR(__xludf.DUMMYFUNCTION("""COMPUTED_VALUE"""),"Yes")</f>
        <v>Yes</v>
      </c>
      <c r="M167" s="5" t="str">
        <f ca="1">IFERROR(__xludf.DUMMYFUNCTION("""COMPUTED_VALUE"""),"Yes")</f>
        <v>Yes</v>
      </c>
      <c r="N167" s="5" t="str">
        <f ca="1">IFERROR(__xludf.DUMMYFUNCTION("""COMPUTED_VALUE"""),"Yes")</f>
        <v>Yes</v>
      </c>
      <c r="O167" s="5" t="str">
        <f ca="1">IFERROR(__xludf.DUMMYFUNCTION("""COMPUTED_VALUE"""),"Yes")</f>
        <v>Yes</v>
      </c>
      <c r="P167" s="5" t="str">
        <f ca="1">IFERROR(__xludf.DUMMYFUNCTION("""COMPUTED_VALUE"""),"Yes")</f>
        <v>Yes</v>
      </c>
      <c r="Q167" s="5" t="str">
        <f ca="1">IFERROR(__xludf.DUMMYFUNCTION("""COMPUTED_VALUE"""),"Yes")</f>
        <v>Yes</v>
      </c>
      <c r="R167" s="5" t="str">
        <f ca="1">IFERROR(__xludf.DUMMYFUNCTION("""COMPUTED_VALUE"""),"No")</f>
        <v>No</v>
      </c>
      <c r="S167" s="5" t="str">
        <f ca="1">IFERROR(__xludf.DUMMYFUNCTION("""COMPUTED_VALUE"""),"No")</f>
        <v>No</v>
      </c>
      <c r="T167" s="5" t="str">
        <f ca="1">IFERROR(__xludf.DUMMYFUNCTION("""COMPUTED_VALUE"""),"No")</f>
        <v>No</v>
      </c>
      <c r="U167" s="5" t="str">
        <f ca="1">IFERROR(__xludf.DUMMYFUNCTION("""COMPUTED_VALUE"""),"No")</f>
        <v>No</v>
      </c>
      <c r="V167" s="5" t="str">
        <f ca="1">IFERROR(__xludf.DUMMYFUNCTION("""COMPUTED_VALUE"""),"No")</f>
        <v>No</v>
      </c>
      <c r="W167" s="5" t="str">
        <f ca="1">IFERROR(__xludf.DUMMYFUNCTION("""COMPUTED_VALUE"""),"No")</f>
        <v>No</v>
      </c>
      <c r="X167" s="5" t="str">
        <f ca="1">IFERROR(__xludf.DUMMYFUNCTION("""COMPUTED_VALUE"""),"No")</f>
        <v>No</v>
      </c>
      <c r="Y167" s="5" t="str">
        <f ca="1">IFERROR(__xludf.DUMMYFUNCTION("""COMPUTED_VALUE"""),"No")</f>
        <v>No</v>
      </c>
      <c r="Z167" s="5" t="str">
        <f ca="1">IFERROR(__xludf.DUMMYFUNCTION("""COMPUTED_VALUE"""),"No")</f>
        <v>No</v>
      </c>
      <c r="AA167" s="5" t="str">
        <f ca="1">IFERROR(__xludf.DUMMYFUNCTION("""COMPUTED_VALUE"""),"No")</f>
        <v>No</v>
      </c>
      <c r="AB167" s="5" t="str">
        <f ca="1">IFERROR(__xludf.DUMMYFUNCTION("""COMPUTED_VALUE"""),"Yes")</f>
        <v>Yes</v>
      </c>
      <c r="AC167" s="5" t="str">
        <f ca="1">IFERROR(__xludf.DUMMYFUNCTION("""COMPUTED_VALUE"""),"No")</f>
        <v>No</v>
      </c>
    </row>
    <row r="168" spans="1:29" x14ac:dyDescent="0.25">
      <c r="A168" s="5" t="str">
        <f ca="1">IFERROR(__xludf.DUMMYFUNCTION("""COMPUTED_VALUE"""),"FruityFace")</f>
        <v>FruityFace</v>
      </c>
      <c r="B1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8" s="5" t="str">
        <f ca="1">IFERROR(__xludf.DUMMYFUNCTION("""COMPUTED_VALUE"""),"Yes")</f>
        <v>Yes</v>
      </c>
      <c r="D168" s="5" t="str">
        <f ca="1">IFERROR(__xludf.DUMMYFUNCTION("""COMPUTED_VALUE"""),"Yes")</f>
        <v>Yes</v>
      </c>
      <c r="E168" s="5" t="str">
        <f ca="1">IFERROR(__xludf.DUMMYFUNCTION("""COMPUTED_VALUE"""),"Yes")</f>
        <v>Yes</v>
      </c>
      <c r="F168" s="5" t="str">
        <f ca="1">IFERROR(__xludf.DUMMYFUNCTION("""COMPUTED_VALUE"""),"Yes")</f>
        <v>Yes</v>
      </c>
      <c r="G168" s="5" t="str">
        <f ca="1">IFERROR(__xludf.DUMMYFUNCTION("""COMPUTED_VALUE"""),"Yes")</f>
        <v>Yes</v>
      </c>
      <c r="H168" s="5" t="str">
        <f ca="1">IFERROR(__xludf.DUMMYFUNCTION("""COMPUTED_VALUE"""),"Yes")</f>
        <v>Yes</v>
      </c>
      <c r="I168" s="5" t="str">
        <f ca="1">IFERROR(__xludf.DUMMYFUNCTION("""COMPUTED_VALUE"""),"Yes")</f>
        <v>Yes</v>
      </c>
      <c r="J168" s="5" t="str">
        <f ca="1">IFERROR(__xludf.DUMMYFUNCTION("""COMPUTED_VALUE"""),"Yes")</f>
        <v>Yes</v>
      </c>
      <c r="K168" s="5" t="str">
        <f ca="1">IFERROR(__xludf.DUMMYFUNCTION("""COMPUTED_VALUE"""),"Yes")</f>
        <v>Yes</v>
      </c>
      <c r="L168" s="5" t="str">
        <f ca="1">IFERROR(__xludf.DUMMYFUNCTION("""COMPUTED_VALUE"""),"Yes")</f>
        <v>Yes</v>
      </c>
      <c r="M168" s="5" t="str">
        <f ca="1">IFERROR(__xludf.DUMMYFUNCTION("""COMPUTED_VALUE"""),"Yes")</f>
        <v>Yes</v>
      </c>
      <c r="N168" s="5" t="str">
        <f ca="1">IFERROR(__xludf.DUMMYFUNCTION("""COMPUTED_VALUE"""),"Yes")</f>
        <v>Yes</v>
      </c>
      <c r="O168" s="5" t="str">
        <f ca="1">IFERROR(__xludf.DUMMYFUNCTION("""COMPUTED_VALUE"""),"Yes")</f>
        <v>Yes</v>
      </c>
      <c r="P168" s="5" t="str">
        <f ca="1">IFERROR(__xludf.DUMMYFUNCTION("""COMPUTED_VALUE"""),"Yes")</f>
        <v>Yes</v>
      </c>
      <c r="Q168" s="5" t="str">
        <f ca="1">IFERROR(__xludf.DUMMYFUNCTION("""COMPUTED_VALUE"""),"Yes")</f>
        <v>Yes</v>
      </c>
      <c r="R168" s="5" t="str">
        <f ca="1">IFERROR(__xludf.DUMMYFUNCTION("""COMPUTED_VALUE"""),"Yes")</f>
        <v>Yes</v>
      </c>
      <c r="S168" s="5" t="str">
        <f ca="1">IFERROR(__xludf.DUMMYFUNCTION("""COMPUTED_VALUE"""),"Yes")</f>
        <v>Yes</v>
      </c>
      <c r="T168" s="5" t="str">
        <f ca="1">IFERROR(__xludf.DUMMYFUNCTION("""COMPUTED_VALUE"""),"Yes")</f>
        <v>Yes</v>
      </c>
      <c r="U168" s="5" t="str">
        <f ca="1">IFERROR(__xludf.DUMMYFUNCTION("""COMPUTED_VALUE"""),"Yes")</f>
        <v>Yes</v>
      </c>
      <c r="V168" s="5" t="str">
        <f ca="1">IFERROR(__xludf.DUMMYFUNCTION("""COMPUTED_VALUE"""),"Yes")</f>
        <v>Yes</v>
      </c>
      <c r="W168" s="5" t="str">
        <f ca="1">IFERROR(__xludf.DUMMYFUNCTION("""COMPUTED_VALUE"""),"Yes")</f>
        <v>Yes</v>
      </c>
      <c r="X168" s="5" t="str">
        <f ca="1">IFERROR(__xludf.DUMMYFUNCTION("""COMPUTED_VALUE"""),"Yes")</f>
        <v>Yes</v>
      </c>
      <c r="Y168" s="5" t="str">
        <f ca="1">IFERROR(__xludf.DUMMYFUNCTION("""COMPUTED_VALUE"""),"Yes")</f>
        <v>Yes</v>
      </c>
      <c r="Z168" s="5" t="str">
        <f ca="1">IFERROR(__xludf.DUMMYFUNCTION("""COMPUTED_VALUE"""),"Yes")</f>
        <v>Yes</v>
      </c>
      <c r="AA168" s="5" t="str">
        <f ca="1">IFERROR(__xludf.DUMMYFUNCTION("""COMPUTED_VALUE"""),"Yes")</f>
        <v>Yes</v>
      </c>
      <c r="AB168" s="5" t="str">
        <f ca="1">IFERROR(__xludf.DUMMYFUNCTION("""COMPUTED_VALUE"""),"Yes")</f>
        <v>Yes</v>
      </c>
      <c r="AC168" s="5" t="str">
        <f ca="1">IFERROR(__xludf.DUMMYFUNCTION("""COMPUTED_VALUE"""),"No")</f>
        <v>No</v>
      </c>
    </row>
    <row r="169" spans="1:29" x14ac:dyDescent="0.25">
      <c r="A169" s="5" t="str">
        <f ca="1">IFERROR(__xludf.DUMMYFUNCTION("""COMPUTED_VALUE"""),"WildHeart5")</f>
        <v>WildHeart5</v>
      </c>
      <c r="B1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9" s="5" t="str">
        <f ca="1">IFERROR(__xludf.DUMMYFUNCTION("""COMPUTED_VALUE"""),"Yes")</f>
        <v>Yes</v>
      </c>
      <c r="D169" s="5" t="str">
        <f ca="1">IFERROR(__xludf.DUMMYFUNCTION("""COMPUTED_VALUE"""),"Yes")</f>
        <v>Yes</v>
      </c>
      <c r="E169" s="5" t="str">
        <f ca="1">IFERROR(__xludf.DUMMYFUNCTION("""COMPUTED_VALUE"""),"Yes")</f>
        <v>Yes</v>
      </c>
      <c r="F169" s="5" t="str">
        <f ca="1">IFERROR(__xludf.DUMMYFUNCTION("""COMPUTED_VALUE"""),"Yes")</f>
        <v>Yes</v>
      </c>
      <c r="G169" s="5" t="str">
        <f ca="1">IFERROR(__xludf.DUMMYFUNCTION("""COMPUTED_VALUE"""),"Yes")</f>
        <v>Yes</v>
      </c>
      <c r="H169" s="5" t="str">
        <f ca="1">IFERROR(__xludf.DUMMYFUNCTION("""COMPUTED_VALUE"""),"Yes")</f>
        <v>Yes</v>
      </c>
      <c r="I169" s="5" t="str">
        <f ca="1">IFERROR(__xludf.DUMMYFUNCTION("""COMPUTED_VALUE"""),"Yes")</f>
        <v>Yes</v>
      </c>
      <c r="J169" s="5" t="str">
        <f ca="1">IFERROR(__xludf.DUMMYFUNCTION("""COMPUTED_VALUE"""),"Yes")</f>
        <v>Yes</v>
      </c>
      <c r="K169" s="5" t="str">
        <f ca="1">IFERROR(__xludf.DUMMYFUNCTION("""COMPUTED_VALUE"""),"Yes")</f>
        <v>Yes</v>
      </c>
      <c r="L169" s="5" t="str">
        <f ca="1">IFERROR(__xludf.DUMMYFUNCTION("""COMPUTED_VALUE"""),"Yes")</f>
        <v>Yes</v>
      </c>
      <c r="M169" s="5" t="str">
        <f ca="1">IFERROR(__xludf.DUMMYFUNCTION("""COMPUTED_VALUE"""),"Yes")</f>
        <v>Yes</v>
      </c>
      <c r="N169" s="5" t="str">
        <f ca="1">IFERROR(__xludf.DUMMYFUNCTION("""COMPUTED_VALUE"""),"Yes")</f>
        <v>Yes</v>
      </c>
      <c r="O169" s="5" t="str">
        <f ca="1">IFERROR(__xludf.DUMMYFUNCTION("""COMPUTED_VALUE"""),"Yes")</f>
        <v>Yes</v>
      </c>
      <c r="P169" s="5" t="str">
        <f ca="1">IFERROR(__xludf.DUMMYFUNCTION("""COMPUTED_VALUE"""),"Yes")</f>
        <v>Yes</v>
      </c>
      <c r="Q169" s="5" t="str">
        <f ca="1">IFERROR(__xludf.DUMMYFUNCTION("""COMPUTED_VALUE"""),"Yes")</f>
        <v>Yes</v>
      </c>
      <c r="R169" s="5" t="str">
        <f ca="1">IFERROR(__xludf.DUMMYFUNCTION("""COMPUTED_VALUE"""),"Yes")</f>
        <v>Yes</v>
      </c>
      <c r="S169" s="5" t="str">
        <f ca="1">IFERROR(__xludf.DUMMYFUNCTION("""COMPUTED_VALUE"""),"Yes")</f>
        <v>Yes</v>
      </c>
      <c r="T169" s="5" t="str">
        <f ca="1">IFERROR(__xludf.DUMMYFUNCTION("""COMPUTED_VALUE"""),"Yes")</f>
        <v>Yes</v>
      </c>
      <c r="U169" s="5" t="str">
        <f ca="1">IFERROR(__xludf.DUMMYFUNCTION("""COMPUTED_VALUE"""),"Yes")</f>
        <v>Yes</v>
      </c>
      <c r="V169" s="5" t="str">
        <f ca="1">IFERROR(__xludf.DUMMYFUNCTION("""COMPUTED_VALUE"""),"Yes")</f>
        <v>Yes</v>
      </c>
      <c r="W169" s="5" t="str">
        <f ca="1">IFERROR(__xludf.DUMMYFUNCTION("""COMPUTED_VALUE"""),"Yes")</f>
        <v>Yes</v>
      </c>
      <c r="X169" s="5" t="str">
        <f ca="1">IFERROR(__xludf.DUMMYFUNCTION("""COMPUTED_VALUE"""),"Yes")</f>
        <v>Yes</v>
      </c>
      <c r="Y169" s="5" t="str">
        <f ca="1">IFERROR(__xludf.DUMMYFUNCTION("""COMPUTED_VALUE"""),"Yes")</f>
        <v>Yes</v>
      </c>
      <c r="Z169" s="5" t="str">
        <f ca="1">IFERROR(__xludf.DUMMYFUNCTION("""COMPUTED_VALUE"""),"Yes")</f>
        <v>Yes</v>
      </c>
      <c r="AA169" s="5" t="str">
        <f ca="1">IFERROR(__xludf.DUMMYFUNCTION("""COMPUTED_VALUE"""),"Yes")</f>
        <v>Yes</v>
      </c>
      <c r="AB169" s="5" t="str">
        <f ca="1">IFERROR(__xludf.DUMMYFUNCTION("""COMPUTED_VALUE"""),"Yes")</f>
        <v>Yes</v>
      </c>
      <c r="AC169" s="5"/>
    </row>
    <row r="170" spans="1:29" x14ac:dyDescent="0.25">
      <c r="A170" s="5" t="str">
        <f ca="1">IFERROR(__xludf.DUMMYFUNCTION("""COMPUTED_VALUE"""),"ClassicLuckySpin")</f>
        <v>ClassicLuckySpin</v>
      </c>
      <c r="B1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0" s="5" t="str">
        <f ca="1">IFERROR(__xludf.DUMMYFUNCTION("""COMPUTED_VALUE"""),"Yes")</f>
        <v>Yes</v>
      </c>
      <c r="D170" s="5" t="str">
        <f ca="1">IFERROR(__xludf.DUMMYFUNCTION("""COMPUTED_VALUE"""),"Yes")</f>
        <v>Yes</v>
      </c>
      <c r="E170" s="5" t="str">
        <f ca="1">IFERROR(__xludf.DUMMYFUNCTION("""COMPUTED_VALUE"""),"Yes")</f>
        <v>Yes</v>
      </c>
      <c r="F170" s="5" t="str">
        <f ca="1">IFERROR(__xludf.DUMMYFUNCTION("""COMPUTED_VALUE"""),"Yes")</f>
        <v>Yes</v>
      </c>
      <c r="G170" s="5" t="str">
        <f ca="1">IFERROR(__xludf.DUMMYFUNCTION("""COMPUTED_VALUE"""),"Yes")</f>
        <v>Yes</v>
      </c>
      <c r="H170" s="5" t="str">
        <f ca="1">IFERROR(__xludf.DUMMYFUNCTION("""COMPUTED_VALUE"""),"Yes")</f>
        <v>Yes</v>
      </c>
      <c r="I170" s="5" t="str">
        <f ca="1">IFERROR(__xludf.DUMMYFUNCTION("""COMPUTED_VALUE"""),"Yes")</f>
        <v>Yes</v>
      </c>
      <c r="J170" s="5" t="str">
        <f ca="1">IFERROR(__xludf.DUMMYFUNCTION("""COMPUTED_VALUE"""),"Yes")</f>
        <v>Yes</v>
      </c>
      <c r="K170" s="5" t="str">
        <f ca="1">IFERROR(__xludf.DUMMYFUNCTION("""COMPUTED_VALUE"""),"Yes")</f>
        <v>Yes</v>
      </c>
      <c r="L170" s="5" t="str">
        <f ca="1">IFERROR(__xludf.DUMMYFUNCTION("""COMPUTED_VALUE"""),"Yes")</f>
        <v>Yes</v>
      </c>
      <c r="M170" s="5" t="str">
        <f ca="1">IFERROR(__xludf.DUMMYFUNCTION("""COMPUTED_VALUE"""),"Yes")</f>
        <v>Yes</v>
      </c>
      <c r="N170" s="5" t="str">
        <f ca="1">IFERROR(__xludf.DUMMYFUNCTION("""COMPUTED_VALUE"""),"Yes")</f>
        <v>Yes</v>
      </c>
      <c r="O170" s="5" t="str">
        <f ca="1">IFERROR(__xludf.DUMMYFUNCTION("""COMPUTED_VALUE"""),"Yes")</f>
        <v>Yes</v>
      </c>
      <c r="P170" s="5" t="str">
        <f ca="1">IFERROR(__xludf.DUMMYFUNCTION("""COMPUTED_VALUE"""),"Yes")</f>
        <v>Yes</v>
      </c>
      <c r="Q170" s="5" t="str">
        <f ca="1">IFERROR(__xludf.DUMMYFUNCTION("""COMPUTED_VALUE"""),"Yes")</f>
        <v>Yes</v>
      </c>
      <c r="R170" s="5" t="str">
        <f ca="1">IFERROR(__xludf.DUMMYFUNCTION("""COMPUTED_VALUE"""),"Yes")</f>
        <v>Yes</v>
      </c>
      <c r="S170" s="5" t="str">
        <f ca="1">IFERROR(__xludf.DUMMYFUNCTION("""COMPUTED_VALUE"""),"Yes")</f>
        <v>Yes</v>
      </c>
      <c r="T170" s="5" t="str">
        <f ca="1">IFERROR(__xludf.DUMMYFUNCTION("""COMPUTED_VALUE"""),"Yes")</f>
        <v>Yes</v>
      </c>
      <c r="U170" s="5" t="str">
        <f ca="1">IFERROR(__xludf.DUMMYFUNCTION("""COMPUTED_VALUE"""),"Yes")</f>
        <v>Yes</v>
      </c>
      <c r="V170" s="5" t="str">
        <f ca="1">IFERROR(__xludf.DUMMYFUNCTION("""COMPUTED_VALUE"""),"Yes")</f>
        <v>Yes</v>
      </c>
      <c r="W170" s="5" t="str">
        <f ca="1">IFERROR(__xludf.DUMMYFUNCTION("""COMPUTED_VALUE"""),"Yes")</f>
        <v>Yes</v>
      </c>
      <c r="X170" s="5" t="str">
        <f ca="1">IFERROR(__xludf.DUMMYFUNCTION("""COMPUTED_VALUE"""),"Yes")</f>
        <v>Yes</v>
      </c>
      <c r="Y170" s="5" t="str">
        <f ca="1">IFERROR(__xludf.DUMMYFUNCTION("""COMPUTED_VALUE"""),"Yes")</f>
        <v>Yes</v>
      </c>
      <c r="Z170" s="5" t="str">
        <f ca="1">IFERROR(__xludf.DUMMYFUNCTION("""COMPUTED_VALUE"""),"Yes")</f>
        <v>Yes</v>
      </c>
      <c r="AA170" s="5" t="str">
        <f ca="1">IFERROR(__xludf.DUMMYFUNCTION("""COMPUTED_VALUE"""),"Yes")</f>
        <v>Yes</v>
      </c>
      <c r="AB170" s="5" t="str">
        <f ca="1">IFERROR(__xludf.DUMMYFUNCTION("""COMPUTED_VALUE"""),"Yes")</f>
        <v>Yes</v>
      </c>
      <c r="AC170" s="5" t="str">
        <f ca="1">IFERROR(__xludf.DUMMYFUNCTION("""COMPUTED_VALUE"""),"No")</f>
        <v>No</v>
      </c>
    </row>
    <row r="171" spans="1:29" x14ac:dyDescent="0.25">
      <c r="A171" s="5" t="str">
        <f ca="1">IFERROR(__xludf.DUMMYFUNCTION("""COMPUTED_VALUE"""),"Unicorn20DiceFlames")</f>
        <v>Unicorn20DiceFlames</v>
      </c>
      <c r="B1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1" s="5" t="str">
        <f ca="1">IFERROR(__xludf.DUMMYFUNCTION("""COMPUTED_VALUE"""),"Yes")</f>
        <v>Yes</v>
      </c>
      <c r="D171" s="5" t="str">
        <f ca="1">IFERROR(__xludf.DUMMYFUNCTION("""COMPUTED_VALUE"""),"Yes")</f>
        <v>Yes</v>
      </c>
      <c r="E171" s="5" t="str">
        <f ca="1">IFERROR(__xludf.DUMMYFUNCTION("""COMPUTED_VALUE"""),"Yes")</f>
        <v>Yes</v>
      </c>
      <c r="F171" s="5" t="str">
        <f ca="1">IFERROR(__xludf.DUMMYFUNCTION("""COMPUTED_VALUE"""),"Yes")</f>
        <v>Yes</v>
      </c>
      <c r="G171" s="5" t="str">
        <f ca="1">IFERROR(__xludf.DUMMYFUNCTION("""COMPUTED_VALUE"""),"Yes")</f>
        <v>Yes</v>
      </c>
      <c r="H171" s="5" t="str">
        <f ca="1">IFERROR(__xludf.DUMMYFUNCTION("""COMPUTED_VALUE"""),"Yes")</f>
        <v>Yes</v>
      </c>
      <c r="I171" s="5" t="str">
        <f ca="1">IFERROR(__xludf.DUMMYFUNCTION("""COMPUTED_VALUE"""),"Yes")</f>
        <v>Yes</v>
      </c>
      <c r="J171" s="5" t="str">
        <f ca="1">IFERROR(__xludf.DUMMYFUNCTION("""COMPUTED_VALUE"""),"Yes")</f>
        <v>Yes</v>
      </c>
      <c r="K171" s="5" t="str">
        <f ca="1">IFERROR(__xludf.DUMMYFUNCTION("""COMPUTED_VALUE"""),"Yes")</f>
        <v>Yes</v>
      </c>
      <c r="L171" s="5" t="str">
        <f ca="1">IFERROR(__xludf.DUMMYFUNCTION("""COMPUTED_VALUE"""),"Yes")</f>
        <v>Yes</v>
      </c>
      <c r="M171" s="5" t="str">
        <f ca="1">IFERROR(__xludf.DUMMYFUNCTION("""COMPUTED_VALUE"""),"Yes")</f>
        <v>Yes</v>
      </c>
      <c r="N171" s="5" t="str">
        <f ca="1">IFERROR(__xludf.DUMMYFUNCTION("""COMPUTED_VALUE"""),"Yes")</f>
        <v>Yes</v>
      </c>
      <c r="O171" s="5" t="str">
        <f ca="1">IFERROR(__xludf.DUMMYFUNCTION("""COMPUTED_VALUE"""),"Yes")</f>
        <v>Yes</v>
      </c>
      <c r="P171" s="5" t="str">
        <f ca="1">IFERROR(__xludf.DUMMYFUNCTION("""COMPUTED_VALUE"""),"Yes")</f>
        <v>Yes</v>
      </c>
      <c r="Q171" s="5" t="str">
        <f ca="1">IFERROR(__xludf.DUMMYFUNCTION("""COMPUTED_VALUE"""),"Yes")</f>
        <v>Yes</v>
      </c>
      <c r="R171" s="5" t="str">
        <f ca="1">IFERROR(__xludf.DUMMYFUNCTION("""COMPUTED_VALUE"""),"Yes")</f>
        <v>Yes</v>
      </c>
      <c r="S171" s="5" t="str">
        <f ca="1">IFERROR(__xludf.DUMMYFUNCTION("""COMPUTED_VALUE"""),"Yes")</f>
        <v>Yes</v>
      </c>
      <c r="T171" s="5" t="str">
        <f ca="1">IFERROR(__xludf.DUMMYFUNCTION("""COMPUTED_VALUE"""),"Yes")</f>
        <v>Yes</v>
      </c>
      <c r="U171" s="5" t="str">
        <f ca="1">IFERROR(__xludf.DUMMYFUNCTION("""COMPUTED_VALUE"""),"Yes")</f>
        <v>Yes</v>
      </c>
      <c r="V171" s="5" t="str">
        <f ca="1">IFERROR(__xludf.DUMMYFUNCTION("""COMPUTED_VALUE"""),"Yes")</f>
        <v>Yes</v>
      </c>
      <c r="W171" s="5" t="str">
        <f ca="1">IFERROR(__xludf.DUMMYFUNCTION("""COMPUTED_VALUE"""),"Yes")</f>
        <v>Yes</v>
      </c>
      <c r="X171" s="5" t="str">
        <f ca="1">IFERROR(__xludf.DUMMYFUNCTION("""COMPUTED_VALUE"""),"Yes")</f>
        <v>Yes</v>
      </c>
      <c r="Y171" s="5" t="str">
        <f ca="1">IFERROR(__xludf.DUMMYFUNCTION("""COMPUTED_VALUE"""),"Yes")</f>
        <v>Yes</v>
      </c>
      <c r="Z171" s="5" t="str">
        <f ca="1">IFERROR(__xludf.DUMMYFUNCTION("""COMPUTED_VALUE"""),"Yes")</f>
        <v>Yes</v>
      </c>
      <c r="AA171" s="5" t="str">
        <f ca="1">IFERROR(__xludf.DUMMYFUNCTION("""COMPUTED_VALUE"""),"Yes")</f>
        <v>Yes</v>
      </c>
      <c r="AB171" s="5" t="str">
        <f ca="1">IFERROR(__xludf.DUMMYFUNCTION("""COMPUTED_VALUE"""),"Yes")</f>
        <v>Yes</v>
      </c>
      <c r="AC171" s="5"/>
    </row>
    <row r="172" spans="1:29" x14ac:dyDescent="0.25">
      <c r="A172" s="5" t="str">
        <f ca="1">IFERROR(__xludf.DUMMYFUNCTION("""COMPUTED_VALUE"""),"VolcanoHot40")</f>
        <v>VolcanoHot40</v>
      </c>
      <c r="B1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2" s="5" t="str">
        <f ca="1">IFERROR(__xludf.DUMMYFUNCTION("""COMPUTED_VALUE"""),"Yes")</f>
        <v>Yes</v>
      </c>
      <c r="D172" s="5" t="str">
        <f ca="1">IFERROR(__xludf.DUMMYFUNCTION("""COMPUTED_VALUE"""),"Yes")</f>
        <v>Yes</v>
      </c>
      <c r="E172" s="5" t="str">
        <f ca="1">IFERROR(__xludf.DUMMYFUNCTION("""COMPUTED_VALUE"""),"Yes")</f>
        <v>Yes</v>
      </c>
      <c r="F172" s="5" t="str">
        <f ca="1">IFERROR(__xludf.DUMMYFUNCTION("""COMPUTED_VALUE"""),"Yes")</f>
        <v>Yes</v>
      </c>
      <c r="G172" s="5" t="str">
        <f ca="1">IFERROR(__xludf.DUMMYFUNCTION("""COMPUTED_VALUE"""),"Yes")</f>
        <v>Yes</v>
      </c>
      <c r="H172" s="5" t="str">
        <f ca="1">IFERROR(__xludf.DUMMYFUNCTION("""COMPUTED_VALUE"""),"Yes")</f>
        <v>Yes</v>
      </c>
      <c r="I172" s="5" t="str">
        <f ca="1">IFERROR(__xludf.DUMMYFUNCTION("""COMPUTED_VALUE"""),"Yes")</f>
        <v>Yes</v>
      </c>
      <c r="J172" s="5" t="str">
        <f ca="1">IFERROR(__xludf.DUMMYFUNCTION("""COMPUTED_VALUE"""),"Yes")</f>
        <v>Yes</v>
      </c>
      <c r="K172" s="5" t="str">
        <f ca="1">IFERROR(__xludf.DUMMYFUNCTION("""COMPUTED_VALUE"""),"Yes")</f>
        <v>Yes</v>
      </c>
      <c r="L172" s="5" t="str">
        <f ca="1">IFERROR(__xludf.DUMMYFUNCTION("""COMPUTED_VALUE"""),"Yes")</f>
        <v>Yes</v>
      </c>
      <c r="M172" s="5" t="str">
        <f ca="1">IFERROR(__xludf.DUMMYFUNCTION("""COMPUTED_VALUE"""),"Yes")</f>
        <v>Yes</v>
      </c>
      <c r="N172" s="5" t="str">
        <f ca="1">IFERROR(__xludf.DUMMYFUNCTION("""COMPUTED_VALUE"""),"Yes")</f>
        <v>Yes</v>
      </c>
      <c r="O172" s="5" t="str">
        <f ca="1">IFERROR(__xludf.DUMMYFUNCTION("""COMPUTED_VALUE"""),"Yes")</f>
        <v>Yes</v>
      </c>
      <c r="P172" s="5" t="str">
        <f ca="1">IFERROR(__xludf.DUMMYFUNCTION("""COMPUTED_VALUE"""),"Yes")</f>
        <v>Yes</v>
      </c>
      <c r="Q172" s="5" t="str">
        <f ca="1">IFERROR(__xludf.DUMMYFUNCTION("""COMPUTED_VALUE"""),"Yes")</f>
        <v>Yes</v>
      </c>
      <c r="R172" s="5" t="str">
        <f ca="1">IFERROR(__xludf.DUMMYFUNCTION("""COMPUTED_VALUE"""),"Yes")</f>
        <v>Yes</v>
      </c>
      <c r="S172" s="5" t="str">
        <f ca="1">IFERROR(__xludf.DUMMYFUNCTION("""COMPUTED_VALUE"""),"Yes")</f>
        <v>Yes</v>
      </c>
      <c r="T172" s="5" t="str">
        <f ca="1">IFERROR(__xludf.DUMMYFUNCTION("""COMPUTED_VALUE"""),"Yes")</f>
        <v>Yes</v>
      </c>
      <c r="U172" s="5" t="str">
        <f ca="1">IFERROR(__xludf.DUMMYFUNCTION("""COMPUTED_VALUE"""),"Yes")</f>
        <v>Yes</v>
      </c>
      <c r="V172" s="5" t="str">
        <f ca="1">IFERROR(__xludf.DUMMYFUNCTION("""COMPUTED_VALUE"""),"Yes")</f>
        <v>Yes</v>
      </c>
      <c r="W172" s="5" t="str">
        <f ca="1">IFERROR(__xludf.DUMMYFUNCTION("""COMPUTED_VALUE"""),"Yes")</f>
        <v>Yes</v>
      </c>
      <c r="X172" s="5" t="str">
        <f ca="1">IFERROR(__xludf.DUMMYFUNCTION("""COMPUTED_VALUE"""),"Yes")</f>
        <v>Yes</v>
      </c>
      <c r="Y172" s="5" t="str">
        <f ca="1">IFERROR(__xludf.DUMMYFUNCTION("""COMPUTED_VALUE"""),"Yes")</f>
        <v>Yes</v>
      </c>
      <c r="Z172" s="5" t="str">
        <f ca="1">IFERROR(__xludf.DUMMYFUNCTION("""COMPUTED_VALUE"""),"Yes")</f>
        <v>Yes</v>
      </c>
      <c r="AA172" s="5" t="str">
        <f ca="1">IFERROR(__xludf.DUMMYFUNCTION("""COMPUTED_VALUE"""),"Yes")</f>
        <v>Yes</v>
      </c>
      <c r="AB172" s="5" t="str">
        <f ca="1">IFERROR(__xludf.DUMMYFUNCTION("""COMPUTED_VALUE"""),"Yes")</f>
        <v>Yes</v>
      </c>
      <c r="AC172" s="5" t="str">
        <f ca="1">IFERROR(__xludf.DUMMYFUNCTION("""COMPUTED_VALUE"""),"No")</f>
        <v>No</v>
      </c>
    </row>
    <row r="173" spans="1:29" x14ac:dyDescent="0.25">
      <c r="A173" s="5" t="str">
        <f ca="1">IFERROR(__xludf.DUMMYFUNCTION("""COMPUTED_VALUE"""),"ZabranjenoVoce")</f>
        <v>ZabranjenoVoce</v>
      </c>
      <c r="B1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3" s="5" t="str">
        <f ca="1">IFERROR(__xludf.DUMMYFUNCTION("""COMPUTED_VALUE"""),"Yes")</f>
        <v>Yes</v>
      </c>
      <c r="D173" s="5" t="str">
        <f ca="1">IFERROR(__xludf.DUMMYFUNCTION("""COMPUTED_VALUE"""),"Yes")</f>
        <v>Yes</v>
      </c>
      <c r="E173" s="5" t="str">
        <f ca="1">IFERROR(__xludf.DUMMYFUNCTION("""COMPUTED_VALUE"""),"Yes")</f>
        <v>Yes</v>
      </c>
      <c r="F173" s="5" t="str">
        <f ca="1">IFERROR(__xludf.DUMMYFUNCTION("""COMPUTED_VALUE"""),"Yes")</f>
        <v>Yes</v>
      </c>
      <c r="G173" s="5" t="str">
        <f ca="1">IFERROR(__xludf.DUMMYFUNCTION("""COMPUTED_VALUE"""),"Yes")</f>
        <v>Yes</v>
      </c>
      <c r="H173" s="5" t="str">
        <f ca="1">IFERROR(__xludf.DUMMYFUNCTION("""COMPUTED_VALUE"""),"Yes")</f>
        <v>Yes</v>
      </c>
      <c r="I173" s="5" t="str">
        <f ca="1">IFERROR(__xludf.DUMMYFUNCTION("""COMPUTED_VALUE"""),"Yes")</f>
        <v>Yes</v>
      </c>
      <c r="J173" s="5" t="str">
        <f ca="1">IFERROR(__xludf.DUMMYFUNCTION("""COMPUTED_VALUE"""),"Yes")</f>
        <v>Yes</v>
      </c>
      <c r="K173" s="5" t="str">
        <f ca="1">IFERROR(__xludf.DUMMYFUNCTION("""COMPUTED_VALUE"""),"Yes")</f>
        <v>Yes</v>
      </c>
      <c r="L173" s="5" t="str">
        <f ca="1">IFERROR(__xludf.DUMMYFUNCTION("""COMPUTED_VALUE"""),"Yes")</f>
        <v>Yes</v>
      </c>
      <c r="M173" s="5" t="str">
        <f ca="1">IFERROR(__xludf.DUMMYFUNCTION("""COMPUTED_VALUE"""),"Yes")</f>
        <v>Yes</v>
      </c>
      <c r="N173" s="5" t="str">
        <f ca="1">IFERROR(__xludf.DUMMYFUNCTION("""COMPUTED_VALUE"""),"Yes")</f>
        <v>Yes</v>
      </c>
      <c r="O173" s="5" t="str">
        <f ca="1">IFERROR(__xludf.DUMMYFUNCTION("""COMPUTED_VALUE"""),"Yes")</f>
        <v>Yes</v>
      </c>
      <c r="P173" s="5" t="str">
        <f ca="1">IFERROR(__xludf.DUMMYFUNCTION("""COMPUTED_VALUE"""),"Yes")</f>
        <v>Yes</v>
      </c>
      <c r="Q173" s="5" t="str">
        <f ca="1">IFERROR(__xludf.DUMMYFUNCTION("""COMPUTED_VALUE"""),"Yes")</f>
        <v>Yes</v>
      </c>
      <c r="R173" s="5" t="str">
        <f ca="1">IFERROR(__xludf.DUMMYFUNCTION("""COMPUTED_VALUE"""),"Yes")</f>
        <v>Yes</v>
      </c>
      <c r="S173" s="5" t="str">
        <f ca="1">IFERROR(__xludf.DUMMYFUNCTION("""COMPUTED_VALUE"""),"Yes")</f>
        <v>Yes</v>
      </c>
      <c r="T173" s="5" t="str">
        <f ca="1">IFERROR(__xludf.DUMMYFUNCTION("""COMPUTED_VALUE"""),"Yes")</f>
        <v>Yes</v>
      </c>
      <c r="U173" s="5" t="str">
        <f ca="1">IFERROR(__xludf.DUMMYFUNCTION("""COMPUTED_VALUE"""),"Yes")</f>
        <v>Yes</v>
      </c>
      <c r="V173" s="5" t="str">
        <f ca="1">IFERROR(__xludf.DUMMYFUNCTION("""COMPUTED_VALUE"""),"Yes")</f>
        <v>Yes</v>
      </c>
      <c r="W173" s="5" t="str">
        <f ca="1">IFERROR(__xludf.DUMMYFUNCTION("""COMPUTED_VALUE"""),"Yes")</f>
        <v>Yes</v>
      </c>
      <c r="X173" s="5" t="str">
        <f ca="1">IFERROR(__xludf.DUMMYFUNCTION("""COMPUTED_VALUE"""),"Yes")</f>
        <v>Yes</v>
      </c>
      <c r="Y173" s="5" t="str">
        <f ca="1">IFERROR(__xludf.DUMMYFUNCTION("""COMPUTED_VALUE"""),"Yes")</f>
        <v>Yes</v>
      </c>
      <c r="Z173" s="5" t="str">
        <f ca="1">IFERROR(__xludf.DUMMYFUNCTION("""COMPUTED_VALUE"""),"Yes")</f>
        <v>Yes</v>
      </c>
      <c r="AA173" s="5" t="str">
        <f ca="1">IFERROR(__xludf.DUMMYFUNCTION("""COMPUTED_VALUE"""),"Yes")</f>
        <v>Yes</v>
      </c>
      <c r="AB173" s="5" t="str">
        <f ca="1">IFERROR(__xludf.DUMMYFUNCTION("""COMPUTED_VALUE"""),"Yes")</f>
        <v>Yes</v>
      </c>
      <c r="AC173" s="5" t="str">
        <f ca="1">IFERROR(__xludf.DUMMYFUNCTION("""COMPUTED_VALUE"""),"No")</f>
        <v>No</v>
      </c>
    </row>
    <row r="174" spans="1:29" x14ac:dyDescent="0.25">
      <c r="A174" s="5" t="str">
        <f ca="1">IFERROR(__xludf.DUMMYFUNCTION("""COMPUTED_VALUE"""),"UnicornSurfinHeat")</f>
        <v>UnicornSurfinHeat</v>
      </c>
      <c r="B1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4" s="5" t="str">
        <f ca="1">IFERROR(__xludf.DUMMYFUNCTION("""COMPUTED_VALUE"""),"Yes")</f>
        <v>Yes</v>
      </c>
      <c r="D174" s="5" t="str">
        <f ca="1">IFERROR(__xludf.DUMMYFUNCTION("""COMPUTED_VALUE"""),"Yes")</f>
        <v>Yes</v>
      </c>
      <c r="E174" s="5" t="str">
        <f ca="1">IFERROR(__xludf.DUMMYFUNCTION("""COMPUTED_VALUE"""),"Yes")</f>
        <v>Yes</v>
      </c>
      <c r="F174" s="5" t="str">
        <f ca="1">IFERROR(__xludf.DUMMYFUNCTION("""COMPUTED_VALUE"""),"Yes")</f>
        <v>Yes</v>
      </c>
      <c r="G174" s="5" t="str">
        <f ca="1">IFERROR(__xludf.DUMMYFUNCTION("""COMPUTED_VALUE"""),"Yes")</f>
        <v>Yes</v>
      </c>
      <c r="H174" s="5" t="str">
        <f ca="1">IFERROR(__xludf.DUMMYFUNCTION("""COMPUTED_VALUE"""),"Yes")</f>
        <v>Yes</v>
      </c>
      <c r="I174" s="5" t="str">
        <f ca="1">IFERROR(__xludf.DUMMYFUNCTION("""COMPUTED_VALUE"""),"Yes")</f>
        <v>Yes</v>
      </c>
      <c r="J174" s="5" t="str">
        <f ca="1">IFERROR(__xludf.DUMMYFUNCTION("""COMPUTED_VALUE"""),"Yes")</f>
        <v>Yes</v>
      </c>
      <c r="K174" s="5" t="str">
        <f ca="1">IFERROR(__xludf.DUMMYFUNCTION("""COMPUTED_VALUE"""),"Yes")</f>
        <v>Yes</v>
      </c>
      <c r="L174" s="5" t="str">
        <f ca="1">IFERROR(__xludf.DUMMYFUNCTION("""COMPUTED_VALUE"""),"Yes")</f>
        <v>Yes</v>
      </c>
      <c r="M174" s="5" t="str">
        <f ca="1">IFERROR(__xludf.DUMMYFUNCTION("""COMPUTED_VALUE"""),"Yes")</f>
        <v>Yes</v>
      </c>
      <c r="N174" s="5" t="str">
        <f ca="1">IFERROR(__xludf.DUMMYFUNCTION("""COMPUTED_VALUE"""),"Yes")</f>
        <v>Yes</v>
      </c>
      <c r="O174" s="5" t="str">
        <f ca="1">IFERROR(__xludf.DUMMYFUNCTION("""COMPUTED_VALUE"""),"Yes")</f>
        <v>Yes</v>
      </c>
      <c r="P174" s="5" t="str">
        <f ca="1">IFERROR(__xludf.DUMMYFUNCTION("""COMPUTED_VALUE"""),"Yes")</f>
        <v>Yes</v>
      </c>
      <c r="Q174" s="5" t="str">
        <f ca="1">IFERROR(__xludf.DUMMYFUNCTION("""COMPUTED_VALUE"""),"Yes")</f>
        <v>Yes</v>
      </c>
      <c r="R174" s="5" t="str">
        <f ca="1">IFERROR(__xludf.DUMMYFUNCTION("""COMPUTED_VALUE"""),"Yes")</f>
        <v>Yes</v>
      </c>
      <c r="S174" s="5" t="str">
        <f ca="1">IFERROR(__xludf.DUMMYFUNCTION("""COMPUTED_VALUE"""),"Yes")</f>
        <v>Yes</v>
      </c>
      <c r="T174" s="5" t="str">
        <f ca="1">IFERROR(__xludf.DUMMYFUNCTION("""COMPUTED_VALUE"""),"Yes")</f>
        <v>Yes</v>
      </c>
      <c r="U174" s="5" t="str">
        <f ca="1">IFERROR(__xludf.DUMMYFUNCTION("""COMPUTED_VALUE"""),"Yes")</f>
        <v>Yes</v>
      </c>
      <c r="V174" s="5" t="str">
        <f ca="1">IFERROR(__xludf.DUMMYFUNCTION("""COMPUTED_VALUE"""),"Yes")</f>
        <v>Yes</v>
      </c>
      <c r="W174" s="5"/>
      <c r="X174" s="5"/>
      <c r="Y174" s="5"/>
      <c r="Z174" s="5" t="str">
        <f ca="1">IFERROR(__xludf.DUMMYFUNCTION("""COMPUTED_VALUE"""),"Yes")</f>
        <v>Yes</v>
      </c>
      <c r="AA174" s="5"/>
      <c r="AB174" s="5"/>
      <c r="AC174" s="5"/>
    </row>
    <row r="175" spans="1:29" x14ac:dyDescent="0.25">
      <c r="A175" s="5" t="str">
        <f ca="1">IFERROR(__xludf.DUMMYFUNCTION("""COMPUTED_VALUE"""),"WildJokerHot")</f>
        <v>WildJokerHot</v>
      </c>
      <c r="B1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5" s="5" t="str">
        <f ca="1">IFERROR(__xludf.DUMMYFUNCTION("""COMPUTED_VALUE"""),"Yes")</f>
        <v>Yes</v>
      </c>
      <c r="D175" s="5" t="str">
        <f ca="1">IFERROR(__xludf.DUMMYFUNCTION("""COMPUTED_VALUE"""),"Yes")</f>
        <v>Yes</v>
      </c>
      <c r="E175" s="5" t="str">
        <f ca="1">IFERROR(__xludf.DUMMYFUNCTION("""COMPUTED_VALUE"""),"Yes")</f>
        <v>Yes</v>
      </c>
      <c r="F175" s="5" t="str">
        <f ca="1">IFERROR(__xludf.DUMMYFUNCTION("""COMPUTED_VALUE"""),"Yes")</f>
        <v>Yes</v>
      </c>
      <c r="G175" s="5" t="str">
        <f ca="1">IFERROR(__xludf.DUMMYFUNCTION("""COMPUTED_VALUE"""),"Yes")</f>
        <v>Yes</v>
      </c>
      <c r="H175" s="5" t="str">
        <f ca="1">IFERROR(__xludf.DUMMYFUNCTION("""COMPUTED_VALUE"""),"Yes")</f>
        <v>Yes</v>
      </c>
      <c r="I175" s="5" t="str">
        <f ca="1">IFERROR(__xludf.DUMMYFUNCTION("""COMPUTED_VALUE"""),"Yes")</f>
        <v>Yes</v>
      </c>
      <c r="J175" s="5" t="str">
        <f ca="1">IFERROR(__xludf.DUMMYFUNCTION("""COMPUTED_VALUE"""),"Yes")</f>
        <v>Yes</v>
      </c>
      <c r="K175" s="5" t="str">
        <f ca="1">IFERROR(__xludf.DUMMYFUNCTION("""COMPUTED_VALUE"""),"Yes")</f>
        <v>Yes</v>
      </c>
      <c r="L175" s="5" t="str">
        <f ca="1">IFERROR(__xludf.DUMMYFUNCTION("""COMPUTED_VALUE"""),"Yes")</f>
        <v>Yes</v>
      </c>
      <c r="M175" s="5" t="str">
        <f ca="1">IFERROR(__xludf.DUMMYFUNCTION("""COMPUTED_VALUE"""),"Yes")</f>
        <v>Yes</v>
      </c>
      <c r="N175" s="5" t="str">
        <f ca="1">IFERROR(__xludf.DUMMYFUNCTION("""COMPUTED_VALUE"""),"Yes")</f>
        <v>Yes</v>
      </c>
      <c r="O175" s="5" t="str">
        <f ca="1">IFERROR(__xludf.DUMMYFUNCTION("""COMPUTED_VALUE"""),"Yes")</f>
        <v>Yes</v>
      </c>
      <c r="P175" s="5" t="str">
        <f ca="1">IFERROR(__xludf.DUMMYFUNCTION("""COMPUTED_VALUE"""),"Yes")</f>
        <v>Yes</v>
      </c>
      <c r="Q175" s="5" t="str">
        <f ca="1">IFERROR(__xludf.DUMMYFUNCTION("""COMPUTED_VALUE"""),"Yes")</f>
        <v>Yes</v>
      </c>
      <c r="R175" s="5" t="str">
        <f ca="1">IFERROR(__xludf.DUMMYFUNCTION("""COMPUTED_VALUE"""),"Yes")</f>
        <v>Yes</v>
      </c>
      <c r="S175" s="5" t="str">
        <f ca="1">IFERROR(__xludf.DUMMYFUNCTION("""COMPUTED_VALUE"""),"Yes")</f>
        <v>Yes</v>
      </c>
      <c r="T175" s="5" t="str">
        <f ca="1">IFERROR(__xludf.DUMMYFUNCTION("""COMPUTED_VALUE"""),"Yes")</f>
        <v>Yes</v>
      </c>
      <c r="U175" s="5" t="str">
        <f ca="1">IFERROR(__xludf.DUMMYFUNCTION("""COMPUTED_VALUE"""),"Yes")</f>
        <v>Yes</v>
      </c>
      <c r="V175" s="5" t="str">
        <f ca="1">IFERROR(__xludf.DUMMYFUNCTION("""COMPUTED_VALUE"""),"Yes")</f>
        <v>Yes</v>
      </c>
      <c r="W175" s="5" t="str">
        <f ca="1">IFERROR(__xludf.DUMMYFUNCTION("""COMPUTED_VALUE"""),"Yes")</f>
        <v>Yes</v>
      </c>
      <c r="X175" s="5" t="str">
        <f ca="1">IFERROR(__xludf.DUMMYFUNCTION("""COMPUTED_VALUE"""),"Yes")</f>
        <v>Yes</v>
      </c>
      <c r="Y175" s="5" t="str">
        <f ca="1">IFERROR(__xludf.DUMMYFUNCTION("""COMPUTED_VALUE"""),"Yes")</f>
        <v>Yes</v>
      </c>
      <c r="Z175" s="5" t="str">
        <f ca="1">IFERROR(__xludf.DUMMYFUNCTION("""COMPUTED_VALUE"""),"Yes")</f>
        <v>Yes</v>
      </c>
      <c r="AA175" s="5" t="str">
        <f ca="1">IFERROR(__xludf.DUMMYFUNCTION("""COMPUTED_VALUE"""),"Yes")</f>
        <v>Yes</v>
      </c>
      <c r="AB175" s="5" t="str">
        <f ca="1">IFERROR(__xludf.DUMMYFUNCTION("""COMPUTED_VALUE"""),"Yes")</f>
        <v>Yes</v>
      </c>
      <c r="AC175" s="5" t="str">
        <f ca="1">IFERROR(__xludf.DUMMYFUNCTION("""COMPUTED_VALUE"""),"No")</f>
        <v>No</v>
      </c>
    </row>
    <row r="176" spans="1:29" x14ac:dyDescent="0.25">
      <c r="A176" s="5" t="str">
        <f ca="1">IFERROR(__xludf.DUMMYFUNCTION("""COMPUTED_VALUE"""),"WildDice10")</f>
        <v>WildDice10</v>
      </c>
      <c r="B1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6" s="5" t="str">
        <f ca="1">IFERROR(__xludf.DUMMYFUNCTION("""COMPUTED_VALUE"""),"Yes")</f>
        <v>Yes</v>
      </c>
      <c r="D176" s="5" t="str">
        <f ca="1">IFERROR(__xludf.DUMMYFUNCTION("""COMPUTED_VALUE"""),"Yes")</f>
        <v>Yes</v>
      </c>
      <c r="E176" s="5" t="str">
        <f ca="1">IFERROR(__xludf.DUMMYFUNCTION("""COMPUTED_VALUE"""),"Yes")</f>
        <v>Yes</v>
      </c>
      <c r="F176" s="5" t="str">
        <f ca="1">IFERROR(__xludf.DUMMYFUNCTION("""COMPUTED_VALUE"""),"Yes")</f>
        <v>Yes</v>
      </c>
      <c r="G176" s="5" t="str">
        <f ca="1">IFERROR(__xludf.DUMMYFUNCTION("""COMPUTED_VALUE"""),"Yes")</f>
        <v>Yes</v>
      </c>
      <c r="H176" s="5" t="str">
        <f ca="1">IFERROR(__xludf.DUMMYFUNCTION("""COMPUTED_VALUE"""),"Yes")</f>
        <v>Yes</v>
      </c>
      <c r="I176" s="5" t="str">
        <f ca="1">IFERROR(__xludf.DUMMYFUNCTION("""COMPUTED_VALUE"""),"Yes")</f>
        <v>Yes</v>
      </c>
      <c r="J176" s="5" t="str">
        <f ca="1">IFERROR(__xludf.DUMMYFUNCTION("""COMPUTED_VALUE"""),"Yes")</f>
        <v>Yes</v>
      </c>
      <c r="K176" s="5" t="str">
        <f ca="1">IFERROR(__xludf.DUMMYFUNCTION("""COMPUTED_VALUE"""),"Yes")</f>
        <v>Yes</v>
      </c>
      <c r="L176" s="5" t="str">
        <f ca="1">IFERROR(__xludf.DUMMYFUNCTION("""COMPUTED_VALUE"""),"Yes")</f>
        <v>Yes</v>
      </c>
      <c r="M176" s="5" t="str">
        <f ca="1">IFERROR(__xludf.DUMMYFUNCTION("""COMPUTED_VALUE"""),"Yes")</f>
        <v>Yes</v>
      </c>
      <c r="N176" s="5" t="str">
        <f ca="1">IFERROR(__xludf.DUMMYFUNCTION("""COMPUTED_VALUE"""),"Yes")</f>
        <v>Yes</v>
      </c>
      <c r="O176" s="5" t="str">
        <f ca="1">IFERROR(__xludf.DUMMYFUNCTION("""COMPUTED_VALUE"""),"Yes")</f>
        <v>Yes</v>
      </c>
      <c r="P176" s="5" t="str">
        <f ca="1">IFERROR(__xludf.DUMMYFUNCTION("""COMPUTED_VALUE"""),"Yes")</f>
        <v>Yes</v>
      </c>
      <c r="Q176" s="5" t="str">
        <f ca="1">IFERROR(__xludf.DUMMYFUNCTION("""COMPUTED_VALUE"""),"Yes")</f>
        <v>Yes</v>
      </c>
      <c r="R176" s="5" t="str">
        <f ca="1">IFERROR(__xludf.DUMMYFUNCTION("""COMPUTED_VALUE"""),"Yes")</f>
        <v>Yes</v>
      </c>
      <c r="S176" s="5" t="str">
        <f ca="1">IFERROR(__xludf.DUMMYFUNCTION("""COMPUTED_VALUE"""),"Yes")</f>
        <v>Yes</v>
      </c>
      <c r="T176" s="5" t="str">
        <f ca="1">IFERROR(__xludf.DUMMYFUNCTION("""COMPUTED_VALUE"""),"Yes")</f>
        <v>Yes</v>
      </c>
      <c r="U176" s="5" t="str">
        <f ca="1">IFERROR(__xludf.DUMMYFUNCTION("""COMPUTED_VALUE"""),"Yes")</f>
        <v>Yes</v>
      </c>
      <c r="V176" s="5" t="str">
        <f ca="1">IFERROR(__xludf.DUMMYFUNCTION("""COMPUTED_VALUE"""),"Yes")</f>
        <v>Yes</v>
      </c>
      <c r="W176" s="5" t="str">
        <f ca="1">IFERROR(__xludf.DUMMYFUNCTION("""COMPUTED_VALUE"""),"Yes")</f>
        <v>Yes</v>
      </c>
      <c r="X176" s="5" t="str">
        <f ca="1">IFERROR(__xludf.DUMMYFUNCTION("""COMPUTED_VALUE"""),"Yes")</f>
        <v>Yes</v>
      </c>
      <c r="Y176" s="5" t="str">
        <f ca="1">IFERROR(__xludf.DUMMYFUNCTION("""COMPUTED_VALUE"""),"Yes")</f>
        <v>Yes</v>
      </c>
      <c r="Z176" s="5" t="str">
        <f ca="1">IFERROR(__xludf.DUMMYFUNCTION("""COMPUTED_VALUE"""),"Yes")</f>
        <v>Yes</v>
      </c>
      <c r="AA176" s="5" t="str">
        <f ca="1">IFERROR(__xludf.DUMMYFUNCTION("""COMPUTED_VALUE"""),"Yes")</f>
        <v>Yes</v>
      </c>
      <c r="AB176" s="5" t="str">
        <f ca="1">IFERROR(__xludf.DUMMYFUNCTION("""COMPUTED_VALUE"""),"Yes")</f>
        <v>Yes</v>
      </c>
      <c r="AC176" s="5"/>
    </row>
    <row r="177" spans="1:29" x14ac:dyDescent="0.25">
      <c r="A177" s="5" t="str">
        <f ca="1">IFERROR(__xludf.DUMMYFUNCTION("""COMPUTED_VALUE"""),"HeatingFruits")</f>
        <v>HeatingFruits</v>
      </c>
      <c r="B1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7" s="5" t="str">
        <f ca="1">IFERROR(__xludf.DUMMYFUNCTION("""COMPUTED_VALUE"""),"Yes")</f>
        <v>Yes</v>
      </c>
      <c r="D177" s="5" t="str">
        <f ca="1">IFERROR(__xludf.DUMMYFUNCTION("""COMPUTED_VALUE"""),"Yes")</f>
        <v>Yes</v>
      </c>
      <c r="E177" s="5" t="str">
        <f ca="1">IFERROR(__xludf.DUMMYFUNCTION("""COMPUTED_VALUE"""),"Yes")</f>
        <v>Yes</v>
      </c>
      <c r="F177" s="5" t="str">
        <f ca="1">IFERROR(__xludf.DUMMYFUNCTION("""COMPUTED_VALUE"""),"Yes")</f>
        <v>Yes</v>
      </c>
      <c r="G177" s="5" t="str">
        <f ca="1">IFERROR(__xludf.DUMMYFUNCTION("""COMPUTED_VALUE"""),"Yes")</f>
        <v>Yes</v>
      </c>
      <c r="H177" s="5" t="str">
        <f ca="1">IFERROR(__xludf.DUMMYFUNCTION("""COMPUTED_VALUE"""),"Yes")</f>
        <v>Yes</v>
      </c>
      <c r="I177" s="5" t="str">
        <f ca="1">IFERROR(__xludf.DUMMYFUNCTION("""COMPUTED_VALUE"""),"Yes")</f>
        <v>Yes</v>
      </c>
      <c r="J177" s="5" t="str">
        <f ca="1">IFERROR(__xludf.DUMMYFUNCTION("""COMPUTED_VALUE"""),"Yes")</f>
        <v>Yes</v>
      </c>
      <c r="K177" s="5" t="str">
        <f ca="1">IFERROR(__xludf.DUMMYFUNCTION("""COMPUTED_VALUE"""),"Yes")</f>
        <v>Yes</v>
      </c>
      <c r="L177" s="5" t="str">
        <f ca="1">IFERROR(__xludf.DUMMYFUNCTION("""COMPUTED_VALUE"""),"Yes")</f>
        <v>Yes</v>
      </c>
      <c r="M177" s="5" t="str">
        <f ca="1">IFERROR(__xludf.DUMMYFUNCTION("""COMPUTED_VALUE"""),"Yes")</f>
        <v>Yes</v>
      </c>
      <c r="N177" s="5" t="str">
        <f ca="1">IFERROR(__xludf.DUMMYFUNCTION("""COMPUTED_VALUE"""),"Yes")</f>
        <v>Yes</v>
      </c>
      <c r="O177" s="5" t="str">
        <f ca="1">IFERROR(__xludf.DUMMYFUNCTION("""COMPUTED_VALUE"""),"Yes")</f>
        <v>Yes</v>
      </c>
      <c r="P177" s="5" t="str">
        <f ca="1">IFERROR(__xludf.DUMMYFUNCTION("""COMPUTED_VALUE"""),"Yes")</f>
        <v>Yes</v>
      </c>
      <c r="Q177" s="5" t="str">
        <f ca="1">IFERROR(__xludf.DUMMYFUNCTION("""COMPUTED_VALUE"""),"Yes")</f>
        <v>Yes</v>
      </c>
      <c r="R177" s="5" t="str">
        <f ca="1">IFERROR(__xludf.DUMMYFUNCTION("""COMPUTED_VALUE"""),"Yes")</f>
        <v>Yes</v>
      </c>
      <c r="S177" s="5" t="str">
        <f ca="1">IFERROR(__xludf.DUMMYFUNCTION("""COMPUTED_VALUE"""),"Yes")</f>
        <v>Yes</v>
      </c>
      <c r="T177" s="5" t="str">
        <f ca="1">IFERROR(__xludf.DUMMYFUNCTION("""COMPUTED_VALUE"""),"Yes")</f>
        <v>Yes</v>
      </c>
      <c r="U177" s="5" t="str">
        <f ca="1">IFERROR(__xludf.DUMMYFUNCTION("""COMPUTED_VALUE"""),"Yes")</f>
        <v>Yes</v>
      </c>
      <c r="V177" s="5" t="str">
        <f ca="1">IFERROR(__xludf.DUMMYFUNCTION("""COMPUTED_VALUE"""),"Yes")</f>
        <v>Yes</v>
      </c>
      <c r="W177" s="5" t="str">
        <f ca="1">IFERROR(__xludf.DUMMYFUNCTION("""COMPUTED_VALUE"""),"Yes")</f>
        <v>Yes</v>
      </c>
      <c r="X177" s="5" t="str">
        <f ca="1">IFERROR(__xludf.DUMMYFUNCTION("""COMPUTED_VALUE"""),"Yes")</f>
        <v>Yes</v>
      </c>
      <c r="Y177" s="5" t="str">
        <f ca="1">IFERROR(__xludf.DUMMYFUNCTION("""COMPUTED_VALUE"""),"Yes")</f>
        <v>Yes</v>
      </c>
      <c r="Z177" s="5" t="str">
        <f ca="1">IFERROR(__xludf.DUMMYFUNCTION("""COMPUTED_VALUE"""),"Yes")</f>
        <v>Yes</v>
      </c>
      <c r="AA177" s="5" t="str">
        <f ca="1">IFERROR(__xludf.DUMMYFUNCTION("""COMPUTED_VALUE"""),"Yes")</f>
        <v>Yes</v>
      </c>
      <c r="AB177" s="5" t="str">
        <f ca="1">IFERROR(__xludf.DUMMYFUNCTION("""COMPUTED_VALUE"""),"Yes")</f>
        <v>Yes</v>
      </c>
      <c r="AC177" s="5" t="str">
        <f ca="1">IFERROR(__xludf.DUMMYFUNCTION("""COMPUTED_VALUE"""),"No")</f>
        <v>No</v>
      </c>
    </row>
    <row r="178" spans="1:29" x14ac:dyDescent="0.25">
      <c r="A178" s="5" t="str">
        <f ca="1">IFERROR(__xludf.DUMMYFUNCTION("""COMPUTED_VALUE"""),"ExtraFlames10")</f>
        <v>ExtraFlames10</v>
      </c>
      <c r="B1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8" s="5" t="str">
        <f ca="1">IFERROR(__xludf.DUMMYFUNCTION("""COMPUTED_VALUE"""),"Yes")</f>
        <v>Yes</v>
      </c>
      <c r="D178" s="5" t="str">
        <f ca="1">IFERROR(__xludf.DUMMYFUNCTION("""COMPUTED_VALUE"""),"Yes")</f>
        <v>Yes</v>
      </c>
      <c r="E178" s="5" t="str">
        <f ca="1">IFERROR(__xludf.DUMMYFUNCTION("""COMPUTED_VALUE"""),"Yes")</f>
        <v>Yes</v>
      </c>
      <c r="F178" s="5" t="str">
        <f ca="1">IFERROR(__xludf.DUMMYFUNCTION("""COMPUTED_VALUE"""),"Yes")</f>
        <v>Yes</v>
      </c>
      <c r="G178" s="5" t="str">
        <f ca="1">IFERROR(__xludf.DUMMYFUNCTION("""COMPUTED_VALUE"""),"Yes")</f>
        <v>Yes</v>
      </c>
      <c r="H178" s="5" t="str">
        <f ca="1">IFERROR(__xludf.DUMMYFUNCTION("""COMPUTED_VALUE"""),"Yes")</f>
        <v>Yes</v>
      </c>
      <c r="I178" s="5" t="str">
        <f ca="1">IFERROR(__xludf.DUMMYFUNCTION("""COMPUTED_VALUE"""),"Yes")</f>
        <v>Yes</v>
      </c>
      <c r="J178" s="5" t="str">
        <f ca="1">IFERROR(__xludf.DUMMYFUNCTION("""COMPUTED_VALUE"""),"Yes")</f>
        <v>Yes</v>
      </c>
      <c r="K178" s="5" t="str">
        <f ca="1">IFERROR(__xludf.DUMMYFUNCTION("""COMPUTED_VALUE"""),"Yes")</f>
        <v>Yes</v>
      </c>
      <c r="L178" s="5" t="str">
        <f ca="1">IFERROR(__xludf.DUMMYFUNCTION("""COMPUTED_VALUE"""),"Yes")</f>
        <v>Yes</v>
      </c>
      <c r="M178" s="5" t="str">
        <f ca="1">IFERROR(__xludf.DUMMYFUNCTION("""COMPUTED_VALUE"""),"Yes")</f>
        <v>Yes</v>
      </c>
      <c r="N178" s="5" t="str">
        <f ca="1">IFERROR(__xludf.DUMMYFUNCTION("""COMPUTED_VALUE"""),"Yes")</f>
        <v>Yes</v>
      </c>
      <c r="O178" s="5" t="str">
        <f ca="1">IFERROR(__xludf.DUMMYFUNCTION("""COMPUTED_VALUE"""),"Yes")</f>
        <v>Yes</v>
      </c>
      <c r="P178" s="5" t="str">
        <f ca="1">IFERROR(__xludf.DUMMYFUNCTION("""COMPUTED_VALUE"""),"Yes")</f>
        <v>Yes</v>
      </c>
      <c r="Q178" s="5" t="str">
        <f ca="1">IFERROR(__xludf.DUMMYFUNCTION("""COMPUTED_VALUE"""),"Yes")</f>
        <v>Yes</v>
      </c>
      <c r="R178" s="5" t="str">
        <f ca="1">IFERROR(__xludf.DUMMYFUNCTION("""COMPUTED_VALUE"""),"Yes")</f>
        <v>Yes</v>
      </c>
      <c r="S178" s="5" t="str">
        <f ca="1">IFERROR(__xludf.DUMMYFUNCTION("""COMPUTED_VALUE"""),"Yes")</f>
        <v>Yes</v>
      </c>
      <c r="T178" s="5" t="str">
        <f ca="1">IFERROR(__xludf.DUMMYFUNCTION("""COMPUTED_VALUE"""),"Yes")</f>
        <v>Yes</v>
      </c>
      <c r="U178" s="5" t="str">
        <f ca="1">IFERROR(__xludf.DUMMYFUNCTION("""COMPUTED_VALUE"""),"Yes")</f>
        <v>Yes</v>
      </c>
      <c r="V178" s="5" t="str">
        <f ca="1">IFERROR(__xludf.DUMMYFUNCTION("""COMPUTED_VALUE"""),"Yes")</f>
        <v>Yes</v>
      </c>
      <c r="W178" s="5" t="str">
        <f ca="1">IFERROR(__xludf.DUMMYFUNCTION("""COMPUTED_VALUE"""),"Yes")</f>
        <v>Yes</v>
      </c>
      <c r="X178" s="5" t="str">
        <f ca="1">IFERROR(__xludf.DUMMYFUNCTION("""COMPUTED_VALUE"""),"Yes")</f>
        <v>Yes</v>
      </c>
      <c r="Y178" s="5" t="str">
        <f ca="1">IFERROR(__xludf.DUMMYFUNCTION("""COMPUTED_VALUE"""),"Yes")</f>
        <v>Yes</v>
      </c>
      <c r="Z178" s="5" t="str">
        <f ca="1">IFERROR(__xludf.DUMMYFUNCTION("""COMPUTED_VALUE"""),"Yes")</f>
        <v>Yes</v>
      </c>
      <c r="AA178" s="5" t="str">
        <f ca="1">IFERROR(__xludf.DUMMYFUNCTION("""COMPUTED_VALUE"""),"Yes")</f>
        <v>Yes</v>
      </c>
      <c r="AB178" s="5" t="str">
        <f ca="1">IFERROR(__xludf.DUMMYFUNCTION("""COMPUTED_VALUE"""),"Yes")</f>
        <v>Yes</v>
      </c>
      <c r="AC178" s="5"/>
    </row>
    <row r="179" spans="1:29" x14ac:dyDescent="0.25">
      <c r="A179" s="5" t="str">
        <f ca="1">IFERROR(__xludf.DUMMYFUNCTION("""COMPUTED_VALUE"""),"BookOfIbis")</f>
        <v>BookOfIbis</v>
      </c>
      <c r="B1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9" s="5" t="str">
        <f ca="1">IFERROR(__xludf.DUMMYFUNCTION("""COMPUTED_VALUE"""),"Yes")</f>
        <v>Yes</v>
      </c>
      <c r="D179" s="5" t="str">
        <f ca="1">IFERROR(__xludf.DUMMYFUNCTION("""COMPUTED_VALUE"""),"Yes")</f>
        <v>Yes</v>
      </c>
      <c r="E179" s="5" t="str">
        <f ca="1">IFERROR(__xludf.DUMMYFUNCTION("""COMPUTED_VALUE"""),"Yes")</f>
        <v>Yes</v>
      </c>
      <c r="F179" s="5" t="str">
        <f ca="1">IFERROR(__xludf.DUMMYFUNCTION("""COMPUTED_VALUE"""),"Yes")</f>
        <v>Yes</v>
      </c>
      <c r="G179" s="5" t="str">
        <f ca="1">IFERROR(__xludf.DUMMYFUNCTION("""COMPUTED_VALUE"""),"Yes")</f>
        <v>Yes</v>
      </c>
      <c r="H179" s="5" t="str">
        <f ca="1">IFERROR(__xludf.DUMMYFUNCTION("""COMPUTED_VALUE"""),"Yes")</f>
        <v>Yes</v>
      </c>
      <c r="I179" s="5" t="str">
        <f ca="1">IFERROR(__xludf.DUMMYFUNCTION("""COMPUTED_VALUE"""),"Yes")</f>
        <v>Yes</v>
      </c>
      <c r="J179" s="5" t="str">
        <f ca="1">IFERROR(__xludf.DUMMYFUNCTION("""COMPUTED_VALUE"""),"Yes")</f>
        <v>Yes</v>
      </c>
      <c r="K179" s="5" t="str">
        <f ca="1">IFERROR(__xludf.DUMMYFUNCTION("""COMPUTED_VALUE"""),"Yes")</f>
        <v>Yes</v>
      </c>
      <c r="L179" s="5" t="str">
        <f ca="1">IFERROR(__xludf.DUMMYFUNCTION("""COMPUTED_VALUE"""),"Yes")</f>
        <v>Yes</v>
      </c>
      <c r="M179" s="5" t="str">
        <f ca="1">IFERROR(__xludf.DUMMYFUNCTION("""COMPUTED_VALUE"""),"Yes")</f>
        <v>Yes</v>
      </c>
      <c r="N179" s="5" t="str">
        <f ca="1">IFERROR(__xludf.DUMMYFUNCTION("""COMPUTED_VALUE"""),"Yes")</f>
        <v>Yes</v>
      </c>
      <c r="O179" s="5" t="str">
        <f ca="1">IFERROR(__xludf.DUMMYFUNCTION("""COMPUTED_VALUE"""),"Yes")</f>
        <v>Yes</v>
      </c>
      <c r="P179" s="5" t="str">
        <f ca="1">IFERROR(__xludf.DUMMYFUNCTION("""COMPUTED_VALUE"""),"Yes")</f>
        <v>Yes</v>
      </c>
      <c r="Q179" s="5" t="str">
        <f ca="1">IFERROR(__xludf.DUMMYFUNCTION("""COMPUTED_VALUE"""),"Yes")</f>
        <v>Yes</v>
      </c>
      <c r="R179" s="5" t="str">
        <f ca="1">IFERROR(__xludf.DUMMYFUNCTION("""COMPUTED_VALUE"""),"Yes")</f>
        <v>Yes</v>
      </c>
      <c r="S179" s="5" t="str">
        <f ca="1">IFERROR(__xludf.DUMMYFUNCTION("""COMPUTED_VALUE"""),"Yes")</f>
        <v>Yes</v>
      </c>
      <c r="T179" s="5" t="str">
        <f ca="1">IFERROR(__xludf.DUMMYFUNCTION("""COMPUTED_VALUE"""),"Yes")</f>
        <v>Yes</v>
      </c>
      <c r="U179" s="5" t="str">
        <f ca="1">IFERROR(__xludf.DUMMYFUNCTION("""COMPUTED_VALUE"""),"Yes")</f>
        <v>Yes</v>
      </c>
      <c r="V179" s="5" t="str">
        <f ca="1">IFERROR(__xludf.DUMMYFUNCTION("""COMPUTED_VALUE"""),"Yes")</f>
        <v>Yes</v>
      </c>
      <c r="W179" s="5"/>
      <c r="X179" s="5"/>
      <c r="Y179" s="5"/>
      <c r="Z179" s="5" t="str">
        <f ca="1">IFERROR(__xludf.DUMMYFUNCTION("""COMPUTED_VALUE"""),"Yes")</f>
        <v>Yes</v>
      </c>
      <c r="AA179" s="5"/>
      <c r="AB179" s="5"/>
      <c r="AC179" s="5"/>
    </row>
    <row r="180" spans="1:29" x14ac:dyDescent="0.25">
      <c r="A180" s="5" t="str">
        <f ca="1">IFERROR(__xludf.DUMMYFUNCTION("""COMPUTED_VALUE"""),"CloverCoin")</f>
        <v>CloverCoin</v>
      </c>
      <c r="B18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80" s="5" t="str">
        <f ca="1">IFERROR(__xludf.DUMMYFUNCTION("""COMPUTED_VALUE"""),"Yes")</f>
        <v>Yes</v>
      </c>
      <c r="D180" s="5" t="str">
        <f ca="1">IFERROR(__xludf.DUMMYFUNCTION("""COMPUTED_VALUE"""),"Yes")</f>
        <v>Yes</v>
      </c>
      <c r="E180" s="5" t="str">
        <f ca="1">IFERROR(__xludf.DUMMYFUNCTION("""COMPUTED_VALUE"""),"No")</f>
        <v>No</v>
      </c>
      <c r="F180" s="5" t="str">
        <f ca="1">IFERROR(__xludf.DUMMYFUNCTION("""COMPUTED_VALUE"""),"Yes")</f>
        <v>Yes</v>
      </c>
      <c r="G180" s="5" t="str">
        <f ca="1">IFERROR(__xludf.DUMMYFUNCTION("""COMPUTED_VALUE"""),"Yes")</f>
        <v>Yes</v>
      </c>
      <c r="H180" s="5" t="str">
        <f ca="1">IFERROR(__xludf.DUMMYFUNCTION("""COMPUTED_VALUE"""),"Yes")</f>
        <v>Yes</v>
      </c>
      <c r="I180" s="5" t="str">
        <f ca="1">IFERROR(__xludf.DUMMYFUNCTION("""COMPUTED_VALUE"""),"Yes")</f>
        <v>Yes</v>
      </c>
      <c r="J180" s="5" t="str">
        <f ca="1">IFERROR(__xludf.DUMMYFUNCTION("""COMPUTED_VALUE"""),"Yes")</f>
        <v>Yes</v>
      </c>
      <c r="K180" s="5" t="str">
        <f ca="1">IFERROR(__xludf.DUMMYFUNCTION("""COMPUTED_VALUE"""),"Yes")</f>
        <v>Yes</v>
      </c>
      <c r="L180" s="5" t="str">
        <f ca="1">IFERROR(__xludf.DUMMYFUNCTION("""COMPUTED_VALUE"""),"Yes")</f>
        <v>Yes</v>
      </c>
      <c r="M180" s="5" t="str">
        <f ca="1">IFERROR(__xludf.DUMMYFUNCTION("""COMPUTED_VALUE"""),"Yes")</f>
        <v>Yes</v>
      </c>
      <c r="N180" s="5" t="str">
        <f ca="1">IFERROR(__xludf.DUMMYFUNCTION("""COMPUTED_VALUE"""),"Yes")</f>
        <v>Yes</v>
      </c>
      <c r="O180" s="5" t="str">
        <f ca="1">IFERROR(__xludf.DUMMYFUNCTION("""COMPUTED_VALUE"""),"Yes")</f>
        <v>Yes</v>
      </c>
      <c r="P180" s="5" t="str">
        <f ca="1">IFERROR(__xludf.DUMMYFUNCTION("""COMPUTED_VALUE"""),"Yes")</f>
        <v>Yes</v>
      </c>
      <c r="Q180" s="5" t="str">
        <f ca="1">IFERROR(__xludf.DUMMYFUNCTION("""COMPUTED_VALUE"""),"Yes")</f>
        <v>Yes</v>
      </c>
      <c r="R180" s="5" t="str">
        <f ca="1">IFERROR(__xludf.DUMMYFUNCTION("""COMPUTED_VALUE"""),"No")</f>
        <v>No</v>
      </c>
      <c r="S180" s="5" t="str">
        <f ca="1">IFERROR(__xludf.DUMMYFUNCTION("""COMPUTED_VALUE"""),"No")</f>
        <v>No</v>
      </c>
      <c r="T180" s="5" t="str">
        <f ca="1">IFERROR(__xludf.DUMMYFUNCTION("""COMPUTED_VALUE"""),"No")</f>
        <v>No</v>
      </c>
      <c r="U180" s="5" t="str">
        <f ca="1">IFERROR(__xludf.DUMMYFUNCTION("""COMPUTED_VALUE"""),"No")</f>
        <v>No</v>
      </c>
      <c r="V180" s="5" t="str">
        <f ca="1">IFERROR(__xludf.DUMMYFUNCTION("""COMPUTED_VALUE"""),"No")</f>
        <v>No</v>
      </c>
      <c r="W180" s="5" t="str">
        <f ca="1">IFERROR(__xludf.DUMMYFUNCTION("""COMPUTED_VALUE"""),"No")</f>
        <v>No</v>
      </c>
      <c r="X180" s="5" t="str">
        <f ca="1">IFERROR(__xludf.DUMMYFUNCTION("""COMPUTED_VALUE"""),"No")</f>
        <v>No</v>
      </c>
      <c r="Y180" s="5" t="str">
        <f ca="1">IFERROR(__xludf.DUMMYFUNCTION("""COMPUTED_VALUE"""),"No")</f>
        <v>No</v>
      </c>
      <c r="Z180" s="5" t="str">
        <f ca="1">IFERROR(__xludf.DUMMYFUNCTION("""COMPUTED_VALUE"""),"No")</f>
        <v>No</v>
      </c>
      <c r="AA180" s="5" t="str">
        <f ca="1">IFERROR(__xludf.DUMMYFUNCTION("""COMPUTED_VALUE"""),"No")</f>
        <v>No</v>
      </c>
      <c r="AB180" s="5" t="str">
        <f ca="1">IFERROR(__xludf.DUMMYFUNCTION("""COMPUTED_VALUE"""),"Yes")</f>
        <v>Yes</v>
      </c>
      <c r="AC180" s="5" t="str">
        <f ca="1">IFERROR(__xludf.DUMMYFUNCTION("""COMPUTED_VALUE"""),"No")</f>
        <v>No</v>
      </c>
    </row>
    <row r="181" spans="1:29" x14ac:dyDescent="0.25">
      <c r="A181" s="5" t="str">
        <f ca="1">IFERROR(__xludf.DUMMYFUNCTION("""COMPUTED_VALUE"""),"AdmiralHot5")</f>
        <v>AdmiralHot5</v>
      </c>
      <c r="B1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1" s="5" t="str">
        <f ca="1">IFERROR(__xludf.DUMMYFUNCTION("""COMPUTED_VALUE"""),"Yes")</f>
        <v>Yes</v>
      </c>
      <c r="D181" s="5" t="str">
        <f ca="1">IFERROR(__xludf.DUMMYFUNCTION("""COMPUTED_VALUE"""),"Yes")</f>
        <v>Yes</v>
      </c>
      <c r="E181" s="5" t="str">
        <f ca="1">IFERROR(__xludf.DUMMYFUNCTION("""COMPUTED_VALUE"""),"Yes")</f>
        <v>Yes</v>
      </c>
      <c r="F181" s="5" t="str">
        <f ca="1">IFERROR(__xludf.DUMMYFUNCTION("""COMPUTED_VALUE"""),"Yes")</f>
        <v>Yes</v>
      </c>
      <c r="G181" s="5" t="str">
        <f ca="1">IFERROR(__xludf.DUMMYFUNCTION("""COMPUTED_VALUE"""),"Yes")</f>
        <v>Yes</v>
      </c>
      <c r="H181" s="5" t="str">
        <f ca="1">IFERROR(__xludf.DUMMYFUNCTION("""COMPUTED_VALUE"""),"Yes")</f>
        <v>Yes</v>
      </c>
      <c r="I181" s="5" t="str">
        <f ca="1">IFERROR(__xludf.DUMMYFUNCTION("""COMPUTED_VALUE"""),"Yes")</f>
        <v>Yes</v>
      </c>
      <c r="J181" s="5" t="str">
        <f ca="1">IFERROR(__xludf.DUMMYFUNCTION("""COMPUTED_VALUE"""),"Yes")</f>
        <v>Yes</v>
      </c>
      <c r="K181" s="5" t="str">
        <f ca="1">IFERROR(__xludf.DUMMYFUNCTION("""COMPUTED_VALUE"""),"Yes")</f>
        <v>Yes</v>
      </c>
      <c r="L181" s="5" t="str">
        <f ca="1">IFERROR(__xludf.DUMMYFUNCTION("""COMPUTED_VALUE"""),"Yes")</f>
        <v>Yes</v>
      </c>
      <c r="M181" s="5" t="str">
        <f ca="1">IFERROR(__xludf.DUMMYFUNCTION("""COMPUTED_VALUE"""),"Yes")</f>
        <v>Yes</v>
      </c>
      <c r="N181" s="5" t="str">
        <f ca="1">IFERROR(__xludf.DUMMYFUNCTION("""COMPUTED_VALUE"""),"Yes")</f>
        <v>Yes</v>
      </c>
      <c r="O181" s="5" t="str">
        <f ca="1">IFERROR(__xludf.DUMMYFUNCTION("""COMPUTED_VALUE"""),"Yes")</f>
        <v>Yes</v>
      </c>
      <c r="P181" s="5" t="str">
        <f ca="1">IFERROR(__xludf.DUMMYFUNCTION("""COMPUTED_VALUE"""),"Yes")</f>
        <v>Yes</v>
      </c>
      <c r="Q181" s="5" t="str">
        <f ca="1">IFERROR(__xludf.DUMMYFUNCTION("""COMPUTED_VALUE"""),"Yes")</f>
        <v>Yes</v>
      </c>
      <c r="R181" s="5" t="str">
        <f ca="1">IFERROR(__xludf.DUMMYFUNCTION("""COMPUTED_VALUE"""),"Yes")</f>
        <v>Yes</v>
      </c>
      <c r="S181" s="5" t="str">
        <f ca="1">IFERROR(__xludf.DUMMYFUNCTION("""COMPUTED_VALUE"""),"Yes")</f>
        <v>Yes</v>
      </c>
      <c r="T181" s="5" t="str">
        <f ca="1">IFERROR(__xludf.DUMMYFUNCTION("""COMPUTED_VALUE"""),"Yes")</f>
        <v>Yes</v>
      </c>
      <c r="U181" s="5" t="str">
        <f ca="1">IFERROR(__xludf.DUMMYFUNCTION("""COMPUTED_VALUE"""),"Yes")</f>
        <v>Yes</v>
      </c>
      <c r="V181" s="5" t="str">
        <f ca="1">IFERROR(__xludf.DUMMYFUNCTION("""COMPUTED_VALUE"""),"Yes")</f>
        <v>Yes</v>
      </c>
      <c r="W181" s="5" t="str">
        <f ca="1">IFERROR(__xludf.DUMMYFUNCTION("""COMPUTED_VALUE"""),"Yes")</f>
        <v>Yes</v>
      </c>
      <c r="X181" s="5" t="str">
        <f ca="1">IFERROR(__xludf.DUMMYFUNCTION("""COMPUTED_VALUE"""),"Yes")</f>
        <v>Yes</v>
      </c>
      <c r="Y181" s="5" t="str">
        <f ca="1">IFERROR(__xludf.DUMMYFUNCTION("""COMPUTED_VALUE"""),"Yes")</f>
        <v>Yes</v>
      </c>
      <c r="Z181" s="5" t="str">
        <f ca="1">IFERROR(__xludf.DUMMYFUNCTION("""COMPUTED_VALUE"""),"Yes")</f>
        <v>Yes</v>
      </c>
      <c r="AA181" s="5" t="str">
        <f ca="1">IFERROR(__xludf.DUMMYFUNCTION("""COMPUTED_VALUE"""),"Yes")</f>
        <v>Yes</v>
      </c>
      <c r="AB181" s="5" t="str">
        <f ca="1">IFERROR(__xludf.DUMMYFUNCTION("""COMPUTED_VALUE"""),"Yes")</f>
        <v>Yes</v>
      </c>
      <c r="AC181" s="5" t="str">
        <f ca="1">IFERROR(__xludf.DUMMYFUNCTION("""COMPUTED_VALUE"""),"No")</f>
        <v>No</v>
      </c>
    </row>
    <row r="182" spans="1:29" x14ac:dyDescent="0.25">
      <c r="A182" s="5" t="str">
        <f ca="1">IFERROR(__xludf.DUMMYFUNCTION("""COMPUTED_VALUE"""),"ArenaHot40")</f>
        <v>ArenaHot40</v>
      </c>
      <c r="B1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2" s="5" t="str">
        <f ca="1">IFERROR(__xludf.DUMMYFUNCTION("""COMPUTED_VALUE"""),"Yes")</f>
        <v>Yes</v>
      </c>
      <c r="D182" s="5" t="str">
        <f ca="1">IFERROR(__xludf.DUMMYFUNCTION("""COMPUTED_VALUE"""),"Yes")</f>
        <v>Yes</v>
      </c>
      <c r="E182" s="5" t="str">
        <f ca="1">IFERROR(__xludf.DUMMYFUNCTION("""COMPUTED_VALUE"""),"Yes")</f>
        <v>Yes</v>
      </c>
      <c r="F182" s="5" t="str">
        <f ca="1">IFERROR(__xludf.DUMMYFUNCTION("""COMPUTED_VALUE"""),"Yes")</f>
        <v>Yes</v>
      </c>
      <c r="G182" s="5" t="str">
        <f ca="1">IFERROR(__xludf.DUMMYFUNCTION("""COMPUTED_VALUE"""),"Yes")</f>
        <v>Yes</v>
      </c>
      <c r="H182" s="5" t="str">
        <f ca="1">IFERROR(__xludf.DUMMYFUNCTION("""COMPUTED_VALUE"""),"Yes")</f>
        <v>Yes</v>
      </c>
      <c r="I182" s="5" t="str">
        <f ca="1">IFERROR(__xludf.DUMMYFUNCTION("""COMPUTED_VALUE"""),"Yes")</f>
        <v>Yes</v>
      </c>
      <c r="J182" s="5" t="str">
        <f ca="1">IFERROR(__xludf.DUMMYFUNCTION("""COMPUTED_VALUE"""),"Yes")</f>
        <v>Yes</v>
      </c>
      <c r="K182" s="5" t="str">
        <f ca="1">IFERROR(__xludf.DUMMYFUNCTION("""COMPUTED_VALUE"""),"Yes")</f>
        <v>Yes</v>
      </c>
      <c r="L182" s="5" t="str">
        <f ca="1">IFERROR(__xludf.DUMMYFUNCTION("""COMPUTED_VALUE"""),"Yes")</f>
        <v>Yes</v>
      </c>
      <c r="M182" s="5" t="str">
        <f ca="1">IFERROR(__xludf.DUMMYFUNCTION("""COMPUTED_VALUE"""),"Yes")</f>
        <v>Yes</v>
      </c>
      <c r="N182" s="5" t="str">
        <f ca="1">IFERROR(__xludf.DUMMYFUNCTION("""COMPUTED_VALUE"""),"Yes")</f>
        <v>Yes</v>
      </c>
      <c r="O182" s="5" t="str">
        <f ca="1">IFERROR(__xludf.DUMMYFUNCTION("""COMPUTED_VALUE"""),"Yes")</f>
        <v>Yes</v>
      </c>
      <c r="P182" s="5" t="str">
        <f ca="1">IFERROR(__xludf.DUMMYFUNCTION("""COMPUTED_VALUE"""),"Yes")</f>
        <v>Yes</v>
      </c>
      <c r="Q182" s="5" t="str">
        <f ca="1">IFERROR(__xludf.DUMMYFUNCTION("""COMPUTED_VALUE"""),"Yes")</f>
        <v>Yes</v>
      </c>
      <c r="R182" s="5" t="str">
        <f ca="1">IFERROR(__xludf.DUMMYFUNCTION("""COMPUTED_VALUE"""),"Yes")</f>
        <v>Yes</v>
      </c>
      <c r="S182" s="5" t="str">
        <f ca="1">IFERROR(__xludf.DUMMYFUNCTION("""COMPUTED_VALUE"""),"Yes")</f>
        <v>Yes</v>
      </c>
      <c r="T182" s="5" t="str">
        <f ca="1">IFERROR(__xludf.DUMMYFUNCTION("""COMPUTED_VALUE"""),"Yes")</f>
        <v>Yes</v>
      </c>
      <c r="U182" s="5" t="str">
        <f ca="1">IFERROR(__xludf.DUMMYFUNCTION("""COMPUTED_VALUE"""),"Yes")</f>
        <v>Yes</v>
      </c>
      <c r="V182" s="5" t="str">
        <f ca="1">IFERROR(__xludf.DUMMYFUNCTION("""COMPUTED_VALUE"""),"Yes")</f>
        <v>Yes</v>
      </c>
      <c r="W182" s="5" t="str">
        <f ca="1">IFERROR(__xludf.DUMMYFUNCTION("""COMPUTED_VALUE"""),"Yes")</f>
        <v>Yes</v>
      </c>
      <c r="X182" s="5" t="str">
        <f ca="1">IFERROR(__xludf.DUMMYFUNCTION("""COMPUTED_VALUE"""),"Yes")</f>
        <v>Yes</v>
      </c>
      <c r="Y182" s="5" t="str">
        <f ca="1">IFERROR(__xludf.DUMMYFUNCTION("""COMPUTED_VALUE"""),"Yes")</f>
        <v>Yes</v>
      </c>
      <c r="Z182" s="5" t="str">
        <f ca="1">IFERROR(__xludf.DUMMYFUNCTION("""COMPUTED_VALUE"""),"Yes")</f>
        <v>Yes</v>
      </c>
      <c r="AA182" s="5" t="str">
        <f ca="1">IFERROR(__xludf.DUMMYFUNCTION("""COMPUTED_VALUE"""),"Yes")</f>
        <v>Yes</v>
      </c>
      <c r="AB182" s="5" t="str">
        <f ca="1">IFERROR(__xludf.DUMMYFUNCTION("""COMPUTED_VALUE"""),"Yes")</f>
        <v>Yes</v>
      </c>
      <c r="AC182" s="5" t="str">
        <f ca="1">IFERROR(__xludf.DUMMYFUNCTION("""COMPUTED_VALUE"""),"No")</f>
        <v>No</v>
      </c>
    </row>
    <row r="183" spans="1:29" x14ac:dyDescent="0.25">
      <c r="A183" s="5" t="str">
        <f ca="1">IFERROR(__xludf.DUMMYFUNCTION("""COMPUTED_VALUE"""),"GermaniaHot40")</f>
        <v>GermaniaHot40</v>
      </c>
      <c r="B1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3" s="5" t="str">
        <f ca="1">IFERROR(__xludf.DUMMYFUNCTION("""COMPUTED_VALUE"""),"Yes")</f>
        <v>Yes</v>
      </c>
      <c r="D183" s="5" t="str">
        <f ca="1">IFERROR(__xludf.DUMMYFUNCTION("""COMPUTED_VALUE"""),"Yes")</f>
        <v>Yes</v>
      </c>
      <c r="E183" s="5" t="str">
        <f ca="1">IFERROR(__xludf.DUMMYFUNCTION("""COMPUTED_VALUE"""),"Yes")</f>
        <v>Yes</v>
      </c>
      <c r="F183" s="5" t="str">
        <f ca="1">IFERROR(__xludf.DUMMYFUNCTION("""COMPUTED_VALUE"""),"Yes")</f>
        <v>Yes</v>
      </c>
      <c r="G183" s="5" t="str">
        <f ca="1">IFERROR(__xludf.DUMMYFUNCTION("""COMPUTED_VALUE"""),"Yes")</f>
        <v>Yes</v>
      </c>
      <c r="H183" s="5" t="str">
        <f ca="1">IFERROR(__xludf.DUMMYFUNCTION("""COMPUTED_VALUE"""),"Yes")</f>
        <v>Yes</v>
      </c>
      <c r="I183" s="5" t="str">
        <f ca="1">IFERROR(__xludf.DUMMYFUNCTION("""COMPUTED_VALUE"""),"Yes")</f>
        <v>Yes</v>
      </c>
      <c r="J183" s="5" t="str">
        <f ca="1">IFERROR(__xludf.DUMMYFUNCTION("""COMPUTED_VALUE"""),"Yes")</f>
        <v>Yes</v>
      </c>
      <c r="K183" s="5" t="str">
        <f ca="1">IFERROR(__xludf.DUMMYFUNCTION("""COMPUTED_VALUE"""),"Yes")</f>
        <v>Yes</v>
      </c>
      <c r="L183" s="5" t="str">
        <f ca="1">IFERROR(__xludf.DUMMYFUNCTION("""COMPUTED_VALUE"""),"Yes")</f>
        <v>Yes</v>
      </c>
      <c r="M183" s="5" t="str">
        <f ca="1">IFERROR(__xludf.DUMMYFUNCTION("""COMPUTED_VALUE"""),"Yes")</f>
        <v>Yes</v>
      </c>
      <c r="N183" s="5" t="str">
        <f ca="1">IFERROR(__xludf.DUMMYFUNCTION("""COMPUTED_VALUE"""),"Yes")</f>
        <v>Yes</v>
      </c>
      <c r="O183" s="5" t="str">
        <f ca="1">IFERROR(__xludf.DUMMYFUNCTION("""COMPUTED_VALUE"""),"Yes")</f>
        <v>Yes</v>
      </c>
      <c r="P183" s="5" t="str">
        <f ca="1">IFERROR(__xludf.DUMMYFUNCTION("""COMPUTED_VALUE"""),"Yes")</f>
        <v>Yes</v>
      </c>
      <c r="Q183" s="5" t="str">
        <f ca="1">IFERROR(__xludf.DUMMYFUNCTION("""COMPUTED_VALUE"""),"Yes")</f>
        <v>Yes</v>
      </c>
      <c r="R183" s="5" t="str">
        <f ca="1">IFERROR(__xludf.DUMMYFUNCTION("""COMPUTED_VALUE"""),"Yes")</f>
        <v>Yes</v>
      </c>
      <c r="S183" s="5" t="str">
        <f ca="1">IFERROR(__xludf.DUMMYFUNCTION("""COMPUTED_VALUE"""),"Yes")</f>
        <v>Yes</v>
      </c>
      <c r="T183" s="5" t="str">
        <f ca="1">IFERROR(__xludf.DUMMYFUNCTION("""COMPUTED_VALUE"""),"Yes")</f>
        <v>Yes</v>
      </c>
      <c r="U183" s="5" t="str">
        <f ca="1">IFERROR(__xludf.DUMMYFUNCTION("""COMPUTED_VALUE"""),"Yes")</f>
        <v>Yes</v>
      </c>
      <c r="V183" s="5" t="str">
        <f ca="1">IFERROR(__xludf.DUMMYFUNCTION("""COMPUTED_VALUE"""),"Yes")</f>
        <v>Yes</v>
      </c>
      <c r="W183" s="5" t="str">
        <f ca="1">IFERROR(__xludf.DUMMYFUNCTION("""COMPUTED_VALUE"""),"Yes")</f>
        <v>Yes</v>
      </c>
      <c r="X183" s="5" t="str">
        <f ca="1">IFERROR(__xludf.DUMMYFUNCTION("""COMPUTED_VALUE"""),"Yes")</f>
        <v>Yes</v>
      </c>
      <c r="Y183" s="5" t="str">
        <f ca="1">IFERROR(__xludf.DUMMYFUNCTION("""COMPUTED_VALUE"""),"Yes")</f>
        <v>Yes</v>
      </c>
      <c r="Z183" s="5" t="str">
        <f ca="1">IFERROR(__xludf.DUMMYFUNCTION("""COMPUTED_VALUE"""),"Yes")</f>
        <v>Yes</v>
      </c>
      <c r="AA183" s="5" t="str">
        <f ca="1">IFERROR(__xludf.DUMMYFUNCTION("""COMPUTED_VALUE"""),"Yes")</f>
        <v>Yes</v>
      </c>
      <c r="AB183" s="5" t="str">
        <f ca="1">IFERROR(__xludf.DUMMYFUNCTION("""COMPUTED_VALUE"""),"Yes")</f>
        <v>Yes</v>
      </c>
      <c r="AC183" s="5" t="str">
        <f ca="1">IFERROR(__xludf.DUMMYFUNCTION("""COMPUTED_VALUE"""),"No")</f>
        <v>No</v>
      </c>
    </row>
    <row r="184" spans="1:29" x14ac:dyDescent="0.25">
      <c r="A184" s="5" t="str">
        <f ca="1">IFERROR(__xludf.DUMMYFUNCTION("""COMPUTED_VALUE"""),"WinXtip")</f>
        <v>WinXtip</v>
      </c>
      <c r="B1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4" s="5" t="str">
        <f ca="1">IFERROR(__xludf.DUMMYFUNCTION("""COMPUTED_VALUE"""),"Yes")</f>
        <v>Yes</v>
      </c>
      <c r="D184" s="5" t="str">
        <f ca="1">IFERROR(__xludf.DUMMYFUNCTION("""COMPUTED_VALUE"""),"Yes")</f>
        <v>Yes</v>
      </c>
      <c r="E184" s="5" t="str">
        <f ca="1">IFERROR(__xludf.DUMMYFUNCTION("""COMPUTED_VALUE"""),"Yes")</f>
        <v>Yes</v>
      </c>
      <c r="F184" s="5" t="str">
        <f ca="1">IFERROR(__xludf.DUMMYFUNCTION("""COMPUTED_VALUE"""),"Yes")</f>
        <v>Yes</v>
      </c>
      <c r="G184" s="5" t="str">
        <f ca="1">IFERROR(__xludf.DUMMYFUNCTION("""COMPUTED_VALUE"""),"Yes")</f>
        <v>Yes</v>
      </c>
      <c r="H184" s="5" t="str">
        <f ca="1">IFERROR(__xludf.DUMMYFUNCTION("""COMPUTED_VALUE"""),"Yes")</f>
        <v>Yes</v>
      </c>
      <c r="I184" s="5" t="str">
        <f ca="1">IFERROR(__xludf.DUMMYFUNCTION("""COMPUTED_VALUE"""),"Yes")</f>
        <v>Yes</v>
      </c>
      <c r="J184" s="5" t="str">
        <f ca="1">IFERROR(__xludf.DUMMYFUNCTION("""COMPUTED_VALUE"""),"Yes")</f>
        <v>Yes</v>
      </c>
      <c r="K184" s="5" t="str">
        <f ca="1">IFERROR(__xludf.DUMMYFUNCTION("""COMPUTED_VALUE"""),"Yes")</f>
        <v>Yes</v>
      </c>
      <c r="L184" s="5" t="str">
        <f ca="1">IFERROR(__xludf.DUMMYFUNCTION("""COMPUTED_VALUE"""),"Yes")</f>
        <v>Yes</v>
      </c>
      <c r="M184" s="5" t="str">
        <f ca="1">IFERROR(__xludf.DUMMYFUNCTION("""COMPUTED_VALUE"""),"Yes")</f>
        <v>Yes</v>
      </c>
      <c r="N184" s="5" t="str">
        <f ca="1">IFERROR(__xludf.DUMMYFUNCTION("""COMPUTED_VALUE"""),"Yes")</f>
        <v>Yes</v>
      </c>
      <c r="O184" s="5" t="str">
        <f ca="1">IFERROR(__xludf.DUMMYFUNCTION("""COMPUTED_VALUE"""),"Yes")</f>
        <v>Yes</v>
      </c>
      <c r="P184" s="5" t="str">
        <f ca="1">IFERROR(__xludf.DUMMYFUNCTION("""COMPUTED_VALUE"""),"Yes")</f>
        <v>Yes</v>
      </c>
      <c r="Q184" s="5" t="str">
        <f ca="1">IFERROR(__xludf.DUMMYFUNCTION("""COMPUTED_VALUE"""),"Yes")</f>
        <v>Yes</v>
      </c>
      <c r="R184" s="5" t="str">
        <f ca="1">IFERROR(__xludf.DUMMYFUNCTION("""COMPUTED_VALUE"""),"Yes")</f>
        <v>Yes</v>
      </c>
      <c r="S184" s="5" t="str">
        <f ca="1">IFERROR(__xludf.DUMMYFUNCTION("""COMPUTED_VALUE"""),"Yes")</f>
        <v>Yes</v>
      </c>
      <c r="T184" s="5" t="str">
        <f ca="1">IFERROR(__xludf.DUMMYFUNCTION("""COMPUTED_VALUE"""),"Yes")</f>
        <v>Yes</v>
      </c>
      <c r="U184" s="5" t="str">
        <f ca="1">IFERROR(__xludf.DUMMYFUNCTION("""COMPUTED_VALUE"""),"Yes")</f>
        <v>Yes</v>
      </c>
      <c r="V184" s="5" t="str">
        <f ca="1">IFERROR(__xludf.DUMMYFUNCTION("""COMPUTED_VALUE"""),"Yes")</f>
        <v>Yes</v>
      </c>
      <c r="W184" s="5" t="str">
        <f ca="1">IFERROR(__xludf.DUMMYFUNCTION("""COMPUTED_VALUE"""),"Yes")</f>
        <v>Yes</v>
      </c>
      <c r="X184" s="5" t="str">
        <f ca="1">IFERROR(__xludf.DUMMYFUNCTION("""COMPUTED_VALUE"""),"Yes")</f>
        <v>Yes</v>
      </c>
      <c r="Y184" s="5" t="str">
        <f ca="1">IFERROR(__xludf.DUMMYFUNCTION("""COMPUTED_VALUE"""),"Yes")</f>
        <v>Yes</v>
      </c>
      <c r="Z184" s="5" t="str">
        <f ca="1">IFERROR(__xludf.DUMMYFUNCTION("""COMPUTED_VALUE"""),"Yes")</f>
        <v>Yes</v>
      </c>
      <c r="AA184" s="5" t="str">
        <f ca="1">IFERROR(__xludf.DUMMYFUNCTION("""COMPUTED_VALUE"""),"Yes")</f>
        <v>Yes</v>
      </c>
      <c r="AB184" s="5" t="str">
        <f ca="1">IFERROR(__xludf.DUMMYFUNCTION("""COMPUTED_VALUE"""),"Yes")</f>
        <v>Yes</v>
      </c>
      <c r="AC184" s="5" t="str">
        <f ca="1">IFERROR(__xludf.DUMMYFUNCTION("""COMPUTED_VALUE"""),"No")</f>
        <v>No</v>
      </c>
    </row>
    <row r="185" spans="1:29" x14ac:dyDescent="0.25">
      <c r="A185" s="5" t="str">
        <f ca="1">IFERROR(__xludf.DUMMYFUNCTION("""COMPUTED_VALUE"""),"PskHot40")</f>
        <v>PskHot40</v>
      </c>
      <c r="B1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5" s="5" t="str">
        <f ca="1">IFERROR(__xludf.DUMMYFUNCTION("""COMPUTED_VALUE"""),"Yes")</f>
        <v>Yes</v>
      </c>
      <c r="D185" s="5" t="str">
        <f ca="1">IFERROR(__xludf.DUMMYFUNCTION("""COMPUTED_VALUE"""),"Yes")</f>
        <v>Yes</v>
      </c>
      <c r="E185" s="5" t="str">
        <f ca="1">IFERROR(__xludf.DUMMYFUNCTION("""COMPUTED_VALUE"""),"Yes")</f>
        <v>Yes</v>
      </c>
      <c r="F185" s="5" t="str">
        <f ca="1">IFERROR(__xludf.DUMMYFUNCTION("""COMPUTED_VALUE"""),"Yes")</f>
        <v>Yes</v>
      </c>
      <c r="G185" s="5" t="str">
        <f ca="1">IFERROR(__xludf.DUMMYFUNCTION("""COMPUTED_VALUE"""),"Yes")</f>
        <v>Yes</v>
      </c>
      <c r="H185" s="5" t="str">
        <f ca="1">IFERROR(__xludf.DUMMYFUNCTION("""COMPUTED_VALUE"""),"Yes")</f>
        <v>Yes</v>
      </c>
      <c r="I185" s="5" t="str">
        <f ca="1">IFERROR(__xludf.DUMMYFUNCTION("""COMPUTED_VALUE"""),"Yes")</f>
        <v>Yes</v>
      </c>
      <c r="J185" s="5" t="str">
        <f ca="1">IFERROR(__xludf.DUMMYFUNCTION("""COMPUTED_VALUE"""),"Yes")</f>
        <v>Yes</v>
      </c>
      <c r="K185" s="5" t="str">
        <f ca="1">IFERROR(__xludf.DUMMYFUNCTION("""COMPUTED_VALUE"""),"Yes")</f>
        <v>Yes</v>
      </c>
      <c r="L185" s="5" t="str">
        <f ca="1">IFERROR(__xludf.DUMMYFUNCTION("""COMPUTED_VALUE"""),"Yes")</f>
        <v>Yes</v>
      </c>
      <c r="M185" s="5" t="str">
        <f ca="1">IFERROR(__xludf.DUMMYFUNCTION("""COMPUTED_VALUE"""),"Yes")</f>
        <v>Yes</v>
      </c>
      <c r="N185" s="5" t="str">
        <f ca="1">IFERROR(__xludf.DUMMYFUNCTION("""COMPUTED_VALUE"""),"Yes")</f>
        <v>Yes</v>
      </c>
      <c r="O185" s="5" t="str">
        <f ca="1">IFERROR(__xludf.DUMMYFUNCTION("""COMPUTED_VALUE"""),"Yes")</f>
        <v>Yes</v>
      </c>
      <c r="P185" s="5" t="str">
        <f ca="1">IFERROR(__xludf.DUMMYFUNCTION("""COMPUTED_VALUE"""),"Yes")</f>
        <v>Yes</v>
      </c>
      <c r="Q185" s="5" t="str">
        <f ca="1">IFERROR(__xludf.DUMMYFUNCTION("""COMPUTED_VALUE"""),"Yes")</f>
        <v>Yes</v>
      </c>
      <c r="R185" s="5" t="str">
        <f ca="1">IFERROR(__xludf.DUMMYFUNCTION("""COMPUTED_VALUE"""),"Yes")</f>
        <v>Yes</v>
      </c>
      <c r="S185" s="5" t="str">
        <f ca="1">IFERROR(__xludf.DUMMYFUNCTION("""COMPUTED_VALUE"""),"Yes")</f>
        <v>Yes</v>
      </c>
      <c r="T185" s="5" t="str">
        <f ca="1">IFERROR(__xludf.DUMMYFUNCTION("""COMPUTED_VALUE"""),"Yes")</f>
        <v>Yes</v>
      </c>
      <c r="U185" s="5" t="str">
        <f ca="1">IFERROR(__xludf.DUMMYFUNCTION("""COMPUTED_VALUE"""),"Yes")</f>
        <v>Yes</v>
      </c>
      <c r="V185" s="5" t="str">
        <f ca="1">IFERROR(__xludf.DUMMYFUNCTION("""COMPUTED_VALUE"""),"Yes")</f>
        <v>Yes</v>
      </c>
      <c r="W185" s="5" t="str">
        <f ca="1">IFERROR(__xludf.DUMMYFUNCTION("""COMPUTED_VALUE"""),"Yes")</f>
        <v>Yes</v>
      </c>
      <c r="X185" s="5" t="str">
        <f ca="1">IFERROR(__xludf.DUMMYFUNCTION("""COMPUTED_VALUE"""),"Yes")</f>
        <v>Yes</v>
      </c>
      <c r="Y185" s="5" t="str">
        <f ca="1">IFERROR(__xludf.DUMMYFUNCTION("""COMPUTED_VALUE"""),"Yes")</f>
        <v>Yes</v>
      </c>
      <c r="Z185" s="5" t="str">
        <f ca="1">IFERROR(__xludf.DUMMYFUNCTION("""COMPUTED_VALUE"""),"Yes")</f>
        <v>Yes</v>
      </c>
      <c r="AA185" s="5" t="str">
        <f ca="1">IFERROR(__xludf.DUMMYFUNCTION("""COMPUTED_VALUE"""),"Yes")</f>
        <v>Yes</v>
      </c>
      <c r="AB185" s="5" t="str">
        <f ca="1">IFERROR(__xludf.DUMMYFUNCTION("""COMPUTED_VALUE"""),"Yes")</f>
        <v>Yes</v>
      </c>
      <c r="AC185" s="5" t="str">
        <f ca="1">IFERROR(__xludf.DUMMYFUNCTION("""COMPUTED_VALUE"""),"No")</f>
        <v>No</v>
      </c>
    </row>
    <row r="186" spans="1:29" x14ac:dyDescent="0.25">
      <c r="A186" s="5" t="str">
        <f ca="1">IFERROR(__xludf.DUMMYFUNCTION("""COMPUTED_VALUE"""),"SuperCasinoCrown")</f>
        <v>SuperCasinoCrown</v>
      </c>
      <c r="B1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6" s="5" t="str">
        <f ca="1">IFERROR(__xludf.DUMMYFUNCTION("""COMPUTED_VALUE"""),"Yes")</f>
        <v>Yes</v>
      </c>
      <c r="D186" s="5" t="str">
        <f ca="1">IFERROR(__xludf.DUMMYFUNCTION("""COMPUTED_VALUE"""),"Yes")</f>
        <v>Yes</v>
      </c>
      <c r="E186" s="5" t="str">
        <f ca="1">IFERROR(__xludf.DUMMYFUNCTION("""COMPUTED_VALUE"""),"Yes")</f>
        <v>Yes</v>
      </c>
      <c r="F186" s="5" t="str">
        <f ca="1">IFERROR(__xludf.DUMMYFUNCTION("""COMPUTED_VALUE"""),"Yes")</f>
        <v>Yes</v>
      </c>
      <c r="G186" s="5" t="str">
        <f ca="1">IFERROR(__xludf.DUMMYFUNCTION("""COMPUTED_VALUE"""),"Yes")</f>
        <v>Yes</v>
      </c>
      <c r="H186" s="5" t="str">
        <f ca="1">IFERROR(__xludf.DUMMYFUNCTION("""COMPUTED_VALUE"""),"Yes")</f>
        <v>Yes</v>
      </c>
      <c r="I186" s="5" t="str">
        <f ca="1">IFERROR(__xludf.DUMMYFUNCTION("""COMPUTED_VALUE"""),"Yes")</f>
        <v>Yes</v>
      </c>
      <c r="J186" s="5" t="str">
        <f ca="1">IFERROR(__xludf.DUMMYFUNCTION("""COMPUTED_VALUE"""),"Yes")</f>
        <v>Yes</v>
      </c>
      <c r="K186" s="5" t="str">
        <f ca="1">IFERROR(__xludf.DUMMYFUNCTION("""COMPUTED_VALUE"""),"Yes")</f>
        <v>Yes</v>
      </c>
      <c r="L186" s="5" t="str">
        <f ca="1">IFERROR(__xludf.DUMMYFUNCTION("""COMPUTED_VALUE"""),"Yes")</f>
        <v>Yes</v>
      </c>
      <c r="M186" s="5" t="str">
        <f ca="1">IFERROR(__xludf.DUMMYFUNCTION("""COMPUTED_VALUE"""),"Yes")</f>
        <v>Yes</v>
      </c>
      <c r="N186" s="5" t="str">
        <f ca="1">IFERROR(__xludf.DUMMYFUNCTION("""COMPUTED_VALUE"""),"Yes")</f>
        <v>Yes</v>
      </c>
      <c r="O186" s="5" t="str">
        <f ca="1">IFERROR(__xludf.DUMMYFUNCTION("""COMPUTED_VALUE"""),"Yes")</f>
        <v>Yes</v>
      </c>
      <c r="P186" s="5" t="str">
        <f ca="1">IFERROR(__xludf.DUMMYFUNCTION("""COMPUTED_VALUE"""),"Yes")</f>
        <v>Yes</v>
      </c>
      <c r="Q186" s="5" t="str">
        <f ca="1">IFERROR(__xludf.DUMMYFUNCTION("""COMPUTED_VALUE"""),"Yes")</f>
        <v>Yes</v>
      </c>
      <c r="R186" s="5" t="str">
        <f ca="1">IFERROR(__xludf.DUMMYFUNCTION("""COMPUTED_VALUE"""),"Yes")</f>
        <v>Yes</v>
      </c>
      <c r="S186" s="5" t="str">
        <f ca="1">IFERROR(__xludf.DUMMYFUNCTION("""COMPUTED_VALUE"""),"Yes")</f>
        <v>Yes</v>
      </c>
      <c r="T186" s="5" t="str">
        <f ca="1">IFERROR(__xludf.DUMMYFUNCTION("""COMPUTED_VALUE"""),"Yes")</f>
        <v>Yes</v>
      </c>
      <c r="U186" s="5" t="str">
        <f ca="1">IFERROR(__xludf.DUMMYFUNCTION("""COMPUTED_VALUE"""),"Yes")</f>
        <v>Yes</v>
      </c>
      <c r="V186" s="5" t="str">
        <f ca="1">IFERROR(__xludf.DUMMYFUNCTION("""COMPUTED_VALUE"""),"Yes")</f>
        <v>Yes</v>
      </c>
      <c r="W186" s="5" t="str">
        <f ca="1">IFERROR(__xludf.DUMMYFUNCTION("""COMPUTED_VALUE"""),"Yes")</f>
        <v>Yes</v>
      </c>
      <c r="X186" s="5" t="str">
        <f ca="1">IFERROR(__xludf.DUMMYFUNCTION("""COMPUTED_VALUE"""),"Yes")</f>
        <v>Yes</v>
      </c>
      <c r="Y186" s="5" t="str">
        <f ca="1">IFERROR(__xludf.DUMMYFUNCTION("""COMPUTED_VALUE"""),"Yes")</f>
        <v>Yes</v>
      </c>
      <c r="Z186" s="5" t="str">
        <f ca="1">IFERROR(__xludf.DUMMYFUNCTION("""COMPUTED_VALUE"""),"Yes")</f>
        <v>Yes</v>
      </c>
      <c r="AA186" s="5" t="str">
        <f ca="1">IFERROR(__xludf.DUMMYFUNCTION("""COMPUTED_VALUE"""),"Yes")</f>
        <v>Yes</v>
      </c>
      <c r="AB186" s="5" t="str">
        <f ca="1">IFERROR(__xludf.DUMMYFUNCTION("""COMPUTED_VALUE"""),"Yes")</f>
        <v>Yes</v>
      </c>
      <c r="AC186" s="5" t="str">
        <f ca="1">IFERROR(__xludf.DUMMYFUNCTION("""COMPUTED_VALUE"""),"No")</f>
        <v>No</v>
      </c>
    </row>
    <row r="187" spans="1:29" x14ac:dyDescent="0.25">
      <c r="A187" s="5" t="str">
        <f ca="1">IFERROR(__xludf.DUMMYFUNCTION("""COMPUTED_VALUE"""),"TopHot20")</f>
        <v>TopHot20</v>
      </c>
      <c r="B1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7" s="5" t="str">
        <f ca="1">IFERROR(__xludf.DUMMYFUNCTION("""COMPUTED_VALUE"""),"Yes")</f>
        <v>Yes</v>
      </c>
      <c r="D187" s="5" t="str">
        <f ca="1">IFERROR(__xludf.DUMMYFUNCTION("""COMPUTED_VALUE"""),"Yes")</f>
        <v>Yes</v>
      </c>
      <c r="E187" s="5" t="str">
        <f ca="1">IFERROR(__xludf.DUMMYFUNCTION("""COMPUTED_VALUE"""),"Yes")</f>
        <v>Yes</v>
      </c>
      <c r="F187" s="5" t="str">
        <f ca="1">IFERROR(__xludf.DUMMYFUNCTION("""COMPUTED_VALUE"""),"Yes")</f>
        <v>Yes</v>
      </c>
      <c r="G187" s="5" t="str">
        <f ca="1">IFERROR(__xludf.DUMMYFUNCTION("""COMPUTED_VALUE"""),"Yes")</f>
        <v>Yes</v>
      </c>
      <c r="H187" s="5" t="str">
        <f ca="1">IFERROR(__xludf.DUMMYFUNCTION("""COMPUTED_VALUE"""),"Yes")</f>
        <v>Yes</v>
      </c>
      <c r="I187" s="5" t="str">
        <f ca="1">IFERROR(__xludf.DUMMYFUNCTION("""COMPUTED_VALUE"""),"Yes")</f>
        <v>Yes</v>
      </c>
      <c r="J187" s="5" t="str">
        <f ca="1">IFERROR(__xludf.DUMMYFUNCTION("""COMPUTED_VALUE"""),"Yes")</f>
        <v>Yes</v>
      </c>
      <c r="K187" s="5" t="str">
        <f ca="1">IFERROR(__xludf.DUMMYFUNCTION("""COMPUTED_VALUE"""),"Yes")</f>
        <v>Yes</v>
      </c>
      <c r="L187" s="5" t="str">
        <f ca="1">IFERROR(__xludf.DUMMYFUNCTION("""COMPUTED_VALUE"""),"Yes")</f>
        <v>Yes</v>
      </c>
      <c r="M187" s="5" t="str">
        <f ca="1">IFERROR(__xludf.DUMMYFUNCTION("""COMPUTED_VALUE"""),"Yes")</f>
        <v>Yes</v>
      </c>
      <c r="N187" s="5" t="str">
        <f ca="1">IFERROR(__xludf.DUMMYFUNCTION("""COMPUTED_VALUE"""),"Yes")</f>
        <v>Yes</v>
      </c>
      <c r="O187" s="5" t="str">
        <f ca="1">IFERROR(__xludf.DUMMYFUNCTION("""COMPUTED_VALUE"""),"Yes")</f>
        <v>Yes</v>
      </c>
      <c r="P187" s="5" t="str">
        <f ca="1">IFERROR(__xludf.DUMMYFUNCTION("""COMPUTED_VALUE"""),"Yes")</f>
        <v>Yes</v>
      </c>
      <c r="Q187" s="5" t="str">
        <f ca="1">IFERROR(__xludf.DUMMYFUNCTION("""COMPUTED_VALUE"""),"Yes")</f>
        <v>Yes</v>
      </c>
      <c r="R187" s="5" t="str">
        <f ca="1">IFERROR(__xludf.DUMMYFUNCTION("""COMPUTED_VALUE"""),"Yes")</f>
        <v>Yes</v>
      </c>
      <c r="S187" s="5" t="str">
        <f ca="1">IFERROR(__xludf.DUMMYFUNCTION("""COMPUTED_VALUE"""),"Yes")</f>
        <v>Yes</v>
      </c>
      <c r="T187" s="5" t="str">
        <f ca="1">IFERROR(__xludf.DUMMYFUNCTION("""COMPUTED_VALUE"""),"Yes")</f>
        <v>Yes</v>
      </c>
      <c r="U187" s="5" t="str">
        <f ca="1">IFERROR(__xludf.DUMMYFUNCTION("""COMPUTED_VALUE"""),"Yes")</f>
        <v>Yes</v>
      </c>
      <c r="V187" s="5" t="str">
        <f ca="1">IFERROR(__xludf.DUMMYFUNCTION("""COMPUTED_VALUE"""),"Yes")</f>
        <v>Yes</v>
      </c>
      <c r="W187" s="5" t="str">
        <f ca="1">IFERROR(__xludf.DUMMYFUNCTION("""COMPUTED_VALUE"""),"Yes")</f>
        <v>Yes</v>
      </c>
      <c r="X187" s="5" t="str">
        <f ca="1">IFERROR(__xludf.DUMMYFUNCTION("""COMPUTED_VALUE"""),"Yes")</f>
        <v>Yes</v>
      </c>
      <c r="Y187" s="5" t="str">
        <f ca="1">IFERROR(__xludf.DUMMYFUNCTION("""COMPUTED_VALUE"""),"Yes")</f>
        <v>Yes</v>
      </c>
      <c r="Z187" s="5" t="str">
        <f ca="1">IFERROR(__xludf.DUMMYFUNCTION("""COMPUTED_VALUE"""),"Yes")</f>
        <v>Yes</v>
      </c>
      <c r="AA187" s="5" t="str">
        <f ca="1">IFERROR(__xludf.DUMMYFUNCTION("""COMPUTED_VALUE"""),"Yes")</f>
        <v>Yes</v>
      </c>
      <c r="AB187" s="5" t="str">
        <f ca="1">IFERROR(__xludf.DUMMYFUNCTION("""COMPUTED_VALUE"""),"Yes")</f>
        <v>Yes</v>
      </c>
      <c r="AC187" s="5" t="str">
        <f ca="1">IFERROR(__xludf.DUMMYFUNCTION("""COMPUTED_VALUE"""),"No")</f>
        <v>No</v>
      </c>
    </row>
    <row r="188" spans="1:29" x14ac:dyDescent="0.25">
      <c r="A188" s="5" t="str">
        <f ca="1">IFERROR(__xludf.DUMMYFUNCTION("""COMPUTED_VALUE"""),"PariHot40")</f>
        <v>PariHot40</v>
      </c>
      <c r="B1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8" s="5" t="str">
        <f ca="1">IFERROR(__xludf.DUMMYFUNCTION("""COMPUTED_VALUE"""),"Yes")</f>
        <v>Yes</v>
      </c>
      <c r="D188" s="5" t="str">
        <f ca="1">IFERROR(__xludf.DUMMYFUNCTION("""COMPUTED_VALUE"""),"Yes")</f>
        <v>Yes</v>
      </c>
      <c r="E188" s="5" t="str">
        <f ca="1">IFERROR(__xludf.DUMMYFUNCTION("""COMPUTED_VALUE"""),"Yes")</f>
        <v>Yes</v>
      </c>
      <c r="F188" s="5" t="str">
        <f ca="1">IFERROR(__xludf.DUMMYFUNCTION("""COMPUTED_VALUE"""),"Yes")</f>
        <v>Yes</v>
      </c>
      <c r="G188" s="5" t="str">
        <f ca="1">IFERROR(__xludf.DUMMYFUNCTION("""COMPUTED_VALUE"""),"Yes")</f>
        <v>Yes</v>
      </c>
      <c r="H188" s="5" t="str">
        <f ca="1">IFERROR(__xludf.DUMMYFUNCTION("""COMPUTED_VALUE"""),"Yes")</f>
        <v>Yes</v>
      </c>
      <c r="I188" s="5" t="str">
        <f ca="1">IFERROR(__xludf.DUMMYFUNCTION("""COMPUTED_VALUE"""),"Yes")</f>
        <v>Yes</v>
      </c>
      <c r="J188" s="5" t="str">
        <f ca="1">IFERROR(__xludf.DUMMYFUNCTION("""COMPUTED_VALUE"""),"Yes")</f>
        <v>Yes</v>
      </c>
      <c r="K188" s="5" t="str">
        <f ca="1">IFERROR(__xludf.DUMMYFUNCTION("""COMPUTED_VALUE"""),"Yes")</f>
        <v>Yes</v>
      </c>
      <c r="L188" s="5" t="str">
        <f ca="1">IFERROR(__xludf.DUMMYFUNCTION("""COMPUTED_VALUE"""),"Yes")</f>
        <v>Yes</v>
      </c>
      <c r="M188" s="5" t="str">
        <f ca="1">IFERROR(__xludf.DUMMYFUNCTION("""COMPUTED_VALUE"""),"Yes")</f>
        <v>Yes</v>
      </c>
      <c r="N188" s="5" t="str">
        <f ca="1">IFERROR(__xludf.DUMMYFUNCTION("""COMPUTED_VALUE"""),"Yes")</f>
        <v>Yes</v>
      </c>
      <c r="O188" s="5" t="str">
        <f ca="1">IFERROR(__xludf.DUMMYFUNCTION("""COMPUTED_VALUE"""),"Yes")</f>
        <v>Yes</v>
      </c>
      <c r="P188" s="5" t="str">
        <f ca="1">IFERROR(__xludf.DUMMYFUNCTION("""COMPUTED_VALUE"""),"Yes")</f>
        <v>Yes</v>
      </c>
      <c r="Q188" s="5" t="str">
        <f ca="1">IFERROR(__xludf.DUMMYFUNCTION("""COMPUTED_VALUE"""),"Yes")</f>
        <v>Yes</v>
      </c>
      <c r="R188" s="5" t="str">
        <f ca="1">IFERROR(__xludf.DUMMYFUNCTION("""COMPUTED_VALUE"""),"Yes")</f>
        <v>Yes</v>
      </c>
      <c r="S188" s="5" t="str">
        <f ca="1">IFERROR(__xludf.DUMMYFUNCTION("""COMPUTED_VALUE"""),"Yes")</f>
        <v>Yes</v>
      </c>
      <c r="T188" s="5" t="str">
        <f ca="1">IFERROR(__xludf.DUMMYFUNCTION("""COMPUTED_VALUE"""),"Yes")</f>
        <v>Yes</v>
      </c>
      <c r="U188" s="5" t="str">
        <f ca="1">IFERROR(__xludf.DUMMYFUNCTION("""COMPUTED_VALUE"""),"Yes")</f>
        <v>Yes</v>
      </c>
      <c r="V188" s="5" t="str">
        <f ca="1">IFERROR(__xludf.DUMMYFUNCTION("""COMPUTED_VALUE"""),"Yes")</f>
        <v>Yes</v>
      </c>
      <c r="W188" s="5" t="str">
        <f ca="1">IFERROR(__xludf.DUMMYFUNCTION("""COMPUTED_VALUE"""),"Yes")</f>
        <v>Yes</v>
      </c>
      <c r="X188" s="5" t="str">
        <f ca="1">IFERROR(__xludf.DUMMYFUNCTION("""COMPUTED_VALUE"""),"Yes")</f>
        <v>Yes</v>
      </c>
      <c r="Y188" s="5" t="str">
        <f ca="1">IFERROR(__xludf.DUMMYFUNCTION("""COMPUTED_VALUE"""),"Yes")</f>
        <v>Yes</v>
      </c>
      <c r="Z188" s="5" t="str">
        <f ca="1">IFERROR(__xludf.DUMMYFUNCTION("""COMPUTED_VALUE"""),"Yes")</f>
        <v>Yes</v>
      </c>
      <c r="AA188" s="5" t="str">
        <f ca="1">IFERROR(__xludf.DUMMYFUNCTION("""COMPUTED_VALUE"""),"Yes")</f>
        <v>Yes</v>
      </c>
      <c r="AB188" s="5" t="str">
        <f ca="1">IFERROR(__xludf.DUMMYFUNCTION("""COMPUTED_VALUE"""),"Yes")</f>
        <v>Yes</v>
      </c>
      <c r="AC188" s="5" t="str">
        <f ca="1">IFERROR(__xludf.DUMMYFUNCTION("""COMPUTED_VALUE"""),"No")</f>
        <v>No</v>
      </c>
    </row>
    <row r="189" spans="1:29" x14ac:dyDescent="0.25">
      <c r="A189" s="5" t="str">
        <f ca="1">IFERROR(__xludf.DUMMYFUNCTION("""COMPUTED_VALUE"""),"PowerOfTheGreat")</f>
        <v>PowerOfTheGreat</v>
      </c>
      <c r="B1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9" s="5" t="str">
        <f ca="1">IFERROR(__xludf.DUMMYFUNCTION("""COMPUTED_VALUE"""),"Yes")</f>
        <v>Yes</v>
      </c>
      <c r="D189" s="5" t="str">
        <f ca="1">IFERROR(__xludf.DUMMYFUNCTION("""COMPUTED_VALUE"""),"Yes")</f>
        <v>Yes</v>
      </c>
      <c r="E189" s="5" t="str">
        <f ca="1">IFERROR(__xludf.DUMMYFUNCTION("""COMPUTED_VALUE"""),"Yes")</f>
        <v>Yes</v>
      </c>
      <c r="F189" s="5" t="str">
        <f ca="1">IFERROR(__xludf.DUMMYFUNCTION("""COMPUTED_VALUE"""),"Yes")</f>
        <v>Yes</v>
      </c>
      <c r="G189" s="5" t="str">
        <f ca="1">IFERROR(__xludf.DUMMYFUNCTION("""COMPUTED_VALUE"""),"Yes")</f>
        <v>Yes</v>
      </c>
      <c r="H189" s="5" t="str">
        <f ca="1">IFERROR(__xludf.DUMMYFUNCTION("""COMPUTED_VALUE"""),"Yes")</f>
        <v>Yes</v>
      </c>
      <c r="I189" s="5" t="str">
        <f ca="1">IFERROR(__xludf.DUMMYFUNCTION("""COMPUTED_VALUE"""),"Yes")</f>
        <v>Yes</v>
      </c>
      <c r="J189" s="5" t="str">
        <f ca="1">IFERROR(__xludf.DUMMYFUNCTION("""COMPUTED_VALUE"""),"Yes")</f>
        <v>Yes</v>
      </c>
      <c r="K189" s="5" t="str">
        <f ca="1">IFERROR(__xludf.DUMMYFUNCTION("""COMPUTED_VALUE"""),"Yes")</f>
        <v>Yes</v>
      </c>
      <c r="L189" s="5" t="str">
        <f ca="1">IFERROR(__xludf.DUMMYFUNCTION("""COMPUTED_VALUE"""),"Yes")</f>
        <v>Yes</v>
      </c>
      <c r="M189" s="5" t="str">
        <f ca="1">IFERROR(__xludf.DUMMYFUNCTION("""COMPUTED_VALUE"""),"Yes")</f>
        <v>Yes</v>
      </c>
      <c r="N189" s="5" t="str">
        <f ca="1">IFERROR(__xludf.DUMMYFUNCTION("""COMPUTED_VALUE"""),"Yes")</f>
        <v>Yes</v>
      </c>
      <c r="O189" s="5" t="str">
        <f ca="1">IFERROR(__xludf.DUMMYFUNCTION("""COMPUTED_VALUE"""),"Yes")</f>
        <v>Yes</v>
      </c>
      <c r="P189" s="5" t="str">
        <f ca="1">IFERROR(__xludf.DUMMYFUNCTION("""COMPUTED_VALUE"""),"Yes")</f>
        <v>Yes</v>
      </c>
      <c r="Q189" s="5" t="str">
        <f ca="1">IFERROR(__xludf.DUMMYFUNCTION("""COMPUTED_VALUE"""),"Yes")</f>
        <v>Yes</v>
      </c>
      <c r="R189" s="5" t="str">
        <f ca="1">IFERROR(__xludf.DUMMYFUNCTION("""COMPUTED_VALUE"""),"Yes")</f>
        <v>Yes</v>
      </c>
      <c r="S189" s="5" t="str">
        <f ca="1">IFERROR(__xludf.DUMMYFUNCTION("""COMPUTED_VALUE"""),"Yes")</f>
        <v>Yes</v>
      </c>
      <c r="T189" s="5" t="str">
        <f ca="1">IFERROR(__xludf.DUMMYFUNCTION("""COMPUTED_VALUE"""),"Yes")</f>
        <v>Yes</v>
      </c>
      <c r="U189" s="5" t="str">
        <f ca="1">IFERROR(__xludf.DUMMYFUNCTION("""COMPUTED_VALUE"""),"Yes")</f>
        <v>Yes</v>
      </c>
      <c r="V189" s="5" t="str">
        <f ca="1">IFERROR(__xludf.DUMMYFUNCTION("""COMPUTED_VALUE"""),"Yes")</f>
        <v>Yes</v>
      </c>
      <c r="W189" s="5" t="str">
        <f ca="1">IFERROR(__xludf.DUMMYFUNCTION("""COMPUTED_VALUE"""),"Yes")</f>
        <v>Yes</v>
      </c>
      <c r="X189" s="5" t="str">
        <f ca="1">IFERROR(__xludf.DUMMYFUNCTION("""COMPUTED_VALUE"""),"Yes")</f>
        <v>Yes</v>
      </c>
      <c r="Y189" s="5" t="str">
        <f ca="1">IFERROR(__xludf.DUMMYFUNCTION("""COMPUTED_VALUE"""),"Yes")</f>
        <v>Yes</v>
      </c>
      <c r="Z189" s="5" t="str">
        <f ca="1">IFERROR(__xludf.DUMMYFUNCTION("""COMPUTED_VALUE"""),"Yes")</f>
        <v>Yes</v>
      </c>
      <c r="AA189" s="5" t="str">
        <f ca="1">IFERROR(__xludf.DUMMYFUNCTION("""COMPUTED_VALUE"""),"Yes")</f>
        <v>Yes</v>
      </c>
      <c r="AB189" s="5" t="str">
        <f ca="1">IFERROR(__xludf.DUMMYFUNCTION("""COMPUTED_VALUE"""),"Yes")</f>
        <v>Yes</v>
      </c>
      <c r="AC189" s="5" t="str">
        <f ca="1">IFERROR(__xludf.DUMMYFUNCTION("""COMPUTED_VALUE"""),"No")</f>
        <v>No</v>
      </c>
    </row>
    <row r="190" spans="1:29" x14ac:dyDescent="0.25">
      <c r="A190" s="5" t="str">
        <f ca="1">IFERROR(__xludf.DUMMYFUNCTION("""COMPUTED_VALUE"""),"Unicorn40MegaFlames")</f>
        <v>Unicorn40MegaFlames</v>
      </c>
      <c r="B1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0" s="5" t="str">
        <f ca="1">IFERROR(__xludf.DUMMYFUNCTION("""COMPUTED_VALUE"""),"Yes")</f>
        <v>Yes</v>
      </c>
      <c r="D190" s="5" t="str">
        <f ca="1">IFERROR(__xludf.DUMMYFUNCTION("""COMPUTED_VALUE"""),"Yes")</f>
        <v>Yes</v>
      </c>
      <c r="E190" s="5" t="str">
        <f ca="1">IFERROR(__xludf.DUMMYFUNCTION("""COMPUTED_VALUE"""),"Yes")</f>
        <v>Yes</v>
      </c>
      <c r="F190" s="5" t="str">
        <f ca="1">IFERROR(__xludf.DUMMYFUNCTION("""COMPUTED_VALUE"""),"Yes")</f>
        <v>Yes</v>
      </c>
      <c r="G190" s="5" t="str">
        <f ca="1">IFERROR(__xludf.DUMMYFUNCTION("""COMPUTED_VALUE"""),"Yes")</f>
        <v>Yes</v>
      </c>
      <c r="H190" s="5" t="str">
        <f ca="1">IFERROR(__xludf.DUMMYFUNCTION("""COMPUTED_VALUE"""),"Yes")</f>
        <v>Yes</v>
      </c>
      <c r="I190" s="5" t="str">
        <f ca="1">IFERROR(__xludf.DUMMYFUNCTION("""COMPUTED_VALUE"""),"Yes")</f>
        <v>Yes</v>
      </c>
      <c r="J190" s="5" t="str">
        <f ca="1">IFERROR(__xludf.DUMMYFUNCTION("""COMPUTED_VALUE"""),"Yes")</f>
        <v>Yes</v>
      </c>
      <c r="K190" s="5" t="str">
        <f ca="1">IFERROR(__xludf.DUMMYFUNCTION("""COMPUTED_VALUE"""),"Yes")</f>
        <v>Yes</v>
      </c>
      <c r="L190" s="5" t="str">
        <f ca="1">IFERROR(__xludf.DUMMYFUNCTION("""COMPUTED_VALUE"""),"Yes")</f>
        <v>Yes</v>
      </c>
      <c r="M190" s="5" t="str">
        <f ca="1">IFERROR(__xludf.DUMMYFUNCTION("""COMPUTED_VALUE"""),"Yes")</f>
        <v>Yes</v>
      </c>
      <c r="N190" s="5" t="str">
        <f ca="1">IFERROR(__xludf.DUMMYFUNCTION("""COMPUTED_VALUE"""),"Yes")</f>
        <v>Yes</v>
      </c>
      <c r="O190" s="5" t="str">
        <f ca="1">IFERROR(__xludf.DUMMYFUNCTION("""COMPUTED_VALUE"""),"Yes")</f>
        <v>Yes</v>
      </c>
      <c r="P190" s="5" t="str">
        <f ca="1">IFERROR(__xludf.DUMMYFUNCTION("""COMPUTED_VALUE"""),"Yes")</f>
        <v>Yes</v>
      </c>
      <c r="Q190" s="5" t="str">
        <f ca="1">IFERROR(__xludf.DUMMYFUNCTION("""COMPUTED_VALUE"""),"Yes")</f>
        <v>Yes</v>
      </c>
      <c r="R190" s="5" t="str">
        <f ca="1">IFERROR(__xludf.DUMMYFUNCTION("""COMPUTED_VALUE"""),"Yes")</f>
        <v>Yes</v>
      </c>
      <c r="S190" s="5" t="str">
        <f ca="1">IFERROR(__xludf.DUMMYFUNCTION("""COMPUTED_VALUE"""),"Yes")</f>
        <v>Yes</v>
      </c>
      <c r="T190" s="5" t="str">
        <f ca="1">IFERROR(__xludf.DUMMYFUNCTION("""COMPUTED_VALUE"""),"Yes")</f>
        <v>Yes</v>
      </c>
      <c r="U190" s="5" t="str">
        <f ca="1">IFERROR(__xludf.DUMMYFUNCTION("""COMPUTED_VALUE"""),"Yes")</f>
        <v>Yes</v>
      </c>
      <c r="V190" s="5" t="str">
        <f ca="1">IFERROR(__xludf.DUMMYFUNCTION("""COMPUTED_VALUE"""),"Yes")</f>
        <v>Yes</v>
      </c>
      <c r="W190" s="5" t="str">
        <f ca="1">IFERROR(__xludf.DUMMYFUNCTION("""COMPUTED_VALUE"""),"Yes")</f>
        <v>Yes</v>
      </c>
      <c r="X190" s="5" t="str">
        <f ca="1">IFERROR(__xludf.DUMMYFUNCTION("""COMPUTED_VALUE"""),"Yes")</f>
        <v>Yes</v>
      </c>
      <c r="Y190" s="5" t="str">
        <f ca="1">IFERROR(__xludf.DUMMYFUNCTION("""COMPUTED_VALUE"""),"Yes")</f>
        <v>Yes</v>
      </c>
      <c r="Z190" s="5" t="str">
        <f ca="1">IFERROR(__xludf.DUMMYFUNCTION("""COMPUTED_VALUE"""),"Yes")</f>
        <v>Yes</v>
      </c>
      <c r="AA190" s="5" t="str">
        <f ca="1">IFERROR(__xludf.DUMMYFUNCTION("""COMPUTED_VALUE"""),"Yes")</f>
        <v>Yes</v>
      </c>
      <c r="AB190" s="5" t="str">
        <f ca="1">IFERROR(__xludf.DUMMYFUNCTION("""COMPUTED_VALUE"""),"Yes")</f>
        <v>Yes</v>
      </c>
      <c r="AC190" s="5"/>
    </row>
    <row r="191" spans="1:29" x14ac:dyDescent="0.25">
      <c r="A191" s="5" t="str">
        <f ca="1">IFERROR(__xludf.DUMMYFUNCTION("""COMPUTED_VALUE"""),"Unicorn40DiceFlames")</f>
        <v>Unicorn40DiceFlames</v>
      </c>
      <c r="B19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91" s="5" t="str">
        <f ca="1">IFERROR(__xludf.DUMMYFUNCTION("""COMPUTED_VALUE"""),"Yes")</f>
        <v>Yes</v>
      </c>
      <c r="D191" s="5" t="str">
        <f ca="1">IFERROR(__xludf.DUMMYFUNCTION("""COMPUTED_VALUE"""),"Yes")</f>
        <v>Yes</v>
      </c>
      <c r="E191" s="5" t="str">
        <f ca="1">IFERROR(__xludf.DUMMYFUNCTION("""COMPUTED_VALUE"""),"Yes")</f>
        <v>Yes</v>
      </c>
      <c r="F191" s="5" t="str">
        <f ca="1">IFERROR(__xludf.DUMMYFUNCTION("""COMPUTED_VALUE"""),"No")</f>
        <v>No</v>
      </c>
      <c r="G191" s="5" t="str">
        <f ca="1">IFERROR(__xludf.DUMMYFUNCTION("""COMPUTED_VALUE"""),"No")</f>
        <v>No</v>
      </c>
      <c r="H191" s="5" t="str">
        <f ca="1">IFERROR(__xludf.DUMMYFUNCTION("""COMPUTED_VALUE"""),"No")</f>
        <v>No</v>
      </c>
      <c r="I191" s="5" t="str">
        <f ca="1">IFERROR(__xludf.DUMMYFUNCTION("""COMPUTED_VALUE"""),"No")</f>
        <v>No</v>
      </c>
      <c r="J191" s="5" t="str">
        <f ca="1">IFERROR(__xludf.DUMMYFUNCTION("""COMPUTED_VALUE"""),"No")</f>
        <v>No</v>
      </c>
      <c r="K191" s="5" t="str">
        <f ca="1">IFERROR(__xludf.DUMMYFUNCTION("""COMPUTED_VALUE"""),"Yes")</f>
        <v>Yes</v>
      </c>
      <c r="L191" s="5" t="str">
        <f ca="1">IFERROR(__xludf.DUMMYFUNCTION("""COMPUTED_VALUE"""),"Yes")</f>
        <v>Yes</v>
      </c>
      <c r="M191" s="5" t="str">
        <f ca="1">IFERROR(__xludf.DUMMYFUNCTION("""COMPUTED_VALUE"""),"Yes")</f>
        <v>Yes</v>
      </c>
      <c r="N191" s="5" t="str">
        <f ca="1">IFERROR(__xludf.DUMMYFUNCTION("""COMPUTED_VALUE"""),"Yes")</f>
        <v>Yes</v>
      </c>
      <c r="O191" s="5" t="str">
        <f ca="1">IFERROR(__xludf.DUMMYFUNCTION("""COMPUTED_VALUE"""),"Yes")</f>
        <v>Yes</v>
      </c>
      <c r="P191" s="5" t="str">
        <f ca="1">IFERROR(__xludf.DUMMYFUNCTION("""COMPUTED_VALUE"""),"No")</f>
        <v>No</v>
      </c>
      <c r="Q191" s="5" t="str">
        <f ca="1">IFERROR(__xludf.DUMMYFUNCTION("""COMPUTED_VALUE"""),"Yes")</f>
        <v>Yes</v>
      </c>
      <c r="R191" s="5" t="str">
        <f ca="1">IFERROR(__xludf.DUMMYFUNCTION("""COMPUTED_VALUE"""),"No")</f>
        <v>No</v>
      </c>
      <c r="S191" s="5" t="str">
        <f ca="1">IFERROR(__xludf.DUMMYFUNCTION("""COMPUTED_VALUE"""),"No")</f>
        <v>No</v>
      </c>
      <c r="T191" s="5" t="str">
        <f ca="1">IFERROR(__xludf.DUMMYFUNCTION("""COMPUTED_VALUE"""),"No")</f>
        <v>No</v>
      </c>
      <c r="U191" s="5" t="str">
        <f ca="1">IFERROR(__xludf.DUMMYFUNCTION("""COMPUTED_VALUE"""),"No")</f>
        <v>No</v>
      </c>
      <c r="V191" s="5" t="str">
        <f ca="1">IFERROR(__xludf.DUMMYFUNCTION("""COMPUTED_VALUE"""),"No")</f>
        <v>No</v>
      </c>
      <c r="W191" s="5"/>
      <c r="X191" s="5"/>
      <c r="Y191" s="5"/>
      <c r="Z191" s="5" t="str">
        <f ca="1">IFERROR(__xludf.DUMMYFUNCTION("""COMPUTED_VALUE"""),"No")</f>
        <v>No</v>
      </c>
      <c r="AA191" s="5"/>
      <c r="AB191" s="5"/>
      <c r="AC191" s="5"/>
    </row>
    <row r="192" spans="1:29" x14ac:dyDescent="0.25">
      <c r="A192" s="5" t="str">
        <f ca="1">IFERROR(__xludf.DUMMYFUNCTION("""COMPUTED_VALUE"""),"HeatClassic5")</f>
        <v>HeatClassic5</v>
      </c>
      <c r="B19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92" s="5" t="str">
        <f ca="1">IFERROR(__xludf.DUMMYFUNCTION("""COMPUTED_VALUE"""),"Yes")</f>
        <v>Yes</v>
      </c>
      <c r="D192" s="5" t="str">
        <f ca="1">IFERROR(__xludf.DUMMYFUNCTION("""COMPUTED_VALUE"""),"Yes")</f>
        <v>Yes</v>
      </c>
      <c r="E192" s="5" t="str">
        <f ca="1">IFERROR(__xludf.DUMMYFUNCTION("""COMPUTED_VALUE"""),"Yes")</f>
        <v>Yes</v>
      </c>
      <c r="F192" s="5" t="str">
        <f ca="1">IFERROR(__xludf.DUMMYFUNCTION("""COMPUTED_VALUE"""),"No")</f>
        <v>No</v>
      </c>
      <c r="G192" s="5" t="str">
        <f ca="1">IFERROR(__xludf.DUMMYFUNCTION("""COMPUTED_VALUE"""),"No")</f>
        <v>No</v>
      </c>
      <c r="H192" s="5" t="str">
        <f ca="1">IFERROR(__xludf.DUMMYFUNCTION("""COMPUTED_VALUE"""),"No")</f>
        <v>No</v>
      </c>
      <c r="I192" s="5" t="str">
        <f ca="1">IFERROR(__xludf.DUMMYFUNCTION("""COMPUTED_VALUE"""),"No")</f>
        <v>No</v>
      </c>
      <c r="J192" s="5" t="str">
        <f ca="1">IFERROR(__xludf.DUMMYFUNCTION("""COMPUTED_VALUE"""),"No")</f>
        <v>No</v>
      </c>
      <c r="K192" s="5" t="str">
        <f ca="1">IFERROR(__xludf.DUMMYFUNCTION("""COMPUTED_VALUE"""),"Yes")</f>
        <v>Yes</v>
      </c>
      <c r="L192" s="5" t="str">
        <f ca="1">IFERROR(__xludf.DUMMYFUNCTION("""COMPUTED_VALUE"""),"Yes")</f>
        <v>Yes</v>
      </c>
      <c r="M192" s="5" t="str">
        <f ca="1">IFERROR(__xludf.DUMMYFUNCTION("""COMPUTED_VALUE"""),"Yes")</f>
        <v>Yes</v>
      </c>
      <c r="N192" s="5" t="str">
        <f ca="1">IFERROR(__xludf.DUMMYFUNCTION("""COMPUTED_VALUE"""),"Yes")</f>
        <v>Yes</v>
      </c>
      <c r="O192" s="5" t="str">
        <f ca="1">IFERROR(__xludf.DUMMYFUNCTION("""COMPUTED_VALUE"""),"Yes")</f>
        <v>Yes</v>
      </c>
      <c r="P192" s="5" t="str">
        <f ca="1">IFERROR(__xludf.DUMMYFUNCTION("""COMPUTED_VALUE"""),"No")</f>
        <v>No</v>
      </c>
      <c r="Q192" s="5" t="str">
        <f ca="1">IFERROR(__xludf.DUMMYFUNCTION("""COMPUTED_VALUE"""),"Yes")</f>
        <v>Yes</v>
      </c>
      <c r="R192" s="5" t="str">
        <f ca="1">IFERROR(__xludf.DUMMYFUNCTION("""COMPUTED_VALUE"""),"No")</f>
        <v>No</v>
      </c>
      <c r="S192" s="5" t="str">
        <f ca="1">IFERROR(__xludf.DUMMYFUNCTION("""COMPUTED_VALUE"""),"No")</f>
        <v>No</v>
      </c>
      <c r="T192" s="5" t="str">
        <f ca="1">IFERROR(__xludf.DUMMYFUNCTION("""COMPUTED_VALUE"""),"No")</f>
        <v>No</v>
      </c>
      <c r="U192" s="5" t="str">
        <f ca="1">IFERROR(__xludf.DUMMYFUNCTION("""COMPUTED_VALUE"""),"No")</f>
        <v>No</v>
      </c>
      <c r="V192" s="5" t="str">
        <f ca="1">IFERROR(__xludf.DUMMYFUNCTION("""COMPUTED_VALUE"""),"No")</f>
        <v>No</v>
      </c>
      <c r="W192" s="5"/>
      <c r="X192" s="5"/>
      <c r="Y192" s="5"/>
      <c r="Z192" s="5" t="str">
        <f ca="1">IFERROR(__xludf.DUMMYFUNCTION("""COMPUTED_VALUE"""),"No")</f>
        <v>No</v>
      </c>
      <c r="AA192" s="5"/>
      <c r="AB192" s="5"/>
      <c r="AC192" s="5"/>
    </row>
    <row r="193" spans="1:29" x14ac:dyDescent="0.25">
      <c r="A193" s="5" t="str">
        <f ca="1">IFERROR(__xludf.DUMMYFUNCTION("""COMPUTED_VALUE"""),"WildHot40Halloween")</f>
        <v>WildHot40Halloween</v>
      </c>
      <c r="B1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3" s="5" t="str">
        <f ca="1">IFERROR(__xludf.DUMMYFUNCTION("""COMPUTED_VALUE"""),"Yes")</f>
        <v>Yes</v>
      </c>
      <c r="D193" s="5" t="str">
        <f ca="1">IFERROR(__xludf.DUMMYFUNCTION("""COMPUTED_VALUE"""),"Yes")</f>
        <v>Yes</v>
      </c>
      <c r="E193" s="5" t="str">
        <f ca="1">IFERROR(__xludf.DUMMYFUNCTION("""COMPUTED_VALUE"""),"Yes")</f>
        <v>Yes</v>
      </c>
      <c r="F193" s="5" t="str">
        <f ca="1">IFERROR(__xludf.DUMMYFUNCTION("""COMPUTED_VALUE"""),"Yes")</f>
        <v>Yes</v>
      </c>
      <c r="G193" s="5" t="str">
        <f ca="1">IFERROR(__xludf.DUMMYFUNCTION("""COMPUTED_VALUE"""),"Yes")</f>
        <v>Yes</v>
      </c>
      <c r="H193" s="5" t="str">
        <f ca="1">IFERROR(__xludf.DUMMYFUNCTION("""COMPUTED_VALUE"""),"Yes")</f>
        <v>Yes</v>
      </c>
      <c r="I193" s="5" t="str">
        <f ca="1">IFERROR(__xludf.DUMMYFUNCTION("""COMPUTED_VALUE"""),"Yes")</f>
        <v>Yes</v>
      </c>
      <c r="J193" s="5" t="str">
        <f ca="1">IFERROR(__xludf.DUMMYFUNCTION("""COMPUTED_VALUE"""),"Yes")</f>
        <v>Yes</v>
      </c>
      <c r="K193" s="5" t="str">
        <f ca="1">IFERROR(__xludf.DUMMYFUNCTION("""COMPUTED_VALUE"""),"Yes")</f>
        <v>Yes</v>
      </c>
      <c r="L193" s="5" t="str">
        <f ca="1">IFERROR(__xludf.DUMMYFUNCTION("""COMPUTED_VALUE"""),"Yes")</f>
        <v>Yes</v>
      </c>
      <c r="M193" s="5" t="str">
        <f ca="1">IFERROR(__xludf.DUMMYFUNCTION("""COMPUTED_VALUE"""),"Yes")</f>
        <v>Yes</v>
      </c>
      <c r="N193" s="5" t="str">
        <f ca="1">IFERROR(__xludf.DUMMYFUNCTION("""COMPUTED_VALUE"""),"Yes")</f>
        <v>Yes</v>
      </c>
      <c r="O193" s="5" t="str">
        <f ca="1">IFERROR(__xludf.DUMMYFUNCTION("""COMPUTED_VALUE"""),"Yes")</f>
        <v>Yes</v>
      </c>
      <c r="P193" s="5" t="str">
        <f ca="1">IFERROR(__xludf.DUMMYFUNCTION("""COMPUTED_VALUE"""),"Yes")</f>
        <v>Yes</v>
      </c>
      <c r="Q193" s="5" t="str">
        <f ca="1">IFERROR(__xludf.DUMMYFUNCTION("""COMPUTED_VALUE"""),"Yes")</f>
        <v>Yes</v>
      </c>
      <c r="R193" s="5" t="str">
        <f ca="1">IFERROR(__xludf.DUMMYFUNCTION("""COMPUTED_VALUE"""),"Yes")</f>
        <v>Yes</v>
      </c>
      <c r="S193" s="5" t="str">
        <f ca="1">IFERROR(__xludf.DUMMYFUNCTION("""COMPUTED_VALUE"""),"Yes")</f>
        <v>Yes</v>
      </c>
      <c r="T193" s="5" t="str">
        <f ca="1">IFERROR(__xludf.DUMMYFUNCTION("""COMPUTED_VALUE"""),"Yes")</f>
        <v>Yes</v>
      </c>
      <c r="U193" s="5" t="str">
        <f ca="1">IFERROR(__xludf.DUMMYFUNCTION("""COMPUTED_VALUE"""),"Yes")</f>
        <v>Yes</v>
      </c>
      <c r="V193" s="5" t="str">
        <f ca="1">IFERROR(__xludf.DUMMYFUNCTION("""COMPUTED_VALUE"""),"Yes")</f>
        <v>Yes</v>
      </c>
      <c r="W193" s="5" t="str">
        <f ca="1">IFERROR(__xludf.DUMMYFUNCTION("""COMPUTED_VALUE"""),"Yes")</f>
        <v>Yes</v>
      </c>
      <c r="X193" s="5" t="str">
        <f ca="1">IFERROR(__xludf.DUMMYFUNCTION("""COMPUTED_VALUE"""),"Yes")</f>
        <v>Yes</v>
      </c>
      <c r="Y193" s="5" t="str">
        <f ca="1">IFERROR(__xludf.DUMMYFUNCTION("""COMPUTED_VALUE"""),"Yes")</f>
        <v>Yes</v>
      </c>
      <c r="Z193" s="5" t="str">
        <f ca="1">IFERROR(__xludf.DUMMYFUNCTION("""COMPUTED_VALUE"""),"Yes")</f>
        <v>Yes</v>
      </c>
      <c r="AA193" s="5" t="str">
        <f ca="1">IFERROR(__xludf.DUMMYFUNCTION("""COMPUTED_VALUE"""),"Yes")</f>
        <v>Yes</v>
      </c>
      <c r="AB193" s="5" t="str">
        <f ca="1">IFERROR(__xludf.DUMMYFUNCTION("""COMPUTED_VALUE"""),"Yes")</f>
        <v>Yes</v>
      </c>
      <c r="AC193" s="5" t="str">
        <f ca="1">IFERROR(__xludf.DUMMYFUNCTION("""COMPUTED_VALUE"""),"No")</f>
        <v>No</v>
      </c>
    </row>
    <row r="194" spans="1:29" x14ac:dyDescent="0.25">
      <c r="A194" s="5" t="str">
        <f ca="1">IFERROR(__xludf.DUMMYFUNCTION("""COMPUTED_VALUE"""),"CrystalHot40Halloween")</f>
        <v>CrystalHot40Halloween</v>
      </c>
      <c r="B1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4" s="5" t="str">
        <f ca="1">IFERROR(__xludf.DUMMYFUNCTION("""COMPUTED_VALUE"""),"Yes")</f>
        <v>Yes</v>
      </c>
      <c r="D194" s="5" t="str">
        <f ca="1">IFERROR(__xludf.DUMMYFUNCTION("""COMPUTED_VALUE"""),"Yes")</f>
        <v>Yes</v>
      </c>
      <c r="E194" s="5" t="str">
        <f ca="1">IFERROR(__xludf.DUMMYFUNCTION("""COMPUTED_VALUE"""),"Yes")</f>
        <v>Yes</v>
      </c>
      <c r="F194" s="5" t="str">
        <f ca="1">IFERROR(__xludf.DUMMYFUNCTION("""COMPUTED_VALUE"""),"Yes")</f>
        <v>Yes</v>
      </c>
      <c r="G194" s="5" t="str">
        <f ca="1">IFERROR(__xludf.DUMMYFUNCTION("""COMPUTED_VALUE"""),"Yes")</f>
        <v>Yes</v>
      </c>
      <c r="H194" s="5" t="str">
        <f ca="1">IFERROR(__xludf.DUMMYFUNCTION("""COMPUTED_VALUE"""),"Yes")</f>
        <v>Yes</v>
      </c>
      <c r="I194" s="5" t="str">
        <f ca="1">IFERROR(__xludf.DUMMYFUNCTION("""COMPUTED_VALUE"""),"Yes")</f>
        <v>Yes</v>
      </c>
      <c r="J194" s="5" t="str">
        <f ca="1">IFERROR(__xludf.DUMMYFUNCTION("""COMPUTED_VALUE"""),"Yes")</f>
        <v>Yes</v>
      </c>
      <c r="K194" s="5" t="str">
        <f ca="1">IFERROR(__xludf.DUMMYFUNCTION("""COMPUTED_VALUE"""),"Yes")</f>
        <v>Yes</v>
      </c>
      <c r="L194" s="5" t="str">
        <f ca="1">IFERROR(__xludf.DUMMYFUNCTION("""COMPUTED_VALUE"""),"Yes")</f>
        <v>Yes</v>
      </c>
      <c r="M194" s="5" t="str">
        <f ca="1">IFERROR(__xludf.DUMMYFUNCTION("""COMPUTED_VALUE"""),"Yes")</f>
        <v>Yes</v>
      </c>
      <c r="N194" s="5" t="str">
        <f ca="1">IFERROR(__xludf.DUMMYFUNCTION("""COMPUTED_VALUE"""),"Yes")</f>
        <v>Yes</v>
      </c>
      <c r="O194" s="5" t="str">
        <f ca="1">IFERROR(__xludf.DUMMYFUNCTION("""COMPUTED_VALUE"""),"Yes")</f>
        <v>Yes</v>
      </c>
      <c r="P194" s="5" t="str">
        <f ca="1">IFERROR(__xludf.DUMMYFUNCTION("""COMPUTED_VALUE"""),"Yes")</f>
        <v>Yes</v>
      </c>
      <c r="Q194" s="5" t="str">
        <f ca="1">IFERROR(__xludf.DUMMYFUNCTION("""COMPUTED_VALUE"""),"Yes")</f>
        <v>Yes</v>
      </c>
      <c r="R194" s="5" t="str">
        <f ca="1">IFERROR(__xludf.DUMMYFUNCTION("""COMPUTED_VALUE"""),"Yes")</f>
        <v>Yes</v>
      </c>
      <c r="S194" s="5" t="str">
        <f ca="1">IFERROR(__xludf.DUMMYFUNCTION("""COMPUTED_VALUE"""),"Yes")</f>
        <v>Yes</v>
      </c>
      <c r="T194" s="5" t="str">
        <f ca="1">IFERROR(__xludf.DUMMYFUNCTION("""COMPUTED_VALUE"""),"Yes")</f>
        <v>Yes</v>
      </c>
      <c r="U194" s="5" t="str">
        <f ca="1">IFERROR(__xludf.DUMMYFUNCTION("""COMPUTED_VALUE"""),"Yes")</f>
        <v>Yes</v>
      </c>
      <c r="V194" s="5" t="str">
        <f ca="1">IFERROR(__xludf.DUMMYFUNCTION("""COMPUTED_VALUE"""),"Yes")</f>
        <v>Yes</v>
      </c>
      <c r="W194" s="5" t="str">
        <f ca="1">IFERROR(__xludf.DUMMYFUNCTION("""COMPUTED_VALUE"""),"Yes")</f>
        <v>Yes</v>
      </c>
      <c r="X194" s="5" t="str">
        <f ca="1">IFERROR(__xludf.DUMMYFUNCTION("""COMPUTED_VALUE"""),"Yes")</f>
        <v>Yes</v>
      </c>
      <c r="Y194" s="5" t="str">
        <f ca="1">IFERROR(__xludf.DUMMYFUNCTION("""COMPUTED_VALUE"""),"Yes")</f>
        <v>Yes</v>
      </c>
      <c r="Z194" s="5" t="str">
        <f ca="1">IFERROR(__xludf.DUMMYFUNCTION("""COMPUTED_VALUE"""),"Yes")</f>
        <v>Yes</v>
      </c>
      <c r="AA194" s="5" t="str">
        <f ca="1">IFERROR(__xludf.DUMMYFUNCTION("""COMPUTED_VALUE"""),"Yes")</f>
        <v>Yes</v>
      </c>
      <c r="AB194" s="5" t="str">
        <f ca="1">IFERROR(__xludf.DUMMYFUNCTION("""COMPUTED_VALUE"""),"Yes")</f>
        <v>Yes</v>
      </c>
      <c r="AC194" s="5" t="str">
        <f ca="1">IFERROR(__xludf.DUMMYFUNCTION("""COMPUTED_VALUE"""),"No")</f>
        <v>No</v>
      </c>
    </row>
    <row r="195" spans="1:29" x14ac:dyDescent="0.25">
      <c r="A195" s="5" t="str">
        <f ca="1">IFERROR(__xludf.DUMMYFUNCTION("""COMPUTED_VALUE"""),"VeryHot40Dice")</f>
        <v>VeryHot40Dice</v>
      </c>
      <c r="B1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5" s="5" t="str">
        <f ca="1">IFERROR(__xludf.DUMMYFUNCTION("""COMPUTED_VALUE"""),"Yes")</f>
        <v>Yes</v>
      </c>
      <c r="D195" s="5" t="str">
        <f ca="1">IFERROR(__xludf.DUMMYFUNCTION("""COMPUTED_VALUE"""),"Yes")</f>
        <v>Yes</v>
      </c>
      <c r="E195" s="5" t="str">
        <f ca="1">IFERROR(__xludf.DUMMYFUNCTION("""COMPUTED_VALUE"""),"Yes")</f>
        <v>Yes</v>
      </c>
      <c r="F195" s="5" t="str">
        <f ca="1">IFERROR(__xludf.DUMMYFUNCTION("""COMPUTED_VALUE"""),"Yes")</f>
        <v>Yes</v>
      </c>
      <c r="G195" s="5" t="str">
        <f ca="1">IFERROR(__xludf.DUMMYFUNCTION("""COMPUTED_VALUE"""),"Yes")</f>
        <v>Yes</v>
      </c>
      <c r="H195" s="5" t="str">
        <f ca="1">IFERROR(__xludf.DUMMYFUNCTION("""COMPUTED_VALUE"""),"Yes")</f>
        <v>Yes</v>
      </c>
      <c r="I195" s="5" t="str">
        <f ca="1">IFERROR(__xludf.DUMMYFUNCTION("""COMPUTED_VALUE"""),"Yes")</f>
        <v>Yes</v>
      </c>
      <c r="J195" s="5" t="str">
        <f ca="1">IFERROR(__xludf.DUMMYFUNCTION("""COMPUTED_VALUE"""),"Yes")</f>
        <v>Yes</v>
      </c>
      <c r="K195" s="5" t="str">
        <f ca="1">IFERROR(__xludf.DUMMYFUNCTION("""COMPUTED_VALUE"""),"Yes")</f>
        <v>Yes</v>
      </c>
      <c r="L195" s="5" t="str">
        <f ca="1">IFERROR(__xludf.DUMMYFUNCTION("""COMPUTED_VALUE"""),"Yes")</f>
        <v>Yes</v>
      </c>
      <c r="M195" s="5" t="str">
        <f ca="1">IFERROR(__xludf.DUMMYFUNCTION("""COMPUTED_VALUE"""),"Yes")</f>
        <v>Yes</v>
      </c>
      <c r="N195" s="5" t="str">
        <f ca="1">IFERROR(__xludf.DUMMYFUNCTION("""COMPUTED_VALUE"""),"Yes")</f>
        <v>Yes</v>
      </c>
      <c r="O195" s="5" t="str">
        <f ca="1">IFERROR(__xludf.DUMMYFUNCTION("""COMPUTED_VALUE"""),"Yes")</f>
        <v>Yes</v>
      </c>
      <c r="P195" s="5" t="str">
        <f ca="1">IFERROR(__xludf.DUMMYFUNCTION("""COMPUTED_VALUE"""),"Yes")</f>
        <v>Yes</v>
      </c>
      <c r="Q195" s="5" t="str">
        <f ca="1">IFERROR(__xludf.DUMMYFUNCTION("""COMPUTED_VALUE"""),"Yes")</f>
        <v>Yes</v>
      </c>
      <c r="R195" s="5" t="str">
        <f ca="1">IFERROR(__xludf.DUMMYFUNCTION("""COMPUTED_VALUE"""),"Yes")</f>
        <v>Yes</v>
      </c>
      <c r="S195" s="5" t="str">
        <f ca="1">IFERROR(__xludf.DUMMYFUNCTION("""COMPUTED_VALUE"""),"Yes")</f>
        <v>Yes</v>
      </c>
      <c r="T195" s="5" t="str">
        <f ca="1">IFERROR(__xludf.DUMMYFUNCTION("""COMPUTED_VALUE"""),"Yes")</f>
        <v>Yes</v>
      </c>
      <c r="U195" s="5" t="str">
        <f ca="1">IFERROR(__xludf.DUMMYFUNCTION("""COMPUTED_VALUE"""),"Yes")</f>
        <v>Yes</v>
      </c>
      <c r="V195" s="5" t="str">
        <f ca="1">IFERROR(__xludf.DUMMYFUNCTION("""COMPUTED_VALUE"""),"Yes")</f>
        <v>Yes</v>
      </c>
      <c r="W195" s="5" t="str">
        <f ca="1">IFERROR(__xludf.DUMMYFUNCTION("""COMPUTED_VALUE"""),"Yes")</f>
        <v>Yes</v>
      </c>
      <c r="X195" s="5" t="str">
        <f ca="1">IFERROR(__xludf.DUMMYFUNCTION("""COMPUTED_VALUE"""),"Yes")</f>
        <v>Yes</v>
      </c>
      <c r="Y195" s="5" t="str">
        <f ca="1">IFERROR(__xludf.DUMMYFUNCTION("""COMPUTED_VALUE"""),"Yes")</f>
        <v>Yes</v>
      </c>
      <c r="Z195" s="5" t="str">
        <f ca="1">IFERROR(__xludf.DUMMYFUNCTION("""COMPUTED_VALUE"""),"Yes")</f>
        <v>Yes</v>
      </c>
      <c r="AA195" s="5" t="str">
        <f ca="1">IFERROR(__xludf.DUMMYFUNCTION("""COMPUTED_VALUE"""),"Yes")</f>
        <v>Yes</v>
      </c>
      <c r="AB195" s="5" t="str">
        <f ca="1">IFERROR(__xludf.DUMMYFUNCTION("""COMPUTED_VALUE"""),"Yes")</f>
        <v>Yes</v>
      </c>
      <c r="AC195" s="5" t="str">
        <f ca="1">IFERROR(__xludf.DUMMYFUNCTION("""COMPUTED_VALUE"""),"No")</f>
        <v>No</v>
      </c>
    </row>
    <row r="196" spans="1:29" x14ac:dyDescent="0.25">
      <c r="A196" s="5" t="str">
        <f ca="1">IFERROR(__xludf.DUMMYFUNCTION("""COMPUTED_VALUE"""),"WildLuckyClover")</f>
        <v>WildLuckyClover</v>
      </c>
      <c r="B1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6" s="5" t="str">
        <f ca="1">IFERROR(__xludf.DUMMYFUNCTION("""COMPUTED_VALUE"""),"Yes")</f>
        <v>Yes</v>
      </c>
      <c r="D196" s="5" t="str">
        <f ca="1">IFERROR(__xludf.DUMMYFUNCTION("""COMPUTED_VALUE"""),"Yes")</f>
        <v>Yes</v>
      </c>
      <c r="E196" s="5" t="str">
        <f ca="1">IFERROR(__xludf.DUMMYFUNCTION("""COMPUTED_VALUE"""),"Yes")</f>
        <v>Yes</v>
      </c>
      <c r="F196" s="5" t="str">
        <f ca="1">IFERROR(__xludf.DUMMYFUNCTION("""COMPUTED_VALUE"""),"Yes")</f>
        <v>Yes</v>
      </c>
      <c r="G196" s="5" t="str">
        <f ca="1">IFERROR(__xludf.DUMMYFUNCTION("""COMPUTED_VALUE"""),"Yes")</f>
        <v>Yes</v>
      </c>
      <c r="H196" s="5" t="str">
        <f ca="1">IFERROR(__xludf.DUMMYFUNCTION("""COMPUTED_VALUE"""),"Yes")</f>
        <v>Yes</v>
      </c>
      <c r="I196" s="5" t="str">
        <f ca="1">IFERROR(__xludf.DUMMYFUNCTION("""COMPUTED_VALUE"""),"Yes")</f>
        <v>Yes</v>
      </c>
      <c r="J196" s="5" t="str">
        <f ca="1">IFERROR(__xludf.DUMMYFUNCTION("""COMPUTED_VALUE"""),"Yes")</f>
        <v>Yes</v>
      </c>
      <c r="K196" s="5" t="str">
        <f ca="1">IFERROR(__xludf.DUMMYFUNCTION("""COMPUTED_VALUE"""),"Yes")</f>
        <v>Yes</v>
      </c>
      <c r="L196" s="5" t="str">
        <f ca="1">IFERROR(__xludf.DUMMYFUNCTION("""COMPUTED_VALUE"""),"Yes")</f>
        <v>Yes</v>
      </c>
      <c r="M196" s="5" t="str">
        <f ca="1">IFERROR(__xludf.DUMMYFUNCTION("""COMPUTED_VALUE"""),"Yes")</f>
        <v>Yes</v>
      </c>
      <c r="N196" s="5" t="str">
        <f ca="1">IFERROR(__xludf.DUMMYFUNCTION("""COMPUTED_VALUE"""),"Yes")</f>
        <v>Yes</v>
      </c>
      <c r="O196" s="5" t="str">
        <f ca="1">IFERROR(__xludf.DUMMYFUNCTION("""COMPUTED_VALUE"""),"Yes")</f>
        <v>Yes</v>
      </c>
      <c r="P196" s="5" t="str">
        <f ca="1">IFERROR(__xludf.DUMMYFUNCTION("""COMPUTED_VALUE"""),"Yes")</f>
        <v>Yes</v>
      </c>
      <c r="Q196" s="5" t="str">
        <f ca="1">IFERROR(__xludf.DUMMYFUNCTION("""COMPUTED_VALUE"""),"Yes")</f>
        <v>Yes</v>
      </c>
      <c r="R196" s="5" t="str">
        <f ca="1">IFERROR(__xludf.DUMMYFUNCTION("""COMPUTED_VALUE"""),"Yes")</f>
        <v>Yes</v>
      </c>
      <c r="S196" s="5" t="str">
        <f ca="1">IFERROR(__xludf.DUMMYFUNCTION("""COMPUTED_VALUE"""),"Yes")</f>
        <v>Yes</v>
      </c>
      <c r="T196" s="5" t="str">
        <f ca="1">IFERROR(__xludf.DUMMYFUNCTION("""COMPUTED_VALUE"""),"Yes")</f>
        <v>Yes</v>
      </c>
      <c r="U196" s="5" t="str">
        <f ca="1">IFERROR(__xludf.DUMMYFUNCTION("""COMPUTED_VALUE"""),"Yes")</f>
        <v>Yes</v>
      </c>
      <c r="V196" s="5" t="str">
        <f ca="1">IFERROR(__xludf.DUMMYFUNCTION("""COMPUTED_VALUE"""),"Yes")</f>
        <v>Yes</v>
      </c>
      <c r="W196" s="5" t="str">
        <f ca="1">IFERROR(__xludf.DUMMYFUNCTION("""COMPUTED_VALUE"""),"Yes")</f>
        <v>Yes</v>
      </c>
      <c r="X196" s="5" t="str">
        <f ca="1">IFERROR(__xludf.DUMMYFUNCTION("""COMPUTED_VALUE"""),"Yes")</f>
        <v>Yes</v>
      </c>
      <c r="Y196" s="5" t="str">
        <f ca="1">IFERROR(__xludf.DUMMYFUNCTION("""COMPUTED_VALUE"""),"Yes")</f>
        <v>Yes</v>
      </c>
      <c r="Z196" s="5" t="str">
        <f ca="1">IFERROR(__xludf.DUMMYFUNCTION("""COMPUTED_VALUE"""),"Yes")</f>
        <v>Yes</v>
      </c>
      <c r="AA196" s="5" t="str">
        <f ca="1">IFERROR(__xludf.DUMMYFUNCTION("""COMPUTED_VALUE"""),"Yes")</f>
        <v>Yes</v>
      </c>
      <c r="AB196" s="5" t="str">
        <f ca="1">IFERROR(__xludf.DUMMYFUNCTION("""COMPUTED_VALUE"""),"Yes")</f>
        <v>Yes</v>
      </c>
      <c r="AC196" s="5" t="str">
        <f ca="1">IFERROR(__xludf.DUMMYFUNCTION("""COMPUTED_VALUE"""),"No")</f>
        <v>No</v>
      </c>
    </row>
    <row r="197" spans="1:29" x14ac:dyDescent="0.25">
      <c r="A197" s="5" t="str">
        <f ca="1">IFERROR(__xludf.DUMMYFUNCTION("""COMPUTED_VALUE"""),"FruitsAndStars20Deluxe")</f>
        <v>FruitsAndStars20Deluxe</v>
      </c>
      <c r="B1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7" s="5" t="str">
        <f ca="1">IFERROR(__xludf.DUMMYFUNCTION("""COMPUTED_VALUE"""),"Yes")</f>
        <v>Yes</v>
      </c>
      <c r="D197" s="5" t="str">
        <f ca="1">IFERROR(__xludf.DUMMYFUNCTION("""COMPUTED_VALUE"""),"Yes")</f>
        <v>Yes</v>
      </c>
      <c r="E197" s="5" t="str">
        <f ca="1">IFERROR(__xludf.DUMMYFUNCTION("""COMPUTED_VALUE"""),"Yes")</f>
        <v>Yes</v>
      </c>
      <c r="F197" s="5" t="str">
        <f ca="1">IFERROR(__xludf.DUMMYFUNCTION("""COMPUTED_VALUE"""),"Yes")</f>
        <v>Yes</v>
      </c>
      <c r="G197" s="5" t="str">
        <f ca="1">IFERROR(__xludf.DUMMYFUNCTION("""COMPUTED_VALUE"""),"Yes")</f>
        <v>Yes</v>
      </c>
      <c r="H197" s="5" t="str">
        <f ca="1">IFERROR(__xludf.DUMMYFUNCTION("""COMPUTED_VALUE"""),"Yes")</f>
        <v>Yes</v>
      </c>
      <c r="I197" s="5" t="str">
        <f ca="1">IFERROR(__xludf.DUMMYFUNCTION("""COMPUTED_VALUE"""),"Yes")</f>
        <v>Yes</v>
      </c>
      <c r="J197" s="5" t="str">
        <f ca="1">IFERROR(__xludf.DUMMYFUNCTION("""COMPUTED_VALUE"""),"Yes")</f>
        <v>Yes</v>
      </c>
      <c r="K197" s="5" t="str">
        <f ca="1">IFERROR(__xludf.DUMMYFUNCTION("""COMPUTED_VALUE"""),"Yes")</f>
        <v>Yes</v>
      </c>
      <c r="L197" s="5" t="str">
        <f ca="1">IFERROR(__xludf.DUMMYFUNCTION("""COMPUTED_VALUE"""),"Yes")</f>
        <v>Yes</v>
      </c>
      <c r="M197" s="5" t="str">
        <f ca="1">IFERROR(__xludf.DUMMYFUNCTION("""COMPUTED_VALUE"""),"Yes")</f>
        <v>Yes</v>
      </c>
      <c r="N197" s="5" t="str">
        <f ca="1">IFERROR(__xludf.DUMMYFUNCTION("""COMPUTED_VALUE"""),"Yes")</f>
        <v>Yes</v>
      </c>
      <c r="O197" s="5" t="str">
        <f ca="1">IFERROR(__xludf.DUMMYFUNCTION("""COMPUTED_VALUE"""),"Yes")</f>
        <v>Yes</v>
      </c>
      <c r="P197" s="5" t="str">
        <f ca="1">IFERROR(__xludf.DUMMYFUNCTION("""COMPUTED_VALUE"""),"Yes")</f>
        <v>Yes</v>
      </c>
      <c r="Q197" s="5" t="str">
        <f ca="1">IFERROR(__xludf.DUMMYFUNCTION("""COMPUTED_VALUE"""),"Yes")</f>
        <v>Yes</v>
      </c>
      <c r="R197" s="5" t="str">
        <f ca="1">IFERROR(__xludf.DUMMYFUNCTION("""COMPUTED_VALUE"""),"Yes")</f>
        <v>Yes</v>
      </c>
      <c r="S197" s="5" t="str">
        <f ca="1">IFERROR(__xludf.DUMMYFUNCTION("""COMPUTED_VALUE"""),"Yes")</f>
        <v>Yes</v>
      </c>
      <c r="T197" s="5" t="str">
        <f ca="1">IFERROR(__xludf.DUMMYFUNCTION("""COMPUTED_VALUE"""),"Yes")</f>
        <v>Yes</v>
      </c>
      <c r="U197" s="5" t="str">
        <f ca="1">IFERROR(__xludf.DUMMYFUNCTION("""COMPUTED_VALUE"""),"Yes")</f>
        <v>Yes</v>
      </c>
      <c r="V197" s="5" t="str">
        <f ca="1">IFERROR(__xludf.DUMMYFUNCTION("""COMPUTED_VALUE"""),"Yes")</f>
        <v>Yes</v>
      </c>
      <c r="W197" s="5" t="str">
        <f ca="1">IFERROR(__xludf.DUMMYFUNCTION("""COMPUTED_VALUE"""),"Yes")</f>
        <v>Yes</v>
      </c>
      <c r="X197" s="5" t="str">
        <f ca="1">IFERROR(__xludf.DUMMYFUNCTION("""COMPUTED_VALUE"""),"Yes")</f>
        <v>Yes</v>
      </c>
      <c r="Y197" s="5" t="str">
        <f ca="1">IFERROR(__xludf.DUMMYFUNCTION("""COMPUTED_VALUE"""),"Yes")</f>
        <v>Yes</v>
      </c>
      <c r="Z197" s="5" t="str">
        <f ca="1">IFERROR(__xludf.DUMMYFUNCTION("""COMPUTED_VALUE"""),"Yes")</f>
        <v>Yes</v>
      </c>
      <c r="AA197" s="5" t="str">
        <f ca="1">IFERROR(__xludf.DUMMYFUNCTION("""COMPUTED_VALUE"""),"Yes")</f>
        <v>Yes</v>
      </c>
      <c r="AB197" s="5" t="str">
        <f ca="1">IFERROR(__xludf.DUMMYFUNCTION("""COMPUTED_VALUE"""),"Yes")</f>
        <v>Yes</v>
      </c>
      <c r="AC197" s="5" t="str">
        <f ca="1">IFERROR(__xludf.DUMMYFUNCTION("""COMPUTED_VALUE"""),"No")</f>
        <v>No</v>
      </c>
    </row>
    <row r="198" spans="1:29" x14ac:dyDescent="0.25">
      <c r="A198" s="5" t="str">
        <f ca="1">IFERROR(__xludf.DUMMYFUNCTION("""COMPUTED_VALUE"""),"VeryHot40Respin")</f>
        <v>VeryHot40Respin</v>
      </c>
      <c r="B1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8" s="5" t="str">
        <f ca="1">IFERROR(__xludf.DUMMYFUNCTION("""COMPUTED_VALUE"""),"Yes")</f>
        <v>Yes</v>
      </c>
      <c r="D198" s="5" t="str">
        <f ca="1">IFERROR(__xludf.DUMMYFUNCTION("""COMPUTED_VALUE"""),"Yes")</f>
        <v>Yes</v>
      </c>
      <c r="E198" s="5" t="str">
        <f ca="1">IFERROR(__xludf.DUMMYFUNCTION("""COMPUTED_VALUE"""),"Yes")</f>
        <v>Yes</v>
      </c>
      <c r="F198" s="5" t="str">
        <f ca="1">IFERROR(__xludf.DUMMYFUNCTION("""COMPUTED_VALUE"""),"Yes")</f>
        <v>Yes</v>
      </c>
      <c r="G198" s="5" t="str">
        <f ca="1">IFERROR(__xludf.DUMMYFUNCTION("""COMPUTED_VALUE"""),"Yes")</f>
        <v>Yes</v>
      </c>
      <c r="H198" s="5" t="str">
        <f ca="1">IFERROR(__xludf.DUMMYFUNCTION("""COMPUTED_VALUE"""),"Yes")</f>
        <v>Yes</v>
      </c>
      <c r="I198" s="5" t="str">
        <f ca="1">IFERROR(__xludf.DUMMYFUNCTION("""COMPUTED_VALUE"""),"Yes")</f>
        <v>Yes</v>
      </c>
      <c r="J198" s="5" t="str">
        <f ca="1">IFERROR(__xludf.DUMMYFUNCTION("""COMPUTED_VALUE"""),"Yes")</f>
        <v>Yes</v>
      </c>
      <c r="K198" s="5" t="str">
        <f ca="1">IFERROR(__xludf.DUMMYFUNCTION("""COMPUTED_VALUE"""),"Yes")</f>
        <v>Yes</v>
      </c>
      <c r="L198" s="5" t="str">
        <f ca="1">IFERROR(__xludf.DUMMYFUNCTION("""COMPUTED_VALUE"""),"Yes")</f>
        <v>Yes</v>
      </c>
      <c r="M198" s="5" t="str">
        <f ca="1">IFERROR(__xludf.DUMMYFUNCTION("""COMPUTED_VALUE"""),"Yes")</f>
        <v>Yes</v>
      </c>
      <c r="N198" s="5" t="str">
        <f ca="1">IFERROR(__xludf.DUMMYFUNCTION("""COMPUTED_VALUE"""),"Yes")</f>
        <v>Yes</v>
      </c>
      <c r="O198" s="5" t="str">
        <f ca="1">IFERROR(__xludf.DUMMYFUNCTION("""COMPUTED_VALUE"""),"Yes")</f>
        <v>Yes</v>
      </c>
      <c r="P198" s="5" t="str">
        <f ca="1">IFERROR(__xludf.DUMMYFUNCTION("""COMPUTED_VALUE"""),"Yes")</f>
        <v>Yes</v>
      </c>
      <c r="Q198" s="5" t="str">
        <f ca="1">IFERROR(__xludf.DUMMYFUNCTION("""COMPUTED_VALUE"""),"Yes")</f>
        <v>Yes</v>
      </c>
      <c r="R198" s="5" t="str">
        <f ca="1">IFERROR(__xludf.DUMMYFUNCTION("""COMPUTED_VALUE"""),"Yes")</f>
        <v>Yes</v>
      </c>
      <c r="S198" s="5" t="str">
        <f ca="1">IFERROR(__xludf.DUMMYFUNCTION("""COMPUTED_VALUE"""),"Yes")</f>
        <v>Yes</v>
      </c>
      <c r="T198" s="5" t="str">
        <f ca="1">IFERROR(__xludf.DUMMYFUNCTION("""COMPUTED_VALUE"""),"Yes")</f>
        <v>Yes</v>
      </c>
      <c r="U198" s="5" t="str">
        <f ca="1">IFERROR(__xludf.DUMMYFUNCTION("""COMPUTED_VALUE"""),"Yes")</f>
        <v>Yes</v>
      </c>
      <c r="V198" s="5" t="str">
        <f ca="1">IFERROR(__xludf.DUMMYFUNCTION("""COMPUTED_VALUE"""),"Yes")</f>
        <v>Yes</v>
      </c>
      <c r="W198" s="5" t="str">
        <f ca="1">IFERROR(__xludf.DUMMYFUNCTION("""COMPUTED_VALUE"""),"Yes")</f>
        <v>Yes</v>
      </c>
      <c r="X198" s="5" t="str">
        <f ca="1">IFERROR(__xludf.DUMMYFUNCTION("""COMPUTED_VALUE"""),"Yes")</f>
        <v>Yes</v>
      </c>
      <c r="Y198" s="5" t="str">
        <f ca="1">IFERROR(__xludf.DUMMYFUNCTION("""COMPUTED_VALUE"""),"Yes")</f>
        <v>Yes</v>
      </c>
      <c r="Z198" s="5" t="str">
        <f ca="1">IFERROR(__xludf.DUMMYFUNCTION("""COMPUTED_VALUE"""),"Yes")</f>
        <v>Yes</v>
      </c>
      <c r="AA198" s="5" t="str">
        <f ca="1">IFERROR(__xludf.DUMMYFUNCTION("""COMPUTED_VALUE"""),"Yes")</f>
        <v>Yes</v>
      </c>
      <c r="AB198" s="5" t="str">
        <f ca="1">IFERROR(__xludf.DUMMYFUNCTION("""COMPUTED_VALUE"""),"Yes")</f>
        <v>Yes</v>
      </c>
      <c r="AC198" s="5" t="str">
        <f ca="1">IFERROR(__xludf.DUMMYFUNCTION("""COMPUTED_VALUE"""),"No")</f>
        <v>No</v>
      </c>
    </row>
    <row r="199" spans="1:29" x14ac:dyDescent="0.25">
      <c r="A199" s="5" t="str">
        <f ca="1">IFERROR(__xludf.DUMMYFUNCTION("""COMPUTED_VALUE"""),"BookOfDread")</f>
        <v>BookOfDread</v>
      </c>
      <c r="B1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9" s="5" t="str">
        <f ca="1">IFERROR(__xludf.DUMMYFUNCTION("""COMPUTED_VALUE"""),"Yes")</f>
        <v>Yes</v>
      </c>
      <c r="D199" s="5" t="str">
        <f ca="1">IFERROR(__xludf.DUMMYFUNCTION("""COMPUTED_VALUE"""),"Yes")</f>
        <v>Yes</v>
      </c>
      <c r="E199" s="5" t="str">
        <f ca="1">IFERROR(__xludf.DUMMYFUNCTION("""COMPUTED_VALUE"""),"Yes")</f>
        <v>Yes</v>
      </c>
      <c r="F199" s="5" t="str">
        <f ca="1">IFERROR(__xludf.DUMMYFUNCTION("""COMPUTED_VALUE"""),"Yes")</f>
        <v>Yes</v>
      </c>
      <c r="G199" s="5" t="str">
        <f ca="1">IFERROR(__xludf.DUMMYFUNCTION("""COMPUTED_VALUE"""),"Yes")</f>
        <v>Yes</v>
      </c>
      <c r="H199" s="5" t="str">
        <f ca="1">IFERROR(__xludf.DUMMYFUNCTION("""COMPUTED_VALUE"""),"Yes")</f>
        <v>Yes</v>
      </c>
      <c r="I199" s="5" t="str">
        <f ca="1">IFERROR(__xludf.DUMMYFUNCTION("""COMPUTED_VALUE"""),"Yes")</f>
        <v>Yes</v>
      </c>
      <c r="J199" s="5" t="str">
        <f ca="1">IFERROR(__xludf.DUMMYFUNCTION("""COMPUTED_VALUE"""),"Yes")</f>
        <v>Yes</v>
      </c>
      <c r="K199" s="5" t="str">
        <f ca="1">IFERROR(__xludf.DUMMYFUNCTION("""COMPUTED_VALUE"""),"Yes")</f>
        <v>Yes</v>
      </c>
      <c r="L199" s="5" t="str">
        <f ca="1">IFERROR(__xludf.DUMMYFUNCTION("""COMPUTED_VALUE"""),"Yes")</f>
        <v>Yes</v>
      </c>
      <c r="M199" s="5" t="str">
        <f ca="1">IFERROR(__xludf.DUMMYFUNCTION("""COMPUTED_VALUE"""),"Yes")</f>
        <v>Yes</v>
      </c>
      <c r="N199" s="5" t="str">
        <f ca="1">IFERROR(__xludf.DUMMYFUNCTION("""COMPUTED_VALUE"""),"Yes")</f>
        <v>Yes</v>
      </c>
      <c r="O199" s="5" t="str">
        <f ca="1">IFERROR(__xludf.DUMMYFUNCTION("""COMPUTED_VALUE"""),"Yes")</f>
        <v>Yes</v>
      </c>
      <c r="P199" s="5" t="str">
        <f ca="1">IFERROR(__xludf.DUMMYFUNCTION("""COMPUTED_VALUE"""),"Yes")</f>
        <v>Yes</v>
      </c>
      <c r="Q199" s="5" t="str">
        <f ca="1">IFERROR(__xludf.DUMMYFUNCTION("""COMPUTED_VALUE"""),"Yes")</f>
        <v>Yes</v>
      </c>
      <c r="R199" s="5" t="str">
        <f ca="1">IFERROR(__xludf.DUMMYFUNCTION("""COMPUTED_VALUE"""),"Yes")</f>
        <v>Yes</v>
      </c>
      <c r="S199" s="5" t="str">
        <f ca="1">IFERROR(__xludf.DUMMYFUNCTION("""COMPUTED_VALUE"""),"Yes")</f>
        <v>Yes</v>
      </c>
      <c r="T199" s="5" t="str">
        <f ca="1">IFERROR(__xludf.DUMMYFUNCTION("""COMPUTED_VALUE"""),"Yes")</f>
        <v>Yes</v>
      </c>
      <c r="U199" s="5" t="str">
        <f ca="1">IFERROR(__xludf.DUMMYFUNCTION("""COMPUTED_VALUE"""),"Yes")</f>
        <v>Yes</v>
      </c>
      <c r="V199" s="5" t="str">
        <f ca="1">IFERROR(__xludf.DUMMYFUNCTION("""COMPUTED_VALUE"""),"Yes")</f>
        <v>Yes</v>
      </c>
      <c r="W199" s="5" t="str">
        <f ca="1">IFERROR(__xludf.DUMMYFUNCTION("""COMPUTED_VALUE"""),"Yes")</f>
        <v>Yes</v>
      </c>
      <c r="X199" s="5" t="str">
        <f ca="1">IFERROR(__xludf.DUMMYFUNCTION("""COMPUTED_VALUE"""),"Yes")</f>
        <v>Yes</v>
      </c>
      <c r="Y199" s="5" t="str">
        <f ca="1">IFERROR(__xludf.DUMMYFUNCTION("""COMPUTED_VALUE"""),"Yes")</f>
        <v>Yes</v>
      </c>
      <c r="Z199" s="5" t="str">
        <f ca="1">IFERROR(__xludf.DUMMYFUNCTION("""COMPUTED_VALUE"""),"Yes")</f>
        <v>Yes</v>
      </c>
      <c r="AA199" s="5" t="str">
        <f ca="1">IFERROR(__xludf.DUMMYFUNCTION("""COMPUTED_VALUE"""),"Yes")</f>
        <v>Yes</v>
      </c>
      <c r="AB199" s="5" t="str">
        <f ca="1">IFERROR(__xludf.DUMMYFUNCTION("""COMPUTED_VALUE"""),"Yes")</f>
        <v>Yes</v>
      </c>
      <c r="AC199" s="5"/>
    </row>
    <row r="200" spans="1:29" x14ac:dyDescent="0.25">
      <c r="A200" s="5" t="str">
        <f ca="1">IFERROR(__xludf.DUMMYFUNCTION("""COMPUTED_VALUE"""),"WildPumpkin10")</f>
        <v>WildPumpkin10</v>
      </c>
      <c r="B20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00" s="5" t="str">
        <f ca="1">IFERROR(__xludf.DUMMYFUNCTION("""COMPUTED_VALUE"""),"Yes")</f>
        <v>Yes</v>
      </c>
      <c r="D200" s="5" t="str">
        <f ca="1">IFERROR(__xludf.DUMMYFUNCTION("""COMPUTED_VALUE"""),"Yes")</f>
        <v>Yes</v>
      </c>
      <c r="E200" s="5" t="str">
        <f ca="1">IFERROR(__xludf.DUMMYFUNCTION("""COMPUTED_VALUE"""),"No")</f>
        <v>No</v>
      </c>
      <c r="F200" s="5" t="str">
        <f ca="1">IFERROR(__xludf.DUMMYFUNCTION("""COMPUTED_VALUE"""),"Yes")</f>
        <v>Yes</v>
      </c>
      <c r="G200" s="5" t="str">
        <f ca="1">IFERROR(__xludf.DUMMYFUNCTION("""COMPUTED_VALUE"""),"Yes")</f>
        <v>Yes</v>
      </c>
      <c r="H200" s="5" t="str">
        <f ca="1">IFERROR(__xludf.DUMMYFUNCTION("""COMPUTED_VALUE"""),"Yes")</f>
        <v>Yes</v>
      </c>
      <c r="I200" s="5" t="str">
        <f ca="1">IFERROR(__xludf.DUMMYFUNCTION("""COMPUTED_VALUE"""),"Yes")</f>
        <v>Yes</v>
      </c>
      <c r="J200" s="5" t="str">
        <f ca="1">IFERROR(__xludf.DUMMYFUNCTION("""COMPUTED_VALUE"""),"Yes")</f>
        <v>Yes</v>
      </c>
      <c r="K200" s="5" t="str">
        <f ca="1">IFERROR(__xludf.DUMMYFUNCTION("""COMPUTED_VALUE"""),"Yes")</f>
        <v>Yes</v>
      </c>
      <c r="L200" s="5" t="str">
        <f ca="1">IFERROR(__xludf.DUMMYFUNCTION("""COMPUTED_VALUE"""),"Yes")</f>
        <v>Yes</v>
      </c>
      <c r="M200" s="5" t="str">
        <f ca="1">IFERROR(__xludf.DUMMYFUNCTION("""COMPUTED_VALUE"""),"Yes")</f>
        <v>Yes</v>
      </c>
      <c r="N200" s="5" t="str">
        <f ca="1">IFERROR(__xludf.DUMMYFUNCTION("""COMPUTED_VALUE"""),"Yes")</f>
        <v>Yes</v>
      </c>
      <c r="O200" s="5" t="str">
        <f ca="1">IFERROR(__xludf.DUMMYFUNCTION("""COMPUTED_VALUE"""),"Yes")</f>
        <v>Yes</v>
      </c>
      <c r="P200" s="5" t="str">
        <f ca="1">IFERROR(__xludf.DUMMYFUNCTION("""COMPUTED_VALUE"""),"Yes")</f>
        <v>Yes</v>
      </c>
      <c r="Q200" s="5" t="str">
        <f ca="1">IFERROR(__xludf.DUMMYFUNCTION("""COMPUTED_VALUE"""),"Yes")</f>
        <v>Yes</v>
      </c>
      <c r="R200" s="5" t="str">
        <f ca="1">IFERROR(__xludf.DUMMYFUNCTION("""COMPUTED_VALUE"""),"No")</f>
        <v>No</v>
      </c>
      <c r="S200" s="5" t="str">
        <f ca="1">IFERROR(__xludf.DUMMYFUNCTION("""COMPUTED_VALUE"""),"No")</f>
        <v>No</v>
      </c>
      <c r="T200" s="5" t="str">
        <f ca="1">IFERROR(__xludf.DUMMYFUNCTION("""COMPUTED_VALUE"""),"No")</f>
        <v>No</v>
      </c>
      <c r="U200" s="5" t="str">
        <f ca="1">IFERROR(__xludf.DUMMYFUNCTION("""COMPUTED_VALUE"""),"No")</f>
        <v>No</v>
      </c>
      <c r="V200" s="5" t="str">
        <f ca="1">IFERROR(__xludf.DUMMYFUNCTION("""COMPUTED_VALUE"""),"No")</f>
        <v>No</v>
      </c>
      <c r="W200" s="5" t="str">
        <f ca="1">IFERROR(__xludf.DUMMYFUNCTION("""COMPUTED_VALUE"""),"No")</f>
        <v>No</v>
      </c>
      <c r="X200" s="5" t="str">
        <f ca="1">IFERROR(__xludf.DUMMYFUNCTION("""COMPUTED_VALUE"""),"No")</f>
        <v>No</v>
      </c>
      <c r="Y200" s="5" t="str">
        <f ca="1">IFERROR(__xludf.DUMMYFUNCTION("""COMPUTED_VALUE"""),"No")</f>
        <v>No</v>
      </c>
      <c r="Z200" s="5" t="str">
        <f ca="1">IFERROR(__xludf.DUMMYFUNCTION("""COMPUTED_VALUE"""),"No")</f>
        <v>No</v>
      </c>
      <c r="AA200" s="5" t="str">
        <f ca="1">IFERROR(__xludf.DUMMYFUNCTION("""COMPUTED_VALUE"""),"No")</f>
        <v>No</v>
      </c>
      <c r="AB200" s="5" t="str">
        <f ca="1">IFERROR(__xludf.DUMMYFUNCTION("""COMPUTED_VALUE"""),"Yes")</f>
        <v>Yes</v>
      </c>
      <c r="AC200" s="5" t="str">
        <f ca="1">IFERROR(__xludf.DUMMYFUNCTION("""COMPUTED_VALUE"""),"No")</f>
        <v>No</v>
      </c>
    </row>
    <row r="201" spans="1:29" x14ac:dyDescent="0.25">
      <c r="A201" s="5" t="str">
        <f ca="1">IFERROR(__xludf.DUMMYFUNCTION("""COMPUTED_VALUE"""),"AfricanTreasure")</f>
        <v>AfricanTreasure</v>
      </c>
      <c r="B2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1" s="5" t="str">
        <f ca="1">IFERROR(__xludf.DUMMYFUNCTION("""COMPUTED_VALUE"""),"Yes")</f>
        <v>Yes</v>
      </c>
      <c r="D201" s="5" t="str">
        <f ca="1">IFERROR(__xludf.DUMMYFUNCTION("""COMPUTED_VALUE"""),"Yes")</f>
        <v>Yes</v>
      </c>
      <c r="E201" s="5" t="str">
        <f ca="1">IFERROR(__xludf.DUMMYFUNCTION("""COMPUTED_VALUE"""),"Yes")</f>
        <v>Yes</v>
      </c>
      <c r="F201" s="5" t="str">
        <f ca="1">IFERROR(__xludf.DUMMYFUNCTION("""COMPUTED_VALUE"""),"Yes")</f>
        <v>Yes</v>
      </c>
      <c r="G201" s="5" t="str">
        <f ca="1">IFERROR(__xludf.DUMMYFUNCTION("""COMPUTED_VALUE"""),"Yes")</f>
        <v>Yes</v>
      </c>
      <c r="H201" s="5" t="str">
        <f ca="1">IFERROR(__xludf.DUMMYFUNCTION("""COMPUTED_VALUE"""),"Yes")</f>
        <v>Yes</v>
      </c>
      <c r="I201" s="5" t="str">
        <f ca="1">IFERROR(__xludf.DUMMYFUNCTION("""COMPUTED_VALUE"""),"Yes")</f>
        <v>Yes</v>
      </c>
      <c r="J201" s="5" t="str">
        <f ca="1">IFERROR(__xludf.DUMMYFUNCTION("""COMPUTED_VALUE"""),"Yes")</f>
        <v>Yes</v>
      </c>
      <c r="K201" s="5" t="str">
        <f ca="1">IFERROR(__xludf.DUMMYFUNCTION("""COMPUTED_VALUE"""),"Yes")</f>
        <v>Yes</v>
      </c>
      <c r="L201" s="5" t="str">
        <f ca="1">IFERROR(__xludf.DUMMYFUNCTION("""COMPUTED_VALUE"""),"Yes")</f>
        <v>Yes</v>
      </c>
      <c r="M201" s="5" t="str">
        <f ca="1">IFERROR(__xludf.DUMMYFUNCTION("""COMPUTED_VALUE"""),"Yes")</f>
        <v>Yes</v>
      </c>
      <c r="N201" s="5" t="str">
        <f ca="1">IFERROR(__xludf.DUMMYFUNCTION("""COMPUTED_VALUE"""),"Yes")</f>
        <v>Yes</v>
      </c>
      <c r="O201" s="5" t="str">
        <f ca="1">IFERROR(__xludf.DUMMYFUNCTION("""COMPUTED_VALUE"""),"Yes")</f>
        <v>Yes</v>
      </c>
      <c r="P201" s="5" t="str">
        <f ca="1">IFERROR(__xludf.DUMMYFUNCTION("""COMPUTED_VALUE"""),"Yes")</f>
        <v>Yes</v>
      </c>
      <c r="Q201" s="5" t="str">
        <f ca="1">IFERROR(__xludf.DUMMYFUNCTION("""COMPUTED_VALUE"""),"Yes")</f>
        <v>Yes</v>
      </c>
      <c r="R201" s="5" t="str">
        <f ca="1">IFERROR(__xludf.DUMMYFUNCTION("""COMPUTED_VALUE"""),"Yes")</f>
        <v>Yes</v>
      </c>
      <c r="S201" s="5" t="str">
        <f ca="1">IFERROR(__xludf.DUMMYFUNCTION("""COMPUTED_VALUE"""),"Yes")</f>
        <v>Yes</v>
      </c>
      <c r="T201" s="5" t="str">
        <f ca="1">IFERROR(__xludf.DUMMYFUNCTION("""COMPUTED_VALUE"""),"Yes")</f>
        <v>Yes</v>
      </c>
      <c r="U201" s="5" t="str">
        <f ca="1">IFERROR(__xludf.DUMMYFUNCTION("""COMPUTED_VALUE"""),"Yes")</f>
        <v>Yes</v>
      </c>
      <c r="V201" s="5" t="str">
        <f ca="1">IFERROR(__xludf.DUMMYFUNCTION("""COMPUTED_VALUE"""),"Yes")</f>
        <v>Yes</v>
      </c>
      <c r="W201" s="5" t="str">
        <f ca="1">IFERROR(__xludf.DUMMYFUNCTION("""COMPUTED_VALUE"""),"Yes")</f>
        <v>Yes</v>
      </c>
      <c r="X201" s="5" t="str">
        <f ca="1">IFERROR(__xludf.DUMMYFUNCTION("""COMPUTED_VALUE"""),"Yes")</f>
        <v>Yes</v>
      </c>
      <c r="Y201" s="5" t="str">
        <f ca="1">IFERROR(__xludf.DUMMYFUNCTION("""COMPUTED_VALUE"""),"Yes")</f>
        <v>Yes</v>
      </c>
      <c r="Z201" s="5" t="str">
        <f ca="1">IFERROR(__xludf.DUMMYFUNCTION("""COMPUTED_VALUE"""),"Yes")</f>
        <v>Yes</v>
      </c>
      <c r="AA201" s="5" t="str">
        <f ca="1">IFERROR(__xludf.DUMMYFUNCTION("""COMPUTED_VALUE"""),"Yes")</f>
        <v>Yes</v>
      </c>
      <c r="AB201" s="5" t="str">
        <f ca="1">IFERROR(__xludf.DUMMYFUNCTION("""COMPUTED_VALUE"""),"Yes")</f>
        <v>Yes</v>
      </c>
      <c r="AC201" s="5" t="str">
        <f ca="1">IFERROR(__xludf.DUMMYFUNCTION("""COMPUTED_VALUE"""),"No")</f>
        <v>No</v>
      </c>
    </row>
    <row r="202" spans="1:29" x14ac:dyDescent="0.25">
      <c r="A202" s="5" t="str">
        <f ca="1">IFERROR(__xludf.DUMMYFUNCTION("""COMPUTED_VALUE"""),"UnicornDaVincisDice")</f>
        <v>UnicornDaVincisDice</v>
      </c>
      <c r="B2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2" s="5" t="str">
        <f ca="1">IFERROR(__xludf.DUMMYFUNCTION("""COMPUTED_VALUE"""),"Yes")</f>
        <v>Yes</v>
      </c>
      <c r="D202" s="5" t="str">
        <f ca="1">IFERROR(__xludf.DUMMYFUNCTION("""COMPUTED_VALUE"""),"Yes")</f>
        <v>Yes</v>
      </c>
      <c r="E202" s="5" t="str">
        <f ca="1">IFERROR(__xludf.DUMMYFUNCTION("""COMPUTED_VALUE"""),"Yes")</f>
        <v>Yes</v>
      </c>
      <c r="F202" s="5" t="str">
        <f ca="1">IFERROR(__xludf.DUMMYFUNCTION("""COMPUTED_VALUE"""),"Yes")</f>
        <v>Yes</v>
      </c>
      <c r="G202" s="5" t="str">
        <f ca="1">IFERROR(__xludf.DUMMYFUNCTION("""COMPUTED_VALUE"""),"Yes")</f>
        <v>Yes</v>
      </c>
      <c r="H202" s="5" t="str">
        <f ca="1">IFERROR(__xludf.DUMMYFUNCTION("""COMPUTED_VALUE"""),"Yes")</f>
        <v>Yes</v>
      </c>
      <c r="I202" s="5" t="str">
        <f ca="1">IFERROR(__xludf.DUMMYFUNCTION("""COMPUTED_VALUE"""),"Yes")</f>
        <v>Yes</v>
      </c>
      <c r="J202" s="5" t="str">
        <f ca="1">IFERROR(__xludf.DUMMYFUNCTION("""COMPUTED_VALUE"""),"Yes")</f>
        <v>Yes</v>
      </c>
      <c r="K202" s="5" t="str">
        <f ca="1">IFERROR(__xludf.DUMMYFUNCTION("""COMPUTED_VALUE"""),"Yes")</f>
        <v>Yes</v>
      </c>
      <c r="L202" s="5" t="str">
        <f ca="1">IFERROR(__xludf.DUMMYFUNCTION("""COMPUTED_VALUE"""),"Yes")</f>
        <v>Yes</v>
      </c>
      <c r="M202" s="5" t="str">
        <f ca="1">IFERROR(__xludf.DUMMYFUNCTION("""COMPUTED_VALUE"""),"Yes")</f>
        <v>Yes</v>
      </c>
      <c r="N202" s="5" t="str">
        <f ca="1">IFERROR(__xludf.DUMMYFUNCTION("""COMPUTED_VALUE"""),"Yes")</f>
        <v>Yes</v>
      </c>
      <c r="O202" s="5" t="str">
        <f ca="1">IFERROR(__xludf.DUMMYFUNCTION("""COMPUTED_VALUE"""),"Yes")</f>
        <v>Yes</v>
      </c>
      <c r="P202" s="5" t="str">
        <f ca="1">IFERROR(__xludf.DUMMYFUNCTION("""COMPUTED_VALUE"""),"Yes")</f>
        <v>Yes</v>
      </c>
      <c r="Q202" s="5" t="str">
        <f ca="1">IFERROR(__xludf.DUMMYFUNCTION("""COMPUTED_VALUE"""),"Yes")</f>
        <v>Yes</v>
      </c>
      <c r="R202" s="5" t="str">
        <f ca="1">IFERROR(__xludf.DUMMYFUNCTION("""COMPUTED_VALUE"""),"Yes")</f>
        <v>Yes</v>
      </c>
      <c r="S202" s="5" t="str">
        <f ca="1">IFERROR(__xludf.DUMMYFUNCTION("""COMPUTED_VALUE"""),"Yes")</f>
        <v>Yes</v>
      </c>
      <c r="T202" s="5" t="str">
        <f ca="1">IFERROR(__xludf.DUMMYFUNCTION("""COMPUTED_VALUE"""),"Yes")</f>
        <v>Yes</v>
      </c>
      <c r="U202" s="5" t="str">
        <f ca="1">IFERROR(__xludf.DUMMYFUNCTION("""COMPUTED_VALUE"""),"Yes")</f>
        <v>Yes</v>
      </c>
      <c r="V202" s="5" t="str">
        <f ca="1">IFERROR(__xludf.DUMMYFUNCTION("""COMPUTED_VALUE"""),"Yes")</f>
        <v>Yes</v>
      </c>
      <c r="W202" s="5" t="str">
        <f ca="1">IFERROR(__xludf.DUMMYFUNCTION("""COMPUTED_VALUE"""),"Yes")</f>
        <v>Yes</v>
      </c>
      <c r="X202" s="5" t="str">
        <f ca="1">IFERROR(__xludf.DUMMYFUNCTION("""COMPUTED_VALUE"""),"Yes")</f>
        <v>Yes</v>
      </c>
      <c r="Y202" s="5" t="str">
        <f ca="1">IFERROR(__xludf.DUMMYFUNCTION("""COMPUTED_VALUE"""),"Yes")</f>
        <v>Yes</v>
      </c>
      <c r="Z202" s="5" t="str">
        <f ca="1">IFERROR(__xludf.DUMMYFUNCTION("""COMPUTED_VALUE"""),"Yes")</f>
        <v>Yes</v>
      </c>
      <c r="AA202" s="5" t="str">
        <f ca="1">IFERROR(__xludf.DUMMYFUNCTION("""COMPUTED_VALUE"""),"Yes")</f>
        <v>Yes</v>
      </c>
      <c r="AB202" s="5" t="str">
        <f ca="1">IFERROR(__xludf.DUMMYFUNCTION("""COMPUTED_VALUE"""),"Yes")</f>
        <v>Yes</v>
      </c>
      <c r="AC202" s="5"/>
    </row>
    <row r="203" spans="1:29" x14ac:dyDescent="0.25">
      <c r="A203" s="5" t="str">
        <f ca="1">IFERROR(__xludf.DUMMYFUNCTION("""COMPUTED_VALUE"""),"UnicornWinterFruits")</f>
        <v>UnicornWinterFruits</v>
      </c>
      <c r="B20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03" s="5" t="str">
        <f ca="1">IFERROR(__xludf.DUMMYFUNCTION("""COMPUTED_VALUE"""),"Yes")</f>
        <v>Yes</v>
      </c>
      <c r="D203" s="5" t="str">
        <f ca="1">IFERROR(__xludf.DUMMYFUNCTION("""COMPUTED_VALUE"""),"Yes")</f>
        <v>Yes</v>
      </c>
      <c r="E203" s="5" t="str">
        <f ca="1">IFERROR(__xludf.DUMMYFUNCTION("""COMPUTED_VALUE"""),"Yes")</f>
        <v>Yes</v>
      </c>
      <c r="F203" s="5" t="str">
        <f ca="1">IFERROR(__xludf.DUMMYFUNCTION("""COMPUTED_VALUE"""),"No")</f>
        <v>No</v>
      </c>
      <c r="G203" s="5" t="str">
        <f ca="1">IFERROR(__xludf.DUMMYFUNCTION("""COMPUTED_VALUE"""),"No")</f>
        <v>No</v>
      </c>
      <c r="H203" s="5" t="str">
        <f ca="1">IFERROR(__xludf.DUMMYFUNCTION("""COMPUTED_VALUE"""),"No")</f>
        <v>No</v>
      </c>
      <c r="I203" s="5" t="str">
        <f ca="1">IFERROR(__xludf.DUMMYFUNCTION("""COMPUTED_VALUE"""),"No")</f>
        <v>No</v>
      </c>
      <c r="J203" s="5" t="str">
        <f ca="1">IFERROR(__xludf.DUMMYFUNCTION("""COMPUTED_VALUE"""),"No")</f>
        <v>No</v>
      </c>
      <c r="K203" s="5" t="str">
        <f ca="1">IFERROR(__xludf.DUMMYFUNCTION("""COMPUTED_VALUE"""),"Yes")</f>
        <v>Yes</v>
      </c>
      <c r="L203" s="5" t="str">
        <f ca="1">IFERROR(__xludf.DUMMYFUNCTION("""COMPUTED_VALUE"""),"Yes")</f>
        <v>Yes</v>
      </c>
      <c r="M203" s="5" t="str">
        <f ca="1">IFERROR(__xludf.DUMMYFUNCTION("""COMPUTED_VALUE"""),"Yes")</f>
        <v>Yes</v>
      </c>
      <c r="N203" s="5" t="str">
        <f ca="1">IFERROR(__xludf.DUMMYFUNCTION("""COMPUTED_VALUE"""),"Yes")</f>
        <v>Yes</v>
      </c>
      <c r="O203" s="5" t="str">
        <f ca="1">IFERROR(__xludf.DUMMYFUNCTION("""COMPUTED_VALUE"""),"Yes")</f>
        <v>Yes</v>
      </c>
      <c r="P203" s="5" t="str">
        <f ca="1">IFERROR(__xludf.DUMMYFUNCTION("""COMPUTED_VALUE"""),"No")</f>
        <v>No</v>
      </c>
      <c r="Q203" s="5" t="str">
        <f ca="1">IFERROR(__xludf.DUMMYFUNCTION("""COMPUTED_VALUE"""),"Yes")</f>
        <v>Yes</v>
      </c>
      <c r="R203" s="5" t="str">
        <f ca="1">IFERROR(__xludf.DUMMYFUNCTION("""COMPUTED_VALUE"""),"No")</f>
        <v>No</v>
      </c>
      <c r="S203" s="5" t="str">
        <f ca="1">IFERROR(__xludf.DUMMYFUNCTION("""COMPUTED_VALUE"""),"No")</f>
        <v>No</v>
      </c>
      <c r="T203" s="5" t="str">
        <f ca="1">IFERROR(__xludf.DUMMYFUNCTION("""COMPUTED_VALUE"""),"No")</f>
        <v>No</v>
      </c>
      <c r="U203" s="5" t="str">
        <f ca="1">IFERROR(__xludf.DUMMYFUNCTION("""COMPUTED_VALUE"""),"No")</f>
        <v>No</v>
      </c>
      <c r="V203" s="5" t="str">
        <f ca="1">IFERROR(__xludf.DUMMYFUNCTION("""COMPUTED_VALUE"""),"No")</f>
        <v>No</v>
      </c>
      <c r="W203" s="5"/>
      <c r="X203" s="5"/>
      <c r="Y203" s="5"/>
      <c r="Z203" s="5" t="str">
        <f ca="1">IFERROR(__xludf.DUMMYFUNCTION("""COMPUTED_VALUE"""),"No")</f>
        <v>No</v>
      </c>
      <c r="AA203" s="5"/>
      <c r="AB203" s="5"/>
      <c r="AC203" s="5"/>
    </row>
    <row r="204" spans="1:29" x14ac:dyDescent="0.25">
      <c r="A204" s="5" t="str">
        <f ca="1">IFERROR(__xludf.DUMMYFUNCTION("""COMPUTED_VALUE"""),"CrystalHot40Christmas")</f>
        <v>CrystalHot40Christmas</v>
      </c>
      <c r="B2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4" s="5" t="str">
        <f ca="1">IFERROR(__xludf.DUMMYFUNCTION("""COMPUTED_VALUE"""),"Yes")</f>
        <v>Yes</v>
      </c>
      <c r="D204" s="5" t="str">
        <f ca="1">IFERROR(__xludf.DUMMYFUNCTION("""COMPUTED_VALUE"""),"Yes")</f>
        <v>Yes</v>
      </c>
      <c r="E204" s="5" t="str">
        <f ca="1">IFERROR(__xludf.DUMMYFUNCTION("""COMPUTED_VALUE"""),"Yes")</f>
        <v>Yes</v>
      </c>
      <c r="F204" s="5" t="str">
        <f ca="1">IFERROR(__xludf.DUMMYFUNCTION("""COMPUTED_VALUE"""),"Yes")</f>
        <v>Yes</v>
      </c>
      <c r="G204" s="5" t="str">
        <f ca="1">IFERROR(__xludf.DUMMYFUNCTION("""COMPUTED_VALUE"""),"Yes")</f>
        <v>Yes</v>
      </c>
      <c r="H204" s="5" t="str">
        <f ca="1">IFERROR(__xludf.DUMMYFUNCTION("""COMPUTED_VALUE"""),"Yes")</f>
        <v>Yes</v>
      </c>
      <c r="I204" s="5" t="str">
        <f ca="1">IFERROR(__xludf.DUMMYFUNCTION("""COMPUTED_VALUE"""),"Yes")</f>
        <v>Yes</v>
      </c>
      <c r="J204" s="5" t="str">
        <f ca="1">IFERROR(__xludf.DUMMYFUNCTION("""COMPUTED_VALUE"""),"Yes")</f>
        <v>Yes</v>
      </c>
      <c r="K204" s="5" t="str">
        <f ca="1">IFERROR(__xludf.DUMMYFUNCTION("""COMPUTED_VALUE"""),"Yes")</f>
        <v>Yes</v>
      </c>
      <c r="L204" s="5" t="str">
        <f ca="1">IFERROR(__xludf.DUMMYFUNCTION("""COMPUTED_VALUE"""),"Yes")</f>
        <v>Yes</v>
      </c>
      <c r="M204" s="5" t="str">
        <f ca="1">IFERROR(__xludf.DUMMYFUNCTION("""COMPUTED_VALUE"""),"Yes")</f>
        <v>Yes</v>
      </c>
      <c r="N204" s="5" t="str">
        <f ca="1">IFERROR(__xludf.DUMMYFUNCTION("""COMPUTED_VALUE"""),"Yes")</f>
        <v>Yes</v>
      </c>
      <c r="O204" s="5" t="str">
        <f ca="1">IFERROR(__xludf.DUMMYFUNCTION("""COMPUTED_VALUE"""),"Yes")</f>
        <v>Yes</v>
      </c>
      <c r="P204" s="5" t="str">
        <f ca="1">IFERROR(__xludf.DUMMYFUNCTION("""COMPUTED_VALUE"""),"Yes")</f>
        <v>Yes</v>
      </c>
      <c r="Q204" s="5" t="str">
        <f ca="1">IFERROR(__xludf.DUMMYFUNCTION("""COMPUTED_VALUE"""),"Yes")</f>
        <v>Yes</v>
      </c>
      <c r="R204" s="5" t="str">
        <f ca="1">IFERROR(__xludf.DUMMYFUNCTION("""COMPUTED_VALUE"""),"Yes")</f>
        <v>Yes</v>
      </c>
      <c r="S204" s="5" t="str">
        <f ca="1">IFERROR(__xludf.DUMMYFUNCTION("""COMPUTED_VALUE"""),"Yes")</f>
        <v>Yes</v>
      </c>
      <c r="T204" s="5" t="str">
        <f ca="1">IFERROR(__xludf.DUMMYFUNCTION("""COMPUTED_VALUE"""),"Yes")</f>
        <v>Yes</v>
      </c>
      <c r="U204" s="5" t="str">
        <f ca="1">IFERROR(__xludf.DUMMYFUNCTION("""COMPUTED_VALUE"""),"Yes")</f>
        <v>Yes</v>
      </c>
      <c r="V204" s="5" t="str">
        <f ca="1">IFERROR(__xludf.DUMMYFUNCTION("""COMPUTED_VALUE"""),"Yes")</f>
        <v>Yes</v>
      </c>
      <c r="W204" s="5" t="str">
        <f ca="1">IFERROR(__xludf.DUMMYFUNCTION("""COMPUTED_VALUE"""),"Yes")</f>
        <v>Yes</v>
      </c>
      <c r="X204" s="5" t="str">
        <f ca="1">IFERROR(__xludf.DUMMYFUNCTION("""COMPUTED_VALUE"""),"Yes")</f>
        <v>Yes</v>
      </c>
      <c r="Y204" s="5" t="str">
        <f ca="1">IFERROR(__xludf.DUMMYFUNCTION("""COMPUTED_VALUE"""),"Yes")</f>
        <v>Yes</v>
      </c>
      <c r="Z204" s="5" t="str">
        <f ca="1">IFERROR(__xludf.DUMMYFUNCTION("""COMPUTED_VALUE"""),"Yes")</f>
        <v>Yes</v>
      </c>
      <c r="AA204" s="5" t="str">
        <f ca="1">IFERROR(__xludf.DUMMYFUNCTION("""COMPUTED_VALUE"""),"Yes")</f>
        <v>Yes</v>
      </c>
      <c r="AB204" s="5" t="str">
        <f ca="1">IFERROR(__xludf.DUMMYFUNCTION("""COMPUTED_VALUE"""),"Yes")</f>
        <v>Yes</v>
      </c>
      <c r="AC204" s="5" t="str">
        <f ca="1">IFERROR(__xludf.DUMMYFUNCTION("""COMPUTED_VALUE"""),"No")</f>
        <v>No</v>
      </c>
    </row>
    <row r="205" spans="1:29" x14ac:dyDescent="0.25">
      <c r="A205" s="5" t="str">
        <f ca="1">IFERROR(__xludf.DUMMYFUNCTION("""COMPUTED_VALUE"""),"FruitsAndStarsChristmas")</f>
        <v>FruitsAndStarsChristmas</v>
      </c>
      <c r="B2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5" s="5" t="str">
        <f ca="1">IFERROR(__xludf.DUMMYFUNCTION("""COMPUTED_VALUE"""),"Yes")</f>
        <v>Yes</v>
      </c>
      <c r="D205" s="5" t="str">
        <f ca="1">IFERROR(__xludf.DUMMYFUNCTION("""COMPUTED_VALUE"""),"Yes")</f>
        <v>Yes</v>
      </c>
      <c r="E205" s="5" t="str">
        <f ca="1">IFERROR(__xludf.DUMMYFUNCTION("""COMPUTED_VALUE"""),"Yes")</f>
        <v>Yes</v>
      </c>
      <c r="F205" s="5" t="str">
        <f ca="1">IFERROR(__xludf.DUMMYFUNCTION("""COMPUTED_VALUE"""),"Yes")</f>
        <v>Yes</v>
      </c>
      <c r="G205" s="5" t="str">
        <f ca="1">IFERROR(__xludf.DUMMYFUNCTION("""COMPUTED_VALUE"""),"Yes")</f>
        <v>Yes</v>
      </c>
      <c r="H205" s="5" t="str">
        <f ca="1">IFERROR(__xludf.DUMMYFUNCTION("""COMPUTED_VALUE"""),"Yes")</f>
        <v>Yes</v>
      </c>
      <c r="I205" s="5" t="str">
        <f ca="1">IFERROR(__xludf.DUMMYFUNCTION("""COMPUTED_VALUE"""),"Yes")</f>
        <v>Yes</v>
      </c>
      <c r="J205" s="5" t="str">
        <f ca="1">IFERROR(__xludf.DUMMYFUNCTION("""COMPUTED_VALUE"""),"Yes")</f>
        <v>Yes</v>
      </c>
      <c r="K205" s="5" t="str">
        <f ca="1">IFERROR(__xludf.DUMMYFUNCTION("""COMPUTED_VALUE"""),"Yes")</f>
        <v>Yes</v>
      </c>
      <c r="L205" s="5" t="str">
        <f ca="1">IFERROR(__xludf.DUMMYFUNCTION("""COMPUTED_VALUE"""),"Yes")</f>
        <v>Yes</v>
      </c>
      <c r="M205" s="5" t="str">
        <f ca="1">IFERROR(__xludf.DUMMYFUNCTION("""COMPUTED_VALUE"""),"Yes")</f>
        <v>Yes</v>
      </c>
      <c r="N205" s="5" t="str">
        <f ca="1">IFERROR(__xludf.DUMMYFUNCTION("""COMPUTED_VALUE"""),"Yes")</f>
        <v>Yes</v>
      </c>
      <c r="O205" s="5" t="str">
        <f ca="1">IFERROR(__xludf.DUMMYFUNCTION("""COMPUTED_VALUE"""),"Yes")</f>
        <v>Yes</v>
      </c>
      <c r="P205" s="5" t="str">
        <f ca="1">IFERROR(__xludf.DUMMYFUNCTION("""COMPUTED_VALUE"""),"Yes")</f>
        <v>Yes</v>
      </c>
      <c r="Q205" s="5" t="str">
        <f ca="1">IFERROR(__xludf.DUMMYFUNCTION("""COMPUTED_VALUE"""),"Yes")</f>
        <v>Yes</v>
      </c>
      <c r="R205" s="5" t="str">
        <f ca="1">IFERROR(__xludf.DUMMYFUNCTION("""COMPUTED_VALUE"""),"Yes")</f>
        <v>Yes</v>
      </c>
      <c r="S205" s="5" t="str">
        <f ca="1">IFERROR(__xludf.DUMMYFUNCTION("""COMPUTED_VALUE"""),"Yes")</f>
        <v>Yes</v>
      </c>
      <c r="T205" s="5" t="str">
        <f ca="1">IFERROR(__xludf.DUMMYFUNCTION("""COMPUTED_VALUE"""),"Yes")</f>
        <v>Yes</v>
      </c>
      <c r="U205" s="5" t="str">
        <f ca="1">IFERROR(__xludf.DUMMYFUNCTION("""COMPUTED_VALUE"""),"Yes")</f>
        <v>Yes</v>
      </c>
      <c r="V205" s="5" t="str">
        <f ca="1">IFERROR(__xludf.DUMMYFUNCTION("""COMPUTED_VALUE"""),"Yes")</f>
        <v>Yes</v>
      </c>
      <c r="W205" s="5" t="str">
        <f ca="1">IFERROR(__xludf.DUMMYFUNCTION("""COMPUTED_VALUE"""),"Yes")</f>
        <v>Yes</v>
      </c>
      <c r="X205" s="5" t="str">
        <f ca="1">IFERROR(__xludf.DUMMYFUNCTION("""COMPUTED_VALUE"""),"Yes")</f>
        <v>Yes</v>
      </c>
      <c r="Y205" s="5" t="str">
        <f ca="1">IFERROR(__xludf.DUMMYFUNCTION("""COMPUTED_VALUE"""),"Yes")</f>
        <v>Yes</v>
      </c>
      <c r="Z205" s="5" t="str">
        <f ca="1">IFERROR(__xludf.DUMMYFUNCTION("""COMPUTED_VALUE"""),"Yes")</f>
        <v>Yes</v>
      </c>
      <c r="AA205" s="5" t="str">
        <f ca="1">IFERROR(__xludf.DUMMYFUNCTION("""COMPUTED_VALUE"""),"Yes")</f>
        <v>Yes</v>
      </c>
      <c r="AB205" s="5" t="str">
        <f ca="1">IFERROR(__xludf.DUMMYFUNCTION("""COMPUTED_VALUE"""),"Yes")</f>
        <v>Yes</v>
      </c>
      <c r="AC205" s="5" t="str">
        <f ca="1">IFERROR(__xludf.DUMMYFUNCTION("""COMPUTED_VALUE"""),"No")</f>
        <v>No</v>
      </c>
    </row>
    <row r="206" spans="1:29" x14ac:dyDescent="0.25">
      <c r="A206" s="5" t="str">
        <f ca="1">IFERROR(__xludf.DUMMYFUNCTION("""COMPUTED_VALUE"""),"HotStarsChristmas")</f>
        <v>HotStarsChristmas</v>
      </c>
      <c r="B2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6" s="5" t="str">
        <f ca="1">IFERROR(__xludf.DUMMYFUNCTION("""COMPUTED_VALUE"""),"Yes")</f>
        <v>Yes</v>
      </c>
      <c r="D206" s="5" t="str">
        <f ca="1">IFERROR(__xludf.DUMMYFUNCTION("""COMPUTED_VALUE"""),"Yes")</f>
        <v>Yes</v>
      </c>
      <c r="E206" s="5" t="str">
        <f ca="1">IFERROR(__xludf.DUMMYFUNCTION("""COMPUTED_VALUE"""),"Yes")</f>
        <v>Yes</v>
      </c>
      <c r="F206" s="5" t="str">
        <f ca="1">IFERROR(__xludf.DUMMYFUNCTION("""COMPUTED_VALUE"""),"Yes")</f>
        <v>Yes</v>
      </c>
      <c r="G206" s="5" t="str">
        <f ca="1">IFERROR(__xludf.DUMMYFUNCTION("""COMPUTED_VALUE"""),"Yes")</f>
        <v>Yes</v>
      </c>
      <c r="H206" s="5" t="str">
        <f ca="1">IFERROR(__xludf.DUMMYFUNCTION("""COMPUTED_VALUE"""),"Yes")</f>
        <v>Yes</v>
      </c>
      <c r="I206" s="5" t="str">
        <f ca="1">IFERROR(__xludf.DUMMYFUNCTION("""COMPUTED_VALUE"""),"Yes")</f>
        <v>Yes</v>
      </c>
      <c r="J206" s="5" t="str">
        <f ca="1">IFERROR(__xludf.DUMMYFUNCTION("""COMPUTED_VALUE"""),"Yes")</f>
        <v>Yes</v>
      </c>
      <c r="K206" s="5" t="str">
        <f ca="1">IFERROR(__xludf.DUMMYFUNCTION("""COMPUTED_VALUE"""),"Yes")</f>
        <v>Yes</v>
      </c>
      <c r="L206" s="5" t="str">
        <f ca="1">IFERROR(__xludf.DUMMYFUNCTION("""COMPUTED_VALUE"""),"Yes")</f>
        <v>Yes</v>
      </c>
      <c r="M206" s="5" t="str">
        <f ca="1">IFERROR(__xludf.DUMMYFUNCTION("""COMPUTED_VALUE"""),"Yes")</f>
        <v>Yes</v>
      </c>
      <c r="N206" s="5" t="str">
        <f ca="1">IFERROR(__xludf.DUMMYFUNCTION("""COMPUTED_VALUE"""),"Yes")</f>
        <v>Yes</v>
      </c>
      <c r="O206" s="5" t="str">
        <f ca="1">IFERROR(__xludf.DUMMYFUNCTION("""COMPUTED_VALUE"""),"Yes")</f>
        <v>Yes</v>
      </c>
      <c r="P206" s="5" t="str">
        <f ca="1">IFERROR(__xludf.DUMMYFUNCTION("""COMPUTED_VALUE"""),"Yes")</f>
        <v>Yes</v>
      </c>
      <c r="Q206" s="5" t="str">
        <f ca="1">IFERROR(__xludf.DUMMYFUNCTION("""COMPUTED_VALUE"""),"Yes")</f>
        <v>Yes</v>
      </c>
      <c r="R206" s="5" t="str">
        <f ca="1">IFERROR(__xludf.DUMMYFUNCTION("""COMPUTED_VALUE"""),"Yes")</f>
        <v>Yes</v>
      </c>
      <c r="S206" s="5" t="str">
        <f ca="1">IFERROR(__xludf.DUMMYFUNCTION("""COMPUTED_VALUE"""),"Yes")</f>
        <v>Yes</v>
      </c>
      <c r="T206" s="5" t="str">
        <f ca="1">IFERROR(__xludf.DUMMYFUNCTION("""COMPUTED_VALUE"""),"Yes")</f>
        <v>Yes</v>
      </c>
      <c r="U206" s="5" t="str">
        <f ca="1">IFERROR(__xludf.DUMMYFUNCTION("""COMPUTED_VALUE"""),"Yes")</f>
        <v>Yes</v>
      </c>
      <c r="V206" s="5" t="str">
        <f ca="1">IFERROR(__xludf.DUMMYFUNCTION("""COMPUTED_VALUE"""),"Yes")</f>
        <v>Yes</v>
      </c>
      <c r="W206" s="5" t="str">
        <f ca="1">IFERROR(__xludf.DUMMYFUNCTION("""COMPUTED_VALUE"""),"Yes")</f>
        <v>Yes</v>
      </c>
      <c r="X206" s="5" t="str">
        <f ca="1">IFERROR(__xludf.DUMMYFUNCTION("""COMPUTED_VALUE"""),"Yes")</f>
        <v>Yes</v>
      </c>
      <c r="Y206" s="5" t="str">
        <f ca="1">IFERROR(__xludf.DUMMYFUNCTION("""COMPUTED_VALUE"""),"Yes")</f>
        <v>Yes</v>
      </c>
      <c r="Z206" s="5" t="str">
        <f ca="1">IFERROR(__xludf.DUMMYFUNCTION("""COMPUTED_VALUE"""),"Yes")</f>
        <v>Yes</v>
      </c>
      <c r="AA206" s="5" t="str">
        <f ca="1">IFERROR(__xludf.DUMMYFUNCTION("""COMPUTED_VALUE"""),"Yes")</f>
        <v>Yes</v>
      </c>
      <c r="AB206" s="5" t="str">
        <f ca="1">IFERROR(__xludf.DUMMYFUNCTION("""COMPUTED_VALUE"""),"Yes")</f>
        <v>Yes</v>
      </c>
      <c r="AC206" s="5" t="str">
        <f ca="1">IFERROR(__xludf.DUMMYFUNCTION("""COMPUTED_VALUE"""),"No")</f>
        <v>No</v>
      </c>
    </row>
    <row r="207" spans="1:29" x14ac:dyDescent="0.25">
      <c r="A207" s="5" t="str">
        <f ca="1">IFERROR(__xludf.DUMMYFUNCTION("""COMPUTED_VALUE"""),"TurboHot40Christmas")</f>
        <v>TurboHot40Christmas</v>
      </c>
      <c r="B2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7" s="5" t="str">
        <f ca="1">IFERROR(__xludf.DUMMYFUNCTION("""COMPUTED_VALUE"""),"Yes")</f>
        <v>Yes</v>
      </c>
      <c r="D207" s="5" t="str">
        <f ca="1">IFERROR(__xludf.DUMMYFUNCTION("""COMPUTED_VALUE"""),"Yes")</f>
        <v>Yes</v>
      </c>
      <c r="E207" s="5" t="str">
        <f ca="1">IFERROR(__xludf.DUMMYFUNCTION("""COMPUTED_VALUE"""),"Yes")</f>
        <v>Yes</v>
      </c>
      <c r="F207" s="5" t="str">
        <f ca="1">IFERROR(__xludf.DUMMYFUNCTION("""COMPUTED_VALUE"""),"Yes")</f>
        <v>Yes</v>
      </c>
      <c r="G207" s="5" t="str">
        <f ca="1">IFERROR(__xludf.DUMMYFUNCTION("""COMPUTED_VALUE"""),"Yes")</f>
        <v>Yes</v>
      </c>
      <c r="H207" s="5" t="str">
        <f ca="1">IFERROR(__xludf.DUMMYFUNCTION("""COMPUTED_VALUE"""),"Yes")</f>
        <v>Yes</v>
      </c>
      <c r="I207" s="5" t="str">
        <f ca="1">IFERROR(__xludf.DUMMYFUNCTION("""COMPUTED_VALUE"""),"Yes")</f>
        <v>Yes</v>
      </c>
      <c r="J207" s="5" t="str">
        <f ca="1">IFERROR(__xludf.DUMMYFUNCTION("""COMPUTED_VALUE"""),"Yes")</f>
        <v>Yes</v>
      </c>
      <c r="K207" s="5" t="str">
        <f ca="1">IFERROR(__xludf.DUMMYFUNCTION("""COMPUTED_VALUE"""),"Yes")</f>
        <v>Yes</v>
      </c>
      <c r="L207" s="5" t="str">
        <f ca="1">IFERROR(__xludf.DUMMYFUNCTION("""COMPUTED_VALUE"""),"Yes")</f>
        <v>Yes</v>
      </c>
      <c r="M207" s="5" t="str">
        <f ca="1">IFERROR(__xludf.DUMMYFUNCTION("""COMPUTED_VALUE"""),"Yes")</f>
        <v>Yes</v>
      </c>
      <c r="N207" s="5" t="str">
        <f ca="1">IFERROR(__xludf.DUMMYFUNCTION("""COMPUTED_VALUE"""),"Yes")</f>
        <v>Yes</v>
      </c>
      <c r="O207" s="5" t="str">
        <f ca="1">IFERROR(__xludf.DUMMYFUNCTION("""COMPUTED_VALUE"""),"Yes")</f>
        <v>Yes</v>
      </c>
      <c r="P207" s="5" t="str">
        <f ca="1">IFERROR(__xludf.DUMMYFUNCTION("""COMPUTED_VALUE"""),"Yes")</f>
        <v>Yes</v>
      </c>
      <c r="Q207" s="5" t="str">
        <f ca="1">IFERROR(__xludf.DUMMYFUNCTION("""COMPUTED_VALUE"""),"Yes")</f>
        <v>Yes</v>
      </c>
      <c r="R207" s="5" t="str">
        <f ca="1">IFERROR(__xludf.DUMMYFUNCTION("""COMPUTED_VALUE"""),"Yes")</f>
        <v>Yes</v>
      </c>
      <c r="S207" s="5" t="str">
        <f ca="1">IFERROR(__xludf.DUMMYFUNCTION("""COMPUTED_VALUE"""),"Yes")</f>
        <v>Yes</v>
      </c>
      <c r="T207" s="5" t="str">
        <f ca="1">IFERROR(__xludf.DUMMYFUNCTION("""COMPUTED_VALUE"""),"Yes")</f>
        <v>Yes</v>
      </c>
      <c r="U207" s="5" t="str">
        <f ca="1">IFERROR(__xludf.DUMMYFUNCTION("""COMPUTED_VALUE"""),"Yes")</f>
        <v>Yes</v>
      </c>
      <c r="V207" s="5" t="str">
        <f ca="1">IFERROR(__xludf.DUMMYFUNCTION("""COMPUTED_VALUE"""),"Yes")</f>
        <v>Yes</v>
      </c>
      <c r="W207" s="5" t="str">
        <f ca="1">IFERROR(__xludf.DUMMYFUNCTION("""COMPUTED_VALUE"""),"Yes")</f>
        <v>Yes</v>
      </c>
      <c r="X207" s="5" t="str">
        <f ca="1">IFERROR(__xludf.DUMMYFUNCTION("""COMPUTED_VALUE"""),"Yes")</f>
        <v>Yes</v>
      </c>
      <c r="Y207" s="5" t="str">
        <f ca="1">IFERROR(__xludf.DUMMYFUNCTION("""COMPUTED_VALUE"""),"Yes")</f>
        <v>Yes</v>
      </c>
      <c r="Z207" s="5" t="str">
        <f ca="1">IFERROR(__xludf.DUMMYFUNCTION("""COMPUTED_VALUE"""),"Yes")</f>
        <v>Yes</v>
      </c>
      <c r="AA207" s="5" t="str">
        <f ca="1">IFERROR(__xludf.DUMMYFUNCTION("""COMPUTED_VALUE"""),"Yes")</f>
        <v>Yes</v>
      </c>
      <c r="AB207" s="5" t="str">
        <f ca="1">IFERROR(__xludf.DUMMYFUNCTION("""COMPUTED_VALUE"""),"Yes")</f>
        <v>Yes</v>
      </c>
      <c r="AC207" s="5" t="str">
        <f ca="1">IFERROR(__xludf.DUMMYFUNCTION("""COMPUTED_VALUE"""),"No")</f>
        <v>No</v>
      </c>
    </row>
    <row r="208" spans="1:29" x14ac:dyDescent="0.25">
      <c r="A208" s="5" t="str">
        <f ca="1">IFERROR(__xludf.DUMMYFUNCTION("""COMPUTED_VALUE"""),"Retro7HotChristmas")</f>
        <v>Retro7HotChristmas</v>
      </c>
      <c r="B2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8" s="5" t="str">
        <f ca="1">IFERROR(__xludf.DUMMYFUNCTION("""COMPUTED_VALUE"""),"Yes")</f>
        <v>Yes</v>
      </c>
      <c r="D208" s="5" t="str">
        <f ca="1">IFERROR(__xludf.DUMMYFUNCTION("""COMPUTED_VALUE"""),"Yes")</f>
        <v>Yes</v>
      </c>
      <c r="E208" s="5" t="str">
        <f ca="1">IFERROR(__xludf.DUMMYFUNCTION("""COMPUTED_VALUE"""),"Yes")</f>
        <v>Yes</v>
      </c>
      <c r="F208" s="5" t="str">
        <f ca="1">IFERROR(__xludf.DUMMYFUNCTION("""COMPUTED_VALUE"""),"Yes")</f>
        <v>Yes</v>
      </c>
      <c r="G208" s="5" t="str">
        <f ca="1">IFERROR(__xludf.DUMMYFUNCTION("""COMPUTED_VALUE"""),"Yes")</f>
        <v>Yes</v>
      </c>
      <c r="H208" s="5" t="str">
        <f ca="1">IFERROR(__xludf.DUMMYFUNCTION("""COMPUTED_VALUE"""),"Yes")</f>
        <v>Yes</v>
      </c>
      <c r="I208" s="5" t="str">
        <f ca="1">IFERROR(__xludf.DUMMYFUNCTION("""COMPUTED_VALUE"""),"Yes")</f>
        <v>Yes</v>
      </c>
      <c r="J208" s="5" t="str">
        <f ca="1">IFERROR(__xludf.DUMMYFUNCTION("""COMPUTED_VALUE"""),"Yes")</f>
        <v>Yes</v>
      </c>
      <c r="K208" s="5" t="str">
        <f ca="1">IFERROR(__xludf.DUMMYFUNCTION("""COMPUTED_VALUE"""),"Yes")</f>
        <v>Yes</v>
      </c>
      <c r="L208" s="5" t="str">
        <f ca="1">IFERROR(__xludf.DUMMYFUNCTION("""COMPUTED_VALUE"""),"Yes")</f>
        <v>Yes</v>
      </c>
      <c r="M208" s="5" t="str">
        <f ca="1">IFERROR(__xludf.DUMMYFUNCTION("""COMPUTED_VALUE"""),"Yes")</f>
        <v>Yes</v>
      </c>
      <c r="N208" s="5" t="str">
        <f ca="1">IFERROR(__xludf.DUMMYFUNCTION("""COMPUTED_VALUE"""),"Yes")</f>
        <v>Yes</v>
      </c>
      <c r="O208" s="5" t="str">
        <f ca="1">IFERROR(__xludf.DUMMYFUNCTION("""COMPUTED_VALUE"""),"Yes")</f>
        <v>Yes</v>
      </c>
      <c r="P208" s="5" t="str">
        <f ca="1">IFERROR(__xludf.DUMMYFUNCTION("""COMPUTED_VALUE"""),"Yes")</f>
        <v>Yes</v>
      </c>
      <c r="Q208" s="5" t="str">
        <f ca="1">IFERROR(__xludf.DUMMYFUNCTION("""COMPUTED_VALUE"""),"Yes")</f>
        <v>Yes</v>
      </c>
      <c r="R208" s="5" t="str">
        <f ca="1">IFERROR(__xludf.DUMMYFUNCTION("""COMPUTED_VALUE"""),"Yes")</f>
        <v>Yes</v>
      </c>
      <c r="S208" s="5" t="str">
        <f ca="1">IFERROR(__xludf.DUMMYFUNCTION("""COMPUTED_VALUE"""),"Yes")</f>
        <v>Yes</v>
      </c>
      <c r="T208" s="5" t="str">
        <f ca="1">IFERROR(__xludf.DUMMYFUNCTION("""COMPUTED_VALUE"""),"Yes")</f>
        <v>Yes</v>
      </c>
      <c r="U208" s="5" t="str">
        <f ca="1">IFERROR(__xludf.DUMMYFUNCTION("""COMPUTED_VALUE"""),"Yes")</f>
        <v>Yes</v>
      </c>
      <c r="V208" s="5" t="str">
        <f ca="1">IFERROR(__xludf.DUMMYFUNCTION("""COMPUTED_VALUE"""),"Yes")</f>
        <v>Yes</v>
      </c>
      <c r="W208" s="5" t="str">
        <f ca="1">IFERROR(__xludf.DUMMYFUNCTION("""COMPUTED_VALUE"""),"Yes")</f>
        <v>Yes</v>
      </c>
      <c r="X208" s="5" t="str">
        <f ca="1">IFERROR(__xludf.DUMMYFUNCTION("""COMPUTED_VALUE"""),"Yes")</f>
        <v>Yes</v>
      </c>
      <c r="Y208" s="5" t="str">
        <f ca="1">IFERROR(__xludf.DUMMYFUNCTION("""COMPUTED_VALUE"""),"Yes")</f>
        <v>Yes</v>
      </c>
      <c r="Z208" s="5" t="str">
        <f ca="1">IFERROR(__xludf.DUMMYFUNCTION("""COMPUTED_VALUE"""),"Yes")</f>
        <v>Yes</v>
      </c>
      <c r="AA208" s="5" t="str">
        <f ca="1">IFERROR(__xludf.DUMMYFUNCTION("""COMPUTED_VALUE"""),"Yes")</f>
        <v>Yes</v>
      </c>
      <c r="AB208" s="5" t="str">
        <f ca="1">IFERROR(__xludf.DUMMYFUNCTION("""COMPUTED_VALUE"""),"Yes")</f>
        <v>Yes</v>
      </c>
      <c r="AC208" s="5" t="str">
        <f ca="1">IFERROR(__xludf.DUMMYFUNCTION("""COMPUTED_VALUE"""),"No")</f>
        <v>No</v>
      </c>
    </row>
    <row r="209" spans="1:29" x14ac:dyDescent="0.25">
      <c r="A209" s="5" t="str">
        <f ca="1">IFERROR(__xludf.DUMMYFUNCTION("""COMPUTED_VALUE"""),"FruitsAndStars40Christmas")</f>
        <v>FruitsAndStars40Christmas</v>
      </c>
      <c r="B2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9" s="5" t="str">
        <f ca="1">IFERROR(__xludf.DUMMYFUNCTION("""COMPUTED_VALUE"""),"Yes")</f>
        <v>Yes</v>
      </c>
      <c r="D209" s="5" t="str">
        <f ca="1">IFERROR(__xludf.DUMMYFUNCTION("""COMPUTED_VALUE"""),"Yes")</f>
        <v>Yes</v>
      </c>
      <c r="E209" s="5" t="str">
        <f ca="1">IFERROR(__xludf.DUMMYFUNCTION("""COMPUTED_VALUE"""),"Yes")</f>
        <v>Yes</v>
      </c>
      <c r="F209" s="5" t="str">
        <f ca="1">IFERROR(__xludf.DUMMYFUNCTION("""COMPUTED_VALUE"""),"Yes")</f>
        <v>Yes</v>
      </c>
      <c r="G209" s="5" t="str">
        <f ca="1">IFERROR(__xludf.DUMMYFUNCTION("""COMPUTED_VALUE"""),"Yes")</f>
        <v>Yes</v>
      </c>
      <c r="H209" s="5" t="str">
        <f ca="1">IFERROR(__xludf.DUMMYFUNCTION("""COMPUTED_VALUE"""),"Yes")</f>
        <v>Yes</v>
      </c>
      <c r="I209" s="5" t="str">
        <f ca="1">IFERROR(__xludf.DUMMYFUNCTION("""COMPUTED_VALUE"""),"Yes")</f>
        <v>Yes</v>
      </c>
      <c r="J209" s="5" t="str">
        <f ca="1">IFERROR(__xludf.DUMMYFUNCTION("""COMPUTED_VALUE"""),"Yes")</f>
        <v>Yes</v>
      </c>
      <c r="K209" s="5" t="str">
        <f ca="1">IFERROR(__xludf.DUMMYFUNCTION("""COMPUTED_VALUE"""),"Yes")</f>
        <v>Yes</v>
      </c>
      <c r="L209" s="5" t="str">
        <f ca="1">IFERROR(__xludf.DUMMYFUNCTION("""COMPUTED_VALUE"""),"Yes")</f>
        <v>Yes</v>
      </c>
      <c r="M209" s="5" t="str">
        <f ca="1">IFERROR(__xludf.DUMMYFUNCTION("""COMPUTED_VALUE"""),"Yes")</f>
        <v>Yes</v>
      </c>
      <c r="N209" s="5" t="str">
        <f ca="1">IFERROR(__xludf.DUMMYFUNCTION("""COMPUTED_VALUE"""),"Yes")</f>
        <v>Yes</v>
      </c>
      <c r="O209" s="5" t="str">
        <f ca="1">IFERROR(__xludf.DUMMYFUNCTION("""COMPUTED_VALUE"""),"Yes")</f>
        <v>Yes</v>
      </c>
      <c r="P209" s="5" t="str">
        <f ca="1">IFERROR(__xludf.DUMMYFUNCTION("""COMPUTED_VALUE"""),"Yes")</f>
        <v>Yes</v>
      </c>
      <c r="Q209" s="5" t="str">
        <f ca="1">IFERROR(__xludf.DUMMYFUNCTION("""COMPUTED_VALUE"""),"Yes")</f>
        <v>Yes</v>
      </c>
      <c r="R209" s="5" t="str">
        <f ca="1">IFERROR(__xludf.DUMMYFUNCTION("""COMPUTED_VALUE"""),"Yes")</f>
        <v>Yes</v>
      </c>
      <c r="S209" s="5" t="str">
        <f ca="1">IFERROR(__xludf.DUMMYFUNCTION("""COMPUTED_VALUE"""),"Yes")</f>
        <v>Yes</v>
      </c>
      <c r="T209" s="5" t="str">
        <f ca="1">IFERROR(__xludf.DUMMYFUNCTION("""COMPUTED_VALUE"""),"Yes")</f>
        <v>Yes</v>
      </c>
      <c r="U209" s="5" t="str">
        <f ca="1">IFERROR(__xludf.DUMMYFUNCTION("""COMPUTED_VALUE"""),"Yes")</f>
        <v>Yes</v>
      </c>
      <c r="V209" s="5" t="str">
        <f ca="1">IFERROR(__xludf.DUMMYFUNCTION("""COMPUTED_VALUE"""),"Yes")</f>
        <v>Yes</v>
      </c>
      <c r="W209" s="5" t="str">
        <f ca="1">IFERROR(__xludf.DUMMYFUNCTION("""COMPUTED_VALUE"""),"Yes")</f>
        <v>Yes</v>
      </c>
      <c r="X209" s="5" t="str">
        <f ca="1">IFERROR(__xludf.DUMMYFUNCTION("""COMPUTED_VALUE"""),"Yes")</f>
        <v>Yes</v>
      </c>
      <c r="Y209" s="5" t="str">
        <f ca="1">IFERROR(__xludf.DUMMYFUNCTION("""COMPUTED_VALUE"""),"Yes")</f>
        <v>Yes</v>
      </c>
      <c r="Z209" s="5" t="str">
        <f ca="1">IFERROR(__xludf.DUMMYFUNCTION("""COMPUTED_VALUE"""),"Yes")</f>
        <v>Yes</v>
      </c>
      <c r="AA209" s="5" t="str">
        <f ca="1">IFERROR(__xludf.DUMMYFUNCTION("""COMPUTED_VALUE"""),"Yes")</f>
        <v>Yes</v>
      </c>
      <c r="AB209" s="5" t="str">
        <f ca="1">IFERROR(__xludf.DUMMYFUNCTION("""COMPUTED_VALUE"""),"Yes")</f>
        <v>Yes</v>
      </c>
      <c r="AC209" s="5" t="str">
        <f ca="1">IFERROR(__xludf.DUMMYFUNCTION("""COMPUTED_VALUE"""),"No")</f>
        <v>No</v>
      </c>
    </row>
    <row r="210" spans="1:29" x14ac:dyDescent="0.25">
      <c r="A210" s="5" t="str">
        <f ca="1">IFERROR(__xludf.DUMMYFUNCTION("""COMPUTED_VALUE"""),"TwinklingHot40Christmas")</f>
        <v>TwinklingHot40Christmas</v>
      </c>
      <c r="B2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0" s="5" t="str">
        <f ca="1">IFERROR(__xludf.DUMMYFUNCTION("""COMPUTED_VALUE"""),"Yes")</f>
        <v>Yes</v>
      </c>
      <c r="D210" s="5" t="str">
        <f ca="1">IFERROR(__xludf.DUMMYFUNCTION("""COMPUTED_VALUE"""),"Yes")</f>
        <v>Yes</v>
      </c>
      <c r="E210" s="5" t="str">
        <f ca="1">IFERROR(__xludf.DUMMYFUNCTION("""COMPUTED_VALUE"""),"Yes")</f>
        <v>Yes</v>
      </c>
      <c r="F210" s="5" t="str">
        <f ca="1">IFERROR(__xludf.DUMMYFUNCTION("""COMPUTED_VALUE"""),"Yes")</f>
        <v>Yes</v>
      </c>
      <c r="G210" s="5" t="str">
        <f ca="1">IFERROR(__xludf.DUMMYFUNCTION("""COMPUTED_VALUE"""),"Yes")</f>
        <v>Yes</v>
      </c>
      <c r="H210" s="5" t="str">
        <f ca="1">IFERROR(__xludf.DUMMYFUNCTION("""COMPUTED_VALUE"""),"Yes")</f>
        <v>Yes</v>
      </c>
      <c r="I210" s="5" t="str">
        <f ca="1">IFERROR(__xludf.DUMMYFUNCTION("""COMPUTED_VALUE"""),"Yes")</f>
        <v>Yes</v>
      </c>
      <c r="J210" s="5" t="str">
        <f ca="1">IFERROR(__xludf.DUMMYFUNCTION("""COMPUTED_VALUE"""),"Yes")</f>
        <v>Yes</v>
      </c>
      <c r="K210" s="5" t="str">
        <f ca="1">IFERROR(__xludf.DUMMYFUNCTION("""COMPUTED_VALUE"""),"Yes")</f>
        <v>Yes</v>
      </c>
      <c r="L210" s="5" t="str">
        <f ca="1">IFERROR(__xludf.DUMMYFUNCTION("""COMPUTED_VALUE"""),"Yes")</f>
        <v>Yes</v>
      </c>
      <c r="M210" s="5" t="str">
        <f ca="1">IFERROR(__xludf.DUMMYFUNCTION("""COMPUTED_VALUE"""),"Yes")</f>
        <v>Yes</v>
      </c>
      <c r="N210" s="5" t="str">
        <f ca="1">IFERROR(__xludf.DUMMYFUNCTION("""COMPUTED_VALUE"""),"Yes")</f>
        <v>Yes</v>
      </c>
      <c r="O210" s="5" t="str">
        <f ca="1">IFERROR(__xludf.DUMMYFUNCTION("""COMPUTED_VALUE"""),"Yes")</f>
        <v>Yes</v>
      </c>
      <c r="P210" s="5" t="str">
        <f ca="1">IFERROR(__xludf.DUMMYFUNCTION("""COMPUTED_VALUE"""),"Yes")</f>
        <v>Yes</v>
      </c>
      <c r="Q210" s="5" t="str">
        <f ca="1">IFERROR(__xludf.DUMMYFUNCTION("""COMPUTED_VALUE"""),"Yes")</f>
        <v>Yes</v>
      </c>
      <c r="R210" s="5" t="str">
        <f ca="1">IFERROR(__xludf.DUMMYFUNCTION("""COMPUTED_VALUE"""),"Yes")</f>
        <v>Yes</v>
      </c>
      <c r="S210" s="5" t="str">
        <f ca="1">IFERROR(__xludf.DUMMYFUNCTION("""COMPUTED_VALUE"""),"Yes")</f>
        <v>Yes</v>
      </c>
      <c r="T210" s="5" t="str">
        <f ca="1">IFERROR(__xludf.DUMMYFUNCTION("""COMPUTED_VALUE"""),"Yes")</f>
        <v>Yes</v>
      </c>
      <c r="U210" s="5" t="str">
        <f ca="1">IFERROR(__xludf.DUMMYFUNCTION("""COMPUTED_VALUE"""),"Yes")</f>
        <v>Yes</v>
      </c>
      <c r="V210" s="5" t="str">
        <f ca="1">IFERROR(__xludf.DUMMYFUNCTION("""COMPUTED_VALUE"""),"Yes")</f>
        <v>Yes</v>
      </c>
      <c r="W210" s="5" t="str">
        <f ca="1">IFERROR(__xludf.DUMMYFUNCTION("""COMPUTED_VALUE"""),"Yes")</f>
        <v>Yes</v>
      </c>
      <c r="X210" s="5" t="str">
        <f ca="1">IFERROR(__xludf.DUMMYFUNCTION("""COMPUTED_VALUE"""),"Yes")</f>
        <v>Yes</v>
      </c>
      <c r="Y210" s="5" t="str">
        <f ca="1">IFERROR(__xludf.DUMMYFUNCTION("""COMPUTED_VALUE"""),"Yes")</f>
        <v>Yes</v>
      </c>
      <c r="Z210" s="5" t="str">
        <f ca="1">IFERROR(__xludf.DUMMYFUNCTION("""COMPUTED_VALUE"""),"Yes")</f>
        <v>Yes</v>
      </c>
      <c r="AA210" s="5" t="str">
        <f ca="1">IFERROR(__xludf.DUMMYFUNCTION("""COMPUTED_VALUE"""),"Yes")</f>
        <v>Yes</v>
      </c>
      <c r="AB210" s="5" t="str">
        <f ca="1">IFERROR(__xludf.DUMMYFUNCTION("""COMPUTED_VALUE"""),"Yes")</f>
        <v>Yes</v>
      </c>
      <c r="AC210" s="5" t="str">
        <f ca="1">IFERROR(__xludf.DUMMYFUNCTION("""COMPUTED_VALUE"""),"No")</f>
        <v>No</v>
      </c>
    </row>
    <row r="211" spans="1:29" x14ac:dyDescent="0.25">
      <c r="A211" s="5" t="str">
        <f ca="1">IFERROR(__xludf.DUMMYFUNCTION("""COMPUTED_VALUE"""),"GoldenCrownChristmas")</f>
        <v>GoldenCrownChristmas</v>
      </c>
      <c r="B2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1" s="5" t="str">
        <f ca="1">IFERROR(__xludf.DUMMYFUNCTION("""COMPUTED_VALUE"""),"Yes")</f>
        <v>Yes</v>
      </c>
      <c r="D211" s="5" t="str">
        <f ca="1">IFERROR(__xludf.DUMMYFUNCTION("""COMPUTED_VALUE"""),"Yes")</f>
        <v>Yes</v>
      </c>
      <c r="E211" s="5" t="str">
        <f ca="1">IFERROR(__xludf.DUMMYFUNCTION("""COMPUTED_VALUE"""),"Yes")</f>
        <v>Yes</v>
      </c>
      <c r="F211" s="5" t="str">
        <f ca="1">IFERROR(__xludf.DUMMYFUNCTION("""COMPUTED_VALUE"""),"Yes")</f>
        <v>Yes</v>
      </c>
      <c r="G211" s="5" t="str">
        <f ca="1">IFERROR(__xludf.DUMMYFUNCTION("""COMPUTED_VALUE"""),"Yes")</f>
        <v>Yes</v>
      </c>
      <c r="H211" s="5" t="str">
        <f ca="1">IFERROR(__xludf.DUMMYFUNCTION("""COMPUTED_VALUE"""),"Yes")</f>
        <v>Yes</v>
      </c>
      <c r="I211" s="5" t="str">
        <f ca="1">IFERROR(__xludf.DUMMYFUNCTION("""COMPUTED_VALUE"""),"Yes")</f>
        <v>Yes</v>
      </c>
      <c r="J211" s="5" t="str">
        <f ca="1">IFERROR(__xludf.DUMMYFUNCTION("""COMPUTED_VALUE"""),"Yes")</f>
        <v>Yes</v>
      </c>
      <c r="K211" s="5" t="str">
        <f ca="1">IFERROR(__xludf.DUMMYFUNCTION("""COMPUTED_VALUE"""),"Yes")</f>
        <v>Yes</v>
      </c>
      <c r="L211" s="5" t="str">
        <f ca="1">IFERROR(__xludf.DUMMYFUNCTION("""COMPUTED_VALUE"""),"Yes")</f>
        <v>Yes</v>
      </c>
      <c r="M211" s="5" t="str">
        <f ca="1">IFERROR(__xludf.DUMMYFUNCTION("""COMPUTED_VALUE"""),"Yes")</f>
        <v>Yes</v>
      </c>
      <c r="N211" s="5" t="str">
        <f ca="1">IFERROR(__xludf.DUMMYFUNCTION("""COMPUTED_VALUE"""),"Yes")</f>
        <v>Yes</v>
      </c>
      <c r="O211" s="5" t="str">
        <f ca="1">IFERROR(__xludf.DUMMYFUNCTION("""COMPUTED_VALUE"""),"Yes")</f>
        <v>Yes</v>
      </c>
      <c r="P211" s="5" t="str">
        <f ca="1">IFERROR(__xludf.DUMMYFUNCTION("""COMPUTED_VALUE"""),"Yes")</f>
        <v>Yes</v>
      </c>
      <c r="Q211" s="5" t="str">
        <f ca="1">IFERROR(__xludf.DUMMYFUNCTION("""COMPUTED_VALUE"""),"Yes")</f>
        <v>Yes</v>
      </c>
      <c r="R211" s="5" t="str">
        <f ca="1">IFERROR(__xludf.DUMMYFUNCTION("""COMPUTED_VALUE"""),"Yes")</f>
        <v>Yes</v>
      </c>
      <c r="S211" s="5" t="str">
        <f ca="1">IFERROR(__xludf.DUMMYFUNCTION("""COMPUTED_VALUE"""),"Yes")</f>
        <v>Yes</v>
      </c>
      <c r="T211" s="5" t="str">
        <f ca="1">IFERROR(__xludf.DUMMYFUNCTION("""COMPUTED_VALUE"""),"Yes")</f>
        <v>Yes</v>
      </c>
      <c r="U211" s="5" t="str">
        <f ca="1">IFERROR(__xludf.DUMMYFUNCTION("""COMPUTED_VALUE"""),"Yes")</f>
        <v>Yes</v>
      </c>
      <c r="V211" s="5" t="str">
        <f ca="1">IFERROR(__xludf.DUMMYFUNCTION("""COMPUTED_VALUE"""),"Yes")</f>
        <v>Yes</v>
      </c>
      <c r="W211" s="5" t="str">
        <f ca="1">IFERROR(__xludf.DUMMYFUNCTION("""COMPUTED_VALUE"""),"Yes")</f>
        <v>Yes</v>
      </c>
      <c r="X211" s="5" t="str">
        <f ca="1">IFERROR(__xludf.DUMMYFUNCTION("""COMPUTED_VALUE"""),"Yes")</f>
        <v>Yes</v>
      </c>
      <c r="Y211" s="5" t="str">
        <f ca="1">IFERROR(__xludf.DUMMYFUNCTION("""COMPUTED_VALUE"""),"Yes")</f>
        <v>Yes</v>
      </c>
      <c r="Z211" s="5" t="str">
        <f ca="1">IFERROR(__xludf.DUMMYFUNCTION("""COMPUTED_VALUE"""),"Yes")</f>
        <v>Yes</v>
      </c>
      <c r="AA211" s="5" t="str">
        <f ca="1">IFERROR(__xludf.DUMMYFUNCTION("""COMPUTED_VALUE"""),"Yes")</f>
        <v>Yes</v>
      </c>
      <c r="AB211" s="5" t="str">
        <f ca="1">IFERROR(__xludf.DUMMYFUNCTION("""COMPUTED_VALUE"""),"Yes")</f>
        <v>Yes</v>
      </c>
      <c r="AC211" s="5" t="str">
        <f ca="1">IFERROR(__xludf.DUMMYFUNCTION("""COMPUTED_VALUE"""),"No")</f>
        <v>No</v>
      </c>
    </row>
    <row r="212" spans="1:29" x14ac:dyDescent="0.25">
      <c r="A212" s="5" t="str">
        <f ca="1">IFERROR(__xludf.DUMMYFUNCTION("""COMPUTED_VALUE"""),"LollasWorldChristmas")</f>
        <v>LollasWorldChristmas</v>
      </c>
      <c r="B2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2" s="5" t="str">
        <f ca="1">IFERROR(__xludf.DUMMYFUNCTION("""COMPUTED_VALUE"""),"Yes")</f>
        <v>Yes</v>
      </c>
      <c r="D212" s="5" t="str">
        <f ca="1">IFERROR(__xludf.DUMMYFUNCTION("""COMPUTED_VALUE"""),"Yes")</f>
        <v>Yes</v>
      </c>
      <c r="E212" s="5" t="str">
        <f ca="1">IFERROR(__xludf.DUMMYFUNCTION("""COMPUTED_VALUE"""),"Yes")</f>
        <v>Yes</v>
      </c>
      <c r="F212" s="5" t="str">
        <f ca="1">IFERROR(__xludf.DUMMYFUNCTION("""COMPUTED_VALUE"""),"Yes")</f>
        <v>Yes</v>
      </c>
      <c r="G212" s="5" t="str">
        <f ca="1">IFERROR(__xludf.DUMMYFUNCTION("""COMPUTED_VALUE"""),"Yes")</f>
        <v>Yes</v>
      </c>
      <c r="H212" s="5" t="str">
        <f ca="1">IFERROR(__xludf.DUMMYFUNCTION("""COMPUTED_VALUE"""),"Yes")</f>
        <v>Yes</v>
      </c>
      <c r="I212" s="5" t="str">
        <f ca="1">IFERROR(__xludf.DUMMYFUNCTION("""COMPUTED_VALUE"""),"Yes")</f>
        <v>Yes</v>
      </c>
      <c r="J212" s="5" t="str">
        <f ca="1">IFERROR(__xludf.DUMMYFUNCTION("""COMPUTED_VALUE"""),"Yes")</f>
        <v>Yes</v>
      </c>
      <c r="K212" s="5" t="str">
        <f ca="1">IFERROR(__xludf.DUMMYFUNCTION("""COMPUTED_VALUE"""),"Yes")</f>
        <v>Yes</v>
      </c>
      <c r="L212" s="5" t="str">
        <f ca="1">IFERROR(__xludf.DUMMYFUNCTION("""COMPUTED_VALUE"""),"Yes")</f>
        <v>Yes</v>
      </c>
      <c r="M212" s="5" t="str">
        <f ca="1">IFERROR(__xludf.DUMMYFUNCTION("""COMPUTED_VALUE"""),"Yes")</f>
        <v>Yes</v>
      </c>
      <c r="N212" s="5" t="str">
        <f ca="1">IFERROR(__xludf.DUMMYFUNCTION("""COMPUTED_VALUE"""),"Yes")</f>
        <v>Yes</v>
      </c>
      <c r="O212" s="5" t="str">
        <f ca="1">IFERROR(__xludf.DUMMYFUNCTION("""COMPUTED_VALUE"""),"Yes")</f>
        <v>Yes</v>
      </c>
      <c r="P212" s="5" t="str">
        <f ca="1">IFERROR(__xludf.DUMMYFUNCTION("""COMPUTED_VALUE"""),"Yes")</f>
        <v>Yes</v>
      </c>
      <c r="Q212" s="5" t="str">
        <f ca="1">IFERROR(__xludf.DUMMYFUNCTION("""COMPUTED_VALUE"""),"Yes")</f>
        <v>Yes</v>
      </c>
      <c r="R212" s="5" t="str">
        <f ca="1">IFERROR(__xludf.DUMMYFUNCTION("""COMPUTED_VALUE"""),"Yes")</f>
        <v>Yes</v>
      </c>
      <c r="S212" s="5" t="str">
        <f ca="1">IFERROR(__xludf.DUMMYFUNCTION("""COMPUTED_VALUE"""),"Yes")</f>
        <v>Yes</v>
      </c>
      <c r="T212" s="5" t="str">
        <f ca="1">IFERROR(__xludf.DUMMYFUNCTION("""COMPUTED_VALUE"""),"Yes")</f>
        <v>Yes</v>
      </c>
      <c r="U212" s="5" t="str">
        <f ca="1">IFERROR(__xludf.DUMMYFUNCTION("""COMPUTED_VALUE"""),"Yes")</f>
        <v>Yes</v>
      </c>
      <c r="V212" s="5" t="str">
        <f ca="1">IFERROR(__xludf.DUMMYFUNCTION("""COMPUTED_VALUE"""),"Yes")</f>
        <v>Yes</v>
      </c>
      <c r="W212" s="5" t="str">
        <f ca="1">IFERROR(__xludf.DUMMYFUNCTION("""COMPUTED_VALUE"""),"Yes")</f>
        <v>Yes</v>
      </c>
      <c r="X212" s="5" t="str">
        <f ca="1">IFERROR(__xludf.DUMMYFUNCTION("""COMPUTED_VALUE"""),"Yes")</f>
        <v>Yes</v>
      </c>
      <c r="Y212" s="5" t="str">
        <f ca="1">IFERROR(__xludf.DUMMYFUNCTION("""COMPUTED_VALUE"""),"Yes")</f>
        <v>Yes</v>
      </c>
      <c r="Z212" s="5" t="str">
        <f ca="1">IFERROR(__xludf.DUMMYFUNCTION("""COMPUTED_VALUE"""),"Yes")</f>
        <v>Yes</v>
      </c>
      <c r="AA212" s="5" t="str">
        <f ca="1">IFERROR(__xludf.DUMMYFUNCTION("""COMPUTED_VALUE"""),"Yes")</f>
        <v>Yes</v>
      </c>
      <c r="AB212" s="5" t="str">
        <f ca="1">IFERROR(__xludf.DUMMYFUNCTION("""COMPUTED_VALUE"""),"Yes")</f>
        <v>Yes</v>
      </c>
      <c r="AC212" s="5" t="str">
        <f ca="1">IFERROR(__xludf.DUMMYFUNCTION("""COMPUTED_VALUE"""),"No")</f>
        <v>No</v>
      </c>
    </row>
    <row r="213" spans="1:29" x14ac:dyDescent="0.25">
      <c r="A213" s="5" t="str">
        <f ca="1">IFERROR(__xludf.DUMMYFUNCTION("""COMPUTED_VALUE"""),"WildHot40Christmas")</f>
        <v>WildHot40Christmas</v>
      </c>
      <c r="B2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3" s="5" t="str">
        <f ca="1">IFERROR(__xludf.DUMMYFUNCTION("""COMPUTED_VALUE"""),"Yes")</f>
        <v>Yes</v>
      </c>
      <c r="D213" s="5" t="str">
        <f ca="1">IFERROR(__xludf.DUMMYFUNCTION("""COMPUTED_VALUE"""),"Yes")</f>
        <v>Yes</v>
      </c>
      <c r="E213" s="5" t="str">
        <f ca="1">IFERROR(__xludf.DUMMYFUNCTION("""COMPUTED_VALUE"""),"Yes")</f>
        <v>Yes</v>
      </c>
      <c r="F213" s="5" t="str">
        <f ca="1">IFERROR(__xludf.DUMMYFUNCTION("""COMPUTED_VALUE"""),"Yes")</f>
        <v>Yes</v>
      </c>
      <c r="G213" s="5" t="str">
        <f ca="1">IFERROR(__xludf.DUMMYFUNCTION("""COMPUTED_VALUE"""),"Yes")</f>
        <v>Yes</v>
      </c>
      <c r="H213" s="5" t="str">
        <f ca="1">IFERROR(__xludf.DUMMYFUNCTION("""COMPUTED_VALUE"""),"Yes")</f>
        <v>Yes</v>
      </c>
      <c r="I213" s="5" t="str">
        <f ca="1">IFERROR(__xludf.DUMMYFUNCTION("""COMPUTED_VALUE"""),"Yes")</f>
        <v>Yes</v>
      </c>
      <c r="J213" s="5" t="str">
        <f ca="1">IFERROR(__xludf.DUMMYFUNCTION("""COMPUTED_VALUE"""),"Yes")</f>
        <v>Yes</v>
      </c>
      <c r="K213" s="5" t="str">
        <f ca="1">IFERROR(__xludf.DUMMYFUNCTION("""COMPUTED_VALUE"""),"Yes")</f>
        <v>Yes</v>
      </c>
      <c r="L213" s="5" t="str">
        <f ca="1">IFERROR(__xludf.DUMMYFUNCTION("""COMPUTED_VALUE"""),"Yes")</f>
        <v>Yes</v>
      </c>
      <c r="M213" s="5" t="str">
        <f ca="1">IFERROR(__xludf.DUMMYFUNCTION("""COMPUTED_VALUE"""),"Yes")</f>
        <v>Yes</v>
      </c>
      <c r="N213" s="5" t="str">
        <f ca="1">IFERROR(__xludf.DUMMYFUNCTION("""COMPUTED_VALUE"""),"Yes")</f>
        <v>Yes</v>
      </c>
      <c r="O213" s="5" t="str">
        <f ca="1">IFERROR(__xludf.DUMMYFUNCTION("""COMPUTED_VALUE"""),"Yes")</f>
        <v>Yes</v>
      </c>
      <c r="P213" s="5" t="str">
        <f ca="1">IFERROR(__xludf.DUMMYFUNCTION("""COMPUTED_VALUE"""),"Yes")</f>
        <v>Yes</v>
      </c>
      <c r="Q213" s="5" t="str">
        <f ca="1">IFERROR(__xludf.DUMMYFUNCTION("""COMPUTED_VALUE"""),"Yes")</f>
        <v>Yes</v>
      </c>
      <c r="R213" s="5" t="str">
        <f ca="1">IFERROR(__xludf.DUMMYFUNCTION("""COMPUTED_VALUE"""),"Yes")</f>
        <v>Yes</v>
      </c>
      <c r="S213" s="5" t="str">
        <f ca="1">IFERROR(__xludf.DUMMYFUNCTION("""COMPUTED_VALUE"""),"Yes")</f>
        <v>Yes</v>
      </c>
      <c r="T213" s="5" t="str">
        <f ca="1">IFERROR(__xludf.DUMMYFUNCTION("""COMPUTED_VALUE"""),"Yes")</f>
        <v>Yes</v>
      </c>
      <c r="U213" s="5" t="str">
        <f ca="1">IFERROR(__xludf.DUMMYFUNCTION("""COMPUTED_VALUE"""),"Yes")</f>
        <v>Yes</v>
      </c>
      <c r="V213" s="5" t="str">
        <f ca="1">IFERROR(__xludf.DUMMYFUNCTION("""COMPUTED_VALUE"""),"Yes")</f>
        <v>Yes</v>
      </c>
      <c r="W213" s="5" t="str">
        <f ca="1">IFERROR(__xludf.DUMMYFUNCTION("""COMPUTED_VALUE"""),"Yes")</f>
        <v>Yes</v>
      </c>
      <c r="X213" s="5" t="str">
        <f ca="1">IFERROR(__xludf.DUMMYFUNCTION("""COMPUTED_VALUE"""),"Yes")</f>
        <v>Yes</v>
      </c>
      <c r="Y213" s="5" t="str">
        <f ca="1">IFERROR(__xludf.DUMMYFUNCTION("""COMPUTED_VALUE"""),"Yes")</f>
        <v>Yes</v>
      </c>
      <c r="Z213" s="5" t="str">
        <f ca="1">IFERROR(__xludf.DUMMYFUNCTION("""COMPUTED_VALUE"""),"Yes")</f>
        <v>Yes</v>
      </c>
      <c r="AA213" s="5" t="str">
        <f ca="1">IFERROR(__xludf.DUMMYFUNCTION("""COMPUTED_VALUE"""),"Yes")</f>
        <v>Yes</v>
      </c>
      <c r="AB213" s="5" t="str">
        <f ca="1">IFERROR(__xludf.DUMMYFUNCTION("""COMPUTED_VALUE"""),"Yes")</f>
        <v>Yes</v>
      </c>
      <c r="AC213" s="5" t="str">
        <f ca="1">IFERROR(__xludf.DUMMYFUNCTION("""COMPUTED_VALUE"""),"No")</f>
        <v>No</v>
      </c>
    </row>
    <row r="214" spans="1:29" x14ac:dyDescent="0.25">
      <c r="A214" s="5" t="str">
        <f ca="1">IFERROR(__xludf.DUMMYFUNCTION("""COMPUTED_VALUE"""),"VeryHot5Christmas")</f>
        <v>VeryHot5Christmas</v>
      </c>
      <c r="B2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4" s="5" t="str">
        <f ca="1">IFERROR(__xludf.DUMMYFUNCTION("""COMPUTED_VALUE"""),"Yes")</f>
        <v>Yes</v>
      </c>
      <c r="D214" s="5" t="str">
        <f ca="1">IFERROR(__xludf.DUMMYFUNCTION("""COMPUTED_VALUE"""),"Yes")</f>
        <v>Yes</v>
      </c>
      <c r="E214" s="5" t="str">
        <f ca="1">IFERROR(__xludf.DUMMYFUNCTION("""COMPUTED_VALUE"""),"Yes")</f>
        <v>Yes</v>
      </c>
      <c r="F214" s="5" t="str">
        <f ca="1">IFERROR(__xludf.DUMMYFUNCTION("""COMPUTED_VALUE"""),"Yes")</f>
        <v>Yes</v>
      </c>
      <c r="G214" s="5" t="str">
        <f ca="1">IFERROR(__xludf.DUMMYFUNCTION("""COMPUTED_VALUE"""),"Yes")</f>
        <v>Yes</v>
      </c>
      <c r="H214" s="5" t="str">
        <f ca="1">IFERROR(__xludf.DUMMYFUNCTION("""COMPUTED_VALUE"""),"Yes")</f>
        <v>Yes</v>
      </c>
      <c r="I214" s="5" t="str">
        <f ca="1">IFERROR(__xludf.DUMMYFUNCTION("""COMPUTED_VALUE"""),"Yes")</f>
        <v>Yes</v>
      </c>
      <c r="J214" s="5" t="str">
        <f ca="1">IFERROR(__xludf.DUMMYFUNCTION("""COMPUTED_VALUE"""),"Yes")</f>
        <v>Yes</v>
      </c>
      <c r="K214" s="5" t="str">
        <f ca="1">IFERROR(__xludf.DUMMYFUNCTION("""COMPUTED_VALUE"""),"Yes")</f>
        <v>Yes</v>
      </c>
      <c r="L214" s="5" t="str">
        <f ca="1">IFERROR(__xludf.DUMMYFUNCTION("""COMPUTED_VALUE"""),"Yes")</f>
        <v>Yes</v>
      </c>
      <c r="M214" s="5" t="str">
        <f ca="1">IFERROR(__xludf.DUMMYFUNCTION("""COMPUTED_VALUE"""),"Yes")</f>
        <v>Yes</v>
      </c>
      <c r="N214" s="5" t="str">
        <f ca="1">IFERROR(__xludf.DUMMYFUNCTION("""COMPUTED_VALUE"""),"Yes")</f>
        <v>Yes</v>
      </c>
      <c r="O214" s="5" t="str">
        <f ca="1">IFERROR(__xludf.DUMMYFUNCTION("""COMPUTED_VALUE"""),"Yes")</f>
        <v>Yes</v>
      </c>
      <c r="P214" s="5" t="str">
        <f ca="1">IFERROR(__xludf.DUMMYFUNCTION("""COMPUTED_VALUE"""),"Yes")</f>
        <v>Yes</v>
      </c>
      <c r="Q214" s="5" t="str">
        <f ca="1">IFERROR(__xludf.DUMMYFUNCTION("""COMPUTED_VALUE"""),"Yes")</f>
        <v>Yes</v>
      </c>
      <c r="R214" s="5" t="str">
        <f ca="1">IFERROR(__xludf.DUMMYFUNCTION("""COMPUTED_VALUE"""),"Yes")</f>
        <v>Yes</v>
      </c>
      <c r="S214" s="5" t="str">
        <f ca="1">IFERROR(__xludf.DUMMYFUNCTION("""COMPUTED_VALUE"""),"Yes")</f>
        <v>Yes</v>
      </c>
      <c r="T214" s="5" t="str">
        <f ca="1">IFERROR(__xludf.DUMMYFUNCTION("""COMPUTED_VALUE"""),"Yes")</f>
        <v>Yes</v>
      </c>
      <c r="U214" s="5" t="str">
        <f ca="1">IFERROR(__xludf.DUMMYFUNCTION("""COMPUTED_VALUE"""),"Yes")</f>
        <v>Yes</v>
      </c>
      <c r="V214" s="5" t="str">
        <f ca="1">IFERROR(__xludf.DUMMYFUNCTION("""COMPUTED_VALUE"""),"Yes")</f>
        <v>Yes</v>
      </c>
      <c r="W214" s="5" t="str">
        <f ca="1">IFERROR(__xludf.DUMMYFUNCTION("""COMPUTED_VALUE"""),"Yes")</f>
        <v>Yes</v>
      </c>
      <c r="X214" s="5" t="str">
        <f ca="1">IFERROR(__xludf.DUMMYFUNCTION("""COMPUTED_VALUE"""),"Yes")</f>
        <v>Yes</v>
      </c>
      <c r="Y214" s="5" t="str">
        <f ca="1">IFERROR(__xludf.DUMMYFUNCTION("""COMPUTED_VALUE"""),"Yes")</f>
        <v>Yes</v>
      </c>
      <c r="Z214" s="5" t="str">
        <f ca="1">IFERROR(__xludf.DUMMYFUNCTION("""COMPUTED_VALUE"""),"Yes")</f>
        <v>Yes</v>
      </c>
      <c r="AA214" s="5" t="str">
        <f ca="1">IFERROR(__xludf.DUMMYFUNCTION("""COMPUTED_VALUE"""),"Yes")</f>
        <v>Yes</v>
      </c>
      <c r="AB214" s="5" t="str">
        <f ca="1">IFERROR(__xludf.DUMMYFUNCTION("""COMPUTED_VALUE"""),"Yes")</f>
        <v>Yes</v>
      </c>
      <c r="AC214" s="5" t="str">
        <f ca="1">IFERROR(__xludf.DUMMYFUNCTION("""COMPUTED_VALUE"""),"No")</f>
        <v>No</v>
      </c>
    </row>
    <row r="215" spans="1:29" x14ac:dyDescent="0.25">
      <c r="A215" s="5" t="str">
        <f ca="1">IFERROR(__xludf.DUMMYFUNCTION("""COMPUTED_VALUE"""),"VeryHot40Christmas")</f>
        <v>VeryHot40Christmas</v>
      </c>
      <c r="B2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5" s="5" t="str">
        <f ca="1">IFERROR(__xludf.DUMMYFUNCTION("""COMPUTED_VALUE"""),"Yes")</f>
        <v>Yes</v>
      </c>
      <c r="D215" s="5" t="str">
        <f ca="1">IFERROR(__xludf.DUMMYFUNCTION("""COMPUTED_VALUE"""),"Yes")</f>
        <v>Yes</v>
      </c>
      <c r="E215" s="5" t="str">
        <f ca="1">IFERROR(__xludf.DUMMYFUNCTION("""COMPUTED_VALUE"""),"Yes")</f>
        <v>Yes</v>
      </c>
      <c r="F215" s="5" t="str">
        <f ca="1">IFERROR(__xludf.DUMMYFUNCTION("""COMPUTED_VALUE"""),"Yes")</f>
        <v>Yes</v>
      </c>
      <c r="G215" s="5" t="str">
        <f ca="1">IFERROR(__xludf.DUMMYFUNCTION("""COMPUTED_VALUE"""),"Yes")</f>
        <v>Yes</v>
      </c>
      <c r="H215" s="5" t="str">
        <f ca="1">IFERROR(__xludf.DUMMYFUNCTION("""COMPUTED_VALUE"""),"Yes")</f>
        <v>Yes</v>
      </c>
      <c r="I215" s="5" t="str">
        <f ca="1">IFERROR(__xludf.DUMMYFUNCTION("""COMPUTED_VALUE"""),"Yes")</f>
        <v>Yes</v>
      </c>
      <c r="J215" s="5" t="str">
        <f ca="1">IFERROR(__xludf.DUMMYFUNCTION("""COMPUTED_VALUE"""),"Yes")</f>
        <v>Yes</v>
      </c>
      <c r="K215" s="5" t="str">
        <f ca="1">IFERROR(__xludf.DUMMYFUNCTION("""COMPUTED_VALUE"""),"Yes")</f>
        <v>Yes</v>
      </c>
      <c r="L215" s="5" t="str">
        <f ca="1">IFERROR(__xludf.DUMMYFUNCTION("""COMPUTED_VALUE"""),"Yes")</f>
        <v>Yes</v>
      </c>
      <c r="M215" s="5" t="str">
        <f ca="1">IFERROR(__xludf.DUMMYFUNCTION("""COMPUTED_VALUE"""),"Yes")</f>
        <v>Yes</v>
      </c>
      <c r="N215" s="5" t="str">
        <f ca="1">IFERROR(__xludf.DUMMYFUNCTION("""COMPUTED_VALUE"""),"Yes")</f>
        <v>Yes</v>
      </c>
      <c r="O215" s="5" t="str">
        <f ca="1">IFERROR(__xludf.DUMMYFUNCTION("""COMPUTED_VALUE"""),"Yes")</f>
        <v>Yes</v>
      </c>
      <c r="P215" s="5" t="str">
        <f ca="1">IFERROR(__xludf.DUMMYFUNCTION("""COMPUTED_VALUE"""),"Yes")</f>
        <v>Yes</v>
      </c>
      <c r="Q215" s="5" t="str">
        <f ca="1">IFERROR(__xludf.DUMMYFUNCTION("""COMPUTED_VALUE"""),"Yes")</f>
        <v>Yes</v>
      </c>
      <c r="R215" s="5" t="str">
        <f ca="1">IFERROR(__xludf.DUMMYFUNCTION("""COMPUTED_VALUE"""),"Yes")</f>
        <v>Yes</v>
      </c>
      <c r="S215" s="5" t="str">
        <f ca="1">IFERROR(__xludf.DUMMYFUNCTION("""COMPUTED_VALUE"""),"Yes")</f>
        <v>Yes</v>
      </c>
      <c r="T215" s="5" t="str">
        <f ca="1">IFERROR(__xludf.DUMMYFUNCTION("""COMPUTED_VALUE"""),"Yes")</f>
        <v>Yes</v>
      </c>
      <c r="U215" s="5" t="str">
        <f ca="1">IFERROR(__xludf.DUMMYFUNCTION("""COMPUTED_VALUE"""),"Yes")</f>
        <v>Yes</v>
      </c>
      <c r="V215" s="5" t="str">
        <f ca="1">IFERROR(__xludf.DUMMYFUNCTION("""COMPUTED_VALUE"""),"Yes")</f>
        <v>Yes</v>
      </c>
      <c r="W215" s="5" t="str">
        <f ca="1">IFERROR(__xludf.DUMMYFUNCTION("""COMPUTED_VALUE"""),"Yes")</f>
        <v>Yes</v>
      </c>
      <c r="X215" s="5" t="str">
        <f ca="1">IFERROR(__xludf.DUMMYFUNCTION("""COMPUTED_VALUE"""),"Yes")</f>
        <v>Yes</v>
      </c>
      <c r="Y215" s="5" t="str">
        <f ca="1">IFERROR(__xludf.DUMMYFUNCTION("""COMPUTED_VALUE"""),"Yes")</f>
        <v>Yes</v>
      </c>
      <c r="Z215" s="5" t="str">
        <f ca="1">IFERROR(__xludf.DUMMYFUNCTION("""COMPUTED_VALUE"""),"Yes")</f>
        <v>Yes</v>
      </c>
      <c r="AA215" s="5" t="str">
        <f ca="1">IFERROR(__xludf.DUMMYFUNCTION("""COMPUTED_VALUE"""),"Yes")</f>
        <v>Yes</v>
      </c>
      <c r="AB215" s="5" t="str">
        <f ca="1">IFERROR(__xludf.DUMMYFUNCTION("""COMPUTED_VALUE"""),"Yes")</f>
        <v>Yes</v>
      </c>
      <c r="AC215" s="5" t="str">
        <f ca="1">IFERROR(__xludf.DUMMYFUNCTION("""COMPUTED_VALUE"""),"No")</f>
        <v>No</v>
      </c>
    </row>
    <row r="216" spans="1:29" x14ac:dyDescent="0.25">
      <c r="A216" s="5" t="str">
        <f ca="1">IFERROR(__xludf.DUMMYFUNCTION("""COMPUTED_VALUE"""),"CrownFire5")</f>
        <v>CrownFire5</v>
      </c>
      <c r="B2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6" s="5" t="str">
        <f ca="1">IFERROR(__xludf.DUMMYFUNCTION("""COMPUTED_VALUE"""),"Yes")</f>
        <v>Yes</v>
      </c>
      <c r="D216" s="5" t="str">
        <f ca="1">IFERROR(__xludf.DUMMYFUNCTION("""COMPUTED_VALUE"""),"Yes")</f>
        <v>Yes</v>
      </c>
      <c r="E216" s="5" t="str">
        <f ca="1">IFERROR(__xludf.DUMMYFUNCTION("""COMPUTED_VALUE"""),"Yes")</f>
        <v>Yes</v>
      </c>
      <c r="F216" s="5" t="str">
        <f ca="1">IFERROR(__xludf.DUMMYFUNCTION("""COMPUTED_VALUE"""),"Yes")</f>
        <v>Yes</v>
      </c>
      <c r="G216" s="5" t="str">
        <f ca="1">IFERROR(__xludf.DUMMYFUNCTION("""COMPUTED_VALUE"""),"Yes")</f>
        <v>Yes</v>
      </c>
      <c r="H216" s="5" t="str">
        <f ca="1">IFERROR(__xludf.DUMMYFUNCTION("""COMPUTED_VALUE"""),"Yes")</f>
        <v>Yes</v>
      </c>
      <c r="I216" s="5" t="str">
        <f ca="1">IFERROR(__xludf.DUMMYFUNCTION("""COMPUTED_VALUE"""),"Yes")</f>
        <v>Yes</v>
      </c>
      <c r="J216" s="5" t="str">
        <f ca="1">IFERROR(__xludf.DUMMYFUNCTION("""COMPUTED_VALUE"""),"Yes")</f>
        <v>Yes</v>
      </c>
      <c r="K216" s="5" t="str">
        <f ca="1">IFERROR(__xludf.DUMMYFUNCTION("""COMPUTED_VALUE"""),"Yes")</f>
        <v>Yes</v>
      </c>
      <c r="L216" s="5" t="str">
        <f ca="1">IFERROR(__xludf.DUMMYFUNCTION("""COMPUTED_VALUE"""),"Yes")</f>
        <v>Yes</v>
      </c>
      <c r="M216" s="5" t="str">
        <f ca="1">IFERROR(__xludf.DUMMYFUNCTION("""COMPUTED_VALUE"""),"Yes")</f>
        <v>Yes</v>
      </c>
      <c r="N216" s="5" t="str">
        <f ca="1">IFERROR(__xludf.DUMMYFUNCTION("""COMPUTED_VALUE"""),"Yes")</f>
        <v>Yes</v>
      </c>
      <c r="O216" s="5" t="str">
        <f ca="1">IFERROR(__xludf.DUMMYFUNCTION("""COMPUTED_VALUE"""),"Yes")</f>
        <v>Yes</v>
      </c>
      <c r="P216" s="5" t="str">
        <f ca="1">IFERROR(__xludf.DUMMYFUNCTION("""COMPUTED_VALUE"""),"Yes")</f>
        <v>Yes</v>
      </c>
      <c r="Q216" s="5" t="str">
        <f ca="1">IFERROR(__xludf.DUMMYFUNCTION("""COMPUTED_VALUE"""),"Yes")</f>
        <v>Yes</v>
      </c>
      <c r="R216" s="5" t="str">
        <f ca="1">IFERROR(__xludf.DUMMYFUNCTION("""COMPUTED_VALUE"""),"Yes")</f>
        <v>Yes</v>
      </c>
      <c r="S216" s="5" t="str">
        <f ca="1">IFERROR(__xludf.DUMMYFUNCTION("""COMPUTED_VALUE"""),"Yes")</f>
        <v>Yes</v>
      </c>
      <c r="T216" s="5" t="str">
        <f ca="1">IFERROR(__xludf.DUMMYFUNCTION("""COMPUTED_VALUE"""),"Yes")</f>
        <v>Yes</v>
      </c>
      <c r="U216" s="5" t="str">
        <f ca="1">IFERROR(__xludf.DUMMYFUNCTION("""COMPUTED_VALUE"""),"Yes")</f>
        <v>Yes</v>
      </c>
      <c r="V216" s="5" t="str">
        <f ca="1">IFERROR(__xludf.DUMMYFUNCTION("""COMPUTED_VALUE"""),"Yes")</f>
        <v>Yes</v>
      </c>
      <c r="W216" s="5"/>
      <c r="X216" s="5"/>
      <c r="Y216" s="5"/>
      <c r="Z216" s="5" t="str">
        <f ca="1">IFERROR(__xludf.DUMMYFUNCTION("""COMPUTED_VALUE"""),"Yes")</f>
        <v>Yes</v>
      </c>
      <c r="AA216" s="5"/>
      <c r="AB216" s="5"/>
      <c r="AC216" s="5"/>
    </row>
    <row r="217" spans="1:29" x14ac:dyDescent="0.25">
      <c r="A217" s="5" t="str">
        <f ca="1">IFERROR(__xludf.DUMMYFUNCTION("""COMPUTED_VALUE"""),"ShiningPresents")</f>
        <v>ShiningPresents</v>
      </c>
      <c r="B21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7" s="5" t="str">
        <f ca="1">IFERROR(__xludf.DUMMYFUNCTION("""COMPUTED_VALUE"""),"Yes")</f>
        <v>Yes</v>
      </c>
      <c r="D217" s="5" t="str">
        <f ca="1">IFERROR(__xludf.DUMMYFUNCTION("""COMPUTED_VALUE"""),"Yes")</f>
        <v>Yes</v>
      </c>
      <c r="E217" s="5" t="str">
        <f ca="1">IFERROR(__xludf.DUMMYFUNCTION("""COMPUTED_VALUE"""),"No")</f>
        <v>No</v>
      </c>
      <c r="F217" s="5" t="str">
        <f ca="1">IFERROR(__xludf.DUMMYFUNCTION("""COMPUTED_VALUE"""),"Yes")</f>
        <v>Yes</v>
      </c>
      <c r="G217" s="5" t="str">
        <f ca="1">IFERROR(__xludf.DUMMYFUNCTION("""COMPUTED_VALUE"""),"Yes")</f>
        <v>Yes</v>
      </c>
      <c r="H217" s="5" t="str">
        <f ca="1">IFERROR(__xludf.DUMMYFUNCTION("""COMPUTED_VALUE"""),"Yes")</f>
        <v>Yes</v>
      </c>
      <c r="I217" s="5" t="str">
        <f ca="1">IFERROR(__xludf.DUMMYFUNCTION("""COMPUTED_VALUE"""),"Yes")</f>
        <v>Yes</v>
      </c>
      <c r="J217" s="5" t="str">
        <f ca="1">IFERROR(__xludf.DUMMYFUNCTION("""COMPUTED_VALUE"""),"Yes")</f>
        <v>Yes</v>
      </c>
      <c r="K217" s="5" t="str">
        <f ca="1">IFERROR(__xludf.DUMMYFUNCTION("""COMPUTED_VALUE"""),"Yes")</f>
        <v>Yes</v>
      </c>
      <c r="L217" s="5" t="str">
        <f ca="1">IFERROR(__xludf.DUMMYFUNCTION("""COMPUTED_VALUE"""),"Yes")</f>
        <v>Yes</v>
      </c>
      <c r="M217" s="5" t="str">
        <f ca="1">IFERROR(__xludf.DUMMYFUNCTION("""COMPUTED_VALUE"""),"Yes")</f>
        <v>Yes</v>
      </c>
      <c r="N217" s="5" t="str">
        <f ca="1">IFERROR(__xludf.DUMMYFUNCTION("""COMPUTED_VALUE"""),"Yes")</f>
        <v>Yes</v>
      </c>
      <c r="O217" s="5" t="str">
        <f ca="1">IFERROR(__xludf.DUMMYFUNCTION("""COMPUTED_VALUE"""),"Yes")</f>
        <v>Yes</v>
      </c>
      <c r="P217" s="5" t="str">
        <f ca="1">IFERROR(__xludf.DUMMYFUNCTION("""COMPUTED_VALUE"""),"Yes")</f>
        <v>Yes</v>
      </c>
      <c r="Q217" s="5" t="str">
        <f ca="1">IFERROR(__xludf.DUMMYFUNCTION("""COMPUTED_VALUE"""),"Yes")</f>
        <v>Yes</v>
      </c>
      <c r="R217" s="5" t="str">
        <f ca="1">IFERROR(__xludf.DUMMYFUNCTION("""COMPUTED_VALUE"""),"No")</f>
        <v>No</v>
      </c>
      <c r="S217" s="5" t="str">
        <f ca="1">IFERROR(__xludf.DUMMYFUNCTION("""COMPUTED_VALUE"""),"No")</f>
        <v>No</v>
      </c>
      <c r="T217" s="5" t="str">
        <f ca="1">IFERROR(__xludf.DUMMYFUNCTION("""COMPUTED_VALUE"""),"No")</f>
        <v>No</v>
      </c>
      <c r="U217" s="5" t="str">
        <f ca="1">IFERROR(__xludf.DUMMYFUNCTION("""COMPUTED_VALUE"""),"No")</f>
        <v>No</v>
      </c>
      <c r="V217" s="5" t="str">
        <f ca="1">IFERROR(__xludf.DUMMYFUNCTION("""COMPUTED_VALUE"""),"No")</f>
        <v>No</v>
      </c>
      <c r="W217" s="5" t="str">
        <f ca="1">IFERROR(__xludf.DUMMYFUNCTION("""COMPUTED_VALUE"""),"No")</f>
        <v>No</v>
      </c>
      <c r="X217" s="5" t="str">
        <f ca="1">IFERROR(__xludf.DUMMYFUNCTION("""COMPUTED_VALUE"""),"No")</f>
        <v>No</v>
      </c>
      <c r="Y217" s="5" t="str">
        <f ca="1">IFERROR(__xludf.DUMMYFUNCTION("""COMPUTED_VALUE"""),"No")</f>
        <v>No</v>
      </c>
      <c r="Z217" s="5" t="str">
        <f ca="1">IFERROR(__xludf.DUMMYFUNCTION("""COMPUTED_VALUE"""),"No")</f>
        <v>No</v>
      </c>
      <c r="AA217" s="5" t="str">
        <f ca="1">IFERROR(__xludf.DUMMYFUNCTION("""COMPUTED_VALUE"""),"No")</f>
        <v>No</v>
      </c>
      <c r="AB217" s="5" t="str">
        <f ca="1">IFERROR(__xludf.DUMMYFUNCTION("""COMPUTED_VALUE"""),"Yes")</f>
        <v>Yes</v>
      </c>
      <c r="AC217" s="5" t="str">
        <f ca="1">IFERROR(__xludf.DUMMYFUNCTION("""COMPUTED_VALUE"""),"No")</f>
        <v>No</v>
      </c>
    </row>
    <row r="218" spans="1:29" x14ac:dyDescent="0.25">
      <c r="A218" s="5" t="str">
        <f ca="1">IFERROR(__xludf.DUMMYFUNCTION("""COMPUTED_VALUE"""),"WildSanta10")</f>
        <v>WildSanta10</v>
      </c>
      <c r="B2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8" s="5" t="str">
        <f ca="1">IFERROR(__xludf.DUMMYFUNCTION("""COMPUTED_VALUE"""),"Yes")</f>
        <v>Yes</v>
      </c>
      <c r="D218" s="5" t="str">
        <f ca="1">IFERROR(__xludf.DUMMYFUNCTION("""COMPUTED_VALUE"""),"Yes")</f>
        <v>Yes</v>
      </c>
      <c r="E218" s="5" t="str">
        <f ca="1">IFERROR(__xludf.DUMMYFUNCTION("""COMPUTED_VALUE"""),"Yes")</f>
        <v>Yes</v>
      </c>
      <c r="F218" s="5" t="str">
        <f ca="1">IFERROR(__xludf.DUMMYFUNCTION("""COMPUTED_VALUE"""),"Yes")</f>
        <v>Yes</v>
      </c>
      <c r="G218" s="5" t="str">
        <f ca="1">IFERROR(__xludf.DUMMYFUNCTION("""COMPUTED_VALUE"""),"Yes")</f>
        <v>Yes</v>
      </c>
      <c r="H218" s="5" t="str">
        <f ca="1">IFERROR(__xludf.DUMMYFUNCTION("""COMPUTED_VALUE"""),"Yes")</f>
        <v>Yes</v>
      </c>
      <c r="I218" s="5" t="str">
        <f ca="1">IFERROR(__xludf.DUMMYFUNCTION("""COMPUTED_VALUE"""),"Yes")</f>
        <v>Yes</v>
      </c>
      <c r="J218" s="5" t="str">
        <f ca="1">IFERROR(__xludf.DUMMYFUNCTION("""COMPUTED_VALUE"""),"Yes")</f>
        <v>Yes</v>
      </c>
      <c r="K218" s="5" t="str">
        <f ca="1">IFERROR(__xludf.DUMMYFUNCTION("""COMPUTED_VALUE"""),"Yes")</f>
        <v>Yes</v>
      </c>
      <c r="L218" s="5" t="str">
        <f ca="1">IFERROR(__xludf.DUMMYFUNCTION("""COMPUTED_VALUE"""),"Yes")</f>
        <v>Yes</v>
      </c>
      <c r="M218" s="5" t="str">
        <f ca="1">IFERROR(__xludf.DUMMYFUNCTION("""COMPUTED_VALUE"""),"Yes")</f>
        <v>Yes</v>
      </c>
      <c r="N218" s="5" t="str">
        <f ca="1">IFERROR(__xludf.DUMMYFUNCTION("""COMPUTED_VALUE"""),"Yes")</f>
        <v>Yes</v>
      </c>
      <c r="O218" s="5" t="str">
        <f ca="1">IFERROR(__xludf.DUMMYFUNCTION("""COMPUTED_VALUE"""),"Yes")</f>
        <v>Yes</v>
      </c>
      <c r="P218" s="5" t="str">
        <f ca="1">IFERROR(__xludf.DUMMYFUNCTION("""COMPUTED_VALUE"""),"Yes")</f>
        <v>Yes</v>
      </c>
      <c r="Q218" s="5" t="str">
        <f ca="1">IFERROR(__xludf.DUMMYFUNCTION("""COMPUTED_VALUE"""),"Yes")</f>
        <v>Yes</v>
      </c>
      <c r="R218" s="5" t="str">
        <f ca="1">IFERROR(__xludf.DUMMYFUNCTION("""COMPUTED_VALUE"""),"Yes")</f>
        <v>Yes</v>
      </c>
      <c r="S218" s="5" t="str">
        <f ca="1">IFERROR(__xludf.DUMMYFUNCTION("""COMPUTED_VALUE"""),"Yes")</f>
        <v>Yes</v>
      </c>
      <c r="T218" s="5" t="str">
        <f ca="1">IFERROR(__xludf.DUMMYFUNCTION("""COMPUTED_VALUE"""),"Yes")</f>
        <v>Yes</v>
      </c>
      <c r="U218" s="5" t="str">
        <f ca="1">IFERROR(__xludf.DUMMYFUNCTION("""COMPUTED_VALUE"""),"Yes")</f>
        <v>Yes</v>
      </c>
      <c r="V218" s="5" t="str">
        <f ca="1">IFERROR(__xludf.DUMMYFUNCTION("""COMPUTED_VALUE"""),"Yes")</f>
        <v>Yes</v>
      </c>
      <c r="W218" s="5"/>
      <c r="X218" s="5"/>
      <c r="Y218" s="5"/>
      <c r="Z218" s="5" t="str">
        <f ca="1">IFERROR(__xludf.DUMMYFUNCTION("""COMPUTED_VALUE"""),"Yes")</f>
        <v>Yes</v>
      </c>
      <c r="AA218" s="5"/>
      <c r="AB218" s="5"/>
      <c r="AC218" s="5"/>
    </row>
    <row r="219" spans="1:29" x14ac:dyDescent="0.25">
      <c r="A219" s="5" t="str">
        <f ca="1">IFERROR(__xludf.DUMMYFUNCTION("""COMPUTED_VALUE"""),"UnicornFastFruits")</f>
        <v>UnicornFastFruits</v>
      </c>
      <c r="B21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9" s="5" t="str">
        <f ca="1">IFERROR(__xludf.DUMMYFUNCTION("""COMPUTED_VALUE"""),"Yes")</f>
        <v>Yes</v>
      </c>
      <c r="D219" s="5" t="str">
        <f ca="1">IFERROR(__xludf.DUMMYFUNCTION("""COMPUTED_VALUE"""),"Yes")</f>
        <v>Yes</v>
      </c>
      <c r="E219" s="5" t="str">
        <f ca="1">IFERROR(__xludf.DUMMYFUNCTION("""COMPUTED_VALUE"""),"No")</f>
        <v>No</v>
      </c>
      <c r="F219" s="5" t="str">
        <f ca="1">IFERROR(__xludf.DUMMYFUNCTION("""COMPUTED_VALUE"""),"Yes")</f>
        <v>Yes</v>
      </c>
      <c r="G219" s="5" t="str">
        <f ca="1">IFERROR(__xludf.DUMMYFUNCTION("""COMPUTED_VALUE"""),"Yes")</f>
        <v>Yes</v>
      </c>
      <c r="H219" s="5" t="str">
        <f ca="1">IFERROR(__xludf.DUMMYFUNCTION("""COMPUTED_VALUE"""),"Yes")</f>
        <v>Yes</v>
      </c>
      <c r="I219" s="5" t="str">
        <f ca="1">IFERROR(__xludf.DUMMYFUNCTION("""COMPUTED_VALUE"""),"Yes")</f>
        <v>Yes</v>
      </c>
      <c r="J219" s="5" t="str">
        <f ca="1">IFERROR(__xludf.DUMMYFUNCTION("""COMPUTED_VALUE"""),"Yes")</f>
        <v>Yes</v>
      </c>
      <c r="K219" s="5" t="str">
        <f ca="1">IFERROR(__xludf.DUMMYFUNCTION("""COMPUTED_VALUE"""),"Yes")</f>
        <v>Yes</v>
      </c>
      <c r="L219" s="5" t="str">
        <f ca="1">IFERROR(__xludf.DUMMYFUNCTION("""COMPUTED_VALUE"""),"Yes")</f>
        <v>Yes</v>
      </c>
      <c r="M219" s="5" t="str">
        <f ca="1">IFERROR(__xludf.DUMMYFUNCTION("""COMPUTED_VALUE"""),"Yes")</f>
        <v>Yes</v>
      </c>
      <c r="N219" s="5" t="str">
        <f ca="1">IFERROR(__xludf.DUMMYFUNCTION("""COMPUTED_VALUE"""),"Yes")</f>
        <v>Yes</v>
      </c>
      <c r="O219" s="5" t="str">
        <f ca="1">IFERROR(__xludf.DUMMYFUNCTION("""COMPUTED_VALUE"""),"Yes")</f>
        <v>Yes</v>
      </c>
      <c r="P219" s="5" t="str">
        <f ca="1">IFERROR(__xludf.DUMMYFUNCTION("""COMPUTED_VALUE"""),"Yes")</f>
        <v>Yes</v>
      </c>
      <c r="Q219" s="5" t="str">
        <f ca="1">IFERROR(__xludf.DUMMYFUNCTION("""COMPUTED_VALUE"""),"Yes")</f>
        <v>Yes</v>
      </c>
      <c r="R219" s="5" t="str">
        <f ca="1">IFERROR(__xludf.DUMMYFUNCTION("""COMPUTED_VALUE"""),"No")</f>
        <v>No</v>
      </c>
      <c r="S219" s="5" t="str">
        <f ca="1">IFERROR(__xludf.DUMMYFUNCTION("""COMPUTED_VALUE"""),"No")</f>
        <v>No</v>
      </c>
      <c r="T219" s="5" t="str">
        <f ca="1">IFERROR(__xludf.DUMMYFUNCTION("""COMPUTED_VALUE"""),"No")</f>
        <v>No</v>
      </c>
      <c r="U219" s="5" t="str">
        <f ca="1">IFERROR(__xludf.DUMMYFUNCTION("""COMPUTED_VALUE"""),"No")</f>
        <v>No</v>
      </c>
      <c r="V219" s="5" t="str">
        <f ca="1">IFERROR(__xludf.DUMMYFUNCTION("""COMPUTED_VALUE"""),"No")</f>
        <v>No</v>
      </c>
      <c r="W219" s="5" t="str">
        <f ca="1">IFERROR(__xludf.DUMMYFUNCTION("""COMPUTED_VALUE"""),"No")</f>
        <v>No</v>
      </c>
      <c r="X219" s="5" t="str">
        <f ca="1">IFERROR(__xludf.DUMMYFUNCTION("""COMPUTED_VALUE"""),"No")</f>
        <v>No</v>
      </c>
      <c r="Y219" s="5" t="str">
        <f ca="1">IFERROR(__xludf.DUMMYFUNCTION("""COMPUTED_VALUE"""),"No")</f>
        <v>No</v>
      </c>
      <c r="Z219" s="5" t="str">
        <f ca="1">IFERROR(__xludf.DUMMYFUNCTION("""COMPUTED_VALUE"""),"No")</f>
        <v>No</v>
      </c>
      <c r="AA219" s="5" t="str">
        <f ca="1">IFERROR(__xludf.DUMMYFUNCTION("""COMPUTED_VALUE"""),"No")</f>
        <v>No</v>
      </c>
      <c r="AB219" s="5" t="str">
        <f ca="1">IFERROR(__xludf.DUMMYFUNCTION("""COMPUTED_VALUE"""),"Yes")</f>
        <v>Yes</v>
      </c>
      <c r="AC219" s="5" t="str">
        <f ca="1">IFERROR(__xludf.DUMMYFUNCTION("""COMPUTED_VALUE"""),"No")</f>
        <v>No</v>
      </c>
    </row>
    <row r="220" spans="1:29" x14ac:dyDescent="0.25">
      <c r="A220" s="5" t="str">
        <f ca="1">IFERROR(__xludf.DUMMYFUNCTION("""COMPUTED_VALUE"""),"UnicornMoneyStandardWild")</f>
        <v>UnicornMoneyStandardWild</v>
      </c>
      <c r="B22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20" s="5" t="str">
        <f ca="1">IFERROR(__xludf.DUMMYFUNCTION("""COMPUTED_VALUE"""),"Yes")</f>
        <v>Yes</v>
      </c>
      <c r="D220" s="5" t="str">
        <f ca="1">IFERROR(__xludf.DUMMYFUNCTION("""COMPUTED_VALUE"""),"Yes")</f>
        <v>Yes</v>
      </c>
      <c r="E220" s="5" t="str">
        <f ca="1">IFERROR(__xludf.DUMMYFUNCTION("""COMPUTED_VALUE"""),"Yes")</f>
        <v>Yes</v>
      </c>
      <c r="F220" s="5" t="str">
        <f ca="1">IFERROR(__xludf.DUMMYFUNCTION("""COMPUTED_VALUE"""),"No")</f>
        <v>No</v>
      </c>
      <c r="G220" s="5" t="str">
        <f ca="1">IFERROR(__xludf.DUMMYFUNCTION("""COMPUTED_VALUE"""),"No")</f>
        <v>No</v>
      </c>
      <c r="H220" s="5" t="str">
        <f ca="1">IFERROR(__xludf.DUMMYFUNCTION("""COMPUTED_VALUE"""),"No")</f>
        <v>No</v>
      </c>
      <c r="I220" s="5" t="str">
        <f ca="1">IFERROR(__xludf.DUMMYFUNCTION("""COMPUTED_VALUE"""),"No")</f>
        <v>No</v>
      </c>
      <c r="J220" s="5" t="str">
        <f ca="1">IFERROR(__xludf.DUMMYFUNCTION("""COMPUTED_VALUE"""),"No")</f>
        <v>No</v>
      </c>
      <c r="K220" s="5" t="str">
        <f ca="1">IFERROR(__xludf.DUMMYFUNCTION("""COMPUTED_VALUE"""),"Yes")</f>
        <v>Yes</v>
      </c>
      <c r="L220" s="5" t="str">
        <f ca="1">IFERROR(__xludf.DUMMYFUNCTION("""COMPUTED_VALUE"""),"Yes")</f>
        <v>Yes</v>
      </c>
      <c r="M220" s="5" t="str">
        <f ca="1">IFERROR(__xludf.DUMMYFUNCTION("""COMPUTED_VALUE"""),"Yes")</f>
        <v>Yes</v>
      </c>
      <c r="N220" s="5" t="str">
        <f ca="1">IFERROR(__xludf.DUMMYFUNCTION("""COMPUTED_VALUE"""),"Yes")</f>
        <v>Yes</v>
      </c>
      <c r="O220" s="5" t="str">
        <f ca="1">IFERROR(__xludf.DUMMYFUNCTION("""COMPUTED_VALUE"""),"Yes")</f>
        <v>Yes</v>
      </c>
      <c r="P220" s="5" t="str">
        <f ca="1">IFERROR(__xludf.DUMMYFUNCTION("""COMPUTED_VALUE"""),"No")</f>
        <v>No</v>
      </c>
      <c r="Q220" s="5" t="str">
        <f ca="1">IFERROR(__xludf.DUMMYFUNCTION("""COMPUTED_VALUE"""),"Yes")</f>
        <v>Yes</v>
      </c>
      <c r="R220" s="5" t="str">
        <f ca="1">IFERROR(__xludf.DUMMYFUNCTION("""COMPUTED_VALUE"""),"No")</f>
        <v>No</v>
      </c>
      <c r="S220" s="5" t="str">
        <f ca="1">IFERROR(__xludf.DUMMYFUNCTION("""COMPUTED_VALUE"""),"No")</f>
        <v>No</v>
      </c>
      <c r="T220" s="5" t="str">
        <f ca="1">IFERROR(__xludf.DUMMYFUNCTION("""COMPUTED_VALUE"""),"No")</f>
        <v>No</v>
      </c>
      <c r="U220" s="5" t="str">
        <f ca="1">IFERROR(__xludf.DUMMYFUNCTION("""COMPUTED_VALUE"""),"No")</f>
        <v>No</v>
      </c>
      <c r="V220" s="5" t="str">
        <f ca="1">IFERROR(__xludf.DUMMYFUNCTION("""COMPUTED_VALUE"""),"No")</f>
        <v>No</v>
      </c>
      <c r="W220" s="5"/>
      <c r="X220" s="5"/>
      <c r="Y220" s="5"/>
      <c r="Z220" s="5" t="str">
        <f ca="1">IFERROR(__xludf.DUMMYFUNCTION("""COMPUTED_VALUE"""),"No")</f>
        <v>No</v>
      </c>
      <c r="AA220" s="5"/>
      <c r="AB220" s="5"/>
      <c r="AC220" s="5"/>
    </row>
    <row r="221" spans="1:29" x14ac:dyDescent="0.25">
      <c r="A221" s="5" t="str">
        <f ca="1">IFERROR(__xludf.DUMMYFUNCTION("""COMPUTED_VALUE"""),"WildHot40Blow")</f>
        <v>WildHot40Blow</v>
      </c>
      <c r="B2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1" s="5" t="str">
        <f ca="1">IFERROR(__xludf.DUMMYFUNCTION("""COMPUTED_VALUE"""),"Yes")</f>
        <v>Yes</v>
      </c>
      <c r="D221" s="5" t="str">
        <f ca="1">IFERROR(__xludf.DUMMYFUNCTION("""COMPUTED_VALUE"""),"Yes")</f>
        <v>Yes</v>
      </c>
      <c r="E221" s="5" t="str">
        <f ca="1">IFERROR(__xludf.DUMMYFUNCTION("""COMPUTED_VALUE"""),"Yes")</f>
        <v>Yes</v>
      </c>
      <c r="F221" s="5" t="str">
        <f ca="1">IFERROR(__xludf.DUMMYFUNCTION("""COMPUTED_VALUE"""),"Yes")</f>
        <v>Yes</v>
      </c>
      <c r="G221" s="5" t="str">
        <f ca="1">IFERROR(__xludf.DUMMYFUNCTION("""COMPUTED_VALUE"""),"Yes")</f>
        <v>Yes</v>
      </c>
      <c r="H221" s="5" t="str">
        <f ca="1">IFERROR(__xludf.DUMMYFUNCTION("""COMPUTED_VALUE"""),"Yes")</f>
        <v>Yes</v>
      </c>
      <c r="I221" s="5" t="str">
        <f ca="1">IFERROR(__xludf.DUMMYFUNCTION("""COMPUTED_VALUE"""),"Yes")</f>
        <v>Yes</v>
      </c>
      <c r="J221" s="5" t="str">
        <f ca="1">IFERROR(__xludf.DUMMYFUNCTION("""COMPUTED_VALUE"""),"Yes")</f>
        <v>Yes</v>
      </c>
      <c r="K221" s="5" t="str">
        <f ca="1">IFERROR(__xludf.DUMMYFUNCTION("""COMPUTED_VALUE"""),"Yes")</f>
        <v>Yes</v>
      </c>
      <c r="L221" s="5" t="str">
        <f ca="1">IFERROR(__xludf.DUMMYFUNCTION("""COMPUTED_VALUE"""),"Yes")</f>
        <v>Yes</v>
      </c>
      <c r="M221" s="5" t="str">
        <f ca="1">IFERROR(__xludf.DUMMYFUNCTION("""COMPUTED_VALUE"""),"Yes")</f>
        <v>Yes</v>
      </c>
      <c r="N221" s="5" t="str">
        <f ca="1">IFERROR(__xludf.DUMMYFUNCTION("""COMPUTED_VALUE"""),"Yes")</f>
        <v>Yes</v>
      </c>
      <c r="O221" s="5" t="str">
        <f ca="1">IFERROR(__xludf.DUMMYFUNCTION("""COMPUTED_VALUE"""),"Yes")</f>
        <v>Yes</v>
      </c>
      <c r="P221" s="5" t="str">
        <f ca="1">IFERROR(__xludf.DUMMYFUNCTION("""COMPUTED_VALUE"""),"Yes")</f>
        <v>Yes</v>
      </c>
      <c r="Q221" s="5" t="str">
        <f ca="1">IFERROR(__xludf.DUMMYFUNCTION("""COMPUTED_VALUE"""),"Yes")</f>
        <v>Yes</v>
      </c>
      <c r="R221" s="5" t="str">
        <f ca="1">IFERROR(__xludf.DUMMYFUNCTION("""COMPUTED_VALUE"""),"Yes")</f>
        <v>Yes</v>
      </c>
      <c r="S221" s="5" t="str">
        <f ca="1">IFERROR(__xludf.DUMMYFUNCTION("""COMPUTED_VALUE"""),"Yes")</f>
        <v>Yes</v>
      </c>
      <c r="T221" s="5" t="str">
        <f ca="1">IFERROR(__xludf.DUMMYFUNCTION("""COMPUTED_VALUE"""),"Yes")</f>
        <v>Yes</v>
      </c>
      <c r="U221" s="5" t="str">
        <f ca="1">IFERROR(__xludf.DUMMYFUNCTION("""COMPUTED_VALUE"""),"Yes")</f>
        <v>Yes</v>
      </c>
      <c r="V221" s="5" t="str">
        <f ca="1">IFERROR(__xludf.DUMMYFUNCTION("""COMPUTED_VALUE"""),"Yes")</f>
        <v>Yes</v>
      </c>
      <c r="W221" s="5" t="str">
        <f ca="1">IFERROR(__xludf.DUMMYFUNCTION("""COMPUTED_VALUE"""),"Yes")</f>
        <v>Yes</v>
      </c>
      <c r="X221" s="5" t="str">
        <f ca="1">IFERROR(__xludf.DUMMYFUNCTION("""COMPUTED_VALUE"""),"Yes")</f>
        <v>Yes</v>
      </c>
      <c r="Y221" s="5" t="str">
        <f ca="1">IFERROR(__xludf.DUMMYFUNCTION("""COMPUTED_VALUE"""),"Yes")</f>
        <v>Yes</v>
      </c>
      <c r="Z221" s="5" t="str">
        <f ca="1">IFERROR(__xludf.DUMMYFUNCTION("""COMPUTED_VALUE"""),"Yes")</f>
        <v>Yes</v>
      </c>
      <c r="AA221" s="5" t="str">
        <f ca="1">IFERROR(__xludf.DUMMYFUNCTION("""COMPUTED_VALUE"""),"Yes")</f>
        <v>Yes</v>
      </c>
      <c r="AB221" s="5" t="str">
        <f ca="1">IFERROR(__xludf.DUMMYFUNCTION("""COMPUTED_VALUE"""),"Yes")</f>
        <v>Yes</v>
      </c>
      <c r="AC221" s="5" t="str">
        <f ca="1">IFERROR(__xludf.DUMMYFUNCTION("""COMPUTED_VALUE"""),"No")</f>
        <v>No</v>
      </c>
    </row>
    <row r="222" spans="1:29" x14ac:dyDescent="0.25">
      <c r="A222" s="5" t="str">
        <f ca="1">IFERROR(__xludf.DUMMYFUNCTION("""COMPUTED_VALUE"""),"UnicornDiceMegaCash")</f>
        <v>UnicornDiceMegaCash</v>
      </c>
      <c r="B2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2" s="5" t="str">
        <f ca="1">IFERROR(__xludf.DUMMYFUNCTION("""COMPUTED_VALUE"""),"Yes")</f>
        <v>Yes</v>
      </c>
      <c r="D222" s="5" t="str">
        <f ca="1">IFERROR(__xludf.DUMMYFUNCTION("""COMPUTED_VALUE"""),"Yes")</f>
        <v>Yes</v>
      </c>
      <c r="E222" s="5" t="str">
        <f ca="1">IFERROR(__xludf.DUMMYFUNCTION("""COMPUTED_VALUE"""),"Yes")</f>
        <v>Yes</v>
      </c>
      <c r="F222" s="5" t="str">
        <f ca="1">IFERROR(__xludf.DUMMYFUNCTION("""COMPUTED_VALUE"""),"Yes")</f>
        <v>Yes</v>
      </c>
      <c r="G222" s="5" t="str">
        <f ca="1">IFERROR(__xludf.DUMMYFUNCTION("""COMPUTED_VALUE"""),"Yes")</f>
        <v>Yes</v>
      </c>
      <c r="H222" s="5" t="str">
        <f ca="1">IFERROR(__xludf.DUMMYFUNCTION("""COMPUTED_VALUE"""),"Yes")</f>
        <v>Yes</v>
      </c>
      <c r="I222" s="5" t="str">
        <f ca="1">IFERROR(__xludf.DUMMYFUNCTION("""COMPUTED_VALUE"""),"Yes")</f>
        <v>Yes</v>
      </c>
      <c r="J222" s="5" t="str">
        <f ca="1">IFERROR(__xludf.DUMMYFUNCTION("""COMPUTED_VALUE"""),"Yes")</f>
        <v>Yes</v>
      </c>
      <c r="K222" s="5" t="str">
        <f ca="1">IFERROR(__xludf.DUMMYFUNCTION("""COMPUTED_VALUE"""),"Yes")</f>
        <v>Yes</v>
      </c>
      <c r="L222" s="5" t="str">
        <f ca="1">IFERROR(__xludf.DUMMYFUNCTION("""COMPUTED_VALUE"""),"Yes")</f>
        <v>Yes</v>
      </c>
      <c r="M222" s="5" t="str">
        <f ca="1">IFERROR(__xludf.DUMMYFUNCTION("""COMPUTED_VALUE"""),"Yes")</f>
        <v>Yes</v>
      </c>
      <c r="N222" s="5" t="str">
        <f ca="1">IFERROR(__xludf.DUMMYFUNCTION("""COMPUTED_VALUE"""),"Yes")</f>
        <v>Yes</v>
      </c>
      <c r="O222" s="5" t="str">
        <f ca="1">IFERROR(__xludf.DUMMYFUNCTION("""COMPUTED_VALUE"""),"Yes")</f>
        <v>Yes</v>
      </c>
      <c r="P222" s="5" t="str">
        <f ca="1">IFERROR(__xludf.DUMMYFUNCTION("""COMPUTED_VALUE"""),"Yes")</f>
        <v>Yes</v>
      </c>
      <c r="Q222" s="5" t="str">
        <f ca="1">IFERROR(__xludf.DUMMYFUNCTION("""COMPUTED_VALUE"""),"Yes")</f>
        <v>Yes</v>
      </c>
      <c r="R222" s="5" t="str">
        <f ca="1">IFERROR(__xludf.DUMMYFUNCTION("""COMPUTED_VALUE"""),"Yes")</f>
        <v>Yes</v>
      </c>
      <c r="S222" s="5" t="str">
        <f ca="1">IFERROR(__xludf.DUMMYFUNCTION("""COMPUTED_VALUE"""),"Yes")</f>
        <v>Yes</v>
      </c>
      <c r="T222" s="5" t="str">
        <f ca="1">IFERROR(__xludf.DUMMYFUNCTION("""COMPUTED_VALUE"""),"Yes")</f>
        <v>Yes</v>
      </c>
      <c r="U222" s="5" t="str">
        <f ca="1">IFERROR(__xludf.DUMMYFUNCTION("""COMPUTED_VALUE"""),"Yes")</f>
        <v>Yes</v>
      </c>
      <c r="V222" s="5" t="str">
        <f ca="1">IFERROR(__xludf.DUMMYFUNCTION("""COMPUTED_VALUE"""),"Yes")</f>
        <v>Yes</v>
      </c>
      <c r="W222" s="5" t="str">
        <f ca="1">IFERROR(__xludf.DUMMYFUNCTION("""COMPUTED_VALUE"""),"Yes")</f>
        <v>Yes</v>
      </c>
      <c r="X222" s="5" t="str">
        <f ca="1">IFERROR(__xludf.DUMMYFUNCTION("""COMPUTED_VALUE"""),"Yes")</f>
        <v>Yes</v>
      </c>
      <c r="Y222" s="5" t="str">
        <f ca="1">IFERROR(__xludf.DUMMYFUNCTION("""COMPUTED_VALUE"""),"Yes")</f>
        <v>Yes</v>
      </c>
      <c r="Z222" s="5" t="str">
        <f ca="1">IFERROR(__xludf.DUMMYFUNCTION("""COMPUTED_VALUE"""),"Yes")</f>
        <v>Yes</v>
      </c>
      <c r="AA222" s="5" t="str">
        <f ca="1">IFERROR(__xludf.DUMMYFUNCTION("""COMPUTED_VALUE"""),"Yes")</f>
        <v>Yes</v>
      </c>
      <c r="AB222" s="5" t="str">
        <f ca="1">IFERROR(__xludf.DUMMYFUNCTION("""COMPUTED_VALUE"""),"Yes")</f>
        <v>Yes</v>
      </c>
      <c r="AC222" s="5"/>
    </row>
    <row r="223" spans="1:29" x14ac:dyDescent="0.25">
      <c r="A223" s="5" t="str">
        <f ca="1">IFERROR(__xludf.DUMMYFUNCTION("""COMPUTED_VALUE"""),"Unicorn40HotStrike")</f>
        <v>Unicorn40HotStrike</v>
      </c>
      <c r="B22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23" s="5" t="str">
        <f ca="1">IFERROR(__xludf.DUMMYFUNCTION("""COMPUTED_VALUE"""),"Yes")</f>
        <v>Yes</v>
      </c>
      <c r="D223" s="5" t="str">
        <f ca="1">IFERROR(__xludf.DUMMYFUNCTION("""COMPUTED_VALUE"""),"Yes")</f>
        <v>Yes</v>
      </c>
      <c r="E223" s="5" t="str">
        <f ca="1">IFERROR(__xludf.DUMMYFUNCTION("""COMPUTED_VALUE"""),"Yes")</f>
        <v>Yes</v>
      </c>
      <c r="F223" s="5" t="str">
        <f ca="1">IFERROR(__xludf.DUMMYFUNCTION("""COMPUTED_VALUE"""),"No")</f>
        <v>No</v>
      </c>
      <c r="G223" s="5" t="str">
        <f ca="1">IFERROR(__xludf.DUMMYFUNCTION("""COMPUTED_VALUE"""),"No")</f>
        <v>No</v>
      </c>
      <c r="H223" s="5" t="str">
        <f ca="1">IFERROR(__xludf.DUMMYFUNCTION("""COMPUTED_VALUE"""),"No")</f>
        <v>No</v>
      </c>
      <c r="I223" s="5" t="str">
        <f ca="1">IFERROR(__xludf.DUMMYFUNCTION("""COMPUTED_VALUE"""),"No")</f>
        <v>No</v>
      </c>
      <c r="J223" s="5" t="str">
        <f ca="1">IFERROR(__xludf.DUMMYFUNCTION("""COMPUTED_VALUE"""),"No")</f>
        <v>No</v>
      </c>
      <c r="K223" s="5" t="str">
        <f ca="1">IFERROR(__xludf.DUMMYFUNCTION("""COMPUTED_VALUE"""),"Yes")</f>
        <v>Yes</v>
      </c>
      <c r="L223" s="5" t="str">
        <f ca="1">IFERROR(__xludf.DUMMYFUNCTION("""COMPUTED_VALUE"""),"Yes")</f>
        <v>Yes</v>
      </c>
      <c r="M223" s="5" t="str">
        <f ca="1">IFERROR(__xludf.DUMMYFUNCTION("""COMPUTED_VALUE"""),"Yes")</f>
        <v>Yes</v>
      </c>
      <c r="N223" s="5" t="str">
        <f ca="1">IFERROR(__xludf.DUMMYFUNCTION("""COMPUTED_VALUE"""),"Yes")</f>
        <v>Yes</v>
      </c>
      <c r="O223" s="5" t="str">
        <f ca="1">IFERROR(__xludf.DUMMYFUNCTION("""COMPUTED_VALUE"""),"Yes")</f>
        <v>Yes</v>
      </c>
      <c r="P223" s="5" t="str">
        <f ca="1">IFERROR(__xludf.DUMMYFUNCTION("""COMPUTED_VALUE"""),"No")</f>
        <v>No</v>
      </c>
      <c r="Q223" s="5" t="str">
        <f ca="1">IFERROR(__xludf.DUMMYFUNCTION("""COMPUTED_VALUE"""),"Yes")</f>
        <v>Yes</v>
      </c>
      <c r="R223" s="5" t="str">
        <f ca="1">IFERROR(__xludf.DUMMYFUNCTION("""COMPUTED_VALUE"""),"No")</f>
        <v>No</v>
      </c>
      <c r="S223" s="5" t="str">
        <f ca="1">IFERROR(__xludf.DUMMYFUNCTION("""COMPUTED_VALUE"""),"No")</f>
        <v>No</v>
      </c>
      <c r="T223" s="5" t="str">
        <f ca="1">IFERROR(__xludf.DUMMYFUNCTION("""COMPUTED_VALUE"""),"No")</f>
        <v>No</v>
      </c>
      <c r="U223" s="5" t="str">
        <f ca="1">IFERROR(__xludf.DUMMYFUNCTION("""COMPUTED_VALUE"""),"No")</f>
        <v>No</v>
      </c>
      <c r="V223" s="5" t="str">
        <f ca="1">IFERROR(__xludf.DUMMYFUNCTION("""COMPUTED_VALUE"""),"No")</f>
        <v>No</v>
      </c>
      <c r="W223" s="5"/>
      <c r="X223" s="5"/>
      <c r="Y223" s="5"/>
      <c r="Z223" s="5" t="str">
        <f ca="1">IFERROR(__xludf.DUMMYFUNCTION("""COMPUTED_VALUE"""),"No")</f>
        <v>No</v>
      </c>
      <c r="AA223" s="5"/>
      <c r="AB223" s="5"/>
      <c r="AC223" s="5"/>
    </row>
    <row r="224" spans="1:29" x14ac:dyDescent="0.25">
      <c r="A224" s="5" t="str">
        <f ca="1">IFERROR(__xludf.DUMMYFUNCTION("""COMPUTED_VALUE"""),"ShiningRush")</f>
        <v>ShiningRush</v>
      </c>
      <c r="B2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24" s="5" t="str">
        <f ca="1">IFERROR(__xludf.DUMMYFUNCTION("""COMPUTED_VALUE"""),"Yes")</f>
        <v>Yes</v>
      </c>
      <c r="D224" s="5" t="str">
        <f ca="1">IFERROR(__xludf.DUMMYFUNCTION("""COMPUTED_VALUE"""),"Yes")</f>
        <v>Yes</v>
      </c>
      <c r="E224" s="5" t="str">
        <f ca="1">IFERROR(__xludf.DUMMYFUNCTION("""COMPUTED_VALUE"""),"Yes")</f>
        <v>Yes</v>
      </c>
      <c r="F224" s="5" t="str">
        <f ca="1">IFERROR(__xludf.DUMMYFUNCTION("""COMPUTED_VALUE"""),"No")</f>
        <v>No</v>
      </c>
      <c r="G224" s="5" t="str">
        <f ca="1">IFERROR(__xludf.DUMMYFUNCTION("""COMPUTED_VALUE"""),"No")</f>
        <v>No</v>
      </c>
      <c r="H224" s="5" t="str">
        <f ca="1">IFERROR(__xludf.DUMMYFUNCTION("""COMPUTED_VALUE"""),"No")</f>
        <v>No</v>
      </c>
      <c r="I224" s="5" t="str">
        <f ca="1">IFERROR(__xludf.DUMMYFUNCTION("""COMPUTED_VALUE"""),"No")</f>
        <v>No</v>
      </c>
      <c r="J224" s="5" t="str">
        <f ca="1">IFERROR(__xludf.DUMMYFUNCTION("""COMPUTED_VALUE"""),"No")</f>
        <v>No</v>
      </c>
      <c r="K224" s="5" t="str">
        <f ca="1">IFERROR(__xludf.DUMMYFUNCTION("""COMPUTED_VALUE"""),"Yes")</f>
        <v>Yes</v>
      </c>
      <c r="L224" s="5" t="str">
        <f ca="1">IFERROR(__xludf.DUMMYFUNCTION("""COMPUTED_VALUE"""),"Yes")</f>
        <v>Yes</v>
      </c>
      <c r="M224" s="5" t="str">
        <f ca="1">IFERROR(__xludf.DUMMYFUNCTION("""COMPUTED_VALUE"""),"Yes")</f>
        <v>Yes</v>
      </c>
      <c r="N224" s="5" t="str">
        <f ca="1">IFERROR(__xludf.DUMMYFUNCTION("""COMPUTED_VALUE"""),"Yes")</f>
        <v>Yes</v>
      </c>
      <c r="O224" s="5" t="str">
        <f ca="1">IFERROR(__xludf.DUMMYFUNCTION("""COMPUTED_VALUE"""),"Yes")</f>
        <v>Yes</v>
      </c>
      <c r="P224" s="5" t="str">
        <f ca="1">IFERROR(__xludf.DUMMYFUNCTION("""COMPUTED_VALUE"""),"No")</f>
        <v>No</v>
      </c>
      <c r="Q224" s="5" t="str">
        <f ca="1">IFERROR(__xludf.DUMMYFUNCTION("""COMPUTED_VALUE"""),"Yes")</f>
        <v>Yes</v>
      </c>
      <c r="R224" s="5" t="str">
        <f ca="1">IFERROR(__xludf.DUMMYFUNCTION("""COMPUTED_VALUE"""),"No")</f>
        <v>No</v>
      </c>
      <c r="S224" s="5" t="str">
        <f ca="1">IFERROR(__xludf.DUMMYFUNCTION("""COMPUTED_VALUE"""),"No")</f>
        <v>No</v>
      </c>
      <c r="T224" s="5" t="str">
        <f ca="1">IFERROR(__xludf.DUMMYFUNCTION("""COMPUTED_VALUE"""),"No")</f>
        <v>No</v>
      </c>
      <c r="U224" s="5" t="str">
        <f ca="1">IFERROR(__xludf.DUMMYFUNCTION("""COMPUTED_VALUE"""),"No")</f>
        <v>No</v>
      </c>
      <c r="V224" s="5" t="str">
        <f ca="1">IFERROR(__xludf.DUMMYFUNCTION("""COMPUTED_VALUE"""),"No")</f>
        <v>No</v>
      </c>
      <c r="W224" s="5"/>
      <c r="X224" s="5"/>
      <c r="Y224" s="5"/>
      <c r="Z224" s="5" t="str">
        <f ca="1">IFERROR(__xludf.DUMMYFUNCTION("""COMPUTED_VALUE"""),"No")</f>
        <v>No</v>
      </c>
      <c r="AA224" s="5"/>
      <c r="AB224" s="5"/>
      <c r="AC224" s="5"/>
    </row>
    <row r="225" spans="1:29" x14ac:dyDescent="0.25">
      <c r="A225" s="5" t="str">
        <f ca="1">IFERROR(__xludf.DUMMYFUNCTION("""COMPUTED_VALUE"""),"GoldenExplosion")</f>
        <v>GoldenExplosion</v>
      </c>
      <c r="B2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5" s="5" t="str">
        <f ca="1">IFERROR(__xludf.DUMMYFUNCTION("""COMPUTED_VALUE"""),"Yes")</f>
        <v>Yes</v>
      </c>
      <c r="D225" s="5" t="str">
        <f ca="1">IFERROR(__xludf.DUMMYFUNCTION("""COMPUTED_VALUE"""),"Yes")</f>
        <v>Yes</v>
      </c>
      <c r="E225" s="5" t="str">
        <f ca="1">IFERROR(__xludf.DUMMYFUNCTION("""COMPUTED_VALUE"""),"Yes")</f>
        <v>Yes</v>
      </c>
      <c r="F225" s="5" t="str">
        <f ca="1">IFERROR(__xludf.DUMMYFUNCTION("""COMPUTED_VALUE"""),"Yes")</f>
        <v>Yes</v>
      </c>
      <c r="G225" s="5" t="str">
        <f ca="1">IFERROR(__xludf.DUMMYFUNCTION("""COMPUTED_VALUE"""),"Yes")</f>
        <v>Yes</v>
      </c>
      <c r="H225" s="5" t="str">
        <f ca="1">IFERROR(__xludf.DUMMYFUNCTION("""COMPUTED_VALUE"""),"Yes")</f>
        <v>Yes</v>
      </c>
      <c r="I225" s="5" t="str">
        <f ca="1">IFERROR(__xludf.DUMMYFUNCTION("""COMPUTED_VALUE"""),"Yes")</f>
        <v>Yes</v>
      </c>
      <c r="J225" s="5" t="str">
        <f ca="1">IFERROR(__xludf.DUMMYFUNCTION("""COMPUTED_VALUE"""),"Yes")</f>
        <v>Yes</v>
      </c>
      <c r="K225" s="5" t="str">
        <f ca="1">IFERROR(__xludf.DUMMYFUNCTION("""COMPUTED_VALUE"""),"Yes")</f>
        <v>Yes</v>
      </c>
      <c r="L225" s="5" t="str">
        <f ca="1">IFERROR(__xludf.DUMMYFUNCTION("""COMPUTED_VALUE"""),"Yes")</f>
        <v>Yes</v>
      </c>
      <c r="M225" s="5" t="str">
        <f ca="1">IFERROR(__xludf.DUMMYFUNCTION("""COMPUTED_VALUE"""),"Yes")</f>
        <v>Yes</v>
      </c>
      <c r="N225" s="5" t="str">
        <f ca="1">IFERROR(__xludf.DUMMYFUNCTION("""COMPUTED_VALUE"""),"Yes")</f>
        <v>Yes</v>
      </c>
      <c r="O225" s="5" t="str">
        <f ca="1">IFERROR(__xludf.DUMMYFUNCTION("""COMPUTED_VALUE"""),"Yes")</f>
        <v>Yes</v>
      </c>
      <c r="P225" s="5" t="str">
        <f ca="1">IFERROR(__xludf.DUMMYFUNCTION("""COMPUTED_VALUE"""),"Yes")</f>
        <v>Yes</v>
      </c>
      <c r="Q225" s="5" t="str">
        <f ca="1">IFERROR(__xludf.DUMMYFUNCTION("""COMPUTED_VALUE"""),"Yes")</f>
        <v>Yes</v>
      </c>
      <c r="R225" s="5" t="str">
        <f ca="1">IFERROR(__xludf.DUMMYFUNCTION("""COMPUTED_VALUE"""),"Yes")</f>
        <v>Yes</v>
      </c>
      <c r="S225" s="5" t="str">
        <f ca="1">IFERROR(__xludf.DUMMYFUNCTION("""COMPUTED_VALUE"""),"Yes")</f>
        <v>Yes</v>
      </c>
      <c r="T225" s="5" t="str">
        <f ca="1">IFERROR(__xludf.DUMMYFUNCTION("""COMPUTED_VALUE"""),"Yes")</f>
        <v>Yes</v>
      </c>
      <c r="U225" s="5" t="str">
        <f ca="1">IFERROR(__xludf.DUMMYFUNCTION("""COMPUTED_VALUE"""),"Yes")</f>
        <v>Yes</v>
      </c>
      <c r="V225" s="5" t="str">
        <f ca="1">IFERROR(__xludf.DUMMYFUNCTION("""COMPUTED_VALUE"""),"Yes")</f>
        <v>Yes</v>
      </c>
      <c r="W225" s="5" t="str">
        <f ca="1">IFERROR(__xludf.DUMMYFUNCTION("""COMPUTED_VALUE"""),"Yes")</f>
        <v>Yes</v>
      </c>
      <c r="X225" s="5" t="str">
        <f ca="1">IFERROR(__xludf.DUMMYFUNCTION("""COMPUTED_VALUE"""),"Yes")</f>
        <v>Yes</v>
      </c>
      <c r="Y225" s="5" t="str">
        <f ca="1">IFERROR(__xludf.DUMMYFUNCTION("""COMPUTED_VALUE"""),"Yes")</f>
        <v>Yes</v>
      </c>
      <c r="Z225" s="5" t="str">
        <f ca="1">IFERROR(__xludf.DUMMYFUNCTION("""COMPUTED_VALUE"""),"Yes")</f>
        <v>Yes</v>
      </c>
      <c r="AA225" s="5" t="str">
        <f ca="1">IFERROR(__xludf.DUMMYFUNCTION("""COMPUTED_VALUE"""),"Yes")</f>
        <v>Yes</v>
      </c>
      <c r="AB225" s="5" t="str">
        <f ca="1">IFERROR(__xludf.DUMMYFUNCTION("""COMPUTED_VALUE"""),"Yes")</f>
        <v>Yes</v>
      </c>
      <c r="AC225" s="5" t="str">
        <f ca="1">IFERROR(__xludf.DUMMYFUNCTION("""COMPUTED_VALUE"""),"No")</f>
        <v>No</v>
      </c>
    </row>
    <row r="226" spans="1:29" x14ac:dyDescent="0.25">
      <c r="A226" s="5" t="str">
        <f ca="1">IFERROR(__xludf.DUMMYFUNCTION("""COMPUTED_VALUE"""),"VeryHot5Extreme")</f>
        <v>VeryHot5Extreme</v>
      </c>
      <c r="B2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6" s="5" t="str">
        <f ca="1">IFERROR(__xludf.DUMMYFUNCTION("""COMPUTED_VALUE"""),"Yes")</f>
        <v>Yes</v>
      </c>
      <c r="D226" s="5" t="str">
        <f ca="1">IFERROR(__xludf.DUMMYFUNCTION("""COMPUTED_VALUE"""),"Yes")</f>
        <v>Yes</v>
      </c>
      <c r="E226" s="5" t="str">
        <f ca="1">IFERROR(__xludf.DUMMYFUNCTION("""COMPUTED_VALUE"""),"Yes")</f>
        <v>Yes</v>
      </c>
      <c r="F226" s="5" t="str">
        <f ca="1">IFERROR(__xludf.DUMMYFUNCTION("""COMPUTED_VALUE"""),"Yes")</f>
        <v>Yes</v>
      </c>
      <c r="G226" s="5" t="str">
        <f ca="1">IFERROR(__xludf.DUMMYFUNCTION("""COMPUTED_VALUE"""),"Yes")</f>
        <v>Yes</v>
      </c>
      <c r="H226" s="5" t="str">
        <f ca="1">IFERROR(__xludf.DUMMYFUNCTION("""COMPUTED_VALUE"""),"Yes")</f>
        <v>Yes</v>
      </c>
      <c r="I226" s="5" t="str">
        <f ca="1">IFERROR(__xludf.DUMMYFUNCTION("""COMPUTED_VALUE"""),"Yes")</f>
        <v>Yes</v>
      </c>
      <c r="J226" s="5" t="str">
        <f ca="1">IFERROR(__xludf.DUMMYFUNCTION("""COMPUTED_VALUE"""),"Yes")</f>
        <v>Yes</v>
      </c>
      <c r="K226" s="5" t="str">
        <f ca="1">IFERROR(__xludf.DUMMYFUNCTION("""COMPUTED_VALUE"""),"Yes")</f>
        <v>Yes</v>
      </c>
      <c r="L226" s="5" t="str">
        <f ca="1">IFERROR(__xludf.DUMMYFUNCTION("""COMPUTED_VALUE"""),"Yes")</f>
        <v>Yes</v>
      </c>
      <c r="M226" s="5" t="str">
        <f ca="1">IFERROR(__xludf.DUMMYFUNCTION("""COMPUTED_VALUE"""),"Yes")</f>
        <v>Yes</v>
      </c>
      <c r="N226" s="5" t="str">
        <f ca="1">IFERROR(__xludf.DUMMYFUNCTION("""COMPUTED_VALUE"""),"Yes")</f>
        <v>Yes</v>
      </c>
      <c r="O226" s="5" t="str">
        <f ca="1">IFERROR(__xludf.DUMMYFUNCTION("""COMPUTED_VALUE"""),"Yes")</f>
        <v>Yes</v>
      </c>
      <c r="P226" s="5" t="str">
        <f ca="1">IFERROR(__xludf.DUMMYFUNCTION("""COMPUTED_VALUE"""),"Yes")</f>
        <v>Yes</v>
      </c>
      <c r="Q226" s="5" t="str">
        <f ca="1">IFERROR(__xludf.DUMMYFUNCTION("""COMPUTED_VALUE"""),"Yes")</f>
        <v>Yes</v>
      </c>
      <c r="R226" s="5" t="str">
        <f ca="1">IFERROR(__xludf.DUMMYFUNCTION("""COMPUTED_VALUE"""),"Yes")</f>
        <v>Yes</v>
      </c>
      <c r="S226" s="5" t="str">
        <f ca="1">IFERROR(__xludf.DUMMYFUNCTION("""COMPUTED_VALUE"""),"Yes")</f>
        <v>Yes</v>
      </c>
      <c r="T226" s="5" t="str">
        <f ca="1">IFERROR(__xludf.DUMMYFUNCTION("""COMPUTED_VALUE"""),"Yes")</f>
        <v>Yes</v>
      </c>
      <c r="U226" s="5" t="str">
        <f ca="1">IFERROR(__xludf.DUMMYFUNCTION("""COMPUTED_VALUE"""),"Yes")</f>
        <v>Yes</v>
      </c>
      <c r="V226" s="5" t="str">
        <f ca="1">IFERROR(__xludf.DUMMYFUNCTION("""COMPUTED_VALUE"""),"Yes")</f>
        <v>Yes</v>
      </c>
      <c r="W226" s="5" t="str">
        <f ca="1">IFERROR(__xludf.DUMMYFUNCTION("""COMPUTED_VALUE"""),"Yes")</f>
        <v>Yes</v>
      </c>
      <c r="X226" s="5" t="str">
        <f ca="1">IFERROR(__xludf.DUMMYFUNCTION("""COMPUTED_VALUE"""),"Yes")</f>
        <v>Yes</v>
      </c>
      <c r="Y226" s="5" t="str">
        <f ca="1">IFERROR(__xludf.DUMMYFUNCTION("""COMPUTED_VALUE"""),"Yes")</f>
        <v>Yes</v>
      </c>
      <c r="Z226" s="5" t="str">
        <f ca="1">IFERROR(__xludf.DUMMYFUNCTION("""COMPUTED_VALUE"""),"Yes")</f>
        <v>Yes</v>
      </c>
      <c r="AA226" s="5" t="str">
        <f ca="1">IFERROR(__xludf.DUMMYFUNCTION("""COMPUTED_VALUE"""),"Yes")</f>
        <v>Yes</v>
      </c>
      <c r="AB226" s="5" t="str">
        <f ca="1">IFERROR(__xludf.DUMMYFUNCTION("""COMPUTED_VALUE"""),"Yes")</f>
        <v>Yes</v>
      </c>
      <c r="AC226" s="5" t="str">
        <f ca="1">IFERROR(__xludf.DUMMYFUNCTION("""COMPUTED_VALUE"""),"No")</f>
        <v>No</v>
      </c>
    </row>
    <row r="227" spans="1:29" x14ac:dyDescent="0.25">
      <c r="A227" s="5" t="str">
        <f ca="1">IFERROR(__xludf.DUMMYFUNCTION("""COMPUTED_VALUE"""),"PixelHot40")</f>
        <v>PixelHot40</v>
      </c>
      <c r="B2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7" s="5" t="str">
        <f ca="1">IFERROR(__xludf.DUMMYFUNCTION("""COMPUTED_VALUE"""),"Yes")</f>
        <v>Yes</v>
      </c>
      <c r="D227" s="5" t="str">
        <f ca="1">IFERROR(__xludf.DUMMYFUNCTION("""COMPUTED_VALUE"""),"Yes")</f>
        <v>Yes</v>
      </c>
      <c r="E227" s="5" t="str">
        <f ca="1">IFERROR(__xludf.DUMMYFUNCTION("""COMPUTED_VALUE"""),"Yes")</f>
        <v>Yes</v>
      </c>
      <c r="F227" s="5" t="str">
        <f ca="1">IFERROR(__xludf.DUMMYFUNCTION("""COMPUTED_VALUE"""),"Yes")</f>
        <v>Yes</v>
      </c>
      <c r="G227" s="5" t="str">
        <f ca="1">IFERROR(__xludf.DUMMYFUNCTION("""COMPUTED_VALUE"""),"Yes")</f>
        <v>Yes</v>
      </c>
      <c r="H227" s="5" t="str">
        <f ca="1">IFERROR(__xludf.DUMMYFUNCTION("""COMPUTED_VALUE"""),"Yes")</f>
        <v>Yes</v>
      </c>
      <c r="I227" s="5" t="str">
        <f ca="1">IFERROR(__xludf.DUMMYFUNCTION("""COMPUTED_VALUE"""),"Yes")</f>
        <v>Yes</v>
      </c>
      <c r="J227" s="5" t="str">
        <f ca="1">IFERROR(__xludf.DUMMYFUNCTION("""COMPUTED_VALUE"""),"Yes")</f>
        <v>Yes</v>
      </c>
      <c r="K227" s="5" t="str">
        <f ca="1">IFERROR(__xludf.DUMMYFUNCTION("""COMPUTED_VALUE"""),"Yes")</f>
        <v>Yes</v>
      </c>
      <c r="L227" s="5" t="str">
        <f ca="1">IFERROR(__xludf.DUMMYFUNCTION("""COMPUTED_VALUE"""),"Yes")</f>
        <v>Yes</v>
      </c>
      <c r="M227" s="5" t="str">
        <f ca="1">IFERROR(__xludf.DUMMYFUNCTION("""COMPUTED_VALUE"""),"Yes")</f>
        <v>Yes</v>
      </c>
      <c r="N227" s="5" t="str">
        <f ca="1">IFERROR(__xludf.DUMMYFUNCTION("""COMPUTED_VALUE"""),"Yes")</f>
        <v>Yes</v>
      </c>
      <c r="O227" s="5" t="str">
        <f ca="1">IFERROR(__xludf.DUMMYFUNCTION("""COMPUTED_VALUE"""),"Yes")</f>
        <v>Yes</v>
      </c>
      <c r="P227" s="5" t="str">
        <f ca="1">IFERROR(__xludf.DUMMYFUNCTION("""COMPUTED_VALUE"""),"Yes")</f>
        <v>Yes</v>
      </c>
      <c r="Q227" s="5" t="str">
        <f ca="1">IFERROR(__xludf.DUMMYFUNCTION("""COMPUTED_VALUE"""),"Yes")</f>
        <v>Yes</v>
      </c>
      <c r="R227" s="5" t="str">
        <f ca="1">IFERROR(__xludf.DUMMYFUNCTION("""COMPUTED_VALUE"""),"Yes")</f>
        <v>Yes</v>
      </c>
      <c r="S227" s="5" t="str">
        <f ca="1">IFERROR(__xludf.DUMMYFUNCTION("""COMPUTED_VALUE"""),"Yes")</f>
        <v>Yes</v>
      </c>
      <c r="T227" s="5" t="str">
        <f ca="1">IFERROR(__xludf.DUMMYFUNCTION("""COMPUTED_VALUE"""),"Yes")</f>
        <v>Yes</v>
      </c>
      <c r="U227" s="5" t="str">
        <f ca="1">IFERROR(__xludf.DUMMYFUNCTION("""COMPUTED_VALUE"""),"Yes")</f>
        <v>Yes</v>
      </c>
      <c r="V227" s="5" t="str">
        <f ca="1">IFERROR(__xludf.DUMMYFUNCTION("""COMPUTED_VALUE"""),"Yes")</f>
        <v>Yes</v>
      </c>
      <c r="W227" s="5" t="str">
        <f ca="1">IFERROR(__xludf.DUMMYFUNCTION("""COMPUTED_VALUE"""),"Yes")</f>
        <v>Yes</v>
      </c>
      <c r="X227" s="5" t="str">
        <f ca="1">IFERROR(__xludf.DUMMYFUNCTION("""COMPUTED_VALUE"""),"Yes")</f>
        <v>Yes</v>
      </c>
      <c r="Y227" s="5" t="str">
        <f ca="1">IFERROR(__xludf.DUMMYFUNCTION("""COMPUTED_VALUE"""),"Yes")</f>
        <v>Yes</v>
      </c>
      <c r="Z227" s="5" t="str">
        <f ca="1">IFERROR(__xludf.DUMMYFUNCTION("""COMPUTED_VALUE"""),"Yes")</f>
        <v>Yes</v>
      </c>
      <c r="AA227" s="5" t="str">
        <f ca="1">IFERROR(__xludf.DUMMYFUNCTION("""COMPUTED_VALUE"""),"Yes")</f>
        <v>Yes</v>
      </c>
      <c r="AB227" s="5" t="str">
        <f ca="1">IFERROR(__xludf.DUMMYFUNCTION("""COMPUTED_VALUE"""),"Yes")</f>
        <v>Yes</v>
      </c>
      <c r="AC227" s="5" t="str">
        <f ca="1">IFERROR(__xludf.DUMMYFUNCTION("""COMPUTED_VALUE"""),"No")</f>
        <v>No</v>
      </c>
    </row>
    <row r="228" spans="1:29" x14ac:dyDescent="0.25">
      <c r="A228" s="5" t="str">
        <f ca="1">IFERROR(__xludf.DUMMYFUNCTION("""COMPUTED_VALUE"""),"Unicorn40HotStrikeDice")</f>
        <v>Unicorn40HotStrikeDice</v>
      </c>
      <c r="B2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8" s="5" t="str">
        <f ca="1">IFERROR(__xludf.DUMMYFUNCTION("""COMPUTED_VALUE"""),"Yes")</f>
        <v>Yes</v>
      </c>
      <c r="D228" s="5" t="str">
        <f ca="1">IFERROR(__xludf.DUMMYFUNCTION("""COMPUTED_VALUE"""),"Yes")</f>
        <v>Yes</v>
      </c>
      <c r="E228" s="5" t="str">
        <f ca="1">IFERROR(__xludf.DUMMYFUNCTION("""COMPUTED_VALUE"""),"Yes")</f>
        <v>Yes</v>
      </c>
      <c r="F228" s="5" t="str">
        <f ca="1">IFERROR(__xludf.DUMMYFUNCTION("""COMPUTED_VALUE"""),"Yes")</f>
        <v>Yes</v>
      </c>
      <c r="G228" s="5" t="str">
        <f ca="1">IFERROR(__xludf.DUMMYFUNCTION("""COMPUTED_VALUE"""),"Yes")</f>
        <v>Yes</v>
      </c>
      <c r="H228" s="5" t="str">
        <f ca="1">IFERROR(__xludf.DUMMYFUNCTION("""COMPUTED_VALUE"""),"Yes")</f>
        <v>Yes</v>
      </c>
      <c r="I228" s="5" t="str">
        <f ca="1">IFERROR(__xludf.DUMMYFUNCTION("""COMPUTED_VALUE"""),"Yes")</f>
        <v>Yes</v>
      </c>
      <c r="J228" s="5" t="str">
        <f ca="1">IFERROR(__xludf.DUMMYFUNCTION("""COMPUTED_VALUE"""),"Yes")</f>
        <v>Yes</v>
      </c>
      <c r="K228" s="5" t="str">
        <f ca="1">IFERROR(__xludf.DUMMYFUNCTION("""COMPUTED_VALUE"""),"Yes")</f>
        <v>Yes</v>
      </c>
      <c r="L228" s="5" t="str">
        <f ca="1">IFERROR(__xludf.DUMMYFUNCTION("""COMPUTED_VALUE"""),"Yes")</f>
        <v>Yes</v>
      </c>
      <c r="M228" s="5" t="str">
        <f ca="1">IFERROR(__xludf.DUMMYFUNCTION("""COMPUTED_VALUE"""),"Yes")</f>
        <v>Yes</v>
      </c>
      <c r="N228" s="5" t="str">
        <f ca="1">IFERROR(__xludf.DUMMYFUNCTION("""COMPUTED_VALUE"""),"Yes")</f>
        <v>Yes</v>
      </c>
      <c r="O228" s="5" t="str">
        <f ca="1">IFERROR(__xludf.DUMMYFUNCTION("""COMPUTED_VALUE"""),"Yes")</f>
        <v>Yes</v>
      </c>
      <c r="P228" s="5" t="str">
        <f ca="1">IFERROR(__xludf.DUMMYFUNCTION("""COMPUTED_VALUE"""),"Yes")</f>
        <v>Yes</v>
      </c>
      <c r="Q228" s="5" t="str">
        <f ca="1">IFERROR(__xludf.DUMMYFUNCTION("""COMPUTED_VALUE"""),"Yes")</f>
        <v>Yes</v>
      </c>
      <c r="R228" s="5" t="str">
        <f ca="1">IFERROR(__xludf.DUMMYFUNCTION("""COMPUTED_VALUE"""),"Yes")</f>
        <v>Yes</v>
      </c>
      <c r="S228" s="5" t="str">
        <f ca="1">IFERROR(__xludf.DUMMYFUNCTION("""COMPUTED_VALUE"""),"Yes")</f>
        <v>Yes</v>
      </c>
      <c r="T228" s="5" t="str">
        <f ca="1">IFERROR(__xludf.DUMMYFUNCTION("""COMPUTED_VALUE"""),"Yes")</f>
        <v>Yes</v>
      </c>
      <c r="U228" s="5" t="str">
        <f ca="1">IFERROR(__xludf.DUMMYFUNCTION("""COMPUTED_VALUE"""),"Yes")</f>
        <v>Yes</v>
      </c>
      <c r="V228" s="5" t="str">
        <f ca="1">IFERROR(__xludf.DUMMYFUNCTION("""COMPUTED_VALUE"""),"Yes")</f>
        <v>Yes</v>
      </c>
      <c r="W228" s="5" t="str">
        <f ca="1">IFERROR(__xludf.DUMMYFUNCTION("""COMPUTED_VALUE"""),"Yes")</f>
        <v>Yes</v>
      </c>
      <c r="X228" s="5" t="str">
        <f ca="1">IFERROR(__xludf.DUMMYFUNCTION("""COMPUTED_VALUE"""),"Yes")</f>
        <v>Yes</v>
      </c>
      <c r="Y228" s="5" t="str">
        <f ca="1">IFERROR(__xludf.DUMMYFUNCTION("""COMPUTED_VALUE"""),"Yes")</f>
        <v>Yes</v>
      </c>
      <c r="Z228" s="5" t="str">
        <f ca="1">IFERROR(__xludf.DUMMYFUNCTION("""COMPUTED_VALUE"""),"Yes")</f>
        <v>Yes</v>
      </c>
      <c r="AA228" s="5" t="str">
        <f ca="1">IFERROR(__xludf.DUMMYFUNCTION("""COMPUTED_VALUE"""),"Yes")</f>
        <v>Yes</v>
      </c>
      <c r="AB228" s="5" t="str">
        <f ca="1">IFERROR(__xludf.DUMMYFUNCTION("""COMPUTED_VALUE"""),"Yes")</f>
        <v>Yes</v>
      </c>
      <c r="AC228" s="5"/>
    </row>
    <row r="229" spans="1:29" x14ac:dyDescent="0.25">
      <c r="A229" s="5" t="str">
        <f ca="1">IFERROR(__xludf.DUMMYFUNCTION("""COMPUTED_VALUE"""),"Unicorn20HotStrike")</f>
        <v>Unicorn20HotStrike</v>
      </c>
      <c r="B22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29" s="5" t="str">
        <f ca="1">IFERROR(__xludf.DUMMYFUNCTION("""COMPUTED_VALUE"""),"Yes")</f>
        <v>Yes</v>
      </c>
      <c r="D229" s="5" t="str">
        <f ca="1">IFERROR(__xludf.DUMMYFUNCTION("""COMPUTED_VALUE"""),"Yes")</f>
        <v>Yes</v>
      </c>
      <c r="E229" s="5" t="str">
        <f ca="1">IFERROR(__xludf.DUMMYFUNCTION("""COMPUTED_VALUE"""),"Yes")</f>
        <v>Yes</v>
      </c>
      <c r="F229" s="5" t="str">
        <f ca="1">IFERROR(__xludf.DUMMYFUNCTION("""COMPUTED_VALUE"""),"No")</f>
        <v>No</v>
      </c>
      <c r="G229" s="5" t="str">
        <f ca="1">IFERROR(__xludf.DUMMYFUNCTION("""COMPUTED_VALUE"""),"No")</f>
        <v>No</v>
      </c>
      <c r="H229" s="5" t="str">
        <f ca="1">IFERROR(__xludf.DUMMYFUNCTION("""COMPUTED_VALUE"""),"No")</f>
        <v>No</v>
      </c>
      <c r="I229" s="5" t="str">
        <f ca="1">IFERROR(__xludf.DUMMYFUNCTION("""COMPUTED_VALUE"""),"No")</f>
        <v>No</v>
      </c>
      <c r="J229" s="5" t="str">
        <f ca="1">IFERROR(__xludf.DUMMYFUNCTION("""COMPUTED_VALUE"""),"No")</f>
        <v>No</v>
      </c>
      <c r="K229" s="5" t="str">
        <f ca="1">IFERROR(__xludf.DUMMYFUNCTION("""COMPUTED_VALUE"""),"Yes")</f>
        <v>Yes</v>
      </c>
      <c r="L229" s="5" t="str">
        <f ca="1">IFERROR(__xludf.DUMMYFUNCTION("""COMPUTED_VALUE"""),"Yes")</f>
        <v>Yes</v>
      </c>
      <c r="M229" s="5" t="str">
        <f ca="1">IFERROR(__xludf.DUMMYFUNCTION("""COMPUTED_VALUE"""),"Yes")</f>
        <v>Yes</v>
      </c>
      <c r="N229" s="5" t="str">
        <f ca="1">IFERROR(__xludf.DUMMYFUNCTION("""COMPUTED_VALUE"""),"Yes")</f>
        <v>Yes</v>
      </c>
      <c r="O229" s="5" t="str">
        <f ca="1">IFERROR(__xludf.DUMMYFUNCTION("""COMPUTED_VALUE"""),"Yes")</f>
        <v>Yes</v>
      </c>
      <c r="P229" s="5" t="str">
        <f ca="1">IFERROR(__xludf.DUMMYFUNCTION("""COMPUTED_VALUE"""),"No")</f>
        <v>No</v>
      </c>
      <c r="Q229" s="5" t="str">
        <f ca="1">IFERROR(__xludf.DUMMYFUNCTION("""COMPUTED_VALUE"""),"Yes")</f>
        <v>Yes</v>
      </c>
      <c r="R229" s="5" t="str">
        <f ca="1">IFERROR(__xludf.DUMMYFUNCTION("""COMPUTED_VALUE"""),"No")</f>
        <v>No</v>
      </c>
      <c r="S229" s="5" t="str">
        <f ca="1">IFERROR(__xludf.DUMMYFUNCTION("""COMPUTED_VALUE"""),"No")</f>
        <v>No</v>
      </c>
      <c r="T229" s="5" t="str">
        <f ca="1">IFERROR(__xludf.DUMMYFUNCTION("""COMPUTED_VALUE"""),"No")</f>
        <v>No</v>
      </c>
      <c r="U229" s="5" t="str">
        <f ca="1">IFERROR(__xludf.DUMMYFUNCTION("""COMPUTED_VALUE"""),"No")</f>
        <v>No</v>
      </c>
      <c r="V229" s="5" t="str">
        <f ca="1">IFERROR(__xludf.DUMMYFUNCTION("""COMPUTED_VALUE"""),"No")</f>
        <v>No</v>
      </c>
      <c r="W229" s="5"/>
      <c r="X229" s="5"/>
      <c r="Y229" s="5"/>
      <c r="Z229" s="5" t="str">
        <f ca="1">IFERROR(__xludf.DUMMYFUNCTION("""COMPUTED_VALUE"""),"No")</f>
        <v>No</v>
      </c>
      <c r="AA229" s="5"/>
      <c r="AB229" s="5"/>
      <c r="AC229" s="5"/>
    </row>
    <row r="230" spans="1:29" x14ac:dyDescent="0.25">
      <c r="A230" s="5" t="str">
        <f ca="1">IFERROR(__xludf.DUMMYFUNCTION("""COMPUTED_VALUE"""),"FireCash20")</f>
        <v>FireCash20</v>
      </c>
      <c r="B23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30" s="5" t="str">
        <f ca="1">IFERROR(__xludf.DUMMYFUNCTION("""COMPUTED_VALUE"""),"Yes")</f>
        <v>Yes</v>
      </c>
      <c r="D230" s="5" t="str">
        <f ca="1">IFERROR(__xludf.DUMMYFUNCTION("""COMPUTED_VALUE"""),"Yes")</f>
        <v>Yes</v>
      </c>
      <c r="E230" s="5" t="str">
        <f ca="1">IFERROR(__xludf.DUMMYFUNCTION("""COMPUTED_VALUE"""),"Yes")</f>
        <v>Yes</v>
      </c>
      <c r="F230" s="5" t="str">
        <f ca="1">IFERROR(__xludf.DUMMYFUNCTION("""COMPUTED_VALUE"""),"No")</f>
        <v>No</v>
      </c>
      <c r="G230" s="5" t="str">
        <f ca="1">IFERROR(__xludf.DUMMYFUNCTION("""COMPUTED_VALUE"""),"No")</f>
        <v>No</v>
      </c>
      <c r="H230" s="5" t="str">
        <f ca="1">IFERROR(__xludf.DUMMYFUNCTION("""COMPUTED_VALUE"""),"No")</f>
        <v>No</v>
      </c>
      <c r="I230" s="5" t="str">
        <f ca="1">IFERROR(__xludf.DUMMYFUNCTION("""COMPUTED_VALUE"""),"No")</f>
        <v>No</v>
      </c>
      <c r="J230" s="5" t="str">
        <f ca="1">IFERROR(__xludf.DUMMYFUNCTION("""COMPUTED_VALUE"""),"No")</f>
        <v>No</v>
      </c>
      <c r="K230" s="5" t="str">
        <f ca="1">IFERROR(__xludf.DUMMYFUNCTION("""COMPUTED_VALUE"""),"Yes")</f>
        <v>Yes</v>
      </c>
      <c r="L230" s="5" t="str">
        <f ca="1">IFERROR(__xludf.DUMMYFUNCTION("""COMPUTED_VALUE"""),"Yes")</f>
        <v>Yes</v>
      </c>
      <c r="M230" s="5" t="str">
        <f ca="1">IFERROR(__xludf.DUMMYFUNCTION("""COMPUTED_VALUE"""),"Yes")</f>
        <v>Yes</v>
      </c>
      <c r="N230" s="5" t="str">
        <f ca="1">IFERROR(__xludf.DUMMYFUNCTION("""COMPUTED_VALUE"""),"Yes")</f>
        <v>Yes</v>
      </c>
      <c r="O230" s="5" t="str">
        <f ca="1">IFERROR(__xludf.DUMMYFUNCTION("""COMPUTED_VALUE"""),"Yes")</f>
        <v>Yes</v>
      </c>
      <c r="P230" s="5" t="str">
        <f ca="1">IFERROR(__xludf.DUMMYFUNCTION("""COMPUTED_VALUE"""),"No")</f>
        <v>No</v>
      </c>
      <c r="Q230" s="5" t="str">
        <f ca="1">IFERROR(__xludf.DUMMYFUNCTION("""COMPUTED_VALUE"""),"Yes")</f>
        <v>Yes</v>
      </c>
      <c r="R230" s="5" t="str">
        <f ca="1">IFERROR(__xludf.DUMMYFUNCTION("""COMPUTED_VALUE"""),"No")</f>
        <v>No</v>
      </c>
      <c r="S230" s="5" t="str">
        <f ca="1">IFERROR(__xludf.DUMMYFUNCTION("""COMPUTED_VALUE"""),"No")</f>
        <v>No</v>
      </c>
      <c r="T230" s="5" t="str">
        <f ca="1">IFERROR(__xludf.DUMMYFUNCTION("""COMPUTED_VALUE"""),"No")</f>
        <v>No</v>
      </c>
      <c r="U230" s="5" t="str">
        <f ca="1">IFERROR(__xludf.DUMMYFUNCTION("""COMPUTED_VALUE"""),"No")</f>
        <v>No</v>
      </c>
      <c r="V230" s="5" t="str">
        <f ca="1">IFERROR(__xludf.DUMMYFUNCTION("""COMPUTED_VALUE"""),"No")</f>
        <v>No</v>
      </c>
      <c r="W230" s="5"/>
      <c r="X230" s="5"/>
      <c r="Y230" s="5"/>
      <c r="Z230" s="5" t="str">
        <f ca="1">IFERROR(__xludf.DUMMYFUNCTION("""COMPUTED_VALUE"""),"No")</f>
        <v>No</v>
      </c>
      <c r="AA230" s="5"/>
      <c r="AB230" s="5"/>
      <c r="AC230" s="5"/>
    </row>
    <row r="231" spans="1:29" x14ac:dyDescent="0.25">
      <c r="A231" s="5" t="str">
        <f ca="1">IFERROR(__xludf.DUMMYFUNCTION("""COMPUTED_VALUE"""),"UnicornCoyoteSevens")</f>
        <v>UnicornCoyoteSevens</v>
      </c>
      <c r="B231" s="5" t="str">
        <f ca="1">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C231" s="5" t="str">
        <f ca="1">IFERROR(__xludf.DUMMYFUNCTION("""COMPUTED_VALUE"""),"Yes")</f>
        <v>Yes</v>
      </c>
      <c r="D231" s="5" t="str">
        <f ca="1">IFERROR(__xludf.DUMMYFUNCTION("""COMPUTED_VALUE"""),"Yes")</f>
        <v>Yes</v>
      </c>
      <c r="E231" s="5" t="str">
        <f ca="1">IFERROR(__xludf.DUMMYFUNCTION("""COMPUTED_VALUE"""),"No")</f>
        <v>No</v>
      </c>
      <c r="F231" s="5" t="str">
        <f ca="1">IFERROR(__xludf.DUMMYFUNCTION("""COMPUTED_VALUE"""),"Yes")</f>
        <v>Yes</v>
      </c>
      <c r="G231" s="5" t="str">
        <f ca="1">IFERROR(__xludf.DUMMYFUNCTION("""COMPUTED_VALUE"""),"Yes")</f>
        <v>Yes</v>
      </c>
      <c r="H231" s="5" t="str">
        <f ca="1">IFERROR(__xludf.DUMMYFUNCTION("""COMPUTED_VALUE"""),"Yes")</f>
        <v>Yes</v>
      </c>
      <c r="I231" s="5" t="str">
        <f ca="1">IFERROR(__xludf.DUMMYFUNCTION("""COMPUTED_VALUE"""),"Yes")</f>
        <v>Yes</v>
      </c>
      <c r="J231" s="5" t="str">
        <f ca="1">IFERROR(__xludf.DUMMYFUNCTION("""COMPUTED_VALUE"""),"Yes")</f>
        <v>Yes</v>
      </c>
      <c r="K231" s="5" t="str">
        <f ca="1">IFERROR(__xludf.DUMMYFUNCTION("""COMPUTED_VALUE"""),"Yes")</f>
        <v>Yes</v>
      </c>
      <c r="L231" s="5" t="str">
        <f ca="1">IFERROR(__xludf.DUMMYFUNCTION("""COMPUTED_VALUE"""),"Yes")</f>
        <v>Yes</v>
      </c>
      <c r="M231" s="5" t="str">
        <f ca="1">IFERROR(__xludf.DUMMYFUNCTION("""COMPUTED_VALUE"""),"Yes")</f>
        <v>Yes</v>
      </c>
      <c r="N231" s="5" t="str">
        <f ca="1">IFERROR(__xludf.DUMMYFUNCTION("""COMPUTED_VALUE"""),"Yes")</f>
        <v>Yes</v>
      </c>
      <c r="O231" s="5" t="str">
        <f ca="1">IFERROR(__xludf.DUMMYFUNCTION("""COMPUTED_VALUE"""),"Yes")</f>
        <v>Yes</v>
      </c>
      <c r="P231" s="5" t="str">
        <f ca="1">IFERROR(__xludf.DUMMYFUNCTION("""COMPUTED_VALUE"""),"Yes")</f>
        <v>Yes</v>
      </c>
      <c r="Q231" s="5" t="str">
        <f ca="1">IFERROR(__xludf.DUMMYFUNCTION("""COMPUTED_VALUE"""),"Yes")</f>
        <v>Yes</v>
      </c>
      <c r="R231" s="5" t="str">
        <f ca="1">IFERROR(__xludf.DUMMYFUNCTION("""COMPUTED_VALUE"""),"Yes")</f>
        <v>Yes</v>
      </c>
      <c r="S231" s="5" t="str">
        <f ca="1">IFERROR(__xludf.DUMMYFUNCTION("""COMPUTED_VALUE"""),"Yes")</f>
        <v>Yes</v>
      </c>
      <c r="T231" s="5" t="str">
        <f ca="1">IFERROR(__xludf.DUMMYFUNCTION("""COMPUTED_VALUE"""),"No")</f>
        <v>No</v>
      </c>
      <c r="U231" s="5" t="str">
        <f ca="1">IFERROR(__xludf.DUMMYFUNCTION("""COMPUTED_VALUE"""),"No")</f>
        <v>No</v>
      </c>
      <c r="V231" s="5" t="str">
        <f ca="1">IFERROR(__xludf.DUMMYFUNCTION("""COMPUTED_VALUE"""),"No")</f>
        <v>No</v>
      </c>
      <c r="W231" s="5" t="str">
        <f ca="1">IFERROR(__xludf.DUMMYFUNCTION("""COMPUTED_VALUE"""),"No")</f>
        <v>No</v>
      </c>
      <c r="X231" s="5" t="str">
        <f ca="1">IFERROR(__xludf.DUMMYFUNCTION("""COMPUTED_VALUE"""),"No")</f>
        <v>No</v>
      </c>
      <c r="Y231" s="5" t="str">
        <f ca="1">IFERROR(__xludf.DUMMYFUNCTION("""COMPUTED_VALUE"""),"No")</f>
        <v>No</v>
      </c>
      <c r="Z231" s="5" t="str">
        <f ca="1">IFERROR(__xludf.DUMMYFUNCTION("""COMPUTED_VALUE"""),"No")</f>
        <v>No</v>
      </c>
      <c r="AA231" s="5" t="str">
        <f ca="1">IFERROR(__xludf.DUMMYFUNCTION("""COMPUTED_VALUE"""),"No")</f>
        <v>No</v>
      </c>
      <c r="AB231" s="5" t="str">
        <f ca="1">IFERROR(__xludf.DUMMYFUNCTION("""COMPUTED_VALUE"""),"Yes")</f>
        <v>Yes</v>
      </c>
      <c r="AC231" s="5" t="str">
        <f ca="1">IFERROR(__xludf.DUMMYFUNCTION("""COMPUTED_VALUE"""),"No")</f>
        <v>No</v>
      </c>
    </row>
    <row r="232" spans="1:29" x14ac:dyDescent="0.25">
      <c r="A232" s="5" t="str">
        <f ca="1">IFERROR(__xludf.DUMMYFUNCTION("""COMPUTED_VALUE"""),"EpicFire40")</f>
        <v>EpicFire40</v>
      </c>
      <c r="B2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2" s="5" t="str">
        <f ca="1">IFERROR(__xludf.DUMMYFUNCTION("""COMPUTED_VALUE"""),"Yes")</f>
        <v>Yes</v>
      </c>
      <c r="D232" s="5" t="str">
        <f ca="1">IFERROR(__xludf.DUMMYFUNCTION("""COMPUTED_VALUE"""),"Yes")</f>
        <v>Yes</v>
      </c>
      <c r="E232" s="5" t="str">
        <f ca="1">IFERROR(__xludf.DUMMYFUNCTION("""COMPUTED_VALUE"""),"Yes")</f>
        <v>Yes</v>
      </c>
      <c r="F232" s="5" t="str">
        <f ca="1">IFERROR(__xludf.DUMMYFUNCTION("""COMPUTED_VALUE"""),"Yes")</f>
        <v>Yes</v>
      </c>
      <c r="G232" s="5" t="str">
        <f ca="1">IFERROR(__xludf.DUMMYFUNCTION("""COMPUTED_VALUE"""),"Yes")</f>
        <v>Yes</v>
      </c>
      <c r="H232" s="5" t="str">
        <f ca="1">IFERROR(__xludf.DUMMYFUNCTION("""COMPUTED_VALUE"""),"Yes")</f>
        <v>Yes</v>
      </c>
      <c r="I232" s="5" t="str">
        <f ca="1">IFERROR(__xludf.DUMMYFUNCTION("""COMPUTED_VALUE"""),"Yes")</f>
        <v>Yes</v>
      </c>
      <c r="J232" s="5" t="str">
        <f ca="1">IFERROR(__xludf.DUMMYFUNCTION("""COMPUTED_VALUE"""),"Yes")</f>
        <v>Yes</v>
      </c>
      <c r="K232" s="5" t="str">
        <f ca="1">IFERROR(__xludf.DUMMYFUNCTION("""COMPUTED_VALUE"""),"Yes")</f>
        <v>Yes</v>
      </c>
      <c r="L232" s="5" t="str">
        <f ca="1">IFERROR(__xludf.DUMMYFUNCTION("""COMPUTED_VALUE"""),"Yes")</f>
        <v>Yes</v>
      </c>
      <c r="M232" s="5" t="str">
        <f ca="1">IFERROR(__xludf.DUMMYFUNCTION("""COMPUTED_VALUE"""),"Yes")</f>
        <v>Yes</v>
      </c>
      <c r="N232" s="5" t="str">
        <f ca="1">IFERROR(__xludf.DUMMYFUNCTION("""COMPUTED_VALUE"""),"Yes")</f>
        <v>Yes</v>
      </c>
      <c r="O232" s="5" t="str">
        <f ca="1">IFERROR(__xludf.DUMMYFUNCTION("""COMPUTED_VALUE"""),"Yes")</f>
        <v>Yes</v>
      </c>
      <c r="P232" s="5" t="str">
        <f ca="1">IFERROR(__xludf.DUMMYFUNCTION("""COMPUTED_VALUE"""),"Yes")</f>
        <v>Yes</v>
      </c>
      <c r="Q232" s="5" t="str">
        <f ca="1">IFERROR(__xludf.DUMMYFUNCTION("""COMPUTED_VALUE"""),"Yes")</f>
        <v>Yes</v>
      </c>
      <c r="R232" s="5" t="str">
        <f ca="1">IFERROR(__xludf.DUMMYFUNCTION("""COMPUTED_VALUE"""),"Yes")</f>
        <v>Yes</v>
      </c>
      <c r="S232" s="5" t="str">
        <f ca="1">IFERROR(__xludf.DUMMYFUNCTION("""COMPUTED_VALUE"""),"Yes")</f>
        <v>Yes</v>
      </c>
      <c r="T232" s="5" t="str">
        <f ca="1">IFERROR(__xludf.DUMMYFUNCTION("""COMPUTED_VALUE"""),"Yes")</f>
        <v>Yes</v>
      </c>
      <c r="U232" s="5" t="str">
        <f ca="1">IFERROR(__xludf.DUMMYFUNCTION("""COMPUTED_VALUE"""),"Yes")</f>
        <v>Yes</v>
      </c>
      <c r="V232" s="5" t="str">
        <f ca="1">IFERROR(__xludf.DUMMYFUNCTION("""COMPUTED_VALUE"""),"Yes")</f>
        <v>Yes</v>
      </c>
      <c r="W232" s="5" t="str">
        <f ca="1">IFERROR(__xludf.DUMMYFUNCTION("""COMPUTED_VALUE"""),"Yes")</f>
        <v>Yes</v>
      </c>
      <c r="X232" s="5" t="str">
        <f ca="1">IFERROR(__xludf.DUMMYFUNCTION("""COMPUTED_VALUE"""),"Yes")</f>
        <v>Yes</v>
      </c>
      <c r="Y232" s="5" t="str">
        <f ca="1">IFERROR(__xludf.DUMMYFUNCTION("""COMPUTED_VALUE"""),"Yes")</f>
        <v>Yes</v>
      </c>
      <c r="Z232" s="5" t="str">
        <f ca="1">IFERROR(__xludf.DUMMYFUNCTION("""COMPUTED_VALUE"""),"Yes")</f>
        <v>Yes</v>
      </c>
      <c r="AA232" s="5" t="str">
        <f ca="1">IFERROR(__xludf.DUMMYFUNCTION("""COMPUTED_VALUE"""),"Yes")</f>
        <v>Yes</v>
      </c>
      <c r="AB232" s="5" t="str">
        <f ca="1">IFERROR(__xludf.DUMMYFUNCTION("""COMPUTED_VALUE"""),"Yes")</f>
        <v>Yes</v>
      </c>
      <c r="AC232" s="5" t="str">
        <f ca="1">IFERROR(__xludf.DUMMYFUNCTION("""COMPUTED_VALUE"""),"No")</f>
        <v>No</v>
      </c>
    </row>
    <row r="233" spans="1:29" x14ac:dyDescent="0.25">
      <c r="A233" s="5" t="str">
        <f ca="1">IFERROR(__xludf.DUMMYFUNCTION("""COMPUTED_VALUE"""),"GoldenCrown40")</f>
        <v>GoldenCrown40</v>
      </c>
      <c r="B2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3" s="5" t="str">
        <f ca="1">IFERROR(__xludf.DUMMYFUNCTION("""COMPUTED_VALUE"""),"Yes")</f>
        <v>Yes</v>
      </c>
      <c r="D233" s="5" t="str">
        <f ca="1">IFERROR(__xludf.DUMMYFUNCTION("""COMPUTED_VALUE"""),"Yes")</f>
        <v>Yes</v>
      </c>
      <c r="E233" s="5" t="str">
        <f ca="1">IFERROR(__xludf.DUMMYFUNCTION("""COMPUTED_VALUE"""),"Yes")</f>
        <v>Yes</v>
      </c>
      <c r="F233" s="5" t="str">
        <f ca="1">IFERROR(__xludf.DUMMYFUNCTION("""COMPUTED_VALUE"""),"Yes")</f>
        <v>Yes</v>
      </c>
      <c r="G233" s="5" t="str">
        <f ca="1">IFERROR(__xludf.DUMMYFUNCTION("""COMPUTED_VALUE"""),"Yes")</f>
        <v>Yes</v>
      </c>
      <c r="H233" s="5" t="str">
        <f ca="1">IFERROR(__xludf.DUMMYFUNCTION("""COMPUTED_VALUE"""),"Yes")</f>
        <v>Yes</v>
      </c>
      <c r="I233" s="5" t="str">
        <f ca="1">IFERROR(__xludf.DUMMYFUNCTION("""COMPUTED_VALUE"""),"Yes")</f>
        <v>Yes</v>
      </c>
      <c r="J233" s="5" t="str">
        <f ca="1">IFERROR(__xludf.DUMMYFUNCTION("""COMPUTED_VALUE"""),"Yes")</f>
        <v>Yes</v>
      </c>
      <c r="K233" s="5" t="str">
        <f ca="1">IFERROR(__xludf.DUMMYFUNCTION("""COMPUTED_VALUE"""),"Yes")</f>
        <v>Yes</v>
      </c>
      <c r="L233" s="5" t="str">
        <f ca="1">IFERROR(__xludf.DUMMYFUNCTION("""COMPUTED_VALUE"""),"Yes")</f>
        <v>Yes</v>
      </c>
      <c r="M233" s="5" t="str">
        <f ca="1">IFERROR(__xludf.DUMMYFUNCTION("""COMPUTED_VALUE"""),"Yes")</f>
        <v>Yes</v>
      </c>
      <c r="N233" s="5" t="str">
        <f ca="1">IFERROR(__xludf.DUMMYFUNCTION("""COMPUTED_VALUE"""),"Yes")</f>
        <v>Yes</v>
      </c>
      <c r="O233" s="5" t="str">
        <f ca="1">IFERROR(__xludf.DUMMYFUNCTION("""COMPUTED_VALUE"""),"Yes")</f>
        <v>Yes</v>
      </c>
      <c r="P233" s="5" t="str">
        <f ca="1">IFERROR(__xludf.DUMMYFUNCTION("""COMPUTED_VALUE"""),"Yes")</f>
        <v>Yes</v>
      </c>
      <c r="Q233" s="5" t="str">
        <f ca="1">IFERROR(__xludf.DUMMYFUNCTION("""COMPUTED_VALUE"""),"Yes")</f>
        <v>Yes</v>
      </c>
      <c r="R233" s="5" t="str">
        <f ca="1">IFERROR(__xludf.DUMMYFUNCTION("""COMPUTED_VALUE"""),"Yes")</f>
        <v>Yes</v>
      </c>
      <c r="S233" s="5" t="str">
        <f ca="1">IFERROR(__xludf.DUMMYFUNCTION("""COMPUTED_VALUE"""),"Yes")</f>
        <v>Yes</v>
      </c>
      <c r="T233" s="5" t="str">
        <f ca="1">IFERROR(__xludf.DUMMYFUNCTION("""COMPUTED_VALUE"""),"Yes")</f>
        <v>Yes</v>
      </c>
      <c r="U233" s="5" t="str">
        <f ca="1">IFERROR(__xludf.DUMMYFUNCTION("""COMPUTED_VALUE"""),"Yes")</f>
        <v>Yes</v>
      </c>
      <c r="V233" s="5" t="str">
        <f ca="1">IFERROR(__xludf.DUMMYFUNCTION("""COMPUTED_VALUE"""),"Yes")</f>
        <v>Yes</v>
      </c>
      <c r="W233" s="5" t="str">
        <f ca="1">IFERROR(__xludf.DUMMYFUNCTION("""COMPUTED_VALUE"""),"Yes")</f>
        <v>Yes</v>
      </c>
      <c r="X233" s="5" t="str">
        <f ca="1">IFERROR(__xludf.DUMMYFUNCTION("""COMPUTED_VALUE"""),"Yes")</f>
        <v>Yes</v>
      </c>
      <c r="Y233" s="5" t="str">
        <f ca="1">IFERROR(__xludf.DUMMYFUNCTION("""COMPUTED_VALUE"""),"Yes")</f>
        <v>Yes</v>
      </c>
      <c r="Z233" s="5" t="str">
        <f ca="1">IFERROR(__xludf.DUMMYFUNCTION("""COMPUTED_VALUE"""),"Yes")</f>
        <v>Yes</v>
      </c>
      <c r="AA233" s="5" t="str">
        <f ca="1">IFERROR(__xludf.DUMMYFUNCTION("""COMPUTED_VALUE"""),"Yes")</f>
        <v>Yes</v>
      </c>
      <c r="AB233" s="5" t="str">
        <f ca="1">IFERROR(__xludf.DUMMYFUNCTION("""COMPUTED_VALUE"""),"Yes")</f>
        <v>Yes</v>
      </c>
      <c r="AC233" s="5" t="str">
        <f ca="1">IFERROR(__xludf.DUMMYFUNCTION("""COMPUTED_VALUE"""),"No")</f>
        <v>No</v>
      </c>
    </row>
    <row r="234" spans="1:29" x14ac:dyDescent="0.25">
      <c r="A234" s="5" t="str">
        <f ca="1">IFERROR(__xludf.DUMMYFUNCTION("""COMPUTED_VALUE"""),"UnicornCoyoteDice")</f>
        <v>UnicornCoyoteDice</v>
      </c>
      <c r="B2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4" s="5" t="str">
        <f ca="1">IFERROR(__xludf.DUMMYFUNCTION("""COMPUTED_VALUE"""),"Yes")</f>
        <v>Yes</v>
      </c>
      <c r="D234" s="5" t="str">
        <f ca="1">IFERROR(__xludf.DUMMYFUNCTION("""COMPUTED_VALUE"""),"Yes")</f>
        <v>Yes</v>
      </c>
      <c r="E234" s="5" t="str">
        <f ca="1">IFERROR(__xludf.DUMMYFUNCTION("""COMPUTED_VALUE"""),"Yes")</f>
        <v>Yes</v>
      </c>
      <c r="F234" s="5" t="str">
        <f ca="1">IFERROR(__xludf.DUMMYFUNCTION("""COMPUTED_VALUE"""),"Yes")</f>
        <v>Yes</v>
      </c>
      <c r="G234" s="5" t="str">
        <f ca="1">IFERROR(__xludf.DUMMYFUNCTION("""COMPUTED_VALUE"""),"Yes")</f>
        <v>Yes</v>
      </c>
      <c r="H234" s="5" t="str">
        <f ca="1">IFERROR(__xludf.DUMMYFUNCTION("""COMPUTED_VALUE"""),"Yes")</f>
        <v>Yes</v>
      </c>
      <c r="I234" s="5" t="str">
        <f ca="1">IFERROR(__xludf.DUMMYFUNCTION("""COMPUTED_VALUE"""),"Yes")</f>
        <v>Yes</v>
      </c>
      <c r="J234" s="5" t="str">
        <f ca="1">IFERROR(__xludf.DUMMYFUNCTION("""COMPUTED_VALUE"""),"Yes")</f>
        <v>Yes</v>
      </c>
      <c r="K234" s="5" t="str">
        <f ca="1">IFERROR(__xludf.DUMMYFUNCTION("""COMPUTED_VALUE"""),"Yes")</f>
        <v>Yes</v>
      </c>
      <c r="L234" s="5" t="str">
        <f ca="1">IFERROR(__xludf.DUMMYFUNCTION("""COMPUTED_VALUE"""),"Yes")</f>
        <v>Yes</v>
      </c>
      <c r="M234" s="5" t="str">
        <f ca="1">IFERROR(__xludf.DUMMYFUNCTION("""COMPUTED_VALUE"""),"Yes")</f>
        <v>Yes</v>
      </c>
      <c r="N234" s="5" t="str">
        <f ca="1">IFERROR(__xludf.DUMMYFUNCTION("""COMPUTED_VALUE"""),"Yes")</f>
        <v>Yes</v>
      </c>
      <c r="O234" s="5" t="str">
        <f ca="1">IFERROR(__xludf.DUMMYFUNCTION("""COMPUTED_VALUE"""),"Yes")</f>
        <v>Yes</v>
      </c>
      <c r="P234" s="5" t="str">
        <f ca="1">IFERROR(__xludf.DUMMYFUNCTION("""COMPUTED_VALUE"""),"Yes")</f>
        <v>Yes</v>
      </c>
      <c r="Q234" s="5" t="str">
        <f ca="1">IFERROR(__xludf.DUMMYFUNCTION("""COMPUTED_VALUE"""),"Yes")</f>
        <v>Yes</v>
      </c>
      <c r="R234" s="5" t="str">
        <f ca="1">IFERROR(__xludf.DUMMYFUNCTION("""COMPUTED_VALUE"""),"Yes")</f>
        <v>Yes</v>
      </c>
      <c r="S234" s="5" t="str">
        <f ca="1">IFERROR(__xludf.DUMMYFUNCTION("""COMPUTED_VALUE"""),"Yes")</f>
        <v>Yes</v>
      </c>
      <c r="T234" s="5" t="str">
        <f ca="1">IFERROR(__xludf.DUMMYFUNCTION("""COMPUTED_VALUE"""),"Yes")</f>
        <v>Yes</v>
      </c>
      <c r="U234" s="5" t="str">
        <f ca="1">IFERROR(__xludf.DUMMYFUNCTION("""COMPUTED_VALUE"""),"Yes")</f>
        <v>Yes</v>
      </c>
      <c r="V234" s="5" t="str">
        <f ca="1">IFERROR(__xludf.DUMMYFUNCTION("""COMPUTED_VALUE"""),"Yes")</f>
        <v>Yes</v>
      </c>
      <c r="W234" s="5" t="str">
        <f ca="1">IFERROR(__xludf.DUMMYFUNCTION("""COMPUTED_VALUE"""),"Yes")</f>
        <v>Yes</v>
      </c>
      <c r="X234" s="5" t="str">
        <f ca="1">IFERROR(__xludf.DUMMYFUNCTION("""COMPUTED_VALUE"""),"Yes")</f>
        <v>Yes</v>
      </c>
      <c r="Y234" s="5" t="str">
        <f ca="1">IFERROR(__xludf.DUMMYFUNCTION("""COMPUTED_VALUE"""),"Yes")</f>
        <v>Yes</v>
      </c>
      <c r="Z234" s="5" t="str">
        <f ca="1">IFERROR(__xludf.DUMMYFUNCTION("""COMPUTED_VALUE"""),"Yes")</f>
        <v>Yes</v>
      </c>
      <c r="AA234" s="5" t="str">
        <f ca="1">IFERROR(__xludf.DUMMYFUNCTION("""COMPUTED_VALUE"""),"Yes")</f>
        <v>Yes</v>
      </c>
      <c r="AB234" s="5" t="str">
        <f ca="1">IFERROR(__xludf.DUMMYFUNCTION("""COMPUTED_VALUE"""),"Yes")</f>
        <v>Yes</v>
      </c>
      <c r="AC234" s="5"/>
    </row>
    <row r="235" spans="1:29" x14ac:dyDescent="0.25">
      <c r="A235" s="5" t="str">
        <f ca="1">IFERROR(__xludf.DUMMYFUNCTION("""COMPUTED_VALUE"""),"Wild27")</f>
        <v>Wild27</v>
      </c>
      <c r="B2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5" s="5" t="str">
        <f ca="1">IFERROR(__xludf.DUMMYFUNCTION("""COMPUTED_VALUE"""),"Yes")</f>
        <v>Yes</v>
      </c>
      <c r="D235" s="5" t="str">
        <f ca="1">IFERROR(__xludf.DUMMYFUNCTION("""COMPUTED_VALUE"""),"Yes")</f>
        <v>Yes</v>
      </c>
      <c r="E235" s="5" t="str">
        <f ca="1">IFERROR(__xludf.DUMMYFUNCTION("""COMPUTED_VALUE"""),"Yes")</f>
        <v>Yes</v>
      </c>
      <c r="F235" s="5" t="str">
        <f ca="1">IFERROR(__xludf.DUMMYFUNCTION("""COMPUTED_VALUE"""),"Yes")</f>
        <v>Yes</v>
      </c>
      <c r="G235" s="5" t="str">
        <f ca="1">IFERROR(__xludf.DUMMYFUNCTION("""COMPUTED_VALUE"""),"Yes")</f>
        <v>Yes</v>
      </c>
      <c r="H235" s="5" t="str">
        <f ca="1">IFERROR(__xludf.DUMMYFUNCTION("""COMPUTED_VALUE"""),"Yes")</f>
        <v>Yes</v>
      </c>
      <c r="I235" s="5" t="str">
        <f ca="1">IFERROR(__xludf.DUMMYFUNCTION("""COMPUTED_VALUE"""),"Yes")</f>
        <v>Yes</v>
      </c>
      <c r="J235" s="5" t="str">
        <f ca="1">IFERROR(__xludf.DUMMYFUNCTION("""COMPUTED_VALUE"""),"Yes")</f>
        <v>Yes</v>
      </c>
      <c r="K235" s="5" t="str">
        <f ca="1">IFERROR(__xludf.DUMMYFUNCTION("""COMPUTED_VALUE"""),"Yes")</f>
        <v>Yes</v>
      </c>
      <c r="L235" s="5" t="str">
        <f ca="1">IFERROR(__xludf.DUMMYFUNCTION("""COMPUTED_VALUE"""),"Yes")</f>
        <v>Yes</v>
      </c>
      <c r="M235" s="5" t="str">
        <f ca="1">IFERROR(__xludf.DUMMYFUNCTION("""COMPUTED_VALUE"""),"Yes")</f>
        <v>Yes</v>
      </c>
      <c r="N235" s="5" t="str">
        <f ca="1">IFERROR(__xludf.DUMMYFUNCTION("""COMPUTED_VALUE"""),"Yes")</f>
        <v>Yes</v>
      </c>
      <c r="O235" s="5" t="str">
        <f ca="1">IFERROR(__xludf.DUMMYFUNCTION("""COMPUTED_VALUE"""),"Yes")</f>
        <v>Yes</v>
      </c>
      <c r="P235" s="5" t="str">
        <f ca="1">IFERROR(__xludf.DUMMYFUNCTION("""COMPUTED_VALUE"""),"Yes")</f>
        <v>Yes</v>
      </c>
      <c r="Q235" s="5" t="str">
        <f ca="1">IFERROR(__xludf.DUMMYFUNCTION("""COMPUTED_VALUE"""),"Yes")</f>
        <v>Yes</v>
      </c>
      <c r="R235" s="5" t="str">
        <f ca="1">IFERROR(__xludf.DUMMYFUNCTION("""COMPUTED_VALUE"""),"Yes")</f>
        <v>Yes</v>
      </c>
      <c r="S235" s="5" t="str">
        <f ca="1">IFERROR(__xludf.DUMMYFUNCTION("""COMPUTED_VALUE"""),"Yes")</f>
        <v>Yes</v>
      </c>
      <c r="T235" s="5" t="str">
        <f ca="1">IFERROR(__xludf.DUMMYFUNCTION("""COMPUTED_VALUE"""),"Yes")</f>
        <v>Yes</v>
      </c>
      <c r="U235" s="5" t="str">
        <f ca="1">IFERROR(__xludf.DUMMYFUNCTION("""COMPUTED_VALUE"""),"Yes")</f>
        <v>Yes</v>
      </c>
      <c r="V235" s="5" t="str">
        <f ca="1">IFERROR(__xludf.DUMMYFUNCTION("""COMPUTED_VALUE"""),"Yes")</f>
        <v>Yes</v>
      </c>
      <c r="W235" s="5" t="str">
        <f ca="1">IFERROR(__xludf.DUMMYFUNCTION("""COMPUTED_VALUE"""),"Yes")</f>
        <v>Yes</v>
      </c>
      <c r="X235" s="5" t="str">
        <f ca="1">IFERROR(__xludf.DUMMYFUNCTION("""COMPUTED_VALUE"""),"Yes")</f>
        <v>Yes</v>
      </c>
      <c r="Y235" s="5" t="str">
        <f ca="1">IFERROR(__xludf.DUMMYFUNCTION("""COMPUTED_VALUE"""),"Yes")</f>
        <v>Yes</v>
      </c>
      <c r="Z235" s="5" t="str">
        <f ca="1">IFERROR(__xludf.DUMMYFUNCTION("""COMPUTED_VALUE"""),"Yes")</f>
        <v>Yes</v>
      </c>
      <c r="AA235" s="5" t="str">
        <f ca="1">IFERROR(__xludf.DUMMYFUNCTION("""COMPUTED_VALUE"""),"Yes")</f>
        <v>Yes</v>
      </c>
      <c r="AB235" s="5" t="str">
        <f ca="1">IFERROR(__xludf.DUMMYFUNCTION("""COMPUTED_VALUE"""),"Yes")</f>
        <v>Yes</v>
      </c>
      <c r="AC235" s="5" t="str">
        <f ca="1">IFERROR(__xludf.DUMMYFUNCTION("""COMPUTED_VALUE"""),"No")</f>
        <v>No</v>
      </c>
    </row>
    <row r="236" spans="1:29" x14ac:dyDescent="0.25">
      <c r="A236" s="5" t="str">
        <f ca="1">IFERROR(__xludf.DUMMYFUNCTION("""COMPUTED_VALUE"""),"UnicornFruitWildLines")</f>
        <v>UnicornFruitWildLines</v>
      </c>
      <c r="B2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36" s="5" t="str">
        <f ca="1">IFERROR(__xludf.DUMMYFUNCTION("""COMPUTED_VALUE"""),"Yes")</f>
        <v>Yes</v>
      </c>
      <c r="D236" s="5" t="str">
        <f ca="1">IFERROR(__xludf.DUMMYFUNCTION("""COMPUTED_VALUE"""),"Yes")</f>
        <v>Yes</v>
      </c>
      <c r="E236" s="5" t="str">
        <f ca="1">IFERROR(__xludf.DUMMYFUNCTION("""COMPUTED_VALUE"""),"Yes")</f>
        <v>Yes</v>
      </c>
      <c r="F236" s="5" t="str">
        <f ca="1">IFERROR(__xludf.DUMMYFUNCTION("""COMPUTED_VALUE"""),"Yes")</f>
        <v>Yes</v>
      </c>
      <c r="G236" s="5" t="str">
        <f ca="1">IFERROR(__xludf.DUMMYFUNCTION("""COMPUTED_VALUE"""),"Yes")</f>
        <v>Yes</v>
      </c>
      <c r="H236" s="5" t="str">
        <f ca="1">IFERROR(__xludf.DUMMYFUNCTION("""COMPUTED_VALUE"""),"Yes")</f>
        <v>Yes</v>
      </c>
      <c r="I236" s="5" t="str">
        <f ca="1">IFERROR(__xludf.DUMMYFUNCTION("""COMPUTED_VALUE"""),"Yes")</f>
        <v>Yes</v>
      </c>
      <c r="J236" s="5" t="str">
        <f ca="1">IFERROR(__xludf.DUMMYFUNCTION("""COMPUTED_VALUE"""),"Yes")</f>
        <v>Yes</v>
      </c>
      <c r="K236" s="5" t="str">
        <f ca="1">IFERROR(__xludf.DUMMYFUNCTION("""COMPUTED_VALUE"""),"Yes")</f>
        <v>Yes</v>
      </c>
      <c r="L236" s="5" t="str">
        <f ca="1">IFERROR(__xludf.DUMMYFUNCTION("""COMPUTED_VALUE"""),"Yes")</f>
        <v>Yes</v>
      </c>
      <c r="M236" s="5" t="str">
        <f ca="1">IFERROR(__xludf.DUMMYFUNCTION("""COMPUTED_VALUE"""),"Yes")</f>
        <v>Yes</v>
      </c>
      <c r="N236" s="5" t="str">
        <f ca="1">IFERROR(__xludf.DUMMYFUNCTION("""COMPUTED_VALUE"""),"Yes")</f>
        <v>Yes</v>
      </c>
      <c r="O236" s="5" t="str">
        <f ca="1">IFERROR(__xludf.DUMMYFUNCTION("""COMPUTED_VALUE"""),"Yes")</f>
        <v>Yes</v>
      </c>
      <c r="P236" s="5" t="str">
        <f ca="1">IFERROR(__xludf.DUMMYFUNCTION("""COMPUTED_VALUE"""),"Yes")</f>
        <v>Yes</v>
      </c>
      <c r="Q236" s="5" t="str">
        <f ca="1">IFERROR(__xludf.DUMMYFUNCTION("""COMPUTED_VALUE"""),"Yes")</f>
        <v>Yes</v>
      </c>
      <c r="R236" s="5" t="str">
        <f ca="1">IFERROR(__xludf.DUMMYFUNCTION("""COMPUTED_VALUE"""),"Yes")</f>
        <v>Yes</v>
      </c>
      <c r="S236" s="5" t="str">
        <f ca="1">IFERROR(__xludf.DUMMYFUNCTION("""COMPUTED_VALUE"""),"Yes")</f>
        <v>Yes</v>
      </c>
      <c r="T236" s="5" t="str">
        <f ca="1">IFERROR(__xludf.DUMMYFUNCTION("""COMPUTED_VALUE"""),"Yes")</f>
        <v>Yes</v>
      </c>
      <c r="U236" s="5" t="str">
        <f ca="1">IFERROR(__xludf.DUMMYFUNCTION("""COMPUTED_VALUE"""),"Yes")</f>
        <v>Yes</v>
      </c>
      <c r="V236" s="5" t="str">
        <f ca="1">IFERROR(__xludf.DUMMYFUNCTION("""COMPUTED_VALUE"""),"Yes")</f>
        <v>Yes</v>
      </c>
      <c r="W236" s="5" t="str">
        <f ca="1">IFERROR(__xludf.DUMMYFUNCTION("""COMPUTED_VALUE"""),"Yes")</f>
        <v>Yes</v>
      </c>
      <c r="X236" s="5"/>
      <c r="Y236" s="5"/>
      <c r="Z236" s="5" t="str">
        <f ca="1">IFERROR(__xludf.DUMMYFUNCTION("""COMPUTED_VALUE"""),"Yes")</f>
        <v>Yes</v>
      </c>
      <c r="AA236" s="5"/>
      <c r="AB236" s="5"/>
      <c r="AC236" s="5"/>
    </row>
    <row r="237" spans="1:29" x14ac:dyDescent="0.25">
      <c r="A237" s="5" t="str">
        <f ca="1">IFERROR(__xludf.DUMMYFUNCTION("""COMPUTED_VALUE"""),"FireCash40")</f>
        <v>FireCash40</v>
      </c>
      <c r="B23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37" s="5" t="str">
        <f ca="1">IFERROR(__xludf.DUMMYFUNCTION("""COMPUTED_VALUE"""),"Yes")</f>
        <v>Yes</v>
      </c>
      <c r="D237" s="5" t="str">
        <f ca="1">IFERROR(__xludf.DUMMYFUNCTION("""COMPUTED_VALUE"""),"Yes")</f>
        <v>Yes</v>
      </c>
      <c r="E237" s="5" t="str">
        <f ca="1">IFERROR(__xludf.DUMMYFUNCTION("""COMPUTED_VALUE"""),"Yes")</f>
        <v>Yes</v>
      </c>
      <c r="F237" s="5" t="str">
        <f ca="1">IFERROR(__xludf.DUMMYFUNCTION("""COMPUTED_VALUE"""),"No")</f>
        <v>No</v>
      </c>
      <c r="G237" s="5" t="str">
        <f ca="1">IFERROR(__xludf.DUMMYFUNCTION("""COMPUTED_VALUE"""),"No")</f>
        <v>No</v>
      </c>
      <c r="H237" s="5" t="str">
        <f ca="1">IFERROR(__xludf.DUMMYFUNCTION("""COMPUTED_VALUE"""),"No")</f>
        <v>No</v>
      </c>
      <c r="I237" s="5" t="str">
        <f ca="1">IFERROR(__xludf.DUMMYFUNCTION("""COMPUTED_VALUE"""),"No")</f>
        <v>No</v>
      </c>
      <c r="J237" s="5" t="str">
        <f ca="1">IFERROR(__xludf.DUMMYFUNCTION("""COMPUTED_VALUE"""),"No")</f>
        <v>No</v>
      </c>
      <c r="K237" s="5" t="str">
        <f ca="1">IFERROR(__xludf.DUMMYFUNCTION("""COMPUTED_VALUE"""),"Yes")</f>
        <v>Yes</v>
      </c>
      <c r="L237" s="5" t="str">
        <f ca="1">IFERROR(__xludf.DUMMYFUNCTION("""COMPUTED_VALUE"""),"Yes")</f>
        <v>Yes</v>
      </c>
      <c r="M237" s="5" t="str">
        <f ca="1">IFERROR(__xludf.DUMMYFUNCTION("""COMPUTED_VALUE"""),"Yes")</f>
        <v>Yes</v>
      </c>
      <c r="N237" s="5" t="str">
        <f ca="1">IFERROR(__xludf.DUMMYFUNCTION("""COMPUTED_VALUE"""),"Yes")</f>
        <v>Yes</v>
      </c>
      <c r="O237" s="5" t="str">
        <f ca="1">IFERROR(__xludf.DUMMYFUNCTION("""COMPUTED_VALUE"""),"Yes")</f>
        <v>Yes</v>
      </c>
      <c r="P237" s="5" t="str">
        <f ca="1">IFERROR(__xludf.DUMMYFUNCTION("""COMPUTED_VALUE"""),"No")</f>
        <v>No</v>
      </c>
      <c r="Q237" s="5" t="str">
        <f ca="1">IFERROR(__xludf.DUMMYFUNCTION("""COMPUTED_VALUE"""),"Yes")</f>
        <v>Yes</v>
      </c>
      <c r="R237" s="5" t="str">
        <f ca="1">IFERROR(__xludf.DUMMYFUNCTION("""COMPUTED_VALUE"""),"No")</f>
        <v>No</v>
      </c>
      <c r="S237" s="5" t="str">
        <f ca="1">IFERROR(__xludf.DUMMYFUNCTION("""COMPUTED_VALUE"""),"No")</f>
        <v>No</v>
      </c>
      <c r="T237" s="5" t="str">
        <f ca="1">IFERROR(__xludf.DUMMYFUNCTION("""COMPUTED_VALUE"""),"No")</f>
        <v>No</v>
      </c>
      <c r="U237" s="5" t="str">
        <f ca="1">IFERROR(__xludf.DUMMYFUNCTION("""COMPUTED_VALUE"""),"No")</f>
        <v>No</v>
      </c>
      <c r="V237" s="5" t="str">
        <f ca="1">IFERROR(__xludf.DUMMYFUNCTION("""COMPUTED_VALUE"""),"No")</f>
        <v>No</v>
      </c>
      <c r="W237" s="5"/>
      <c r="X237" s="5"/>
      <c r="Y237" s="5"/>
      <c r="Z237" s="5" t="str">
        <f ca="1">IFERROR(__xludf.DUMMYFUNCTION("""COMPUTED_VALUE"""),"No")</f>
        <v>No</v>
      </c>
      <c r="AA237" s="5"/>
      <c r="AB237" s="5"/>
      <c r="AC237" s="5"/>
    </row>
    <row r="238" spans="1:29" x14ac:dyDescent="0.25">
      <c r="A238" s="5" t="str">
        <f ca="1">IFERROR(__xludf.DUMMYFUNCTION("""COMPUTED_VALUE"""),"WildHot40FreeSpins")</f>
        <v>WildHot40FreeSpins</v>
      </c>
      <c r="B2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8" s="5" t="str">
        <f ca="1">IFERROR(__xludf.DUMMYFUNCTION("""COMPUTED_VALUE"""),"Yes")</f>
        <v>Yes</v>
      </c>
      <c r="D238" s="5" t="str">
        <f ca="1">IFERROR(__xludf.DUMMYFUNCTION("""COMPUTED_VALUE"""),"Yes")</f>
        <v>Yes</v>
      </c>
      <c r="E238" s="5" t="str">
        <f ca="1">IFERROR(__xludf.DUMMYFUNCTION("""COMPUTED_VALUE"""),"Yes")</f>
        <v>Yes</v>
      </c>
      <c r="F238" s="5" t="str">
        <f ca="1">IFERROR(__xludf.DUMMYFUNCTION("""COMPUTED_VALUE"""),"Yes")</f>
        <v>Yes</v>
      </c>
      <c r="G238" s="5" t="str">
        <f ca="1">IFERROR(__xludf.DUMMYFUNCTION("""COMPUTED_VALUE"""),"Yes")</f>
        <v>Yes</v>
      </c>
      <c r="H238" s="5" t="str">
        <f ca="1">IFERROR(__xludf.DUMMYFUNCTION("""COMPUTED_VALUE"""),"Yes")</f>
        <v>Yes</v>
      </c>
      <c r="I238" s="5" t="str">
        <f ca="1">IFERROR(__xludf.DUMMYFUNCTION("""COMPUTED_VALUE"""),"Yes")</f>
        <v>Yes</v>
      </c>
      <c r="J238" s="5" t="str">
        <f ca="1">IFERROR(__xludf.DUMMYFUNCTION("""COMPUTED_VALUE"""),"Yes")</f>
        <v>Yes</v>
      </c>
      <c r="K238" s="5" t="str">
        <f ca="1">IFERROR(__xludf.DUMMYFUNCTION("""COMPUTED_VALUE"""),"Yes")</f>
        <v>Yes</v>
      </c>
      <c r="L238" s="5" t="str">
        <f ca="1">IFERROR(__xludf.DUMMYFUNCTION("""COMPUTED_VALUE"""),"Yes")</f>
        <v>Yes</v>
      </c>
      <c r="M238" s="5" t="str">
        <f ca="1">IFERROR(__xludf.DUMMYFUNCTION("""COMPUTED_VALUE"""),"Yes")</f>
        <v>Yes</v>
      </c>
      <c r="N238" s="5" t="str">
        <f ca="1">IFERROR(__xludf.DUMMYFUNCTION("""COMPUTED_VALUE"""),"Yes")</f>
        <v>Yes</v>
      </c>
      <c r="O238" s="5" t="str">
        <f ca="1">IFERROR(__xludf.DUMMYFUNCTION("""COMPUTED_VALUE"""),"Yes")</f>
        <v>Yes</v>
      </c>
      <c r="P238" s="5" t="str">
        <f ca="1">IFERROR(__xludf.DUMMYFUNCTION("""COMPUTED_VALUE"""),"Yes")</f>
        <v>Yes</v>
      </c>
      <c r="Q238" s="5" t="str">
        <f ca="1">IFERROR(__xludf.DUMMYFUNCTION("""COMPUTED_VALUE"""),"Yes")</f>
        <v>Yes</v>
      </c>
      <c r="R238" s="5" t="str">
        <f ca="1">IFERROR(__xludf.DUMMYFUNCTION("""COMPUTED_VALUE"""),"Yes")</f>
        <v>Yes</v>
      </c>
      <c r="S238" s="5" t="str">
        <f ca="1">IFERROR(__xludf.DUMMYFUNCTION("""COMPUTED_VALUE"""),"Yes")</f>
        <v>Yes</v>
      </c>
      <c r="T238" s="5" t="str">
        <f ca="1">IFERROR(__xludf.DUMMYFUNCTION("""COMPUTED_VALUE"""),"Yes")</f>
        <v>Yes</v>
      </c>
      <c r="U238" s="5" t="str">
        <f ca="1">IFERROR(__xludf.DUMMYFUNCTION("""COMPUTED_VALUE"""),"Yes")</f>
        <v>Yes</v>
      </c>
      <c r="V238" s="5" t="str">
        <f ca="1">IFERROR(__xludf.DUMMYFUNCTION("""COMPUTED_VALUE"""),"Yes")</f>
        <v>Yes</v>
      </c>
      <c r="W238" s="5" t="str">
        <f ca="1">IFERROR(__xludf.DUMMYFUNCTION("""COMPUTED_VALUE"""),"Yes")</f>
        <v>Yes</v>
      </c>
      <c r="X238" s="5" t="str">
        <f ca="1">IFERROR(__xludf.DUMMYFUNCTION("""COMPUTED_VALUE"""),"Yes")</f>
        <v>Yes</v>
      </c>
      <c r="Y238" s="5" t="str">
        <f ca="1">IFERROR(__xludf.DUMMYFUNCTION("""COMPUTED_VALUE"""),"Yes")</f>
        <v>Yes</v>
      </c>
      <c r="Z238" s="5" t="str">
        <f ca="1">IFERROR(__xludf.DUMMYFUNCTION("""COMPUTED_VALUE"""),"Yes")</f>
        <v>Yes</v>
      </c>
      <c r="AA238" s="5" t="str">
        <f ca="1">IFERROR(__xludf.DUMMYFUNCTION("""COMPUTED_VALUE"""),"Yes")</f>
        <v>Yes</v>
      </c>
      <c r="AB238" s="5" t="str">
        <f ca="1">IFERROR(__xludf.DUMMYFUNCTION("""COMPUTED_VALUE"""),"Yes")</f>
        <v>Yes</v>
      </c>
      <c r="AC238" s="5" t="str">
        <f ca="1">IFERROR(__xludf.DUMMYFUNCTION("""COMPUTED_VALUE"""),"No")</f>
        <v>No</v>
      </c>
    </row>
    <row r="239" spans="1:29" x14ac:dyDescent="0.25">
      <c r="A239" s="5" t="str">
        <f ca="1">IFERROR(__xludf.DUMMYFUNCTION("""COMPUTED_VALUE"""),"UnicornMoneyStandardDice")</f>
        <v>UnicornMoneyStandardDice</v>
      </c>
      <c r="B2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9" s="5" t="str">
        <f ca="1">IFERROR(__xludf.DUMMYFUNCTION("""COMPUTED_VALUE"""),"Yes")</f>
        <v>Yes</v>
      </c>
      <c r="D239" s="5" t="str">
        <f ca="1">IFERROR(__xludf.DUMMYFUNCTION("""COMPUTED_VALUE"""),"Yes")</f>
        <v>Yes</v>
      </c>
      <c r="E239" s="5" t="str">
        <f ca="1">IFERROR(__xludf.DUMMYFUNCTION("""COMPUTED_VALUE"""),"Yes")</f>
        <v>Yes</v>
      </c>
      <c r="F239" s="5" t="str">
        <f ca="1">IFERROR(__xludf.DUMMYFUNCTION("""COMPUTED_VALUE"""),"Yes")</f>
        <v>Yes</v>
      </c>
      <c r="G239" s="5" t="str">
        <f ca="1">IFERROR(__xludf.DUMMYFUNCTION("""COMPUTED_VALUE"""),"Yes")</f>
        <v>Yes</v>
      </c>
      <c r="H239" s="5" t="str">
        <f ca="1">IFERROR(__xludf.DUMMYFUNCTION("""COMPUTED_VALUE"""),"Yes")</f>
        <v>Yes</v>
      </c>
      <c r="I239" s="5" t="str">
        <f ca="1">IFERROR(__xludf.DUMMYFUNCTION("""COMPUTED_VALUE"""),"Yes")</f>
        <v>Yes</v>
      </c>
      <c r="J239" s="5" t="str">
        <f ca="1">IFERROR(__xludf.DUMMYFUNCTION("""COMPUTED_VALUE"""),"Yes")</f>
        <v>Yes</v>
      </c>
      <c r="K239" s="5" t="str">
        <f ca="1">IFERROR(__xludf.DUMMYFUNCTION("""COMPUTED_VALUE"""),"Yes")</f>
        <v>Yes</v>
      </c>
      <c r="L239" s="5" t="str">
        <f ca="1">IFERROR(__xludf.DUMMYFUNCTION("""COMPUTED_VALUE"""),"Yes")</f>
        <v>Yes</v>
      </c>
      <c r="M239" s="5" t="str">
        <f ca="1">IFERROR(__xludf.DUMMYFUNCTION("""COMPUTED_VALUE"""),"Yes")</f>
        <v>Yes</v>
      </c>
      <c r="N239" s="5" t="str">
        <f ca="1">IFERROR(__xludf.DUMMYFUNCTION("""COMPUTED_VALUE"""),"Yes")</f>
        <v>Yes</v>
      </c>
      <c r="O239" s="5" t="str">
        <f ca="1">IFERROR(__xludf.DUMMYFUNCTION("""COMPUTED_VALUE"""),"Yes")</f>
        <v>Yes</v>
      </c>
      <c r="P239" s="5" t="str">
        <f ca="1">IFERROR(__xludf.DUMMYFUNCTION("""COMPUTED_VALUE"""),"Yes")</f>
        <v>Yes</v>
      </c>
      <c r="Q239" s="5" t="str">
        <f ca="1">IFERROR(__xludf.DUMMYFUNCTION("""COMPUTED_VALUE"""),"Yes")</f>
        <v>Yes</v>
      </c>
      <c r="R239" s="5" t="str">
        <f ca="1">IFERROR(__xludf.DUMMYFUNCTION("""COMPUTED_VALUE"""),"Yes")</f>
        <v>Yes</v>
      </c>
      <c r="S239" s="5" t="str">
        <f ca="1">IFERROR(__xludf.DUMMYFUNCTION("""COMPUTED_VALUE"""),"Yes")</f>
        <v>Yes</v>
      </c>
      <c r="T239" s="5" t="str">
        <f ca="1">IFERROR(__xludf.DUMMYFUNCTION("""COMPUTED_VALUE"""),"Yes")</f>
        <v>Yes</v>
      </c>
      <c r="U239" s="5" t="str">
        <f ca="1">IFERROR(__xludf.DUMMYFUNCTION("""COMPUTED_VALUE"""),"Yes")</f>
        <v>Yes</v>
      </c>
      <c r="V239" s="5" t="str">
        <f ca="1">IFERROR(__xludf.DUMMYFUNCTION("""COMPUTED_VALUE"""),"Yes")</f>
        <v>Yes</v>
      </c>
      <c r="W239" s="5" t="str">
        <f ca="1">IFERROR(__xludf.DUMMYFUNCTION("""COMPUTED_VALUE"""),"Yes")</f>
        <v>Yes</v>
      </c>
      <c r="X239" s="5" t="str">
        <f ca="1">IFERROR(__xludf.DUMMYFUNCTION("""COMPUTED_VALUE"""),"Yes")</f>
        <v>Yes</v>
      </c>
      <c r="Y239" s="5" t="str">
        <f ca="1">IFERROR(__xludf.DUMMYFUNCTION("""COMPUTED_VALUE"""),"Yes")</f>
        <v>Yes</v>
      </c>
      <c r="Z239" s="5" t="str">
        <f ca="1">IFERROR(__xludf.DUMMYFUNCTION("""COMPUTED_VALUE"""),"Yes")</f>
        <v>Yes</v>
      </c>
      <c r="AA239" s="5" t="str">
        <f ca="1">IFERROR(__xludf.DUMMYFUNCTION("""COMPUTED_VALUE"""),"Yes")</f>
        <v>Yes</v>
      </c>
      <c r="AB239" s="5" t="str">
        <f ca="1">IFERROR(__xludf.DUMMYFUNCTION("""COMPUTED_VALUE"""),"Yes")</f>
        <v>Yes</v>
      </c>
      <c r="AC239" s="5"/>
    </row>
    <row r="240" spans="1:29" x14ac:dyDescent="0.25">
      <c r="A240" s="5" t="str">
        <f ca="1">IFERROR(__xludf.DUMMYFUNCTION("""COMPUTED_VALUE"""),"UnicornDoubleWildDice")</f>
        <v>UnicornDoubleWildDice</v>
      </c>
      <c r="B24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40" s="5" t="str">
        <f ca="1">IFERROR(__xludf.DUMMYFUNCTION("""COMPUTED_VALUE"""),"Yes")</f>
        <v>Yes</v>
      </c>
      <c r="D240" s="5" t="str">
        <f ca="1">IFERROR(__xludf.DUMMYFUNCTION("""COMPUTED_VALUE"""),"Yes")</f>
        <v>Yes</v>
      </c>
      <c r="E240" s="5" t="str">
        <f ca="1">IFERROR(__xludf.DUMMYFUNCTION("""COMPUTED_VALUE"""),"Yes")</f>
        <v>Yes</v>
      </c>
      <c r="F240" s="5" t="str">
        <f ca="1">IFERROR(__xludf.DUMMYFUNCTION("""COMPUTED_VALUE"""),"No")</f>
        <v>No</v>
      </c>
      <c r="G240" s="5" t="str">
        <f ca="1">IFERROR(__xludf.DUMMYFUNCTION("""COMPUTED_VALUE"""),"No")</f>
        <v>No</v>
      </c>
      <c r="H240" s="5" t="str">
        <f ca="1">IFERROR(__xludf.DUMMYFUNCTION("""COMPUTED_VALUE"""),"No")</f>
        <v>No</v>
      </c>
      <c r="I240" s="5" t="str">
        <f ca="1">IFERROR(__xludf.DUMMYFUNCTION("""COMPUTED_VALUE"""),"No")</f>
        <v>No</v>
      </c>
      <c r="J240" s="5" t="str">
        <f ca="1">IFERROR(__xludf.DUMMYFUNCTION("""COMPUTED_VALUE"""),"No")</f>
        <v>No</v>
      </c>
      <c r="K240" s="5" t="str">
        <f ca="1">IFERROR(__xludf.DUMMYFUNCTION("""COMPUTED_VALUE"""),"Yes")</f>
        <v>Yes</v>
      </c>
      <c r="L240" s="5" t="str">
        <f ca="1">IFERROR(__xludf.DUMMYFUNCTION("""COMPUTED_VALUE"""),"Yes")</f>
        <v>Yes</v>
      </c>
      <c r="M240" s="5" t="str">
        <f ca="1">IFERROR(__xludf.DUMMYFUNCTION("""COMPUTED_VALUE"""),"Yes")</f>
        <v>Yes</v>
      </c>
      <c r="N240" s="5" t="str">
        <f ca="1">IFERROR(__xludf.DUMMYFUNCTION("""COMPUTED_VALUE"""),"Yes")</f>
        <v>Yes</v>
      </c>
      <c r="O240" s="5" t="str">
        <f ca="1">IFERROR(__xludf.DUMMYFUNCTION("""COMPUTED_VALUE"""),"Yes")</f>
        <v>Yes</v>
      </c>
      <c r="P240" s="5" t="str">
        <f ca="1">IFERROR(__xludf.DUMMYFUNCTION("""COMPUTED_VALUE"""),"No")</f>
        <v>No</v>
      </c>
      <c r="Q240" s="5" t="str">
        <f ca="1">IFERROR(__xludf.DUMMYFUNCTION("""COMPUTED_VALUE"""),"Yes")</f>
        <v>Yes</v>
      </c>
      <c r="R240" s="5" t="str">
        <f ca="1">IFERROR(__xludf.DUMMYFUNCTION("""COMPUTED_VALUE"""),"No")</f>
        <v>No</v>
      </c>
      <c r="S240" s="5" t="str">
        <f ca="1">IFERROR(__xludf.DUMMYFUNCTION("""COMPUTED_VALUE"""),"No")</f>
        <v>No</v>
      </c>
      <c r="T240" s="5" t="str">
        <f ca="1">IFERROR(__xludf.DUMMYFUNCTION("""COMPUTED_VALUE"""),"No")</f>
        <v>No</v>
      </c>
      <c r="U240" s="5" t="str">
        <f ca="1">IFERROR(__xludf.DUMMYFUNCTION("""COMPUTED_VALUE"""),"No")</f>
        <v>No</v>
      </c>
      <c r="V240" s="5" t="str">
        <f ca="1">IFERROR(__xludf.DUMMYFUNCTION("""COMPUTED_VALUE"""),"No")</f>
        <v>No</v>
      </c>
      <c r="W240" s="5"/>
      <c r="X240" s="5"/>
      <c r="Y240" s="5"/>
      <c r="Z240" s="5" t="str">
        <f ca="1">IFERROR(__xludf.DUMMYFUNCTION("""COMPUTED_VALUE"""),"No")</f>
        <v>No</v>
      </c>
      <c r="AA240" s="5"/>
      <c r="AB240" s="5"/>
      <c r="AC240" s="5"/>
    </row>
    <row r="241" spans="1:29" x14ac:dyDescent="0.25">
      <c r="A241" s="5" t="str">
        <f ca="1">IFERROR(__xludf.DUMMYFUNCTION("""COMPUTED_VALUE"""),"PiratesFazi")</f>
        <v>PiratesFazi</v>
      </c>
      <c r="B2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1" s="5" t="str">
        <f ca="1">IFERROR(__xludf.DUMMYFUNCTION("""COMPUTED_VALUE"""),"Yes")</f>
        <v>Yes</v>
      </c>
      <c r="D241" s="5" t="str">
        <f ca="1">IFERROR(__xludf.DUMMYFUNCTION("""COMPUTED_VALUE"""),"Yes")</f>
        <v>Yes</v>
      </c>
      <c r="E241" s="5" t="str">
        <f ca="1">IFERROR(__xludf.DUMMYFUNCTION("""COMPUTED_VALUE"""),"Yes")</f>
        <v>Yes</v>
      </c>
      <c r="F241" s="5" t="str">
        <f ca="1">IFERROR(__xludf.DUMMYFUNCTION("""COMPUTED_VALUE"""),"Yes")</f>
        <v>Yes</v>
      </c>
      <c r="G241" s="5" t="str">
        <f ca="1">IFERROR(__xludf.DUMMYFUNCTION("""COMPUTED_VALUE"""),"Yes")</f>
        <v>Yes</v>
      </c>
      <c r="H241" s="5" t="str">
        <f ca="1">IFERROR(__xludf.DUMMYFUNCTION("""COMPUTED_VALUE"""),"Yes")</f>
        <v>Yes</v>
      </c>
      <c r="I241" s="5" t="str">
        <f ca="1">IFERROR(__xludf.DUMMYFUNCTION("""COMPUTED_VALUE"""),"Yes")</f>
        <v>Yes</v>
      </c>
      <c r="J241" s="5" t="str">
        <f ca="1">IFERROR(__xludf.DUMMYFUNCTION("""COMPUTED_VALUE"""),"Yes")</f>
        <v>Yes</v>
      </c>
      <c r="K241" s="5" t="str">
        <f ca="1">IFERROR(__xludf.DUMMYFUNCTION("""COMPUTED_VALUE"""),"Yes")</f>
        <v>Yes</v>
      </c>
      <c r="L241" s="5" t="str">
        <f ca="1">IFERROR(__xludf.DUMMYFUNCTION("""COMPUTED_VALUE"""),"Yes")</f>
        <v>Yes</v>
      </c>
      <c r="M241" s="5" t="str">
        <f ca="1">IFERROR(__xludf.DUMMYFUNCTION("""COMPUTED_VALUE"""),"Yes")</f>
        <v>Yes</v>
      </c>
      <c r="N241" s="5" t="str">
        <f ca="1">IFERROR(__xludf.DUMMYFUNCTION("""COMPUTED_VALUE"""),"Yes")</f>
        <v>Yes</v>
      </c>
      <c r="O241" s="5" t="str">
        <f ca="1">IFERROR(__xludf.DUMMYFUNCTION("""COMPUTED_VALUE"""),"Yes")</f>
        <v>Yes</v>
      </c>
      <c r="P241" s="5" t="str">
        <f ca="1">IFERROR(__xludf.DUMMYFUNCTION("""COMPUTED_VALUE"""),"Yes")</f>
        <v>Yes</v>
      </c>
      <c r="Q241" s="5" t="str">
        <f ca="1">IFERROR(__xludf.DUMMYFUNCTION("""COMPUTED_VALUE"""),"Yes")</f>
        <v>Yes</v>
      </c>
      <c r="R241" s="5" t="str">
        <f ca="1">IFERROR(__xludf.DUMMYFUNCTION("""COMPUTED_VALUE"""),"Yes")</f>
        <v>Yes</v>
      </c>
      <c r="S241" s="5" t="str">
        <f ca="1">IFERROR(__xludf.DUMMYFUNCTION("""COMPUTED_VALUE"""),"Yes")</f>
        <v>Yes</v>
      </c>
      <c r="T241" s="5" t="str">
        <f ca="1">IFERROR(__xludf.DUMMYFUNCTION("""COMPUTED_VALUE"""),"Yes")</f>
        <v>Yes</v>
      </c>
      <c r="U241" s="5" t="str">
        <f ca="1">IFERROR(__xludf.DUMMYFUNCTION("""COMPUTED_VALUE"""),"Yes")</f>
        <v>Yes</v>
      </c>
      <c r="V241" s="5" t="str">
        <f ca="1">IFERROR(__xludf.DUMMYFUNCTION("""COMPUTED_VALUE"""),"Yes")</f>
        <v>Yes</v>
      </c>
      <c r="W241" s="5" t="str">
        <f ca="1">IFERROR(__xludf.DUMMYFUNCTION("""COMPUTED_VALUE"""),"Yes")</f>
        <v>Yes</v>
      </c>
      <c r="X241" s="5" t="str">
        <f ca="1">IFERROR(__xludf.DUMMYFUNCTION("""COMPUTED_VALUE"""),"Yes")</f>
        <v>Yes</v>
      </c>
      <c r="Y241" s="5" t="str">
        <f ca="1">IFERROR(__xludf.DUMMYFUNCTION("""COMPUTED_VALUE"""),"Yes")</f>
        <v>Yes</v>
      </c>
      <c r="Z241" s="5" t="str">
        <f ca="1">IFERROR(__xludf.DUMMYFUNCTION("""COMPUTED_VALUE"""),"Yes")</f>
        <v>Yes</v>
      </c>
      <c r="AA241" s="5" t="str">
        <f ca="1">IFERROR(__xludf.DUMMYFUNCTION("""COMPUTED_VALUE"""),"Yes")</f>
        <v>Yes</v>
      </c>
      <c r="AB241" s="5" t="str">
        <f ca="1">IFERROR(__xludf.DUMMYFUNCTION("""COMPUTED_VALUE"""),"Yes")</f>
        <v>Yes</v>
      </c>
      <c r="AC241" s="5" t="str">
        <f ca="1">IFERROR(__xludf.DUMMYFUNCTION("""COMPUTED_VALUE"""),"No")</f>
        <v>No</v>
      </c>
    </row>
    <row r="242" spans="1:29" x14ac:dyDescent="0.25">
      <c r="A242" s="5" t="str">
        <f ca="1">IFERROR(__xludf.DUMMYFUNCTION("""COMPUTED_VALUE"""),"SuperLucky")</f>
        <v>SuperLucky</v>
      </c>
      <c r="B2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2" s="5" t="str">
        <f ca="1">IFERROR(__xludf.DUMMYFUNCTION("""COMPUTED_VALUE"""),"Yes")</f>
        <v>Yes</v>
      </c>
      <c r="D242" s="5" t="str">
        <f ca="1">IFERROR(__xludf.DUMMYFUNCTION("""COMPUTED_VALUE"""),"Yes")</f>
        <v>Yes</v>
      </c>
      <c r="E242" s="5" t="str">
        <f ca="1">IFERROR(__xludf.DUMMYFUNCTION("""COMPUTED_VALUE"""),"Yes")</f>
        <v>Yes</v>
      </c>
      <c r="F242" s="5" t="str">
        <f ca="1">IFERROR(__xludf.DUMMYFUNCTION("""COMPUTED_VALUE"""),"Yes")</f>
        <v>Yes</v>
      </c>
      <c r="G242" s="5" t="str">
        <f ca="1">IFERROR(__xludf.DUMMYFUNCTION("""COMPUTED_VALUE"""),"Yes")</f>
        <v>Yes</v>
      </c>
      <c r="H242" s="5" t="str">
        <f ca="1">IFERROR(__xludf.DUMMYFUNCTION("""COMPUTED_VALUE"""),"Yes")</f>
        <v>Yes</v>
      </c>
      <c r="I242" s="5" t="str">
        <f ca="1">IFERROR(__xludf.DUMMYFUNCTION("""COMPUTED_VALUE"""),"Yes")</f>
        <v>Yes</v>
      </c>
      <c r="J242" s="5" t="str">
        <f ca="1">IFERROR(__xludf.DUMMYFUNCTION("""COMPUTED_VALUE"""),"Yes")</f>
        <v>Yes</v>
      </c>
      <c r="K242" s="5" t="str">
        <f ca="1">IFERROR(__xludf.DUMMYFUNCTION("""COMPUTED_VALUE"""),"Yes")</f>
        <v>Yes</v>
      </c>
      <c r="L242" s="5" t="str">
        <f ca="1">IFERROR(__xludf.DUMMYFUNCTION("""COMPUTED_VALUE"""),"Yes")</f>
        <v>Yes</v>
      </c>
      <c r="M242" s="5" t="str">
        <f ca="1">IFERROR(__xludf.DUMMYFUNCTION("""COMPUTED_VALUE"""),"Yes")</f>
        <v>Yes</v>
      </c>
      <c r="N242" s="5" t="str">
        <f ca="1">IFERROR(__xludf.DUMMYFUNCTION("""COMPUTED_VALUE"""),"Yes")</f>
        <v>Yes</v>
      </c>
      <c r="O242" s="5" t="str">
        <f ca="1">IFERROR(__xludf.DUMMYFUNCTION("""COMPUTED_VALUE"""),"Yes")</f>
        <v>Yes</v>
      </c>
      <c r="P242" s="5" t="str">
        <f ca="1">IFERROR(__xludf.DUMMYFUNCTION("""COMPUTED_VALUE"""),"Yes")</f>
        <v>Yes</v>
      </c>
      <c r="Q242" s="5" t="str">
        <f ca="1">IFERROR(__xludf.DUMMYFUNCTION("""COMPUTED_VALUE"""),"Yes")</f>
        <v>Yes</v>
      </c>
      <c r="R242" s="5" t="str">
        <f ca="1">IFERROR(__xludf.DUMMYFUNCTION("""COMPUTED_VALUE"""),"Yes")</f>
        <v>Yes</v>
      </c>
      <c r="S242" s="5" t="str">
        <f ca="1">IFERROR(__xludf.DUMMYFUNCTION("""COMPUTED_VALUE"""),"Yes")</f>
        <v>Yes</v>
      </c>
      <c r="T242" s="5" t="str">
        <f ca="1">IFERROR(__xludf.DUMMYFUNCTION("""COMPUTED_VALUE"""),"Yes")</f>
        <v>Yes</v>
      </c>
      <c r="U242" s="5" t="str">
        <f ca="1">IFERROR(__xludf.DUMMYFUNCTION("""COMPUTED_VALUE"""),"Yes")</f>
        <v>Yes</v>
      </c>
      <c r="V242" s="5" t="str">
        <f ca="1">IFERROR(__xludf.DUMMYFUNCTION("""COMPUTED_VALUE"""),"Yes")</f>
        <v>Yes</v>
      </c>
      <c r="W242" s="5" t="str">
        <f ca="1">IFERROR(__xludf.DUMMYFUNCTION("""COMPUTED_VALUE"""),"Yes")</f>
        <v>Yes</v>
      </c>
      <c r="X242" s="5"/>
      <c r="Y242" s="5"/>
      <c r="Z242" s="5" t="str">
        <f ca="1">IFERROR(__xludf.DUMMYFUNCTION("""COMPUTED_VALUE"""),"Yes")</f>
        <v>Yes</v>
      </c>
      <c r="AA242" s="5"/>
      <c r="AB242" s="5"/>
      <c r="AC242" s="5"/>
    </row>
    <row r="243" spans="1:29" x14ac:dyDescent="0.25">
      <c r="A243" s="5" t="str">
        <f ca="1">IFERROR(__xludf.DUMMYFUNCTION("""COMPUTED_VALUE"""),"EpicClover40")</f>
        <v>EpicClover40</v>
      </c>
      <c r="B2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3" s="5" t="str">
        <f ca="1">IFERROR(__xludf.DUMMYFUNCTION("""COMPUTED_VALUE"""),"Yes")</f>
        <v>Yes</v>
      </c>
      <c r="D243" s="5" t="str">
        <f ca="1">IFERROR(__xludf.DUMMYFUNCTION("""COMPUTED_VALUE"""),"Yes")</f>
        <v>Yes</v>
      </c>
      <c r="E243" s="5" t="str">
        <f ca="1">IFERROR(__xludf.DUMMYFUNCTION("""COMPUTED_VALUE"""),"Yes")</f>
        <v>Yes</v>
      </c>
      <c r="F243" s="5" t="str">
        <f ca="1">IFERROR(__xludf.DUMMYFUNCTION("""COMPUTED_VALUE"""),"Yes")</f>
        <v>Yes</v>
      </c>
      <c r="G243" s="5" t="str">
        <f ca="1">IFERROR(__xludf.DUMMYFUNCTION("""COMPUTED_VALUE"""),"Yes")</f>
        <v>Yes</v>
      </c>
      <c r="H243" s="5" t="str">
        <f ca="1">IFERROR(__xludf.DUMMYFUNCTION("""COMPUTED_VALUE"""),"Yes")</f>
        <v>Yes</v>
      </c>
      <c r="I243" s="5" t="str">
        <f ca="1">IFERROR(__xludf.DUMMYFUNCTION("""COMPUTED_VALUE"""),"Yes")</f>
        <v>Yes</v>
      </c>
      <c r="J243" s="5" t="str">
        <f ca="1">IFERROR(__xludf.DUMMYFUNCTION("""COMPUTED_VALUE"""),"Yes")</f>
        <v>Yes</v>
      </c>
      <c r="K243" s="5" t="str">
        <f ca="1">IFERROR(__xludf.DUMMYFUNCTION("""COMPUTED_VALUE"""),"Yes")</f>
        <v>Yes</v>
      </c>
      <c r="L243" s="5" t="str">
        <f ca="1">IFERROR(__xludf.DUMMYFUNCTION("""COMPUTED_VALUE"""),"Yes")</f>
        <v>Yes</v>
      </c>
      <c r="M243" s="5" t="str">
        <f ca="1">IFERROR(__xludf.DUMMYFUNCTION("""COMPUTED_VALUE"""),"Yes")</f>
        <v>Yes</v>
      </c>
      <c r="N243" s="5" t="str">
        <f ca="1">IFERROR(__xludf.DUMMYFUNCTION("""COMPUTED_VALUE"""),"Yes")</f>
        <v>Yes</v>
      </c>
      <c r="O243" s="5" t="str">
        <f ca="1">IFERROR(__xludf.DUMMYFUNCTION("""COMPUTED_VALUE"""),"Yes")</f>
        <v>Yes</v>
      </c>
      <c r="P243" s="5" t="str">
        <f ca="1">IFERROR(__xludf.DUMMYFUNCTION("""COMPUTED_VALUE"""),"Yes")</f>
        <v>Yes</v>
      </c>
      <c r="Q243" s="5" t="str">
        <f ca="1">IFERROR(__xludf.DUMMYFUNCTION("""COMPUTED_VALUE"""),"Yes")</f>
        <v>Yes</v>
      </c>
      <c r="R243" s="5" t="str">
        <f ca="1">IFERROR(__xludf.DUMMYFUNCTION("""COMPUTED_VALUE"""),"Yes")</f>
        <v>Yes</v>
      </c>
      <c r="S243" s="5" t="str">
        <f ca="1">IFERROR(__xludf.DUMMYFUNCTION("""COMPUTED_VALUE"""),"Yes")</f>
        <v>Yes</v>
      </c>
      <c r="T243" s="5" t="str">
        <f ca="1">IFERROR(__xludf.DUMMYFUNCTION("""COMPUTED_VALUE"""),"Yes")</f>
        <v>Yes</v>
      </c>
      <c r="U243" s="5" t="str">
        <f ca="1">IFERROR(__xludf.DUMMYFUNCTION("""COMPUTED_VALUE"""),"Yes")</f>
        <v>Yes</v>
      </c>
      <c r="V243" s="5" t="str">
        <f ca="1">IFERROR(__xludf.DUMMYFUNCTION("""COMPUTED_VALUE"""),"Yes")</f>
        <v>Yes</v>
      </c>
      <c r="W243" s="5" t="str">
        <f ca="1">IFERROR(__xludf.DUMMYFUNCTION("""COMPUTED_VALUE"""),"Yes")</f>
        <v>Yes</v>
      </c>
      <c r="X243" s="5" t="str">
        <f ca="1">IFERROR(__xludf.DUMMYFUNCTION("""COMPUTED_VALUE"""),"Yes")</f>
        <v>Yes</v>
      </c>
      <c r="Y243" s="5" t="str">
        <f ca="1">IFERROR(__xludf.DUMMYFUNCTION("""COMPUTED_VALUE"""),"Yes")</f>
        <v>Yes</v>
      </c>
      <c r="Z243" s="5" t="str">
        <f ca="1">IFERROR(__xludf.DUMMYFUNCTION("""COMPUTED_VALUE"""),"Yes")</f>
        <v>Yes</v>
      </c>
      <c r="AA243" s="5" t="str">
        <f ca="1">IFERROR(__xludf.DUMMYFUNCTION("""COMPUTED_VALUE"""),"Yes")</f>
        <v>Yes</v>
      </c>
      <c r="AB243" s="5" t="str">
        <f ca="1">IFERROR(__xludf.DUMMYFUNCTION("""COMPUTED_VALUE"""),"Yes")</f>
        <v>Yes</v>
      </c>
      <c r="AC243" s="5" t="str">
        <f ca="1">IFERROR(__xludf.DUMMYFUNCTION("""COMPUTED_VALUE"""),"No")</f>
        <v>No</v>
      </c>
    </row>
    <row r="244" spans="1:29" x14ac:dyDescent="0.25">
      <c r="A244" s="5" t="str">
        <f ca="1">IFERROR(__xludf.DUMMYFUNCTION("""COMPUTED_VALUE"""),"WildLuckyClover2")</f>
        <v>WildLuckyClover2</v>
      </c>
      <c r="B2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4" s="5" t="str">
        <f ca="1">IFERROR(__xludf.DUMMYFUNCTION("""COMPUTED_VALUE"""),"Yes")</f>
        <v>Yes</v>
      </c>
      <c r="D244" s="5" t="str">
        <f ca="1">IFERROR(__xludf.DUMMYFUNCTION("""COMPUTED_VALUE"""),"Yes")</f>
        <v>Yes</v>
      </c>
      <c r="E244" s="5" t="str">
        <f ca="1">IFERROR(__xludf.DUMMYFUNCTION("""COMPUTED_VALUE"""),"Yes")</f>
        <v>Yes</v>
      </c>
      <c r="F244" s="5" t="str">
        <f ca="1">IFERROR(__xludf.DUMMYFUNCTION("""COMPUTED_VALUE"""),"Yes")</f>
        <v>Yes</v>
      </c>
      <c r="G244" s="5" t="str">
        <f ca="1">IFERROR(__xludf.DUMMYFUNCTION("""COMPUTED_VALUE"""),"Yes")</f>
        <v>Yes</v>
      </c>
      <c r="H244" s="5" t="str">
        <f ca="1">IFERROR(__xludf.DUMMYFUNCTION("""COMPUTED_VALUE"""),"Yes")</f>
        <v>Yes</v>
      </c>
      <c r="I244" s="5" t="str">
        <f ca="1">IFERROR(__xludf.DUMMYFUNCTION("""COMPUTED_VALUE"""),"Yes")</f>
        <v>Yes</v>
      </c>
      <c r="J244" s="5" t="str">
        <f ca="1">IFERROR(__xludf.DUMMYFUNCTION("""COMPUTED_VALUE"""),"Yes")</f>
        <v>Yes</v>
      </c>
      <c r="K244" s="5" t="str">
        <f ca="1">IFERROR(__xludf.DUMMYFUNCTION("""COMPUTED_VALUE"""),"Yes")</f>
        <v>Yes</v>
      </c>
      <c r="L244" s="5" t="str">
        <f ca="1">IFERROR(__xludf.DUMMYFUNCTION("""COMPUTED_VALUE"""),"Yes")</f>
        <v>Yes</v>
      </c>
      <c r="M244" s="5" t="str">
        <f ca="1">IFERROR(__xludf.DUMMYFUNCTION("""COMPUTED_VALUE"""),"Yes")</f>
        <v>Yes</v>
      </c>
      <c r="N244" s="5" t="str">
        <f ca="1">IFERROR(__xludf.DUMMYFUNCTION("""COMPUTED_VALUE"""),"Yes")</f>
        <v>Yes</v>
      </c>
      <c r="O244" s="5" t="str">
        <f ca="1">IFERROR(__xludf.DUMMYFUNCTION("""COMPUTED_VALUE"""),"Yes")</f>
        <v>Yes</v>
      </c>
      <c r="P244" s="5" t="str">
        <f ca="1">IFERROR(__xludf.DUMMYFUNCTION("""COMPUTED_VALUE"""),"Yes")</f>
        <v>Yes</v>
      </c>
      <c r="Q244" s="5" t="str">
        <f ca="1">IFERROR(__xludf.DUMMYFUNCTION("""COMPUTED_VALUE"""),"Yes")</f>
        <v>Yes</v>
      </c>
      <c r="R244" s="5" t="str">
        <f ca="1">IFERROR(__xludf.DUMMYFUNCTION("""COMPUTED_VALUE"""),"Yes")</f>
        <v>Yes</v>
      </c>
      <c r="S244" s="5" t="str">
        <f ca="1">IFERROR(__xludf.DUMMYFUNCTION("""COMPUTED_VALUE"""),"Yes")</f>
        <v>Yes</v>
      </c>
      <c r="T244" s="5" t="str">
        <f ca="1">IFERROR(__xludf.DUMMYFUNCTION("""COMPUTED_VALUE"""),"Yes")</f>
        <v>Yes</v>
      </c>
      <c r="U244" s="5" t="str">
        <f ca="1">IFERROR(__xludf.DUMMYFUNCTION("""COMPUTED_VALUE"""),"Yes")</f>
        <v>Yes</v>
      </c>
      <c r="V244" s="5" t="str">
        <f ca="1">IFERROR(__xludf.DUMMYFUNCTION("""COMPUTED_VALUE"""),"Yes")</f>
        <v>Yes</v>
      </c>
      <c r="W244" s="5" t="str">
        <f ca="1">IFERROR(__xludf.DUMMYFUNCTION("""COMPUTED_VALUE"""),"Yes")</f>
        <v>Yes</v>
      </c>
      <c r="X244" s="5" t="str">
        <f ca="1">IFERROR(__xludf.DUMMYFUNCTION("""COMPUTED_VALUE"""),"Yes")</f>
        <v>Yes</v>
      </c>
      <c r="Y244" s="5" t="str">
        <f ca="1">IFERROR(__xludf.DUMMYFUNCTION("""COMPUTED_VALUE"""),"Yes")</f>
        <v>Yes</v>
      </c>
      <c r="Z244" s="5" t="str">
        <f ca="1">IFERROR(__xludf.DUMMYFUNCTION("""COMPUTED_VALUE"""),"Yes")</f>
        <v>Yes</v>
      </c>
      <c r="AA244" s="5" t="str">
        <f ca="1">IFERROR(__xludf.DUMMYFUNCTION("""COMPUTED_VALUE"""),"Yes")</f>
        <v>Yes</v>
      </c>
      <c r="AB244" s="5" t="str">
        <f ca="1">IFERROR(__xludf.DUMMYFUNCTION("""COMPUTED_VALUE"""),"Yes")</f>
        <v>Yes</v>
      </c>
      <c r="AC244" s="5" t="str">
        <f ca="1">IFERROR(__xludf.DUMMYFUNCTION("""COMPUTED_VALUE"""),"No")</f>
        <v>No</v>
      </c>
    </row>
    <row r="245" spans="1:29" x14ac:dyDescent="0.25">
      <c r="A245" s="5" t="str">
        <f ca="1">IFERROR(__xludf.DUMMYFUNCTION("""COMPUTED_VALUE"""),"Unicorn40FruitReels")</f>
        <v>Unicorn40FruitReels</v>
      </c>
      <c r="B2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5" s="5" t="str">
        <f ca="1">IFERROR(__xludf.DUMMYFUNCTION("""COMPUTED_VALUE"""),"Yes")</f>
        <v>Yes</v>
      </c>
      <c r="D245" s="5" t="str">
        <f ca="1">IFERROR(__xludf.DUMMYFUNCTION("""COMPUTED_VALUE"""),"Yes")</f>
        <v>Yes</v>
      </c>
      <c r="E245" s="5" t="str">
        <f ca="1">IFERROR(__xludf.DUMMYFUNCTION("""COMPUTED_VALUE"""),"Yes")</f>
        <v>Yes</v>
      </c>
      <c r="F245" s="5" t="str">
        <f ca="1">IFERROR(__xludf.DUMMYFUNCTION("""COMPUTED_VALUE"""),"Yes")</f>
        <v>Yes</v>
      </c>
      <c r="G245" s="5" t="str">
        <f ca="1">IFERROR(__xludf.DUMMYFUNCTION("""COMPUTED_VALUE"""),"Yes")</f>
        <v>Yes</v>
      </c>
      <c r="H245" s="5" t="str">
        <f ca="1">IFERROR(__xludf.DUMMYFUNCTION("""COMPUTED_VALUE"""),"Yes")</f>
        <v>Yes</v>
      </c>
      <c r="I245" s="5" t="str">
        <f ca="1">IFERROR(__xludf.DUMMYFUNCTION("""COMPUTED_VALUE"""),"Yes")</f>
        <v>Yes</v>
      </c>
      <c r="J245" s="5" t="str">
        <f ca="1">IFERROR(__xludf.DUMMYFUNCTION("""COMPUTED_VALUE"""),"Yes")</f>
        <v>Yes</v>
      </c>
      <c r="K245" s="5" t="str">
        <f ca="1">IFERROR(__xludf.DUMMYFUNCTION("""COMPUTED_VALUE"""),"Yes")</f>
        <v>Yes</v>
      </c>
      <c r="L245" s="5" t="str">
        <f ca="1">IFERROR(__xludf.DUMMYFUNCTION("""COMPUTED_VALUE"""),"Yes")</f>
        <v>Yes</v>
      </c>
      <c r="M245" s="5" t="str">
        <f ca="1">IFERROR(__xludf.DUMMYFUNCTION("""COMPUTED_VALUE"""),"Yes")</f>
        <v>Yes</v>
      </c>
      <c r="N245" s="5" t="str">
        <f ca="1">IFERROR(__xludf.DUMMYFUNCTION("""COMPUTED_VALUE"""),"Yes")</f>
        <v>Yes</v>
      </c>
      <c r="O245" s="5" t="str">
        <f ca="1">IFERROR(__xludf.DUMMYFUNCTION("""COMPUTED_VALUE"""),"Yes")</f>
        <v>Yes</v>
      </c>
      <c r="P245" s="5" t="str">
        <f ca="1">IFERROR(__xludf.DUMMYFUNCTION("""COMPUTED_VALUE"""),"Yes")</f>
        <v>Yes</v>
      </c>
      <c r="Q245" s="5" t="str">
        <f ca="1">IFERROR(__xludf.DUMMYFUNCTION("""COMPUTED_VALUE"""),"Yes")</f>
        <v>Yes</v>
      </c>
      <c r="R245" s="5" t="str">
        <f ca="1">IFERROR(__xludf.DUMMYFUNCTION("""COMPUTED_VALUE"""),"Yes")</f>
        <v>Yes</v>
      </c>
      <c r="S245" s="5" t="str">
        <f ca="1">IFERROR(__xludf.DUMMYFUNCTION("""COMPUTED_VALUE"""),"Yes")</f>
        <v>Yes</v>
      </c>
      <c r="T245" s="5" t="str">
        <f ca="1">IFERROR(__xludf.DUMMYFUNCTION("""COMPUTED_VALUE"""),"Yes")</f>
        <v>Yes</v>
      </c>
      <c r="U245" s="5" t="str">
        <f ca="1">IFERROR(__xludf.DUMMYFUNCTION("""COMPUTED_VALUE"""),"Yes")</f>
        <v>Yes</v>
      </c>
      <c r="V245" s="5" t="str">
        <f ca="1">IFERROR(__xludf.DUMMYFUNCTION("""COMPUTED_VALUE"""),"Yes")</f>
        <v>Yes</v>
      </c>
      <c r="W245" s="5" t="str">
        <f ca="1">IFERROR(__xludf.DUMMYFUNCTION("""COMPUTED_VALUE"""),"Yes")</f>
        <v>Yes</v>
      </c>
      <c r="X245" s="5" t="str">
        <f ca="1">IFERROR(__xludf.DUMMYFUNCTION("""COMPUTED_VALUE"""),"Yes")</f>
        <v>Yes</v>
      </c>
      <c r="Y245" s="5" t="str">
        <f ca="1">IFERROR(__xludf.DUMMYFUNCTION("""COMPUTED_VALUE"""),"Yes")</f>
        <v>Yes</v>
      </c>
      <c r="Z245" s="5" t="str">
        <f ca="1">IFERROR(__xludf.DUMMYFUNCTION("""COMPUTED_VALUE"""),"Yes")</f>
        <v>Yes</v>
      </c>
      <c r="AA245" s="5" t="str">
        <f ca="1">IFERROR(__xludf.DUMMYFUNCTION("""COMPUTED_VALUE"""),"Yes")</f>
        <v>Yes</v>
      </c>
      <c r="AB245" s="5" t="str">
        <f ca="1">IFERROR(__xludf.DUMMYFUNCTION("""COMPUTED_VALUE"""),"Yes")</f>
        <v>Yes</v>
      </c>
      <c r="AC245" s="5"/>
    </row>
    <row r="246" spans="1:29" x14ac:dyDescent="0.25">
      <c r="A246" s="5" t="str">
        <f ca="1">IFERROR(__xludf.DUMMYFUNCTION("""COMPUTED_VALUE"""),"EpicCrown10")</f>
        <v>EpicCrown10</v>
      </c>
      <c r="B2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6" s="5" t="str">
        <f ca="1">IFERROR(__xludf.DUMMYFUNCTION("""COMPUTED_VALUE"""),"Yes")</f>
        <v>Yes</v>
      </c>
      <c r="D246" s="5" t="str">
        <f ca="1">IFERROR(__xludf.DUMMYFUNCTION("""COMPUTED_VALUE"""),"Yes")</f>
        <v>Yes</v>
      </c>
      <c r="E246" s="5" t="str">
        <f ca="1">IFERROR(__xludf.DUMMYFUNCTION("""COMPUTED_VALUE"""),"Yes")</f>
        <v>Yes</v>
      </c>
      <c r="F246" s="5" t="str">
        <f ca="1">IFERROR(__xludf.DUMMYFUNCTION("""COMPUTED_VALUE"""),"Yes")</f>
        <v>Yes</v>
      </c>
      <c r="G246" s="5" t="str">
        <f ca="1">IFERROR(__xludf.DUMMYFUNCTION("""COMPUTED_VALUE"""),"Yes")</f>
        <v>Yes</v>
      </c>
      <c r="H246" s="5" t="str">
        <f ca="1">IFERROR(__xludf.DUMMYFUNCTION("""COMPUTED_VALUE"""),"Yes")</f>
        <v>Yes</v>
      </c>
      <c r="I246" s="5" t="str">
        <f ca="1">IFERROR(__xludf.DUMMYFUNCTION("""COMPUTED_VALUE"""),"Yes")</f>
        <v>Yes</v>
      </c>
      <c r="J246" s="5" t="str">
        <f ca="1">IFERROR(__xludf.DUMMYFUNCTION("""COMPUTED_VALUE"""),"Yes")</f>
        <v>Yes</v>
      </c>
      <c r="K246" s="5" t="str">
        <f ca="1">IFERROR(__xludf.DUMMYFUNCTION("""COMPUTED_VALUE"""),"Yes")</f>
        <v>Yes</v>
      </c>
      <c r="L246" s="5" t="str">
        <f ca="1">IFERROR(__xludf.DUMMYFUNCTION("""COMPUTED_VALUE"""),"Yes")</f>
        <v>Yes</v>
      </c>
      <c r="M246" s="5" t="str">
        <f ca="1">IFERROR(__xludf.DUMMYFUNCTION("""COMPUTED_VALUE"""),"Yes")</f>
        <v>Yes</v>
      </c>
      <c r="N246" s="5" t="str">
        <f ca="1">IFERROR(__xludf.DUMMYFUNCTION("""COMPUTED_VALUE"""),"Yes")</f>
        <v>Yes</v>
      </c>
      <c r="O246" s="5" t="str">
        <f ca="1">IFERROR(__xludf.DUMMYFUNCTION("""COMPUTED_VALUE"""),"Yes")</f>
        <v>Yes</v>
      </c>
      <c r="P246" s="5" t="str">
        <f ca="1">IFERROR(__xludf.DUMMYFUNCTION("""COMPUTED_VALUE"""),"Yes")</f>
        <v>Yes</v>
      </c>
      <c r="Q246" s="5" t="str">
        <f ca="1">IFERROR(__xludf.DUMMYFUNCTION("""COMPUTED_VALUE"""),"Yes")</f>
        <v>Yes</v>
      </c>
      <c r="R246" s="5" t="str">
        <f ca="1">IFERROR(__xludf.DUMMYFUNCTION("""COMPUTED_VALUE"""),"Yes")</f>
        <v>Yes</v>
      </c>
      <c r="S246" s="5" t="str">
        <f ca="1">IFERROR(__xludf.DUMMYFUNCTION("""COMPUTED_VALUE"""),"Yes")</f>
        <v>Yes</v>
      </c>
      <c r="T246" s="5" t="str">
        <f ca="1">IFERROR(__xludf.DUMMYFUNCTION("""COMPUTED_VALUE"""),"Yes")</f>
        <v>Yes</v>
      </c>
      <c r="U246" s="5" t="str">
        <f ca="1">IFERROR(__xludf.DUMMYFUNCTION("""COMPUTED_VALUE"""),"Yes")</f>
        <v>Yes</v>
      </c>
      <c r="V246" s="5" t="str">
        <f ca="1">IFERROR(__xludf.DUMMYFUNCTION("""COMPUTED_VALUE"""),"Yes")</f>
        <v>Yes</v>
      </c>
      <c r="W246" s="5" t="str">
        <f ca="1">IFERROR(__xludf.DUMMYFUNCTION("""COMPUTED_VALUE"""),"Yes")</f>
        <v>Yes</v>
      </c>
      <c r="X246" s="5" t="str">
        <f ca="1">IFERROR(__xludf.DUMMYFUNCTION("""COMPUTED_VALUE"""),"Yes")</f>
        <v>Yes</v>
      </c>
      <c r="Y246" s="5" t="str">
        <f ca="1">IFERROR(__xludf.DUMMYFUNCTION("""COMPUTED_VALUE"""),"Yes")</f>
        <v>Yes</v>
      </c>
      <c r="Z246" s="5" t="str">
        <f ca="1">IFERROR(__xludf.DUMMYFUNCTION("""COMPUTED_VALUE"""),"Yes")</f>
        <v>Yes</v>
      </c>
      <c r="AA246" s="5" t="str">
        <f ca="1">IFERROR(__xludf.DUMMYFUNCTION("""COMPUTED_VALUE"""),"Yes")</f>
        <v>Yes</v>
      </c>
      <c r="AB246" s="5" t="str">
        <f ca="1">IFERROR(__xludf.DUMMYFUNCTION("""COMPUTED_VALUE"""),"Yes")</f>
        <v>Yes</v>
      </c>
      <c r="AC246" s="5" t="str">
        <f ca="1">IFERROR(__xludf.DUMMYFUNCTION("""COMPUTED_VALUE"""),"No")</f>
        <v>No</v>
      </c>
    </row>
    <row r="247" spans="1:29" x14ac:dyDescent="0.25">
      <c r="A247" s="5" t="str">
        <f ca="1">IFERROR(__xludf.DUMMYFUNCTION("""COMPUTED_VALUE"""),"JokerTripleDouble")</f>
        <v>JokerTripleDouble</v>
      </c>
      <c r="B2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7" s="5" t="str">
        <f ca="1">IFERROR(__xludf.DUMMYFUNCTION("""COMPUTED_VALUE"""),"Yes")</f>
        <v>Yes</v>
      </c>
      <c r="D247" s="5" t="str">
        <f ca="1">IFERROR(__xludf.DUMMYFUNCTION("""COMPUTED_VALUE"""),"Yes")</f>
        <v>Yes</v>
      </c>
      <c r="E247" s="5" t="str">
        <f ca="1">IFERROR(__xludf.DUMMYFUNCTION("""COMPUTED_VALUE"""),"Yes")</f>
        <v>Yes</v>
      </c>
      <c r="F247" s="5" t="str">
        <f ca="1">IFERROR(__xludf.DUMMYFUNCTION("""COMPUTED_VALUE"""),"Yes")</f>
        <v>Yes</v>
      </c>
      <c r="G247" s="5" t="str">
        <f ca="1">IFERROR(__xludf.DUMMYFUNCTION("""COMPUTED_VALUE"""),"Yes")</f>
        <v>Yes</v>
      </c>
      <c r="H247" s="5" t="str">
        <f ca="1">IFERROR(__xludf.DUMMYFUNCTION("""COMPUTED_VALUE"""),"Yes")</f>
        <v>Yes</v>
      </c>
      <c r="I247" s="5" t="str">
        <f ca="1">IFERROR(__xludf.DUMMYFUNCTION("""COMPUTED_VALUE"""),"Yes")</f>
        <v>Yes</v>
      </c>
      <c r="J247" s="5" t="str">
        <f ca="1">IFERROR(__xludf.DUMMYFUNCTION("""COMPUTED_VALUE"""),"Yes")</f>
        <v>Yes</v>
      </c>
      <c r="K247" s="5" t="str">
        <f ca="1">IFERROR(__xludf.DUMMYFUNCTION("""COMPUTED_VALUE"""),"Yes")</f>
        <v>Yes</v>
      </c>
      <c r="L247" s="5" t="str">
        <f ca="1">IFERROR(__xludf.DUMMYFUNCTION("""COMPUTED_VALUE"""),"Yes")</f>
        <v>Yes</v>
      </c>
      <c r="M247" s="5" t="str">
        <f ca="1">IFERROR(__xludf.DUMMYFUNCTION("""COMPUTED_VALUE"""),"Yes")</f>
        <v>Yes</v>
      </c>
      <c r="N247" s="5" t="str">
        <f ca="1">IFERROR(__xludf.DUMMYFUNCTION("""COMPUTED_VALUE"""),"Yes")</f>
        <v>Yes</v>
      </c>
      <c r="O247" s="5" t="str">
        <f ca="1">IFERROR(__xludf.DUMMYFUNCTION("""COMPUTED_VALUE"""),"Yes")</f>
        <v>Yes</v>
      </c>
      <c r="P247" s="5" t="str">
        <f ca="1">IFERROR(__xludf.DUMMYFUNCTION("""COMPUTED_VALUE"""),"Yes")</f>
        <v>Yes</v>
      </c>
      <c r="Q247" s="5" t="str">
        <f ca="1">IFERROR(__xludf.DUMMYFUNCTION("""COMPUTED_VALUE"""),"Yes")</f>
        <v>Yes</v>
      </c>
      <c r="R247" s="5" t="str">
        <f ca="1">IFERROR(__xludf.DUMMYFUNCTION("""COMPUTED_VALUE"""),"Yes")</f>
        <v>Yes</v>
      </c>
      <c r="S247" s="5" t="str">
        <f ca="1">IFERROR(__xludf.DUMMYFUNCTION("""COMPUTED_VALUE"""),"Yes")</f>
        <v>Yes</v>
      </c>
      <c r="T247" s="5" t="str">
        <f ca="1">IFERROR(__xludf.DUMMYFUNCTION("""COMPUTED_VALUE"""),"Yes")</f>
        <v>Yes</v>
      </c>
      <c r="U247" s="5" t="str">
        <f ca="1">IFERROR(__xludf.DUMMYFUNCTION("""COMPUTED_VALUE"""),"Yes")</f>
        <v>Yes</v>
      </c>
      <c r="V247" s="5" t="str">
        <f ca="1">IFERROR(__xludf.DUMMYFUNCTION("""COMPUTED_VALUE"""),"Yes")</f>
        <v>Yes</v>
      </c>
      <c r="W247" s="5" t="str">
        <f ca="1">IFERROR(__xludf.DUMMYFUNCTION("""COMPUTED_VALUE"""),"Yes")</f>
        <v>Yes</v>
      </c>
      <c r="X247" s="5" t="str">
        <f ca="1">IFERROR(__xludf.DUMMYFUNCTION("""COMPUTED_VALUE"""),"Yes")</f>
        <v>Yes</v>
      </c>
      <c r="Y247" s="5" t="str">
        <f ca="1">IFERROR(__xludf.DUMMYFUNCTION("""COMPUTED_VALUE"""),"Yes")</f>
        <v>Yes</v>
      </c>
      <c r="Z247" s="5" t="str">
        <f ca="1">IFERROR(__xludf.DUMMYFUNCTION("""COMPUTED_VALUE"""),"Yes")</f>
        <v>Yes</v>
      </c>
      <c r="AA247" s="5" t="str">
        <f ca="1">IFERROR(__xludf.DUMMYFUNCTION("""COMPUTED_VALUE"""),"Yes")</f>
        <v>Yes</v>
      </c>
      <c r="AB247" s="5" t="str">
        <f ca="1">IFERROR(__xludf.DUMMYFUNCTION("""COMPUTED_VALUE"""),"Yes")</f>
        <v>Yes</v>
      </c>
      <c r="AC247" s="5" t="str">
        <f ca="1">IFERROR(__xludf.DUMMYFUNCTION("""COMPUTED_VALUE"""),"No")</f>
        <v>No</v>
      </c>
    </row>
    <row r="248" spans="1:29" x14ac:dyDescent="0.25">
      <c r="A248" s="5" t="str">
        <f ca="1">IFERROR(__xludf.DUMMYFUNCTION("""COMPUTED_VALUE"""),"HeatDouble")</f>
        <v>HeatDouble</v>
      </c>
      <c r="B2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8" s="5" t="str">
        <f ca="1">IFERROR(__xludf.DUMMYFUNCTION("""COMPUTED_VALUE"""),"Yes")</f>
        <v>Yes</v>
      </c>
      <c r="D248" s="5" t="str">
        <f ca="1">IFERROR(__xludf.DUMMYFUNCTION("""COMPUTED_VALUE"""),"Yes")</f>
        <v>Yes</v>
      </c>
      <c r="E248" s="5" t="str">
        <f ca="1">IFERROR(__xludf.DUMMYFUNCTION("""COMPUTED_VALUE"""),"Yes")</f>
        <v>Yes</v>
      </c>
      <c r="F248" s="5" t="str">
        <f ca="1">IFERROR(__xludf.DUMMYFUNCTION("""COMPUTED_VALUE"""),"Yes")</f>
        <v>Yes</v>
      </c>
      <c r="G248" s="5" t="str">
        <f ca="1">IFERROR(__xludf.DUMMYFUNCTION("""COMPUTED_VALUE"""),"Yes")</f>
        <v>Yes</v>
      </c>
      <c r="H248" s="5" t="str">
        <f ca="1">IFERROR(__xludf.DUMMYFUNCTION("""COMPUTED_VALUE"""),"Yes")</f>
        <v>Yes</v>
      </c>
      <c r="I248" s="5" t="str">
        <f ca="1">IFERROR(__xludf.DUMMYFUNCTION("""COMPUTED_VALUE"""),"Yes")</f>
        <v>Yes</v>
      </c>
      <c r="J248" s="5" t="str">
        <f ca="1">IFERROR(__xludf.DUMMYFUNCTION("""COMPUTED_VALUE"""),"Yes")</f>
        <v>Yes</v>
      </c>
      <c r="K248" s="5" t="str">
        <f ca="1">IFERROR(__xludf.DUMMYFUNCTION("""COMPUTED_VALUE"""),"Yes")</f>
        <v>Yes</v>
      </c>
      <c r="L248" s="5" t="str">
        <f ca="1">IFERROR(__xludf.DUMMYFUNCTION("""COMPUTED_VALUE"""),"Yes")</f>
        <v>Yes</v>
      </c>
      <c r="M248" s="5" t="str">
        <f ca="1">IFERROR(__xludf.DUMMYFUNCTION("""COMPUTED_VALUE"""),"Yes")</f>
        <v>Yes</v>
      </c>
      <c r="N248" s="5" t="str">
        <f ca="1">IFERROR(__xludf.DUMMYFUNCTION("""COMPUTED_VALUE"""),"Yes")</f>
        <v>Yes</v>
      </c>
      <c r="O248" s="5" t="str">
        <f ca="1">IFERROR(__xludf.DUMMYFUNCTION("""COMPUTED_VALUE"""),"Yes")</f>
        <v>Yes</v>
      </c>
      <c r="P248" s="5" t="str">
        <f ca="1">IFERROR(__xludf.DUMMYFUNCTION("""COMPUTED_VALUE"""),"Yes")</f>
        <v>Yes</v>
      </c>
      <c r="Q248" s="5" t="str">
        <f ca="1">IFERROR(__xludf.DUMMYFUNCTION("""COMPUTED_VALUE"""),"Yes")</f>
        <v>Yes</v>
      </c>
      <c r="R248" s="5" t="str">
        <f ca="1">IFERROR(__xludf.DUMMYFUNCTION("""COMPUTED_VALUE"""),"Yes")</f>
        <v>Yes</v>
      </c>
      <c r="S248" s="5" t="str">
        <f ca="1">IFERROR(__xludf.DUMMYFUNCTION("""COMPUTED_VALUE"""),"Yes")</f>
        <v>Yes</v>
      </c>
      <c r="T248" s="5" t="str">
        <f ca="1">IFERROR(__xludf.DUMMYFUNCTION("""COMPUTED_VALUE"""),"Yes")</f>
        <v>Yes</v>
      </c>
      <c r="U248" s="5" t="str">
        <f ca="1">IFERROR(__xludf.DUMMYFUNCTION("""COMPUTED_VALUE"""),"Yes")</f>
        <v>Yes</v>
      </c>
      <c r="V248" s="5" t="str">
        <f ca="1">IFERROR(__xludf.DUMMYFUNCTION("""COMPUTED_VALUE"""),"Yes")</f>
        <v>Yes</v>
      </c>
      <c r="W248" s="5" t="str">
        <f ca="1">IFERROR(__xludf.DUMMYFUNCTION("""COMPUTED_VALUE"""),"Yes")</f>
        <v>Yes</v>
      </c>
      <c r="X248" s="5"/>
      <c r="Y248" s="5"/>
      <c r="Z248" s="5" t="str">
        <f ca="1">IFERROR(__xludf.DUMMYFUNCTION("""COMPUTED_VALUE"""),"Yes")</f>
        <v>Yes</v>
      </c>
      <c r="AA248" s="5"/>
      <c r="AB248" s="5"/>
      <c r="AC248" s="5"/>
    </row>
    <row r="249" spans="1:29" x14ac:dyDescent="0.25">
      <c r="A249" s="5" t="str">
        <f ca="1">IFERROR(__xludf.DUMMYFUNCTION("""COMPUTED_VALUE"""),"Unicorn5HotStrike")</f>
        <v>Unicorn5HotStrike</v>
      </c>
      <c r="B2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9" s="5" t="str">
        <f ca="1">IFERROR(__xludf.DUMMYFUNCTION("""COMPUTED_VALUE"""),"Yes")</f>
        <v>Yes</v>
      </c>
      <c r="D249" s="5" t="str">
        <f ca="1">IFERROR(__xludf.DUMMYFUNCTION("""COMPUTED_VALUE"""),"Yes")</f>
        <v>Yes</v>
      </c>
      <c r="E249" s="5" t="str">
        <f ca="1">IFERROR(__xludf.DUMMYFUNCTION("""COMPUTED_VALUE"""),"Yes")</f>
        <v>Yes</v>
      </c>
      <c r="F249" s="5" t="str">
        <f ca="1">IFERROR(__xludf.DUMMYFUNCTION("""COMPUTED_VALUE"""),"Yes")</f>
        <v>Yes</v>
      </c>
      <c r="G249" s="5" t="str">
        <f ca="1">IFERROR(__xludf.DUMMYFUNCTION("""COMPUTED_VALUE"""),"Yes")</f>
        <v>Yes</v>
      </c>
      <c r="H249" s="5" t="str">
        <f ca="1">IFERROR(__xludf.DUMMYFUNCTION("""COMPUTED_VALUE"""),"Yes")</f>
        <v>Yes</v>
      </c>
      <c r="I249" s="5" t="str">
        <f ca="1">IFERROR(__xludf.DUMMYFUNCTION("""COMPUTED_VALUE"""),"Yes")</f>
        <v>Yes</v>
      </c>
      <c r="J249" s="5" t="str">
        <f ca="1">IFERROR(__xludf.DUMMYFUNCTION("""COMPUTED_VALUE"""),"Yes")</f>
        <v>Yes</v>
      </c>
      <c r="K249" s="5" t="str">
        <f ca="1">IFERROR(__xludf.DUMMYFUNCTION("""COMPUTED_VALUE"""),"Yes")</f>
        <v>Yes</v>
      </c>
      <c r="L249" s="5" t="str">
        <f ca="1">IFERROR(__xludf.DUMMYFUNCTION("""COMPUTED_VALUE"""),"Yes")</f>
        <v>Yes</v>
      </c>
      <c r="M249" s="5" t="str">
        <f ca="1">IFERROR(__xludf.DUMMYFUNCTION("""COMPUTED_VALUE"""),"Yes")</f>
        <v>Yes</v>
      </c>
      <c r="N249" s="5" t="str">
        <f ca="1">IFERROR(__xludf.DUMMYFUNCTION("""COMPUTED_VALUE"""),"Yes")</f>
        <v>Yes</v>
      </c>
      <c r="O249" s="5" t="str">
        <f ca="1">IFERROR(__xludf.DUMMYFUNCTION("""COMPUTED_VALUE"""),"Yes")</f>
        <v>Yes</v>
      </c>
      <c r="P249" s="5" t="str">
        <f ca="1">IFERROR(__xludf.DUMMYFUNCTION("""COMPUTED_VALUE"""),"Yes")</f>
        <v>Yes</v>
      </c>
      <c r="Q249" s="5" t="str">
        <f ca="1">IFERROR(__xludf.DUMMYFUNCTION("""COMPUTED_VALUE"""),"Yes")</f>
        <v>Yes</v>
      </c>
      <c r="R249" s="5" t="str">
        <f ca="1">IFERROR(__xludf.DUMMYFUNCTION("""COMPUTED_VALUE"""),"Yes")</f>
        <v>Yes</v>
      </c>
      <c r="S249" s="5" t="str">
        <f ca="1">IFERROR(__xludf.DUMMYFUNCTION("""COMPUTED_VALUE"""),"Yes")</f>
        <v>Yes</v>
      </c>
      <c r="T249" s="5" t="str">
        <f ca="1">IFERROR(__xludf.DUMMYFUNCTION("""COMPUTED_VALUE"""),"Yes")</f>
        <v>Yes</v>
      </c>
      <c r="U249" s="5" t="str">
        <f ca="1">IFERROR(__xludf.DUMMYFUNCTION("""COMPUTED_VALUE"""),"Yes")</f>
        <v>Yes</v>
      </c>
      <c r="V249" s="5" t="str">
        <f ca="1">IFERROR(__xludf.DUMMYFUNCTION("""COMPUTED_VALUE"""),"Yes")</f>
        <v>Yes</v>
      </c>
      <c r="W249" s="5"/>
      <c r="X249" s="5"/>
      <c r="Y249" s="5"/>
      <c r="Z249" s="5" t="str">
        <f ca="1">IFERROR(__xludf.DUMMYFUNCTION("""COMPUTED_VALUE"""),"Yes")</f>
        <v>Yes</v>
      </c>
      <c r="AA249" s="5"/>
      <c r="AB249" s="5"/>
      <c r="AC249" s="5"/>
    </row>
    <row r="250" spans="1:29" x14ac:dyDescent="0.25">
      <c r="A250" s="5" t="str">
        <f ca="1">IFERROR(__xludf.DUMMYFUNCTION("""COMPUTED_VALUE"""),"UnicornBikiniFruits")</f>
        <v>UnicornBikiniFruits</v>
      </c>
      <c r="B25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0" s="5" t="str">
        <f ca="1">IFERROR(__xludf.DUMMYFUNCTION("""COMPUTED_VALUE"""),"Yes")</f>
        <v>Yes</v>
      </c>
      <c r="D250" s="5" t="str">
        <f ca="1">IFERROR(__xludf.DUMMYFUNCTION("""COMPUTED_VALUE"""),"Yes")</f>
        <v>Yes</v>
      </c>
      <c r="E250" s="5" t="str">
        <f ca="1">IFERROR(__xludf.DUMMYFUNCTION("""COMPUTED_VALUE"""),"Yes")</f>
        <v>Yes</v>
      </c>
      <c r="F250" s="5" t="str">
        <f ca="1">IFERROR(__xludf.DUMMYFUNCTION("""COMPUTED_VALUE"""),"No")</f>
        <v>No</v>
      </c>
      <c r="G250" s="5" t="str">
        <f ca="1">IFERROR(__xludf.DUMMYFUNCTION("""COMPUTED_VALUE"""),"No")</f>
        <v>No</v>
      </c>
      <c r="H250" s="5" t="str">
        <f ca="1">IFERROR(__xludf.DUMMYFUNCTION("""COMPUTED_VALUE"""),"No")</f>
        <v>No</v>
      </c>
      <c r="I250" s="5" t="str">
        <f ca="1">IFERROR(__xludf.DUMMYFUNCTION("""COMPUTED_VALUE"""),"No")</f>
        <v>No</v>
      </c>
      <c r="J250" s="5" t="str">
        <f ca="1">IFERROR(__xludf.DUMMYFUNCTION("""COMPUTED_VALUE"""),"No")</f>
        <v>No</v>
      </c>
      <c r="K250" s="5" t="str">
        <f ca="1">IFERROR(__xludf.DUMMYFUNCTION("""COMPUTED_VALUE"""),"Yes")</f>
        <v>Yes</v>
      </c>
      <c r="L250" s="5" t="str">
        <f ca="1">IFERROR(__xludf.DUMMYFUNCTION("""COMPUTED_VALUE"""),"Yes")</f>
        <v>Yes</v>
      </c>
      <c r="M250" s="5" t="str">
        <f ca="1">IFERROR(__xludf.DUMMYFUNCTION("""COMPUTED_VALUE"""),"Yes")</f>
        <v>Yes</v>
      </c>
      <c r="N250" s="5" t="str">
        <f ca="1">IFERROR(__xludf.DUMMYFUNCTION("""COMPUTED_VALUE"""),"Yes")</f>
        <v>Yes</v>
      </c>
      <c r="O250" s="5" t="str">
        <f ca="1">IFERROR(__xludf.DUMMYFUNCTION("""COMPUTED_VALUE"""),"Yes")</f>
        <v>Yes</v>
      </c>
      <c r="P250" s="5" t="str">
        <f ca="1">IFERROR(__xludf.DUMMYFUNCTION("""COMPUTED_VALUE"""),"No")</f>
        <v>No</v>
      </c>
      <c r="Q250" s="5" t="str">
        <f ca="1">IFERROR(__xludf.DUMMYFUNCTION("""COMPUTED_VALUE"""),"Yes")</f>
        <v>Yes</v>
      </c>
      <c r="R250" s="5" t="str">
        <f ca="1">IFERROR(__xludf.DUMMYFUNCTION("""COMPUTED_VALUE"""),"No")</f>
        <v>No</v>
      </c>
      <c r="S250" s="5" t="str">
        <f ca="1">IFERROR(__xludf.DUMMYFUNCTION("""COMPUTED_VALUE"""),"No")</f>
        <v>No</v>
      </c>
      <c r="T250" s="5" t="str">
        <f ca="1">IFERROR(__xludf.DUMMYFUNCTION("""COMPUTED_VALUE"""),"No")</f>
        <v>No</v>
      </c>
      <c r="U250" s="5" t="str">
        <f ca="1">IFERROR(__xludf.DUMMYFUNCTION("""COMPUTED_VALUE"""),"No")</f>
        <v>No</v>
      </c>
      <c r="V250" s="5" t="str">
        <f ca="1">IFERROR(__xludf.DUMMYFUNCTION("""COMPUTED_VALUE"""),"No")</f>
        <v>No</v>
      </c>
      <c r="W250" s="5"/>
      <c r="X250" s="5"/>
      <c r="Y250" s="5"/>
      <c r="Z250" s="5" t="str">
        <f ca="1">IFERROR(__xludf.DUMMYFUNCTION("""COMPUTED_VALUE"""),"No")</f>
        <v>No</v>
      </c>
      <c r="AA250" s="5"/>
      <c r="AB250" s="5"/>
      <c r="AC250" s="5"/>
    </row>
    <row r="251" spans="1:29" x14ac:dyDescent="0.25">
      <c r="A251" s="5" t="str">
        <f ca="1">IFERROR(__xludf.DUMMYFUNCTION("""COMPUTED_VALUE"""),"UnicornQueenOfPyramids")</f>
        <v>UnicornQueenOfPyramids</v>
      </c>
      <c r="B25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1" s="5" t="str">
        <f ca="1">IFERROR(__xludf.DUMMYFUNCTION("""COMPUTED_VALUE"""),"Yes")</f>
        <v>Yes</v>
      </c>
      <c r="D251" s="5" t="str">
        <f ca="1">IFERROR(__xludf.DUMMYFUNCTION("""COMPUTED_VALUE"""),"Yes")</f>
        <v>Yes</v>
      </c>
      <c r="E251" s="5" t="str">
        <f ca="1">IFERROR(__xludf.DUMMYFUNCTION("""COMPUTED_VALUE"""),"Yes")</f>
        <v>Yes</v>
      </c>
      <c r="F251" s="5" t="str">
        <f ca="1">IFERROR(__xludf.DUMMYFUNCTION("""COMPUTED_VALUE"""),"No")</f>
        <v>No</v>
      </c>
      <c r="G251" s="5" t="str">
        <f ca="1">IFERROR(__xludf.DUMMYFUNCTION("""COMPUTED_VALUE"""),"No")</f>
        <v>No</v>
      </c>
      <c r="H251" s="5" t="str">
        <f ca="1">IFERROR(__xludf.DUMMYFUNCTION("""COMPUTED_VALUE"""),"No")</f>
        <v>No</v>
      </c>
      <c r="I251" s="5" t="str">
        <f ca="1">IFERROR(__xludf.DUMMYFUNCTION("""COMPUTED_VALUE"""),"No")</f>
        <v>No</v>
      </c>
      <c r="J251" s="5" t="str">
        <f ca="1">IFERROR(__xludf.DUMMYFUNCTION("""COMPUTED_VALUE"""),"No")</f>
        <v>No</v>
      </c>
      <c r="K251" s="5" t="str">
        <f ca="1">IFERROR(__xludf.DUMMYFUNCTION("""COMPUTED_VALUE"""),"Yes")</f>
        <v>Yes</v>
      </c>
      <c r="L251" s="5" t="str">
        <f ca="1">IFERROR(__xludf.DUMMYFUNCTION("""COMPUTED_VALUE"""),"Yes")</f>
        <v>Yes</v>
      </c>
      <c r="M251" s="5" t="str">
        <f ca="1">IFERROR(__xludf.DUMMYFUNCTION("""COMPUTED_VALUE"""),"Yes")</f>
        <v>Yes</v>
      </c>
      <c r="N251" s="5" t="str">
        <f ca="1">IFERROR(__xludf.DUMMYFUNCTION("""COMPUTED_VALUE"""),"Yes")</f>
        <v>Yes</v>
      </c>
      <c r="O251" s="5" t="str">
        <f ca="1">IFERROR(__xludf.DUMMYFUNCTION("""COMPUTED_VALUE"""),"Yes")</f>
        <v>Yes</v>
      </c>
      <c r="P251" s="5" t="str">
        <f ca="1">IFERROR(__xludf.DUMMYFUNCTION("""COMPUTED_VALUE"""),"No")</f>
        <v>No</v>
      </c>
      <c r="Q251" s="5" t="str">
        <f ca="1">IFERROR(__xludf.DUMMYFUNCTION("""COMPUTED_VALUE"""),"Yes")</f>
        <v>Yes</v>
      </c>
      <c r="R251" s="5" t="str">
        <f ca="1">IFERROR(__xludf.DUMMYFUNCTION("""COMPUTED_VALUE"""),"No")</f>
        <v>No</v>
      </c>
      <c r="S251" s="5" t="str">
        <f ca="1">IFERROR(__xludf.DUMMYFUNCTION("""COMPUTED_VALUE"""),"No")</f>
        <v>No</v>
      </c>
      <c r="T251" s="5" t="str">
        <f ca="1">IFERROR(__xludf.DUMMYFUNCTION("""COMPUTED_VALUE"""),"No")</f>
        <v>No</v>
      </c>
      <c r="U251" s="5" t="str">
        <f ca="1">IFERROR(__xludf.DUMMYFUNCTION("""COMPUTED_VALUE"""),"No")</f>
        <v>No</v>
      </c>
      <c r="V251" s="5" t="str">
        <f ca="1">IFERROR(__xludf.DUMMYFUNCTION("""COMPUTED_VALUE"""),"No")</f>
        <v>No</v>
      </c>
      <c r="W251" s="5"/>
      <c r="X251" s="5"/>
      <c r="Y251" s="5"/>
      <c r="Z251" s="5" t="str">
        <f ca="1">IFERROR(__xludf.DUMMYFUNCTION("""COMPUTED_VALUE"""),"No")</f>
        <v>No</v>
      </c>
      <c r="AA251" s="5"/>
      <c r="AB251" s="5"/>
      <c r="AC251" s="5"/>
    </row>
    <row r="252" spans="1:29" x14ac:dyDescent="0.25">
      <c r="A252" s="5" t="str">
        <f ca="1">IFERROR(__xludf.DUMMYFUNCTION("""COMPUTED_VALUE"""),"KettysFashionWorld")</f>
        <v>KettysFashionWorld</v>
      </c>
      <c r="B2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2" s="5" t="str">
        <f ca="1">IFERROR(__xludf.DUMMYFUNCTION("""COMPUTED_VALUE"""),"Yes")</f>
        <v>Yes</v>
      </c>
      <c r="D252" s="5" t="str">
        <f ca="1">IFERROR(__xludf.DUMMYFUNCTION("""COMPUTED_VALUE"""),"Yes")</f>
        <v>Yes</v>
      </c>
      <c r="E252" s="5" t="str">
        <f ca="1">IFERROR(__xludf.DUMMYFUNCTION("""COMPUTED_VALUE"""),"Yes")</f>
        <v>Yes</v>
      </c>
      <c r="F252" s="5" t="str">
        <f ca="1">IFERROR(__xludf.DUMMYFUNCTION("""COMPUTED_VALUE"""),"Yes")</f>
        <v>Yes</v>
      </c>
      <c r="G252" s="5" t="str">
        <f ca="1">IFERROR(__xludf.DUMMYFUNCTION("""COMPUTED_VALUE"""),"Yes")</f>
        <v>Yes</v>
      </c>
      <c r="H252" s="5" t="str">
        <f ca="1">IFERROR(__xludf.DUMMYFUNCTION("""COMPUTED_VALUE"""),"Yes")</f>
        <v>Yes</v>
      </c>
      <c r="I252" s="5" t="str">
        <f ca="1">IFERROR(__xludf.DUMMYFUNCTION("""COMPUTED_VALUE"""),"Yes")</f>
        <v>Yes</v>
      </c>
      <c r="J252" s="5" t="str">
        <f ca="1">IFERROR(__xludf.DUMMYFUNCTION("""COMPUTED_VALUE"""),"Yes")</f>
        <v>Yes</v>
      </c>
      <c r="K252" s="5" t="str">
        <f ca="1">IFERROR(__xludf.DUMMYFUNCTION("""COMPUTED_VALUE"""),"Yes")</f>
        <v>Yes</v>
      </c>
      <c r="L252" s="5" t="str">
        <f ca="1">IFERROR(__xludf.DUMMYFUNCTION("""COMPUTED_VALUE"""),"Yes")</f>
        <v>Yes</v>
      </c>
      <c r="M252" s="5" t="str">
        <f ca="1">IFERROR(__xludf.DUMMYFUNCTION("""COMPUTED_VALUE"""),"Yes")</f>
        <v>Yes</v>
      </c>
      <c r="N252" s="5" t="str">
        <f ca="1">IFERROR(__xludf.DUMMYFUNCTION("""COMPUTED_VALUE"""),"Yes")</f>
        <v>Yes</v>
      </c>
      <c r="O252" s="5" t="str">
        <f ca="1">IFERROR(__xludf.DUMMYFUNCTION("""COMPUTED_VALUE"""),"Yes")</f>
        <v>Yes</v>
      </c>
      <c r="P252" s="5" t="str">
        <f ca="1">IFERROR(__xludf.DUMMYFUNCTION("""COMPUTED_VALUE"""),"Yes")</f>
        <v>Yes</v>
      </c>
      <c r="Q252" s="5" t="str">
        <f ca="1">IFERROR(__xludf.DUMMYFUNCTION("""COMPUTED_VALUE"""),"Yes")</f>
        <v>Yes</v>
      </c>
      <c r="R252" s="5" t="str">
        <f ca="1">IFERROR(__xludf.DUMMYFUNCTION("""COMPUTED_VALUE"""),"Yes")</f>
        <v>Yes</v>
      </c>
      <c r="S252" s="5" t="str">
        <f ca="1">IFERROR(__xludf.DUMMYFUNCTION("""COMPUTED_VALUE"""),"Yes")</f>
        <v>Yes</v>
      </c>
      <c r="T252" s="5" t="str">
        <f ca="1">IFERROR(__xludf.DUMMYFUNCTION("""COMPUTED_VALUE"""),"Yes")</f>
        <v>Yes</v>
      </c>
      <c r="U252" s="5" t="str">
        <f ca="1">IFERROR(__xludf.DUMMYFUNCTION("""COMPUTED_VALUE"""),"Yes")</f>
        <v>Yes</v>
      </c>
      <c r="V252" s="5" t="str">
        <f ca="1">IFERROR(__xludf.DUMMYFUNCTION("""COMPUTED_VALUE"""),"Yes")</f>
        <v>Yes</v>
      </c>
      <c r="W252" s="5" t="str">
        <f ca="1">IFERROR(__xludf.DUMMYFUNCTION("""COMPUTED_VALUE"""),"Yes")</f>
        <v>Yes</v>
      </c>
      <c r="X252" s="5" t="str">
        <f ca="1">IFERROR(__xludf.DUMMYFUNCTION("""COMPUTED_VALUE"""),"Yes")</f>
        <v>Yes</v>
      </c>
      <c r="Y252" s="5" t="str">
        <f ca="1">IFERROR(__xludf.DUMMYFUNCTION("""COMPUTED_VALUE"""),"Yes")</f>
        <v>Yes</v>
      </c>
      <c r="Z252" s="5" t="str">
        <f ca="1">IFERROR(__xludf.DUMMYFUNCTION("""COMPUTED_VALUE"""),"Yes")</f>
        <v>Yes</v>
      </c>
      <c r="AA252" s="5" t="str">
        <f ca="1">IFERROR(__xludf.DUMMYFUNCTION("""COMPUTED_VALUE"""),"Yes")</f>
        <v>Yes</v>
      </c>
      <c r="AB252" s="5" t="str">
        <f ca="1">IFERROR(__xludf.DUMMYFUNCTION("""COMPUTED_VALUE"""),"Yes")</f>
        <v>Yes</v>
      </c>
      <c r="AC252" s="5" t="str">
        <f ca="1">IFERROR(__xludf.DUMMYFUNCTION("""COMPUTED_VALUE"""),"No")</f>
        <v>No</v>
      </c>
    </row>
    <row r="253" spans="1:29" x14ac:dyDescent="0.25">
      <c r="A253" s="5" t="str">
        <f ca="1">IFERROR(__xludf.DUMMYFUNCTION("""COMPUTED_VALUE"""),"RetroFire")</f>
        <v>RetroFire</v>
      </c>
      <c r="B2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3" s="5" t="str">
        <f ca="1">IFERROR(__xludf.DUMMYFUNCTION("""COMPUTED_VALUE"""),"Yes")</f>
        <v>Yes</v>
      </c>
      <c r="D253" s="5" t="str">
        <f ca="1">IFERROR(__xludf.DUMMYFUNCTION("""COMPUTED_VALUE"""),"Yes")</f>
        <v>Yes</v>
      </c>
      <c r="E253" s="5" t="str">
        <f ca="1">IFERROR(__xludf.DUMMYFUNCTION("""COMPUTED_VALUE"""),"Yes")</f>
        <v>Yes</v>
      </c>
      <c r="F253" s="5" t="str">
        <f ca="1">IFERROR(__xludf.DUMMYFUNCTION("""COMPUTED_VALUE"""),"Yes")</f>
        <v>Yes</v>
      </c>
      <c r="G253" s="5" t="str">
        <f ca="1">IFERROR(__xludf.DUMMYFUNCTION("""COMPUTED_VALUE"""),"Yes")</f>
        <v>Yes</v>
      </c>
      <c r="H253" s="5" t="str">
        <f ca="1">IFERROR(__xludf.DUMMYFUNCTION("""COMPUTED_VALUE"""),"Yes")</f>
        <v>Yes</v>
      </c>
      <c r="I253" s="5" t="str">
        <f ca="1">IFERROR(__xludf.DUMMYFUNCTION("""COMPUTED_VALUE"""),"Yes")</f>
        <v>Yes</v>
      </c>
      <c r="J253" s="5" t="str">
        <f ca="1">IFERROR(__xludf.DUMMYFUNCTION("""COMPUTED_VALUE"""),"Yes")</f>
        <v>Yes</v>
      </c>
      <c r="K253" s="5" t="str">
        <f ca="1">IFERROR(__xludf.DUMMYFUNCTION("""COMPUTED_VALUE"""),"Yes")</f>
        <v>Yes</v>
      </c>
      <c r="L253" s="5" t="str">
        <f ca="1">IFERROR(__xludf.DUMMYFUNCTION("""COMPUTED_VALUE"""),"Yes")</f>
        <v>Yes</v>
      </c>
      <c r="M253" s="5" t="str">
        <f ca="1">IFERROR(__xludf.DUMMYFUNCTION("""COMPUTED_VALUE"""),"Yes")</f>
        <v>Yes</v>
      </c>
      <c r="N253" s="5" t="str">
        <f ca="1">IFERROR(__xludf.DUMMYFUNCTION("""COMPUTED_VALUE"""),"Yes")</f>
        <v>Yes</v>
      </c>
      <c r="O253" s="5" t="str">
        <f ca="1">IFERROR(__xludf.DUMMYFUNCTION("""COMPUTED_VALUE"""),"Yes")</f>
        <v>Yes</v>
      </c>
      <c r="P253" s="5" t="str">
        <f ca="1">IFERROR(__xludf.DUMMYFUNCTION("""COMPUTED_VALUE"""),"Yes")</f>
        <v>Yes</v>
      </c>
      <c r="Q253" s="5" t="str">
        <f ca="1">IFERROR(__xludf.DUMMYFUNCTION("""COMPUTED_VALUE"""),"Yes")</f>
        <v>Yes</v>
      </c>
      <c r="R253" s="5" t="str">
        <f ca="1">IFERROR(__xludf.DUMMYFUNCTION("""COMPUTED_VALUE"""),"Yes")</f>
        <v>Yes</v>
      </c>
      <c r="S253" s="5" t="str">
        <f ca="1">IFERROR(__xludf.DUMMYFUNCTION("""COMPUTED_VALUE"""),"Yes")</f>
        <v>Yes</v>
      </c>
      <c r="T253" s="5" t="str">
        <f ca="1">IFERROR(__xludf.DUMMYFUNCTION("""COMPUTED_VALUE"""),"Yes")</f>
        <v>Yes</v>
      </c>
      <c r="U253" s="5" t="str">
        <f ca="1">IFERROR(__xludf.DUMMYFUNCTION("""COMPUTED_VALUE"""),"Yes")</f>
        <v>Yes</v>
      </c>
      <c r="V253" s="5" t="str">
        <f ca="1">IFERROR(__xludf.DUMMYFUNCTION("""COMPUTED_VALUE"""),"Yes")</f>
        <v>Yes</v>
      </c>
      <c r="W253" s="5" t="str">
        <f ca="1">IFERROR(__xludf.DUMMYFUNCTION("""COMPUTED_VALUE"""),"Yes")</f>
        <v>Yes</v>
      </c>
      <c r="X253" s="5" t="str">
        <f ca="1">IFERROR(__xludf.DUMMYFUNCTION("""COMPUTED_VALUE"""),"Yes")</f>
        <v>Yes</v>
      </c>
      <c r="Y253" s="5" t="str">
        <f ca="1">IFERROR(__xludf.DUMMYFUNCTION("""COMPUTED_VALUE"""),"Yes")</f>
        <v>Yes</v>
      </c>
      <c r="Z253" s="5" t="str">
        <f ca="1">IFERROR(__xludf.DUMMYFUNCTION("""COMPUTED_VALUE"""),"Yes")</f>
        <v>Yes</v>
      </c>
      <c r="AA253" s="5" t="str">
        <f ca="1">IFERROR(__xludf.DUMMYFUNCTION("""COMPUTED_VALUE"""),"Yes")</f>
        <v>Yes</v>
      </c>
      <c r="AB253" s="5" t="str">
        <f ca="1">IFERROR(__xludf.DUMMYFUNCTION("""COMPUTED_VALUE"""),"Yes")</f>
        <v>Yes</v>
      </c>
      <c r="AC253" s="5" t="str">
        <f ca="1">IFERROR(__xludf.DUMMYFUNCTION("""COMPUTED_VALUE"""),"No")</f>
        <v>No</v>
      </c>
    </row>
    <row r="254" spans="1:29" x14ac:dyDescent="0.25">
      <c r="A254" s="5" t="str">
        <f ca="1">IFERROR(__xludf.DUMMYFUNCTION("""COMPUTED_VALUE"""),"Money5")</f>
        <v>Money5</v>
      </c>
      <c r="B2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4" s="5" t="str">
        <f ca="1">IFERROR(__xludf.DUMMYFUNCTION("""COMPUTED_VALUE"""),"Yes")</f>
        <v>Yes</v>
      </c>
      <c r="D254" s="5" t="str">
        <f ca="1">IFERROR(__xludf.DUMMYFUNCTION("""COMPUTED_VALUE"""),"Yes")</f>
        <v>Yes</v>
      </c>
      <c r="E254" s="5" t="str">
        <f ca="1">IFERROR(__xludf.DUMMYFUNCTION("""COMPUTED_VALUE"""),"Yes")</f>
        <v>Yes</v>
      </c>
      <c r="F254" s="5" t="str">
        <f ca="1">IFERROR(__xludf.DUMMYFUNCTION("""COMPUTED_VALUE"""),"Yes")</f>
        <v>Yes</v>
      </c>
      <c r="G254" s="5" t="str">
        <f ca="1">IFERROR(__xludf.DUMMYFUNCTION("""COMPUTED_VALUE"""),"Yes")</f>
        <v>Yes</v>
      </c>
      <c r="H254" s="5" t="str">
        <f ca="1">IFERROR(__xludf.DUMMYFUNCTION("""COMPUTED_VALUE"""),"Yes")</f>
        <v>Yes</v>
      </c>
      <c r="I254" s="5" t="str">
        <f ca="1">IFERROR(__xludf.DUMMYFUNCTION("""COMPUTED_VALUE"""),"Yes")</f>
        <v>Yes</v>
      </c>
      <c r="J254" s="5" t="str">
        <f ca="1">IFERROR(__xludf.DUMMYFUNCTION("""COMPUTED_VALUE"""),"Yes")</f>
        <v>Yes</v>
      </c>
      <c r="K254" s="5" t="str">
        <f ca="1">IFERROR(__xludf.DUMMYFUNCTION("""COMPUTED_VALUE"""),"Yes")</f>
        <v>Yes</v>
      </c>
      <c r="L254" s="5" t="str">
        <f ca="1">IFERROR(__xludf.DUMMYFUNCTION("""COMPUTED_VALUE"""),"Yes")</f>
        <v>Yes</v>
      </c>
      <c r="M254" s="5" t="str">
        <f ca="1">IFERROR(__xludf.DUMMYFUNCTION("""COMPUTED_VALUE"""),"Yes")</f>
        <v>Yes</v>
      </c>
      <c r="N254" s="5" t="str">
        <f ca="1">IFERROR(__xludf.DUMMYFUNCTION("""COMPUTED_VALUE"""),"Yes")</f>
        <v>Yes</v>
      </c>
      <c r="O254" s="5" t="str">
        <f ca="1">IFERROR(__xludf.DUMMYFUNCTION("""COMPUTED_VALUE"""),"Yes")</f>
        <v>Yes</v>
      </c>
      <c r="P254" s="5" t="str">
        <f ca="1">IFERROR(__xludf.DUMMYFUNCTION("""COMPUTED_VALUE"""),"Yes")</f>
        <v>Yes</v>
      </c>
      <c r="Q254" s="5" t="str">
        <f ca="1">IFERROR(__xludf.DUMMYFUNCTION("""COMPUTED_VALUE"""),"Yes")</f>
        <v>Yes</v>
      </c>
      <c r="R254" s="5" t="str">
        <f ca="1">IFERROR(__xludf.DUMMYFUNCTION("""COMPUTED_VALUE"""),"Yes")</f>
        <v>Yes</v>
      </c>
      <c r="S254" s="5" t="str">
        <f ca="1">IFERROR(__xludf.DUMMYFUNCTION("""COMPUTED_VALUE"""),"Yes")</f>
        <v>Yes</v>
      </c>
      <c r="T254" s="5" t="str">
        <f ca="1">IFERROR(__xludf.DUMMYFUNCTION("""COMPUTED_VALUE"""),"Yes")</f>
        <v>Yes</v>
      </c>
      <c r="U254" s="5" t="str">
        <f ca="1">IFERROR(__xludf.DUMMYFUNCTION("""COMPUTED_VALUE"""),"Yes")</f>
        <v>Yes</v>
      </c>
      <c r="V254" s="5" t="str">
        <f ca="1">IFERROR(__xludf.DUMMYFUNCTION("""COMPUTED_VALUE"""),"Yes")</f>
        <v>Yes</v>
      </c>
      <c r="W254" s="5" t="str">
        <f ca="1">IFERROR(__xludf.DUMMYFUNCTION("""COMPUTED_VALUE"""),"Yes")</f>
        <v>Yes</v>
      </c>
      <c r="X254" s="5" t="str">
        <f ca="1">IFERROR(__xludf.DUMMYFUNCTION("""COMPUTED_VALUE"""),"Yes")</f>
        <v>Yes</v>
      </c>
      <c r="Y254" s="5" t="str">
        <f ca="1">IFERROR(__xludf.DUMMYFUNCTION("""COMPUTED_VALUE"""),"Yes")</f>
        <v>Yes</v>
      </c>
      <c r="Z254" s="5" t="str">
        <f ca="1">IFERROR(__xludf.DUMMYFUNCTION("""COMPUTED_VALUE"""),"Yes")</f>
        <v>Yes</v>
      </c>
      <c r="AA254" s="5" t="str">
        <f ca="1">IFERROR(__xludf.DUMMYFUNCTION("""COMPUTED_VALUE"""),"Yes")</f>
        <v>Yes</v>
      </c>
      <c r="AB254" s="5" t="str">
        <f ca="1">IFERROR(__xludf.DUMMYFUNCTION("""COMPUTED_VALUE"""),"Yes")</f>
        <v>Yes</v>
      </c>
      <c r="AC254" s="5" t="str">
        <f ca="1">IFERROR(__xludf.DUMMYFUNCTION("""COMPUTED_VALUE"""),"No")</f>
        <v>No</v>
      </c>
    </row>
    <row r="255" spans="1:29" x14ac:dyDescent="0.25">
      <c r="A255" s="5" t="str">
        <f ca="1">IFERROR(__xludf.DUMMYFUNCTION("""COMPUTED_VALUE"""),"BlazingHeat")</f>
        <v>BlazingHeat</v>
      </c>
      <c r="B2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5" s="5" t="str">
        <f ca="1">IFERROR(__xludf.DUMMYFUNCTION("""COMPUTED_VALUE"""),"Yes")</f>
        <v>Yes</v>
      </c>
      <c r="D255" s="5" t="str">
        <f ca="1">IFERROR(__xludf.DUMMYFUNCTION("""COMPUTED_VALUE"""),"Yes")</f>
        <v>Yes</v>
      </c>
      <c r="E255" s="5" t="str">
        <f ca="1">IFERROR(__xludf.DUMMYFUNCTION("""COMPUTED_VALUE"""),"Yes")</f>
        <v>Yes</v>
      </c>
      <c r="F255" s="5" t="str">
        <f ca="1">IFERROR(__xludf.DUMMYFUNCTION("""COMPUTED_VALUE"""),"Yes")</f>
        <v>Yes</v>
      </c>
      <c r="G255" s="5" t="str">
        <f ca="1">IFERROR(__xludf.DUMMYFUNCTION("""COMPUTED_VALUE"""),"Yes")</f>
        <v>Yes</v>
      </c>
      <c r="H255" s="5" t="str">
        <f ca="1">IFERROR(__xludf.DUMMYFUNCTION("""COMPUTED_VALUE"""),"Yes")</f>
        <v>Yes</v>
      </c>
      <c r="I255" s="5" t="str">
        <f ca="1">IFERROR(__xludf.DUMMYFUNCTION("""COMPUTED_VALUE"""),"Yes")</f>
        <v>Yes</v>
      </c>
      <c r="J255" s="5" t="str">
        <f ca="1">IFERROR(__xludf.DUMMYFUNCTION("""COMPUTED_VALUE"""),"Yes")</f>
        <v>Yes</v>
      </c>
      <c r="K255" s="5" t="str">
        <f ca="1">IFERROR(__xludf.DUMMYFUNCTION("""COMPUTED_VALUE"""),"Yes")</f>
        <v>Yes</v>
      </c>
      <c r="L255" s="5" t="str">
        <f ca="1">IFERROR(__xludf.DUMMYFUNCTION("""COMPUTED_VALUE"""),"Yes")</f>
        <v>Yes</v>
      </c>
      <c r="M255" s="5" t="str">
        <f ca="1">IFERROR(__xludf.DUMMYFUNCTION("""COMPUTED_VALUE"""),"Yes")</f>
        <v>Yes</v>
      </c>
      <c r="N255" s="5" t="str">
        <f ca="1">IFERROR(__xludf.DUMMYFUNCTION("""COMPUTED_VALUE"""),"Yes")</f>
        <v>Yes</v>
      </c>
      <c r="O255" s="5" t="str">
        <f ca="1">IFERROR(__xludf.DUMMYFUNCTION("""COMPUTED_VALUE"""),"Yes")</f>
        <v>Yes</v>
      </c>
      <c r="P255" s="5" t="str">
        <f ca="1">IFERROR(__xludf.DUMMYFUNCTION("""COMPUTED_VALUE"""),"Yes")</f>
        <v>Yes</v>
      </c>
      <c r="Q255" s="5" t="str">
        <f ca="1">IFERROR(__xludf.DUMMYFUNCTION("""COMPUTED_VALUE"""),"Yes")</f>
        <v>Yes</v>
      </c>
      <c r="R255" s="5" t="str">
        <f ca="1">IFERROR(__xludf.DUMMYFUNCTION("""COMPUTED_VALUE"""),"Yes")</f>
        <v>Yes</v>
      </c>
      <c r="S255" s="5" t="str">
        <f ca="1">IFERROR(__xludf.DUMMYFUNCTION("""COMPUTED_VALUE"""),"Yes")</f>
        <v>Yes</v>
      </c>
      <c r="T255" s="5" t="str">
        <f ca="1">IFERROR(__xludf.DUMMYFUNCTION("""COMPUTED_VALUE"""),"Yes")</f>
        <v>Yes</v>
      </c>
      <c r="U255" s="5" t="str">
        <f ca="1">IFERROR(__xludf.DUMMYFUNCTION("""COMPUTED_VALUE"""),"Yes")</f>
        <v>Yes</v>
      </c>
      <c r="V255" s="5" t="str">
        <f ca="1">IFERROR(__xludf.DUMMYFUNCTION("""COMPUTED_VALUE"""),"Yes")</f>
        <v>Yes</v>
      </c>
      <c r="W255" s="5" t="str">
        <f ca="1">IFERROR(__xludf.DUMMYFUNCTION("""COMPUTED_VALUE"""),"Yes")</f>
        <v>Yes</v>
      </c>
      <c r="X255" s="5" t="str">
        <f ca="1">IFERROR(__xludf.DUMMYFUNCTION("""COMPUTED_VALUE"""),"Yes")</f>
        <v>Yes</v>
      </c>
      <c r="Y255" s="5" t="str">
        <f ca="1">IFERROR(__xludf.DUMMYFUNCTION("""COMPUTED_VALUE"""),"Yes")</f>
        <v>Yes</v>
      </c>
      <c r="Z255" s="5" t="str">
        <f ca="1">IFERROR(__xludf.DUMMYFUNCTION("""COMPUTED_VALUE"""),"Yes")</f>
        <v>Yes</v>
      </c>
      <c r="AA255" s="5" t="str">
        <f ca="1">IFERROR(__xludf.DUMMYFUNCTION("""COMPUTED_VALUE"""),"Yes")</f>
        <v>Yes</v>
      </c>
      <c r="AB255" s="5" t="str">
        <f ca="1">IFERROR(__xludf.DUMMYFUNCTION("""COMPUTED_VALUE"""),"Yes")</f>
        <v>Yes</v>
      </c>
      <c r="AC255" s="5"/>
    </row>
    <row r="256" spans="1:29" x14ac:dyDescent="0.25">
      <c r="A256" s="5" t="str">
        <f ca="1">IFERROR(__xludf.DUMMYFUNCTION("""COMPUTED_VALUE"""),"UnicornFireStars")</f>
        <v>UnicornFireStars</v>
      </c>
      <c r="B256" s="5" t="str">
        <f ca="1">IFERROR(__xludf.DUMMYFUNCTION("""COMPUTED_VALUE"""),"English(""eng"")")</f>
        <v>English("eng")</v>
      </c>
      <c r="C256" s="5" t="str">
        <f ca="1">IFERROR(__xludf.DUMMYFUNCTION("""COMPUTED_VALUE"""),"Yes")</f>
        <v>Yes</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spans="1:29" x14ac:dyDescent="0.25">
      <c r="A257" s="5" t="str">
        <f ca="1">IFERROR(__xludf.DUMMYFUNCTION("""COMPUTED_VALUE"""),"Unicorn20HotStrikeDice")</f>
        <v>Unicorn20HotStrikeDice</v>
      </c>
      <c r="B25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7" s="5" t="str">
        <f ca="1">IFERROR(__xludf.DUMMYFUNCTION("""COMPUTED_VALUE"""),"Yes")</f>
        <v>Yes</v>
      </c>
      <c r="D257" s="5" t="str">
        <f ca="1">IFERROR(__xludf.DUMMYFUNCTION("""COMPUTED_VALUE"""),"Yes")</f>
        <v>Yes</v>
      </c>
      <c r="E257" s="5" t="str">
        <f ca="1">IFERROR(__xludf.DUMMYFUNCTION("""COMPUTED_VALUE"""),"Yes")</f>
        <v>Yes</v>
      </c>
      <c r="F257" s="5" t="str">
        <f ca="1">IFERROR(__xludf.DUMMYFUNCTION("""COMPUTED_VALUE"""),"No")</f>
        <v>No</v>
      </c>
      <c r="G257" s="5" t="str">
        <f ca="1">IFERROR(__xludf.DUMMYFUNCTION("""COMPUTED_VALUE"""),"No")</f>
        <v>No</v>
      </c>
      <c r="H257" s="5" t="str">
        <f ca="1">IFERROR(__xludf.DUMMYFUNCTION("""COMPUTED_VALUE"""),"No")</f>
        <v>No</v>
      </c>
      <c r="I257" s="5" t="str">
        <f ca="1">IFERROR(__xludf.DUMMYFUNCTION("""COMPUTED_VALUE"""),"No")</f>
        <v>No</v>
      </c>
      <c r="J257" s="5" t="str">
        <f ca="1">IFERROR(__xludf.DUMMYFUNCTION("""COMPUTED_VALUE"""),"No")</f>
        <v>No</v>
      </c>
      <c r="K257" s="5" t="str">
        <f ca="1">IFERROR(__xludf.DUMMYFUNCTION("""COMPUTED_VALUE"""),"Yes")</f>
        <v>Yes</v>
      </c>
      <c r="L257" s="5" t="str">
        <f ca="1">IFERROR(__xludf.DUMMYFUNCTION("""COMPUTED_VALUE"""),"Yes")</f>
        <v>Yes</v>
      </c>
      <c r="M257" s="5" t="str">
        <f ca="1">IFERROR(__xludf.DUMMYFUNCTION("""COMPUTED_VALUE"""),"Yes")</f>
        <v>Yes</v>
      </c>
      <c r="N257" s="5" t="str">
        <f ca="1">IFERROR(__xludf.DUMMYFUNCTION("""COMPUTED_VALUE"""),"Yes")</f>
        <v>Yes</v>
      </c>
      <c r="O257" s="5" t="str">
        <f ca="1">IFERROR(__xludf.DUMMYFUNCTION("""COMPUTED_VALUE"""),"Yes")</f>
        <v>Yes</v>
      </c>
      <c r="P257" s="5" t="str">
        <f ca="1">IFERROR(__xludf.DUMMYFUNCTION("""COMPUTED_VALUE"""),"No")</f>
        <v>No</v>
      </c>
      <c r="Q257" s="5" t="str">
        <f ca="1">IFERROR(__xludf.DUMMYFUNCTION("""COMPUTED_VALUE"""),"Yes")</f>
        <v>Yes</v>
      </c>
      <c r="R257" s="5" t="str">
        <f ca="1">IFERROR(__xludf.DUMMYFUNCTION("""COMPUTED_VALUE"""),"No")</f>
        <v>No</v>
      </c>
      <c r="S257" s="5" t="str">
        <f ca="1">IFERROR(__xludf.DUMMYFUNCTION("""COMPUTED_VALUE"""),"No")</f>
        <v>No</v>
      </c>
      <c r="T257" s="5" t="str">
        <f ca="1">IFERROR(__xludf.DUMMYFUNCTION("""COMPUTED_VALUE"""),"No")</f>
        <v>No</v>
      </c>
      <c r="U257" s="5" t="str">
        <f ca="1">IFERROR(__xludf.DUMMYFUNCTION("""COMPUTED_VALUE"""),"No")</f>
        <v>No</v>
      </c>
      <c r="V257" s="5"/>
      <c r="W257" s="5"/>
      <c r="X257" s="5"/>
      <c r="Y257" s="5"/>
      <c r="Z257" s="5" t="str">
        <f ca="1">IFERROR(__xludf.DUMMYFUNCTION("""COMPUTED_VALUE"""),"No")</f>
        <v>No</v>
      </c>
      <c r="AA257" s="5"/>
      <c r="AB257" s="5"/>
      <c r="AC257" s="5"/>
    </row>
    <row r="258" spans="1:29" x14ac:dyDescent="0.25">
      <c r="A258" s="5" t="str">
        <f ca="1">IFERROR(__xludf.DUMMYFUNCTION("""COMPUTED_VALUE"""),"UnicornBikiniDice")</f>
        <v>UnicornBikiniDice</v>
      </c>
      <c r="B25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8" s="5" t="str">
        <f ca="1">IFERROR(__xludf.DUMMYFUNCTION("""COMPUTED_VALUE"""),"Yes")</f>
        <v>Yes</v>
      </c>
      <c r="D258" s="5" t="str">
        <f ca="1">IFERROR(__xludf.DUMMYFUNCTION("""COMPUTED_VALUE"""),"Yes")</f>
        <v>Yes</v>
      </c>
      <c r="E258" s="5" t="str">
        <f ca="1">IFERROR(__xludf.DUMMYFUNCTION("""COMPUTED_VALUE"""),"Yes")</f>
        <v>Yes</v>
      </c>
      <c r="F258" s="5" t="str">
        <f ca="1">IFERROR(__xludf.DUMMYFUNCTION("""COMPUTED_VALUE"""),"No")</f>
        <v>No</v>
      </c>
      <c r="G258" s="5" t="str">
        <f ca="1">IFERROR(__xludf.DUMMYFUNCTION("""COMPUTED_VALUE"""),"No")</f>
        <v>No</v>
      </c>
      <c r="H258" s="5" t="str">
        <f ca="1">IFERROR(__xludf.DUMMYFUNCTION("""COMPUTED_VALUE"""),"No")</f>
        <v>No</v>
      </c>
      <c r="I258" s="5" t="str">
        <f ca="1">IFERROR(__xludf.DUMMYFUNCTION("""COMPUTED_VALUE"""),"No")</f>
        <v>No</v>
      </c>
      <c r="J258" s="5" t="str">
        <f ca="1">IFERROR(__xludf.DUMMYFUNCTION("""COMPUTED_VALUE"""),"No")</f>
        <v>No</v>
      </c>
      <c r="K258" s="5" t="str">
        <f ca="1">IFERROR(__xludf.DUMMYFUNCTION("""COMPUTED_VALUE"""),"Yes")</f>
        <v>Yes</v>
      </c>
      <c r="L258" s="5" t="str">
        <f ca="1">IFERROR(__xludf.DUMMYFUNCTION("""COMPUTED_VALUE"""),"Yes")</f>
        <v>Yes</v>
      </c>
      <c r="M258" s="5" t="str">
        <f ca="1">IFERROR(__xludf.DUMMYFUNCTION("""COMPUTED_VALUE"""),"Yes")</f>
        <v>Yes</v>
      </c>
      <c r="N258" s="5" t="str">
        <f ca="1">IFERROR(__xludf.DUMMYFUNCTION("""COMPUTED_VALUE"""),"Yes")</f>
        <v>Yes</v>
      </c>
      <c r="O258" s="5" t="str">
        <f ca="1">IFERROR(__xludf.DUMMYFUNCTION("""COMPUTED_VALUE"""),"Yes")</f>
        <v>Yes</v>
      </c>
      <c r="P258" s="5" t="str">
        <f ca="1">IFERROR(__xludf.DUMMYFUNCTION("""COMPUTED_VALUE"""),"No")</f>
        <v>No</v>
      </c>
      <c r="Q258" s="5" t="str">
        <f ca="1">IFERROR(__xludf.DUMMYFUNCTION("""COMPUTED_VALUE"""),"Yes")</f>
        <v>Yes</v>
      </c>
      <c r="R258" s="5" t="str">
        <f ca="1">IFERROR(__xludf.DUMMYFUNCTION("""COMPUTED_VALUE"""),"No")</f>
        <v>No</v>
      </c>
      <c r="S258" s="5" t="str">
        <f ca="1">IFERROR(__xludf.DUMMYFUNCTION("""COMPUTED_VALUE"""),"No")</f>
        <v>No</v>
      </c>
      <c r="T258" s="5" t="str">
        <f ca="1">IFERROR(__xludf.DUMMYFUNCTION("""COMPUTED_VALUE"""),"No")</f>
        <v>No</v>
      </c>
      <c r="U258" s="5" t="str">
        <f ca="1">IFERROR(__xludf.DUMMYFUNCTION("""COMPUTED_VALUE"""),"No")</f>
        <v>No</v>
      </c>
      <c r="V258" s="5"/>
      <c r="W258" s="5"/>
      <c r="X258" s="5"/>
      <c r="Y258" s="5"/>
      <c r="Z258" s="5" t="str">
        <f ca="1">IFERROR(__xludf.DUMMYFUNCTION("""COMPUTED_VALUE"""),"No")</f>
        <v>No</v>
      </c>
      <c r="AA258" s="5"/>
      <c r="AB258" s="5"/>
      <c r="AC258" s="5"/>
    </row>
    <row r="259" spans="1:29" x14ac:dyDescent="0.25">
      <c r="A259" s="5" t="str">
        <f ca="1">IFERROR(__xludf.DUMMYFUNCTION("""COMPUTED_VALUE"""),"HotHotStereoWin")</f>
        <v>HotHotStereoWin</v>
      </c>
      <c r="B25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9" s="5" t="str">
        <f ca="1">IFERROR(__xludf.DUMMYFUNCTION("""COMPUTED_VALUE"""),"Yes")</f>
        <v>Yes</v>
      </c>
      <c r="D259" s="5" t="str">
        <f ca="1">IFERROR(__xludf.DUMMYFUNCTION("""COMPUTED_VALUE"""),"Yes")</f>
        <v>Yes</v>
      </c>
      <c r="E259" s="5" t="str">
        <f ca="1">IFERROR(__xludf.DUMMYFUNCTION("""COMPUTED_VALUE"""),"Yes")</f>
        <v>Yes</v>
      </c>
      <c r="F259" s="5" t="str">
        <f ca="1">IFERROR(__xludf.DUMMYFUNCTION("""COMPUTED_VALUE"""),"No")</f>
        <v>No</v>
      </c>
      <c r="G259" s="5" t="str">
        <f ca="1">IFERROR(__xludf.DUMMYFUNCTION("""COMPUTED_VALUE"""),"No")</f>
        <v>No</v>
      </c>
      <c r="H259" s="5" t="str">
        <f ca="1">IFERROR(__xludf.DUMMYFUNCTION("""COMPUTED_VALUE"""),"No")</f>
        <v>No</v>
      </c>
      <c r="I259" s="5" t="str">
        <f ca="1">IFERROR(__xludf.DUMMYFUNCTION("""COMPUTED_VALUE"""),"No")</f>
        <v>No</v>
      </c>
      <c r="J259" s="5" t="str">
        <f ca="1">IFERROR(__xludf.DUMMYFUNCTION("""COMPUTED_VALUE"""),"No")</f>
        <v>No</v>
      </c>
      <c r="K259" s="5" t="str">
        <f ca="1">IFERROR(__xludf.DUMMYFUNCTION("""COMPUTED_VALUE"""),"Yes")</f>
        <v>Yes</v>
      </c>
      <c r="L259" s="5" t="str">
        <f ca="1">IFERROR(__xludf.DUMMYFUNCTION("""COMPUTED_VALUE"""),"Yes")</f>
        <v>Yes</v>
      </c>
      <c r="M259" s="5" t="str">
        <f ca="1">IFERROR(__xludf.DUMMYFUNCTION("""COMPUTED_VALUE"""),"Yes")</f>
        <v>Yes</v>
      </c>
      <c r="N259" s="5" t="str">
        <f ca="1">IFERROR(__xludf.DUMMYFUNCTION("""COMPUTED_VALUE"""),"Yes")</f>
        <v>Yes</v>
      </c>
      <c r="O259" s="5" t="str">
        <f ca="1">IFERROR(__xludf.DUMMYFUNCTION("""COMPUTED_VALUE"""),"Yes")</f>
        <v>Yes</v>
      </c>
      <c r="P259" s="5" t="str">
        <f ca="1">IFERROR(__xludf.DUMMYFUNCTION("""COMPUTED_VALUE"""),"No")</f>
        <v>No</v>
      </c>
      <c r="Q259" s="5" t="str">
        <f ca="1">IFERROR(__xludf.DUMMYFUNCTION("""COMPUTED_VALUE"""),"Yes")</f>
        <v>Yes</v>
      </c>
      <c r="R259" s="5" t="str">
        <f ca="1">IFERROR(__xludf.DUMMYFUNCTION("""COMPUTED_VALUE"""),"No")</f>
        <v>No</v>
      </c>
      <c r="S259" s="5" t="str">
        <f ca="1">IFERROR(__xludf.DUMMYFUNCTION("""COMPUTED_VALUE"""),"No")</f>
        <v>No</v>
      </c>
      <c r="T259" s="5" t="str">
        <f ca="1">IFERROR(__xludf.DUMMYFUNCTION("""COMPUTED_VALUE"""),"No")</f>
        <v>No</v>
      </c>
      <c r="U259" s="5" t="str">
        <f ca="1">IFERROR(__xludf.DUMMYFUNCTION("""COMPUTED_VALUE"""),"No")</f>
        <v>No</v>
      </c>
      <c r="V259" s="5"/>
      <c r="W259" s="5"/>
      <c r="X259" s="5"/>
      <c r="Y259" s="5"/>
      <c r="Z259" s="5" t="str">
        <f ca="1">IFERROR(__xludf.DUMMYFUNCTION("""COMPUTED_VALUE"""),"No")</f>
        <v>No</v>
      </c>
      <c r="AA259" s="5"/>
      <c r="AB259" s="5"/>
      <c r="AC259" s="5"/>
    </row>
    <row r="260" spans="1:29" x14ac:dyDescent="0.25">
      <c r="A260" s="5" t="str">
        <f ca="1">IFERROR(__xludf.DUMMYFUNCTION("""COMPUTED_VALUE"""),"EpicCrown5")</f>
        <v>EpicCrown5</v>
      </c>
      <c r="B2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0" s="5" t="str">
        <f ca="1">IFERROR(__xludf.DUMMYFUNCTION("""COMPUTED_VALUE"""),"Yes")</f>
        <v>Yes</v>
      </c>
      <c r="D260" s="5" t="str">
        <f ca="1">IFERROR(__xludf.DUMMYFUNCTION("""COMPUTED_VALUE"""),"Yes")</f>
        <v>Yes</v>
      </c>
      <c r="E260" s="5" t="str">
        <f ca="1">IFERROR(__xludf.DUMMYFUNCTION("""COMPUTED_VALUE"""),"Yes")</f>
        <v>Yes</v>
      </c>
      <c r="F260" s="5" t="str">
        <f ca="1">IFERROR(__xludf.DUMMYFUNCTION("""COMPUTED_VALUE"""),"Yes")</f>
        <v>Yes</v>
      </c>
      <c r="G260" s="5" t="str">
        <f ca="1">IFERROR(__xludf.DUMMYFUNCTION("""COMPUTED_VALUE"""),"Yes")</f>
        <v>Yes</v>
      </c>
      <c r="H260" s="5" t="str">
        <f ca="1">IFERROR(__xludf.DUMMYFUNCTION("""COMPUTED_VALUE"""),"Yes")</f>
        <v>Yes</v>
      </c>
      <c r="I260" s="5" t="str">
        <f ca="1">IFERROR(__xludf.DUMMYFUNCTION("""COMPUTED_VALUE"""),"Yes")</f>
        <v>Yes</v>
      </c>
      <c r="J260" s="5" t="str">
        <f ca="1">IFERROR(__xludf.DUMMYFUNCTION("""COMPUTED_VALUE"""),"Yes")</f>
        <v>Yes</v>
      </c>
      <c r="K260" s="5" t="str">
        <f ca="1">IFERROR(__xludf.DUMMYFUNCTION("""COMPUTED_VALUE"""),"Yes")</f>
        <v>Yes</v>
      </c>
      <c r="L260" s="5" t="str">
        <f ca="1">IFERROR(__xludf.DUMMYFUNCTION("""COMPUTED_VALUE"""),"Yes")</f>
        <v>Yes</v>
      </c>
      <c r="M260" s="5" t="str">
        <f ca="1">IFERROR(__xludf.DUMMYFUNCTION("""COMPUTED_VALUE"""),"Yes")</f>
        <v>Yes</v>
      </c>
      <c r="N260" s="5" t="str">
        <f ca="1">IFERROR(__xludf.DUMMYFUNCTION("""COMPUTED_VALUE"""),"Yes")</f>
        <v>Yes</v>
      </c>
      <c r="O260" s="5" t="str">
        <f ca="1">IFERROR(__xludf.DUMMYFUNCTION("""COMPUTED_VALUE"""),"Yes")</f>
        <v>Yes</v>
      </c>
      <c r="P260" s="5" t="str">
        <f ca="1">IFERROR(__xludf.DUMMYFUNCTION("""COMPUTED_VALUE"""),"Yes")</f>
        <v>Yes</v>
      </c>
      <c r="Q260" s="5" t="str">
        <f ca="1">IFERROR(__xludf.DUMMYFUNCTION("""COMPUTED_VALUE"""),"Yes")</f>
        <v>Yes</v>
      </c>
      <c r="R260" s="5" t="str">
        <f ca="1">IFERROR(__xludf.DUMMYFUNCTION("""COMPUTED_VALUE"""),"Yes")</f>
        <v>Yes</v>
      </c>
      <c r="S260" s="5" t="str">
        <f ca="1">IFERROR(__xludf.DUMMYFUNCTION("""COMPUTED_VALUE"""),"Yes")</f>
        <v>Yes</v>
      </c>
      <c r="T260" s="5" t="str">
        <f ca="1">IFERROR(__xludf.DUMMYFUNCTION("""COMPUTED_VALUE"""),"Yes")</f>
        <v>Yes</v>
      </c>
      <c r="U260" s="5" t="str">
        <f ca="1">IFERROR(__xludf.DUMMYFUNCTION("""COMPUTED_VALUE"""),"Yes")</f>
        <v>Yes</v>
      </c>
      <c r="V260" s="5" t="str">
        <f ca="1">IFERROR(__xludf.DUMMYFUNCTION("""COMPUTED_VALUE"""),"Yes")</f>
        <v>Yes</v>
      </c>
      <c r="W260" s="5" t="str">
        <f ca="1">IFERROR(__xludf.DUMMYFUNCTION("""COMPUTED_VALUE"""),"Yes")</f>
        <v>Yes</v>
      </c>
      <c r="X260" s="5" t="str">
        <f ca="1">IFERROR(__xludf.DUMMYFUNCTION("""COMPUTED_VALUE"""),"Yes")</f>
        <v>Yes</v>
      </c>
      <c r="Y260" s="5" t="str">
        <f ca="1">IFERROR(__xludf.DUMMYFUNCTION("""COMPUTED_VALUE"""),"Yes")</f>
        <v>Yes</v>
      </c>
      <c r="Z260" s="5" t="str">
        <f ca="1">IFERROR(__xludf.DUMMYFUNCTION("""COMPUTED_VALUE"""),"Yes")</f>
        <v>Yes</v>
      </c>
      <c r="AA260" s="5" t="str">
        <f ca="1">IFERROR(__xludf.DUMMYFUNCTION("""COMPUTED_VALUE"""),"Yes")</f>
        <v>Yes</v>
      </c>
      <c r="AB260" s="5" t="str">
        <f ca="1">IFERROR(__xludf.DUMMYFUNCTION("""COMPUTED_VALUE"""),"Yes")</f>
        <v>Yes</v>
      </c>
      <c r="AC260" s="5" t="str">
        <f ca="1">IFERROR(__xludf.DUMMYFUNCTION("""COMPUTED_VALUE"""),"No")</f>
        <v>No</v>
      </c>
    </row>
    <row r="261" spans="1:29" x14ac:dyDescent="0.25">
      <c r="A261" s="5" t="str">
        <f ca="1">IFERROR(__xludf.DUMMYFUNCTION("""COMPUTED_VALUE"""),"UnicornSimplySevens")</f>
        <v>UnicornSimplySevens</v>
      </c>
      <c r="B2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1" s="5" t="str">
        <f ca="1">IFERROR(__xludf.DUMMYFUNCTION("""COMPUTED_VALUE"""),"Yes")</f>
        <v>Yes</v>
      </c>
      <c r="D261" s="5" t="str">
        <f ca="1">IFERROR(__xludf.DUMMYFUNCTION("""COMPUTED_VALUE"""),"Yes")</f>
        <v>Yes</v>
      </c>
      <c r="E261" s="5" t="str">
        <f ca="1">IFERROR(__xludf.DUMMYFUNCTION("""COMPUTED_VALUE"""),"Yes")</f>
        <v>Yes</v>
      </c>
      <c r="F261" s="5" t="str">
        <f ca="1">IFERROR(__xludf.DUMMYFUNCTION("""COMPUTED_VALUE"""),"Yes")</f>
        <v>Yes</v>
      </c>
      <c r="G261" s="5" t="str">
        <f ca="1">IFERROR(__xludf.DUMMYFUNCTION("""COMPUTED_VALUE"""),"Yes")</f>
        <v>Yes</v>
      </c>
      <c r="H261" s="5" t="str">
        <f ca="1">IFERROR(__xludf.DUMMYFUNCTION("""COMPUTED_VALUE"""),"Yes")</f>
        <v>Yes</v>
      </c>
      <c r="I261" s="5" t="str">
        <f ca="1">IFERROR(__xludf.DUMMYFUNCTION("""COMPUTED_VALUE"""),"Yes")</f>
        <v>Yes</v>
      </c>
      <c r="J261" s="5" t="str">
        <f ca="1">IFERROR(__xludf.DUMMYFUNCTION("""COMPUTED_VALUE"""),"Yes")</f>
        <v>Yes</v>
      </c>
      <c r="K261" s="5" t="str">
        <f ca="1">IFERROR(__xludf.DUMMYFUNCTION("""COMPUTED_VALUE"""),"Yes")</f>
        <v>Yes</v>
      </c>
      <c r="L261" s="5" t="str">
        <f ca="1">IFERROR(__xludf.DUMMYFUNCTION("""COMPUTED_VALUE"""),"Yes")</f>
        <v>Yes</v>
      </c>
      <c r="M261" s="5" t="str">
        <f ca="1">IFERROR(__xludf.DUMMYFUNCTION("""COMPUTED_VALUE"""),"Yes")</f>
        <v>Yes</v>
      </c>
      <c r="N261" s="5" t="str">
        <f ca="1">IFERROR(__xludf.DUMMYFUNCTION("""COMPUTED_VALUE"""),"Yes")</f>
        <v>Yes</v>
      </c>
      <c r="O261" s="5" t="str">
        <f ca="1">IFERROR(__xludf.DUMMYFUNCTION("""COMPUTED_VALUE"""),"Yes")</f>
        <v>Yes</v>
      </c>
      <c r="P261" s="5" t="str">
        <f ca="1">IFERROR(__xludf.DUMMYFUNCTION("""COMPUTED_VALUE"""),"Yes")</f>
        <v>Yes</v>
      </c>
      <c r="Q261" s="5" t="str">
        <f ca="1">IFERROR(__xludf.DUMMYFUNCTION("""COMPUTED_VALUE"""),"Yes")</f>
        <v>Yes</v>
      </c>
      <c r="R261" s="5" t="str">
        <f ca="1">IFERROR(__xludf.DUMMYFUNCTION("""COMPUTED_VALUE"""),"Yes")</f>
        <v>Yes</v>
      </c>
      <c r="S261" s="5" t="str">
        <f ca="1">IFERROR(__xludf.DUMMYFUNCTION("""COMPUTED_VALUE"""),"Yes")</f>
        <v>Yes</v>
      </c>
      <c r="T261" s="5" t="str">
        <f ca="1">IFERROR(__xludf.DUMMYFUNCTION("""COMPUTED_VALUE"""),"Yes")</f>
        <v>Yes</v>
      </c>
      <c r="U261" s="5" t="str">
        <f ca="1">IFERROR(__xludf.DUMMYFUNCTION("""COMPUTED_VALUE"""),"Yes")</f>
        <v>Yes</v>
      </c>
      <c r="V261" s="5"/>
      <c r="W261" s="5" t="str">
        <f ca="1">IFERROR(__xludf.DUMMYFUNCTION("""COMPUTED_VALUE"""),"Yes")</f>
        <v>Yes</v>
      </c>
      <c r="X261" s="5" t="str">
        <f ca="1">IFERROR(__xludf.DUMMYFUNCTION("""COMPUTED_VALUE"""),"Yes")</f>
        <v>Yes</v>
      </c>
      <c r="Y261" s="5" t="str">
        <f ca="1">IFERROR(__xludf.DUMMYFUNCTION("""COMPUTED_VALUE"""),"Yes")</f>
        <v>Yes</v>
      </c>
      <c r="Z261" s="5" t="str">
        <f ca="1">IFERROR(__xludf.DUMMYFUNCTION("""COMPUTED_VALUE"""),"Yes")</f>
        <v>Yes</v>
      </c>
      <c r="AA261" s="5" t="str">
        <f ca="1">IFERROR(__xludf.DUMMYFUNCTION("""COMPUTED_VALUE"""),"Yes")</f>
        <v>Yes</v>
      </c>
      <c r="AB261" s="5" t="str">
        <f ca="1">IFERROR(__xludf.DUMMYFUNCTION("""COMPUTED_VALUE"""),"Yes")</f>
        <v>Yes</v>
      </c>
      <c r="AC261" s="5"/>
    </row>
    <row r="262" spans="1:29" x14ac:dyDescent="0.25">
      <c r="A262" s="5" t="str">
        <f ca="1">IFERROR(__xludf.DUMMYFUNCTION("""COMPUTED_VALUE"""),"DeadNight")</f>
        <v>DeadNight</v>
      </c>
      <c r="B2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2" s="5" t="str">
        <f ca="1">IFERROR(__xludf.DUMMYFUNCTION("""COMPUTED_VALUE"""),"Yes")</f>
        <v>Yes</v>
      </c>
      <c r="D262" s="5" t="str">
        <f ca="1">IFERROR(__xludf.DUMMYFUNCTION("""COMPUTED_VALUE"""),"Yes")</f>
        <v>Yes</v>
      </c>
      <c r="E262" s="5" t="str">
        <f ca="1">IFERROR(__xludf.DUMMYFUNCTION("""COMPUTED_VALUE"""),"Yes")</f>
        <v>Yes</v>
      </c>
      <c r="F262" s="5" t="str">
        <f ca="1">IFERROR(__xludf.DUMMYFUNCTION("""COMPUTED_VALUE"""),"Yes")</f>
        <v>Yes</v>
      </c>
      <c r="G262" s="5" t="str">
        <f ca="1">IFERROR(__xludf.DUMMYFUNCTION("""COMPUTED_VALUE"""),"Yes")</f>
        <v>Yes</v>
      </c>
      <c r="H262" s="5" t="str">
        <f ca="1">IFERROR(__xludf.DUMMYFUNCTION("""COMPUTED_VALUE"""),"Yes")</f>
        <v>Yes</v>
      </c>
      <c r="I262" s="5" t="str">
        <f ca="1">IFERROR(__xludf.DUMMYFUNCTION("""COMPUTED_VALUE"""),"Yes")</f>
        <v>Yes</v>
      </c>
      <c r="J262" s="5" t="str">
        <f ca="1">IFERROR(__xludf.DUMMYFUNCTION("""COMPUTED_VALUE"""),"Yes")</f>
        <v>Yes</v>
      </c>
      <c r="K262" s="5" t="str">
        <f ca="1">IFERROR(__xludf.DUMMYFUNCTION("""COMPUTED_VALUE"""),"Yes")</f>
        <v>Yes</v>
      </c>
      <c r="L262" s="5" t="str">
        <f ca="1">IFERROR(__xludf.DUMMYFUNCTION("""COMPUTED_VALUE"""),"Yes")</f>
        <v>Yes</v>
      </c>
      <c r="M262" s="5" t="str">
        <f ca="1">IFERROR(__xludf.DUMMYFUNCTION("""COMPUTED_VALUE"""),"Yes")</f>
        <v>Yes</v>
      </c>
      <c r="N262" s="5" t="str">
        <f ca="1">IFERROR(__xludf.DUMMYFUNCTION("""COMPUTED_VALUE"""),"Yes")</f>
        <v>Yes</v>
      </c>
      <c r="O262" s="5" t="str">
        <f ca="1">IFERROR(__xludf.DUMMYFUNCTION("""COMPUTED_VALUE"""),"Yes")</f>
        <v>Yes</v>
      </c>
      <c r="P262" s="5" t="str">
        <f ca="1">IFERROR(__xludf.DUMMYFUNCTION("""COMPUTED_VALUE"""),"Yes")</f>
        <v>Yes</v>
      </c>
      <c r="Q262" s="5" t="str">
        <f ca="1">IFERROR(__xludf.DUMMYFUNCTION("""COMPUTED_VALUE"""),"Yes")</f>
        <v>Yes</v>
      </c>
      <c r="R262" s="5" t="str">
        <f ca="1">IFERROR(__xludf.DUMMYFUNCTION("""COMPUTED_VALUE"""),"Yes")</f>
        <v>Yes</v>
      </c>
      <c r="S262" s="5" t="str">
        <f ca="1">IFERROR(__xludf.DUMMYFUNCTION("""COMPUTED_VALUE"""),"Yes")</f>
        <v>Yes</v>
      </c>
      <c r="T262" s="5" t="str">
        <f ca="1">IFERROR(__xludf.DUMMYFUNCTION("""COMPUTED_VALUE"""),"Yes")</f>
        <v>Yes</v>
      </c>
      <c r="U262" s="5" t="str">
        <f ca="1">IFERROR(__xludf.DUMMYFUNCTION("""COMPUTED_VALUE"""),"Yes")</f>
        <v>Yes</v>
      </c>
      <c r="V262" s="5" t="str">
        <f ca="1">IFERROR(__xludf.DUMMYFUNCTION("""COMPUTED_VALUE"""),"Yes")</f>
        <v>Yes</v>
      </c>
      <c r="W262" s="5" t="str">
        <f ca="1">IFERROR(__xludf.DUMMYFUNCTION("""COMPUTED_VALUE"""),"Yes")</f>
        <v>Yes</v>
      </c>
      <c r="X262" s="5" t="str">
        <f ca="1">IFERROR(__xludf.DUMMYFUNCTION("""COMPUTED_VALUE"""),"Yes")</f>
        <v>Yes</v>
      </c>
      <c r="Y262" s="5" t="str">
        <f ca="1">IFERROR(__xludf.DUMMYFUNCTION("""COMPUTED_VALUE"""),"Yes")</f>
        <v>Yes</v>
      </c>
      <c r="Z262" s="5" t="str">
        <f ca="1">IFERROR(__xludf.DUMMYFUNCTION("""COMPUTED_VALUE"""),"Yes")</f>
        <v>Yes</v>
      </c>
      <c r="AA262" s="5" t="str">
        <f ca="1">IFERROR(__xludf.DUMMYFUNCTION("""COMPUTED_VALUE"""),"Yes")</f>
        <v>Yes</v>
      </c>
      <c r="AB262" s="5" t="str">
        <f ca="1">IFERROR(__xludf.DUMMYFUNCTION("""COMPUTED_VALUE"""),"Yes")</f>
        <v>Yes</v>
      </c>
      <c r="AC262" s="5" t="str">
        <f ca="1">IFERROR(__xludf.DUMMYFUNCTION("""COMPUTED_VALUE"""),"No")</f>
        <v>No</v>
      </c>
    </row>
    <row r="263" spans="1:29" x14ac:dyDescent="0.25">
      <c r="A263" s="5" t="str">
        <f ca="1">IFERROR(__xludf.DUMMYFUNCTION("""COMPUTED_VALUE"""),"WinningClover5")</f>
        <v>WinningClover5</v>
      </c>
      <c r="B2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3" s="5" t="str">
        <f ca="1">IFERROR(__xludf.DUMMYFUNCTION("""COMPUTED_VALUE"""),"Yes")</f>
        <v>Yes</v>
      </c>
      <c r="D263" s="5" t="str">
        <f ca="1">IFERROR(__xludf.DUMMYFUNCTION("""COMPUTED_VALUE"""),"Yes")</f>
        <v>Yes</v>
      </c>
      <c r="E263" s="5" t="str">
        <f ca="1">IFERROR(__xludf.DUMMYFUNCTION("""COMPUTED_VALUE"""),"Yes")</f>
        <v>Yes</v>
      </c>
      <c r="F263" s="5" t="str">
        <f ca="1">IFERROR(__xludf.DUMMYFUNCTION("""COMPUTED_VALUE"""),"Yes")</f>
        <v>Yes</v>
      </c>
      <c r="G263" s="5" t="str">
        <f ca="1">IFERROR(__xludf.DUMMYFUNCTION("""COMPUTED_VALUE"""),"Yes")</f>
        <v>Yes</v>
      </c>
      <c r="H263" s="5" t="str">
        <f ca="1">IFERROR(__xludf.DUMMYFUNCTION("""COMPUTED_VALUE"""),"Yes")</f>
        <v>Yes</v>
      </c>
      <c r="I263" s="5" t="str">
        <f ca="1">IFERROR(__xludf.DUMMYFUNCTION("""COMPUTED_VALUE"""),"Yes")</f>
        <v>Yes</v>
      </c>
      <c r="J263" s="5" t="str">
        <f ca="1">IFERROR(__xludf.DUMMYFUNCTION("""COMPUTED_VALUE"""),"Yes")</f>
        <v>Yes</v>
      </c>
      <c r="K263" s="5" t="str">
        <f ca="1">IFERROR(__xludf.DUMMYFUNCTION("""COMPUTED_VALUE"""),"Yes")</f>
        <v>Yes</v>
      </c>
      <c r="L263" s="5" t="str">
        <f ca="1">IFERROR(__xludf.DUMMYFUNCTION("""COMPUTED_VALUE"""),"Yes")</f>
        <v>Yes</v>
      </c>
      <c r="M263" s="5" t="str">
        <f ca="1">IFERROR(__xludf.DUMMYFUNCTION("""COMPUTED_VALUE"""),"Yes")</f>
        <v>Yes</v>
      </c>
      <c r="N263" s="5" t="str">
        <f ca="1">IFERROR(__xludf.DUMMYFUNCTION("""COMPUTED_VALUE"""),"Yes")</f>
        <v>Yes</v>
      </c>
      <c r="O263" s="5" t="str">
        <f ca="1">IFERROR(__xludf.DUMMYFUNCTION("""COMPUTED_VALUE"""),"Yes")</f>
        <v>Yes</v>
      </c>
      <c r="P263" s="5" t="str">
        <f ca="1">IFERROR(__xludf.DUMMYFUNCTION("""COMPUTED_VALUE"""),"Yes")</f>
        <v>Yes</v>
      </c>
      <c r="Q263" s="5" t="str">
        <f ca="1">IFERROR(__xludf.DUMMYFUNCTION("""COMPUTED_VALUE"""),"Yes")</f>
        <v>Yes</v>
      </c>
      <c r="R263" s="5" t="str">
        <f ca="1">IFERROR(__xludf.DUMMYFUNCTION("""COMPUTED_VALUE"""),"Yes")</f>
        <v>Yes</v>
      </c>
      <c r="S263" s="5" t="str">
        <f ca="1">IFERROR(__xludf.DUMMYFUNCTION("""COMPUTED_VALUE"""),"Yes")</f>
        <v>Yes</v>
      </c>
      <c r="T263" s="5" t="str">
        <f ca="1">IFERROR(__xludf.DUMMYFUNCTION("""COMPUTED_VALUE"""),"Yes")</f>
        <v>Yes</v>
      </c>
      <c r="U263" s="5" t="str">
        <f ca="1">IFERROR(__xludf.DUMMYFUNCTION("""COMPUTED_VALUE"""),"Yes")</f>
        <v>Yes</v>
      </c>
      <c r="V263" s="5" t="str">
        <f ca="1">IFERROR(__xludf.DUMMYFUNCTION("""COMPUTED_VALUE"""),"Yes")</f>
        <v>Yes</v>
      </c>
      <c r="W263" s="5" t="str">
        <f ca="1">IFERROR(__xludf.DUMMYFUNCTION("""COMPUTED_VALUE"""),"Yes")</f>
        <v>Yes</v>
      </c>
      <c r="X263" s="5" t="str">
        <f ca="1">IFERROR(__xludf.DUMMYFUNCTION("""COMPUTED_VALUE"""),"Yes")</f>
        <v>Yes</v>
      </c>
      <c r="Y263" s="5" t="str">
        <f ca="1">IFERROR(__xludf.DUMMYFUNCTION("""COMPUTED_VALUE"""),"Yes")</f>
        <v>Yes</v>
      </c>
      <c r="Z263" s="5" t="str">
        <f ca="1">IFERROR(__xludf.DUMMYFUNCTION("""COMPUTED_VALUE"""),"Yes")</f>
        <v>Yes</v>
      </c>
      <c r="AA263" s="5" t="str">
        <f ca="1">IFERROR(__xludf.DUMMYFUNCTION("""COMPUTED_VALUE"""),"Yes")</f>
        <v>Yes</v>
      </c>
      <c r="AB263" s="5" t="str">
        <f ca="1">IFERROR(__xludf.DUMMYFUNCTION("""COMPUTED_VALUE"""),"Yes")</f>
        <v>Yes</v>
      </c>
      <c r="AC263" s="5" t="str">
        <f ca="1">IFERROR(__xludf.DUMMYFUNCTION("""COMPUTED_VALUE"""),"No")</f>
        <v>No</v>
      </c>
    </row>
    <row r="264" spans="1:29" x14ac:dyDescent="0.25">
      <c r="A264" s="5" t="str">
        <f ca="1">IFERROR(__xludf.DUMMYFUNCTION("""COMPUTED_VALUE"""),"TurboFire")</f>
        <v>TurboFire</v>
      </c>
      <c r="B2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4" s="5" t="str">
        <f ca="1">IFERROR(__xludf.DUMMYFUNCTION("""COMPUTED_VALUE"""),"Yes")</f>
        <v>Yes</v>
      </c>
      <c r="D264" s="5" t="str">
        <f ca="1">IFERROR(__xludf.DUMMYFUNCTION("""COMPUTED_VALUE"""),"Yes")</f>
        <v>Yes</v>
      </c>
      <c r="E264" s="5" t="str">
        <f ca="1">IFERROR(__xludf.DUMMYFUNCTION("""COMPUTED_VALUE"""),"Yes")</f>
        <v>Yes</v>
      </c>
      <c r="F264" s="5" t="str">
        <f ca="1">IFERROR(__xludf.DUMMYFUNCTION("""COMPUTED_VALUE"""),"Yes")</f>
        <v>Yes</v>
      </c>
      <c r="G264" s="5" t="str">
        <f ca="1">IFERROR(__xludf.DUMMYFUNCTION("""COMPUTED_VALUE"""),"Yes")</f>
        <v>Yes</v>
      </c>
      <c r="H264" s="5" t="str">
        <f ca="1">IFERROR(__xludf.DUMMYFUNCTION("""COMPUTED_VALUE"""),"Yes")</f>
        <v>Yes</v>
      </c>
      <c r="I264" s="5" t="str">
        <f ca="1">IFERROR(__xludf.DUMMYFUNCTION("""COMPUTED_VALUE"""),"Yes")</f>
        <v>Yes</v>
      </c>
      <c r="J264" s="5" t="str">
        <f ca="1">IFERROR(__xludf.DUMMYFUNCTION("""COMPUTED_VALUE"""),"Yes")</f>
        <v>Yes</v>
      </c>
      <c r="K264" s="5" t="str">
        <f ca="1">IFERROR(__xludf.DUMMYFUNCTION("""COMPUTED_VALUE"""),"Yes")</f>
        <v>Yes</v>
      </c>
      <c r="L264" s="5" t="str">
        <f ca="1">IFERROR(__xludf.DUMMYFUNCTION("""COMPUTED_VALUE"""),"Yes")</f>
        <v>Yes</v>
      </c>
      <c r="M264" s="5" t="str">
        <f ca="1">IFERROR(__xludf.DUMMYFUNCTION("""COMPUTED_VALUE"""),"Yes")</f>
        <v>Yes</v>
      </c>
      <c r="N264" s="5" t="str">
        <f ca="1">IFERROR(__xludf.DUMMYFUNCTION("""COMPUTED_VALUE"""),"Yes")</f>
        <v>Yes</v>
      </c>
      <c r="O264" s="5" t="str">
        <f ca="1">IFERROR(__xludf.DUMMYFUNCTION("""COMPUTED_VALUE"""),"Yes")</f>
        <v>Yes</v>
      </c>
      <c r="P264" s="5" t="str">
        <f ca="1">IFERROR(__xludf.DUMMYFUNCTION("""COMPUTED_VALUE"""),"Yes")</f>
        <v>Yes</v>
      </c>
      <c r="Q264" s="5" t="str">
        <f ca="1">IFERROR(__xludf.DUMMYFUNCTION("""COMPUTED_VALUE"""),"Yes")</f>
        <v>Yes</v>
      </c>
      <c r="R264" s="5" t="str">
        <f ca="1">IFERROR(__xludf.DUMMYFUNCTION("""COMPUTED_VALUE"""),"Yes")</f>
        <v>Yes</v>
      </c>
      <c r="S264" s="5" t="str">
        <f ca="1">IFERROR(__xludf.DUMMYFUNCTION("""COMPUTED_VALUE"""),"Yes")</f>
        <v>Yes</v>
      </c>
      <c r="T264" s="5" t="str">
        <f ca="1">IFERROR(__xludf.DUMMYFUNCTION("""COMPUTED_VALUE"""),"Yes")</f>
        <v>Yes</v>
      </c>
      <c r="U264" s="5" t="str">
        <f ca="1">IFERROR(__xludf.DUMMYFUNCTION("""COMPUTED_VALUE"""),"Yes")</f>
        <v>Yes</v>
      </c>
      <c r="V264" s="5" t="str">
        <f ca="1">IFERROR(__xludf.DUMMYFUNCTION("""COMPUTED_VALUE"""),"Yes")</f>
        <v>Yes</v>
      </c>
      <c r="W264" s="5" t="str">
        <f ca="1">IFERROR(__xludf.DUMMYFUNCTION("""COMPUTED_VALUE"""),"Yes")</f>
        <v>Yes</v>
      </c>
      <c r="X264" s="5" t="str">
        <f ca="1">IFERROR(__xludf.DUMMYFUNCTION("""COMPUTED_VALUE"""),"Yes")</f>
        <v>Yes</v>
      </c>
      <c r="Y264" s="5" t="str">
        <f ca="1">IFERROR(__xludf.DUMMYFUNCTION("""COMPUTED_VALUE"""),"Yes")</f>
        <v>Yes</v>
      </c>
      <c r="Z264" s="5" t="str">
        <f ca="1">IFERROR(__xludf.DUMMYFUNCTION("""COMPUTED_VALUE"""),"Yes")</f>
        <v>Yes</v>
      </c>
      <c r="AA264" s="5" t="str">
        <f ca="1">IFERROR(__xludf.DUMMYFUNCTION("""COMPUTED_VALUE"""),"Yes")</f>
        <v>Yes</v>
      </c>
      <c r="AB264" s="5" t="str">
        <f ca="1">IFERROR(__xludf.DUMMYFUNCTION("""COMPUTED_VALUE"""),"Yes")</f>
        <v>Yes</v>
      </c>
      <c r="AC264" s="5" t="str">
        <f ca="1">IFERROR(__xludf.DUMMYFUNCTION("""COMPUTED_VALUE"""),"No")</f>
        <v>No</v>
      </c>
    </row>
    <row r="265" spans="1:29" x14ac:dyDescent="0.25">
      <c r="A265" s="5" t="str">
        <f ca="1">IFERROR(__xludf.DUMMYFUNCTION("""COMPUTED_VALUE"""),"Unicorn10JingleFruits")</f>
        <v>Unicorn10JingleFruits</v>
      </c>
      <c r="B2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5" s="5" t="str">
        <f ca="1">IFERROR(__xludf.DUMMYFUNCTION("""COMPUTED_VALUE"""),"Yes")</f>
        <v>Yes</v>
      </c>
      <c r="D265" s="5" t="str">
        <f ca="1">IFERROR(__xludf.DUMMYFUNCTION("""COMPUTED_VALUE"""),"Yes")</f>
        <v>Yes</v>
      </c>
      <c r="E265" s="5" t="str">
        <f ca="1">IFERROR(__xludf.DUMMYFUNCTION("""COMPUTED_VALUE"""),"Yes")</f>
        <v>Yes</v>
      </c>
      <c r="F265" s="5" t="str">
        <f ca="1">IFERROR(__xludf.DUMMYFUNCTION("""COMPUTED_VALUE"""),"Yes")</f>
        <v>Yes</v>
      </c>
      <c r="G265" s="5" t="str">
        <f ca="1">IFERROR(__xludf.DUMMYFUNCTION("""COMPUTED_VALUE"""),"Yes")</f>
        <v>Yes</v>
      </c>
      <c r="H265" s="5" t="str">
        <f ca="1">IFERROR(__xludf.DUMMYFUNCTION("""COMPUTED_VALUE"""),"Yes")</f>
        <v>Yes</v>
      </c>
      <c r="I265" s="5" t="str">
        <f ca="1">IFERROR(__xludf.DUMMYFUNCTION("""COMPUTED_VALUE"""),"Yes")</f>
        <v>Yes</v>
      </c>
      <c r="J265" s="5" t="str">
        <f ca="1">IFERROR(__xludf.DUMMYFUNCTION("""COMPUTED_VALUE"""),"Yes")</f>
        <v>Yes</v>
      </c>
      <c r="K265" s="5" t="str">
        <f ca="1">IFERROR(__xludf.DUMMYFUNCTION("""COMPUTED_VALUE"""),"Yes")</f>
        <v>Yes</v>
      </c>
      <c r="L265" s="5" t="str">
        <f ca="1">IFERROR(__xludf.DUMMYFUNCTION("""COMPUTED_VALUE"""),"Yes")</f>
        <v>Yes</v>
      </c>
      <c r="M265" s="5" t="str">
        <f ca="1">IFERROR(__xludf.DUMMYFUNCTION("""COMPUTED_VALUE"""),"Yes")</f>
        <v>Yes</v>
      </c>
      <c r="N265" s="5" t="str">
        <f ca="1">IFERROR(__xludf.DUMMYFUNCTION("""COMPUTED_VALUE"""),"Yes")</f>
        <v>Yes</v>
      </c>
      <c r="O265" s="5" t="str">
        <f ca="1">IFERROR(__xludf.DUMMYFUNCTION("""COMPUTED_VALUE"""),"Yes")</f>
        <v>Yes</v>
      </c>
      <c r="P265" s="5" t="str">
        <f ca="1">IFERROR(__xludf.DUMMYFUNCTION("""COMPUTED_VALUE"""),"Yes")</f>
        <v>Yes</v>
      </c>
      <c r="Q265" s="5" t="str">
        <f ca="1">IFERROR(__xludf.DUMMYFUNCTION("""COMPUTED_VALUE"""),"Yes")</f>
        <v>Yes</v>
      </c>
      <c r="R265" s="5" t="str">
        <f ca="1">IFERROR(__xludf.DUMMYFUNCTION("""COMPUTED_VALUE"""),"Yes")</f>
        <v>Yes</v>
      </c>
      <c r="S265" s="5" t="str">
        <f ca="1">IFERROR(__xludf.DUMMYFUNCTION("""COMPUTED_VALUE"""),"Yes")</f>
        <v>Yes</v>
      </c>
      <c r="T265" s="5" t="str">
        <f ca="1">IFERROR(__xludf.DUMMYFUNCTION("""COMPUTED_VALUE"""),"Yes")</f>
        <v>Yes</v>
      </c>
      <c r="U265" s="5" t="str">
        <f ca="1">IFERROR(__xludf.DUMMYFUNCTION("""COMPUTED_VALUE"""),"Yes")</f>
        <v>Yes</v>
      </c>
      <c r="V265" s="5"/>
      <c r="W265" s="5" t="str">
        <f ca="1">IFERROR(__xludf.DUMMYFUNCTION("""COMPUTED_VALUE"""),"Yes")</f>
        <v>Yes</v>
      </c>
      <c r="X265" s="5"/>
      <c r="Y265" s="5"/>
      <c r="Z265" s="5" t="str">
        <f ca="1">IFERROR(__xludf.DUMMYFUNCTION("""COMPUTED_VALUE"""),"Yes")</f>
        <v>Yes</v>
      </c>
      <c r="AA265" s="5"/>
      <c r="AB265" s="5"/>
      <c r="AC265" s="5"/>
    </row>
    <row r="266" spans="1:29" x14ac:dyDescent="0.25">
      <c r="A266" s="5" t="str">
        <f ca="1">IFERROR(__xludf.DUMMYFUNCTION("""COMPUTED_VALUE"""),"WinningClover5Extreme")</f>
        <v>WinningClover5Extreme</v>
      </c>
      <c r="B2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6" s="5" t="str">
        <f ca="1">IFERROR(__xludf.DUMMYFUNCTION("""COMPUTED_VALUE"""),"Yes")</f>
        <v>Yes</v>
      </c>
      <c r="D266" s="5" t="str">
        <f ca="1">IFERROR(__xludf.DUMMYFUNCTION("""COMPUTED_VALUE"""),"Yes")</f>
        <v>Yes</v>
      </c>
      <c r="E266" s="5" t="str">
        <f ca="1">IFERROR(__xludf.DUMMYFUNCTION("""COMPUTED_VALUE"""),"Yes")</f>
        <v>Yes</v>
      </c>
      <c r="F266" s="5" t="str">
        <f ca="1">IFERROR(__xludf.DUMMYFUNCTION("""COMPUTED_VALUE"""),"Yes")</f>
        <v>Yes</v>
      </c>
      <c r="G266" s="5" t="str">
        <f ca="1">IFERROR(__xludf.DUMMYFUNCTION("""COMPUTED_VALUE"""),"Yes")</f>
        <v>Yes</v>
      </c>
      <c r="H266" s="5" t="str">
        <f ca="1">IFERROR(__xludf.DUMMYFUNCTION("""COMPUTED_VALUE"""),"Yes")</f>
        <v>Yes</v>
      </c>
      <c r="I266" s="5" t="str">
        <f ca="1">IFERROR(__xludf.DUMMYFUNCTION("""COMPUTED_VALUE"""),"Yes")</f>
        <v>Yes</v>
      </c>
      <c r="J266" s="5" t="str">
        <f ca="1">IFERROR(__xludf.DUMMYFUNCTION("""COMPUTED_VALUE"""),"Yes")</f>
        <v>Yes</v>
      </c>
      <c r="K266" s="5" t="str">
        <f ca="1">IFERROR(__xludf.DUMMYFUNCTION("""COMPUTED_VALUE"""),"Yes")</f>
        <v>Yes</v>
      </c>
      <c r="L266" s="5" t="str">
        <f ca="1">IFERROR(__xludf.DUMMYFUNCTION("""COMPUTED_VALUE"""),"Yes")</f>
        <v>Yes</v>
      </c>
      <c r="M266" s="5" t="str">
        <f ca="1">IFERROR(__xludf.DUMMYFUNCTION("""COMPUTED_VALUE"""),"Yes")</f>
        <v>Yes</v>
      </c>
      <c r="N266" s="5" t="str">
        <f ca="1">IFERROR(__xludf.DUMMYFUNCTION("""COMPUTED_VALUE"""),"Yes")</f>
        <v>Yes</v>
      </c>
      <c r="O266" s="5" t="str">
        <f ca="1">IFERROR(__xludf.DUMMYFUNCTION("""COMPUTED_VALUE"""),"Yes")</f>
        <v>Yes</v>
      </c>
      <c r="P266" s="5" t="str">
        <f ca="1">IFERROR(__xludf.DUMMYFUNCTION("""COMPUTED_VALUE"""),"Yes")</f>
        <v>Yes</v>
      </c>
      <c r="Q266" s="5" t="str">
        <f ca="1">IFERROR(__xludf.DUMMYFUNCTION("""COMPUTED_VALUE"""),"Yes")</f>
        <v>Yes</v>
      </c>
      <c r="R266" s="5" t="str">
        <f ca="1">IFERROR(__xludf.DUMMYFUNCTION("""COMPUTED_VALUE"""),"Yes")</f>
        <v>Yes</v>
      </c>
      <c r="S266" s="5" t="str">
        <f ca="1">IFERROR(__xludf.DUMMYFUNCTION("""COMPUTED_VALUE"""),"Yes")</f>
        <v>Yes</v>
      </c>
      <c r="T266" s="5" t="str">
        <f ca="1">IFERROR(__xludf.DUMMYFUNCTION("""COMPUTED_VALUE"""),"Yes")</f>
        <v>Yes</v>
      </c>
      <c r="U266" s="5" t="str">
        <f ca="1">IFERROR(__xludf.DUMMYFUNCTION("""COMPUTED_VALUE"""),"Yes")</f>
        <v>Yes</v>
      </c>
      <c r="V266" s="5" t="str">
        <f ca="1">IFERROR(__xludf.DUMMYFUNCTION("""COMPUTED_VALUE"""),"Yes")</f>
        <v>Yes</v>
      </c>
      <c r="W266" s="5" t="str">
        <f ca="1">IFERROR(__xludf.DUMMYFUNCTION("""COMPUTED_VALUE"""),"Yes")</f>
        <v>Yes</v>
      </c>
      <c r="X266" s="5" t="str">
        <f ca="1">IFERROR(__xludf.DUMMYFUNCTION("""COMPUTED_VALUE"""),"Yes")</f>
        <v>Yes</v>
      </c>
      <c r="Y266" s="5" t="str">
        <f ca="1">IFERROR(__xludf.DUMMYFUNCTION("""COMPUTED_VALUE"""),"Yes")</f>
        <v>Yes</v>
      </c>
      <c r="Z266" s="5" t="str">
        <f ca="1">IFERROR(__xludf.DUMMYFUNCTION("""COMPUTED_VALUE"""),"Yes")</f>
        <v>Yes</v>
      </c>
      <c r="AA266" s="5" t="str">
        <f ca="1">IFERROR(__xludf.DUMMYFUNCTION("""COMPUTED_VALUE"""),"Yes")</f>
        <v>Yes</v>
      </c>
      <c r="AB266" s="5" t="str">
        <f ca="1">IFERROR(__xludf.DUMMYFUNCTION("""COMPUTED_VALUE"""),"Yes")</f>
        <v>Yes</v>
      </c>
      <c r="AC266" s="5" t="str">
        <f ca="1">IFERROR(__xludf.DUMMYFUNCTION("""COMPUTED_VALUE"""),"No")</f>
        <v>No</v>
      </c>
    </row>
    <row r="267" spans="1:29" x14ac:dyDescent="0.25">
      <c r="A267" s="5" t="str">
        <f ca="1">IFERROR(__xludf.DUMMYFUNCTION("""COMPUTED_VALUE"""),"CloverBlast5")</f>
        <v>CloverBlast5</v>
      </c>
      <c r="B2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7" s="5" t="str">
        <f ca="1">IFERROR(__xludf.DUMMYFUNCTION("""COMPUTED_VALUE"""),"Yes")</f>
        <v>Yes</v>
      </c>
      <c r="D267" s="5" t="str">
        <f ca="1">IFERROR(__xludf.DUMMYFUNCTION("""COMPUTED_VALUE"""),"Yes")</f>
        <v>Yes</v>
      </c>
      <c r="E267" s="5" t="str">
        <f ca="1">IFERROR(__xludf.DUMMYFUNCTION("""COMPUTED_VALUE"""),"Yes")</f>
        <v>Yes</v>
      </c>
      <c r="F267" s="5" t="str">
        <f ca="1">IFERROR(__xludf.DUMMYFUNCTION("""COMPUTED_VALUE"""),"Yes")</f>
        <v>Yes</v>
      </c>
      <c r="G267" s="5" t="str">
        <f ca="1">IFERROR(__xludf.DUMMYFUNCTION("""COMPUTED_VALUE"""),"Yes")</f>
        <v>Yes</v>
      </c>
      <c r="H267" s="5" t="str">
        <f ca="1">IFERROR(__xludf.DUMMYFUNCTION("""COMPUTED_VALUE"""),"Yes")</f>
        <v>Yes</v>
      </c>
      <c r="I267" s="5" t="str">
        <f ca="1">IFERROR(__xludf.DUMMYFUNCTION("""COMPUTED_VALUE"""),"Yes")</f>
        <v>Yes</v>
      </c>
      <c r="J267" s="5" t="str">
        <f ca="1">IFERROR(__xludf.DUMMYFUNCTION("""COMPUTED_VALUE"""),"Yes")</f>
        <v>Yes</v>
      </c>
      <c r="K267" s="5" t="str">
        <f ca="1">IFERROR(__xludf.DUMMYFUNCTION("""COMPUTED_VALUE"""),"Yes")</f>
        <v>Yes</v>
      </c>
      <c r="L267" s="5" t="str">
        <f ca="1">IFERROR(__xludf.DUMMYFUNCTION("""COMPUTED_VALUE"""),"Yes")</f>
        <v>Yes</v>
      </c>
      <c r="M267" s="5" t="str">
        <f ca="1">IFERROR(__xludf.DUMMYFUNCTION("""COMPUTED_VALUE"""),"Yes")</f>
        <v>Yes</v>
      </c>
      <c r="N267" s="5" t="str">
        <f ca="1">IFERROR(__xludf.DUMMYFUNCTION("""COMPUTED_VALUE"""),"Yes")</f>
        <v>Yes</v>
      </c>
      <c r="O267" s="5" t="str">
        <f ca="1">IFERROR(__xludf.DUMMYFUNCTION("""COMPUTED_VALUE"""),"Yes")</f>
        <v>Yes</v>
      </c>
      <c r="P267" s="5" t="str">
        <f ca="1">IFERROR(__xludf.DUMMYFUNCTION("""COMPUTED_VALUE"""),"Yes")</f>
        <v>Yes</v>
      </c>
      <c r="Q267" s="5" t="str">
        <f ca="1">IFERROR(__xludf.DUMMYFUNCTION("""COMPUTED_VALUE"""),"Yes")</f>
        <v>Yes</v>
      </c>
      <c r="R267" s="5" t="str">
        <f ca="1">IFERROR(__xludf.DUMMYFUNCTION("""COMPUTED_VALUE"""),"Yes")</f>
        <v>Yes</v>
      </c>
      <c r="S267" s="5" t="str">
        <f ca="1">IFERROR(__xludf.DUMMYFUNCTION("""COMPUTED_VALUE"""),"Yes")</f>
        <v>Yes</v>
      </c>
      <c r="T267" s="5" t="str">
        <f ca="1">IFERROR(__xludf.DUMMYFUNCTION("""COMPUTED_VALUE"""),"Yes")</f>
        <v>Yes</v>
      </c>
      <c r="U267" s="5" t="str">
        <f ca="1">IFERROR(__xludf.DUMMYFUNCTION("""COMPUTED_VALUE"""),"Yes")</f>
        <v>Yes</v>
      </c>
      <c r="V267" s="5"/>
      <c r="W267" s="5" t="str">
        <f ca="1">IFERROR(__xludf.DUMMYFUNCTION("""COMPUTED_VALUE"""),"Yes")</f>
        <v>Yes</v>
      </c>
      <c r="X267" s="5"/>
      <c r="Y267" s="5"/>
      <c r="Z267" s="5" t="str">
        <f ca="1">IFERROR(__xludf.DUMMYFUNCTION("""COMPUTED_VALUE"""),"Yes")</f>
        <v>Yes</v>
      </c>
      <c r="AA267" s="5"/>
      <c r="AB267" s="5"/>
      <c r="AC267" s="5"/>
    </row>
    <row r="268" spans="1:29" x14ac:dyDescent="0.25">
      <c r="A268" s="5" t="str">
        <f ca="1">IFERROR(__xludf.DUMMYFUNCTION("""COMPUTED_VALUE"""),"WildHot40Dice")</f>
        <v>WildHot40Dice</v>
      </c>
      <c r="B2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8" s="5" t="str">
        <f ca="1">IFERROR(__xludf.DUMMYFUNCTION("""COMPUTED_VALUE"""),"Yes")</f>
        <v>Yes</v>
      </c>
      <c r="D268" s="5" t="str">
        <f ca="1">IFERROR(__xludf.DUMMYFUNCTION("""COMPUTED_VALUE"""),"Yes")</f>
        <v>Yes</v>
      </c>
      <c r="E268" s="5" t="str">
        <f ca="1">IFERROR(__xludf.DUMMYFUNCTION("""COMPUTED_VALUE"""),"Yes")</f>
        <v>Yes</v>
      </c>
      <c r="F268" s="5" t="str">
        <f ca="1">IFERROR(__xludf.DUMMYFUNCTION("""COMPUTED_VALUE"""),"Yes")</f>
        <v>Yes</v>
      </c>
      <c r="G268" s="5" t="str">
        <f ca="1">IFERROR(__xludf.DUMMYFUNCTION("""COMPUTED_VALUE"""),"Yes")</f>
        <v>Yes</v>
      </c>
      <c r="H268" s="5" t="str">
        <f ca="1">IFERROR(__xludf.DUMMYFUNCTION("""COMPUTED_VALUE"""),"Yes")</f>
        <v>Yes</v>
      </c>
      <c r="I268" s="5" t="str">
        <f ca="1">IFERROR(__xludf.DUMMYFUNCTION("""COMPUTED_VALUE"""),"Yes")</f>
        <v>Yes</v>
      </c>
      <c r="J268" s="5" t="str">
        <f ca="1">IFERROR(__xludf.DUMMYFUNCTION("""COMPUTED_VALUE"""),"Yes")</f>
        <v>Yes</v>
      </c>
      <c r="K268" s="5" t="str">
        <f ca="1">IFERROR(__xludf.DUMMYFUNCTION("""COMPUTED_VALUE"""),"Yes")</f>
        <v>Yes</v>
      </c>
      <c r="L268" s="5" t="str">
        <f ca="1">IFERROR(__xludf.DUMMYFUNCTION("""COMPUTED_VALUE"""),"Yes")</f>
        <v>Yes</v>
      </c>
      <c r="M268" s="5" t="str">
        <f ca="1">IFERROR(__xludf.DUMMYFUNCTION("""COMPUTED_VALUE"""),"Yes")</f>
        <v>Yes</v>
      </c>
      <c r="N268" s="5" t="str">
        <f ca="1">IFERROR(__xludf.DUMMYFUNCTION("""COMPUTED_VALUE"""),"Yes")</f>
        <v>Yes</v>
      </c>
      <c r="O268" s="5" t="str">
        <f ca="1">IFERROR(__xludf.DUMMYFUNCTION("""COMPUTED_VALUE"""),"Yes")</f>
        <v>Yes</v>
      </c>
      <c r="P268" s="5" t="str">
        <f ca="1">IFERROR(__xludf.DUMMYFUNCTION("""COMPUTED_VALUE"""),"Yes")</f>
        <v>Yes</v>
      </c>
      <c r="Q268" s="5" t="str">
        <f ca="1">IFERROR(__xludf.DUMMYFUNCTION("""COMPUTED_VALUE"""),"Yes")</f>
        <v>Yes</v>
      </c>
      <c r="R268" s="5" t="str">
        <f ca="1">IFERROR(__xludf.DUMMYFUNCTION("""COMPUTED_VALUE"""),"Yes")</f>
        <v>Yes</v>
      </c>
      <c r="S268" s="5" t="str">
        <f ca="1">IFERROR(__xludf.DUMMYFUNCTION("""COMPUTED_VALUE"""),"Yes")</f>
        <v>Yes</v>
      </c>
      <c r="T268" s="5" t="str">
        <f ca="1">IFERROR(__xludf.DUMMYFUNCTION("""COMPUTED_VALUE"""),"Yes")</f>
        <v>Yes</v>
      </c>
      <c r="U268" s="5" t="str">
        <f ca="1">IFERROR(__xludf.DUMMYFUNCTION("""COMPUTED_VALUE"""),"Yes")</f>
        <v>Yes</v>
      </c>
      <c r="V268" s="5" t="str">
        <f ca="1">IFERROR(__xludf.DUMMYFUNCTION("""COMPUTED_VALUE"""),"Yes")</f>
        <v>Yes</v>
      </c>
      <c r="W268" s="5" t="str">
        <f ca="1">IFERROR(__xludf.DUMMYFUNCTION("""COMPUTED_VALUE"""),"Yes")</f>
        <v>Yes</v>
      </c>
      <c r="X268" s="5" t="str">
        <f ca="1">IFERROR(__xludf.DUMMYFUNCTION("""COMPUTED_VALUE"""),"Yes")</f>
        <v>Yes</v>
      </c>
      <c r="Y268" s="5" t="str">
        <f ca="1">IFERROR(__xludf.DUMMYFUNCTION("""COMPUTED_VALUE"""),"Yes")</f>
        <v>Yes</v>
      </c>
      <c r="Z268" s="5" t="str">
        <f ca="1">IFERROR(__xludf.DUMMYFUNCTION("""COMPUTED_VALUE"""),"Yes")</f>
        <v>Yes</v>
      </c>
      <c r="AA268" s="5" t="str">
        <f ca="1">IFERROR(__xludf.DUMMYFUNCTION("""COMPUTED_VALUE"""),"Yes")</f>
        <v>Yes</v>
      </c>
      <c r="AB268" s="5" t="str">
        <f ca="1">IFERROR(__xludf.DUMMYFUNCTION("""COMPUTED_VALUE"""),"Yes")</f>
        <v>Yes</v>
      </c>
      <c r="AC268" s="5" t="str">
        <f ca="1">IFERROR(__xludf.DUMMYFUNCTION("""COMPUTED_VALUE"""),"No")</f>
        <v>No</v>
      </c>
    </row>
    <row r="269" spans="1:29" x14ac:dyDescent="0.25">
      <c r="A269" s="5" t="str">
        <f ca="1">IFERROR(__xludf.DUMMYFUNCTION("""COMPUTED_VALUE"""),"UnicornGoldLine")</f>
        <v>UnicornGoldLine</v>
      </c>
      <c r="B2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9" s="5" t="str">
        <f ca="1">IFERROR(__xludf.DUMMYFUNCTION("""COMPUTED_VALUE"""),"Yes")</f>
        <v>Yes</v>
      </c>
      <c r="D269" s="5" t="str">
        <f ca="1">IFERROR(__xludf.DUMMYFUNCTION("""COMPUTED_VALUE"""),"Yes")</f>
        <v>Yes</v>
      </c>
      <c r="E269" s="5" t="str">
        <f ca="1">IFERROR(__xludf.DUMMYFUNCTION("""COMPUTED_VALUE"""),"Yes")</f>
        <v>Yes</v>
      </c>
      <c r="F269" s="5" t="str">
        <f ca="1">IFERROR(__xludf.DUMMYFUNCTION("""COMPUTED_VALUE"""),"Yes")</f>
        <v>Yes</v>
      </c>
      <c r="G269" s="5" t="str">
        <f ca="1">IFERROR(__xludf.DUMMYFUNCTION("""COMPUTED_VALUE"""),"Yes")</f>
        <v>Yes</v>
      </c>
      <c r="H269" s="5" t="str">
        <f ca="1">IFERROR(__xludf.DUMMYFUNCTION("""COMPUTED_VALUE"""),"Yes")</f>
        <v>Yes</v>
      </c>
      <c r="I269" s="5" t="str">
        <f ca="1">IFERROR(__xludf.DUMMYFUNCTION("""COMPUTED_VALUE"""),"Yes")</f>
        <v>Yes</v>
      </c>
      <c r="J269" s="5" t="str">
        <f ca="1">IFERROR(__xludf.DUMMYFUNCTION("""COMPUTED_VALUE"""),"Yes")</f>
        <v>Yes</v>
      </c>
      <c r="K269" s="5" t="str">
        <f ca="1">IFERROR(__xludf.DUMMYFUNCTION("""COMPUTED_VALUE"""),"Yes")</f>
        <v>Yes</v>
      </c>
      <c r="L269" s="5" t="str">
        <f ca="1">IFERROR(__xludf.DUMMYFUNCTION("""COMPUTED_VALUE"""),"Yes")</f>
        <v>Yes</v>
      </c>
      <c r="M269" s="5" t="str">
        <f ca="1">IFERROR(__xludf.DUMMYFUNCTION("""COMPUTED_VALUE"""),"Yes")</f>
        <v>Yes</v>
      </c>
      <c r="N269" s="5" t="str">
        <f ca="1">IFERROR(__xludf.DUMMYFUNCTION("""COMPUTED_VALUE"""),"Yes")</f>
        <v>Yes</v>
      </c>
      <c r="O269" s="5" t="str">
        <f ca="1">IFERROR(__xludf.DUMMYFUNCTION("""COMPUTED_VALUE"""),"Yes")</f>
        <v>Yes</v>
      </c>
      <c r="P269" s="5" t="str">
        <f ca="1">IFERROR(__xludf.DUMMYFUNCTION("""COMPUTED_VALUE"""),"Yes")</f>
        <v>Yes</v>
      </c>
      <c r="Q269" s="5" t="str">
        <f ca="1">IFERROR(__xludf.DUMMYFUNCTION("""COMPUTED_VALUE"""),"Yes")</f>
        <v>Yes</v>
      </c>
      <c r="R269" s="5" t="str">
        <f ca="1">IFERROR(__xludf.DUMMYFUNCTION("""COMPUTED_VALUE"""),"Yes")</f>
        <v>Yes</v>
      </c>
      <c r="S269" s="5" t="str">
        <f ca="1">IFERROR(__xludf.DUMMYFUNCTION("""COMPUTED_VALUE"""),"Yes")</f>
        <v>Yes</v>
      </c>
      <c r="T269" s="5" t="str">
        <f ca="1">IFERROR(__xludf.DUMMYFUNCTION("""COMPUTED_VALUE"""),"Yes")</f>
        <v>Yes</v>
      </c>
      <c r="U269" s="5" t="str">
        <f ca="1">IFERROR(__xludf.DUMMYFUNCTION("""COMPUTED_VALUE"""),"Yes")</f>
        <v>Yes</v>
      </c>
      <c r="V269" s="5"/>
      <c r="W269" s="5" t="str">
        <f ca="1">IFERROR(__xludf.DUMMYFUNCTION("""COMPUTED_VALUE"""),"Yes")</f>
        <v>Yes</v>
      </c>
      <c r="X269" s="5" t="str">
        <f ca="1">IFERROR(__xludf.DUMMYFUNCTION("""COMPUTED_VALUE"""),"Yes")</f>
        <v>Yes</v>
      </c>
      <c r="Y269" s="5" t="str">
        <f ca="1">IFERROR(__xludf.DUMMYFUNCTION("""COMPUTED_VALUE"""),"Yes")</f>
        <v>Yes</v>
      </c>
      <c r="Z269" s="5" t="str">
        <f ca="1">IFERROR(__xludf.DUMMYFUNCTION("""COMPUTED_VALUE"""),"Yes")</f>
        <v>Yes</v>
      </c>
      <c r="AA269" s="5" t="str">
        <f ca="1">IFERROR(__xludf.DUMMYFUNCTION("""COMPUTED_VALUE"""),"Yes")</f>
        <v>Yes</v>
      </c>
      <c r="AB269" s="5" t="str">
        <f ca="1">IFERROR(__xludf.DUMMYFUNCTION("""COMPUTED_VALUE"""),"Yes")</f>
        <v>Yes</v>
      </c>
      <c r="AC269" s="5"/>
    </row>
    <row r="270" spans="1:29" x14ac:dyDescent="0.25">
      <c r="A270" s="5" t="str">
        <f ca="1">IFERROR(__xludf.DUMMYFUNCTION("""COMPUTED_VALUE"""),"HotLine1X")</f>
        <v>HotLine1X</v>
      </c>
      <c r="B2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0" s="5" t="str">
        <f ca="1">IFERROR(__xludf.DUMMYFUNCTION("""COMPUTED_VALUE"""),"Yes")</f>
        <v>Yes</v>
      </c>
      <c r="D270" s="5" t="str">
        <f ca="1">IFERROR(__xludf.DUMMYFUNCTION("""COMPUTED_VALUE"""),"Yes")</f>
        <v>Yes</v>
      </c>
      <c r="E270" s="5" t="str">
        <f ca="1">IFERROR(__xludf.DUMMYFUNCTION("""COMPUTED_VALUE"""),"Yes")</f>
        <v>Yes</v>
      </c>
      <c r="F270" s="5" t="str">
        <f ca="1">IFERROR(__xludf.DUMMYFUNCTION("""COMPUTED_VALUE"""),"Yes")</f>
        <v>Yes</v>
      </c>
      <c r="G270" s="5" t="str">
        <f ca="1">IFERROR(__xludf.DUMMYFUNCTION("""COMPUTED_VALUE"""),"Yes")</f>
        <v>Yes</v>
      </c>
      <c r="H270" s="5" t="str">
        <f ca="1">IFERROR(__xludf.DUMMYFUNCTION("""COMPUTED_VALUE"""),"Yes")</f>
        <v>Yes</v>
      </c>
      <c r="I270" s="5" t="str">
        <f ca="1">IFERROR(__xludf.DUMMYFUNCTION("""COMPUTED_VALUE"""),"Yes")</f>
        <v>Yes</v>
      </c>
      <c r="J270" s="5" t="str">
        <f ca="1">IFERROR(__xludf.DUMMYFUNCTION("""COMPUTED_VALUE"""),"Yes")</f>
        <v>Yes</v>
      </c>
      <c r="K270" s="5" t="str">
        <f ca="1">IFERROR(__xludf.DUMMYFUNCTION("""COMPUTED_VALUE"""),"Yes")</f>
        <v>Yes</v>
      </c>
      <c r="L270" s="5" t="str">
        <f ca="1">IFERROR(__xludf.DUMMYFUNCTION("""COMPUTED_VALUE"""),"Yes")</f>
        <v>Yes</v>
      </c>
      <c r="M270" s="5" t="str">
        <f ca="1">IFERROR(__xludf.DUMMYFUNCTION("""COMPUTED_VALUE"""),"Yes")</f>
        <v>Yes</v>
      </c>
      <c r="N270" s="5" t="str">
        <f ca="1">IFERROR(__xludf.DUMMYFUNCTION("""COMPUTED_VALUE"""),"Yes")</f>
        <v>Yes</v>
      </c>
      <c r="O270" s="5" t="str">
        <f ca="1">IFERROR(__xludf.DUMMYFUNCTION("""COMPUTED_VALUE"""),"Yes")</f>
        <v>Yes</v>
      </c>
      <c r="P270" s="5" t="str">
        <f ca="1">IFERROR(__xludf.DUMMYFUNCTION("""COMPUTED_VALUE"""),"Yes")</f>
        <v>Yes</v>
      </c>
      <c r="Q270" s="5" t="str">
        <f ca="1">IFERROR(__xludf.DUMMYFUNCTION("""COMPUTED_VALUE"""),"Yes")</f>
        <v>Yes</v>
      </c>
      <c r="R270" s="5" t="str">
        <f ca="1">IFERROR(__xludf.DUMMYFUNCTION("""COMPUTED_VALUE"""),"Yes")</f>
        <v>Yes</v>
      </c>
      <c r="S270" s="5" t="str">
        <f ca="1">IFERROR(__xludf.DUMMYFUNCTION("""COMPUTED_VALUE"""),"Yes")</f>
        <v>Yes</v>
      </c>
      <c r="T270" s="5" t="str">
        <f ca="1">IFERROR(__xludf.DUMMYFUNCTION("""COMPUTED_VALUE"""),"Yes")</f>
        <v>Yes</v>
      </c>
      <c r="U270" s="5" t="str">
        <f ca="1">IFERROR(__xludf.DUMMYFUNCTION("""COMPUTED_VALUE"""),"Yes")</f>
        <v>Yes</v>
      </c>
      <c r="V270" s="5" t="str">
        <f ca="1">IFERROR(__xludf.DUMMYFUNCTION("""COMPUTED_VALUE"""),"Yes")</f>
        <v>Yes</v>
      </c>
      <c r="W270" s="5" t="str">
        <f ca="1">IFERROR(__xludf.DUMMYFUNCTION("""COMPUTED_VALUE"""),"Yes")</f>
        <v>Yes</v>
      </c>
      <c r="X270" s="5" t="str">
        <f ca="1">IFERROR(__xludf.DUMMYFUNCTION("""COMPUTED_VALUE"""),"Yes")</f>
        <v>Yes</v>
      </c>
      <c r="Y270" s="5" t="str">
        <f ca="1">IFERROR(__xludf.DUMMYFUNCTION("""COMPUTED_VALUE"""),"Yes")</f>
        <v>Yes</v>
      </c>
      <c r="Z270" s="5" t="str">
        <f ca="1">IFERROR(__xludf.DUMMYFUNCTION("""COMPUTED_VALUE"""),"Yes")</f>
        <v>Yes</v>
      </c>
      <c r="AA270" s="5" t="str">
        <f ca="1">IFERROR(__xludf.DUMMYFUNCTION("""COMPUTED_VALUE"""),"Yes")</f>
        <v>Yes</v>
      </c>
      <c r="AB270" s="5" t="str">
        <f ca="1">IFERROR(__xludf.DUMMYFUNCTION("""COMPUTED_VALUE"""),"Yes")</f>
        <v>Yes</v>
      </c>
      <c r="AC270" s="5" t="str">
        <f ca="1">IFERROR(__xludf.DUMMYFUNCTION("""COMPUTED_VALUE"""),"No")</f>
        <v>No</v>
      </c>
    </row>
    <row r="271" spans="1:29" x14ac:dyDescent="0.25">
      <c r="A271" s="5" t="str">
        <f ca="1">IFERROR(__xludf.DUMMYFUNCTION("""COMPUTED_VALUE"""),"WildHot40BlowDice")</f>
        <v>WildHot40BlowDice</v>
      </c>
      <c r="B2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1" s="5" t="str">
        <f ca="1">IFERROR(__xludf.DUMMYFUNCTION("""COMPUTED_VALUE"""),"Yes")</f>
        <v>Yes</v>
      </c>
      <c r="D271" s="5" t="str">
        <f ca="1">IFERROR(__xludf.DUMMYFUNCTION("""COMPUTED_VALUE"""),"Yes")</f>
        <v>Yes</v>
      </c>
      <c r="E271" s="5" t="str">
        <f ca="1">IFERROR(__xludf.DUMMYFUNCTION("""COMPUTED_VALUE"""),"Yes")</f>
        <v>Yes</v>
      </c>
      <c r="F271" s="5" t="str">
        <f ca="1">IFERROR(__xludf.DUMMYFUNCTION("""COMPUTED_VALUE"""),"Yes")</f>
        <v>Yes</v>
      </c>
      <c r="G271" s="5" t="str">
        <f ca="1">IFERROR(__xludf.DUMMYFUNCTION("""COMPUTED_VALUE"""),"Yes")</f>
        <v>Yes</v>
      </c>
      <c r="H271" s="5" t="str">
        <f ca="1">IFERROR(__xludf.DUMMYFUNCTION("""COMPUTED_VALUE"""),"Yes")</f>
        <v>Yes</v>
      </c>
      <c r="I271" s="5" t="str">
        <f ca="1">IFERROR(__xludf.DUMMYFUNCTION("""COMPUTED_VALUE"""),"Yes")</f>
        <v>Yes</v>
      </c>
      <c r="J271" s="5" t="str">
        <f ca="1">IFERROR(__xludf.DUMMYFUNCTION("""COMPUTED_VALUE"""),"Yes")</f>
        <v>Yes</v>
      </c>
      <c r="K271" s="5" t="str">
        <f ca="1">IFERROR(__xludf.DUMMYFUNCTION("""COMPUTED_VALUE"""),"Yes")</f>
        <v>Yes</v>
      </c>
      <c r="L271" s="5" t="str">
        <f ca="1">IFERROR(__xludf.DUMMYFUNCTION("""COMPUTED_VALUE"""),"Yes")</f>
        <v>Yes</v>
      </c>
      <c r="M271" s="5" t="str">
        <f ca="1">IFERROR(__xludf.DUMMYFUNCTION("""COMPUTED_VALUE"""),"Yes")</f>
        <v>Yes</v>
      </c>
      <c r="N271" s="5" t="str">
        <f ca="1">IFERROR(__xludf.DUMMYFUNCTION("""COMPUTED_VALUE"""),"Yes")</f>
        <v>Yes</v>
      </c>
      <c r="O271" s="5" t="str">
        <f ca="1">IFERROR(__xludf.DUMMYFUNCTION("""COMPUTED_VALUE"""),"Yes")</f>
        <v>Yes</v>
      </c>
      <c r="P271" s="5" t="str">
        <f ca="1">IFERROR(__xludf.DUMMYFUNCTION("""COMPUTED_VALUE"""),"Yes")</f>
        <v>Yes</v>
      </c>
      <c r="Q271" s="5" t="str">
        <f ca="1">IFERROR(__xludf.DUMMYFUNCTION("""COMPUTED_VALUE"""),"Yes")</f>
        <v>Yes</v>
      </c>
      <c r="R271" s="5" t="str">
        <f ca="1">IFERROR(__xludf.DUMMYFUNCTION("""COMPUTED_VALUE"""),"Yes")</f>
        <v>Yes</v>
      </c>
      <c r="S271" s="5" t="str">
        <f ca="1">IFERROR(__xludf.DUMMYFUNCTION("""COMPUTED_VALUE"""),"Yes")</f>
        <v>Yes</v>
      </c>
      <c r="T271" s="5" t="str">
        <f ca="1">IFERROR(__xludf.DUMMYFUNCTION("""COMPUTED_VALUE"""),"Yes")</f>
        <v>Yes</v>
      </c>
      <c r="U271" s="5" t="str">
        <f ca="1">IFERROR(__xludf.DUMMYFUNCTION("""COMPUTED_VALUE"""),"Yes")</f>
        <v>Yes</v>
      </c>
      <c r="V271" s="5" t="str">
        <f ca="1">IFERROR(__xludf.DUMMYFUNCTION("""COMPUTED_VALUE"""),"Yes")</f>
        <v>Yes</v>
      </c>
      <c r="W271" s="5" t="str">
        <f ca="1">IFERROR(__xludf.DUMMYFUNCTION("""COMPUTED_VALUE"""),"Yes")</f>
        <v>Yes</v>
      </c>
      <c r="X271" s="5" t="str">
        <f ca="1">IFERROR(__xludf.DUMMYFUNCTION("""COMPUTED_VALUE"""),"Yes")</f>
        <v>Yes</v>
      </c>
      <c r="Y271" s="5" t="str">
        <f ca="1">IFERROR(__xludf.DUMMYFUNCTION("""COMPUTED_VALUE"""),"Yes")</f>
        <v>Yes</v>
      </c>
      <c r="Z271" s="5" t="str">
        <f ca="1">IFERROR(__xludf.DUMMYFUNCTION("""COMPUTED_VALUE"""),"Yes")</f>
        <v>Yes</v>
      </c>
      <c r="AA271" s="5" t="str">
        <f ca="1">IFERROR(__xludf.DUMMYFUNCTION("""COMPUTED_VALUE"""),"Yes")</f>
        <v>Yes</v>
      </c>
      <c r="AB271" s="5" t="str">
        <f ca="1">IFERROR(__xludf.DUMMYFUNCTION("""COMPUTED_VALUE"""),"Yes")</f>
        <v>Yes</v>
      </c>
      <c r="AC271" s="5" t="str">
        <f ca="1">IFERROR(__xludf.DUMMYFUNCTION("""COMPUTED_VALUE"""),"No")</f>
        <v>No</v>
      </c>
    </row>
    <row r="272" spans="1:29" x14ac:dyDescent="0.25">
      <c r="A272" s="5" t="str">
        <f ca="1">IFERROR(__xludf.DUMMYFUNCTION("""COMPUTED_VALUE"""),"FashionNight")</f>
        <v>FashionNight</v>
      </c>
      <c r="B2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2" s="5" t="str">
        <f ca="1">IFERROR(__xludf.DUMMYFUNCTION("""COMPUTED_VALUE"""),"Yes")</f>
        <v>Yes</v>
      </c>
      <c r="D272" s="5" t="str">
        <f ca="1">IFERROR(__xludf.DUMMYFUNCTION("""COMPUTED_VALUE"""),"Yes")</f>
        <v>Yes</v>
      </c>
      <c r="E272" s="5" t="str">
        <f ca="1">IFERROR(__xludf.DUMMYFUNCTION("""COMPUTED_VALUE"""),"Yes")</f>
        <v>Yes</v>
      </c>
      <c r="F272" s="5" t="str">
        <f ca="1">IFERROR(__xludf.DUMMYFUNCTION("""COMPUTED_VALUE"""),"Yes")</f>
        <v>Yes</v>
      </c>
      <c r="G272" s="5" t="str">
        <f ca="1">IFERROR(__xludf.DUMMYFUNCTION("""COMPUTED_VALUE"""),"Yes")</f>
        <v>Yes</v>
      </c>
      <c r="H272" s="5" t="str">
        <f ca="1">IFERROR(__xludf.DUMMYFUNCTION("""COMPUTED_VALUE"""),"Yes")</f>
        <v>Yes</v>
      </c>
      <c r="I272" s="5" t="str">
        <f ca="1">IFERROR(__xludf.DUMMYFUNCTION("""COMPUTED_VALUE"""),"Yes")</f>
        <v>Yes</v>
      </c>
      <c r="J272" s="5" t="str">
        <f ca="1">IFERROR(__xludf.DUMMYFUNCTION("""COMPUTED_VALUE"""),"Yes")</f>
        <v>Yes</v>
      </c>
      <c r="K272" s="5" t="str">
        <f ca="1">IFERROR(__xludf.DUMMYFUNCTION("""COMPUTED_VALUE"""),"Yes")</f>
        <v>Yes</v>
      </c>
      <c r="L272" s="5" t="str">
        <f ca="1">IFERROR(__xludf.DUMMYFUNCTION("""COMPUTED_VALUE"""),"Yes")</f>
        <v>Yes</v>
      </c>
      <c r="M272" s="5" t="str">
        <f ca="1">IFERROR(__xludf.DUMMYFUNCTION("""COMPUTED_VALUE"""),"Yes")</f>
        <v>Yes</v>
      </c>
      <c r="N272" s="5" t="str">
        <f ca="1">IFERROR(__xludf.DUMMYFUNCTION("""COMPUTED_VALUE"""),"Yes")</f>
        <v>Yes</v>
      </c>
      <c r="O272" s="5" t="str">
        <f ca="1">IFERROR(__xludf.DUMMYFUNCTION("""COMPUTED_VALUE"""),"Yes")</f>
        <v>Yes</v>
      </c>
      <c r="P272" s="5" t="str">
        <f ca="1">IFERROR(__xludf.DUMMYFUNCTION("""COMPUTED_VALUE"""),"Yes")</f>
        <v>Yes</v>
      </c>
      <c r="Q272" s="5" t="str">
        <f ca="1">IFERROR(__xludf.DUMMYFUNCTION("""COMPUTED_VALUE"""),"Yes")</f>
        <v>Yes</v>
      </c>
      <c r="R272" s="5" t="str">
        <f ca="1">IFERROR(__xludf.DUMMYFUNCTION("""COMPUTED_VALUE"""),"Yes")</f>
        <v>Yes</v>
      </c>
      <c r="S272" s="5" t="str">
        <f ca="1">IFERROR(__xludf.DUMMYFUNCTION("""COMPUTED_VALUE"""),"Yes")</f>
        <v>Yes</v>
      </c>
      <c r="T272" s="5" t="str">
        <f ca="1">IFERROR(__xludf.DUMMYFUNCTION("""COMPUTED_VALUE"""),"Yes")</f>
        <v>Yes</v>
      </c>
      <c r="U272" s="5" t="str">
        <f ca="1">IFERROR(__xludf.DUMMYFUNCTION("""COMPUTED_VALUE"""),"Yes")</f>
        <v>Yes</v>
      </c>
      <c r="V272" s="5" t="str">
        <f ca="1">IFERROR(__xludf.DUMMYFUNCTION("""COMPUTED_VALUE"""),"Yes")</f>
        <v>Yes</v>
      </c>
      <c r="W272" s="5" t="str">
        <f ca="1">IFERROR(__xludf.DUMMYFUNCTION("""COMPUTED_VALUE"""),"Yes")</f>
        <v>Yes</v>
      </c>
      <c r="X272" s="5" t="str">
        <f ca="1">IFERROR(__xludf.DUMMYFUNCTION("""COMPUTED_VALUE"""),"Yes")</f>
        <v>Yes</v>
      </c>
      <c r="Y272" s="5" t="str">
        <f ca="1">IFERROR(__xludf.DUMMYFUNCTION("""COMPUTED_VALUE"""),"Yes")</f>
        <v>Yes</v>
      </c>
      <c r="Z272" s="5" t="str">
        <f ca="1">IFERROR(__xludf.DUMMYFUNCTION("""COMPUTED_VALUE"""),"Yes")</f>
        <v>Yes</v>
      </c>
      <c r="AA272" s="5" t="str">
        <f ca="1">IFERROR(__xludf.DUMMYFUNCTION("""COMPUTED_VALUE"""),"Yes")</f>
        <v>Yes</v>
      </c>
      <c r="AB272" s="5" t="str">
        <f ca="1">IFERROR(__xludf.DUMMYFUNCTION("""COMPUTED_VALUE"""),"Yes")</f>
        <v>Yes</v>
      </c>
      <c r="AC272" s="5" t="str">
        <f ca="1">IFERROR(__xludf.DUMMYFUNCTION("""COMPUTED_VALUE"""),"No")</f>
        <v>No</v>
      </c>
    </row>
    <row r="273" spans="1:29" x14ac:dyDescent="0.25">
      <c r="A273" s="5" t="str">
        <f ca="1">IFERROR(__xludf.DUMMYFUNCTION("""COMPUTED_VALUE"""),"MayansBattle")</f>
        <v>MayansBattle</v>
      </c>
      <c r="B2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3" s="5" t="str">
        <f ca="1">IFERROR(__xludf.DUMMYFUNCTION("""COMPUTED_VALUE"""),"Yes")</f>
        <v>Yes</v>
      </c>
      <c r="D273" s="5" t="str">
        <f ca="1">IFERROR(__xludf.DUMMYFUNCTION("""COMPUTED_VALUE"""),"Yes")</f>
        <v>Yes</v>
      </c>
      <c r="E273" s="5" t="str">
        <f ca="1">IFERROR(__xludf.DUMMYFUNCTION("""COMPUTED_VALUE"""),"Yes")</f>
        <v>Yes</v>
      </c>
      <c r="F273" s="5" t="str">
        <f ca="1">IFERROR(__xludf.DUMMYFUNCTION("""COMPUTED_VALUE"""),"Yes")</f>
        <v>Yes</v>
      </c>
      <c r="G273" s="5" t="str">
        <f ca="1">IFERROR(__xludf.DUMMYFUNCTION("""COMPUTED_VALUE"""),"Yes")</f>
        <v>Yes</v>
      </c>
      <c r="H273" s="5" t="str">
        <f ca="1">IFERROR(__xludf.DUMMYFUNCTION("""COMPUTED_VALUE"""),"Yes")</f>
        <v>Yes</v>
      </c>
      <c r="I273" s="5" t="str">
        <f ca="1">IFERROR(__xludf.DUMMYFUNCTION("""COMPUTED_VALUE"""),"Yes")</f>
        <v>Yes</v>
      </c>
      <c r="J273" s="5" t="str">
        <f ca="1">IFERROR(__xludf.DUMMYFUNCTION("""COMPUTED_VALUE"""),"Yes")</f>
        <v>Yes</v>
      </c>
      <c r="K273" s="5" t="str">
        <f ca="1">IFERROR(__xludf.DUMMYFUNCTION("""COMPUTED_VALUE"""),"Yes")</f>
        <v>Yes</v>
      </c>
      <c r="L273" s="5" t="str">
        <f ca="1">IFERROR(__xludf.DUMMYFUNCTION("""COMPUTED_VALUE"""),"Yes")</f>
        <v>Yes</v>
      </c>
      <c r="M273" s="5" t="str">
        <f ca="1">IFERROR(__xludf.DUMMYFUNCTION("""COMPUTED_VALUE"""),"Yes")</f>
        <v>Yes</v>
      </c>
      <c r="N273" s="5" t="str">
        <f ca="1">IFERROR(__xludf.DUMMYFUNCTION("""COMPUTED_VALUE"""),"Yes")</f>
        <v>Yes</v>
      </c>
      <c r="O273" s="5" t="str">
        <f ca="1">IFERROR(__xludf.DUMMYFUNCTION("""COMPUTED_VALUE"""),"Yes")</f>
        <v>Yes</v>
      </c>
      <c r="P273" s="5" t="str">
        <f ca="1">IFERROR(__xludf.DUMMYFUNCTION("""COMPUTED_VALUE"""),"Yes")</f>
        <v>Yes</v>
      </c>
      <c r="Q273" s="5" t="str">
        <f ca="1">IFERROR(__xludf.DUMMYFUNCTION("""COMPUTED_VALUE"""),"Yes")</f>
        <v>Yes</v>
      </c>
      <c r="R273" s="5" t="str">
        <f ca="1">IFERROR(__xludf.DUMMYFUNCTION("""COMPUTED_VALUE"""),"Yes")</f>
        <v>Yes</v>
      </c>
      <c r="S273" s="5" t="str">
        <f ca="1">IFERROR(__xludf.DUMMYFUNCTION("""COMPUTED_VALUE"""),"Yes")</f>
        <v>Yes</v>
      </c>
      <c r="T273" s="5" t="str">
        <f ca="1">IFERROR(__xludf.DUMMYFUNCTION("""COMPUTED_VALUE"""),"Yes")</f>
        <v>Yes</v>
      </c>
      <c r="U273" s="5" t="str">
        <f ca="1">IFERROR(__xludf.DUMMYFUNCTION("""COMPUTED_VALUE"""),"Yes")</f>
        <v>Yes</v>
      </c>
      <c r="V273" s="5" t="str">
        <f ca="1">IFERROR(__xludf.DUMMYFUNCTION("""COMPUTED_VALUE"""),"Yes")</f>
        <v>Yes</v>
      </c>
      <c r="W273" s="5" t="str">
        <f ca="1">IFERROR(__xludf.DUMMYFUNCTION("""COMPUTED_VALUE"""),"Yes")</f>
        <v>Yes</v>
      </c>
      <c r="X273" s="5" t="str">
        <f ca="1">IFERROR(__xludf.DUMMYFUNCTION("""COMPUTED_VALUE"""),"Yes")</f>
        <v>Yes</v>
      </c>
      <c r="Y273" s="5" t="str">
        <f ca="1">IFERROR(__xludf.DUMMYFUNCTION("""COMPUTED_VALUE"""),"Yes")</f>
        <v>Yes</v>
      </c>
      <c r="Z273" s="5" t="str">
        <f ca="1">IFERROR(__xludf.DUMMYFUNCTION("""COMPUTED_VALUE"""),"Yes")</f>
        <v>Yes</v>
      </c>
      <c r="AA273" s="5" t="str">
        <f ca="1">IFERROR(__xludf.DUMMYFUNCTION("""COMPUTED_VALUE"""),"Yes")</f>
        <v>Yes</v>
      </c>
      <c r="AB273" s="5" t="str">
        <f ca="1">IFERROR(__xludf.DUMMYFUNCTION("""COMPUTED_VALUE"""),"Yes")</f>
        <v>Yes</v>
      </c>
      <c r="AC273" s="5" t="str">
        <f ca="1">IFERROR(__xludf.DUMMYFUNCTION("""COMPUTED_VALUE"""),"No")</f>
        <v>No</v>
      </c>
    </row>
    <row r="274" spans="1:29" x14ac:dyDescent="0.25">
      <c r="A274" s="5" t="str">
        <f ca="1">IFERROR(__xludf.DUMMYFUNCTION("""COMPUTED_VALUE"""),"UnicornFrootMachine")</f>
        <v>UnicornFrootMachine</v>
      </c>
      <c r="B2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274" s="5" t="str">
        <f ca="1">IFERROR(__xludf.DUMMYFUNCTION("""COMPUTED_VALUE"""),"Yes")</f>
        <v>Yes</v>
      </c>
      <c r="D274" s="5" t="str">
        <f ca="1">IFERROR(__xludf.DUMMYFUNCTION("""COMPUTED_VALUE"""),"Yes")</f>
        <v>Yes</v>
      </c>
      <c r="E274" s="5" t="str">
        <f ca="1">IFERROR(__xludf.DUMMYFUNCTION("""COMPUTED_VALUE"""),"Yes")</f>
        <v>Yes</v>
      </c>
      <c r="F274" s="5" t="str">
        <f ca="1">IFERROR(__xludf.DUMMYFUNCTION("""COMPUTED_VALUE"""),"Yes")</f>
        <v>Yes</v>
      </c>
      <c r="G274" s="5" t="str">
        <f ca="1">IFERROR(__xludf.DUMMYFUNCTION("""COMPUTED_VALUE"""),"Yes")</f>
        <v>Yes</v>
      </c>
      <c r="H274" s="5" t="str">
        <f ca="1">IFERROR(__xludf.DUMMYFUNCTION("""COMPUTED_VALUE"""),"Yes")</f>
        <v>Yes</v>
      </c>
      <c r="I274" s="5" t="str">
        <f ca="1">IFERROR(__xludf.DUMMYFUNCTION("""COMPUTED_VALUE"""),"Yes")</f>
        <v>Yes</v>
      </c>
      <c r="J274" s="5" t="str">
        <f ca="1">IFERROR(__xludf.DUMMYFUNCTION("""COMPUTED_VALUE"""),"Yes")</f>
        <v>Yes</v>
      </c>
      <c r="K274" s="5" t="str">
        <f ca="1">IFERROR(__xludf.DUMMYFUNCTION("""COMPUTED_VALUE"""),"Yes")</f>
        <v>Yes</v>
      </c>
      <c r="L274" s="5" t="str">
        <f ca="1">IFERROR(__xludf.DUMMYFUNCTION("""COMPUTED_VALUE"""),"Yes")</f>
        <v>Yes</v>
      </c>
      <c r="M274" s="5" t="str">
        <f ca="1">IFERROR(__xludf.DUMMYFUNCTION("""COMPUTED_VALUE"""),"Yes")</f>
        <v>Yes</v>
      </c>
      <c r="N274" s="5" t="str">
        <f ca="1">IFERROR(__xludf.DUMMYFUNCTION("""COMPUTED_VALUE"""),"Yes")</f>
        <v>Yes</v>
      </c>
      <c r="O274" s="5" t="str">
        <f ca="1">IFERROR(__xludf.DUMMYFUNCTION("""COMPUTED_VALUE"""),"Yes")</f>
        <v>Yes</v>
      </c>
      <c r="P274" s="5" t="str">
        <f ca="1">IFERROR(__xludf.DUMMYFUNCTION("""COMPUTED_VALUE"""),"Yes")</f>
        <v>Yes</v>
      </c>
      <c r="Q274" s="5" t="str">
        <f ca="1">IFERROR(__xludf.DUMMYFUNCTION("""COMPUTED_VALUE"""),"Yes")</f>
        <v>Yes</v>
      </c>
      <c r="R274" s="5" t="str">
        <f ca="1">IFERROR(__xludf.DUMMYFUNCTION("""COMPUTED_VALUE"""),"Yes")</f>
        <v>Yes</v>
      </c>
      <c r="S274" s="5" t="str">
        <f ca="1">IFERROR(__xludf.DUMMYFUNCTION("""COMPUTED_VALUE"""),"Yes")</f>
        <v>Yes</v>
      </c>
      <c r="T274" s="5" t="str">
        <f ca="1">IFERROR(__xludf.DUMMYFUNCTION("""COMPUTED_VALUE"""),"Yes")</f>
        <v>Yes</v>
      </c>
      <c r="U274" s="5" t="str">
        <f ca="1">IFERROR(__xludf.DUMMYFUNCTION("""COMPUTED_VALUE"""),"Yes")</f>
        <v>Yes</v>
      </c>
      <c r="V274" s="5"/>
      <c r="W274" s="5"/>
      <c r="X274" s="5"/>
      <c r="Y274" s="5"/>
      <c r="Z274" s="5" t="str">
        <f ca="1">IFERROR(__xludf.DUMMYFUNCTION("""COMPUTED_VALUE"""),"Yes")</f>
        <v>Yes</v>
      </c>
      <c r="AA274" s="5"/>
      <c r="AB274" s="5"/>
      <c r="AC274" s="5"/>
    </row>
    <row r="275" spans="1:29" x14ac:dyDescent="0.25">
      <c r="A275" s="5" t="str">
        <f ca="1">IFERROR(__xludf.DUMMYFUNCTION("""COMPUTED_VALUE"""),"UnicornSimplySevensDice")</f>
        <v>UnicornSimplySevensDice</v>
      </c>
      <c r="B27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75" s="5" t="str">
        <f ca="1">IFERROR(__xludf.DUMMYFUNCTION("""COMPUTED_VALUE"""),"Yes")</f>
        <v>Yes</v>
      </c>
      <c r="D275" s="5" t="str">
        <f ca="1">IFERROR(__xludf.DUMMYFUNCTION("""COMPUTED_VALUE"""),"Yes")</f>
        <v>Yes</v>
      </c>
      <c r="E275" s="5" t="str">
        <f ca="1">IFERROR(__xludf.DUMMYFUNCTION("""COMPUTED_VALUE"""),"Yes")</f>
        <v>Yes</v>
      </c>
      <c r="F275" s="5" t="str">
        <f ca="1">IFERROR(__xludf.DUMMYFUNCTION("""COMPUTED_VALUE"""),"No")</f>
        <v>No</v>
      </c>
      <c r="G275" s="5" t="str">
        <f ca="1">IFERROR(__xludf.DUMMYFUNCTION("""COMPUTED_VALUE"""),"No")</f>
        <v>No</v>
      </c>
      <c r="H275" s="5" t="str">
        <f ca="1">IFERROR(__xludf.DUMMYFUNCTION("""COMPUTED_VALUE"""),"No")</f>
        <v>No</v>
      </c>
      <c r="I275" s="5" t="str">
        <f ca="1">IFERROR(__xludf.DUMMYFUNCTION("""COMPUTED_VALUE"""),"No")</f>
        <v>No</v>
      </c>
      <c r="J275" s="5" t="str">
        <f ca="1">IFERROR(__xludf.DUMMYFUNCTION("""COMPUTED_VALUE"""),"No")</f>
        <v>No</v>
      </c>
      <c r="K275" s="5" t="str">
        <f ca="1">IFERROR(__xludf.DUMMYFUNCTION("""COMPUTED_VALUE"""),"Yes")</f>
        <v>Yes</v>
      </c>
      <c r="L275" s="5" t="str">
        <f ca="1">IFERROR(__xludf.DUMMYFUNCTION("""COMPUTED_VALUE"""),"Yes")</f>
        <v>Yes</v>
      </c>
      <c r="M275" s="5" t="str">
        <f ca="1">IFERROR(__xludf.DUMMYFUNCTION("""COMPUTED_VALUE"""),"Yes")</f>
        <v>Yes</v>
      </c>
      <c r="N275" s="5" t="str">
        <f ca="1">IFERROR(__xludf.DUMMYFUNCTION("""COMPUTED_VALUE"""),"Yes")</f>
        <v>Yes</v>
      </c>
      <c r="O275" s="5" t="str">
        <f ca="1">IFERROR(__xludf.DUMMYFUNCTION("""COMPUTED_VALUE"""),"Yes")</f>
        <v>Yes</v>
      </c>
      <c r="P275" s="5" t="str">
        <f ca="1">IFERROR(__xludf.DUMMYFUNCTION("""COMPUTED_VALUE"""),"No")</f>
        <v>No</v>
      </c>
      <c r="Q275" s="5" t="str">
        <f ca="1">IFERROR(__xludf.DUMMYFUNCTION("""COMPUTED_VALUE"""),"Yes")</f>
        <v>Yes</v>
      </c>
      <c r="R275" s="5" t="str">
        <f ca="1">IFERROR(__xludf.DUMMYFUNCTION("""COMPUTED_VALUE"""),"No")</f>
        <v>No</v>
      </c>
      <c r="S275" s="5" t="str">
        <f ca="1">IFERROR(__xludf.DUMMYFUNCTION("""COMPUTED_VALUE"""),"No")</f>
        <v>No</v>
      </c>
      <c r="T275" s="5" t="str">
        <f ca="1">IFERROR(__xludf.DUMMYFUNCTION("""COMPUTED_VALUE"""),"No")</f>
        <v>No</v>
      </c>
      <c r="U275" s="5" t="str">
        <f ca="1">IFERROR(__xludf.DUMMYFUNCTION("""COMPUTED_VALUE"""),"No")</f>
        <v>No</v>
      </c>
      <c r="V275" s="5"/>
      <c r="W275" s="5"/>
      <c r="X275" s="5"/>
      <c r="Y275" s="5"/>
      <c r="Z275" s="5" t="str">
        <f ca="1">IFERROR(__xludf.DUMMYFUNCTION("""COMPUTED_VALUE"""),"No")</f>
        <v>No</v>
      </c>
      <c r="AA275" s="5"/>
      <c r="AB275" s="5"/>
      <c r="AC275" s="5"/>
    </row>
    <row r="276" spans="1:29" x14ac:dyDescent="0.25">
      <c r="A276" s="5" t="str">
        <f ca="1">IFERROR(__xludf.DUMMYFUNCTION("""COMPUTED_VALUE"""),"WildCraps")</f>
        <v>WildCraps</v>
      </c>
      <c r="B2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6" s="5" t="str">
        <f ca="1">IFERROR(__xludf.DUMMYFUNCTION("""COMPUTED_VALUE"""),"Yes")</f>
        <v>Yes</v>
      </c>
      <c r="D276" s="5" t="str">
        <f ca="1">IFERROR(__xludf.DUMMYFUNCTION("""COMPUTED_VALUE"""),"Yes")</f>
        <v>Yes</v>
      </c>
      <c r="E276" s="5" t="str">
        <f ca="1">IFERROR(__xludf.DUMMYFUNCTION("""COMPUTED_VALUE"""),"Yes")</f>
        <v>Yes</v>
      </c>
      <c r="F276" s="5" t="str">
        <f ca="1">IFERROR(__xludf.DUMMYFUNCTION("""COMPUTED_VALUE"""),"Yes")</f>
        <v>Yes</v>
      </c>
      <c r="G276" s="5" t="str">
        <f ca="1">IFERROR(__xludf.DUMMYFUNCTION("""COMPUTED_VALUE"""),"Yes")</f>
        <v>Yes</v>
      </c>
      <c r="H276" s="5" t="str">
        <f ca="1">IFERROR(__xludf.DUMMYFUNCTION("""COMPUTED_VALUE"""),"Yes")</f>
        <v>Yes</v>
      </c>
      <c r="I276" s="5" t="str">
        <f ca="1">IFERROR(__xludf.DUMMYFUNCTION("""COMPUTED_VALUE"""),"Yes")</f>
        <v>Yes</v>
      </c>
      <c r="J276" s="5" t="str">
        <f ca="1">IFERROR(__xludf.DUMMYFUNCTION("""COMPUTED_VALUE"""),"Yes")</f>
        <v>Yes</v>
      </c>
      <c r="K276" s="5" t="str">
        <f ca="1">IFERROR(__xludf.DUMMYFUNCTION("""COMPUTED_VALUE"""),"Yes")</f>
        <v>Yes</v>
      </c>
      <c r="L276" s="5" t="str">
        <f ca="1">IFERROR(__xludf.DUMMYFUNCTION("""COMPUTED_VALUE"""),"Yes")</f>
        <v>Yes</v>
      </c>
      <c r="M276" s="5" t="str">
        <f ca="1">IFERROR(__xludf.DUMMYFUNCTION("""COMPUTED_VALUE"""),"Yes")</f>
        <v>Yes</v>
      </c>
      <c r="N276" s="5" t="str">
        <f ca="1">IFERROR(__xludf.DUMMYFUNCTION("""COMPUTED_VALUE"""),"Yes")</f>
        <v>Yes</v>
      </c>
      <c r="O276" s="5" t="str">
        <f ca="1">IFERROR(__xludf.DUMMYFUNCTION("""COMPUTED_VALUE"""),"Yes")</f>
        <v>Yes</v>
      </c>
      <c r="P276" s="5" t="str">
        <f ca="1">IFERROR(__xludf.DUMMYFUNCTION("""COMPUTED_VALUE"""),"Yes")</f>
        <v>Yes</v>
      </c>
      <c r="Q276" s="5" t="str">
        <f ca="1">IFERROR(__xludf.DUMMYFUNCTION("""COMPUTED_VALUE"""),"Yes")</f>
        <v>Yes</v>
      </c>
      <c r="R276" s="5" t="str">
        <f ca="1">IFERROR(__xludf.DUMMYFUNCTION("""COMPUTED_VALUE"""),"Yes")</f>
        <v>Yes</v>
      </c>
      <c r="S276" s="5" t="str">
        <f ca="1">IFERROR(__xludf.DUMMYFUNCTION("""COMPUTED_VALUE"""),"Yes")</f>
        <v>Yes</v>
      </c>
      <c r="T276" s="5" t="str">
        <f ca="1">IFERROR(__xludf.DUMMYFUNCTION("""COMPUTED_VALUE"""),"Yes")</f>
        <v>Yes</v>
      </c>
      <c r="U276" s="5" t="str">
        <f ca="1">IFERROR(__xludf.DUMMYFUNCTION("""COMPUTED_VALUE"""),"Yes")</f>
        <v>Yes</v>
      </c>
      <c r="V276" s="5" t="str">
        <f ca="1">IFERROR(__xludf.DUMMYFUNCTION("""COMPUTED_VALUE"""),"Yes")</f>
        <v>Yes</v>
      </c>
      <c r="W276" s="5" t="str">
        <f ca="1">IFERROR(__xludf.DUMMYFUNCTION("""COMPUTED_VALUE"""),"Yes")</f>
        <v>Yes</v>
      </c>
      <c r="X276" s="5" t="str">
        <f ca="1">IFERROR(__xludf.DUMMYFUNCTION("""COMPUTED_VALUE"""),"Yes")</f>
        <v>Yes</v>
      </c>
      <c r="Y276" s="5" t="str">
        <f ca="1">IFERROR(__xludf.DUMMYFUNCTION("""COMPUTED_VALUE"""),"Yes")</f>
        <v>Yes</v>
      </c>
      <c r="Z276" s="5" t="str">
        <f ca="1">IFERROR(__xludf.DUMMYFUNCTION("""COMPUTED_VALUE"""),"Yes")</f>
        <v>Yes</v>
      </c>
      <c r="AA276" s="5" t="str">
        <f ca="1">IFERROR(__xludf.DUMMYFUNCTION("""COMPUTED_VALUE"""),"Yes")</f>
        <v>Yes</v>
      </c>
      <c r="AB276" s="5" t="str">
        <f ca="1">IFERROR(__xludf.DUMMYFUNCTION("""COMPUTED_VALUE"""),"Yes")</f>
        <v>Yes</v>
      </c>
      <c r="AC276" s="5" t="str">
        <f ca="1">IFERROR(__xludf.DUMMYFUNCTION("""COMPUTED_VALUE"""),"No")</f>
        <v>No</v>
      </c>
    </row>
    <row r="277" spans="1:29" x14ac:dyDescent="0.25">
      <c r="A277" s="5" t="str">
        <f ca="1">IFERROR(__xludf.DUMMYFUNCTION("""COMPUTED_VALUE"""),"RedstoneFearOfDark")</f>
        <v>RedstoneFearOfDark</v>
      </c>
      <c r="B2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7" s="5" t="str">
        <f ca="1">IFERROR(__xludf.DUMMYFUNCTION("""COMPUTED_VALUE"""),"Yes")</f>
        <v>Yes</v>
      </c>
      <c r="D277" s="5" t="str">
        <f ca="1">IFERROR(__xludf.DUMMYFUNCTION("""COMPUTED_VALUE"""),"Yes")</f>
        <v>Yes</v>
      </c>
      <c r="E277" s="5" t="str">
        <f ca="1">IFERROR(__xludf.DUMMYFUNCTION("""COMPUTED_VALUE"""),"Yes")</f>
        <v>Yes</v>
      </c>
      <c r="F277" s="5" t="str">
        <f ca="1">IFERROR(__xludf.DUMMYFUNCTION("""COMPUTED_VALUE"""),"Yes")</f>
        <v>Yes</v>
      </c>
      <c r="G277" s="5" t="str">
        <f ca="1">IFERROR(__xludf.DUMMYFUNCTION("""COMPUTED_VALUE"""),"Yes")</f>
        <v>Yes</v>
      </c>
      <c r="H277" s="5" t="str">
        <f ca="1">IFERROR(__xludf.DUMMYFUNCTION("""COMPUTED_VALUE"""),"Yes")</f>
        <v>Yes</v>
      </c>
      <c r="I277" s="5" t="str">
        <f ca="1">IFERROR(__xludf.DUMMYFUNCTION("""COMPUTED_VALUE"""),"Yes")</f>
        <v>Yes</v>
      </c>
      <c r="J277" s="5" t="str">
        <f ca="1">IFERROR(__xludf.DUMMYFUNCTION("""COMPUTED_VALUE"""),"Yes")</f>
        <v>Yes</v>
      </c>
      <c r="K277" s="5" t="str">
        <f ca="1">IFERROR(__xludf.DUMMYFUNCTION("""COMPUTED_VALUE"""),"Yes")</f>
        <v>Yes</v>
      </c>
      <c r="L277" s="5" t="str">
        <f ca="1">IFERROR(__xludf.DUMMYFUNCTION("""COMPUTED_VALUE"""),"Yes")</f>
        <v>Yes</v>
      </c>
      <c r="M277" s="5" t="str">
        <f ca="1">IFERROR(__xludf.DUMMYFUNCTION("""COMPUTED_VALUE"""),"Yes")</f>
        <v>Yes</v>
      </c>
      <c r="N277" s="5" t="str">
        <f ca="1">IFERROR(__xludf.DUMMYFUNCTION("""COMPUTED_VALUE"""),"Yes")</f>
        <v>Yes</v>
      </c>
      <c r="O277" s="5" t="str">
        <f ca="1">IFERROR(__xludf.DUMMYFUNCTION("""COMPUTED_VALUE"""),"Yes")</f>
        <v>Yes</v>
      </c>
      <c r="P277" s="5" t="str">
        <f ca="1">IFERROR(__xludf.DUMMYFUNCTION("""COMPUTED_VALUE"""),"Yes")</f>
        <v>Yes</v>
      </c>
      <c r="Q277" s="5" t="str">
        <f ca="1">IFERROR(__xludf.DUMMYFUNCTION("""COMPUTED_VALUE"""),"Yes")</f>
        <v>Yes</v>
      </c>
      <c r="R277" s="5" t="str">
        <f ca="1">IFERROR(__xludf.DUMMYFUNCTION("""COMPUTED_VALUE"""),"Yes")</f>
        <v>Yes</v>
      </c>
      <c r="S277" s="5" t="str">
        <f ca="1">IFERROR(__xludf.DUMMYFUNCTION("""COMPUTED_VALUE"""),"Yes")</f>
        <v>Yes</v>
      </c>
      <c r="T277" s="5" t="str">
        <f ca="1">IFERROR(__xludf.DUMMYFUNCTION("""COMPUTED_VALUE"""),"Yes")</f>
        <v>Yes</v>
      </c>
      <c r="U277" s="5" t="str">
        <f ca="1">IFERROR(__xludf.DUMMYFUNCTION("""COMPUTED_VALUE"""),"Yes")</f>
        <v>Yes</v>
      </c>
      <c r="V277" s="5"/>
      <c r="W277" s="5" t="str">
        <f ca="1">IFERROR(__xludf.DUMMYFUNCTION("""COMPUTED_VALUE"""),"Yes")</f>
        <v>Yes</v>
      </c>
      <c r="X277" s="5" t="str">
        <f ca="1">IFERROR(__xludf.DUMMYFUNCTION("""COMPUTED_VALUE"""),"Yes")</f>
        <v>Yes</v>
      </c>
      <c r="Y277" s="5" t="str">
        <f ca="1">IFERROR(__xludf.DUMMYFUNCTION("""COMPUTED_VALUE"""),"Yes")</f>
        <v>Yes</v>
      </c>
      <c r="Z277" s="5" t="str">
        <f ca="1">IFERROR(__xludf.DUMMYFUNCTION("""COMPUTED_VALUE"""),"Yes")</f>
        <v>Yes</v>
      </c>
      <c r="AA277" s="5" t="str">
        <f ca="1">IFERROR(__xludf.DUMMYFUNCTION("""COMPUTED_VALUE"""),"Yes")</f>
        <v>Yes</v>
      </c>
      <c r="AB277" s="5" t="str">
        <f ca="1">IFERROR(__xludf.DUMMYFUNCTION("""COMPUTED_VALUE"""),"Yes")</f>
        <v>Yes</v>
      </c>
      <c r="AC277" s="5"/>
    </row>
    <row r="278" spans="1:29" x14ac:dyDescent="0.25">
      <c r="A278" s="5" t="str">
        <f ca="1">IFERROR(__xludf.DUMMYFUNCTION("""COMPUTED_VALUE"""),"MrFirstCryptonium")</f>
        <v>MrFirstCryptonium</v>
      </c>
      <c r="B2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8" s="5" t="str">
        <f ca="1">IFERROR(__xludf.DUMMYFUNCTION("""COMPUTED_VALUE"""),"Yes")</f>
        <v>Yes</v>
      </c>
      <c r="D278" s="5" t="str">
        <f ca="1">IFERROR(__xludf.DUMMYFUNCTION("""COMPUTED_VALUE"""),"Yes")</f>
        <v>Yes</v>
      </c>
      <c r="E278" s="5" t="str">
        <f ca="1">IFERROR(__xludf.DUMMYFUNCTION("""COMPUTED_VALUE"""),"Yes")</f>
        <v>Yes</v>
      </c>
      <c r="F278" s="5" t="str">
        <f ca="1">IFERROR(__xludf.DUMMYFUNCTION("""COMPUTED_VALUE"""),"Yes")</f>
        <v>Yes</v>
      </c>
      <c r="G278" s="5" t="str">
        <f ca="1">IFERROR(__xludf.DUMMYFUNCTION("""COMPUTED_VALUE"""),"Yes")</f>
        <v>Yes</v>
      </c>
      <c r="H278" s="5" t="str">
        <f ca="1">IFERROR(__xludf.DUMMYFUNCTION("""COMPUTED_VALUE"""),"Yes")</f>
        <v>Yes</v>
      </c>
      <c r="I278" s="5" t="str">
        <f ca="1">IFERROR(__xludf.DUMMYFUNCTION("""COMPUTED_VALUE"""),"Yes")</f>
        <v>Yes</v>
      </c>
      <c r="J278" s="5" t="str">
        <f ca="1">IFERROR(__xludf.DUMMYFUNCTION("""COMPUTED_VALUE"""),"Yes")</f>
        <v>Yes</v>
      </c>
      <c r="K278" s="5" t="str">
        <f ca="1">IFERROR(__xludf.DUMMYFUNCTION("""COMPUTED_VALUE"""),"Yes")</f>
        <v>Yes</v>
      </c>
      <c r="L278" s="5" t="str">
        <f ca="1">IFERROR(__xludf.DUMMYFUNCTION("""COMPUTED_VALUE"""),"Yes")</f>
        <v>Yes</v>
      </c>
      <c r="M278" s="5" t="str">
        <f ca="1">IFERROR(__xludf.DUMMYFUNCTION("""COMPUTED_VALUE"""),"Yes")</f>
        <v>Yes</v>
      </c>
      <c r="N278" s="5" t="str">
        <f ca="1">IFERROR(__xludf.DUMMYFUNCTION("""COMPUTED_VALUE"""),"Yes")</f>
        <v>Yes</v>
      </c>
      <c r="O278" s="5" t="str">
        <f ca="1">IFERROR(__xludf.DUMMYFUNCTION("""COMPUTED_VALUE"""),"Yes")</f>
        <v>Yes</v>
      </c>
      <c r="P278" s="5" t="str">
        <f ca="1">IFERROR(__xludf.DUMMYFUNCTION("""COMPUTED_VALUE"""),"Yes")</f>
        <v>Yes</v>
      </c>
      <c r="Q278" s="5" t="str">
        <f ca="1">IFERROR(__xludf.DUMMYFUNCTION("""COMPUTED_VALUE"""),"Yes")</f>
        <v>Yes</v>
      </c>
      <c r="R278" s="5" t="str">
        <f ca="1">IFERROR(__xludf.DUMMYFUNCTION("""COMPUTED_VALUE"""),"Yes")</f>
        <v>Yes</v>
      </c>
      <c r="S278" s="5" t="str">
        <f ca="1">IFERROR(__xludf.DUMMYFUNCTION("""COMPUTED_VALUE"""),"Yes")</f>
        <v>Yes</v>
      </c>
      <c r="T278" s="5" t="str">
        <f ca="1">IFERROR(__xludf.DUMMYFUNCTION("""COMPUTED_VALUE"""),"Yes")</f>
        <v>Yes</v>
      </c>
      <c r="U278" s="5" t="str">
        <f ca="1">IFERROR(__xludf.DUMMYFUNCTION("""COMPUTED_VALUE"""),"Yes")</f>
        <v>Yes</v>
      </c>
      <c r="V278" s="5" t="str">
        <f ca="1">IFERROR(__xludf.DUMMYFUNCTION("""COMPUTED_VALUE"""),"Yes")</f>
        <v>Yes</v>
      </c>
      <c r="W278" s="5" t="str">
        <f ca="1">IFERROR(__xludf.DUMMYFUNCTION("""COMPUTED_VALUE"""),"Yes")</f>
        <v>Yes</v>
      </c>
      <c r="X278" s="5" t="str">
        <f ca="1">IFERROR(__xludf.DUMMYFUNCTION("""COMPUTED_VALUE"""),"Yes")</f>
        <v>Yes</v>
      </c>
      <c r="Y278" s="5" t="str">
        <f ca="1">IFERROR(__xludf.DUMMYFUNCTION("""COMPUTED_VALUE"""),"Yes")</f>
        <v>Yes</v>
      </c>
      <c r="Z278" s="5" t="str">
        <f ca="1">IFERROR(__xludf.DUMMYFUNCTION("""COMPUTED_VALUE"""),"Yes")</f>
        <v>Yes</v>
      </c>
      <c r="AA278" s="5" t="str">
        <f ca="1">IFERROR(__xludf.DUMMYFUNCTION("""COMPUTED_VALUE"""),"Yes")</f>
        <v>Yes</v>
      </c>
      <c r="AB278" s="5" t="str">
        <f ca="1">IFERROR(__xludf.DUMMYFUNCTION("""COMPUTED_VALUE"""),"Yes")</f>
        <v>Yes</v>
      </c>
      <c r="AC278" s="5" t="str">
        <f ca="1">IFERROR(__xludf.DUMMYFUNCTION("""COMPUTED_VALUE"""),"No")</f>
        <v>No</v>
      </c>
    </row>
    <row r="279" spans="1:29" x14ac:dyDescent="0.25">
      <c r="A279" s="5" t="str">
        <f ca="1">IFERROR(__xludf.DUMMYFUNCTION("""COMPUTED_VALUE"""),"UnicornFruitIslandChristmas")</f>
        <v>UnicornFruitIslandChristmas</v>
      </c>
      <c r="B2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9" s="5" t="str">
        <f ca="1">IFERROR(__xludf.DUMMYFUNCTION("""COMPUTED_VALUE"""),"Yes")</f>
        <v>Yes</v>
      </c>
      <c r="D279" s="5" t="str">
        <f ca="1">IFERROR(__xludf.DUMMYFUNCTION("""COMPUTED_VALUE"""),"Yes")</f>
        <v>Yes</v>
      </c>
      <c r="E279" s="5" t="str">
        <f ca="1">IFERROR(__xludf.DUMMYFUNCTION("""COMPUTED_VALUE"""),"Yes")</f>
        <v>Yes</v>
      </c>
      <c r="F279" s="5" t="str">
        <f ca="1">IFERROR(__xludf.DUMMYFUNCTION("""COMPUTED_VALUE"""),"Yes")</f>
        <v>Yes</v>
      </c>
      <c r="G279" s="5" t="str">
        <f ca="1">IFERROR(__xludf.DUMMYFUNCTION("""COMPUTED_VALUE"""),"Yes")</f>
        <v>Yes</v>
      </c>
      <c r="H279" s="5" t="str">
        <f ca="1">IFERROR(__xludf.DUMMYFUNCTION("""COMPUTED_VALUE"""),"Yes")</f>
        <v>Yes</v>
      </c>
      <c r="I279" s="5" t="str">
        <f ca="1">IFERROR(__xludf.DUMMYFUNCTION("""COMPUTED_VALUE"""),"Yes")</f>
        <v>Yes</v>
      </c>
      <c r="J279" s="5" t="str">
        <f ca="1">IFERROR(__xludf.DUMMYFUNCTION("""COMPUTED_VALUE"""),"Yes")</f>
        <v>Yes</v>
      </c>
      <c r="K279" s="5" t="str">
        <f ca="1">IFERROR(__xludf.DUMMYFUNCTION("""COMPUTED_VALUE"""),"Yes")</f>
        <v>Yes</v>
      </c>
      <c r="L279" s="5" t="str">
        <f ca="1">IFERROR(__xludf.DUMMYFUNCTION("""COMPUTED_VALUE"""),"Yes")</f>
        <v>Yes</v>
      </c>
      <c r="M279" s="5" t="str">
        <f ca="1">IFERROR(__xludf.DUMMYFUNCTION("""COMPUTED_VALUE"""),"Yes")</f>
        <v>Yes</v>
      </c>
      <c r="N279" s="5" t="str">
        <f ca="1">IFERROR(__xludf.DUMMYFUNCTION("""COMPUTED_VALUE"""),"Yes")</f>
        <v>Yes</v>
      </c>
      <c r="O279" s="5" t="str">
        <f ca="1">IFERROR(__xludf.DUMMYFUNCTION("""COMPUTED_VALUE"""),"Yes")</f>
        <v>Yes</v>
      </c>
      <c r="P279" s="5" t="str">
        <f ca="1">IFERROR(__xludf.DUMMYFUNCTION("""COMPUTED_VALUE"""),"Yes")</f>
        <v>Yes</v>
      </c>
      <c r="Q279" s="5" t="str">
        <f ca="1">IFERROR(__xludf.DUMMYFUNCTION("""COMPUTED_VALUE"""),"Yes")</f>
        <v>Yes</v>
      </c>
      <c r="R279" s="5" t="str">
        <f ca="1">IFERROR(__xludf.DUMMYFUNCTION("""COMPUTED_VALUE"""),"Yes")</f>
        <v>Yes</v>
      </c>
      <c r="S279" s="5" t="str">
        <f ca="1">IFERROR(__xludf.DUMMYFUNCTION("""COMPUTED_VALUE"""),"Yes")</f>
        <v>Yes</v>
      </c>
      <c r="T279" s="5" t="str">
        <f ca="1">IFERROR(__xludf.DUMMYFUNCTION("""COMPUTED_VALUE"""),"Yes")</f>
        <v>Yes</v>
      </c>
      <c r="U279" s="5" t="str">
        <f ca="1">IFERROR(__xludf.DUMMYFUNCTION("""COMPUTED_VALUE"""),"Yes")</f>
        <v>Yes</v>
      </c>
      <c r="V279" s="5"/>
      <c r="W279" s="5" t="str">
        <f ca="1">IFERROR(__xludf.DUMMYFUNCTION("""COMPUTED_VALUE"""),"Yes")</f>
        <v>Yes</v>
      </c>
      <c r="X279" s="5" t="str">
        <f ca="1">IFERROR(__xludf.DUMMYFUNCTION("""COMPUTED_VALUE"""),"Yes")</f>
        <v>Yes</v>
      </c>
      <c r="Y279" s="5" t="str">
        <f ca="1">IFERROR(__xludf.DUMMYFUNCTION("""COMPUTED_VALUE"""),"Yes")</f>
        <v>Yes</v>
      </c>
      <c r="Z279" s="5" t="str">
        <f ca="1">IFERROR(__xludf.DUMMYFUNCTION("""COMPUTED_VALUE"""),"Yes")</f>
        <v>Yes</v>
      </c>
      <c r="AA279" s="5" t="str">
        <f ca="1">IFERROR(__xludf.DUMMYFUNCTION("""COMPUTED_VALUE"""),"Yes")</f>
        <v>Yes</v>
      </c>
      <c r="AB279" s="5" t="str">
        <f ca="1">IFERROR(__xludf.DUMMYFUNCTION("""COMPUTED_VALUE"""),"Yes")</f>
        <v>Yes</v>
      </c>
      <c r="AC279" s="5"/>
    </row>
    <row r="280" spans="1:29" x14ac:dyDescent="0.25">
      <c r="A280" s="5" t="str">
        <f ca="1">IFERROR(__xludf.DUMMYFUNCTION("""COMPUTED_VALUE"""),"UnicornStarDiceChristmas")</f>
        <v>UnicornStarDiceChristmas</v>
      </c>
      <c r="B28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80" s="5" t="str">
        <f ca="1">IFERROR(__xludf.DUMMYFUNCTION("""COMPUTED_VALUE"""),"Yes")</f>
        <v>Yes</v>
      </c>
      <c r="D280" s="5" t="str">
        <f ca="1">IFERROR(__xludf.DUMMYFUNCTION("""COMPUTED_VALUE"""),"Yes")</f>
        <v>Yes</v>
      </c>
      <c r="E280" s="5" t="str">
        <f ca="1">IFERROR(__xludf.DUMMYFUNCTION("""COMPUTED_VALUE"""),"Yes")</f>
        <v>Yes</v>
      </c>
      <c r="F280" s="5" t="str">
        <f ca="1">IFERROR(__xludf.DUMMYFUNCTION("""COMPUTED_VALUE"""),"No")</f>
        <v>No</v>
      </c>
      <c r="G280" s="5" t="str">
        <f ca="1">IFERROR(__xludf.DUMMYFUNCTION("""COMPUTED_VALUE"""),"No")</f>
        <v>No</v>
      </c>
      <c r="H280" s="5" t="str">
        <f ca="1">IFERROR(__xludf.DUMMYFUNCTION("""COMPUTED_VALUE"""),"No")</f>
        <v>No</v>
      </c>
      <c r="I280" s="5" t="str">
        <f ca="1">IFERROR(__xludf.DUMMYFUNCTION("""COMPUTED_VALUE"""),"No")</f>
        <v>No</v>
      </c>
      <c r="J280" s="5" t="str">
        <f ca="1">IFERROR(__xludf.DUMMYFUNCTION("""COMPUTED_VALUE"""),"No")</f>
        <v>No</v>
      </c>
      <c r="K280" s="5" t="str">
        <f ca="1">IFERROR(__xludf.DUMMYFUNCTION("""COMPUTED_VALUE"""),"Yes")</f>
        <v>Yes</v>
      </c>
      <c r="L280" s="5" t="str">
        <f ca="1">IFERROR(__xludf.DUMMYFUNCTION("""COMPUTED_VALUE"""),"Yes")</f>
        <v>Yes</v>
      </c>
      <c r="M280" s="5" t="str">
        <f ca="1">IFERROR(__xludf.DUMMYFUNCTION("""COMPUTED_VALUE"""),"Yes")</f>
        <v>Yes</v>
      </c>
      <c r="N280" s="5" t="str">
        <f ca="1">IFERROR(__xludf.DUMMYFUNCTION("""COMPUTED_VALUE"""),"Yes")</f>
        <v>Yes</v>
      </c>
      <c r="O280" s="5" t="str">
        <f ca="1">IFERROR(__xludf.DUMMYFUNCTION("""COMPUTED_VALUE"""),"Yes")</f>
        <v>Yes</v>
      </c>
      <c r="P280" s="5" t="str">
        <f ca="1">IFERROR(__xludf.DUMMYFUNCTION("""COMPUTED_VALUE"""),"No")</f>
        <v>No</v>
      </c>
      <c r="Q280" s="5" t="str">
        <f ca="1">IFERROR(__xludf.DUMMYFUNCTION("""COMPUTED_VALUE"""),"Yes")</f>
        <v>Yes</v>
      </c>
      <c r="R280" s="5" t="str">
        <f ca="1">IFERROR(__xludf.DUMMYFUNCTION("""COMPUTED_VALUE"""),"No")</f>
        <v>No</v>
      </c>
      <c r="S280" s="5" t="str">
        <f ca="1">IFERROR(__xludf.DUMMYFUNCTION("""COMPUTED_VALUE"""),"No")</f>
        <v>No</v>
      </c>
      <c r="T280" s="5" t="str">
        <f ca="1">IFERROR(__xludf.DUMMYFUNCTION("""COMPUTED_VALUE"""),"No")</f>
        <v>No</v>
      </c>
      <c r="U280" s="5" t="str">
        <f ca="1">IFERROR(__xludf.DUMMYFUNCTION("""COMPUTED_VALUE"""),"No")</f>
        <v>No</v>
      </c>
      <c r="V280" s="5"/>
      <c r="W280" s="5"/>
      <c r="X280" s="5"/>
      <c r="Y280" s="5"/>
      <c r="Z280" s="5" t="str">
        <f ca="1">IFERROR(__xludf.DUMMYFUNCTION("""COMPUTED_VALUE"""),"No")</f>
        <v>No</v>
      </c>
      <c r="AA280" s="5"/>
      <c r="AB280" s="5"/>
      <c r="AC280" s="5"/>
    </row>
    <row r="281" spans="1:29" x14ac:dyDescent="0.25">
      <c r="A281" s="5" t="str">
        <f ca="1">IFERROR(__xludf.DUMMYFUNCTION("""COMPUTED_VALUE"""),"UnicornChristmasPresents")</f>
        <v>UnicornChristmasPresents</v>
      </c>
      <c r="B28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81" s="5" t="str">
        <f ca="1">IFERROR(__xludf.DUMMYFUNCTION("""COMPUTED_VALUE"""),"Yes")</f>
        <v>Yes</v>
      </c>
      <c r="D281" s="5" t="str">
        <f ca="1">IFERROR(__xludf.DUMMYFUNCTION("""COMPUTED_VALUE"""),"Yes")</f>
        <v>Yes</v>
      </c>
      <c r="E281" s="5" t="str">
        <f ca="1">IFERROR(__xludf.DUMMYFUNCTION("""COMPUTED_VALUE"""),"Yes")</f>
        <v>Yes</v>
      </c>
      <c r="F281" s="5" t="str">
        <f ca="1">IFERROR(__xludf.DUMMYFUNCTION("""COMPUTED_VALUE"""),"No")</f>
        <v>No</v>
      </c>
      <c r="G281" s="5" t="str">
        <f ca="1">IFERROR(__xludf.DUMMYFUNCTION("""COMPUTED_VALUE"""),"No")</f>
        <v>No</v>
      </c>
      <c r="H281" s="5" t="str">
        <f ca="1">IFERROR(__xludf.DUMMYFUNCTION("""COMPUTED_VALUE"""),"No")</f>
        <v>No</v>
      </c>
      <c r="I281" s="5" t="str">
        <f ca="1">IFERROR(__xludf.DUMMYFUNCTION("""COMPUTED_VALUE"""),"No")</f>
        <v>No</v>
      </c>
      <c r="J281" s="5" t="str">
        <f ca="1">IFERROR(__xludf.DUMMYFUNCTION("""COMPUTED_VALUE"""),"No")</f>
        <v>No</v>
      </c>
      <c r="K281" s="5" t="str">
        <f ca="1">IFERROR(__xludf.DUMMYFUNCTION("""COMPUTED_VALUE"""),"Yes")</f>
        <v>Yes</v>
      </c>
      <c r="L281" s="5" t="str">
        <f ca="1">IFERROR(__xludf.DUMMYFUNCTION("""COMPUTED_VALUE"""),"Yes")</f>
        <v>Yes</v>
      </c>
      <c r="M281" s="5" t="str">
        <f ca="1">IFERROR(__xludf.DUMMYFUNCTION("""COMPUTED_VALUE"""),"Yes")</f>
        <v>Yes</v>
      </c>
      <c r="N281" s="5" t="str">
        <f ca="1">IFERROR(__xludf.DUMMYFUNCTION("""COMPUTED_VALUE"""),"Yes")</f>
        <v>Yes</v>
      </c>
      <c r="O281" s="5" t="str">
        <f ca="1">IFERROR(__xludf.DUMMYFUNCTION("""COMPUTED_VALUE"""),"Yes")</f>
        <v>Yes</v>
      </c>
      <c r="P281" s="5" t="str">
        <f ca="1">IFERROR(__xludf.DUMMYFUNCTION("""COMPUTED_VALUE"""),"No")</f>
        <v>No</v>
      </c>
      <c r="Q281" s="5" t="str">
        <f ca="1">IFERROR(__xludf.DUMMYFUNCTION("""COMPUTED_VALUE"""),"Yes")</f>
        <v>Yes</v>
      </c>
      <c r="R281" s="5" t="str">
        <f ca="1">IFERROR(__xludf.DUMMYFUNCTION("""COMPUTED_VALUE"""),"No")</f>
        <v>No</v>
      </c>
      <c r="S281" s="5" t="str">
        <f ca="1">IFERROR(__xludf.DUMMYFUNCTION("""COMPUTED_VALUE"""),"No")</f>
        <v>No</v>
      </c>
      <c r="T281" s="5" t="str">
        <f ca="1">IFERROR(__xludf.DUMMYFUNCTION("""COMPUTED_VALUE"""),"No")</f>
        <v>No</v>
      </c>
      <c r="U281" s="5" t="str">
        <f ca="1">IFERROR(__xludf.DUMMYFUNCTION("""COMPUTED_VALUE"""),"No")</f>
        <v>No</v>
      </c>
      <c r="V281" s="5"/>
      <c r="W281" s="5"/>
      <c r="X281" s="5"/>
      <c r="Y281" s="5"/>
      <c r="Z281" s="5" t="str">
        <f ca="1">IFERROR(__xludf.DUMMYFUNCTION("""COMPUTED_VALUE"""),"No")</f>
        <v>No</v>
      </c>
      <c r="AA281" s="5"/>
      <c r="AB281" s="5"/>
      <c r="AC281" s="5"/>
    </row>
    <row r="282" spans="1:29" x14ac:dyDescent="0.25">
      <c r="A282" s="5" t="str">
        <f ca="1">IFERROR(__xludf.DUMMYFUNCTION("""COMPUTED_VALUE"""),"SantasPresents")</f>
        <v>SantasPresents</v>
      </c>
      <c r="B2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2" s="5" t="str">
        <f ca="1">IFERROR(__xludf.DUMMYFUNCTION("""COMPUTED_VALUE"""),"Yes")</f>
        <v>Yes</v>
      </c>
      <c r="D282" s="5" t="str">
        <f ca="1">IFERROR(__xludf.DUMMYFUNCTION("""COMPUTED_VALUE"""),"Yes")</f>
        <v>Yes</v>
      </c>
      <c r="E282" s="5" t="str">
        <f ca="1">IFERROR(__xludf.DUMMYFUNCTION("""COMPUTED_VALUE"""),"Yes")</f>
        <v>Yes</v>
      </c>
      <c r="F282" s="5" t="str">
        <f ca="1">IFERROR(__xludf.DUMMYFUNCTION("""COMPUTED_VALUE"""),"Yes")</f>
        <v>Yes</v>
      </c>
      <c r="G282" s="5" t="str">
        <f ca="1">IFERROR(__xludf.DUMMYFUNCTION("""COMPUTED_VALUE"""),"Yes")</f>
        <v>Yes</v>
      </c>
      <c r="H282" s="5" t="str">
        <f ca="1">IFERROR(__xludf.DUMMYFUNCTION("""COMPUTED_VALUE"""),"Yes")</f>
        <v>Yes</v>
      </c>
      <c r="I282" s="5" t="str">
        <f ca="1">IFERROR(__xludf.DUMMYFUNCTION("""COMPUTED_VALUE"""),"Yes")</f>
        <v>Yes</v>
      </c>
      <c r="J282" s="5" t="str">
        <f ca="1">IFERROR(__xludf.DUMMYFUNCTION("""COMPUTED_VALUE"""),"Yes")</f>
        <v>Yes</v>
      </c>
      <c r="K282" s="5" t="str">
        <f ca="1">IFERROR(__xludf.DUMMYFUNCTION("""COMPUTED_VALUE"""),"Yes")</f>
        <v>Yes</v>
      </c>
      <c r="L282" s="5" t="str">
        <f ca="1">IFERROR(__xludf.DUMMYFUNCTION("""COMPUTED_VALUE"""),"Yes")</f>
        <v>Yes</v>
      </c>
      <c r="M282" s="5" t="str">
        <f ca="1">IFERROR(__xludf.DUMMYFUNCTION("""COMPUTED_VALUE"""),"Yes")</f>
        <v>Yes</v>
      </c>
      <c r="N282" s="5" t="str">
        <f ca="1">IFERROR(__xludf.DUMMYFUNCTION("""COMPUTED_VALUE"""),"Yes")</f>
        <v>Yes</v>
      </c>
      <c r="O282" s="5" t="str">
        <f ca="1">IFERROR(__xludf.DUMMYFUNCTION("""COMPUTED_VALUE"""),"Yes")</f>
        <v>Yes</v>
      </c>
      <c r="P282" s="5" t="str">
        <f ca="1">IFERROR(__xludf.DUMMYFUNCTION("""COMPUTED_VALUE"""),"Yes")</f>
        <v>Yes</v>
      </c>
      <c r="Q282" s="5" t="str">
        <f ca="1">IFERROR(__xludf.DUMMYFUNCTION("""COMPUTED_VALUE"""),"Yes")</f>
        <v>Yes</v>
      </c>
      <c r="R282" s="5" t="str">
        <f ca="1">IFERROR(__xludf.DUMMYFUNCTION("""COMPUTED_VALUE"""),"Yes")</f>
        <v>Yes</v>
      </c>
      <c r="S282" s="5" t="str">
        <f ca="1">IFERROR(__xludf.DUMMYFUNCTION("""COMPUTED_VALUE"""),"Yes")</f>
        <v>Yes</v>
      </c>
      <c r="T282" s="5" t="str">
        <f ca="1">IFERROR(__xludf.DUMMYFUNCTION("""COMPUTED_VALUE"""),"Yes")</f>
        <v>Yes</v>
      </c>
      <c r="U282" s="5" t="str">
        <f ca="1">IFERROR(__xludf.DUMMYFUNCTION("""COMPUTED_VALUE"""),"Yes")</f>
        <v>Yes</v>
      </c>
      <c r="V282" s="5" t="str">
        <f ca="1">IFERROR(__xludf.DUMMYFUNCTION("""COMPUTED_VALUE"""),"Yes")</f>
        <v>Yes</v>
      </c>
      <c r="W282" s="5" t="str">
        <f ca="1">IFERROR(__xludf.DUMMYFUNCTION("""COMPUTED_VALUE"""),"Yes")</f>
        <v>Yes</v>
      </c>
      <c r="X282" s="5" t="str">
        <f ca="1">IFERROR(__xludf.DUMMYFUNCTION("""COMPUTED_VALUE"""),"Yes")</f>
        <v>Yes</v>
      </c>
      <c r="Y282" s="5" t="str">
        <f ca="1">IFERROR(__xludf.DUMMYFUNCTION("""COMPUTED_VALUE"""),"Yes")</f>
        <v>Yes</v>
      </c>
      <c r="Z282" s="5" t="str">
        <f ca="1">IFERROR(__xludf.DUMMYFUNCTION("""COMPUTED_VALUE"""),"Yes")</f>
        <v>Yes</v>
      </c>
      <c r="AA282" s="5" t="str">
        <f ca="1">IFERROR(__xludf.DUMMYFUNCTION("""COMPUTED_VALUE"""),"Yes")</f>
        <v>Yes</v>
      </c>
      <c r="AB282" s="5" t="str">
        <f ca="1">IFERROR(__xludf.DUMMYFUNCTION("""COMPUTED_VALUE"""),"Yes")</f>
        <v>Yes</v>
      </c>
      <c r="AC282" s="5" t="str">
        <f ca="1">IFERROR(__xludf.DUMMYFUNCTION("""COMPUTED_VALUE"""),"No")</f>
        <v>No</v>
      </c>
    </row>
    <row r="283" spans="1:29" x14ac:dyDescent="0.25">
      <c r="A283" s="5" t="str">
        <f ca="1">IFERROR(__xludf.DUMMYFUNCTION("""COMPUTED_VALUE"""),"GoldenVegas")</f>
        <v>GoldenVegas</v>
      </c>
      <c r="B2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3" s="5" t="str">
        <f ca="1">IFERROR(__xludf.DUMMYFUNCTION("""COMPUTED_VALUE"""),"Yes")</f>
        <v>Yes</v>
      </c>
      <c r="D283" s="5" t="str">
        <f ca="1">IFERROR(__xludf.DUMMYFUNCTION("""COMPUTED_VALUE"""),"Yes")</f>
        <v>Yes</v>
      </c>
      <c r="E283" s="5" t="str">
        <f ca="1">IFERROR(__xludf.DUMMYFUNCTION("""COMPUTED_VALUE"""),"Yes")</f>
        <v>Yes</v>
      </c>
      <c r="F283" s="5" t="str">
        <f ca="1">IFERROR(__xludf.DUMMYFUNCTION("""COMPUTED_VALUE"""),"Yes")</f>
        <v>Yes</v>
      </c>
      <c r="G283" s="5" t="str">
        <f ca="1">IFERROR(__xludf.DUMMYFUNCTION("""COMPUTED_VALUE"""),"Yes")</f>
        <v>Yes</v>
      </c>
      <c r="H283" s="5" t="str">
        <f ca="1">IFERROR(__xludf.DUMMYFUNCTION("""COMPUTED_VALUE"""),"Yes")</f>
        <v>Yes</v>
      </c>
      <c r="I283" s="5" t="str">
        <f ca="1">IFERROR(__xludf.DUMMYFUNCTION("""COMPUTED_VALUE"""),"Yes")</f>
        <v>Yes</v>
      </c>
      <c r="J283" s="5" t="str">
        <f ca="1">IFERROR(__xludf.DUMMYFUNCTION("""COMPUTED_VALUE"""),"Yes")</f>
        <v>Yes</v>
      </c>
      <c r="K283" s="5" t="str">
        <f ca="1">IFERROR(__xludf.DUMMYFUNCTION("""COMPUTED_VALUE"""),"Yes")</f>
        <v>Yes</v>
      </c>
      <c r="L283" s="5" t="str">
        <f ca="1">IFERROR(__xludf.DUMMYFUNCTION("""COMPUTED_VALUE"""),"Yes")</f>
        <v>Yes</v>
      </c>
      <c r="M283" s="5" t="str">
        <f ca="1">IFERROR(__xludf.DUMMYFUNCTION("""COMPUTED_VALUE"""),"Yes")</f>
        <v>Yes</v>
      </c>
      <c r="N283" s="5" t="str">
        <f ca="1">IFERROR(__xludf.DUMMYFUNCTION("""COMPUTED_VALUE"""),"Yes")</f>
        <v>Yes</v>
      </c>
      <c r="O283" s="5" t="str">
        <f ca="1">IFERROR(__xludf.DUMMYFUNCTION("""COMPUTED_VALUE"""),"Yes")</f>
        <v>Yes</v>
      </c>
      <c r="P283" s="5" t="str">
        <f ca="1">IFERROR(__xludf.DUMMYFUNCTION("""COMPUTED_VALUE"""),"Yes")</f>
        <v>Yes</v>
      </c>
      <c r="Q283" s="5" t="str">
        <f ca="1">IFERROR(__xludf.DUMMYFUNCTION("""COMPUTED_VALUE"""),"Yes")</f>
        <v>Yes</v>
      </c>
      <c r="R283" s="5" t="str">
        <f ca="1">IFERROR(__xludf.DUMMYFUNCTION("""COMPUTED_VALUE"""),"Yes")</f>
        <v>Yes</v>
      </c>
      <c r="S283" s="5" t="str">
        <f ca="1">IFERROR(__xludf.DUMMYFUNCTION("""COMPUTED_VALUE"""),"Yes")</f>
        <v>Yes</v>
      </c>
      <c r="T283" s="5" t="str">
        <f ca="1">IFERROR(__xludf.DUMMYFUNCTION("""COMPUTED_VALUE"""),"Yes")</f>
        <v>Yes</v>
      </c>
      <c r="U283" s="5" t="str">
        <f ca="1">IFERROR(__xludf.DUMMYFUNCTION("""COMPUTED_VALUE"""),"Yes")</f>
        <v>Yes</v>
      </c>
      <c r="V283" s="5" t="str">
        <f ca="1">IFERROR(__xludf.DUMMYFUNCTION("""COMPUTED_VALUE"""),"Yes")</f>
        <v>Yes</v>
      </c>
      <c r="W283" s="5" t="str">
        <f ca="1">IFERROR(__xludf.DUMMYFUNCTION("""COMPUTED_VALUE"""),"Yes")</f>
        <v>Yes</v>
      </c>
      <c r="X283" s="5" t="str">
        <f ca="1">IFERROR(__xludf.DUMMYFUNCTION("""COMPUTED_VALUE"""),"Yes")</f>
        <v>Yes</v>
      </c>
      <c r="Y283" s="5" t="str">
        <f ca="1">IFERROR(__xludf.DUMMYFUNCTION("""COMPUTED_VALUE"""),"Yes")</f>
        <v>Yes</v>
      </c>
      <c r="Z283" s="5" t="str">
        <f ca="1">IFERROR(__xludf.DUMMYFUNCTION("""COMPUTED_VALUE"""),"Yes")</f>
        <v>Yes</v>
      </c>
      <c r="AA283" s="5" t="str">
        <f ca="1">IFERROR(__xludf.DUMMYFUNCTION("""COMPUTED_VALUE"""),"Yes")</f>
        <v>Yes</v>
      </c>
      <c r="AB283" s="5" t="str">
        <f ca="1">IFERROR(__xludf.DUMMYFUNCTION("""COMPUTED_VALUE"""),"Yes")</f>
        <v>Yes</v>
      </c>
      <c r="AC283" s="5" t="str">
        <f ca="1">IFERROR(__xludf.DUMMYFUNCTION("""COMPUTED_VALUE"""),"No")</f>
        <v>No</v>
      </c>
    </row>
    <row r="284" spans="1:29" x14ac:dyDescent="0.25">
      <c r="A284" s="5" t="str">
        <f ca="1">IFERROR(__xludf.DUMMYFUNCTION("""COMPUTED_VALUE"""),"ChilliRespin")</f>
        <v>ChilliRespin</v>
      </c>
      <c r="B2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4" s="5" t="str">
        <f ca="1">IFERROR(__xludf.DUMMYFUNCTION("""COMPUTED_VALUE"""),"Yes")</f>
        <v>Yes</v>
      </c>
      <c r="D284" s="5" t="str">
        <f ca="1">IFERROR(__xludf.DUMMYFUNCTION("""COMPUTED_VALUE"""),"Yes")</f>
        <v>Yes</v>
      </c>
      <c r="E284" s="5" t="str">
        <f ca="1">IFERROR(__xludf.DUMMYFUNCTION("""COMPUTED_VALUE"""),"Yes")</f>
        <v>Yes</v>
      </c>
      <c r="F284" s="5" t="str">
        <f ca="1">IFERROR(__xludf.DUMMYFUNCTION("""COMPUTED_VALUE"""),"Yes")</f>
        <v>Yes</v>
      </c>
      <c r="G284" s="5" t="str">
        <f ca="1">IFERROR(__xludf.DUMMYFUNCTION("""COMPUTED_VALUE"""),"Yes")</f>
        <v>Yes</v>
      </c>
      <c r="H284" s="5" t="str">
        <f ca="1">IFERROR(__xludf.DUMMYFUNCTION("""COMPUTED_VALUE"""),"Yes")</f>
        <v>Yes</v>
      </c>
      <c r="I284" s="5" t="str">
        <f ca="1">IFERROR(__xludf.DUMMYFUNCTION("""COMPUTED_VALUE"""),"Yes")</f>
        <v>Yes</v>
      </c>
      <c r="J284" s="5" t="str">
        <f ca="1">IFERROR(__xludf.DUMMYFUNCTION("""COMPUTED_VALUE"""),"Yes")</f>
        <v>Yes</v>
      </c>
      <c r="K284" s="5" t="str">
        <f ca="1">IFERROR(__xludf.DUMMYFUNCTION("""COMPUTED_VALUE"""),"Yes")</f>
        <v>Yes</v>
      </c>
      <c r="L284" s="5" t="str">
        <f ca="1">IFERROR(__xludf.DUMMYFUNCTION("""COMPUTED_VALUE"""),"Yes")</f>
        <v>Yes</v>
      </c>
      <c r="M284" s="5" t="str">
        <f ca="1">IFERROR(__xludf.DUMMYFUNCTION("""COMPUTED_VALUE"""),"Yes")</f>
        <v>Yes</v>
      </c>
      <c r="N284" s="5" t="str">
        <f ca="1">IFERROR(__xludf.DUMMYFUNCTION("""COMPUTED_VALUE"""),"Yes")</f>
        <v>Yes</v>
      </c>
      <c r="O284" s="5" t="str">
        <f ca="1">IFERROR(__xludf.DUMMYFUNCTION("""COMPUTED_VALUE"""),"Yes")</f>
        <v>Yes</v>
      </c>
      <c r="P284" s="5" t="str">
        <f ca="1">IFERROR(__xludf.DUMMYFUNCTION("""COMPUTED_VALUE"""),"Yes")</f>
        <v>Yes</v>
      </c>
      <c r="Q284" s="5" t="str">
        <f ca="1">IFERROR(__xludf.DUMMYFUNCTION("""COMPUTED_VALUE"""),"Yes")</f>
        <v>Yes</v>
      </c>
      <c r="R284" s="5" t="str">
        <f ca="1">IFERROR(__xludf.DUMMYFUNCTION("""COMPUTED_VALUE"""),"Yes")</f>
        <v>Yes</v>
      </c>
      <c r="S284" s="5" t="str">
        <f ca="1">IFERROR(__xludf.DUMMYFUNCTION("""COMPUTED_VALUE"""),"Yes")</f>
        <v>Yes</v>
      </c>
      <c r="T284" s="5" t="str">
        <f ca="1">IFERROR(__xludf.DUMMYFUNCTION("""COMPUTED_VALUE"""),"Yes")</f>
        <v>Yes</v>
      </c>
      <c r="U284" s="5" t="str">
        <f ca="1">IFERROR(__xludf.DUMMYFUNCTION("""COMPUTED_VALUE"""),"Yes")</f>
        <v>Yes</v>
      </c>
      <c r="V284" s="5" t="str">
        <f ca="1">IFERROR(__xludf.DUMMYFUNCTION("""COMPUTED_VALUE"""),"Yes")</f>
        <v>Yes</v>
      </c>
      <c r="W284" s="5" t="str">
        <f ca="1">IFERROR(__xludf.DUMMYFUNCTION("""COMPUTED_VALUE"""),"Yes")</f>
        <v>Yes</v>
      </c>
      <c r="X284" s="5" t="str">
        <f ca="1">IFERROR(__xludf.DUMMYFUNCTION("""COMPUTED_VALUE"""),"Yes")</f>
        <v>Yes</v>
      </c>
      <c r="Y284" s="5" t="str">
        <f ca="1">IFERROR(__xludf.DUMMYFUNCTION("""COMPUTED_VALUE"""),"Yes")</f>
        <v>Yes</v>
      </c>
      <c r="Z284" s="5" t="str">
        <f ca="1">IFERROR(__xludf.DUMMYFUNCTION("""COMPUTED_VALUE"""),"Yes")</f>
        <v>Yes</v>
      </c>
      <c r="AA284" s="5" t="str">
        <f ca="1">IFERROR(__xludf.DUMMYFUNCTION("""COMPUTED_VALUE"""),"Yes")</f>
        <v>Yes</v>
      </c>
      <c r="AB284" s="5" t="str">
        <f ca="1">IFERROR(__xludf.DUMMYFUNCTION("""COMPUTED_VALUE"""),"Yes")</f>
        <v>Yes</v>
      </c>
      <c r="AC284" s="5" t="str">
        <f ca="1">IFERROR(__xludf.DUMMYFUNCTION("""COMPUTED_VALUE"""),"No")</f>
        <v>No</v>
      </c>
    </row>
    <row r="285" spans="1:29" x14ac:dyDescent="0.25">
      <c r="A285" s="5" t="str">
        <f ca="1">IFERROR(__xludf.DUMMYFUNCTION("""COMPUTED_VALUE"""),"RedstoneChilliHot5")</f>
        <v>RedstoneChilliHot5</v>
      </c>
      <c r="B2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85" s="5" t="str">
        <f ca="1">IFERROR(__xludf.DUMMYFUNCTION("""COMPUTED_VALUE"""),"Yes")</f>
        <v>Yes</v>
      </c>
      <c r="D285" s="5" t="str">
        <f ca="1">IFERROR(__xludf.DUMMYFUNCTION("""COMPUTED_VALUE"""),"Yes")</f>
        <v>Yes</v>
      </c>
      <c r="E285" s="5" t="str">
        <f ca="1">IFERROR(__xludf.DUMMYFUNCTION("""COMPUTED_VALUE"""),"Yes")</f>
        <v>Yes</v>
      </c>
      <c r="F285" s="5" t="str">
        <f ca="1">IFERROR(__xludf.DUMMYFUNCTION("""COMPUTED_VALUE"""),"Yes")</f>
        <v>Yes</v>
      </c>
      <c r="G285" s="5" t="str">
        <f ca="1">IFERROR(__xludf.DUMMYFUNCTION("""COMPUTED_VALUE"""),"Yes")</f>
        <v>Yes</v>
      </c>
      <c r="H285" s="5" t="str">
        <f ca="1">IFERROR(__xludf.DUMMYFUNCTION("""COMPUTED_VALUE"""),"Yes")</f>
        <v>Yes</v>
      </c>
      <c r="I285" s="5" t="str">
        <f ca="1">IFERROR(__xludf.DUMMYFUNCTION("""COMPUTED_VALUE"""),"Yes")</f>
        <v>Yes</v>
      </c>
      <c r="J285" s="5" t="str">
        <f ca="1">IFERROR(__xludf.DUMMYFUNCTION("""COMPUTED_VALUE"""),"Yes")</f>
        <v>Yes</v>
      </c>
      <c r="K285" s="5" t="str">
        <f ca="1">IFERROR(__xludf.DUMMYFUNCTION("""COMPUTED_VALUE"""),"Yes")</f>
        <v>Yes</v>
      </c>
      <c r="L285" s="5" t="str">
        <f ca="1">IFERROR(__xludf.DUMMYFUNCTION("""COMPUTED_VALUE"""),"Yes")</f>
        <v>Yes</v>
      </c>
      <c r="M285" s="5" t="str">
        <f ca="1">IFERROR(__xludf.DUMMYFUNCTION("""COMPUTED_VALUE"""),"Yes")</f>
        <v>Yes</v>
      </c>
      <c r="N285" s="5" t="str">
        <f ca="1">IFERROR(__xludf.DUMMYFUNCTION("""COMPUTED_VALUE"""),"Yes")</f>
        <v>Yes</v>
      </c>
      <c r="O285" s="5" t="str">
        <f ca="1">IFERROR(__xludf.DUMMYFUNCTION("""COMPUTED_VALUE"""),"Yes")</f>
        <v>Yes</v>
      </c>
      <c r="P285" s="5" t="str">
        <f ca="1">IFERROR(__xludf.DUMMYFUNCTION("""COMPUTED_VALUE"""),"Yes")</f>
        <v>Yes</v>
      </c>
      <c r="Q285" s="5" t="str">
        <f ca="1">IFERROR(__xludf.DUMMYFUNCTION("""COMPUTED_VALUE"""),"Yes")</f>
        <v>Yes</v>
      </c>
      <c r="R285" s="5" t="str">
        <f ca="1">IFERROR(__xludf.DUMMYFUNCTION("""COMPUTED_VALUE"""),"Yes")</f>
        <v>Yes</v>
      </c>
      <c r="S285" s="5" t="str">
        <f ca="1">IFERROR(__xludf.DUMMYFUNCTION("""COMPUTED_VALUE"""),"Yes")</f>
        <v>Yes</v>
      </c>
      <c r="T285" s="5" t="str">
        <f ca="1">IFERROR(__xludf.DUMMYFUNCTION("""COMPUTED_VALUE"""),"Yes")</f>
        <v>Yes</v>
      </c>
      <c r="U285" s="5" t="str">
        <f ca="1">IFERROR(__xludf.DUMMYFUNCTION("""COMPUTED_VALUE"""),"Yes")</f>
        <v>Yes</v>
      </c>
      <c r="V285" s="5"/>
      <c r="W285" s="5" t="str">
        <f ca="1">IFERROR(__xludf.DUMMYFUNCTION("""COMPUTED_VALUE"""),"Yes")</f>
        <v>Yes</v>
      </c>
      <c r="X285" s="5"/>
      <c r="Y285" s="5"/>
      <c r="Z285" s="5" t="str">
        <f ca="1">IFERROR(__xludf.DUMMYFUNCTION("""COMPUTED_VALUE"""),"Yes")</f>
        <v>Yes</v>
      </c>
      <c r="AA285" s="5"/>
      <c r="AB285" s="5"/>
      <c r="AC285" s="5"/>
    </row>
    <row r="286" spans="1:29" x14ac:dyDescent="0.25">
      <c r="A286" s="5" t="str">
        <f ca="1">IFERROR(__xludf.DUMMYFUNCTION("""COMPUTED_VALUE"""),"Redstone40HotJoker")</f>
        <v>Redstone40HotJoker</v>
      </c>
      <c r="B28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6" s="5" t="str">
        <f ca="1">IFERROR(__xludf.DUMMYFUNCTION("""COMPUTED_VALUE"""),"Yes")</f>
        <v>Yes</v>
      </c>
      <c r="D286" s="5" t="str">
        <f ca="1">IFERROR(__xludf.DUMMYFUNCTION("""COMPUTED_VALUE"""),"Yes")</f>
        <v>Yes</v>
      </c>
      <c r="E286" s="5" t="str">
        <f ca="1">IFERROR(__xludf.DUMMYFUNCTION("""COMPUTED_VALUE"""),"No")</f>
        <v>No</v>
      </c>
      <c r="F286" s="5" t="str">
        <f ca="1">IFERROR(__xludf.DUMMYFUNCTION("""COMPUTED_VALUE"""),"Yes")</f>
        <v>Yes</v>
      </c>
      <c r="G286" s="5" t="str">
        <f ca="1">IFERROR(__xludf.DUMMYFUNCTION("""COMPUTED_VALUE"""),"Yes")</f>
        <v>Yes</v>
      </c>
      <c r="H286" s="5" t="str">
        <f ca="1">IFERROR(__xludf.DUMMYFUNCTION("""COMPUTED_VALUE"""),"Yes")</f>
        <v>Yes</v>
      </c>
      <c r="I286" s="5" t="str">
        <f ca="1">IFERROR(__xludf.DUMMYFUNCTION("""COMPUTED_VALUE"""),"Yes")</f>
        <v>Yes</v>
      </c>
      <c r="J286" s="5" t="str">
        <f ca="1">IFERROR(__xludf.DUMMYFUNCTION("""COMPUTED_VALUE"""),"Yes")</f>
        <v>Yes</v>
      </c>
      <c r="K286" s="5" t="str">
        <f ca="1">IFERROR(__xludf.DUMMYFUNCTION("""COMPUTED_VALUE"""),"Yes")</f>
        <v>Yes</v>
      </c>
      <c r="L286" s="5" t="str">
        <f ca="1">IFERROR(__xludf.DUMMYFUNCTION("""COMPUTED_VALUE"""),"Yes")</f>
        <v>Yes</v>
      </c>
      <c r="M286" s="5" t="str">
        <f ca="1">IFERROR(__xludf.DUMMYFUNCTION("""COMPUTED_VALUE"""),"Yes")</f>
        <v>Yes</v>
      </c>
      <c r="N286" s="5" t="str">
        <f ca="1">IFERROR(__xludf.DUMMYFUNCTION("""COMPUTED_VALUE"""),"Yes")</f>
        <v>Yes</v>
      </c>
      <c r="O286" s="5" t="str">
        <f ca="1">IFERROR(__xludf.DUMMYFUNCTION("""COMPUTED_VALUE"""),"Yes")</f>
        <v>Yes</v>
      </c>
      <c r="P286" s="5" t="str">
        <f ca="1">IFERROR(__xludf.DUMMYFUNCTION("""COMPUTED_VALUE"""),"Yes")</f>
        <v>Yes</v>
      </c>
      <c r="Q286" s="5" t="str">
        <f ca="1">IFERROR(__xludf.DUMMYFUNCTION("""COMPUTED_VALUE"""),"Yes")</f>
        <v>Yes</v>
      </c>
      <c r="R286" s="5" t="str">
        <f ca="1">IFERROR(__xludf.DUMMYFUNCTION("""COMPUTED_VALUE"""),"No")</f>
        <v>No</v>
      </c>
      <c r="S286" s="5" t="str">
        <f ca="1">IFERROR(__xludf.DUMMYFUNCTION("""COMPUTED_VALUE"""),"No")</f>
        <v>No</v>
      </c>
      <c r="T286" s="5" t="str">
        <f ca="1">IFERROR(__xludf.DUMMYFUNCTION("""COMPUTED_VALUE"""),"No")</f>
        <v>No</v>
      </c>
      <c r="U286" s="5" t="str">
        <f ca="1">IFERROR(__xludf.DUMMYFUNCTION("""COMPUTED_VALUE"""),"No")</f>
        <v>No</v>
      </c>
      <c r="V286" s="5" t="str">
        <f ca="1">IFERROR(__xludf.DUMMYFUNCTION("""COMPUTED_VALUE"""),"No")</f>
        <v>No</v>
      </c>
      <c r="W286" s="5" t="str">
        <f ca="1">IFERROR(__xludf.DUMMYFUNCTION("""COMPUTED_VALUE"""),"No")</f>
        <v>No</v>
      </c>
      <c r="X286" s="5" t="str">
        <f ca="1">IFERROR(__xludf.DUMMYFUNCTION("""COMPUTED_VALUE"""),"No")</f>
        <v>No</v>
      </c>
      <c r="Y286" s="5" t="str">
        <f ca="1">IFERROR(__xludf.DUMMYFUNCTION("""COMPUTED_VALUE"""),"No")</f>
        <v>No</v>
      </c>
      <c r="Z286" s="5" t="str">
        <f ca="1">IFERROR(__xludf.DUMMYFUNCTION("""COMPUTED_VALUE"""),"No")</f>
        <v>No</v>
      </c>
      <c r="AA286" s="5" t="str">
        <f ca="1">IFERROR(__xludf.DUMMYFUNCTION("""COMPUTED_VALUE"""),"No")</f>
        <v>No</v>
      </c>
      <c r="AB286" s="5" t="str">
        <f ca="1">IFERROR(__xludf.DUMMYFUNCTION("""COMPUTED_VALUE"""),"Yes")</f>
        <v>Yes</v>
      </c>
      <c r="AC286" s="5" t="str">
        <f ca="1">IFERROR(__xludf.DUMMYFUNCTION("""COMPUTED_VALUE"""),"No")</f>
        <v>No</v>
      </c>
    </row>
    <row r="287" spans="1:29" x14ac:dyDescent="0.25">
      <c r="A287" s="5" t="str">
        <f ca="1">IFERROR(__xludf.DUMMYFUNCTION("""COMPUTED_VALUE"""),"RedstoneJollyPresents")</f>
        <v>RedstoneJollyPresents</v>
      </c>
      <c r="B28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7" s="5" t="str">
        <f ca="1">IFERROR(__xludf.DUMMYFUNCTION("""COMPUTED_VALUE"""),"Yes")</f>
        <v>Yes</v>
      </c>
      <c r="D287" s="5" t="str">
        <f ca="1">IFERROR(__xludf.DUMMYFUNCTION("""COMPUTED_VALUE"""),"Yes")</f>
        <v>Yes</v>
      </c>
      <c r="E287" s="5" t="str">
        <f ca="1">IFERROR(__xludf.DUMMYFUNCTION("""COMPUTED_VALUE"""),"No")</f>
        <v>No</v>
      </c>
      <c r="F287" s="5" t="str">
        <f ca="1">IFERROR(__xludf.DUMMYFUNCTION("""COMPUTED_VALUE"""),"Yes")</f>
        <v>Yes</v>
      </c>
      <c r="G287" s="5" t="str">
        <f ca="1">IFERROR(__xludf.DUMMYFUNCTION("""COMPUTED_VALUE"""),"Yes")</f>
        <v>Yes</v>
      </c>
      <c r="H287" s="5" t="str">
        <f ca="1">IFERROR(__xludf.DUMMYFUNCTION("""COMPUTED_VALUE"""),"Yes")</f>
        <v>Yes</v>
      </c>
      <c r="I287" s="5" t="str">
        <f ca="1">IFERROR(__xludf.DUMMYFUNCTION("""COMPUTED_VALUE"""),"Yes")</f>
        <v>Yes</v>
      </c>
      <c r="J287" s="5" t="str">
        <f ca="1">IFERROR(__xludf.DUMMYFUNCTION("""COMPUTED_VALUE"""),"Yes")</f>
        <v>Yes</v>
      </c>
      <c r="K287" s="5" t="str">
        <f ca="1">IFERROR(__xludf.DUMMYFUNCTION("""COMPUTED_VALUE"""),"Yes")</f>
        <v>Yes</v>
      </c>
      <c r="L287" s="5" t="str">
        <f ca="1">IFERROR(__xludf.DUMMYFUNCTION("""COMPUTED_VALUE"""),"Yes")</f>
        <v>Yes</v>
      </c>
      <c r="M287" s="5" t="str">
        <f ca="1">IFERROR(__xludf.DUMMYFUNCTION("""COMPUTED_VALUE"""),"Yes")</f>
        <v>Yes</v>
      </c>
      <c r="N287" s="5" t="str">
        <f ca="1">IFERROR(__xludf.DUMMYFUNCTION("""COMPUTED_VALUE"""),"Yes")</f>
        <v>Yes</v>
      </c>
      <c r="O287" s="5" t="str">
        <f ca="1">IFERROR(__xludf.DUMMYFUNCTION("""COMPUTED_VALUE"""),"Yes")</f>
        <v>Yes</v>
      </c>
      <c r="P287" s="5" t="str">
        <f ca="1">IFERROR(__xludf.DUMMYFUNCTION("""COMPUTED_VALUE"""),"Yes")</f>
        <v>Yes</v>
      </c>
      <c r="Q287" s="5" t="str">
        <f ca="1">IFERROR(__xludf.DUMMYFUNCTION("""COMPUTED_VALUE"""),"Yes")</f>
        <v>Yes</v>
      </c>
      <c r="R287" s="5" t="str">
        <f ca="1">IFERROR(__xludf.DUMMYFUNCTION("""COMPUTED_VALUE"""),"No")</f>
        <v>No</v>
      </c>
      <c r="S287" s="5" t="str">
        <f ca="1">IFERROR(__xludf.DUMMYFUNCTION("""COMPUTED_VALUE"""),"No")</f>
        <v>No</v>
      </c>
      <c r="T287" s="5" t="str">
        <f ca="1">IFERROR(__xludf.DUMMYFUNCTION("""COMPUTED_VALUE"""),"No")</f>
        <v>No</v>
      </c>
      <c r="U287" s="5" t="str">
        <f ca="1">IFERROR(__xludf.DUMMYFUNCTION("""COMPUTED_VALUE"""),"No")</f>
        <v>No</v>
      </c>
      <c r="V287" s="5" t="str">
        <f ca="1">IFERROR(__xludf.DUMMYFUNCTION("""COMPUTED_VALUE"""),"No")</f>
        <v>No</v>
      </c>
      <c r="W287" s="5" t="str">
        <f ca="1">IFERROR(__xludf.DUMMYFUNCTION("""COMPUTED_VALUE"""),"No")</f>
        <v>No</v>
      </c>
      <c r="X287" s="5" t="str">
        <f ca="1">IFERROR(__xludf.DUMMYFUNCTION("""COMPUTED_VALUE"""),"No")</f>
        <v>No</v>
      </c>
      <c r="Y287" s="5" t="str">
        <f ca="1">IFERROR(__xludf.DUMMYFUNCTION("""COMPUTED_VALUE"""),"No")</f>
        <v>No</v>
      </c>
      <c r="Z287" s="5" t="str">
        <f ca="1">IFERROR(__xludf.DUMMYFUNCTION("""COMPUTED_VALUE"""),"No")</f>
        <v>No</v>
      </c>
      <c r="AA287" s="5" t="str">
        <f ca="1">IFERROR(__xludf.DUMMYFUNCTION("""COMPUTED_VALUE"""),"No")</f>
        <v>No</v>
      </c>
      <c r="AB287" s="5" t="str">
        <f ca="1">IFERROR(__xludf.DUMMYFUNCTION("""COMPUTED_VALUE"""),"Yes")</f>
        <v>Yes</v>
      </c>
      <c r="AC287" s="5" t="str">
        <f ca="1">IFERROR(__xludf.DUMMYFUNCTION("""COMPUTED_VALUE"""),"No")</f>
        <v>No</v>
      </c>
    </row>
    <row r="288" spans="1:29" x14ac:dyDescent="0.25">
      <c r="A288" s="5" t="str">
        <f ca="1">IFERROR(__xludf.DUMMYFUNCTION("""COMPUTED_VALUE"""),"Redstone20FruitFrenzy")</f>
        <v>Redstone20FruitFrenzy</v>
      </c>
      <c r="B28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8" s="5" t="str">
        <f ca="1">IFERROR(__xludf.DUMMYFUNCTION("""COMPUTED_VALUE"""),"Yes")</f>
        <v>Yes</v>
      </c>
      <c r="D288" s="5" t="str">
        <f ca="1">IFERROR(__xludf.DUMMYFUNCTION("""COMPUTED_VALUE"""),"Yes")</f>
        <v>Yes</v>
      </c>
      <c r="E288" s="5" t="str">
        <f ca="1">IFERROR(__xludf.DUMMYFUNCTION("""COMPUTED_VALUE"""),"No")</f>
        <v>No</v>
      </c>
      <c r="F288" s="5" t="str">
        <f ca="1">IFERROR(__xludf.DUMMYFUNCTION("""COMPUTED_VALUE"""),"Yes")</f>
        <v>Yes</v>
      </c>
      <c r="G288" s="5" t="str">
        <f ca="1">IFERROR(__xludf.DUMMYFUNCTION("""COMPUTED_VALUE"""),"Yes")</f>
        <v>Yes</v>
      </c>
      <c r="H288" s="5" t="str">
        <f ca="1">IFERROR(__xludf.DUMMYFUNCTION("""COMPUTED_VALUE"""),"Yes")</f>
        <v>Yes</v>
      </c>
      <c r="I288" s="5" t="str">
        <f ca="1">IFERROR(__xludf.DUMMYFUNCTION("""COMPUTED_VALUE"""),"Yes")</f>
        <v>Yes</v>
      </c>
      <c r="J288" s="5" t="str">
        <f ca="1">IFERROR(__xludf.DUMMYFUNCTION("""COMPUTED_VALUE"""),"Yes")</f>
        <v>Yes</v>
      </c>
      <c r="K288" s="5" t="str">
        <f ca="1">IFERROR(__xludf.DUMMYFUNCTION("""COMPUTED_VALUE"""),"Yes")</f>
        <v>Yes</v>
      </c>
      <c r="L288" s="5" t="str">
        <f ca="1">IFERROR(__xludf.DUMMYFUNCTION("""COMPUTED_VALUE"""),"Yes")</f>
        <v>Yes</v>
      </c>
      <c r="M288" s="5" t="str">
        <f ca="1">IFERROR(__xludf.DUMMYFUNCTION("""COMPUTED_VALUE"""),"Yes")</f>
        <v>Yes</v>
      </c>
      <c r="N288" s="5" t="str">
        <f ca="1">IFERROR(__xludf.DUMMYFUNCTION("""COMPUTED_VALUE"""),"Yes")</f>
        <v>Yes</v>
      </c>
      <c r="O288" s="5" t="str">
        <f ca="1">IFERROR(__xludf.DUMMYFUNCTION("""COMPUTED_VALUE"""),"Yes")</f>
        <v>Yes</v>
      </c>
      <c r="P288" s="5" t="str">
        <f ca="1">IFERROR(__xludf.DUMMYFUNCTION("""COMPUTED_VALUE"""),"Yes")</f>
        <v>Yes</v>
      </c>
      <c r="Q288" s="5" t="str">
        <f ca="1">IFERROR(__xludf.DUMMYFUNCTION("""COMPUTED_VALUE"""),"Yes")</f>
        <v>Yes</v>
      </c>
      <c r="R288" s="5" t="str">
        <f ca="1">IFERROR(__xludf.DUMMYFUNCTION("""COMPUTED_VALUE"""),"No")</f>
        <v>No</v>
      </c>
      <c r="S288" s="5" t="str">
        <f ca="1">IFERROR(__xludf.DUMMYFUNCTION("""COMPUTED_VALUE"""),"No")</f>
        <v>No</v>
      </c>
      <c r="T288" s="5" t="str">
        <f ca="1">IFERROR(__xludf.DUMMYFUNCTION("""COMPUTED_VALUE"""),"No")</f>
        <v>No</v>
      </c>
      <c r="U288" s="5" t="str">
        <f ca="1">IFERROR(__xludf.DUMMYFUNCTION("""COMPUTED_VALUE"""),"No")</f>
        <v>No</v>
      </c>
      <c r="V288" s="5" t="str">
        <f ca="1">IFERROR(__xludf.DUMMYFUNCTION("""COMPUTED_VALUE"""),"No")</f>
        <v>No</v>
      </c>
      <c r="W288" s="5" t="str">
        <f ca="1">IFERROR(__xludf.DUMMYFUNCTION("""COMPUTED_VALUE"""),"No")</f>
        <v>No</v>
      </c>
      <c r="X288" s="5" t="str">
        <f ca="1">IFERROR(__xludf.DUMMYFUNCTION("""COMPUTED_VALUE"""),"No")</f>
        <v>No</v>
      </c>
      <c r="Y288" s="5" t="str">
        <f ca="1">IFERROR(__xludf.DUMMYFUNCTION("""COMPUTED_VALUE"""),"No")</f>
        <v>No</v>
      </c>
      <c r="Z288" s="5" t="str">
        <f ca="1">IFERROR(__xludf.DUMMYFUNCTION("""COMPUTED_VALUE"""),"No")</f>
        <v>No</v>
      </c>
      <c r="AA288" s="5" t="str">
        <f ca="1">IFERROR(__xludf.DUMMYFUNCTION("""COMPUTED_VALUE"""),"No")</f>
        <v>No</v>
      </c>
      <c r="AB288" s="5" t="str">
        <f ca="1">IFERROR(__xludf.DUMMYFUNCTION("""COMPUTED_VALUE"""),"Yes")</f>
        <v>Yes</v>
      </c>
      <c r="AC288" s="5" t="str">
        <f ca="1">IFERROR(__xludf.DUMMYFUNCTION("""COMPUTED_VALUE"""),"No")</f>
        <v>No</v>
      </c>
    </row>
    <row r="289" spans="1:29" x14ac:dyDescent="0.25">
      <c r="A289" s="5" t="str">
        <f ca="1">IFERROR(__xludf.DUMMYFUNCTION("""COMPUTED_VALUE"""),"Redstone40FruitFrenzy")</f>
        <v>Redstone40FruitFrenzy</v>
      </c>
      <c r="B28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9" s="5" t="str">
        <f ca="1">IFERROR(__xludf.DUMMYFUNCTION("""COMPUTED_VALUE"""),"Yes")</f>
        <v>Yes</v>
      </c>
      <c r="D289" s="5" t="str">
        <f ca="1">IFERROR(__xludf.DUMMYFUNCTION("""COMPUTED_VALUE"""),"Yes")</f>
        <v>Yes</v>
      </c>
      <c r="E289" s="5" t="str">
        <f ca="1">IFERROR(__xludf.DUMMYFUNCTION("""COMPUTED_VALUE"""),"No")</f>
        <v>No</v>
      </c>
      <c r="F289" s="5" t="str">
        <f ca="1">IFERROR(__xludf.DUMMYFUNCTION("""COMPUTED_VALUE"""),"Yes")</f>
        <v>Yes</v>
      </c>
      <c r="G289" s="5" t="str">
        <f ca="1">IFERROR(__xludf.DUMMYFUNCTION("""COMPUTED_VALUE"""),"Yes")</f>
        <v>Yes</v>
      </c>
      <c r="H289" s="5" t="str">
        <f ca="1">IFERROR(__xludf.DUMMYFUNCTION("""COMPUTED_VALUE"""),"Yes")</f>
        <v>Yes</v>
      </c>
      <c r="I289" s="5" t="str">
        <f ca="1">IFERROR(__xludf.DUMMYFUNCTION("""COMPUTED_VALUE"""),"Yes")</f>
        <v>Yes</v>
      </c>
      <c r="J289" s="5" t="str">
        <f ca="1">IFERROR(__xludf.DUMMYFUNCTION("""COMPUTED_VALUE"""),"Yes")</f>
        <v>Yes</v>
      </c>
      <c r="K289" s="5" t="str">
        <f ca="1">IFERROR(__xludf.DUMMYFUNCTION("""COMPUTED_VALUE"""),"Yes")</f>
        <v>Yes</v>
      </c>
      <c r="L289" s="5" t="str">
        <f ca="1">IFERROR(__xludf.DUMMYFUNCTION("""COMPUTED_VALUE"""),"Yes")</f>
        <v>Yes</v>
      </c>
      <c r="M289" s="5" t="str">
        <f ca="1">IFERROR(__xludf.DUMMYFUNCTION("""COMPUTED_VALUE"""),"Yes")</f>
        <v>Yes</v>
      </c>
      <c r="N289" s="5" t="str">
        <f ca="1">IFERROR(__xludf.DUMMYFUNCTION("""COMPUTED_VALUE"""),"Yes")</f>
        <v>Yes</v>
      </c>
      <c r="O289" s="5" t="str">
        <f ca="1">IFERROR(__xludf.DUMMYFUNCTION("""COMPUTED_VALUE"""),"Yes")</f>
        <v>Yes</v>
      </c>
      <c r="P289" s="5" t="str">
        <f ca="1">IFERROR(__xludf.DUMMYFUNCTION("""COMPUTED_VALUE"""),"Yes")</f>
        <v>Yes</v>
      </c>
      <c r="Q289" s="5" t="str">
        <f ca="1">IFERROR(__xludf.DUMMYFUNCTION("""COMPUTED_VALUE"""),"Yes")</f>
        <v>Yes</v>
      </c>
      <c r="R289" s="5" t="str">
        <f ca="1">IFERROR(__xludf.DUMMYFUNCTION("""COMPUTED_VALUE"""),"No")</f>
        <v>No</v>
      </c>
      <c r="S289" s="5" t="str">
        <f ca="1">IFERROR(__xludf.DUMMYFUNCTION("""COMPUTED_VALUE"""),"No")</f>
        <v>No</v>
      </c>
      <c r="T289" s="5" t="str">
        <f ca="1">IFERROR(__xludf.DUMMYFUNCTION("""COMPUTED_VALUE"""),"No")</f>
        <v>No</v>
      </c>
      <c r="U289" s="5" t="str">
        <f ca="1">IFERROR(__xludf.DUMMYFUNCTION("""COMPUTED_VALUE"""),"No")</f>
        <v>No</v>
      </c>
      <c r="V289" s="5" t="str">
        <f ca="1">IFERROR(__xludf.DUMMYFUNCTION("""COMPUTED_VALUE"""),"No")</f>
        <v>No</v>
      </c>
      <c r="W289" s="5" t="str">
        <f ca="1">IFERROR(__xludf.DUMMYFUNCTION("""COMPUTED_VALUE"""),"No")</f>
        <v>No</v>
      </c>
      <c r="X289" s="5" t="str">
        <f ca="1">IFERROR(__xludf.DUMMYFUNCTION("""COMPUTED_VALUE"""),"No")</f>
        <v>No</v>
      </c>
      <c r="Y289" s="5" t="str">
        <f ca="1">IFERROR(__xludf.DUMMYFUNCTION("""COMPUTED_VALUE"""),"No")</f>
        <v>No</v>
      </c>
      <c r="Z289" s="5" t="str">
        <f ca="1">IFERROR(__xludf.DUMMYFUNCTION("""COMPUTED_VALUE"""),"No")</f>
        <v>No</v>
      </c>
      <c r="AA289" s="5" t="str">
        <f ca="1">IFERROR(__xludf.DUMMYFUNCTION("""COMPUTED_VALUE"""),"No")</f>
        <v>No</v>
      </c>
      <c r="AB289" s="5" t="str">
        <f ca="1">IFERROR(__xludf.DUMMYFUNCTION("""COMPUTED_VALUE"""),"Yes")</f>
        <v>Yes</v>
      </c>
      <c r="AC289" s="5" t="str">
        <f ca="1">IFERROR(__xludf.DUMMYFUNCTION("""COMPUTED_VALUE"""),"No")</f>
        <v>No</v>
      </c>
    </row>
    <row r="290" spans="1:29" x14ac:dyDescent="0.25">
      <c r="A290" s="5" t="str">
        <f ca="1">IFERROR(__xludf.DUMMYFUNCTION("""COMPUTED_VALUE"""),"RedstoneWildHeartBeat")</f>
        <v>RedstoneWildHeartBeat</v>
      </c>
      <c r="B29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0" s="5" t="str">
        <f ca="1">IFERROR(__xludf.DUMMYFUNCTION("""COMPUTED_VALUE"""),"Yes")</f>
        <v>Yes</v>
      </c>
      <c r="D290" s="5" t="str">
        <f ca="1">IFERROR(__xludf.DUMMYFUNCTION("""COMPUTED_VALUE"""),"Yes")</f>
        <v>Yes</v>
      </c>
      <c r="E290" s="5" t="str">
        <f ca="1">IFERROR(__xludf.DUMMYFUNCTION("""COMPUTED_VALUE"""),"No")</f>
        <v>No</v>
      </c>
      <c r="F290" s="5" t="str">
        <f ca="1">IFERROR(__xludf.DUMMYFUNCTION("""COMPUTED_VALUE"""),"Yes")</f>
        <v>Yes</v>
      </c>
      <c r="G290" s="5" t="str">
        <f ca="1">IFERROR(__xludf.DUMMYFUNCTION("""COMPUTED_VALUE"""),"Yes")</f>
        <v>Yes</v>
      </c>
      <c r="H290" s="5" t="str">
        <f ca="1">IFERROR(__xludf.DUMMYFUNCTION("""COMPUTED_VALUE"""),"Yes")</f>
        <v>Yes</v>
      </c>
      <c r="I290" s="5" t="str">
        <f ca="1">IFERROR(__xludf.DUMMYFUNCTION("""COMPUTED_VALUE"""),"Yes")</f>
        <v>Yes</v>
      </c>
      <c r="J290" s="5" t="str">
        <f ca="1">IFERROR(__xludf.DUMMYFUNCTION("""COMPUTED_VALUE"""),"Yes")</f>
        <v>Yes</v>
      </c>
      <c r="K290" s="5" t="str">
        <f ca="1">IFERROR(__xludf.DUMMYFUNCTION("""COMPUTED_VALUE"""),"Yes")</f>
        <v>Yes</v>
      </c>
      <c r="L290" s="5" t="str">
        <f ca="1">IFERROR(__xludf.DUMMYFUNCTION("""COMPUTED_VALUE"""),"Yes")</f>
        <v>Yes</v>
      </c>
      <c r="M290" s="5" t="str">
        <f ca="1">IFERROR(__xludf.DUMMYFUNCTION("""COMPUTED_VALUE"""),"Yes")</f>
        <v>Yes</v>
      </c>
      <c r="N290" s="5" t="str">
        <f ca="1">IFERROR(__xludf.DUMMYFUNCTION("""COMPUTED_VALUE"""),"Yes")</f>
        <v>Yes</v>
      </c>
      <c r="O290" s="5" t="str">
        <f ca="1">IFERROR(__xludf.DUMMYFUNCTION("""COMPUTED_VALUE"""),"Yes")</f>
        <v>Yes</v>
      </c>
      <c r="P290" s="5" t="str">
        <f ca="1">IFERROR(__xludf.DUMMYFUNCTION("""COMPUTED_VALUE"""),"Yes")</f>
        <v>Yes</v>
      </c>
      <c r="Q290" s="5" t="str">
        <f ca="1">IFERROR(__xludf.DUMMYFUNCTION("""COMPUTED_VALUE"""),"Yes")</f>
        <v>Yes</v>
      </c>
      <c r="R290" s="5" t="str">
        <f ca="1">IFERROR(__xludf.DUMMYFUNCTION("""COMPUTED_VALUE"""),"No")</f>
        <v>No</v>
      </c>
      <c r="S290" s="5" t="str">
        <f ca="1">IFERROR(__xludf.DUMMYFUNCTION("""COMPUTED_VALUE"""),"No")</f>
        <v>No</v>
      </c>
      <c r="T290" s="5" t="str">
        <f ca="1">IFERROR(__xludf.DUMMYFUNCTION("""COMPUTED_VALUE"""),"No")</f>
        <v>No</v>
      </c>
      <c r="U290" s="5" t="str">
        <f ca="1">IFERROR(__xludf.DUMMYFUNCTION("""COMPUTED_VALUE"""),"No")</f>
        <v>No</v>
      </c>
      <c r="V290" s="5" t="str">
        <f ca="1">IFERROR(__xludf.DUMMYFUNCTION("""COMPUTED_VALUE"""),"No")</f>
        <v>No</v>
      </c>
      <c r="W290" s="5" t="str">
        <f ca="1">IFERROR(__xludf.DUMMYFUNCTION("""COMPUTED_VALUE"""),"No")</f>
        <v>No</v>
      </c>
      <c r="X290" s="5" t="str">
        <f ca="1">IFERROR(__xludf.DUMMYFUNCTION("""COMPUTED_VALUE"""),"No")</f>
        <v>No</v>
      </c>
      <c r="Y290" s="5" t="str">
        <f ca="1">IFERROR(__xludf.DUMMYFUNCTION("""COMPUTED_VALUE"""),"No")</f>
        <v>No</v>
      </c>
      <c r="Z290" s="5" t="str">
        <f ca="1">IFERROR(__xludf.DUMMYFUNCTION("""COMPUTED_VALUE"""),"No")</f>
        <v>No</v>
      </c>
      <c r="AA290" s="5" t="str">
        <f ca="1">IFERROR(__xludf.DUMMYFUNCTION("""COMPUTED_VALUE"""),"No")</f>
        <v>No</v>
      </c>
      <c r="AB290" s="5" t="str">
        <f ca="1">IFERROR(__xludf.DUMMYFUNCTION("""COMPUTED_VALUE"""),"Yes")</f>
        <v>Yes</v>
      </c>
      <c r="AC290" s="5" t="str">
        <f ca="1">IFERROR(__xludf.DUMMYFUNCTION("""COMPUTED_VALUE"""),"No")</f>
        <v>No</v>
      </c>
    </row>
    <row r="291" spans="1:29" x14ac:dyDescent="0.25">
      <c r="A291" s="5" t="str">
        <f ca="1">IFERROR(__xludf.DUMMYFUNCTION("""COMPUTED_VALUE"""),"RedstoneWildTrail")</f>
        <v>RedstoneWildTrail</v>
      </c>
      <c r="B29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1" s="5" t="str">
        <f ca="1">IFERROR(__xludf.DUMMYFUNCTION("""COMPUTED_VALUE"""),"Yes")</f>
        <v>Yes</v>
      </c>
      <c r="D291" s="5" t="str">
        <f ca="1">IFERROR(__xludf.DUMMYFUNCTION("""COMPUTED_VALUE"""),"Yes")</f>
        <v>Yes</v>
      </c>
      <c r="E291" s="5" t="str">
        <f ca="1">IFERROR(__xludf.DUMMYFUNCTION("""COMPUTED_VALUE"""),"No")</f>
        <v>No</v>
      </c>
      <c r="F291" s="5" t="str">
        <f ca="1">IFERROR(__xludf.DUMMYFUNCTION("""COMPUTED_VALUE"""),"Yes")</f>
        <v>Yes</v>
      </c>
      <c r="G291" s="5" t="str">
        <f ca="1">IFERROR(__xludf.DUMMYFUNCTION("""COMPUTED_VALUE"""),"Yes")</f>
        <v>Yes</v>
      </c>
      <c r="H291" s="5" t="str">
        <f ca="1">IFERROR(__xludf.DUMMYFUNCTION("""COMPUTED_VALUE"""),"Yes")</f>
        <v>Yes</v>
      </c>
      <c r="I291" s="5" t="str">
        <f ca="1">IFERROR(__xludf.DUMMYFUNCTION("""COMPUTED_VALUE"""),"Yes")</f>
        <v>Yes</v>
      </c>
      <c r="J291" s="5" t="str">
        <f ca="1">IFERROR(__xludf.DUMMYFUNCTION("""COMPUTED_VALUE"""),"Yes")</f>
        <v>Yes</v>
      </c>
      <c r="K291" s="5" t="str">
        <f ca="1">IFERROR(__xludf.DUMMYFUNCTION("""COMPUTED_VALUE"""),"Yes")</f>
        <v>Yes</v>
      </c>
      <c r="L291" s="5" t="str">
        <f ca="1">IFERROR(__xludf.DUMMYFUNCTION("""COMPUTED_VALUE"""),"Yes")</f>
        <v>Yes</v>
      </c>
      <c r="M291" s="5" t="str">
        <f ca="1">IFERROR(__xludf.DUMMYFUNCTION("""COMPUTED_VALUE"""),"Yes")</f>
        <v>Yes</v>
      </c>
      <c r="N291" s="5" t="str">
        <f ca="1">IFERROR(__xludf.DUMMYFUNCTION("""COMPUTED_VALUE"""),"Yes")</f>
        <v>Yes</v>
      </c>
      <c r="O291" s="5" t="str">
        <f ca="1">IFERROR(__xludf.DUMMYFUNCTION("""COMPUTED_VALUE"""),"Yes")</f>
        <v>Yes</v>
      </c>
      <c r="P291" s="5" t="str">
        <f ca="1">IFERROR(__xludf.DUMMYFUNCTION("""COMPUTED_VALUE"""),"Yes")</f>
        <v>Yes</v>
      </c>
      <c r="Q291" s="5" t="str">
        <f ca="1">IFERROR(__xludf.DUMMYFUNCTION("""COMPUTED_VALUE"""),"Yes")</f>
        <v>Yes</v>
      </c>
      <c r="R291" s="5" t="str">
        <f ca="1">IFERROR(__xludf.DUMMYFUNCTION("""COMPUTED_VALUE"""),"No")</f>
        <v>No</v>
      </c>
      <c r="S291" s="5" t="str">
        <f ca="1">IFERROR(__xludf.DUMMYFUNCTION("""COMPUTED_VALUE"""),"No")</f>
        <v>No</v>
      </c>
      <c r="T291" s="5" t="str">
        <f ca="1">IFERROR(__xludf.DUMMYFUNCTION("""COMPUTED_VALUE"""),"No")</f>
        <v>No</v>
      </c>
      <c r="U291" s="5" t="str">
        <f ca="1">IFERROR(__xludf.DUMMYFUNCTION("""COMPUTED_VALUE"""),"No")</f>
        <v>No</v>
      </c>
      <c r="V291" s="5" t="str">
        <f ca="1">IFERROR(__xludf.DUMMYFUNCTION("""COMPUTED_VALUE"""),"No")</f>
        <v>No</v>
      </c>
      <c r="W291" s="5" t="str">
        <f ca="1">IFERROR(__xludf.DUMMYFUNCTION("""COMPUTED_VALUE"""),"No")</f>
        <v>No</v>
      </c>
      <c r="X291" s="5" t="str">
        <f ca="1">IFERROR(__xludf.DUMMYFUNCTION("""COMPUTED_VALUE"""),"No")</f>
        <v>No</v>
      </c>
      <c r="Y291" s="5" t="str">
        <f ca="1">IFERROR(__xludf.DUMMYFUNCTION("""COMPUTED_VALUE"""),"No")</f>
        <v>No</v>
      </c>
      <c r="Z291" s="5" t="str">
        <f ca="1">IFERROR(__xludf.DUMMYFUNCTION("""COMPUTED_VALUE"""),"No")</f>
        <v>No</v>
      </c>
      <c r="AA291" s="5" t="str">
        <f ca="1">IFERROR(__xludf.DUMMYFUNCTION("""COMPUTED_VALUE"""),"No")</f>
        <v>No</v>
      </c>
      <c r="AB291" s="5" t="str">
        <f ca="1">IFERROR(__xludf.DUMMYFUNCTION("""COMPUTED_VALUE"""),"Yes")</f>
        <v>Yes</v>
      </c>
      <c r="AC291" s="5" t="str">
        <f ca="1">IFERROR(__xludf.DUMMYFUNCTION("""COMPUTED_VALUE"""),"No")</f>
        <v>No</v>
      </c>
    </row>
    <row r="292" spans="1:29" x14ac:dyDescent="0.25">
      <c r="A292" s="5" t="str">
        <f ca="1">IFERROR(__xludf.DUMMYFUNCTION("""COMPUTED_VALUE"""),"Redstone40JokersFreeGames")</f>
        <v>Redstone40JokersFreeGames</v>
      </c>
      <c r="B29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2" s="5" t="str">
        <f ca="1">IFERROR(__xludf.DUMMYFUNCTION("""COMPUTED_VALUE"""),"Yes")</f>
        <v>Yes</v>
      </c>
      <c r="D292" s="5" t="str">
        <f ca="1">IFERROR(__xludf.DUMMYFUNCTION("""COMPUTED_VALUE"""),"Yes")</f>
        <v>Yes</v>
      </c>
      <c r="E292" s="5" t="str">
        <f ca="1">IFERROR(__xludf.DUMMYFUNCTION("""COMPUTED_VALUE"""),"No")</f>
        <v>No</v>
      </c>
      <c r="F292" s="5" t="str">
        <f ca="1">IFERROR(__xludf.DUMMYFUNCTION("""COMPUTED_VALUE"""),"Yes")</f>
        <v>Yes</v>
      </c>
      <c r="G292" s="5" t="str">
        <f ca="1">IFERROR(__xludf.DUMMYFUNCTION("""COMPUTED_VALUE"""),"Yes")</f>
        <v>Yes</v>
      </c>
      <c r="H292" s="5" t="str">
        <f ca="1">IFERROR(__xludf.DUMMYFUNCTION("""COMPUTED_VALUE"""),"Yes")</f>
        <v>Yes</v>
      </c>
      <c r="I292" s="5" t="str">
        <f ca="1">IFERROR(__xludf.DUMMYFUNCTION("""COMPUTED_VALUE"""),"Yes")</f>
        <v>Yes</v>
      </c>
      <c r="J292" s="5" t="str">
        <f ca="1">IFERROR(__xludf.DUMMYFUNCTION("""COMPUTED_VALUE"""),"Yes")</f>
        <v>Yes</v>
      </c>
      <c r="K292" s="5" t="str">
        <f ca="1">IFERROR(__xludf.DUMMYFUNCTION("""COMPUTED_VALUE"""),"Yes")</f>
        <v>Yes</v>
      </c>
      <c r="L292" s="5" t="str">
        <f ca="1">IFERROR(__xludf.DUMMYFUNCTION("""COMPUTED_VALUE"""),"Yes")</f>
        <v>Yes</v>
      </c>
      <c r="M292" s="5" t="str">
        <f ca="1">IFERROR(__xludf.DUMMYFUNCTION("""COMPUTED_VALUE"""),"Yes")</f>
        <v>Yes</v>
      </c>
      <c r="N292" s="5" t="str">
        <f ca="1">IFERROR(__xludf.DUMMYFUNCTION("""COMPUTED_VALUE"""),"Yes")</f>
        <v>Yes</v>
      </c>
      <c r="O292" s="5" t="str">
        <f ca="1">IFERROR(__xludf.DUMMYFUNCTION("""COMPUTED_VALUE"""),"Yes")</f>
        <v>Yes</v>
      </c>
      <c r="P292" s="5" t="str">
        <f ca="1">IFERROR(__xludf.DUMMYFUNCTION("""COMPUTED_VALUE"""),"Yes")</f>
        <v>Yes</v>
      </c>
      <c r="Q292" s="5" t="str">
        <f ca="1">IFERROR(__xludf.DUMMYFUNCTION("""COMPUTED_VALUE"""),"Yes")</f>
        <v>Yes</v>
      </c>
      <c r="R292" s="5" t="str">
        <f ca="1">IFERROR(__xludf.DUMMYFUNCTION("""COMPUTED_VALUE"""),"No")</f>
        <v>No</v>
      </c>
      <c r="S292" s="5" t="str">
        <f ca="1">IFERROR(__xludf.DUMMYFUNCTION("""COMPUTED_VALUE"""),"No")</f>
        <v>No</v>
      </c>
      <c r="T292" s="5" t="str">
        <f ca="1">IFERROR(__xludf.DUMMYFUNCTION("""COMPUTED_VALUE"""),"No")</f>
        <v>No</v>
      </c>
      <c r="U292" s="5" t="str">
        <f ca="1">IFERROR(__xludf.DUMMYFUNCTION("""COMPUTED_VALUE"""),"No")</f>
        <v>No</v>
      </c>
      <c r="V292" s="5" t="str">
        <f ca="1">IFERROR(__xludf.DUMMYFUNCTION("""COMPUTED_VALUE"""),"No")</f>
        <v>No</v>
      </c>
      <c r="W292" s="5" t="str">
        <f ca="1">IFERROR(__xludf.DUMMYFUNCTION("""COMPUTED_VALUE"""),"No")</f>
        <v>No</v>
      </c>
      <c r="X292" s="5" t="str">
        <f ca="1">IFERROR(__xludf.DUMMYFUNCTION("""COMPUTED_VALUE"""),"No")</f>
        <v>No</v>
      </c>
      <c r="Y292" s="5" t="str">
        <f ca="1">IFERROR(__xludf.DUMMYFUNCTION("""COMPUTED_VALUE"""),"No")</f>
        <v>No</v>
      </c>
      <c r="Z292" s="5" t="str">
        <f ca="1">IFERROR(__xludf.DUMMYFUNCTION("""COMPUTED_VALUE"""),"No")</f>
        <v>No</v>
      </c>
      <c r="AA292" s="5" t="str">
        <f ca="1">IFERROR(__xludf.DUMMYFUNCTION("""COMPUTED_VALUE"""),"No")</f>
        <v>No</v>
      </c>
      <c r="AB292" s="5" t="str">
        <f ca="1">IFERROR(__xludf.DUMMYFUNCTION("""COMPUTED_VALUE"""),"Yes")</f>
        <v>Yes</v>
      </c>
      <c r="AC292" s="5" t="str">
        <f ca="1">IFERROR(__xludf.DUMMYFUNCTION("""COMPUTED_VALUE"""),"No")</f>
        <v>No</v>
      </c>
    </row>
    <row r="293" spans="1:29" x14ac:dyDescent="0.25">
      <c r="A293" s="5" t="str">
        <f ca="1">IFERROR(__xludf.DUMMYFUNCTION("""COMPUTED_VALUE"""),"RedstoneMoonDog")</f>
        <v>RedstoneMoonDog</v>
      </c>
      <c r="B29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3" s="5" t="str">
        <f ca="1">IFERROR(__xludf.DUMMYFUNCTION("""COMPUTED_VALUE"""),"Yes")</f>
        <v>Yes</v>
      </c>
      <c r="D293" s="5" t="str">
        <f ca="1">IFERROR(__xludf.DUMMYFUNCTION("""COMPUTED_VALUE"""),"Yes")</f>
        <v>Yes</v>
      </c>
      <c r="E293" s="5" t="str">
        <f ca="1">IFERROR(__xludf.DUMMYFUNCTION("""COMPUTED_VALUE"""),"No")</f>
        <v>No</v>
      </c>
      <c r="F293" s="5" t="str">
        <f ca="1">IFERROR(__xludf.DUMMYFUNCTION("""COMPUTED_VALUE"""),"Yes")</f>
        <v>Yes</v>
      </c>
      <c r="G293" s="5" t="str">
        <f ca="1">IFERROR(__xludf.DUMMYFUNCTION("""COMPUTED_VALUE"""),"Yes")</f>
        <v>Yes</v>
      </c>
      <c r="H293" s="5" t="str">
        <f ca="1">IFERROR(__xludf.DUMMYFUNCTION("""COMPUTED_VALUE"""),"Yes")</f>
        <v>Yes</v>
      </c>
      <c r="I293" s="5" t="str">
        <f ca="1">IFERROR(__xludf.DUMMYFUNCTION("""COMPUTED_VALUE"""),"Yes")</f>
        <v>Yes</v>
      </c>
      <c r="J293" s="5" t="str">
        <f ca="1">IFERROR(__xludf.DUMMYFUNCTION("""COMPUTED_VALUE"""),"Yes")</f>
        <v>Yes</v>
      </c>
      <c r="K293" s="5" t="str">
        <f ca="1">IFERROR(__xludf.DUMMYFUNCTION("""COMPUTED_VALUE"""),"Yes")</f>
        <v>Yes</v>
      </c>
      <c r="L293" s="5" t="str">
        <f ca="1">IFERROR(__xludf.DUMMYFUNCTION("""COMPUTED_VALUE"""),"Yes")</f>
        <v>Yes</v>
      </c>
      <c r="M293" s="5" t="str">
        <f ca="1">IFERROR(__xludf.DUMMYFUNCTION("""COMPUTED_VALUE"""),"Yes")</f>
        <v>Yes</v>
      </c>
      <c r="N293" s="5" t="str">
        <f ca="1">IFERROR(__xludf.DUMMYFUNCTION("""COMPUTED_VALUE"""),"Yes")</f>
        <v>Yes</v>
      </c>
      <c r="O293" s="5" t="str">
        <f ca="1">IFERROR(__xludf.DUMMYFUNCTION("""COMPUTED_VALUE"""),"Yes")</f>
        <v>Yes</v>
      </c>
      <c r="P293" s="5" t="str">
        <f ca="1">IFERROR(__xludf.DUMMYFUNCTION("""COMPUTED_VALUE"""),"Yes")</f>
        <v>Yes</v>
      </c>
      <c r="Q293" s="5" t="str">
        <f ca="1">IFERROR(__xludf.DUMMYFUNCTION("""COMPUTED_VALUE"""),"Yes")</f>
        <v>Yes</v>
      </c>
      <c r="R293" s="5" t="str">
        <f ca="1">IFERROR(__xludf.DUMMYFUNCTION("""COMPUTED_VALUE"""),"No")</f>
        <v>No</v>
      </c>
      <c r="S293" s="5" t="str">
        <f ca="1">IFERROR(__xludf.DUMMYFUNCTION("""COMPUTED_VALUE"""),"No")</f>
        <v>No</v>
      </c>
      <c r="T293" s="5" t="str">
        <f ca="1">IFERROR(__xludf.DUMMYFUNCTION("""COMPUTED_VALUE"""),"No")</f>
        <v>No</v>
      </c>
      <c r="U293" s="5" t="str">
        <f ca="1">IFERROR(__xludf.DUMMYFUNCTION("""COMPUTED_VALUE"""),"No")</f>
        <v>No</v>
      </c>
      <c r="V293" s="5" t="str">
        <f ca="1">IFERROR(__xludf.DUMMYFUNCTION("""COMPUTED_VALUE"""),"No")</f>
        <v>No</v>
      </c>
      <c r="W293" s="5" t="str">
        <f ca="1">IFERROR(__xludf.DUMMYFUNCTION("""COMPUTED_VALUE"""),"No")</f>
        <v>No</v>
      </c>
      <c r="X293" s="5" t="str">
        <f ca="1">IFERROR(__xludf.DUMMYFUNCTION("""COMPUTED_VALUE"""),"No")</f>
        <v>No</v>
      </c>
      <c r="Y293" s="5" t="str">
        <f ca="1">IFERROR(__xludf.DUMMYFUNCTION("""COMPUTED_VALUE"""),"No")</f>
        <v>No</v>
      </c>
      <c r="Z293" s="5" t="str">
        <f ca="1">IFERROR(__xludf.DUMMYFUNCTION("""COMPUTED_VALUE"""),"No")</f>
        <v>No</v>
      </c>
      <c r="AA293" s="5" t="str">
        <f ca="1">IFERROR(__xludf.DUMMYFUNCTION("""COMPUTED_VALUE"""),"No")</f>
        <v>No</v>
      </c>
      <c r="AB293" s="5" t="str">
        <f ca="1">IFERROR(__xludf.DUMMYFUNCTION("""COMPUTED_VALUE"""),"Yes")</f>
        <v>Yes</v>
      </c>
      <c r="AC293" s="5" t="str">
        <f ca="1">IFERROR(__xludf.DUMMYFUNCTION("""COMPUTED_VALUE"""),"No")</f>
        <v>No</v>
      </c>
    </row>
    <row r="294" spans="1:29" x14ac:dyDescent="0.25">
      <c r="A294" s="5" t="str">
        <f ca="1">IFERROR(__xludf.DUMMYFUNCTION("""COMPUTED_VALUE"""),"BonusEpicCrown")</f>
        <v>BonusEpicCrown</v>
      </c>
      <c r="B2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4" s="5" t="str">
        <f ca="1">IFERROR(__xludf.DUMMYFUNCTION("""COMPUTED_VALUE"""),"Yes")</f>
        <v>Yes</v>
      </c>
      <c r="D294" s="5" t="str">
        <f ca="1">IFERROR(__xludf.DUMMYFUNCTION("""COMPUTED_VALUE"""),"Yes")</f>
        <v>Yes</v>
      </c>
      <c r="E294" s="5" t="str">
        <f ca="1">IFERROR(__xludf.DUMMYFUNCTION("""COMPUTED_VALUE"""),"Yes")</f>
        <v>Yes</v>
      </c>
      <c r="F294" s="5" t="str">
        <f ca="1">IFERROR(__xludf.DUMMYFUNCTION("""COMPUTED_VALUE"""),"Yes")</f>
        <v>Yes</v>
      </c>
      <c r="G294" s="5" t="str">
        <f ca="1">IFERROR(__xludf.DUMMYFUNCTION("""COMPUTED_VALUE"""),"Yes")</f>
        <v>Yes</v>
      </c>
      <c r="H294" s="5" t="str">
        <f ca="1">IFERROR(__xludf.DUMMYFUNCTION("""COMPUTED_VALUE"""),"Yes")</f>
        <v>Yes</v>
      </c>
      <c r="I294" s="5" t="str">
        <f ca="1">IFERROR(__xludf.DUMMYFUNCTION("""COMPUTED_VALUE"""),"Yes")</f>
        <v>Yes</v>
      </c>
      <c r="J294" s="5" t="str">
        <f ca="1">IFERROR(__xludf.DUMMYFUNCTION("""COMPUTED_VALUE"""),"Yes")</f>
        <v>Yes</v>
      </c>
      <c r="K294" s="5" t="str">
        <f ca="1">IFERROR(__xludf.DUMMYFUNCTION("""COMPUTED_VALUE"""),"Yes")</f>
        <v>Yes</v>
      </c>
      <c r="L294" s="5" t="str">
        <f ca="1">IFERROR(__xludf.DUMMYFUNCTION("""COMPUTED_VALUE"""),"Yes")</f>
        <v>Yes</v>
      </c>
      <c r="M294" s="5" t="str">
        <f ca="1">IFERROR(__xludf.DUMMYFUNCTION("""COMPUTED_VALUE"""),"Yes")</f>
        <v>Yes</v>
      </c>
      <c r="N294" s="5" t="str">
        <f ca="1">IFERROR(__xludf.DUMMYFUNCTION("""COMPUTED_VALUE"""),"Yes")</f>
        <v>Yes</v>
      </c>
      <c r="O294" s="5" t="str">
        <f ca="1">IFERROR(__xludf.DUMMYFUNCTION("""COMPUTED_VALUE"""),"Yes")</f>
        <v>Yes</v>
      </c>
      <c r="P294" s="5" t="str">
        <f ca="1">IFERROR(__xludf.DUMMYFUNCTION("""COMPUTED_VALUE"""),"Yes")</f>
        <v>Yes</v>
      </c>
      <c r="Q294" s="5" t="str">
        <f ca="1">IFERROR(__xludf.DUMMYFUNCTION("""COMPUTED_VALUE"""),"Yes")</f>
        <v>Yes</v>
      </c>
      <c r="R294" s="5" t="str">
        <f ca="1">IFERROR(__xludf.DUMMYFUNCTION("""COMPUTED_VALUE"""),"Yes")</f>
        <v>Yes</v>
      </c>
      <c r="S294" s="5" t="str">
        <f ca="1">IFERROR(__xludf.DUMMYFUNCTION("""COMPUTED_VALUE"""),"Yes")</f>
        <v>Yes</v>
      </c>
      <c r="T294" s="5" t="str">
        <f ca="1">IFERROR(__xludf.DUMMYFUNCTION("""COMPUTED_VALUE"""),"Yes")</f>
        <v>Yes</v>
      </c>
      <c r="U294" s="5" t="str">
        <f ca="1">IFERROR(__xludf.DUMMYFUNCTION("""COMPUTED_VALUE"""),"Yes")</f>
        <v>Yes</v>
      </c>
      <c r="V294" s="5" t="str">
        <f ca="1">IFERROR(__xludf.DUMMYFUNCTION("""COMPUTED_VALUE"""),"Yes")</f>
        <v>Yes</v>
      </c>
      <c r="W294" s="5" t="str">
        <f ca="1">IFERROR(__xludf.DUMMYFUNCTION("""COMPUTED_VALUE"""),"Yes")</f>
        <v>Yes</v>
      </c>
      <c r="X294" s="5" t="str">
        <f ca="1">IFERROR(__xludf.DUMMYFUNCTION("""COMPUTED_VALUE"""),"Yes")</f>
        <v>Yes</v>
      </c>
      <c r="Y294" s="5" t="str">
        <f ca="1">IFERROR(__xludf.DUMMYFUNCTION("""COMPUTED_VALUE"""),"Yes")</f>
        <v>Yes</v>
      </c>
      <c r="Z294" s="5" t="str">
        <f ca="1">IFERROR(__xludf.DUMMYFUNCTION("""COMPUTED_VALUE"""),"Yes")</f>
        <v>Yes</v>
      </c>
      <c r="AA294" s="5" t="str">
        <f ca="1">IFERROR(__xludf.DUMMYFUNCTION("""COMPUTED_VALUE"""),"Yes")</f>
        <v>Yes</v>
      </c>
      <c r="AB294" s="5" t="str">
        <f ca="1">IFERROR(__xludf.DUMMYFUNCTION("""COMPUTED_VALUE"""),"Yes")</f>
        <v>Yes</v>
      </c>
      <c r="AC294" s="5" t="str">
        <f ca="1">IFERROR(__xludf.DUMMYFUNCTION("""COMPUTED_VALUE"""),"No")</f>
        <v>No</v>
      </c>
    </row>
    <row r="295" spans="1:29" x14ac:dyDescent="0.25">
      <c r="A295" s="5" t="str">
        <f ca="1">IFERROR(__xludf.DUMMYFUNCTION("""COMPUTED_VALUE"""),"Redstone20WildCrown")</f>
        <v>Redstone20WildCrown</v>
      </c>
      <c r="B2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95" s="5" t="str">
        <f ca="1">IFERROR(__xludf.DUMMYFUNCTION("""COMPUTED_VALUE"""),"Yes")</f>
        <v>Yes</v>
      </c>
      <c r="D295" s="5" t="str">
        <f ca="1">IFERROR(__xludf.DUMMYFUNCTION("""COMPUTED_VALUE"""),"Yes")</f>
        <v>Yes</v>
      </c>
      <c r="E295" s="5" t="str">
        <f ca="1">IFERROR(__xludf.DUMMYFUNCTION("""COMPUTED_VALUE"""),"Yes")</f>
        <v>Yes</v>
      </c>
      <c r="F295" s="5" t="str">
        <f ca="1">IFERROR(__xludf.DUMMYFUNCTION("""COMPUTED_VALUE"""),"Yes")</f>
        <v>Yes</v>
      </c>
      <c r="G295" s="5" t="str">
        <f ca="1">IFERROR(__xludf.DUMMYFUNCTION("""COMPUTED_VALUE"""),"Yes")</f>
        <v>Yes</v>
      </c>
      <c r="H295" s="5" t="str">
        <f ca="1">IFERROR(__xludf.DUMMYFUNCTION("""COMPUTED_VALUE"""),"Yes")</f>
        <v>Yes</v>
      </c>
      <c r="I295" s="5" t="str">
        <f ca="1">IFERROR(__xludf.DUMMYFUNCTION("""COMPUTED_VALUE"""),"Yes")</f>
        <v>Yes</v>
      </c>
      <c r="J295" s="5" t="str">
        <f ca="1">IFERROR(__xludf.DUMMYFUNCTION("""COMPUTED_VALUE"""),"Yes")</f>
        <v>Yes</v>
      </c>
      <c r="K295" s="5" t="str">
        <f ca="1">IFERROR(__xludf.DUMMYFUNCTION("""COMPUTED_VALUE"""),"Yes")</f>
        <v>Yes</v>
      </c>
      <c r="L295" s="5" t="str">
        <f ca="1">IFERROR(__xludf.DUMMYFUNCTION("""COMPUTED_VALUE"""),"Yes")</f>
        <v>Yes</v>
      </c>
      <c r="M295" s="5" t="str">
        <f ca="1">IFERROR(__xludf.DUMMYFUNCTION("""COMPUTED_VALUE"""),"Yes")</f>
        <v>Yes</v>
      </c>
      <c r="N295" s="5" t="str">
        <f ca="1">IFERROR(__xludf.DUMMYFUNCTION("""COMPUTED_VALUE"""),"Yes")</f>
        <v>Yes</v>
      </c>
      <c r="O295" s="5" t="str">
        <f ca="1">IFERROR(__xludf.DUMMYFUNCTION("""COMPUTED_VALUE"""),"Yes")</f>
        <v>Yes</v>
      </c>
      <c r="P295" s="5" t="str">
        <f ca="1">IFERROR(__xludf.DUMMYFUNCTION("""COMPUTED_VALUE"""),"Yes")</f>
        <v>Yes</v>
      </c>
      <c r="Q295" s="5" t="str">
        <f ca="1">IFERROR(__xludf.DUMMYFUNCTION("""COMPUTED_VALUE"""),"Yes")</f>
        <v>Yes</v>
      </c>
      <c r="R295" s="5" t="str">
        <f ca="1">IFERROR(__xludf.DUMMYFUNCTION("""COMPUTED_VALUE"""),"Yes")</f>
        <v>Yes</v>
      </c>
      <c r="S295" s="5" t="str">
        <f ca="1">IFERROR(__xludf.DUMMYFUNCTION("""COMPUTED_VALUE"""),"Yes")</f>
        <v>Yes</v>
      </c>
      <c r="T295" s="5" t="str">
        <f ca="1">IFERROR(__xludf.DUMMYFUNCTION("""COMPUTED_VALUE"""),"Yes")</f>
        <v>Yes</v>
      </c>
      <c r="U295" s="5" t="str">
        <f ca="1">IFERROR(__xludf.DUMMYFUNCTION("""COMPUTED_VALUE"""),"Yes")</f>
        <v>Yes</v>
      </c>
      <c r="V295" s="5"/>
      <c r="W295" s="5" t="str">
        <f ca="1">IFERROR(__xludf.DUMMYFUNCTION("""COMPUTED_VALUE"""),"Yes")</f>
        <v>Yes</v>
      </c>
      <c r="X295" s="5"/>
      <c r="Y295" s="5"/>
      <c r="Z295" s="5" t="str">
        <f ca="1">IFERROR(__xludf.DUMMYFUNCTION("""COMPUTED_VALUE"""),"Yes")</f>
        <v>Yes</v>
      </c>
      <c r="AA295" s="5"/>
      <c r="AB295" s="5"/>
      <c r="AC295" s="5"/>
    </row>
    <row r="296" spans="1:29" x14ac:dyDescent="0.25">
      <c r="A296" s="5" t="str">
        <f ca="1">IFERROR(__xludf.DUMMYFUNCTION("""COMPUTED_VALUE"""),"EpicClover100")</f>
        <v>EpicClover100</v>
      </c>
      <c r="B2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6" s="5" t="str">
        <f ca="1">IFERROR(__xludf.DUMMYFUNCTION("""COMPUTED_VALUE"""),"Yes")</f>
        <v>Yes</v>
      </c>
      <c r="D296" s="5" t="str">
        <f ca="1">IFERROR(__xludf.DUMMYFUNCTION("""COMPUTED_VALUE"""),"Yes")</f>
        <v>Yes</v>
      </c>
      <c r="E296" s="5" t="str">
        <f ca="1">IFERROR(__xludf.DUMMYFUNCTION("""COMPUTED_VALUE"""),"Yes")</f>
        <v>Yes</v>
      </c>
      <c r="F296" s="5" t="str">
        <f ca="1">IFERROR(__xludf.DUMMYFUNCTION("""COMPUTED_VALUE"""),"Yes")</f>
        <v>Yes</v>
      </c>
      <c r="G296" s="5" t="str">
        <f ca="1">IFERROR(__xludf.DUMMYFUNCTION("""COMPUTED_VALUE"""),"Yes")</f>
        <v>Yes</v>
      </c>
      <c r="H296" s="5" t="str">
        <f ca="1">IFERROR(__xludf.DUMMYFUNCTION("""COMPUTED_VALUE"""),"Yes")</f>
        <v>Yes</v>
      </c>
      <c r="I296" s="5" t="str">
        <f ca="1">IFERROR(__xludf.DUMMYFUNCTION("""COMPUTED_VALUE"""),"Yes")</f>
        <v>Yes</v>
      </c>
      <c r="J296" s="5" t="str">
        <f ca="1">IFERROR(__xludf.DUMMYFUNCTION("""COMPUTED_VALUE"""),"Yes")</f>
        <v>Yes</v>
      </c>
      <c r="K296" s="5" t="str">
        <f ca="1">IFERROR(__xludf.DUMMYFUNCTION("""COMPUTED_VALUE"""),"Yes")</f>
        <v>Yes</v>
      </c>
      <c r="L296" s="5" t="str">
        <f ca="1">IFERROR(__xludf.DUMMYFUNCTION("""COMPUTED_VALUE"""),"Yes")</f>
        <v>Yes</v>
      </c>
      <c r="M296" s="5" t="str">
        <f ca="1">IFERROR(__xludf.DUMMYFUNCTION("""COMPUTED_VALUE"""),"Yes")</f>
        <v>Yes</v>
      </c>
      <c r="N296" s="5" t="str">
        <f ca="1">IFERROR(__xludf.DUMMYFUNCTION("""COMPUTED_VALUE"""),"Yes")</f>
        <v>Yes</v>
      </c>
      <c r="O296" s="5" t="str">
        <f ca="1">IFERROR(__xludf.DUMMYFUNCTION("""COMPUTED_VALUE"""),"Yes")</f>
        <v>Yes</v>
      </c>
      <c r="P296" s="5" t="str">
        <f ca="1">IFERROR(__xludf.DUMMYFUNCTION("""COMPUTED_VALUE"""),"Yes")</f>
        <v>Yes</v>
      </c>
      <c r="Q296" s="5" t="str">
        <f ca="1">IFERROR(__xludf.DUMMYFUNCTION("""COMPUTED_VALUE"""),"Yes")</f>
        <v>Yes</v>
      </c>
      <c r="R296" s="5" t="str">
        <f ca="1">IFERROR(__xludf.DUMMYFUNCTION("""COMPUTED_VALUE"""),"Yes")</f>
        <v>Yes</v>
      </c>
      <c r="S296" s="5" t="str">
        <f ca="1">IFERROR(__xludf.DUMMYFUNCTION("""COMPUTED_VALUE"""),"Yes")</f>
        <v>Yes</v>
      </c>
      <c r="T296" s="5" t="str">
        <f ca="1">IFERROR(__xludf.DUMMYFUNCTION("""COMPUTED_VALUE"""),"Yes")</f>
        <v>Yes</v>
      </c>
      <c r="U296" s="5" t="str">
        <f ca="1">IFERROR(__xludf.DUMMYFUNCTION("""COMPUTED_VALUE"""),"Yes")</f>
        <v>Yes</v>
      </c>
      <c r="V296" s="5" t="str">
        <f ca="1">IFERROR(__xludf.DUMMYFUNCTION("""COMPUTED_VALUE"""),"Yes")</f>
        <v>Yes</v>
      </c>
      <c r="W296" s="5" t="str">
        <f ca="1">IFERROR(__xludf.DUMMYFUNCTION("""COMPUTED_VALUE"""),"Yes")</f>
        <v>Yes</v>
      </c>
      <c r="X296" s="5" t="str">
        <f ca="1">IFERROR(__xludf.DUMMYFUNCTION("""COMPUTED_VALUE"""),"Yes")</f>
        <v>Yes</v>
      </c>
      <c r="Y296" s="5" t="str">
        <f ca="1">IFERROR(__xludf.DUMMYFUNCTION("""COMPUTED_VALUE"""),"Yes")</f>
        <v>Yes</v>
      </c>
      <c r="Z296" s="5" t="str">
        <f ca="1">IFERROR(__xludf.DUMMYFUNCTION("""COMPUTED_VALUE"""),"Yes")</f>
        <v>Yes</v>
      </c>
      <c r="AA296" s="5" t="str">
        <f ca="1">IFERROR(__xludf.DUMMYFUNCTION("""COMPUTED_VALUE"""),"Yes")</f>
        <v>Yes</v>
      </c>
      <c r="AB296" s="5" t="str">
        <f ca="1">IFERROR(__xludf.DUMMYFUNCTION("""COMPUTED_VALUE"""),"Yes")</f>
        <v>Yes</v>
      </c>
      <c r="AC296" s="5" t="str">
        <f ca="1">IFERROR(__xludf.DUMMYFUNCTION("""COMPUTED_VALUE"""),"No")</f>
        <v>No</v>
      </c>
    </row>
    <row r="297" spans="1:29" x14ac:dyDescent="0.25">
      <c r="A297" s="5" t="str">
        <f ca="1">IFERROR(__xludf.DUMMYFUNCTION("""COMPUTED_VALUE"""),"AmazingJoker")</f>
        <v>AmazingJoker</v>
      </c>
      <c r="B2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7" s="5" t="str">
        <f ca="1">IFERROR(__xludf.DUMMYFUNCTION("""COMPUTED_VALUE"""),"Yes")</f>
        <v>Yes</v>
      </c>
      <c r="D297" s="5" t="str">
        <f ca="1">IFERROR(__xludf.DUMMYFUNCTION("""COMPUTED_VALUE"""),"Yes")</f>
        <v>Yes</v>
      </c>
      <c r="E297" s="5" t="str">
        <f ca="1">IFERROR(__xludf.DUMMYFUNCTION("""COMPUTED_VALUE"""),"Yes")</f>
        <v>Yes</v>
      </c>
      <c r="F297" s="5" t="str">
        <f ca="1">IFERROR(__xludf.DUMMYFUNCTION("""COMPUTED_VALUE"""),"Yes")</f>
        <v>Yes</v>
      </c>
      <c r="G297" s="5" t="str">
        <f ca="1">IFERROR(__xludf.DUMMYFUNCTION("""COMPUTED_VALUE"""),"Yes")</f>
        <v>Yes</v>
      </c>
      <c r="H297" s="5" t="str">
        <f ca="1">IFERROR(__xludf.DUMMYFUNCTION("""COMPUTED_VALUE"""),"Yes")</f>
        <v>Yes</v>
      </c>
      <c r="I297" s="5" t="str">
        <f ca="1">IFERROR(__xludf.DUMMYFUNCTION("""COMPUTED_VALUE"""),"Yes")</f>
        <v>Yes</v>
      </c>
      <c r="J297" s="5" t="str">
        <f ca="1">IFERROR(__xludf.DUMMYFUNCTION("""COMPUTED_VALUE"""),"Yes")</f>
        <v>Yes</v>
      </c>
      <c r="K297" s="5" t="str">
        <f ca="1">IFERROR(__xludf.DUMMYFUNCTION("""COMPUTED_VALUE"""),"Yes")</f>
        <v>Yes</v>
      </c>
      <c r="L297" s="5" t="str">
        <f ca="1">IFERROR(__xludf.DUMMYFUNCTION("""COMPUTED_VALUE"""),"Yes")</f>
        <v>Yes</v>
      </c>
      <c r="M297" s="5" t="str">
        <f ca="1">IFERROR(__xludf.DUMMYFUNCTION("""COMPUTED_VALUE"""),"Yes")</f>
        <v>Yes</v>
      </c>
      <c r="N297" s="5" t="str">
        <f ca="1">IFERROR(__xludf.DUMMYFUNCTION("""COMPUTED_VALUE"""),"Yes")</f>
        <v>Yes</v>
      </c>
      <c r="O297" s="5" t="str">
        <f ca="1">IFERROR(__xludf.DUMMYFUNCTION("""COMPUTED_VALUE"""),"Yes")</f>
        <v>Yes</v>
      </c>
      <c r="P297" s="5" t="str">
        <f ca="1">IFERROR(__xludf.DUMMYFUNCTION("""COMPUTED_VALUE"""),"Yes")</f>
        <v>Yes</v>
      </c>
      <c r="Q297" s="5" t="str">
        <f ca="1">IFERROR(__xludf.DUMMYFUNCTION("""COMPUTED_VALUE"""),"Yes")</f>
        <v>Yes</v>
      </c>
      <c r="R297" s="5" t="str">
        <f ca="1">IFERROR(__xludf.DUMMYFUNCTION("""COMPUTED_VALUE"""),"Yes")</f>
        <v>Yes</v>
      </c>
      <c r="S297" s="5" t="str">
        <f ca="1">IFERROR(__xludf.DUMMYFUNCTION("""COMPUTED_VALUE"""),"Yes")</f>
        <v>Yes</v>
      </c>
      <c r="T297" s="5" t="str">
        <f ca="1">IFERROR(__xludf.DUMMYFUNCTION("""COMPUTED_VALUE"""),"Yes")</f>
        <v>Yes</v>
      </c>
      <c r="U297" s="5" t="str">
        <f ca="1">IFERROR(__xludf.DUMMYFUNCTION("""COMPUTED_VALUE"""),"Yes")</f>
        <v>Yes</v>
      </c>
      <c r="V297" s="5" t="str">
        <f ca="1">IFERROR(__xludf.DUMMYFUNCTION("""COMPUTED_VALUE"""),"Yes")</f>
        <v>Yes</v>
      </c>
      <c r="W297" s="5" t="str">
        <f ca="1">IFERROR(__xludf.DUMMYFUNCTION("""COMPUTED_VALUE"""),"Yes")</f>
        <v>Yes</v>
      </c>
      <c r="X297" s="5" t="str">
        <f ca="1">IFERROR(__xludf.DUMMYFUNCTION("""COMPUTED_VALUE"""),"Yes")</f>
        <v>Yes</v>
      </c>
      <c r="Y297" s="5" t="str">
        <f ca="1">IFERROR(__xludf.DUMMYFUNCTION("""COMPUTED_VALUE"""),"Yes")</f>
        <v>Yes</v>
      </c>
      <c r="Z297" s="5" t="str">
        <f ca="1">IFERROR(__xludf.DUMMYFUNCTION("""COMPUTED_VALUE"""),"Yes")</f>
        <v>Yes</v>
      </c>
      <c r="AA297" s="5" t="str">
        <f ca="1">IFERROR(__xludf.DUMMYFUNCTION("""COMPUTED_VALUE"""),"Yes")</f>
        <v>Yes</v>
      </c>
      <c r="AB297" s="5" t="str">
        <f ca="1">IFERROR(__xludf.DUMMYFUNCTION("""COMPUTED_VALUE"""),"Yes")</f>
        <v>Yes</v>
      </c>
      <c r="AC297" s="5" t="str">
        <f ca="1">IFERROR(__xludf.DUMMYFUNCTION("""COMPUTED_VALUE"""),"No")</f>
        <v>No</v>
      </c>
    </row>
    <row r="298" spans="1:29" x14ac:dyDescent="0.25">
      <c r="A298" s="5" t="str">
        <f ca="1">IFERROR(__xludf.DUMMYFUNCTION("""COMPUTED_VALUE"""),"GrandpashabetCrown")</f>
        <v>GrandpashabetCrown</v>
      </c>
      <c r="B2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8" s="5" t="str">
        <f ca="1">IFERROR(__xludf.DUMMYFUNCTION("""COMPUTED_VALUE"""),"Yes")</f>
        <v>Yes</v>
      </c>
      <c r="D298" s="5" t="str">
        <f ca="1">IFERROR(__xludf.DUMMYFUNCTION("""COMPUTED_VALUE"""),"Yes")</f>
        <v>Yes</v>
      </c>
      <c r="E298" s="5" t="str">
        <f ca="1">IFERROR(__xludf.DUMMYFUNCTION("""COMPUTED_VALUE"""),"Yes")</f>
        <v>Yes</v>
      </c>
      <c r="F298" s="5" t="str">
        <f ca="1">IFERROR(__xludf.DUMMYFUNCTION("""COMPUTED_VALUE"""),"Yes")</f>
        <v>Yes</v>
      </c>
      <c r="G298" s="5" t="str">
        <f ca="1">IFERROR(__xludf.DUMMYFUNCTION("""COMPUTED_VALUE"""),"Yes")</f>
        <v>Yes</v>
      </c>
      <c r="H298" s="5" t="str">
        <f ca="1">IFERROR(__xludf.DUMMYFUNCTION("""COMPUTED_VALUE"""),"Yes")</f>
        <v>Yes</v>
      </c>
      <c r="I298" s="5" t="str">
        <f ca="1">IFERROR(__xludf.DUMMYFUNCTION("""COMPUTED_VALUE"""),"Yes")</f>
        <v>Yes</v>
      </c>
      <c r="J298" s="5" t="str">
        <f ca="1">IFERROR(__xludf.DUMMYFUNCTION("""COMPUTED_VALUE"""),"Yes")</f>
        <v>Yes</v>
      </c>
      <c r="K298" s="5" t="str">
        <f ca="1">IFERROR(__xludf.DUMMYFUNCTION("""COMPUTED_VALUE"""),"Yes")</f>
        <v>Yes</v>
      </c>
      <c r="L298" s="5" t="str">
        <f ca="1">IFERROR(__xludf.DUMMYFUNCTION("""COMPUTED_VALUE"""),"Yes")</f>
        <v>Yes</v>
      </c>
      <c r="M298" s="5" t="str">
        <f ca="1">IFERROR(__xludf.DUMMYFUNCTION("""COMPUTED_VALUE"""),"Yes")</f>
        <v>Yes</v>
      </c>
      <c r="N298" s="5" t="str">
        <f ca="1">IFERROR(__xludf.DUMMYFUNCTION("""COMPUTED_VALUE"""),"Yes")</f>
        <v>Yes</v>
      </c>
      <c r="O298" s="5" t="str">
        <f ca="1">IFERROR(__xludf.DUMMYFUNCTION("""COMPUTED_VALUE"""),"Yes")</f>
        <v>Yes</v>
      </c>
      <c r="P298" s="5" t="str">
        <f ca="1">IFERROR(__xludf.DUMMYFUNCTION("""COMPUTED_VALUE"""),"Yes")</f>
        <v>Yes</v>
      </c>
      <c r="Q298" s="5" t="str">
        <f ca="1">IFERROR(__xludf.DUMMYFUNCTION("""COMPUTED_VALUE"""),"Yes")</f>
        <v>Yes</v>
      </c>
      <c r="R298" s="5" t="str">
        <f ca="1">IFERROR(__xludf.DUMMYFUNCTION("""COMPUTED_VALUE"""),"Yes")</f>
        <v>Yes</v>
      </c>
      <c r="S298" s="5" t="str">
        <f ca="1">IFERROR(__xludf.DUMMYFUNCTION("""COMPUTED_VALUE"""),"Yes")</f>
        <v>Yes</v>
      </c>
      <c r="T298" s="5" t="str">
        <f ca="1">IFERROR(__xludf.DUMMYFUNCTION("""COMPUTED_VALUE"""),"Yes")</f>
        <v>Yes</v>
      </c>
      <c r="U298" s="5" t="str">
        <f ca="1">IFERROR(__xludf.DUMMYFUNCTION("""COMPUTED_VALUE"""),"Yes")</f>
        <v>Yes</v>
      </c>
      <c r="V298" s="5" t="str">
        <f ca="1">IFERROR(__xludf.DUMMYFUNCTION("""COMPUTED_VALUE"""),"Yes")</f>
        <v>Yes</v>
      </c>
      <c r="W298" s="5" t="str">
        <f ca="1">IFERROR(__xludf.DUMMYFUNCTION("""COMPUTED_VALUE"""),"Yes")</f>
        <v>Yes</v>
      </c>
      <c r="X298" s="5" t="str">
        <f ca="1">IFERROR(__xludf.DUMMYFUNCTION("""COMPUTED_VALUE"""),"Yes")</f>
        <v>Yes</v>
      </c>
      <c r="Y298" s="5" t="str">
        <f ca="1">IFERROR(__xludf.DUMMYFUNCTION("""COMPUTED_VALUE"""),"Yes")</f>
        <v>Yes</v>
      </c>
      <c r="Z298" s="5" t="str">
        <f ca="1">IFERROR(__xludf.DUMMYFUNCTION("""COMPUTED_VALUE"""),"Yes")</f>
        <v>Yes</v>
      </c>
      <c r="AA298" s="5" t="str">
        <f ca="1">IFERROR(__xludf.DUMMYFUNCTION("""COMPUTED_VALUE"""),"Yes")</f>
        <v>Yes</v>
      </c>
      <c r="AB298" s="5" t="str">
        <f ca="1">IFERROR(__xludf.DUMMYFUNCTION("""COMPUTED_VALUE"""),"Yes")</f>
        <v>Yes</v>
      </c>
      <c r="AC298" s="5" t="str">
        <f ca="1">IFERROR(__xludf.DUMMYFUNCTION("""COMPUTED_VALUE"""),"No")</f>
        <v>No</v>
      </c>
    </row>
    <row r="299" spans="1:29" x14ac:dyDescent="0.25">
      <c r="A299" s="5" t="str">
        <f ca="1">IFERROR(__xludf.DUMMYFUNCTION("""COMPUTED_VALUE"""),"TripleFieldsOfLuck")</f>
        <v>TripleFieldsOfLuck</v>
      </c>
      <c r="B2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9" s="5" t="str">
        <f ca="1">IFERROR(__xludf.DUMMYFUNCTION("""COMPUTED_VALUE"""),"Yes")</f>
        <v>Yes</v>
      </c>
      <c r="D299" s="5" t="str">
        <f ca="1">IFERROR(__xludf.DUMMYFUNCTION("""COMPUTED_VALUE"""),"Yes")</f>
        <v>Yes</v>
      </c>
      <c r="E299" s="5" t="str">
        <f ca="1">IFERROR(__xludf.DUMMYFUNCTION("""COMPUTED_VALUE"""),"Yes")</f>
        <v>Yes</v>
      </c>
      <c r="F299" s="5" t="str">
        <f ca="1">IFERROR(__xludf.DUMMYFUNCTION("""COMPUTED_VALUE"""),"Yes")</f>
        <v>Yes</v>
      </c>
      <c r="G299" s="5" t="str">
        <f ca="1">IFERROR(__xludf.DUMMYFUNCTION("""COMPUTED_VALUE"""),"Yes")</f>
        <v>Yes</v>
      </c>
      <c r="H299" s="5" t="str">
        <f ca="1">IFERROR(__xludf.DUMMYFUNCTION("""COMPUTED_VALUE"""),"Yes")</f>
        <v>Yes</v>
      </c>
      <c r="I299" s="5" t="str">
        <f ca="1">IFERROR(__xludf.DUMMYFUNCTION("""COMPUTED_VALUE"""),"Yes")</f>
        <v>Yes</v>
      </c>
      <c r="J299" s="5" t="str">
        <f ca="1">IFERROR(__xludf.DUMMYFUNCTION("""COMPUTED_VALUE"""),"Yes")</f>
        <v>Yes</v>
      </c>
      <c r="K299" s="5" t="str">
        <f ca="1">IFERROR(__xludf.DUMMYFUNCTION("""COMPUTED_VALUE"""),"Yes")</f>
        <v>Yes</v>
      </c>
      <c r="L299" s="5" t="str">
        <f ca="1">IFERROR(__xludf.DUMMYFUNCTION("""COMPUTED_VALUE"""),"Yes")</f>
        <v>Yes</v>
      </c>
      <c r="M299" s="5" t="str">
        <f ca="1">IFERROR(__xludf.DUMMYFUNCTION("""COMPUTED_VALUE"""),"Yes")</f>
        <v>Yes</v>
      </c>
      <c r="N299" s="5" t="str">
        <f ca="1">IFERROR(__xludf.DUMMYFUNCTION("""COMPUTED_VALUE"""),"Yes")</f>
        <v>Yes</v>
      </c>
      <c r="O299" s="5" t="str">
        <f ca="1">IFERROR(__xludf.DUMMYFUNCTION("""COMPUTED_VALUE"""),"Yes")</f>
        <v>Yes</v>
      </c>
      <c r="P299" s="5" t="str">
        <f ca="1">IFERROR(__xludf.DUMMYFUNCTION("""COMPUTED_VALUE"""),"Yes")</f>
        <v>Yes</v>
      </c>
      <c r="Q299" s="5" t="str">
        <f ca="1">IFERROR(__xludf.DUMMYFUNCTION("""COMPUTED_VALUE"""),"Yes")</f>
        <v>Yes</v>
      </c>
      <c r="R299" s="5" t="str">
        <f ca="1">IFERROR(__xludf.DUMMYFUNCTION("""COMPUTED_VALUE"""),"Yes")</f>
        <v>Yes</v>
      </c>
      <c r="S299" s="5" t="str">
        <f ca="1">IFERROR(__xludf.DUMMYFUNCTION("""COMPUTED_VALUE"""),"Yes")</f>
        <v>Yes</v>
      </c>
      <c r="T299" s="5" t="str">
        <f ca="1">IFERROR(__xludf.DUMMYFUNCTION("""COMPUTED_VALUE"""),"Yes")</f>
        <v>Yes</v>
      </c>
      <c r="U299" s="5" t="str">
        <f ca="1">IFERROR(__xludf.DUMMYFUNCTION("""COMPUTED_VALUE"""),"Yes")</f>
        <v>Yes</v>
      </c>
      <c r="V299" s="5" t="str">
        <f ca="1">IFERROR(__xludf.DUMMYFUNCTION("""COMPUTED_VALUE"""),"Yes")</f>
        <v>Yes</v>
      </c>
      <c r="W299" s="5" t="str">
        <f ca="1">IFERROR(__xludf.DUMMYFUNCTION("""COMPUTED_VALUE"""),"Yes")</f>
        <v>Yes</v>
      </c>
      <c r="X299" s="5" t="str">
        <f ca="1">IFERROR(__xludf.DUMMYFUNCTION("""COMPUTED_VALUE"""),"Yes")</f>
        <v>Yes</v>
      </c>
      <c r="Y299" s="5" t="str">
        <f ca="1">IFERROR(__xludf.DUMMYFUNCTION("""COMPUTED_VALUE"""),"Yes")</f>
        <v>Yes</v>
      </c>
      <c r="Z299" s="5" t="str">
        <f ca="1">IFERROR(__xludf.DUMMYFUNCTION("""COMPUTED_VALUE"""),"Yes")</f>
        <v>Yes</v>
      </c>
      <c r="AA299" s="5" t="str">
        <f ca="1">IFERROR(__xludf.DUMMYFUNCTION("""COMPUTED_VALUE"""),"Yes")</f>
        <v>Yes</v>
      </c>
      <c r="AB299" s="5" t="str">
        <f ca="1">IFERROR(__xludf.DUMMYFUNCTION("""COMPUTED_VALUE"""),"Yes")</f>
        <v>Yes</v>
      </c>
      <c r="AC299" s="5" t="str">
        <f ca="1">IFERROR(__xludf.DUMMYFUNCTION("""COMPUTED_VALUE"""),"No")</f>
        <v>No</v>
      </c>
    </row>
    <row r="300" spans="1:29" x14ac:dyDescent="0.25">
      <c r="A300" s="5" t="str">
        <f ca="1">IFERROR(__xludf.DUMMYFUNCTION("""COMPUTED_VALUE"""),"RedstoneChilliDouble")</f>
        <v>RedstoneChilliDouble</v>
      </c>
      <c r="B3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00" s="5" t="str">
        <f ca="1">IFERROR(__xludf.DUMMYFUNCTION("""COMPUTED_VALUE"""),"Yes")</f>
        <v>Yes</v>
      </c>
      <c r="D300" s="5" t="str">
        <f ca="1">IFERROR(__xludf.DUMMYFUNCTION("""COMPUTED_VALUE"""),"Yes")</f>
        <v>Yes</v>
      </c>
      <c r="E300" s="5" t="str">
        <f ca="1">IFERROR(__xludf.DUMMYFUNCTION("""COMPUTED_VALUE"""),"Yes")</f>
        <v>Yes</v>
      </c>
      <c r="F300" s="5" t="str">
        <f ca="1">IFERROR(__xludf.DUMMYFUNCTION("""COMPUTED_VALUE"""),"Yes")</f>
        <v>Yes</v>
      </c>
      <c r="G300" s="5" t="str">
        <f ca="1">IFERROR(__xludf.DUMMYFUNCTION("""COMPUTED_VALUE"""),"Yes")</f>
        <v>Yes</v>
      </c>
      <c r="H300" s="5" t="str">
        <f ca="1">IFERROR(__xludf.DUMMYFUNCTION("""COMPUTED_VALUE"""),"Yes")</f>
        <v>Yes</v>
      </c>
      <c r="I300" s="5" t="str">
        <f ca="1">IFERROR(__xludf.DUMMYFUNCTION("""COMPUTED_VALUE"""),"Yes")</f>
        <v>Yes</v>
      </c>
      <c r="J300" s="5" t="str">
        <f ca="1">IFERROR(__xludf.DUMMYFUNCTION("""COMPUTED_VALUE"""),"Yes")</f>
        <v>Yes</v>
      </c>
      <c r="K300" s="5" t="str">
        <f ca="1">IFERROR(__xludf.DUMMYFUNCTION("""COMPUTED_VALUE"""),"Yes")</f>
        <v>Yes</v>
      </c>
      <c r="L300" s="5" t="str">
        <f ca="1">IFERROR(__xludf.DUMMYFUNCTION("""COMPUTED_VALUE"""),"Yes")</f>
        <v>Yes</v>
      </c>
      <c r="M300" s="5" t="str">
        <f ca="1">IFERROR(__xludf.DUMMYFUNCTION("""COMPUTED_VALUE"""),"Yes")</f>
        <v>Yes</v>
      </c>
      <c r="N300" s="5" t="str">
        <f ca="1">IFERROR(__xludf.DUMMYFUNCTION("""COMPUTED_VALUE"""),"Yes")</f>
        <v>Yes</v>
      </c>
      <c r="O300" s="5" t="str">
        <f ca="1">IFERROR(__xludf.DUMMYFUNCTION("""COMPUTED_VALUE"""),"Yes")</f>
        <v>Yes</v>
      </c>
      <c r="P300" s="5" t="str">
        <f ca="1">IFERROR(__xludf.DUMMYFUNCTION("""COMPUTED_VALUE"""),"Yes")</f>
        <v>Yes</v>
      </c>
      <c r="Q300" s="5" t="str">
        <f ca="1">IFERROR(__xludf.DUMMYFUNCTION("""COMPUTED_VALUE"""),"Yes")</f>
        <v>Yes</v>
      </c>
      <c r="R300" s="5" t="str">
        <f ca="1">IFERROR(__xludf.DUMMYFUNCTION("""COMPUTED_VALUE"""),"Yes")</f>
        <v>Yes</v>
      </c>
      <c r="S300" s="5" t="str">
        <f ca="1">IFERROR(__xludf.DUMMYFUNCTION("""COMPUTED_VALUE"""),"Yes")</f>
        <v>Yes</v>
      </c>
      <c r="T300" s="5" t="str">
        <f ca="1">IFERROR(__xludf.DUMMYFUNCTION("""COMPUTED_VALUE"""),"Yes")</f>
        <v>Yes</v>
      </c>
      <c r="U300" s="5" t="str">
        <f ca="1">IFERROR(__xludf.DUMMYFUNCTION("""COMPUTED_VALUE"""),"Yes")</f>
        <v>Yes</v>
      </c>
      <c r="V300" s="5"/>
      <c r="W300" s="5" t="str">
        <f ca="1">IFERROR(__xludf.DUMMYFUNCTION("""COMPUTED_VALUE"""),"Yes")</f>
        <v>Yes</v>
      </c>
      <c r="X300" s="5" t="str">
        <f ca="1">IFERROR(__xludf.DUMMYFUNCTION("""COMPUTED_VALUE"""),"Yes")</f>
        <v>Yes</v>
      </c>
      <c r="Y300" s="5" t="str">
        <f ca="1">IFERROR(__xludf.DUMMYFUNCTION("""COMPUTED_VALUE"""),"Yes")</f>
        <v>Yes</v>
      </c>
      <c r="Z300" s="5" t="str">
        <f ca="1">IFERROR(__xludf.DUMMYFUNCTION("""COMPUTED_VALUE"""),"Yes")</f>
        <v>Yes</v>
      </c>
      <c r="AA300" s="5" t="str">
        <f ca="1">IFERROR(__xludf.DUMMYFUNCTION("""COMPUTED_VALUE"""),"Yes")</f>
        <v>Yes</v>
      </c>
      <c r="AB300" s="5" t="str">
        <f ca="1">IFERROR(__xludf.DUMMYFUNCTION("""COMPUTED_VALUE"""),"Yes")</f>
        <v>Yes</v>
      </c>
      <c r="AC300" s="5"/>
    </row>
    <row r="301" spans="1:29" x14ac:dyDescent="0.25">
      <c r="A301" s="5" t="str">
        <f ca="1">IFERROR(__xludf.DUMMYFUNCTION("""COMPUTED_VALUE"""),"RedstoneHotRushCrownBurst")</f>
        <v>RedstoneHotRushCrownBurst</v>
      </c>
      <c r="B3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1" s="5" t="str">
        <f ca="1">IFERROR(__xludf.DUMMYFUNCTION("""COMPUTED_VALUE"""),"Yes")</f>
        <v>Yes</v>
      </c>
      <c r="D301" s="5" t="str">
        <f ca="1">IFERROR(__xludf.DUMMYFUNCTION("""COMPUTED_VALUE"""),"Yes")</f>
        <v>Yes</v>
      </c>
      <c r="E301" s="5" t="str">
        <f ca="1">IFERROR(__xludf.DUMMYFUNCTION("""COMPUTED_VALUE"""),"Yes")</f>
        <v>Yes</v>
      </c>
      <c r="F301" s="5" t="str">
        <f ca="1">IFERROR(__xludf.DUMMYFUNCTION("""COMPUTED_VALUE"""),"Yes")</f>
        <v>Yes</v>
      </c>
      <c r="G301" s="5" t="str">
        <f ca="1">IFERROR(__xludf.DUMMYFUNCTION("""COMPUTED_VALUE"""),"Yes")</f>
        <v>Yes</v>
      </c>
      <c r="H301" s="5" t="str">
        <f ca="1">IFERROR(__xludf.DUMMYFUNCTION("""COMPUTED_VALUE"""),"Yes")</f>
        <v>Yes</v>
      </c>
      <c r="I301" s="5" t="str">
        <f ca="1">IFERROR(__xludf.DUMMYFUNCTION("""COMPUTED_VALUE"""),"Yes")</f>
        <v>Yes</v>
      </c>
      <c r="J301" s="5" t="str">
        <f ca="1">IFERROR(__xludf.DUMMYFUNCTION("""COMPUTED_VALUE"""),"Yes")</f>
        <v>Yes</v>
      </c>
      <c r="K301" s="5" t="str">
        <f ca="1">IFERROR(__xludf.DUMMYFUNCTION("""COMPUTED_VALUE"""),"Yes")</f>
        <v>Yes</v>
      </c>
      <c r="L301" s="5" t="str">
        <f ca="1">IFERROR(__xludf.DUMMYFUNCTION("""COMPUTED_VALUE"""),"Yes")</f>
        <v>Yes</v>
      </c>
      <c r="M301" s="5" t="str">
        <f ca="1">IFERROR(__xludf.DUMMYFUNCTION("""COMPUTED_VALUE"""),"Yes")</f>
        <v>Yes</v>
      </c>
      <c r="N301" s="5" t="str">
        <f ca="1">IFERROR(__xludf.DUMMYFUNCTION("""COMPUTED_VALUE"""),"Yes")</f>
        <v>Yes</v>
      </c>
      <c r="O301" s="5" t="str">
        <f ca="1">IFERROR(__xludf.DUMMYFUNCTION("""COMPUTED_VALUE"""),"Yes")</f>
        <v>Yes</v>
      </c>
      <c r="P301" s="5" t="str">
        <f ca="1">IFERROR(__xludf.DUMMYFUNCTION("""COMPUTED_VALUE"""),"Yes")</f>
        <v>Yes</v>
      </c>
      <c r="Q301" s="5" t="str">
        <f ca="1">IFERROR(__xludf.DUMMYFUNCTION("""COMPUTED_VALUE"""),"Yes")</f>
        <v>Yes</v>
      </c>
      <c r="R301" s="5" t="str">
        <f ca="1">IFERROR(__xludf.DUMMYFUNCTION("""COMPUTED_VALUE"""),"Yes")</f>
        <v>Yes</v>
      </c>
      <c r="S301" s="5" t="str">
        <f ca="1">IFERROR(__xludf.DUMMYFUNCTION("""COMPUTED_VALUE"""),"Yes")</f>
        <v>Yes</v>
      </c>
      <c r="T301" s="5" t="str">
        <f ca="1">IFERROR(__xludf.DUMMYFUNCTION("""COMPUTED_VALUE"""),"Yes")</f>
        <v>Yes</v>
      </c>
      <c r="U301" s="5" t="str">
        <f ca="1">IFERROR(__xludf.DUMMYFUNCTION("""COMPUTED_VALUE"""),"Yes")</f>
        <v>Yes</v>
      </c>
      <c r="V301" s="5"/>
      <c r="W301" s="5"/>
      <c r="X301" s="5"/>
      <c r="Y301" s="5"/>
      <c r="Z301" s="5" t="str">
        <f ca="1">IFERROR(__xludf.DUMMYFUNCTION("""COMPUTED_VALUE"""),"Yes")</f>
        <v>Yes</v>
      </c>
      <c r="AA301" s="5"/>
      <c r="AB301" s="5"/>
      <c r="AC301" s="5"/>
    </row>
    <row r="302" spans="1:29" x14ac:dyDescent="0.25">
      <c r="A302" s="5" t="str">
        <f ca="1">IFERROR(__xludf.DUMMYFUNCTION("""COMPUTED_VALUE"""),"MozzartHot5")</f>
        <v>MozzartHot5</v>
      </c>
      <c r="B3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2" s="5" t="str">
        <f ca="1">IFERROR(__xludf.DUMMYFUNCTION("""COMPUTED_VALUE"""),"Yes")</f>
        <v>Yes</v>
      </c>
      <c r="D302" s="5" t="str">
        <f ca="1">IFERROR(__xludf.DUMMYFUNCTION("""COMPUTED_VALUE"""),"Yes")</f>
        <v>Yes</v>
      </c>
      <c r="E302" s="5" t="str">
        <f ca="1">IFERROR(__xludf.DUMMYFUNCTION("""COMPUTED_VALUE"""),"Yes")</f>
        <v>Yes</v>
      </c>
      <c r="F302" s="5" t="str">
        <f ca="1">IFERROR(__xludf.DUMMYFUNCTION("""COMPUTED_VALUE"""),"Yes")</f>
        <v>Yes</v>
      </c>
      <c r="G302" s="5" t="str">
        <f ca="1">IFERROR(__xludf.DUMMYFUNCTION("""COMPUTED_VALUE"""),"Yes")</f>
        <v>Yes</v>
      </c>
      <c r="H302" s="5" t="str">
        <f ca="1">IFERROR(__xludf.DUMMYFUNCTION("""COMPUTED_VALUE"""),"Yes")</f>
        <v>Yes</v>
      </c>
      <c r="I302" s="5" t="str">
        <f ca="1">IFERROR(__xludf.DUMMYFUNCTION("""COMPUTED_VALUE"""),"Yes")</f>
        <v>Yes</v>
      </c>
      <c r="J302" s="5" t="str">
        <f ca="1">IFERROR(__xludf.DUMMYFUNCTION("""COMPUTED_VALUE"""),"Yes")</f>
        <v>Yes</v>
      </c>
      <c r="K302" s="5" t="str">
        <f ca="1">IFERROR(__xludf.DUMMYFUNCTION("""COMPUTED_VALUE"""),"Yes")</f>
        <v>Yes</v>
      </c>
      <c r="L302" s="5" t="str">
        <f ca="1">IFERROR(__xludf.DUMMYFUNCTION("""COMPUTED_VALUE"""),"Yes")</f>
        <v>Yes</v>
      </c>
      <c r="M302" s="5" t="str">
        <f ca="1">IFERROR(__xludf.DUMMYFUNCTION("""COMPUTED_VALUE"""),"Yes")</f>
        <v>Yes</v>
      </c>
      <c r="N302" s="5" t="str">
        <f ca="1">IFERROR(__xludf.DUMMYFUNCTION("""COMPUTED_VALUE"""),"Yes")</f>
        <v>Yes</v>
      </c>
      <c r="O302" s="5" t="str">
        <f ca="1">IFERROR(__xludf.DUMMYFUNCTION("""COMPUTED_VALUE"""),"Yes")</f>
        <v>Yes</v>
      </c>
      <c r="P302" s="5" t="str">
        <f ca="1">IFERROR(__xludf.DUMMYFUNCTION("""COMPUTED_VALUE"""),"Yes")</f>
        <v>Yes</v>
      </c>
      <c r="Q302" s="5" t="str">
        <f ca="1">IFERROR(__xludf.DUMMYFUNCTION("""COMPUTED_VALUE"""),"Yes")</f>
        <v>Yes</v>
      </c>
      <c r="R302" s="5" t="str">
        <f ca="1">IFERROR(__xludf.DUMMYFUNCTION("""COMPUTED_VALUE"""),"Yes")</f>
        <v>Yes</v>
      </c>
      <c r="S302" s="5" t="str">
        <f ca="1">IFERROR(__xludf.DUMMYFUNCTION("""COMPUTED_VALUE"""),"Yes")</f>
        <v>Yes</v>
      </c>
      <c r="T302" s="5" t="str">
        <f ca="1">IFERROR(__xludf.DUMMYFUNCTION("""COMPUTED_VALUE"""),"Yes")</f>
        <v>Yes</v>
      </c>
      <c r="U302" s="5" t="str">
        <f ca="1">IFERROR(__xludf.DUMMYFUNCTION("""COMPUTED_VALUE"""),"Yes")</f>
        <v>Yes</v>
      </c>
      <c r="V302" s="5" t="str">
        <f ca="1">IFERROR(__xludf.DUMMYFUNCTION("""COMPUTED_VALUE"""),"Yes")</f>
        <v>Yes</v>
      </c>
      <c r="W302" s="5" t="str">
        <f ca="1">IFERROR(__xludf.DUMMYFUNCTION("""COMPUTED_VALUE"""),"Yes")</f>
        <v>Yes</v>
      </c>
      <c r="X302" s="5" t="str">
        <f ca="1">IFERROR(__xludf.DUMMYFUNCTION("""COMPUTED_VALUE"""),"Yes")</f>
        <v>Yes</v>
      </c>
      <c r="Y302" s="5" t="str">
        <f ca="1">IFERROR(__xludf.DUMMYFUNCTION("""COMPUTED_VALUE"""),"Yes")</f>
        <v>Yes</v>
      </c>
      <c r="Z302" s="5" t="str">
        <f ca="1">IFERROR(__xludf.DUMMYFUNCTION("""COMPUTED_VALUE"""),"Yes")</f>
        <v>Yes</v>
      </c>
      <c r="AA302" s="5" t="str">
        <f ca="1">IFERROR(__xludf.DUMMYFUNCTION("""COMPUTED_VALUE"""),"Yes")</f>
        <v>Yes</v>
      </c>
      <c r="AB302" s="5" t="str">
        <f ca="1">IFERROR(__xludf.DUMMYFUNCTION("""COMPUTED_VALUE"""),"Yes")</f>
        <v>Yes</v>
      </c>
      <c r="AC302" s="5" t="str">
        <f ca="1">IFERROR(__xludf.DUMMYFUNCTION("""COMPUTED_VALUE"""),"No")</f>
        <v>No</v>
      </c>
    </row>
    <row r="303" spans="1:29" x14ac:dyDescent="0.25">
      <c r="A303" s="5" t="str">
        <f ca="1">IFERROR(__xludf.DUMMYFUNCTION("""COMPUTED_VALUE"""),"MozzartHot40")</f>
        <v>MozzartHot40</v>
      </c>
      <c r="B3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3" s="5" t="str">
        <f ca="1">IFERROR(__xludf.DUMMYFUNCTION("""COMPUTED_VALUE"""),"Yes")</f>
        <v>Yes</v>
      </c>
      <c r="D303" s="5" t="str">
        <f ca="1">IFERROR(__xludf.DUMMYFUNCTION("""COMPUTED_VALUE"""),"Yes")</f>
        <v>Yes</v>
      </c>
      <c r="E303" s="5" t="str">
        <f ca="1">IFERROR(__xludf.DUMMYFUNCTION("""COMPUTED_VALUE"""),"Yes")</f>
        <v>Yes</v>
      </c>
      <c r="F303" s="5" t="str">
        <f ca="1">IFERROR(__xludf.DUMMYFUNCTION("""COMPUTED_VALUE"""),"Yes")</f>
        <v>Yes</v>
      </c>
      <c r="G303" s="5" t="str">
        <f ca="1">IFERROR(__xludf.DUMMYFUNCTION("""COMPUTED_VALUE"""),"Yes")</f>
        <v>Yes</v>
      </c>
      <c r="H303" s="5" t="str">
        <f ca="1">IFERROR(__xludf.DUMMYFUNCTION("""COMPUTED_VALUE"""),"Yes")</f>
        <v>Yes</v>
      </c>
      <c r="I303" s="5" t="str">
        <f ca="1">IFERROR(__xludf.DUMMYFUNCTION("""COMPUTED_VALUE"""),"Yes")</f>
        <v>Yes</v>
      </c>
      <c r="J303" s="5" t="str">
        <f ca="1">IFERROR(__xludf.DUMMYFUNCTION("""COMPUTED_VALUE"""),"Yes")</f>
        <v>Yes</v>
      </c>
      <c r="K303" s="5" t="str">
        <f ca="1">IFERROR(__xludf.DUMMYFUNCTION("""COMPUTED_VALUE"""),"Yes")</f>
        <v>Yes</v>
      </c>
      <c r="L303" s="5" t="str">
        <f ca="1">IFERROR(__xludf.DUMMYFUNCTION("""COMPUTED_VALUE"""),"Yes")</f>
        <v>Yes</v>
      </c>
      <c r="M303" s="5" t="str">
        <f ca="1">IFERROR(__xludf.DUMMYFUNCTION("""COMPUTED_VALUE"""),"Yes")</f>
        <v>Yes</v>
      </c>
      <c r="N303" s="5" t="str">
        <f ca="1">IFERROR(__xludf.DUMMYFUNCTION("""COMPUTED_VALUE"""),"Yes")</f>
        <v>Yes</v>
      </c>
      <c r="O303" s="5" t="str">
        <f ca="1">IFERROR(__xludf.DUMMYFUNCTION("""COMPUTED_VALUE"""),"Yes")</f>
        <v>Yes</v>
      </c>
      <c r="P303" s="5" t="str">
        <f ca="1">IFERROR(__xludf.DUMMYFUNCTION("""COMPUTED_VALUE"""),"Yes")</f>
        <v>Yes</v>
      </c>
      <c r="Q303" s="5" t="str">
        <f ca="1">IFERROR(__xludf.DUMMYFUNCTION("""COMPUTED_VALUE"""),"Yes")</f>
        <v>Yes</v>
      </c>
      <c r="R303" s="5" t="str">
        <f ca="1">IFERROR(__xludf.DUMMYFUNCTION("""COMPUTED_VALUE"""),"Yes")</f>
        <v>Yes</v>
      </c>
      <c r="S303" s="5" t="str">
        <f ca="1">IFERROR(__xludf.DUMMYFUNCTION("""COMPUTED_VALUE"""),"Yes")</f>
        <v>Yes</v>
      </c>
      <c r="T303" s="5" t="str">
        <f ca="1">IFERROR(__xludf.DUMMYFUNCTION("""COMPUTED_VALUE"""),"Yes")</f>
        <v>Yes</v>
      </c>
      <c r="U303" s="5" t="str">
        <f ca="1">IFERROR(__xludf.DUMMYFUNCTION("""COMPUTED_VALUE"""),"Yes")</f>
        <v>Yes</v>
      </c>
      <c r="V303" s="5" t="str">
        <f ca="1">IFERROR(__xludf.DUMMYFUNCTION("""COMPUTED_VALUE"""),"Yes")</f>
        <v>Yes</v>
      </c>
      <c r="W303" s="5" t="str">
        <f ca="1">IFERROR(__xludf.DUMMYFUNCTION("""COMPUTED_VALUE"""),"Yes")</f>
        <v>Yes</v>
      </c>
      <c r="X303" s="5" t="str">
        <f ca="1">IFERROR(__xludf.DUMMYFUNCTION("""COMPUTED_VALUE"""),"Yes")</f>
        <v>Yes</v>
      </c>
      <c r="Y303" s="5" t="str">
        <f ca="1">IFERROR(__xludf.DUMMYFUNCTION("""COMPUTED_VALUE"""),"Yes")</f>
        <v>Yes</v>
      </c>
      <c r="Z303" s="5" t="str">
        <f ca="1">IFERROR(__xludf.DUMMYFUNCTION("""COMPUTED_VALUE"""),"Yes")</f>
        <v>Yes</v>
      </c>
      <c r="AA303" s="5" t="str">
        <f ca="1">IFERROR(__xludf.DUMMYFUNCTION("""COMPUTED_VALUE"""),"Yes")</f>
        <v>Yes</v>
      </c>
      <c r="AB303" s="5" t="str">
        <f ca="1">IFERROR(__xludf.DUMMYFUNCTION("""COMPUTED_VALUE"""),"Yes")</f>
        <v>Yes</v>
      </c>
      <c r="AC303" s="5" t="str">
        <f ca="1">IFERROR(__xludf.DUMMYFUNCTION("""COMPUTED_VALUE"""),"No")</f>
        <v>No</v>
      </c>
    </row>
    <row r="304" spans="1:29" x14ac:dyDescent="0.25">
      <c r="A304" s="5" t="str">
        <f ca="1">IFERROR(__xludf.DUMMYFUNCTION("""COMPUTED_VALUE"""),"CrownOfMozzart")</f>
        <v>CrownOfMozzart</v>
      </c>
      <c r="B3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4" s="5" t="str">
        <f ca="1">IFERROR(__xludf.DUMMYFUNCTION("""COMPUTED_VALUE"""),"Yes")</f>
        <v>Yes</v>
      </c>
      <c r="D304" s="5" t="str">
        <f ca="1">IFERROR(__xludf.DUMMYFUNCTION("""COMPUTED_VALUE"""),"Yes")</f>
        <v>Yes</v>
      </c>
      <c r="E304" s="5" t="str">
        <f ca="1">IFERROR(__xludf.DUMMYFUNCTION("""COMPUTED_VALUE"""),"Yes")</f>
        <v>Yes</v>
      </c>
      <c r="F304" s="5" t="str">
        <f ca="1">IFERROR(__xludf.DUMMYFUNCTION("""COMPUTED_VALUE"""),"Yes")</f>
        <v>Yes</v>
      </c>
      <c r="G304" s="5" t="str">
        <f ca="1">IFERROR(__xludf.DUMMYFUNCTION("""COMPUTED_VALUE"""),"Yes")</f>
        <v>Yes</v>
      </c>
      <c r="H304" s="5" t="str">
        <f ca="1">IFERROR(__xludf.DUMMYFUNCTION("""COMPUTED_VALUE"""),"Yes")</f>
        <v>Yes</v>
      </c>
      <c r="I304" s="5" t="str">
        <f ca="1">IFERROR(__xludf.DUMMYFUNCTION("""COMPUTED_VALUE"""),"Yes")</f>
        <v>Yes</v>
      </c>
      <c r="J304" s="5" t="str">
        <f ca="1">IFERROR(__xludf.DUMMYFUNCTION("""COMPUTED_VALUE"""),"Yes")</f>
        <v>Yes</v>
      </c>
      <c r="K304" s="5" t="str">
        <f ca="1">IFERROR(__xludf.DUMMYFUNCTION("""COMPUTED_VALUE"""),"Yes")</f>
        <v>Yes</v>
      </c>
      <c r="L304" s="5" t="str">
        <f ca="1">IFERROR(__xludf.DUMMYFUNCTION("""COMPUTED_VALUE"""),"Yes")</f>
        <v>Yes</v>
      </c>
      <c r="M304" s="5" t="str">
        <f ca="1">IFERROR(__xludf.DUMMYFUNCTION("""COMPUTED_VALUE"""),"Yes")</f>
        <v>Yes</v>
      </c>
      <c r="N304" s="5" t="str">
        <f ca="1">IFERROR(__xludf.DUMMYFUNCTION("""COMPUTED_VALUE"""),"Yes")</f>
        <v>Yes</v>
      </c>
      <c r="O304" s="5" t="str">
        <f ca="1">IFERROR(__xludf.DUMMYFUNCTION("""COMPUTED_VALUE"""),"Yes")</f>
        <v>Yes</v>
      </c>
      <c r="P304" s="5" t="str">
        <f ca="1">IFERROR(__xludf.DUMMYFUNCTION("""COMPUTED_VALUE"""),"Yes")</f>
        <v>Yes</v>
      </c>
      <c r="Q304" s="5" t="str">
        <f ca="1">IFERROR(__xludf.DUMMYFUNCTION("""COMPUTED_VALUE"""),"Yes")</f>
        <v>Yes</v>
      </c>
      <c r="R304" s="5" t="str">
        <f ca="1">IFERROR(__xludf.DUMMYFUNCTION("""COMPUTED_VALUE"""),"Yes")</f>
        <v>Yes</v>
      </c>
      <c r="S304" s="5" t="str">
        <f ca="1">IFERROR(__xludf.DUMMYFUNCTION("""COMPUTED_VALUE"""),"Yes")</f>
        <v>Yes</v>
      </c>
      <c r="T304" s="5" t="str">
        <f ca="1">IFERROR(__xludf.DUMMYFUNCTION("""COMPUTED_VALUE"""),"Yes")</f>
        <v>Yes</v>
      </c>
      <c r="U304" s="5" t="str">
        <f ca="1">IFERROR(__xludf.DUMMYFUNCTION("""COMPUTED_VALUE"""),"Yes")</f>
        <v>Yes</v>
      </c>
      <c r="V304" s="5" t="str">
        <f ca="1">IFERROR(__xludf.DUMMYFUNCTION("""COMPUTED_VALUE"""),"Yes")</f>
        <v>Yes</v>
      </c>
      <c r="W304" s="5" t="str">
        <f ca="1">IFERROR(__xludf.DUMMYFUNCTION("""COMPUTED_VALUE"""),"Yes")</f>
        <v>Yes</v>
      </c>
      <c r="X304" s="5" t="str">
        <f ca="1">IFERROR(__xludf.DUMMYFUNCTION("""COMPUTED_VALUE"""),"Yes")</f>
        <v>Yes</v>
      </c>
      <c r="Y304" s="5" t="str">
        <f ca="1">IFERROR(__xludf.DUMMYFUNCTION("""COMPUTED_VALUE"""),"Yes")</f>
        <v>Yes</v>
      </c>
      <c r="Z304" s="5" t="str">
        <f ca="1">IFERROR(__xludf.DUMMYFUNCTION("""COMPUTED_VALUE"""),"Yes")</f>
        <v>Yes</v>
      </c>
      <c r="AA304" s="5" t="str">
        <f ca="1">IFERROR(__xludf.DUMMYFUNCTION("""COMPUTED_VALUE"""),"Yes")</f>
        <v>Yes</v>
      </c>
      <c r="AB304" s="5" t="str">
        <f ca="1">IFERROR(__xludf.DUMMYFUNCTION("""COMPUTED_VALUE"""),"Yes")</f>
        <v>Yes</v>
      </c>
      <c r="AC304" s="5" t="str">
        <f ca="1">IFERROR(__xludf.DUMMYFUNCTION("""COMPUTED_VALUE"""),"No")</f>
        <v>No</v>
      </c>
    </row>
    <row r="305" spans="1:29" x14ac:dyDescent="0.25">
      <c r="A305" s="5" t="str">
        <f ca="1">IFERROR(__xludf.DUMMYFUNCTION("""COMPUTED_VALUE"""),"MozzartsWorld")</f>
        <v>MozzartsWorld</v>
      </c>
      <c r="B3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5" s="5" t="str">
        <f ca="1">IFERROR(__xludf.DUMMYFUNCTION("""COMPUTED_VALUE"""),"Yes")</f>
        <v>Yes</v>
      </c>
      <c r="D305" s="5" t="str">
        <f ca="1">IFERROR(__xludf.DUMMYFUNCTION("""COMPUTED_VALUE"""),"Yes")</f>
        <v>Yes</v>
      </c>
      <c r="E305" s="5" t="str">
        <f ca="1">IFERROR(__xludf.DUMMYFUNCTION("""COMPUTED_VALUE"""),"Yes")</f>
        <v>Yes</v>
      </c>
      <c r="F305" s="5" t="str">
        <f ca="1">IFERROR(__xludf.DUMMYFUNCTION("""COMPUTED_VALUE"""),"Yes")</f>
        <v>Yes</v>
      </c>
      <c r="G305" s="5" t="str">
        <f ca="1">IFERROR(__xludf.DUMMYFUNCTION("""COMPUTED_VALUE"""),"Yes")</f>
        <v>Yes</v>
      </c>
      <c r="H305" s="5" t="str">
        <f ca="1">IFERROR(__xludf.DUMMYFUNCTION("""COMPUTED_VALUE"""),"Yes")</f>
        <v>Yes</v>
      </c>
      <c r="I305" s="5" t="str">
        <f ca="1">IFERROR(__xludf.DUMMYFUNCTION("""COMPUTED_VALUE"""),"Yes")</f>
        <v>Yes</v>
      </c>
      <c r="J305" s="5" t="str">
        <f ca="1">IFERROR(__xludf.DUMMYFUNCTION("""COMPUTED_VALUE"""),"Yes")</f>
        <v>Yes</v>
      </c>
      <c r="K305" s="5" t="str">
        <f ca="1">IFERROR(__xludf.DUMMYFUNCTION("""COMPUTED_VALUE"""),"Yes")</f>
        <v>Yes</v>
      </c>
      <c r="L305" s="5" t="str">
        <f ca="1">IFERROR(__xludf.DUMMYFUNCTION("""COMPUTED_VALUE"""),"Yes")</f>
        <v>Yes</v>
      </c>
      <c r="M305" s="5" t="str">
        <f ca="1">IFERROR(__xludf.DUMMYFUNCTION("""COMPUTED_VALUE"""),"Yes")</f>
        <v>Yes</v>
      </c>
      <c r="N305" s="5" t="str">
        <f ca="1">IFERROR(__xludf.DUMMYFUNCTION("""COMPUTED_VALUE"""),"Yes")</f>
        <v>Yes</v>
      </c>
      <c r="O305" s="5" t="str">
        <f ca="1">IFERROR(__xludf.DUMMYFUNCTION("""COMPUTED_VALUE"""),"Yes")</f>
        <v>Yes</v>
      </c>
      <c r="P305" s="5" t="str">
        <f ca="1">IFERROR(__xludf.DUMMYFUNCTION("""COMPUTED_VALUE"""),"Yes")</f>
        <v>Yes</v>
      </c>
      <c r="Q305" s="5" t="str">
        <f ca="1">IFERROR(__xludf.DUMMYFUNCTION("""COMPUTED_VALUE"""),"Yes")</f>
        <v>Yes</v>
      </c>
      <c r="R305" s="5" t="str">
        <f ca="1">IFERROR(__xludf.DUMMYFUNCTION("""COMPUTED_VALUE"""),"Yes")</f>
        <v>Yes</v>
      </c>
      <c r="S305" s="5" t="str">
        <f ca="1">IFERROR(__xludf.DUMMYFUNCTION("""COMPUTED_VALUE"""),"Yes")</f>
        <v>Yes</v>
      </c>
      <c r="T305" s="5" t="str">
        <f ca="1">IFERROR(__xludf.DUMMYFUNCTION("""COMPUTED_VALUE"""),"Yes")</f>
        <v>Yes</v>
      </c>
      <c r="U305" s="5" t="str">
        <f ca="1">IFERROR(__xludf.DUMMYFUNCTION("""COMPUTED_VALUE"""),"Yes")</f>
        <v>Yes</v>
      </c>
      <c r="V305" s="5" t="str">
        <f ca="1">IFERROR(__xludf.DUMMYFUNCTION("""COMPUTED_VALUE"""),"Yes")</f>
        <v>Yes</v>
      </c>
      <c r="W305" s="5" t="str">
        <f ca="1">IFERROR(__xludf.DUMMYFUNCTION("""COMPUTED_VALUE"""),"Yes")</f>
        <v>Yes</v>
      </c>
      <c r="X305" s="5" t="str">
        <f ca="1">IFERROR(__xludf.DUMMYFUNCTION("""COMPUTED_VALUE"""),"Yes")</f>
        <v>Yes</v>
      </c>
      <c r="Y305" s="5" t="str">
        <f ca="1">IFERROR(__xludf.DUMMYFUNCTION("""COMPUTED_VALUE"""),"Yes")</f>
        <v>Yes</v>
      </c>
      <c r="Z305" s="5" t="str">
        <f ca="1">IFERROR(__xludf.DUMMYFUNCTION("""COMPUTED_VALUE"""),"Yes")</f>
        <v>Yes</v>
      </c>
      <c r="AA305" s="5" t="str">
        <f ca="1">IFERROR(__xludf.DUMMYFUNCTION("""COMPUTED_VALUE"""),"Yes")</f>
        <v>Yes</v>
      </c>
      <c r="AB305" s="5" t="str">
        <f ca="1">IFERROR(__xludf.DUMMYFUNCTION("""COMPUTED_VALUE"""),"Yes")</f>
        <v>Yes</v>
      </c>
      <c r="AC305" s="5" t="str">
        <f ca="1">IFERROR(__xludf.DUMMYFUNCTION("""COMPUTED_VALUE"""),"No")</f>
        <v>No</v>
      </c>
    </row>
    <row r="306" spans="1:29" x14ac:dyDescent="0.25">
      <c r="A306" s="5" t="str">
        <f ca="1">IFERROR(__xludf.DUMMYFUNCTION("""COMPUTED_VALUE"""),"BookOfMozzart")</f>
        <v>BookOfMozzart</v>
      </c>
      <c r="B3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6" s="5" t="str">
        <f ca="1">IFERROR(__xludf.DUMMYFUNCTION("""COMPUTED_VALUE"""),"Yes")</f>
        <v>Yes</v>
      </c>
      <c r="D306" s="5" t="str">
        <f ca="1">IFERROR(__xludf.DUMMYFUNCTION("""COMPUTED_VALUE"""),"Yes")</f>
        <v>Yes</v>
      </c>
      <c r="E306" s="5" t="str">
        <f ca="1">IFERROR(__xludf.DUMMYFUNCTION("""COMPUTED_VALUE"""),"Yes")</f>
        <v>Yes</v>
      </c>
      <c r="F306" s="5" t="str">
        <f ca="1">IFERROR(__xludf.DUMMYFUNCTION("""COMPUTED_VALUE"""),"Yes")</f>
        <v>Yes</v>
      </c>
      <c r="G306" s="5" t="str">
        <f ca="1">IFERROR(__xludf.DUMMYFUNCTION("""COMPUTED_VALUE"""),"Yes")</f>
        <v>Yes</v>
      </c>
      <c r="H306" s="5" t="str">
        <f ca="1">IFERROR(__xludf.DUMMYFUNCTION("""COMPUTED_VALUE"""),"Yes")</f>
        <v>Yes</v>
      </c>
      <c r="I306" s="5" t="str">
        <f ca="1">IFERROR(__xludf.DUMMYFUNCTION("""COMPUTED_VALUE"""),"Yes")</f>
        <v>Yes</v>
      </c>
      <c r="J306" s="5" t="str">
        <f ca="1">IFERROR(__xludf.DUMMYFUNCTION("""COMPUTED_VALUE"""),"Yes")</f>
        <v>Yes</v>
      </c>
      <c r="K306" s="5" t="str">
        <f ca="1">IFERROR(__xludf.DUMMYFUNCTION("""COMPUTED_VALUE"""),"Yes")</f>
        <v>Yes</v>
      </c>
      <c r="L306" s="5" t="str">
        <f ca="1">IFERROR(__xludf.DUMMYFUNCTION("""COMPUTED_VALUE"""),"Yes")</f>
        <v>Yes</v>
      </c>
      <c r="M306" s="5" t="str">
        <f ca="1">IFERROR(__xludf.DUMMYFUNCTION("""COMPUTED_VALUE"""),"Yes")</f>
        <v>Yes</v>
      </c>
      <c r="N306" s="5" t="str">
        <f ca="1">IFERROR(__xludf.DUMMYFUNCTION("""COMPUTED_VALUE"""),"Yes")</f>
        <v>Yes</v>
      </c>
      <c r="O306" s="5" t="str">
        <f ca="1">IFERROR(__xludf.DUMMYFUNCTION("""COMPUTED_VALUE"""),"Yes")</f>
        <v>Yes</v>
      </c>
      <c r="P306" s="5" t="str">
        <f ca="1">IFERROR(__xludf.DUMMYFUNCTION("""COMPUTED_VALUE"""),"Yes")</f>
        <v>Yes</v>
      </c>
      <c r="Q306" s="5" t="str">
        <f ca="1">IFERROR(__xludf.DUMMYFUNCTION("""COMPUTED_VALUE"""),"Yes")</f>
        <v>Yes</v>
      </c>
      <c r="R306" s="5" t="str">
        <f ca="1">IFERROR(__xludf.DUMMYFUNCTION("""COMPUTED_VALUE"""),"Yes")</f>
        <v>Yes</v>
      </c>
      <c r="S306" s="5" t="str">
        <f ca="1">IFERROR(__xludf.DUMMYFUNCTION("""COMPUTED_VALUE"""),"Yes")</f>
        <v>Yes</v>
      </c>
      <c r="T306" s="5" t="str">
        <f ca="1">IFERROR(__xludf.DUMMYFUNCTION("""COMPUTED_VALUE"""),"Yes")</f>
        <v>Yes</v>
      </c>
      <c r="U306" s="5" t="str">
        <f ca="1">IFERROR(__xludf.DUMMYFUNCTION("""COMPUTED_VALUE"""),"Yes")</f>
        <v>Yes</v>
      </c>
      <c r="V306" s="5" t="str">
        <f ca="1">IFERROR(__xludf.DUMMYFUNCTION("""COMPUTED_VALUE"""),"Yes")</f>
        <v>Yes</v>
      </c>
      <c r="W306" s="5" t="str">
        <f ca="1">IFERROR(__xludf.DUMMYFUNCTION("""COMPUTED_VALUE"""),"Yes")</f>
        <v>Yes</v>
      </c>
      <c r="X306" s="5" t="str">
        <f ca="1">IFERROR(__xludf.DUMMYFUNCTION("""COMPUTED_VALUE"""),"Yes")</f>
        <v>Yes</v>
      </c>
      <c r="Y306" s="5" t="str">
        <f ca="1">IFERROR(__xludf.DUMMYFUNCTION("""COMPUTED_VALUE"""),"Yes")</f>
        <v>Yes</v>
      </c>
      <c r="Z306" s="5" t="str">
        <f ca="1">IFERROR(__xludf.DUMMYFUNCTION("""COMPUTED_VALUE"""),"Yes")</f>
        <v>Yes</v>
      </c>
      <c r="AA306" s="5" t="str">
        <f ca="1">IFERROR(__xludf.DUMMYFUNCTION("""COMPUTED_VALUE"""),"Yes")</f>
        <v>Yes</v>
      </c>
      <c r="AB306" s="5" t="str">
        <f ca="1">IFERROR(__xludf.DUMMYFUNCTION("""COMPUTED_VALUE"""),"Yes")</f>
        <v>Yes</v>
      </c>
      <c r="AC306" s="5" t="str">
        <f ca="1">IFERROR(__xludf.DUMMYFUNCTION("""COMPUTED_VALUE"""),"No")</f>
        <v>No</v>
      </c>
    </row>
    <row r="307" spans="1:29" x14ac:dyDescent="0.25">
      <c r="A307" s="5" t="str">
        <f ca="1">IFERROR(__xludf.DUMMYFUNCTION("""COMPUTED_VALUE"""),"LuckyMozzart")</f>
        <v>LuckyMozzart</v>
      </c>
      <c r="B3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7" s="5" t="str">
        <f ca="1">IFERROR(__xludf.DUMMYFUNCTION("""COMPUTED_VALUE"""),"Yes")</f>
        <v>Yes</v>
      </c>
      <c r="D307" s="5" t="str">
        <f ca="1">IFERROR(__xludf.DUMMYFUNCTION("""COMPUTED_VALUE"""),"Yes")</f>
        <v>Yes</v>
      </c>
      <c r="E307" s="5" t="str">
        <f ca="1">IFERROR(__xludf.DUMMYFUNCTION("""COMPUTED_VALUE"""),"Yes")</f>
        <v>Yes</v>
      </c>
      <c r="F307" s="5" t="str">
        <f ca="1">IFERROR(__xludf.DUMMYFUNCTION("""COMPUTED_VALUE"""),"Yes")</f>
        <v>Yes</v>
      </c>
      <c r="G307" s="5" t="str">
        <f ca="1">IFERROR(__xludf.DUMMYFUNCTION("""COMPUTED_VALUE"""),"Yes")</f>
        <v>Yes</v>
      </c>
      <c r="H307" s="5" t="str">
        <f ca="1">IFERROR(__xludf.DUMMYFUNCTION("""COMPUTED_VALUE"""),"Yes")</f>
        <v>Yes</v>
      </c>
      <c r="I307" s="5" t="str">
        <f ca="1">IFERROR(__xludf.DUMMYFUNCTION("""COMPUTED_VALUE"""),"Yes")</f>
        <v>Yes</v>
      </c>
      <c r="J307" s="5" t="str">
        <f ca="1">IFERROR(__xludf.DUMMYFUNCTION("""COMPUTED_VALUE"""),"Yes")</f>
        <v>Yes</v>
      </c>
      <c r="K307" s="5" t="str">
        <f ca="1">IFERROR(__xludf.DUMMYFUNCTION("""COMPUTED_VALUE"""),"Yes")</f>
        <v>Yes</v>
      </c>
      <c r="L307" s="5" t="str">
        <f ca="1">IFERROR(__xludf.DUMMYFUNCTION("""COMPUTED_VALUE"""),"Yes")</f>
        <v>Yes</v>
      </c>
      <c r="M307" s="5" t="str">
        <f ca="1">IFERROR(__xludf.DUMMYFUNCTION("""COMPUTED_VALUE"""),"Yes")</f>
        <v>Yes</v>
      </c>
      <c r="N307" s="5" t="str">
        <f ca="1">IFERROR(__xludf.DUMMYFUNCTION("""COMPUTED_VALUE"""),"Yes")</f>
        <v>Yes</v>
      </c>
      <c r="O307" s="5" t="str">
        <f ca="1">IFERROR(__xludf.DUMMYFUNCTION("""COMPUTED_VALUE"""),"Yes")</f>
        <v>Yes</v>
      </c>
      <c r="P307" s="5" t="str">
        <f ca="1">IFERROR(__xludf.DUMMYFUNCTION("""COMPUTED_VALUE"""),"Yes")</f>
        <v>Yes</v>
      </c>
      <c r="Q307" s="5" t="str">
        <f ca="1">IFERROR(__xludf.DUMMYFUNCTION("""COMPUTED_VALUE"""),"Yes")</f>
        <v>Yes</v>
      </c>
      <c r="R307" s="5" t="str">
        <f ca="1">IFERROR(__xludf.DUMMYFUNCTION("""COMPUTED_VALUE"""),"Yes")</f>
        <v>Yes</v>
      </c>
      <c r="S307" s="5" t="str">
        <f ca="1">IFERROR(__xludf.DUMMYFUNCTION("""COMPUTED_VALUE"""),"Yes")</f>
        <v>Yes</v>
      </c>
      <c r="T307" s="5" t="str">
        <f ca="1">IFERROR(__xludf.DUMMYFUNCTION("""COMPUTED_VALUE"""),"Yes")</f>
        <v>Yes</v>
      </c>
      <c r="U307" s="5" t="str">
        <f ca="1">IFERROR(__xludf.DUMMYFUNCTION("""COMPUTED_VALUE"""),"Yes")</f>
        <v>Yes</v>
      </c>
      <c r="V307" s="5" t="str">
        <f ca="1">IFERROR(__xludf.DUMMYFUNCTION("""COMPUTED_VALUE"""),"Yes")</f>
        <v>Yes</v>
      </c>
      <c r="W307" s="5" t="str">
        <f ca="1">IFERROR(__xludf.DUMMYFUNCTION("""COMPUTED_VALUE"""),"Yes")</f>
        <v>Yes</v>
      </c>
      <c r="X307" s="5" t="str">
        <f ca="1">IFERROR(__xludf.DUMMYFUNCTION("""COMPUTED_VALUE"""),"Yes")</f>
        <v>Yes</v>
      </c>
      <c r="Y307" s="5" t="str">
        <f ca="1">IFERROR(__xludf.DUMMYFUNCTION("""COMPUTED_VALUE"""),"Yes")</f>
        <v>Yes</v>
      </c>
      <c r="Z307" s="5" t="str">
        <f ca="1">IFERROR(__xludf.DUMMYFUNCTION("""COMPUTED_VALUE"""),"Yes")</f>
        <v>Yes</v>
      </c>
      <c r="AA307" s="5" t="str">
        <f ca="1">IFERROR(__xludf.DUMMYFUNCTION("""COMPUTED_VALUE"""),"Yes")</f>
        <v>Yes</v>
      </c>
      <c r="AB307" s="5" t="str">
        <f ca="1">IFERROR(__xludf.DUMMYFUNCTION("""COMPUTED_VALUE"""),"Yes")</f>
        <v>Yes</v>
      </c>
      <c r="AC307" s="5" t="str">
        <f ca="1">IFERROR(__xludf.DUMMYFUNCTION("""COMPUTED_VALUE"""),"No")</f>
        <v>No</v>
      </c>
    </row>
    <row r="308" spans="1:29" x14ac:dyDescent="0.25">
      <c r="A308" s="5" t="str">
        <f ca="1">IFERROR(__xludf.DUMMYFUNCTION("""COMPUTED_VALUE"""),"RedstoneLadyTripleFortune")</f>
        <v>RedstoneLadyTripleFortune</v>
      </c>
      <c r="B3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8" s="5" t="str">
        <f ca="1">IFERROR(__xludf.DUMMYFUNCTION("""COMPUTED_VALUE"""),"Yes")</f>
        <v>Yes</v>
      </c>
      <c r="D308" s="5" t="str">
        <f ca="1">IFERROR(__xludf.DUMMYFUNCTION("""COMPUTED_VALUE"""),"Yes")</f>
        <v>Yes</v>
      </c>
      <c r="E308" s="5" t="str">
        <f ca="1">IFERROR(__xludf.DUMMYFUNCTION("""COMPUTED_VALUE"""),"Yes")</f>
        <v>Yes</v>
      </c>
      <c r="F308" s="5" t="str">
        <f ca="1">IFERROR(__xludf.DUMMYFUNCTION("""COMPUTED_VALUE"""),"Yes")</f>
        <v>Yes</v>
      </c>
      <c r="G308" s="5" t="str">
        <f ca="1">IFERROR(__xludf.DUMMYFUNCTION("""COMPUTED_VALUE"""),"Yes")</f>
        <v>Yes</v>
      </c>
      <c r="H308" s="5" t="str">
        <f ca="1">IFERROR(__xludf.DUMMYFUNCTION("""COMPUTED_VALUE"""),"Yes")</f>
        <v>Yes</v>
      </c>
      <c r="I308" s="5" t="str">
        <f ca="1">IFERROR(__xludf.DUMMYFUNCTION("""COMPUTED_VALUE"""),"Yes")</f>
        <v>Yes</v>
      </c>
      <c r="J308" s="5" t="str">
        <f ca="1">IFERROR(__xludf.DUMMYFUNCTION("""COMPUTED_VALUE"""),"Yes")</f>
        <v>Yes</v>
      </c>
      <c r="K308" s="5" t="str">
        <f ca="1">IFERROR(__xludf.DUMMYFUNCTION("""COMPUTED_VALUE"""),"Yes")</f>
        <v>Yes</v>
      </c>
      <c r="L308" s="5" t="str">
        <f ca="1">IFERROR(__xludf.DUMMYFUNCTION("""COMPUTED_VALUE"""),"Yes")</f>
        <v>Yes</v>
      </c>
      <c r="M308" s="5" t="str">
        <f ca="1">IFERROR(__xludf.DUMMYFUNCTION("""COMPUTED_VALUE"""),"Yes")</f>
        <v>Yes</v>
      </c>
      <c r="N308" s="5" t="str">
        <f ca="1">IFERROR(__xludf.DUMMYFUNCTION("""COMPUTED_VALUE"""),"Yes")</f>
        <v>Yes</v>
      </c>
      <c r="O308" s="5" t="str">
        <f ca="1">IFERROR(__xludf.DUMMYFUNCTION("""COMPUTED_VALUE"""),"Yes")</f>
        <v>Yes</v>
      </c>
      <c r="P308" s="5" t="str">
        <f ca="1">IFERROR(__xludf.DUMMYFUNCTION("""COMPUTED_VALUE"""),"Yes")</f>
        <v>Yes</v>
      </c>
      <c r="Q308" s="5" t="str">
        <f ca="1">IFERROR(__xludf.DUMMYFUNCTION("""COMPUTED_VALUE"""),"Yes")</f>
        <v>Yes</v>
      </c>
      <c r="R308" s="5" t="str">
        <f ca="1">IFERROR(__xludf.DUMMYFUNCTION("""COMPUTED_VALUE"""),"Yes")</f>
        <v>Yes</v>
      </c>
      <c r="S308" s="5" t="str">
        <f ca="1">IFERROR(__xludf.DUMMYFUNCTION("""COMPUTED_VALUE"""),"Yes")</f>
        <v>Yes</v>
      </c>
      <c r="T308" s="5" t="str">
        <f ca="1">IFERROR(__xludf.DUMMYFUNCTION("""COMPUTED_VALUE"""),"Yes")</f>
        <v>Yes</v>
      </c>
      <c r="U308" s="5" t="str">
        <f ca="1">IFERROR(__xludf.DUMMYFUNCTION("""COMPUTED_VALUE"""),"Yes")</f>
        <v>Yes</v>
      </c>
      <c r="V308" s="5"/>
      <c r="W308" s="5"/>
      <c r="X308" s="5"/>
      <c r="Y308" s="5"/>
      <c r="Z308" s="5" t="str">
        <f ca="1">IFERROR(__xludf.DUMMYFUNCTION("""COMPUTED_VALUE"""),"Yes")</f>
        <v>Yes</v>
      </c>
      <c r="AA308" s="5"/>
      <c r="AB308" s="5"/>
      <c r="AC308" s="5"/>
    </row>
    <row r="309" spans="1:29" x14ac:dyDescent="0.25">
      <c r="A309" s="5" t="str">
        <f ca="1">IFERROR(__xludf.DUMMYFUNCTION("""COMPUTED_VALUE"""),"RedstoneHotRushStarsDeluxe")</f>
        <v>RedstoneHotRushStarsDeluxe</v>
      </c>
      <c r="B30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09" s="5" t="str">
        <f ca="1">IFERROR(__xludf.DUMMYFUNCTION("""COMPUTED_VALUE"""),"Yes")</f>
        <v>Yes</v>
      </c>
      <c r="D309" s="5" t="str">
        <f ca="1">IFERROR(__xludf.DUMMYFUNCTION("""COMPUTED_VALUE"""),"Yes")</f>
        <v>Yes</v>
      </c>
      <c r="E309" s="5" t="str">
        <f ca="1">IFERROR(__xludf.DUMMYFUNCTION("""COMPUTED_VALUE"""),"No")</f>
        <v>No</v>
      </c>
      <c r="F309" s="5" t="str">
        <f ca="1">IFERROR(__xludf.DUMMYFUNCTION("""COMPUTED_VALUE"""),"Yes")</f>
        <v>Yes</v>
      </c>
      <c r="G309" s="5" t="str">
        <f ca="1">IFERROR(__xludf.DUMMYFUNCTION("""COMPUTED_VALUE"""),"Yes")</f>
        <v>Yes</v>
      </c>
      <c r="H309" s="5" t="str">
        <f ca="1">IFERROR(__xludf.DUMMYFUNCTION("""COMPUTED_VALUE"""),"Yes")</f>
        <v>Yes</v>
      </c>
      <c r="I309" s="5" t="str">
        <f ca="1">IFERROR(__xludf.DUMMYFUNCTION("""COMPUTED_VALUE"""),"Yes")</f>
        <v>Yes</v>
      </c>
      <c r="J309" s="5" t="str">
        <f ca="1">IFERROR(__xludf.DUMMYFUNCTION("""COMPUTED_VALUE"""),"Yes")</f>
        <v>Yes</v>
      </c>
      <c r="K309" s="5" t="str">
        <f ca="1">IFERROR(__xludf.DUMMYFUNCTION("""COMPUTED_VALUE"""),"Yes")</f>
        <v>Yes</v>
      </c>
      <c r="L309" s="5" t="str">
        <f ca="1">IFERROR(__xludf.DUMMYFUNCTION("""COMPUTED_VALUE"""),"Yes")</f>
        <v>Yes</v>
      </c>
      <c r="M309" s="5" t="str">
        <f ca="1">IFERROR(__xludf.DUMMYFUNCTION("""COMPUTED_VALUE"""),"Yes")</f>
        <v>Yes</v>
      </c>
      <c r="N309" s="5" t="str">
        <f ca="1">IFERROR(__xludf.DUMMYFUNCTION("""COMPUTED_VALUE"""),"Yes")</f>
        <v>Yes</v>
      </c>
      <c r="O309" s="5" t="str">
        <f ca="1">IFERROR(__xludf.DUMMYFUNCTION("""COMPUTED_VALUE"""),"Yes")</f>
        <v>Yes</v>
      </c>
      <c r="P309" s="5" t="str">
        <f ca="1">IFERROR(__xludf.DUMMYFUNCTION("""COMPUTED_VALUE"""),"Yes")</f>
        <v>Yes</v>
      </c>
      <c r="Q309" s="5" t="str">
        <f ca="1">IFERROR(__xludf.DUMMYFUNCTION("""COMPUTED_VALUE"""),"Yes")</f>
        <v>Yes</v>
      </c>
      <c r="R309" s="5" t="str">
        <f ca="1">IFERROR(__xludf.DUMMYFUNCTION("""COMPUTED_VALUE"""),"No")</f>
        <v>No</v>
      </c>
      <c r="S309" s="5" t="str">
        <f ca="1">IFERROR(__xludf.DUMMYFUNCTION("""COMPUTED_VALUE"""),"No")</f>
        <v>No</v>
      </c>
      <c r="T309" s="5" t="str">
        <f ca="1">IFERROR(__xludf.DUMMYFUNCTION("""COMPUTED_VALUE"""),"No")</f>
        <v>No</v>
      </c>
      <c r="U309" s="5" t="str">
        <f ca="1">IFERROR(__xludf.DUMMYFUNCTION("""COMPUTED_VALUE"""),"No")</f>
        <v>No</v>
      </c>
      <c r="V309" s="5" t="str">
        <f ca="1">IFERROR(__xludf.DUMMYFUNCTION("""COMPUTED_VALUE"""),"No")</f>
        <v>No</v>
      </c>
      <c r="W309" s="5" t="str">
        <f ca="1">IFERROR(__xludf.DUMMYFUNCTION("""COMPUTED_VALUE"""),"No")</f>
        <v>No</v>
      </c>
      <c r="X309" s="5" t="str">
        <f ca="1">IFERROR(__xludf.DUMMYFUNCTION("""COMPUTED_VALUE"""),"No")</f>
        <v>No</v>
      </c>
      <c r="Y309" s="5" t="str">
        <f ca="1">IFERROR(__xludf.DUMMYFUNCTION("""COMPUTED_VALUE"""),"No")</f>
        <v>No</v>
      </c>
      <c r="Z309" s="5" t="str">
        <f ca="1">IFERROR(__xludf.DUMMYFUNCTION("""COMPUTED_VALUE"""),"No")</f>
        <v>No</v>
      </c>
      <c r="AA309" s="5" t="str">
        <f ca="1">IFERROR(__xludf.DUMMYFUNCTION("""COMPUTED_VALUE"""),"No")</f>
        <v>No</v>
      </c>
      <c r="AB309" s="5" t="str">
        <f ca="1">IFERROR(__xludf.DUMMYFUNCTION("""COMPUTED_VALUE"""),"Yes")</f>
        <v>Yes</v>
      </c>
      <c r="AC309" s="5" t="str">
        <f ca="1">IFERROR(__xludf.DUMMYFUNCTION("""COMPUTED_VALUE"""),"No")</f>
        <v>No</v>
      </c>
    </row>
    <row r="310" spans="1:29" x14ac:dyDescent="0.25">
      <c r="A310" s="5" t="str">
        <f ca="1">IFERROR(__xludf.DUMMYFUNCTION("""COMPUTED_VALUE"""),"Wild81")</f>
        <v>Wild81</v>
      </c>
      <c r="B3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0" s="5" t="str">
        <f ca="1">IFERROR(__xludf.DUMMYFUNCTION("""COMPUTED_VALUE"""),"Yes")</f>
        <v>Yes</v>
      </c>
      <c r="D310" s="5" t="str">
        <f ca="1">IFERROR(__xludf.DUMMYFUNCTION("""COMPUTED_VALUE"""),"Yes")</f>
        <v>Yes</v>
      </c>
      <c r="E310" s="5" t="str">
        <f ca="1">IFERROR(__xludf.DUMMYFUNCTION("""COMPUTED_VALUE"""),"Yes")</f>
        <v>Yes</v>
      </c>
      <c r="F310" s="5" t="str">
        <f ca="1">IFERROR(__xludf.DUMMYFUNCTION("""COMPUTED_VALUE"""),"Yes")</f>
        <v>Yes</v>
      </c>
      <c r="G310" s="5" t="str">
        <f ca="1">IFERROR(__xludf.DUMMYFUNCTION("""COMPUTED_VALUE"""),"Yes")</f>
        <v>Yes</v>
      </c>
      <c r="H310" s="5" t="str">
        <f ca="1">IFERROR(__xludf.DUMMYFUNCTION("""COMPUTED_VALUE"""),"Yes")</f>
        <v>Yes</v>
      </c>
      <c r="I310" s="5" t="str">
        <f ca="1">IFERROR(__xludf.DUMMYFUNCTION("""COMPUTED_VALUE"""),"Yes")</f>
        <v>Yes</v>
      </c>
      <c r="J310" s="5" t="str">
        <f ca="1">IFERROR(__xludf.DUMMYFUNCTION("""COMPUTED_VALUE"""),"Yes")</f>
        <v>Yes</v>
      </c>
      <c r="K310" s="5" t="str">
        <f ca="1">IFERROR(__xludf.DUMMYFUNCTION("""COMPUTED_VALUE"""),"Yes")</f>
        <v>Yes</v>
      </c>
      <c r="L310" s="5" t="str">
        <f ca="1">IFERROR(__xludf.DUMMYFUNCTION("""COMPUTED_VALUE"""),"Yes")</f>
        <v>Yes</v>
      </c>
      <c r="M310" s="5" t="str">
        <f ca="1">IFERROR(__xludf.DUMMYFUNCTION("""COMPUTED_VALUE"""),"Yes")</f>
        <v>Yes</v>
      </c>
      <c r="N310" s="5" t="str">
        <f ca="1">IFERROR(__xludf.DUMMYFUNCTION("""COMPUTED_VALUE"""),"Yes")</f>
        <v>Yes</v>
      </c>
      <c r="O310" s="5" t="str">
        <f ca="1">IFERROR(__xludf.DUMMYFUNCTION("""COMPUTED_VALUE"""),"Yes")</f>
        <v>Yes</v>
      </c>
      <c r="P310" s="5" t="str">
        <f ca="1">IFERROR(__xludf.DUMMYFUNCTION("""COMPUTED_VALUE"""),"Yes")</f>
        <v>Yes</v>
      </c>
      <c r="Q310" s="5" t="str">
        <f ca="1">IFERROR(__xludf.DUMMYFUNCTION("""COMPUTED_VALUE"""),"Yes")</f>
        <v>Yes</v>
      </c>
      <c r="R310" s="5" t="str">
        <f ca="1">IFERROR(__xludf.DUMMYFUNCTION("""COMPUTED_VALUE"""),"Yes")</f>
        <v>Yes</v>
      </c>
      <c r="S310" s="5" t="str">
        <f ca="1">IFERROR(__xludf.DUMMYFUNCTION("""COMPUTED_VALUE"""),"Yes")</f>
        <v>Yes</v>
      </c>
      <c r="T310" s="5" t="str">
        <f ca="1">IFERROR(__xludf.DUMMYFUNCTION("""COMPUTED_VALUE"""),"Yes")</f>
        <v>Yes</v>
      </c>
      <c r="U310" s="5" t="str">
        <f ca="1">IFERROR(__xludf.DUMMYFUNCTION("""COMPUTED_VALUE"""),"Yes")</f>
        <v>Yes</v>
      </c>
      <c r="V310" s="5" t="str">
        <f ca="1">IFERROR(__xludf.DUMMYFUNCTION("""COMPUTED_VALUE"""),"Yes")</f>
        <v>Yes</v>
      </c>
      <c r="W310" s="5" t="str">
        <f ca="1">IFERROR(__xludf.DUMMYFUNCTION("""COMPUTED_VALUE"""),"Yes")</f>
        <v>Yes</v>
      </c>
      <c r="X310" s="5" t="str">
        <f ca="1">IFERROR(__xludf.DUMMYFUNCTION("""COMPUTED_VALUE"""),"Yes")</f>
        <v>Yes</v>
      </c>
      <c r="Y310" s="5" t="str">
        <f ca="1">IFERROR(__xludf.DUMMYFUNCTION("""COMPUTED_VALUE"""),"Yes")</f>
        <v>Yes</v>
      </c>
      <c r="Z310" s="5" t="str">
        <f ca="1">IFERROR(__xludf.DUMMYFUNCTION("""COMPUTED_VALUE"""),"Yes")</f>
        <v>Yes</v>
      </c>
      <c r="AA310" s="5" t="str">
        <f ca="1">IFERROR(__xludf.DUMMYFUNCTION("""COMPUTED_VALUE"""),"Yes")</f>
        <v>Yes</v>
      </c>
      <c r="AB310" s="5" t="str">
        <f ca="1">IFERROR(__xludf.DUMMYFUNCTION("""COMPUTED_VALUE"""),"Yes")</f>
        <v>Yes</v>
      </c>
      <c r="AC310" s="5" t="str">
        <f ca="1">IFERROR(__xludf.DUMMYFUNCTION("""COMPUTED_VALUE"""),"No")</f>
        <v>No</v>
      </c>
    </row>
    <row r="311" spans="1:29" x14ac:dyDescent="0.25">
      <c r="A311" s="5" t="str">
        <f ca="1">IFERROR(__xludf.DUMMYFUNCTION("""COMPUTED_VALUE"""),"MysticJungle")</f>
        <v>MysticJungle</v>
      </c>
      <c r="B3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1" s="5" t="str">
        <f ca="1">IFERROR(__xludf.DUMMYFUNCTION("""COMPUTED_VALUE"""),"Yes")</f>
        <v>Yes</v>
      </c>
      <c r="D311" s="5" t="str">
        <f ca="1">IFERROR(__xludf.DUMMYFUNCTION("""COMPUTED_VALUE"""),"Yes")</f>
        <v>Yes</v>
      </c>
      <c r="E311" s="5" t="str">
        <f ca="1">IFERROR(__xludf.DUMMYFUNCTION("""COMPUTED_VALUE"""),"Yes")</f>
        <v>Yes</v>
      </c>
      <c r="F311" s="5" t="str">
        <f ca="1">IFERROR(__xludf.DUMMYFUNCTION("""COMPUTED_VALUE"""),"Yes")</f>
        <v>Yes</v>
      </c>
      <c r="G311" s="5" t="str">
        <f ca="1">IFERROR(__xludf.DUMMYFUNCTION("""COMPUTED_VALUE"""),"Yes")</f>
        <v>Yes</v>
      </c>
      <c r="H311" s="5" t="str">
        <f ca="1">IFERROR(__xludf.DUMMYFUNCTION("""COMPUTED_VALUE"""),"Yes")</f>
        <v>Yes</v>
      </c>
      <c r="I311" s="5" t="str">
        <f ca="1">IFERROR(__xludf.DUMMYFUNCTION("""COMPUTED_VALUE"""),"Yes")</f>
        <v>Yes</v>
      </c>
      <c r="J311" s="5" t="str">
        <f ca="1">IFERROR(__xludf.DUMMYFUNCTION("""COMPUTED_VALUE"""),"Yes")</f>
        <v>Yes</v>
      </c>
      <c r="K311" s="5" t="str">
        <f ca="1">IFERROR(__xludf.DUMMYFUNCTION("""COMPUTED_VALUE"""),"Yes")</f>
        <v>Yes</v>
      </c>
      <c r="L311" s="5" t="str">
        <f ca="1">IFERROR(__xludf.DUMMYFUNCTION("""COMPUTED_VALUE"""),"Yes")</f>
        <v>Yes</v>
      </c>
      <c r="M311" s="5" t="str">
        <f ca="1">IFERROR(__xludf.DUMMYFUNCTION("""COMPUTED_VALUE"""),"Yes")</f>
        <v>Yes</v>
      </c>
      <c r="N311" s="5" t="str">
        <f ca="1">IFERROR(__xludf.DUMMYFUNCTION("""COMPUTED_VALUE"""),"Yes")</f>
        <v>Yes</v>
      </c>
      <c r="O311" s="5" t="str">
        <f ca="1">IFERROR(__xludf.DUMMYFUNCTION("""COMPUTED_VALUE"""),"Yes")</f>
        <v>Yes</v>
      </c>
      <c r="P311" s="5" t="str">
        <f ca="1">IFERROR(__xludf.DUMMYFUNCTION("""COMPUTED_VALUE"""),"Yes")</f>
        <v>Yes</v>
      </c>
      <c r="Q311" s="5" t="str">
        <f ca="1">IFERROR(__xludf.DUMMYFUNCTION("""COMPUTED_VALUE"""),"Yes")</f>
        <v>Yes</v>
      </c>
      <c r="R311" s="5" t="str">
        <f ca="1">IFERROR(__xludf.DUMMYFUNCTION("""COMPUTED_VALUE"""),"Yes")</f>
        <v>Yes</v>
      </c>
      <c r="S311" s="5" t="str">
        <f ca="1">IFERROR(__xludf.DUMMYFUNCTION("""COMPUTED_VALUE"""),"Yes")</f>
        <v>Yes</v>
      </c>
      <c r="T311" s="5" t="str">
        <f ca="1">IFERROR(__xludf.DUMMYFUNCTION("""COMPUTED_VALUE"""),"Yes")</f>
        <v>Yes</v>
      </c>
      <c r="U311" s="5" t="str">
        <f ca="1">IFERROR(__xludf.DUMMYFUNCTION("""COMPUTED_VALUE"""),"Yes")</f>
        <v>Yes</v>
      </c>
      <c r="V311" s="5" t="str">
        <f ca="1">IFERROR(__xludf.DUMMYFUNCTION("""COMPUTED_VALUE"""),"Yes")</f>
        <v>Yes</v>
      </c>
      <c r="W311" s="5" t="str">
        <f ca="1">IFERROR(__xludf.DUMMYFUNCTION("""COMPUTED_VALUE"""),"Yes")</f>
        <v>Yes</v>
      </c>
      <c r="X311" s="5" t="str">
        <f ca="1">IFERROR(__xludf.DUMMYFUNCTION("""COMPUTED_VALUE"""),"Yes")</f>
        <v>Yes</v>
      </c>
      <c r="Y311" s="5" t="str">
        <f ca="1">IFERROR(__xludf.DUMMYFUNCTION("""COMPUTED_VALUE"""),"Yes")</f>
        <v>Yes</v>
      </c>
      <c r="Z311" s="5" t="str">
        <f ca="1">IFERROR(__xludf.DUMMYFUNCTION("""COMPUTED_VALUE"""),"Yes")</f>
        <v>Yes</v>
      </c>
      <c r="AA311" s="5" t="str">
        <f ca="1">IFERROR(__xludf.DUMMYFUNCTION("""COMPUTED_VALUE"""),"Yes")</f>
        <v>Yes</v>
      </c>
      <c r="AB311" s="5" t="str">
        <f ca="1">IFERROR(__xludf.DUMMYFUNCTION("""COMPUTED_VALUE"""),"Yes")</f>
        <v>Yes</v>
      </c>
      <c r="AC311" s="5" t="str">
        <f ca="1">IFERROR(__xludf.DUMMYFUNCTION("""COMPUTED_VALUE"""),"No")</f>
        <v>No</v>
      </c>
    </row>
    <row r="312" spans="1:29" x14ac:dyDescent="0.25">
      <c r="A312" s="5" t="str">
        <f ca="1">IFERROR(__xludf.DUMMYFUNCTION("""COMPUTED_VALUE"""),"RedstoneSlotRoyale")</f>
        <v>RedstoneSlotRoyale</v>
      </c>
      <c r="B3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12" s="5" t="str">
        <f ca="1">IFERROR(__xludf.DUMMYFUNCTION("""COMPUTED_VALUE"""),"Yes")</f>
        <v>Yes</v>
      </c>
      <c r="D312" s="5" t="str">
        <f ca="1">IFERROR(__xludf.DUMMYFUNCTION("""COMPUTED_VALUE"""),"Yes")</f>
        <v>Yes</v>
      </c>
      <c r="E312" s="5" t="str">
        <f ca="1">IFERROR(__xludf.DUMMYFUNCTION("""COMPUTED_VALUE"""),"Yes")</f>
        <v>Yes</v>
      </c>
      <c r="F312" s="5" t="str">
        <f ca="1">IFERROR(__xludf.DUMMYFUNCTION("""COMPUTED_VALUE"""),"Yes")</f>
        <v>Yes</v>
      </c>
      <c r="G312" s="5" t="str">
        <f ca="1">IFERROR(__xludf.DUMMYFUNCTION("""COMPUTED_VALUE"""),"Yes")</f>
        <v>Yes</v>
      </c>
      <c r="H312" s="5" t="str">
        <f ca="1">IFERROR(__xludf.DUMMYFUNCTION("""COMPUTED_VALUE"""),"Yes")</f>
        <v>Yes</v>
      </c>
      <c r="I312" s="5" t="str">
        <f ca="1">IFERROR(__xludf.DUMMYFUNCTION("""COMPUTED_VALUE"""),"Yes")</f>
        <v>Yes</v>
      </c>
      <c r="J312" s="5" t="str">
        <f ca="1">IFERROR(__xludf.DUMMYFUNCTION("""COMPUTED_VALUE"""),"Yes")</f>
        <v>Yes</v>
      </c>
      <c r="K312" s="5" t="str">
        <f ca="1">IFERROR(__xludf.DUMMYFUNCTION("""COMPUTED_VALUE"""),"Yes")</f>
        <v>Yes</v>
      </c>
      <c r="L312" s="5" t="str">
        <f ca="1">IFERROR(__xludf.DUMMYFUNCTION("""COMPUTED_VALUE"""),"Yes")</f>
        <v>Yes</v>
      </c>
      <c r="M312" s="5" t="str">
        <f ca="1">IFERROR(__xludf.DUMMYFUNCTION("""COMPUTED_VALUE"""),"Yes")</f>
        <v>Yes</v>
      </c>
      <c r="N312" s="5" t="str">
        <f ca="1">IFERROR(__xludf.DUMMYFUNCTION("""COMPUTED_VALUE"""),"Yes")</f>
        <v>Yes</v>
      </c>
      <c r="O312" s="5" t="str">
        <f ca="1">IFERROR(__xludf.DUMMYFUNCTION("""COMPUTED_VALUE"""),"Yes")</f>
        <v>Yes</v>
      </c>
      <c r="P312" s="5" t="str">
        <f ca="1">IFERROR(__xludf.DUMMYFUNCTION("""COMPUTED_VALUE"""),"Yes")</f>
        <v>Yes</v>
      </c>
      <c r="Q312" s="5" t="str">
        <f ca="1">IFERROR(__xludf.DUMMYFUNCTION("""COMPUTED_VALUE"""),"Yes")</f>
        <v>Yes</v>
      </c>
      <c r="R312" s="5" t="str">
        <f ca="1">IFERROR(__xludf.DUMMYFUNCTION("""COMPUTED_VALUE"""),"Yes")</f>
        <v>Yes</v>
      </c>
      <c r="S312" s="5" t="str">
        <f ca="1">IFERROR(__xludf.DUMMYFUNCTION("""COMPUTED_VALUE"""),"Yes")</f>
        <v>Yes</v>
      </c>
      <c r="T312" s="5" t="str">
        <f ca="1">IFERROR(__xludf.DUMMYFUNCTION("""COMPUTED_VALUE"""),"Yes")</f>
        <v>Yes</v>
      </c>
      <c r="U312" s="5" t="str">
        <f ca="1">IFERROR(__xludf.DUMMYFUNCTION("""COMPUTED_VALUE"""),"Yes")</f>
        <v>Yes</v>
      </c>
      <c r="V312" s="5"/>
      <c r="W312" s="5" t="str">
        <f ca="1">IFERROR(__xludf.DUMMYFUNCTION("""COMPUTED_VALUE"""),"Yes")</f>
        <v>Yes</v>
      </c>
      <c r="X312" s="5"/>
      <c r="Y312" s="5"/>
      <c r="Z312" s="5" t="str">
        <f ca="1">IFERROR(__xludf.DUMMYFUNCTION("""COMPUTED_VALUE"""),"Yes")</f>
        <v>Yes</v>
      </c>
      <c r="AA312" s="5"/>
      <c r="AB312" s="5"/>
      <c r="AC312" s="5"/>
    </row>
    <row r="313" spans="1:29" x14ac:dyDescent="0.25">
      <c r="A313" s="5" t="str">
        <f ca="1">IFERROR(__xludf.DUMMYFUNCTION("""COMPUTED_VALUE"""),"RedstoneClover5LockAndCash")</f>
        <v>RedstoneClover5LockAndCash</v>
      </c>
      <c r="B31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13" s="5" t="str">
        <f ca="1">IFERROR(__xludf.DUMMYFUNCTION("""COMPUTED_VALUE"""),"Yes")</f>
        <v>Yes</v>
      </c>
      <c r="D313" s="5" t="str">
        <f ca="1">IFERROR(__xludf.DUMMYFUNCTION("""COMPUTED_VALUE"""),"Yes")</f>
        <v>Yes</v>
      </c>
      <c r="E313" s="5" t="str">
        <f ca="1">IFERROR(__xludf.DUMMYFUNCTION("""COMPUTED_VALUE"""),"No")</f>
        <v>No</v>
      </c>
      <c r="F313" s="5" t="str">
        <f ca="1">IFERROR(__xludf.DUMMYFUNCTION("""COMPUTED_VALUE"""),"Yes")</f>
        <v>Yes</v>
      </c>
      <c r="G313" s="5" t="str">
        <f ca="1">IFERROR(__xludf.DUMMYFUNCTION("""COMPUTED_VALUE"""),"Yes")</f>
        <v>Yes</v>
      </c>
      <c r="H313" s="5" t="str">
        <f ca="1">IFERROR(__xludf.DUMMYFUNCTION("""COMPUTED_VALUE"""),"Yes")</f>
        <v>Yes</v>
      </c>
      <c r="I313" s="5" t="str">
        <f ca="1">IFERROR(__xludf.DUMMYFUNCTION("""COMPUTED_VALUE"""),"Yes")</f>
        <v>Yes</v>
      </c>
      <c r="J313" s="5" t="str">
        <f ca="1">IFERROR(__xludf.DUMMYFUNCTION("""COMPUTED_VALUE"""),"Yes")</f>
        <v>Yes</v>
      </c>
      <c r="K313" s="5" t="str">
        <f ca="1">IFERROR(__xludf.DUMMYFUNCTION("""COMPUTED_VALUE"""),"Yes")</f>
        <v>Yes</v>
      </c>
      <c r="L313" s="5" t="str">
        <f ca="1">IFERROR(__xludf.DUMMYFUNCTION("""COMPUTED_VALUE"""),"Yes")</f>
        <v>Yes</v>
      </c>
      <c r="M313" s="5" t="str">
        <f ca="1">IFERROR(__xludf.DUMMYFUNCTION("""COMPUTED_VALUE"""),"Yes")</f>
        <v>Yes</v>
      </c>
      <c r="N313" s="5" t="str">
        <f ca="1">IFERROR(__xludf.DUMMYFUNCTION("""COMPUTED_VALUE"""),"Yes")</f>
        <v>Yes</v>
      </c>
      <c r="O313" s="5" t="str">
        <f ca="1">IFERROR(__xludf.DUMMYFUNCTION("""COMPUTED_VALUE"""),"Yes")</f>
        <v>Yes</v>
      </c>
      <c r="P313" s="5" t="str">
        <f ca="1">IFERROR(__xludf.DUMMYFUNCTION("""COMPUTED_VALUE"""),"Yes")</f>
        <v>Yes</v>
      </c>
      <c r="Q313" s="5" t="str">
        <f ca="1">IFERROR(__xludf.DUMMYFUNCTION("""COMPUTED_VALUE"""),"Yes")</f>
        <v>Yes</v>
      </c>
      <c r="R313" s="5" t="str">
        <f ca="1">IFERROR(__xludf.DUMMYFUNCTION("""COMPUTED_VALUE"""),"No")</f>
        <v>No</v>
      </c>
      <c r="S313" s="5" t="str">
        <f ca="1">IFERROR(__xludf.DUMMYFUNCTION("""COMPUTED_VALUE"""),"No")</f>
        <v>No</v>
      </c>
      <c r="T313" s="5" t="str">
        <f ca="1">IFERROR(__xludf.DUMMYFUNCTION("""COMPUTED_VALUE"""),"No")</f>
        <v>No</v>
      </c>
      <c r="U313" s="5" t="str">
        <f ca="1">IFERROR(__xludf.DUMMYFUNCTION("""COMPUTED_VALUE"""),"No")</f>
        <v>No</v>
      </c>
      <c r="V313" s="5" t="str">
        <f ca="1">IFERROR(__xludf.DUMMYFUNCTION("""COMPUTED_VALUE"""),"No")</f>
        <v>No</v>
      </c>
      <c r="W313" s="5" t="str">
        <f ca="1">IFERROR(__xludf.DUMMYFUNCTION("""COMPUTED_VALUE"""),"No")</f>
        <v>No</v>
      </c>
      <c r="X313" s="5" t="str">
        <f ca="1">IFERROR(__xludf.DUMMYFUNCTION("""COMPUTED_VALUE"""),"No")</f>
        <v>No</v>
      </c>
      <c r="Y313" s="5" t="str">
        <f ca="1">IFERROR(__xludf.DUMMYFUNCTION("""COMPUTED_VALUE"""),"No")</f>
        <v>No</v>
      </c>
      <c r="Z313" s="5" t="str">
        <f ca="1">IFERROR(__xludf.DUMMYFUNCTION("""COMPUTED_VALUE"""),"No")</f>
        <v>No</v>
      </c>
      <c r="AA313" s="5" t="str">
        <f ca="1">IFERROR(__xludf.DUMMYFUNCTION("""COMPUTED_VALUE"""),"No")</f>
        <v>No</v>
      </c>
      <c r="AB313" s="5" t="str">
        <f ca="1">IFERROR(__xludf.DUMMYFUNCTION("""COMPUTED_VALUE"""),"Yes")</f>
        <v>Yes</v>
      </c>
      <c r="AC313" s="5" t="str">
        <f ca="1">IFERROR(__xludf.DUMMYFUNCTION("""COMPUTED_VALUE"""),"No")</f>
        <v>No</v>
      </c>
    </row>
    <row r="314" spans="1:29" x14ac:dyDescent="0.25">
      <c r="A314" s="5" t="str">
        <f ca="1">IFERROR(__xludf.DUMMYFUNCTION("""COMPUTED_VALUE"""),"WildLuckyDice")</f>
        <v>WildLuckyDice</v>
      </c>
      <c r="B3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4" s="5" t="str">
        <f ca="1">IFERROR(__xludf.DUMMYFUNCTION("""COMPUTED_VALUE"""),"Yes")</f>
        <v>Yes</v>
      </c>
      <c r="D314" s="5" t="str">
        <f ca="1">IFERROR(__xludf.DUMMYFUNCTION("""COMPUTED_VALUE"""),"Yes")</f>
        <v>Yes</v>
      </c>
      <c r="E314" s="5" t="str">
        <f ca="1">IFERROR(__xludf.DUMMYFUNCTION("""COMPUTED_VALUE"""),"Yes")</f>
        <v>Yes</v>
      </c>
      <c r="F314" s="5" t="str">
        <f ca="1">IFERROR(__xludf.DUMMYFUNCTION("""COMPUTED_VALUE"""),"Yes")</f>
        <v>Yes</v>
      </c>
      <c r="G314" s="5" t="str">
        <f ca="1">IFERROR(__xludf.DUMMYFUNCTION("""COMPUTED_VALUE"""),"Yes")</f>
        <v>Yes</v>
      </c>
      <c r="H314" s="5" t="str">
        <f ca="1">IFERROR(__xludf.DUMMYFUNCTION("""COMPUTED_VALUE"""),"Yes")</f>
        <v>Yes</v>
      </c>
      <c r="I314" s="5" t="str">
        <f ca="1">IFERROR(__xludf.DUMMYFUNCTION("""COMPUTED_VALUE"""),"Yes")</f>
        <v>Yes</v>
      </c>
      <c r="J314" s="5" t="str">
        <f ca="1">IFERROR(__xludf.DUMMYFUNCTION("""COMPUTED_VALUE"""),"Yes")</f>
        <v>Yes</v>
      </c>
      <c r="K314" s="5" t="str">
        <f ca="1">IFERROR(__xludf.DUMMYFUNCTION("""COMPUTED_VALUE"""),"Yes")</f>
        <v>Yes</v>
      </c>
      <c r="L314" s="5" t="str">
        <f ca="1">IFERROR(__xludf.DUMMYFUNCTION("""COMPUTED_VALUE"""),"Yes")</f>
        <v>Yes</v>
      </c>
      <c r="M314" s="5" t="str">
        <f ca="1">IFERROR(__xludf.DUMMYFUNCTION("""COMPUTED_VALUE"""),"Yes")</f>
        <v>Yes</v>
      </c>
      <c r="N314" s="5" t="str">
        <f ca="1">IFERROR(__xludf.DUMMYFUNCTION("""COMPUTED_VALUE"""),"Yes")</f>
        <v>Yes</v>
      </c>
      <c r="O314" s="5" t="str">
        <f ca="1">IFERROR(__xludf.DUMMYFUNCTION("""COMPUTED_VALUE"""),"Yes")</f>
        <v>Yes</v>
      </c>
      <c r="P314" s="5" t="str">
        <f ca="1">IFERROR(__xludf.DUMMYFUNCTION("""COMPUTED_VALUE"""),"Yes")</f>
        <v>Yes</v>
      </c>
      <c r="Q314" s="5" t="str">
        <f ca="1">IFERROR(__xludf.DUMMYFUNCTION("""COMPUTED_VALUE"""),"Yes")</f>
        <v>Yes</v>
      </c>
      <c r="R314" s="5" t="str">
        <f ca="1">IFERROR(__xludf.DUMMYFUNCTION("""COMPUTED_VALUE"""),"Yes")</f>
        <v>Yes</v>
      </c>
      <c r="S314" s="5" t="str">
        <f ca="1">IFERROR(__xludf.DUMMYFUNCTION("""COMPUTED_VALUE"""),"Yes")</f>
        <v>Yes</v>
      </c>
      <c r="T314" s="5" t="str">
        <f ca="1">IFERROR(__xludf.DUMMYFUNCTION("""COMPUTED_VALUE"""),"Yes")</f>
        <v>Yes</v>
      </c>
      <c r="U314" s="5" t="str">
        <f ca="1">IFERROR(__xludf.DUMMYFUNCTION("""COMPUTED_VALUE"""),"Yes")</f>
        <v>Yes</v>
      </c>
      <c r="V314" s="5" t="str">
        <f ca="1">IFERROR(__xludf.DUMMYFUNCTION("""COMPUTED_VALUE"""),"Yes")</f>
        <v>Yes</v>
      </c>
      <c r="W314" s="5" t="str">
        <f ca="1">IFERROR(__xludf.DUMMYFUNCTION("""COMPUTED_VALUE"""),"Yes")</f>
        <v>Yes</v>
      </c>
      <c r="X314" s="5" t="str">
        <f ca="1">IFERROR(__xludf.DUMMYFUNCTION("""COMPUTED_VALUE"""),"Yes")</f>
        <v>Yes</v>
      </c>
      <c r="Y314" s="5" t="str">
        <f ca="1">IFERROR(__xludf.DUMMYFUNCTION("""COMPUTED_VALUE"""),"Yes")</f>
        <v>Yes</v>
      </c>
      <c r="Z314" s="5" t="str">
        <f ca="1">IFERROR(__xludf.DUMMYFUNCTION("""COMPUTED_VALUE"""),"Yes")</f>
        <v>Yes</v>
      </c>
      <c r="AA314" s="5" t="str">
        <f ca="1">IFERROR(__xludf.DUMMYFUNCTION("""COMPUTED_VALUE"""),"Yes")</f>
        <v>Yes</v>
      </c>
      <c r="AB314" s="5" t="str">
        <f ca="1">IFERROR(__xludf.DUMMYFUNCTION("""COMPUTED_VALUE"""),"Yes")</f>
        <v>Yes</v>
      </c>
      <c r="AC314" s="5" t="str">
        <f ca="1">IFERROR(__xludf.DUMMYFUNCTION("""COMPUTED_VALUE"""),"No")</f>
        <v>No</v>
      </c>
    </row>
    <row r="315" spans="1:29" x14ac:dyDescent="0.25">
      <c r="A315" s="5" t="str">
        <f ca="1">IFERROR(__xludf.DUMMYFUNCTION("""COMPUTED_VALUE"""),"EggspandingRush")</f>
        <v>EggspandingRush</v>
      </c>
      <c r="B3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5" s="5" t="str">
        <f ca="1">IFERROR(__xludf.DUMMYFUNCTION("""COMPUTED_VALUE"""),"Yes")</f>
        <v>Yes</v>
      </c>
      <c r="D315" s="5" t="str">
        <f ca="1">IFERROR(__xludf.DUMMYFUNCTION("""COMPUTED_VALUE"""),"Yes")</f>
        <v>Yes</v>
      </c>
      <c r="E315" s="5" t="str">
        <f ca="1">IFERROR(__xludf.DUMMYFUNCTION("""COMPUTED_VALUE"""),"Yes")</f>
        <v>Yes</v>
      </c>
      <c r="F315" s="5" t="str">
        <f ca="1">IFERROR(__xludf.DUMMYFUNCTION("""COMPUTED_VALUE"""),"Yes")</f>
        <v>Yes</v>
      </c>
      <c r="G315" s="5" t="str">
        <f ca="1">IFERROR(__xludf.DUMMYFUNCTION("""COMPUTED_VALUE"""),"Yes")</f>
        <v>Yes</v>
      </c>
      <c r="H315" s="5" t="str">
        <f ca="1">IFERROR(__xludf.DUMMYFUNCTION("""COMPUTED_VALUE"""),"Yes")</f>
        <v>Yes</v>
      </c>
      <c r="I315" s="5" t="str">
        <f ca="1">IFERROR(__xludf.DUMMYFUNCTION("""COMPUTED_VALUE"""),"Yes")</f>
        <v>Yes</v>
      </c>
      <c r="J315" s="5" t="str">
        <f ca="1">IFERROR(__xludf.DUMMYFUNCTION("""COMPUTED_VALUE"""),"Yes")</f>
        <v>Yes</v>
      </c>
      <c r="K315" s="5" t="str">
        <f ca="1">IFERROR(__xludf.DUMMYFUNCTION("""COMPUTED_VALUE"""),"Yes")</f>
        <v>Yes</v>
      </c>
      <c r="L315" s="5" t="str">
        <f ca="1">IFERROR(__xludf.DUMMYFUNCTION("""COMPUTED_VALUE"""),"Yes")</f>
        <v>Yes</v>
      </c>
      <c r="M315" s="5" t="str">
        <f ca="1">IFERROR(__xludf.DUMMYFUNCTION("""COMPUTED_VALUE"""),"Yes")</f>
        <v>Yes</v>
      </c>
      <c r="N315" s="5" t="str">
        <f ca="1">IFERROR(__xludf.DUMMYFUNCTION("""COMPUTED_VALUE"""),"Yes")</f>
        <v>Yes</v>
      </c>
      <c r="O315" s="5" t="str">
        <f ca="1">IFERROR(__xludf.DUMMYFUNCTION("""COMPUTED_VALUE"""),"Yes")</f>
        <v>Yes</v>
      </c>
      <c r="P315" s="5" t="str">
        <f ca="1">IFERROR(__xludf.DUMMYFUNCTION("""COMPUTED_VALUE"""),"Yes")</f>
        <v>Yes</v>
      </c>
      <c r="Q315" s="5" t="str">
        <f ca="1">IFERROR(__xludf.DUMMYFUNCTION("""COMPUTED_VALUE"""),"Yes")</f>
        <v>Yes</v>
      </c>
      <c r="R315" s="5" t="str">
        <f ca="1">IFERROR(__xludf.DUMMYFUNCTION("""COMPUTED_VALUE"""),"Yes")</f>
        <v>Yes</v>
      </c>
      <c r="S315" s="5" t="str">
        <f ca="1">IFERROR(__xludf.DUMMYFUNCTION("""COMPUTED_VALUE"""),"Yes")</f>
        <v>Yes</v>
      </c>
      <c r="T315" s="5" t="str">
        <f ca="1">IFERROR(__xludf.DUMMYFUNCTION("""COMPUTED_VALUE"""),"Yes")</f>
        <v>Yes</v>
      </c>
      <c r="U315" s="5" t="str">
        <f ca="1">IFERROR(__xludf.DUMMYFUNCTION("""COMPUTED_VALUE"""),"Yes")</f>
        <v>Yes</v>
      </c>
      <c r="V315" s="5" t="str">
        <f ca="1">IFERROR(__xludf.DUMMYFUNCTION("""COMPUTED_VALUE"""),"Yes")</f>
        <v>Yes</v>
      </c>
      <c r="W315" s="5" t="str">
        <f ca="1">IFERROR(__xludf.DUMMYFUNCTION("""COMPUTED_VALUE"""),"Yes")</f>
        <v>Yes</v>
      </c>
      <c r="X315" s="5" t="str">
        <f ca="1">IFERROR(__xludf.DUMMYFUNCTION("""COMPUTED_VALUE"""),"Yes")</f>
        <v>Yes</v>
      </c>
      <c r="Y315" s="5" t="str">
        <f ca="1">IFERROR(__xludf.DUMMYFUNCTION("""COMPUTED_VALUE"""),"Yes")</f>
        <v>Yes</v>
      </c>
      <c r="Z315" s="5" t="str">
        <f ca="1">IFERROR(__xludf.DUMMYFUNCTION("""COMPUTED_VALUE"""),"Yes")</f>
        <v>Yes</v>
      </c>
      <c r="AA315" s="5" t="str">
        <f ca="1">IFERROR(__xludf.DUMMYFUNCTION("""COMPUTED_VALUE"""),"Yes")</f>
        <v>Yes</v>
      </c>
      <c r="AB315" s="5" t="str">
        <f ca="1">IFERROR(__xludf.DUMMYFUNCTION("""COMPUTED_VALUE"""),"Yes")</f>
        <v>Yes</v>
      </c>
      <c r="AC315" s="5" t="str">
        <f ca="1">IFERROR(__xludf.DUMMYFUNCTION("""COMPUTED_VALUE"""),"No")</f>
        <v>No</v>
      </c>
    </row>
    <row r="316" spans="1:29" x14ac:dyDescent="0.25">
      <c r="A316" s="5" t="str">
        <f ca="1">IFERROR(__xludf.DUMMYFUNCTION("""COMPUTED_VALUE"""),"MozzartWild40")</f>
        <v>MozzartWild40</v>
      </c>
      <c r="B3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6" s="5" t="str">
        <f ca="1">IFERROR(__xludf.DUMMYFUNCTION("""COMPUTED_VALUE"""),"Yes")</f>
        <v>Yes</v>
      </c>
      <c r="D316" s="5" t="str">
        <f ca="1">IFERROR(__xludf.DUMMYFUNCTION("""COMPUTED_VALUE"""),"Yes")</f>
        <v>Yes</v>
      </c>
      <c r="E316" s="5" t="str">
        <f ca="1">IFERROR(__xludf.DUMMYFUNCTION("""COMPUTED_VALUE"""),"Yes")</f>
        <v>Yes</v>
      </c>
      <c r="F316" s="5" t="str">
        <f ca="1">IFERROR(__xludf.DUMMYFUNCTION("""COMPUTED_VALUE"""),"Yes")</f>
        <v>Yes</v>
      </c>
      <c r="G316" s="5" t="str">
        <f ca="1">IFERROR(__xludf.DUMMYFUNCTION("""COMPUTED_VALUE"""),"Yes")</f>
        <v>Yes</v>
      </c>
      <c r="H316" s="5" t="str">
        <f ca="1">IFERROR(__xludf.DUMMYFUNCTION("""COMPUTED_VALUE"""),"Yes")</f>
        <v>Yes</v>
      </c>
      <c r="I316" s="5" t="str">
        <f ca="1">IFERROR(__xludf.DUMMYFUNCTION("""COMPUTED_VALUE"""),"Yes")</f>
        <v>Yes</v>
      </c>
      <c r="J316" s="5" t="str">
        <f ca="1">IFERROR(__xludf.DUMMYFUNCTION("""COMPUTED_VALUE"""),"Yes")</f>
        <v>Yes</v>
      </c>
      <c r="K316" s="5" t="str">
        <f ca="1">IFERROR(__xludf.DUMMYFUNCTION("""COMPUTED_VALUE"""),"Yes")</f>
        <v>Yes</v>
      </c>
      <c r="L316" s="5" t="str">
        <f ca="1">IFERROR(__xludf.DUMMYFUNCTION("""COMPUTED_VALUE"""),"Yes")</f>
        <v>Yes</v>
      </c>
      <c r="M316" s="5" t="str">
        <f ca="1">IFERROR(__xludf.DUMMYFUNCTION("""COMPUTED_VALUE"""),"Yes")</f>
        <v>Yes</v>
      </c>
      <c r="N316" s="5" t="str">
        <f ca="1">IFERROR(__xludf.DUMMYFUNCTION("""COMPUTED_VALUE"""),"Yes")</f>
        <v>Yes</v>
      </c>
      <c r="O316" s="5" t="str">
        <f ca="1">IFERROR(__xludf.DUMMYFUNCTION("""COMPUTED_VALUE"""),"Yes")</f>
        <v>Yes</v>
      </c>
      <c r="P316" s="5" t="str">
        <f ca="1">IFERROR(__xludf.DUMMYFUNCTION("""COMPUTED_VALUE"""),"Yes")</f>
        <v>Yes</v>
      </c>
      <c r="Q316" s="5" t="str">
        <f ca="1">IFERROR(__xludf.DUMMYFUNCTION("""COMPUTED_VALUE"""),"Yes")</f>
        <v>Yes</v>
      </c>
      <c r="R316" s="5" t="str">
        <f ca="1">IFERROR(__xludf.DUMMYFUNCTION("""COMPUTED_VALUE"""),"Yes")</f>
        <v>Yes</v>
      </c>
      <c r="S316" s="5" t="str">
        <f ca="1">IFERROR(__xludf.DUMMYFUNCTION("""COMPUTED_VALUE"""),"Yes")</f>
        <v>Yes</v>
      </c>
      <c r="T316" s="5" t="str">
        <f ca="1">IFERROR(__xludf.DUMMYFUNCTION("""COMPUTED_VALUE"""),"Yes")</f>
        <v>Yes</v>
      </c>
      <c r="U316" s="5" t="str">
        <f ca="1">IFERROR(__xludf.DUMMYFUNCTION("""COMPUTED_VALUE"""),"Yes")</f>
        <v>Yes</v>
      </c>
      <c r="V316" s="5" t="str">
        <f ca="1">IFERROR(__xludf.DUMMYFUNCTION("""COMPUTED_VALUE"""),"Yes")</f>
        <v>Yes</v>
      </c>
      <c r="W316" s="5" t="str">
        <f ca="1">IFERROR(__xludf.DUMMYFUNCTION("""COMPUTED_VALUE"""),"Yes")</f>
        <v>Yes</v>
      </c>
      <c r="X316" s="5" t="str">
        <f ca="1">IFERROR(__xludf.DUMMYFUNCTION("""COMPUTED_VALUE"""),"Yes")</f>
        <v>Yes</v>
      </c>
      <c r="Y316" s="5" t="str">
        <f ca="1">IFERROR(__xludf.DUMMYFUNCTION("""COMPUTED_VALUE"""),"Yes")</f>
        <v>Yes</v>
      </c>
      <c r="Z316" s="5" t="str">
        <f ca="1">IFERROR(__xludf.DUMMYFUNCTION("""COMPUTED_VALUE"""),"Yes")</f>
        <v>Yes</v>
      </c>
      <c r="AA316" s="5" t="str">
        <f ca="1">IFERROR(__xludf.DUMMYFUNCTION("""COMPUTED_VALUE"""),"Yes")</f>
        <v>Yes</v>
      </c>
      <c r="AB316" s="5" t="str">
        <f ca="1">IFERROR(__xludf.DUMMYFUNCTION("""COMPUTED_VALUE"""),"Yes")</f>
        <v>Yes</v>
      </c>
      <c r="AC316" s="5" t="str">
        <f ca="1">IFERROR(__xludf.DUMMYFUNCTION("""COMPUTED_VALUE"""),"No")</f>
        <v>No</v>
      </c>
    </row>
    <row r="317" spans="1:29" x14ac:dyDescent="0.25">
      <c r="A317" s="5" t="str">
        <f ca="1">IFERROR(__xludf.DUMMYFUNCTION("""COMPUTED_VALUE"""),"MozzartFruits")</f>
        <v>MozzartFruits</v>
      </c>
      <c r="B3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7" s="5" t="str">
        <f ca="1">IFERROR(__xludf.DUMMYFUNCTION("""COMPUTED_VALUE"""),"Yes")</f>
        <v>Yes</v>
      </c>
      <c r="D317" s="5" t="str">
        <f ca="1">IFERROR(__xludf.DUMMYFUNCTION("""COMPUTED_VALUE"""),"Yes")</f>
        <v>Yes</v>
      </c>
      <c r="E317" s="5" t="str">
        <f ca="1">IFERROR(__xludf.DUMMYFUNCTION("""COMPUTED_VALUE"""),"Yes")</f>
        <v>Yes</v>
      </c>
      <c r="F317" s="5" t="str">
        <f ca="1">IFERROR(__xludf.DUMMYFUNCTION("""COMPUTED_VALUE"""),"Yes")</f>
        <v>Yes</v>
      </c>
      <c r="G317" s="5" t="str">
        <f ca="1">IFERROR(__xludf.DUMMYFUNCTION("""COMPUTED_VALUE"""),"Yes")</f>
        <v>Yes</v>
      </c>
      <c r="H317" s="5" t="str">
        <f ca="1">IFERROR(__xludf.DUMMYFUNCTION("""COMPUTED_VALUE"""),"Yes")</f>
        <v>Yes</v>
      </c>
      <c r="I317" s="5" t="str">
        <f ca="1">IFERROR(__xludf.DUMMYFUNCTION("""COMPUTED_VALUE"""),"Yes")</f>
        <v>Yes</v>
      </c>
      <c r="J317" s="5" t="str">
        <f ca="1">IFERROR(__xludf.DUMMYFUNCTION("""COMPUTED_VALUE"""),"Yes")</f>
        <v>Yes</v>
      </c>
      <c r="K317" s="5" t="str">
        <f ca="1">IFERROR(__xludf.DUMMYFUNCTION("""COMPUTED_VALUE"""),"Yes")</f>
        <v>Yes</v>
      </c>
      <c r="L317" s="5" t="str">
        <f ca="1">IFERROR(__xludf.DUMMYFUNCTION("""COMPUTED_VALUE"""),"Yes")</f>
        <v>Yes</v>
      </c>
      <c r="M317" s="5" t="str">
        <f ca="1">IFERROR(__xludf.DUMMYFUNCTION("""COMPUTED_VALUE"""),"Yes")</f>
        <v>Yes</v>
      </c>
      <c r="N317" s="5" t="str">
        <f ca="1">IFERROR(__xludf.DUMMYFUNCTION("""COMPUTED_VALUE"""),"Yes")</f>
        <v>Yes</v>
      </c>
      <c r="O317" s="5" t="str">
        <f ca="1">IFERROR(__xludf.DUMMYFUNCTION("""COMPUTED_VALUE"""),"Yes")</f>
        <v>Yes</v>
      </c>
      <c r="P317" s="5" t="str">
        <f ca="1">IFERROR(__xludf.DUMMYFUNCTION("""COMPUTED_VALUE"""),"Yes")</f>
        <v>Yes</v>
      </c>
      <c r="Q317" s="5" t="str">
        <f ca="1">IFERROR(__xludf.DUMMYFUNCTION("""COMPUTED_VALUE"""),"Yes")</f>
        <v>Yes</v>
      </c>
      <c r="R317" s="5" t="str">
        <f ca="1">IFERROR(__xludf.DUMMYFUNCTION("""COMPUTED_VALUE"""),"Yes")</f>
        <v>Yes</v>
      </c>
      <c r="S317" s="5" t="str">
        <f ca="1">IFERROR(__xludf.DUMMYFUNCTION("""COMPUTED_VALUE"""),"Yes")</f>
        <v>Yes</v>
      </c>
      <c r="T317" s="5" t="str">
        <f ca="1">IFERROR(__xludf.DUMMYFUNCTION("""COMPUTED_VALUE"""),"Yes")</f>
        <v>Yes</v>
      </c>
      <c r="U317" s="5" t="str">
        <f ca="1">IFERROR(__xludf.DUMMYFUNCTION("""COMPUTED_VALUE"""),"Yes")</f>
        <v>Yes</v>
      </c>
      <c r="V317" s="5" t="str">
        <f ca="1">IFERROR(__xludf.DUMMYFUNCTION("""COMPUTED_VALUE"""),"Yes")</f>
        <v>Yes</v>
      </c>
      <c r="W317" s="5" t="str">
        <f ca="1">IFERROR(__xludf.DUMMYFUNCTION("""COMPUTED_VALUE"""),"Yes")</f>
        <v>Yes</v>
      </c>
      <c r="X317" s="5" t="str">
        <f ca="1">IFERROR(__xludf.DUMMYFUNCTION("""COMPUTED_VALUE"""),"Yes")</f>
        <v>Yes</v>
      </c>
      <c r="Y317" s="5" t="str">
        <f ca="1">IFERROR(__xludf.DUMMYFUNCTION("""COMPUTED_VALUE"""),"Yes")</f>
        <v>Yes</v>
      </c>
      <c r="Z317" s="5" t="str">
        <f ca="1">IFERROR(__xludf.DUMMYFUNCTION("""COMPUTED_VALUE"""),"Yes")</f>
        <v>Yes</v>
      </c>
      <c r="AA317" s="5" t="str">
        <f ca="1">IFERROR(__xludf.DUMMYFUNCTION("""COMPUTED_VALUE"""),"Yes")</f>
        <v>Yes</v>
      </c>
      <c r="AB317" s="5" t="str">
        <f ca="1">IFERROR(__xludf.DUMMYFUNCTION("""COMPUTED_VALUE"""),"Yes")</f>
        <v>Yes</v>
      </c>
      <c r="AC317" s="5" t="str">
        <f ca="1">IFERROR(__xludf.DUMMYFUNCTION("""COMPUTED_VALUE"""),"No")</f>
        <v>No</v>
      </c>
    </row>
    <row r="318" spans="1:29" x14ac:dyDescent="0.25">
      <c r="A318" s="5" t="str">
        <f ca="1">IFERROR(__xludf.DUMMYFUNCTION("""COMPUTED_VALUE"""),"MozzartHeat")</f>
        <v>MozzartHeat</v>
      </c>
      <c r="B3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8" s="5" t="str">
        <f ca="1">IFERROR(__xludf.DUMMYFUNCTION("""COMPUTED_VALUE"""),"Yes")</f>
        <v>Yes</v>
      </c>
      <c r="D318" s="5" t="str">
        <f ca="1">IFERROR(__xludf.DUMMYFUNCTION("""COMPUTED_VALUE"""),"Yes")</f>
        <v>Yes</v>
      </c>
      <c r="E318" s="5" t="str">
        <f ca="1">IFERROR(__xludf.DUMMYFUNCTION("""COMPUTED_VALUE"""),"Yes")</f>
        <v>Yes</v>
      </c>
      <c r="F318" s="5" t="str">
        <f ca="1">IFERROR(__xludf.DUMMYFUNCTION("""COMPUTED_VALUE"""),"Yes")</f>
        <v>Yes</v>
      </c>
      <c r="G318" s="5" t="str">
        <f ca="1">IFERROR(__xludf.DUMMYFUNCTION("""COMPUTED_VALUE"""),"Yes")</f>
        <v>Yes</v>
      </c>
      <c r="H318" s="5" t="str">
        <f ca="1">IFERROR(__xludf.DUMMYFUNCTION("""COMPUTED_VALUE"""),"Yes")</f>
        <v>Yes</v>
      </c>
      <c r="I318" s="5" t="str">
        <f ca="1">IFERROR(__xludf.DUMMYFUNCTION("""COMPUTED_VALUE"""),"Yes")</f>
        <v>Yes</v>
      </c>
      <c r="J318" s="5" t="str">
        <f ca="1">IFERROR(__xludf.DUMMYFUNCTION("""COMPUTED_VALUE"""),"Yes")</f>
        <v>Yes</v>
      </c>
      <c r="K318" s="5" t="str">
        <f ca="1">IFERROR(__xludf.DUMMYFUNCTION("""COMPUTED_VALUE"""),"Yes")</f>
        <v>Yes</v>
      </c>
      <c r="L318" s="5" t="str">
        <f ca="1">IFERROR(__xludf.DUMMYFUNCTION("""COMPUTED_VALUE"""),"Yes")</f>
        <v>Yes</v>
      </c>
      <c r="M318" s="5" t="str">
        <f ca="1">IFERROR(__xludf.DUMMYFUNCTION("""COMPUTED_VALUE"""),"Yes")</f>
        <v>Yes</v>
      </c>
      <c r="N318" s="5" t="str">
        <f ca="1">IFERROR(__xludf.DUMMYFUNCTION("""COMPUTED_VALUE"""),"Yes")</f>
        <v>Yes</v>
      </c>
      <c r="O318" s="5" t="str">
        <f ca="1">IFERROR(__xludf.DUMMYFUNCTION("""COMPUTED_VALUE"""),"Yes")</f>
        <v>Yes</v>
      </c>
      <c r="P318" s="5" t="str">
        <f ca="1">IFERROR(__xludf.DUMMYFUNCTION("""COMPUTED_VALUE"""),"Yes")</f>
        <v>Yes</v>
      </c>
      <c r="Q318" s="5" t="str">
        <f ca="1">IFERROR(__xludf.DUMMYFUNCTION("""COMPUTED_VALUE"""),"Yes")</f>
        <v>Yes</v>
      </c>
      <c r="R318" s="5" t="str">
        <f ca="1">IFERROR(__xludf.DUMMYFUNCTION("""COMPUTED_VALUE"""),"Yes")</f>
        <v>Yes</v>
      </c>
      <c r="S318" s="5" t="str">
        <f ca="1">IFERROR(__xludf.DUMMYFUNCTION("""COMPUTED_VALUE"""),"Yes")</f>
        <v>Yes</v>
      </c>
      <c r="T318" s="5" t="str">
        <f ca="1">IFERROR(__xludf.DUMMYFUNCTION("""COMPUTED_VALUE"""),"Yes")</f>
        <v>Yes</v>
      </c>
      <c r="U318" s="5" t="str">
        <f ca="1">IFERROR(__xludf.DUMMYFUNCTION("""COMPUTED_VALUE"""),"Yes")</f>
        <v>Yes</v>
      </c>
      <c r="V318" s="5" t="str">
        <f ca="1">IFERROR(__xludf.DUMMYFUNCTION("""COMPUTED_VALUE"""),"Yes")</f>
        <v>Yes</v>
      </c>
      <c r="W318" s="5" t="str">
        <f ca="1">IFERROR(__xludf.DUMMYFUNCTION("""COMPUTED_VALUE"""),"Yes")</f>
        <v>Yes</v>
      </c>
      <c r="X318" s="5" t="str">
        <f ca="1">IFERROR(__xludf.DUMMYFUNCTION("""COMPUTED_VALUE"""),"Yes")</f>
        <v>Yes</v>
      </c>
      <c r="Y318" s="5" t="str">
        <f ca="1">IFERROR(__xludf.DUMMYFUNCTION("""COMPUTED_VALUE"""),"Yes")</f>
        <v>Yes</v>
      </c>
      <c r="Z318" s="5" t="str">
        <f ca="1">IFERROR(__xludf.DUMMYFUNCTION("""COMPUTED_VALUE"""),"Yes")</f>
        <v>Yes</v>
      </c>
      <c r="AA318" s="5" t="str">
        <f ca="1">IFERROR(__xludf.DUMMYFUNCTION("""COMPUTED_VALUE"""),"Yes")</f>
        <v>Yes</v>
      </c>
      <c r="AB318" s="5" t="str">
        <f ca="1">IFERROR(__xludf.DUMMYFUNCTION("""COMPUTED_VALUE"""),"Yes")</f>
        <v>Yes</v>
      </c>
      <c r="AC318" s="5" t="str">
        <f ca="1">IFERROR(__xludf.DUMMYFUNCTION("""COMPUTED_VALUE"""),"No")</f>
        <v>No</v>
      </c>
    </row>
    <row r="319" spans="1:29" x14ac:dyDescent="0.25">
      <c r="A319" s="5" t="str">
        <f ca="1">IFERROR(__xludf.DUMMYFUNCTION("""COMPUTED_VALUE"""),"CrystalsOfMozzart")</f>
        <v>CrystalsOfMozzart</v>
      </c>
      <c r="B3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9" s="5" t="str">
        <f ca="1">IFERROR(__xludf.DUMMYFUNCTION("""COMPUTED_VALUE"""),"Yes")</f>
        <v>Yes</v>
      </c>
      <c r="D319" s="5" t="str">
        <f ca="1">IFERROR(__xludf.DUMMYFUNCTION("""COMPUTED_VALUE"""),"Yes")</f>
        <v>Yes</v>
      </c>
      <c r="E319" s="5" t="str">
        <f ca="1">IFERROR(__xludf.DUMMYFUNCTION("""COMPUTED_VALUE"""),"Yes")</f>
        <v>Yes</v>
      </c>
      <c r="F319" s="5" t="str">
        <f ca="1">IFERROR(__xludf.DUMMYFUNCTION("""COMPUTED_VALUE"""),"Yes")</f>
        <v>Yes</v>
      </c>
      <c r="G319" s="5" t="str">
        <f ca="1">IFERROR(__xludf.DUMMYFUNCTION("""COMPUTED_VALUE"""),"Yes")</f>
        <v>Yes</v>
      </c>
      <c r="H319" s="5" t="str">
        <f ca="1">IFERROR(__xludf.DUMMYFUNCTION("""COMPUTED_VALUE"""),"Yes")</f>
        <v>Yes</v>
      </c>
      <c r="I319" s="5" t="str">
        <f ca="1">IFERROR(__xludf.DUMMYFUNCTION("""COMPUTED_VALUE"""),"Yes")</f>
        <v>Yes</v>
      </c>
      <c r="J319" s="5" t="str">
        <f ca="1">IFERROR(__xludf.DUMMYFUNCTION("""COMPUTED_VALUE"""),"Yes")</f>
        <v>Yes</v>
      </c>
      <c r="K319" s="5" t="str">
        <f ca="1">IFERROR(__xludf.DUMMYFUNCTION("""COMPUTED_VALUE"""),"Yes")</f>
        <v>Yes</v>
      </c>
      <c r="L319" s="5" t="str">
        <f ca="1">IFERROR(__xludf.DUMMYFUNCTION("""COMPUTED_VALUE"""),"Yes")</f>
        <v>Yes</v>
      </c>
      <c r="M319" s="5" t="str">
        <f ca="1">IFERROR(__xludf.DUMMYFUNCTION("""COMPUTED_VALUE"""),"Yes")</f>
        <v>Yes</v>
      </c>
      <c r="N319" s="5" t="str">
        <f ca="1">IFERROR(__xludf.DUMMYFUNCTION("""COMPUTED_VALUE"""),"Yes")</f>
        <v>Yes</v>
      </c>
      <c r="O319" s="5" t="str">
        <f ca="1">IFERROR(__xludf.DUMMYFUNCTION("""COMPUTED_VALUE"""),"Yes")</f>
        <v>Yes</v>
      </c>
      <c r="P319" s="5" t="str">
        <f ca="1">IFERROR(__xludf.DUMMYFUNCTION("""COMPUTED_VALUE"""),"Yes")</f>
        <v>Yes</v>
      </c>
      <c r="Q319" s="5" t="str">
        <f ca="1">IFERROR(__xludf.DUMMYFUNCTION("""COMPUTED_VALUE"""),"Yes")</f>
        <v>Yes</v>
      </c>
      <c r="R319" s="5" t="str">
        <f ca="1">IFERROR(__xludf.DUMMYFUNCTION("""COMPUTED_VALUE"""),"Yes")</f>
        <v>Yes</v>
      </c>
      <c r="S319" s="5" t="str">
        <f ca="1">IFERROR(__xludf.DUMMYFUNCTION("""COMPUTED_VALUE"""),"Yes")</f>
        <v>Yes</v>
      </c>
      <c r="T319" s="5" t="str">
        <f ca="1">IFERROR(__xludf.DUMMYFUNCTION("""COMPUTED_VALUE"""),"Yes")</f>
        <v>Yes</v>
      </c>
      <c r="U319" s="5" t="str">
        <f ca="1">IFERROR(__xludf.DUMMYFUNCTION("""COMPUTED_VALUE"""),"Yes")</f>
        <v>Yes</v>
      </c>
      <c r="V319" s="5" t="str">
        <f ca="1">IFERROR(__xludf.DUMMYFUNCTION("""COMPUTED_VALUE"""),"Yes")</f>
        <v>Yes</v>
      </c>
      <c r="W319" s="5" t="str">
        <f ca="1">IFERROR(__xludf.DUMMYFUNCTION("""COMPUTED_VALUE"""),"Yes")</f>
        <v>Yes</v>
      </c>
      <c r="X319" s="5" t="str">
        <f ca="1">IFERROR(__xludf.DUMMYFUNCTION("""COMPUTED_VALUE"""),"Yes")</f>
        <v>Yes</v>
      </c>
      <c r="Y319" s="5" t="str">
        <f ca="1">IFERROR(__xludf.DUMMYFUNCTION("""COMPUTED_VALUE"""),"Yes")</f>
        <v>Yes</v>
      </c>
      <c r="Z319" s="5" t="str">
        <f ca="1">IFERROR(__xludf.DUMMYFUNCTION("""COMPUTED_VALUE"""),"Yes")</f>
        <v>Yes</v>
      </c>
      <c r="AA319" s="5" t="str">
        <f ca="1">IFERROR(__xludf.DUMMYFUNCTION("""COMPUTED_VALUE"""),"Yes")</f>
        <v>Yes</v>
      </c>
      <c r="AB319" s="5" t="str">
        <f ca="1">IFERROR(__xludf.DUMMYFUNCTION("""COMPUTED_VALUE"""),"Yes")</f>
        <v>Yes</v>
      </c>
      <c r="AC319" s="5" t="str">
        <f ca="1">IFERROR(__xludf.DUMMYFUNCTION("""COMPUTED_VALUE"""),"No")</f>
        <v>No</v>
      </c>
    </row>
    <row r="320" spans="1:29" x14ac:dyDescent="0.25">
      <c r="A320" s="5" t="str">
        <f ca="1">IFERROR(__xludf.DUMMYFUNCTION("""COMPUTED_VALUE"""),"VintageFruits40")</f>
        <v>VintageFruits40</v>
      </c>
      <c r="B3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0" s="5" t="str">
        <f ca="1">IFERROR(__xludf.DUMMYFUNCTION("""COMPUTED_VALUE"""),"Yes")</f>
        <v>Yes</v>
      </c>
      <c r="D320" s="5" t="str">
        <f ca="1">IFERROR(__xludf.DUMMYFUNCTION("""COMPUTED_VALUE"""),"Yes")</f>
        <v>Yes</v>
      </c>
      <c r="E320" s="5" t="str">
        <f ca="1">IFERROR(__xludf.DUMMYFUNCTION("""COMPUTED_VALUE"""),"Yes")</f>
        <v>Yes</v>
      </c>
      <c r="F320" s="5" t="str">
        <f ca="1">IFERROR(__xludf.DUMMYFUNCTION("""COMPUTED_VALUE"""),"Yes")</f>
        <v>Yes</v>
      </c>
      <c r="G320" s="5" t="str">
        <f ca="1">IFERROR(__xludf.DUMMYFUNCTION("""COMPUTED_VALUE"""),"Yes")</f>
        <v>Yes</v>
      </c>
      <c r="H320" s="5" t="str">
        <f ca="1">IFERROR(__xludf.DUMMYFUNCTION("""COMPUTED_VALUE"""),"Yes")</f>
        <v>Yes</v>
      </c>
      <c r="I320" s="5" t="str">
        <f ca="1">IFERROR(__xludf.DUMMYFUNCTION("""COMPUTED_VALUE"""),"Yes")</f>
        <v>Yes</v>
      </c>
      <c r="J320" s="5" t="str">
        <f ca="1">IFERROR(__xludf.DUMMYFUNCTION("""COMPUTED_VALUE"""),"Yes")</f>
        <v>Yes</v>
      </c>
      <c r="K320" s="5" t="str">
        <f ca="1">IFERROR(__xludf.DUMMYFUNCTION("""COMPUTED_VALUE"""),"Yes")</f>
        <v>Yes</v>
      </c>
      <c r="L320" s="5" t="str">
        <f ca="1">IFERROR(__xludf.DUMMYFUNCTION("""COMPUTED_VALUE"""),"Yes")</f>
        <v>Yes</v>
      </c>
      <c r="M320" s="5" t="str">
        <f ca="1">IFERROR(__xludf.DUMMYFUNCTION("""COMPUTED_VALUE"""),"Yes")</f>
        <v>Yes</v>
      </c>
      <c r="N320" s="5" t="str">
        <f ca="1">IFERROR(__xludf.DUMMYFUNCTION("""COMPUTED_VALUE"""),"Yes")</f>
        <v>Yes</v>
      </c>
      <c r="O320" s="5" t="str">
        <f ca="1">IFERROR(__xludf.DUMMYFUNCTION("""COMPUTED_VALUE"""),"Yes")</f>
        <v>Yes</v>
      </c>
      <c r="P320" s="5" t="str">
        <f ca="1">IFERROR(__xludf.DUMMYFUNCTION("""COMPUTED_VALUE"""),"Yes")</f>
        <v>Yes</v>
      </c>
      <c r="Q320" s="5" t="str">
        <f ca="1">IFERROR(__xludf.DUMMYFUNCTION("""COMPUTED_VALUE"""),"Yes")</f>
        <v>Yes</v>
      </c>
      <c r="R320" s="5" t="str">
        <f ca="1">IFERROR(__xludf.DUMMYFUNCTION("""COMPUTED_VALUE"""),"Yes")</f>
        <v>Yes</v>
      </c>
      <c r="S320" s="5" t="str">
        <f ca="1">IFERROR(__xludf.DUMMYFUNCTION("""COMPUTED_VALUE"""),"Yes")</f>
        <v>Yes</v>
      </c>
      <c r="T320" s="5" t="str">
        <f ca="1">IFERROR(__xludf.DUMMYFUNCTION("""COMPUTED_VALUE"""),"Yes")</f>
        <v>Yes</v>
      </c>
      <c r="U320" s="5" t="str">
        <f ca="1">IFERROR(__xludf.DUMMYFUNCTION("""COMPUTED_VALUE"""),"Yes")</f>
        <v>Yes</v>
      </c>
      <c r="V320" s="5" t="str">
        <f ca="1">IFERROR(__xludf.DUMMYFUNCTION("""COMPUTED_VALUE"""),"Yes")</f>
        <v>Yes</v>
      </c>
      <c r="W320" s="5" t="str">
        <f ca="1">IFERROR(__xludf.DUMMYFUNCTION("""COMPUTED_VALUE"""),"Yes")</f>
        <v>Yes</v>
      </c>
      <c r="X320" s="5" t="str">
        <f ca="1">IFERROR(__xludf.DUMMYFUNCTION("""COMPUTED_VALUE"""),"Yes")</f>
        <v>Yes</v>
      </c>
      <c r="Y320" s="5" t="str">
        <f ca="1">IFERROR(__xludf.DUMMYFUNCTION("""COMPUTED_VALUE"""),"Yes")</f>
        <v>Yes</v>
      </c>
      <c r="Z320" s="5" t="str">
        <f ca="1">IFERROR(__xludf.DUMMYFUNCTION("""COMPUTED_VALUE"""),"Yes")</f>
        <v>Yes</v>
      </c>
      <c r="AA320" s="5" t="str">
        <f ca="1">IFERROR(__xludf.DUMMYFUNCTION("""COMPUTED_VALUE"""),"Yes")</f>
        <v>Yes</v>
      </c>
      <c r="AB320" s="5" t="str">
        <f ca="1">IFERROR(__xludf.DUMMYFUNCTION("""COMPUTED_VALUE"""),"Yes")</f>
        <v>Yes</v>
      </c>
      <c r="AC320" s="5" t="str">
        <f ca="1">IFERROR(__xludf.DUMMYFUNCTION("""COMPUTED_VALUE"""),"No")</f>
        <v>No</v>
      </c>
    </row>
    <row r="321" spans="1:29" x14ac:dyDescent="0.25">
      <c r="A321" s="5" t="str">
        <f ca="1">IFERROR(__xludf.DUMMYFUNCTION("""COMPUTED_VALUE"""),"SummerRush")</f>
        <v>SummerRush</v>
      </c>
      <c r="B3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1" s="5" t="str">
        <f ca="1">IFERROR(__xludf.DUMMYFUNCTION("""COMPUTED_VALUE"""),"Yes")</f>
        <v>Yes</v>
      </c>
      <c r="D321" s="5" t="str">
        <f ca="1">IFERROR(__xludf.DUMMYFUNCTION("""COMPUTED_VALUE"""),"Yes")</f>
        <v>Yes</v>
      </c>
      <c r="E321" s="5" t="str">
        <f ca="1">IFERROR(__xludf.DUMMYFUNCTION("""COMPUTED_VALUE"""),"Yes")</f>
        <v>Yes</v>
      </c>
      <c r="F321" s="5" t="str">
        <f ca="1">IFERROR(__xludf.DUMMYFUNCTION("""COMPUTED_VALUE"""),"Yes")</f>
        <v>Yes</v>
      </c>
      <c r="G321" s="5" t="str">
        <f ca="1">IFERROR(__xludf.DUMMYFUNCTION("""COMPUTED_VALUE"""),"Yes")</f>
        <v>Yes</v>
      </c>
      <c r="H321" s="5" t="str">
        <f ca="1">IFERROR(__xludf.DUMMYFUNCTION("""COMPUTED_VALUE"""),"Yes")</f>
        <v>Yes</v>
      </c>
      <c r="I321" s="5" t="str">
        <f ca="1">IFERROR(__xludf.DUMMYFUNCTION("""COMPUTED_VALUE"""),"Yes")</f>
        <v>Yes</v>
      </c>
      <c r="J321" s="5" t="str">
        <f ca="1">IFERROR(__xludf.DUMMYFUNCTION("""COMPUTED_VALUE"""),"Yes")</f>
        <v>Yes</v>
      </c>
      <c r="K321" s="5" t="str">
        <f ca="1">IFERROR(__xludf.DUMMYFUNCTION("""COMPUTED_VALUE"""),"Yes")</f>
        <v>Yes</v>
      </c>
      <c r="L321" s="5" t="str">
        <f ca="1">IFERROR(__xludf.DUMMYFUNCTION("""COMPUTED_VALUE"""),"Yes")</f>
        <v>Yes</v>
      </c>
      <c r="M321" s="5" t="str">
        <f ca="1">IFERROR(__xludf.DUMMYFUNCTION("""COMPUTED_VALUE"""),"Yes")</f>
        <v>Yes</v>
      </c>
      <c r="N321" s="5" t="str">
        <f ca="1">IFERROR(__xludf.DUMMYFUNCTION("""COMPUTED_VALUE"""),"Yes")</f>
        <v>Yes</v>
      </c>
      <c r="O321" s="5" t="str">
        <f ca="1">IFERROR(__xludf.DUMMYFUNCTION("""COMPUTED_VALUE"""),"Yes")</f>
        <v>Yes</v>
      </c>
      <c r="P321" s="5" t="str">
        <f ca="1">IFERROR(__xludf.DUMMYFUNCTION("""COMPUTED_VALUE"""),"Yes")</f>
        <v>Yes</v>
      </c>
      <c r="Q321" s="5" t="str">
        <f ca="1">IFERROR(__xludf.DUMMYFUNCTION("""COMPUTED_VALUE"""),"Yes")</f>
        <v>Yes</v>
      </c>
      <c r="R321" s="5" t="str">
        <f ca="1">IFERROR(__xludf.DUMMYFUNCTION("""COMPUTED_VALUE"""),"Yes")</f>
        <v>Yes</v>
      </c>
      <c r="S321" s="5" t="str">
        <f ca="1">IFERROR(__xludf.DUMMYFUNCTION("""COMPUTED_VALUE"""),"Yes")</f>
        <v>Yes</v>
      </c>
      <c r="T321" s="5" t="str">
        <f ca="1">IFERROR(__xludf.DUMMYFUNCTION("""COMPUTED_VALUE"""),"Yes")</f>
        <v>Yes</v>
      </c>
      <c r="U321" s="5" t="str">
        <f ca="1">IFERROR(__xludf.DUMMYFUNCTION("""COMPUTED_VALUE"""),"Yes")</f>
        <v>Yes</v>
      </c>
      <c r="V321" s="5" t="str">
        <f ca="1">IFERROR(__xludf.DUMMYFUNCTION("""COMPUTED_VALUE"""),"Yes")</f>
        <v>Yes</v>
      </c>
      <c r="W321" s="5" t="str">
        <f ca="1">IFERROR(__xludf.DUMMYFUNCTION("""COMPUTED_VALUE"""),"Yes")</f>
        <v>Yes</v>
      </c>
      <c r="X321" s="5" t="str">
        <f ca="1">IFERROR(__xludf.DUMMYFUNCTION("""COMPUTED_VALUE"""),"Yes")</f>
        <v>Yes</v>
      </c>
      <c r="Y321" s="5" t="str">
        <f ca="1">IFERROR(__xludf.DUMMYFUNCTION("""COMPUTED_VALUE"""),"Yes")</f>
        <v>Yes</v>
      </c>
      <c r="Z321" s="5" t="str">
        <f ca="1">IFERROR(__xludf.DUMMYFUNCTION("""COMPUTED_VALUE"""),"Yes")</f>
        <v>Yes</v>
      </c>
      <c r="AA321" s="5" t="str">
        <f ca="1">IFERROR(__xludf.DUMMYFUNCTION("""COMPUTED_VALUE"""),"Yes")</f>
        <v>Yes</v>
      </c>
      <c r="AB321" s="5" t="str">
        <f ca="1">IFERROR(__xludf.DUMMYFUNCTION("""COMPUTED_VALUE"""),"Yes")</f>
        <v>Yes</v>
      </c>
      <c r="AC321" s="5" t="str">
        <f ca="1">IFERROR(__xludf.DUMMYFUNCTION("""COMPUTED_VALUE"""),"No")</f>
        <v>No</v>
      </c>
    </row>
    <row r="322" spans="1:29" x14ac:dyDescent="0.25">
      <c r="A322" s="5" t="str">
        <f ca="1">IFERROR(__xludf.DUMMYFUNCTION("""COMPUTED_VALUE"""),"FootballVictory")</f>
        <v>FootballVictory</v>
      </c>
      <c r="B3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2" s="5" t="str">
        <f ca="1">IFERROR(__xludf.DUMMYFUNCTION("""COMPUTED_VALUE"""),"Yes")</f>
        <v>Yes</v>
      </c>
      <c r="D322" s="5" t="str">
        <f ca="1">IFERROR(__xludf.DUMMYFUNCTION("""COMPUTED_VALUE"""),"Yes")</f>
        <v>Yes</v>
      </c>
      <c r="E322" s="5" t="str">
        <f ca="1">IFERROR(__xludf.DUMMYFUNCTION("""COMPUTED_VALUE"""),"Yes")</f>
        <v>Yes</v>
      </c>
      <c r="F322" s="5" t="str">
        <f ca="1">IFERROR(__xludf.DUMMYFUNCTION("""COMPUTED_VALUE"""),"Yes")</f>
        <v>Yes</v>
      </c>
      <c r="G322" s="5" t="str">
        <f ca="1">IFERROR(__xludf.DUMMYFUNCTION("""COMPUTED_VALUE"""),"Yes")</f>
        <v>Yes</v>
      </c>
      <c r="H322" s="5" t="str">
        <f ca="1">IFERROR(__xludf.DUMMYFUNCTION("""COMPUTED_VALUE"""),"Yes")</f>
        <v>Yes</v>
      </c>
      <c r="I322" s="5" t="str">
        <f ca="1">IFERROR(__xludf.DUMMYFUNCTION("""COMPUTED_VALUE"""),"Yes")</f>
        <v>Yes</v>
      </c>
      <c r="J322" s="5" t="str">
        <f ca="1">IFERROR(__xludf.DUMMYFUNCTION("""COMPUTED_VALUE"""),"Yes")</f>
        <v>Yes</v>
      </c>
      <c r="K322" s="5" t="str">
        <f ca="1">IFERROR(__xludf.DUMMYFUNCTION("""COMPUTED_VALUE"""),"Yes")</f>
        <v>Yes</v>
      </c>
      <c r="L322" s="5" t="str">
        <f ca="1">IFERROR(__xludf.DUMMYFUNCTION("""COMPUTED_VALUE"""),"Yes")</f>
        <v>Yes</v>
      </c>
      <c r="M322" s="5" t="str">
        <f ca="1">IFERROR(__xludf.DUMMYFUNCTION("""COMPUTED_VALUE"""),"Yes")</f>
        <v>Yes</v>
      </c>
      <c r="N322" s="5" t="str">
        <f ca="1">IFERROR(__xludf.DUMMYFUNCTION("""COMPUTED_VALUE"""),"Yes")</f>
        <v>Yes</v>
      </c>
      <c r="O322" s="5" t="str">
        <f ca="1">IFERROR(__xludf.DUMMYFUNCTION("""COMPUTED_VALUE"""),"Yes")</f>
        <v>Yes</v>
      </c>
      <c r="P322" s="5" t="str">
        <f ca="1">IFERROR(__xludf.DUMMYFUNCTION("""COMPUTED_VALUE"""),"Yes")</f>
        <v>Yes</v>
      </c>
      <c r="Q322" s="5" t="str">
        <f ca="1">IFERROR(__xludf.DUMMYFUNCTION("""COMPUTED_VALUE"""),"Yes")</f>
        <v>Yes</v>
      </c>
      <c r="R322" s="5" t="str">
        <f ca="1">IFERROR(__xludf.DUMMYFUNCTION("""COMPUTED_VALUE"""),"Yes")</f>
        <v>Yes</v>
      </c>
      <c r="S322" s="5" t="str">
        <f ca="1">IFERROR(__xludf.DUMMYFUNCTION("""COMPUTED_VALUE"""),"Yes")</f>
        <v>Yes</v>
      </c>
      <c r="T322" s="5" t="str">
        <f ca="1">IFERROR(__xludf.DUMMYFUNCTION("""COMPUTED_VALUE"""),"Yes")</f>
        <v>Yes</v>
      </c>
      <c r="U322" s="5" t="str">
        <f ca="1">IFERROR(__xludf.DUMMYFUNCTION("""COMPUTED_VALUE"""),"Yes")</f>
        <v>Yes</v>
      </c>
      <c r="V322" s="5" t="str">
        <f ca="1">IFERROR(__xludf.DUMMYFUNCTION("""COMPUTED_VALUE"""),"Yes")</f>
        <v>Yes</v>
      </c>
      <c r="W322" s="5" t="str">
        <f ca="1">IFERROR(__xludf.DUMMYFUNCTION("""COMPUTED_VALUE"""),"Yes")</f>
        <v>Yes</v>
      </c>
      <c r="X322" s="5" t="str">
        <f ca="1">IFERROR(__xludf.DUMMYFUNCTION("""COMPUTED_VALUE"""),"Yes")</f>
        <v>Yes</v>
      </c>
      <c r="Y322" s="5" t="str">
        <f ca="1">IFERROR(__xludf.DUMMYFUNCTION("""COMPUTED_VALUE"""),"Yes")</f>
        <v>Yes</v>
      </c>
      <c r="Z322" s="5" t="str">
        <f ca="1">IFERROR(__xludf.DUMMYFUNCTION("""COMPUTED_VALUE"""),"Yes")</f>
        <v>Yes</v>
      </c>
      <c r="AA322" s="5" t="str">
        <f ca="1">IFERROR(__xludf.DUMMYFUNCTION("""COMPUTED_VALUE"""),"Yes")</f>
        <v>Yes</v>
      </c>
      <c r="AB322" s="5" t="str">
        <f ca="1">IFERROR(__xludf.DUMMYFUNCTION("""COMPUTED_VALUE"""),"Yes")</f>
        <v>Yes</v>
      </c>
      <c r="AC322" s="5" t="str">
        <f ca="1">IFERROR(__xludf.DUMMYFUNCTION("""COMPUTED_VALUE"""),"No")</f>
        <v>No</v>
      </c>
    </row>
    <row r="323" spans="1:29" x14ac:dyDescent="0.25">
      <c r="A323" s="5" t="str">
        <f ca="1">IFERROR(__xludf.DUMMYFUNCTION("""COMPUTED_VALUE"""),"RedstoneCapsAndCrowns")</f>
        <v>RedstoneCapsAndCrowns</v>
      </c>
      <c r="B3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23" s="5" t="str">
        <f ca="1">IFERROR(__xludf.DUMMYFUNCTION("""COMPUTED_VALUE"""),"Yes")</f>
        <v>Yes</v>
      </c>
      <c r="D323" s="5" t="str">
        <f ca="1">IFERROR(__xludf.DUMMYFUNCTION("""COMPUTED_VALUE"""),"Yes")</f>
        <v>Yes</v>
      </c>
      <c r="E323" s="5" t="str">
        <f ca="1">IFERROR(__xludf.DUMMYFUNCTION("""COMPUTED_VALUE"""),"Yes")</f>
        <v>Yes</v>
      </c>
      <c r="F323" s="5" t="str">
        <f ca="1">IFERROR(__xludf.DUMMYFUNCTION("""COMPUTED_VALUE"""),"Yes")</f>
        <v>Yes</v>
      </c>
      <c r="G323" s="5" t="str">
        <f ca="1">IFERROR(__xludf.DUMMYFUNCTION("""COMPUTED_VALUE"""),"Yes")</f>
        <v>Yes</v>
      </c>
      <c r="H323" s="5" t="str">
        <f ca="1">IFERROR(__xludf.DUMMYFUNCTION("""COMPUTED_VALUE"""),"Yes")</f>
        <v>Yes</v>
      </c>
      <c r="I323" s="5" t="str">
        <f ca="1">IFERROR(__xludf.DUMMYFUNCTION("""COMPUTED_VALUE"""),"Yes")</f>
        <v>Yes</v>
      </c>
      <c r="J323" s="5" t="str">
        <f ca="1">IFERROR(__xludf.DUMMYFUNCTION("""COMPUTED_VALUE"""),"Yes")</f>
        <v>Yes</v>
      </c>
      <c r="K323" s="5" t="str">
        <f ca="1">IFERROR(__xludf.DUMMYFUNCTION("""COMPUTED_VALUE"""),"Yes")</f>
        <v>Yes</v>
      </c>
      <c r="L323" s="5" t="str">
        <f ca="1">IFERROR(__xludf.DUMMYFUNCTION("""COMPUTED_VALUE"""),"Yes")</f>
        <v>Yes</v>
      </c>
      <c r="M323" s="5" t="str">
        <f ca="1">IFERROR(__xludf.DUMMYFUNCTION("""COMPUTED_VALUE"""),"Yes")</f>
        <v>Yes</v>
      </c>
      <c r="N323" s="5" t="str">
        <f ca="1">IFERROR(__xludf.DUMMYFUNCTION("""COMPUTED_VALUE"""),"Yes")</f>
        <v>Yes</v>
      </c>
      <c r="O323" s="5" t="str">
        <f ca="1">IFERROR(__xludf.DUMMYFUNCTION("""COMPUTED_VALUE"""),"Yes")</f>
        <v>Yes</v>
      </c>
      <c r="P323" s="5" t="str">
        <f ca="1">IFERROR(__xludf.DUMMYFUNCTION("""COMPUTED_VALUE"""),"Yes")</f>
        <v>Yes</v>
      </c>
      <c r="Q323" s="5" t="str">
        <f ca="1">IFERROR(__xludf.DUMMYFUNCTION("""COMPUTED_VALUE"""),"Yes")</f>
        <v>Yes</v>
      </c>
      <c r="R323" s="5" t="str">
        <f ca="1">IFERROR(__xludf.DUMMYFUNCTION("""COMPUTED_VALUE"""),"Yes")</f>
        <v>Yes</v>
      </c>
      <c r="S323" s="5" t="str">
        <f ca="1">IFERROR(__xludf.DUMMYFUNCTION("""COMPUTED_VALUE"""),"Yes")</f>
        <v>Yes</v>
      </c>
      <c r="T323" s="5" t="str">
        <f ca="1">IFERROR(__xludf.DUMMYFUNCTION("""COMPUTED_VALUE"""),"Yes")</f>
        <v>Yes</v>
      </c>
      <c r="U323" s="5" t="str">
        <f ca="1">IFERROR(__xludf.DUMMYFUNCTION("""COMPUTED_VALUE"""),"Yes")</f>
        <v>Yes</v>
      </c>
      <c r="V323" s="5"/>
      <c r="W323" s="5" t="str">
        <f ca="1">IFERROR(__xludf.DUMMYFUNCTION("""COMPUTED_VALUE"""),"Yes")</f>
        <v>Yes</v>
      </c>
      <c r="X323" s="5" t="str">
        <f ca="1">IFERROR(__xludf.DUMMYFUNCTION("""COMPUTED_VALUE"""),"Yes")</f>
        <v>Yes</v>
      </c>
      <c r="Y323" s="5" t="str">
        <f ca="1">IFERROR(__xludf.DUMMYFUNCTION("""COMPUTED_VALUE"""),"Yes")</f>
        <v>Yes</v>
      </c>
      <c r="Z323" s="5" t="str">
        <f ca="1">IFERROR(__xludf.DUMMYFUNCTION("""COMPUTED_VALUE"""),"Yes")</f>
        <v>Yes</v>
      </c>
      <c r="AA323" s="5" t="str">
        <f ca="1">IFERROR(__xludf.DUMMYFUNCTION("""COMPUTED_VALUE"""),"Yes")</f>
        <v>Yes</v>
      </c>
      <c r="AB323" s="5" t="str">
        <f ca="1">IFERROR(__xludf.DUMMYFUNCTION("""COMPUTED_VALUE"""),"Yes")</f>
        <v>Yes</v>
      </c>
      <c r="AC323" s="5"/>
    </row>
    <row r="324" spans="1:29" x14ac:dyDescent="0.25">
      <c r="A324" s="5" t="str">
        <f ca="1">IFERROR(__xludf.DUMMYFUNCTION("""COMPUTED_VALUE"""),"UnicornLavaDiamonds")</f>
        <v>UnicornLavaDiamonds</v>
      </c>
      <c r="B32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4" s="5" t="str">
        <f ca="1">IFERROR(__xludf.DUMMYFUNCTION("""COMPUTED_VALUE"""),"Yes")</f>
        <v>Yes</v>
      </c>
      <c r="D324" s="5" t="str">
        <f ca="1">IFERROR(__xludf.DUMMYFUNCTION("""COMPUTED_VALUE"""),"Yes")</f>
        <v>Yes</v>
      </c>
      <c r="E324" s="5" t="str">
        <f ca="1">IFERROR(__xludf.DUMMYFUNCTION("""COMPUTED_VALUE"""),"No")</f>
        <v>No</v>
      </c>
      <c r="F324" s="5" t="str">
        <f ca="1">IFERROR(__xludf.DUMMYFUNCTION("""COMPUTED_VALUE"""),"Yes")</f>
        <v>Yes</v>
      </c>
      <c r="G324" s="5" t="str">
        <f ca="1">IFERROR(__xludf.DUMMYFUNCTION("""COMPUTED_VALUE"""),"Yes")</f>
        <v>Yes</v>
      </c>
      <c r="H324" s="5" t="str">
        <f ca="1">IFERROR(__xludf.DUMMYFUNCTION("""COMPUTED_VALUE"""),"Yes")</f>
        <v>Yes</v>
      </c>
      <c r="I324" s="5" t="str">
        <f ca="1">IFERROR(__xludf.DUMMYFUNCTION("""COMPUTED_VALUE"""),"Yes")</f>
        <v>Yes</v>
      </c>
      <c r="J324" s="5" t="str">
        <f ca="1">IFERROR(__xludf.DUMMYFUNCTION("""COMPUTED_VALUE"""),"Yes")</f>
        <v>Yes</v>
      </c>
      <c r="K324" s="5" t="str">
        <f ca="1">IFERROR(__xludf.DUMMYFUNCTION("""COMPUTED_VALUE"""),"Yes")</f>
        <v>Yes</v>
      </c>
      <c r="L324" s="5" t="str">
        <f ca="1">IFERROR(__xludf.DUMMYFUNCTION("""COMPUTED_VALUE"""),"Yes")</f>
        <v>Yes</v>
      </c>
      <c r="M324" s="5" t="str">
        <f ca="1">IFERROR(__xludf.DUMMYFUNCTION("""COMPUTED_VALUE"""),"Yes")</f>
        <v>Yes</v>
      </c>
      <c r="N324" s="5" t="str">
        <f ca="1">IFERROR(__xludf.DUMMYFUNCTION("""COMPUTED_VALUE"""),"Yes")</f>
        <v>Yes</v>
      </c>
      <c r="O324" s="5" t="str">
        <f ca="1">IFERROR(__xludf.DUMMYFUNCTION("""COMPUTED_VALUE"""),"Yes")</f>
        <v>Yes</v>
      </c>
      <c r="P324" s="5" t="str">
        <f ca="1">IFERROR(__xludf.DUMMYFUNCTION("""COMPUTED_VALUE"""),"Yes")</f>
        <v>Yes</v>
      </c>
      <c r="Q324" s="5" t="str">
        <f ca="1">IFERROR(__xludf.DUMMYFUNCTION("""COMPUTED_VALUE"""),"Yes")</f>
        <v>Yes</v>
      </c>
      <c r="R324" s="5" t="str">
        <f ca="1">IFERROR(__xludf.DUMMYFUNCTION("""COMPUTED_VALUE"""),"No")</f>
        <v>No</v>
      </c>
      <c r="S324" s="5" t="str">
        <f ca="1">IFERROR(__xludf.DUMMYFUNCTION("""COMPUTED_VALUE"""),"No")</f>
        <v>No</v>
      </c>
      <c r="T324" s="5" t="str">
        <f ca="1">IFERROR(__xludf.DUMMYFUNCTION("""COMPUTED_VALUE"""),"No")</f>
        <v>No</v>
      </c>
      <c r="U324" s="5" t="str">
        <f ca="1">IFERROR(__xludf.DUMMYFUNCTION("""COMPUTED_VALUE"""),"No")</f>
        <v>No</v>
      </c>
      <c r="V324" s="5" t="str">
        <f ca="1">IFERROR(__xludf.DUMMYFUNCTION("""COMPUTED_VALUE"""),"No")</f>
        <v>No</v>
      </c>
      <c r="W324" s="5" t="str">
        <f ca="1">IFERROR(__xludf.DUMMYFUNCTION("""COMPUTED_VALUE"""),"No")</f>
        <v>No</v>
      </c>
      <c r="X324" s="5" t="str">
        <f ca="1">IFERROR(__xludf.DUMMYFUNCTION("""COMPUTED_VALUE"""),"No")</f>
        <v>No</v>
      </c>
      <c r="Y324" s="5" t="str">
        <f ca="1">IFERROR(__xludf.DUMMYFUNCTION("""COMPUTED_VALUE"""),"No")</f>
        <v>No</v>
      </c>
      <c r="Z324" s="5" t="str">
        <f ca="1">IFERROR(__xludf.DUMMYFUNCTION("""COMPUTED_VALUE"""),"No")</f>
        <v>No</v>
      </c>
      <c r="AA324" s="5" t="str">
        <f ca="1">IFERROR(__xludf.DUMMYFUNCTION("""COMPUTED_VALUE"""),"No")</f>
        <v>No</v>
      </c>
      <c r="AB324" s="5" t="str">
        <f ca="1">IFERROR(__xludf.DUMMYFUNCTION("""COMPUTED_VALUE"""),"Yes")</f>
        <v>Yes</v>
      </c>
      <c r="AC324" s="5" t="str">
        <f ca="1">IFERROR(__xludf.DUMMYFUNCTION("""COMPUTED_VALUE"""),"No")</f>
        <v>No</v>
      </c>
    </row>
    <row r="325" spans="1:29" x14ac:dyDescent="0.25">
      <c r="A325" s="5" t="str">
        <f ca="1">IFERROR(__xludf.DUMMYFUNCTION("""COMPUTED_VALUE"""),"Unicorn5HotStrikeDice")</f>
        <v>Unicorn5HotStrikeDice</v>
      </c>
      <c r="B32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25" s="5" t="str">
        <f ca="1">IFERROR(__xludf.DUMMYFUNCTION("""COMPUTED_VALUE"""),"Yes")</f>
        <v>Yes</v>
      </c>
      <c r="D325" s="5" t="str">
        <f ca="1">IFERROR(__xludf.DUMMYFUNCTION("""COMPUTED_VALUE"""),"Yes")</f>
        <v>Yes</v>
      </c>
      <c r="E325" s="5" t="str">
        <f ca="1">IFERROR(__xludf.DUMMYFUNCTION("""COMPUTED_VALUE"""),"Yes")</f>
        <v>Yes</v>
      </c>
      <c r="F325" s="5" t="str">
        <f ca="1">IFERROR(__xludf.DUMMYFUNCTION("""COMPUTED_VALUE"""),"No")</f>
        <v>No</v>
      </c>
      <c r="G325" s="5" t="str">
        <f ca="1">IFERROR(__xludf.DUMMYFUNCTION("""COMPUTED_VALUE"""),"No")</f>
        <v>No</v>
      </c>
      <c r="H325" s="5" t="str">
        <f ca="1">IFERROR(__xludf.DUMMYFUNCTION("""COMPUTED_VALUE"""),"No")</f>
        <v>No</v>
      </c>
      <c r="I325" s="5" t="str">
        <f ca="1">IFERROR(__xludf.DUMMYFUNCTION("""COMPUTED_VALUE"""),"No")</f>
        <v>No</v>
      </c>
      <c r="J325" s="5" t="str">
        <f ca="1">IFERROR(__xludf.DUMMYFUNCTION("""COMPUTED_VALUE"""),"No")</f>
        <v>No</v>
      </c>
      <c r="K325" s="5" t="str">
        <f ca="1">IFERROR(__xludf.DUMMYFUNCTION("""COMPUTED_VALUE"""),"Yes")</f>
        <v>Yes</v>
      </c>
      <c r="L325" s="5" t="str">
        <f ca="1">IFERROR(__xludf.DUMMYFUNCTION("""COMPUTED_VALUE"""),"Yes")</f>
        <v>Yes</v>
      </c>
      <c r="M325" s="5" t="str">
        <f ca="1">IFERROR(__xludf.DUMMYFUNCTION("""COMPUTED_VALUE"""),"Yes")</f>
        <v>Yes</v>
      </c>
      <c r="N325" s="5" t="str">
        <f ca="1">IFERROR(__xludf.DUMMYFUNCTION("""COMPUTED_VALUE"""),"Yes")</f>
        <v>Yes</v>
      </c>
      <c r="O325" s="5" t="str">
        <f ca="1">IFERROR(__xludf.DUMMYFUNCTION("""COMPUTED_VALUE"""),"Yes")</f>
        <v>Yes</v>
      </c>
      <c r="P325" s="5" t="str">
        <f ca="1">IFERROR(__xludf.DUMMYFUNCTION("""COMPUTED_VALUE"""),"No")</f>
        <v>No</v>
      </c>
      <c r="Q325" s="5" t="str">
        <f ca="1">IFERROR(__xludf.DUMMYFUNCTION("""COMPUTED_VALUE"""),"Yes")</f>
        <v>Yes</v>
      </c>
      <c r="R325" s="5" t="str">
        <f ca="1">IFERROR(__xludf.DUMMYFUNCTION("""COMPUTED_VALUE"""),"No")</f>
        <v>No</v>
      </c>
      <c r="S325" s="5" t="str">
        <f ca="1">IFERROR(__xludf.DUMMYFUNCTION("""COMPUTED_VALUE"""),"No")</f>
        <v>No</v>
      </c>
      <c r="T325" s="5" t="str">
        <f ca="1">IFERROR(__xludf.DUMMYFUNCTION("""COMPUTED_VALUE"""),"No")</f>
        <v>No</v>
      </c>
      <c r="U325" s="5" t="str">
        <f ca="1">IFERROR(__xludf.DUMMYFUNCTION("""COMPUTED_VALUE"""),"No")</f>
        <v>No</v>
      </c>
      <c r="V325" s="5"/>
      <c r="W325" s="5"/>
      <c r="X325" s="5"/>
      <c r="Y325" s="5"/>
      <c r="Z325" s="5" t="str">
        <f ca="1">IFERROR(__xludf.DUMMYFUNCTION("""COMPUTED_VALUE"""),"No")</f>
        <v>No</v>
      </c>
      <c r="AA325" s="5"/>
      <c r="AB325" s="5"/>
      <c r="AC325" s="5"/>
    </row>
    <row r="326" spans="1:29" x14ac:dyDescent="0.25">
      <c r="A326" s="5" t="str">
        <f ca="1">IFERROR(__xludf.DUMMYFUNCTION("""COMPUTED_VALUE"""),"RedstoneHotRushBothWays")</f>
        <v>RedstoneHotRushBothWays</v>
      </c>
      <c r="B32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26" s="5" t="str">
        <f ca="1">IFERROR(__xludf.DUMMYFUNCTION("""COMPUTED_VALUE"""),"Yes")</f>
        <v>Yes</v>
      </c>
      <c r="D326" s="5" t="str">
        <f ca="1">IFERROR(__xludf.DUMMYFUNCTION("""COMPUTED_VALUE"""),"Yes")</f>
        <v>Yes</v>
      </c>
      <c r="E326" s="5" t="str">
        <f ca="1">IFERROR(__xludf.DUMMYFUNCTION("""COMPUTED_VALUE"""),"Yes")</f>
        <v>Yes</v>
      </c>
      <c r="F326" s="5" t="str">
        <f ca="1">IFERROR(__xludf.DUMMYFUNCTION("""COMPUTED_VALUE"""),"No")</f>
        <v>No</v>
      </c>
      <c r="G326" s="5" t="str">
        <f ca="1">IFERROR(__xludf.DUMMYFUNCTION("""COMPUTED_VALUE"""),"No")</f>
        <v>No</v>
      </c>
      <c r="H326" s="5" t="str">
        <f ca="1">IFERROR(__xludf.DUMMYFUNCTION("""COMPUTED_VALUE"""),"No")</f>
        <v>No</v>
      </c>
      <c r="I326" s="5" t="str">
        <f ca="1">IFERROR(__xludf.DUMMYFUNCTION("""COMPUTED_VALUE"""),"No")</f>
        <v>No</v>
      </c>
      <c r="J326" s="5" t="str">
        <f ca="1">IFERROR(__xludf.DUMMYFUNCTION("""COMPUTED_VALUE"""),"No")</f>
        <v>No</v>
      </c>
      <c r="K326" s="5" t="str">
        <f ca="1">IFERROR(__xludf.DUMMYFUNCTION("""COMPUTED_VALUE"""),"Yes")</f>
        <v>Yes</v>
      </c>
      <c r="L326" s="5" t="str">
        <f ca="1">IFERROR(__xludf.DUMMYFUNCTION("""COMPUTED_VALUE"""),"Yes")</f>
        <v>Yes</v>
      </c>
      <c r="M326" s="5" t="str">
        <f ca="1">IFERROR(__xludf.DUMMYFUNCTION("""COMPUTED_VALUE"""),"Yes")</f>
        <v>Yes</v>
      </c>
      <c r="N326" s="5" t="str">
        <f ca="1">IFERROR(__xludf.DUMMYFUNCTION("""COMPUTED_VALUE"""),"Yes")</f>
        <v>Yes</v>
      </c>
      <c r="O326" s="5" t="str">
        <f ca="1">IFERROR(__xludf.DUMMYFUNCTION("""COMPUTED_VALUE"""),"Yes")</f>
        <v>Yes</v>
      </c>
      <c r="P326" s="5" t="str">
        <f ca="1">IFERROR(__xludf.DUMMYFUNCTION("""COMPUTED_VALUE"""),"No")</f>
        <v>No</v>
      </c>
      <c r="Q326" s="5" t="str">
        <f ca="1">IFERROR(__xludf.DUMMYFUNCTION("""COMPUTED_VALUE"""),"Yes")</f>
        <v>Yes</v>
      </c>
      <c r="R326" s="5" t="str">
        <f ca="1">IFERROR(__xludf.DUMMYFUNCTION("""COMPUTED_VALUE"""),"No")</f>
        <v>No</v>
      </c>
      <c r="S326" s="5" t="str">
        <f ca="1">IFERROR(__xludf.DUMMYFUNCTION("""COMPUTED_VALUE"""),"No")</f>
        <v>No</v>
      </c>
      <c r="T326" s="5" t="str">
        <f ca="1">IFERROR(__xludf.DUMMYFUNCTION("""COMPUTED_VALUE"""),"No")</f>
        <v>No</v>
      </c>
      <c r="U326" s="5" t="str">
        <f ca="1">IFERROR(__xludf.DUMMYFUNCTION("""COMPUTED_VALUE"""),"No")</f>
        <v>No</v>
      </c>
      <c r="V326" s="5"/>
      <c r="W326" s="5"/>
      <c r="X326" s="5"/>
      <c r="Y326" s="5"/>
      <c r="Z326" s="5" t="str">
        <f ca="1">IFERROR(__xludf.DUMMYFUNCTION("""COMPUTED_VALUE"""),"No")</f>
        <v>No</v>
      </c>
      <c r="AA326" s="5"/>
      <c r="AB326" s="5"/>
      <c r="AC326" s="5"/>
    </row>
    <row r="327" spans="1:29" x14ac:dyDescent="0.25">
      <c r="A327" s="5" t="str">
        <f ca="1">IFERROR(__xludf.DUMMYFUNCTION("""COMPUTED_VALUE"""),"RedstoneBookOfScorpio")</f>
        <v>RedstoneBookOfScorpio</v>
      </c>
      <c r="B32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7" s="5" t="str">
        <f ca="1">IFERROR(__xludf.DUMMYFUNCTION("""COMPUTED_VALUE"""),"Yes")</f>
        <v>Yes</v>
      </c>
      <c r="D327" s="5" t="str">
        <f ca="1">IFERROR(__xludf.DUMMYFUNCTION("""COMPUTED_VALUE"""),"Yes")</f>
        <v>Yes</v>
      </c>
      <c r="E327" s="5" t="str">
        <f ca="1">IFERROR(__xludf.DUMMYFUNCTION("""COMPUTED_VALUE"""),"No")</f>
        <v>No</v>
      </c>
      <c r="F327" s="5" t="str">
        <f ca="1">IFERROR(__xludf.DUMMYFUNCTION("""COMPUTED_VALUE"""),"Yes")</f>
        <v>Yes</v>
      </c>
      <c r="G327" s="5" t="str">
        <f ca="1">IFERROR(__xludf.DUMMYFUNCTION("""COMPUTED_VALUE"""),"Yes")</f>
        <v>Yes</v>
      </c>
      <c r="H327" s="5" t="str">
        <f ca="1">IFERROR(__xludf.DUMMYFUNCTION("""COMPUTED_VALUE"""),"Yes")</f>
        <v>Yes</v>
      </c>
      <c r="I327" s="5" t="str">
        <f ca="1">IFERROR(__xludf.DUMMYFUNCTION("""COMPUTED_VALUE"""),"Yes")</f>
        <v>Yes</v>
      </c>
      <c r="J327" s="5" t="str">
        <f ca="1">IFERROR(__xludf.DUMMYFUNCTION("""COMPUTED_VALUE"""),"Yes")</f>
        <v>Yes</v>
      </c>
      <c r="K327" s="5" t="str">
        <f ca="1">IFERROR(__xludf.DUMMYFUNCTION("""COMPUTED_VALUE"""),"Yes")</f>
        <v>Yes</v>
      </c>
      <c r="L327" s="5" t="str">
        <f ca="1">IFERROR(__xludf.DUMMYFUNCTION("""COMPUTED_VALUE"""),"Yes")</f>
        <v>Yes</v>
      </c>
      <c r="M327" s="5" t="str">
        <f ca="1">IFERROR(__xludf.DUMMYFUNCTION("""COMPUTED_VALUE"""),"Yes")</f>
        <v>Yes</v>
      </c>
      <c r="N327" s="5" t="str">
        <f ca="1">IFERROR(__xludf.DUMMYFUNCTION("""COMPUTED_VALUE"""),"Yes")</f>
        <v>Yes</v>
      </c>
      <c r="O327" s="5" t="str">
        <f ca="1">IFERROR(__xludf.DUMMYFUNCTION("""COMPUTED_VALUE"""),"Yes")</f>
        <v>Yes</v>
      </c>
      <c r="P327" s="5" t="str">
        <f ca="1">IFERROR(__xludf.DUMMYFUNCTION("""COMPUTED_VALUE"""),"Yes")</f>
        <v>Yes</v>
      </c>
      <c r="Q327" s="5" t="str">
        <f ca="1">IFERROR(__xludf.DUMMYFUNCTION("""COMPUTED_VALUE"""),"Yes")</f>
        <v>Yes</v>
      </c>
      <c r="R327" s="5" t="str">
        <f ca="1">IFERROR(__xludf.DUMMYFUNCTION("""COMPUTED_VALUE"""),"No")</f>
        <v>No</v>
      </c>
      <c r="S327" s="5" t="str">
        <f ca="1">IFERROR(__xludf.DUMMYFUNCTION("""COMPUTED_VALUE"""),"No")</f>
        <v>No</v>
      </c>
      <c r="T327" s="5" t="str">
        <f ca="1">IFERROR(__xludf.DUMMYFUNCTION("""COMPUTED_VALUE"""),"No")</f>
        <v>No</v>
      </c>
      <c r="U327" s="5" t="str">
        <f ca="1">IFERROR(__xludf.DUMMYFUNCTION("""COMPUTED_VALUE"""),"No")</f>
        <v>No</v>
      </c>
      <c r="V327" s="5" t="str">
        <f ca="1">IFERROR(__xludf.DUMMYFUNCTION("""COMPUTED_VALUE"""),"No")</f>
        <v>No</v>
      </c>
      <c r="W327" s="5" t="str">
        <f ca="1">IFERROR(__xludf.DUMMYFUNCTION("""COMPUTED_VALUE"""),"No")</f>
        <v>No</v>
      </c>
      <c r="X327" s="5" t="str">
        <f ca="1">IFERROR(__xludf.DUMMYFUNCTION("""COMPUTED_VALUE"""),"No")</f>
        <v>No</v>
      </c>
      <c r="Y327" s="5" t="str">
        <f ca="1">IFERROR(__xludf.DUMMYFUNCTION("""COMPUTED_VALUE"""),"No")</f>
        <v>No</v>
      </c>
      <c r="Z327" s="5" t="str">
        <f ca="1">IFERROR(__xludf.DUMMYFUNCTION("""COMPUTED_VALUE"""),"No")</f>
        <v>No</v>
      </c>
      <c r="AA327" s="5" t="str">
        <f ca="1">IFERROR(__xludf.DUMMYFUNCTION("""COMPUTED_VALUE"""),"No")</f>
        <v>No</v>
      </c>
      <c r="AB327" s="5" t="str">
        <f ca="1">IFERROR(__xludf.DUMMYFUNCTION("""COMPUTED_VALUE"""),"Yes")</f>
        <v>Yes</v>
      </c>
      <c r="AC327" s="5" t="str">
        <f ca="1">IFERROR(__xludf.DUMMYFUNCTION("""COMPUTED_VALUE"""),"No")</f>
        <v>No</v>
      </c>
    </row>
    <row r="328" spans="1:29" x14ac:dyDescent="0.25">
      <c r="A328" s="5" t="str">
        <f ca="1">IFERROR(__xludf.DUMMYFUNCTION("""COMPUTED_VALUE"""),"UnicornBuffaloSevens")</f>
        <v>UnicornBuffaloSevens</v>
      </c>
      <c r="B328" s="5" t="str">
        <f ca="1">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C328" s="5" t="str">
        <f ca="1">IFERROR(__xludf.DUMMYFUNCTION("""COMPUTED_VALUE"""),"Yes")</f>
        <v>Yes</v>
      </c>
      <c r="D328" s="5" t="str">
        <f ca="1">IFERROR(__xludf.DUMMYFUNCTION("""COMPUTED_VALUE"""),"Yes")</f>
        <v>Yes</v>
      </c>
      <c r="E328" s="5" t="str">
        <f ca="1">IFERROR(__xludf.DUMMYFUNCTION("""COMPUTED_VALUE"""),"No")</f>
        <v>No</v>
      </c>
      <c r="F328" s="5" t="str">
        <f ca="1">IFERROR(__xludf.DUMMYFUNCTION("""COMPUTED_VALUE"""),"Yes")</f>
        <v>Yes</v>
      </c>
      <c r="G328" s="5" t="str">
        <f ca="1">IFERROR(__xludf.DUMMYFUNCTION("""COMPUTED_VALUE"""),"Yes")</f>
        <v>Yes</v>
      </c>
      <c r="H328" s="5" t="str">
        <f ca="1">IFERROR(__xludf.DUMMYFUNCTION("""COMPUTED_VALUE"""),"Yes")</f>
        <v>Yes</v>
      </c>
      <c r="I328" s="5" t="str">
        <f ca="1">IFERROR(__xludf.DUMMYFUNCTION("""COMPUTED_VALUE"""),"Yes")</f>
        <v>Yes</v>
      </c>
      <c r="J328" s="5" t="str">
        <f ca="1">IFERROR(__xludf.DUMMYFUNCTION("""COMPUTED_VALUE"""),"Yes")</f>
        <v>Yes</v>
      </c>
      <c r="K328" s="5" t="str">
        <f ca="1">IFERROR(__xludf.DUMMYFUNCTION("""COMPUTED_VALUE"""),"Yes")</f>
        <v>Yes</v>
      </c>
      <c r="L328" s="5" t="str">
        <f ca="1">IFERROR(__xludf.DUMMYFUNCTION("""COMPUTED_VALUE"""),"Yes")</f>
        <v>Yes</v>
      </c>
      <c r="M328" s="5" t="str">
        <f ca="1">IFERROR(__xludf.DUMMYFUNCTION("""COMPUTED_VALUE"""),"Yes")</f>
        <v>Yes</v>
      </c>
      <c r="N328" s="5" t="str">
        <f ca="1">IFERROR(__xludf.DUMMYFUNCTION("""COMPUTED_VALUE"""),"Yes")</f>
        <v>Yes</v>
      </c>
      <c r="O328" s="5" t="str">
        <f ca="1">IFERROR(__xludf.DUMMYFUNCTION("""COMPUTED_VALUE"""),"Yes")</f>
        <v>Yes</v>
      </c>
      <c r="P328" s="5" t="str">
        <f ca="1">IFERROR(__xludf.DUMMYFUNCTION("""COMPUTED_VALUE"""),"Yes")</f>
        <v>Yes</v>
      </c>
      <c r="Q328" s="5" t="str">
        <f ca="1">IFERROR(__xludf.DUMMYFUNCTION("""COMPUTED_VALUE"""),"Yes")</f>
        <v>Yes</v>
      </c>
      <c r="R328" s="5" t="str">
        <f ca="1">IFERROR(__xludf.DUMMYFUNCTION("""COMPUTED_VALUE"""),"No")</f>
        <v>No</v>
      </c>
      <c r="S328" s="5" t="str">
        <f ca="1">IFERROR(__xludf.DUMMYFUNCTION("""COMPUTED_VALUE"""),"No")</f>
        <v>No</v>
      </c>
      <c r="T328" s="5" t="str">
        <f ca="1">IFERROR(__xludf.DUMMYFUNCTION("""COMPUTED_VALUE"""),"No")</f>
        <v>No</v>
      </c>
      <c r="U328" s="5" t="str">
        <f ca="1">IFERROR(__xludf.DUMMYFUNCTION("""COMPUTED_VALUE"""),"No")</f>
        <v>No</v>
      </c>
      <c r="V328" s="5" t="str">
        <f ca="1">IFERROR(__xludf.DUMMYFUNCTION("""COMPUTED_VALUE"""),"No")</f>
        <v>No</v>
      </c>
      <c r="W328" s="5" t="str">
        <f ca="1">IFERROR(__xludf.DUMMYFUNCTION("""COMPUTED_VALUE"""),"No")</f>
        <v>No</v>
      </c>
      <c r="X328" s="5" t="str">
        <f ca="1">IFERROR(__xludf.DUMMYFUNCTION("""COMPUTED_VALUE"""),"No")</f>
        <v>No</v>
      </c>
      <c r="Y328" s="5" t="str">
        <f ca="1">IFERROR(__xludf.DUMMYFUNCTION("""COMPUTED_VALUE"""),"No")</f>
        <v>No</v>
      </c>
      <c r="Z328" s="5" t="str">
        <f ca="1">IFERROR(__xludf.DUMMYFUNCTION("""COMPUTED_VALUE"""),"Yes")</f>
        <v>Yes</v>
      </c>
      <c r="AA328" s="5" t="str">
        <f ca="1">IFERROR(__xludf.DUMMYFUNCTION("""COMPUTED_VALUE"""),"No")</f>
        <v>No</v>
      </c>
      <c r="AB328" s="5" t="str">
        <f ca="1">IFERROR(__xludf.DUMMYFUNCTION("""COMPUTED_VALUE"""),"Yes")</f>
        <v>Yes</v>
      </c>
      <c r="AC328" s="5" t="str">
        <f ca="1">IFERROR(__xludf.DUMMYFUNCTION("""COMPUTED_VALUE"""),"No")</f>
        <v>No</v>
      </c>
    </row>
    <row r="329" spans="1:29" x14ac:dyDescent="0.25">
      <c r="A329" s="5" t="str">
        <f ca="1">IFERROR(__xludf.DUMMYFUNCTION("""COMPUTED_VALUE"""),"UnicornMisterLuck")</f>
        <v>UnicornMisterLuck</v>
      </c>
      <c r="B32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29" s="5" t="str">
        <f ca="1">IFERROR(__xludf.DUMMYFUNCTION("""COMPUTED_VALUE"""),"Yes")</f>
        <v>Yes</v>
      </c>
      <c r="D329" s="5" t="str">
        <f ca="1">IFERROR(__xludf.DUMMYFUNCTION("""COMPUTED_VALUE"""),"Yes")</f>
        <v>Yes</v>
      </c>
      <c r="E329" s="5" t="str">
        <f ca="1">IFERROR(__xludf.DUMMYFUNCTION("""COMPUTED_VALUE"""),"Yes")</f>
        <v>Yes</v>
      </c>
      <c r="F329" s="5" t="str">
        <f ca="1">IFERROR(__xludf.DUMMYFUNCTION("""COMPUTED_VALUE"""),"No")</f>
        <v>No</v>
      </c>
      <c r="G329" s="5" t="str">
        <f ca="1">IFERROR(__xludf.DUMMYFUNCTION("""COMPUTED_VALUE"""),"No")</f>
        <v>No</v>
      </c>
      <c r="H329" s="5" t="str">
        <f ca="1">IFERROR(__xludf.DUMMYFUNCTION("""COMPUTED_VALUE"""),"No")</f>
        <v>No</v>
      </c>
      <c r="I329" s="5" t="str">
        <f ca="1">IFERROR(__xludf.DUMMYFUNCTION("""COMPUTED_VALUE"""),"No")</f>
        <v>No</v>
      </c>
      <c r="J329" s="5" t="str">
        <f ca="1">IFERROR(__xludf.DUMMYFUNCTION("""COMPUTED_VALUE"""),"No")</f>
        <v>No</v>
      </c>
      <c r="K329" s="5" t="str">
        <f ca="1">IFERROR(__xludf.DUMMYFUNCTION("""COMPUTED_VALUE"""),"Yes")</f>
        <v>Yes</v>
      </c>
      <c r="L329" s="5" t="str">
        <f ca="1">IFERROR(__xludf.DUMMYFUNCTION("""COMPUTED_VALUE"""),"Yes")</f>
        <v>Yes</v>
      </c>
      <c r="M329" s="5" t="str">
        <f ca="1">IFERROR(__xludf.DUMMYFUNCTION("""COMPUTED_VALUE"""),"Yes")</f>
        <v>Yes</v>
      </c>
      <c r="N329" s="5" t="str">
        <f ca="1">IFERROR(__xludf.DUMMYFUNCTION("""COMPUTED_VALUE"""),"Yes")</f>
        <v>Yes</v>
      </c>
      <c r="O329" s="5" t="str">
        <f ca="1">IFERROR(__xludf.DUMMYFUNCTION("""COMPUTED_VALUE"""),"Yes")</f>
        <v>Yes</v>
      </c>
      <c r="P329" s="5" t="str">
        <f ca="1">IFERROR(__xludf.DUMMYFUNCTION("""COMPUTED_VALUE"""),"No")</f>
        <v>No</v>
      </c>
      <c r="Q329" s="5" t="str">
        <f ca="1">IFERROR(__xludf.DUMMYFUNCTION("""COMPUTED_VALUE"""),"Yes")</f>
        <v>Yes</v>
      </c>
      <c r="R329" s="5" t="str">
        <f ca="1">IFERROR(__xludf.DUMMYFUNCTION("""COMPUTED_VALUE"""),"No")</f>
        <v>No</v>
      </c>
      <c r="S329" s="5" t="str">
        <f ca="1">IFERROR(__xludf.DUMMYFUNCTION("""COMPUTED_VALUE"""),"No")</f>
        <v>No</v>
      </c>
      <c r="T329" s="5" t="str">
        <f ca="1">IFERROR(__xludf.DUMMYFUNCTION("""COMPUTED_VALUE"""),"No")</f>
        <v>No</v>
      </c>
      <c r="U329" s="5" t="str">
        <f ca="1">IFERROR(__xludf.DUMMYFUNCTION("""COMPUTED_VALUE"""),"No")</f>
        <v>No</v>
      </c>
      <c r="V329" s="5"/>
      <c r="W329" s="5"/>
      <c r="X329" s="5"/>
      <c r="Y329" s="5"/>
      <c r="Z329" s="5" t="str">
        <f ca="1">IFERROR(__xludf.DUMMYFUNCTION("""COMPUTED_VALUE"""),"No")</f>
        <v>No</v>
      </c>
      <c r="AA329" s="5"/>
      <c r="AB329" s="5"/>
      <c r="AC329" s="5"/>
    </row>
    <row r="330" spans="1:29" x14ac:dyDescent="0.25">
      <c r="A330" s="5" t="str">
        <f ca="1">IFERROR(__xludf.DUMMYFUNCTION("""COMPUTED_VALUE"""),"WildSunburst")</f>
        <v>WildSunburst</v>
      </c>
      <c r="B3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0" s="5" t="str">
        <f ca="1">IFERROR(__xludf.DUMMYFUNCTION("""COMPUTED_VALUE"""),"Yes")</f>
        <v>Yes</v>
      </c>
      <c r="D330" s="5" t="str">
        <f ca="1">IFERROR(__xludf.DUMMYFUNCTION("""COMPUTED_VALUE"""),"Yes")</f>
        <v>Yes</v>
      </c>
      <c r="E330" s="5" t="str">
        <f ca="1">IFERROR(__xludf.DUMMYFUNCTION("""COMPUTED_VALUE"""),"Yes")</f>
        <v>Yes</v>
      </c>
      <c r="F330" s="5" t="str">
        <f ca="1">IFERROR(__xludf.DUMMYFUNCTION("""COMPUTED_VALUE"""),"Yes")</f>
        <v>Yes</v>
      </c>
      <c r="G330" s="5" t="str">
        <f ca="1">IFERROR(__xludf.DUMMYFUNCTION("""COMPUTED_VALUE"""),"Yes")</f>
        <v>Yes</v>
      </c>
      <c r="H330" s="5" t="str">
        <f ca="1">IFERROR(__xludf.DUMMYFUNCTION("""COMPUTED_VALUE"""),"Yes")</f>
        <v>Yes</v>
      </c>
      <c r="I330" s="5" t="str">
        <f ca="1">IFERROR(__xludf.DUMMYFUNCTION("""COMPUTED_VALUE"""),"Yes")</f>
        <v>Yes</v>
      </c>
      <c r="J330" s="5" t="str">
        <f ca="1">IFERROR(__xludf.DUMMYFUNCTION("""COMPUTED_VALUE"""),"Yes")</f>
        <v>Yes</v>
      </c>
      <c r="K330" s="5" t="str">
        <f ca="1">IFERROR(__xludf.DUMMYFUNCTION("""COMPUTED_VALUE"""),"Yes")</f>
        <v>Yes</v>
      </c>
      <c r="L330" s="5" t="str">
        <f ca="1">IFERROR(__xludf.DUMMYFUNCTION("""COMPUTED_VALUE"""),"Yes")</f>
        <v>Yes</v>
      </c>
      <c r="M330" s="5" t="str">
        <f ca="1">IFERROR(__xludf.DUMMYFUNCTION("""COMPUTED_VALUE"""),"Yes")</f>
        <v>Yes</v>
      </c>
      <c r="N330" s="5" t="str">
        <f ca="1">IFERROR(__xludf.DUMMYFUNCTION("""COMPUTED_VALUE"""),"Yes")</f>
        <v>Yes</v>
      </c>
      <c r="O330" s="5" t="str">
        <f ca="1">IFERROR(__xludf.DUMMYFUNCTION("""COMPUTED_VALUE"""),"Yes")</f>
        <v>Yes</v>
      </c>
      <c r="P330" s="5" t="str">
        <f ca="1">IFERROR(__xludf.DUMMYFUNCTION("""COMPUTED_VALUE"""),"Yes")</f>
        <v>Yes</v>
      </c>
      <c r="Q330" s="5" t="str">
        <f ca="1">IFERROR(__xludf.DUMMYFUNCTION("""COMPUTED_VALUE"""),"Yes")</f>
        <v>Yes</v>
      </c>
      <c r="R330" s="5" t="str">
        <f ca="1">IFERROR(__xludf.DUMMYFUNCTION("""COMPUTED_VALUE"""),"Yes")</f>
        <v>Yes</v>
      </c>
      <c r="S330" s="5" t="str">
        <f ca="1">IFERROR(__xludf.DUMMYFUNCTION("""COMPUTED_VALUE"""),"Yes")</f>
        <v>Yes</v>
      </c>
      <c r="T330" s="5" t="str">
        <f ca="1">IFERROR(__xludf.DUMMYFUNCTION("""COMPUTED_VALUE"""),"Yes")</f>
        <v>Yes</v>
      </c>
      <c r="U330" s="5" t="str">
        <f ca="1">IFERROR(__xludf.DUMMYFUNCTION("""COMPUTED_VALUE"""),"Yes")</f>
        <v>Yes</v>
      </c>
      <c r="V330" s="5" t="str">
        <f ca="1">IFERROR(__xludf.DUMMYFUNCTION("""COMPUTED_VALUE"""),"Yes")</f>
        <v>Yes</v>
      </c>
      <c r="W330" s="5" t="str">
        <f ca="1">IFERROR(__xludf.DUMMYFUNCTION("""COMPUTED_VALUE"""),"Yes")</f>
        <v>Yes</v>
      </c>
      <c r="X330" s="5" t="str">
        <f ca="1">IFERROR(__xludf.DUMMYFUNCTION("""COMPUTED_VALUE"""),"Yes")</f>
        <v>Yes</v>
      </c>
      <c r="Y330" s="5" t="str">
        <f ca="1">IFERROR(__xludf.DUMMYFUNCTION("""COMPUTED_VALUE"""),"Yes")</f>
        <v>Yes</v>
      </c>
      <c r="Z330" s="5" t="str">
        <f ca="1">IFERROR(__xludf.DUMMYFUNCTION("""COMPUTED_VALUE"""),"Yes")</f>
        <v>Yes</v>
      </c>
      <c r="AA330" s="5" t="str">
        <f ca="1">IFERROR(__xludf.DUMMYFUNCTION("""COMPUTED_VALUE"""),"Yes")</f>
        <v>Yes</v>
      </c>
      <c r="AB330" s="5" t="str">
        <f ca="1">IFERROR(__xludf.DUMMYFUNCTION("""COMPUTED_VALUE"""),"Yes")</f>
        <v>Yes</v>
      </c>
      <c r="AC330" s="5" t="str">
        <f ca="1">IFERROR(__xludf.DUMMYFUNCTION("""COMPUTED_VALUE"""),"No")</f>
        <v>No</v>
      </c>
    </row>
    <row r="331" spans="1:29" x14ac:dyDescent="0.25">
      <c r="A331" s="5" t="str">
        <f ca="1">IFERROR(__xludf.DUMMYFUNCTION("""COMPUTED_VALUE"""),"ToxicHaze")</f>
        <v>ToxicHaze</v>
      </c>
      <c r="B3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1" s="5" t="str">
        <f ca="1">IFERROR(__xludf.DUMMYFUNCTION("""COMPUTED_VALUE"""),"Yes")</f>
        <v>Yes</v>
      </c>
      <c r="D331" s="5" t="str">
        <f ca="1">IFERROR(__xludf.DUMMYFUNCTION("""COMPUTED_VALUE"""),"Yes")</f>
        <v>Yes</v>
      </c>
      <c r="E331" s="5" t="str">
        <f ca="1">IFERROR(__xludf.DUMMYFUNCTION("""COMPUTED_VALUE"""),"Yes")</f>
        <v>Yes</v>
      </c>
      <c r="F331" s="5" t="str">
        <f ca="1">IFERROR(__xludf.DUMMYFUNCTION("""COMPUTED_VALUE"""),"Yes")</f>
        <v>Yes</v>
      </c>
      <c r="G331" s="5" t="str">
        <f ca="1">IFERROR(__xludf.DUMMYFUNCTION("""COMPUTED_VALUE"""),"Yes")</f>
        <v>Yes</v>
      </c>
      <c r="H331" s="5" t="str">
        <f ca="1">IFERROR(__xludf.DUMMYFUNCTION("""COMPUTED_VALUE"""),"Yes")</f>
        <v>Yes</v>
      </c>
      <c r="I331" s="5" t="str">
        <f ca="1">IFERROR(__xludf.DUMMYFUNCTION("""COMPUTED_VALUE"""),"Yes")</f>
        <v>Yes</v>
      </c>
      <c r="J331" s="5" t="str">
        <f ca="1">IFERROR(__xludf.DUMMYFUNCTION("""COMPUTED_VALUE"""),"Yes")</f>
        <v>Yes</v>
      </c>
      <c r="K331" s="5" t="str">
        <f ca="1">IFERROR(__xludf.DUMMYFUNCTION("""COMPUTED_VALUE"""),"Yes")</f>
        <v>Yes</v>
      </c>
      <c r="L331" s="5" t="str">
        <f ca="1">IFERROR(__xludf.DUMMYFUNCTION("""COMPUTED_VALUE"""),"Yes")</f>
        <v>Yes</v>
      </c>
      <c r="M331" s="5" t="str">
        <f ca="1">IFERROR(__xludf.DUMMYFUNCTION("""COMPUTED_VALUE"""),"Yes")</f>
        <v>Yes</v>
      </c>
      <c r="N331" s="5" t="str">
        <f ca="1">IFERROR(__xludf.DUMMYFUNCTION("""COMPUTED_VALUE"""),"Yes")</f>
        <v>Yes</v>
      </c>
      <c r="O331" s="5" t="str">
        <f ca="1">IFERROR(__xludf.DUMMYFUNCTION("""COMPUTED_VALUE"""),"Yes")</f>
        <v>Yes</v>
      </c>
      <c r="P331" s="5" t="str">
        <f ca="1">IFERROR(__xludf.DUMMYFUNCTION("""COMPUTED_VALUE"""),"Yes")</f>
        <v>Yes</v>
      </c>
      <c r="Q331" s="5" t="str">
        <f ca="1">IFERROR(__xludf.DUMMYFUNCTION("""COMPUTED_VALUE"""),"Yes")</f>
        <v>Yes</v>
      </c>
      <c r="R331" s="5" t="str">
        <f ca="1">IFERROR(__xludf.DUMMYFUNCTION("""COMPUTED_VALUE"""),"Yes")</f>
        <v>Yes</v>
      </c>
      <c r="S331" s="5" t="str">
        <f ca="1">IFERROR(__xludf.DUMMYFUNCTION("""COMPUTED_VALUE"""),"Yes")</f>
        <v>Yes</v>
      </c>
      <c r="T331" s="5" t="str">
        <f ca="1">IFERROR(__xludf.DUMMYFUNCTION("""COMPUTED_VALUE"""),"Yes")</f>
        <v>Yes</v>
      </c>
      <c r="U331" s="5" t="str">
        <f ca="1">IFERROR(__xludf.DUMMYFUNCTION("""COMPUTED_VALUE"""),"Yes")</f>
        <v>Yes</v>
      </c>
      <c r="V331" s="5" t="str">
        <f ca="1">IFERROR(__xludf.DUMMYFUNCTION("""COMPUTED_VALUE"""),"Yes")</f>
        <v>Yes</v>
      </c>
      <c r="W331" s="5" t="str">
        <f ca="1">IFERROR(__xludf.DUMMYFUNCTION("""COMPUTED_VALUE"""),"Yes")</f>
        <v>Yes</v>
      </c>
      <c r="X331" s="5" t="str">
        <f ca="1">IFERROR(__xludf.DUMMYFUNCTION("""COMPUTED_VALUE"""),"Yes")</f>
        <v>Yes</v>
      </c>
      <c r="Y331" s="5" t="str">
        <f ca="1">IFERROR(__xludf.DUMMYFUNCTION("""COMPUTED_VALUE"""),"Yes")</f>
        <v>Yes</v>
      </c>
      <c r="Z331" s="5" t="str">
        <f ca="1">IFERROR(__xludf.DUMMYFUNCTION("""COMPUTED_VALUE"""),"Yes")</f>
        <v>Yes</v>
      </c>
      <c r="AA331" s="5" t="str">
        <f ca="1">IFERROR(__xludf.DUMMYFUNCTION("""COMPUTED_VALUE"""),"Yes")</f>
        <v>Yes</v>
      </c>
      <c r="AB331" s="5" t="str">
        <f ca="1">IFERROR(__xludf.DUMMYFUNCTION("""COMPUTED_VALUE"""),"Yes")</f>
        <v>Yes</v>
      </c>
      <c r="AC331" s="5" t="str">
        <f ca="1">IFERROR(__xludf.DUMMYFUNCTION("""COMPUTED_VALUE"""),"No")</f>
        <v>No</v>
      </c>
    </row>
    <row r="332" spans="1:29" x14ac:dyDescent="0.25">
      <c r="A332" s="5" t="str">
        <f ca="1">IFERROR(__xludf.DUMMYFUNCTION("""COMPUTED_VALUE"""),"UnicornFrootClassic")</f>
        <v>UnicornFrootClassic</v>
      </c>
      <c r="B3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32" s="5" t="str">
        <f ca="1">IFERROR(__xludf.DUMMYFUNCTION("""COMPUTED_VALUE"""),"Yes")</f>
        <v>Yes</v>
      </c>
      <c r="D332" s="5" t="str">
        <f ca="1">IFERROR(__xludf.DUMMYFUNCTION("""COMPUTED_VALUE"""),"Yes")</f>
        <v>Yes</v>
      </c>
      <c r="E332" s="5" t="str">
        <f ca="1">IFERROR(__xludf.DUMMYFUNCTION("""COMPUTED_VALUE"""),"Yes")</f>
        <v>Yes</v>
      </c>
      <c r="F332" s="5" t="str">
        <f ca="1">IFERROR(__xludf.DUMMYFUNCTION("""COMPUTED_VALUE"""),"Yes")</f>
        <v>Yes</v>
      </c>
      <c r="G332" s="5" t="str">
        <f ca="1">IFERROR(__xludf.DUMMYFUNCTION("""COMPUTED_VALUE"""),"Yes")</f>
        <v>Yes</v>
      </c>
      <c r="H332" s="5" t="str">
        <f ca="1">IFERROR(__xludf.DUMMYFUNCTION("""COMPUTED_VALUE"""),"Yes")</f>
        <v>Yes</v>
      </c>
      <c r="I332" s="5" t="str">
        <f ca="1">IFERROR(__xludf.DUMMYFUNCTION("""COMPUTED_VALUE"""),"Yes")</f>
        <v>Yes</v>
      </c>
      <c r="J332" s="5" t="str">
        <f ca="1">IFERROR(__xludf.DUMMYFUNCTION("""COMPUTED_VALUE"""),"Yes")</f>
        <v>Yes</v>
      </c>
      <c r="K332" s="5" t="str">
        <f ca="1">IFERROR(__xludf.DUMMYFUNCTION("""COMPUTED_VALUE"""),"Yes")</f>
        <v>Yes</v>
      </c>
      <c r="L332" s="5" t="str">
        <f ca="1">IFERROR(__xludf.DUMMYFUNCTION("""COMPUTED_VALUE"""),"Yes")</f>
        <v>Yes</v>
      </c>
      <c r="M332" s="5" t="str">
        <f ca="1">IFERROR(__xludf.DUMMYFUNCTION("""COMPUTED_VALUE"""),"Yes")</f>
        <v>Yes</v>
      </c>
      <c r="N332" s="5" t="str">
        <f ca="1">IFERROR(__xludf.DUMMYFUNCTION("""COMPUTED_VALUE"""),"Yes")</f>
        <v>Yes</v>
      </c>
      <c r="O332" s="5" t="str">
        <f ca="1">IFERROR(__xludf.DUMMYFUNCTION("""COMPUTED_VALUE"""),"Yes")</f>
        <v>Yes</v>
      </c>
      <c r="P332" s="5" t="str">
        <f ca="1">IFERROR(__xludf.DUMMYFUNCTION("""COMPUTED_VALUE"""),"Yes")</f>
        <v>Yes</v>
      </c>
      <c r="Q332" s="5" t="str">
        <f ca="1">IFERROR(__xludf.DUMMYFUNCTION("""COMPUTED_VALUE"""),"Yes")</f>
        <v>Yes</v>
      </c>
      <c r="R332" s="5" t="str">
        <f ca="1">IFERROR(__xludf.DUMMYFUNCTION("""COMPUTED_VALUE"""),"Yes")</f>
        <v>Yes</v>
      </c>
      <c r="S332" s="5" t="str">
        <f ca="1">IFERROR(__xludf.DUMMYFUNCTION("""COMPUTED_VALUE"""),"Yes")</f>
        <v>Yes</v>
      </c>
      <c r="T332" s="5" t="str">
        <f ca="1">IFERROR(__xludf.DUMMYFUNCTION("""COMPUTED_VALUE"""),"Yes")</f>
        <v>Yes</v>
      </c>
      <c r="U332" s="5" t="str">
        <f ca="1">IFERROR(__xludf.DUMMYFUNCTION("""COMPUTED_VALUE"""),"Yes")</f>
        <v>Yes</v>
      </c>
      <c r="V332" s="5"/>
      <c r="W332" s="5" t="str">
        <f ca="1">IFERROR(__xludf.DUMMYFUNCTION("""COMPUTED_VALUE"""),"Yes")</f>
        <v>Yes</v>
      </c>
      <c r="X332" s="5"/>
      <c r="Y332" s="5"/>
      <c r="Z332" s="5" t="str">
        <f ca="1">IFERROR(__xludf.DUMMYFUNCTION("""COMPUTED_VALUE"""),"Yes")</f>
        <v>Yes</v>
      </c>
      <c r="AA332" s="5"/>
      <c r="AB332" s="5"/>
      <c r="AC332" s="5"/>
    </row>
    <row r="333" spans="1:29" x14ac:dyDescent="0.25">
      <c r="A333" s="5" t="str">
        <f ca="1">IFERROR(__xludf.DUMMYFUNCTION("""COMPUTED_VALUE"""),"UnicornDiceWildLines")</f>
        <v>UnicornDiceWildLines</v>
      </c>
      <c r="B33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33" s="5" t="str">
        <f ca="1">IFERROR(__xludf.DUMMYFUNCTION("""COMPUTED_VALUE"""),"Yes")</f>
        <v>Yes</v>
      </c>
      <c r="D333" s="5" t="str">
        <f ca="1">IFERROR(__xludf.DUMMYFUNCTION("""COMPUTED_VALUE"""),"Yes")</f>
        <v>Yes</v>
      </c>
      <c r="E333" s="5" t="str">
        <f ca="1">IFERROR(__xludf.DUMMYFUNCTION("""COMPUTED_VALUE"""),"Yes")</f>
        <v>Yes</v>
      </c>
      <c r="F333" s="5" t="str">
        <f ca="1">IFERROR(__xludf.DUMMYFUNCTION("""COMPUTED_VALUE"""),"No")</f>
        <v>No</v>
      </c>
      <c r="G333" s="5" t="str">
        <f ca="1">IFERROR(__xludf.DUMMYFUNCTION("""COMPUTED_VALUE"""),"No")</f>
        <v>No</v>
      </c>
      <c r="H333" s="5" t="str">
        <f ca="1">IFERROR(__xludf.DUMMYFUNCTION("""COMPUTED_VALUE"""),"No")</f>
        <v>No</v>
      </c>
      <c r="I333" s="5" t="str">
        <f ca="1">IFERROR(__xludf.DUMMYFUNCTION("""COMPUTED_VALUE"""),"No")</f>
        <v>No</v>
      </c>
      <c r="J333" s="5" t="str">
        <f ca="1">IFERROR(__xludf.DUMMYFUNCTION("""COMPUTED_VALUE"""),"No")</f>
        <v>No</v>
      </c>
      <c r="K333" s="5" t="str">
        <f ca="1">IFERROR(__xludf.DUMMYFUNCTION("""COMPUTED_VALUE"""),"Yes")</f>
        <v>Yes</v>
      </c>
      <c r="L333" s="5" t="str">
        <f ca="1">IFERROR(__xludf.DUMMYFUNCTION("""COMPUTED_VALUE"""),"Yes")</f>
        <v>Yes</v>
      </c>
      <c r="M333" s="5" t="str">
        <f ca="1">IFERROR(__xludf.DUMMYFUNCTION("""COMPUTED_VALUE"""),"Yes")</f>
        <v>Yes</v>
      </c>
      <c r="N333" s="5" t="str">
        <f ca="1">IFERROR(__xludf.DUMMYFUNCTION("""COMPUTED_VALUE"""),"Yes")</f>
        <v>Yes</v>
      </c>
      <c r="O333" s="5" t="str">
        <f ca="1">IFERROR(__xludf.DUMMYFUNCTION("""COMPUTED_VALUE"""),"Yes")</f>
        <v>Yes</v>
      </c>
      <c r="P333" s="5" t="str">
        <f ca="1">IFERROR(__xludf.DUMMYFUNCTION("""COMPUTED_VALUE"""),"No")</f>
        <v>No</v>
      </c>
      <c r="Q333" s="5" t="str">
        <f ca="1">IFERROR(__xludf.DUMMYFUNCTION("""COMPUTED_VALUE"""),"Yes")</f>
        <v>Yes</v>
      </c>
      <c r="R333" s="5" t="str">
        <f ca="1">IFERROR(__xludf.DUMMYFUNCTION("""COMPUTED_VALUE"""),"No")</f>
        <v>No</v>
      </c>
      <c r="S333" s="5" t="str">
        <f ca="1">IFERROR(__xludf.DUMMYFUNCTION("""COMPUTED_VALUE"""),"No")</f>
        <v>No</v>
      </c>
      <c r="T333" s="5" t="str">
        <f ca="1">IFERROR(__xludf.DUMMYFUNCTION("""COMPUTED_VALUE"""),"No")</f>
        <v>No</v>
      </c>
      <c r="U333" s="5" t="str">
        <f ca="1">IFERROR(__xludf.DUMMYFUNCTION("""COMPUTED_VALUE"""),"No")</f>
        <v>No</v>
      </c>
      <c r="V333" s="5"/>
      <c r="W333" s="5"/>
      <c r="X333" s="5"/>
      <c r="Y333" s="5"/>
      <c r="Z333" s="5" t="str">
        <f ca="1">IFERROR(__xludf.DUMMYFUNCTION("""COMPUTED_VALUE"""),"No")</f>
        <v>No</v>
      </c>
      <c r="AA333" s="5"/>
      <c r="AB333" s="5"/>
      <c r="AC333" s="5"/>
    </row>
    <row r="334" spans="1:29" x14ac:dyDescent="0.25">
      <c r="A334" s="5" t="str">
        <f ca="1">IFERROR(__xludf.DUMMYFUNCTION("""COMPUTED_VALUE"""),"RedstoneSpinUp")</f>
        <v>RedstoneSpinUp</v>
      </c>
      <c r="B33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34" s="5" t="str">
        <f ca="1">IFERROR(__xludf.DUMMYFUNCTION("""COMPUTED_VALUE"""),"Yes")</f>
        <v>Yes</v>
      </c>
      <c r="D334" s="5" t="str">
        <f ca="1">IFERROR(__xludf.DUMMYFUNCTION("""COMPUTED_VALUE"""),"Yes")</f>
        <v>Yes</v>
      </c>
      <c r="E334" s="5" t="str">
        <f ca="1">IFERROR(__xludf.DUMMYFUNCTION("""COMPUTED_VALUE"""),"Yes")</f>
        <v>Yes</v>
      </c>
      <c r="F334" s="5" t="str">
        <f ca="1">IFERROR(__xludf.DUMMYFUNCTION("""COMPUTED_VALUE"""),"No")</f>
        <v>No</v>
      </c>
      <c r="G334" s="5" t="str">
        <f ca="1">IFERROR(__xludf.DUMMYFUNCTION("""COMPUTED_VALUE"""),"No")</f>
        <v>No</v>
      </c>
      <c r="H334" s="5" t="str">
        <f ca="1">IFERROR(__xludf.DUMMYFUNCTION("""COMPUTED_VALUE"""),"No")</f>
        <v>No</v>
      </c>
      <c r="I334" s="5" t="str">
        <f ca="1">IFERROR(__xludf.DUMMYFUNCTION("""COMPUTED_VALUE"""),"No")</f>
        <v>No</v>
      </c>
      <c r="J334" s="5" t="str">
        <f ca="1">IFERROR(__xludf.DUMMYFUNCTION("""COMPUTED_VALUE"""),"No")</f>
        <v>No</v>
      </c>
      <c r="K334" s="5" t="str">
        <f ca="1">IFERROR(__xludf.DUMMYFUNCTION("""COMPUTED_VALUE"""),"Yes")</f>
        <v>Yes</v>
      </c>
      <c r="L334" s="5" t="str">
        <f ca="1">IFERROR(__xludf.DUMMYFUNCTION("""COMPUTED_VALUE"""),"Yes")</f>
        <v>Yes</v>
      </c>
      <c r="M334" s="5" t="str">
        <f ca="1">IFERROR(__xludf.DUMMYFUNCTION("""COMPUTED_VALUE"""),"Yes")</f>
        <v>Yes</v>
      </c>
      <c r="N334" s="5" t="str">
        <f ca="1">IFERROR(__xludf.DUMMYFUNCTION("""COMPUTED_VALUE"""),"Yes")</f>
        <v>Yes</v>
      </c>
      <c r="O334" s="5" t="str">
        <f ca="1">IFERROR(__xludf.DUMMYFUNCTION("""COMPUTED_VALUE"""),"Yes")</f>
        <v>Yes</v>
      </c>
      <c r="P334" s="5" t="str">
        <f ca="1">IFERROR(__xludf.DUMMYFUNCTION("""COMPUTED_VALUE"""),"No")</f>
        <v>No</v>
      </c>
      <c r="Q334" s="5" t="str">
        <f ca="1">IFERROR(__xludf.DUMMYFUNCTION("""COMPUTED_VALUE"""),"Yes")</f>
        <v>Yes</v>
      </c>
      <c r="R334" s="5" t="str">
        <f ca="1">IFERROR(__xludf.DUMMYFUNCTION("""COMPUTED_VALUE"""),"No")</f>
        <v>No</v>
      </c>
      <c r="S334" s="5" t="str">
        <f ca="1">IFERROR(__xludf.DUMMYFUNCTION("""COMPUTED_VALUE"""),"No")</f>
        <v>No</v>
      </c>
      <c r="T334" s="5" t="str">
        <f ca="1">IFERROR(__xludf.DUMMYFUNCTION("""COMPUTED_VALUE"""),"No")</f>
        <v>No</v>
      </c>
      <c r="U334" s="5" t="str">
        <f ca="1">IFERROR(__xludf.DUMMYFUNCTION("""COMPUTED_VALUE"""),"No")</f>
        <v>No</v>
      </c>
      <c r="V334" s="5"/>
      <c r="W334" s="5"/>
      <c r="X334" s="5"/>
      <c r="Y334" s="5"/>
      <c r="Z334" s="5" t="str">
        <f ca="1">IFERROR(__xludf.DUMMYFUNCTION("""COMPUTED_VALUE"""),"No")</f>
        <v>No</v>
      </c>
      <c r="AA334" s="5"/>
      <c r="AB334" s="5"/>
      <c r="AC334" s="5"/>
    </row>
    <row r="335" spans="1:29" x14ac:dyDescent="0.25">
      <c r="A335" s="5" t="str">
        <f ca="1">IFERROR(__xludf.DUMMYFUNCTION("""COMPUTED_VALUE"""),"UnicornStickyHot")</f>
        <v>UnicornStickyHot</v>
      </c>
      <c r="B335"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35" s="5" t="str">
        <f ca="1">IFERROR(__xludf.DUMMYFUNCTION("""COMPUTED_VALUE"""),"Yes")</f>
        <v>Yes</v>
      </c>
      <c r="D335" s="5" t="str">
        <f ca="1">IFERROR(__xludf.DUMMYFUNCTION("""COMPUTED_VALUE"""),"Yes")</f>
        <v>Yes</v>
      </c>
      <c r="E335" s="5" t="str">
        <f ca="1">IFERROR(__xludf.DUMMYFUNCTION("""COMPUTED_VALUE"""),"No")</f>
        <v>No</v>
      </c>
      <c r="F335" s="5" t="str">
        <f ca="1">IFERROR(__xludf.DUMMYFUNCTION("""COMPUTED_VALUE"""),"Yes")</f>
        <v>Yes</v>
      </c>
      <c r="G335" s="5" t="str">
        <f ca="1">IFERROR(__xludf.DUMMYFUNCTION("""COMPUTED_VALUE"""),"Yes")</f>
        <v>Yes</v>
      </c>
      <c r="H335" s="5" t="str">
        <f ca="1">IFERROR(__xludf.DUMMYFUNCTION("""COMPUTED_VALUE"""),"Yes")</f>
        <v>Yes</v>
      </c>
      <c r="I335" s="5" t="str">
        <f ca="1">IFERROR(__xludf.DUMMYFUNCTION("""COMPUTED_VALUE"""),"Yes")</f>
        <v>Yes</v>
      </c>
      <c r="J335" s="5" t="str">
        <f ca="1">IFERROR(__xludf.DUMMYFUNCTION("""COMPUTED_VALUE"""),"Yes")</f>
        <v>Yes</v>
      </c>
      <c r="K335" s="5" t="str">
        <f ca="1">IFERROR(__xludf.DUMMYFUNCTION("""COMPUTED_VALUE"""),"Yes")</f>
        <v>Yes</v>
      </c>
      <c r="L335" s="5" t="str">
        <f ca="1">IFERROR(__xludf.DUMMYFUNCTION("""COMPUTED_VALUE"""),"Yes")</f>
        <v>Yes</v>
      </c>
      <c r="M335" s="5" t="str">
        <f ca="1">IFERROR(__xludf.DUMMYFUNCTION("""COMPUTED_VALUE"""),"Yes")</f>
        <v>Yes</v>
      </c>
      <c r="N335" s="5" t="str">
        <f ca="1">IFERROR(__xludf.DUMMYFUNCTION("""COMPUTED_VALUE"""),"Yes")</f>
        <v>Yes</v>
      </c>
      <c r="O335" s="5" t="str">
        <f ca="1">IFERROR(__xludf.DUMMYFUNCTION("""COMPUTED_VALUE"""),"Yes")</f>
        <v>Yes</v>
      </c>
      <c r="P335" s="5" t="str">
        <f ca="1">IFERROR(__xludf.DUMMYFUNCTION("""COMPUTED_VALUE"""),"No")</f>
        <v>No</v>
      </c>
      <c r="Q335" s="5" t="str">
        <f ca="1">IFERROR(__xludf.DUMMYFUNCTION("""COMPUTED_VALUE"""),"Yes")</f>
        <v>Yes</v>
      </c>
      <c r="R335" s="5" t="str">
        <f ca="1">IFERROR(__xludf.DUMMYFUNCTION("""COMPUTED_VALUE"""),"No")</f>
        <v>No</v>
      </c>
      <c r="S335" s="5" t="str">
        <f ca="1">IFERROR(__xludf.DUMMYFUNCTION("""COMPUTED_VALUE"""),"No")</f>
        <v>No</v>
      </c>
      <c r="T335" s="5" t="str">
        <f ca="1">IFERROR(__xludf.DUMMYFUNCTION("""COMPUTED_VALUE"""),"No")</f>
        <v>No</v>
      </c>
      <c r="U335" s="5" t="str">
        <f ca="1">IFERROR(__xludf.DUMMYFUNCTION("""COMPUTED_VALUE"""),"No")</f>
        <v>No</v>
      </c>
      <c r="V335" s="5" t="str">
        <f ca="1">IFERROR(__xludf.DUMMYFUNCTION("""COMPUTED_VALUE"""),"No")</f>
        <v>No</v>
      </c>
      <c r="W335" s="5" t="str">
        <f ca="1">IFERROR(__xludf.DUMMYFUNCTION("""COMPUTED_VALUE"""),"No")</f>
        <v>No</v>
      </c>
      <c r="X335" s="5" t="str">
        <f ca="1">IFERROR(__xludf.DUMMYFUNCTION("""COMPUTED_VALUE"""),"No")</f>
        <v>No</v>
      </c>
      <c r="Y335" s="5" t="str">
        <f ca="1">IFERROR(__xludf.DUMMYFUNCTION("""COMPUTED_VALUE"""),"No")</f>
        <v>No</v>
      </c>
      <c r="Z335" s="5" t="str">
        <f ca="1">IFERROR(__xludf.DUMMYFUNCTION("""COMPUTED_VALUE"""),"No")</f>
        <v>No</v>
      </c>
      <c r="AA335" s="5" t="str">
        <f ca="1">IFERROR(__xludf.DUMMYFUNCTION("""COMPUTED_VALUE"""),"No")</f>
        <v>No</v>
      </c>
      <c r="AB335" s="5" t="str">
        <f ca="1">IFERROR(__xludf.DUMMYFUNCTION("""COMPUTED_VALUE"""),"Yes")</f>
        <v>Yes</v>
      </c>
      <c r="AC335" s="5" t="str">
        <f ca="1">IFERROR(__xludf.DUMMYFUNCTION("""COMPUTED_VALUE"""),"No")</f>
        <v>No</v>
      </c>
    </row>
    <row r="336" spans="1:29" x14ac:dyDescent="0.25">
      <c r="A336" s="5" t="str">
        <f ca="1">IFERROR(__xludf.DUMMYFUNCTION("""COMPUTED_VALUE"""),"MegaHot10")</f>
        <v>MegaHot10</v>
      </c>
      <c r="B3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6" s="5" t="str">
        <f ca="1">IFERROR(__xludf.DUMMYFUNCTION("""COMPUTED_VALUE"""),"Yes")</f>
        <v>Yes</v>
      </c>
      <c r="D336" s="5" t="str">
        <f ca="1">IFERROR(__xludf.DUMMYFUNCTION("""COMPUTED_VALUE"""),"Yes")</f>
        <v>Yes</v>
      </c>
      <c r="E336" s="5" t="str">
        <f ca="1">IFERROR(__xludf.DUMMYFUNCTION("""COMPUTED_VALUE"""),"Yes")</f>
        <v>Yes</v>
      </c>
      <c r="F336" s="5" t="str">
        <f ca="1">IFERROR(__xludf.DUMMYFUNCTION("""COMPUTED_VALUE"""),"Yes")</f>
        <v>Yes</v>
      </c>
      <c r="G336" s="5" t="str">
        <f ca="1">IFERROR(__xludf.DUMMYFUNCTION("""COMPUTED_VALUE"""),"Yes")</f>
        <v>Yes</v>
      </c>
      <c r="H336" s="5" t="str">
        <f ca="1">IFERROR(__xludf.DUMMYFUNCTION("""COMPUTED_VALUE"""),"Yes")</f>
        <v>Yes</v>
      </c>
      <c r="I336" s="5" t="str">
        <f ca="1">IFERROR(__xludf.DUMMYFUNCTION("""COMPUTED_VALUE"""),"Yes")</f>
        <v>Yes</v>
      </c>
      <c r="J336" s="5" t="str">
        <f ca="1">IFERROR(__xludf.DUMMYFUNCTION("""COMPUTED_VALUE"""),"Yes")</f>
        <v>Yes</v>
      </c>
      <c r="K336" s="5" t="str">
        <f ca="1">IFERROR(__xludf.DUMMYFUNCTION("""COMPUTED_VALUE"""),"Yes")</f>
        <v>Yes</v>
      </c>
      <c r="L336" s="5" t="str">
        <f ca="1">IFERROR(__xludf.DUMMYFUNCTION("""COMPUTED_VALUE"""),"Yes")</f>
        <v>Yes</v>
      </c>
      <c r="M336" s="5" t="str">
        <f ca="1">IFERROR(__xludf.DUMMYFUNCTION("""COMPUTED_VALUE"""),"Yes")</f>
        <v>Yes</v>
      </c>
      <c r="N336" s="5" t="str">
        <f ca="1">IFERROR(__xludf.DUMMYFUNCTION("""COMPUTED_VALUE"""),"Yes")</f>
        <v>Yes</v>
      </c>
      <c r="O336" s="5" t="str">
        <f ca="1">IFERROR(__xludf.DUMMYFUNCTION("""COMPUTED_VALUE"""),"Yes")</f>
        <v>Yes</v>
      </c>
      <c r="P336" s="5" t="str">
        <f ca="1">IFERROR(__xludf.DUMMYFUNCTION("""COMPUTED_VALUE"""),"Yes")</f>
        <v>Yes</v>
      </c>
      <c r="Q336" s="5" t="str">
        <f ca="1">IFERROR(__xludf.DUMMYFUNCTION("""COMPUTED_VALUE"""),"Yes")</f>
        <v>Yes</v>
      </c>
      <c r="R336" s="5" t="str">
        <f ca="1">IFERROR(__xludf.DUMMYFUNCTION("""COMPUTED_VALUE"""),"Yes")</f>
        <v>Yes</v>
      </c>
      <c r="S336" s="5" t="str">
        <f ca="1">IFERROR(__xludf.DUMMYFUNCTION("""COMPUTED_VALUE"""),"Yes")</f>
        <v>Yes</v>
      </c>
      <c r="T336" s="5" t="str">
        <f ca="1">IFERROR(__xludf.DUMMYFUNCTION("""COMPUTED_VALUE"""),"Yes")</f>
        <v>Yes</v>
      </c>
      <c r="U336" s="5" t="str">
        <f ca="1">IFERROR(__xludf.DUMMYFUNCTION("""COMPUTED_VALUE"""),"Yes")</f>
        <v>Yes</v>
      </c>
      <c r="V336" s="5" t="str">
        <f ca="1">IFERROR(__xludf.DUMMYFUNCTION("""COMPUTED_VALUE"""),"Yes")</f>
        <v>Yes</v>
      </c>
      <c r="W336" s="5" t="str">
        <f ca="1">IFERROR(__xludf.DUMMYFUNCTION("""COMPUTED_VALUE"""),"Yes")</f>
        <v>Yes</v>
      </c>
      <c r="X336" s="5" t="str">
        <f ca="1">IFERROR(__xludf.DUMMYFUNCTION("""COMPUTED_VALUE"""),"Yes")</f>
        <v>Yes</v>
      </c>
      <c r="Y336" s="5" t="str">
        <f ca="1">IFERROR(__xludf.DUMMYFUNCTION("""COMPUTED_VALUE"""),"Yes")</f>
        <v>Yes</v>
      </c>
      <c r="Z336" s="5" t="str">
        <f ca="1">IFERROR(__xludf.DUMMYFUNCTION("""COMPUTED_VALUE"""),"Yes")</f>
        <v>Yes</v>
      </c>
      <c r="AA336" s="5" t="str">
        <f ca="1">IFERROR(__xludf.DUMMYFUNCTION("""COMPUTED_VALUE"""),"Yes")</f>
        <v>Yes</v>
      </c>
      <c r="AB336" s="5" t="str">
        <f ca="1">IFERROR(__xludf.DUMMYFUNCTION("""COMPUTED_VALUE"""),"Yes")</f>
        <v>Yes</v>
      </c>
      <c r="AC336" s="5" t="str">
        <f ca="1">IFERROR(__xludf.DUMMYFUNCTION("""COMPUTED_VALUE"""),"No")</f>
        <v>No</v>
      </c>
    </row>
    <row r="337" spans="1:29" x14ac:dyDescent="0.25">
      <c r="A337" s="5" t="str">
        <f ca="1">IFERROR(__xludf.DUMMYFUNCTION("""COMPUTED_VALUE"""),"WildHeat40")</f>
        <v>WildHeat40</v>
      </c>
      <c r="B3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7" s="5" t="str">
        <f ca="1">IFERROR(__xludf.DUMMYFUNCTION("""COMPUTED_VALUE"""),"Yes")</f>
        <v>Yes</v>
      </c>
      <c r="D337" s="5" t="str">
        <f ca="1">IFERROR(__xludf.DUMMYFUNCTION("""COMPUTED_VALUE"""),"Yes")</f>
        <v>Yes</v>
      </c>
      <c r="E337" s="5" t="str">
        <f ca="1">IFERROR(__xludf.DUMMYFUNCTION("""COMPUTED_VALUE"""),"Yes")</f>
        <v>Yes</v>
      </c>
      <c r="F337" s="5" t="str">
        <f ca="1">IFERROR(__xludf.DUMMYFUNCTION("""COMPUTED_VALUE"""),"Yes")</f>
        <v>Yes</v>
      </c>
      <c r="G337" s="5" t="str">
        <f ca="1">IFERROR(__xludf.DUMMYFUNCTION("""COMPUTED_VALUE"""),"Yes")</f>
        <v>Yes</v>
      </c>
      <c r="H337" s="5" t="str">
        <f ca="1">IFERROR(__xludf.DUMMYFUNCTION("""COMPUTED_VALUE"""),"Yes")</f>
        <v>Yes</v>
      </c>
      <c r="I337" s="5" t="str">
        <f ca="1">IFERROR(__xludf.DUMMYFUNCTION("""COMPUTED_VALUE"""),"Yes")</f>
        <v>Yes</v>
      </c>
      <c r="J337" s="5" t="str">
        <f ca="1">IFERROR(__xludf.DUMMYFUNCTION("""COMPUTED_VALUE"""),"Yes")</f>
        <v>Yes</v>
      </c>
      <c r="K337" s="5" t="str">
        <f ca="1">IFERROR(__xludf.DUMMYFUNCTION("""COMPUTED_VALUE"""),"Yes")</f>
        <v>Yes</v>
      </c>
      <c r="L337" s="5" t="str">
        <f ca="1">IFERROR(__xludf.DUMMYFUNCTION("""COMPUTED_VALUE"""),"Yes")</f>
        <v>Yes</v>
      </c>
      <c r="M337" s="5" t="str">
        <f ca="1">IFERROR(__xludf.DUMMYFUNCTION("""COMPUTED_VALUE"""),"Yes")</f>
        <v>Yes</v>
      </c>
      <c r="N337" s="5" t="str">
        <f ca="1">IFERROR(__xludf.DUMMYFUNCTION("""COMPUTED_VALUE"""),"Yes")</f>
        <v>Yes</v>
      </c>
      <c r="O337" s="5" t="str">
        <f ca="1">IFERROR(__xludf.DUMMYFUNCTION("""COMPUTED_VALUE"""),"Yes")</f>
        <v>Yes</v>
      </c>
      <c r="P337" s="5" t="str">
        <f ca="1">IFERROR(__xludf.DUMMYFUNCTION("""COMPUTED_VALUE"""),"Yes")</f>
        <v>Yes</v>
      </c>
      <c r="Q337" s="5" t="str">
        <f ca="1">IFERROR(__xludf.DUMMYFUNCTION("""COMPUTED_VALUE"""),"Yes")</f>
        <v>Yes</v>
      </c>
      <c r="R337" s="5" t="str">
        <f ca="1">IFERROR(__xludf.DUMMYFUNCTION("""COMPUTED_VALUE"""),"Yes")</f>
        <v>Yes</v>
      </c>
      <c r="S337" s="5" t="str">
        <f ca="1">IFERROR(__xludf.DUMMYFUNCTION("""COMPUTED_VALUE"""),"Yes")</f>
        <v>Yes</v>
      </c>
      <c r="T337" s="5" t="str">
        <f ca="1">IFERROR(__xludf.DUMMYFUNCTION("""COMPUTED_VALUE"""),"Yes")</f>
        <v>Yes</v>
      </c>
      <c r="U337" s="5" t="str">
        <f ca="1">IFERROR(__xludf.DUMMYFUNCTION("""COMPUTED_VALUE"""),"Yes")</f>
        <v>Yes</v>
      </c>
      <c r="V337" s="5" t="str">
        <f ca="1">IFERROR(__xludf.DUMMYFUNCTION("""COMPUTED_VALUE"""),"Yes")</f>
        <v>Yes</v>
      </c>
      <c r="W337" s="5" t="str">
        <f ca="1">IFERROR(__xludf.DUMMYFUNCTION("""COMPUTED_VALUE"""),"Yes")</f>
        <v>Yes</v>
      </c>
      <c r="X337" s="5" t="str">
        <f ca="1">IFERROR(__xludf.DUMMYFUNCTION("""COMPUTED_VALUE"""),"Yes")</f>
        <v>Yes</v>
      </c>
      <c r="Y337" s="5" t="str">
        <f ca="1">IFERROR(__xludf.DUMMYFUNCTION("""COMPUTED_VALUE"""),"Yes")</f>
        <v>Yes</v>
      </c>
      <c r="Z337" s="5" t="str">
        <f ca="1">IFERROR(__xludf.DUMMYFUNCTION("""COMPUTED_VALUE"""),"Yes")</f>
        <v>Yes</v>
      </c>
      <c r="AA337" s="5" t="str">
        <f ca="1">IFERROR(__xludf.DUMMYFUNCTION("""COMPUTED_VALUE"""),"Yes")</f>
        <v>Yes</v>
      </c>
      <c r="AB337" s="5" t="str">
        <f ca="1">IFERROR(__xludf.DUMMYFUNCTION("""COMPUTED_VALUE"""),"Yes")</f>
        <v>Yes</v>
      </c>
      <c r="AC337" s="5" t="str">
        <f ca="1">IFERROR(__xludf.DUMMYFUNCTION("""COMPUTED_VALUE"""),"No")</f>
        <v>No</v>
      </c>
    </row>
    <row r="338" spans="1:29" x14ac:dyDescent="0.25">
      <c r="A338" s="5" t="str">
        <f ca="1">IFERROR(__xludf.DUMMYFUNCTION("""COMPUTED_VALUE"""),"BlowFruits40")</f>
        <v>BlowFruits40</v>
      </c>
      <c r="B3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8" s="5" t="str">
        <f ca="1">IFERROR(__xludf.DUMMYFUNCTION("""COMPUTED_VALUE"""),"Yes")</f>
        <v>Yes</v>
      </c>
      <c r="D338" s="5" t="str">
        <f ca="1">IFERROR(__xludf.DUMMYFUNCTION("""COMPUTED_VALUE"""),"Yes")</f>
        <v>Yes</v>
      </c>
      <c r="E338" s="5" t="str">
        <f ca="1">IFERROR(__xludf.DUMMYFUNCTION("""COMPUTED_VALUE"""),"Yes")</f>
        <v>Yes</v>
      </c>
      <c r="F338" s="5" t="str">
        <f ca="1">IFERROR(__xludf.DUMMYFUNCTION("""COMPUTED_VALUE"""),"Yes")</f>
        <v>Yes</v>
      </c>
      <c r="G338" s="5" t="str">
        <f ca="1">IFERROR(__xludf.DUMMYFUNCTION("""COMPUTED_VALUE"""),"Yes")</f>
        <v>Yes</v>
      </c>
      <c r="H338" s="5" t="str">
        <f ca="1">IFERROR(__xludf.DUMMYFUNCTION("""COMPUTED_VALUE"""),"Yes")</f>
        <v>Yes</v>
      </c>
      <c r="I338" s="5" t="str">
        <f ca="1">IFERROR(__xludf.DUMMYFUNCTION("""COMPUTED_VALUE"""),"Yes")</f>
        <v>Yes</v>
      </c>
      <c r="J338" s="5" t="str">
        <f ca="1">IFERROR(__xludf.DUMMYFUNCTION("""COMPUTED_VALUE"""),"Yes")</f>
        <v>Yes</v>
      </c>
      <c r="K338" s="5" t="str">
        <f ca="1">IFERROR(__xludf.DUMMYFUNCTION("""COMPUTED_VALUE"""),"Yes")</f>
        <v>Yes</v>
      </c>
      <c r="L338" s="5" t="str">
        <f ca="1">IFERROR(__xludf.DUMMYFUNCTION("""COMPUTED_VALUE"""),"Yes")</f>
        <v>Yes</v>
      </c>
      <c r="M338" s="5" t="str">
        <f ca="1">IFERROR(__xludf.DUMMYFUNCTION("""COMPUTED_VALUE"""),"Yes")</f>
        <v>Yes</v>
      </c>
      <c r="N338" s="5" t="str">
        <f ca="1">IFERROR(__xludf.DUMMYFUNCTION("""COMPUTED_VALUE"""),"Yes")</f>
        <v>Yes</v>
      </c>
      <c r="O338" s="5" t="str">
        <f ca="1">IFERROR(__xludf.DUMMYFUNCTION("""COMPUTED_VALUE"""),"Yes")</f>
        <v>Yes</v>
      </c>
      <c r="P338" s="5" t="str">
        <f ca="1">IFERROR(__xludf.DUMMYFUNCTION("""COMPUTED_VALUE"""),"Yes")</f>
        <v>Yes</v>
      </c>
      <c r="Q338" s="5" t="str">
        <f ca="1">IFERROR(__xludf.DUMMYFUNCTION("""COMPUTED_VALUE"""),"Yes")</f>
        <v>Yes</v>
      </c>
      <c r="R338" s="5" t="str">
        <f ca="1">IFERROR(__xludf.DUMMYFUNCTION("""COMPUTED_VALUE"""),"Yes")</f>
        <v>Yes</v>
      </c>
      <c r="S338" s="5" t="str">
        <f ca="1">IFERROR(__xludf.DUMMYFUNCTION("""COMPUTED_VALUE"""),"Yes")</f>
        <v>Yes</v>
      </c>
      <c r="T338" s="5" t="str">
        <f ca="1">IFERROR(__xludf.DUMMYFUNCTION("""COMPUTED_VALUE"""),"Yes")</f>
        <v>Yes</v>
      </c>
      <c r="U338" s="5" t="str">
        <f ca="1">IFERROR(__xludf.DUMMYFUNCTION("""COMPUTED_VALUE"""),"Yes")</f>
        <v>Yes</v>
      </c>
      <c r="V338" s="5" t="str">
        <f ca="1">IFERROR(__xludf.DUMMYFUNCTION("""COMPUTED_VALUE"""),"Yes")</f>
        <v>Yes</v>
      </c>
      <c r="W338" s="5" t="str">
        <f ca="1">IFERROR(__xludf.DUMMYFUNCTION("""COMPUTED_VALUE"""),"Yes")</f>
        <v>Yes</v>
      </c>
      <c r="X338" s="5" t="str">
        <f ca="1">IFERROR(__xludf.DUMMYFUNCTION("""COMPUTED_VALUE"""),"Yes")</f>
        <v>Yes</v>
      </c>
      <c r="Y338" s="5" t="str">
        <f ca="1">IFERROR(__xludf.DUMMYFUNCTION("""COMPUTED_VALUE"""),"Yes")</f>
        <v>Yes</v>
      </c>
      <c r="Z338" s="5" t="str">
        <f ca="1">IFERROR(__xludf.DUMMYFUNCTION("""COMPUTED_VALUE"""),"Yes")</f>
        <v>Yes</v>
      </c>
      <c r="AA338" s="5" t="str">
        <f ca="1">IFERROR(__xludf.DUMMYFUNCTION("""COMPUTED_VALUE"""),"Yes")</f>
        <v>Yes</v>
      </c>
      <c r="AB338" s="5" t="str">
        <f ca="1">IFERROR(__xludf.DUMMYFUNCTION("""COMPUTED_VALUE"""),"Yes")</f>
        <v>Yes</v>
      </c>
      <c r="AC338" s="5" t="str">
        <f ca="1">IFERROR(__xludf.DUMMYFUNCTION("""COMPUTED_VALUE"""),"No")</f>
        <v>No</v>
      </c>
    </row>
    <row r="339" spans="1:29" x14ac:dyDescent="0.25">
      <c r="A339" s="5" t="str">
        <f ca="1">IFERROR(__xludf.DUMMYFUNCTION("""COMPUTED_VALUE"""),"AgeOfRome")</f>
        <v>AgeOfRome</v>
      </c>
      <c r="B3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9" s="5" t="str">
        <f ca="1">IFERROR(__xludf.DUMMYFUNCTION("""COMPUTED_VALUE"""),"Yes")</f>
        <v>Yes</v>
      </c>
      <c r="D339" s="5" t="str">
        <f ca="1">IFERROR(__xludf.DUMMYFUNCTION("""COMPUTED_VALUE"""),"Yes")</f>
        <v>Yes</v>
      </c>
      <c r="E339" s="5" t="str">
        <f ca="1">IFERROR(__xludf.DUMMYFUNCTION("""COMPUTED_VALUE"""),"Yes")</f>
        <v>Yes</v>
      </c>
      <c r="F339" s="5" t="str">
        <f ca="1">IFERROR(__xludf.DUMMYFUNCTION("""COMPUTED_VALUE"""),"Yes")</f>
        <v>Yes</v>
      </c>
      <c r="G339" s="5" t="str">
        <f ca="1">IFERROR(__xludf.DUMMYFUNCTION("""COMPUTED_VALUE"""),"Yes")</f>
        <v>Yes</v>
      </c>
      <c r="H339" s="5" t="str">
        <f ca="1">IFERROR(__xludf.DUMMYFUNCTION("""COMPUTED_VALUE"""),"Yes")</f>
        <v>Yes</v>
      </c>
      <c r="I339" s="5" t="str">
        <f ca="1">IFERROR(__xludf.DUMMYFUNCTION("""COMPUTED_VALUE"""),"Yes")</f>
        <v>Yes</v>
      </c>
      <c r="J339" s="5" t="str">
        <f ca="1">IFERROR(__xludf.DUMMYFUNCTION("""COMPUTED_VALUE"""),"Yes")</f>
        <v>Yes</v>
      </c>
      <c r="K339" s="5" t="str">
        <f ca="1">IFERROR(__xludf.DUMMYFUNCTION("""COMPUTED_VALUE"""),"Yes")</f>
        <v>Yes</v>
      </c>
      <c r="L339" s="5" t="str">
        <f ca="1">IFERROR(__xludf.DUMMYFUNCTION("""COMPUTED_VALUE"""),"Yes")</f>
        <v>Yes</v>
      </c>
      <c r="M339" s="5" t="str">
        <f ca="1">IFERROR(__xludf.DUMMYFUNCTION("""COMPUTED_VALUE"""),"Yes")</f>
        <v>Yes</v>
      </c>
      <c r="N339" s="5" t="str">
        <f ca="1">IFERROR(__xludf.DUMMYFUNCTION("""COMPUTED_VALUE"""),"Yes")</f>
        <v>Yes</v>
      </c>
      <c r="O339" s="5" t="str">
        <f ca="1">IFERROR(__xludf.DUMMYFUNCTION("""COMPUTED_VALUE"""),"Yes")</f>
        <v>Yes</v>
      </c>
      <c r="P339" s="5" t="str">
        <f ca="1">IFERROR(__xludf.DUMMYFUNCTION("""COMPUTED_VALUE"""),"Yes")</f>
        <v>Yes</v>
      </c>
      <c r="Q339" s="5" t="str">
        <f ca="1">IFERROR(__xludf.DUMMYFUNCTION("""COMPUTED_VALUE"""),"Yes")</f>
        <v>Yes</v>
      </c>
      <c r="R339" s="5" t="str">
        <f ca="1">IFERROR(__xludf.DUMMYFUNCTION("""COMPUTED_VALUE"""),"Yes")</f>
        <v>Yes</v>
      </c>
      <c r="S339" s="5" t="str">
        <f ca="1">IFERROR(__xludf.DUMMYFUNCTION("""COMPUTED_VALUE"""),"Yes")</f>
        <v>Yes</v>
      </c>
      <c r="T339" s="5" t="str">
        <f ca="1">IFERROR(__xludf.DUMMYFUNCTION("""COMPUTED_VALUE"""),"Yes")</f>
        <v>Yes</v>
      </c>
      <c r="U339" s="5" t="str">
        <f ca="1">IFERROR(__xludf.DUMMYFUNCTION("""COMPUTED_VALUE"""),"Yes")</f>
        <v>Yes</v>
      </c>
      <c r="V339" s="5" t="str">
        <f ca="1">IFERROR(__xludf.DUMMYFUNCTION("""COMPUTED_VALUE"""),"Yes")</f>
        <v>Yes</v>
      </c>
      <c r="W339" s="5" t="str">
        <f ca="1">IFERROR(__xludf.DUMMYFUNCTION("""COMPUTED_VALUE"""),"Yes")</f>
        <v>Yes</v>
      </c>
      <c r="X339" s="5" t="str">
        <f ca="1">IFERROR(__xludf.DUMMYFUNCTION("""COMPUTED_VALUE"""),"Yes")</f>
        <v>Yes</v>
      </c>
      <c r="Y339" s="5" t="str">
        <f ca="1">IFERROR(__xludf.DUMMYFUNCTION("""COMPUTED_VALUE"""),"Yes")</f>
        <v>Yes</v>
      </c>
      <c r="Z339" s="5" t="str">
        <f ca="1">IFERROR(__xludf.DUMMYFUNCTION("""COMPUTED_VALUE"""),"Yes")</f>
        <v>Yes</v>
      </c>
      <c r="AA339" s="5" t="str">
        <f ca="1">IFERROR(__xludf.DUMMYFUNCTION("""COMPUTED_VALUE"""),"Yes")</f>
        <v>Yes</v>
      </c>
      <c r="AB339" s="5" t="str">
        <f ca="1">IFERROR(__xludf.DUMMYFUNCTION("""COMPUTED_VALUE"""),"Yes")</f>
        <v>Yes</v>
      </c>
      <c r="AC339" s="5" t="str">
        <f ca="1">IFERROR(__xludf.DUMMYFUNCTION("""COMPUTED_VALUE"""),"No")</f>
        <v>No</v>
      </c>
    </row>
    <row r="340" spans="1:29" x14ac:dyDescent="0.25">
      <c r="A340" s="5" t="str">
        <f ca="1">IFERROR(__xludf.DUMMYFUNCTION("""COMPUTED_VALUE"""),"FruityForce40")</f>
        <v>FruityForce40</v>
      </c>
      <c r="B3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0" s="5" t="str">
        <f ca="1">IFERROR(__xludf.DUMMYFUNCTION("""COMPUTED_VALUE"""),"Yes")</f>
        <v>Yes</v>
      </c>
      <c r="D340" s="5" t="str">
        <f ca="1">IFERROR(__xludf.DUMMYFUNCTION("""COMPUTED_VALUE"""),"Yes")</f>
        <v>Yes</v>
      </c>
      <c r="E340" s="5" t="str">
        <f ca="1">IFERROR(__xludf.DUMMYFUNCTION("""COMPUTED_VALUE"""),"Yes")</f>
        <v>Yes</v>
      </c>
      <c r="F340" s="5" t="str">
        <f ca="1">IFERROR(__xludf.DUMMYFUNCTION("""COMPUTED_VALUE"""),"Yes")</f>
        <v>Yes</v>
      </c>
      <c r="G340" s="5" t="str">
        <f ca="1">IFERROR(__xludf.DUMMYFUNCTION("""COMPUTED_VALUE"""),"Yes")</f>
        <v>Yes</v>
      </c>
      <c r="H340" s="5" t="str">
        <f ca="1">IFERROR(__xludf.DUMMYFUNCTION("""COMPUTED_VALUE"""),"Yes")</f>
        <v>Yes</v>
      </c>
      <c r="I340" s="5" t="str">
        <f ca="1">IFERROR(__xludf.DUMMYFUNCTION("""COMPUTED_VALUE"""),"Yes")</f>
        <v>Yes</v>
      </c>
      <c r="J340" s="5" t="str">
        <f ca="1">IFERROR(__xludf.DUMMYFUNCTION("""COMPUTED_VALUE"""),"Yes")</f>
        <v>Yes</v>
      </c>
      <c r="K340" s="5" t="str">
        <f ca="1">IFERROR(__xludf.DUMMYFUNCTION("""COMPUTED_VALUE"""),"Yes")</f>
        <v>Yes</v>
      </c>
      <c r="L340" s="5" t="str">
        <f ca="1">IFERROR(__xludf.DUMMYFUNCTION("""COMPUTED_VALUE"""),"Yes")</f>
        <v>Yes</v>
      </c>
      <c r="M340" s="5" t="str">
        <f ca="1">IFERROR(__xludf.DUMMYFUNCTION("""COMPUTED_VALUE"""),"Yes")</f>
        <v>Yes</v>
      </c>
      <c r="N340" s="5" t="str">
        <f ca="1">IFERROR(__xludf.DUMMYFUNCTION("""COMPUTED_VALUE"""),"Yes")</f>
        <v>Yes</v>
      </c>
      <c r="O340" s="5" t="str">
        <f ca="1">IFERROR(__xludf.DUMMYFUNCTION("""COMPUTED_VALUE"""),"Yes")</f>
        <v>Yes</v>
      </c>
      <c r="P340" s="5" t="str">
        <f ca="1">IFERROR(__xludf.DUMMYFUNCTION("""COMPUTED_VALUE"""),"Yes")</f>
        <v>Yes</v>
      </c>
      <c r="Q340" s="5" t="str">
        <f ca="1">IFERROR(__xludf.DUMMYFUNCTION("""COMPUTED_VALUE"""),"Yes")</f>
        <v>Yes</v>
      </c>
      <c r="R340" s="5" t="str">
        <f ca="1">IFERROR(__xludf.DUMMYFUNCTION("""COMPUTED_VALUE"""),"Yes")</f>
        <v>Yes</v>
      </c>
      <c r="S340" s="5" t="str">
        <f ca="1">IFERROR(__xludf.DUMMYFUNCTION("""COMPUTED_VALUE"""),"Yes")</f>
        <v>Yes</v>
      </c>
      <c r="T340" s="5" t="str">
        <f ca="1">IFERROR(__xludf.DUMMYFUNCTION("""COMPUTED_VALUE"""),"Yes")</f>
        <v>Yes</v>
      </c>
      <c r="U340" s="5" t="str">
        <f ca="1">IFERROR(__xludf.DUMMYFUNCTION("""COMPUTED_VALUE"""),"Yes")</f>
        <v>Yes</v>
      </c>
      <c r="V340" s="5" t="str">
        <f ca="1">IFERROR(__xludf.DUMMYFUNCTION("""COMPUTED_VALUE"""),"Yes")</f>
        <v>Yes</v>
      </c>
      <c r="W340" s="5" t="str">
        <f ca="1">IFERROR(__xludf.DUMMYFUNCTION("""COMPUTED_VALUE"""),"Yes")</f>
        <v>Yes</v>
      </c>
      <c r="X340" s="5" t="str">
        <f ca="1">IFERROR(__xludf.DUMMYFUNCTION("""COMPUTED_VALUE"""),"Yes")</f>
        <v>Yes</v>
      </c>
      <c r="Y340" s="5" t="str">
        <f ca="1">IFERROR(__xludf.DUMMYFUNCTION("""COMPUTED_VALUE"""),"Yes")</f>
        <v>Yes</v>
      </c>
      <c r="Z340" s="5" t="str">
        <f ca="1">IFERROR(__xludf.DUMMYFUNCTION("""COMPUTED_VALUE"""),"Yes")</f>
        <v>Yes</v>
      </c>
      <c r="AA340" s="5" t="str">
        <f ca="1">IFERROR(__xludf.DUMMYFUNCTION("""COMPUTED_VALUE"""),"Yes")</f>
        <v>Yes</v>
      </c>
      <c r="AB340" s="5" t="str">
        <f ca="1">IFERROR(__xludf.DUMMYFUNCTION("""COMPUTED_VALUE"""),"Yes")</f>
        <v>Yes</v>
      </c>
      <c r="AC340" s="5" t="str">
        <f ca="1">IFERROR(__xludf.DUMMYFUNCTION("""COMPUTED_VALUE"""),"No")</f>
        <v>No</v>
      </c>
    </row>
    <row r="341" spans="1:29" x14ac:dyDescent="0.25">
      <c r="A341" s="5" t="str">
        <f ca="1">IFERROR(__xludf.DUMMYFUNCTION("""COMPUTED_VALUE"""),"BonusCrown")</f>
        <v>BonusCrown</v>
      </c>
      <c r="B3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1" s="5" t="str">
        <f ca="1">IFERROR(__xludf.DUMMYFUNCTION("""COMPUTED_VALUE"""),"Yes")</f>
        <v>Yes</v>
      </c>
      <c r="D341" s="5" t="str">
        <f ca="1">IFERROR(__xludf.DUMMYFUNCTION("""COMPUTED_VALUE"""),"Yes")</f>
        <v>Yes</v>
      </c>
      <c r="E341" s="5" t="str">
        <f ca="1">IFERROR(__xludf.DUMMYFUNCTION("""COMPUTED_VALUE"""),"Yes")</f>
        <v>Yes</v>
      </c>
      <c r="F341" s="5" t="str">
        <f ca="1">IFERROR(__xludf.DUMMYFUNCTION("""COMPUTED_VALUE"""),"Yes")</f>
        <v>Yes</v>
      </c>
      <c r="G341" s="5" t="str">
        <f ca="1">IFERROR(__xludf.DUMMYFUNCTION("""COMPUTED_VALUE"""),"Yes")</f>
        <v>Yes</v>
      </c>
      <c r="H341" s="5" t="str">
        <f ca="1">IFERROR(__xludf.DUMMYFUNCTION("""COMPUTED_VALUE"""),"Yes")</f>
        <v>Yes</v>
      </c>
      <c r="I341" s="5" t="str">
        <f ca="1">IFERROR(__xludf.DUMMYFUNCTION("""COMPUTED_VALUE"""),"Yes")</f>
        <v>Yes</v>
      </c>
      <c r="J341" s="5" t="str">
        <f ca="1">IFERROR(__xludf.DUMMYFUNCTION("""COMPUTED_VALUE"""),"Yes")</f>
        <v>Yes</v>
      </c>
      <c r="K341" s="5" t="str">
        <f ca="1">IFERROR(__xludf.DUMMYFUNCTION("""COMPUTED_VALUE"""),"Yes")</f>
        <v>Yes</v>
      </c>
      <c r="L341" s="5" t="str">
        <f ca="1">IFERROR(__xludf.DUMMYFUNCTION("""COMPUTED_VALUE"""),"Yes")</f>
        <v>Yes</v>
      </c>
      <c r="M341" s="5" t="str">
        <f ca="1">IFERROR(__xludf.DUMMYFUNCTION("""COMPUTED_VALUE"""),"Yes")</f>
        <v>Yes</v>
      </c>
      <c r="N341" s="5" t="str">
        <f ca="1">IFERROR(__xludf.DUMMYFUNCTION("""COMPUTED_VALUE"""),"Yes")</f>
        <v>Yes</v>
      </c>
      <c r="O341" s="5" t="str">
        <f ca="1">IFERROR(__xludf.DUMMYFUNCTION("""COMPUTED_VALUE"""),"Yes")</f>
        <v>Yes</v>
      </c>
      <c r="P341" s="5" t="str">
        <f ca="1">IFERROR(__xludf.DUMMYFUNCTION("""COMPUTED_VALUE"""),"Yes")</f>
        <v>Yes</v>
      </c>
      <c r="Q341" s="5" t="str">
        <f ca="1">IFERROR(__xludf.DUMMYFUNCTION("""COMPUTED_VALUE"""),"Yes")</f>
        <v>Yes</v>
      </c>
      <c r="R341" s="5" t="str">
        <f ca="1">IFERROR(__xludf.DUMMYFUNCTION("""COMPUTED_VALUE"""),"Yes")</f>
        <v>Yes</v>
      </c>
      <c r="S341" s="5" t="str">
        <f ca="1">IFERROR(__xludf.DUMMYFUNCTION("""COMPUTED_VALUE"""),"Yes")</f>
        <v>Yes</v>
      </c>
      <c r="T341" s="5" t="str">
        <f ca="1">IFERROR(__xludf.DUMMYFUNCTION("""COMPUTED_VALUE"""),"Yes")</f>
        <v>Yes</v>
      </c>
      <c r="U341" s="5" t="str">
        <f ca="1">IFERROR(__xludf.DUMMYFUNCTION("""COMPUTED_VALUE"""),"Yes")</f>
        <v>Yes</v>
      </c>
      <c r="V341" s="5" t="str">
        <f ca="1">IFERROR(__xludf.DUMMYFUNCTION("""COMPUTED_VALUE"""),"Yes")</f>
        <v>Yes</v>
      </c>
      <c r="W341" s="5" t="str">
        <f ca="1">IFERROR(__xludf.DUMMYFUNCTION("""COMPUTED_VALUE"""),"Yes")</f>
        <v>Yes</v>
      </c>
      <c r="X341" s="5" t="str">
        <f ca="1">IFERROR(__xludf.DUMMYFUNCTION("""COMPUTED_VALUE"""),"Yes")</f>
        <v>Yes</v>
      </c>
      <c r="Y341" s="5" t="str">
        <f ca="1">IFERROR(__xludf.DUMMYFUNCTION("""COMPUTED_VALUE"""),"Yes")</f>
        <v>Yes</v>
      </c>
      <c r="Z341" s="5" t="str">
        <f ca="1">IFERROR(__xludf.DUMMYFUNCTION("""COMPUTED_VALUE"""),"Yes")</f>
        <v>Yes</v>
      </c>
      <c r="AA341" s="5" t="str">
        <f ca="1">IFERROR(__xludf.DUMMYFUNCTION("""COMPUTED_VALUE"""),"Yes")</f>
        <v>Yes</v>
      </c>
      <c r="AB341" s="5" t="str">
        <f ca="1">IFERROR(__xludf.DUMMYFUNCTION("""COMPUTED_VALUE"""),"Yes")</f>
        <v>Yes</v>
      </c>
      <c r="AC341" s="5" t="str">
        <f ca="1">IFERROR(__xludf.DUMMYFUNCTION("""COMPUTED_VALUE"""),"No")</f>
        <v>No</v>
      </c>
    </row>
    <row r="342" spans="1:29" x14ac:dyDescent="0.25">
      <c r="A342" s="5" t="str">
        <f ca="1">IFERROR(__xludf.DUMMYFUNCTION("""COMPUTED_VALUE"""),"AquaFlame")</f>
        <v>AquaFlame</v>
      </c>
      <c r="B3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2" s="5" t="str">
        <f ca="1">IFERROR(__xludf.DUMMYFUNCTION("""COMPUTED_VALUE"""),"Yes")</f>
        <v>Yes</v>
      </c>
      <c r="D342" s="5" t="str">
        <f ca="1">IFERROR(__xludf.DUMMYFUNCTION("""COMPUTED_VALUE"""),"Yes")</f>
        <v>Yes</v>
      </c>
      <c r="E342" s="5" t="str">
        <f ca="1">IFERROR(__xludf.DUMMYFUNCTION("""COMPUTED_VALUE"""),"Yes")</f>
        <v>Yes</v>
      </c>
      <c r="F342" s="5" t="str">
        <f ca="1">IFERROR(__xludf.DUMMYFUNCTION("""COMPUTED_VALUE"""),"Yes")</f>
        <v>Yes</v>
      </c>
      <c r="G342" s="5" t="str">
        <f ca="1">IFERROR(__xludf.DUMMYFUNCTION("""COMPUTED_VALUE"""),"Yes")</f>
        <v>Yes</v>
      </c>
      <c r="H342" s="5" t="str">
        <f ca="1">IFERROR(__xludf.DUMMYFUNCTION("""COMPUTED_VALUE"""),"Yes")</f>
        <v>Yes</v>
      </c>
      <c r="I342" s="5" t="str">
        <f ca="1">IFERROR(__xludf.DUMMYFUNCTION("""COMPUTED_VALUE"""),"Yes")</f>
        <v>Yes</v>
      </c>
      <c r="J342" s="5" t="str">
        <f ca="1">IFERROR(__xludf.DUMMYFUNCTION("""COMPUTED_VALUE"""),"Yes")</f>
        <v>Yes</v>
      </c>
      <c r="K342" s="5" t="str">
        <f ca="1">IFERROR(__xludf.DUMMYFUNCTION("""COMPUTED_VALUE"""),"Yes")</f>
        <v>Yes</v>
      </c>
      <c r="L342" s="5" t="str">
        <f ca="1">IFERROR(__xludf.DUMMYFUNCTION("""COMPUTED_VALUE"""),"Yes")</f>
        <v>Yes</v>
      </c>
      <c r="M342" s="5" t="str">
        <f ca="1">IFERROR(__xludf.DUMMYFUNCTION("""COMPUTED_VALUE"""),"Yes")</f>
        <v>Yes</v>
      </c>
      <c r="N342" s="5" t="str">
        <f ca="1">IFERROR(__xludf.DUMMYFUNCTION("""COMPUTED_VALUE"""),"Yes")</f>
        <v>Yes</v>
      </c>
      <c r="O342" s="5" t="str">
        <f ca="1">IFERROR(__xludf.DUMMYFUNCTION("""COMPUTED_VALUE"""),"Yes")</f>
        <v>Yes</v>
      </c>
      <c r="P342" s="5" t="str">
        <f ca="1">IFERROR(__xludf.DUMMYFUNCTION("""COMPUTED_VALUE"""),"Yes")</f>
        <v>Yes</v>
      </c>
      <c r="Q342" s="5" t="str">
        <f ca="1">IFERROR(__xludf.DUMMYFUNCTION("""COMPUTED_VALUE"""),"Yes")</f>
        <v>Yes</v>
      </c>
      <c r="R342" s="5" t="str">
        <f ca="1">IFERROR(__xludf.DUMMYFUNCTION("""COMPUTED_VALUE"""),"Yes")</f>
        <v>Yes</v>
      </c>
      <c r="S342" s="5" t="str">
        <f ca="1">IFERROR(__xludf.DUMMYFUNCTION("""COMPUTED_VALUE"""),"Yes")</f>
        <v>Yes</v>
      </c>
      <c r="T342" s="5" t="str">
        <f ca="1">IFERROR(__xludf.DUMMYFUNCTION("""COMPUTED_VALUE"""),"Yes")</f>
        <v>Yes</v>
      </c>
      <c r="U342" s="5" t="str">
        <f ca="1">IFERROR(__xludf.DUMMYFUNCTION("""COMPUTED_VALUE"""),"Yes")</f>
        <v>Yes</v>
      </c>
      <c r="V342" s="5" t="str">
        <f ca="1">IFERROR(__xludf.DUMMYFUNCTION("""COMPUTED_VALUE"""),"Yes")</f>
        <v>Yes</v>
      </c>
      <c r="W342" s="5" t="str">
        <f ca="1">IFERROR(__xludf.DUMMYFUNCTION("""COMPUTED_VALUE"""),"Yes")</f>
        <v>Yes</v>
      </c>
      <c r="X342" s="5" t="str">
        <f ca="1">IFERROR(__xludf.DUMMYFUNCTION("""COMPUTED_VALUE"""),"Yes")</f>
        <v>Yes</v>
      </c>
      <c r="Y342" s="5" t="str">
        <f ca="1">IFERROR(__xludf.DUMMYFUNCTION("""COMPUTED_VALUE"""),"Yes")</f>
        <v>Yes</v>
      </c>
      <c r="Z342" s="5" t="str">
        <f ca="1">IFERROR(__xludf.DUMMYFUNCTION("""COMPUTED_VALUE"""),"Yes")</f>
        <v>Yes</v>
      </c>
      <c r="AA342" s="5" t="str">
        <f ca="1">IFERROR(__xludf.DUMMYFUNCTION("""COMPUTED_VALUE"""),"Yes")</f>
        <v>Yes</v>
      </c>
      <c r="AB342" s="5" t="str">
        <f ca="1">IFERROR(__xludf.DUMMYFUNCTION("""COMPUTED_VALUE"""),"Yes")</f>
        <v>Yes</v>
      </c>
      <c r="AC342" s="5" t="str">
        <f ca="1">IFERROR(__xludf.DUMMYFUNCTION("""COMPUTED_VALUE"""),"No")</f>
        <v>No</v>
      </c>
    </row>
    <row r="343" spans="1:29" x14ac:dyDescent="0.25">
      <c r="A343" s="5" t="str">
        <f ca="1">IFERROR(__xludf.DUMMYFUNCTION("""COMPUTED_VALUE"""),"CrownOfSecret")</f>
        <v>CrownOfSecret</v>
      </c>
      <c r="B3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3" s="5" t="str">
        <f ca="1">IFERROR(__xludf.DUMMYFUNCTION("""COMPUTED_VALUE"""),"Yes")</f>
        <v>Yes</v>
      </c>
      <c r="D343" s="5" t="str">
        <f ca="1">IFERROR(__xludf.DUMMYFUNCTION("""COMPUTED_VALUE"""),"Yes")</f>
        <v>Yes</v>
      </c>
      <c r="E343" s="5" t="str">
        <f ca="1">IFERROR(__xludf.DUMMYFUNCTION("""COMPUTED_VALUE"""),"Yes")</f>
        <v>Yes</v>
      </c>
      <c r="F343" s="5" t="str">
        <f ca="1">IFERROR(__xludf.DUMMYFUNCTION("""COMPUTED_VALUE"""),"Yes")</f>
        <v>Yes</v>
      </c>
      <c r="G343" s="5" t="str">
        <f ca="1">IFERROR(__xludf.DUMMYFUNCTION("""COMPUTED_VALUE"""),"Yes")</f>
        <v>Yes</v>
      </c>
      <c r="H343" s="5" t="str">
        <f ca="1">IFERROR(__xludf.DUMMYFUNCTION("""COMPUTED_VALUE"""),"Yes")</f>
        <v>Yes</v>
      </c>
      <c r="I343" s="5" t="str">
        <f ca="1">IFERROR(__xludf.DUMMYFUNCTION("""COMPUTED_VALUE"""),"Yes")</f>
        <v>Yes</v>
      </c>
      <c r="J343" s="5" t="str">
        <f ca="1">IFERROR(__xludf.DUMMYFUNCTION("""COMPUTED_VALUE"""),"Yes")</f>
        <v>Yes</v>
      </c>
      <c r="K343" s="5" t="str">
        <f ca="1">IFERROR(__xludf.DUMMYFUNCTION("""COMPUTED_VALUE"""),"Yes")</f>
        <v>Yes</v>
      </c>
      <c r="L343" s="5" t="str">
        <f ca="1">IFERROR(__xludf.DUMMYFUNCTION("""COMPUTED_VALUE"""),"Yes")</f>
        <v>Yes</v>
      </c>
      <c r="M343" s="5" t="str">
        <f ca="1">IFERROR(__xludf.DUMMYFUNCTION("""COMPUTED_VALUE"""),"Yes")</f>
        <v>Yes</v>
      </c>
      <c r="N343" s="5" t="str">
        <f ca="1">IFERROR(__xludf.DUMMYFUNCTION("""COMPUTED_VALUE"""),"Yes")</f>
        <v>Yes</v>
      </c>
      <c r="O343" s="5" t="str">
        <f ca="1">IFERROR(__xludf.DUMMYFUNCTION("""COMPUTED_VALUE"""),"Yes")</f>
        <v>Yes</v>
      </c>
      <c r="P343" s="5" t="str">
        <f ca="1">IFERROR(__xludf.DUMMYFUNCTION("""COMPUTED_VALUE"""),"Yes")</f>
        <v>Yes</v>
      </c>
      <c r="Q343" s="5" t="str">
        <f ca="1">IFERROR(__xludf.DUMMYFUNCTION("""COMPUTED_VALUE"""),"Yes")</f>
        <v>Yes</v>
      </c>
      <c r="R343" s="5" t="str">
        <f ca="1">IFERROR(__xludf.DUMMYFUNCTION("""COMPUTED_VALUE"""),"Yes")</f>
        <v>Yes</v>
      </c>
      <c r="S343" s="5" t="str">
        <f ca="1">IFERROR(__xludf.DUMMYFUNCTION("""COMPUTED_VALUE"""),"Yes")</f>
        <v>Yes</v>
      </c>
      <c r="T343" s="5" t="str">
        <f ca="1">IFERROR(__xludf.DUMMYFUNCTION("""COMPUTED_VALUE"""),"Yes")</f>
        <v>Yes</v>
      </c>
      <c r="U343" s="5" t="str">
        <f ca="1">IFERROR(__xludf.DUMMYFUNCTION("""COMPUTED_VALUE"""),"Yes")</f>
        <v>Yes</v>
      </c>
      <c r="V343" s="5" t="str">
        <f ca="1">IFERROR(__xludf.DUMMYFUNCTION("""COMPUTED_VALUE"""),"Yes")</f>
        <v>Yes</v>
      </c>
      <c r="W343" s="5" t="str">
        <f ca="1">IFERROR(__xludf.DUMMYFUNCTION("""COMPUTED_VALUE"""),"Yes")</f>
        <v>Yes</v>
      </c>
      <c r="X343" s="5" t="str">
        <f ca="1">IFERROR(__xludf.DUMMYFUNCTION("""COMPUTED_VALUE"""),"Yes")</f>
        <v>Yes</v>
      </c>
      <c r="Y343" s="5" t="str">
        <f ca="1">IFERROR(__xludf.DUMMYFUNCTION("""COMPUTED_VALUE"""),"Yes")</f>
        <v>Yes</v>
      </c>
      <c r="Z343" s="5" t="str">
        <f ca="1">IFERROR(__xludf.DUMMYFUNCTION("""COMPUTED_VALUE"""),"Yes")</f>
        <v>Yes</v>
      </c>
      <c r="AA343" s="5" t="str">
        <f ca="1">IFERROR(__xludf.DUMMYFUNCTION("""COMPUTED_VALUE"""),"Yes")</f>
        <v>Yes</v>
      </c>
      <c r="AB343" s="5" t="str">
        <f ca="1">IFERROR(__xludf.DUMMYFUNCTION("""COMPUTED_VALUE"""),"Yes")</f>
        <v>Yes</v>
      </c>
      <c r="AC343" s="5" t="str">
        <f ca="1">IFERROR(__xludf.DUMMYFUNCTION("""COMPUTED_VALUE"""),"No")</f>
        <v>No</v>
      </c>
    </row>
    <row r="344" spans="1:29" x14ac:dyDescent="0.25">
      <c r="A344" s="5" t="str">
        <f ca="1">IFERROR(__xludf.DUMMYFUNCTION("""COMPUTED_VALUE"""),"VeryHot40Extreme")</f>
        <v>VeryHot40Extreme</v>
      </c>
      <c r="B3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4" s="5" t="str">
        <f ca="1">IFERROR(__xludf.DUMMYFUNCTION("""COMPUTED_VALUE"""),"Yes")</f>
        <v>Yes</v>
      </c>
      <c r="D344" s="5" t="str">
        <f ca="1">IFERROR(__xludf.DUMMYFUNCTION("""COMPUTED_VALUE"""),"Yes")</f>
        <v>Yes</v>
      </c>
      <c r="E344" s="5" t="str">
        <f ca="1">IFERROR(__xludf.DUMMYFUNCTION("""COMPUTED_VALUE"""),"Yes")</f>
        <v>Yes</v>
      </c>
      <c r="F344" s="5" t="str">
        <f ca="1">IFERROR(__xludf.DUMMYFUNCTION("""COMPUTED_VALUE"""),"Yes")</f>
        <v>Yes</v>
      </c>
      <c r="G344" s="5" t="str">
        <f ca="1">IFERROR(__xludf.DUMMYFUNCTION("""COMPUTED_VALUE"""),"Yes")</f>
        <v>Yes</v>
      </c>
      <c r="H344" s="5" t="str">
        <f ca="1">IFERROR(__xludf.DUMMYFUNCTION("""COMPUTED_VALUE"""),"Yes")</f>
        <v>Yes</v>
      </c>
      <c r="I344" s="5" t="str">
        <f ca="1">IFERROR(__xludf.DUMMYFUNCTION("""COMPUTED_VALUE"""),"Yes")</f>
        <v>Yes</v>
      </c>
      <c r="J344" s="5" t="str">
        <f ca="1">IFERROR(__xludf.DUMMYFUNCTION("""COMPUTED_VALUE"""),"Yes")</f>
        <v>Yes</v>
      </c>
      <c r="K344" s="5" t="str">
        <f ca="1">IFERROR(__xludf.DUMMYFUNCTION("""COMPUTED_VALUE"""),"Yes")</f>
        <v>Yes</v>
      </c>
      <c r="L344" s="5" t="str">
        <f ca="1">IFERROR(__xludf.DUMMYFUNCTION("""COMPUTED_VALUE"""),"Yes")</f>
        <v>Yes</v>
      </c>
      <c r="M344" s="5" t="str">
        <f ca="1">IFERROR(__xludf.DUMMYFUNCTION("""COMPUTED_VALUE"""),"Yes")</f>
        <v>Yes</v>
      </c>
      <c r="N344" s="5" t="str">
        <f ca="1">IFERROR(__xludf.DUMMYFUNCTION("""COMPUTED_VALUE"""),"Yes")</f>
        <v>Yes</v>
      </c>
      <c r="O344" s="5" t="str">
        <f ca="1">IFERROR(__xludf.DUMMYFUNCTION("""COMPUTED_VALUE"""),"Yes")</f>
        <v>Yes</v>
      </c>
      <c r="P344" s="5" t="str">
        <f ca="1">IFERROR(__xludf.DUMMYFUNCTION("""COMPUTED_VALUE"""),"Yes")</f>
        <v>Yes</v>
      </c>
      <c r="Q344" s="5" t="str">
        <f ca="1">IFERROR(__xludf.DUMMYFUNCTION("""COMPUTED_VALUE"""),"Yes")</f>
        <v>Yes</v>
      </c>
      <c r="R344" s="5" t="str">
        <f ca="1">IFERROR(__xludf.DUMMYFUNCTION("""COMPUTED_VALUE"""),"Yes")</f>
        <v>Yes</v>
      </c>
      <c r="S344" s="5" t="str">
        <f ca="1">IFERROR(__xludf.DUMMYFUNCTION("""COMPUTED_VALUE"""),"Yes")</f>
        <v>Yes</v>
      </c>
      <c r="T344" s="5" t="str">
        <f ca="1">IFERROR(__xludf.DUMMYFUNCTION("""COMPUTED_VALUE"""),"Yes")</f>
        <v>Yes</v>
      </c>
      <c r="U344" s="5" t="str">
        <f ca="1">IFERROR(__xludf.DUMMYFUNCTION("""COMPUTED_VALUE"""),"Yes")</f>
        <v>Yes</v>
      </c>
      <c r="V344" s="5" t="str">
        <f ca="1">IFERROR(__xludf.DUMMYFUNCTION("""COMPUTED_VALUE"""),"Yes")</f>
        <v>Yes</v>
      </c>
      <c r="W344" s="5" t="str">
        <f ca="1">IFERROR(__xludf.DUMMYFUNCTION("""COMPUTED_VALUE"""),"Yes")</f>
        <v>Yes</v>
      </c>
      <c r="X344" s="5" t="str">
        <f ca="1">IFERROR(__xludf.DUMMYFUNCTION("""COMPUTED_VALUE"""),"Yes")</f>
        <v>Yes</v>
      </c>
      <c r="Y344" s="5" t="str">
        <f ca="1">IFERROR(__xludf.DUMMYFUNCTION("""COMPUTED_VALUE"""),"Yes")</f>
        <v>Yes</v>
      </c>
      <c r="Z344" s="5" t="str">
        <f ca="1">IFERROR(__xludf.DUMMYFUNCTION("""COMPUTED_VALUE"""),"Yes")</f>
        <v>Yes</v>
      </c>
      <c r="AA344" s="5" t="str">
        <f ca="1">IFERROR(__xludf.DUMMYFUNCTION("""COMPUTED_VALUE"""),"Yes")</f>
        <v>Yes</v>
      </c>
      <c r="AB344" s="5" t="str">
        <f ca="1">IFERROR(__xludf.DUMMYFUNCTION("""COMPUTED_VALUE"""),"Yes")</f>
        <v>Yes</v>
      </c>
      <c r="AC344" s="5" t="str">
        <f ca="1">IFERROR(__xludf.DUMMYFUNCTION("""COMPUTED_VALUE"""),"No")</f>
        <v>No</v>
      </c>
    </row>
    <row r="345" spans="1:29" x14ac:dyDescent="0.25">
      <c r="A345" s="5" t="str">
        <f ca="1">IFERROR(__xludf.DUMMYFUNCTION("""COMPUTED_VALUE"""),"SpecialFruits")</f>
        <v>SpecialFruits</v>
      </c>
      <c r="B3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5" s="5" t="str">
        <f ca="1">IFERROR(__xludf.DUMMYFUNCTION("""COMPUTED_VALUE"""),"Yes")</f>
        <v>Yes</v>
      </c>
      <c r="D345" s="5" t="str">
        <f ca="1">IFERROR(__xludf.DUMMYFUNCTION("""COMPUTED_VALUE"""),"Yes")</f>
        <v>Yes</v>
      </c>
      <c r="E345" s="5" t="str">
        <f ca="1">IFERROR(__xludf.DUMMYFUNCTION("""COMPUTED_VALUE"""),"Yes")</f>
        <v>Yes</v>
      </c>
      <c r="F345" s="5" t="str">
        <f ca="1">IFERROR(__xludf.DUMMYFUNCTION("""COMPUTED_VALUE"""),"Yes")</f>
        <v>Yes</v>
      </c>
      <c r="G345" s="5" t="str">
        <f ca="1">IFERROR(__xludf.DUMMYFUNCTION("""COMPUTED_VALUE"""),"Yes")</f>
        <v>Yes</v>
      </c>
      <c r="H345" s="5" t="str">
        <f ca="1">IFERROR(__xludf.DUMMYFUNCTION("""COMPUTED_VALUE"""),"Yes")</f>
        <v>Yes</v>
      </c>
      <c r="I345" s="5" t="str">
        <f ca="1">IFERROR(__xludf.DUMMYFUNCTION("""COMPUTED_VALUE"""),"Yes")</f>
        <v>Yes</v>
      </c>
      <c r="J345" s="5" t="str">
        <f ca="1">IFERROR(__xludf.DUMMYFUNCTION("""COMPUTED_VALUE"""),"Yes")</f>
        <v>Yes</v>
      </c>
      <c r="K345" s="5" t="str">
        <f ca="1">IFERROR(__xludf.DUMMYFUNCTION("""COMPUTED_VALUE"""),"Yes")</f>
        <v>Yes</v>
      </c>
      <c r="L345" s="5" t="str">
        <f ca="1">IFERROR(__xludf.DUMMYFUNCTION("""COMPUTED_VALUE"""),"Yes")</f>
        <v>Yes</v>
      </c>
      <c r="M345" s="5" t="str">
        <f ca="1">IFERROR(__xludf.DUMMYFUNCTION("""COMPUTED_VALUE"""),"Yes")</f>
        <v>Yes</v>
      </c>
      <c r="N345" s="5" t="str">
        <f ca="1">IFERROR(__xludf.DUMMYFUNCTION("""COMPUTED_VALUE"""),"Yes")</f>
        <v>Yes</v>
      </c>
      <c r="O345" s="5" t="str">
        <f ca="1">IFERROR(__xludf.DUMMYFUNCTION("""COMPUTED_VALUE"""),"Yes")</f>
        <v>Yes</v>
      </c>
      <c r="P345" s="5" t="str">
        <f ca="1">IFERROR(__xludf.DUMMYFUNCTION("""COMPUTED_VALUE"""),"Yes")</f>
        <v>Yes</v>
      </c>
      <c r="Q345" s="5" t="str">
        <f ca="1">IFERROR(__xludf.DUMMYFUNCTION("""COMPUTED_VALUE"""),"Yes")</f>
        <v>Yes</v>
      </c>
      <c r="R345" s="5" t="str">
        <f ca="1">IFERROR(__xludf.DUMMYFUNCTION("""COMPUTED_VALUE"""),"Yes")</f>
        <v>Yes</v>
      </c>
      <c r="S345" s="5" t="str">
        <f ca="1">IFERROR(__xludf.DUMMYFUNCTION("""COMPUTED_VALUE"""),"Yes")</f>
        <v>Yes</v>
      </c>
      <c r="T345" s="5" t="str">
        <f ca="1">IFERROR(__xludf.DUMMYFUNCTION("""COMPUTED_VALUE"""),"Yes")</f>
        <v>Yes</v>
      </c>
      <c r="U345" s="5" t="str">
        <f ca="1">IFERROR(__xludf.DUMMYFUNCTION("""COMPUTED_VALUE"""),"Yes")</f>
        <v>Yes</v>
      </c>
      <c r="V345" s="5" t="str">
        <f ca="1">IFERROR(__xludf.DUMMYFUNCTION("""COMPUTED_VALUE"""),"Yes")</f>
        <v>Yes</v>
      </c>
      <c r="W345" s="5" t="str">
        <f ca="1">IFERROR(__xludf.DUMMYFUNCTION("""COMPUTED_VALUE"""),"Yes")</f>
        <v>Yes</v>
      </c>
      <c r="X345" s="5" t="str">
        <f ca="1">IFERROR(__xludf.DUMMYFUNCTION("""COMPUTED_VALUE"""),"Yes")</f>
        <v>Yes</v>
      </c>
      <c r="Y345" s="5" t="str">
        <f ca="1">IFERROR(__xludf.DUMMYFUNCTION("""COMPUTED_VALUE"""),"Yes")</f>
        <v>Yes</v>
      </c>
      <c r="Z345" s="5" t="str">
        <f ca="1">IFERROR(__xludf.DUMMYFUNCTION("""COMPUTED_VALUE"""),"Yes")</f>
        <v>Yes</v>
      </c>
      <c r="AA345" s="5" t="str">
        <f ca="1">IFERROR(__xludf.DUMMYFUNCTION("""COMPUTED_VALUE"""),"Yes")</f>
        <v>Yes</v>
      </c>
      <c r="AB345" s="5" t="str">
        <f ca="1">IFERROR(__xludf.DUMMYFUNCTION("""COMPUTED_VALUE"""),"Yes")</f>
        <v>Yes</v>
      </c>
      <c r="AC345" s="5" t="str">
        <f ca="1">IFERROR(__xludf.DUMMYFUNCTION("""COMPUTED_VALUE"""),"No")</f>
        <v>No</v>
      </c>
    </row>
    <row r="346" spans="1:29" x14ac:dyDescent="0.25">
      <c r="A346" s="5" t="str">
        <f ca="1">IFERROR(__xludf.DUMMYFUNCTION("""COMPUTED_VALUE"""),"TurboStars10")</f>
        <v>TurboStars10</v>
      </c>
      <c r="B3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6" s="5" t="str">
        <f ca="1">IFERROR(__xludf.DUMMYFUNCTION("""COMPUTED_VALUE"""),"Yes")</f>
        <v>Yes</v>
      </c>
      <c r="D346" s="5" t="str">
        <f ca="1">IFERROR(__xludf.DUMMYFUNCTION("""COMPUTED_VALUE"""),"Yes")</f>
        <v>Yes</v>
      </c>
      <c r="E346" s="5" t="str">
        <f ca="1">IFERROR(__xludf.DUMMYFUNCTION("""COMPUTED_VALUE"""),"Yes")</f>
        <v>Yes</v>
      </c>
      <c r="F346" s="5" t="str">
        <f ca="1">IFERROR(__xludf.DUMMYFUNCTION("""COMPUTED_VALUE"""),"Yes")</f>
        <v>Yes</v>
      </c>
      <c r="G346" s="5" t="str">
        <f ca="1">IFERROR(__xludf.DUMMYFUNCTION("""COMPUTED_VALUE"""),"Yes")</f>
        <v>Yes</v>
      </c>
      <c r="H346" s="5" t="str">
        <f ca="1">IFERROR(__xludf.DUMMYFUNCTION("""COMPUTED_VALUE"""),"Yes")</f>
        <v>Yes</v>
      </c>
      <c r="I346" s="5" t="str">
        <f ca="1">IFERROR(__xludf.DUMMYFUNCTION("""COMPUTED_VALUE"""),"Yes")</f>
        <v>Yes</v>
      </c>
      <c r="J346" s="5" t="str">
        <f ca="1">IFERROR(__xludf.DUMMYFUNCTION("""COMPUTED_VALUE"""),"Yes")</f>
        <v>Yes</v>
      </c>
      <c r="K346" s="5" t="str">
        <f ca="1">IFERROR(__xludf.DUMMYFUNCTION("""COMPUTED_VALUE"""),"Yes")</f>
        <v>Yes</v>
      </c>
      <c r="L346" s="5" t="str">
        <f ca="1">IFERROR(__xludf.DUMMYFUNCTION("""COMPUTED_VALUE"""),"Yes")</f>
        <v>Yes</v>
      </c>
      <c r="M346" s="5" t="str">
        <f ca="1">IFERROR(__xludf.DUMMYFUNCTION("""COMPUTED_VALUE"""),"Yes")</f>
        <v>Yes</v>
      </c>
      <c r="N346" s="5" t="str">
        <f ca="1">IFERROR(__xludf.DUMMYFUNCTION("""COMPUTED_VALUE"""),"Yes")</f>
        <v>Yes</v>
      </c>
      <c r="O346" s="5" t="str">
        <f ca="1">IFERROR(__xludf.DUMMYFUNCTION("""COMPUTED_VALUE"""),"Yes")</f>
        <v>Yes</v>
      </c>
      <c r="P346" s="5" t="str">
        <f ca="1">IFERROR(__xludf.DUMMYFUNCTION("""COMPUTED_VALUE"""),"Yes")</f>
        <v>Yes</v>
      </c>
      <c r="Q346" s="5" t="str">
        <f ca="1">IFERROR(__xludf.DUMMYFUNCTION("""COMPUTED_VALUE"""),"Yes")</f>
        <v>Yes</v>
      </c>
      <c r="R346" s="5" t="str">
        <f ca="1">IFERROR(__xludf.DUMMYFUNCTION("""COMPUTED_VALUE"""),"Yes")</f>
        <v>Yes</v>
      </c>
      <c r="S346" s="5" t="str">
        <f ca="1">IFERROR(__xludf.DUMMYFUNCTION("""COMPUTED_VALUE"""),"Yes")</f>
        <v>Yes</v>
      </c>
      <c r="T346" s="5" t="str">
        <f ca="1">IFERROR(__xludf.DUMMYFUNCTION("""COMPUTED_VALUE"""),"Yes")</f>
        <v>Yes</v>
      </c>
      <c r="U346" s="5" t="str">
        <f ca="1">IFERROR(__xludf.DUMMYFUNCTION("""COMPUTED_VALUE"""),"Yes")</f>
        <v>Yes</v>
      </c>
      <c r="V346" s="5" t="str">
        <f ca="1">IFERROR(__xludf.DUMMYFUNCTION("""COMPUTED_VALUE"""),"Yes")</f>
        <v>Yes</v>
      </c>
      <c r="W346" s="5" t="str">
        <f ca="1">IFERROR(__xludf.DUMMYFUNCTION("""COMPUTED_VALUE"""),"Yes")</f>
        <v>Yes</v>
      </c>
      <c r="X346" s="5" t="str">
        <f ca="1">IFERROR(__xludf.DUMMYFUNCTION("""COMPUTED_VALUE"""),"Yes")</f>
        <v>Yes</v>
      </c>
      <c r="Y346" s="5" t="str">
        <f ca="1">IFERROR(__xludf.DUMMYFUNCTION("""COMPUTED_VALUE"""),"Yes")</f>
        <v>Yes</v>
      </c>
      <c r="Z346" s="5" t="str">
        <f ca="1">IFERROR(__xludf.DUMMYFUNCTION("""COMPUTED_VALUE"""),"Yes")</f>
        <v>Yes</v>
      </c>
      <c r="AA346" s="5" t="str">
        <f ca="1">IFERROR(__xludf.DUMMYFUNCTION("""COMPUTED_VALUE"""),"Yes")</f>
        <v>Yes</v>
      </c>
      <c r="AB346" s="5" t="str">
        <f ca="1">IFERROR(__xludf.DUMMYFUNCTION("""COMPUTED_VALUE"""),"Yes")</f>
        <v>Yes</v>
      </c>
      <c r="AC346" s="5" t="str">
        <f ca="1">IFERROR(__xludf.DUMMYFUNCTION("""COMPUTED_VALUE"""),"No")</f>
        <v>No</v>
      </c>
    </row>
    <row r="347" spans="1:29" x14ac:dyDescent="0.25">
      <c r="A347" s="5" t="str">
        <f ca="1">IFERROR(__xludf.DUMMYFUNCTION("""COMPUTED_VALUE"""),"TurboStars40")</f>
        <v>TurboStars40</v>
      </c>
      <c r="B3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7" s="5" t="str">
        <f ca="1">IFERROR(__xludf.DUMMYFUNCTION("""COMPUTED_VALUE"""),"Yes")</f>
        <v>Yes</v>
      </c>
      <c r="D347" s="5" t="str">
        <f ca="1">IFERROR(__xludf.DUMMYFUNCTION("""COMPUTED_VALUE"""),"Yes")</f>
        <v>Yes</v>
      </c>
      <c r="E347" s="5" t="str">
        <f ca="1">IFERROR(__xludf.DUMMYFUNCTION("""COMPUTED_VALUE"""),"Yes")</f>
        <v>Yes</v>
      </c>
      <c r="F347" s="5" t="str">
        <f ca="1">IFERROR(__xludf.DUMMYFUNCTION("""COMPUTED_VALUE"""),"Yes")</f>
        <v>Yes</v>
      </c>
      <c r="G347" s="5" t="str">
        <f ca="1">IFERROR(__xludf.DUMMYFUNCTION("""COMPUTED_VALUE"""),"Yes")</f>
        <v>Yes</v>
      </c>
      <c r="H347" s="5" t="str">
        <f ca="1">IFERROR(__xludf.DUMMYFUNCTION("""COMPUTED_VALUE"""),"Yes")</f>
        <v>Yes</v>
      </c>
      <c r="I347" s="5" t="str">
        <f ca="1">IFERROR(__xludf.DUMMYFUNCTION("""COMPUTED_VALUE"""),"Yes")</f>
        <v>Yes</v>
      </c>
      <c r="J347" s="5" t="str">
        <f ca="1">IFERROR(__xludf.DUMMYFUNCTION("""COMPUTED_VALUE"""),"Yes")</f>
        <v>Yes</v>
      </c>
      <c r="K347" s="5" t="str">
        <f ca="1">IFERROR(__xludf.DUMMYFUNCTION("""COMPUTED_VALUE"""),"Yes")</f>
        <v>Yes</v>
      </c>
      <c r="L347" s="5" t="str">
        <f ca="1">IFERROR(__xludf.DUMMYFUNCTION("""COMPUTED_VALUE"""),"Yes")</f>
        <v>Yes</v>
      </c>
      <c r="M347" s="5" t="str">
        <f ca="1">IFERROR(__xludf.DUMMYFUNCTION("""COMPUTED_VALUE"""),"Yes")</f>
        <v>Yes</v>
      </c>
      <c r="N347" s="5" t="str">
        <f ca="1">IFERROR(__xludf.DUMMYFUNCTION("""COMPUTED_VALUE"""),"Yes")</f>
        <v>Yes</v>
      </c>
      <c r="O347" s="5" t="str">
        <f ca="1">IFERROR(__xludf.DUMMYFUNCTION("""COMPUTED_VALUE"""),"Yes")</f>
        <v>Yes</v>
      </c>
      <c r="P347" s="5" t="str">
        <f ca="1">IFERROR(__xludf.DUMMYFUNCTION("""COMPUTED_VALUE"""),"Yes")</f>
        <v>Yes</v>
      </c>
      <c r="Q347" s="5" t="str">
        <f ca="1">IFERROR(__xludf.DUMMYFUNCTION("""COMPUTED_VALUE"""),"Yes")</f>
        <v>Yes</v>
      </c>
      <c r="R347" s="5" t="str">
        <f ca="1">IFERROR(__xludf.DUMMYFUNCTION("""COMPUTED_VALUE"""),"Yes")</f>
        <v>Yes</v>
      </c>
      <c r="S347" s="5" t="str">
        <f ca="1">IFERROR(__xludf.DUMMYFUNCTION("""COMPUTED_VALUE"""),"Yes")</f>
        <v>Yes</v>
      </c>
      <c r="T347" s="5" t="str">
        <f ca="1">IFERROR(__xludf.DUMMYFUNCTION("""COMPUTED_VALUE"""),"Yes")</f>
        <v>Yes</v>
      </c>
      <c r="U347" s="5" t="str">
        <f ca="1">IFERROR(__xludf.DUMMYFUNCTION("""COMPUTED_VALUE"""),"Yes")</f>
        <v>Yes</v>
      </c>
      <c r="V347" s="5" t="str">
        <f ca="1">IFERROR(__xludf.DUMMYFUNCTION("""COMPUTED_VALUE"""),"Yes")</f>
        <v>Yes</v>
      </c>
      <c r="W347" s="5" t="str">
        <f ca="1">IFERROR(__xludf.DUMMYFUNCTION("""COMPUTED_VALUE"""),"Yes")</f>
        <v>Yes</v>
      </c>
      <c r="X347" s="5" t="str">
        <f ca="1">IFERROR(__xludf.DUMMYFUNCTION("""COMPUTED_VALUE"""),"Yes")</f>
        <v>Yes</v>
      </c>
      <c r="Y347" s="5" t="str">
        <f ca="1">IFERROR(__xludf.DUMMYFUNCTION("""COMPUTED_VALUE"""),"Yes")</f>
        <v>Yes</v>
      </c>
      <c r="Z347" s="5" t="str">
        <f ca="1">IFERROR(__xludf.DUMMYFUNCTION("""COMPUTED_VALUE"""),"Yes")</f>
        <v>Yes</v>
      </c>
      <c r="AA347" s="5" t="str">
        <f ca="1">IFERROR(__xludf.DUMMYFUNCTION("""COMPUTED_VALUE"""),"Yes")</f>
        <v>Yes</v>
      </c>
      <c r="AB347" s="5" t="str">
        <f ca="1">IFERROR(__xludf.DUMMYFUNCTION("""COMPUTED_VALUE"""),"Yes")</f>
        <v>Yes</v>
      </c>
      <c r="AC347" s="5" t="str">
        <f ca="1">IFERROR(__xludf.DUMMYFUNCTION("""COMPUTED_VALUE"""),"No")</f>
        <v>No</v>
      </c>
    </row>
    <row r="348" spans="1:29" x14ac:dyDescent="0.25">
      <c r="A348" s="5" t="str">
        <f ca="1">IFERROR(__xludf.DUMMYFUNCTION("""COMPUTED_VALUE"""),"TurboStars20")</f>
        <v>TurboStars20</v>
      </c>
      <c r="B3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8" s="5" t="str">
        <f ca="1">IFERROR(__xludf.DUMMYFUNCTION("""COMPUTED_VALUE"""),"Yes")</f>
        <v>Yes</v>
      </c>
      <c r="D348" s="5" t="str">
        <f ca="1">IFERROR(__xludf.DUMMYFUNCTION("""COMPUTED_VALUE"""),"Yes")</f>
        <v>Yes</v>
      </c>
      <c r="E348" s="5" t="str">
        <f ca="1">IFERROR(__xludf.DUMMYFUNCTION("""COMPUTED_VALUE"""),"Yes")</f>
        <v>Yes</v>
      </c>
      <c r="F348" s="5" t="str">
        <f ca="1">IFERROR(__xludf.DUMMYFUNCTION("""COMPUTED_VALUE"""),"Yes")</f>
        <v>Yes</v>
      </c>
      <c r="G348" s="5" t="str">
        <f ca="1">IFERROR(__xludf.DUMMYFUNCTION("""COMPUTED_VALUE"""),"Yes")</f>
        <v>Yes</v>
      </c>
      <c r="H348" s="5" t="str">
        <f ca="1">IFERROR(__xludf.DUMMYFUNCTION("""COMPUTED_VALUE"""),"Yes")</f>
        <v>Yes</v>
      </c>
      <c r="I348" s="5" t="str">
        <f ca="1">IFERROR(__xludf.DUMMYFUNCTION("""COMPUTED_VALUE"""),"Yes")</f>
        <v>Yes</v>
      </c>
      <c r="J348" s="5" t="str">
        <f ca="1">IFERROR(__xludf.DUMMYFUNCTION("""COMPUTED_VALUE"""),"Yes")</f>
        <v>Yes</v>
      </c>
      <c r="K348" s="5" t="str">
        <f ca="1">IFERROR(__xludf.DUMMYFUNCTION("""COMPUTED_VALUE"""),"Yes")</f>
        <v>Yes</v>
      </c>
      <c r="L348" s="5" t="str">
        <f ca="1">IFERROR(__xludf.DUMMYFUNCTION("""COMPUTED_VALUE"""),"Yes")</f>
        <v>Yes</v>
      </c>
      <c r="M348" s="5" t="str">
        <f ca="1">IFERROR(__xludf.DUMMYFUNCTION("""COMPUTED_VALUE"""),"Yes")</f>
        <v>Yes</v>
      </c>
      <c r="N348" s="5" t="str">
        <f ca="1">IFERROR(__xludf.DUMMYFUNCTION("""COMPUTED_VALUE"""),"Yes")</f>
        <v>Yes</v>
      </c>
      <c r="O348" s="5" t="str">
        <f ca="1">IFERROR(__xludf.DUMMYFUNCTION("""COMPUTED_VALUE"""),"Yes")</f>
        <v>Yes</v>
      </c>
      <c r="P348" s="5" t="str">
        <f ca="1">IFERROR(__xludf.DUMMYFUNCTION("""COMPUTED_VALUE"""),"Yes")</f>
        <v>Yes</v>
      </c>
      <c r="Q348" s="5" t="str">
        <f ca="1">IFERROR(__xludf.DUMMYFUNCTION("""COMPUTED_VALUE"""),"Yes")</f>
        <v>Yes</v>
      </c>
      <c r="R348" s="5" t="str">
        <f ca="1">IFERROR(__xludf.DUMMYFUNCTION("""COMPUTED_VALUE"""),"Yes")</f>
        <v>Yes</v>
      </c>
      <c r="S348" s="5" t="str">
        <f ca="1">IFERROR(__xludf.DUMMYFUNCTION("""COMPUTED_VALUE"""),"Yes")</f>
        <v>Yes</v>
      </c>
      <c r="T348" s="5" t="str">
        <f ca="1">IFERROR(__xludf.DUMMYFUNCTION("""COMPUTED_VALUE"""),"Yes")</f>
        <v>Yes</v>
      </c>
      <c r="U348" s="5" t="str">
        <f ca="1">IFERROR(__xludf.DUMMYFUNCTION("""COMPUTED_VALUE"""),"Yes")</f>
        <v>Yes</v>
      </c>
      <c r="V348" s="5" t="str">
        <f ca="1">IFERROR(__xludf.DUMMYFUNCTION("""COMPUTED_VALUE"""),"Yes")</f>
        <v>Yes</v>
      </c>
      <c r="W348" s="5" t="str">
        <f ca="1">IFERROR(__xludf.DUMMYFUNCTION("""COMPUTED_VALUE"""),"Yes")</f>
        <v>Yes</v>
      </c>
      <c r="X348" s="5" t="str">
        <f ca="1">IFERROR(__xludf.DUMMYFUNCTION("""COMPUTED_VALUE"""),"Yes")</f>
        <v>Yes</v>
      </c>
      <c r="Y348" s="5" t="str">
        <f ca="1">IFERROR(__xludf.DUMMYFUNCTION("""COMPUTED_VALUE"""),"Yes")</f>
        <v>Yes</v>
      </c>
      <c r="Z348" s="5" t="str">
        <f ca="1">IFERROR(__xludf.DUMMYFUNCTION("""COMPUTED_VALUE"""),"Yes")</f>
        <v>Yes</v>
      </c>
      <c r="AA348" s="5" t="str">
        <f ca="1">IFERROR(__xludf.DUMMYFUNCTION("""COMPUTED_VALUE"""),"Yes")</f>
        <v>Yes</v>
      </c>
      <c r="AB348" s="5" t="str">
        <f ca="1">IFERROR(__xludf.DUMMYFUNCTION("""COMPUTED_VALUE"""),"Yes")</f>
        <v>Yes</v>
      </c>
      <c r="AC348" s="5" t="str">
        <f ca="1">IFERROR(__xludf.DUMMYFUNCTION("""COMPUTED_VALUE"""),"No")</f>
        <v>No</v>
      </c>
    </row>
    <row r="349" spans="1:29" x14ac:dyDescent="0.25">
      <c r="A349" s="5" t="str">
        <f ca="1">IFERROR(__xludf.DUMMYFUNCTION("""COMPUTED_VALUE"""),"RizkHot40")</f>
        <v>RizkHot40</v>
      </c>
      <c r="B3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9" s="5" t="str">
        <f ca="1">IFERROR(__xludf.DUMMYFUNCTION("""COMPUTED_VALUE"""),"Yes")</f>
        <v>Yes</v>
      </c>
      <c r="D349" s="5" t="str">
        <f ca="1">IFERROR(__xludf.DUMMYFUNCTION("""COMPUTED_VALUE"""),"Yes")</f>
        <v>Yes</v>
      </c>
      <c r="E349" s="5" t="str">
        <f ca="1">IFERROR(__xludf.DUMMYFUNCTION("""COMPUTED_VALUE"""),"Yes")</f>
        <v>Yes</v>
      </c>
      <c r="F349" s="5" t="str">
        <f ca="1">IFERROR(__xludf.DUMMYFUNCTION("""COMPUTED_VALUE"""),"Yes")</f>
        <v>Yes</v>
      </c>
      <c r="G349" s="5" t="str">
        <f ca="1">IFERROR(__xludf.DUMMYFUNCTION("""COMPUTED_VALUE"""),"Yes")</f>
        <v>Yes</v>
      </c>
      <c r="H349" s="5" t="str">
        <f ca="1">IFERROR(__xludf.DUMMYFUNCTION("""COMPUTED_VALUE"""),"Yes")</f>
        <v>Yes</v>
      </c>
      <c r="I349" s="5" t="str">
        <f ca="1">IFERROR(__xludf.DUMMYFUNCTION("""COMPUTED_VALUE"""),"Yes")</f>
        <v>Yes</v>
      </c>
      <c r="J349" s="5" t="str">
        <f ca="1">IFERROR(__xludf.DUMMYFUNCTION("""COMPUTED_VALUE"""),"Yes")</f>
        <v>Yes</v>
      </c>
      <c r="K349" s="5" t="str">
        <f ca="1">IFERROR(__xludf.DUMMYFUNCTION("""COMPUTED_VALUE"""),"Yes")</f>
        <v>Yes</v>
      </c>
      <c r="L349" s="5" t="str">
        <f ca="1">IFERROR(__xludf.DUMMYFUNCTION("""COMPUTED_VALUE"""),"Yes")</f>
        <v>Yes</v>
      </c>
      <c r="M349" s="5" t="str">
        <f ca="1">IFERROR(__xludf.DUMMYFUNCTION("""COMPUTED_VALUE"""),"Yes")</f>
        <v>Yes</v>
      </c>
      <c r="N349" s="5" t="str">
        <f ca="1">IFERROR(__xludf.DUMMYFUNCTION("""COMPUTED_VALUE"""),"Yes")</f>
        <v>Yes</v>
      </c>
      <c r="O349" s="5" t="str">
        <f ca="1">IFERROR(__xludf.DUMMYFUNCTION("""COMPUTED_VALUE"""),"Yes")</f>
        <v>Yes</v>
      </c>
      <c r="P349" s="5" t="str">
        <f ca="1">IFERROR(__xludf.DUMMYFUNCTION("""COMPUTED_VALUE"""),"Yes")</f>
        <v>Yes</v>
      </c>
      <c r="Q349" s="5" t="str">
        <f ca="1">IFERROR(__xludf.DUMMYFUNCTION("""COMPUTED_VALUE"""),"Yes")</f>
        <v>Yes</v>
      </c>
      <c r="R349" s="5" t="str">
        <f ca="1">IFERROR(__xludf.DUMMYFUNCTION("""COMPUTED_VALUE"""),"Yes")</f>
        <v>Yes</v>
      </c>
      <c r="S349" s="5" t="str">
        <f ca="1">IFERROR(__xludf.DUMMYFUNCTION("""COMPUTED_VALUE"""),"Yes")</f>
        <v>Yes</v>
      </c>
      <c r="T349" s="5" t="str">
        <f ca="1">IFERROR(__xludf.DUMMYFUNCTION("""COMPUTED_VALUE"""),"Yes")</f>
        <v>Yes</v>
      </c>
      <c r="U349" s="5" t="str">
        <f ca="1">IFERROR(__xludf.DUMMYFUNCTION("""COMPUTED_VALUE"""),"Yes")</f>
        <v>Yes</v>
      </c>
      <c r="V349" s="5" t="str">
        <f ca="1">IFERROR(__xludf.DUMMYFUNCTION("""COMPUTED_VALUE"""),"Yes")</f>
        <v>Yes</v>
      </c>
      <c r="W349" s="5" t="str">
        <f ca="1">IFERROR(__xludf.DUMMYFUNCTION("""COMPUTED_VALUE"""),"Yes")</f>
        <v>Yes</v>
      </c>
      <c r="X349" s="5" t="str">
        <f ca="1">IFERROR(__xludf.DUMMYFUNCTION("""COMPUTED_VALUE"""),"Yes")</f>
        <v>Yes</v>
      </c>
      <c r="Y349" s="5" t="str">
        <f ca="1">IFERROR(__xludf.DUMMYFUNCTION("""COMPUTED_VALUE"""),"Yes")</f>
        <v>Yes</v>
      </c>
      <c r="Z349" s="5" t="str">
        <f ca="1">IFERROR(__xludf.DUMMYFUNCTION("""COMPUTED_VALUE"""),"Yes")</f>
        <v>Yes</v>
      </c>
      <c r="AA349" s="5" t="str">
        <f ca="1">IFERROR(__xludf.DUMMYFUNCTION("""COMPUTED_VALUE"""),"Yes")</f>
        <v>Yes</v>
      </c>
      <c r="AB349" s="5" t="str">
        <f ca="1">IFERROR(__xludf.DUMMYFUNCTION("""COMPUTED_VALUE"""),"Yes")</f>
        <v>Yes</v>
      </c>
      <c r="AC349" s="5" t="str">
        <f ca="1">IFERROR(__xludf.DUMMYFUNCTION("""COMPUTED_VALUE"""),"No")</f>
        <v>No</v>
      </c>
    </row>
    <row r="350" spans="1:29" x14ac:dyDescent="0.25">
      <c r="A350" s="5" t="str">
        <f ca="1">IFERROR(__xludf.DUMMYFUNCTION("""COMPUTED_VALUE"""),"BetOleHot40")</f>
        <v>BetOleHot40</v>
      </c>
      <c r="B3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0" s="5" t="str">
        <f ca="1">IFERROR(__xludf.DUMMYFUNCTION("""COMPUTED_VALUE"""),"Yes")</f>
        <v>Yes</v>
      </c>
      <c r="D350" s="5" t="str">
        <f ca="1">IFERROR(__xludf.DUMMYFUNCTION("""COMPUTED_VALUE"""),"Yes")</f>
        <v>Yes</v>
      </c>
      <c r="E350" s="5" t="str">
        <f ca="1">IFERROR(__xludf.DUMMYFUNCTION("""COMPUTED_VALUE"""),"Yes")</f>
        <v>Yes</v>
      </c>
      <c r="F350" s="5" t="str">
        <f ca="1">IFERROR(__xludf.DUMMYFUNCTION("""COMPUTED_VALUE"""),"Yes")</f>
        <v>Yes</v>
      </c>
      <c r="G350" s="5" t="str">
        <f ca="1">IFERROR(__xludf.DUMMYFUNCTION("""COMPUTED_VALUE"""),"Yes")</f>
        <v>Yes</v>
      </c>
      <c r="H350" s="5" t="str">
        <f ca="1">IFERROR(__xludf.DUMMYFUNCTION("""COMPUTED_VALUE"""),"Yes")</f>
        <v>Yes</v>
      </c>
      <c r="I350" s="5" t="str">
        <f ca="1">IFERROR(__xludf.DUMMYFUNCTION("""COMPUTED_VALUE"""),"Yes")</f>
        <v>Yes</v>
      </c>
      <c r="J350" s="5" t="str">
        <f ca="1">IFERROR(__xludf.DUMMYFUNCTION("""COMPUTED_VALUE"""),"Yes")</f>
        <v>Yes</v>
      </c>
      <c r="K350" s="5" t="str">
        <f ca="1">IFERROR(__xludf.DUMMYFUNCTION("""COMPUTED_VALUE"""),"Yes")</f>
        <v>Yes</v>
      </c>
      <c r="L350" s="5" t="str">
        <f ca="1">IFERROR(__xludf.DUMMYFUNCTION("""COMPUTED_VALUE"""),"Yes")</f>
        <v>Yes</v>
      </c>
      <c r="M350" s="5" t="str">
        <f ca="1">IFERROR(__xludf.DUMMYFUNCTION("""COMPUTED_VALUE"""),"Yes")</f>
        <v>Yes</v>
      </c>
      <c r="N350" s="5" t="str">
        <f ca="1">IFERROR(__xludf.DUMMYFUNCTION("""COMPUTED_VALUE"""),"Yes")</f>
        <v>Yes</v>
      </c>
      <c r="O350" s="5" t="str">
        <f ca="1">IFERROR(__xludf.DUMMYFUNCTION("""COMPUTED_VALUE"""),"Yes")</f>
        <v>Yes</v>
      </c>
      <c r="P350" s="5" t="str">
        <f ca="1">IFERROR(__xludf.DUMMYFUNCTION("""COMPUTED_VALUE"""),"Yes")</f>
        <v>Yes</v>
      </c>
      <c r="Q350" s="5" t="str">
        <f ca="1">IFERROR(__xludf.DUMMYFUNCTION("""COMPUTED_VALUE"""),"Yes")</f>
        <v>Yes</v>
      </c>
      <c r="R350" s="5" t="str">
        <f ca="1">IFERROR(__xludf.DUMMYFUNCTION("""COMPUTED_VALUE"""),"Yes")</f>
        <v>Yes</v>
      </c>
      <c r="S350" s="5" t="str">
        <f ca="1">IFERROR(__xludf.DUMMYFUNCTION("""COMPUTED_VALUE"""),"Yes")</f>
        <v>Yes</v>
      </c>
      <c r="T350" s="5" t="str">
        <f ca="1">IFERROR(__xludf.DUMMYFUNCTION("""COMPUTED_VALUE"""),"Yes")</f>
        <v>Yes</v>
      </c>
      <c r="U350" s="5" t="str">
        <f ca="1">IFERROR(__xludf.DUMMYFUNCTION("""COMPUTED_VALUE"""),"Yes")</f>
        <v>Yes</v>
      </c>
      <c r="V350" s="5" t="str">
        <f ca="1">IFERROR(__xludf.DUMMYFUNCTION("""COMPUTED_VALUE"""),"Yes")</f>
        <v>Yes</v>
      </c>
      <c r="W350" s="5" t="str">
        <f ca="1">IFERROR(__xludf.DUMMYFUNCTION("""COMPUTED_VALUE"""),"Yes")</f>
        <v>Yes</v>
      </c>
      <c r="X350" s="5" t="str">
        <f ca="1">IFERROR(__xludf.DUMMYFUNCTION("""COMPUTED_VALUE"""),"Yes")</f>
        <v>Yes</v>
      </c>
      <c r="Y350" s="5" t="str">
        <f ca="1">IFERROR(__xludf.DUMMYFUNCTION("""COMPUTED_VALUE"""),"Yes")</f>
        <v>Yes</v>
      </c>
      <c r="Z350" s="5" t="str">
        <f ca="1">IFERROR(__xludf.DUMMYFUNCTION("""COMPUTED_VALUE"""),"Yes")</f>
        <v>Yes</v>
      </c>
      <c r="AA350" s="5" t="str">
        <f ca="1">IFERROR(__xludf.DUMMYFUNCTION("""COMPUTED_VALUE"""),"Yes")</f>
        <v>Yes</v>
      </c>
      <c r="AB350" s="5" t="str">
        <f ca="1">IFERROR(__xludf.DUMMYFUNCTION("""COMPUTED_VALUE"""),"Yes")</f>
        <v>Yes</v>
      </c>
      <c r="AC350" s="5" t="str">
        <f ca="1">IFERROR(__xludf.DUMMYFUNCTION("""COMPUTED_VALUE"""),"No")</f>
        <v>No</v>
      </c>
    </row>
    <row r="351" spans="1:29" x14ac:dyDescent="0.25">
      <c r="A351" s="5" t="str">
        <f ca="1">IFERROR(__xludf.DUMMYFUNCTION("""COMPUTED_VALUE"""),"WildLuckyBetebet")</f>
        <v>WildLuckyBetebet</v>
      </c>
      <c r="B3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1" s="5" t="str">
        <f ca="1">IFERROR(__xludf.DUMMYFUNCTION("""COMPUTED_VALUE"""),"Yes")</f>
        <v>Yes</v>
      </c>
      <c r="D351" s="5" t="str">
        <f ca="1">IFERROR(__xludf.DUMMYFUNCTION("""COMPUTED_VALUE"""),"Yes")</f>
        <v>Yes</v>
      </c>
      <c r="E351" s="5" t="str">
        <f ca="1">IFERROR(__xludf.DUMMYFUNCTION("""COMPUTED_VALUE"""),"Yes")</f>
        <v>Yes</v>
      </c>
      <c r="F351" s="5" t="str">
        <f ca="1">IFERROR(__xludf.DUMMYFUNCTION("""COMPUTED_VALUE"""),"Yes")</f>
        <v>Yes</v>
      </c>
      <c r="G351" s="5" t="str">
        <f ca="1">IFERROR(__xludf.DUMMYFUNCTION("""COMPUTED_VALUE"""),"Yes")</f>
        <v>Yes</v>
      </c>
      <c r="H351" s="5" t="str">
        <f ca="1">IFERROR(__xludf.DUMMYFUNCTION("""COMPUTED_VALUE"""),"Yes")</f>
        <v>Yes</v>
      </c>
      <c r="I351" s="5" t="str">
        <f ca="1">IFERROR(__xludf.DUMMYFUNCTION("""COMPUTED_VALUE"""),"Yes")</f>
        <v>Yes</v>
      </c>
      <c r="J351" s="5" t="str">
        <f ca="1">IFERROR(__xludf.DUMMYFUNCTION("""COMPUTED_VALUE"""),"Yes")</f>
        <v>Yes</v>
      </c>
      <c r="K351" s="5" t="str">
        <f ca="1">IFERROR(__xludf.DUMMYFUNCTION("""COMPUTED_VALUE"""),"Yes")</f>
        <v>Yes</v>
      </c>
      <c r="L351" s="5" t="str">
        <f ca="1">IFERROR(__xludf.DUMMYFUNCTION("""COMPUTED_VALUE"""),"Yes")</f>
        <v>Yes</v>
      </c>
      <c r="M351" s="5" t="str">
        <f ca="1">IFERROR(__xludf.DUMMYFUNCTION("""COMPUTED_VALUE"""),"Yes")</f>
        <v>Yes</v>
      </c>
      <c r="N351" s="5" t="str">
        <f ca="1">IFERROR(__xludf.DUMMYFUNCTION("""COMPUTED_VALUE"""),"Yes")</f>
        <v>Yes</v>
      </c>
      <c r="O351" s="5" t="str">
        <f ca="1">IFERROR(__xludf.DUMMYFUNCTION("""COMPUTED_VALUE"""),"Yes")</f>
        <v>Yes</v>
      </c>
      <c r="P351" s="5" t="str">
        <f ca="1">IFERROR(__xludf.DUMMYFUNCTION("""COMPUTED_VALUE"""),"Yes")</f>
        <v>Yes</v>
      </c>
      <c r="Q351" s="5" t="str">
        <f ca="1">IFERROR(__xludf.DUMMYFUNCTION("""COMPUTED_VALUE"""),"Yes")</f>
        <v>Yes</v>
      </c>
      <c r="R351" s="5" t="str">
        <f ca="1">IFERROR(__xludf.DUMMYFUNCTION("""COMPUTED_VALUE"""),"Yes")</f>
        <v>Yes</v>
      </c>
      <c r="S351" s="5" t="str">
        <f ca="1">IFERROR(__xludf.DUMMYFUNCTION("""COMPUTED_VALUE"""),"Yes")</f>
        <v>Yes</v>
      </c>
      <c r="T351" s="5" t="str">
        <f ca="1">IFERROR(__xludf.DUMMYFUNCTION("""COMPUTED_VALUE"""),"Yes")</f>
        <v>Yes</v>
      </c>
      <c r="U351" s="5" t="str">
        <f ca="1">IFERROR(__xludf.DUMMYFUNCTION("""COMPUTED_VALUE"""),"Yes")</f>
        <v>Yes</v>
      </c>
      <c r="V351" s="5" t="str">
        <f ca="1">IFERROR(__xludf.DUMMYFUNCTION("""COMPUTED_VALUE"""),"Yes")</f>
        <v>Yes</v>
      </c>
      <c r="W351" s="5" t="str">
        <f ca="1">IFERROR(__xludf.DUMMYFUNCTION("""COMPUTED_VALUE"""),"Yes")</f>
        <v>Yes</v>
      </c>
      <c r="X351" s="5" t="str">
        <f ca="1">IFERROR(__xludf.DUMMYFUNCTION("""COMPUTED_VALUE"""),"Yes")</f>
        <v>Yes</v>
      </c>
      <c r="Y351" s="5" t="str">
        <f ca="1">IFERROR(__xludf.DUMMYFUNCTION("""COMPUTED_VALUE"""),"Yes")</f>
        <v>Yes</v>
      </c>
      <c r="Z351" s="5" t="str">
        <f ca="1">IFERROR(__xludf.DUMMYFUNCTION("""COMPUTED_VALUE"""),"Yes")</f>
        <v>Yes</v>
      </c>
      <c r="AA351" s="5" t="str">
        <f ca="1">IFERROR(__xludf.DUMMYFUNCTION("""COMPUTED_VALUE"""),"Yes")</f>
        <v>Yes</v>
      </c>
      <c r="AB351" s="5" t="str">
        <f ca="1">IFERROR(__xludf.DUMMYFUNCTION("""COMPUTED_VALUE"""),"Yes")</f>
        <v>Yes</v>
      </c>
      <c r="AC351" s="5" t="str">
        <f ca="1">IFERROR(__xludf.DUMMYFUNCTION("""COMPUTED_VALUE"""),"No")</f>
        <v>No</v>
      </c>
    </row>
    <row r="352" spans="1:29" x14ac:dyDescent="0.25">
      <c r="A352" s="5" t="str">
        <f ca="1">IFERROR(__xludf.DUMMYFUNCTION("""COMPUTED_VALUE"""),"QuickWinCrown10")</f>
        <v>QuickWinCrown10</v>
      </c>
      <c r="B3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2" s="5" t="str">
        <f ca="1">IFERROR(__xludf.DUMMYFUNCTION("""COMPUTED_VALUE"""),"Yes")</f>
        <v>Yes</v>
      </c>
      <c r="D352" s="5" t="str">
        <f ca="1">IFERROR(__xludf.DUMMYFUNCTION("""COMPUTED_VALUE"""),"Yes")</f>
        <v>Yes</v>
      </c>
      <c r="E352" s="5" t="str">
        <f ca="1">IFERROR(__xludf.DUMMYFUNCTION("""COMPUTED_VALUE"""),"Yes")</f>
        <v>Yes</v>
      </c>
      <c r="F352" s="5" t="str">
        <f ca="1">IFERROR(__xludf.DUMMYFUNCTION("""COMPUTED_VALUE"""),"Yes")</f>
        <v>Yes</v>
      </c>
      <c r="G352" s="5" t="str">
        <f ca="1">IFERROR(__xludf.DUMMYFUNCTION("""COMPUTED_VALUE"""),"Yes")</f>
        <v>Yes</v>
      </c>
      <c r="H352" s="5" t="str">
        <f ca="1">IFERROR(__xludf.DUMMYFUNCTION("""COMPUTED_VALUE"""),"Yes")</f>
        <v>Yes</v>
      </c>
      <c r="I352" s="5" t="str">
        <f ca="1">IFERROR(__xludf.DUMMYFUNCTION("""COMPUTED_VALUE"""),"Yes")</f>
        <v>Yes</v>
      </c>
      <c r="J352" s="5" t="str">
        <f ca="1">IFERROR(__xludf.DUMMYFUNCTION("""COMPUTED_VALUE"""),"Yes")</f>
        <v>Yes</v>
      </c>
      <c r="K352" s="5" t="str">
        <f ca="1">IFERROR(__xludf.DUMMYFUNCTION("""COMPUTED_VALUE"""),"Yes")</f>
        <v>Yes</v>
      </c>
      <c r="L352" s="5" t="str">
        <f ca="1">IFERROR(__xludf.DUMMYFUNCTION("""COMPUTED_VALUE"""),"Yes")</f>
        <v>Yes</v>
      </c>
      <c r="M352" s="5" t="str">
        <f ca="1">IFERROR(__xludf.DUMMYFUNCTION("""COMPUTED_VALUE"""),"Yes")</f>
        <v>Yes</v>
      </c>
      <c r="N352" s="5" t="str">
        <f ca="1">IFERROR(__xludf.DUMMYFUNCTION("""COMPUTED_VALUE"""),"Yes")</f>
        <v>Yes</v>
      </c>
      <c r="O352" s="5" t="str">
        <f ca="1">IFERROR(__xludf.DUMMYFUNCTION("""COMPUTED_VALUE"""),"Yes")</f>
        <v>Yes</v>
      </c>
      <c r="P352" s="5" t="str">
        <f ca="1">IFERROR(__xludf.DUMMYFUNCTION("""COMPUTED_VALUE"""),"Yes")</f>
        <v>Yes</v>
      </c>
      <c r="Q352" s="5" t="str">
        <f ca="1">IFERROR(__xludf.DUMMYFUNCTION("""COMPUTED_VALUE"""),"Yes")</f>
        <v>Yes</v>
      </c>
      <c r="R352" s="5" t="str">
        <f ca="1">IFERROR(__xludf.DUMMYFUNCTION("""COMPUTED_VALUE"""),"Yes")</f>
        <v>Yes</v>
      </c>
      <c r="S352" s="5" t="str">
        <f ca="1">IFERROR(__xludf.DUMMYFUNCTION("""COMPUTED_VALUE"""),"Yes")</f>
        <v>Yes</v>
      </c>
      <c r="T352" s="5" t="str">
        <f ca="1">IFERROR(__xludf.DUMMYFUNCTION("""COMPUTED_VALUE"""),"Yes")</f>
        <v>Yes</v>
      </c>
      <c r="U352" s="5" t="str">
        <f ca="1">IFERROR(__xludf.DUMMYFUNCTION("""COMPUTED_VALUE"""),"Yes")</f>
        <v>Yes</v>
      </c>
      <c r="V352" s="5" t="str">
        <f ca="1">IFERROR(__xludf.DUMMYFUNCTION("""COMPUTED_VALUE"""),"Yes")</f>
        <v>Yes</v>
      </c>
      <c r="W352" s="5" t="str">
        <f ca="1">IFERROR(__xludf.DUMMYFUNCTION("""COMPUTED_VALUE"""),"Yes")</f>
        <v>Yes</v>
      </c>
      <c r="X352" s="5" t="str">
        <f ca="1">IFERROR(__xludf.DUMMYFUNCTION("""COMPUTED_VALUE"""),"Yes")</f>
        <v>Yes</v>
      </c>
      <c r="Y352" s="5" t="str">
        <f ca="1">IFERROR(__xludf.DUMMYFUNCTION("""COMPUTED_VALUE"""),"Yes")</f>
        <v>Yes</v>
      </c>
      <c r="Z352" s="5" t="str">
        <f ca="1">IFERROR(__xludf.DUMMYFUNCTION("""COMPUTED_VALUE"""),"Yes")</f>
        <v>Yes</v>
      </c>
      <c r="AA352" s="5" t="str">
        <f ca="1">IFERROR(__xludf.DUMMYFUNCTION("""COMPUTED_VALUE"""),"Yes")</f>
        <v>Yes</v>
      </c>
      <c r="AB352" s="5" t="str">
        <f ca="1">IFERROR(__xludf.DUMMYFUNCTION("""COMPUTED_VALUE"""),"Yes")</f>
        <v>Yes</v>
      </c>
      <c r="AC352" s="5" t="str">
        <f ca="1">IFERROR(__xludf.DUMMYFUNCTION("""COMPUTED_VALUE"""),"No")</f>
        <v>No</v>
      </c>
    </row>
    <row r="353" spans="1:29" x14ac:dyDescent="0.25">
      <c r="A353" s="5" t="str">
        <f ca="1">IFERROR(__xludf.DUMMYFUNCTION("""COMPUTED_VALUE"""),"LollasSoccerWorld")</f>
        <v>LollasSoccerWorld</v>
      </c>
      <c r="B3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3" s="5" t="str">
        <f ca="1">IFERROR(__xludf.DUMMYFUNCTION("""COMPUTED_VALUE"""),"Yes")</f>
        <v>Yes</v>
      </c>
      <c r="D353" s="5" t="str">
        <f ca="1">IFERROR(__xludf.DUMMYFUNCTION("""COMPUTED_VALUE"""),"Yes")</f>
        <v>Yes</v>
      </c>
      <c r="E353" s="5" t="str">
        <f ca="1">IFERROR(__xludf.DUMMYFUNCTION("""COMPUTED_VALUE"""),"Yes")</f>
        <v>Yes</v>
      </c>
      <c r="F353" s="5" t="str">
        <f ca="1">IFERROR(__xludf.DUMMYFUNCTION("""COMPUTED_VALUE"""),"Yes")</f>
        <v>Yes</v>
      </c>
      <c r="G353" s="5" t="str">
        <f ca="1">IFERROR(__xludf.DUMMYFUNCTION("""COMPUTED_VALUE"""),"Yes")</f>
        <v>Yes</v>
      </c>
      <c r="H353" s="5" t="str">
        <f ca="1">IFERROR(__xludf.DUMMYFUNCTION("""COMPUTED_VALUE"""),"Yes")</f>
        <v>Yes</v>
      </c>
      <c r="I353" s="5" t="str">
        <f ca="1">IFERROR(__xludf.DUMMYFUNCTION("""COMPUTED_VALUE"""),"Yes")</f>
        <v>Yes</v>
      </c>
      <c r="J353" s="5" t="str">
        <f ca="1">IFERROR(__xludf.DUMMYFUNCTION("""COMPUTED_VALUE"""),"Yes")</f>
        <v>Yes</v>
      </c>
      <c r="K353" s="5" t="str">
        <f ca="1">IFERROR(__xludf.DUMMYFUNCTION("""COMPUTED_VALUE"""),"Yes")</f>
        <v>Yes</v>
      </c>
      <c r="L353" s="5" t="str">
        <f ca="1">IFERROR(__xludf.DUMMYFUNCTION("""COMPUTED_VALUE"""),"Yes")</f>
        <v>Yes</v>
      </c>
      <c r="M353" s="5" t="str">
        <f ca="1">IFERROR(__xludf.DUMMYFUNCTION("""COMPUTED_VALUE"""),"Yes")</f>
        <v>Yes</v>
      </c>
      <c r="N353" s="5" t="str">
        <f ca="1">IFERROR(__xludf.DUMMYFUNCTION("""COMPUTED_VALUE"""),"Yes")</f>
        <v>Yes</v>
      </c>
      <c r="O353" s="5" t="str">
        <f ca="1">IFERROR(__xludf.DUMMYFUNCTION("""COMPUTED_VALUE"""),"Yes")</f>
        <v>Yes</v>
      </c>
      <c r="P353" s="5" t="str">
        <f ca="1">IFERROR(__xludf.DUMMYFUNCTION("""COMPUTED_VALUE"""),"Yes")</f>
        <v>Yes</v>
      </c>
      <c r="Q353" s="5" t="str">
        <f ca="1">IFERROR(__xludf.DUMMYFUNCTION("""COMPUTED_VALUE"""),"Yes")</f>
        <v>Yes</v>
      </c>
      <c r="R353" s="5" t="str">
        <f ca="1">IFERROR(__xludf.DUMMYFUNCTION("""COMPUTED_VALUE"""),"Yes")</f>
        <v>Yes</v>
      </c>
      <c r="S353" s="5" t="str">
        <f ca="1">IFERROR(__xludf.DUMMYFUNCTION("""COMPUTED_VALUE"""),"Yes")</f>
        <v>Yes</v>
      </c>
      <c r="T353" s="5" t="str">
        <f ca="1">IFERROR(__xludf.DUMMYFUNCTION("""COMPUTED_VALUE"""),"Yes")</f>
        <v>Yes</v>
      </c>
      <c r="U353" s="5" t="str">
        <f ca="1">IFERROR(__xludf.DUMMYFUNCTION("""COMPUTED_VALUE"""),"Yes")</f>
        <v>Yes</v>
      </c>
      <c r="V353" s="5" t="str">
        <f ca="1">IFERROR(__xludf.DUMMYFUNCTION("""COMPUTED_VALUE"""),"Yes")</f>
        <v>Yes</v>
      </c>
      <c r="W353" s="5" t="str">
        <f ca="1">IFERROR(__xludf.DUMMYFUNCTION("""COMPUTED_VALUE"""),"Yes")</f>
        <v>Yes</v>
      </c>
      <c r="X353" s="5" t="str">
        <f ca="1">IFERROR(__xludf.DUMMYFUNCTION("""COMPUTED_VALUE"""),"Yes")</f>
        <v>Yes</v>
      </c>
      <c r="Y353" s="5" t="str">
        <f ca="1">IFERROR(__xludf.DUMMYFUNCTION("""COMPUTED_VALUE"""),"Yes")</f>
        <v>Yes</v>
      </c>
      <c r="Z353" s="5" t="str">
        <f ca="1">IFERROR(__xludf.DUMMYFUNCTION("""COMPUTED_VALUE"""),"Yes")</f>
        <v>Yes</v>
      </c>
      <c r="AA353" s="5" t="str">
        <f ca="1">IFERROR(__xludf.DUMMYFUNCTION("""COMPUTED_VALUE"""),"Yes")</f>
        <v>Yes</v>
      </c>
      <c r="AB353" s="5" t="str">
        <f ca="1">IFERROR(__xludf.DUMMYFUNCTION("""COMPUTED_VALUE"""),"Yes")</f>
        <v>Yes</v>
      </c>
      <c r="AC353" s="5" t="str">
        <f ca="1">IFERROR(__xludf.DUMMYFUNCTION("""COMPUTED_VALUE"""),"No")</f>
        <v>No</v>
      </c>
    </row>
    <row r="354" spans="1:29" x14ac:dyDescent="0.25">
      <c r="A354" s="5" t="str">
        <f ca="1">IFERROR(__xludf.DUMMYFUNCTION("""COMPUTED_VALUE"""),"SoccersClover")</f>
        <v>SoccersClover</v>
      </c>
      <c r="B3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4" s="5" t="str">
        <f ca="1">IFERROR(__xludf.DUMMYFUNCTION("""COMPUTED_VALUE"""),"Yes")</f>
        <v>Yes</v>
      </c>
      <c r="D354" s="5" t="str">
        <f ca="1">IFERROR(__xludf.DUMMYFUNCTION("""COMPUTED_VALUE"""),"Yes")</f>
        <v>Yes</v>
      </c>
      <c r="E354" s="5" t="str">
        <f ca="1">IFERROR(__xludf.DUMMYFUNCTION("""COMPUTED_VALUE"""),"Yes")</f>
        <v>Yes</v>
      </c>
      <c r="F354" s="5" t="str">
        <f ca="1">IFERROR(__xludf.DUMMYFUNCTION("""COMPUTED_VALUE"""),"Yes")</f>
        <v>Yes</v>
      </c>
      <c r="G354" s="5" t="str">
        <f ca="1">IFERROR(__xludf.DUMMYFUNCTION("""COMPUTED_VALUE"""),"Yes")</f>
        <v>Yes</v>
      </c>
      <c r="H354" s="5" t="str">
        <f ca="1">IFERROR(__xludf.DUMMYFUNCTION("""COMPUTED_VALUE"""),"Yes")</f>
        <v>Yes</v>
      </c>
      <c r="I354" s="5" t="str">
        <f ca="1">IFERROR(__xludf.DUMMYFUNCTION("""COMPUTED_VALUE"""),"Yes")</f>
        <v>Yes</v>
      </c>
      <c r="J354" s="5" t="str">
        <f ca="1">IFERROR(__xludf.DUMMYFUNCTION("""COMPUTED_VALUE"""),"Yes")</f>
        <v>Yes</v>
      </c>
      <c r="K354" s="5" t="str">
        <f ca="1">IFERROR(__xludf.DUMMYFUNCTION("""COMPUTED_VALUE"""),"Yes")</f>
        <v>Yes</v>
      </c>
      <c r="L354" s="5" t="str">
        <f ca="1">IFERROR(__xludf.DUMMYFUNCTION("""COMPUTED_VALUE"""),"Yes")</f>
        <v>Yes</v>
      </c>
      <c r="M354" s="5" t="str">
        <f ca="1">IFERROR(__xludf.DUMMYFUNCTION("""COMPUTED_VALUE"""),"Yes")</f>
        <v>Yes</v>
      </c>
      <c r="N354" s="5" t="str">
        <f ca="1">IFERROR(__xludf.DUMMYFUNCTION("""COMPUTED_VALUE"""),"Yes")</f>
        <v>Yes</v>
      </c>
      <c r="O354" s="5" t="str">
        <f ca="1">IFERROR(__xludf.DUMMYFUNCTION("""COMPUTED_VALUE"""),"Yes")</f>
        <v>Yes</v>
      </c>
      <c r="P354" s="5" t="str">
        <f ca="1">IFERROR(__xludf.DUMMYFUNCTION("""COMPUTED_VALUE"""),"Yes")</f>
        <v>Yes</v>
      </c>
      <c r="Q354" s="5" t="str">
        <f ca="1">IFERROR(__xludf.DUMMYFUNCTION("""COMPUTED_VALUE"""),"Yes")</f>
        <v>Yes</v>
      </c>
      <c r="R354" s="5" t="str">
        <f ca="1">IFERROR(__xludf.DUMMYFUNCTION("""COMPUTED_VALUE"""),"Yes")</f>
        <v>Yes</v>
      </c>
      <c r="S354" s="5" t="str">
        <f ca="1">IFERROR(__xludf.DUMMYFUNCTION("""COMPUTED_VALUE"""),"Yes")</f>
        <v>Yes</v>
      </c>
      <c r="T354" s="5" t="str">
        <f ca="1">IFERROR(__xludf.DUMMYFUNCTION("""COMPUTED_VALUE"""),"Yes")</f>
        <v>Yes</v>
      </c>
      <c r="U354" s="5" t="str">
        <f ca="1">IFERROR(__xludf.DUMMYFUNCTION("""COMPUTED_VALUE"""),"Yes")</f>
        <v>Yes</v>
      </c>
      <c r="V354" s="5" t="str">
        <f ca="1">IFERROR(__xludf.DUMMYFUNCTION("""COMPUTED_VALUE"""),"Yes")</f>
        <v>Yes</v>
      </c>
      <c r="W354" s="5" t="str">
        <f ca="1">IFERROR(__xludf.DUMMYFUNCTION("""COMPUTED_VALUE"""),"Yes")</f>
        <v>Yes</v>
      </c>
      <c r="X354" s="5" t="str">
        <f ca="1">IFERROR(__xludf.DUMMYFUNCTION("""COMPUTED_VALUE"""),"Yes")</f>
        <v>Yes</v>
      </c>
      <c r="Y354" s="5" t="str">
        <f ca="1">IFERROR(__xludf.DUMMYFUNCTION("""COMPUTED_VALUE"""),"Yes")</f>
        <v>Yes</v>
      </c>
      <c r="Z354" s="5" t="str">
        <f ca="1">IFERROR(__xludf.DUMMYFUNCTION("""COMPUTED_VALUE"""),"Yes")</f>
        <v>Yes</v>
      </c>
      <c r="AA354" s="5" t="str">
        <f ca="1">IFERROR(__xludf.DUMMYFUNCTION("""COMPUTED_VALUE"""),"Yes")</f>
        <v>Yes</v>
      </c>
      <c r="AB354" s="5" t="str">
        <f ca="1">IFERROR(__xludf.DUMMYFUNCTION("""COMPUTED_VALUE"""),"Yes")</f>
        <v>Yes</v>
      </c>
      <c r="AC354" s="5" t="str">
        <f ca="1">IFERROR(__xludf.DUMMYFUNCTION("""COMPUTED_VALUE"""),"No")</f>
        <v>No</v>
      </c>
    </row>
    <row r="355" spans="1:29" x14ac:dyDescent="0.25">
      <c r="A355" s="5" t="str">
        <f ca="1">IFERROR(__xludf.DUMMYFUNCTION("""COMPUTED_VALUE"""),"SoccerHot40FreeSpins")</f>
        <v>SoccerHot40FreeSpins</v>
      </c>
      <c r="B3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5" s="5" t="str">
        <f ca="1">IFERROR(__xludf.DUMMYFUNCTION("""COMPUTED_VALUE"""),"Yes")</f>
        <v>Yes</v>
      </c>
      <c r="D355" s="5" t="str">
        <f ca="1">IFERROR(__xludf.DUMMYFUNCTION("""COMPUTED_VALUE"""),"Yes")</f>
        <v>Yes</v>
      </c>
      <c r="E355" s="5" t="str">
        <f ca="1">IFERROR(__xludf.DUMMYFUNCTION("""COMPUTED_VALUE"""),"Yes")</f>
        <v>Yes</v>
      </c>
      <c r="F355" s="5" t="str">
        <f ca="1">IFERROR(__xludf.DUMMYFUNCTION("""COMPUTED_VALUE"""),"Yes")</f>
        <v>Yes</v>
      </c>
      <c r="G355" s="5" t="str">
        <f ca="1">IFERROR(__xludf.DUMMYFUNCTION("""COMPUTED_VALUE"""),"Yes")</f>
        <v>Yes</v>
      </c>
      <c r="H355" s="5" t="str">
        <f ca="1">IFERROR(__xludf.DUMMYFUNCTION("""COMPUTED_VALUE"""),"Yes")</f>
        <v>Yes</v>
      </c>
      <c r="I355" s="5" t="str">
        <f ca="1">IFERROR(__xludf.DUMMYFUNCTION("""COMPUTED_VALUE"""),"Yes")</f>
        <v>Yes</v>
      </c>
      <c r="J355" s="5" t="str">
        <f ca="1">IFERROR(__xludf.DUMMYFUNCTION("""COMPUTED_VALUE"""),"Yes")</f>
        <v>Yes</v>
      </c>
      <c r="K355" s="5" t="str">
        <f ca="1">IFERROR(__xludf.DUMMYFUNCTION("""COMPUTED_VALUE"""),"Yes")</f>
        <v>Yes</v>
      </c>
      <c r="L355" s="5" t="str">
        <f ca="1">IFERROR(__xludf.DUMMYFUNCTION("""COMPUTED_VALUE"""),"Yes")</f>
        <v>Yes</v>
      </c>
      <c r="M355" s="5" t="str">
        <f ca="1">IFERROR(__xludf.DUMMYFUNCTION("""COMPUTED_VALUE"""),"Yes")</f>
        <v>Yes</v>
      </c>
      <c r="N355" s="5" t="str">
        <f ca="1">IFERROR(__xludf.DUMMYFUNCTION("""COMPUTED_VALUE"""),"Yes")</f>
        <v>Yes</v>
      </c>
      <c r="O355" s="5" t="str">
        <f ca="1">IFERROR(__xludf.DUMMYFUNCTION("""COMPUTED_VALUE"""),"Yes")</f>
        <v>Yes</v>
      </c>
      <c r="P355" s="5" t="str">
        <f ca="1">IFERROR(__xludf.DUMMYFUNCTION("""COMPUTED_VALUE"""),"Yes")</f>
        <v>Yes</v>
      </c>
      <c r="Q355" s="5" t="str">
        <f ca="1">IFERROR(__xludf.DUMMYFUNCTION("""COMPUTED_VALUE"""),"Yes")</f>
        <v>Yes</v>
      </c>
      <c r="R355" s="5" t="str">
        <f ca="1">IFERROR(__xludf.DUMMYFUNCTION("""COMPUTED_VALUE"""),"Yes")</f>
        <v>Yes</v>
      </c>
      <c r="S355" s="5" t="str">
        <f ca="1">IFERROR(__xludf.DUMMYFUNCTION("""COMPUTED_VALUE"""),"Yes")</f>
        <v>Yes</v>
      </c>
      <c r="T355" s="5" t="str">
        <f ca="1">IFERROR(__xludf.DUMMYFUNCTION("""COMPUTED_VALUE"""),"Yes")</f>
        <v>Yes</v>
      </c>
      <c r="U355" s="5" t="str">
        <f ca="1">IFERROR(__xludf.DUMMYFUNCTION("""COMPUTED_VALUE"""),"Yes")</f>
        <v>Yes</v>
      </c>
      <c r="V355" s="5" t="str">
        <f ca="1">IFERROR(__xludf.DUMMYFUNCTION("""COMPUTED_VALUE"""),"Yes")</f>
        <v>Yes</v>
      </c>
      <c r="W355" s="5" t="str">
        <f ca="1">IFERROR(__xludf.DUMMYFUNCTION("""COMPUTED_VALUE"""),"Yes")</f>
        <v>Yes</v>
      </c>
      <c r="X355" s="5" t="str">
        <f ca="1">IFERROR(__xludf.DUMMYFUNCTION("""COMPUTED_VALUE"""),"Yes")</f>
        <v>Yes</v>
      </c>
      <c r="Y355" s="5" t="str">
        <f ca="1">IFERROR(__xludf.DUMMYFUNCTION("""COMPUTED_VALUE"""),"Yes")</f>
        <v>Yes</v>
      </c>
      <c r="Z355" s="5" t="str">
        <f ca="1">IFERROR(__xludf.DUMMYFUNCTION("""COMPUTED_VALUE"""),"Yes")</f>
        <v>Yes</v>
      </c>
      <c r="AA355" s="5" t="str">
        <f ca="1">IFERROR(__xludf.DUMMYFUNCTION("""COMPUTED_VALUE"""),"Yes")</f>
        <v>Yes</v>
      </c>
      <c r="AB355" s="5" t="str">
        <f ca="1">IFERROR(__xludf.DUMMYFUNCTION("""COMPUTED_VALUE"""),"Yes")</f>
        <v>Yes</v>
      </c>
      <c r="AC355" s="5" t="str">
        <f ca="1">IFERROR(__xludf.DUMMYFUNCTION("""COMPUTED_VALUE"""),"No")</f>
        <v>No</v>
      </c>
    </row>
    <row r="356" spans="1:29" x14ac:dyDescent="0.25">
      <c r="A356" s="5" t="str">
        <f ca="1">IFERROR(__xludf.DUMMYFUNCTION("""COMPUTED_VALUE"""),"EpicDice100")</f>
        <v>EpicDice100</v>
      </c>
      <c r="B3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6" s="5" t="str">
        <f ca="1">IFERROR(__xludf.DUMMYFUNCTION("""COMPUTED_VALUE"""),"Yes")</f>
        <v>Yes</v>
      </c>
      <c r="D356" s="5" t="str">
        <f ca="1">IFERROR(__xludf.DUMMYFUNCTION("""COMPUTED_VALUE"""),"Yes")</f>
        <v>Yes</v>
      </c>
      <c r="E356" s="5" t="str">
        <f ca="1">IFERROR(__xludf.DUMMYFUNCTION("""COMPUTED_VALUE"""),"Yes")</f>
        <v>Yes</v>
      </c>
      <c r="F356" s="5" t="str">
        <f ca="1">IFERROR(__xludf.DUMMYFUNCTION("""COMPUTED_VALUE"""),"Yes")</f>
        <v>Yes</v>
      </c>
      <c r="G356" s="5" t="str">
        <f ca="1">IFERROR(__xludf.DUMMYFUNCTION("""COMPUTED_VALUE"""),"Yes")</f>
        <v>Yes</v>
      </c>
      <c r="H356" s="5" t="str">
        <f ca="1">IFERROR(__xludf.DUMMYFUNCTION("""COMPUTED_VALUE"""),"Yes")</f>
        <v>Yes</v>
      </c>
      <c r="I356" s="5" t="str">
        <f ca="1">IFERROR(__xludf.DUMMYFUNCTION("""COMPUTED_VALUE"""),"Yes")</f>
        <v>Yes</v>
      </c>
      <c r="J356" s="5" t="str">
        <f ca="1">IFERROR(__xludf.DUMMYFUNCTION("""COMPUTED_VALUE"""),"Yes")</f>
        <v>Yes</v>
      </c>
      <c r="K356" s="5" t="str">
        <f ca="1">IFERROR(__xludf.DUMMYFUNCTION("""COMPUTED_VALUE"""),"Yes")</f>
        <v>Yes</v>
      </c>
      <c r="L356" s="5" t="str">
        <f ca="1">IFERROR(__xludf.DUMMYFUNCTION("""COMPUTED_VALUE"""),"Yes")</f>
        <v>Yes</v>
      </c>
      <c r="M356" s="5" t="str">
        <f ca="1">IFERROR(__xludf.DUMMYFUNCTION("""COMPUTED_VALUE"""),"Yes")</f>
        <v>Yes</v>
      </c>
      <c r="N356" s="5" t="str">
        <f ca="1">IFERROR(__xludf.DUMMYFUNCTION("""COMPUTED_VALUE"""),"Yes")</f>
        <v>Yes</v>
      </c>
      <c r="O356" s="5" t="str">
        <f ca="1">IFERROR(__xludf.DUMMYFUNCTION("""COMPUTED_VALUE"""),"Yes")</f>
        <v>Yes</v>
      </c>
      <c r="P356" s="5" t="str">
        <f ca="1">IFERROR(__xludf.DUMMYFUNCTION("""COMPUTED_VALUE"""),"Yes")</f>
        <v>Yes</v>
      </c>
      <c r="Q356" s="5" t="str">
        <f ca="1">IFERROR(__xludf.DUMMYFUNCTION("""COMPUTED_VALUE"""),"Yes")</f>
        <v>Yes</v>
      </c>
      <c r="R356" s="5" t="str">
        <f ca="1">IFERROR(__xludf.DUMMYFUNCTION("""COMPUTED_VALUE"""),"Yes")</f>
        <v>Yes</v>
      </c>
      <c r="S356" s="5" t="str">
        <f ca="1">IFERROR(__xludf.DUMMYFUNCTION("""COMPUTED_VALUE"""),"Yes")</f>
        <v>Yes</v>
      </c>
      <c r="T356" s="5" t="str">
        <f ca="1">IFERROR(__xludf.DUMMYFUNCTION("""COMPUTED_VALUE"""),"Yes")</f>
        <v>Yes</v>
      </c>
      <c r="U356" s="5" t="str">
        <f ca="1">IFERROR(__xludf.DUMMYFUNCTION("""COMPUTED_VALUE"""),"Yes")</f>
        <v>Yes</v>
      </c>
      <c r="V356" s="5" t="str">
        <f ca="1">IFERROR(__xludf.DUMMYFUNCTION("""COMPUTED_VALUE"""),"Yes")</f>
        <v>Yes</v>
      </c>
      <c r="W356" s="5" t="str">
        <f ca="1">IFERROR(__xludf.DUMMYFUNCTION("""COMPUTED_VALUE"""),"Yes")</f>
        <v>Yes</v>
      </c>
      <c r="X356" s="5" t="str">
        <f ca="1">IFERROR(__xludf.DUMMYFUNCTION("""COMPUTED_VALUE"""),"Yes")</f>
        <v>Yes</v>
      </c>
      <c r="Y356" s="5" t="str">
        <f ca="1">IFERROR(__xludf.DUMMYFUNCTION("""COMPUTED_VALUE"""),"Yes")</f>
        <v>Yes</v>
      </c>
      <c r="Z356" s="5" t="str">
        <f ca="1">IFERROR(__xludf.DUMMYFUNCTION("""COMPUTED_VALUE"""),"Yes")</f>
        <v>Yes</v>
      </c>
      <c r="AA356" s="5" t="str">
        <f ca="1">IFERROR(__xludf.DUMMYFUNCTION("""COMPUTED_VALUE"""),"Yes")</f>
        <v>Yes</v>
      </c>
      <c r="AB356" s="5" t="str">
        <f ca="1">IFERROR(__xludf.DUMMYFUNCTION("""COMPUTED_VALUE"""),"Yes")</f>
        <v>Yes</v>
      </c>
      <c r="AC356" s="5" t="str">
        <f ca="1">IFERROR(__xludf.DUMMYFUNCTION("""COMPUTED_VALUE"""),"No")</f>
        <v>No</v>
      </c>
    </row>
    <row r="357" spans="1:29" x14ac:dyDescent="0.25">
      <c r="A357" s="5" t="str">
        <f ca="1">IFERROR(__xludf.DUMMYFUNCTION("""COMPUTED_VALUE"""),"MegaHot20")</f>
        <v>MegaHot20</v>
      </c>
      <c r="B3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7" s="5" t="str">
        <f ca="1">IFERROR(__xludf.DUMMYFUNCTION("""COMPUTED_VALUE"""),"Yes")</f>
        <v>Yes</v>
      </c>
      <c r="D357" s="5" t="str">
        <f ca="1">IFERROR(__xludf.DUMMYFUNCTION("""COMPUTED_VALUE"""),"Yes")</f>
        <v>Yes</v>
      </c>
      <c r="E357" s="5" t="str">
        <f ca="1">IFERROR(__xludf.DUMMYFUNCTION("""COMPUTED_VALUE"""),"Yes")</f>
        <v>Yes</v>
      </c>
      <c r="F357" s="5" t="str">
        <f ca="1">IFERROR(__xludf.DUMMYFUNCTION("""COMPUTED_VALUE"""),"Yes")</f>
        <v>Yes</v>
      </c>
      <c r="G357" s="5" t="str">
        <f ca="1">IFERROR(__xludf.DUMMYFUNCTION("""COMPUTED_VALUE"""),"Yes")</f>
        <v>Yes</v>
      </c>
      <c r="H357" s="5" t="str">
        <f ca="1">IFERROR(__xludf.DUMMYFUNCTION("""COMPUTED_VALUE"""),"Yes")</f>
        <v>Yes</v>
      </c>
      <c r="I357" s="5" t="str">
        <f ca="1">IFERROR(__xludf.DUMMYFUNCTION("""COMPUTED_VALUE"""),"Yes")</f>
        <v>Yes</v>
      </c>
      <c r="J357" s="5" t="str">
        <f ca="1">IFERROR(__xludf.DUMMYFUNCTION("""COMPUTED_VALUE"""),"Yes")</f>
        <v>Yes</v>
      </c>
      <c r="K357" s="5" t="str">
        <f ca="1">IFERROR(__xludf.DUMMYFUNCTION("""COMPUTED_VALUE"""),"Yes")</f>
        <v>Yes</v>
      </c>
      <c r="L357" s="5" t="str">
        <f ca="1">IFERROR(__xludf.DUMMYFUNCTION("""COMPUTED_VALUE"""),"Yes")</f>
        <v>Yes</v>
      </c>
      <c r="M357" s="5" t="str">
        <f ca="1">IFERROR(__xludf.DUMMYFUNCTION("""COMPUTED_VALUE"""),"Yes")</f>
        <v>Yes</v>
      </c>
      <c r="N357" s="5" t="str">
        <f ca="1">IFERROR(__xludf.DUMMYFUNCTION("""COMPUTED_VALUE"""),"Yes")</f>
        <v>Yes</v>
      </c>
      <c r="O357" s="5" t="str">
        <f ca="1">IFERROR(__xludf.DUMMYFUNCTION("""COMPUTED_VALUE"""),"Yes")</f>
        <v>Yes</v>
      </c>
      <c r="P357" s="5" t="str">
        <f ca="1">IFERROR(__xludf.DUMMYFUNCTION("""COMPUTED_VALUE"""),"Yes")</f>
        <v>Yes</v>
      </c>
      <c r="Q357" s="5" t="str">
        <f ca="1">IFERROR(__xludf.DUMMYFUNCTION("""COMPUTED_VALUE"""),"Yes")</f>
        <v>Yes</v>
      </c>
      <c r="R357" s="5" t="str">
        <f ca="1">IFERROR(__xludf.DUMMYFUNCTION("""COMPUTED_VALUE"""),"Yes")</f>
        <v>Yes</v>
      </c>
      <c r="S357" s="5" t="str">
        <f ca="1">IFERROR(__xludf.DUMMYFUNCTION("""COMPUTED_VALUE"""),"Yes")</f>
        <v>Yes</v>
      </c>
      <c r="T357" s="5" t="str">
        <f ca="1">IFERROR(__xludf.DUMMYFUNCTION("""COMPUTED_VALUE"""),"Yes")</f>
        <v>Yes</v>
      </c>
      <c r="U357" s="5" t="str">
        <f ca="1">IFERROR(__xludf.DUMMYFUNCTION("""COMPUTED_VALUE"""),"Yes")</f>
        <v>Yes</v>
      </c>
      <c r="V357" s="5" t="str">
        <f ca="1">IFERROR(__xludf.DUMMYFUNCTION("""COMPUTED_VALUE"""),"Yes")</f>
        <v>Yes</v>
      </c>
      <c r="W357" s="5" t="str">
        <f ca="1">IFERROR(__xludf.DUMMYFUNCTION("""COMPUTED_VALUE"""),"Yes")</f>
        <v>Yes</v>
      </c>
      <c r="X357" s="5" t="str">
        <f ca="1">IFERROR(__xludf.DUMMYFUNCTION("""COMPUTED_VALUE"""),"Yes")</f>
        <v>Yes</v>
      </c>
      <c r="Y357" s="5" t="str">
        <f ca="1">IFERROR(__xludf.DUMMYFUNCTION("""COMPUTED_VALUE"""),"Yes")</f>
        <v>Yes</v>
      </c>
      <c r="Z357" s="5" t="str">
        <f ca="1">IFERROR(__xludf.DUMMYFUNCTION("""COMPUTED_VALUE"""),"Yes")</f>
        <v>Yes</v>
      </c>
      <c r="AA357" s="5" t="str">
        <f ca="1">IFERROR(__xludf.DUMMYFUNCTION("""COMPUTED_VALUE"""),"Yes")</f>
        <v>Yes</v>
      </c>
      <c r="AB357" s="5" t="str">
        <f ca="1">IFERROR(__xludf.DUMMYFUNCTION("""COMPUTED_VALUE"""),"Yes")</f>
        <v>Yes</v>
      </c>
      <c r="AC357" s="5" t="str">
        <f ca="1">IFERROR(__xludf.DUMMYFUNCTION("""COMPUTED_VALUE"""),"No")</f>
        <v>No</v>
      </c>
    </row>
    <row r="358" spans="1:29" x14ac:dyDescent="0.25">
      <c r="A358" s="5" t="str">
        <f ca="1">IFERROR(__xludf.DUMMYFUNCTION("""COMPUTED_VALUE"""),"CloversAndStars")</f>
        <v>CloversAndStars</v>
      </c>
      <c r="B3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8" s="5" t="str">
        <f ca="1">IFERROR(__xludf.DUMMYFUNCTION("""COMPUTED_VALUE"""),"Yes")</f>
        <v>Yes</v>
      </c>
      <c r="D358" s="5" t="str">
        <f ca="1">IFERROR(__xludf.DUMMYFUNCTION("""COMPUTED_VALUE"""),"Yes")</f>
        <v>Yes</v>
      </c>
      <c r="E358" s="5" t="str">
        <f ca="1">IFERROR(__xludf.DUMMYFUNCTION("""COMPUTED_VALUE"""),"Yes")</f>
        <v>Yes</v>
      </c>
      <c r="F358" s="5" t="str">
        <f ca="1">IFERROR(__xludf.DUMMYFUNCTION("""COMPUTED_VALUE"""),"Yes")</f>
        <v>Yes</v>
      </c>
      <c r="G358" s="5" t="str">
        <f ca="1">IFERROR(__xludf.DUMMYFUNCTION("""COMPUTED_VALUE"""),"Yes")</f>
        <v>Yes</v>
      </c>
      <c r="H358" s="5" t="str">
        <f ca="1">IFERROR(__xludf.DUMMYFUNCTION("""COMPUTED_VALUE"""),"Yes")</f>
        <v>Yes</v>
      </c>
      <c r="I358" s="5" t="str">
        <f ca="1">IFERROR(__xludf.DUMMYFUNCTION("""COMPUTED_VALUE"""),"Yes")</f>
        <v>Yes</v>
      </c>
      <c r="J358" s="5" t="str">
        <f ca="1">IFERROR(__xludf.DUMMYFUNCTION("""COMPUTED_VALUE"""),"Yes")</f>
        <v>Yes</v>
      </c>
      <c r="K358" s="5" t="str">
        <f ca="1">IFERROR(__xludf.DUMMYFUNCTION("""COMPUTED_VALUE"""),"Yes")</f>
        <v>Yes</v>
      </c>
      <c r="L358" s="5" t="str">
        <f ca="1">IFERROR(__xludf.DUMMYFUNCTION("""COMPUTED_VALUE"""),"Yes")</f>
        <v>Yes</v>
      </c>
      <c r="M358" s="5" t="str">
        <f ca="1">IFERROR(__xludf.DUMMYFUNCTION("""COMPUTED_VALUE"""),"Yes")</f>
        <v>Yes</v>
      </c>
      <c r="N358" s="5" t="str">
        <f ca="1">IFERROR(__xludf.DUMMYFUNCTION("""COMPUTED_VALUE"""),"Yes")</f>
        <v>Yes</v>
      </c>
      <c r="O358" s="5" t="str">
        <f ca="1">IFERROR(__xludf.DUMMYFUNCTION("""COMPUTED_VALUE"""),"Yes")</f>
        <v>Yes</v>
      </c>
      <c r="P358" s="5" t="str">
        <f ca="1">IFERROR(__xludf.DUMMYFUNCTION("""COMPUTED_VALUE"""),"Yes")</f>
        <v>Yes</v>
      </c>
      <c r="Q358" s="5" t="str">
        <f ca="1">IFERROR(__xludf.DUMMYFUNCTION("""COMPUTED_VALUE"""),"Yes")</f>
        <v>Yes</v>
      </c>
      <c r="R358" s="5" t="str">
        <f ca="1">IFERROR(__xludf.DUMMYFUNCTION("""COMPUTED_VALUE"""),"Yes")</f>
        <v>Yes</v>
      </c>
      <c r="S358" s="5" t="str">
        <f ca="1">IFERROR(__xludf.DUMMYFUNCTION("""COMPUTED_VALUE"""),"Yes")</f>
        <v>Yes</v>
      </c>
      <c r="T358" s="5" t="str">
        <f ca="1">IFERROR(__xludf.DUMMYFUNCTION("""COMPUTED_VALUE"""),"Yes")</f>
        <v>Yes</v>
      </c>
      <c r="U358" s="5" t="str">
        <f ca="1">IFERROR(__xludf.DUMMYFUNCTION("""COMPUTED_VALUE"""),"Yes")</f>
        <v>Yes</v>
      </c>
      <c r="V358" s="5" t="str">
        <f ca="1">IFERROR(__xludf.DUMMYFUNCTION("""COMPUTED_VALUE"""),"Yes")</f>
        <v>Yes</v>
      </c>
      <c r="W358" s="5" t="str">
        <f ca="1">IFERROR(__xludf.DUMMYFUNCTION("""COMPUTED_VALUE"""),"Yes")</f>
        <v>Yes</v>
      </c>
      <c r="X358" s="5" t="str">
        <f ca="1">IFERROR(__xludf.DUMMYFUNCTION("""COMPUTED_VALUE"""),"Yes")</f>
        <v>Yes</v>
      </c>
      <c r="Y358" s="5" t="str">
        <f ca="1">IFERROR(__xludf.DUMMYFUNCTION("""COMPUTED_VALUE"""),"Yes")</f>
        <v>Yes</v>
      </c>
      <c r="Z358" s="5" t="str">
        <f ca="1">IFERROR(__xludf.DUMMYFUNCTION("""COMPUTED_VALUE"""),"Yes")</f>
        <v>Yes</v>
      </c>
      <c r="AA358" s="5" t="str">
        <f ca="1">IFERROR(__xludf.DUMMYFUNCTION("""COMPUTED_VALUE"""),"Yes")</f>
        <v>Yes</v>
      </c>
      <c r="AB358" s="5" t="str">
        <f ca="1">IFERROR(__xludf.DUMMYFUNCTION("""COMPUTED_VALUE"""),"Yes")</f>
        <v>Yes</v>
      </c>
      <c r="AC358" s="5" t="str">
        <f ca="1">IFERROR(__xludf.DUMMYFUNCTION("""COMPUTED_VALUE"""),"No")</f>
        <v>No</v>
      </c>
    </row>
    <row r="359" spans="1:29" x14ac:dyDescent="0.25">
      <c r="A359" s="5" t="str">
        <f ca="1">IFERROR(__xludf.DUMMYFUNCTION("""COMPUTED_VALUE"""),"FortuneParrot")</f>
        <v>FortuneParrot</v>
      </c>
      <c r="B3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9" s="5" t="str">
        <f ca="1">IFERROR(__xludf.DUMMYFUNCTION("""COMPUTED_VALUE"""),"Yes")</f>
        <v>Yes</v>
      </c>
      <c r="D359" s="5" t="str">
        <f ca="1">IFERROR(__xludf.DUMMYFUNCTION("""COMPUTED_VALUE"""),"Yes")</f>
        <v>Yes</v>
      </c>
      <c r="E359" s="5" t="str">
        <f ca="1">IFERROR(__xludf.DUMMYFUNCTION("""COMPUTED_VALUE"""),"Yes")</f>
        <v>Yes</v>
      </c>
      <c r="F359" s="5" t="str">
        <f ca="1">IFERROR(__xludf.DUMMYFUNCTION("""COMPUTED_VALUE"""),"Yes")</f>
        <v>Yes</v>
      </c>
      <c r="G359" s="5" t="str">
        <f ca="1">IFERROR(__xludf.DUMMYFUNCTION("""COMPUTED_VALUE"""),"Yes")</f>
        <v>Yes</v>
      </c>
      <c r="H359" s="5" t="str">
        <f ca="1">IFERROR(__xludf.DUMMYFUNCTION("""COMPUTED_VALUE"""),"Yes")</f>
        <v>Yes</v>
      </c>
      <c r="I359" s="5" t="str">
        <f ca="1">IFERROR(__xludf.DUMMYFUNCTION("""COMPUTED_VALUE"""),"Yes")</f>
        <v>Yes</v>
      </c>
      <c r="J359" s="5" t="str">
        <f ca="1">IFERROR(__xludf.DUMMYFUNCTION("""COMPUTED_VALUE"""),"Yes")</f>
        <v>Yes</v>
      </c>
      <c r="K359" s="5" t="str">
        <f ca="1">IFERROR(__xludf.DUMMYFUNCTION("""COMPUTED_VALUE"""),"Yes")</f>
        <v>Yes</v>
      </c>
      <c r="L359" s="5" t="str">
        <f ca="1">IFERROR(__xludf.DUMMYFUNCTION("""COMPUTED_VALUE"""),"Yes")</f>
        <v>Yes</v>
      </c>
      <c r="M359" s="5" t="str">
        <f ca="1">IFERROR(__xludf.DUMMYFUNCTION("""COMPUTED_VALUE"""),"Yes")</f>
        <v>Yes</v>
      </c>
      <c r="N359" s="5" t="str">
        <f ca="1">IFERROR(__xludf.DUMMYFUNCTION("""COMPUTED_VALUE"""),"Yes")</f>
        <v>Yes</v>
      </c>
      <c r="O359" s="5" t="str">
        <f ca="1">IFERROR(__xludf.DUMMYFUNCTION("""COMPUTED_VALUE"""),"Yes")</f>
        <v>Yes</v>
      </c>
      <c r="P359" s="5" t="str">
        <f ca="1">IFERROR(__xludf.DUMMYFUNCTION("""COMPUTED_VALUE"""),"Yes")</f>
        <v>Yes</v>
      </c>
      <c r="Q359" s="5" t="str">
        <f ca="1">IFERROR(__xludf.DUMMYFUNCTION("""COMPUTED_VALUE"""),"Yes")</f>
        <v>Yes</v>
      </c>
      <c r="R359" s="5" t="str">
        <f ca="1">IFERROR(__xludf.DUMMYFUNCTION("""COMPUTED_VALUE"""),"Yes")</f>
        <v>Yes</v>
      </c>
      <c r="S359" s="5" t="str">
        <f ca="1">IFERROR(__xludf.DUMMYFUNCTION("""COMPUTED_VALUE"""),"Yes")</f>
        <v>Yes</v>
      </c>
      <c r="T359" s="5" t="str">
        <f ca="1">IFERROR(__xludf.DUMMYFUNCTION("""COMPUTED_VALUE"""),"Yes")</f>
        <v>Yes</v>
      </c>
      <c r="U359" s="5" t="str">
        <f ca="1">IFERROR(__xludf.DUMMYFUNCTION("""COMPUTED_VALUE"""),"Yes")</f>
        <v>Yes</v>
      </c>
      <c r="V359" s="5" t="str">
        <f ca="1">IFERROR(__xludf.DUMMYFUNCTION("""COMPUTED_VALUE"""),"Yes")</f>
        <v>Yes</v>
      </c>
      <c r="W359" s="5" t="str">
        <f ca="1">IFERROR(__xludf.DUMMYFUNCTION("""COMPUTED_VALUE"""),"Yes")</f>
        <v>Yes</v>
      </c>
      <c r="X359" s="5" t="str">
        <f ca="1">IFERROR(__xludf.DUMMYFUNCTION("""COMPUTED_VALUE"""),"Yes")</f>
        <v>Yes</v>
      </c>
      <c r="Y359" s="5" t="str">
        <f ca="1">IFERROR(__xludf.DUMMYFUNCTION("""COMPUTED_VALUE"""),"Yes")</f>
        <v>Yes</v>
      </c>
      <c r="Z359" s="5" t="str">
        <f ca="1">IFERROR(__xludf.DUMMYFUNCTION("""COMPUTED_VALUE"""),"Yes")</f>
        <v>Yes</v>
      </c>
      <c r="AA359" s="5" t="str">
        <f ca="1">IFERROR(__xludf.DUMMYFUNCTION("""COMPUTED_VALUE"""),"Yes")</f>
        <v>Yes</v>
      </c>
      <c r="AB359" s="5" t="str">
        <f ca="1">IFERROR(__xludf.DUMMYFUNCTION("""COMPUTED_VALUE"""),"Yes")</f>
        <v>Yes</v>
      </c>
      <c r="AC359" s="5" t="str">
        <f ca="1">IFERROR(__xludf.DUMMYFUNCTION("""COMPUTED_VALUE"""),"No")</f>
        <v>No</v>
      </c>
    </row>
    <row r="360" spans="1:29" x14ac:dyDescent="0.25">
      <c r="A360" s="5" t="str">
        <f ca="1">IFERROR(__xludf.DUMMYFUNCTION("""COMPUTED_VALUE"""),"GoldenCrownMax")</f>
        <v>GoldenCrownMax</v>
      </c>
      <c r="B3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0" s="5" t="str">
        <f ca="1">IFERROR(__xludf.DUMMYFUNCTION("""COMPUTED_VALUE"""),"Yes")</f>
        <v>Yes</v>
      </c>
      <c r="D360" s="5" t="str">
        <f ca="1">IFERROR(__xludf.DUMMYFUNCTION("""COMPUTED_VALUE"""),"Yes")</f>
        <v>Yes</v>
      </c>
      <c r="E360" s="5" t="str">
        <f ca="1">IFERROR(__xludf.DUMMYFUNCTION("""COMPUTED_VALUE"""),"Yes")</f>
        <v>Yes</v>
      </c>
      <c r="F360" s="5" t="str">
        <f ca="1">IFERROR(__xludf.DUMMYFUNCTION("""COMPUTED_VALUE"""),"Yes")</f>
        <v>Yes</v>
      </c>
      <c r="G360" s="5" t="str">
        <f ca="1">IFERROR(__xludf.DUMMYFUNCTION("""COMPUTED_VALUE"""),"Yes")</f>
        <v>Yes</v>
      </c>
      <c r="H360" s="5" t="str">
        <f ca="1">IFERROR(__xludf.DUMMYFUNCTION("""COMPUTED_VALUE"""),"Yes")</f>
        <v>Yes</v>
      </c>
      <c r="I360" s="5" t="str">
        <f ca="1">IFERROR(__xludf.DUMMYFUNCTION("""COMPUTED_VALUE"""),"Yes")</f>
        <v>Yes</v>
      </c>
      <c r="J360" s="5" t="str">
        <f ca="1">IFERROR(__xludf.DUMMYFUNCTION("""COMPUTED_VALUE"""),"Yes")</f>
        <v>Yes</v>
      </c>
      <c r="K360" s="5" t="str">
        <f ca="1">IFERROR(__xludf.DUMMYFUNCTION("""COMPUTED_VALUE"""),"Yes")</f>
        <v>Yes</v>
      </c>
      <c r="L360" s="5" t="str">
        <f ca="1">IFERROR(__xludf.DUMMYFUNCTION("""COMPUTED_VALUE"""),"Yes")</f>
        <v>Yes</v>
      </c>
      <c r="M360" s="5" t="str">
        <f ca="1">IFERROR(__xludf.DUMMYFUNCTION("""COMPUTED_VALUE"""),"Yes")</f>
        <v>Yes</v>
      </c>
      <c r="N360" s="5" t="str">
        <f ca="1">IFERROR(__xludf.DUMMYFUNCTION("""COMPUTED_VALUE"""),"Yes")</f>
        <v>Yes</v>
      </c>
      <c r="O360" s="5" t="str">
        <f ca="1">IFERROR(__xludf.DUMMYFUNCTION("""COMPUTED_VALUE"""),"Yes")</f>
        <v>Yes</v>
      </c>
      <c r="P360" s="5" t="str">
        <f ca="1">IFERROR(__xludf.DUMMYFUNCTION("""COMPUTED_VALUE"""),"Yes")</f>
        <v>Yes</v>
      </c>
      <c r="Q360" s="5" t="str">
        <f ca="1">IFERROR(__xludf.DUMMYFUNCTION("""COMPUTED_VALUE"""),"Yes")</f>
        <v>Yes</v>
      </c>
      <c r="R360" s="5" t="str">
        <f ca="1">IFERROR(__xludf.DUMMYFUNCTION("""COMPUTED_VALUE"""),"Yes")</f>
        <v>Yes</v>
      </c>
      <c r="S360" s="5" t="str">
        <f ca="1">IFERROR(__xludf.DUMMYFUNCTION("""COMPUTED_VALUE"""),"Yes")</f>
        <v>Yes</v>
      </c>
      <c r="T360" s="5" t="str">
        <f ca="1">IFERROR(__xludf.DUMMYFUNCTION("""COMPUTED_VALUE"""),"Yes")</f>
        <v>Yes</v>
      </c>
      <c r="U360" s="5" t="str">
        <f ca="1">IFERROR(__xludf.DUMMYFUNCTION("""COMPUTED_VALUE"""),"Yes")</f>
        <v>Yes</v>
      </c>
      <c r="V360" s="5" t="str">
        <f ca="1">IFERROR(__xludf.DUMMYFUNCTION("""COMPUTED_VALUE"""),"Yes")</f>
        <v>Yes</v>
      </c>
      <c r="W360" s="5" t="str">
        <f ca="1">IFERROR(__xludf.DUMMYFUNCTION("""COMPUTED_VALUE"""),"Yes")</f>
        <v>Yes</v>
      </c>
      <c r="X360" s="5" t="str">
        <f ca="1">IFERROR(__xludf.DUMMYFUNCTION("""COMPUTED_VALUE"""),"Yes")</f>
        <v>Yes</v>
      </c>
      <c r="Y360" s="5" t="str">
        <f ca="1">IFERROR(__xludf.DUMMYFUNCTION("""COMPUTED_VALUE"""),"Yes")</f>
        <v>Yes</v>
      </c>
      <c r="Z360" s="5" t="str">
        <f ca="1">IFERROR(__xludf.DUMMYFUNCTION("""COMPUTED_VALUE"""),"Yes")</f>
        <v>Yes</v>
      </c>
      <c r="AA360" s="5" t="str">
        <f ca="1">IFERROR(__xludf.DUMMYFUNCTION("""COMPUTED_VALUE"""),"Yes")</f>
        <v>Yes</v>
      </c>
      <c r="AB360" s="5" t="str">
        <f ca="1">IFERROR(__xludf.DUMMYFUNCTION("""COMPUTED_VALUE"""),"Yes")</f>
        <v>Yes</v>
      </c>
      <c r="AC360" s="5" t="str">
        <f ca="1">IFERROR(__xludf.DUMMYFUNCTION("""COMPUTED_VALUE"""),"No")</f>
        <v>No</v>
      </c>
    </row>
    <row r="361" spans="1:29" x14ac:dyDescent="0.25">
      <c r="A361" s="5" t="str">
        <f ca="1">IFERROR(__xludf.DUMMYFUNCTION("""COMPUTED_VALUE"""),"UnicornBuffaloDice")</f>
        <v>UnicornBuffaloDice</v>
      </c>
      <c r="B3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61" s="5" t="str">
        <f ca="1">IFERROR(__xludf.DUMMYFUNCTION("""COMPUTED_VALUE"""),"Yes")</f>
        <v>Yes</v>
      </c>
      <c r="D361" s="5" t="str">
        <f ca="1">IFERROR(__xludf.DUMMYFUNCTION("""COMPUTED_VALUE"""),"Yes")</f>
        <v>Yes</v>
      </c>
      <c r="E361" s="5" t="str">
        <f ca="1">IFERROR(__xludf.DUMMYFUNCTION("""COMPUTED_VALUE"""),"Yes")</f>
        <v>Yes</v>
      </c>
      <c r="F361" s="5" t="str">
        <f ca="1">IFERROR(__xludf.DUMMYFUNCTION("""COMPUTED_VALUE"""),"Yes")</f>
        <v>Yes</v>
      </c>
      <c r="G361" s="5" t="str">
        <f ca="1">IFERROR(__xludf.DUMMYFUNCTION("""COMPUTED_VALUE"""),"Yes")</f>
        <v>Yes</v>
      </c>
      <c r="H361" s="5" t="str">
        <f ca="1">IFERROR(__xludf.DUMMYFUNCTION("""COMPUTED_VALUE"""),"Yes")</f>
        <v>Yes</v>
      </c>
      <c r="I361" s="5" t="str">
        <f ca="1">IFERROR(__xludf.DUMMYFUNCTION("""COMPUTED_VALUE"""),"Yes")</f>
        <v>Yes</v>
      </c>
      <c r="J361" s="5" t="str">
        <f ca="1">IFERROR(__xludf.DUMMYFUNCTION("""COMPUTED_VALUE"""),"Yes")</f>
        <v>Yes</v>
      </c>
      <c r="K361" s="5" t="str">
        <f ca="1">IFERROR(__xludf.DUMMYFUNCTION("""COMPUTED_VALUE"""),"Yes")</f>
        <v>Yes</v>
      </c>
      <c r="L361" s="5" t="str">
        <f ca="1">IFERROR(__xludf.DUMMYFUNCTION("""COMPUTED_VALUE"""),"Yes")</f>
        <v>Yes</v>
      </c>
      <c r="M361" s="5" t="str">
        <f ca="1">IFERROR(__xludf.DUMMYFUNCTION("""COMPUTED_VALUE"""),"Yes")</f>
        <v>Yes</v>
      </c>
      <c r="N361" s="5" t="str">
        <f ca="1">IFERROR(__xludf.DUMMYFUNCTION("""COMPUTED_VALUE"""),"Yes")</f>
        <v>Yes</v>
      </c>
      <c r="O361" s="5" t="str">
        <f ca="1">IFERROR(__xludf.DUMMYFUNCTION("""COMPUTED_VALUE"""),"Yes")</f>
        <v>Yes</v>
      </c>
      <c r="P361" s="5" t="str">
        <f ca="1">IFERROR(__xludf.DUMMYFUNCTION("""COMPUTED_VALUE"""),"Yes")</f>
        <v>Yes</v>
      </c>
      <c r="Q361" s="5" t="str">
        <f ca="1">IFERROR(__xludf.DUMMYFUNCTION("""COMPUTED_VALUE"""),"Yes")</f>
        <v>Yes</v>
      </c>
      <c r="R361" s="5" t="str">
        <f ca="1">IFERROR(__xludf.DUMMYFUNCTION("""COMPUTED_VALUE"""),"Yes")</f>
        <v>Yes</v>
      </c>
      <c r="S361" s="5" t="str">
        <f ca="1">IFERROR(__xludf.DUMMYFUNCTION("""COMPUTED_VALUE"""),"Yes")</f>
        <v>Yes</v>
      </c>
      <c r="T361" s="5" t="str">
        <f ca="1">IFERROR(__xludf.DUMMYFUNCTION("""COMPUTED_VALUE"""),"Yes")</f>
        <v>Yes</v>
      </c>
      <c r="U361" s="5" t="str">
        <f ca="1">IFERROR(__xludf.DUMMYFUNCTION("""COMPUTED_VALUE"""),"Yes")</f>
        <v>Yes</v>
      </c>
      <c r="V361" s="5"/>
      <c r="W361" s="5" t="str">
        <f ca="1">IFERROR(__xludf.DUMMYFUNCTION("""COMPUTED_VALUE"""),"Yes")</f>
        <v>Yes</v>
      </c>
      <c r="X361" s="5" t="str">
        <f ca="1">IFERROR(__xludf.DUMMYFUNCTION("""COMPUTED_VALUE"""),"Yes")</f>
        <v>Yes</v>
      </c>
      <c r="Y361" s="5" t="str">
        <f ca="1">IFERROR(__xludf.DUMMYFUNCTION("""COMPUTED_VALUE"""),"Yes")</f>
        <v>Yes</v>
      </c>
      <c r="Z361" s="5" t="str">
        <f ca="1">IFERROR(__xludf.DUMMYFUNCTION("""COMPUTED_VALUE"""),"Yes")</f>
        <v>Yes</v>
      </c>
      <c r="AA361" s="5" t="str">
        <f ca="1">IFERROR(__xludf.DUMMYFUNCTION("""COMPUTED_VALUE"""),"Yes")</f>
        <v>Yes</v>
      </c>
      <c r="AB361" s="5" t="str">
        <f ca="1">IFERROR(__xludf.DUMMYFUNCTION("""COMPUTED_VALUE"""),"Yes")</f>
        <v>Yes</v>
      </c>
      <c r="AC361" s="5"/>
    </row>
    <row r="362" spans="1:29" x14ac:dyDescent="0.25">
      <c r="A362" s="5" t="str">
        <f ca="1">IFERROR(__xludf.DUMMYFUNCTION("""COMPUTED_VALUE"""),"Redstone81VegasCrown")</f>
        <v>Redstone81VegasCrown</v>
      </c>
      <c r="B36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62" s="5" t="str">
        <f ca="1">IFERROR(__xludf.DUMMYFUNCTION("""COMPUTED_VALUE"""),"Yes")</f>
        <v>Yes</v>
      </c>
      <c r="D362" s="5" t="str">
        <f ca="1">IFERROR(__xludf.DUMMYFUNCTION("""COMPUTED_VALUE"""),"Yes")</f>
        <v>Yes</v>
      </c>
      <c r="E362" s="5" t="str">
        <f ca="1">IFERROR(__xludf.DUMMYFUNCTION("""COMPUTED_VALUE"""),"Yes")</f>
        <v>Yes</v>
      </c>
      <c r="F362" s="5" t="str">
        <f ca="1">IFERROR(__xludf.DUMMYFUNCTION("""COMPUTED_VALUE"""),"No")</f>
        <v>No</v>
      </c>
      <c r="G362" s="5" t="str">
        <f ca="1">IFERROR(__xludf.DUMMYFUNCTION("""COMPUTED_VALUE"""),"No")</f>
        <v>No</v>
      </c>
      <c r="H362" s="5" t="str">
        <f ca="1">IFERROR(__xludf.DUMMYFUNCTION("""COMPUTED_VALUE"""),"No")</f>
        <v>No</v>
      </c>
      <c r="I362" s="5" t="str">
        <f ca="1">IFERROR(__xludf.DUMMYFUNCTION("""COMPUTED_VALUE"""),"No")</f>
        <v>No</v>
      </c>
      <c r="J362" s="5" t="str">
        <f ca="1">IFERROR(__xludf.DUMMYFUNCTION("""COMPUTED_VALUE"""),"No")</f>
        <v>No</v>
      </c>
      <c r="K362" s="5" t="str">
        <f ca="1">IFERROR(__xludf.DUMMYFUNCTION("""COMPUTED_VALUE"""),"Yes")</f>
        <v>Yes</v>
      </c>
      <c r="L362" s="5" t="str">
        <f ca="1">IFERROR(__xludf.DUMMYFUNCTION("""COMPUTED_VALUE"""),"Yes")</f>
        <v>Yes</v>
      </c>
      <c r="M362" s="5" t="str">
        <f ca="1">IFERROR(__xludf.DUMMYFUNCTION("""COMPUTED_VALUE"""),"Yes")</f>
        <v>Yes</v>
      </c>
      <c r="N362" s="5" t="str">
        <f ca="1">IFERROR(__xludf.DUMMYFUNCTION("""COMPUTED_VALUE"""),"Yes")</f>
        <v>Yes</v>
      </c>
      <c r="O362" s="5" t="str">
        <f ca="1">IFERROR(__xludf.DUMMYFUNCTION("""COMPUTED_VALUE"""),"Yes")</f>
        <v>Yes</v>
      </c>
      <c r="P362" s="5" t="str">
        <f ca="1">IFERROR(__xludf.DUMMYFUNCTION("""COMPUTED_VALUE"""),"No")</f>
        <v>No</v>
      </c>
      <c r="Q362" s="5" t="str">
        <f ca="1">IFERROR(__xludf.DUMMYFUNCTION("""COMPUTED_VALUE"""),"Yes")</f>
        <v>Yes</v>
      </c>
      <c r="R362" s="5" t="str">
        <f ca="1">IFERROR(__xludf.DUMMYFUNCTION("""COMPUTED_VALUE"""),"No")</f>
        <v>No</v>
      </c>
      <c r="S362" s="5" t="str">
        <f ca="1">IFERROR(__xludf.DUMMYFUNCTION("""COMPUTED_VALUE"""),"No")</f>
        <v>No</v>
      </c>
      <c r="T362" s="5" t="str">
        <f ca="1">IFERROR(__xludf.DUMMYFUNCTION("""COMPUTED_VALUE"""),"No")</f>
        <v>No</v>
      </c>
      <c r="U362" s="5" t="str">
        <f ca="1">IFERROR(__xludf.DUMMYFUNCTION("""COMPUTED_VALUE"""),"No")</f>
        <v>No</v>
      </c>
      <c r="V362" s="5"/>
      <c r="W362" s="5" t="str">
        <f ca="1">IFERROR(__xludf.DUMMYFUNCTION("""COMPUTED_VALUE"""),"No")</f>
        <v>No</v>
      </c>
      <c r="X362" s="5" t="str">
        <f ca="1">IFERROR(__xludf.DUMMYFUNCTION("""COMPUTED_VALUE"""),"No")</f>
        <v>No</v>
      </c>
      <c r="Y362" s="5" t="str">
        <f ca="1">IFERROR(__xludf.DUMMYFUNCTION("""COMPUTED_VALUE"""),"No")</f>
        <v>No</v>
      </c>
      <c r="Z362" s="5" t="str">
        <f ca="1">IFERROR(__xludf.DUMMYFUNCTION("""COMPUTED_VALUE"""),"No")</f>
        <v>No</v>
      </c>
      <c r="AA362" s="5" t="str">
        <f ca="1">IFERROR(__xludf.DUMMYFUNCTION("""COMPUTED_VALUE"""),"No")</f>
        <v>No</v>
      </c>
      <c r="AB362" s="5" t="str">
        <f ca="1">IFERROR(__xludf.DUMMYFUNCTION("""COMPUTED_VALUE"""),"No")</f>
        <v>No</v>
      </c>
      <c r="AC362" s="5"/>
    </row>
    <row r="363" spans="1:29" x14ac:dyDescent="0.25">
      <c r="A363" s="5" t="str">
        <f ca="1">IFERROR(__xludf.DUMMYFUNCTION("""COMPUTED_VALUE"""),"UnicornLavaDice")</f>
        <v>UnicornLavaDice</v>
      </c>
      <c r="B363"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3" s="5" t="str">
        <f ca="1">IFERROR(__xludf.DUMMYFUNCTION("""COMPUTED_VALUE"""),"Yes")</f>
        <v>Yes</v>
      </c>
      <c r="D363" s="5" t="str">
        <f ca="1">IFERROR(__xludf.DUMMYFUNCTION("""COMPUTED_VALUE"""),"Yes")</f>
        <v>Yes</v>
      </c>
      <c r="E363" s="5" t="str">
        <f ca="1">IFERROR(__xludf.DUMMYFUNCTION("""COMPUTED_VALUE"""),"No")</f>
        <v>No</v>
      </c>
      <c r="F363" s="5" t="str">
        <f ca="1">IFERROR(__xludf.DUMMYFUNCTION("""COMPUTED_VALUE"""),"Yes")</f>
        <v>Yes</v>
      </c>
      <c r="G363" s="5" t="str">
        <f ca="1">IFERROR(__xludf.DUMMYFUNCTION("""COMPUTED_VALUE"""),"Yes")</f>
        <v>Yes</v>
      </c>
      <c r="H363" s="5" t="str">
        <f ca="1">IFERROR(__xludf.DUMMYFUNCTION("""COMPUTED_VALUE"""),"Yes")</f>
        <v>Yes</v>
      </c>
      <c r="I363" s="5" t="str">
        <f ca="1">IFERROR(__xludf.DUMMYFUNCTION("""COMPUTED_VALUE"""),"Yes")</f>
        <v>Yes</v>
      </c>
      <c r="J363" s="5" t="str">
        <f ca="1">IFERROR(__xludf.DUMMYFUNCTION("""COMPUTED_VALUE"""),"Yes")</f>
        <v>Yes</v>
      </c>
      <c r="K363" s="5" t="str">
        <f ca="1">IFERROR(__xludf.DUMMYFUNCTION("""COMPUTED_VALUE"""),"Yes")</f>
        <v>Yes</v>
      </c>
      <c r="L363" s="5" t="str">
        <f ca="1">IFERROR(__xludf.DUMMYFUNCTION("""COMPUTED_VALUE"""),"Yes")</f>
        <v>Yes</v>
      </c>
      <c r="M363" s="5" t="str">
        <f ca="1">IFERROR(__xludf.DUMMYFUNCTION("""COMPUTED_VALUE"""),"Yes")</f>
        <v>Yes</v>
      </c>
      <c r="N363" s="5" t="str">
        <f ca="1">IFERROR(__xludf.DUMMYFUNCTION("""COMPUTED_VALUE"""),"Yes")</f>
        <v>Yes</v>
      </c>
      <c r="O363" s="5" t="str">
        <f ca="1">IFERROR(__xludf.DUMMYFUNCTION("""COMPUTED_VALUE"""),"Yes")</f>
        <v>Yes</v>
      </c>
      <c r="P363" s="5" t="str">
        <f ca="1">IFERROR(__xludf.DUMMYFUNCTION("""COMPUTED_VALUE"""),"No")</f>
        <v>No</v>
      </c>
      <c r="Q363" s="5" t="str">
        <f ca="1">IFERROR(__xludf.DUMMYFUNCTION("""COMPUTED_VALUE"""),"Yes")</f>
        <v>Yes</v>
      </c>
      <c r="R363" s="5" t="str">
        <f ca="1">IFERROR(__xludf.DUMMYFUNCTION("""COMPUTED_VALUE"""),"No")</f>
        <v>No</v>
      </c>
      <c r="S363" s="5" t="str">
        <f ca="1">IFERROR(__xludf.DUMMYFUNCTION("""COMPUTED_VALUE"""),"No")</f>
        <v>No</v>
      </c>
      <c r="T363" s="5" t="str">
        <f ca="1">IFERROR(__xludf.DUMMYFUNCTION("""COMPUTED_VALUE"""),"No")</f>
        <v>No</v>
      </c>
      <c r="U363" s="5" t="str">
        <f ca="1">IFERROR(__xludf.DUMMYFUNCTION("""COMPUTED_VALUE"""),"No")</f>
        <v>No</v>
      </c>
      <c r="V363" s="5" t="str">
        <f ca="1">IFERROR(__xludf.DUMMYFUNCTION("""COMPUTED_VALUE"""),"No")</f>
        <v>No</v>
      </c>
      <c r="W363" s="5" t="str">
        <f ca="1">IFERROR(__xludf.DUMMYFUNCTION("""COMPUTED_VALUE"""),"No")</f>
        <v>No</v>
      </c>
      <c r="X363" s="5" t="str">
        <f ca="1">IFERROR(__xludf.DUMMYFUNCTION("""COMPUTED_VALUE"""),"No")</f>
        <v>No</v>
      </c>
      <c r="Y363" s="5" t="str">
        <f ca="1">IFERROR(__xludf.DUMMYFUNCTION("""COMPUTED_VALUE"""),"No")</f>
        <v>No</v>
      </c>
      <c r="Z363" s="5" t="str">
        <f ca="1">IFERROR(__xludf.DUMMYFUNCTION("""COMPUTED_VALUE"""),"No")</f>
        <v>No</v>
      </c>
      <c r="AA363" s="5" t="str">
        <f ca="1">IFERROR(__xludf.DUMMYFUNCTION("""COMPUTED_VALUE"""),"No")</f>
        <v>No</v>
      </c>
      <c r="AB363" s="5" t="str">
        <f ca="1">IFERROR(__xludf.DUMMYFUNCTION("""COMPUTED_VALUE"""),"Yes")</f>
        <v>Yes</v>
      </c>
      <c r="AC363" s="5" t="str">
        <f ca="1">IFERROR(__xludf.DUMMYFUNCTION("""COMPUTED_VALUE"""),"No")</f>
        <v>No</v>
      </c>
    </row>
    <row r="364" spans="1:29" x14ac:dyDescent="0.25">
      <c r="A364" s="5" t="str">
        <f ca="1">IFERROR(__xludf.DUMMYFUNCTION("""COMPUTED_VALUE"""),"RedstoneApollo27Classic")</f>
        <v>RedstoneApollo27Classic</v>
      </c>
      <c r="B36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64" s="5" t="str">
        <f ca="1">IFERROR(__xludf.DUMMYFUNCTION("""COMPUTED_VALUE"""),"Yes")</f>
        <v>Yes</v>
      </c>
      <c r="D364" s="5" t="str">
        <f ca="1">IFERROR(__xludf.DUMMYFUNCTION("""COMPUTED_VALUE"""),"Yes")</f>
        <v>Yes</v>
      </c>
      <c r="E364" s="5" t="str">
        <f ca="1">IFERROR(__xludf.DUMMYFUNCTION("""COMPUTED_VALUE"""),"Yes")</f>
        <v>Yes</v>
      </c>
      <c r="F364" s="5" t="str">
        <f ca="1">IFERROR(__xludf.DUMMYFUNCTION("""COMPUTED_VALUE"""),"No")</f>
        <v>No</v>
      </c>
      <c r="G364" s="5" t="str">
        <f ca="1">IFERROR(__xludf.DUMMYFUNCTION("""COMPUTED_VALUE"""),"No")</f>
        <v>No</v>
      </c>
      <c r="H364" s="5" t="str">
        <f ca="1">IFERROR(__xludf.DUMMYFUNCTION("""COMPUTED_VALUE"""),"No")</f>
        <v>No</v>
      </c>
      <c r="I364" s="5" t="str">
        <f ca="1">IFERROR(__xludf.DUMMYFUNCTION("""COMPUTED_VALUE"""),"No")</f>
        <v>No</v>
      </c>
      <c r="J364" s="5" t="str">
        <f ca="1">IFERROR(__xludf.DUMMYFUNCTION("""COMPUTED_VALUE"""),"No")</f>
        <v>No</v>
      </c>
      <c r="K364" s="5" t="str">
        <f ca="1">IFERROR(__xludf.DUMMYFUNCTION("""COMPUTED_VALUE"""),"Yes")</f>
        <v>Yes</v>
      </c>
      <c r="L364" s="5" t="str">
        <f ca="1">IFERROR(__xludf.DUMMYFUNCTION("""COMPUTED_VALUE"""),"Yes")</f>
        <v>Yes</v>
      </c>
      <c r="M364" s="5" t="str">
        <f ca="1">IFERROR(__xludf.DUMMYFUNCTION("""COMPUTED_VALUE"""),"Yes")</f>
        <v>Yes</v>
      </c>
      <c r="N364" s="5" t="str">
        <f ca="1">IFERROR(__xludf.DUMMYFUNCTION("""COMPUTED_VALUE"""),"Yes")</f>
        <v>Yes</v>
      </c>
      <c r="O364" s="5" t="str">
        <f ca="1">IFERROR(__xludf.DUMMYFUNCTION("""COMPUTED_VALUE"""),"Yes")</f>
        <v>Yes</v>
      </c>
      <c r="P364" s="5" t="str">
        <f ca="1">IFERROR(__xludf.DUMMYFUNCTION("""COMPUTED_VALUE"""),"No")</f>
        <v>No</v>
      </c>
      <c r="Q364" s="5" t="str">
        <f ca="1">IFERROR(__xludf.DUMMYFUNCTION("""COMPUTED_VALUE"""),"Yes")</f>
        <v>Yes</v>
      </c>
      <c r="R364" s="5" t="str">
        <f ca="1">IFERROR(__xludf.DUMMYFUNCTION("""COMPUTED_VALUE"""),"No")</f>
        <v>No</v>
      </c>
      <c r="S364" s="5" t="str">
        <f ca="1">IFERROR(__xludf.DUMMYFUNCTION("""COMPUTED_VALUE"""),"No")</f>
        <v>No</v>
      </c>
      <c r="T364" s="5" t="str">
        <f ca="1">IFERROR(__xludf.DUMMYFUNCTION("""COMPUTED_VALUE"""),"No")</f>
        <v>No</v>
      </c>
      <c r="U364" s="5" t="str">
        <f ca="1">IFERROR(__xludf.DUMMYFUNCTION("""COMPUTED_VALUE"""),"No")</f>
        <v>No</v>
      </c>
      <c r="V364" s="5"/>
      <c r="W364" s="5"/>
      <c r="X364" s="5"/>
      <c r="Y364" s="5"/>
      <c r="Z364" s="5" t="str">
        <f ca="1">IFERROR(__xludf.DUMMYFUNCTION("""COMPUTED_VALUE"""),"No")</f>
        <v>No</v>
      </c>
      <c r="AA364" s="5"/>
      <c r="AB364" s="5"/>
      <c r="AC364" s="5"/>
    </row>
    <row r="365" spans="1:29" x14ac:dyDescent="0.25">
      <c r="A365" s="5" t="str">
        <f ca="1">IFERROR(__xludf.DUMMYFUNCTION("""COMPUTED_VALUE"""),"FortuneClover5")</f>
        <v>FortuneClover5</v>
      </c>
      <c r="B365"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5" s="5" t="str">
        <f ca="1">IFERROR(__xludf.DUMMYFUNCTION("""COMPUTED_VALUE"""),"Yes")</f>
        <v>Yes</v>
      </c>
      <c r="D365" s="5" t="str">
        <f ca="1">IFERROR(__xludf.DUMMYFUNCTION("""COMPUTED_VALUE"""),"Yes")</f>
        <v>Yes</v>
      </c>
      <c r="E365" s="5" t="str">
        <f ca="1">IFERROR(__xludf.DUMMYFUNCTION("""COMPUTED_VALUE"""),"No")</f>
        <v>No</v>
      </c>
      <c r="F365" s="5" t="str">
        <f ca="1">IFERROR(__xludf.DUMMYFUNCTION("""COMPUTED_VALUE"""),"Yes")</f>
        <v>Yes</v>
      </c>
      <c r="G365" s="5" t="str">
        <f ca="1">IFERROR(__xludf.DUMMYFUNCTION("""COMPUTED_VALUE"""),"Yes")</f>
        <v>Yes</v>
      </c>
      <c r="H365" s="5" t="str">
        <f ca="1">IFERROR(__xludf.DUMMYFUNCTION("""COMPUTED_VALUE"""),"Yes")</f>
        <v>Yes</v>
      </c>
      <c r="I365" s="5" t="str">
        <f ca="1">IFERROR(__xludf.DUMMYFUNCTION("""COMPUTED_VALUE"""),"Yes")</f>
        <v>Yes</v>
      </c>
      <c r="J365" s="5" t="str">
        <f ca="1">IFERROR(__xludf.DUMMYFUNCTION("""COMPUTED_VALUE"""),"Yes")</f>
        <v>Yes</v>
      </c>
      <c r="K365" s="5" t="str">
        <f ca="1">IFERROR(__xludf.DUMMYFUNCTION("""COMPUTED_VALUE"""),"Yes")</f>
        <v>Yes</v>
      </c>
      <c r="L365" s="5" t="str">
        <f ca="1">IFERROR(__xludf.DUMMYFUNCTION("""COMPUTED_VALUE"""),"Yes")</f>
        <v>Yes</v>
      </c>
      <c r="M365" s="5" t="str">
        <f ca="1">IFERROR(__xludf.DUMMYFUNCTION("""COMPUTED_VALUE"""),"Yes")</f>
        <v>Yes</v>
      </c>
      <c r="N365" s="5" t="str">
        <f ca="1">IFERROR(__xludf.DUMMYFUNCTION("""COMPUTED_VALUE"""),"Yes")</f>
        <v>Yes</v>
      </c>
      <c r="O365" s="5" t="str">
        <f ca="1">IFERROR(__xludf.DUMMYFUNCTION("""COMPUTED_VALUE"""),"Yes")</f>
        <v>Yes</v>
      </c>
      <c r="P365" s="5" t="str">
        <f ca="1">IFERROR(__xludf.DUMMYFUNCTION("""COMPUTED_VALUE"""),"No")</f>
        <v>No</v>
      </c>
      <c r="Q365" s="5" t="str">
        <f ca="1">IFERROR(__xludf.DUMMYFUNCTION("""COMPUTED_VALUE"""),"Yes")</f>
        <v>Yes</v>
      </c>
      <c r="R365" s="5" t="str">
        <f ca="1">IFERROR(__xludf.DUMMYFUNCTION("""COMPUTED_VALUE"""),"No")</f>
        <v>No</v>
      </c>
      <c r="S365" s="5" t="str">
        <f ca="1">IFERROR(__xludf.DUMMYFUNCTION("""COMPUTED_VALUE"""),"No")</f>
        <v>No</v>
      </c>
      <c r="T365" s="5" t="str">
        <f ca="1">IFERROR(__xludf.DUMMYFUNCTION("""COMPUTED_VALUE"""),"No")</f>
        <v>No</v>
      </c>
      <c r="U365" s="5" t="str">
        <f ca="1">IFERROR(__xludf.DUMMYFUNCTION("""COMPUTED_VALUE"""),"No")</f>
        <v>No</v>
      </c>
      <c r="V365" s="5" t="str">
        <f ca="1">IFERROR(__xludf.DUMMYFUNCTION("""COMPUTED_VALUE"""),"No")</f>
        <v>No</v>
      </c>
      <c r="W365" s="5" t="str">
        <f ca="1">IFERROR(__xludf.DUMMYFUNCTION("""COMPUTED_VALUE"""),"No")</f>
        <v>No</v>
      </c>
      <c r="X365" s="5" t="str">
        <f ca="1">IFERROR(__xludf.DUMMYFUNCTION("""COMPUTED_VALUE"""),"No")</f>
        <v>No</v>
      </c>
      <c r="Y365" s="5" t="str">
        <f ca="1">IFERROR(__xludf.DUMMYFUNCTION("""COMPUTED_VALUE"""),"No")</f>
        <v>No</v>
      </c>
      <c r="Z365" s="5" t="str">
        <f ca="1">IFERROR(__xludf.DUMMYFUNCTION("""COMPUTED_VALUE"""),"No")</f>
        <v>No</v>
      </c>
      <c r="AA365" s="5" t="str">
        <f ca="1">IFERROR(__xludf.DUMMYFUNCTION("""COMPUTED_VALUE"""),"No")</f>
        <v>No</v>
      </c>
      <c r="AB365" s="5" t="str">
        <f ca="1">IFERROR(__xludf.DUMMYFUNCTION("""COMPUTED_VALUE"""),"Yes")</f>
        <v>Yes</v>
      </c>
      <c r="AC365" s="5" t="str">
        <f ca="1">IFERROR(__xludf.DUMMYFUNCTION("""COMPUTED_VALUE"""),"No")</f>
        <v>No</v>
      </c>
    </row>
    <row r="366" spans="1:29" x14ac:dyDescent="0.25">
      <c r="A366" s="5" t="str">
        <f ca="1">IFERROR(__xludf.DUMMYFUNCTION("""COMPUTED_VALUE"""),"MajesticCrown10")</f>
        <v>MajesticCrown10</v>
      </c>
      <c r="B36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6" s="5" t="str">
        <f ca="1">IFERROR(__xludf.DUMMYFUNCTION("""COMPUTED_VALUE"""),"Yes")</f>
        <v>Yes</v>
      </c>
      <c r="D366" s="5" t="str">
        <f ca="1">IFERROR(__xludf.DUMMYFUNCTION("""COMPUTED_VALUE"""),"Yes")</f>
        <v>Yes</v>
      </c>
      <c r="E366" s="5" t="str">
        <f ca="1">IFERROR(__xludf.DUMMYFUNCTION("""COMPUTED_VALUE"""),"Yes")</f>
        <v>Yes</v>
      </c>
      <c r="F366" s="5" t="str">
        <f ca="1">IFERROR(__xludf.DUMMYFUNCTION("""COMPUTED_VALUE"""),"Yes")</f>
        <v>Yes</v>
      </c>
      <c r="G366" s="5" t="str">
        <f ca="1">IFERROR(__xludf.DUMMYFUNCTION("""COMPUTED_VALUE"""),"Yes")</f>
        <v>Yes</v>
      </c>
      <c r="H366" s="5" t="str">
        <f ca="1">IFERROR(__xludf.DUMMYFUNCTION("""COMPUTED_VALUE"""),"Yes")</f>
        <v>Yes</v>
      </c>
      <c r="I366" s="5" t="str">
        <f ca="1">IFERROR(__xludf.DUMMYFUNCTION("""COMPUTED_VALUE"""),"Yes")</f>
        <v>Yes</v>
      </c>
      <c r="J366" s="5" t="str">
        <f ca="1">IFERROR(__xludf.DUMMYFUNCTION("""COMPUTED_VALUE"""),"Yes")</f>
        <v>Yes</v>
      </c>
      <c r="K366" s="5" t="str">
        <f ca="1">IFERROR(__xludf.DUMMYFUNCTION("""COMPUTED_VALUE"""),"Yes")</f>
        <v>Yes</v>
      </c>
      <c r="L366" s="5" t="str">
        <f ca="1">IFERROR(__xludf.DUMMYFUNCTION("""COMPUTED_VALUE"""),"Yes")</f>
        <v>Yes</v>
      </c>
      <c r="M366" s="5" t="str">
        <f ca="1">IFERROR(__xludf.DUMMYFUNCTION("""COMPUTED_VALUE"""),"Yes")</f>
        <v>Yes</v>
      </c>
      <c r="N366" s="5" t="str">
        <f ca="1">IFERROR(__xludf.DUMMYFUNCTION("""COMPUTED_VALUE"""),"Yes")</f>
        <v>Yes</v>
      </c>
      <c r="O366" s="5" t="str">
        <f ca="1">IFERROR(__xludf.DUMMYFUNCTION("""COMPUTED_VALUE"""),"Yes")</f>
        <v>Yes</v>
      </c>
      <c r="P366" s="5" t="str">
        <f ca="1">IFERROR(__xludf.DUMMYFUNCTION("""COMPUTED_VALUE"""),"Yes")</f>
        <v>Yes</v>
      </c>
      <c r="Q366" s="5" t="str">
        <f ca="1">IFERROR(__xludf.DUMMYFUNCTION("""COMPUTED_VALUE"""),"Yes")</f>
        <v>Yes</v>
      </c>
      <c r="R366" s="5" t="str">
        <f ca="1">IFERROR(__xludf.DUMMYFUNCTION("""COMPUTED_VALUE"""),"No")</f>
        <v>No</v>
      </c>
      <c r="S366" s="5" t="str">
        <f ca="1">IFERROR(__xludf.DUMMYFUNCTION("""COMPUTED_VALUE"""),"No")</f>
        <v>No</v>
      </c>
      <c r="T366" s="5" t="str">
        <f ca="1">IFERROR(__xludf.DUMMYFUNCTION("""COMPUTED_VALUE"""),"No")</f>
        <v>No</v>
      </c>
      <c r="U366" s="5" t="str">
        <f ca="1">IFERROR(__xludf.DUMMYFUNCTION("""COMPUTED_VALUE"""),"No")</f>
        <v>No</v>
      </c>
      <c r="V366" s="5"/>
      <c r="W366" s="5"/>
      <c r="X366" s="5"/>
      <c r="Y366" s="5"/>
      <c r="Z366" s="5" t="str">
        <f ca="1">IFERROR(__xludf.DUMMYFUNCTION("""COMPUTED_VALUE"""),"No")</f>
        <v>No</v>
      </c>
      <c r="AA366" s="5"/>
      <c r="AB366" s="5" t="str">
        <f ca="1">IFERROR(__xludf.DUMMYFUNCTION("""COMPUTED_VALUE"""),"Yes")</f>
        <v>Yes</v>
      </c>
      <c r="AC366" s="5"/>
    </row>
    <row r="367" spans="1:29" x14ac:dyDescent="0.25">
      <c r="A367" s="5" t="str">
        <f ca="1">IFERROR(__xludf.DUMMYFUNCTION("""COMPUTED_VALUE"""),"RedstoneDoubleFireClover")</f>
        <v>RedstoneDoubleFireClover</v>
      </c>
      <c r="B3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67" s="5" t="str">
        <f ca="1">IFERROR(__xludf.DUMMYFUNCTION("""COMPUTED_VALUE"""),"Yes")</f>
        <v>Yes</v>
      </c>
      <c r="D367" s="5" t="str">
        <f ca="1">IFERROR(__xludf.DUMMYFUNCTION("""COMPUTED_VALUE"""),"Yes")</f>
        <v>Yes</v>
      </c>
      <c r="E367" s="5" t="str">
        <f ca="1">IFERROR(__xludf.DUMMYFUNCTION("""COMPUTED_VALUE"""),"Yes")</f>
        <v>Yes</v>
      </c>
      <c r="F367" s="5" t="str">
        <f ca="1">IFERROR(__xludf.DUMMYFUNCTION("""COMPUTED_VALUE"""),"Yes")</f>
        <v>Yes</v>
      </c>
      <c r="G367" s="5" t="str">
        <f ca="1">IFERROR(__xludf.DUMMYFUNCTION("""COMPUTED_VALUE"""),"Yes")</f>
        <v>Yes</v>
      </c>
      <c r="H367" s="5" t="str">
        <f ca="1">IFERROR(__xludf.DUMMYFUNCTION("""COMPUTED_VALUE"""),"Yes")</f>
        <v>Yes</v>
      </c>
      <c r="I367" s="5" t="str">
        <f ca="1">IFERROR(__xludf.DUMMYFUNCTION("""COMPUTED_VALUE"""),"Yes")</f>
        <v>Yes</v>
      </c>
      <c r="J367" s="5" t="str">
        <f ca="1">IFERROR(__xludf.DUMMYFUNCTION("""COMPUTED_VALUE"""),"Yes")</f>
        <v>Yes</v>
      </c>
      <c r="K367" s="5" t="str">
        <f ca="1">IFERROR(__xludf.DUMMYFUNCTION("""COMPUTED_VALUE"""),"Yes")</f>
        <v>Yes</v>
      </c>
      <c r="L367" s="5" t="str">
        <f ca="1">IFERROR(__xludf.DUMMYFUNCTION("""COMPUTED_VALUE"""),"Yes")</f>
        <v>Yes</v>
      </c>
      <c r="M367" s="5" t="str">
        <f ca="1">IFERROR(__xludf.DUMMYFUNCTION("""COMPUTED_VALUE"""),"Yes")</f>
        <v>Yes</v>
      </c>
      <c r="N367" s="5" t="str">
        <f ca="1">IFERROR(__xludf.DUMMYFUNCTION("""COMPUTED_VALUE"""),"Yes")</f>
        <v>Yes</v>
      </c>
      <c r="O367" s="5" t="str">
        <f ca="1">IFERROR(__xludf.DUMMYFUNCTION("""COMPUTED_VALUE"""),"Yes")</f>
        <v>Yes</v>
      </c>
      <c r="P367" s="5" t="str">
        <f ca="1">IFERROR(__xludf.DUMMYFUNCTION("""COMPUTED_VALUE"""),"Yes")</f>
        <v>Yes</v>
      </c>
      <c r="Q367" s="5" t="str">
        <f ca="1">IFERROR(__xludf.DUMMYFUNCTION("""COMPUTED_VALUE"""),"Yes")</f>
        <v>Yes</v>
      </c>
      <c r="R367" s="5" t="str">
        <f ca="1">IFERROR(__xludf.DUMMYFUNCTION("""COMPUTED_VALUE"""),"Yes")</f>
        <v>Yes</v>
      </c>
      <c r="S367" s="5" t="str">
        <f ca="1">IFERROR(__xludf.DUMMYFUNCTION("""COMPUTED_VALUE"""),"Yes")</f>
        <v>Yes</v>
      </c>
      <c r="T367" s="5" t="str">
        <f ca="1">IFERROR(__xludf.DUMMYFUNCTION("""COMPUTED_VALUE"""),"Yes")</f>
        <v>Yes</v>
      </c>
      <c r="U367" s="5" t="str">
        <f ca="1">IFERROR(__xludf.DUMMYFUNCTION("""COMPUTED_VALUE"""),"Yes")</f>
        <v>Yes</v>
      </c>
      <c r="V367" s="5"/>
      <c r="W367" s="5"/>
      <c r="X367" s="5"/>
      <c r="Y367" s="5"/>
      <c r="Z367" s="5" t="str">
        <f ca="1">IFERROR(__xludf.DUMMYFUNCTION("""COMPUTED_VALUE"""),"Yes")</f>
        <v>Yes</v>
      </c>
      <c r="AA367" s="5"/>
      <c r="AB367" s="5"/>
      <c r="AC367" s="5"/>
    </row>
    <row r="368" spans="1:29" x14ac:dyDescent="0.25">
      <c r="A368" s="5" t="str">
        <f ca="1">IFERROR(__xludf.DUMMYFUNCTION("""COMPUTED_VALUE"""),"PlayNetFortuneClover40")</f>
        <v>PlayNetFortuneClover40</v>
      </c>
      <c r="B36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8" s="5" t="str">
        <f ca="1">IFERROR(__xludf.DUMMYFUNCTION("""COMPUTED_VALUE"""),"Yes")</f>
        <v>Yes</v>
      </c>
      <c r="D368" s="5" t="str">
        <f ca="1">IFERROR(__xludf.DUMMYFUNCTION("""COMPUTED_VALUE"""),"Yes")</f>
        <v>Yes</v>
      </c>
      <c r="E368" s="5" t="str">
        <f ca="1">IFERROR(__xludf.DUMMYFUNCTION("""COMPUTED_VALUE"""),"Yes")</f>
        <v>Yes</v>
      </c>
      <c r="F368" s="5" t="str">
        <f ca="1">IFERROR(__xludf.DUMMYFUNCTION("""COMPUTED_VALUE"""),"Yes")</f>
        <v>Yes</v>
      </c>
      <c r="G368" s="5" t="str">
        <f ca="1">IFERROR(__xludf.DUMMYFUNCTION("""COMPUTED_VALUE"""),"Yes")</f>
        <v>Yes</v>
      </c>
      <c r="H368" s="5" t="str">
        <f ca="1">IFERROR(__xludf.DUMMYFUNCTION("""COMPUTED_VALUE"""),"Yes")</f>
        <v>Yes</v>
      </c>
      <c r="I368" s="5" t="str">
        <f ca="1">IFERROR(__xludf.DUMMYFUNCTION("""COMPUTED_VALUE"""),"Yes")</f>
        <v>Yes</v>
      </c>
      <c r="J368" s="5" t="str">
        <f ca="1">IFERROR(__xludf.DUMMYFUNCTION("""COMPUTED_VALUE"""),"Yes")</f>
        <v>Yes</v>
      </c>
      <c r="K368" s="5" t="str">
        <f ca="1">IFERROR(__xludf.DUMMYFUNCTION("""COMPUTED_VALUE"""),"Yes")</f>
        <v>Yes</v>
      </c>
      <c r="L368" s="5" t="str">
        <f ca="1">IFERROR(__xludf.DUMMYFUNCTION("""COMPUTED_VALUE"""),"Yes")</f>
        <v>Yes</v>
      </c>
      <c r="M368" s="5" t="str">
        <f ca="1">IFERROR(__xludf.DUMMYFUNCTION("""COMPUTED_VALUE"""),"Yes")</f>
        <v>Yes</v>
      </c>
      <c r="N368" s="5" t="str">
        <f ca="1">IFERROR(__xludf.DUMMYFUNCTION("""COMPUTED_VALUE"""),"Yes")</f>
        <v>Yes</v>
      </c>
      <c r="O368" s="5" t="str">
        <f ca="1">IFERROR(__xludf.DUMMYFUNCTION("""COMPUTED_VALUE"""),"Yes")</f>
        <v>Yes</v>
      </c>
      <c r="P368" s="5" t="str">
        <f ca="1">IFERROR(__xludf.DUMMYFUNCTION("""COMPUTED_VALUE"""),"Yes")</f>
        <v>Yes</v>
      </c>
      <c r="Q368" s="5" t="str">
        <f ca="1">IFERROR(__xludf.DUMMYFUNCTION("""COMPUTED_VALUE"""),"Yes")</f>
        <v>Yes</v>
      </c>
      <c r="R368" s="5" t="str">
        <f ca="1">IFERROR(__xludf.DUMMYFUNCTION("""COMPUTED_VALUE"""),"No")</f>
        <v>No</v>
      </c>
      <c r="S368" s="5" t="str">
        <f ca="1">IFERROR(__xludf.DUMMYFUNCTION("""COMPUTED_VALUE"""),"No")</f>
        <v>No</v>
      </c>
      <c r="T368" s="5" t="str">
        <f ca="1">IFERROR(__xludf.DUMMYFUNCTION("""COMPUTED_VALUE"""),"No")</f>
        <v>No</v>
      </c>
      <c r="U368" s="5" t="str">
        <f ca="1">IFERROR(__xludf.DUMMYFUNCTION("""COMPUTED_VALUE"""),"No")</f>
        <v>No</v>
      </c>
      <c r="V368" s="5" t="str">
        <f ca="1">IFERROR(__xludf.DUMMYFUNCTION("""COMPUTED_VALUE"""),"No")</f>
        <v>No</v>
      </c>
      <c r="W368" s="5" t="str">
        <f ca="1">IFERROR(__xludf.DUMMYFUNCTION("""COMPUTED_VALUE"""),"No")</f>
        <v>No</v>
      </c>
      <c r="X368" s="5" t="str">
        <f ca="1">IFERROR(__xludf.DUMMYFUNCTION("""COMPUTED_VALUE"""),"No")</f>
        <v>No</v>
      </c>
      <c r="Y368" s="5" t="str">
        <f ca="1">IFERROR(__xludf.DUMMYFUNCTION("""COMPUTED_VALUE"""),"No")</f>
        <v>No</v>
      </c>
      <c r="Z368" s="5" t="str">
        <f ca="1">IFERROR(__xludf.DUMMYFUNCTION("""COMPUTED_VALUE"""),"No")</f>
        <v>No</v>
      </c>
      <c r="AA368" s="5" t="str">
        <f ca="1">IFERROR(__xludf.DUMMYFUNCTION("""COMPUTED_VALUE"""),"No")</f>
        <v>No</v>
      </c>
      <c r="AB368" s="5" t="str">
        <f ca="1">IFERROR(__xludf.DUMMYFUNCTION("""COMPUTED_VALUE"""),"Yes")</f>
        <v>Yes</v>
      </c>
      <c r="AC368" s="5" t="str">
        <f ca="1">IFERROR(__xludf.DUMMYFUNCTION("""COMPUTED_VALUE"""),"No")</f>
        <v>No</v>
      </c>
    </row>
    <row r="369" spans="1:29" x14ac:dyDescent="0.25">
      <c r="A369" s="5" t="str">
        <f ca="1">IFERROR(__xludf.DUMMYFUNCTION("""COMPUTED_VALUE"""),"PlayNetDiamondHeart5")</f>
        <v>PlayNetDiamondHeart5</v>
      </c>
      <c r="B36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9" s="5" t="str">
        <f ca="1">IFERROR(__xludf.DUMMYFUNCTION("""COMPUTED_VALUE"""),"Yes")</f>
        <v>Yes</v>
      </c>
      <c r="D369" s="5" t="str">
        <f ca="1">IFERROR(__xludf.DUMMYFUNCTION("""COMPUTED_VALUE"""),"Yes")</f>
        <v>Yes</v>
      </c>
      <c r="E369" s="5" t="str">
        <f ca="1">IFERROR(__xludf.DUMMYFUNCTION("""COMPUTED_VALUE"""),"Yes")</f>
        <v>Yes</v>
      </c>
      <c r="F369" s="5" t="str">
        <f ca="1">IFERROR(__xludf.DUMMYFUNCTION("""COMPUTED_VALUE"""),"Yes")</f>
        <v>Yes</v>
      </c>
      <c r="G369" s="5" t="str">
        <f ca="1">IFERROR(__xludf.DUMMYFUNCTION("""COMPUTED_VALUE"""),"Yes")</f>
        <v>Yes</v>
      </c>
      <c r="H369" s="5" t="str">
        <f ca="1">IFERROR(__xludf.DUMMYFUNCTION("""COMPUTED_VALUE"""),"Yes")</f>
        <v>Yes</v>
      </c>
      <c r="I369" s="5" t="str">
        <f ca="1">IFERROR(__xludf.DUMMYFUNCTION("""COMPUTED_VALUE"""),"Yes")</f>
        <v>Yes</v>
      </c>
      <c r="J369" s="5" t="str">
        <f ca="1">IFERROR(__xludf.DUMMYFUNCTION("""COMPUTED_VALUE"""),"Yes")</f>
        <v>Yes</v>
      </c>
      <c r="K369" s="5" t="str">
        <f ca="1">IFERROR(__xludf.DUMMYFUNCTION("""COMPUTED_VALUE"""),"Yes")</f>
        <v>Yes</v>
      </c>
      <c r="L369" s="5" t="str">
        <f ca="1">IFERROR(__xludf.DUMMYFUNCTION("""COMPUTED_VALUE"""),"Yes")</f>
        <v>Yes</v>
      </c>
      <c r="M369" s="5" t="str">
        <f ca="1">IFERROR(__xludf.DUMMYFUNCTION("""COMPUTED_VALUE"""),"Yes")</f>
        <v>Yes</v>
      </c>
      <c r="N369" s="5" t="str">
        <f ca="1">IFERROR(__xludf.DUMMYFUNCTION("""COMPUTED_VALUE"""),"Yes")</f>
        <v>Yes</v>
      </c>
      <c r="O369" s="5" t="str">
        <f ca="1">IFERROR(__xludf.DUMMYFUNCTION("""COMPUTED_VALUE"""),"Yes")</f>
        <v>Yes</v>
      </c>
      <c r="P369" s="5" t="str">
        <f ca="1">IFERROR(__xludf.DUMMYFUNCTION("""COMPUTED_VALUE"""),"Yes")</f>
        <v>Yes</v>
      </c>
      <c r="Q369" s="5" t="str">
        <f ca="1">IFERROR(__xludf.DUMMYFUNCTION("""COMPUTED_VALUE"""),"Yes")</f>
        <v>Yes</v>
      </c>
      <c r="R369" s="5" t="str">
        <f ca="1">IFERROR(__xludf.DUMMYFUNCTION("""COMPUTED_VALUE"""),"No")</f>
        <v>No</v>
      </c>
      <c r="S369" s="5" t="str">
        <f ca="1">IFERROR(__xludf.DUMMYFUNCTION("""COMPUTED_VALUE"""),"No")</f>
        <v>No</v>
      </c>
      <c r="T369" s="5" t="str">
        <f ca="1">IFERROR(__xludf.DUMMYFUNCTION("""COMPUTED_VALUE"""),"No")</f>
        <v>No</v>
      </c>
      <c r="U369" s="5" t="str">
        <f ca="1">IFERROR(__xludf.DUMMYFUNCTION("""COMPUTED_VALUE"""),"No")</f>
        <v>No</v>
      </c>
      <c r="V369" s="5"/>
      <c r="W369" s="5"/>
      <c r="X369" s="5"/>
      <c r="Y369" s="5"/>
      <c r="Z369" s="5" t="str">
        <f ca="1">IFERROR(__xludf.DUMMYFUNCTION("""COMPUTED_VALUE"""),"No")</f>
        <v>No</v>
      </c>
      <c r="AA369" s="5"/>
      <c r="AB369" s="5" t="str">
        <f ca="1">IFERROR(__xludf.DUMMYFUNCTION("""COMPUTED_VALUE"""),"Yes")</f>
        <v>Yes</v>
      </c>
      <c r="AC369" s="5"/>
    </row>
    <row r="370" spans="1:29" x14ac:dyDescent="0.25">
      <c r="A370" s="5" t="str">
        <f ca="1">IFERROR(__xludf.DUMMYFUNCTION("""COMPUTED_VALUE"""),"Redstone100CloverFire")</f>
        <v>Redstone100CloverFire</v>
      </c>
      <c r="B3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0" s="5" t="str">
        <f ca="1">IFERROR(__xludf.DUMMYFUNCTION("""COMPUTED_VALUE"""),"Yes")</f>
        <v>Yes</v>
      </c>
      <c r="D370" s="5" t="str">
        <f ca="1">IFERROR(__xludf.DUMMYFUNCTION("""COMPUTED_VALUE"""),"Yes")</f>
        <v>Yes</v>
      </c>
      <c r="E370" s="5" t="str">
        <f ca="1">IFERROR(__xludf.DUMMYFUNCTION("""COMPUTED_VALUE"""),"Yes")</f>
        <v>Yes</v>
      </c>
      <c r="F370" s="5" t="str">
        <f ca="1">IFERROR(__xludf.DUMMYFUNCTION("""COMPUTED_VALUE"""),"Yes")</f>
        <v>Yes</v>
      </c>
      <c r="G370" s="5" t="str">
        <f ca="1">IFERROR(__xludf.DUMMYFUNCTION("""COMPUTED_VALUE"""),"Yes")</f>
        <v>Yes</v>
      </c>
      <c r="H370" s="5" t="str">
        <f ca="1">IFERROR(__xludf.DUMMYFUNCTION("""COMPUTED_VALUE"""),"Yes")</f>
        <v>Yes</v>
      </c>
      <c r="I370" s="5" t="str">
        <f ca="1">IFERROR(__xludf.DUMMYFUNCTION("""COMPUTED_VALUE"""),"Yes")</f>
        <v>Yes</v>
      </c>
      <c r="J370" s="5" t="str">
        <f ca="1">IFERROR(__xludf.DUMMYFUNCTION("""COMPUTED_VALUE"""),"Yes")</f>
        <v>Yes</v>
      </c>
      <c r="K370" s="5" t="str">
        <f ca="1">IFERROR(__xludf.DUMMYFUNCTION("""COMPUTED_VALUE"""),"Yes")</f>
        <v>Yes</v>
      </c>
      <c r="L370" s="5" t="str">
        <f ca="1">IFERROR(__xludf.DUMMYFUNCTION("""COMPUTED_VALUE"""),"Yes")</f>
        <v>Yes</v>
      </c>
      <c r="M370" s="5" t="str">
        <f ca="1">IFERROR(__xludf.DUMMYFUNCTION("""COMPUTED_VALUE"""),"Yes")</f>
        <v>Yes</v>
      </c>
      <c r="N370" s="5" t="str">
        <f ca="1">IFERROR(__xludf.DUMMYFUNCTION("""COMPUTED_VALUE"""),"Yes")</f>
        <v>Yes</v>
      </c>
      <c r="O370" s="5" t="str">
        <f ca="1">IFERROR(__xludf.DUMMYFUNCTION("""COMPUTED_VALUE"""),"Yes")</f>
        <v>Yes</v>
      </c>
      <c r="P370" s="5" t="str">
        <f ca="1">IFERROR(__xludf.DUMMYFUNCTION("""COMPUTED_VALUE"""),"Yes")</f>
        <v>Yes</v>
      </c>
      <c r="Q370" s="5" t="str">
        <f ca="1">IFERROR(__xludf.DUMMYFUNCTION("""COMPUTED_VALUE"""),"Yes")</f>
        <v>Yes</v>
      </c>
      <c r="R370" s="5" t="str">
        <f ca="1">IFERROR(__xludf.DUMMYFUNCTION("""COMPUTED_VALUE"""),"Yes")</f>
        <v>Yes</v>
      </c>
      <c r="S370" s="5" t="str">
        <f ca="1">IFERROR(__xludf.DUMMYFUNCTION("""COMPUTED_VALUE"""),"Yes")</f>
        <v>Yes</v>
      </c>
      <c r="T370" s="5" t="str">
        <f ca="1">IFERROR(__xludf.DUMMYFUNCTION("""COMPUTED_VALUE"""),"Yes")</f>
        <v>Yes</v>
      </c>
      <c r="U370" s="5" t="str">
        <f ca="1">IFERROR(__xludf.DUMMYFUNCTION("""COMPUTED_VALUE"""),"Yes")</f>
        <v>Yes</v>
      </c>
      <c r="V370" s="5"/>
      <c r="W370" s="5"/>
      <c r="X370" s="5"/>
      <c r="Y370" s="5"/>
      <c r="Z370" s="5" t="str">
        <f ca="1">IFERROR(__xludf.DUMMYFUNCTION("""COMPUTED_VALUE"""),"Yes")</f>
        <v>Yes</v>
      </c>
      <c r="AA370" s="5"/>
      <c r="AB370" s="5"/>
      <c r="AC370" s="5"/>
    </row>
    <row r="371" spans="1:29" x14ac:dyDescent="0.25">
      <c r="A371" s="5" t="str">
        <f ca="1">IFERROR(__xludf.DUMMYFUNCTION("""COMPUTED_VALUE"""),"RedstoneVolcanoCrown")</f>
        <v>RedstoneVolcanoCrown</v>
      </c>
      <c r="B37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1" s="5" t="str">
        <f ca="1">IFERROR(__xludf.DUMMYFUNCTION("""COMPUTED_VALUE"""),"Yes")</f>
        <v>Yes</v>
      </c>
      <c r="D371" s="5" t="str">
        <f ca="1">IFERROR(__xludf.DUMMYFUNCTION("""COMPUTED_VALUE"""),"Yes")</f>
        <v>Yes</v>
      </c>
      <c r="E371" s="5" t="str">
        <f ca="1">IFERROR(__xludf.DUMMYFUNCTION("""COMPUTED_VALUE"""),"No")</f>
        <v>No</v>
      </c>
      <c r="F371" s="5" t="str">
        <f ca="1">IFERROR(__xludf.DUMMYFUNCTION("""COMPUTED_VALUE"""),"Yes")</f>
        <v>Yes</v>
      </c>
      <c r="G371" s="5" t="str">
        <f ca="1">IFERROR(__xludf.DUMMYFUNCTION("""COMPUTED_VALUE"""),"Yes")</f>
        <v>Yes</v>
      </c>
      <c r="H371" s="5" t="str">
        <f ca="1">IFERROR(__xludf.DUMMYFUNCTION("""COMPUTED_VALUE"""),"Yes")</f>
        <v>Yes</v>
      </c>
      <c r="I371" s="5" t="str">
        <f ca="1">IFERROR(__xludf.DUMMYFUNCTION("""COMPUTED_VALUE"""),"Yes")</f>
        <v>Yes</v>
      </c>
      <c r="J371" s="5" t="str">
        <f ca="1">IFERROR(__xludf.DUMMYFUNCTION("""COMPUTED_VALUE"""),"Yes")</f>
        <v>Yes</v>
      </c>
      <c r="K371" s="5" t="str">
        <f ca="1">IFERROR(__xludf.DUMMYFUNCTION("""COMPUTED_VALUE"""),"Yes")</f>
        <v>Yes</v>
      </c>
      <c r="L371" s="5" t="str">
        <f ca="1">IFERROR(__xludf.DUMMYFUNCTION("""COMPUTED_VALUE"""),"Yes")</f>
        <v>Yes</v>
      </c>
      <c r="M371" s="5" t="str">
        <f ca="1">IFERROR(__xludf.DUMMYFUNCTION("""COMPUTED_VALUE"""),"Yes")</f>
        <v>Yes</v>
      </c>
      <c r="N371" s="5" t="str">
        <f ca="1">IFERROR(__xludf.DUMMYFUNCTION("""COMPUTED_VALUE"""),"Yes")</f>
        <v>Yes</v>
      </c>
      <c r="O371" s="5" t="str">
        <f ca="1">IFERROR(__xludf.DUMMYFUNCTION("""COMPUTED_VALUE"""),"Yes")</f>
        <v>Yes</v>
      </c>
      <c r="P371" s="5" t="str">
        <f ca="1">IFERROR(__xludf.DUMMYFUNCTION("""COMPUTED_VALUE"""),"Yes")</f>
        <v>Yes</v>
      </c>
      <c r="Q371" s="5" t="str">
        <f ca="1">IFERROR(__xludf.DUMMYFUNCTION("""COMPUTED_VALUE"""),"Yes")</f>
        <v>Yes</v>
      </c>
      <c r="R371" s="5" t="str">
        <f ca="1">IFERROR(__xludf.DUMMYFUNCTION("""COMPUTED_VALUE"""),"No")</f>
        <v>No</v>
      </c>
      <c r="S371" s="5" t="str">
        <f ca="1">IFERROR(__xludf.DUMMYFUNCTION("""COMPUTED_VALUE"""),"No")</f>
        <v>No</v>
      </c>
      <c r="T371" s="5" t="str">
        <f ca="1">IFERROR(__xludf.DUMMYFUNCTION("""COMPUTED_VALUE"""),"No")</f>
        <v>No</v>
      </c>
      <c r="U371" s="5" t="str">
        <f ca="1">IFERROR(__xludf.DUMMYFUNCTION("""COMPUTED_VALUE"""),"No")</f>
        <v>No</v>
      </c>
      <c r="V371" s="5" t="str">
        <f ca="1">IFERROR(__xludf.DUMMYFUNCTION("""COMPUTED_VALUE"""),"No")</f>
        <v>No</v>
      </c>
      <c r="W371" s="5" t="str">
        <f ca="1">IFERROR(__xludf.DUMMYFUNCTION("""COMPUTED_VALUE"""),"No")</f>
        <v>No</v>
      </c>
      <c r="X371" s="5" t="str">
        <f ca="1">IFERROR(__xludf.DUMMYFUNCTION("""COMPUTED_VALUE"""),"No")</f>
        <v>No</v>
      </c>
      <c r="Y371" s="5" t="str">
        <f ca="1">IFERROR(__xludf.DUMMYFUNCTION("""COMPUTED_VALUE"""),"No")</f>
        <v>No</v>
      </c>
      <c r="Z371" s="5" t="str">
        <f ca="1">IFERROR(__xludf.DUMMYFUNCTION("""COMPUTED_VALUE"""),"No")</f>
        <v>No</v>
      </c>
      <c r="AA371" s="5" t="str">
        <f ca="1">IFERROR(__xludf.DUMMYFUNCTION("""COMPUTED_VALUE"""),"No")</f>
        <v>No</v>
      </c>
      <c r="AB371" s="5" t="str">
        <f ca="1">IFERROR(__xludf.DUMMYFUNCTION("""COMPUTED_VALUE"""),"Yes")</f>
        <v>Yes</v>
      </c>
      <c r="AC371" s="5" t="str">
        <f ca="1">IFERROR(__xludf.DUMMYFUNCTION("""COMPUTED_VALUE"""),"No")</f>
        <v>No</v>
      </c>
    </row>
    <row r="372" spans="1:29" x14ac:dyDescent="0.25">
      <c r="A372" s="5" t="str">
        <f ca="1">IFERROR(__xludf.DUMMYFUNCTION("""COMPUTED_VALUE"""),"UnicornGoldLineDice")</f>
        <v>UnicornGoldLineDice</v>
      </c>
      <c r="B37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2" s="5" t="str">
        <f ca="1">IFERROR(__xludf.DUMMYFUNCTION("""COMPUTED_VALUE"""),"Yes")</f>
        <v>Yes</v>
      </c>
      <c r="D372" s="5" t="str">
        <f ca="1">IFERROR(__xludf.DUMMYFUNCTION("""COMPUTED_VALUE"""),"Yes")</f>
        <v>Yes</v>
      </c>
      <c r="E372" s="5" t="str">
        <f ca="1">IFERROR(__xludf.DUMMYFUNCTION("""COMPUTED_VALUE"""),"No")</f>
        <v>No</v>
      </c>
      <c r="F372" s="5" t="str">
        <f ca="1">IFERROR(__xludf.DUMMYFUNCTION("""COMPUTED_VALUE"""),"Yes")</f>
        <v>Yes</v>
      </c>
      <c r="G372" s="5" t="str">
        <f ca="1">IFERROR(__xludf.DUMMYFUNCTION("""COMPUTED_VALUE"""),"Yes")</f>
        <v>Yes</v>
      </c>
      <c r="H372" s="5" t="str">
        <f ca="1">IFERROR(__xludf.DUMMYFUNCTION("""COMPUTED_VALUE"""),"Yes")</f>
        <v>Yes</v>
      </c>
      <c r="I372" s="5" t="str">
        <f ca="1">IFERROR(__xludf.DUMMYFUNCTION("""COMPUTED_VALUE"""),"Yes")</f>
        <v>Yes</v>
      </c>
      <c r="J372" s="5" t="str">
        <f ca="1">IFERROR(__xludf.DUMMYFUNCTION("""COMPUTED_VALUE"""),"Yes")</f>
        <v>Yes</v>
      </c>
      <c r="K372" s="5" t="str">
        <f ca="1">IFERROR(__xludf.DUMMYFUNCTION("""COMPUTED_VALUE"""),"Yes")</f>
        <v>Yes</v>
      </c>
      <c r="L372" s="5" t="str">
        <f ca="1">IFERROR(__xludf.DUMMYFUNCTION("""COMPUTED_VALUE"""),"Yes")</f>
        <v>Yes</v>
      </c>
      <c r="M372" s="5" t="str">
        <f ca="1">IFERROR(__xludf.DUMMYFUNCTION("""COMPUTED_VALUE"""),"Yes")</f>
        <v>Yes</v>
      </c>
      <c r="N372" s="5" t="str">
        <f ca="1">IFERROR(__xludf.DUMMYFUNCTION("""COMPUTED_VALUE"""),"Yes")</f>
        <v>Yes</v>
      </c>
      <c r="O372" s="5" t="str">
        <f ca="1">IFERROR(__xludf.DUMMYFUNCTION("""COMPUTED_VALUE"""),"Yes")</f>
        <v>Yes</v>
      </c>
      <c r="P372" s="5" t="str">
        <f ca="1">IFERROR(__xludf.DUMMYFUNCTION("""COMPUTED_VALUE"""),"Yes")</f>
        <v>Yes</v>
      </c>
      <c r="Q372" s="5" t="str">
        <f ca="1">IFERROR(__xludf.DUMMYFUNCTION("""COMPUTED_VALUE"""),"Yes")</f>
        <v>Yes</v>
      </c>
      <c r="R372" s="5" t="str">
        <f ca="1">IFERROR(__xludf.DUMMYFUNCTION("""COMPUTED_VALUE"""),"No")</f>
        <v>No</v>
      </c>
      <c r="S372" s="5" t="str">
        <f ca="1">IFERROR(__xludf.DUMMYFUNCTION("""COMPUTED_VALUE"""),"No")</f>
        <v>No</v>
      </c>
      <c r="T372" s="5" t="str">
        <f ca="1">IFERROR(__xludf.DUMMYFUNCTION("""COMPUTED_VALUE"""),"No")</f>
        <v>No</v>
      </c>
      <c r="U372" s="5" t="str">
        <f ca="1">IFERROR(__xludf.DUMMYFUNCTION("""COMPUTED_VALUE"""),"No")</f>
        <v>No</v>
      </c>
      <c r="V372" s="5" t="str">
        <f ca="1">IFERROR(__xludf.DUMMYFUNCTION("""COMPUTED_VALUE"""),"No")</f>
        <v>No</v>
      </c>
      <c r="W372" s="5" t="str">
        <f ca="1">IFERROR(__xludf.DUMMYFUNCTION("""COMPUTED_VALUE"""),"No")</f>
        <v>No</v>
      </c>
      <c r="X372" s="5" t="str">
        <f ca="1">IFERROR(__xludf.DUMMYFUNCTION("""COMPUTED_VALUE"""),"No")</f>
        <v>No</v>
      </c>
      <c r="Y372" s="5" t="str">
        <f ca="1">IFERROR(__xludf.DUMMYFUNCTION("""COMPUTED_VALUE"""),"No")</f>
        <v>No</v>
      </c>
      <c r="Z372" s="5" t="str">
        <f ca="1">IFERROR(__xludf.DUMMYFUNCTION("""COMPUTED_VALUE"""),"No")</f>
        <v>No</v>
      </c>
      <c r="AA372" s="5" t="str">
        <f ca="1">IFERROR(__xludf.DUMMYFUNCTION("""COMPUTED_VALUE"""),"No")</f>
        <v>No</v>
      </c>
      <c r="AB372" s="5" t="str">
        <f ca="1">IFERROR(__xludf.DUMMYFUNCTION("""COMPUTED_VALUE"""),"Yes")</f>
        <v>Yes</v>
      </c>
      <c r="AC372" s="5" t="str">
        <f ca="1">IFERROR(__xludf.DUMMYFUNCTION("""COMPUTED_VALUE"""),"No")</f>
        <v>No</v>
      </c>
    </row>
    <row r="373" spans="1:29" x14ac:dyDescent="0.25">
      <c r="A373" s="5" t="str">
        <f ca="1">IFERROR(__xludf.DUMMYFUNCTION("""COMPUTED_VALUE"""),"UnicornLavaDiamondsChristmas")</f>
        <v>UnicornLavaDiamondsChristmas</v>
      </c>
      <c r="B3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3" s="5" t="str">
        <f ca="1">IFERROR(__xludf.DUMMYFUNCTION("""COMPUTED_VALUE"""),"Yes")</f>
        <v>Yes</v>
      </c>
      <c r="D373" s="5" t="str">
        <f ca="1">IFERROR(__xludf.DUMMYFUNCTION("""COMPUTED_VALUE"""),"Yes")</f>
        <v>Yes</v>
      </c>
      <c r="E373" s="5" t="str">
        <f ca="1">IFERROR(__xludf.DUMMYFUNCTION("""COMPUTED_VALUE"""),"Yes")</f>
        <v>Yes</v>
      </c>
      <c r="F373" s="5" t="str">
        <f ca="1">IFERROR(__xludf.DUMMYFUNCTION("""COMPUTED_VALUE"""),"Yes")</f>
        <v>Yes</v>
      </c>
      <c r="G373" s="5" t="str">
        <f ca="1">IFERROR(__xludf.DUMMYFUNCTION("""COMPUTED_VALUE"""),"Yes")</f>
        <v>Yes</v>
      </c>
      <c r="H373" s="5" t="str">
        <f ca="1">IFERROR(__xludf.DUMMYFUNCTION("""COMPUTED_VALUE"""),"Yes")</f>
        <v>Yes</v>
      </c>
      <c r="I373" s="5" t="str">
        <f ca="1">IFERROR(__xludf.DUMMYFUNCTION("""COMPUTED_VALUE"""),"Yes")</f>
        <v>Yes</v>
      </c>
      <c r="J373" s="5" t="str">
        <f ca="1">IFERROR(__xludf.DUMMYFUNCTION("""COMPUTED_VALUE"""),"Yes")</f>
        <v>Yes</v>
      </c>
      <c r="K373" s="5" t="str">
        <f ca="1">IFERROR(__xludf.DUMMYFUNCTION("""COMPUTED_VALUE"""),"Yes")</f>
        <v>Yes</v>
      </c>
      <c r="L373" s="5" t="str">
        <f ca="1">IFERROR(__xludf.DUMMYFUNCTION("""COMPUTED_VALUE"""),"Yes")</f>
        <v>Yes</v>
      </c>
      <c r="M373" s="5" t="str">
        <f ca="1">IFERROR(__xludf.DUMMYFUNCTION("""COMPUTED_VALUE"""),"Yes")</f>
        <v>Yes</v>
      </c>
      <c r="N373" s="5" t="str">
        <f ca="1">IFERROR(__xludf.DUMMYFUNCTION("""COMPUTED_VALUE"""),"Yes")</f>
        <v>Yes</v>
      </c>
      <c r="O373" s="5" t="str">
        <f ca="1">IFERROR(__xludf.DUMMYFUNCTION("""COMPUTED_VALUE"""),"Yes")</f>
        <v>Yes</v>
      </c>
      <c r="P373" s="5" t="str">
        <f ca="1">IFERROR(__xludf.DUMMYFUNCTION("""COMPUTED_VALUE"""),"Yes")</f>
        <v>Yes</v>
      </c>
      <c r="Q373" s="5" t="str">
        <f ca="1">IFERROR(__xludf.DUMMYFUNCTION("""COMPUTED_VALUE"""),"Yes")</f>
        <v>Yes</v>
      </c>
      <c r="R373" s="5" t="str">
        <f ca="1">IFERROR(__xludf.DUMMYFUNCTION("""COMPUTED_VALUE"""),"Yes")</f>
        <v>Yes</v>
      </c>
      <c r="S373" s="5" t="str">
        <f ca="1">IFERROR(__xludf.DUMMYFUNCTION("""COMPUTED_VALUE"""),"Yes")</f>
        <v>Yes</v>
      </c>
      <c r="T373" s="5" t="str">
        <f ca="1">IFERROR(__xludf.DUMMYFUNCTION("""COMPUTED_VALUE"""),"Yes")</f>
        <v>Yes</v>
      </c>
      <c r="U373" s="5" t="str">
        <f ca="1">IFERROR(__xludf.DUMMYFUNCTION("""COMPUTED_VALUE"""),"Yes")</f>
        <v>Yes</v>
      </c>
      <c r="V373" s="5"/>
      <c r="W373" s="5"/>
      <c r="X373" s="5"/>
      <c r="Y373" s="5"/>
      <c r="Z373" s="5" t="str">
        <f ca="1">IFERROR(__xludf.DUMMYFUNCTION("""COMPUTED_VALUE"""),"Yes")</f>
        <v>Yes</v>
      </c>
      <c r="AA373" s="5"/>
      <c r="AB373" s="5"/>
      <c r="AC373" s="5"/>
    </row>
    <row r="374" spans="1:29" x14ac:dyDescent="0.25">
      <c r="A374" s="5" t="str">
        <f ca="1">IFERROR(__xludf.DUMMYFUNCTION("""COMPUTED_VALUE"""),"UnicornPumpkinHorror")</f>
        <v>UnicornPumpkinHorror</v>
      </c>
      <c r="B37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74" s="5" t="str">
        <f ca="1">IFERROR(__xludf.DUMMYFUNCTION("""COMPUTED_VALUE"""),"Yes")</f>
        <v>Yes</v>
      </c>
      <c r="D374" s="5" t="str">
        <f ca="1">IFERROR(__xludf.DUMMYFUNCTION("""COMPUTED_VALUE"""),"Yes")</f>
        <v>Yes</v>
      </c>
      <c r="E374" s="5" t="str">
        <f ca="1">IFERROR(__xludf.DUMMYFUNCTION("""COMPUTED_VALUE"""),"Yes")</f>
        <v>Yes</v>
      </c>
      <c r="F374" s="5" t="str">
        <f ca="1">IFERROR(__xludf.DUMMYFUNCTION("""COMPUTED_VALUE"""),"No")</f>
        <v>No</v>
      </c>
      <c r="G374" s="5" t="str">
        <f ca="1">IFERROR(__xludf.DUMMYFUNCTION("""COMPUTED_VALUE"""),"No")</f>
        <v>No</v>
      </c>
      <c r="H374" s="5" t="str">
        <f ca="1">IFERROR(__xludf.DUMMYFUNCTION("""COMPUTED_VALUE"""),"No")</f>
        <v>No</v>
      </c>
      <c r="I374" s="5" t="str">
        <f ca="1">IFERROR(__xludf.DUMMYFUNCTION("""COMPUTED_VALUE"""),"No")</f>
        <v>No</v>
      </c>
      <c r="J374" s="5" t="str">
        <f ca="1">IFERROR(__xludf.DUMMYFUNCTION("""COMPUTED_VALUE"""),"No")</f>
        <v>No</v>
      </c>
      <c r="K374" s="5" t="str">
        <f ca="1">IFERROR(__xludf.DUMMYFUNCTION("""COMPUTED_VALUE"""),"Yes")</f>
        <v>Yes</v>
      </c>
      <c r="L374" s="5" t="str">
        <f ca="1">IFERROR(__xludf.DUMMYFUNCTION("""COMPUTED_VALUE"""),"Yes")</f>
        <v>Yes</v>
      </c>
      <c r="M374" s="5" t="str">
        <f ca="1">IFERROR(__xludf.DUMMYFUNCTION("""COMPUTED_VALUE"""),"Yes")</f>
        <v>Yes</v>
      </c>
      <c r="N374" s="5" t="str">
        <f ca="1">IFERROR(__xludf.DUMMYFUNCTION("""COMPUTED_VALUE"""),"Yes")</f>
        <v>Yes</v>
      </c>
      <c r="O374" s="5" t="str">
        <f ca="1">IFERROR(__xludf.DUMMYFUNCTION("""COMPUTED_VALUE"""),"Yes")</f>
        <v>Yes</v>
      </c>
      <c r="P374" s="5" t="str">
        <f ca="1">IFERROR(__xludf.DUMMYFUNCTION("""COMPUTED_VALUE"""),"No")</f>
        <v>No</v>
      </c>
      <c r="Q374" s="5" t="str">
        <f ca="1">IFERROR(__xludf.DUMMYFUNCTION("""COMPUTED_VALUE"""),"Yes")</f>
        <v>Yes</v>
      </c>
      <c r="R374" s="5" t="str">
        <f ca="1">IFERROR(__xludf.DUMMYFUNCTION("""COMPUTED_VALUE"""),"No")</f>
        <v>No</v>
      </c>
      <c r="S374" s="5" t="str">
        <f ca="1">IFERROR(__xludf.DUMMYFUNCTION("""COMPUTED_VALUE"""),"No")</f>
        <v>No</v>
      </c>
      <c r="T374" s="5" t="str">
        <f ca="1">IFERROR(__xludf.DUMMYFUNCTION("""COMPUTED_VALUE"""),"No")</f>
        <v>No</v>
      </c>
      <c r="U374" s="5" t="str">
        <f ca="1">IFERROR(__xludf.DUMMYFUNCTION("""COMPUTED_VALUE"""),"No")</f>
        <v>No</v>
      </c>
      <c r="V374" s="5"/>
      <c r="W374" s="5"/>
      <c r="X374" s="5"/>
      <c r="Y374" s="5"/>
      <c r="Z374" s="5" t="str">
        <f ca="1">IFERROR(__xludf.DUMMYFUNCTION("""COMPUTED_VALUE"""),"No")</f>
        <v>No</v>
      </c>
      <c r="AA374" s="5"/>
      <c r="AB374" s="5"/>
      <c r="AC374" s="5"/>
    </row>
    <row r="375" spans="1:29" x14ac:dyDescent="0.25">
      <c r="A375" s="5" t="str">
        <f ca="1">IFERROR(__xludf.DUMMYFUNCTION("""COMPUTED_VALUE"""),"PlayNetMajesticCrown20")</f>
        <v>PlayNetMajesticCrown20</v>
      </c>
      <c r="B37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75" s="5" t="str">
        <f ca="1">IFERROR(__xludf.DUMMYFUNCTION("""COMPUTED_VALUE"""),"Yes")</f>
        <v>Yes</v>
      </c>
      <c r="D375" s="5" t="str">
        <f ca="1">IFERROR(__xludf.DUMMYFUNCTION("""COMPUTED_VALUE"""),"Yes")</f>
        <v>Yes</v>
      </c>
      <c r="E375" s="5" t="str">
        <f ca="1">IFERROR(__xludf.DUMMYFUNCTION("""COMPUTED_VALUE"""),"Yes")</f>
        <v>Yes</v>
      </c>
      <c r="F375" s="5" t="str">
        <f ca="1">IFERROR(__xludf.DUMMYFUNCTION("""COMPUTED_VALUE"""),"Yes")</f>
        <v>Yes</v>
      </c>
      <c r="G375" s="5" t="str">
        <f ca="1">IFERROR(__xludf.DUMMYFUNCTION("""COMPUTED_VALUE"""),"Yes")</f>
        <v>Yes</v>
      </c>
      <c r="H375" s="5" t="str">
        <f ca="1">IFERROR(__xludf.DUMMYFUNCTION("""COMPUTED_VALUE"""),"Yes")</f>
        <v>Yes</v>
      </c>
      <c r="I375" s="5" t="str">
        <f ca="1">IFERROR(__xludf.DUMMYFUNCTION("""COMPUTED_VALUE"""),"Yes")</f>
        <v>Yes</v>
      </c>
      <c r="J375" s="5" t="str">
        <f ca="1">IFERROR(__xludf.DUMMYFUNCTION("""COMPUTED_VALUE"""),"Yes")</f>
        <v>Yes</v>
      </c>
      <c r="K375" s="5" t="str">
        <f ca="1">IFERROR(__xludf.DUMMYFUNCTION("""COMPUTED_VALUE"""),"Yes")</f>
        <v>Yes</v>
      </c>
      <c r="L375" s="5" t="str">
        <f ca="1">IFERROR(__xludf.DUMMYFUNCTION("""COMPUTED_VALUE"""),"Yes")</f>
        <v>Yes</v>
      </c>
      <c r="M375" s="5" t="str">
        <f ca="1">IFERROR(__xludf.DUMMYFUNCTION("""COMPUTED_VALUE"""),"Yes")</f>
        <v>Yes</v>
      </c>
      <c r="N375" s="5" t="str">
        <f ca="1">IFERROR(__xludf.DUMMYFUNCTION("""COMPUTED_VALUE"""),"Yes")</f>
        <v>Yes</v>
      </c>
      <c r="O375" s="5" t="str">
        <f ca="1">IFERROR(__xludf.DUMMYFUNCTION("""COMPUTED_VALUE"""),"Yes")</f>
        <v>Yes</v>
      </c>
      <c r="P375" s="5" t="str">
        <f ca="1">IFERROR(__xludf.DUMMYFUNCTION("""COMPUTED_VALUE"""),"Yes")</f>
        <v>Yes</v>
      </c>
      <c r="Q375" s="5" t="str">
        <f ca="1">IFERROR(__xludf.DUMMYFUNCTION("""COMPUTED_VALUE"""),"Yes")</f>
        <v>Yes</v>
      </c>
      <c r="R375" s="5" t="str">
        <f ca="1">IFERROR(__xludf.DUMMYFUNCTION("""COMPUTED_VALUE"""),"No")</f>
        <v>No</v>
      </c>
      <c r="S375" s="5" t="str">
        <f ca="1">IFERROR(__xludf.DUMMYFUNCTION("""COMPUTED_VALUE"""),"No")</f>
        <v>No</v>
      </c>
      <c r="T375" s="5" t="str">
        <f ca="1">IFERROR(__xludf.DUMMYFUNCTION("""COMPUTED_VALUE"""),"No")</f>
        <v>No</v>
      </c>
      <c r="U375" s="5" t="str">
        <f ca="1">IFERROR(__xludf.DUMMYFUNCTION("""COMPUTED_VALUE"""),"No")</f>
        <v>No</v>
      </c>
      <c r="V375" s="5"/>
      <c r="W375" s="5"/>
      <c r="X375" s="5"/>
      <c r="Y375" s="5"/>
      <c r="Z375" s="5" t="str">
        <f ca="1">IFERROR(__xludf.DUMMYFUNCTION("""COMPUTED_VALUE"""),"No")</f>
        <v>No</v>
      </c>
      <c r="AA375" s="5"/>
      <c r="AB375" s="5" t="str">
        <f ca="1">IFERROR(__xludf.DUMMYFUNCTION("""COMPUTED_VALUE"""),"Yes")</f>
        <v>Yes</v>
      </c>
      <c r="AC375" s="5"/>
    </row>
    <row r="376" spans="1:29" x14ac:dyDescent="0.25">
      <c r="A376" s="5" t="str">
        <f ca="1">IFERROR(__xludf.DUMMYFUNCTION("""COMPUTED_VALUE"""),"PlayNetDiamondHeart40")</f>
        <v>PlayNetDiamondHeart40</v>
      </c>
      <c r="B37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76" s="5" t="str">
        <f ca="1">IFERROR(__xludf.DUMMYFUNCTION("""COMPUTED_VALUE"""),"Yes")</f>
        <v>Yes</v>
      </c>
      <c r="D376" s="5" t="str">
        <f ca="1">IFERROR(__xludf.DUMMYFUNCTION("""COMPUTED_VALUE"""),"Yes")</f>
        <v>Yes</v>
      </c>
      <c r="E376" s="5" t="str">
        <f ca="1">IFERROR(__xludf.DUMMYFUNCTION("""COMPUTED_VALUE"""),"Yes")</f>
        <v>Yes</v>
      </c>
      <c r="F376" s="5" t="str">
        <f ca="1">IFERROR(__xludf.DUMMYFUNCTION("""COMPUTED_VALUE"""),"No")</f>
        <v>No</v>
      </c>
      <c r="G376" s="5" t="str">
        <f ca="1">IFERROR(__xludf.DUMMYFUNCTION("""COMPUTED_VALUE"""),"No")</f>
        <v>No</v>
      </c>
      <c r="H376" s="5" t="str">
        <f ca="1">IFERROR(__xludf.DUMMYFUNCTION("""COMPUTED_VALUE"""),"No")</f>
        <v>No</v>
      </c>
      <c r="I376" s="5" t="str">
        <f ca="1">IFERROR(__xludf.DUMMYFUNCTION("""COMPUTED_VALUE"""),"No")</f>
        <v>No</v>
      </c>
      <c r="J376" s="5" t="str">
        <f ca="1">IFERROR(__xludf.DUMMYFUNCTION("""COMPUTED_VALUE"""),"No")</f>
        <v>No</v>
      </c>
      <c r="K376" s="5" t="str">
        <f ca="1">IFERROR(__xludf.DUMMYFUNCTION("""COMPUTED_VALUE"""),"Yes")</f>
        <v>Yes</v>
      </c>
      <c r="L376" s="5" t="str">
        <f ca="1">IFERROR(__xludf.DUMMYFUNCTION("""COMPUTED_VALUE"""),"Yes")</f>
        <v>Yes</v>
      </c>
      <c r="M376" s="5" t="str">
        <f ca="1">IFERROR(__xludf.DUMMYFUNCTION("""COMPUTED_VALUE"""),"Yes")</f>
        <v>Yes</v>
      </c>
      <c r="N376" s="5" t="str">
        <f ca="1">IFERROR(__xludf.DUMMYFUNCTION("""COMPUTED_VALUE"""),"Yes")</f>
        <v>Yes</v>
      </c>
      <c r="O376" s="5" t="str">
        <f ca="1">IFERROR(__xludf.DUMMYFUNCTION("""COMPUTED_VALUE"""),"Yes")</f>
        <v>Yes</v>
      </c>
      <c r="P376" s="5" t="str">
        <f ca="1">IFERROR(__xludf.DUMMYFUNCTION("""COMPUTED_VALUE"""),"No")</f>
        <v>No</v>
      </c>
      <c r="Q376" s="5" t="str">
        <f ca="1">IFERROR(__xludf.DUMMYFUNCTION("""COMPUTED_VALUE"""),"Yes")</f>
        <v>Yes</v>
      </c>
      <c r="R376" s="5" t="str">
        <f ca="1">IFERROR(__xludf.DUMMYFUNCTION("""COMPUTED_VALUE"""),"No")</f>
        <v>No</v>
      </c>
      <c r="S376" s="5" t="str">
        <f ca="1">IFERROR(__xludf.DUMMYFUNCTION("""COMPUTED_VALUE"""),"No")</f>
        <v>No</v>
      </c>
      <c r="T376" s="5" t="str">
        <f ca="1">IFERROR(__xludf.DUMMYFUNCTION("""COMPUTED_VALUE"""),"No")</f>
        <v>No</v>
      </c>
      <c r="U376" s="5" t="str">
        <f ca="1">IFERROR(__xludf.DUMMYFUNCTION("""COMPUTED_VALUE"""),"No")</f>
        <v>No</v>
      </c>
      <c r="V376" s="5"/>
      <c r="W376" s="5"/>
      <c r="X376" s="5"/>
      <c r="Y376" s="5"/>
      <c r="Z376" s="5" t="str">
        <f ca="1">IFERROR(__xludf.DUMMYFUNCTION("""COMPUTED_VALUE"""),"No")</f>
        <v>No</v>
      </c>
      <c r="AA376" s="5"/>
      <c r="AB376" s="5"/>
      <c r="AC376" s="5"/>
    </row>
    <row r="377" spans="1:29" x14ac:dyDescent="0.25">
      <c r="A377" s="5" t="str">
        <f ca="1">IFERROR(__xludf.DUMMYFUNCTION("""COMPUTED_VALUE"""),"UnicornHitLine")</f>
        <v>UnicornHitLine</v>
      </c>
      <c r="B37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77" s="5" t="str">
        <f ca="1">IFERROR(__xludf.DUMMYFUNCTION("""COMPUTED_VALUE"""),"Yes")</f>
        <v>Yes</v>
      </c>
      <c r="D377" s="5" t="str">
        <f ca="1">IFERROR(__xludf.DUMMYFUNCTION("""COMPUTED_VALUE"""),"Yes")</f>
        <v>Yes</v>
      </c>
      <c r="E377" s="5" t="str">
        <f ca="1">IFERROR(__xludf.DUMMYFUNCTION("""COMPUTED_VALUE"""),"Yes")</f>
        <v>Yes</v>
      </c>
      <c r="F377" s="5" t="str">
        <f ca="1">IFERROR(__xludf.DUMMYFUNCTION("""COMPUTED_VALUE"""),"No")</f>
        <v>No</v>
      </c>
      <c r="G377" s="5" t="str">
        <f ca="1">IFERROR(__xludf.DUMMYFUNCTION("""COMPUTED_VALUE"""),"No")</f>
        <v>No</v>
      </c>
      <c r="H377" s="5" t="str">
        <f ca="1">IFERROR(__xludf.DUMMYFUNCTION("""COMPUTED_VALUE"""),"No")</f>
        <v>No</v>
      </c>
      <c r="I377" s="5" t="str">
        <f ca="1">IFERROR(__xludf.DUMMYFUNCTION("""COMPUTED_VALUE"""),"No")</f>
        <v>No</v>
      </c>
      <c r="J377" s="5" t="str">
        <f ca="1">IFERROR(__xludf.DUMMYFUNCTION("""COMPUTED_VALUE"""),"No")</f>
        <v>No</v>
      </c>
      <c r="K377" s="5" t="str">
        <f ca="1">IFERROR(__xludf.DUMMYFUNCTION("""COMPUTED_VALUE"""),"Yes")</f>
        <v>Yes</v>
      </c>
      <c r="L377" s="5" t="str">
        <f ca="1">IFERROR(__xludf.DUMMYFUNCTION("""COMPUTED_VALUE"""),"Yes")</f>
        <v>Yes</v>
      </c>
      <c r="M377" s="5" t="str">
        <f ca="1">IFERROR(__xludf.DUMMYFUNCTION("""COMPUTED_VALUE"""),"Yes")</f>
        <v>Yes</v>
      </c>
      <c r="N377" s="5" t="str">
        <f ca="1">IFERROR(__xludf.DUMMYFUNCTION("""COMPUTED_VALUE"""),"Yes")</f>
        <v>Yes</v>
      </c>
      <c r="O377" s="5" t="str">
        <f ca="1">IFERROR(__xludf.DUMMYFUNCTION("""COMPUTED_VALUE"""),"Yes")</f>
        <v>Yes</v>
      </c>
      <c r="P377" s="5" t="str">
        <f ca="1">IFERROR(__xludf.DUMMYFUNCTION("""COMPUTED_VALUE"""),"No")</f>
        <v>No</v>
      </c>
      <c r="Q377" s="5" t="str">
        <f ca="1">IFERROR(__xludf.DUMMYFUNCTION("""COMPUTED_VALUE"""),"Yes")</f>
        <v>Yes</v>
      </c>
      <c r="R377" s="5" t="str">
        <f ca="1">IFERROR(__xludf.DUMMYFUNCTION("""COMPUTED_VALUE"""),"No")</f>
        <v>No</v>
      </c>
      <c r="S377" s="5" t="str">
        <f ca="1">IFERROR(__xludf.DUMMYFUNCTION("""COMPUTED_VALUE"""),"No")</f>
        <v>No</v>
      </c>
      <c r="T377" s="5" t="str">
        <f ca="1">IFERROR(__xludf.DUMMYFUNCTION("""COMPUTED_VALUE"""),"No")</f>
        <v>No</v>
      </c>
      <c r="U377" s="5" t="str">
        <f ca="1">IFERROR(__xludf.DUMMYFUNCTION("""COMPUTED_VALUE"""),"No")</f>
        <v>No</v>
      </c>
      <c r="V377" s="5"/>
      <c r="W377" s="5"/>
      <c r="X377" s="5"/>
      <c r="Y377" s="5"/>
      <c r="Z377" s="5" t="str">
        <f ca="1">IFERROR(__xludf.DUMMYFUNCTION("""COMPUTED_VALUE"""),"No")</f>
        <v>No</v>
      </c>
      <c r="AA377" s="5"/>
      <c r="AB377" s="5"/>
      <c r="AC377" s="5"/>
    </row>
    <row r="378" spans="1:29" x14ac:dyDescent="0.25">
      <c r="A378" s="5" t="str">
        <f ca="1">IFERROR(__xludf.DUMMYFUNCTION("""COMPUTED_VALUE"""),"RedstoneSpookySpins")</f>
        <v>RedstoneSpookySpins</v>
      </c>
      <c r="B3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8" s="5" t="str">
        <f ca="1">IFERROR(__xludf.DUMMYFUNCTION("""COMPUTED_VALUE"""),"Yes")</f>
        <v>Yes</v>
      </c>
      <c r="D378" s="5" t="str">
        <f ca="1">IFERROR(__xludf.DUMMYFUNCTION("""COMPUTED_VALUE"""),"Yes")</f>
        <v>Yes</v>
      </c>
      <c r="E378" s="5" t="str">
        <f ca="1">IFERROR(__xludf.DUMMYFUNCTION("""COMPUTED_VALUE"""),"Yes")</f>
        <v>Yes</v>
      </c>
      <c r="F378" s="5" t="str">
        <f ca="1">IFERROR(__xludf.DUMMYFUNCTION("""COMPUTED_VALUE"""),"Yes")</f>
        <v>Yes</v>
      </c>
      <c r="G378" s="5" t="str">
        <f ca="1">IFERROR(__xludf.DUMMYFUNCTION("""COMPUTED_VALUE"""),"Yes")</f>
        <v>Yes</v>
      </c>
      <c r="H378" s="5" t="str">
        <f ca="1">IFERROR(__xludf.DUMMYFUNCTION("""COMPUTED_VALUE"""),"Yes")</f>
        <v>Yes</v>
      </c>
      <c r="I378" s="5" t="str">
        <f ca="1">IFERROR(__xludf.DUMMYFUNCTION("""COMPUTED_VALUE"""),"Yes")</f>
        <v>Yes</v>
      </c>
      <c r="J378" s="5" t="str">
        <f ca="1">IFERROR(__xludf.DUMMYFUNCTION("""COMPUTED_VALUE"""),"Yes")</f>
        <v>Yes</v>
      </c>
      <c r="K378" s="5" t="str">
        <f ca="1">IFERROR(__xludf.DUMMYFUNCTION("""COMPUTED_VALUE"""),"Yes")</f>
        <v>Yes</v>
      </c>
      <c r="L378" s="5" t="str">
        <f ca="1">IFERROR(__xludf.DUMMYFUNCTION("""COMPUTED_VALUE"""),"Yes")</f>
        <v>Yes</v>
      </c>
      <c r="M378" s="5" t="str">
        <f ca="1">IFERROR(__xludf.DUMMYFUNCTION("""COMPUTED_VALUE"""),"Yes")</f>
        <v>Yes</v>
      </c>
      <c r="N378" s="5" t="str">
        <f ca="1">IFERROR(__xludf.DUMMYFUNCTION("""COMPUTED_VALUE"""),"Yes")</f>
        <v>Yes</v>
      </c>
      <c r="O378" s="5" t="str">
        <f ca="1">IFERROR(__xludf.DUMMYFUNCTION("""COMPUTED_VALUE"""),"Yes")</f>
        <v>Yes</v>
      </c>
      <c r="P378" s="5" t="str">
        <f ca="1">IFERROR(__xludf.DUMMYFUNCTION("""COMPUTED_VALUE"""),"Yes")</f>
        <v>Yes</v>
      </c>
      <c r="Q378" s="5" t="str">
        <f ca="1">IFERROR(__xludf.DUMMYFUNCTION("""COMPUTED_VALUE"""),"Yes")</f>
        <v>Yes</v>
      </c>
      <c r="R378" s="5" t="str">
        <f ca="1">IFERROR(__xludf.DUMMYFUNCTION("""COMPUTED_VALUE"""),"Yes")</f>
        <v>Yes</v>
      </c>
      <c r="S378" s="5" t="str">
        <f ca="1">IFERROR(__xludf.DUMMYFUNCTION("""COMPUTED_VALUE"""),"Yes")</f>
        <v>Yes</v>
      </c>
      <c r="T378" s="5" t="str">
        <f ca="1">IFERROR(__xludf.DUMMYFUNCTION("""COMPUTED_VALUE"""),"Yes")</f>
        <v>Yes</v>
      </c>
      <c r="U378" s="5" t="str">
        <f ca="1">IFERROR(__xludf.DUMMYFUNCTION("""COMPUTED_VALUE"""),"Yes")</f>
        <v>Yes</v>
      </c>
      <c r="V378" s="5"/>
      <c r="W378" s="5"/>
      <c r="X378" s="5"/>
      <c r="Y378" s="5"/>
      <c r="Z378" s="5" t="str">
        <f ca="1">IFERROR(__xludf.DUMMYFUNCTION("""COMPUTED_VALUE"""),"Yes")</f>
        <v>Yes</v>
      </c>
      <c r="AA378" s="5"/>
      <c r="AB378" s="5"/>
      <c r="AC378" s="5"/>
    </row>
    <row r="379" spans="1:29" x14ac:dyDescent="0.25">
      <c r="A379" s="5" t="str">
        <f ca="1">IFERROR(__xludf.DUMMYFUNCTION("""COMPUTED_VALUE"""),"Unicorn20SuperFlames")</f>
        <v>Unicorn20SuperFlames</v>
      </c>
      <c r="B37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9" s="5" t="str">
        <f ca="1">IFERROR(__xludf.DUMMYFUNCTION("""COMPUTED_VALUE"""),"Yes")</f>
        <v>Yes</v>
      </c>
      <c r="D379" s="5" t="str">
        <f ca="1">IFERROR(__xludf.DUMMYFUNCTION("""COMPUTED_VALUE"""),"Yes")</f>
        <v>Yes</v>
      </c>
      <c r="E379" s="5" t="str">
        <f ca="1">IFERROR(__xludf.DUMMYFUNCTION("""COMPUTED_VALUE"""),"No")</f>
        <v>No</v>
      </c>
      <c r="F379" s="5" t="str">
        <f ca="1">IFERROR(__xludf.DUMMYFUNCTION("""COMPUTED_VALUE"""),"Yes")</f>
        <v>Yes</v>
      </c>
      <c r="G379" s="5" t="str">
        <f ca="1">IFERROR(__xludf.DUMMYFUNCTION("""COMPUTED_VALUE"""),"Yes")</f>
        <v>Yes</v>
      </c>
      <c r="H379" s="5" t="str">
        <f ca="1">IFERROR(__xludf.DUMMYFUNCTION("""COMPUTED_VALUE"""),"Yes")</f>
        <v>Yes</v>
      </c>
      <c r="I379" s="5" t="str">
        <f ca="1">IFERROR(__xludf.DUMMYFUNCTION("""COMPUTED_VALUE"""),"Yes")</f>
        <v>Yes</v>
      </c>
      <c r="J379" s="5" t="str">
        <f ca="1">IFERROR(__xludf.DUMMYFUNCTION("""COMPUTED_VALUE"""),"Yes")</f>
        <v>Yes</v>
      </c>
      <c r="K379" s="5" t="str">
        <f ca="1">IFERROR(__xludf.DUMMYFUNCTION("""COMPUTED_VALUE"""),"Yes")</f>
        <v>Yes</v>
      </c>
      <c r="L379" s="5" t="str">
        <f ca="1">IFERROR(__xludf.DUMMYFUNCTION("""COMPUTED_VALUE"""),"Yes")</f>
        <v>Yes</v>
      </c>
      <c r="M379" s="5" t="str">
        <f ca="1">IFERROR(__xludf.DUMMYFUNCTION("""COMPUTED_VALUE"""),"Yes")</f>
        <v>Yes</v>
      </c>
      <c r="N379" s="5" t="str">
        <f ca="1">IFERROR(__xludf.DUMMYFUNCTION("""COMPUTED_VALUE"""),"Yes")</f>
        <v>Yes</v>
      </c>
      <c r="O379" s="5" t="str">
        <f ca="1">IFERROR(__xludf.DUMMYFUNCTION("""COMPUTED_VALUE"""),"Yes")</f>
        <v>Yes</v>
      </c>
      <c r="P379" s="5" t="str">
        <f ca="1">IFERROR(__xludf.DUMMYFUNCTION("""COMPUTED_VALUE"""),"Yes")</f>
        <v>Yes</v>
      </c>
      <c r="Q379" s="5" t="str">
        <f ca="1">IFERROR(__xludf.DUMMYFUNCTION("""COMPUTED_VALUE"""),"Yes")</f>
        <v>Yes</v>
      </c>
      <c r="R379" s="5" t="str">
        <f ca="1">IFERROR(__xludf.DUMMYFUNCTION("""COMPUTED_VALUE"""),"No")</f>
        <v>No</v>
      </c>
      <c r="S379" s="5" t="str">
        <f ca="1">IFERROR(__xludf.DUMMYFUNCTION("""COMPUTED_VALUE"""),"No")</f>
        <v>No</v>
      </c>
      <c r="T379" s="5" t="str">
        <f ca="1">IFERROR(__xludf.DUMMYFUNCTION("""COMPUTED_VALUE"""),"No")</f>
        <v>No</v>
      </c>
      <c r="U379" s="5" t="str">
        <f ca="1">IFERROR(__xludf.DUMMYFUNCTION("""COMPUTED_VALUE"""),"No")</f>
        <v>No</v>
      </c>
      <c r="V379" s="5" t="str">
        <f ca="1">IFERROR(__xludf.DUMMYFUNCTION("""COMPUTED_VALUE"""),"No")</f>
        <v>No</v>
      </c>
      <c r="W379" s="5" t="str">
        <f ca="1">IFERROR(__xludf.DUMMYFUNCTION("""COMPUTED_VALUE"""),"No")</f>
        <v>No</v>
      </c>
      <c r="X379" s="5" t="str">
        <f ca="1">IFERROR(__xludf.DUMMYFUNCTION("""COMPUTED_VALUE"""),"No")</f>
        <v>No</v>
      </c>
      <c r="Y379" s="5" t="str">
        <f ca="1">IFERROR(__xludf.DUMMYFUNCTION("""COMPUTED_VALUE"""),"No")</f>
        <v>No</v>
      </c>
      <c r="Z379" s="5" t="str">
        <f ca="1">IFERROR(__xludf.DUMMYFUNCTION("""COMPUTED_VALUE"""),"No")</f>
        <v>No</v>
      </c>
      <c r="AA379" s="5" t="str">
        <f ca="1">IFERROR(__xludf.DUMMYFUNCTION("""COMPUTED_VALUE"""),"No")</f>
        <v>No</v>
      </c>
      <c r="AB379" s="5" t="str">
        <f ca="1">IFERROR(__xludf.DUMMYFUNCTION("""COMPUTED_VALUE"""),"Yes")</f>
        <v>Yes</v>
      </c>
      <c r="AC379" s="5" t="str">
        <f ca="1">IFERROR(__xludf.DUMMYFUNCTION("""COMPUTED_VALUE"""),"No")</f>
        <v>No</v>
      </c>
    </row>
    <row r="380" spans="1:29" x14ac:dyDescent="0.25">
      <c r="A380" s="5" t="str">
        <f ca="1">IFERROR(__xludf.DUMMYFUNCTION("""COMPUTED_VALUE"""),"PlayNet27WildStacks")</f>
        <v>PlayNet27WildStacks</v>
      </c>
      <c r="B38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0" s="5" t="str">
        <f ca="1">IFERROR(__xludf.DUMMYFUNCTION("""COMPUTED_VALUE"""),"Yes")</f>
        <v>Yes</v>
      </c>
      <c r="D380" s="5" t="str">
        <f ca="1">IFERROR(__xludf.DUMMYFUNCTION("""COMPUTED_VALUE"""),"Yes")</f>
        <v>Yes</v>
      </c>
      <c r="E380" s="5" t="str">
        <f ca="1">IFERROR(__xludf.DUMMYFUNCTION("""COMPUTED_VALUE"""),"Yes")</f>
        <v>Yes</v>
      </c>
      <c r="F380" s="5" t="str">
        <f ca="1">IFERROR(__xludf.DUMMYFUNCTION("""COMPUTED_VALUE"""),"Yes")</f>
        <v>Yes</v>
      </c>
      <c r="G380" s="5" t="str">
        <f ca="1">IFERROR(__xludf.DUMMYFUNCTION("""COMPUTED_VALUE"""),"Yes")</f>
        <v>Yes</v>
      </c>
      <c r="H380" s="5" t="str">
        <f ca="1">IFERROR(__xludf.DUMMYFUNCTION("""COMPUTED_VALUE"""),"Yes")</f>
        <v>Yes</v>
      </c>
      <c r="I380" s="5" t="str">
        <f ca="1">IFERROR(__xludf.DUMMYFUNCTION("""COMPUTED_VALUE"""),"Yes")</f>
        <v>Yes</v>
      </c>
      <c r="J380" s="5" t="str">
        <f ca="1">IFERROR(__xludf.DUMMYFUNCTION("""COMPUTED_VALUE"""),"Yes")</f>
        <v>Yes</v>
      </c>
      <c r="K380" s="5" t="str">
        <f ca="1">IFERROR(__xludf.DUMMYFUNCTION("""COMPUTED_VALUE"""),"Yes")</f>
        <v>Yes</v>
      </c>
      <c r="L380" s="5" t="str">
        <f ca="1">IFERROR(__xludf.DUMMYFUNCTION("""COMPUTED_VALUE"""),"Yes")</f>
        <v>Yes</v>
      </c>
      <c r="M380" s="5" t="str">
        <f ca="1">IFERROR(__xludf.DUMMYFUNCTION("""COMPUTED_VALUE"""),"Yes")</f>
        <v>Yes</v>
      </c>
      <c r="N380" s="5" t="str">
        <f ca="1">IFERROR(__xludf.DUMMYFUNCTION("""COMPUTED_VALUE"""),"Yes")</f>
        <v>Yes</v>
      </c>
      <c r="O380" s="5" t="str">
        <f ca="1">IFERROR(__xludf.DUMMYFUNCTION("""COMPUTED_VALUE"""),"Yes")</f>
        <v>Yes</v>
      </c>
      <c r="P380" s="5" t="str">
        <f ca="1">IFERROR(__xludf.DUMMYFUNCTION("""COMPUTED_VALUE"""),"Yes")</f>
        <v>Yes</v>
      </c>
      <c r="Q380" s="5" t="str">
        <f ca="1">IFERROR(__xludf.DUMMYFUNCTION("""COMPUTED_VALUE"""),"Yes")</f>
        <v>Yes</v>
      </c>
      <c r="R380" s="5" t="str">
        <f ca="1">IFERROR(__xludf.DUMMYFUNCTION("""COMPUTED_VALUE"""),"No")</f>
        <v>No</v>
      </c>
      <c r="S380" s="5" t="str">
        <f ca="1">IFERROR(__xludf.DUMMYFUNCTION("""COMPUTED_VALUE"""),"No")</f>
        <v>No</v>
      </c>
      <c r="T380" s="5" t="str">
        <f ca="1">IFERROR(__xludf.DUMMYFUNCTION("""COMPUTED_VALUE"""),"No")</f>
        <v>No</v>
      </c>
      <c r="U380" s="5" t="str">
        <f ca="1">IFERROR(__xludf.DUMMYFUNCTION("""COMPUTED_VALUE"""),"No")</f>
        <v>No</v>
      </c>
      <c r="V380" s="5"/>
      <c r="W380" s="5"/>
      <c r="X380" s="5"/>
      <c r="Y380" s="5"/>
      <c r="Z380" s="5" t="str">
        <f ca="1">IFERROR(__xludf.DUMMYFUNCTION("""COMPUTED_VALUE"""),"No")</f>
        <v>No</v>
      </c>
      <c r="AA380" s="5"/>
      <c r="AB380" s="5" t="str">
        <f ca="1">IFERROR(__xludf.DUMMYFUNCTION("""COMPUTED_VALUE"""),"Yes")</f>
        <v>Yes</v>
      </c>
      <c r="AC380" s="5"/>
    </row>
    <row r="381" spans="1:29" x14ac:dyDescent="0.25">
      <c r="A381" s="5" t="str">
        <f ca="1">IFERROR(__xludf.DUMMYFUNCTION("""COMPUTED_VALUE"""),"PlayNetDashingHot5")</f>
        <v>PlayNetDashingHot5</v>
      </c>
      <c r="B38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81" s="5" t="str">
        <f ca="1">IFERROR(__xludf.DUMMYFUNCTION("""COMPUTED_VALUE"""),"Yes")</f>
        <v>Yes</v>
      </c>
      <c r="D381" s="5" t="str">
        <f ca="1">IFERROR(__xludf.DUMMYFUNCTION("""COMPUTED_VALUE"""),"Yes")</f>
        <v>Yes</v>
      </c>
      <c r="E381" s="5" t="str">
        <f ca="1">IFERROR(__xludf.DUMMYFUNCTION("""COMPUTED_VALUE"""),"Yes")</f>
        <v>Yes</v>
      </c>
      <c r="F381" s="5" t="str">
        <f ca="1">IFERROR(__xludf.DUMMYFUNCTION("""COMPUTED_VALUE"""),"No")</f>
        <v>No</v>
      </c>
      <c r="G381" s="5" t="str">
        <f ca="1">IFERROR(__xludf.DUMMYFUNCTION("""COMPUTED_VALUE"""),"No")</f>
        <v>No</v>
      </c>
      <c r="H381" s="5" t="str">
        <f ca="1">IFERROR(__xludf.DUMMYFUNCTION("""COMPUTED_VALUE"""),"No")</f>
        <v>No</v>
      </c>
      <c r="I381" s="5" t="str">
        <f ca="1">IFERROR(__xludf.DUMMYFUNCTION("""COMPUTED_VALUE"""),"No")</f>
        <v>No</v>
      </c>
      <c r="J381" s="5" t="str">
        <f ca="1">IFERROR(__xludf.DUMMYFUNCTION("""COMPUTED_VALUE"""),"No")</f>
        <v>No</v>
      </c>
      <c r="K381" s="5" t="str">
        <f ca="1">IFERROR(__xludf.DUMMYFUNCTION("""COMPUTED_VALUE"""),"Yes")</f>
        <v>Yes</v>
      </c>
      <c r="L381" s="5" t="str">
        <f ca="1">IFERROR(__xludf.DUMMYFUNCTION("""COMPUTED_VALUE"""),"Yes")</f>
        <v>Yes</v>
      </c>
      <c r="M381" s="5" t="str">
        <f ca="1">IFERROR(__xludf.DUMMYFUNCTION("""COMPUTED_VALUE"""),"Yes")</f>
        <v>Yes</v>
      </c>
      <c r="N381" s="5" t="str">
        <f ca="1">IFERROR(__xludf.DUMMYFUNCTION("""COMPUTED_VALUE"""),"Yes")</f>
        <v>Yes</v>
      </c>
      <c r="O381" s="5" t="str">
        <f ca="1">IFERROR(__xludf.DUMMYFUNCTION("""COMPUTED_VALUE"""),"Yes")</f>
        <v>Yes</v>
      </c>
      <c r="P381" s="5" t="str">
        <f ca="1">IFERROR(__xludf.DUMMYFUNCTION("""COMPUTED_VALUE"""),"No")</f>
        <v>No</v>
      </c>
      <c r="Q381" s="5" t="str">
        <f ca="1">IFERROR(__xludf.DUMMYFUNCTION("""COMPUTED_VALUE"""),"Yes")</f>
        <v>Yes</v>
      </c>
      <c r="R381" s="5" t="str">
        <f ca="1">IFERROR(__xludf.DUMMYFUNCTION("""COMPUTED_VALUE"""),"No")</f>
        <v>No</v>
      </c>
      <c r="S381" s="5" t="str">
        <f ca="1">IFERROR(__xludf.DUMMYFUNCTION("""COMPUTED_VALUE"""),"No")</f>
        <v>No</v>
      </c>
      <c r="T381" s="5" t="str">
        <f ca="1">IFERROR(__xludf.DUMMYFUNCTION("""COMPUTED_VALUE"""),"No")</f>
        <v>No</v>
      </c>
      <c r="U381" s="5" t="str">
        <f ca="1">IFERROR(__xludf.DUMMYFUNCTION("""COMPUTED_VALUE"""),"No")</f>
        <v>No</v>
      </c>
      <c r="V381" s="5"/>
      <c r="W381" s="5"/>
      <c r="X381" s="5"/>
      <c r="Y381" s="5"/>
      <c r="Z381" s="5" t="str">
        <f ca="1">IFERROR(__xludf.DUMMYFUNCTION("""COMPUTED_VALUE"""),"No")</f>
        <v>No</v>
      </c>
      <c r="AA381" s="5"/>
      <c r="AB381" s="5"/>
      <c r="AC381" s="5"/>
    </row>
    <row r="382" spans="1:29" x14ac:dyDescent="0.25">
      <c r="A382" s="5" t="str">
        <f ca="1">IFERROR(__xludf.DUMMYFUNCTION("""COMPUTED_VALUE"""),"Unicorn20HotStrikeJackpot")</f>
        <v>Unicorn20HotStrikeJackpot</v>
      </c>
      <c r="B38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82" s="5" t="str">
        <f ca="1">IFERROR(__xludf.DUMMYFUNCTION("""COMPUTED_VALUE"""),"Yes")</f>
        <v>Yes</v>
      </c>
      <c r="D382" s="5" t="str">
        <f ca="1">IFERROR(__xludf.DUMMYFUNCTION("""COMPUTED_VALUE"""),"Yes")</f>
        <v>Yes</v>
      </c>
      <c r="E382" s="5" t="str">
        <f ca="1">IFERROR(__xludf.DUMMYFUNCTION("""COMPUTED_VALUE"""),"Yes")</f>
        <v>Yes</v>
      </c>
      <c r="F382" s="5" t="str">
        <f ca="1">IFERROR(__xludf.DUMMYFUNCTION("""COMPUTED_VALUE"""),"No")</f>
        <v>No</v>
      </c>
      <c r="G382" s="5" t="str">
        <f ca="1">IFERROR(__xludf.DUMMYFUNCTION("""COMPUTED_VALUE"""),"No")</f>
        <v>No</v>
      </c>
      <c r="H382" s="5" t="str">
        <f ca="1">IFERROR(__xludf.DUMMYFUNCTION("""COMPUTED_VALUE"""),"No")</f>
        <v>No</v>
      </c>
      <c r="I382" s="5" t="str">
        <f ca="1">IFERROR(__xludf.DUMMYFUNCTION("""COMPUTED_VALUE"""),"No")</f>
        <v>No</v>
      </c>
      <c r="J382" s="5" t="str">
        <f ca="1">IFERROR(__xludf.DUMMYFUNCTION("""COMPUTED_VALUE"""),"No")</f>
        <v>No</v>
      </c>
      <c r="K382" s="5" t="str">
        <f ca="1">IFERROR(__xludf.DUMMYFUNCTION("""COMPUTED_VALUE"""),"Yes")</f>
        <v>Yes</v>
      </c>
      <c r="L382" s="5" t="str">
        <f ca="1">IFERROR(__xludf.DUMMYFUNCTION("""COMPUTED_VALUE"""),"Yes")</f>
        <v>Yes</v>
      </c>
      <c r="M382" s="5" t="str">
        <f ca="1">IFERROR(__xludf.DUMMYFUNCTION("""COMPUTED_VALUE"""),"Yes")</f>
        <v>Yes</v>
      </c>
      <c r="N382" s="5" t="str">
        <f ca="1">IFERROR(__xludf.DUMMYFUNCTION("""COMPUTED_VALUE"""),"Yes")</f>
        <v>Yes</v>
      </c>
      <c r="O382" s="5" t="str">
        <f ca="1">IFERROR(__xludf.DUMMYFUNCTION("""COMPUTED_VALUE"""),"Yes")</f>
        <v>Yes</v>
      </c>
      <c r="P382" s="5" t="str">
        <f ca="1">IFERROR(__xludf.DUMMYFUNCTION("""COMPUTED_VALUE"""),"No")</f>
        <v>No</v>
      </c>
      <c r="Q382" s="5" t="str">
        <f ca="1">IFERROR(__xludf.DUMMYFUNCTION("""COMPUTED_VALUE"""),"Yes")</f>
        <v>Yes</v>
      </c>
      <c r="R382" s="5" t="str">
        <f ca="1">IFERROR(__xludf.DUMMYFUNCTION("""COMPUTED_VALUE"""),"No")</f>
        <v>No</v>
      </c>
      <c r="S382" s="5" t="str">
        <f ca="1">IFERROR(__xludf.DUMMYFUNCTION("""COMPUTED_VALUE"""),"No")</f>
        <v>No</v>
      </c>
      <c r="T382" s="5" t="str">
        <f ca="1">IFERROR(__xludf.DUMMYFUNCTION("""COMPUTED_VALUE"""),"No")</f>
        <v>No</v>
      </c>
      <c r="U382" s="5" t="str">
        <f ca="1">IFERROR(__xludf.DUMMYFUNCTION("""COMPUTED_VALUE"""),"No")</f>
        <v>No</v>
      </c>
      <c r="V382" s="5"/>
      <c r="W382" s="5"/>
      <c r="X382" s="5" t="str">
        <f ca="1">IFERROR(__xludf.DUMMYFUNCTION("""COMPUTED_VALUE"""),"No")</f>
        <v>No</v>
      </c>
      <c r="Y382" s="5"/>
      <c r="Z382" s="5" t="str">
        <f ca="1">IFERROR(__xludf.DUMMYFUNCTION("""COMPUTED_VALUE"""),"No")</f>
        <v>No</v>
      </c>
      <c r="AA382" s="5"/>
      <c r="AB382" s="5"/>
      <c r="AC382" s="5"/>
    </row>
    <row r="383" spans="1:29" x14ac:dyDescent="0.25">
      <c r="A383" s="5" t="str">
        <f ca="1">IFERROR(__xludf.DUMMYFUNCTION("""COMPUTED_VALUE"""),"Redstone5WildFire")</f>
        <v>Redstone5WildFire</v>
      </c>
      <c r="B3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3" s="5" t="str">
        <f ca="1">IFERROR(__xludf.DUMMYFUNCTION("""COMPUTED_VALUE"""),"Yes")</f>
        <v>Yes</v>
      </c>
      <c r="D383" s="5" t="str">
        <f ca="1">IFERROR(__xludf.DUMMYFUNCTION("""COMPUTED_VALUE"""),"Yes")</f>
        <v>Yes</v>
      </c>
      <c r="E383" s="5" t="str">
        <f ca="1">IFERROR(__xludf.DUMMYFUNCTION("""COMPUTED_VALUE"""),"Yes")</f>
        <v>Yes</v>
      </c>
      <c r="F383" s="5" t="str">
        <f ca="1">IFERROR(__xludf.DUMMYFUNCTION("""COMPUTED_VALUE"""),"Yes")</f>
        <v>Yes</v>
      </c>
      <c r="G383" s="5" t="str">
        <f ca="1">IFERROR(__xludf.DUMMYFUNCTION("""COMPUTED_VALUE"""),"Yes")</f>
        <v>Yes</v>
      </c>
      <c r="H383" s="5" t="str">
        <f ca="1">IFERROR(__xludf.DUMMYFUNCTION("""COMPUTED_VALUE"""),"Yes")</f>
        <v>Yes</v>
      </c>
      <c r="I383" s="5" t="str">
        <f ca="1">IFERROR(__xludf.DUMMYFUNCTION("""COMPUTED_VALUE"""),"Yes")</f>
        <v>Yes</v>
      </c>
      <c r="J383" s="5" t="str">
        <f ca="1">IFERROR(__xludf.DUMMYFUNCTION("""COMPUTED_VALUE"""),"Yes")</f>
        <v>Yes</v>
      </c>
      <c r="K383" s="5" t="str">
        <f ca="1">IFERROR(__xludf.DUMMYFUNCTION("""COMPUTED_VALUE"""),"Yes")</f>
        <v>Yes</v>
      </c>
      <c r="L383" s="5" t="str">
        <f ca="1">IFERROR(__xludf.DUMMYFUNCTION("""COMPUTED_VALUE"""),"Yes")</f>
        <v>Yes</v>
      </c>
      <c r="M383" s="5" t="str">
        <f ca="1">IFERROR(__xludf.DUMMYFUNCTION("""COMPUTED_VALUE"""),"Yes")</f>
        <v>Yes</v>
      </c>
      <c r="N383" s="5" t="str">
        <f ca="1">IFERROR(__xludf.DUMMYFUNCTION("""COMPUTED_VALUE"""),"Yes")</f>
        <v>Yes</v>
      </c>
      <c r="O383" s="5" t="str">
        <f ca="1">IFERROR(__xludf.DUMMYFUNCTION("""COMPUTED_VALUE"""),"Yes")</f>
        <v>Yes</v>
      </c>
      <c r="P383" s="5" t="str">
        <f ca="1">IFERROR(__xludf.DUMMYFUNCTION("""COMPUTED_VALUE"""),"Yes")</f>
        <v>Yes</v>
      </c>
      <c r="Q383" s="5" t="str">
        <f ca="1">IFERROR(__xludf.DUMMYFUNCTION("""COMPUTED_VALUE"""),"Yes")</f>
        <v>Yes</v>
      </c>
      <c r="R383" s="5" t="str">
        <f ca="1">IFERROR(__xludf.DUMMYFUNCTION("""COMPUTED_VALUE"""),"Yes")</f>
        <v>Yes</v>
      </c>
      <c r="S383" s="5" t="str">
        <f ca="1">IFERROR(__xludf.DUMMYFUNCTION("""COMPUTED_VALUE"""),"Yes")</f>
        <v>Yes</v>
      </c>
      <c r="T383" s="5" t="str">
        <f ca="1">IFERROR(__xludf.DUMMYFUNCTION("""COMPUTED_VALUE"""),"Yes")</f>
        <v>Yes</v>
      </c>
      <c r="U383" s="5" t="str">
        <f ca="1">IFERROR(__xludf.DUMMYFUNCTION("""COMPUTED_VALUE"""),"Yes")</f>
        <v>Yes</v>
      </c>
      <c r="V383" s="5"/>
      <c r="W383" s="5"/>
      <c r="X383" s="5"/>
      <c r="Y383" s="5"/>
      <c r="Z383" s="5" t="str">
        <f ca="1">IFERROR(__xludf.DUMMYFUNCTION("""COMPUTED_VALUE"""),"Yes")</f>
        <v>Yes</v>
      </c>
      <c r="AA383" s="5"/>
      <c r="AB383" s="5"/>
      <c r="AC383" s="5"/>
    </row>
    <row r="384" spans="1:29" x14ac:dyDescent="0.25">
      <c r="A384" s="5" t="str">
        <f ca="1">IFERROR(__xludf.DUMMYFUNCTION("""COMPUTED_VALUE"""),"PlayNetWildForties")</f>
        <v>PlayNetWildForties</v>
      </c>
      <c r="B38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84" s="5" t="str">
        <f ca="1">IFERROR(__xludf.DUMMYFUNCTION("""COMPUTED_VALUE"""),"Yes")</f>
        <v>Yes</v>
      </c>
      <c r="D384" s="5" t="str">
        <f ca="1">IFERROR(__xludf.DUMMYFUNCTION("""COMPUTED_VALUE"""),"Yes")</f>
        <v>Yes</v>
      </c>
      <c r="E384" s="5" t="str">
        <f ca="1">IFERROR(__xludf.DUMMYFUNCTION("""COMPUTED_VALUE"""),"No")</f>
        <v>No</v>
      </c>
      <c r="F384" s="5" t="str">
        <f ca="1">IFERROR(__xludf.DUMMYFUNCTION("""COMPUTED_VALUE"""),"Yes")</f>
        <v>Yes</v>
      </c>
      <c r="G384" s="5" t="str">
        <f ca="1">IFERROR(__xludf.DUMMYFUNCTION("""COMPUTED_VALUE"""),"Yes")</f>
        <v>Yes</v>
      </c>
      <c r="H384" s="5" t="str">
        <f ca="1">IFERROR(__xludf.DUMMYFUNCTION("""COMPUTED_VALUE"""),"Yes")</f>
        <v>Yes</v>
      </c>
      <c r="I384" s="5" t="str">
        <f ca="1">IFERROR(__xludf.DUMMYFUNCTION("""COMPUTED_VALUE"""),"Yes")</f>
        <v>Yes</v>
      </c>
      <c r="J384" s="5" t="str">
        <f ca="1">IFERROR(__xludf.DUMMYFUNCTION("""COMPUTED_VALUE"""),"Yes")</f>
        <v>Yes</v>
      </c>
      <c r="K384" s="5" t="str">
        <f ca="1">IFERROR(__xludf.DUMMYFUNCTION("""COMPUTED_VALUE"""),"Yes")</f>
        <v>Yes</v>
      </c>
      <c r="L384" s="5" t="str">
        <f ca="1">IFERROR(__xludf.DUMMYFUNCTION("""COMPUTED_VALUE"""),"Yes")</f>
        <v>Yes</v>
      </c>
      <c r="M384" s="5" t="str">
        <f ca="1">IFERROR(__xludf.DUMMYFUNCTION("""COMPUTED_VALUE"""),"Yes")</f>
        <v>Yes</v>
      </c>
      <c r="N384" s="5" t="str">
        <f ca="1">IFERROR(__xludf.DUMMYFUNCTION("""COMPUTED_VALUE"""),"Yes")</f>
        <v>Yes</v>
      </c>
      <c r="O384" s="5" t="str">
        <f ca="1">IFERROR(__xludf.DUMMYFUNCTION("""COMPUTED_VALUE"""),"Yes")</f>
        <v>Yes</v>
      </c>
      <c r="P384" s="5" t="str">
        <f ca="1">IFERROR(__xludf.DUMMYFUNCTION("""COMPUTED_VALUE"""),"Yes")</f>
        <v>Yes</v>
      </c>
      <c r="Q384" s="5" t="str">
        <f ca="1">IFERROR(__xludf.DUMMYFUNCTION("""COMPUTED_VALUE"""),"Yes")</f>
        <v>Yes</v>
      </c>
      <c r="R384" s="5" t="str">
        <f ca="1">IFERROR(__xludf.DUMMYFUNCTION("""COMPUTED_VALUE"""),"No")</f>
        <v>No</v>
      </c>
      <c r="S384" s="5" t="str">
        <f ca="1">IFERROR(__xludf.DUMMYFUNCTION("""COMPUTED_VALUE"""),"No")</f>
        <v>No</v>
      </c>
      <c r="T384" s="5" t="str">
        <f ca="1">IFERROR(__xludf.DUMMYFUNCTION("""COMPUTED_VALUE"""),"No")</f>
        <v>No</v>
      </c>
      <c r="U384" s="5" t="str">
        <f ca="1">IFERROR(__xludf.DUMMYFUNCTION("""COMPUTED_VALUE"""),"No")</f>
        <v>No</v>
      </c>
      <c r="V384" s="5" t="str">
        <f ca="1">IFERROR(__xludf.DUMMYFUNCTION("""COMPUTED_VALUE"""),"No")</f>
        <v>No</v>
      </c>
      <c r="W384" s="5" t="str">
        <f ca="1">IFERROR(__xludf.DUMMYFUNCTION("""COMPUTED_VALUE"""),"No")</f>
        <v>No</v>
      </c>
      <c r="X384" s="5" t="str">
        <f ca="1">IFERROR(__xludf.DUMMYFUNCTION("""COMPUTED_VALUE"""),"No")</f>
        <v>No</v>
      </c>
      <c r="Y384" s="5" t="str">
        <f ca="1">IFERROR(__xludf.DUMMYFUNCTION("""COMPUTED_VALUE"""),"No")</f>
        <v>No</v>
      </c>
      <c r="Z384" s="5" t="str">
        <f ca="1">IFERROR(__xludf.DUMMYFUNCTION("""COMPUTED_VALUE"""),"No")</f>
        <v>No</v>
      </c>
      <c r="AA384" s="5" t="str">
        <f ca="1">IFERROR(__xludf.DUMMYFUNCTION("""COMPUTED_VALUE"""),"No")</f>
        <v>No</v>
      </c>
      <c r="AB384" s="5" t="str">
        <f ca="1">IFERROR(__xludf.DUMMYFUNCTION("""COMPUTED_VALUE"""),"Yes")</f>
        <v>Yes</v>
      </c>
      <c r="AC384" s="5" t="str">
        <f ca="1">IFERROR(__xludf.DUMMYFUNCTION("""COMPUTED_VALUE"""),"No")</f>
        <v>No</v>
      </c>
    </row>
    <row r="385" spans="1:29" x14ac:dyDescent="0.25">
      <c r="A385" s="5" t="str">
        <f ca="1">IFERROR(__xludf.DUMMYFUNCTION("""COMPUTED_VALUE"""),"UnicornHitLineDice")</f>
        <v>UnicornHitLineDice</v>
      </c>
      <c r="B38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85" s="5" t="str">
        <f ca="1">IFERROR(__xludf.DUMMYFUNCTION("""COMPUTED_VALUE"""),"Yes")</f>
        <v>Yes</v>
      </c>
      <c r="D385" s="5" t="str">
        <f ca="1">IFERROR(__xludf.DUMMYFUNCTION("""COMPUTED_VALUE"""),"Yes")</f>
        <v>Yes</v>
      </c>
      <c r="E385" s="5" t="str">
        <f ca="1">IFERROR(__xludf.DUMMYFUNCTION("""COMPUTED_VALUE"""),"Yes")</f>
        <v>Yes</v>
      </c>
      <c r="F385" s="5" t="str">
        <f ca="1">IFERROR(__xludf.DUMMYFUNCTION("""COMPUTED_VALUE"""),"No")</f>
        <v>No</v>
      </c>
      <c r="G385" s="5" t="str">
        <f ca="1">IFERROR(__xludf.DUMMYFUNCTION("""COMPUTED_VALUE"""),"No")</f>
        <v>No</v>
      </c>
      <c r="H385" s="5" t="str">
        <f ca="1">IFERROR(__xludf.DUMMYFUNCTION("""COMPUTED_VALUE"""),"No")</f>
        <v>No</v>
      </c>
      <c r="I385" s="5" t="str">
        <f ca="1">IFERROR(__xludf.DUMMYFUNCTION("""COMPUTED_VALUE"""),"No")</f>
        <v>No</v>
      </c>
      <c r="J385" s="5" t="str">
        <f ca="1">IFERROR(__xludf.DUMMYFUNCTION("""COMPUTED_VALUE"""),"No")</f>
        <v>No</v>
      </c>
      <c r="K385" s="5" t="str">
        <f ca="1">IFERROR(__xludf.DUMMYFUNCTION("""COMPUTED_VALUE"""),"Yes")</f>
        <v>Yes</v>
      </c>
      <c r="L385" s="5" t="str">
        <f ca="1">IFERROR(__xludf.DUMMYFUNCTION("""COMPUTED_VALUE"""),"Yes")</f>
        <v>Yes</v>
      </c>
      <c r="M385" s="5" t="str">
        <f ca="1">IFERROR(__xludf.DUMMYFUNCTION("""COMPUTED_VALUE"""),"Yes")</f>
        <v>Yes</v>
      </c>
      <c r="N385" s="5" t="str">
        <f ca="1">IFERROR(__xludf.DUMMYFUNCTION("""COMPUTED_VALUE"""),"Yes")</f>
        <v>Yes</v>
      </c>
      <c r="O385" s="5" t="str">
        <f ca="1">IFERROR(__xludf.DUMMYFUNCTION("""COMPUTED_VALUE"""),"Yes")</f>
        <v>Yes</v>
      </c>
      <c r="P385" s="5" t="str">
        <f ca="1">IFERROR(__xludf.DUMMYFUNCTION("""COMPUTED_VALUE"""),"No")</f>
        <v>No</v>
      </c>
      <c r="Q385" s="5" t="str">
        <f ca="1">IFERROR(__xludf.DUMMYFUNCTION("""COMPUTED_VALUE"""),"Yes")</f>
        <v>Yes</v>
      </c>
      <c r="R385" s="5" t="str">
        <f ca="1">IFERROR(__xludf.DUMMYFUNCTION("""COMPUTED_VALUE"""),"No")</f>
        <v>No</v>
      </c>
      <c r="S385" s="5" t="str">
        <f ca="1">IFERROR(__xludf.DUMMYFUNCTION("""COMPUTED_VALUE"""),"No")</f>
        <v>No</v>
      </c>
      <c r="T385" s="5" t="str">
        <f ca="1">IFERROR(__xludf.DUMMYFUNCTION("""COMPUTED_VALUE"""),"No")</f>
        <v>No</v>
      </c>
      <c r="U385" s="5" t="str">
        <f ca="1">IFERROR(__xludf.DUMMYFUNCTION("""COMPUTED_VALUE"""),"No")</f>
        <v>No</v>
      </c>
      <c r="V385" s="5"/>
      <c r="W385" s="5"/>
      <c r="X385" s="5"/>
      <c r="Y385" s="5"/>
      <c r="Z385" s="5" t="str">
        <f ca="1">IFERROR(__xludf.DUMMYFUNCTION("""COMPUTED_VALUE"""),"No")</f>
        <v>No</v>
      </c>
      <c r="AA385" s="5"/>
      <c r="AB385" s="5"/>
      <c r="AC385" s="5"/>
    </row>
    <row r="386" spans="1:29" x14ac:dyDescent="0.25">
      <c r="A386" s="5" t="str">
        <f ca="1">IFERROR(__xludf.DUMMYFUNCTION("""COMPUTED_VALUE"""),"PlayNetBookOfAmun")</f>
        <v>PlayNetBookOfAmun</v>
      </c>
      <c r="B38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6" s="5" t="str">
        <f ca="1">IFERROR(__xludf.DUMMYFUNCTION("""COMPUTED_VALUE"""),"Yes")</f>
        <v>Yes</v>
      </c>
      <c r="D386" s="5" t="str">
        <f ca="1">IFERROR(__xludf.DUMMYFUNCTION("""COMPUTED_VALUE"""),"Yes")</f>
        <v>Yes</v>
      </c>
      <c r="E386" s="5" t="str">
        <f ca="1">IFERROR(__xludf.DUMMYFUNCTION("""COMPUTED_VALUE"""),"Yes")</f>
        <v>Yes</v>
      </c>
      <c r="F386" s="5" t="str">
        <f ca="1">IFERROR(__xludf.DUMMYFUNCTION("""COMPUTED_VALUE"""),"Yes")</f>
        <v>Yes</v>
      </c>
      <c r="G386" s="5" t="str">
        <f ca="1">IFERROR(__xludf.DUMMYFUNCTION("""COMPUTED_VALUE"""),"Yes")</f>
        <v>Yes</v>
      </c>
      <c r="H386" s="5" t="str">
        <f ca="1">IFERROR(__xludf.DUMMYFUNCTION("""COMPUTED_VALUE"""),"Yes")</f>
        <v>Yes</v>
      </c>
      <c r="I386" s="5" t="str">
        <f ca="1">IFERROR(__xludf.DUMMYFUNCTION("""COMPUTED_VALUE"""),"Yes")</f>
        <v>Yes</v>
      </c>
      <c r="J386" s="5" t="str">
        <f ca="1">IFERROR(__xludf.DUMMYFUNCTION("""COMPUTED_VALUE"""),"Yes")</f>
        <v>Yes</v>
      </c>
      <c r="K386" s="5" t="str">
        <f ca="1">IFERROR(__xludf.DUMMYFUNCTION("""COMPUTED_VALUE"""),"Yes")</f>
        <v>Yes</v>
      </c>
      <c r="L386" s="5" t="str">
        <f ca="1">IFERROR(__xludf.DUMMYFUNCTION("""COMPUTED_VALUE"""),"Yes")</f>
        <v>Yes</v>
      </c>
      <c r="M386" s="5" t="str">
        <f ca="1">IFERROR(__xludf.DUMMYFUNCTION("""COMPUTED_VALUE"""),"Yes")</f>
        <v>Yes</v>
      </c>
      <c r="N386" s="5" t="str">
        <f ca="1">IFERROR(__xludf.DUMMYFUNCTION("""COMPUTED_VALUE"""),"Yes")</f>
        <v>Yes</v>
      </c>
      <c r="O386" s="5" t="str">
        <f ca="1">IFERROR(__xludf.DUMMYFUNCTION("""COMPUTED_VALUE"""),"Yes")</f>
        <v>Yes</v>
      </c>
      <c r="P386" s="5" t="str">
        <f ca="1">IFERROR(__xludf.DUMMYFUNCTION("""COMPUTED_VALUE"""),"Yes")</f>
        <v>Yes</v>
      </c>
      <c r="Q386" s="5" t="str">
        <f ca="1">IFERROR(__xludf.DUMMYFUNCTION("""COMPUTED_VALUE"""),"Yes")</f>
        <v>Yes</v>
      </c>
      <c r="R386" s="5" t="str">
        <f ca="1">IFERROR(__xludf.DUMMYFUNCTION("""COMPUTED_VALUE"""),"No")</f>
        <v>No</v>
      </c>
      <c r="S386" s="5" t="str">
        <f ca="1">IFERROR(__xludf.DUMMYFUNCTION("""COMPUTED_VALUE"""),"No")</f>
        <v>No</v>
      </c>
      <c r="T386" s="5" t="str">
        <f ca="1">IFERROR(__xludf.DUMMYFUNCTION("""COMPUTED_VALUE"""),"No")</f>
        <v>No</v>
      </c>
      <c r="U386" s="5" t="str">
        <f ca="1">IFERROR(__xludf.DUMMYFUNCTION("""COMPUTED_VALUE"""),"No")</f>
        <v>No</v>
      </c>
      <c r="V386" s="5"/>
      <c r="W386" s="5"/>
      <c r="X386" s="5"/>
      <c r="Y386" s="5"/>
      <c r="Z386" s="5" t="str">
        <f ca="1">IFERROR(__xludf.DUMMYFUNCTION("""COMPUTED_VALUE"""),"No")</f>
        <v>No</v>
      </c>
      <c r="AA386" s="5"/>
      <c r="AB386" s="5" t="str">
        <f ca="1">IFERROR(__xludf.DUMMYFUNCTION("""COMPUTED_VALUE"""),"Yes")</f>
        <v>Yes</v>
      </c>
      <c r="AC386" s="5"/>
    </row>
    <row r="387" spans="1:29" x14ac:dyDescent="0.25">
      <c r="A387" s="5" t="str">
        <f ca="1">IFERROR(__xludf.DUMMYFUNCTION("""COMPUTED_VALUE"""),"Redstone81DoubleMagic")</f>
        <v>Redstone81DoubleMagic</v>
      </c>
      <c r="B38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87" s="5" t="str">
        <f ca="1">IFERROR(__xludf.DUMMYFUNCTION("""COMPUTED_VALUE"""),"Yes")</f>
        <v>Yes</v>
      </c>
      <c r="D387" s="5" t="str">
        <f ca="1">IFERROR(__xludf.DUMMYFUNCTION("""COMPUTED_VALUE"""),"Yes")</f>
        <v>Yes</v>
      </c>
      <c r="E387" s="5" t="str">
        <f ca="1">IFERROR(__xludf.DUMMYFUNCTION("""COMPUTED_VALUE"""),"Yes")</f>
        <v>Yes</v>
      </c>
      <c r="F387" s="5" t="str">
        <f ca="1">IFERROR(__xludf.DUMMYFUNCTION("""COMPUTED_VALUE"""),"No")</f>
        <v>No</v>
      </c>
      <c r="G387" s="5" t="str">
        <f ca="1">IFERROR(__xludf.DUMMYFUNCTION("""COMPUTED_VALUE"""),"No")</f>
        <v>No</v>
      </c>
      <c r="H387" s="5" t="str">
        <f ca="1">IFERROR(__xludf.DUMMYFUNCTION("""COMPUTED_VALUE"""),"No")</f>
        <v>No</v>
      </c>
      <c r="I387" s="5" t="str">
        <f ca="1">IFERROR(__xludf.DUMMYFUNCTION("""COMPUTED_VALUE"""),"No")</f>
        <v>No</v>
      </c>
      <c r="J387" s="5" t="str">
        <f ca="1">IFERROR(__xludf.DUMMYFUNCTION("""COMPUTED_VALUE"""),"No")</f>
        <v>No</v>
      </c>
      <c r="K387" s="5" t="str">
        <f ca="1">IFERROR(__xludf.DUMMYFUNCTION("""COMPUTED_VALUE"""),"Yes")</f>
        <v>Yes</v>
      </c>
      <c r="L387" s="5" t="str">
        <f ca="1">IFERROR(__xludf.DUMMYFUNCTION("""COMPUTED_VALUE"""),"Yes")</f>
        <v>Yes</v>
      </c>
      <c r="M387" s="5" t="str">
        <f ca="1">IFERROR(__xludf.DUMMYFUNCTION("""COMPUTED_VALUE"""),"Yes")</f>
        <v>Yes</v>
      </c>
      <c r="N387" s="5" t="str">
        <f ca="1">IFERROR(__xludf.DUMMYFUNCTION("""COMPUTED_VALUE"""),"Yes")</f>
        <v>Yes</v>
      </c>
      <c r="O387" s="5" t="str">
        <f ca="1">IFERROR(__xludf.DUMMYFUNCTION("""COMPUTED_VALUE"""),"Yes")</f>
        <v>Yes</v>
      </c>
      <c r="P387" s="5" t="str">
        <f ca="1">IFERROR(__xludf.DUMMYFUNCTION("""COMPUTED_VALUE"""),"No")</f>
        <v>No</v>
      </c>
      <c r="Q387" s="5" t="str">
        <f ca="1">IFERROR(__xludf.DUMMYFUNCTION("""COMPUTED_VALUE"""),"Yes")</f>
        <v>Yes</v>
      </c>
      <c r="R387" s="5" t="str">
        <f ca="1">IFERROR(__xludf.DUMMYFUNCTION("""COMPUTED_VALUE"""),"No")</f>
        <v>No</v>
      </c>
      <c r="S387" s="5" t="str">
        <f ca="1">IFERROR(__xludf.DUMMYFUNCTION("""COMPUTED_VALUE"""),"No")</f>
        <v>No</v>
      </c>
      <c r="T387" s="5" t="str">
        <f ca="1">IFERROR(__xludf.DUMMYFUNCTION("""COMPUTED_VALUE"""),"No")</f>
        <v>No</v>
      </c>
      <c r="U387" s="5" t="str">
        <f ca="1">IFERROR(__xludf.DUMMYFUNCTION("""COMPUTED_VALUE"""),"No")</f>
        <v>No</v>
      </c>
      <c r="V387" s="5"/>
      <c r="W387" s="5"/>
      <c r="X387" s="5" t="str">
        <f ca="1">IFERROR(__xludf.DUMMYFUNCTION("""COMPUTED_VALUE"""),"No")</f>
        <v>No</v>
      </c>
      <c r="Y387" s="5"/>
      <c r="Z387" s="5" t="str">
        <f ca="1">IFERROR(__xludf.DUMMYFUNCTION("""COMPUTED_VALUE"""),"No")</f>
        <v>No</v>
      </c>
      <c r="AA387" s="5"/>
      <c r="AB387" s="5" t="str">
        <f ca="1">IFERROR(__xludf.DUMMYFUNCTION("""COMPUTED_VALUE"""),"No")</f>
        <v>No</v>
      </c>
      <c r="AC387" s="5" t="str">
        <f ca="1">IFERROR(__xludf.DUMMYFUNCTION("""COMPUTED_VALUE"""),"No")</f>
        <v>No</v>
      </c>
    </row>
    <row r="388" spans="1:29" x14ac:dyDescent="0.25">
      <c r="A388" s="5" t="str">
        <f ca="1">IFERROR(__xludf.DUMMYFUNCTION("""COMPUTED_VALUE"""),"UnicornDynamiteRun")</f>
        <v>UnicornDynamiteRun</v>
      </c>
      <c r="B388" s="5" t="str">
        <f ca="1">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C388" s="5" t="str">
        <f ca="1">IFERROR(__xludf.DUMMYFUNCTION("""COMPUTED_VALUE"""),"Yes")</f>
        <v>Yes</v>
      </c>
      <c r="D388" s="5" t="str">
        <f ca="1">IFERROR(__xludf.DUMMYFUNCTION("""COMPUTED_VALUE"""),"Yes")</f>
        <v>Yes</v>
      </c>
      <c r="E388" s="5" t="str">
        <f ca="1">IFERROR(__xludf.DUMMYFUNCTION("""COMPUTED_VALUE"""),"No")</f>
        <v>No</v>
      </c>
      <c r="F388" s="5" t="str">
        <f ca="1">IFERROR(__xludf.DUMMYFUNCTION("""COMPUTED_VALUE"""),"No")</f>
        <v>No</v>
      </c>
      <c r="G388" s="5" t="str">
        <f ca="1">IFERROR(__xludf.DUMMYFUNCTION("""COMPUTED_VALUE"""),"Yes")</f>
        <v>Yes</v>
      </c>
      <c r="H388" s="5" t="str">
        <f ca="1">IFERROR(__xludf.DUMMYFUNCTION("""COMPUTED_VALUE"""),"Yes")</f>
        <v>Yes</v>
      </c>
      <c r="I388" s="5" t="str">
        <f ca="1">IFERROR(__xludf.DUMMYFUNCTION("""COMPUTED_VALUE"""),"Yes")</f>
        <v>Yes</v>
      </c>
      <c r="J388" s="5" t="str">
        <f ca="1">IFERROR(__xludf.DUMMYFUNCTION("""COMPUTED_VALUE"""),"Yes")</f>
        <v>Yes</v>
      </c>
      <c r="K388" s="5" t="str">
        <f ca="1">IFERROR(__xludf.DUMMYFUNCTION("""COMPUTED_VALUE"""),"Yes")</f>
        <v>Yes</v>
      </c>
      <c r="L388" s="5" t="str">
        <f ca="1">IFERROR(__xludf.DUMMYFUNCTION("""COMPUTED_VALUE"""),"Yes")</f>
        <v>Yes</v>
      </c>
      <c r="M388" s="5" t="str">
        <f ca="1">IFERROR(__xludf.DUMMYFUNCTION("""COMPUTED_VALUE"""),"Yes")</f>
        <v>Yes</v>
      </c>
      <c r="N388" s="5" t="str">
        <f ca="1">IFERROR(__xludf.DUMMYFUNCTION("""COMPUTED_VALUE"""),"Yes")</f>
        <v>Yes</v>
      </c>
      <c r="O388" s="5" t="str">
        <f ca="1">IFERROR(__xludf.DUMMYFUNCTION("""COMPUTED_VALUE"""),"Yes")</f>
        <v>Yes</v>
      </c>
      <c r="P388" s="5" t="str">
        <f ca="1">IFERROR(__xludf.DUMMYFUNCTION("""COMPUTED_VALUE"""),"Yes")</f>
        <v>Yes</v>
      </c>
      <c r="Q388" s="5" t="str">
        <f ca="1">IFERROR(__xludf.DUMMYFUNCTION("""COMPUTED_VALUE"""),"Yes")</f>
        <v>Yes</v>
      </c>
      <c r="R388" s="5" t="str">
        <f ca="1">IFERROR(__xludf.DUMMYFUNCTION("""COMPUTED_VALUE"""),"No")</f>
        <v>No</v>
      </c>
      <c r="S388" s="5" t="str">
        <f ca="1">IFERROR(__xludf.DUMMYFUNCTION("""COMPUTED_VALUE"""),"No")</f>
        <v>No</v>
      </c>
      <c r="T388" s="5" t="str">
        <f ca="1">IFERROR(__xludf.DUMMYFUNCTION("""COMPUTED_VALUE"""),"No")</f>
        <v>No</v>
      </c>
      <c r="U388" s="5" t="str">
        <f ca="1">IFERROR(__xludf.DUMMYFUNCTION("""COMPUTED_VALUE"""),"No")</f>
        <v>No</v>
      </c>
      <c r="V388" s="5" t="str">
        <f ca="1">IFERROR(__xludf.DUMMYFUNCTION("""COMPUTED_VALUE"""),"No")</f>
        <v>No</v>
      </c>
      <c r="W388" s="5" t="str">
        <f ca="1">IFERROR(__xludf.DUMMYFUNCTION("""COMPUTED_VALUE"""),"No")</f>
        <v>No</v>
      </c>
      <c r="X388" s="5" t="str">
        <f ca="1">IFERROR(__xludf.DUMMYFUNCTION("""COMPUTED_VALUE"""),"No")</f>
        <v>No</v>
      </c>
      <c r="Y388" s="5" t="str">
        <f ca="1">IFERROR(__xludf.DUMMYFUNCTION("""COMPUTED_VALUE"""),"No")</f>
        <v>No</v>
      </c>
      <c r="Z388" s="5" t="str">
        <f ca="1">IFERROR(__xludf.DUMMYFUNCTION("""COMPUTED_VALUE"""),"No")</f>
        <v>No</v>
      </c>
      <c r="AA388" s="5" t="str">
        <f ca="1">IFERROR(__xludf.DUMMYFUNCTION("""COMPUTED_VALUE"""),"No")</f>
        <v>No</v>
      </c>
      <c r="AB388" s="5" t="str">
        <f ca="1">IFERROR(__xludf.DUMMYFUNCTION("""COMPUTED_VALUE"""),"Yes")</f>
        <v>Yes</v>
      </c>
      <c r="AC388" s="5" t="str">
        <f ca="1">IFERROR(__xludf.DUMMYFUNCTION("""COMPUTED_VALUE"""),"No")</f>
        <v>No</v>
      </c>
    </row>
    <row r="389" spans="1:29" x14ac:dyDescent="0.25">
      <c r="A389" s="5" t="str">
        <f ca="1">IFERROR(__xludf.DUMMYFUNCTION("""COMPUTED_VALUE"""),"RedstoneOnlyAnime")</f>
        <v>RedstoneOnlyAnime</v>
      </c>
      <c r="B3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9" s="5" t="str">
        <f ca="1">IFERROR(__xludf.DUMMYFUNCTION("""COMPUTED_VALUE"""),"Yes")</f>
        <v>Yes</v>
      </c>
      <c r="D389" s="5" t="str">
        <f ca="1">IFERROR(__xludf.DUMMYFUNCTION("""COMPUTED_VALUE"""),"Yes")</f>
        <v>Yes</v>
      </c>
      <c r="E389" s="5" t="str">
        <f ca="1">IFERROR(__xludf.DUMMYFUNCTION("""COMPUTED_VALUE"""),"Yes")</f>
        <v>Yes</v>
      </c>
      <c r="F389" s="5" t="str">
        <f ca="1">IFERROR(__xludf.DUMMYFUNCTION("""COMPUTED_VALUE"""),"Yes")</f>
        <v>Yes</v>
      </c>
      <c r="G389" s="5" t="str">
        <f ca="1">IFERROR(__xludf.DUMMYFUNCTION("""COMPUTED_VALUE"""),"Yes")</f>
        <v>Yes</v>
      </c>
      <c r="H389" s="5" t="str">
        <f ca="1">IFERROR(__xludf.DUMMYFUNCTION("""COMPUTED_VALUE"""),"Yes")</f>
        <v>Yes</v>
      </c>
      <c r="I389" s="5" t="str">
        <f ca="1">IFERROR(__xludf.DUMMYFUNCTION("""COMPUTED_VALUE"""),"Yes")</f>
        <v>Yes</v>
      </c>
      <c r="J389" s="5" t="str">
        <f ca="1">IFERROR(__xludf.DUMMYFUNCTION("""COMPUTED_VALUE"""),"Yes")</f>
        <v>Yes</v>
      </c>
      <c r="K389" s="5" t="str">
        <f ca="1">IFERROR(__xludf.DUMMYFUNCTION("""COMPUTED_VALUE"""),"Yes")</f>
        <v>Yes</v>
      </c>
      <c r="L389" s="5" t="str">
        <f ca="1">IFERROR(__xludf.DUMMYFUNCTION("""COMPUTED_VALUE"""),"Yes")</f>
        <v>Yes</v>
      </c>
      <c r="M389" s="5" t="str">
        <f ca="1">IFERROR(__xludf.DUMMYFUNCTION("""COMPUTED_VALUE"""),"Yes")</f>
        <v>Yes</v>
      </c>
      <c r="N389" s="5" t="str">
        <f ca="1">IFERROR(__xludf.DUMMYFUNCTION("""COMPUTED_VALUE"""),"Yes")</f>
        <v>Yes</v>
      </c>
      <c r="O389" s="5" t="str">
        <f ca="1">IFERROR(__xludf.DUMMYFUNCTION("""COMPUTED_VALUE"""),"Yes")</f>
        <v>Yes</v>
      </c>
      <c r="P389" s="5" t="str">
        <f ca="1">IFERROR(__xludf.DUMMYFUNCTION("""COMPUTED_VALUE"""),"Yes")</f>
        <v>Yes</v>
      </c>
      <c r="Q389" s="5" t="str">
        <f ca="1">IFERROR(__xludf.DUMMYFUNCTION("""COMPUTED_VALUE"""),"Yes")</f>
        <v>Yes</v>
      </c>
      <c r="R389" s="5" t="str">
        <f ca="1">IFERROR(__xludf.DUMMYFUNCTION("""COMPUTED_VALUE"""),"Yes")</f>
        <v>Yes</v>
      </c>
      <c r="S389" s="5" t="str">
        <f ca="1">IFERROR(__xludf.DUMMYFUNCTION("""COMPUTED_VALUE"""),"Yes")</f>
        <v>Yes</v>
      </c>
      <c r="T389" s="5" t="str">
        <f ca="1">IFERROR(__xludf.DUMMYFUNCTION("""COMPUTED_VALUE"""),"Yes")</f>
        <v>Yes</v>
      </c>
      <c r="U389" s="5" t="str">
        <f ca="1">IFERROR(__xludf.DUMMYFUNCTION("""COMPUTED_VALUE"""),"Yes")</f>
        <v>Yes</v>
      </c>
      <c r="V389" s="5"/>
      <c r="W389" s="5"/>
      <c r="X389" s="5"/>
      <c r="Y389" s="5"/>
      <c r="Z389" s="5" t="str">
        <f ca="1">IFERROR(__xludf.DUMMYFUNCTION("""COMPUTED_VALUE"""),"Yes")</f>
        <v>Yes</v>
      </c>
      <c r="AA389" s="5"/>
      <c r="AB389" s="5"/>
      <c r="AC389" s="5"/>
    </row>
    <row r="390" spans="1:29" x14ac:dyDescent="0.25">
      <c r="A390" s="5" t="str">
        <f ca="1">IFERROR(__xludf.DUMMYFUNCTION("""COMPUTED_VALUE"""),"Redstone27DoubleFruit")</f>
        <v>Redstone27DoubleFruit</v>
      </c>
      <c r="B39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90" s="5" t="str">
        <f ca="1">IFERROR(__xludf.DUMMYFUNCTION("""COMPUTED_VALUE"""),"Yes")</f>
        <v>Yes</v>
      </c>
      <c r="D390" s="5" t="str">
        <f ca="1">IFERROR(__xludf.DUMMYFUNCTION("""COMPUTED_VALUE"""),"Yes")</f>
        <v>Yes</v>
      </c>
      <c r="E390" s="5" t="str">
        <f ca="1">IFERROR(__xludf.DUMMYFUNCTION("""COMPUTED_VALUE"""),"No")</f>
        <v>No</v>
      </c>
      <c r="F390" s="5" t="str">
        <f ca="1">IFERROR(__xludf.DUMMYFUNCTION("""COMPUTED_VALUE"""),"Yes")</f>
        <v>Yes</v>
      </c>
      <c r="G390" s="5" t="str">
        <f ca="1">IFERROR(__xludf.DUMMYFUNCTION("""COMPUTED_VALUE"""),"Yes")</f>
        <v>Yes</v>
      </c>
      <c r="H390" s="5" t="str">
        <f ca="1">IFERROR(__xludf.DUMMYFUNCTION("""COMPUTED_VALUE"""),"Yes")</f>
        <v>Yes</v>
      </c>
      <c r="I390" s="5" t="str">
        <f ca="1">IFERROR(__xludf.DUMMYFUNCTION("""COMPUTED_VALUE"""),"Yes")</f>
        <v>Yes</v>
      </c>
      <c r="J390" s="5" t="str">
        <f ca="1">IFERROR(__xludf.DUMMYFUNCTION("""COMPUTED_VALUE"""),"Yes")</f>
        <v>Yes</v>
      </c>
      <c r="K390" s="5" t="str">
        <f ca="1">IFERROR(__xludf.DUMMYFUNCTION("""COMPUTED_VALUE"""),"Yes")</f>
        <v>Yes</v>
      </c>
      <c r="L390" s="5" t="str">
        <f ca="1">IFERROR(__xludf.DUMMYFUNCTION("""COMPUTED_VALUE"""),"Yes")</f>
        <v>Yes</v>
      </c>
      <c r="M390" s="5" t="str">
        <f ca="1">IFERROR(__xludf.DUMMYFUNCTION("""COMPUTED_VALUE"""),"Yes")</f>
        <v>Yes</v>
      </c>
      <c r="N390" s="5" t="str">
        <f ca="1">IFERROR(__xludf.DUMMYFUNCTION("""COMPUTED_VALUE"""),"Yes")</f>
        <v>Yes</v>
      </c>
      <c r="O390" s="5" t="str">
        <f ca="1">IFERROR(__xludf.DUMMYFUNCTION("""COMPUTED_VALUE"""),"Yes")</f>
        <v>Yes</v>
      </c>
      <c r="P390" s="5" t="str">
        <f ca="1">IFERROR(__xludf.DUMMYFUNCTION("""COMPUTED_VALUE"""),"Yes")</f>
        <v>Yes</v>
      </c>
      <c r="Q390" s="5" t="str">
        <f ca="1">IFERROR(__xludf.DUMMYFUNCTION("""COMPUTED_VALUE"""),"Yes")</f>
        <v>Yes</v>
      </c>
      <c r="R390" s="5" t="str">
        <f ca="1">IFERROR(__xludf.DUMMYFUNCTION("""COMPUTED_VALUE"""),"No")</f>
        <v>No</v>
      </c>
      <c r="S390" s="5" t="str">
        <f ca="1">IFERROR(__xludf.DUMMYFUNCTION("""COMPUTED_VALUE"""),"No")</f>
        <v>No</v>
      </c>
      <c r="T390" s="5" t="str">
        <f ca="1">IFERROR(__xludf.DUMMYFUNCTION("""COMPUTED_VALUE"""),"No")</f>
        <v>No</v>
      </c>
      <c r="U390" s="5" t="str">
        <f ca="1">IFERROR(__xludf.DUMMYFUNCTION("""COMPUTED_VALUE"""),"No")</f>
        <v>No</v>
      </c>
      <c r="V390" s="5" t="str">
        <f ca="1">IFERROR(__xludf.DUMMYFUNCTION("""COMPUTED_VALUE"""),"No")</f>
        <v>No</v>
      </c>
      <c r="W390" s="5" t="str">
        <f ca="1">IFERROR(__xludf.DUMMYFUNCTION("""COMPUTED_VALUE"""),"No")</f>
        <v>No</v>
      </c>
      <c r="X390" s="5" t="str">
        <f ca="1">IFERROR(__xludf.DUMMYFUNCTION("""COMPUTED_VALUE"""),"No")</f>
        <v>No</v>
      </c>
      <c r="Y390" s="5" t="str">
        <f ca="1">IFERROR(__xludf.DUMMYFUNCTION("""COMPUTED_VALUE"""),"No")</f>
        <v>No</v>
      </c>
      <c r="Z390" s="5" t="str">
        <f ca="1">IFERROR(__xludf.DUMMYFUNCTION("""COMPUTED_VALUE"""),"No")</f>
        <v>No</v>
      </c>
      <c r="AA390" s="5" t="str">
        <f ca="1">IFERROR(__xludf.DUMMYFUNCTION("""COMPUTED_VALUE"""),"No")</f>
        <v>No</v>
      </c>
      <c r="AB390" s="5" t="str">
        <f ca="1">IFERROR(__xludf.DUMMYFUNCTION("""COMPUTED_VALUE"""),"Yes")</f>
        <v>Yes</v>
      </c>
      <c r="AC390" s="5" t="str">
        <f ca="1">IFERROR(__xludf.DUMMYFUNCTION("""COMPUTED_VALUE"""),"No")</f>
        <v>No</v>
      </c>
    </row>
    <row r="391" spans="1:29" x14ac:dyDescent="0.25">
      <c r="A391" s="5" t="str">
        <f ca="1">IFERROR(__xludf.DUMMYFUNCTION("""COMPUTED_VALUE"""),"PlayNet27WildStacksXmas")</f>
        <v>PlayNet27WildStacksXmas</v>
      </c>
      <c r="B39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91" s="5" t="str">
        <f ca="1">IFERROR(__xludf.DUMMYFUNCTION("""COMPUTED_VALUE"""),"Yes")</f>
        <v>Yes</v>
      </c>
      <c r="D391" s="5" t="str">
        <f ca="1">IFERROR(__xludf.DUMMYFUNCTION("""COMPUTED_VALUE"""),"Yes")</f>
        <v>Yes</v>
      </c>
      <c r="E391" s="5" t="str">
        <f ca="1">IFERROR(__xludf.DUMMYFUNCTION("""COMPUTED_VALUE"""),"Yes")</f>
        <v>Yes</v>
      </c>
      <c r="F391" s="5" t="str">
        <f ca="1">IFERROR(__xludf.DUMMYFUNCTION("""COMPUTED_VALUE"""),"Yes")</f>
        <v>Yes</v>
      </c>
      <c r="G391" s="5" t="str">
        <f ca="1">IFERROR(__xludf.DUMMYFUNCTION("""COMPUTED_VALUE"""),"Yes")</f>
        <v>Yes</v>
      </c>
      <c r="H391" s="5" t="str">
        <f ca="1">IFERROR(__xludf.DUMMYFUNCTION("""COMPUTED_VALUE"""),"Yes")</f>
        <v>Yes</v>
      </c>
      <c r="I391" s="5" t="str">
        <f ca="1">IFERROR(__xludf.DUMMYFUNCTION("""COMPUTED_VALUE"""),"Yes")</f>
        <v>Yes</v>
      </c>
      <c r="J391" s="5" t="str">
        <f ca="1">IFERROR(__xludf.DUMMYFUNCTION("""COMPUTED_VALUE"""),"Yes")</f>
        <v>Yes</v>
      </c>
      <c r="K391" s="5" t="str">
        <f ca="1">IFERROR(__xludf.DUMMYFUNCTION("""COMPUTED_VALUE"""),"Yes")</f>
        <v>Yes</v>
      </c>
      <c r="L391" s="5" t="str">
        <f ca="1">IFERROR(__xludf.DUMMYFUNCTION("""COMPUTED_VALUE"""),"Yes")</f>
        <v>Yes</v>
      </c>
      <c r="M391" s="5" t="str">
        <f ca="1">IFERROR(__xludf.DUMMYFUNCTION("""COMPUTED_VALUE"""),"Yes")</f>
        <v>Yes</v>
      </c>
      <c r="N391" s="5" t="str">
        <f ca="1">IFERROR(__xludf.DUMMYFUNCTION("""COMPUTED_VALUE"""),"Yes")</f>
        <v>Yes</v>
      </c>
      <c r="O391" s="5" t="str">
        <f ca="1">IFERROR(__xludf.DUMMYFUNCTION("""COMPUTED_VALUE"""),"Yes")</f>
        <v>Yes</v>
      </c>
      <c r="P391" s="5" t="str">
        <f ca="1">IFERROR(__xludf.DUMMYFUNCTION("""COMPUTED_VALUE"""),"Yes")</f>
        <v>Yes</v>
      </c>
      <c r="Q391" s="5" t="str">
        <f ca="1">IFERROR(__xludf.DUMMYFUNCTION("""COMPUTED_VALUE"""),"Yes")</f>
        <v>Yes</v>
      </c>
      <c r="R391" s="5" t="str">
        <f ca="1">IFERROR(__xludf.DUMMYFUNCTION("""COMPUTED_VALUE"""),"No")</f>
        <v>No</v>
      </c>
      <c r="S391" s="5" t="str">
        <f ca="1">IFERROR(__xludf.DUMMYFUNCTION("""COMPUTED_VALUE"""),"No")</f>
        <v>No</v>
      </c>
      <c r="T391" s="5" t="str">
        <f ca="1">IFERROR(__xludf.DUMMYFUNCTION("""COMPUTED_VALUE"""),"No")</f>
        <v>No</v>
      </c>
      <c r="U391" s="5" t="str">
        <f ca="1">IFERROR(__xludf.DUMMYFUNCTION("""COMPUTED_VALUE"""),"No")</f>
        <v>No</v>
      </c>
      <c r="V391" s="5" t="str">
        <f ca="1">IFERROR(__xludf.DUMMYFUNCTION("""COMPUTED_VALUE"""),"No")</f>
        <v>No</v>
      </c>
      <c r="W391" s="5" t="str">
        <f ca="1">IFERROR(__xludf.DUMMYFUNCTION("""COMPUTED_VALUE"""),"No")</f>
        <v>No</v>
      </c>
      <c r="X391" s="5" t="str">
        <f ca="1">IFERROR(__xludf.DUMMYFUNCTION("""COMPUTED_VALUE"""),"No")</f>
        <v>No</v>
      </c>
      <c r="Y391" s="5" t="str">
        <f ca="1">IFERROR(__xludf.DUMMYFUNCTION("""COMPUTED_VALUE"""),"No")</f>
        <v>No</v>
      </c>
      <c r="Z391" s="5" t="str">
        <f ca="1">IFERROR(__xludf.DUMMYFUNCTION("""COMPUTED_VALUE"""),"No")</f>
        <v>No</v>
      </c>
      <c r="AA391" s="5" t="str">
        <f ca="1">IFERROR(__xludf.DUMMYFUNCTION("""COMPUTED_VALUE"""),"No")</f>
        <v>No</v>
      </c>
      <c r="AB391" s="5" t="str">
        <f ca="1">IFERROR(__xludf.DUMMYFUNCTION("""COMPUTED_VALUE"""),"Yes")</f>
        <v>Yes</v>
      </c>
      <c r="AC391" s="5" t="str">
        <f ca="1">IFERROR(__xludf.DUMMYFUNCTION("""COMPUTED_VALUE"""),"No")</f>
        <v>No</v>
      </c>
    </row>
    <row r="392" spans="1:29" x14ac:dyDescent="0.25">
      <c r="A392" s="5" t="str">
        <f ca="1">IFERROR(__xludf.DUMMYFUNCTION("""COMPUTED_VALUE"""),"PlayNetMajesticCrown20Xmas")</f>
        <v>PlayNetMajesticCrown20Xmas</v>
      </c>
      <c r="B392" s="5" t="str">
        <f ca="1">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2" s="5" t="str">
        <f ca="1">IFERROR(__xludf.DUMMYFUNCTION("""COMPUTED_VALUE"""),"Yes")</f>
        <v>Yes</v>
      </c>
      <c r="D392" s="5" t="str">
        <f ca="1">IFERROR(__xludf.DUMMYFUNCTION("""COMPUTED_VALUE"""),"Yes")</f>
        <v>Yes</v>
      </c>
      <c r="E392" s="5" t="str">
        <f ca="1">IFERROR(__xludf.DUMMYFUNCTION("""COMPUTED_VALUE"""),"Yes")</f>
        <v>Yes</v>
      </c>
      <c r="F392" s="5" t="str">
        <f ca="1">IFERROR(__xludf.DUMMYFUNCTION("""COMPUTED_VALUE"""),"Yes")</f>
        <v>Yes</v>
      </c>
      <c r="G392" s="5" t="str">
        <f ca="1">IFERROR(__xludf.DUMMYFUNCTION("""COMPUTED_VALUE"""),"Yes")</f>
        <v>Yes</v>
      </c>
      <c r="H392" s="5" t="str">
        <f ca="1">IFERROR(__xludf.DUMMYFUNCTION("""COMPUTED_VALUE"""),"Yes")</f>
        <v>Yes</v>
      </c>
      <c r="I392" s="5" t="str">
        <f ca="1">IFERROR(__xludf.DUMMYFUNCTION("""COMPUTED_VALUE"""),"Yes")</f>
        <v>Yes</v>
      </c>
      <c r="J392" s="5" t="str">
        <f ca="1">IFERROR(__xludf.DUMMYFUNCTION("""COMPUTED_VALUE"""),"Yes")</f>
        <v>Yes</v>
      </c>
      <c r="K392" s="5" t="str">
        <f ca="1">IFERROR(__xludf.DUMMYFUNCTION("""COMPUTED_VALUE"""),"Yes")</f>
        <v>Yes</v>
      </c>
      <c r="L392" s="5" t="str">
        <f ca="1">IFERROR(__xludf.DUMMYFUNCTION("""COMPUTED_VALUE"""),"Yes")</f>
        <v>Yes</v>
      </c>
      <c r="M392" s="5" t="str">
        <f ca="1">IFERROR(__xludf.DUMMYFUNCTION("""COMPUTED_VALUE"""),"Yes")</f>
        <v>Yes</v>
      </c>
      <c r="N392" s="5" t="str">
        <f ca="1">IFERROR(__xludf.DUMMYFUNCTION("""COMPUTED_VALUE"""),"Yes")</f>
        <v>Yes</v>
      </c>
      <c r="O392" s="5" t="str">
        <f ca="1">IFERROR(__xludf.DUMMYFUNCTION("""COMPUTED_VALUE"""),"Yes")</f>
        <v>Yes</v>
      </c>
      <c r="P392" s="5" t="str">
        <f ca="1">IFERROR(__xludf.DUMMYFUNCTION("""COMPUTED_VALUE"""),"No")</f>
        <v>No</v>
      </c>
      <c r="Q392" s="5" t="str">
        <f ca="1">IFERROR(__xludf.DUMMYFUNCTION("""COMPUTED_VALUE"""),"Yes")</f>
        <v>Yes</v>
      </c>
      <c r="R392" s="5" t="str">
        <f ca="1">IFERROR(__xludf.DUMMYFUNCTION("""COMPUTED_VALUE"""),"No")</f>
        <v>No</v>
      </c>
      <c r="S392" s="5" t="str">
        <f ca="1">IFERROR(__xludf.DUMMYFUNCTION("""COMPUTED_VALUE"""),"No")</f>
        <v>No</v>
      </c>
      <c r="T392" s="5" t="str">
        <f ca="1">IFERROR(__xludf.DUMMYFUNCTION("""COMPUTED_VALUE"""),"No")</f>
        <v>No</v>
      </c>
      <c r="U392" s="5" t="str">
        <f ca="1">IFERROR(__xludf.DUMMYFUNCTION("""COMPUTED_VALUE"""),"No")</f>
        <v>No</v>
      </c>
      <c r="V392" s="5"/>
      <c r="W392" s="5"/>
      <c r="X392" s="5" t="str">
        <f ca="1">IFERROR(__xludf.DUMMYFUNCTION("""COMPUTED_VALUE"""),"No")</f>
        <v>No</v>
      </c>
      <c r="Y392" s="5"/>
      <c r="Z392" s="5" t="str">
        <f ca="1">IFERROR(__xludf.DUMMYFUNCTION("""COMPUTED_VALUE"""),"No")</f>
        <v>No</v>
      </c>
      <c r="AA392" s="5"/>
      <c r="AB392" s="5" t="str">
        <f ca="1">IFERROR(__xludf.DUMMYFUNCTION("""COMPUTED_VALUE"""),"Yes")</f>
        <v>Yes</v>
      </c>
      <c r="AC392" s="5" t="str">
        <f ca="1">IFERROR(__xludf.DUMMYFUNCTION("""COMPUTED_VALUE"""),"Yes")</f>
        <v>Yes</v>
      </c>
    </row>
    <row r="393" spans="1:29" x14ac:dyDescent="0.25">
      <c r="A393" s="5" t="str">
        <f ca="1">IFERROR(__xludf.DUMMYFUNCTION("""COMPUTED_VALUE"""),"PlayNetWildFortiesXmas")</f>
        <v>PlayNetWildFortiesXmas</v>
      </c>
      <c r="B393" s="5" t="str">
        <f ca="1">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3" s="5" t="str">
        <f ca="1">IFERROR(__xludf.DUMMYFUNCTION("""COMPUTED_VALUE"""),"Yes")</f>
        <v>Yes</v>
      </c>
      <c r="D393" s="5" t="str">
        <f ca="1">IFERROR(__xludf.DUMMYFUNCTION("""COMPUTED_VALUE"""),"Yes")</f>
        <v>Yes</v>
      </c>
      <c r="E393" s="5" t="str">
        <f ca="1">IFERROR(__xludf.DUMMYFUNCTION("""COMPUTED_VALUE"""),"Yes")</f>
        <v>Yes</v>
      </c>
      <c r="F393" s="5" t="str">
        <f ca="1">IFERROR(__xludf.DUMMYFUNCTION("""COMPUTED_VALUE"""),"Yes")</f>
        <v>Yes</v>
      </c>
      <c r="G393" s="5" t="str">
        <f ca="1">IFERROR(__xludf.DUMMYFUNCTION("""COMPUTED_VALUE"""),"Yes")</f>
        <v>Yes</v>
      </c>
      <c r="H393" s="5" t="str">
        <f ca="1">IFERROR(__xludf.DUMMYFUNCTION("""COMPUTED_VALUE"""),"Yes")</f>
        <v>Yes</v>
      </c>
      <c r="I393" s="5" t="str">
        <f ca="1">IFERROR(__xludf.DUMMYFUNCTION("""COMPUTED_VALUE"""),"Yes")</f>
        <v>Yes</v>
      </c>
      <c r="J393" s="5" t="str">
        <f ca="1">IFERROR(__xludf.DUMMYFUNCTION("""COMPUTED_VALUE"""),"Yes")</f>
        <v>Yes</v>
      </c>
      <c r="K393" s="5" t="str">
        <f ca="1">IFERROR(__xludf.DUMMYFUNCTION("""COMPUTED_VALUE"""),"Yes")</f>
        <v>Yes</v>
      </c>
      <c r="L393" s="5" t="str">
        <f ca="1">IFERROR(__xludf.DUMMYFUNCTION("""COMPUTED_VALUE"""),"Yes")</f>
        <v>Yes</v>
      </c>
      <c r="M393" s="5" t="str">
        <f ca="1">IFERROR(__xludf.DUMMYFUNCTION("""COMPUTED_VALUE"""),"Yes")</f>
        <v>Yes</v>
      </c>
      <c r="N393" s="5" t="str">
        <f ca="1">IFERROR(__xludf.DUMMYFUNCTION("""COMPUTED_VALUE"""),"Yes")</f>
        <v>Yes</v>
      </c>
      <c r="O393" s="5" t="str">
        <f ca="1">IFERROR(__xludf.DUMMYFUNCTION("""COMPUTED_VALUE"""),"Yes")</f>
        <v>Yes</v>
      </c>
      <c r="P393" s="5" t="str">
        <f ca="1">IFERROR(__xludf.DUMMYFUNCTION("""COMPUTED_VALUE"""),"No")</f>
        <v>No</v>
      </c>
      <c r="Q393" s="5" t="str">
        <f ca="1">IFERROR(__xludf.DUMMYFUNCTION("""COMPUTED_VALUE"""),"Yes")</f>
        <v>Yes</v>
      </c>
      <c r="R393" s="5" t="str">
        <f ca="1">IFERROR(__xludf.DUMMYFUNCTION("""COMPUTED_VALUE"""),"No")</f>
        <v>No</v>
      </c>
      <c r="S393" s="5" t="str">
        <f ca="1">IFERROR(__xludf.DUMMYFUNCTION("""COMPUTED_VALUE"""),"No")</f>
        <v>No</v>
      </c>
      <c r="T393" s="5" t="str">
        <f ca="1">IFERROR(__xludf.DUMMYFUNCTION("""COMPUTED_VALUE"""),"No")</f>
        <v>No</v>
      </c>
      <c r="U393" s="5" t="str">
        <f ca="1">IFERROR(__xludf.DUMMYFUNCTION("""COMPUTED_VALUE"""),"No")</f>
        <v>No</v>
      </c>
      <c r="V393" s="5"/>
      <c r="W393" s="5"/>
      <c r="X393" s="5" t="str">
        <f ca="1">IFERROR(__xludf.DUMMYFUNCTION("""COMPUTED_VALUE"""),"No")</f>
        <v>No</v>
      </c>
      <c r="Y393" s="5"/>
      <c r="Z393" s="5" t="str">
        <f ca="1">IFERROR(__xludf.DUMMYFUNCTION("""COMPUTED_VALUE"""),"No")</f>
        <v>No</v>
      </c>
      <c r="AA393" s="5"/>
      <c r="AB393" s="5" t="str">
        <f ca="1">IFERROR(__xludf.DUMMYFUNCTION("""COMPUTED_VALUE"""),"Yes")</f>
        <v>Yes</v>
      </c>
      <c r="AC393" s="5" t="str">
        <f ca="1">IFERROR(__xludf.DUMMYFUNCTION("""COMPUTED_VALUE"""),"Yes")</f>
        <v>Yes</v>
      </c>
    </row>
    <row r="394" spans="1:29" x14ac:dyDescent="0.25">
      <c r="A394" s="5" t="str">
        <f ca="1">IFERROR(__xludf.DUMMYFUNCTION("""COMPUTED_VALUE"""),"RedstoneJuicyHeat20")</f>
        <v>RedstoneJuicyHeat20</v>
      </c>
      <c r="B3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4" s="5" t="str">
        <f ca="1">IFERROR(__xludf.DUMMYFUNCTION("""COMPUTED_VALUE"""),"Yes")</f>
        <v>Yes</v>
      </c>
      <c r="D394" s="5" t="str">
        <f ca="1">IFERROR(__xludf.DUMMYFUNCTION("""COMPUTED_VALUE"""),"Yes")</f>
        <v>Yes</v>
      </c>
      <c r="E394" s="5" t="str">
        <f ca="1">IFERROR(__xludf.DUMMYFUNCTION("""COMPUTED_VALUE"""),"Yes")</f>
        <v>Yes</v>
      </c>
      <c r="F394" s="5" t="str">
        <f ca="1">IFERROR(__xludf.DUMMYFUNCTION("""COMPUTED_VALUE"""),"Yes")</f>
        <v>Yes</v>
      </c>
      <c r="G394" s="5" t="str">
        <f ca="1">IFERROR(__xludf.DUMMYFUNCTION("""COMPUTED_VALUE"""),"Yes")</f>
        <v>Yes</v>
      </c>
      <c r="H394" s="5" t="str">
        <f ca="1">IFERROR(__xludf.DUMMYFUNCTION("""COMPUTED_VALUE"""),"Yes")</f>
        <v>Yes</v>
      </c>
      <c r="I394" s="5" t="str">
        <f ca="1">IFERROR(__xludf.DUMMYFUNCTION("""COMPUTED_VALUE"""),"Yes")</f>
        <v>Yes</v>
      </c>
      <c r="J394" s="5" t="str">
        <f ca="1">IFERROR(__xludf.DUMMYFUNCTION("""COMPUTED_VALUE"""),"Yes")</f>
        <v>Yes</v>
      </c>
      <c r="K394" s="5" t="str">
        <f ca="1">IFERROR(__xludf.DUMMYFUNCTION("""COMPUTED_VALUE"""),"Yes")</f>
        <v>Yes</v>
      </c>
      <c r="L394" s="5" t="str">
        <f ca="1">IFERROR(__xludf.DUMMYFUNCTION("""COMPUTED_VALUE"""),"Yes")</f>
        <v>Yes</v>
      </c>
      <c r="M394" s="5" t="str">
        <f ca="1">IFERROR(__xludf.DUMMYFUNCTION("""COMPUTED_VALUE"""),"Yes")</f>
        <v>Yes</v>
      </c>
      <c r="N394" s="5" t="str">
        <f ca="1">IFERROR(__xludf.DUMMYFUNCTION("""COMPUTED_VALUE"""),"Yes")</f>
        <v>Yes</v>
      </c>
      <c r="O394" s="5" t="str">
        <f ca="1">IFERROR(__xludf.DUMMYFUNCTION("""COMPUTED_VALUE"""),"Yes")</f>
        <v>Yes</v>
      </c>
      <c r="P394" s="5" t="str">
        <f ca="1">IFERROR(__xludf.DUMMYFUNCTION("""COMPUTED_VALUE"""),"Yes")</f>
        <v>Yes</v>
      </c>
      <c r="Q394" s="5" t="str">
        <f ca="1">IFERROR(__xludf.DUMMYFUNCTION("""COMPUTED_VALUE"""),"Yes")</f>
        <v>Yes</v>
      </c>
      <c r="R394" s="5" t="str">
        <f ca="1">IFERROR(__xludf.DUMMYFUNCTION("""COMPUTED_VALUE"""),"Yes")</f>
        <v>Yes</v>
      </c>
      <c r="S394" s="5" t="str">
        <f ca="1">IFERROR(__xludf.DUMMYFUNCTION("""COMPUTED_VALUE"""),"Yes")</f>
        <v>Yes</v>
      </c>
      <c r="T394" s="5" t="str">
        <f ca="1">IFERROR(__xludf.DUMMYFUNCTION("""COMPUTED_VALUE"""),"Yes")</f>
        <v>Yes</v>
      </c>
      <c r="U394" s="5" t="str">
        <f ca="1">IFERROR(__xludf.DUMMYFUNCTION("""COMPUTED_VALUE"""),"Yes")</f>
        <v>Yes</v>
      </c>
      <c r="V394" s="5"/>
      <c r="W394" s="5"/>
      <c r="X394" s="5"/>
      <c r="Y394" s="5"/>
      <c r="Z394" s="5" t="str">
        <f ca="1">IFERROR(__xludf.DUMMYFUNCTION("""COMPUTED_VALUE"""),"Yes")</f>
        <v>Yes</v>
      </c>
      <c r="AA394" s="5"/>
      <c r="AB394" s="5"/>
      <c r="AC394" s="5"/>
    </row>
    <row r="395" spans="1:29" x14ac:dyDescent="0.25">
      <c r="A395" s="5" t="str">
        <f ca="1">IFERROR(__xludf.DUMMYFUNCTION("""COMPUTED_VALUE"""),"RedstoneChristmasDelight")</f>
        <v>RedstoneChristmasDelight</v>
      </c>
      <c r="B39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5" s="5" t="str">
        <f ca="1">IFERROR(__xludf.DUMMYFUNCTION("""COMPUTED_VALUE"""),"Yes")</f>
        <v>Yes</v>
      </c>
      <c r="D395" s="5" t="str">
        <f ca="1">IFERROR(__xludf.DUMMYFUNCTION("""COMPUTED_VALUE"""),"Yes")</f>
        <v>Yes</v>
      </c>
      <c r="E395" s="5" t="str">
        <f ca="1">IFERROR(__xludf.DUMMYFUNCTION("""COMPUTED_VALUE"""),"No")</f>
        <v>No</v>
      </c>
      <c r="F395" s="5" t="str">
        <f ca="1">IFERROR(__xludf.DUMMYFUNCTION("""COMPUTED_VALUE"""),"Yes")</f>
        <v>Yes</v>
      </c>
      <c r="G395" s="5" t="str">
        <f ca="1">IFERROR(__xludf.DUMMYFUNCTION("""COMPUTED_VALUE"""),"Yes")</f>
        <v>Yes</v>
      </c>
      <c r="H395" s="5" t="str">
        <f ca="1">IFERROR(__xludf.DUMMYFUNCTION("""COMPUTED_VALUE"""),"Yes")</f>
        <v>Yes</v>
      </c>
      <c r="I395" s="5" t="str">
        <f ca="1">IFERROR(__xludf.DUMMYFUNCTION("""COMPUTED_VALUE"""),"Yes")</f>
        <v>Yes</v>
      </c>
      <c r="J395" s="5" t="str">
        <f ca="1">IFERROR(__xludf.DUMMYFUNCTION("""COMPUTED_VALUE"""),"Yes")</f>
        <v>Yes</v>
      </c>
      <c r="K395" s="5" t="str">
        <f ca="1">IFERROR(__xludf.DUMMYFUNCTION("""COMPUTED_VALUE"""),"Yes")</f>
        <v>Yes</v>
      </c>
      <c r="L395" s="5" t="str">
        <f ca="1">IFERROR(__xludf.DUMMYFUNCTION("""COMPUTED_VALUE"""),"Yes")</f>
        <v>Yes</v>
      </c>
      <c r="M395" s="5" t="str">
        <f ca="1">IFERROR(__xludf.DUMMYFUNCTION("""COMPUTED_VALUE"""),"Yes")</f>
        <v>Yes</v>
      </c>
      <c r="N395" s="5" t="str">
        <f ca="1">IFERROR(__xludf.DUMMYFUNCTION("""COMPUTED_VALUE"""),"Yes")</f>
        <v>Yes</v>
      </c>
      <c r="O395" s="5" t="str">
        <f ca="1">IFERROR(__xludf.DUMMYFUNCTION("""COMPUTED_VALUE"""),"Yes")</f>
        <v>Yes</v>
      </c>
      <c r="P395" s="5" t="str">
        <f ca="1">IFERROR(__xludf.DUMMYFUNCTION("""COMPUTED_VALUE"""),"Yes")</f>
        <v>Yes</v>
      </c>
      <c r="Q395" s="5" t="str">
        <f ca="1">IFERROR(__xludf.DUMMYFUNCTION("""COMPUTED_VALUE"""),"Yes")</f>
        <v>Yes</v>
      </c>
      <c r="R395" s="5" t="str">
        <f ca="1">IFERROR(__xludf.DUMMYFUNCTION("""COMPUTED_VALUE"""),"No")</f>
        <v>No</v>
      </c>
      <c r="S395" s="5" t="str">
        <f ca="1">IFERROR(__xludf.DUMMYFUNCTION("""COMPUTED_VALUE"""),"No")</f>
        <v>No</v>
      </c>
      <c r="T395" s="5" t="str">
        <f ca="1">IFERROR(__xludf.DUMMYFUNCTION("""COMPUTED_VALUE"""),"No")</f>
        <v>No</v>
      </c>
      <c r="U395" s="5" t="str">
        <f ca="1">IFERROR(__xludf.DUMMYFUNCTION("""COMPUTED_VALUE"""),"No")</f>
        <v>No</v>
      </c>
      <c r="V395" s="5" t="str">
        <f ca="1">IFERROR(__xludf.DUMMYFUNCTION("""COMPUTED_VALUE"""),"No")</f>
        <v>No</v>
      </c>
      <c r="W395" s="5" t="str">
        <f ca="1">IFERROR(__xludf.DUMMYFUNCTION("""COMPUTED_VALUE"""),"No")</f>
        <v>No</v>
      </c>
      <c r="X395" s="5" t="str">
        <f ca="1">IFERROR(__xludf.DUMMYFUNCTION("""COMPUTED_VALUE"""),"Yes")</f>
        <v>Yes</v>
      </c>
      <c r="Y395" s="5" t="str">
        <f ca="1">IFERROR(__xludf.DUMMYFUNCTION("""COMPUTED_VALUE"""),"No")</f>
        <v>No</v>
      </c>
      <c r="Z395" s="5" t="str">
        <f ca="1">IFERROR(__xludf.DUMMYFUNCTION("""COMPUTED_VALUE"""),"No")</f>
        <v>No</v>
      </c>
      <c r="AA395" s="5" t="str">
        <f ca="1">IFERROR(__xludf.DUMMYFUNCTION("""COMPUTED_VALUE"""),"No")</f>
        <v>No</v>
      </c>
      <c r="AB395" s="5" t="str">
        <f ca="1">IFERROR(__xludf.DUMMYFUNCTION("""COMPUTED_VALUE"""),"Yes")</f>
        <v>Yes</v>
      </c>
      <c r="AC395" s="5" t="str">
        <f ca="1">IFERROR(__xludf.DUMMYFUNCTION("""COMPUTED_VALUE"""),"No")</f>
        <v>No</v>
      </c>
    </row>
    <row r="396" spans="1:29" x14ac:dyDescent="0.25">
      <c r="A396" s="5" t="str">
        <f ca="1">IFERROR(__xludf.DUMMYFUNCTION("""COMPUTED_VALUE"""),"RedstoneFunkyFruits")</f>
        <v>RedstoneFunkyFruits</v>
      </c>
      <c r="B3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6" s="5" t="str">
        <f ca="1">IFERROR(__xludf.DUMMYFUNCTION("""COMPUTED_VALUE"""),"Yes")</f>
        <v>Yes</v>
      </c>
      <c r="D396" s="5" t="str">
        <f ca="1">IFERROR(__xludf.DUMMYFUNCTION("""COMPUTED_VALUE"""),"Yes")</f>
        <v>Yes</v>
      </c>
      <c r="E396" s="5" t="str">
        <f ca="1">IFERROR(__xludf.DUMMYFUNCTION("""COMPUTED_VALUE"""),"Yes")</f>
        <v>Yes</v>
      </c>
      <c r="F396" s="5" t="str">
        <f ca="1">IFERROR(__xludf.DUMMYFUNCTION("""COMPUTED_VALUE"""),"Yes")</f>
        <v>Yes</v>
      </c>
      <c r="G396" s="5" t="str">
        <f ca="1">IFERROR(__xludf.DUMMYFUNCTION("""COMPUTED_VALUE"""),"Yes")</f>
        <v>Yes</v>
      </c>
      <c r="H396" s="5" t="str">
        <f ca="1">IFERROR(__xludf.DUMMYFUNCTION("""COMPUTED_VALUE"""),"Yes")</f>
        <v>Yes</v>
      </c>
      <c r="I396" s="5" t="str">
        <f ca="1">IFERROR(__xludf.DUMMYFUNCTION("""COMPUTED_VALUE"""),"Yes")</f>
        <v>Yes</v>
      </c>
      <c r="J396" s="5" t="str">
        <f ca="1">IFERROR(__xludf.DUMMYFUNCTION("""COMPUTED_VALUE"""),"Yes")</f>
        <v>Yes</v>
      </c>
      <c r="K396" s="5" t="str">
        <f ca="1">IFERROR(__xludf.DUMMYFUNCTION("""COMPUTED_VALUE"""),"Yes")</f>
        <v>Yes</v>
      </c>
      <c r="L396" s="5" t="str">
        <f ca="1">IFERROR(__xludf.DUMMYFUNCTION("""COMPUTED_VALUE"""),"Yes")</f>
        <v>Yes</v>
      </c>
      <c r="M396" s="5" t="str">
        <f ca="1">IFERROR(__xludf.DUMMYFUNCTION("""COMPUTED_VALUE"""),"Yes")</f>
        <v>Yes</v>
      </c>
      <c r="N396" s="5" t="str">
        <f ca="1">IFERROR(__xludf.DUMMYFUNCTION("""COMPUTED_VALUE"""),"Yes")</f>
        <v>Yes</v>
      </c>
      <c r="O396" s="5" t="str">
        <f ca="1">IFERROR(__xludf.DUMMYFUNCTION("""COMPUTED_VALUE"""),"Yes")</f>
        <v>Yes</v>
      </c>
      <c r="P396" s="5" t="str">
        <f ca="1">IFERROR(__xludf.DUMMYFUNCTION("""COMPUTED_VALUE"""),"Yes")</f>
        <v>Yes</v>
      </c>
      <c r="Q396" s="5" t="str">
        <f ca="1">IFERROR(__xludf.DUMMYFUNCTION("""COMPUTED_VALUE"""),"Yes")</f>
        <v>Yes</v>
      </c>
      <c r="R396" s="5" t="str">
        <f ca="1">IFERROR(__xludf.DUMMYFUNCTION("""COMPUTED_VALUE"""),"Yes")</f>
        <v>Yes</v>
      </c>
      <c r="S396" s="5" t="str">
        <f ca="1">IFERROR(__xludf.DUMMYFUNCTION("""COMPUTED_VALUE"""),"Yes")</f>
        <v>Yes</v>
      </c>
      <c r="T396" s="5" t="str">
        <f ca="1">IFERROR(__xludf.DUMMYFUNCTION("""COMPUTED_VALUE"""),"Yes")</f>
        <v>Yes</v>
      </c>
      <c r="U396" s="5" t="str">
        <f ca="1">IFERROR(__xludf.DUMMYFUNCTION("""COMPUTED_VALUE"""),"Yes")</f>
        <v>Yes</v>
      </c>
      <c r="V396" s="5"/>
      <c r="W396" s="5"/>
      <c r="X396" s="5"/>
      <c r="Y396" s="5"/>
      <c r="Z396" s="5" t="str">
        <f ca="1">IFERROR(__xludf.DUMMYFUNCTION("""COMPUTED_VALUE"""),"Yes")</f>
        <v>Yes</v>
      </c>
      <c r="AA396" s="5"/>
      <c r="AB396" s="5"/>
      <c r="AC396" s="5"/>
    </row>
    <row r="397" spans="1:29" x14ac:dyDescent="0.25">
      <c r="A397" s="5" t="str">
        <f ca="1">IFERROR(__xludf.DUMMYFUNCTION("""COMPUTED_VALUE"""),"RedstoneDiceDouble")</f>
        <v>RedstoneDiceDouble</v>
      </c>
      <c r="B39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7" s="5" t="str">
        <f ca="1">IFERROR(__xludf.DUMMYFUNCTION("""COMPUTED_VALUE"""),"Yes")</f>
        <v>Yes</v>
      </c>
      <c r="D397" s="5" t="str">
        <f ca="1">IFERROR(__xludf.DUMMYFUNCTION("""COMPUTED_VALUE"""),"Yes")</f>
        <v>Yes</v>
      </c>
      <c r="E397" s="5" t="str">
        <f ca="1">IFERROR(__xludf.DUMMYFUNCTION("""COMPUTED_VALUE"""),"No")</f>
        <v>No</v>
      </c>
      <c r="F397" s="5" t="str">
        <f ca="1">IFERROR(__xludf.DUMMYFUNCTION("""COMPUTED_VALUE"""),"Yes")</f>
        <v>Yes</v>
      </c>
      <c r="G397" s="5" t="str">
        <f ca="1">IFERROR(__xludf.DUMMYFUNCTION("""COMPUTED_VALUE"""),"Yes")</f>
        <v>Yes</v>
      </c>
      <c r="H397" s="5" t="str">
        <f ca="1">IFERROR(__xludf.DUMMYFUNCTION("""COMPUTED_VALUE"""),"Yes")</f>
        <v>Yes</v>
      </c>
      <c r="I397" s="5" t="str">
        <f ca="1">IFERROR(__xludf.DUMMYFUNCTION("""COMPUTED_VALUE"""),"Yes")</f>
        <v>Yes</v>
      </c>
      <c r="J397" s="5" t="str">
        <f ca="1">IFERROR(__xludf.DUMMYFUNCTION("""COMPUTED_VALUE"""),"Yes")</f>
        <v>Yes</v>
      </c>
      <c r="K397" s="5" t="str">
        <f ca="1">IFERROR(__xludf.DUMMYFUNCTION("""COMPUTED_VALUE"""),"Yes")</f>
        <v>Yes</v>
      </c>
      <c r="L397" s="5" t="str">
        <f ca="1">IFERROR(__xludf.DUMMYFUNCTION("""COMPUTED_VALUE"""),"Yes")</f>
        <v>Yes</v>
      </c>
      <c r="M397" s="5" t="str">
        <f ca="1">IFERROR(__xludf.DUMMYFUNCTION("""COMPUTED_VALUE"""),"Yes")</f>
        <v>Yes</v>
      </c>
      <c r="N397" s="5" t="str">
        <f ca="1">IFERROR(__xludf.DUMMYFUNCTION("""COMPUTED_VALUE"""),"Yes")</f>
        <v>Yes</v>
      </c>
      <c r="O397" s="5" t="str">
        <f ca="1">IFERROR(__xludf.DUMMYFUNCTION("""COMPUTED_VALUE"""),"Yes")</f>
        <v>Yes</v>
      </c>
      <c r="P397" s="5" t="str">
        <f ca="1">IFERROR(__xludf.DUMMYFUNCTION("""COMPUTED_VALUE"""),"Yes")</f>
        <v>Yes</v>
      </c>
      <c r="Q397" s="5" t="str">
        <f ca="1">IFERROR(__xludf.DUMMYFUNCTION("""COMPUTED_VALUE"""),"Yes")</f>
        <v>Yes</v>
      </c>
      <c r="R397" s="5" t="str">
        <f ca="1">IFERROR(__xludf.DUMMYFUNCTION("""COMPUTED_VALUE"""),"No")</f>
        <v>No</v>
      </c>
      <c r="S397" s="5" t="str">
        <f ca="1">IFERROR(__xludf.DUMMYFUNCTION("""COMPUTED_VALUE"""),"No")</f>
        <v>No</v>
      </c>
      <c r="T397" s="5" t="str">
        <f ca="1">IFERROR(__xludf.DUMMYFUNCTION("""COMPUTED_VALUE"""),"No")</f>
        <v>No</v>
      </c>
      <c r="U397" s="5" t="str">
        <f ca="1">IFERROR(__xludf.DUMMYFUNCTION("""COMPUTED_VALUE"""),"No")</f>
        <v>No</v>
      </c>
      <c r="V397" s="5" t="str">
        <f ca="1">IFERROR(__xludf.DUMMYFUNCTION("""COMPUTED_VALUE"""),"No")</f>
        <v>No</v>
      </c>
      <c r="W397" s="5" t="str">
        <f ca="1">IFERROR(__xludf.DUMMYFUNCTION("""COMPUTED_VALUE"""),"No")</f>
        <v>No</v>
      </c>
      <c r="X397" s="5" t="str">
        <f ca="1">IFERROR(__xludf.DUMMYFUNCTION("""COMPUTED_VALUE"""),"Yes")</f>
        <v>Yes</v>
      </c>
      <c r="Y397" s="5" t="str">
        <f ca="1">IFERROR(__xludf.DUMMYFUNCTION("""COMPUTED_VALUE"""),"No")</f>
        <v>No</v>
      </c>
      <c r="Z397" s="5" t="str">
        <f ca="1">IFERROR(__xludf.DUMMYFUNCTION("""COMPUTED_VALUE"""),"No")</f>
        <v>No</v>
      </c>
      <c r="AA397" s="5" t="str">
        <f ca="1">IFERROR(__xludf.DUMMYFUNCTION("""COMPUTED_VALUE"""),"No")</f>
        <v>No</v>
      </c>
      <c r="AB397" s="5" t="str">
        <f ca="1">IFERROR(__xludf.DUMMYFUNCTION("""COMPUTED_VALUE"""),"Yes")</f>
        <v>Yes</v>
      </c>
      <c r="AC397" s="5" t="str">
        <f ca="1">IFERROR(__xludf.DUMMYFUNCTION("""COMPUTED_VALUE"""),"No")</f>
        <v>No</v>
      </c>
    </row>
    <row r="398" spans="1:29" x14ac:dyDescent="0.25">
      <c r="A398" s="5" t="str">
        <f ca="1">IFERROR(__xludf.DUMMYFUNCTION("""COMPUTED_VALUE"""),"RedstoneVolcanoHot")</f>
        <v>RedstoneVolcanoHot</v>
      </c>
      <c r="B39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8" s="5" t="str">
        <f ca="1">IFERROR(__xludf.DUMMYFUNCTION("""COMPUTED_VALUE"""),"Yes")</f>
        <v>Yes</v>
      </c>
      <c r="D398" s="5" t="str">
        <f ca="1">IFERROR(__xludf.DUMMYFUNCTION("""COMPUTED_VALUE"""),"Yes")</f>
        <v>Yes</v>
      </c>
      <c r="E398" s="5" t="str">
        <f ca="1">IFERROR(__xludf.DUMMYFUNCTION("""COMPUTED_VALUE"""),"No")</f>
        <v>No</v>
      </c>
      <c r="F398" s="5" t="str">
        <f ca="1">IFERROR(__xludf.DUMMYFUNCTION("""COMPUTED_VALUE"""),"Yes")</f>
        <v>Yes</v>
      </c>
      <c r="G398" s="5" t="str">
        <f ca="1">IFERROR(__xludf.DUMMYFUNCTION("""COMPUTED_VALUE"""),"Yes")</f>
        <v>Yes</v>
      </c>
      <c r="H398" s="5" t="str">
        <f ca="1">IFERROR(__xludf.DUMMYFUNCTION("""COMPUTED_VALUE"""),"Yes")</f>
        <v>Yes</v>
      </c>
      <c r="I398" s="5" t="str">
        <f ca="1">IFERROR(__xludf.DUMMYFUNCTION("""COMPUTED_VALUE"""),"Yes")</f>
        <v>Yes</v>
      </c>
      <c r="J398" s="5" t="str">
        <f ca="1">IFERROR(__xludf.DUMMYFUNCTION("""COMPUTED_VALUE"""),"Yes")</f>
        <v>Yes</v>
      </c>
      <c r="K398" s="5" t="str">
        <f ca="1">IFERROR(__xludf.DUMMYFUNCTION("""COMPUTED_VALUE"""),"Yes")</f>
        <v>Yes</v>
      </c>
      <c r="L398" s="5" t="str">
        <f ca="1">IFERROR(__xludf.DUMMYFUNCTION("""COMPUTED_VALUE"""),"Yes")</f>
        <v>Yes</v>
      </c>
      <c r="M398" s="5" t="str">
        <f ca="1">IFERROR(__xludf.DUMMYFUNCTION("""COMPUTED_VALUE"""),"Yes")</f>
        <v>Yes</v>
      </c>
      <c r="N398" s="5" t="str">
        <f ca="1">IFERROR(__xludf.DUMMYFUNCTION("""COMPUTED_VALUE"""),"Yes")</f>
        <v>Yes</v>
      </c>
      <c r="O398" s="5" t="str">
        <f ca="1">IFERROR(__xludf.DUMMYFUNCTION("""COMPUTED_VALUE"""),"Yes")</f>
        <v>Yes</v>
      </c>
      <c r="P398" s="5" t="str">
        <f ca="1">IFERROR(__xludf.DUMMYFUNCTION("""COMPUTED_VALUE"""),"Yes")</f>
        <v>Yes</v>
      </c>
      <c r="Q398" s="5" t="str">
        <f ca="1">IFERROR(__xludf.DUMMYFUNCTION("""COMPUTED_VALUE"""),"Yes")</f>
        <v>Yes</v>
      </c>
      <c r="R398" s="5" t="str">
        <f ca="1">IFERROR(__xludf.DUMMYFUNCTION("""COMPUTED_VALUE"""),"No")</f>
        <v>No</v>
      </c>
      <c r="S398" s="5" t="str">
        <f ca="1">IFERROR(__xludf.DUMMYFUNCTION("""COMPUTED_VALUE"""),"No")</f>
        <v>No</v>
      </c>
      <c r="T398" s="5" t="str">
        <f ca="1">IFERROR(__xludf.DUMMYFUNCTION("""COMPUTED_VALUE"""),"No")</f>
        <v>No</v>
      </c>
      <c r="U398" s="5" t="str">
        <f ca="1">IFERROR(__xludf.DUMMYFUNCTION("""COMPUTED_VALUE"""),"No")</f>
        <v>No</v>
      </c>
      <c r="V398" s="5" t="str">
        <f ca="1">IFERROR(__xludf.DUMMYFUNCTION("""COMPUTED_VALUE"""),"No")</f>
        <v>No</v>
      </c>
      <c r="W398" s="5" t="str">
        <f ca="1">IFERROR(__xludf.DUMMYFUNCTION("""COMPUTED_VALUE"""),"No")</f>
        <v>No</v>
      </c>
      <c r="X398" s="5" t="str">
        <f ca="1">IFERROR(__xludf.DUMMYFUNCTION("""COMPUTED_VALUE"""),"Yes")</f>
        <v>Yes</v>
      </c>
      <c r="Y398" s="5" t="str">
        <f ca="1">IFERROR(__xludf.DUMMYFUNCTION("""COMPUTED_VALUE"""),"No")</f>
        <v>No</v>
      </c>
      <c r="Z398" s="5" t="str">
        <f ca="1">IFERROR(__xludf.DUMMYFUNCTION("""COMPUTED_VALUE"""),"No")</f>
        <v>No</v>
      </c>
      <c r="AA398" s="5" t="str">
        <f ca="1">IFERROR(__xludf.DUMMYFUNCTION("""COMPUTED_VALUE"""),"No")</f>
        <v>No</v>
      </c>
      <c r="AB398" s="5" t="str">
        <f ca="1">IFERROR(__xludf.DUMMYFUNCTION("""COMPUTED_VALUE"""),"Yes")</f>
        <v>Yes</v>
      </c>
      <c r="AC398" s="5" t="str">
        <f ca="1">IFERROR(__xludf.DUMMYFUNCTION("""COMPUTED_VALUE"""),"No")</f>
        <v>No</v>
      </c>
    </row>
    <row r="399" spans="1:29" x14ac:dyDescent="0.25">
      <c r="A399" s="5" t="str">
        <f ca="1">IFERROR(__xludf.DUMMYFUNCTION("""COMPUTED_VALUE"""),"Redstone10CloverFire")</f>
        <v>Redstone10CloverFire</v>
      </c>
      <c r="B39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9" s="5" t="str">
        <f ca="1">IFERROR(__xludf.DUMMYFUNCTION("""COMPUTED_VALUE"""),"Yes")</f>
        <v>Yes</v>
      </c>
      <c r="D399" s="5" t="str">
        <f ca="1">IFERROR(__xludf.DUMMYFUNCTION("""COMPUTED_VALUE"""),"Yes")</f>
        <v>Yes</v>
      </c>
      <c r="E399" s="5" t="str">
        <f ca="1">IFERROR(__xludf.DUMMYFUNCTION("""COMPUTED_VALUE"""),"No")</f>
        <v>No</v>
      </c>
      <c r="F399" s="5" t="str">
        <f ca="1">IFERROR(__xludf.DUMMYFUNCTION("""COMPUTED_VALUE"""),"Yes")</f>
        <v>Yes</v>
      </c>
      <c r="G399" s="5" t="str">
        <f ca="1">IFERROR(__xludf.DUMMYFUNCTION("""COMPUTED_VALUE"""),"Yes")</f>
        <v>Yes</v>
      </c>
      <c r="H399" s="5" t="str">
        <f ca="1">IFERROR(__xludf.DUMMYFUNCTION("""COMPUTED_VALUE"""),"Yes")</f>
        <v>Yes</v>
      </c>
      <c r="I399" s="5" t="str">
        <f ca="1">IFERROR(__xludf.DUMMYFUNCTION("""COMPUTED_VALUE"""),"Yes")</f>
        <v>Yes</v>
      </c>
      <c r="J399" s="5" t="str">
        <f ca="1">IFERROR(__xludf.DUMMYFUNCTION("""COMPUTED_VALUE"""),"Yes")</f>
        <v>Yes</v>
      </c>
      <c r="K399" s="5" t="str">
        <f ca="1">IFERROR(__xludf.DUMMYFUNCTION("""COMPUTED_VALUE"""),"Yes")</f>
        <v>Yes</v>
      </c>
      <c r="L399" s="5" t="str">
        <f ca="1">IFERROR(__xludf.DUMMYFUNCTION("""COMPUTED_VALUE"""),"Yes")</f>
        <v>Yes</v>
      </c>
      <c r="M399" s="5" t="str">
        <f ca="1">IFERROR(__xludf.DUMMYFUNCTION("""COMPUTED_VALUE"""),"Yes")</f>
        <v>Yes</v>
      </c>
      <c r="N399" s="5" t="str">
        <f ca="1">IFERROR(__xludf.DUMMYFUNCTION("""COMPUTED_VALUE"""),"Yes")</f>
        <v>Yes</v>
      </c>
      <c r="O399" s="5" t="str">
        <f ca="1">IFERROR(__xludf.DUMMYFUNCTION("""COMPUTED_VALUE"""),"Yes")</f>
        <v>Yes</v>
      </c>
      <c r="P399" s="5" t="str">
        <f ca="1">IFERROR(__xludf.DUMMYFUNCTION("""COMPUTED_VALUE"""),"Yes")</f>
        <v>Yes</v>
      </c>
      <c r="Q399" s="5" t="str">
        <f ca="1">IFERROR(__xludf.DUMMYFUNCTION("""COMPUTED_VALUE"""),"Yes")</f>
        <v>Yes</v>
      </c>
      <c r="R399" s="5" t="str">
        <f ca="1">IFERROR(__xludf.DUMMYFUNCTION("""COMPUTED_VALUE"""),"No")</f>
        <v>No</v>
      </c>
      <c r="S399" s="5" t="str">
        <f ca="1">IFERROR(__xludf.DUMMYFUNCTION("""COMPUTED_VALUE"""),"No")</f>
        <v>No</v>
      </c>
      <c r="T399" s="5" t="str">
        <f ca="1">IFERROR(__xludf.DUMMYFUNCTION("""COMPUTED_VALUE"""),"No")</f>
        <v>No</v>
      </c>
      <c r="U399" s="5" t="str">
        <f ca="1">IFERROR(__xludf.DUMMYFUNCTION("""COMPUTED_VALUE"""),"No")</f>
        <v>No</v>
      </c>
      <c r="V399" s="5" t="str">
        <f ca="1">IFERROR(__xludf.DUMMYFUNCTION("""COMPUTED_VALUE"""),"No")</f>
        <v>No</v>
      </c>
      <c r="W399" s="5" t="str">
        <f ca="1">IFERROR(__xludf.DUMMYFUNCTION("""COMPUTED_VALUE"""),"No")</f>
        <v>No</v>
      </c>
      <c r="X399" s="5" t="str">
        <f ca="1">IFERROR(__xludf.DUMMYFUNCTION("""COMPUTED_VALUE"""),"Yes")</f>
        <v>Yes</v>
      </c>
      <c r="Y399" s="5" t="str">
        <f ca="1">IFERROR(__xludf.DUMMYFUNCTION("""COMPUTED_VALUE"""),"No")</f>
        <v>No</v>
      </c>
      <c r="Z399" s="5" t="str">
        <f ca="1">IFERROR(__xludf.DUMMYFUNCTION("""COMPUTED_VALUE"""),"No")</f>
        <v>No</v>
      </c>
      <c r="AA399" s="5" t="str">
        <f ca="1">IFERROR(__xludf.DUMMYFUNCTION("""COMPUTED_VALUE"""),"No")</f>
        <v>No</v>
      </c>
      <c r="AB399" s="5" t="str">
        <f ca="1">IFERROR(__xludf.DUMMYFUNCTION("""COMPUTED_VALUE"""),"Yes")</f>
        <v>Yes</v>
      </c>
      <c r="AC399" s="5" t="str">
        <f ca="1">IFERROR(__xludf.DUMMYFUNCTION("""COMPUTED_VALUE"""),"No")</f>
        <v>No</v>
      </c>
    </row>
    <row r="400" spans="1:29" x14ac:dyDescent="0.25">
      <c r="A400" s="5" t="str">
        <f ca="1">IFERROR(__xludf.DUMMYFUNCTION("""COMPUTED_VALUE"""),"CrownsAndStars")</f>
        <v>CrownsAndStars</v>
      </c>
      <c r="B4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0" s="5" t="str">
        <f ca="1">IFERROR(__xludf.DUMMYFUNCTION("""COMPUTED_VALUE"""),"Yes")</f>
        <v>Yes</v>
      </c>
      <c r="D400" s="5" t="str">
        <f ca="1">IFERROR(__xludf.DUMMYFUNCTION("""COMPUTED_VALUE"""),"Yes")</f>
        <v>Yes</v>
      </c>
      <c r="E400" s="5" t="str">
        <f ca="1">IFERROR(__xludf.DUMMYFUNCTION("""COMPUTED_VALUE"""),"Yes")</f>
        <v>Yes</v>
      </c>
      <c r="F400" s="5" t="str">
        <f ca="1">IFERROR(__xludf.DUMMYFUNCTION("""COMPUTED_VALUE"""),"Yes")</f>
        <v>Yes</v>
      </c>
      <c r="G400" s="5" t="str">
        <f ca="1">IFERROR(__xludf.DUMMYFUNCTION("""COMPUTED_VALUE"""),"Yes")</f>
        <v>Yes</v>
      </c>
      <c r="H400" s="5" t="str">
        <f ca="1">IFERROR(__xludf.DUMMYFUNCTION("""COMPUTED_VALUE"""),"Yes")</f>
        <v>Yes</v>
      </c>
      <c r="I400" s="5" t="str">
        <f ca="1">IFERROR(__xludf.DUMMYFUNCTION("""COMPUTED_VALUE"""),"Yes")</f>
        <v>Yes</v>
      </c>
      <c r="J400" s="5" t="str">
        <f ca="1">IFERROR(__xludf.DUMMYFUNCTION("""COMPUTED_VALUE"""),"Yes")</f>
        <v>Yes</v>
      </c>
      <c r="K400" s="5" t="str">
        <f ca="1">IFERROR(__xludf.DUMMYFUNCTION("""COMPUTED_VALUE"""),"Yes")</f>
        <v>Yes</v>
      </c>
      <c r="L400" s="5" t="str">
        <f ca="1">IFERROR(__xludf.DUMMYFUNCTION("""COMPUTED_VALUE"""),"Yes")</f>
        <v>Yes</v>
      </c>
      <c r="M400" s="5" t="str">
        <f ca="1">IFERROR(__xludf.DUMMYFUNCTION("""COMPUTED_VALUE"""),"Yes")</f>
        <v>Yes</v>
      </c>
      <c r="N400" s="5" t="str">
        <f ca="1">IFERROR(__xludf.DUMMYFUNCTION("""COMPUTED_VALUE"""),"Yes")</f>
        <v>Yes</v>
      </c>
      <c r="O400" s="5" t="str">
        <f ca="1">IFERROR(__xludf.DUMMYFUNCTION("""COMPUTED_VALUE"""),"Yes")</f>
        <v>Yes</v>
      </c>
      <c r="P400" s="5" t="str">
        <f ca="1">IFERROR(__xludf.DUMMYFUNCTION("""COMPUTED_VALUE"""),"Yes")</f>
        <v>Yes</v>
      </c>
      <c r="Q400" s="5" t="str">
        <f ca="1">IFERROR(__xludf.DUMMYFUNCTION("""COMPUTED_VALUE"""),"Yes")</f>
        <v>Yes</v>
      </c>
      <c r="R400" s="5" t="str">
        <f ca="1">IFERROR(__xludf.DUMMYFUNCTION("""COMPUTED_VALUE"""),"Yes")</f>
        <v>Yes</v>
      </c>
      <c r="S400" s="5" t="str">
        <f ca="1">IFERROR(__xludf.DUMMYFUNCTION("""COMPUTED_VALUE"""),"Yes")</f>
        <v>Yes</v>
      </c>
      <c r="T400" s="5" t="str">
        <f ca="1">IFERROR(__xludf.DUMMYFUNCTION("""COMPUTED_VALUE"""),"Yes")</f>
        <v>Yes</v>
      </c>
      <c r="U400" s="5" t="str">
        <f ca="1">IFERROR(__xludf.DUMMYFUNCTION("""COMPUTED_VALUE"""),"Yes")</f>
        <v>Yes</v>
      </c>
      <c r="V400" s="5" t="str">
        <f ca="1">IFERROR(__xludf.DUMMYFUNCTION("""COMPUTED_VALUE"""),"Yes")</f>
        <v>Yes</v>
      </c>
      <c r="W400" s="5" t="str">
        <f ca="1">IFERROR(__xludf.DUMMYFUNCTION("""COMPUTED_VALUE"""),"Yes")</f>
        <v>Yes</v>
      </c>
      <c r="X400" s="5" t="str">
        <f ca="1">IFERROR(__xludf.DUMMYFUNCTION("""COMPUTED_VALUE"""),"Yes")</f>
        <v>Yes</v>
      </c>
      <c r="Y400" s="5" t="str">
        <f ca="1">IFERROR(__xludf.DUMMYFUNCTION("""COMPUTED_VALUE"""),"Yes")</f>
        <v>Yes</v>
      </c>
      <c r="Z400" s="5" t="str">
        <f ca="1">IFERROR(__xludf.DUMMYFUNCTION("""COMPUTED_VALUE"""),"Yes")</f>
        <v>Yes</v>
      </c>
      <c r="AA400" s="5" t="str">
        <f ca="1">IFERROR(__xludf.DUMMYFUNCTION("""COMPUTED_VALUE"""),"Yes")</f>
        <v>Yes</v>
      </c>
      <c r="AB400" s="5" t="str">
        <f ca="1">IFERROR(__xludf.DUMMYFUNCTION("""COMPUTED_VALUE"""),"Yes")</f>
        <v>Yes</v>
      </c>
      <c r="AC400" s="5" t="str">
        <f ca="1">IFERROR(__xludf.DUMMYFUNCTION("""COMPUTED_VALUE"""),"No")</f>
        <v>No</v>
      </c>
    </row>
    <row r="401" spans="1:29" x14ac:dyDescent="0.25">
      <c r="A401" s="5" t="str">
        <f ca="1">IFERROR(__xludf.DUMMYFUNCTION("""COMPUTED_VALUE"""),"PlayNetFortuneCloverX2")</f>
        <v>PlayNetFortuneCloverX2</v>
      </c>
      <c r="B40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1" s="5" t="str">
        <f ca="1">IFERROR(__xludf.DUMMYFUNCTION("""COMPUTED_VALUE"""),"Yes")</f>
        <v>Yes</v>
      </c>
      <c r="D401" s="5" t="str">
        <f ca="1">IFERROR(__xludf.DUMMYFUNCTION("""COMPUTED_VALUE"""),"Yes")</f>
        <v>Yes</v>
      </c>
      <c r="E401" s="5" t="str">
        <f ca="1">IFERROR(__xludf.DUMMYFUNCTION("""COMPUTED_VALUE"""),"Yes")</f>
        <v>Yes</v>
      </c>
      <c r="F401" s="5" t="str">
        <f ca="1">IFERROR(__xludf.DUMMYFUNCTION("""COMPUTED_VALUE"""),"Yes")</f>
        <v>Yes</v>
      </c>
      <c r="G401" s="5" t="str">
        <f ca="1">IFERROR(__xludf.DUMMYFUNCTION("""COMPUTED_VALUE"""),"Yes")</f>
        <v>Yes</v>
      </c>
      <c r="H401" s="5" t="str">
        <f ca="1">IFERROR(__xludf.DUMMYFUNCTION("""COMPUTED_VALUE"""),"Yes")</f>
        <v>Yes</v>
      </c>
      <c r="I401" s="5" t="str">
        <f ca="1">IFERROR(__xludf.DUMMYFUNCTION("""COMPUTED_VALUE"""),"Yes")</f>
        <v>Yes</v>
      </c>
      <c r="J401" s="5" t="str">
        <f ca="1">IFERROR(__xludf.DUMMYFUNCTION("""COMPUTED_VALUE"""),"Yes")</f>
        <v>Yes</v>
      </c>
      <c r="K401" s="5" t="str">
        <f ca="1">IFERROR(__xludf.DUMMYFUNCTION("""COMPUTED_VALUE"""),"Yes")</f>
        <v>Yes</v>
      </c>
      <c r="L401" s="5" t="str">
        <f ca="1">IFERROR(__xludf.DUMMYFUNCTION("""COMPUTED_VALUE"""),"Yes")</f>
        <v>Yes</v>
      </c>
      <c r="M401" s="5" t="str">
        <f ca="1">IFERROR(__xludf.DUMMYFUNCTION("""COMPUTED_VALUE"""),"Yes")</f>
        <v>Yes</v>
      </c>
      <c r="N401" s="5" t="str">
        <f ca="1">IFERROR(__xludf.DUMMYFUNCTION("""COMPUTED_VALUE"""),"Yes")</f>
        <v>Yes</v>
      </c>
      <c r="O401" s="5" t="str">
        <f ca="1">IFERROR(__xludf.DUMMYFUNCTION("""COMPUTED_VALUE"""),"Yes")</f>
        <v>Yes</v>
      </c>
      <c r="P401" s="5" t="str">
        <f ca="1">IFERROR(__xludf.DUMMYFUNCTION("""COMPUTED_VALUE"""),"Yes")</f>
        <v>Yes</v>
      </c>
      <c r="Q401" s="5" t="str">
        <f ca="1">IFERROR(__xludf.DUMMYFUNCTION("""COMPUTED_VALUE"""),"Yes")</f>
        <v>Yes</v>
      </c>
      <c r="R401" s="5" t="str">
        <f ca="1">IFERROR(__xludf.DUMMYFUNCTION("""COMPUTED_VALUE"""),"No")</f>
        <v>No</v>
      </c>
      <c r="S401" s="5" t="str">
        <f ca="1">IFERROR(__xludf.DUMMYFUNCTION("""COMPUTED_VALUE"""),"No")</f>
        <v>No</v>
      </c>
      <c r="T401" s="5" t="str">
        <f ca="1">IFERROR(__xludf.DUMMYFUNCTION("""COMPUTED_VALUE"""),"No")</f>
        <v>No</v>
      </c>
      <c r="U401" s="5" t="str">
        <f ca="1">IFERROR(__xludf.DUMMYFUNCTION("""COMPUTED_VALUE"""),"No")</f>
        <v>No</v>
      </c>
      <c r="V401" s="5"/>
      <c r="W401" s="5"/>
      <c r="X401" s="5"/>
      <c r="Y401" s="5"/>
      <c r="Z401" s="5" t="str">
        <f ca="1">IFERROR(__xludf.DUMMYFUNCTION("""COMPUTED_VALUE"""),"No")</f>
        <v>No</v>
      </c>
      <c r="AA401" s="5"/>
      <c r="AB401" s="5" t="str">
        <f ca="1">IFERROR(__xludf.DUMMYFUNCTION("""COMPUTED_VALUE"""),"Yes")</f>
        <v>Yes</v>
      </c>
      <c r="AC401" s="5"/>
    </row>
    <row r="402" spans="1:29" x14ac:dyDescent="0.25">
      <c r="A402" s="5" t="str">
        <f ca="1">IFERROR(__xludf.DUMMYFUNCTION("""COMPUTED_VALUE"""),"PlayNetDiamondHeartX2")</f>
        <v>PlayNetDiamondHeartX2</v>
      </c>
      <c r="B402" s="5" t="str">
        <f ca="1">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C402" s="5" t="str">
        <f ca="1">IFERROR(__xludf.DUMMYFUNCTION("""COMPUTED_VALUE"""),"Yes")</f>
        <v>Yes</v>
      </c>
      <c r="D402" s="5" t="str">
        <f ca="1">IFERROR(__xludf.DUMMYFUNCTION("""COMPUTED_VALUE"""),"Yes")</f>
        <v>Yes</v>
      </c>
      <c r="E402" s="5" t="str">
        <f ca="1">IFERROR(__xludf.DUMMYFUNCTION("""COMPUTED_VALUE"""),"Yes")</f>
        <v>Yes</v>
      </c>
      <c r="F402" s="5" t="str">
        <f ca="1">IFERROR(__xludf.DUMMYFUNCTION("""COMPUTED_VALUE"""),"Yes")</f>
        <v>Yes</v>
      </c>
      <c r="G402" s="5" t="str">
        <f ca="1">IFERROR(__xludf.DUMMYFUNCTION("""COMPUTED_VALUE"""),"Yes")</f>
        <v>Yes</v>
      </c>
      <c r="H402" s="5" t="str">
        <f ca="1">IFERROR(__xludf.DUMMYFUNCTION("""COMPUTED_VALUE"""),"Yes")</f>
        <v>Yes</v>
      </c>
      <c r="I402" s="5" t="str">
        <f ca="1">IFERROR(__xludf.DUMMYFUNCTION("""COMPUTED_VALUE"""),"Yes")</f>
        <v>Yes</v>
      </c>
      <c r="J402" s="5" t="str">
        <f ca="1">IFERROR(__xludf.DUMMYFUNCTION("""COMPUTED_VALUE"""),"Yes")</f>
        <v>Yes</v>
      </c>
      <c r="K402" s="5" t="str">
        <f ca="1">IFERROR(__xludf.DUMMYFUNCTION("""COMPUTED_VALUE"""),"Yes")</f>
        <v>Yes</v>
      </c>
      <c r="L402" s="5" t="str">
        <f ca="1">IFERROR(__xludf.DUMMYFUNCTION("""COMPUTED_VALUE"""),"Yes")</f>
        <v>Yes</v>
      </c>
      <c r="M402" s="5" t="str">
        <f ca="1">IFERROR(__xludf.DUMMYFUNCTION("""COMPUTED_VALUE"""),"Yes")</f>
        <v>Yes</v>
      </c>
      <c r="N402" s="5" t="str">
        <f ca="1">IFERROR(__xludf.DUMMYFUNCTION("""COMPUTED_VALUE"""),"Yes")</f>
        <v>Yes</v>
      </c>
      <c r="O402" s="5" t="str">
        <f ca="1">IFERROR(__xludf.DUMMYFUNCTION("""COMPUTED_VALUE"""),"Yes")</f>
        <v>Yes</v>
      </c>
      <c r="P402" s="5" t="str">
        <f ca="1">IFERROR(__xludf.DUMMYFUNCTION("""COMPUTED_VALUE"""),"Yes")</f>
        <v>Yes</v>
      </c>
      <c r="Q402" s="5" t="str">
        <f ca="1">IFERROR(__xludf.DUMMYFUNCTION("""COMPUTED_VALUE"""),"Yes")</f>
        <v>Yes</v>
      </c>
      <c r="R402" s="5" t="str">
        <f ca="1">IFERROR(__xludf.DUMMYFUNCTION("""COMPUTED_VALUE"""),"No")</f>
        <v>No</v>
      </c>
      <c r="S402" s="5" t="str">
        <f ca="1">IFERROR(__xludf.DUMMYFUNCTION("""COMPUTED_VALUE"""),"No")</f>
        <v>No</v>
      </c>
      <c r="T402" s="5" t="str">
        <f ca="1">IFERROR(__xludf.DUMMYFUNCTION("""COMPUTED_VALUE"""),"No")</f>
        <v>No</v>
      </c>
      <c r="U402" s="5" t="str">
        <f ca="1">IFERROR(__xludf.DUMMYFUNCTION("""COMPUTED_VALUE"""),"No")</f>
        <v>No</v>
      </c>
      <c r="V402" s="5" t="str">
        <f ca="1">IFERROR(__xludf.DUMMYFUNCTION("""COMPUTED_VALUE"""),"No")</f>
        <v>No</v>
      </c>
      <c r="W402" s="5" t="str">
        <f ca="1">IFERROR(__xludf.DUMMYFUNCTION("""COMPUTED_VALUE"""),"Yes")</f>
        <v>Yes</v>
      </c>
      <c r="X402" s="5"/>
      <c r="Y402" s="5" t="str">
        <f ca="1">IFERROR(__xludf.DUMMYFUNCTION("""COMPUTED_VALUE"""),"No")</f>
        <v>No</v>
      </c>
      <c r="Z402" s="5" t="str">
        <f ca="1">IFERROR(__xludf.DUMMYFUNCTION("""COMPUTED_VALUE"""),"No")</f>
        <v>No</v>
      </c>
      <c r="AA402" s="5"/>
      <c r="AB402" s="5" t="str">
        <f ca="1">IFERROR(__xludf.DUMMYFUNCTION("""COMPUTED_VALUE"""),"Yes")</f>
        <v>Yes</v>
      </c>
      <c r="AC402" s="5"/>
    </row>
    <row r="403" spans="1:29" x14ac:dyDescent="0.25">
      <c r="A403" s="5" t="str">
        <f ca="1">IFERROR(__xludf.DUMMYFUNCTION("""COMPUTED_VALUE"""),"PlayNetFortuneClover100")</f>
        <v>PlayNetFortuneClover100</v>
      </c>
      <c r="B40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3" s="5" t="str">
        <f ca="1">IFERROR(__xludf.DUMMYFUNCTION("""COMPUTED_VALUE"""),"Yes")</f>
        <v>Yes</v>
      </c>
      <c r="D403" s="5" t="str">
        <f ca="1">IFERROR(__xludf.DUMMYFUNCTION("""COMPUTED_VALUE"""),"Yes")</f>
        <v>Yes</v>
      </c>
      <c r="E403" s="5" t="str">
        <f ca="1">IFERROR(__xludf.DUMMYFUNCTION("""COMPUTED_VALUE"""),"Yes")</f>
        <v>Yes</v>
      </c>
      <c r="F403" s="5" t="str">
        <f ca="1">IFERROR(__xludf.DUMMYFUNCTION("""COMPUTED_VALUE"""),"Yes")</f>
        <v>Yes</v>
      </c>
      <c r="G403" s="5" t="str">
        <f ca="1">IFERROR(__xludf.DUMMYFUNCTION("""COMPUTED_VALUE"""),"Yes")</f>
        <v>Yes</v>
      </c>
      <c r="H403" s="5" t="str">
        <f ca="1">IFERROR(__xludf.DUMMYFUNCTION("""COMPUTED_VALUE"""),"Yes")</f>
        <v>Yes</v>
      </c>
      <c r="I403" s="5" t="str">
        <f ca="1">IFERROR(__xludf.DUMMYFUNCTION("""COMPUTED_VALUE"""),"Yes")</f>
        <v>Yes</v>
      </c>
      <c r="J403" s="5" t="str">
        <f ca="1">IFERROR(__xludf.DUMMYFUNCTION("""COMPUTED_VALUE"""),"Yes")</f>
        <v>Yes</v>
      </c>
      <c r="K403" s="5" t="str">
        <f ca="1">IFERROR(__xludf.DUMMYFUNCTION("""COMPUTED_VALUE"""),"Yes")</f>
        <v>Yes</v>
      </c>
      <c r="L403" s="5" t="str">
        <f ca="1">IFERROR(__xludf.DUMMYFUNCTION("""COMPUTED_VALUE"""),"Yes")</f>
        <v>Yes</v>
      </c>
      <c r="M403" s="5" t="str">
        <f ca="1">IFERROR(__xludf.DUMMYFUNCTION("""COMPUTED_VALUE"""),"Yes")</f>
        <v>Yes</v>
      </c>
      <c r="N403" s="5" t="str">
        <f ca="1">IFERROR(__xludf.DUMMYFUNCTION("""COMPUTED_VALUE"""),"Yes")</f>
        <v>Yes</v>
      </c>
      <c r="O403" s="5" t="str">
        <f ca="1">IFERROR(__xludf.DUMMYFUNCTION("""COMPUTED_VALUE"""),"Yes")</f>
        <v>Yes</v>
      </c>
      <c r="P403" s="5" t="str">
        <f ca="1">IFERROR(__xludf.DUMMYFUNCTION("""COMPUTED_VALUE"""),"Yes")</f>
        <v>Yes</v>
      </c>
      <c r="Q403" s="5" t="str">
        <f ca="1">IFERROR(__xludf.DUMMYFUNCTION("""COMPUTED_VALUE"""),"Yes")</f>
        <v>Yes</v>
      </c>
      <c r="R403" s="5" t="str">
        <f ca="1">IFERROR(__xludf.DUMMYFUNCTION("""COMPUTED_VALUE"""),"No")</f>
        <v>No</v>
      </c>
      <c r="S403" s="5" t="str">
        <f ca="1">IFERROR(__xludf.DUMMYFUNCTION("""COMPUTED_VALUE"""),"No")</f>
        <v>No</v>
      </c>
      <c r="T403" s="5" t="str">
        <f ca="1">IFERROR(__xludf.DUMMYFUNCTION("""COMPUTED_VALUE"""),"No")</f>
        <v>No</v>
      </c>
      <c r="U403" s="5" t="str">
        <f ca="1">IFERROR(__xludf.DUMMYFUNCTION("""COMPUTED_VALUE"""),"No")</f>
        <v>No</v>
      </c>
      <c r="V403" s="5"/>
      <c r="W403" s="5"/>
      <c r="X403" s="5"/>
      <c r="Y403" s="5"/>
      <c r="Z403" s="5" t="str">
        <f ca="1">IFERROR(__xludf.DUMMYFUNCTION("""COMPUTED_VALUE"""),"No")</f>
        <v>No</v>
      </c>
      <c r="AA403" s="5"/>
      <c r="AB403" s="5" t="str">
        <f ca="1">IFERROR(__xludf.DUMMYFUNCTION("""COMPUTED_VALUE"""),"Yes")</f>
        <v>Yes</v>
      </c>
      <c r="AC403" s="5"/>
    </row>
    <row r="404" spans="1:29" x14ac:dyDescent="0.25">
      <c r="A404" s="5" t="str">
        <f ca="1">IFERROR(__xludf.DUMMYFUNCTION("""COMPUTED_VALUE"""),"RedstoneCosmicSevens")</f>
        <v>RedstoneCosmicSevens</v>
      </c>
      <c r="B4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4" s="5" t="str">
        <f ca="1">IFERROR(__xludf.DUMMYFUNCTION("""COMPUTED_VALUE"""),"Yes")</f>
        <v>Yes</v>
      </c>
      <c r="D404" s="5" t="str">
        <f ca="1">IFERROR(__xludf.DUMMYFUNCTION("""COMPUTED_VALUE"""),"Yes")</f>
        <v>Yes</v>
      </c>
      <c r="E404" s="5" t="str">
        <f ca="1">IFERROR(__xludf.DUMMYFUNCTION("""COMPUTED_VALUE"""),"Yes")</f>
        <v>Yes</v>
      </c>
      <c r="F404" s="5" t="str">
        <f ca="1">IFERROR(__xludf.DUMMYFUNCTION("""COMPUTED_VALUE"""),"Yes")</f>
        <v>Yes</v>
      </c>
      <c r="G404" s="5" t="str">
        <f ca="1">IFERROR(__xludf.DUMMYFUNCTION("""COMPUTED_VALUE"""),"Yes")</f>
        <v>Yes</v>
      </c>
      <c r="H404" s="5" t="str">
        <f ca="1">IFERROR(__xludf.DUMMYFUNCTION("""COMPUTED_VALUE"""),"Yes")</f>
        <v>Yes</v>
      </c>
      <c r="I404" s="5" t="str">
        <f ca="1">IFERROR(__xludf.DUMMYFUNCTION("""COMPUTED_VALUE"""),"Yes")</f>
        <v>Yes</v>
      </c>
      <c r="J404" s="5" t="str">
        <f ca="1">IFERROR(__xludf.DUMMYFUNCTION("""COMPUTED_VALUE"""),"Yes")</f>
        <v>Yes</v>
      </c>
      <c r="K404" s="5" t="str">
        <f ca="1">IFERROR(__xludf.DUMMYFUNCTION("""COMPUTED_VALUE"""),"Yes")</f>
        <v>Yes</v>
      </c>
      <c r="L404" s="5" t="str">
        <f ca="1">IFERROR(__xludf.DUMMYFUNCTION("""COMPUTED_VALUE"""),"Yes")</f>
        <v>Yes</v>
      </c>
      <c r="M404" s="5" t="str">
        <f ca="1">IFERROR(__xludf.DUMMYFUNCTION("""COMPUTED_VALUE"""),"Yes")</f>
        <v>Yes</v>
      </c>
      <c r="N404" s="5" t="str">
        <f ca="1">IFERROR(__xludf.DUMMYFUNCTION("""COMPUTED_VALUE"""),"Yes")</f>
        <v>Yes</v>
      </c>
      <c r="O404" s="5" t="str">
        <f ca="1">IFERROR(__xludf.DUMMYFUNCTION("""COMPUTED_VALUE"""),"Yes")</f>
        <v>Yes</v>
      </c>
      <c r="P404" s="5" t="str">
        <f ca="1">IFERROR(__xludf.DUMMYFUNCTION("""COMPUTED_VALUE"""),"Yes")</f>
        <v>Yes</v>
      </c>
      <c r="Q404" s="5" t="str">
        <f ca="1">IFERROR(__xludf.DUMMYFUNCTION("""COMPUTED_VALUE"""),"Yes")</f>
        <v>Yes</v>
      </c>
      <c r="R404" s="5" t="str">
        <f ca="1">IFERROR(__xludf.DUMMYFUNCTION("""COMPUTED_VALUE"""),"Yes")</f>
        <v>Yes</v>
      </c>
      <c r="S404" s="5" t="str">
        <f ca="1">IFERROR(__xludf.DUMMYFUNCTION("""COMPUTED_VALUE"""),"Yes")</f>
        <v>Yes</v>
      </c>
      <c r="T404" s="5" t="str">
        <f ca="1">IFERROR(__xludf.DUMMYFUNCTION("""COMPUTED_VALUE"""),"Yes")</f>
        <v>Yes</v>
      </c>
      <c r="U404" s="5" t="str">
        <f ca="1">IFERROR(__xludf.DUMMYFUNCTION("""COMPUTED_VALUE"""),"Yes")</f>
        <v>Yes</v>
      </c>
      <c r="V404" s="5"/>
      <c r="W404" s="5"/>
      <c r="X404" s="5"/>
      <c r="Y404" s="5"/>
      <c r="Z404" s="5" t="str">
        <f ca="1">IFERROR(__xludf.DUMMYFUNCTION("""COMPUTED_VALUE"""),"Yes")</f>
        <v>Yes</v>
      </c>
      <c r="AA404" s="5"/>
      <c r="AB404" s="5"/>
      <c r="AC404" s="5"/>
    </row>
    <row r="405" spans="1:29" x14ac:dyDescent="0.25">
      <c r="A405" s="5" t="str">
        <f ca="1">IFERROR(__xludf.DUMMYFUNCTION("""COMPUTED_VALUE"""),"Unicorn20HotStrikeDiceJackpot")</f>
        <v>Unicorn20HotStrikeDiceJackpot</v>
      </c>
      <c r="B40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5" s="5" t="str">
        <f ca="1">IFERROR(__xludf.DUMMYFUNCTION("""COMPUTED_VALUE"""),"Yes")</f>
        <v>Yes</v>
      </c>
      <c r="D405" s="5" t="str">
        <f ca="1">IFERROR(__xludf.DUMMYFUNCTION("""COMPUTED_VALUE"""),"Yes")</f>
        <v>Yes</v>
      </c>
      <c r="E405" s="5" t="str">
        <f ca="1">IFERROR(__xludf.DUMMYFUNCTION("""COMPUTED_VALUE"""),"No")</f>
        <v>No</v>
      </c>
      <c r="F405" s="5" t="str">
        <f ca="1">IFERROR(__xludf.DUMMYFUNCTION("""COMPUTED_VALUE"""),"Yes")</f>
        <v>Yes</v>
      </c>
      <c r="G405" s="5" t="str">
        <f ca="1">IFERROR(__xludf.DUMMYFUNCTION("""COMPUTED_VALUE"""),"Yes")</f>
        <v>Yes</v>
      </c>
      <c r="H405" s="5" t="str">
        <f ca="1">IFERROR(__xludf.DUMMYFUNCTION("""COMPUTED_VALUE"""),"Yes")</f>
        <v>Yes</v>
      </c>
      <c r="I405" s="5" t="str">
        <f ca="1">IFERROR(__xludf.DUMMYFUNCTION("""COMPUTED_VALUE"""),"Yes")</f>
        <v>Yes</v>
      </c>
      <c r="J405" s="5" t="str">
        <f ca="1">IFERROR(__xludf.DUMMYFUNCTION("""COMPUTED_VALUE"""),"Yes")</f>
        <v>Yes</v>
      </c>
      <c r="K405" s="5" t="str">
        <f ca="1">IFERROR(__xludf.DUMMYFUNCTION("""COMPUTED_VALUE"""),"Yes")</f>
        <v>Yes</v>
      </c>
      <c r="L405" s="5" t="str">
        <f ca="1">IFERROR(__xludf.DUMMYFUNCTION("""COMPUTED_VALUE"""),"Yes")</f>
        <v>Yes</v>
      </c>
      <c r="M405" s="5" t="str">
        <f ca="1">IFERROR(__xludf.DUMMYFUNCTION("""COMPUTED_VALUE"""),"Yes")</f>
        <v>Yes</v>
      </c>
      <c r="N405" s="5" t="str">
        <f ca="1">IFERROR(__xludf.DUMMYFUNCTION("""COMPUTED_VALUE"""),"Yes")</f>
        <v>Yes</v>
      </c>
      <c r="O405" s="5" t="str">
        <f ca="1">IFERROR(__xludf.DUMMYFUNCTION("""COMPUTED_VALUE"""),"Yes")</f>
        <v>Yes</v>
      </c>
      <c r="P405" s="5" t="str">
        <f ca="1">IFERROR(__xludf.DUMMYFUNCTION("""COMPUTED_VALUE"""),"Yes")</f>
        <v>Yes</v>
      </c>
      <c r="Q405" s="5" t="str">
        <f ca="1">IFERROR(__xludf.DUMMYFUNCTION("""COMPUTED_VALUE"""),"Yes")</f>
        <v>Yes</v>
      </c>
      <c r="R405" s="5" t="str">
        <f ca="1">IFERROR(__xludf.DUMMYFUNCTION("""COMPUTED_VALUE"""),"No")</f>
        <v>No</v>
      </c>
      <c r="S405" s="5" t="str">
        <f ca="1">IFERROR(__xludf.DUMMYFUNCTION("""COMPUTED_VALUE"""),"No")</f>
        <v>No</v>
      </c>
      <c r="T405" s="5" t="str">
        <f ca="1">IFERROR(__xludf.DUMMYFUNCTION("""COMPUTED_VALUE"""),"No")</f>
        <v>No</v>
      </c>
      <c r="U405" s="5" t="str">
        <f ca="1">IFERROR(__xludf.DUMMYFUNCTION("""COMPUTED_VALUE"""),"No")</f>
        <v>No</v>
      </c>
      <c r="V405" s="5" t="str">
        <f ca="1">IFERROR(__xludf.DUMMYFUNCTION("""COMPUTED_VALUE"""),"No")</f>
        <v>No</v>
      </c>
      <c r="W405" s="5" t="str">
        <f ca="1">IFERROR(__xludf.DUMMYFUNCTION("""COMPUTED_VALUE"""),"No")</f>
        <v>No</v>
      </c>
      <c r="X405" s="5" t="str">
        <f ca="1">IFERROR(__xludf.DUMMYFUNCTION("""COMPUTED_VALUE"""),"Yes")</f>
        <v>Yes</v>
      </c>
      <c r="Y405" s="5" t="str">
        <f ca="1">IFERROR(__xludf.DUMMYFUNCTION("""COMPUTED_VALUE"""),"No")</f>
        <v>No</v>
      </c>
      <c r="Z405" s="5" t="str">
        <f ca="1">IFERROR(__xludf.DUMMYFUNCTION("""COMPUTED_VALUE"""),"No")</f>
        <v>No</v>
      </c>
      <c r="AA405" s="5" t="str">
        <f ca="1">IFERROR(__xludf.DUMMYFUNCTION("""COMPUTED_VALUE"""),"No")</f>
        <v>No</v>
      </c>
      <c r="AB405" s="5" t="str">
        <f ca="1">IFERROR(__xludf.DUMMYFUNCTION("""COMPUTED_VALUE"""),"Yes")</f>
        <v>Yes</v>
      </c>
      <c r="AC405" s="5" t="str">
        <f ca="1">IFERROR(__xludf.DUMMYFUNCTION("""COMPUTED_VALUE"""),"No")</f>
        <v>No</v>
      </c>
    </row>
    <row r="406" spans="1:29" x14ac:dyDescent="0.25">
      <c r="A406" s="5" t="str">
        <f ca="1">IFERROR(__xludf.DUMMYFUNCTION("""COMPUTED_VALUE"""),"UnicornDiceMachine")</f>
        <v>UnicornDiceMachine</v>
      </c>
      <c r="B4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6" s="5" t="str">
        <f ca="1">IFERROR(__xludf.DUMMYFUNCTION("""COMPUTED_VALUE"""),"Yes")</f>
        <v>Yes</v>
      </c>
      <c r="D406" s="5" t="str">
        <f ca="1">IFERROR(__xludf.DUMMYFUNCTION("""COMPUTED_VALUE"""),"Yes")</f>
        <v>Yes</v>
      </c>
      <c r="E406" s="5" t="str">
        <f ca="1">IFERROR(__xludf.DUMMYFUNCTION("""COMPUTED_VALUE"""),"Yes")</f>
        <v>Yes</v>
      </c>
      <c r="F406" s="5" t="str">
        <f ca="1">IFERROR(__xludf.DUMMYFUNCTION("""COMPUTED_VALUE"""),"Yes")</f>
        <v>Yes</v>
      </c>
      <c r="G406" s="5" t="str">
        <f ca="1">IFERROR(__xludf.DUMMYFUNCTION("""COMPUTED_VALUE"""),"Yes")</f>
        <v>Yes</v>
      </c>
      <c r="H406" s="5" t="str">
        <f ca="1">IFERROR(__xludf.DUMMYFUNCTION("""COMPUTED_VALUE"""),"Yes")</f>
        <v>Yes</v>
      </c>
      <c r="I406" s="5" t="str">
        <f ca="1">IFERROR(__xludf.DUMMYFUNCTION("""COMPUTED_VALUE"""),"Yes")</f>
        <v>Yes</v>
      </c>
      <c r="J406" s="5" t="str">
        <f ca="1">IFERROR(__xludf.DUMMYFUNCTION("""COMPUTED_VALUE"""),"Yes")</f>
        <v>Yes</v>
      </c>
      <c r="K406" s="5" t="str">
        <f ca="1">IFERROR(__xludf.DUMMYFUNCTION("""COMPUTED_VALUE"""),"Yes")</f>
        <v>Yes</v>
      </c>
      <c r="L406" s="5" t="str">
        <f ca="1">IFERROR(__xludf.DUMMYFUNCTION("""COMPUTED_VALUE"""),"Yes")</f>
        <v>Yes</v>
      </c>
      <c r="M406" s="5" t="str">
        <f ca="1">IFERROR(__xludf.DUMMYFUNCTION("""COMPUTED_VALUE"""),"Yes")</f>
        <v>Yes</v>
      </c>
      <c r="N406" s="5" t="str">
        <f ca="1">IFERROR(__xludf.DUMMYFUNCTION("""COMPUTED_VALUE"""),"Yes")</f>
        <v>Yes</v>
      </c>
      <c r="O406" s="5" t="str">
        <f ca="1">IFERROR(__xludf.DUMMYFUNCTION("""COMPUTED_VALUE"""),"Yes")</f>
        <v>Yes</v>
      </c>
      <c r="P406" s="5" t="str">
        <f ca="1">IFERROR(__xludf.DUMMYFUNCTION("""COMPUTED_VALUE"""),"Yes")</f>
        <v>Yes</v>
      </c>
      <c r="Q406" s="5" t="str">
        <f ca="1">IFERROR(__xludf.DUMMYFUNCTION("""COMPUTED_VALUE"""),"Yes")</f>
        <v>Yes</v>
      </c>
      <c r="R406" s="5" t="str">
        <f ca="1">IFERROR(__xludf.DUMMYFUNCTION("""COMPUTED_VALUE"""),"Yes")</f>
        <v>Yes</v>
      </c>
      <c r="S406" s="5" t="str">
        <f ca="1">IFERROR(__xludf.DUMMYFUNCTION("""COMPUTED_VALUE"""),"Yes")</f>
        <v>Yes</v>
      </c>
      <c r="T406" s="5" t="str">
        <f ca="1">IFERROR(__xludf.DUMMYFUNCTION("""COMPUTED_VALUE"""),"Yes")</f>
        <v>Yes</v>
      </c>
      <c r="U406" s="5" t="str">
        <f ca="1">IFERROR(__xludf.DUMMYFUNCTION("""COMPUTED_VALUE"""),"Yes")</f>
        <v>Yes</v>
      </c>
      <c r="V406" s="5"/>
      <c r="W406" s="5"/>
      <c r="X406" s="5"/>
      <c r="Y406" s="5"/>
      <c r="Z406" s="5" t="str">
        <f ca="1">IFERROR(__xludf.DUMMYFUNCTION("""COMPUTED_VALUE"""),"Yes")</f>
        <v>Yes</v>
      </c>
      <c r="AA406" s="5"/>
      <c r="AB406" s="5"/>
      <c r="AC406" s="5"/>
    </row>
    <row r="407" spans="1:29" x14ac:dyDescent="0.25">
      <c r="A407" s="5" t="str">
        <f ca="1">IFERROR(__xludf.DUMMYFUNCTION("""COMPUTED_VALUE"""),"RedstoneCloverRoyale")</f>
        <v>RedstoneCloverRoyale</v>
      </c>
      <c r="B40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07" s="5" t="str">
        <f ca="1">IFERROR(__xludf.DUMMYFUNCTION("""COMPUTED_VALUE"""),"Yes")</f>
        <v>Yes</v>
      </c>
      <c r="D407" s="5" t="str">
        <f ca="1">IFERROR(__xludf.DUMMYFUNCTION("""COMPUTED_VALUE"""),"Yes")</f>
        <v>Yes</v>
      </c>
      <c r="E407" s="5" t="str">
        <f ca="1">IFERROR(__xludf.DUMMYFUNCTION("""COMPUTED_VALUE"""),"Yes")</f>
        <v>Yes</v>
      </c>
      <c r="F407" s="5" t="str">
        <f ca="1">IFERROR(__xludf.DUMMYFUNCTION("""COMPUTED_VALUE"""),"No")</f>
        <v>No</v>
      </c>
      <c r="G407" s="5" t="str">
        <f ca="1">IFERROR(__xludf.DUMMYFUNCTION("""COMPUTED_VALUE"""),"No")</f>
        <v>No</v>
      </c>
      <c r="H407" s="5" t="str">
        <f ca="1">IFERROR(__xludf.DUMMYFUNCTION("""COMPUTED_VALUE"""),"No")</f>
        <v>No</v>
      </c>
      <c r="I407" s="5" t="str">
        <f ca="1">IFERROR(__xludf.DUMMYFUNCTION("""COMPUTED_VALUE"""),"No")</f>
        <v>No</v>
      </c>
      <c r="J407" s="5" t="str">
        <f ca="1">IFERROR(__xludf.DUMMYFUNCTION("""COMPUTED_VALUE"""),"No")</f>
        <v>No</v>
      </c>
      <c r="K407" s="5" t="str">
        <f ca="1">IFERROR(__xludf.DUMMYFUNCTION("""COMPUTED_VALUE"""),"Yes")</f>
        <v>Yes</v>
      </c>
      <c r="L407" s="5" t="str">
        <f ca="1">IFERROR(__xludf.DUMMYFUNCTION("""COMPUTED_VALUE"""),"Yes")</f>
        <v>Yes</v>
      </c>
      <c r="M407" s="5" t="str">
        <f ca="1">IFERROR(__xludf.DUMMYFUNCTION("""COMPUTED_VALUE"""),"Yes")</f>
        <v>Yes</v>
      </c>
      <c r="N407" s="5" t="str">
        <f ca="1">IFERROR(__xludf.DUMMYFUNCTION("""COMPUTED_VALUE"""),"Yes")</f>
        <v>Yes</v>
      </c>
      <c r="O407" s="5" t="str">
        <f ca="1">IFERROR(__xludf.DUMMYFUNCTION("""COMPUTED_VALUE"""),"Yes")</f>
        <v>Yes</v>
      </c>
      <c r="P407" s="5" t="str">
        <f ca="1">IFERROR(__xludf.DUMMYFUNCTION("""COMPUTED_VALUE"""),"No")</f>
        <v>No</v>
      </c>
      <c r="Q407" s="5" t="str">
        <f ca="1">IFERROR(__xludf.DUMMYFUNCTION("""COMPUTED_VALUE"""),"Yes")</f>
        <v>Yes</v>
      </c>
      <c r="R407" s="5" t="str">
        <f ca="1">IFERROR(__xludf.DUMMYFUNCTION("""COMPUTED_VALUE"""),"No")</f>
        <v>No</v>
      </c>
      <c r="S407" s="5" t="str">
        <f ca="1">IFERROR(__xludf.DUMMYFUNCTION("""COMPUTED_VALUE"""),"No")</f>
        <v>No</v>
      </c>
      <c r="T407" s="5" t="str">
        <f ca="1">IFERROR(__xludf.DUMMYFUNCTION("""COMPUTED_VALUE"""),"No")</f>
        <v>No</v>
      </c>
      <c r="U407" s="5" t="str">
        <f ca="1">IFERROR(__xludf.DUMMYFUNCTION("""COMPUTED_VALUE"""),"No")</f>
        <v>No</v>
      </c>
      <c r="V407" s="5"/>
      <c r="W407" s="5"/>
      <c r="X407" s="5" t="str">
        <f ca="1">IFERROR(__xludf.DUMMYFUNCTION("""COMPUTED_VALUE"""),"Yes")</f>
        <v>Yes</v>
      </c>
      <c r="Y407" s="5"/>
      <c r="Z407" s="5" t="str">
        <f ca="1">IFERROR(__xludf.DUMMYFUNCTION("""COMPUTED_VALUE"""),"No")</f>
        <v>No</v>
      </c>
      <c r="AA407" s="5"/>
      <c r="AB407" s="5" t="str">
        <f ca="1">IFERROR(__xludf.DUMMYFUNCTION("""COMPUTED_VALUE"""),"Yes")</f>
        <v>Yes</v>
      </c>
      <c r="AC407" s="5" t="str">
        <f ca="1">IFERROR(__xludf.DUMMYFUNCTION("""COMPUTED_VALUE"""),"Yes")</f>
        <v>Yes</v>
      </c>
    </row>
    <row r="408" spans="1:29" x14ac:dyDescent="0.25">
      <c r="A408" s="5" t="str">
        <f ca="1">IFERROR(__xludf.DUMMYFUNCTION("""COMPUTED_VALUE"""),"UnicornThunderFruits")</f>
        <v>UnicornThunderFruits</v>
      </c>
      <c r="B40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8" s="5" t="str">
        <f ca="1">IFERROR(__xludf.DUMMYFUNCTION("""COMPUTED_VALUE"""),"Yes")</f>
        <v>Yes</v>
      </c>
      <c r="D408" s="5" t="str">
        <f ca="1">IFERROR(__xludf.DUMMYFUNCTION("""COMPUTED_VALUE"""),"Yes")</f>
        <v>Yes</v>
      </c>
      <c r="E408" s="5" t="str">
        <f ca="1">IFERROR(__xludf.DUMMYFUNCTION("""COMPUTED_VALUE"""),"No")</f>
        <v>No</v>
      </c>
      <c r="F408" s="5" t="str">
        <f ca="1">IFERROR(__xludf.DUMMYFUNCTION("""COMPUTED_VALUE"""),"Yes")</f>
        <v>Yes</v>
      </c>
      <c r="G408" s="5" t="str">
        <f ca="1">IFERROR(__xludf.DUMMYFUNCTION("""COMPUTED_VALUE"""),"Yes")</f>
        <v>Yes</v>
      </c>
      <c r="H408" s="5" t="str">
        <f ca="1">IFERROR(__xludf.DUMMYFUNCTION("""COMPUTED_VALUE"""),"Yes")</f>
        <v>Yes</v>
      </c>
      <c r="I408" s="5" t="str">
        <f ca="1">IFERROR(__xludf.DUMMYFUNCTION("""COMPUTED_VALUE"""),"Yes")</f>
        <v>Yes</v>
      </c>
      <c r="J408" s="5" t="str">
        <f ca="1">IFERROR(__xludf.DUMMYFUNCTION("""COMPUTED_VALUE"""),"Yes")</f>
        <v>Yes</v>
      </c>
      <c r="K408" s="5" t="str">
        <f ca="1">IFERROR(__xludf.DUMMYFUNCTION("""COMPUTED_VALUE"""),"Yes")</f>
        <v>Yes</v>
      </c>
      <c r="L408" s="5" t="str">
        <f ca="1">IFERROR(__xludf.DUMMYFUNCTION("""COMPUTED_VALUE"""),"Yes")</f>
        <v>Yes</v>
      </c>
      <c r="M408" s="5" t="str">
        <f ca="1">IFERROR(__xludf.DUMMYFUNCTION("""COMPUTED_VALUE"""),"Yes")</f>
        <v>Yes</v>
      </c>
      <c r="N408" s="5" t="str">
        <f ca="1">IFERROR(__xludf.DUMMYFUNCTION("""COMPUTED_VALUE"""),"Yes")</f>
        <v>Yes</v>
      </c>
      <c r="O408" s="5" t="str">
        <f ca="1">IFERROR(__xludf.DUMMYFUNCTION("""COMPUTED_VALUE"""),"Yes")</f>
        <v>Yes</v>
      </c>
      <c r="P408" s="5" t="str">
        <f ca="1">IFERROR(__xludf.DUMMYFUNCTION("""COMPUTED_VALUE"""),"Yes")</f>
        <v>Yes</v>
      </c>
      <c r="Q408" s="5" t="str">
        <f ca="1">IFERROR(__xludf.DUMMYFUNCTION("""COMPUTED_VALUE"""),"Yes")</f>
        <v>Yes</v>
      </c>
      <c r="R408" s="5" t="str">
        <f ca="1">IFERROR(__xludf.DUMMYFUNCTION("""COMPUTED_VALUE"""),"No")</f>
        <v>No</v>
      </c>
      <c r="S408" s="5" t="str">
        <f ca="1">IFERROR(__xludf.DUMMYFUNCTION("""COMPUTED_VALUE"""),"No")</f>
        <v>No</v>
      </c>
      <c r="T408" s="5" t="str">
        <f ca="1">IFERROR(__xludf.DUMMYFUNCTION("""COMPUTED_VALUE"""),"No")</f>
        <v>No</v>
      </c>
      <c r="U408" s="5" t="str">
        <f ca="1">IFERROR(__xludf.DUMMYFUNCTION("""COMPUTED_VALUE"""),"No")</f>
        <v>No</v>
      </c>
      <c r="V408" s="5" t="str">
        <f ca="1">IFERROR(__xludf.DUMMYFUNCTION("""COMPUTED_VALUE"""),"No")</f>
        <v>No</v>
      </c>
      <c r="W408" s="5" t="str">
        <f ca="1">IFERROR(__xludf.DUMMYFUNCTION("""COMPUTED_VALUE"""),"No")</f>
        <v>No</v>
      </c>
      <c r="X408" s="5" t="str">
        <f ca="1">IFERROR(__xludf.DUMMYFUNCTION("""COMPUTED_VALUE"""),"Yes")</f>
        <v>Yes</v>
      </c>
      <c r="Y408" s="5" t="str">
        <f ca="1">IFERROR(__xludf.DUMMYFUNCTION("""COMPUTED_VALUE"""),"No")</f>
        <v>No</v>
      </c>
      <c r="Z408" s="5" t="str">
        <f ca="1">IFERROR(__xludf.DUMMYFUNCTION("""COMPUTED_VALUE"""),"No")</f>
        <v>No</v>
      </c>
      <c r="AA408" s="5" t="str">
        <f ca="1">IFERROR(__xludf.DUMMYFUNCTION("""COMPUTED_VALUE"""),"No")</f>
        <v>No</v>
      </c>
      <c r="AB408" s="5" t="str">
        <f ca="1">IFERROR(__xludf.DUMMYFUNCTION("""COMPUTED_VALUE"""),"Yes")</f>
        <v>Yes</v>
      </c>
      <c r="AC408" s="5" t="str">
        <f ca="1">IFERROR(__xludf.DUMMYFUNCTION("""COMPUTED_VALUE"""),"No")</f>
        <v>No</v>
      </c>
    </row>
    <row r="409" spans="1:29" x14ac:dyDescent="0.25">
      <c r="A409" s="5" t="str">
        <f ca="1">IFERROR(__xludf.DUMMYFUNCTION("""COMPUTED_VALUE"""),"UnicornEpicMegaCash")</f>
        <v>UnicornEpicMegaCash</v>
      </c>
      <c r="B4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9" s="5" t="str">
        <f ca="1">IFERROR(__xludf.DUMMYFUNCTION("""COMPUTED_VALUE"""),"Yes")</f>
        <v>Yes</v>
      </c>
      <c r="D409" s="5" t="str">
        <f ca="1">IFERROR(__xludf.DUMMYFUNCTION("""COMPUTED_VALUE"""),"Yes")</f>
        <v>Yes</v>
      </c>
      <c r="E409" s="5" t="str">
        <f ca="1">IFERROR(__xludf.DUMMYFUNCTION("""COMPUTED_VALUE"""),"Yes")</f>
        <v>Yes</v>
      </c>
      <c r="F409" s="5" t="str">
        <f ca="1">IFERROR(__xludf.DUMMYFUNCTION("""COMPUTED_VALUE"""),"Yes")</f>
        <v>Yes</v>
      </c>
      <c r="G409" s="5" t="str">
        <f ca="1">IFERROR(__xludf.DUMMYFUNCTION("""COMPUTED_VALUE"""),"Yes")</f>
        <v>Yes</v>
      </c>
      <c r="H409" s="5" t="str">
        <f ca="1">IFERROR(__xludf.DUMMYFUNCTION("""COMPUTED_VALUE"""),"Yes")</f>
        <v>Yes</v>
      </c>
      <c r="I409" s="5" t="str">
        <f ca="1">IFERROR(__xludf.DUMMYFUNCTION("""COMPUTED_VALUE"""),"Yes")</f>
        <v>Yes</v>
      </c>
      <c r="J409" s="5" t="str">
        <f ca="1">IFERROR(__xludf.DUMMYFUNCTION("""COMPUTED_VALUE"""),"Yes")</f>
        <v>Yes</v>
      </c>
      <c r="K409" s="5" t="str">
        <f ca="1">IFERROR(__xludf.DUMMYFUNCTION("""COMPUTED_VALUE"""),"Yes")</f>
        <v>Yes</v>
      </c>
      <c r="L409" s="5" t="str">
        <f ca="1">IFERROR(__xludf.DUMMYFUNCTION("""COMPUTED_VALUE"""),"Yes")</f>
        <v>Yes</v>
      </c>
      <c r="M409" s="5" t="str">
        <f ca="1">IFERROR(__xludf.DUMMYFUNCTION("""COMPUTED_VALUE"""),"Yes")</f>
        <v>Yes</v>
      </c>
      <c r="N409" s="5" t="str">
        <f ca="1">IFERROR(__xludf.DUMMYFUNCTION("""COMPUTED_VALUE"""),"Yes")</f>
        <v>Yes</v>
      </c>
      <c r="O409" s="5" t="str">
        <f ca="1">IFERROR(__xludf.DUMMYFUNCTION("""COMPUTED_VALUE"""),"Yes")</f>
        <v>Yes</v>
      </c>
      <c r="P409" s="5" t="str">
        <f ca="1">IFERROR(__xludf.DUMMYFUNCTION("""COMPUTED_VALUE"""),"Yes")</f>
        <v>Yes</v>
      </c>
      <c r="Q409" s="5" t="str">
        <f ca="1">IFERROR(__xludf.DUMMYFUNCTION("""COMPUTED_VALUE"""),"Yes")</f>
        <v>Yes</v>
      </c>
      <c r="R409" s="5" t="str">
        <f ca="1">IFERROR(__xludf.DUMMYFUNCTION("""COMPUTED_VALUE"""),"Yes")</f>
        <v>Yes</v>
      </c>
      <c r="S409" s="5" t="str">
        <f ca="1">IFERROR(__xludf.DUMMYFUNCTION("""COMPUTED_VALUE"""),"Yes")</f>
        <v>Yes</v>
      </c>
      <c r="T409" s="5" t="str">
        <f ca="1">IFERROR(__xludf.DUMMYFUNCTION("""COMPUTED_VALUE"""),"Yes")</f>
        <v>Yes</v>
      </c>
      <c r="U409" s="5" t="str">
        <f ca="1">IFERROR(__xludf.DUMMYFUNCTION("""COMPUTED_VALUE"""),"Yes")</f>
        <v>Yes</v>
      </c>
      <c r="V409" s="5"/>
      <c r="W409" s="5"/>
      <c r="X409" s="5"/>
      <c r="Y409" s="5"/>
      <c r="Z409" s="5" t="str">
        <f ca="1">IFERROR(__xludf.DUMMYFUNCTION("""COMPUTED_VALUE"""),"Yes")</f>
        <v>Yes</v>
      </c>
      <c r="AA409" s="5"/>
      <c r="AB409" s="5"/>
      <c r="AC409" s="5"/>
    </row>
    <row r="410" spans="1:29" x14ac:dyDescent="0.25">
      <c r="A410" s="5" t="str">
        <f ca="1">IFERROR(__xludf.DUMMYFUNCTION("""COMPUTED_VALUE"""),"RedstoneEternalHearts10")</f>
        <v>RedstoneEternalHearts10</v>
      </c>
      <c r="B41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0" s="5" t="str">
        <f ca="1">IFERROR(__xludf.DUMMYFUNCTION("""COMPUTED_VALUE"""),"Yes")</f>
        <v>Yes</v>
      </c>
      <c r="D410" s="5" t="str">
        <f ca="1">IFERROR(__xludf.DUMMYFUNCTION("""COMPUTED_VALUE"""),"Yes")</f>
        <v>Yes</v>
      </c>
      <c r="E410" s="5" t="str">
        <f ca="1">IFERROR(__xludf.DUMMYFUNCTION("""COMPUTED_VALUE"""),"Yes")</f>
        <v>Yes</v>
      </c>
      <c r="F410" s="5" t="str">
        <f ca="1">IFERROR(__xludf.DUMMYFUNCTION("""COMPUTED_VALUE"""),"No")</f>
        <v>No</v>
      </c>
      <c r="G410" s="5" t="str">
        <f ca="1">IFERROR(__xludf.DUMMYFUNCTION("""COMPUTED_VALUE"""),"No")</f>
        <v>No</v>
      </c>
      <c r="H410" s="5" t="str">
        <f ca="1">IFERROR(__xludf.DUMMYFUNCTION("""COMPUTED_VALUE"""),"No")</f>
        <v>No</v>
      </c>
      <c r="I410" s="5" t="str">
        <f ca="1">IFERROR(__xludf.DUMMYFUNCTION("""COMPUTED_VALUE"""),"No")</f>
        <v>No</v>
      </c>
      <c r="J410" s="5" t="str">
        <f ca="1">IFERROR(__xludf.DUMMYFUNCTION("""COMPUTED_VALUE"""),"No")</f>
        <v>No</v>
      </c>
      <c r="K410" s="5" t="str">
        <f ca="1">IFERROR(__xludf.DUMMYFUNCTION("""COMPUTED_VALUE"""),"Yes")</f>
        <v>Yes</v>
      </c>
      <c r="L410" s="5" t="str">
        <f ca="1">IFERROR(__xludf.DUMMYFUNCTION("""COMPUTED_VALUE"""),"Yes")</f>
        <v>Yes</v>
      </c>
      <c r="M410" s="5" t="str">
        <f ca="1">IFERROR(__xludf.DUMMYFUNCTION("""COMPUTED_VALUE"""),"Yes")</f>
        <v>Yes</v>
      </c>
      <c r="N410" s="5" t="str">
        <f ca="1">IFERROR(__xludf.DUMMYFUNCTION("""COMPUTED_VALUE"""),"Yes")</f>
        <v>Yes</v>
      </c>
      <c r="O410" s="5" t="str">
        <f ca="1">IFERROR(__xludf.DUMMYFUNCTION("""COMPUTED_VALUE"""),"Yes")</f>
        <v>Yes</v>
      </c>
      <c r="P410" s="5" t="str">
        <f ca="1">IFERROR(__xludf.DUMMYFUNCTION("""COMPUTED_VALUE"""),"No")</f>
        <v>No</v>
      </c>
      <c r="Q410" s="5" t="str">
        <f ca="1">IFERROR(__xludf.DUMMYFUNCTION("""COMPUTED_VALUE"""),"Yes")</f>
        <v>Yes</v>
      </c>
      <c r="R410" s="5" t="str">
        <f ca="1">IFERROR(__xludf.DUMMYFUNCTION("""COMPUTED_VALUE"""),"No")</f>
        <v>No</v>
      </c>
      <c r="S410" s="5" t="str">
        <f ca="1">IFERROR(__xludf.DUMMYFUNCTION("""COMPUTED_VALUE"""),"No")</f>
        <v>No</v>
      </c>
      <c r="T410" s="5" t="str">
        <f ca="1">IFERROR(__xludf.DUMMYFUNCTION("""COMPUTED_VALUE"""),"No")</f>
        <v>No</v>
      </c>
      <c r="U410" s="5" t="str">
        <f ca="1">IFERROR(__xludf.DUMMYFUNCTION("""COMPUTED_VALUE"""),"No")</f>
        <v>No</v>
      </c>
      <c r="V410" s="5"/>
      <c r="W410" s="5"/>
      <c r="X410" s="5" t="str">
        <f ca="1">IFERROR(__xludf.DUMMYFUNCTION("""COMPUTED_VALUE"""),"Yes")</f>
        <v>Yes</v>
      </c>
      <c r="Y410" s="5"/>
      <c r="Z410" s="5" t="str">
        <f ca="1">IFERROR(__xludf.DUMMYFUNCTION("""COMPUTED_VALUE"""),"No")</f>
        <v>No</v>
      </c>
      <c r="AA410" s="5"/>
      <c r="AB410" s="5" t="str">
        <f ca="1">IFERROR(__xludf.DUMMYFUNCTION("""COMPUTED_VALUE"""),"Yes")</f>
        <v>Yes</v>
      </c>
      <c r="AC410" s="5" t="str">
        <f ca="1">IFERROR(__xludf.DUMMYFUNCTION("""COMPUTED_VALUE"""),"Yes")</f>
        <v>Yes</v>
      </c>
    </row>
    <row r="411" spans="1:29" x14ac:dyDescent="0.25">
      <c r="A411" s="5" t="str">
        <f ca="1">IFERROR(__xludf.DUMMYFUNCTION("""COMPUTED_VALUE"""),"RedstoneStarChaser")</f>
        <v>RedstoneStarChaser</v>
      </c>
      <c r="B41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1" s="5" t="str">
        <f ca="1">IFERROR(__xludf.DUMMYFUNCTION("""COMPUTED_VALUE"""),"Yes")</f>
        <v>Yes</v>
      </c>
      <c r="D411" s="5" t="str">
        <f ca="1">IFERROR(__xludf.DUMMYFUNCTION("""COMPUTED_VALUE"""),"Yes")</f>
        <v>Yes</v>
      </c>
      <c r="E411" s="5" t="str">
        <f ca="1">IFERROR(__xludf.DUMMYFUNCTION("""COMPUTED_VALUE"""),"No")</f>
        <v>No</v>
      </c>
      <c r="F411" s="5" t="str">
        <f ca="1">IFERROR(__xludf.DUMMYFUNCTION("""COMPUTED_VALUE"""),"Yes")</f>
        <v>Yes</v>
      </c>
      <c r="G411" s="5" t="str">
        <f ca="1">IFERROR(__xludf.DUMMYFUNCTION("""COMPUTED_VALUE"""),"Yes")</f>
        <v>Yes</v>
      </c>
      <c r="H411" s="5" t="str">
        <f ca="1">IFERROR(__xludf.DUMMYFUNCTION("""COMPUTED_VALUE"""),"Yes")</f>
        <v>Yes</v>
      </c>
      <c r="I411" s="5" t="str">
        <f ca="1">IFERROR(__xludf.DUMMYFUNCTION("""COMPUTED_VALUE"""),"Yes")</f>
        <v>Yes</v>
      </c>
      <c r="J411" s="5" t="str">
        <f ca="1">IFERROR(__xludf.DUMMYFUNCTION("""COMPUTED_VALUE"""),"Yes")</f>
        <v>Yes</v>
      </c>
      <c r="K411" s="5" t="str">
        <f ca="1">IFERROR(__xludf.DUMMYFUNCTION("""COMPUTED_VALUE"""),"Yes")</f>
        <v>Yes</v>
      </c>
      <c r="L411" s="5" t="str">
        <f ca="1">IFERROR(__xludf.DUMMYFUNCTION("""COMPUTED_VALUE"""),"Yes")</f>
        <v>Yes</v>
      </c>
      <c r="M411" s="5" t="str">
        <f ca="1">IFERROR(__xludf.DUMMYFUNCTION("""COMPUTED_VALUE"""),"Yes")</f>
        <v>Yes</v>
      </c>
      <c r="N411" s="5" t="str">
        <f ca="1">IFERROR(__xludf.DUMMYFUNCTION("""COMPUTED_VALUE"""),"Yes")</f>
        <v>Yes</v>
      </c>
      <c r="O411" s="5" t="str">
        <f ca="1">IFERROR(__xludf.DUMMYFUNCTION("""COMPUTED_VALUE"""),"Yes")</f>
        <v>Yes</v>
      </c>
      <c r="P411" s="5" t="str">
        <f ca="1">IFERROR(__xludf.DUMMYFUNCTION("""COMPUTED_VALUE"""),"Yes")</f>
        <v>Yes</v>
      </c>
      <c r="Q411" s="5" t="str">
        <f ca="1">IFERROR(__xludf.DUMMYFUNCTION("""COMPUTED_VALUE"""),"Yes")</f>
        <v>Yes</v>
      </c>
      <c r="R411" s="5" t="str">
        <f ca="1">IFERROR(__xludf.DUMMYFUNCTION("""COMPUTED_VALUE"""),"No")</f>
        <v>No</v>
      </c>
      <c r="S411" s="5" t="str">
        <f ca="1">IFERROR(__xludf.DUMMYFUNCTION("""COMPUTED_VALUE"""),"No")</f>
        <v>No</v>
      </c>
      <c r="T411" s="5" t="str">
        <f ca="1">IFERROR(__xludf.DUMMYFUNCTION("""COMPUTED_VALUE"""),"No")</f>
        <v>No</v>
      </c>
      <c r="U411" s="5" t="str">
        <f ca="1">IFERROR(__xludf.DUMMYFUNCTION("""COMPUTED_VALUE"""),"No")</f>
        <v>No</v>
      </c>
      <c r="V411" s="5" t="str">
        <f ca="1">IFERROR(__xludf.DUMMYFUNCTION("""COMPUTED_VALUE"""),"No")</f>
        <v>No</v>
      </c>
      <c r="W411" s="5" t="str">
        <f ca="1">IFERROR(__xludf.DUMMYFUNCTION("""COMPUTED_VALUE"""),"No")</f>
        <v>No</v>
      </c>
      <c r="X411" s="5" t="str">
        <f ca="1">IFERROR(__xludf.DUMMYFUNCTION("""COMPUTED_VALUE"""),"Yes")</f>
        <v>Yes</v>
      </c>
      <c r="Y411" s="5" t="str">
        <f ca="1">IFERROR(__xludf.DUMMYFUNCTION("""COMPUTED_VALUE"""),"No")</f>
        <v>No</v>
      </c>
      <c r="Z411" s="5" t="str">
        <f ca="1">IFERROR(__xludf.DUMMYFUNCTION("""COMPUTED_VALUE"""),"No")</f>
        <v>No</v>
      </c>
      <c r="AA411" s="5" t="str">
        <f ca="1">IFERROR(__xludf.DUMMYFUNCTION("""COMPUTED_VALUE"""),"No")</f>
        <v>No</v>
      </c>
      <c r="AB411" s="5" t="str">
        <f ca="1">IFERROR(__xludf.DUMMYFUNCTION("""COMPUTED_VALUE"""),"Yes")</f>
        <v>Yes</v>
      </c>
      <c r="AC411" s="5" t="str">
        <f ca="1">IFERROR(__xludf.DUMMYFUNCTION("""COMPUTED_VALUE"""),"No")</f>
        <v>No</v>
      </c>
    </row>
    <row r="412" spans="1:29" x14ac:dyDescent="0.25">
      <c r="A412" s="5" t="str">
        <f ca="1">IFERROR(__xludf.DUMMYFUNCTION("""COMPUTED_VALUE"""),"UnicornWildHoppers")</f>
        <v>UnicornWildHoppers</v>
      </c>
      <c r="B41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2" s="5" t="str">
        <f ca="1">IFERROR(__xludf.DUMMYFUNCTION("""COMPUTED_VALUE"""),"Yes")</f>
        <v>Yes</v>
      </c>
      <c r="D412" s="5" t="str">
        <f ca="1">IFERROR(__xludf.DUMMYFUNCTION("""COMPUTED_VALUE"""),"Yes")</f>
        <v>Yes</v>
      </c>
      <c r="E412" s="5" t="str">
        <f ca="1">IFERROR(__xludf.DUMMYFUNCTION("""COMPUTED_VALUE"""),"No")</f>
        <v>No</v>
      </c>
      <c r="F412" s="5" t="str">
        <f ca="1">IFERROR(__xludf.DUMMYFUNCTION("""COMPUTED_VALUE"""),"Yes")</f>
        <v>Yes</v>
      </c>
      <c r="G412" s="5" t="str">
        <f ca="1">IFERROR(__xludf.DUMMYFUNCTION("""COMPUTED_VALUE"""),"Yes")</f>
        <v>Yes</v>
      </c>
      <c r="H412" s="5" t="str">
        <f ca="1">IFERROR(__xludf.DUMMYFUNCTION("""COMPUTED_VALUE"""),"Yes")</f>
        <v>Yes</v>
      </c>
      <c r="I412" s="5" t="str">
        <f ca="1">IFERROR(__xludf.DUMMYFUNCTION("""COMPUTED_VALUE"""),"Yes")</f>
        <v>Yes</v>
      </c>
      <c r="J412" s="5" t="str">
        <f ca="1">IFERROR(__xludf.DUMMYFUNCTION("""COMPUTED_VALUE"""),"Yes")</f>
        <v>Yes</v>
      </c>
      <c r="K412" s="5" t="str">
        <f ca="1">IFERROR(__xludf.DUMMYFUNCTION("""COMPUTED_VALUE"""),"Yes")</f>
        <v>Yes</v>
      </c>
      <c r="L412" s="5" t="str">
        <f ca="1">IFERROR(__xludf.DUMMYFUNCTION("""COMPUTED_VALUE"""),"Yes")</f>
        <v>Yes</v>
      </c>
      <c r="M412" s="5" t="str">
        <f ca="1">IFERROR(__xludf.DUMMYFUNCTION("""COMPUTED_VALUE"""),"Yes")</f>
        <v>Yes</v>
      </c>
      <c r="N412" s="5" t="str">
        <f ca="1">IFERROR(__xludf.DUMMYFUNCTION("""COMPUTED_VALUE"""),"Yes")</f>
        <v>Yes</v>
      </c>
      <c r="O412" s="5" t="str">
        <f ca="1">IFERROR(__xludf.DUMMYFUNCTION("""COMPUTED_VALUE"""),"Yes")</f>
        <v>Yes</v>
      </c>
      <c r="P412" s="5" t="str">
        <f ca="1">IFERROR(__xludf.DUMMYFUNCTION("""COMPUTED_VALUE"""),"Yes")</f>
        <v>Yes</v>
      </c>
      <c r="Q412" s="5" t="str">
        <f ca="1">IFERROR(__xludf.DUMMYFUNCTION("""COMPUTED_VALUE"""),"Yes")</f>
        <v>Yes</v>
      </c>
      <c r="R412" s="5" t="str">
        <f ca="1">IFERROR(__xludf.DUMMYFUNCTION("""COMPUTED_VALUE"""),"No")</f>
        <v>No</v>
      </c>
      <c r="S412" s="5" t="str">
        <f ca="1">IFERROR(__xludf.DUMMYFUNCTION("""COMPUTED_VALUE"""),"No")</f>
        <v>No</v>
      </c>
      <c r="T412" s="5" t="str">
        <f ca="1">IFERROR(__xludf.DUMMYFUNCTION("""COMPUTED_VALUE"""),"No")</f>
        <v>No</v>
      </c>
      <c r="U412" s="5" t="str">
        <f ca="1">IFERROR(__xludf.DUMMYFUNCTION("""COMPUTED_VALUE"""),"No")</f>
        <v>No</v>
      </c>
      <c r="V412" s="5" t="str">
        <f ca="1">IFERROR(__xludf.DUMMYFUNCTION("""COMPUTED_VALUE"""),"No")</f>
        <v>No</v>
      </c>
      <c r="W412" s="5" t="str">
        <f ca="1">IFERROR(__xludf.DUMMYFUNCTION("""COMPUTED_VALUE"""),"No")</f>
        <v>No</v>
      </c>
      <c r="X412" s="5" t="str">
        <f ca="1">IFERROR(__xludf.DUMMYFUNCTION("""COMPUTED_VALUE"""),"Yes")</f>
        <v>Yes</v>
      </c>
      <c r="Y412" s="5" t="str">
        <f ca="1">IFERROR(__xludf.DUMMYFUNCTION("""COMPUTED_VALUE"""),"No")</f>
        <v>No</v>
      </c>
      <c r="Z412" s="5" t="str">
        <f ca="1">IFERROR(__xludf.DUMMYFUNCTION("""COMPUTED_VALUE"""),"No")</f>
        <v>No</v>
      </c>
      <c r="AA412" s="5" t="str">
        <f ca="1">IFERROR(__xludf.DUMMYFUNCTION("""COMPUTED_VALUE"""),"No")</f>
        <v>No</v>
      </c>
      <c r="AB412" s="5" t="str">
        <f ca="1">IFERROR(__xludf.DUMMYFUNCTION("""COMPUTED_VALUE"""),"Yes")</f>
        <v>Yes</v>
      </c>
      <c r="AC412" s="5" t="str">
        <f ca="1">IFERROR(__xludf.DUMMYFUNCTION("""COMPUTED_VALUE"""),"No")</f>
        <v>No</v>
      </c>
    </row>
    <row r="413" spans="1:29" x14ac:dyDescent="0.25">
      <c r="A413" s="5" t="str">
        <f ca="1">IFERROR(__xludf.DUMMYFUNCTION("""COMPUTED_VALUE"""),"UnicornSimplySevensDiceEaster")</f>
        <v>UnicornSimplySevensDiceEaster</v>
      </c>
      <c r="B4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3" s="5" t="str">
        <f ca="1">IFERROR(__xludf.DUMMYFUNCTION("""COMPUTED_VALUE"""),"Yes")</f>
        <v>Yes</v>
      </c>
      <c r="D413" s="5" t="str">
        <f ca="1">IFERROR(__xludf.DUMMYFUNCTION("""COMPUTED_VALUE"""),"Yes")</f>
        <v>Yes</v>
      </c>
      <c r="E413" s="5" t="str">
        <f ca="1">IFERROR(__xludf.DUMMYFUNCTION("""COMPUTED_VALUE"""),"Yes")</f>
        <v>Yes</v>
      </c>
      <c r="F413" s="5" t="str">
        <f ca="1">IFERROR(__xludf.DUMMYFUNCTION("""COMPUTED_VALUE"""),"Yes")</f>
        <v>Yes</v>
      </c>
      <c r="G413" s="5" t="str">
        <f ca="1">IFERROR(__xludf.DUMMYFUNCTION("""COMPUTED_VALUE"""),"Yes")</f>
        <v>Yes</v>
      </c>
      <c r="H413" s="5" t="str">
        <f ca="1">IFERROR(__xludf.DUMMYFUNCTION("""COMPUTED_VALUE"""),"Yes")</f>
        <v>Yes</v>
      </c>
      <c r="I413" s="5" t="str">
        <f ca="1">IFERROR(__xludf.DUMMYFUNCTION("""COMPUTED_VALUE"""),"Yes")</f>
        <v>Yes</v>
      </c>
      <c r="J413" s="5" t="str">
        <f ca="1">IFERROR(__xludf.DUMMYFUNCTION("""COMPUTED_VALUE"""),"Yes")</f>
        <v>Yes</v>
      </c>
      <c r="K413" s="5" t="str">
        <f ca="1">IFERROR(__xludf.DUMMYFUNCTION("""COMPUTED_VALUE"""),"Yes")</f>
        <v>Yes</v>
      </c>
      <c r="L413" s="5" t="str">
        <f ca="1">IFERROR(__xludf.DUMMYFUNCTION("""COMPUTED_VALUE"""),"Yes")</f>
        <v>Yes</v>
      </c>
      <c r="M413" s="5" t="str">
        <f ca="1">IFERROR(__xludf.DUMMYFUNCTION("""COMPUTED_VALUE"""),"Yes")</f>
        <v>Yes</v>
      </c>
      <c r="N413" s="5" t="str">
        <f ca="1">IFERROR(__xludf.DUMMYFUNCTION("""COMPUTED_VALUE"""),"Yes")</f>
        <v>Yes</v>
      </c>
      <c r="O413" s="5" t="str">
        <f ca="1">IFERROR(__xludf.DUMMYFUNCTION("""COMPUTED_VALUE"""),"Yes")</f>
        <v>Yes</v>
      </c>
      <c r="P413" s="5" t="str">
        <f ca="1">IFERROR(__xludf.DUMMYFUNCTION("""COMPUTED_VALUE"""),"Yes")</f>
        <v>Yes</v>
      </c>
      <c r="Q413" s="5" t="str">
        <f ca="1">IFERROR(__xludf.DUMMYFUNCTION("""COMPUTED_VALUE"""),"Yes")</f>
        <v>Yes</v>
      </c>
      <c r="R413" s="5" t="str">
        <f ca="1">IFERROR(__xludf.DUMMYFUNCTION("""COMPUTED_VALUE"""),"Yes")</f>
        <v>Yes</v>
      </c>
      <c r="S413" s="5" t="str">
        <f ca="1">IFERROR(__xludf.DUMMYFUNCTION("""COMPUTED_VALUE"""),"Yes")</f>
        <v>Yes</v>
      </c>
      <c r="T413" s="5" t="str">
        <f ca="1">IFERROR(__xludf.DUMMYFUNCTION("""COMPUTED_VALUE"""),"Yes")</f>
        <v>Yes</v>
      </c>
      <c r="U413" s="5" t="str">
        <f ca="1">IFERROR(__xludf.DUMMYFUNCTION("""COMPUTED_VALUE"""),"Yes")</f>
        <v>Yes</v>
      </c>
      <c r="V413" s="5"/>
      <c r="W413" s="5"/>
      <c r="X413" s="5"/>
      <c r="Y413" s="5"/>
      <c r="Z413" s="5" t="str">
        <f ca="1">IFERROR(__xludf.DUMMYFUNCTION("""COMPUTED_VALUE"""),"Yes")</f>
        <v>Yes</v>
      </c>
      <c r="AA413" s="5"/>
      <c r="AB413" s="5"/>
      <c r="AC413" s="5"/>
    </row>
    <row r="414" spans="1:29" x14ac:dyDescent="0.25">
      <c r="A414" s="5" t="str">
        <f ca="1">IFERROR(__xludf.DUMMYFUNCTION("""COMPUTED_VALUE"""),"RedstoneMultiClover10")</f>
        <v>RedstoneMultiClover10</v>
      </c>
      <c r="B41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4" s="5" t="str">
        <f ca="1">IFERROR(__xludf.DUMMYFUNCTION("""COMPUTED_VALUE"""),"Yes")</f>
        <v>Yes</v>
      </c>
      <c r="D414" s="5" t="str">
        <f ca="1">IFERROR(__xludf.DUMMYFUNCTION("""COMPUTED_VALUE"""),"Yes")</f>
        <v>Yes</v>
      </c>
      <c r="E414" s="5" t="str">
        <f ca="1">IFERROR(__xludf.DUMMYFUNCTION("""COMPUTED_VALUE"""),"Yes")</f>
        <v>Yes</v>
      </c>
      <c r="F414" s="5" t="str">
        <f ca="1">IFERROR(__xludf.DUMMYFUNCTION("""COMPUTED_VALUE"""),"No")</f>
        <v>No</v>
      </c>
      <c r="G414" s="5" t="str">
        <f ca="1">IFERROR(__xludf.DUMMYFUNCTION("""COMPUTED_VALUE"""),"No")</f>
        <v>No</v>
      </c>
      <c r="H414" s="5" t="str">
        <f ca="1">IFERROR(__xludf.DUMMYFUNCTION("""COMPUTED_VALUE"""),"No")</f>
        <v>No</v>
      </c>
      <c r="I414" s="5" t="str">
        <f ca="1">IFERROR(__xludf.DUMMYFUNCTION("""COMPUTED_VALUE"""),"No")</f>
        <v>No</v>
      </c>
      <c r="J414" s="5" t="str">
        <f ca="1">IFERROR(__xludf.DUMMYFUNCTION("""COMPUTED_VALUE"""),"No")</f>
        <v>No</v>
      </c>
      <c r="K414" s="5" t="str">
        <f ca="1">IFERROR(__xludf.DUMMYFUNCTION("""COMPUTED_VALUE"""),"Yes")</f>
        <v>Yes</v>
      </c>
      <c r="L414" s="5" t="str">
        <f ca="1">IFERROR(__xludf.DUMMYFUNCTION("""COMPUTED_VALUE"""),"Yes")</f>
        <v>Yes</v>
      </c>
      <c r="M414" s="5" t="str">
        <f ca="1">IFERROR(__xludf.DUMMYFUNCTION("""COMPUTED_VALUE"""),"Yes")</f>
        <v>Yes</v>
      </c>
      <c r="N414" s="5" t="str">
        <f ca="1">IFERROR(__xludf.DUMMYFUNCTION("""COMPUTED_VALUE"""),"Yes")</f>
        <v>Yes</v>
      </c>
      <c r="O414" s="5" t="str">
        <f ca="1">IFERROR(__xludf.DUMMYFUNCTION("""COMPUTED_VALUE"""),"Yes")</f>
        <v>Yes</v>
      </c>
      <c r="P414" s="5" t="str">
        <f ca="1">IFERROR(__xludf.DUMMYFUNCTION("""COMPUTED_VALUE"""),"No")</f>
        <v>No</v>
      </c>
      <c r="Q414" s="5" t="str">
        <f ca="1">IFERROR(__xludf.DUMMYFUNCTION("""COMPUTED_VALUE"""),"Yes")</f>
        <v>Yes</v>
      </c>
      <c r="R414" s="5" t="str">
        <f ca="1">IFERROR(__xludf.DUMMYFUNCTION("""COMPUTED_VALUE"""),"No")</f>
        <v>No</v>
      </c>
      <c r="S414" s="5" t="str">
        <f ca="1">IFERROR(__xludf.DUMMYFUNCTION("""COMPUTED_VALUE"""),"No")</f>
        <v>No</v>
      </c>
      <c r="T414" s="5" t="str">
        <f ca="1">IFERROR(__xludf.DUMMYFUNCTION("""COMPUTED_VALUE"""),"No")</f>
        <v>No</v>
      </c>
      <c r="U414" s="5" t="str">
        <f ca="1">IFERROR(__xludf.DUMMYFUNCTION("""COMPUTED_VALUE"""),"No")</f>
        <v>No</v>
      </c>
      <c r="V414" s="5"/>
      <c r="W414" s="5"/>
      <c r="X414" s="5" t="str">
        <f ca="1">IFERROR(__xludf.DUMMYFUNCTION("""COMPUTED_VALUE"""),"Yes")</f>
        <v>Yes</v>
      </c>
      <c r="Y414" s="5"/>
      <c r="Z414" s="5" t="str">
        <f ca="1">IFERROR(__xludf.DUMMYFUNCTION("""COMPUTED_VALUE"""),"No")</f>
        <v>No</v>
      </c>
      <c r="AA414" s="5"/>
      <c r="AB414" s="5" t="str">
        <f ca="1">IFERROR(__xludf.DUMMYFUNCTION("""COMPUTED_VALUE"""),"Yes")</f>
        <v>Yes</v>
      </c>
      <c r="AC414" s="5" t="str">
        <f ca="1">IFERROR(__xludf.DUMMYFUNCTION("""COMPUTED_VALUE"""),"Yes")</f>
        <v>Yes</v>
      </c>
    </row>
    <row r="415" spans="1:29" x14ac:dyDescent="0.25">
      <c r="A415" s="5" t="str">
        <f ca="1">IFERROR(__xludf.DUMMYFUNCTION("""COMPUTED_VALUE"""),"RedstoneReelX5")</f>
        <v>RedstoneReelX5</v>
      </c>
      <c r="B41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5" s="5" t="str">
        <f ca="1">IFERROR(__xludf.DUMMYFUNCTION("""COMPUTED_VALUE"""),"Yes")</f>
        <v>Yes</v>
      </c>
      <c r="D415" s="5" t="str">
        <f ca="1">IFERROR(__xludf.DUMMYFUNCTION("""COMPUTED_VALUE"""),"Yes")</f>
        <v>Yes</v>
      </c>
      <c r="E415" s="5" t="str">
        <f ca="1">IFERROR(__xludf.DUMMYFUNCTION("""COMPUTED_VALUE"""),"No")</f>
        <v>No</v>
      </c>
      <c r="F415" s="5" t="str">
        <f ca="1">IFERROR(__xludf.DUMMYFUNCTION("""COMPUTED_VALUE"""),"Yes")</f>
        <v>Yes</v>
      </c>
      <c r="G415" s="5" t="str">
        <f ca="1">IFERROR(__xludf.DUMMYFUNCTION("""COMPUTED_VALUE"""),"Yes")</f>
        <v>Yes</v>
      </c>
      <c r="H415" s="5" t="str">
        <f ca="1">IFERROR(__xludf.DUMMYFUNCTION("""COMPUTED_VALUE"""),"Yes")</f>
        <v>Yes</v>
      </c>
      <c r="I415" s="5" t="str">
        <f ca="1">IFERROR(__xludf.DUMMYFUNCTION("""COMPUTED_VALUE"""),"Yes")</f>
        <v>Yes</v>
      </c>
      <c r="J415" s="5" t="str">
        <f ca="1">IFERROR(__xludf.DUMMYFUNCTION("""COMPUTED_VALUE"""),"Yes")</f>
        <v>Yes</v>
      </c>
      <c r="K415" s="5" t="str">
        <f ca="1">IFERROR(__xludf.DUMMYFUNCTION("""COMPUTED_VALUE"""),"Yes")</f>
        <v>Yes</v>
      </c>
      <c r="L415" s="5" t="str">
        <f ca="1">IFERROR(__xludf.DUMMYFUNCTION("""COMPUTED_VALUE"""),"Yes")</f>
        <v>Yes</v>
      </c>
      <c r="M415" s="5" t="str">
        <f ca="1">IFERROR(__xludf.DUMMYFUNCTION("""COMPUTED_VALUE"""),"Yes")</f>
        <v>Yes</v>
      </c>
      <c r="N415" s="5" t="str">
        <f ca="1">IFERROR(__xludf.DUMMYFUNCTION("""COMPUTED_VALUE"""),"Yes")</f>
        <v>Yes</v>
      </c>
      <c r="O415" s="5" t="str">
        <f ca="1">IFERROR(__xludf.DUMMYFUNCTION("""COMPUTED_VALUE"""),"Yes")</f>
        <v>Yes</v>
      </c>
      <c r="P415" s="5" t="str">
        <f ca="1">IFERROR(__xludf.DUMMYFUNCTION("""COMPUTED_VALUE"""),"Yes")</f>
        <v>Yes</v>
      </c>
      <c r="Q415" s="5" t="str">
        <f ca="1">IFERROR(__xludf.DUMMYFUNCTION("""COMPUTED_VALUE"""),"Yes")</f>
        <v>Yes</v>
      </c>
      <c r="R415" s="5" t="str">
        <f ca="1">IFERROR(__xludf.DUMMYFUNCTION("""COMPUTED_VALUE"""),"No")</f>
        <v>No</v>
      </c>
      <c r="S415" s="5" t="str">
        <f ca="1">IFERROR(__xludf.DUMMYFUNCTION("""COMPUTED_VALUE"""),"No")</f>
        <v>No</v>
      </c>
      <c r="T415" s="5" t="str">
        <f ca="1">IFERROR(__xludf.DUMMYFUNCTION("""COMPUTED_VALUE"""),"No")</f>
        <v>No</v>
      </c>
      <c r="U415" s="5" t="str">
        <f ca="1">IFERROR(__xludf.DUMMYFUNCTION("""COMPUTED_VALUE"""),"No")</f>
        <v>No</v>
      </c>
      <c r="V415" s="5" t="str">
        <f ca="1">IFERROR(__xludf.DUMMYFUNCTION("""COMPUTED_VALUE"""),"No")</f>
        <v>No</v>
      </c>
      <c r="W415" s="5" t="str">
        <f ca="1">IFERROR(__xludf.DUMMYFUNCTION("""COMPUTED_VALUE"""),"No")</f>
        <v>No</v>
      </c>
      <c r="X415" s="5" t="str">
        <f ca="1">IFERROR(__xludf.DUMMYFUNCTION("""COMPUTED_VALUE"""),"Yes")</f>
        <v>Yes</v>
      </c>
      <c r="Y415" s="5" t="str">
        <f ca="1">IFERROR(__xludf.DUMMYFUNCTION("""COMPUTED_VALUE"""),"No")</f>
        <v>No</v>
      </c>
      <c r="Z415" s="5" t="str">
        <f ca="1">IFERROR(__xludf.DUMMYFUNCTION("""COMPUTED_VALUE"""),"No")</f>
        <v>No</v>
      </c>
      <c r="AA415" s="5" t="str">
        <f ca="1">IFERROR(__xludf.DUMMYFUNCTION("""COMPUTED_VALUE"""),"No")</f>
        <v>No</v>
      </c>
      <c r="AB415" s="5" t="str">
        <f ca="1">IFERROR(__xludf.DUMMYFUNCTION("""COMPUTED_VALUE"""),"Yes")</f>
        <v>Yes</v>
      </c>
      <c r="AC415" s="5" t="str">
        <f ca="1">IFERROR(__xludf.DUMMYFUNCTION("""COMPUTED_VALUE"""),"No")</f>
        <v>No</v>
      </c>
    </row>
    <row r="416" spans="1:29" x14ac:dyDescent="0.25">
      <c r="A416" s="5" t="str">
        <f ca="1">IFERROR(__xludf.DUMMYFUNCTION("""COMPUTED_VALUE"""),"UnicornFruitIslandGems")</f>
        <v>UnicornFruitIslandGems</v>
      </c>
      <c r="B41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6" s="5" t="str">
        <f ca="1">IFERROR(__xludf.DUMMYFUNCTION("""COMPUTED_VALUE"""),"Yes")</f>
        <v>Yes</v>
      </c>
      <c r="D416" s="5" t="str">
        <f ca="1">IFERROR(__xludf.DUMMYFUNCTION("""COMPUTED_VALUE"""),"Yes")</f>
        <v>Yes</v>
      </c>
      <c r="E416" s="5" t="str">
        <f ca="1">IFERROR(__xludf.DUMMYFUNCTION("""COMPUTED_VALUE"""),"No")</f>
        <v>No</v>
      </c>
      <c r="F416" s="5" t="str">
        <f ca="1">IFERROR(__xludf.DUMMYFUNCTION("""COMPUTED_VALUE"""),"Yes")</f>
        <v>Yes</v>
      </c>
      <c r="G416" s="5" t="str">
        <f ca="1">IFERROR(__xludf.DUMMYFUNCTION("""COMPUTED_VALUE"""),"Yes")</f>
        <v>Yes</v>
      </c>
      <c r="H416" s="5" t="str">
        <f ca="1">IFERROR(__xludf.DUMMYFUNCTION("""COMPUTED_VALUE"""),"Yes")</f>
        <v>Yes</v>
      </c>
      <c r="I416" s="5" t="str">
        <f ca="1">IFERROR(__xludf.DUMMYFUNCTION("""COMPUTED_VALUE"""),"Yes")</f>
        <v>Yes</v>
      </c>
      <c r="J416" s="5" t="str">
        <f ca="1">IFERROR(__xludf.DUMMYFUNCTION("""COMPUTED_VALUE"""),"Yes")</f>
        <v>Yes</v>
      </c>
      <c r="K416" s="5" t="str">
        <f ca="1">IFERROR(__xludf.DUMMYFUNCTION("""COMPUTED_VALUE"""),"Yes")</f>
        <v>Yes</v>
      </c>
      <c r="L416" s="5" t="str">
        <f ca="1">IFERROR(__xludf.DUMMYFUNCTION("""COMPUTED_VALUE"""),"Yes")</f>
        <v>Yes</v>
      </c>
      <c r="M416" s="5" t="str">
        <f ca="1">IFERROR(__xludf.DUMMYFUNCTION("""COMPUTED_VALUE"""),"Yes")</f>
        <v>Yes</v>
      </c>
      <c r="N416" s="5" t="str">
        <f ca="1">IFERROR(__xludf.DUMMYFUNCTION("""COMPUTED_VALUE"""),"Yes")</f>
        <v>Yes</v>
      </c>
      <c r="O416" s="5" t="str">
        <f ca="1">IFERROR(__xludf.DUMMYFUNCTION("""COMPUTED_VALUE"""),"Yes")</f>
        <v>Yes</v>
      </c>
      <c r="P416" s="5" t="str">
        <f ca="1">IFERROR(__xludf.DUMMYFUNCTION("""COMPUTED_VALUE"""),"Yes")</f>
        <v>Yes</v>
      </c>
      <c r="Q416" s="5" t="str">
        <f ca="1">IFERROR(__xludf.DUMMYFUNCTION("""COMPUTED_VALUE"""),"Yes")</f>
        <v>Yes</v>
      </c>
      <c r="R416" s="5" t="str">
        <f ca="1">IFERROR(__xludf.DUMMYFUNCTION("""COMPUTED_VALUE"""),"No")</f>
        <v>No</v>
      </c>
      <c r="S416" s="5" t="str">
        <f ca="1">IFERROR(__xludf.DUMMYFUNCTION("""COMPUTED_VALUE"""),"No")</f>
        <v>No</v>
      </c>
      <c r="T416" s="5" t="str">
        <f ca="1">IFERROR(__xludf.DUMMYFUNCTION("""COMPUTED_VALUE"""),"No")</f>
        <v>No</v>
      </c>
      <c r="U416" s="5" t="str">
        <f ca="1">IFERROR(__xludf.DUMMYFUNCTION("""COMPUTED_VALUE"""),"No")</f>
        <v>No</v>
      </c>
      <c r="V416" s="5" t="str">
        <f ca="1">IFERROR(__xludf.DUMMYFUNCTION("""COMPUTED_VALUE"""),"No")</f>
        <v>No</v>
      </c>
      <c r="W416" s="5" t="str">
        <f ca="1">IFERROR(__xludf.DUMMYFUNCTION("""COMPUTED_VALUE"""),"No")</f>
        <v>No</v>
      </c>
      <c r="X416" s="5" t="str">
        <f ca="1">IFERROR(__xludf.DUMMYFUNCTION("""COMPUTED_VALUE"""),"Yes")</f>
        <v>Yes</v>
      </c>
      <c r="Y416" s="5" t="str">
        <f ca="1">IFERROR(__xludf.DUMMYFUNCTION("""COMPUTED_VALUE"""),"No")</f>
        <v>No</v>
      </c>
      <c r="Z416" s="5" t="str">
        <f ca="1">IFERROR(__xludf.DUMMYFUNCTION("""COMPUTED_VALUE"""),"No")</f>
        <v>No</v>
      </c>
      <c r="AA416" s="5" t="str">
        <f ca="1">IFERROR(__xludf.DUMMYFUNCTION("""COMPUTED_VALUE"""),"No")</f>
        <v>No</v>
      </c>
      <c r="AB416" s="5" t="str">
        <f ca="1">IFERROR(__xludf.DUMMYFUNCTION("""COMPUTED_VALUE"""),"Yes")</f>
        <v>Yes</v>
      </c>
      <c r="AC416" s="5" t="str">
        <f ca="1">IFERROR(__xludf.DUMMYFUNCTION("""COMPUTED_VALUE"""),"No")</f>
        <v>No</v>
      </c>
    </row>
    <row r="417" spans="1:29" x14ac:dyDescent="0.25">
      <c r="A417" s="5" t="str">
        <f ca="1">IFERROR(__xludf.DUMMYFUNCTION("""COMPUTED_VALUE"""),"UnicornBunnyDice")</f>
        <v>UnicornBunnyDice</v>
      </c>
      <c r="B4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7" s="5" t="str">
        <f ca="1">IFERROR(__xludf.DUMMYFUNCTION("""COMPUTED_VALUE"""),"Yes")</f>
        <v>Yes</v>
      </c>
      <c r="D417" s="5" t="str">
        <f ca="1">IFERROR(__xludf.DUMMYFUNCTION("""COMPUTED_VALUE"""),"Yes")</f>
        <v>Yes</v>
      </c>
      <c r="E417" s="5" t="str">
        <f ca="1">IFERROR(__xludf.DUMMYFUNCTION("""COMPUTED_VALUE"""),"Yes")</f>
        <v>Yes</v>
      </c>
      <c r="F417" s="5" t="str">
        <f ca="1">IFERROR(__xludf.DUMMYFUNCTION("""COMPUTED_VALUE"""),"Yes")</f>
        <v>Yes</v>
      </c>
      <c r="G417" s="5" t="str">
        <f ca="1">IFERROR(__xludf.DUMMYFUNCTION("""COMPUTED_VALUE"""),"Yes")</f>
        <v>Yes</v>
      </c>
      <c r="H417" s="5" t="str">
        <f ca="1">IFERROR(__xludf.DUMMYFUNCTION("""COMPUTED_VALUE"""),"Yes")</f>
        <v>Yes</v>
      </c>
      <c r="I417" s="5" t="str">
        <f ca="1">IFERROR(__xludf.DUMMYFUNCTION("""COMPUTED_VALUE"""),"Yes")</f>
        <v>Yes</v>
      </c>
      <c r="J417" s="5" t="str">
        <f ca="1">IFERROR(__xludf.DUMMYFUNCTION("""COMPUTED_VALUE"""),"Yes")</f>
        <v>Yes</v>
      </c>
      <c r="K417" s="5" t="str">
        <f ca="1">IFERROR(__xludf.DUMMYFUNCTION("""COMPUTED_VALUE"""),"Yes")</f>
        <v>Yes</v>
      </c>
      <c r="L417" s="5" t="str">
        <f ca="1">IFERROR(__xludf.DUMMYFUNCTION("""COMPUTED_VALUE"""),"Yes")</f>
        <v>Yes</v>
      </c>
      <c r="M417" s="5" t="str">
        <f ca="1">IFERROR(__xludf.DUMMYFUNCTION("""COMPUTED_VALUE"""),"Yes")</f>
        <v>Yes</v>
      </c>
      <c r="N417" s="5" t="str">
        <f ca="1">IFERROR(__xludf.DUMMYFUNCTION("""COMPUTED_VALUE"""),"Yes")</f>
        <v>Yes</v>
      </c>
      <c r="O417" s="5" t="str">
        <f ca="1">IFERROR(__xludf.DUMMYFUNCTION("""COMPUTED_VALUE"""),"Yes")</f>
        <v>Yes</v>
      </c>
      <c r="P417" s="5" t="str">
        <f ca="1">IFERROR(__xludf.DUMMYFUNCTION("""COMPUTED_VALUE"""),"Yes")</f>
        <v>Yes</v>
      </c>
      <c r="Q417" s="5" t="str">
        <f ca="1">IFERROR(__xludf.DUMMYFUNCTION("""COMPUTED_VALUE"""),"Yes")</f>
        <v>Yes</v>
      </c>
      <c r="R417" s="5" t="str">
        <f ca="1">IFERROR(__xludf.DUMMYFUNCTION("""COMPUTED_VALUE"""),"Yes")</f>
        <v>Yes</v>
      </c>
      <c r="S417" s="5" t="str">
        <f ca="1">IFERROR(__xludf.DUMMYFUNCTION("""COMPUTED_VALUE"""),"Yes")</f>
        <v>Yes</v>
      </c>
      <c r="T417" s="5" t="str">
        <f ca="1">IFERROR(__xludf.DUMMYFUNCTION("""COMPUTED_VALUE"""),"Yes")</f>
        <v>Yes</v>
      </c>
      <c r="U417" s="5" t="str">
        <f ca="1">IFERROR(__xludf.DUMMYFUNCTION("""COMPUTED_VALUE"""),"Yes")</f>
        <v>Yes</v>
      </c>
      <c r="V417" s="5"/>
      <c r="W417" s="5"/>
      <c r="X417" s="5"/>
      <c r="Y417" s="5"/>
      <c r="Z417" s="5" t="str">
        <f ca="1">IFERROR(__xludf.DUMMYFUNCTION("""COMPUTED_VALUE"""),"Yes")</f>
        <v>Yes</v>
      </c>
      <c r="AA417" s="5"/>
      <c r="AB417" s="5"/>
      <c r="AC417" s="5"/>
    </row>
    <row r="418" spans="1:29" x14ac:dyDescent="0.25">
      <c r="A418" s="5" t="str">
        <f ca="1">IFERROR(__xludf.DUMMYFUNCTION("""COMPUTED_VALUE"""),"RedstoneFarmFiesta")</f>
        <v>RedstoneFarmFiesta</v>
      </c>
      <c r="B41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8" s="5" t="str">
        <f ca="1">IFERROR(__xludf.DUMMYFUNCTION("""COMPUTED_VALUE"""),"Yes")</f>
        <v>Yes</v>
      </c>
      <c r="D418" s="5" t="str">
        <f ca="1">IFERROR(__xludf.DUMMYFUNCTION("""COMPUTED_VALUE"""),"Yes")</f>
        <v>Yes</v>
      </c>
      <c r="E418" s="5" t="str">
        <f ca="1">IFERROR(__xludf.DUMMYFUNCTION("""COMPUTED_VALUE"""),"Yes")</f>
        <v>Yes</v>
      </c>
      <c r="F418" s="5" t="str">
        <f ca="1">IFERROR(__xludf.DUMMYFUNCTION("""COMPUTED_VALUE"""),"No")</f>
        <v>No</v>
      </c>
      <c r="G418" s="5" t="str">
        <f ca="1">IFERROR(__xludf.DUMMYFUNCTION("""COMPUTED_VALUE"""),"No")</f>
        <v>No</v>
      </c>
      <c r="H418" s="5" t="str">
        <f ca="1">IFERROR(__xludf.DUMMYFUNCTION("""COMPUTED_VALUE"""),"No")</f>
        <v>No</v>
      </c>
      <c r="I418" s="5" t="str">
        <f ca="1">IFERROR(__xludf.DUMMYFUNCTION("""COMPUTED_VALUE"""),"No")</f>
        <v>No</v>
      </c>
      <c r="J418" s="5" t="str">
        <f ca="1">IFERROR(__xludf.DUMMYFUNCTION("""COMPUTED_VALUE"""),"No")</f>
        <v>No</v>
      </c>
      <c r="K418" s="5" t="str">
        <f ca="1">IFERROR(__xludf.DUMMYFUNCTION("""COMPUTED_VALUE"""),"Yes")</f>
        <v>Yes</v>
      </c>
      <c r="L418" s="5" t="str">
        <f ca="1">IFERROR(__xludf.DUMMYFUNCTION("""COMPUTED_VALUE"""),"Yes")</f>
        <v>Yes</v>
      </c>
      <c r="M418" s="5" t="str">
        <f ca="1">IFERROR(__xludf.DUMMYFUNCTION("""COMPUTED_VALUE"""),"Yes")</f>
        <v>Yes</v>
      </c>
      <c r="N418" s="5" t="str">
        <f ca="1">IFERROR(__xludf.DUMMYFUNCTION("""COMPUTED_VALUE"""),"Yes")</f>
        <v>Yes</v>
      </c>
      <c r="O418" s="5" t="str">
        <f ca="1">IFERROR(__xludf.DUMMYFUNCTION("""COMPUTED_VALUE"""),"Yes")</f>
        <v>Yes</v>
      </c>
      <c r="P418" s="5" t="str">
        <f ca="1">IFERROR(__xludf.DUMMYFUNCTION("""COMPUTED_VALUE"""),"No")</f>
        <v>No</v>
      </c>
      <c r="Q418" s="5" t="str">
        <f ca="1">IFERROR(__xludf.DUMMYFUNCTION("""COMPUTED_VALUE"""),"Yes")</f>
        <v>Yes</v>
      </c>
      <c r="R418" s="5" t="str">
        <f ca="1">IFERROR(__xludf.DUMMYFUNCTION("""COMPUTED_VALUE"""),"No")</f>
        <v>No</v>
      </c>
      <c r="S418" s="5" t="str">
        <f ca="1">IFERROR(__xludf.DUMMYFUNCTION("""COMPUTED_VALUE"""),"No")</f>
        <v>No</v>
      </c>
      <c r="T418" s="5" t="str">
        <f ca="1">IFERROR(__xludf.DUMMYFUNCTION("""COMPUTED_VALUE"""),"No")</f>
        <v>No</v>
      </c>
      <c r="U418" s="5" t="str">
        <f ca="1">IFERROR(__xludf.DUMMYFUNCTION("""COMPUTED_VALUE"""),"No")</f>
        <v>No</v>
      </c>
      <c r="V418" s="5"/>
      <c r="W418" s="5"/>
      <c r="X418" s="5" t="str">
        <f ca="1">IFERROR(__xludf.DUMMYFUNCTION("""COMPUTED_VALUE"""),"Yes")</f>
        <v>Yes</v>
      </c>
      <c r="Y418" s="5"/>
      <c r="Z418" s="5" t="str">
        <f ca="1">IFERROR(__xludf.DUMMYFUNCTION("""COMPUTED_VALUE"""),"No")</f>
        <v>No</v>
      </c>
      <c r="AA418" s="5"/>
      <c r="AB418" s="5" t="str">
        <f ca="1">IFERROR(__xludf.DUMMYFUNCTION("""COMPUTED_VALUE"""),"Yes")</f>
        <v>Yes</v>
      </c>
      <c r="AC418" s="5" t="str">
        <f ca="1">IFERROR(__xludf.DUMMYFUNCTION("""COMPUTED_VALUE"""),"Yes")</f>
        <v>Yes</v>
      </c>
    </row>
    <row r="419" spans="1:29" x14ac:dyDescent="0.25">
      <c r="A419" s="5" t="str">
        <f ca="1">IFERROR(__xludf.DUMMYFUNCTION("""COMPUTED_VALUE"""),"RedstoneSweetRespins")</f>
        <v>RedstoneSweetRespins</v>
      </c>
      <c r="B41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9" s="5" t="str">
        <f ca="1">IFERROR(__xludf.DUMMYFUNCTION("""COMPUTED_VALUE"""),"Yes")</f>
        <v>Yes</v>
      </c>
      <c r="D419" s="5" t="str">
        <f ca="1">IFERROR(__xludf.DUMMYFUNCTION("""COMPUTED_VALUE"""),"Yes")</f>
        <v>Yes</v>
      </c>
      <c r="E419" s="5" t="str">
        <f ca="1">IFERROR(__xludf.DUMMYFUNCTION("""COMPUTED_VALUE"""),"Yes")</f>
        <v>Yes</v>
      </c>
      <c r="F419" s="5" t="str">
        <f ca="1">IFERROR(__xludf.DUMMYFUNCTION("""COMPUTED_VALUE"""),"No")</f>
        <v>No</v>
      </c>
      <c r="G419" s="5" t="str">
        <f ca="1">IFERROR(__xludf.DUMMYFUNCTION("""COMPUTED_VALUE"""),"No")</f>
        <v>No</v>
      </c>
      <c r="H419" s="5" t="str">
        <f ca="1">IFERROR(__xludf.DUMMYFUNCTION("""COMPUTED_VALUE"""),"No")</f>
        <v>No</v>
      </c>
      <c r="I419" s="5" t="str">
        <f ca="1">IFERROR(__xludf.DUMMYFUNCTION("""COMPUTED_VALUE"""),"No")</f>
        <v>No</v>
      </c>
      <c r="J419" s="5" t="str">
        <f ca="1">IFERROR(__xludf.DUMMYFUNCTION("""COMPUTED_VALUE"""),"No")</f>
        <v>No</v>
      </c>
      <c r="K419" s="5" t="str">
        <f ca="1">IFERROR(__xludf.DUMMYFUNCTION("""COMPUTED_VALUE"""),"Yes")</f>
        <v>Yes</v>
      </c>
      <c r="L419" s="5" t="str">
        <f ca="1">IFERROR(__xludf.DUMMYFUNCTION("""COMPUTED_VALUE"""),"Yes")</f>
        <v>Yes</v>
      </c>
      <c r="M419" s="5" t="str">
        <f ca="1">IFERROR(__xludf.DUMMYFUNCTION("""COMPUTED_VALUE"""),"Yes")</f>
        <v>Yes</v>
      </c>
      <c r="N419" s="5" t="str">
        <f ca="1">IFERROR(__xludf.DUMMYFUNCTION("""COMPUTED_VALUE"""),"Yes")</f>
        <v>Yes</v>
      </c>
      <c r="O419" s="5" t="str">
        <f ca="1">IFERROR(__xludf.DUMMYFUNCTION("""COMPUTED_VALUE"""),"Yes")</f>
        <v>Yes</v>
      </c>
      <c r="P419" s="5" t="str">
        <f ca="1">IFERROR(__xludf.DUMMYFUNCTION("""COMPUTED_VALUE"""),"No")</f>
        <v>No</v>
      </c>
      <c r="Q419" s="5" t="str">
        <f ca="1">IFERROR(__xludf.DUMMYFUNCTION("""COMPUTED_VALUE"""),"Yes")</f>
        <v>Yes</v>
      </c>
      <c r="R419" s="5" t="str">
        <f ca="1">IFERROR(__xludf.DUMMYFUNCTION("""COMPUTED_VALUE"""),"No")</f>
        <v>No</v>
      </c>
      <c r="S419" s="5" t="str">
        <f ca="1">IFERROR(__xludf.DUMMYFUNCTION("""COMPUTED_VALUE"""),"No")</f>
        <v>No</v>
      </c>
      <c r="T419" s="5" t="str">
        <f ca="1">IFERROR(__xludf.DUMMYFUNCTION("""COMPUTED_VALUE"""),"No")</f>
        <v>No</v>
      </c>
      <c r="U419" s="5" t="str">
        <f ca="1">IFERROR(__xludf.DUMMYFUNCTION("""COMPUTED_VALUE"""),"No")</f>
        <v>No</v>
      </c>
      <c r="V419" s="5"/>
      <c r="W419" s="5"/>
      <c r="X419" s="5" t="str">
        <f ca="1">IFERROR(__xludf.DUMMYFUNCTION("""COMPUTED_VALUE"""),"Yes")</f>
        <v>Yes</v>
      </c>
      <c r="Y419" s="5"/>
      <c r="Z419" s="5" t="str">
        <f ca="1">IFERROR(__xludf.DUMMYFUNCTION("""COMPUTED_VALUE"""),"No")</f>
        <v>No</v>
      </c>
      <c r="AA419" s="5"/>
      <c r="AB419" s="5" t="str">
        <f ca="1">IFERROR(__xludf.DUMMYFUNCTION("""COMPUTED_VALUE"""),"Yes")</f>
        <v>Yes</v>
      </c>
      <c r="AC419" s="5" t="str">
        <f ca="1">IFERROR(__xludf.DUMMYFUNCTION("""COMPUTED_VALUE"""),"Yes")</f>
        <v>Yes</v>
      </c>
    </row>
    <row r="420" spans="1:29" x14ac:dyDescent="0.25">
      <c r="A420" s="5" t="str">
        <f ca="1">IFERROR(__xludf.DUMMYFUNCTION("""COMPUTED_VALUE"""),"TBD-T1")</f>
        <v>TBD-T1</v>
      </c>
      <c r="B42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0" s="5" t="str">
        <f ca="1">IFERROR(__xludf.DUMMYFUNCTION("""COMPUTED_VALUE"""),"Yes")</f>
        <v>Yes</v>
      </c>
      <c r="D420" s="5" t="str">
        <f ca="1">IFERROR(__xludf.DUMMYFUNCTION("""COMPUTED_VALUE"""),"Yes")</f>
        <v>Yes</v>
      </c>
      <c r="E420" s="5" t="str">
        <f ca="1">IFERROR(__xludf.DUMMYFUNCTION("""COMPUTED_VALUE"""),"No")</f>
        <v>No</v>
      </c>
      <c r="F420" s="5" t="str">
        <f ca="1">IFERROR(__xludf.DUMMYFUNCTION("""COMPUTED_VALUE"""),"Yes")</f>
        <v>Yes</v>
      </c>
      <c r="G420" s="5" t="str">
        <f ca="1">IFERROR(__xludf.DUMMYFUNCTION("""COMPUTED_VALUE"""),"Yes")</f>
        <v>Yes</v>
      </c>
      <c r="H420" s="5" t="str">
        <f ca="1">IFERROR(__xludf.DUMMYFUNCTION("""COMPUTED_VALUE"""),"Yes")</f>
        <v>Yes</v>
      </c>
      <c r="I420" s="5" t="str">
        <f ca="1">IFERROR(__xludf.DUMMYFUNCTION("""COMPUTED_VALUE"""),"Yes")</f>
        <v>Yes</v>
      </c>
      <c r="J420" s="5" t="str">
        <f ca="1">IFERROR(__xludf.DUMMYFUNCTION("""COMPUTED_VALUE"""),"Yes")</f>
        <v>Yes</v>
      </c>
      <c r="K420" s="5" t="str">
        <f ca="1">IFERROR(__xludf.DUMMYFUNCTION("""COMPUTED_VALUE"""),"Yes")</f>
        <v>Yes</v>
      </c>
      <c r="L420" s="5" t="str">
        <f ca="1">IFERROR(__xludf.DUMMYFUNCTION("""COMPUTED_VALUE"""),"Yes")</f>
        <v>Yes</v>
      </c>
      <c r="M420" s="5" t="str">
        <f ca="1">IFERROR(__xludf.DUMMYFUNCTION("""COMPUTED_VALUE"""),"Yes")</f>
        <v>Yes</v>
      </c>
      <c r="N420" s="5" t="str">
        <f ca="1">IFERROR(__xludf.DUMMYFUNCTION("""COMPUTED_VALUE"""),"Yes")</f>
        <v>Yes</v>
      </c>
      <c r="O420" s="5" t="str">
        <f ca="1">IFERROR(__xludf.DUMMYFUNCTION("""COMPUTED_VALUE"""),"Yes")</f>
        <v>Yes</v>
      </c>
      <c r="P420" s="5" t="str">
        <f ca="1">IFERROR(__xludf.DUMMYFUNCTION("""COMPUTED_VALUE"""),"Yes")</f>
        <v>Yes</v>
      </c>
      <c r="Q420" s="5" t="str">
        <f ca="1">IFERROR(__xludf.DUMMYFUNCTION("""COMPUTED_VALUE"""),"Yes")</f>
        <v>Yes</v>
      </c>
      <c r="R420" s="5" t="str">
        <f ca="1">IFERROR(__xludf.DUMMYFUNCTION("""COMPUTED_VALUE"""),"No")</f>
        <v>No</v>
      </c>
      <c r="S420" s="5" t="str">
        <f ca="1">IFERROR(__xludf.DUMMYFUNCTION("""COMPUTED_VALUE"""),"No")</f>
        <v>No</v>
      </c>
      <c r="T420" s="5" t="str">
        <f ca="1">IFERROR(__xludf.DUMMYFUNCTION("""COMPUTED_VALUE"""),"No")</f>
        <v>No</v>
      </c>
      <c r="U420" s="5" t="str">
        <f ca="1">IFERROR(__xludf.DUMMYFUNCTION("""COMPUTED_VALUE"""),"No")</f>
        <v>No</v>
      </c>
      <c r="V420" s="5" t="str">
        <f ca="1">IFERROR(__xludf.DUMMYFUNCTION("""COMPUTED_VALUE"""),"No")</f>
        <v>No</v>
      </c>
      <c r="W420" s="5" t="str">
        <f ca="1">IFERROR(__xludf.DUMMYFUNCTION("""COMPUTED_VALUE"""),"No")</f>
        <v>No</v>
      </c>
      <c r="X420" s="5" t="str">
        <f ca="1">IFERROR(__xludf.DUMMYFUNCTION("""COMPUTED_VALUE"""),"Yes")</f>
        <v>Yes</v>
      </c>
      <c r="Y420" s="5" t="str">
        <f ca="1">IFERROR(__xludf.DUMMYFUNCTION("""COMPUTED_VALUE"""),"No")</f>
        <v>No</v>
      </c>
      <c r="Z420" s="5" t="str">
        <f ca="1">IFERROR(__xludf.DUMMYFUNCTION("""COMPUTED_VALUE"""),"No")</f>
        <v>No</v>
      </c>
      <c r="AA420" s="5" t="str">
        <f ca="1">IFERROR(__xludf.DUMMYFUNCTION("""COMPUTED_VALUE"""),"No")</f>
        <v>No</v>
      </c>
      <c r="AB420" s="5" t="str">
        <f ca="1">IFERROR(__xludf.DUMMYFUNCTION("""COMPUTED_VALUE"""),"Yes")</f>
        <v>Yes</v>
      </c>
      <c r="AC420" s="5" t="str">
        <f ca="1">IFERROR(__xludf.DUMMYFUNCTION("""COMPUTED_VALUE"""),"No")</f>
        <v>No</v>
      </c>
    </row>
    <row r="421" spans="1:29" x14ac:dyDescent="0.25">
      <c r="A421" s="5" t="str">
        <f ca="1">IFERROR(__xludf.DUMMYFUNCTION("""COMPUTED_VALUE"""),"UnicornSavanaFruits")</f>
        <v>UnicornSavanaFruits</v>
      </c>
      <c r="B4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21" s="5" t="str">
        <f ca="1">IFERROR(__xludf.DUMMYFUNCTION("""COMPUTED_VALUE"""),"Yes")</f>
        <v>Yes</v>
      </c>
      <c r="D421" s="5" t="str">
        <f ca="1">IFERROR(__xludf.DUMMYFUNCTION("""COMPUTED_VALUE"""),"Yes")</f>
        <v>Yes</v>
      </c>
      <c r="E421" s="5" t="str">
        <f ca="1">IFERROR(__xludf.DUMMYFUNCTION("""COMPUTED_VALUE"""),"Yes")</f>
        <v>Yes</v>
      </c>
      <c r="F421" s="5" t="str">
        <f ca="1">IFERROR(__xludf.DUMMYFUNCTION("""COMPUTED_VALUE"""),"Yes")</f>
        <v>Yes</v>
      </c>
      <c r="G421" s="5" t="str">
        <f ca="1">IFERROR(__xludf.DUMMYFUNCTION("""COMPUTED_VALUE"""),"Yes")</f>
        <v>Yes</v>
      </c>
      <c r="H421" s="5" t="str">
        <f ca="1">IFERROR(__xludf.DUMMYFUNCTION("""COMPUTED_VALUE"""),"Yes")</f>
        <v>Yes</v>
      </c>
      <c r="I421" s="5" t="str">
        <f ca="1">IFERROR(__xludf.DUMMYFUNCTION("""COMPUTED_VALUE"""),"Yes")</f>
        <v>Yes</v>
      </c>
      <c r="J421" s="5" t="str">
        <f ca="1">IFERROR(__xludf.DUMMYFUNCTION("""COMPUTED_VALUE"""),"Yes")</f>
        <v>Yes</v>
      </c>
      <c r="K421" s="5" t="str">
        <f ca="1">IFERROR(__xludf.DUMMYFUNCTION("""COMPUTED_VALUE"""),"Yes")</f>
        <v>Yes</v>
      </c>
      <c r="L421" s="5" t="str">
        <f ca="1">IFERROR(__xludf.DUMMYFUNCTION("""COMPUTED_VALUE"""),"Yes")</f>
        <v>Yes</v>
      </c>
      <c r="M421" s="5" t="str">
        <f ca="1">IFERROR(__xludf.DUMMYFUNCTION("""COMPUTED_VALUE"""),"Yes")</f>
        <v>Yes</v>
      </c>
      <c r="N421" s="5" t="str">
        <f ca="1">IFERROR(__xludf.DUMMYFUNCTION("""COMPUTED_VALUE"""),"Yes")</f>
        <v>Yes</v>
      </c>
      <c r="O421" s="5" t="str">
        <f ca="1">IFERROR(__xludf.DUMMYFUNCTION("""COMPUTED_VALUE"""),"Yes")</f>
        <v>Yes</v>
      </c>
      <c r="P421" s="5" t="str">
        <f ca="1">IFERROR(__xludf.DUMMYFUNCTION("""COMPUTED_VALUE"""),"Yes")</f>
        <v>Yes</v>
      </c>
      <c r="Q421" s="5" t="str">
        <f ca="1">IFERROR(__xludf.DUMMYFUNCTION("""COMPUTED_VALUE"""),"Yes")</f>
        <v>Yes</v>
      </c>
      <c r="R421" s="5" t="str">
        <f ca="1">IFERROR(__xludf.DUMMYFUNCTION("""COMPUTED_VALUE"""),"Yes")</f>
        <v>Yes</v>
      </c>
      <c r="S421" s="5" t="str">
        <f ca="1">IFERROR(__xludf.DUMMYFUNCTION("""COMPUTED_VALUE"""),"Yes")</f>
        <v>Yes</v>
      </c>
      <c r="T421" s="5" t="str">
        <f ca="1">IFERROR(__xludf.DUMMYFUNCTION("""COMPUTED_VALUE"""),"Yes")</f>
        <v>Yes</v>
      </c>
      <c r="U421" s="5" t="str">
        <f ca="1">IFERROR(__xludf.DUMMYFUNCTION("""COMPUTED_VALUE"""),"Yes")</f>
        <v>Yes</v>
      </c>
      <c r="V421" s="5"/>
      <c r="W421" s="5"/>
      <c r="X421" s="5"/>
      <c r="Y421" s="5"/>
      <c r="Z421" s="5" t="str">
        <f ca="1">IFERROR(__xludf.DUMMYFUNCTION("""COMPUTED_VALUE"""),"Yes")</f>
        <v>Yes</v>
      </c>
      <c r="AA421" s="5"/>
      <c r="AB421" s="5"/>
      <c r="AC421" s="5"/>
    </row>
    <row r="422" spans="1:29" x14ac:dyDescent="0.25">
      <c r="A422" s="5" t="str">
        <f ca="1">IFERROR(__xludf.DUMMYFUNCTION("""COMPUTED_VALUE"""),"RedstoneStickyTiki")</f>
        <v>RedstoneStickyTiki</v>
      </c>
      <c r="B42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2" s="5" t="str">
        <f ca="1">IFERROR(__xludf.DUMMYFUNCTION("""COMPUTED_VALUE"""),"Yes")</f>
        <v>Yes</v>
      </c>
      <c r="D422" s="5" t="str">
        <f ca="1">IFERROR(__xludf.DUMMYFUNCTION("""COMPUTED_VALUE"""),"Yes")</f>
        <v>Yes</v>
      </c>
      <c r="E422" s="5" t="str">
        <f ca="1">IFERROR(__xludf.DUMMYFUNCTION("""COMPUTED_VALUE"""),"Yes")</f>
        <v>Yes</v>
      </c>
      <c r="F422" s="5" t="str">
        <f ca="1">IFERROR(__xludf.DUMMYFUNCTION("""COMPUTED_VALUE"""),"No")</f>
        <v>No</v>
      </c>
      <c r="G422" s="5" t="str">
        <f ca="1">IFERROR(__xludf.DUMMYFUNCTION("""COMPUTED_VALUE"""),"No")</f>
        <v>No</v>
      </c>
      <c r="H422" s="5" t="str">
        <f ca="1">IFERROR(__xludf.DUMMYFUNCTION("""COMPUTED_VALUE"""),"No")</f>
        <v>No</v>
      </c>
      <c r="I422" s="5" t="str">
        <f ca="1">IFERROR(__xludf.DUMMYFUNCTION("""COMPUTED_VALUE"""),"No")</f>
        <v>No</v>
      </c>
      <c r="J422" s="5" t="str">
        <f ca="1">IFERROR(__xludf.DUMMYFUNCTION("""COMPUTED_VALUE"""),"No")</f>
        <v>No</v>
      </c>
      <c r="K422" s="5" t="str">
        <f ca="1">IFERROR(__xludf.DUMMYFUNCTION("""COMPUTED_VALUE"""),"Yes")</f>
        <v>Yes</v>
      </c>
      <c r="L422" s="5" t="str">
        <f ca="1">IFERROR(__xludf.DUMMYFUNCTION("""COMPUTED_VALUE"""),"Yes")</f>
        <v>Yes</v>
      </c>
      <c r="M422" s="5" t="str">
        <f ca="1">IFERROR(__xludf.DUMMYFUNCTION("""COMPUTED_VALUE"""),"Yes")</f>
        <v>Yes</v>
      </c>
      <c r="N422" s="5" t="str">
        <f ca="1">IFERROR(__xludf.DUMMYFUNCTION("""COMPUTED_VALUE"""),"Yes")</f>
        <v>Yes</v>
      </c>
      <c r="O422" s="5" t="str">
        <f ca="1">IFERROR(__xludf.DUMMYFUNCTION("""COMPUTED_VALUE"""),"Yes")</f>
        <v>Yes</v>
      </c>
      <c r="P422" s="5" t="str">
        <f ca="1">IFERROR(__xludf.DUMMYFUNCTION("""COMPUTED_VALUE"""),"No")</f>
        <v>No</v>
      </c>
      <c r="Q422" s="5" t="str">
        <f ca="1">IFERROR(__xludf.DUMMYFUNCTION("""COMPUTED_VALUE"""),"Yes")</f>
        <v>Yes</v>
      </c>
      <c r="R422" s="5" t="str">
        <f ca="1">IFERROR(__xludf.DUMMYFUNCTION("""COMPUTED_VALUE"""),"No")</f>
        <v>No</v>
      </c>
      <c r="S422" s="5" t="str">
        <f ca="1">IFERROR(__xludf.DUMMYFUNCTION("""COMPUTED_VALUE"""),"No")</f>
        <v>No</v>
      </c>
      <c r="T422" s="5" t="str">
        <f ca="1">IFERROR(__xludf.DUMMYFUNCTION("""COMPUTED_VALUE"""),"No")</f>
        <v>No</v>
      </c>
      <c r="U422" s="5" t="str">
        <f ca="1">IFERROR(__xludf.DUMMYFUNCTION("""COMPUTED_VALUE"""),"No")</f>
        <v>No</v>
      </c>
      <c r="V422" s="5"/>
      <c r="W422" s="5"/>
      <c r="X422" s="5" t="str">
        <f ca="1">IFERROR(__xludf.DUMMYFUNCTION("""COMPUTED_VALUE"""),"Yes")</f>
        <v>Yes</v>
      </c>
      <c r="Y422" s="5"/>
      <c r="Z422" s="5" t="str">
        <f ca="1">IFERROR(__xludf.DUMMYFUNCTION("""COMPUTED_VALUE"""),"No")</f>
        <v>No</v>
      </c>
      <c r="AA422" s="5"/>
      <c r="AB422" s="5" t="str">
        <f ca="1">IFERROR(__xludf.DUMMYFUNCTION("""COMPUTED_VALUE"""),"Yes")</f>
        <v>Yes</v>
      </c>
      <c r="AC422" s="5" t="str">
        <f ca="1">IFERROR(__xludf.DUMMYFUNCTION("""COMPUTED_VALUE"""),"Yes")</f>
        <v>Yes</v>
      </c>
    </row>
    <row r="423" spans="1:29" x14ac:dyDescent="0.25">
      <c r="A423" s="5" t="str">
        <f ca="1">IFERROR(__xludf.DUMMYFUNCTION("""COMPUTED_VALUE"""),"RedstoneHotRushTripleStar")</f>
        <v>RedstoneHotRushTripleStar</v>
      </c>
      <c r="B42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3" s="5" t="str">
        <f ca="1">IFERROR(__xludf.DUMMYFUNCTION("""COMPUTED_VALUE"""),"Yes")</f>
        <v>Yes</v>
      </c>
      <c r="D423" s="5" t="str">
        <f ca="1">IFERROR(__xludf.DUMMYFUNCTION("""COMPUTED_VALUE"""),"Yes")</f>
        <v>Yes</v>
      </c>
      <c r="E423" s="5" t="str">
        <f ca="1">IFERROR(__xludf.DUMMYFUNCTION("""COMPUTED_VALUE"""),"No")</f>
        <v>No</v>
      </c>
      <c r="F423" s="5" t="str">
        <f ca="1">IFERROR(__xludf.DUMMYFUNCTION("""COMPUTED_VALUE"""),"Yes")</f>
        <v>Yes</v>
      </c>
      <c r="G423" s="5" t="str">
        <f ca="1">IFERROR(__xludf.DUMMYFUNCTION("""COMPUTED_VALUE"""),"Yes")</f>
        <v>Yes</v>
      </c>
      <c r="H423" s="5" t="str">
        <f ca="1">IFERROR(__xludf.DUMMYFUNCTION("""COMPUTED_VALUE"""),"Yes")</f>
        <v>Yes</v>
      </c>
      <c r="I423" s="5" t="str">
        <f ca="1">IFERROR(__xludf.DUMMYFUNCTION("""COMPUTED_VALUE"""),"Yes")</f>
        <v>Yes</v>
      </c>
      <c r="J423" s="5" t="str">
        <f ca="1">IFERROR(__xludf.DUMMYFUNCTION("""COMPUTED_VALUE"""),"Yes")</f>
        <v>Yes</v>
      </c>
      <c r="K423" s="5" t="str">
        <f ca="1">IFERROR(__xludf.DUMMYFUNCTION("""COMPUTED_VALUE"""),"Yes")</f>
        <v>Yes</v>
      </c>
      <c r="L423" s="5" t="str">
        <f ca="1">IFERROR(__xludf.DUMMYFUNCTION("""COMPUTED_VALUE"""),"Yes")</f>
        <v>Yes</v>
      </c>
      <c r="M423" s="5" t="str">
        <f ca="1">IFERROR(__xludf.DUMMYFUNCTION("""COMPUTED_VALUE"""),"Yes")</f>
        <v>Yes</v>
      </c>
      <c r="N423" s="5" t="str">
        <f ca="1">IFERROR(__xludf.DUMMYFUNCTION("""COMPUTED_VALUE"""),"Yes")</f>
        <v>Yes</v>
      </c>
      <c r="O423" s="5" t="str">
        <f ca="1">IFERROR(__xludf.DUMMYFUNCTION("""COMPUTED_VALUE"""),"Yes")</f>
        <v>Yes</v>
      </c>
      <c r="P423" s="5" t="str">
        <f ca="1">IFERROR(__xludf.DUMMYFUNCTION("""COMPUTED_VALUE"""),"Yes")</f>
        <v>Yes</v>
      </c>
      <c r="Q423" s="5" t="str">
        <f ca="1">IFERROR(__xludf.DUMMYFUNCTION("""COMPUTED_VALUE"""),"Yes")</f>
        <v>Yes</v>
      </c>
      <c r="R423" s="5" t="str">
        <f ca="1">IFERROR(__xludf.DUMMYFUNCTION("""COMPUTED_VALUE"""),"No")</f>
        <v>No</v>
      </c>
      <c r="S423" s="5" t="str">
        <f ca="1">IFERROR(__xludf.DUMMYFUNCTION("""COMPUTED_VALUE"""),"No")</f>
        <v>No</v>
      </c>
      <c r="T423" s="5" t="str">
        <f ca="1">IFERROR(__xludf.DUMMYFUNCTION("""COMPUTED_VALUE"""),"No")</f>
        <v>No</v>
      </c>
      <c r="U423" s="5" t="str">
        <f ca="1">IFERROR(__xludf.DUMMYFUNCTION("""COMPUTED_VALUE"""),"No")</f>
        <v>No</v>
      </c>
      <c r="V423" s="5" t="str">
        <f ca="1">IFERROR(__xludf.DUMMYFUNCTION("""COMPUTED_VALUE"""),"No")</f>
        <v>No</v>
      </c>
      <c r="W423" s="5" t="str">
        <f ca="1">IFERROR(__xludf.DUMMYFUNCTION("""COMPUTED_VALUE"""),"No")</f>
        <v>No</v>
      </c>
      <c r="X423" s="5" t="str">
        <f ca="1">IFERROR(__xludf.DUMMYFUNCTION("""COMPUTED_VALUE"""),"Yes")</f>
        <v>Yes</v>
      </c>
      <c r="Y423" s="5" t="str">
        <f ca="1">IFERROR(__xludf.DUMMYFUNCTION("""COMPUTED_VALUE"""),"No")</f>
        <v>No</v>
      </c>
      <c r="Z423" s="5" t="str">
        <f ca="1">IFERROR(__xludf.DUMMYFUNCTION("""COMPUTED_VALUE"""),"No")</f>
        <v>No</v>
      </c>
      <c r="AA423" s="5" t="str">
        <f ca="1">IFERROR(__xludf.DUMMYFUNCTION("""COMPUTED_VALUE"""),"No")</f>
        <v>No</v>
      </c>
      <c r="AB423" s="5" t="str">
        <f ca="1">IFERROR(__xludf.DUMMYFUNCTION("""COMPUTED_VALUE"""),"Yes")</f>
        <v>Yes</v>
      </c>
      <c r="AC423" s="5" t="str">
        <f ca="1">IFERROR(__xludf.DUMMYFUNCTION("""COMPUTED_VALUE"""),"No")</f>
        <v>No</v>
      </c>
    </row>
    <row r="424" spans="1:29" x14ac:dyDescent="0.25">
      <c r="A424" s="5" t="str">
        <f ca="1">IFERROR(__xludf.DUMMYFUNCTION("""COMPUTED_VALUE"""),"HeartsAndStars")</f>
        <v>HeartsAndStars</v>
      </c>
      <c r="B4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4" s="5" t="str">
        <f ca="1">IFERROR(__xludf.DUMMYFUNCTION("""COMPUTED_VALUE"""),"Yes")</f>
        <v>Yes</v>
      </c>
      <c r="D424" s="5" t="str">
        <f ca="1">IFERROR(__xludf.DUMMYFUNCTION("""COMPUTED_VALUE"""),"Yes")</f>
        <v>Yes</v>
      </c>
      <c r="E424" s="5" t="str">
        <f ca="1">IFERROR(__xludf.DUMMYFUNCTION("""COMPUTED_VALUE"""),"Yes")</f>
        <v>Yes</v>
      </c>
      <c r="F424" s="5" t="str">
        <f ca="1">IFERROR(__xludf.DUMMYFUNCTION("""COMPUTED_VALUE"""),"Yes")</f>
        <v>Yes</v>
      </c>
      <c r="G424" s="5" t="str">
        <f ca="1">IFERROR(__xludf.DUMMYFUNCTION("""COMPUTED_VALUE"""),"Yes")</f>
        <v>Yes</v>
      </c>
      <c r="H424" s="5" t="str">
        <f ca="1">IFERROR(__xludf.DUMMYFUNCTION("""COMPUTED_VALUE"""),"Yes")</f>
        <v>Yes</v>
      </c>
      <c r="I424" s="5" t="str">
        <f ca="1">IFERROR(__xludf.DUMMYFUNCTION("""COMPUTED_VALUE"""),"Yes")</f>
        <v>Yes</v>
      </c>
      <c r="J424" s="5" t="str">
        <f ca="1">IFERROR(__xludf.DUMMYFUNCTION("""COMPUTED_VALUE"""),"Yes")</f>
        <v>Yes</v>
      </c>
      <c r="K424" s="5" t="str">
        <f ca="1">IFERROR(__xludf.DUMMYFUNCTION("""COMPUTED_VALUE"""),"Yes")</f>
        <v>Yes</v>
      </c>
      <c r="L424" s="5" t="str">
        <f ca="1">IFERROR(__xludf.DUMMYFUNCTION("""COMPUTED_VALUE"""),"Yes")</f>
        <v>Yes</v>
      </c>
      <c r="M424" s="5" t="str">
        <f ca="1">IFERROR(__xludf.DUMMYFUNCTION("""COMPUTED_VALUE"""),"Yes")</f>
        <v>Yes</v>
      </c>
      <c r="N424" s="5" t="str">
        <f ca="1">IFERROR(__xludf.DUMMYFUNCTION("""COMPUTED_VALUE"""),"Yes")</f>
        <v>Yes</v>
      </c>
      <c r="O424" s="5" t="str">
        <f ca="1">IFERROR(__xludf.DUMMYFUNCTION("""COMPUTED_VALUE"""),"Yes")</f>
        <v>Yes</v>
      </c>
      <c r="P424" s="5" t="str">
        <f ca="1">IFERROR(__xludf.DUMMYFUNCTION("""COMPUTED_VALUE"""),"Yes")</f>
        <v>Yes</v>
      </c>
      <c r="Q424" s="5" t="str">
        <f ca="1">IFERROR(__xludf.DUMMYFUNCTION("""COMPUTED_VALUE"""),"Yes")</f>
        <v>Yes</v>
      </c>
      <c r="R424" s="5" t="str">
        <f ca="1">IFERROR(__xludf.DUMMYFUNCTION("""COMPUTED_VALUE"""),"Yes")</f>
        <v>Yes</v>
      </c>
      <c r="S424" s="5" t="str">
        <f ca="1">IFERROR(__xludf.DUMMYFUNCTION("""COMPUTED_VALUE"""),"Yes")</f>
        <v>Yes</v>
      </c>
      <c r="T424" s="5" t="str">
        <f ca="1">IFERROR(__xludf.DUMMYFUNCTION("""COMPUTED_VALUE"""),"Yes")</f>
        <v>Yes</v>
      </c>
      <c r="U424" s="5" t="str">
        <f ca="1">IFERROR(__xludf.DUMMYFUNCTION("""COMPUTED_VALUE"""),"Yes")</f>
        <v>Yes</v>
      </c>
      <c r="V424" s="5" t="str">
        <f ca="1">IFERROR(__xludf.DUMMYFUNCTION("""COMPUTED_VALUE"""),"Yes")</f>
        <v>Yes</v>
      </c>
      <c r="W424" s="5" t="str">
        <f ca="1">IFERROR(__xludf.DUMMYFUNCTION("""COMPUTED_VALUE"""),"Yes")</f>
        <v>Yes</v>
      </c>
      <c r="X424" s="5" t="str">
        <f ca="1">IFERROR(__xludf.DUMMYFUNCTION("""COMPUTED_VALUE"""),"Yes")</f>
        <v>Yes</v>
      </c>
      <c r="Y424" s="5" t="str">
        <f ca="1">IFERROR(__xludf.DUMMYFUNCTION("""COMPUTED_VALUE"""),"Yes")</f>
        <v>Yes</v>
      </c>
      <c r="Z424" s="5" t="str">
        <f ca="1">IFERROR(__xludf.DUMMYFUNCTION("""COMPUTED_VALUE"""),"Yes")</f>
        <v>Yes</v>
      </c>
      <c r="AA424" s="5" t="str">
        <f ca="1">IFERROR(__xludf.DUMMYFUNCTION("""COMPUTED_VALUE"""),"Yes")</f>
        <v>Yes</v>
      </c>
      <c r="AB424" s="5" t="str">
        <f ca="1">IFERROR(__xludf.DUMMYFUNCTION("""COMPUTED_VALUE"""),"Yes")</f>
        <v>Yes</v>
      </c>
      <c r="AC424" s="5" t="str">
        <f ca="1">IFERROR(__xludf.DUMMYFUNCTION("""COMPUTED_VALUE"""),"No")</f>
        <v>No</v>
      </c>
    </row>
    <row r="425" spans="1:29" x14ac:dyDescent="0.25">
      <c r="A425" s="5" t="str">
        <f ca="1">IFERROR(__xludf.DUMMYFUNCTION("""COMPUTED_VALUE"""),"TopHot5")</f>
        <v>TopHot5</v>
      </c>
      <c r="B4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5" s="5" t="str">
        <f ca="1">IFERROR(__xludf.DUMMYFUNCTION("""COMPUTED_VALUE"""),"Yes")</f>
        <v>Yes</v>
      </c>
      <c r="D425" s="5" t="str">
        <f ca="1">IFERROR(__xludf.DUMMYFUNCTION("""COMPUTED_VALUE"""),"Yes")</f>
        <v>Yes</v>
      </c>
      <c r="E425" s="5" t="str">
        <f ca="1">IFERROR(__xludf.DUMMYFUNCTION("""COMPUTED_VALUE"""),"Yes")</f>
        <v>Yes</v>
      </c>
      <c r="F425" s="5" t="str">
        <f ca="1">IFERROR(__xludf.DUMMYFUNCTION("""COMPUTED_VALUE"""),"Yes")</f>
        <v>Yes</v>
      </c>
      <c r="G425" s="5" t="str">
        <f ca="1">IFERROR(__xludf.DUMMYFUNCTION("""COMPUTED_VALUE"""),"Yes")</f>
        <v>Yes</v>
      </c>
      <c r="H425" s="5" t="str">
        <f ca="1">IFERROR(__xludf.DUMMYFUNCTION("""COMPUTED_VALUE"""),"Yes")</f>
        <v>Yes</v>
      </c>
      <c r="I425" s="5" t="str">
        <f ca="1">IFERROR(__xludf.DUMMYFUNCTION("""COMPUTED_VALUE"""),"Yes")</f>
        <v>Yes</v>
      </c>
      <c r="J425" s="5" t="str">
        <f ca="1">IFERROR(__xludf.DUMMYFUNCTION("""COMPUTED_VALUE"""),"Yes")</f>
        <v>Yes</v>
      </c>
      <c r="K425" s="5" t="str">
        <f ca="1">IFERROR(__xludf.DUMMYFUNCTION("""COMPUTED_VALUE"""),"Yes")</f>
        <v>Yes</v>
      </c>
      <c r="L425" s="5" t="str">
        <f ca="1">IFERROR(__xludf.DUMMYFUNCTION("""COMPUTED_VALUE"""),"Yes")</f>
        <v>Yes</v>
      </c>
      <c r="M425" s="5" t="str">
        <f ca="1">IFERROR(__xludf.DUMMYFUNCTION("""COMPUTED_VALUE"""),"Yes")</f>
        <v>Yes</v>
      </c>
      <c r="N425" s="5" t="str">
        <f ca="1">IFERROR(__xludf.DUMMYFUNCTION("""COMPUTED_VALUE"""),"Yes")</f>
        <v>Yes</v>
      </c>
      <c r="O425" s="5" t="str">
        <f ca="1">IFERROR(__xludf.DUMMYFUNCTION("""COMPUTED_VALUE"""),"Yes")</f>
        <v>Yes</v>
      </c>
      <c r="P425" s="5" t="str">
        <f ca="1">IFERROR(__xludf.DUMMYFUNCTION("""COMPUTED_VALUE"""),"Yes")</f>
        <v>Yes</v>
      </c>
      <c r="Q425" s="5" t="str">
        <f ca="1">IFERROR(__xludf.DUMMYFUNCTION("""COMPUTED_VALUE"""),"Yes")</f>
        <v>Yes</v>
      </c>
      <c r="R425" s="5" t="str">
        <f ca="1">IFERROR(__xludf.DUMMYFUNCTION("""COMPUTED_VALUE"""),"Yes")</f>
        <v>Yes</v>
      </c>
      <c r="S425" s="5" t="str">
        <f ca="1">IFERROR(__xludf.DUMMYFUNCTION("""COMPUTED_VALUE"""),"Yes")</f>
        <v>Yes</v>
      </c>
      <c r="T425" s="5" t="str">
        <f ca="1">IFERROR(__xludf.DUMMYFUNCTION("""COMPUTED_VALUE"""),"Yes")</f>
        <v>Yes</v>
      </c>
      <c r="U425" s="5" t="str">
        <f ca="1">IFERROR(__xludf.DUMMYFUNCTION("""COMPUTED_VALUE"""),"Yes")</f>
        <v>Yes</v>
      </c>
      <c r="V425" s="5" t="str">
        <f ca="1">IFERROR(__xludf.DUMMYFUNCTION("""COMPUTED_VALUE"""),"Yes")</f>
        <v>Yes</v>
      </c>
      <c r="W425" s="5" t="str">
        <f ca="1">IFERROR(__xludf.DUMMYFUNCTION("""COMPUTED_VALUE"""),"Yes")</f>
        <v>Yes</v>
      </c>
      <c r="X425" s="5" t="str">
        <f ca="1">IFERROR(__xludf.DUMMYFUNCTION("""COMPUTED_VALUE"""),"Yes")</f>
        <v>Yes</v>
      </c>
      <c r="Y425" s="5" t="str">
        <f ca="1">IFERROR(__xludf.DUMMYFUNCTION("""COMPUTED_VALUE"""),"Yes")</f>
        <v>Yes</v>
      </c>
      <c r="Z425" s="5" t="str">
        <f ca="1">IFERROR(__xludf.DUMMYFUNCTION("""COMPUTED_VALUE"""),"Yes")</f>
        <v>Yes</v>
      </c>
      <c r="AA425" s="5" t="str">
        <f ca="1">IFERROR(__xludf.DUMMYFUNCTION("""COMPUTED_VALUE"""),"Yes")</f>
        <v>Yes</v>
      </c>
      <c r="AB425" s="5" t="str">
        <f ca="1">IFERROR(__xludf.DUMMYFUNCTION("""COMPUTED_VALUE"""),"Yes")</f>
        <v>Yes</v>
      </c>
      <c r="AC425" s="5" t="str">
        <f ca="1">IFERROR(__xludf.DUMMYFUNCTION("""COMPUTED_VALUE"""),"No")</f>
        <v>No</v>
      </c>
    </row>
    <row r="426" spans="1:29" x14ac:dyDescent="0.25">
      <c r="A426" s="5" t="str">
        <f ca="1">IFERROR(__xludf.DUMMYFUNCTION("""COMPUTED_VALUE"""),"UnicornBigSpinSevens")</f>
        <v>UnicornBigSpinSevens</v>
      </c>
      <c r="B426" s="5" t="str">
        <f ca="1">IFERROR(__xludf.DUMMYFUNCTION("""COMPUTED_VALUE"""),"English(""eng"")")</f>
        <v>English("eng")</v>
      </c>
      <c r="C426" s="5" t="str">
        <f ca="1">IFERROR(__xludf.DUMMYFUNCTION("""COMPUTED_VALUE"""),"Yes")</f>
        <v>Yes</v>
      </c>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spans="1:29" x14ac:dyDescent="0.25">
      <c r="A427" s="5" t="str">
        <f ca="1">IFERROR(__xludf.DUMMYFUNCTION("""COMPUTED_VALUE"""),"RedstoneHotRushFruitLines")</f>
        <v>RedstoneHotRushFruitLines</v>
      </c>
      <c r="B42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7" s="5" t="str">
        <f ca="1">IFERROR(__xludf.DUMMYFUNCTION("""COMPUTED_VALUE"""),"Yes")</f>
        <v>Yes</v>
      </c>
      <c r="D427" s="5" t="str">
        <f ca="1">IFERROR(__xludf.DUMMYFUNCTION("""COMPUTED_VALUE"""),"Yes")</f>
        <v>Yes</v>
      </c>
      <c r="E427" s="5" t="str">
        <f ca="1">IFERROR(__xludf.DUMMYFUNCTION("""COMPUTED_VALUE"""),"Yes")</f>
        <v>Yes</v>
      </c>
      <c r="F427" s="5" t="str">
        <f ca="1">IFERROR(__xludf.DUMMYFUNCTION("""COMPUTED_VALUE"""),"No")</f>
        <v>No</v>
      </c>
      <c r="G427" s="5" t="str">
        <f ca="1">IFERROR(__xludf.DUMMYFUNCTION("""COMPUTED_VALUE"""),"No")</f>
        <v>No</v>
      </c>
      <c r="H427" s="5" t="str">
        <f ca="1">IFERROR(__xludf.DUMMYFUNCTION("""COMPUTED_VALUE"""),"No")</f>
        <v>No</v>
      </c>
      <c r="I427" s="5" t="str">
        <f ca="1">IFERROR(__xludf.DUMMYFUNCTION("""COMPUTED_VALUE"""),"No")</f>
        <v>No</v>
      </c>
      <c r="J427" s="5" t="str">
        <f ca="1">IFERROR(__xludf.DUMMYFUNCTION("""COMPUTED_VALUE"""),"No")</f>
        <v>No</v>
      </c>
      <c r="K427" s="5" t="str">
        <f ca="1">IFERROR(__xludf.DUMMYFUNCTION("""COMPUTED_VALUE"""),"Yes")</f>
        <v>Yes</v>
      </c>
      <c r="L427" s="5" t="str">
        <f ca="1">IFERROR(__xludf.DUMMYFUNCTION("""COMPUTED_VALUE"""),"Yes")</f>
        <v>Yes</v>
      </c>
      <c r="M427" s="5" t="str">
        <f ca="1">IFERROR(__xludf.DUMMYFUNCTION("""COMPUTED_VALUE"""),"Yes")</f>
        <v>Yes</v>
      </c>
      <c r="N427" s="5" t="str">
        <f ca="1">IFERROR(__xludf.DUMMYFUNCTION("""COMPUTED_VALUE"""),"Yes")</f>
        <v>Yes</v>
      </c>
      <c r="O427" s="5" t="str">
        <f ca="1">IFERROR(__xludf.DUMMYFUNCTION("""COMPUTED_VALUE"""),"Yes")</f>
        <v>Yes</v>
      </c>
      <c r="P427" s="5" t="str">
        <f ca="1">IFERROR(__xludf.DUMMYFUNCTION("""COMPUTED_VALUE"""),"No")</f>
        <v>No</v>
      </c>
      <c r="Q427" s="5" t="str">
        <f ca="1">IFERROR(__xludf.DUMMYFUNCTION("""COMPUTED_VALUE"""),"Yes")</f>
        <v>Yes</v>
      </c>
      <c r="R427" s="5" t="str">
        <f ca="1">IFERROR(__xludf.DUMMYFUNCTION("""COMPUTED_VALUE"""),"No")</f>
        <v>No</v>
      </c>
      <c r="S427" s="5" t="str">
        <f ca="1">IFERROR(__xludf.DUMMYFUNCTION("""COMPUTED_VALUE"""),"No")</f>
        <v>No</v>
      </c>
      <c r="T427" s="5" t="str">
        <f ca="1">IFERROR(__xludf.DUMMYFUNCTION("""COMPUTED_VALUE"""),"No")</f>
        <v>No</v>
      </c>
      <c r="U427" s="5" t="str">
        <f ca="1">IFERROR(__xludf.DUMMYFUNCTION("""COMPUTED_VALUE"""),"No")</f>
        <v>No</v>
      </c>
      <c r="V427" s="5"/>
      <c r="W427" s="5"/>
      <c r="X427" s="5" t="str">
        <f ca="1">IFERROR(__xludf.DUMMYFUNCTION("""COMPUTED_VALUE"""),"Yes")</f>
        <v>Yes</v>
      </c>
      <c r="Y427" s="5"/>
      <c r="Z427" s="5" t="str">
        <f ca="1">IFERROR(__xludf.DUMMYFUNCTION("""COMPUTED_VALUE"""),"No")</f>
        <v>No</v>
      </c>
      <c r="AA427" s="5"/>
      <c r="AB427" s="5" t="str">
        <f ca="1">IFERROR(__xludf.DUMMYFUNCTION("""COMPUTED_VALUE"""),"Yes")</f>
        <v>Yes</v>
      </c>
      <c r="AC427" s="5" t="str">
        <f ca="1">IFERROR(__xludf.DUMMYFUNCTION("""COMPUTED_VALUE"""),"Yes")</f>
        <v>Yes</v>
      </c>
    </row>
    <row r="428" spans="1:29" x14ac:dyDescent="0.25">
      <c r="A428" s="5" t="str">
        <f ca="1">IFERROR(__xludf.DUMMYFUNCTION("""COMPUTED_VALUE"""),"HinamisForestOfMagic")</f>
        <v>HinamisForestOfMagic</v>
      </c>
      <c r="B42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28" s="5" t="str">
        <f ca="1">IFERROR(__xludf.DUMMYFUNCTION("""COMPUTED_VALUE"""),"Yes")</f>
        <v>Yes</v>
      </c>
      <c r="D428" s="5" t="str">
        <f ca="1">IFERROR(__xludf.DUMMYFUNCTION("""COMPUTED_VALUE"""),"Yes")</f>
        <v>Yes</v>
      </c>
      <c r="E428" s="5" t="str">
        <f ca="1">IFERROR(__xludf.DUMMYFUNCTION("""COMPUTED_VALUE"""),"No")</f>
        <v>No</v>
      </c>
      <c r="F428" s="5" t="str">
        <f ca="1">IFERROR(__xludf.DUMMYFUNCTION("""COMPUTED_VALUE"""),"Yes")</f>
        <v>Yes</v>
      </c>
      <c r="G428" s="5" t="str">
        <f ca="1">IFERROR(__xludf.DUMMYFUNCTION("""COMPUTED_VALUE"""),"Yes")</f>
        <v>Yes</v>
      </c>
      <c r="H428" s="5" t="str">
        <f ca="1">IFERROR(__xludf.DUMMYFUNCTION("""COMPUTED_VALUE"""),"Yes")</f>
        <v>Yes</v>
      </c>
      <c r="I428" s="5" t="str">
        <f ca="1">IFERROR(__xludf.DUMMYFUNCTION("""COMPUTED_VALUE"""),"Yes")</f>
        <v>Yes</v>
      </c>
      <c r="J428" s="5" t="str">
        <f ca="1">IFERROR(__xludf.DUMMYFUNCTION("""COMPUTED_VALUE"""),"Yes")</f>
        <v>Yes</v>
      </c>
      <c r="K428" s="5" t="str">
        <f ca="1">IFERROR(__xludf.DUMMYFUNCTION("""COMPUTED_VALUE"""),"Yes")</f>
        <v>Yes</v>
      </c>
      <c r="L428" s="5" t="str">
        <f ca="1">IFERROR(__xludf.DUMMYFUNCTION("""COMPUTED_VALUE"""),"Yes")</f>
        <v>Yes</v>
      </c>
      <c r="M428" s="5" t="str">
        <f ca="1">IFERROR(__xludf.DUMMYFUNCTION("""COMPUTED_VALUE"""),"Yes")</f>
        <v>Yes</v>
      </c>
      <c r="N428" s="5" t="str">
        <f ca="1">IFERROR(__xludf.DUMMYFUNCTION("""COMPUTED_VALUE"""),"Yes")</f>
        <v>Yes</v>
      </c>
      <c r="O428" s="5" t="str">
        <f ca="1">IFERROR(__xludf.DUMMYFUNCTION("""COMPUTED_VALUE"""),"Yes")</f>
        <v>Yes</v>
      </c>
      <c r="P428" s="5" t="str">
        <f ca="1">IFERROR(__xludf.DUMMYFUNCTION("""COMPUTED_VALUE"""),"Yes")</f>
        <v>Yes</v>
      </c>
      <c r="Q428" s="5" t="str">
        <f ca="1">IFERROR(__xludf.DUMMYFUNCTION("""COMPUTED_VALUE"""),"Yes")</f>
        <v>Yes</v>
      </c>
      <c r="R428" s="5" t="str">
        <f ca="1">IFERROR(__xludf.DUMMYFUNCTION("""COMPUTED_VALUE"""),"No")</f>
        <v>No</v>
      </c>
      <c r="S428" s="5" t="str">
        <f ca="1">IFERROR(__xludf.DUMMYFUNCTION("""COMPUTED_VALUE"""),"No")</f>
        <v>No</v>
      </c>
      <c r="T428" s="5" t="str">
        <f ca="1">IFERROR(__xludf.DUMMYFUNCTION("""COMPUTED_VALUE"""),"No")</f>
        <v>No</v>
      </c>
      <c r="U428" s="5" t="str">
        <f ca="1">IFERROR(__xludf.DUMMYFUNCTION("""COMPUTED_VALUE"""),"No")</f>
        <v>No</v>
      </c>
      <c r="V428" s="5" t="str">
        <f ca="1">IFERROR(__xludf.DUMMYFUNCTION("""COMPUTED_VALUE"""),"No")</f>
        <v>No</v>
      </c>
      <c r="W428" s="5" t="str">
        <f ca="1">IFERROR(__xludf.DUMMYFUNCTION("""COMPUTED_VALUE"""),"No")</f>
        <v>No</v>
      </c>
      <c r="X428" s="5" t="str">
        <f ca="1">IFERROR(__xludf.DUMMYFUNCTION("""COMPUTED_VALUE"""),"No")</f>
        <v>No</v>
      </c>
      <c r="Y428" s="5" t="str">
        <f ca="1">IFERROR(__xludf.DUMMYFUNCTION("""COMPUTED_VALUE"""),"No")</f>
        <v>No</v>
      </c>
      <c r="Z428" s="5" t="str">
        <f ca="1">IFERROR(__xludf.DUMMYFUNCTION("""COMPUTED_VALUE"""),"No")</f>
        <v>No</v>
      </c>
      <c r="AA428" s="5" t="str">
        <f ca="1">IFERROR(__xludf.DUMMYFUNCTION("""COMPUTED_VALUE"""),"No")</f>
        <v>No</v>
      </c>
      <c r="AB428" s="5" t="str">
        <f ca="1">IFERROR(__xludf.DUMMYFUNCTION("""COMPUTED_VALUE"""),"Yes")</f>
        <v>Yes</v>
      </c>
      <c r="AC428" s="5" t="str">
        <f ca="1">IFERROR(__xludf.DUMMYFUNCTION("""COMPUTED_VALUE"""),"No")</f>
        <v>No</v>
      </c>
    </row>
    <row r="429" spans="1:29" x14ac:dyDescent="0.25">
      <c r="A429" s="5" t="str">
        <f ca="1">IFERROR(__xludf.DUMMYFUNCTION("""COMPUTED_VALUE"""),"RunningMice")</f>
        <v>RunningMice</v>
      </c>
      <c r="B42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429" s="5" t="str">
        <f ca="1">IFERROR(__xludf.DUMMYFUNCTION("""COMPUTED_VALUE"""),"Yes")</f>
        <v>Yes</v>
      </c>
      <c r="D429" s="5" t="str">
        <f ca="1">IFERROR(__xludf.DUMMYFUNCTION("""COMPUTED_VALUE"""),"Yes")</f>
        <v>Yes</v>
      </c>
      <c r="E429" s="5" t="str">
        <f ca="1">IFERROR(__xludf.DUMMYFUNCTION("""COMPUTED_VALUE"""),"Yes")</f>
        <v>Yes</v>
      </c>
      <c r="F429" s="5" t="str">
        <f ca="1">IFERROR(__xludf.DUMMYFUNCTION("""COMPUTED_VALUE"""),"No")</f>
        <v>No</v>
      </c>
      <c r="G429" s="5" t="str">
        <f ca="1">IFERROR(__xludf.DUMMYFUNCTION("""COMPUTED_VALUE"""),"No")</f>
        <v>No</v>
      </c>
      <c r="H429" s="5" t="str">
        <f ca="1">IFERROR(__xludf.DUMMYFUNCTION("""COMPUTED_VALUE"""),"No")</f>
        <v>No</v>
      </c>
      <c r="I429" s="5" t="str">
        <f ca="1">IFERROR(__xludf.DUMMYFUNCTION("""COMPUTED_VALUE"""),"No")</f>
        <v>No</v>
      </c>
      <c r="J429" s="5" t="str">
        <f ca="1">IFERROR(__xludf.DUMMYFUNCTION("""COMPUTED_VALUE"""),"No")</f>
        <v>No</v>
      </c>
      <c r="K429" s="5" t="str">
        <f ca="1">IFERROR(__xludf.DUMMYFUNCTION("""COMPUTED_VALUE"""),"Yes")</f>
        <v>Yes</v>
      </c>
      <c r="L429" s="5" t="str">
        <f ca="1">IFERROR(__xludf.DUMMYFUNCTION("""COMPUTED_VALUE"""),"Yes")</f>
        <v>Yes</v>
      </c>
      <c r="M429" s="5" t="str">
        <f ca="1">IFERROR(__xludf.DUMMYFUNCTION("""COMPUTED_VALUE"""),"Yes")</f>
        <v>Yes</v>
      </c>
      <c r="N429" s="5" t="str">
        <f ca="1">IFERROR(__xludf.DUMMYFUNCTION("""COMPUTED_VALUE"""),"Yes")</f>
        <v>Yes</v>
      </c>
      <c r="O429" s="5" t="str">
        <f ca="1">IFERROR(__xludf.DUMMYFUNCTION("""COMPUTED_VALUE"""),"Yes")</f>
        <v>Yes</v>
      </c>
      <c r="P429" s="5" t="str">
        <f ca="1">IFERROR(__xludf.DUMMYFUNCTION("""COMPUTED_VALUE"""),"No")</f>
        <v>No</v>
      </c>
      <c r="Q429" s="5" t="str">
        <f ca="1">IFERROR(__xludf.DUMMYFUNCTION("""COMPUTED_VALUE"""),"Yes")</f>
        <v>Yes</v>
      </c>
      <c r="R429" s="5" t="str">
        <f ca="1">IFERROR(__xludf.DUMMYFUNCTION("""COMPUTED_VALUE"""),"No")</f>
        <v>No</v>
      </c>
      <c r="S429" s="5" t="str">
        <f ca="1">IFERROR(__xludf.DUMMYFUNCTION("""COMPUTED_VALUE"""),"No")</f>
        <v>No</v>
      </c>
      <c r="T429" s="5" t="str">
        <f ca="1">IFERROR(__xludf.DUMMYFUNCTION("""COMPUTED_VALUE"""),"No")</f>
        <v>No</v>
      </c>
      <c r="U429" s="5" t="str">
        <f ca="1">IFERROR(__xludf.DUMMYFUNCTION("""COMPUTED_VALUE"""),"No")</f>
        <v>No</v>
      </c>
      <c r="V429" s="5"/>
      <c r="W429" s="5"/>
      <c r="X429" s="5"/>
      <c r="Y429" s="5"/>
      <c r="Z429" s="5" t="str">
        <f ca="1">IFERROR(__xludf.DUMMYFUNCTION("""COMPUTED_VALUE"""),"No")</f>
        <v>No</v>
      </c>
      <c r="AA429" s="5"/>
      <c r="AB429" s="5"/>
      <c r="AC429" s="5"/>
    </row>
    <row r="430" spans="1:29" x14ac:dyDescent="0.25">
      <c r="A430" s="5" t="str">
        <f ca="1">IFERROR(__xludf.DUMMYFUNCTION("""COMPUTED_VALUE"""),"Wild5")</f>
        <v>Wild5</v>
      </c>
      <c r="B4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0" s="5" t="str">
        <f ca="1">IFERROR(__xludf.DUMMYFUNCTION("""COMPUTED_VALUE"""),"Yes")</f>
        <v>Yes</v>
      </c>
      <c r="D430" s="5" t="str">
        <f ca="1">IFERROR(__xludf.DUMMYFUNCTION("""COMPUTED_VALUE"""),"Yes")</f>
        <v>Yes</v>
      </c>
      <c r="E430" s="5" t="str">
        <f ca="1">IFERROR(__xludf.DUMMYFUNCTION("""COMPUTED_VALUE"""),"Yes")</f>
        <v>Yes</v>
      </c>
      <c r="F430" s="5" t="str">
        <f ca="1">IFERROR(__xludf.DUMMYFUNCTION("""COMPUTED_VALUE"""),"Yes")</f>
        <v>Yes</v>
      </c>
      <c r="G430" s="5" t="str">
        <f ca="1">IFERROR(__xludf.DUMMYFUNCTION("""COMPUTED_VALUE"""),"Yes")</f>
        <v>Yes</v>
      </c>
      <c r="H430" s="5" t="str">
        <f ca="1">IFERROR(__xludf.DUMMYFUNCTION("""COMPUTED_VALUE"""),"Yes")</f>
        <v>Yes</v>
      </c>
      <c r="I430" s="5" t="str">
        <f ca="1">IFERROR(__xludf.DUMMYFUNCTION("""COMPUTED_VALUE"""),"Yes")</f>
        <v>Yes</v>
      </c>
      <c r="J430" s="5" t="str">
        <f ca="1">IFERROR(__xludf.DUMMYFUNCTION("""COMPUTED_VALUE"""),"Yes")</f>
        <v>Yes</v>
      </c>
      <c r="K430" s="5" t="str">
        <f ca="1">IFERROR(__xludf.DUMMYFUNCTION("""COMPUTED_VALUE"""),"Yes")</f>
        <v>Yes</v>
      </c>
      <c r="L430" s="5" t="str">
        <f ca="1">IFERROR(__xludf.DUMMYFUNCTION("""COMPUTED_VALUE"""),"Yes")</f>
        <v>Yes</v>
      </c>
      <c r="M430" s="5" t="str">
        <f ca="1">IFERROR(__xludf.DUMMYFUNCTION("""COMPUTED_VALUE"""),"Yes")</f>
        <v>Yes</v>
      </c>
      <c r="N430" s="5" t="str">
        <f ca="1">IFERROR(__xludf.DUMMYFUNCTION("""COMPUTED_VALUE"""),"Yes")</f>
        <v>Yes</v>
      </c>
      <c r="O430" s="5" t="str">
        <f ca="1">IFERROR(__xludf.DUMMYFUNCTION("""COMPUTED_VALUE"""),"Yes")</f>
        <v>Yes</v>
      </c>
      <c r="P430" s="5" t="str">
        <f ca="1">IFERROR(__xludf.DUMMYFUNCTION("""COMPUTED_VALUE"""),"Yes")</f>
        <v>Yes</v>
      </c>
      <c r="Q430" s="5" t="str">
        <f ca="1">IFERROR(__xludf.DUMMYFUNCTION("""COMPUTED_VALUE"""),"Yes")</f>
        <v>Yes</v>
      </c>
      <c r="R430" s="5" t="str">
        <f ca="1">IFERROR(__xludf.DUMMYFUNCTION("""COMPUTED_VALUE"""),"Yes")</f>
        <v>Yes</v>
      </c>
      <c r="S430" s="5" t="str">
        <f ca="1">IFERROR(__xludf.DUMMYFUNCTION("""COMPUTED_VALUE"""),"Yes")</f>
        <v>Yes</v>
      </c>
      <c r="T430" s="5" t="str">
        <f ca="1">IFERROR(__xludf.DUMMYFUNCTION("""COMPUTED_VALUE"""),"Yes")</f>
        <v>Yes</v>
      </c>
      <c r="U430" s="5" t="str">
        <f ca="1">IFERROR(__xludf.DUMMYFUNCTION("""COMPUTED_VALUE"""),"Yes")</f>
        <v>Yes</v>
      </c>
      <c r="V430" s="5" t="str">
        <f ca="1">IFERROR(__xludf.DUMMYFUNCTION("""COMPUTED_VALUE"""),"Yes")</f>
        <v>Yes</v>
      </c>
      <c r="W430" s="5" t="str">
        <f ca="1">IFERROR(__xludf.DUMMYFUNCTION("""COMPUTED_VALUE"""),"Yes")</f>
        <v>Yes</v>
      </c>
      <c r="X430" s="5" t="str">
        <f ca="1">IFERROR(__xludf.DUMMYFUNCTION("""COMPUTED_VALUE"""),"Yes")</f>
        <v>Yes</v>
      </c>
      <c r="Y430" s="5" t="str">
        <f ca="1">IFERROR(__xludf.DUMMYFUNCTION("""COMPUTED_VALUE"""),"Yes")</f>
        <v>Yes</v>
      </c>
      <c r="Z430" s="5" t="str">
        <f ca="1">IFERROR(__xludf.DUMMYFUNCTION("""COMPUTED_VALUE"""),"Yes")</f>
        <v>Yes</v>
      </c>
      <c r="AA430" s="5" t="str">
        <f ca="1">IFERROR(__xludf.DUMMYFUNCTION("""COMPUTED_VALUE"""),"Yes")</f>
        <v>Yes</v>
      </c>
      <c r="AB430" s="5" t="str">
        <f ca="1">IFERROR(__xludf.DUMMYFUNCTION("""COMPUTED_VALUE"""),"Yes")</f>
        <v>Yes</v>
      </c>
      <c r="AC430" s="5" t="str">
        <f ca="1">IFERROR(__xludf.DUMMYFUNCTION("""COMPUTED_VALUE"""),"No")</f>
        <v>No</v>
      </c>
    </row>
    <row r="431" spans="1:29" x14ac:dyDescent="0.25">
      <c r="A431" s="5" t="str">
        <f ca="1">IFERROR(__xludf.DUMMYFUNCTION("""COMPUTED_VALUE"""),"BrilliantHeart")</f>
        <v>BrilliantHeart</v>
      </c>
      <c r="B4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1" s="5" t="str">
        <f ca="1">IFERROR(__xludf.DUMMYFUNCTION("""COMPUTED_VALUE"""),"Yes")</f>
        <v>Yes</v>
      </c>
      <c r="D431" s="5" t="str">
        <f ca="1">IFERROR(__xludf.DUMMYFUNCTION("""COMPUTED_VALUE"""),"Yes")</f>
        <v>Yes</v>
      </c>
      <c r="E431" s="5" t="str">
        <f ca="1">IFERROR(__xludf.DUMMYFUNCTION("""COMPUTED_VALUE"""),"Yes")</f>
        <v>Yes</v>
      </c>
      <c r="F431" s="5" t="str">
        <f ca="1">IFERROR(__xludf.DUMMYFUNCTION("""COMPUTED_VALUE"""),"Yes")</f>
        <v>Yes</v>
      </c>
      <c r="G431" s="5" t="str">
        <f ca="1">IFERROR(__xludf.DUMMYFUNCTION("""COMPUTED_VALUE"""),"Yes")</f>
        <v>Yes</v>
      </c>
      <c r="H431" s="5" t="str">
        <f ca="1">IFERROR(__xludf.DUMMYFUNCTION("""COMPUTED_VALUE"""),"Yes")</f>
        <v>Yes</v>
      </c>
      <c r="I431" s="5" t="str">
        <f ca="1">IFERROR(__xludf.DUMMYFUNCTION("""COMPUTED_VALUE"""),"Yes")</f>
        <v>Yes</v>
      </c>
      <c r="J431" s="5" t="str">
        <f ca="1">IFERROR(__xludf.DUMMYFUNCTION("""COMPUTED_VALUE"""),"Yes")</f>
        <v>Yes</v>
      </c>
      <c r="K431" s="5" t="str">
        <f ca="1">IFERROR(__xludf.DUMMYFUNCTION("""COMPUTED_VALUE"""),"Yes")</f>
        <v>Yes</v>
      </c>
      <c r="L431" s="5" t="str">
        <f ca="1">IFERROR(__xludf.DUMMYFUNCTION("""COMPUTED_VALUE"""),"Yes")</f>
        <v>Yes</v>
      </c>
      <c r="M431" s="5" t="str">
        <f ca="1">IFERROR(__xludf.DUMMYFUNCTION("""COMPUTED_VALUE"""),"Yes")</f>
        <v>Yes</v>
      </c>
      <c r="N431" s="5" t="str">
        <f ca="1">IFERROR(__xludf.DUMMYFUNCTION("""COMPUTED_VALUE"""),"Yes")</f>
        <v>Yes</v>
      </c>
      <c r="O431" s="5" t="str">
        <f ca="1">IFERROR(__xludf.DUMMYFUNCTION("""COMPUTED_VALUE"""),"Yes")</f>
        <v>Yes</v>
      </c>
      <c r="P431" s="5" t="str">
        <f ca="1">IFERROR(__xludf.DUMMYFUNCTION("""COMPUTED_VALUE"""),"Yes")</f>
        <v>Yes</v>
      </c>
      <c r="Q431" s="5" t="str">
        <f ca="1">IFERROR(__xludf.DUMMYFUNCTION("""COMPUTED_VALUE"""),"Yes")</f>
        <v>Yes</v>
      </c>
      <c r="R431" s="5" t="str">
        <f ca="1">IFERROR(__xludf.DUMMYFUNCTION("""COMPUTED_VALUE"""),"Yes")</f>
        <v>Yes</v>
      </c>
      <c r="S431" s="5" t="str">
        <f ca="1">IFERROR(__xludf.DUMMYFUNCTION("""COMPUTED_VALUE"""),"Yes")</f>
        <v>Yes</v>
      </c>
      <c r="T431" s="5" t="str">
        <f ca="1">IFERROR(__xludf.DUMMYFUNCTION("""COMPUTED_VALUE"""),"Yes")</f>
        <v>Yes</v>
      </c>
      <c r="U431" s="5" t="str">
        <f ca="1">IFERROR(__xludf.DUMMYFUNCTION("""COMPUTED_VALUE"""),"Yes")</f>
        <v>Yes</v>
      </c>
      <c r="V431" s="5" t="str">
        <f ca="1">IFERROR(__xludf.DUMMYFUNCTION("""COMPUTED_VALUE"""),"Yes")</f>
        <v>Yes</v>
      </c>
      <c r="W431" s="5" t="str">
        <f ca="1">IFERROR(__xludf.DUMMYFUNCTION("""COMPUTED_VALUE"""),"Yes")</f>
        <v>Yes</v>
      </c>
      <c r="X431" s="5" t="str">
        <f ca="1">IFERROR(__xludf.DUMMYFUNCTION("""COMPUTED_VALUE"""),"Yes")</f>
        <v>Yes</v>
      </c>
      <c r="Y431" s="5" t="str">
        <f ca="1">IFERROR(__xludf.DUMMYFUNCTION("""COMPUTED_VALUE"""),"Yes")</f>
        <v>Yes</v>
      </c>
      <c r="Z431" s="5" t="str">
        <f ca="1">IFERROR(__xludf.DUMMYFUNCTION("""COMPUTED_VALUE"""),"Yes")</f>
        <v>Yes</v>
      </c>
      <c r="AA431" s="5" t="str">
        <f ca="1">IFERROR(__xludf.DUMMYFUNCTION("""COMPUTED_VALUE"""),"Yes")</f>
        <v>Yes</v>
      </c>
      <c r="AB431" s="5" t="str">
        <f ca="1">IFERROR(__xludf.DUMMYFUNCTION("""COMPUTED_VALUE"""),"Yes")</f>
        <v>Yes</v>
      </c>
      <c r="AC431" s="5" t="str">
        <f ca="1">IFERROR(__xludf.DUMMYFUNCTION("""COMPUTED_VALUE"""),"No")</f>
        <v>No</v>
      </c>
    </row>
    <row r="432" spans="1:29" x14ac:dyDescent="0.25">
      <c r="A432" s="5" t="str">
        <f ca="1">IFERROR(__xludf.DUMMYFUNCTION("""COMPUTED_VALUE"""),"PlayNetCrownStacks40")</f>
        <v>PlayNetCrownStacks40</v>
      </c>
      <c r="B432" s="5" t="str">
        <f ca="1">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C432" s="5" t="str">
        <f ca="1">IFERROR(__xludf.DUMMYFUNCTION("""COMPUTED_VALUE"""),"Yes")</f>
        <v>Yes</v>
      </c>
      <c r="D432" s="5" t="str">
        <f ca="1">IFERROR(__xludf.DUMMYFUNCTION("""COMPUTED_VALUE"""),"Yes")</f>
        <v>Yes</v>
      </c>
      <c r="E432" s="5" t="str">
        <f ca="1">IFERROR(__xludf.DUMMYFUNCTION("""COMPUTED_VALUE"""),"Yes")</f>
        <v>Yes</v>
      </c>
      <c r="F432" s="5" t="str">
        <f ca="1">IFERROR(__xludf.DUMMYFUNCTION("""COMPUTED_VALUE"""),"Yes")</f>
        <v>Yes</v>
      </c>
      <c r="G432" s="5" t="str">
        <f ca="1">IFERROR(__xludf.DUMMYFUNCTION("""COMPUTED_VALUE"""),"Yes")</f>
        <v>Yes</v>
      </c>
      <c r="H432" s="5" t="str">
        <f ca="1">IFERROR(__xludf.DUMMYFUNCTION("""COMPUTED_VALUE"""),"Yes")</f>
        <v>Yes</v>
      </c>
      <c r="I432" s="5" t="str">
        <f ca="1">IFERROR(__xludf.DUMMYFUNCTION("""COMPUTED_VALUE"""),"Yes")</f>
        <v>Yes</v>
      </c>
      <c r="J432" s="5" t="str">
        <f ca="1">IFERROR(__xludf.DUMMYFUNCTION("""COMPUTED_VALUE"""),"Yes")</f>
        <v>Yes</v>
      </c>
      <c r="K432" s="5" t="str">
        <f ca="1">IFERROR(__xludf.DUMMYFUNCTION("""COMPUTED_VALUE"""),"Yes")</f>
        <v>Yes</v>
      </c>
      <c r="L432" s="5" t="str">
        <f ca="1">IFERROR(__xludf.DUMMYFUNCTION("""COMPUTED_VALUE"""),"Yes")</f>
        <v>Yes</v>
      </c>
      <c r="M432" s="5" t="str">
        <f ca="1">IFERROR(__xludf.DUMMYFUNCTION("""COMPUTED_VALUE"""),"Yes")</f>
        <v>Yes</v>
      </c>
      <c r="N432" s="5" t="str">
        <f ca="1">IFERROR(__xludf.DUMMYFUNCTION("""COMPUTED_VALUE"""),"Yes")</f>
        <v>Yes</v>
      </c>
      <c r="O432" s="5" t="str">
        <f ca="1">IFERROR(__xludf.DUMMYFUNCTION("""COMPUTED_VALUE"""),"Yes")</f>
        <v>Yes</v>
      </c>
      <c r="P432" s="5" t="str">
        <f ca="1">IFERROR(__xludf.DUMMYFUNCTION("""COMPUTED_VALUE"""),"No")</f>
        <v>No</v>
      </c>
      <c r="Q432" s="5" t="str">
        <f ca="1">IFERROR(__xludf.DUMMYFUNCTION("""COMPUTED_VALUE"""),"Yes")</f>
        <v>Yes</v>
      </c>
      <c r="R432" s="5" t="str">
        <f ca="1">IFERROR(__xludf.DUMMYFUNCTION("""COMPUTED_VALUE"""),"No")</f>
        <v>No</v>
      </c>
      <c r="S432" s="5" t="str">
        <f ca="1">IFERROR(__xludf.DUMMYFUNCTION("""COMPUTED_VALUE"""),"No")</f>
        <v>No</v>
      </c>
      <c r="T432" s="5" t="str">
        <f ca="1">IFERROR(__xludf.DUMMYFUNCTION("""COMPUTED_VALUE"""),"No")</f>
        <v>No</v>
      </c>
      <c r="U432" s="5" t="str">
        <f ca="1">IFERROR(__xludf.DUMMYFUNCTION("""COMPUTED_VALUE"""),"No")</f>
        <v>No</v>
      </c>
      <c r="V432" s="5"/>
      <c r="W432" s="5"/>
      <c r="X432" s="5" t="str">
        <f ca="1">IFERROR(__xludf.DUMMYFUNCTION("""COMPUTED_VALUE"""),"No")</f>
        <v>No</v>
      </c>
      <c r="Y432" s="5"/>
      <c r="Z432" s="5" t="str">
        <f ca="1">IFERROR(__xludf.DUMMYFUNCTION("""COMPUTED_VALUE"""),"No")</f>
        <v>No</v>
      </c>
      <c r="AA432" s="5"/>
      <c r="AB432" s="5" t="str">
        <f ca="1">IFERROR(__xludf.DUMMYFUNCTION("""COMPUTED_VALUE"""),"Yes")</f>
        <v>Yes</v>
      </c>
      <c r="AC432" s="5"/>
    </row>
    <row r="433" spans="1:29" x14ac:dyDescent="0.25">
      <c r="A433" s="5" t="str">
        <f ca="1">IFERROR(__xludf.DUMMYFUNCTION("""COMPUTED_VALUE"""),"PlayNetWildSpread40")</f>
        <v>PlayNetWildSpread40</v>
      </c>
      <c r="B433" s="5" t="str">
        <f ca="1">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C433" s="5" t="str">
        <f ca="1">IFERROR(__xludf.DUMMYFUNCTION("""COMPUTED_VALUE"""),"Yes")</f>
        <v>Yes</v>
      </c>
      <c r="D433" s="5" t="str">
        <f ca="1">IFERROR(__xludf.DUMMYFUNCTION("""COMPUTED_VALUE"""),"Yes")</f>
        <v>Yes</v>
      </c>
      <c r="E433" s="5" t="str">
        <f ca="1">IFERROR(__xludf.DUMMYFUNCTION("""COMPUTED_VALUE"""),"Yes")</f>
        <v>Yes</v>
      </c>
      <c r="F433" s="5" t="str">
        <f ca="1">IFERROR(__xludf.DUMMYFUNCTION("""COMPUTED_VALUE"""),"Yes")</f>
        <v>Yes</v>
      </c>
      <c r="G433" s="5" t="str">
        <f ca="1">IFERROR(__xludf.DUMMYFUNCTION("""COMPUTED_VALUE"""),"Yes")</f>
        <v>Yes</v>
      </c>
      <c r="H433" s="5" t="str">
        <f ca="1">IFERROR(__xludf.DUMMYFUNCTION("""COMPUTED_VALUE"""),"Yes")</f>
        <v>Yes</v>
      </c>
      <c r="I433" s="5" t="str">
        <f ca="1">IFERROR(__xludf.DUMMYFUNCTION("""COMPUTED_VALUE"""),"Yes")</f>
        <v>Yes</v>
      </c>
      <c r="J433" s="5" t="str">
        <f ca="1">IFERROR(__xludf.DUMMYFUNCTION("""COMPUTED_VALUE"""),"Yes")</f>
        <v>Yes</v>
      </c>
      <c r="K433" s="5" t="str">
        <f ca="1">IFERROR(__xludf.DUMMYFUNCTION("""COMPUTED_VALUE"""),"Yes")</f>
        <v>Yes</v>
      </c>
      <c r="L433" s="5" t="str">
        <f ca="1">IFERROR(__xludf.DUMMYFUNCTION("""COMPUTED_VALUE"""),"Yes")</f>
        <v>Yes</v>
      </c>
      <c r="M433" s="5" t="str">
        <f ca="1">IFERROR(__xludf.DUMMYFUNCTION("""COMPUTED_VALUE"""),"Yes")</f>
        <v>Yes</v>
      </c>
      <c r="N433" s="5" t="str">
        <f ca="1">IFERROR(__xludf.DUMMYFUNCTION("""COMPUTED_VALUE"""),"Yes")</f>
        <v>Yes</v>
      </c>
      <c r="O433" s="5" t="str">
        <f ca="1">IFERROR(__xludf.DUMMYFUNCTION("""COMPUTED_VALUE"""),"Yes")</f>
        <v>Yes</v>
      </c>
      <c r="P433" s="5" t="str">
        <f ca="1">IFERROR(__xludf.DUMMYFUNCTION("""COMPUTED_VALUE"""),"Yes")</f>
        <v>Yes</v>
      </c>
      <c r="Q433" s="5" t="str">
        <f ca="1">IFERROR(__xludf.DUMMYFUNCTION("""COMPUTED_VALUE"""),"Yes")</f>
        <v>Yes</v>
      </c>
      <c r="R433" s="5" t="str">
        <f ca="1">IFERROR(__xludf.DUMMYFUNCTION("""COMPUTED_VALUE"""),"No")</f>
        <v>No</v>
      </c>
      <c r="S433" s="5" t="str">
        <f ca="1">IFERROR(__xludf.DUMMYFUNCTION("""COMPUTED_VALUE"""),"No")</f>
        <v>No</v>
      </c>
      <c r="T433" s="5" t="str">
        <f ca="1">IFERROR(__xludf.DUMMYFUNCTION("""COMPUTED_VALUE"""),"No")</f>
        <v>No</v>
      </c>
      <c r="U433" s="5" t="str">
        <f ca="1">IFERROR(__xludf.DUMMYFUNCTION("""COMPUTED_VALUE"""),"No")</f>
        <v>No</v>
      </c>
      <c r="V433" s="5"/>
      <c r="W433" s="5" t="str">
        <f ca="1">IFERROR(__xludf.DUMMYFUNCTION("""COMPUTED_VALUE"""),"Yes")</f>
        <v>Yes</v>
      </c>
      <c r="X433" s="5"/>
      <c r="Y433" s="5"/>
      <c r="Z433" s="5" t="str">
        <f ca="1">IFERROR(__xludf.DUMMYFUNCTION("""COMPUTED_VALUE"""),"No")</f>
        <v>No</v>
      </c>
      <c r="AA433" s="5"/>
      <c r="AB433" s="5" t="str">
        <f ca="1">IFERROR(__xludf.DUMMYFUNCTION("""COMPUTED_VALUE"""),"No")</f>
        <v>No</v>
      </c>
      <c r="AC433" s="5"/>
    </row>
    <row r="434" spans="1:29" x14ac:dyDescent="0.25">
      <c r="A434" s="5" t="str">
        <f ca="1">IFERROR(__xludf.DUMMYFUNCTION("""COMPUTED_VALUE"""),"PlayNetCrownSpread40")</f>
        <v>PlayNetCrownSpread40</v>
      </c>
      <c r="B434" s="5" t="str">
        <f ca="1">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C434" s="5" t="str">
        <f ca="1">IFERROR(__xludf.DUMMYFUNCTION("""COMPUTED_VALUE"""),"Yes")</f>
        <v>Yes</v>
      </c>
      <c r="D434" s="5" t="str">
        <f ca="1">IFERROR(__xludf.DUMMYFUNCTION("""COMPUTED_VALUE"""),"Yes")</f>
        <v>Yes</v>
      </c>
      <c r="E434" s="5" t="str">
        <f ca="1">IFERROR(__xludf.DUMMYFUNCTION("""COMPUTED_VALUE"""),"Yes")</f>
        <v>Yes</v>
      </c>
      <c r="F434" s="5" t="str">
        <f ca="1">IFERROR(__xludf.DUMMYFUNCTION("""COMPUTED_VALUE"""),"Yes")</f>
        <v>Yes</v>
      </c>
      <c r="G434" s="5" t="str">
        <f ca="1">IFERROR(__xludf.DUMMYFUNCTION("""COMPUTED_VALUE"""),"Yes")</f>
        <v>Yes</v>
      </c>
      <c r="H434" s="5" t="str">
        <f ca="1">IFERROR(__xludf.DUMMYFUNCTION("""COMPUTED_VALUE"""),"Yes")</f>
        <v>Yes</v>
      </c>
      <c r="I434" s="5" t="str">
        <f ca="1">IFERROR(__xludf.DUMMYFUNCTION("""COMPUTED_VALUE"""),"Yes")</f>
        <v>Yes</v>
      </c>
      <c r="J434" s="5" t="str">
        <f ca="1">IFERROR(__xludf.DUMMYFUNCTION("""COMPUTED_VALUE"""),"Yes")</f>
        <v>Yes</v>
      </c>
      <c r="K434" s="5" t="str">
        <f ca="1">IFERROR(__xludf.DUMMYFUNCTION("""COMPUTED_VALUE"""),"Yes")</f>
        <v>Yes</v>
      </c>
      <c r="L434" s="5" t="str">
        <f ca="1">IFERROR(__xludf.DUMMYFUNCTION("""COMPUTED_VALUE"""),"Yes")</f>
        <v>Yes</v>
      </c>
      <c r="M434" s="5" t="str">
        <f ca="1">IFERROR(__xludf.DUMMYFUNCTION("""COMPUTED_VALUE"""),"Yes")</f>
        <v>Yes</v>
      </c>
      <c r="N434" s="5" t="str">
        <f ca="1">IFERROR(__xludf.DUMMYFUNCTION("""COMPUTED_VALUE"""),"Yes")</f>
        <v>Yes</v>
      </c>
      <c r="O434" s="5" t="str">
        <f ca="1">IFERROR(__xludf.DUMMYFUNCTION("""COMPUTED_VALUE"""),"Yes")</f>
        <v>Yes</v>
      </c>
      <c r="P434" s="5" t="str">
        <f ca="1">IFERROR(__xludf.DUMMYFUNCTION("""COMPUTED_VALUE"""),"Yes")</f>
        <v>Yes</v>
      </c>
      <c r="Q434" s="5" t="str">
        <f ca="1">IFERROR(__xludf.DUMMYFUNCTION("""COMPUTED_VALUE"""),"Yes")</f>
        <v>Yes</v>
      </c>
      <c r="R434" s="5" t="str">
        <f ca="1">IFERROR(__xludf.DUMMYFUNCTION("""COMPUTED_VALUE"""),"No")</f>
        <v>No</v>
      </c>
      <c r="S434" s="5" t="str">
        <f ca="1">IFERROR(__xludf.DUMMYFUNCTION("""COMPUTED_VALUE"""),"No")</f>
        <v>No</v>
      </c>
      <c r="T434" s="5" t="str">
        <f ca="1">IFERROR(__xludf.DUMMYFUNCTION("""COMPUTED_VALUE"""),"No")</f>
        <v>No</v>
      </c>
      <c r="U434" s="5" t="str">
        <f ca="1">IFERROR(__xludf.DUMMYFUNCTION("""COMPUTED_VALUE"""),"No")</f>
        <v>No</v>
      </c>
      <c r="V434" s="5"/>
      <c r="W434" s="5" t="str">
        <f ca="1">IFERROR(__xludf.DUMMYFUNCTION("""COMPUTED_VALUE"""),"Yes")</f>
        <v>Yes</v>
      </c>
      <c r="X434" s="5"/>
      <c r="Y434" s="5"/>
      <c r="Z434" s="5" t="str">
        <f ca="1">IFERROR(__xludf.DUMMYFUNCTION("""COMPUTED_VALUE"""),"Yes")</f>
        <v>Yes</v>
      </c>
      <c r="AA434" s="5"/>
      <c r="AB434" s="5" t="str">
        <f ca="1">IFERROR(__xludf.DUMMYFUNCTION("""COMPUTED_VALUE"""),"Yes")</f>
        <v>Yes</v>
      </c>
      <c r="AC434" s="5"/>
    </row>
    <row r="435" spans="1:29" x14ac:dyDescent="0.25">
      <c r="A435" s="5" t="str">
        <f ca="1">IFERROR(__xludf.DUMMYFUNCTION("""COMPUTED_VALUE"""),"UnicornDynamiteRunPlatinum")</f>
        <v>UnicornDynamiteRunPlatinum</v>
      </c>
      <c r="B4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5" s="5" t="str">
        <f ca="1">IFERROR(__xludf.DUMMYFUNCTION("""COMPUTED_VALUE"""),"Yes")</f>
        <v>Yes</v>
      </c>
      <c r="D435" s="5" t="str">
        <f ca="1">IFERROR(__xludf.DUMMYFUNCTION("""COMPUTED_VALUE"""),"Yes")</f>
        <v>Yes</v>
      </c>
      <c r="E435" s="5" t="str">
        <f ca="1">IFERROR(__xludf.DUMMYFUNCTION("""COMPUTED_VALUE"""),"Yes")</f>
        <v>Yes</v>
      </c>
      <c r="F435" s="5" t="str">
        <f ca="1">IFERROR(__xludf.DUMMYFUNCTION("""COMPUTED_VALUE"""),"Yes")</f>
        <v>Yes</v>
      </c>
      <c r="G435" s="5" t="str">
        <f ca="1">IFERROR(__xludf.DUMMYFUNCTION("""COMPUTED_VALUE"""),"Yes")</f>
        <v>Yes</v>
      </c>
      <c r="H435" s="5" t="str">
        <f ca="1">IFERROR(__xludf.DUMMYFUNCTION("""COMPUTED_VALUE"""),"Yes")</f>
        <v>Yes</v>
      </c>
      <c r="I435" s="5" t="str">
        <f ca="1">IFERROR(__xludf.DUMMYFUNCTION("""COMPUTED_VALUE"""),"Yes")</f>
        <v>Yes</v>
      </c>
      <c r="J435" s="5" t="str">
        <f ca="1">IFERROR(__xludf.DUMMYFUNCTION("""COMPUTED_VALUE"""),"Yes")</f>
        <v>Yes</v>
      </c>
      <c r="K435" s="5" t="str">
        <f ca="1">IFERROR(__xludf.DUMMYFUNCTION("""COMPUTED_VALUE"""),"Yes")</f>
        <v>Yes</v>
      </c>
      <c r="L435" s="5" t="str">
        <f ca="1">IFERROR(__xludf.DUMMYFUNCTION("""COMPUTED_VALUE"""),"Yes")</f>
        <v>Yes</v>
      </c>
      <c r="M435" s="5" t="str">
        <f ca="1">IFERROR(__xludf.DUMMYFUNCTION("""COMPUTED_VALUE"""),"Yes")</f>
        <v>Yes</v>
      </c>
      <c r="N435" s="5" t="str">
        <f ca="1">IFERROR(__xludf.DUMMYFUNCTION("""COMPUTED_VALUE"""),"Yes")</f>
        <v>Yes</v>
      </c>
      <c r="O435" s="5" t="str">
        <f ca="1">IFERROR(__xludf.DUMMYFUNCTION("""COMPUTED_VALUE"""),"Yes")</f>
        <v>Yes</v>
      </c>
      <c r="P435" s="5" t="str">
        <f ca="1">IFERROR(__xludf.DUMMYFUNCTION("""COMPUTED_VALUE"""),"Yes")</f>
        <v>Yes</v>
      </c>
      <c r="Q435" s="5" t="str">
        <f ca="1">IFERROR(__xludf.DUMMYFUNCTION("""COMPUTED_VALUE"""),"Yes")</f>
        <v>Yes</v>
      </c>
      <c r="R435" s="5" t="str">
        <f ca="1">IFERROR(__xludf.DUMMYFUNCTION("""COMPUTED_VALUE"""),"Yes")</f>
        <v>Yes</v>
      </c>
      <c r="S435" s="5" t="str">
        <f ca="1">IFERROR(__xludf.DUMMYFUNCTION("""COMPUTED_VALUE"""),"Yes")</f>
        <v>Yes</v>
      </c>
      <c r="T435" s="5" t="str">
        <f ca="1">IFERROR(__xludf.DUMMYFUNCTION("""COMPUTED_VALUE"""),"Yes")</f>
        <v>Yes</v>
      </c>
      <c r="U435" s="5" t="str">
        <f ca="1">IFERROR(__xludf.DUMMYFUNCTION("""COMPUTED_VALUE"""),"Yes")</f>
        <v>Yes</v>
      </c>
      <c r="V435" s="5"/>
      <c r="W435" s="5"/>
      <c r="X435" s="5"/>
      <c r="Y435" s="5"/>
      <c r="Z435" s="5" t="str">
        <f ca="1">IFERROR(__xludf.DUMMYFUNCTION("""COMPUTED_VALUE"""),"Yes")</f>
        <v>Yes</v>
      </c>
      <c r="AA435" s="5"/>
      <c r="AB435" s="5"/>
      <c r="AC435" s="5"/>
    </row>
    <row r="436" spans="1:29" x14ac:dyDescent="0.25">
      <c r="A436" s="5" t="str">
        <f ca="1">IFERROR(__xludf.DUMMYFUNCTION("""COMPUTED_VALUE"""),"UnicornBigHitSevens")</f>
        <v>UnicornBigHitSevens</v>
      </c>
      <c r="B4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6" s="5" t="str">
        <f ca="1">IFERROR(__xludf.DUMMYFUNCTION("""COMPUTED_VALUE"""),"Yes")</f>
        <v>Yes</v>
      </c>
      <c r="D436" s="5" t="str">
        <f ca="1">IFERROR(__xludf.DUMMYFUNCTION("""COMPUTED_VALUE"""),"Yes")</f>
        <v>Yes</v>
      </c>
      <c r="E436" s="5" t="str">
        <f ca="1">IFERROR(__xludf.DUMMYFUNCTION("""COMPUTED_VALUE"""),"Yes")</f>
        <v>Yes</v>
      </c>
      <c r="F436" s="5" t="str">
        <f ca="1">IFERROR(__xludf.DUMMYFUNCTION("""COMPUTED_VALUE"""),"Yes")</f>
        <v>Yes</v>
      </c>
      <c r="G436" s="5" t="str">
        <f ca="1">IFERROR(__xludf.DUMMYFUNCTION("""COMPUTED_VALUE"""),"Yes")</f>
        <v>Yes</v>
      </c>
      <c r="H436" s="5" t="str">
        <f ca="1">IFERROR(__xludf.DUMMYFUNCTION("""COMPUTED_VALUE"""),"Yes")</f>
        <v>Yes</v>
      </c>
      <c r="I436" s="5" t="str">
        <f ca="1">IFERROR(__xludf.DUMMYFUNCTION("""COMPUTED_VALUE"""),"Yes")</f>
        <v>Yes</v>
      </c>
      <c r="J436" s="5" t="str">
        <f ca="1">IFERROR(__xludf.DUMMYFUNCTION("""COMPUTED_VALUE"""),"Yes")</f>
        <v>Yes</v>
      </c>
      <c r="K436" s="5" t="str">
        <f ca="1">IFERROR(__xludf.DUMMYFUNCTION("""COMPUTED_VALUE"""),"Yes")</f>
        <v>Yes</v>
      </c>
      <c r="L436" s="5" t="str">
        <f ca="1">IFERROR(__xludf.DUMMYFUNCTION("""COMPUTED_VALUE"""),"Yes")</f>
        <v>Yes</v>
      </c>
      <c r="M436" s="5" t="str">
        <f ca="1">IFERROR(__xludf.DUMMYFUNCTION("""COMPUTED_VALUE"""),"Yes")</f>
        <v>Yes</v>
      </c>
      <c r="N436" s="5" t="str">
        <f ca="1">IFERROR(__xludf.DUMMYFUNCTION("""COMPUTED_VALUE"""),"Yes")</f>
        <v>Yes</v>
      </c>
      <c r="O436" s="5" t="str">
        <f ca="1">IFERROR(__xludf.DUMMYFUNCTION("""COMPUTED_VALUE"""),"Yes")</f>
        <v>Yes</v>
      </c>
      <c r="P436" s="5" t="str">
        <f ca="1">IFERROR(__xludf.DUMMYFUNCTION("""COMPUTED_VALUE"""),"Yes")</f>
        <v>Yes</v>
      </c>
      <c r="Q436" s="5" t="str">
        <f ca="1">IFERROR(__xludf.DUMMYFUNCTION("""COMPUTED_VALUE"""),"Yes")</f>
        <v>Yes</v>
      </c>
      <c r="R436" s="5" t="str">
        <f ca="1">IFERROR(__xludf.DUMMYFUNCTION("""COMPUTED_VALUE"""),"Yes")</f>
        <v>Yes</v>
      </c>
      <c r="S436" s="5" t="str">
        <f ca="1">IFERROR(__xludf.DUMMYFUNCTION("""COMPUTED_VALUE"""),"Yes")</f>
        <v>Yes</v>
      </c>
      <c r="T436" s="5" t="str">
        <f ca="1">IFERROR(__xludf.DUMMYFUNCTION("""COMPUTED_VALUE"""),"Yes")</f>
        <v>Yes</v>
      </c>
      <c r="U436" s="5" t="str">
        <f ca="1">IFERROR(__xludf.DUMMYFUNCTION("""COMPUTED_VALUE"""),"Yes")</f>
        <v>Yes</v>
      </c>
      <c r="V436" s="5"/>
      <c r="W436" s="5"/>
      <c r="X436" s="5"/>
      <c r="Y436" s="5"/>
      <c r="Z436" s="5" t="str">
        <f ca="1">IFERROR(__xludf.DUMMYFUNCTION("""COMPUTED_VALUE"""),"Yes")</f>
        <v>Yes</v>
      </c>
      <c r="AA436" s="5"/>
      <c r="AB436" s="5"/>
      <c r="AC436" s="5"/>
    </row>
    <row r="437" spans="1:29" x14ac:dyDescent="0.25">
      <c r="A437" s="5" t="str">
        <f ca="1">IFERROR(__xludf.DUMMYFUNCTION("""COMPUTED_VALUE"""),"Placeholder 1")</f>
        <v>Placeholder 1</v>
      </c>
      <c r="B4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7" s="5" t="str">
        <f ca="1">IFERROR(__xludf.DUMMYFUNCTION("""COMPUTED_VALUE"""),"Yes")</f>
        <v>Yes</v>
      </c>
      <c r="D437" s="5" t="str">
        <f ca="1">IFERROR(__xludf.DUMMYFUNCTION("""COMPUTED_VALUE"""),"Yes")</f>
        <v>Yes</v>
      </c>
      <c r="E437" s="5" t="str">
        <f ca="1">IFERROR(__xludf.DUMMYFUNCTION("""COMPUTED_VALUE"""),"Yes")</f>
        <v>Yes</v>
      </c>
      <c r="F437" s="5" t="str">
        <f ca="1">IFERROR(__xludf.DUMMYFUNCTION("""COMPUTED_VALUE"""),"Yes")</f>
        <v>Yes</v>
      </c>
      <c r="G437" s="5" t="str">
        <f ca="1">IFERROR(__xludf.DUMMYFUNCTION("""COMPUTED_VALUE"""),"Yes")</f>
        <v>Yes</v>
      </c>
      <c r="H437" s="5" t="str">
        <f ca="1">IFERROR(__xludf.DUMMYFUNCTION("""COMPUTED_VALUE"""),"Yes")</f>
        <v>Yes</v>
      </c>
      <c r="I437" s="5" t="str">
        <f ca="1">IFERROR(__xludf.DUMMYFUNCTION("""COMPUTED_VALUE"""),"Yes")</f>
        <v>Yes</v>
      </c>
      <c r="J437" s="5" t="str">
        <f ca="1">IFERROR(__xludf.DUMMYFUNCTION("""COMPUTED_VALUE"""),"Yes")</f>
        <v>Yes</v>
      </c>
      <c r="K437" s="5" t="str">
        <f ca="1">IFERROR(__xludf.DUMMYFUNCTION("""COMPUTED_VALUE"""),"Yes")</f>
        <v>Yes</v>
      </c>
      <c r="L437" s="5" t="str">
        <f ca="1">IFERROR(__xludf.DUMMYFUNCTION("""COMPUTED_VALUE"""),"Yes")</f>
        <v>Yes</v>
      </c>
      <c r="M437" s="5" t="str">
        <f ca="1">IFERROR(__xludf.DUMMYFUNCTION("""COMPUTED_VALUE"""),"Yes")</f>
        <v>Yes</v>
      </c>
      <c r="N437" s="5" t="str">
        <f ca="1">IFERROR(__xludf.DUMMYFUNCTION("""COMPUTED_VALUE"""),"Yes")</f>
        <v>Yes</v>
      </c>
      <c r="O437" s="5" t="str">
        <f ca="1">IFERROR(__xludf.DUMMYFUNCTION("""COMPUTED_VALUE"""),"Yes")</f>
        <v>Yes</v>
      </c>
      <c r="P437" s="5" t="str">
        <f ca="1">IFERROR(__xludf.DUMMYFUNCTION("""COMPUTED_VALUE"""),"Yes")</f>
        <v>Yes</v>
      </c>
      <c r="Q437" s="5" t="str">
        <f ca="1">IFERROR(__xludf.DUMMYFUNCTION("""COMPUTED_VALUE"""),"Yes")</f>
        <v>Yes</v>
      </c>
      <c r="R437" s="5" t="str">
        <f ca="1">IFERROR(__xludf.DUMMYFUNCTION("""COMPUTED_VALUE"""),"Yes")</f>
        <v>Yes</v>
      </c>
      <c r="S437" s="5" t="str">
        <f ca="1">IFERROR(__xludf.DUMMYFUNCTION("""COMPUTED_VALUE"""),"Yes")</f>
        <v>Yes</v>
      </c>
      <c r="T437" s="5" t="str">
        <f ca="1">IFERROR(__xludf.DUMMYFUNCTION("""COMPUTED_VALUE"""),"Yes")</f>
        <v>Yes</v>
      </c>
      <c r="U437" s="5" t="str">
        <f ca="1">IFERROR(__xludf.DUMMYFUNCTION("""COMPUTED_VALUE"""),"Yes")</f>
        <v>Yes</v>
      </c>
      <c r="V437" s="5"/>
      <c r="W437" s="5"/>
      <c r="X437" s="5"/>
      <c r="Y437" s="5"/>
      <c r="Z437" s="5" t="str">
        <f ca="1">IFERROR(__xludf.DUMMYFUNCTION("""COMPUTED_VALUE"""),"Yes")</f>
        <v>Yes</v>
      </c>
      <c r="AA437" s="5"/>
      <c r="AB437" s="5"/>
      <c r="AC437" s="5"/>
    </row>
    <row r="438" spans="1:29" x14ac:dyDescent="0.25">
      <c r="A438" s="5" t="str">
        <f ca="1">IFERROR(__xludf.DUMMYFUNCTION("""COMPUTED_VALUE"""),"Placeholder 2")</f>
        <v>Placeholder 2</v>
      </c>
      <c r="B43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8" s="5" t="str">
        <f ca="1">IFERROR(__xludf.DUMMYFUNCTION("""COMPUTED_VALUE"""),"Yes")</f>
        <v>Yes</v>
      </c>
      <c r="D438" s="5" t="str">
        <f ca="1">IFERROR(__xludf.DUMMYFUNCTION("""COMPUTED_VALUE"""),"Yes")</f>
        <v>Yes</v>
      </c>
      <c r="E438" s="5" t="str">
        <f ca="1">IFERROR(__xludf.DUMMYFUNCTION("""COMPUTED_VALUE"""),"Yes")</f>
        <v>Yes</v>
      </c>
      <c r="F438" s="5" t="str">
        <f ca="1">IFERROR(__xludf.DUMMYFUNCTION("""COMPUTED_VALUE"""),"No")</f>
        <v>No</v>
      </c>
      <c r="G438" s="5" t="str">
        <f ca="1">IFERROR(__xludf.DUMMYFUNCTION("""COMPUTED_VALUE"""),"No")</f>
        <v>No</v>
      </c>
      <c r="H438" s="5" t="str">
        <f ca="1">IFERROR(__xludf.DUMMYFUNCTION("""COMPUTED_VALUE"""),"No")</f>
        <v>No</v>
      </c>
      <c r="I438" s="5" t="str">
        <f ca="1">IFERROR(__xludf.DUMMYFUNCTION("""COMPUTED_VALUE"""),"No")</f>
        <v>No</v>
      </c>
      <c r="J438" s="5" t="str">
        <f ca="1">IFERROR(__xludf.DUMMYFUNCTION("""COMPUTED_VALUE"""),"No")</f>
        <v>No</v>
      </c>
      <c r="K438" s="5" t="str">
        <f ca="1">IFERROR(__xludf.DUMMYFUNCTION("""COMPUTED_VALUE"""),"Yes")</f>
        <v>Yes</v>
      </c>
      <c r="L438" s="5" t="str">
        <f ca="1">IFERROR(__xludf.DUMMYFUNCTION("""COMPUTED_VALUE"""),"Yes")</f>
        <v>Yes</v>
      </c>
      <c r="M438" s="5" t="str">
        <f ca="1">IFERROR(__xludf.DUMMYFUNCTION("""COMPUTED_VALUE"""),"Yes")</f>
        <v>Yes</v>
      </c>
      <c r="N438" s="5" t="str">
        <f ca="1">IFERROR(__xludf.DUMMYFUNCTION("""COMPUTED_VALUE"""),"Yes")</f>
        <v>Yes</v>
      </c>
      <c r="O438" s="5" t="str">
        <f ca="1">IFERROR(__xludf.DUMMYFUNCTION("""COMPUTED_VALUE"""),"Yes")</f>
        <v>Yes</v>
      </c>
      <c r="P438" s="5" t="str">
        <f ca="1">IFERROR(__xludf.DUMMYFUNCTION("""COMPUTED_VALUE"""),"No")</f>
        <v>No</v>
      </c>
      <c r="Q438" s="5" t="str">
        <f ca="1">IFERROR(__xludf.DUMMYFUNCTION("""COMPUTED_VALUE"""),"Yes")</f>
        <v>Yes</v>
      </c>
      <c r="R438" s="5" t="str">
        <f ca="1">IFERROR(__xludf.DUMMYFUNCTION("""COMPUTED_VALUE"""),"No")</f>
        <v>No</v>
      </c>
      <c r="S438" s="5" t="str">
        <f ca="1">IFERROR(__xludf.DUMMYFUNCTION("""COMPUTED_VALUE"""),"No")</f>
        <v>No</v>
      </c>
      <c r="T438" s="5" t="str">
        <f ca="1">IFERROR(__xludf.DUMMYFUNCTION("""COMPUTED_VALUE"""),"No")</f>
        <v>No</v>
      </c>
      <c r="U438" s="5" t="str">
        <f ca="1">IFERROR(__xludf.DUMMYFUNCTION("""COMPUTED_VALUE"""),"No")</f>
        <v>No</v>
      </c>
      <c r="V438" s="5"/>
      <c r="W438" s="5"/>
      <c r="X438" s="5" t="str">
        <f ca="1">IFERROR(__xludf.DUMMYFUNCTION("""COMPUTED_VALUE"""),"Yes")</f>
        <v>Yes</v>
      </c>
      <c r="Y438" s="5"/>
      <c r="Z438" s="5" t="str">
        <f ca="1">IFERROR(__xludf.DUMMYFUNCTION("""COMPUTED_VALUE"""),"No")</f>
        <v>No</v>
      </c>
      <c r="AA438" s="5"/>
      <c r="AB438" s="5" t="str">
        <f ca="1">IFERROR(__xludf.DUMMYFUNCTION("""COMPUTED_VALUE"""),"Yes")</f>
        <v>Yes</v>
      </c>
      <c r="AC438" s="5" t="str">
        <f ca="1">IFERROR(__xludf.DUMMYFUNCTION("""COMPUTED_VALUE"""),"Yes")</f>
        <v>Yes</v>
      </c>
    </row>
    <row r="439" spans="1:29" x14ac:dyDescent="0.25">
      <c r="A439" s="5" t="str">
        <f ca="1">IFERROR(__xludf.DUMMYFUNCTION("""COMPUTED_VALUE"""),"Placeholder 3")</f>
        <v>Placeholder 3</v>
      </c>
      <c r="B43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9" s="5" t="str">
        <f ca="1">IFERROR(__xludf.DUMMYFUNCTION("""COMPUTED_VALUE"""),"Yes")</f>
        <v>Yes</v>
      </c>
      <c r="D439" s="5" t="str">
        <f ca="1">IFERROR(__xludf.DUMMYFUNCTION("""COMPUTED_VALUE"""),"Yes")</f>
        <v>Yes</v>
      </c>
      <c r="E439" s="5" t="str">
        <f ca="1">IFERROR(__xludf.DUMMYFUNCTION("""COMPUTED_VALUE"""),"Yes")</f>
        <v>Yes</v>
      </c>
      <c r="F439" s="5" t="str">
        <f ca="1">IFERROR(__xludf.DUMMYFUNCTION("""COMPUTED_VALUE"""),"No")</f>
        <v>No</v>
      </c>
      <c r="G439" s="5" t="str">
        <f ca="1">IFERROR(__xludf.DUMMYFUNCTION("""COMPUTED_VALUE"""),"No")</f>
        <v>No</v>
      </c>
      <c r="H439" s="5" t="str">
        <f ca="1">IFERROR(__xludf.DUMMYFUNCTION("""COMPUTED_VALUE"""),"No")</f>
        <v>No</v>
      </c>
      <c r="I439" s="5" t="str">
        <f ca="1">IFERROR(__xludf.DUMMYFUNCTION("""COMPUTED_VALUE"""),"No")</f>
        <v>No</v>
      </c>
      <c r="J439" s="5" t="str">
        <f ca="1">IFERROR(__xludf.DUMMYFUNCTION("""COMPUTED_VALUE"""),"No")</f>
        <v>No</v>
      </c>
      <c r="K439" s="5" t="str">
        <f ca="1">IFERROR(__xludf.DUMMYFUNCTION("""COMPUTED_VALUE"""),"Yes")</f>
        <v>Yes</v>
      </c>
      <c r="L439" s="5" t="str">
        <f ca="1">IFERROR(__xludf.DUMMYFUNCTION("""COMPUTED_VALUE"""),"Yes")</f>
        <v>Yes</v>
      </c>
      <c r="M439" s="5" t="str">
        <f ca="1">IFERROR(__xludf.DUMMYFUNCTION("""COMPUTED_VALUE"""),"Yes")</f>
        <v>Yes</v>
      </c>
      <c r="N439" s="5" t="str">
        <f ca="1">IFERROR(__xludf.DUMMYFUNCTION("""COMPUTED_VALUE"""),"Yes")</f>
        <v>Yes</v>
      </c>
      <c r="O439" s="5" t="str">
        <f ca="1">IFERROR(__xludf.DUMMYFUNCTION("""COMPUTED_VALUE"""),"Yes")</f>
        <v>Yes</v>
      </c>
      <c r="P439" s="5" t="str">
        <f ca="1">IFERROR(__xludf.DUMMYFUNCTION("""COMPUTED_VALUE"""),"No")</f>
        <v>No</v>
      </c>
      <c r="Q439" s="5" t="str">
        <f ca="1">IFERROR(__xludf.DUMMYFUNCTION("""COMPUTED_VALUE"""),"Yes")</f>
        <v>Yes</v>
      </c>
      <c r="R439" s="5" t="str">
        <f ca="1">IFERROR(__xludf.DUMMYFUNCTION("""COMPUTED_VALUE"""),"No")</f>
        <v>No</v>
      </c>
      <c r="S439" s="5" t="str">
        <f ca="1">IFERROR(__xludf.DUMMYFUNCTION("""COMPUTED_VALUE"""),"No")</f>
        <v>No</v>
      </c>
      <c r="T439" s="5" t="str">
        <f ca="1">IFERROR(__xludf.DUMMYFUNCTION("""COMPUTED_VALUE"""),"No")</f>
        <v>No</v>
      </c>
      <c r="U439" s="5" t="str">
        <f ca="1">IFERROR(__xludf.DUMMYFUNCTION("""COMPUTED_VALUE"""),"No")</f>
        <v>No</v>
      </c>
      <c r="V439" s="5"/>
      <c r="W439" s="5"/>
      <c r="X439" s="5" t="str">
        <f ca="1">IFERROR(__xludf.DUMMYFUNCTION("""COMPUTED_VALUE"""),"Yes")</f>
        <v>Yes</v>
      </c>
      <c r="Y439" s="5"/>
      <c r="Z439" s="5" t="str">
        <f ca="1">IFERROR(__xludf.DUMMYFUNCTION("""COMPUTED_VALUE"""),"No")</f>
        <v>No</v>
      </c>
      <c r="AA439" s="5"/>
      <c r="AB439" s="5" t="str">
        <f ca="1">IFERROR(__xludf.DUMMYFUNCTION("""COMPUTED_VALUE"""),"Yes")</f>
        <v>Yes</v>
      </c>
      <c r="AC439" s="5" t="str">
        <f ca="1">IFERROR(__xludf.DUMMYFUNCTION("""COMPUTED_VALUE"""),"Yes")</f>
        <v>Yes</v>
      </c>
    </row>
    <row r="440" spans="1:29" x14ac:dyDescent="0.25">
      <c r="A440" s="5" t="str">
        <f ca="1">IFERROR(__xludf.DUMMYFUNCTION("""COMPUTED_VALUE"""),"Placeholder 4")</f>
        <v>Placeholder 4</v>
      </c>
      <c r="B4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40" s="5" t="str">
        <f ca="1">IFERROR(__xludf.DUMMYFUNCTION("""COMPUTED_VALUE"""),"Yes")</f>
        <v>Yes</v>
      </c>
      <c r="D440" s="5" t="str">
        <f ca="1">IFERROR(__xludf.DUMMYFUNCTION("""COMPUTED_VALUE"""),"Yes")</f>
        <v>Yes</v>
      </c>
      <c r="E440" s="5" t="str">
        <f ca="1">IFERROR(__xludf.DUMMYFUNCTION("""COMPUTED_VALUE"""),"Yes")</f>
        <v>Yes</v>
      </c>
      <c r="F440" s="5" t="str">
        <f ca="1">IFERROR(__xludf.DUMMYFUNCTION("""COMPUTED_VALUE"""),"Yes")</f>
        <v>Yes</v>
      </c>
      <c r="G440" s="5" t="str">
        <f ca="1">IFERROR(__xludf.DUMMYFUNCTION("""COMPUTED_VALUE"""),"Yes")</f>
        <v>Yes</v>
      </c>
      <c r="H440" s="5" t="str">
        <f ca="1">IFERROR(__xludf.DUMMYFUNCTION("""COMPUTED_VALUE"""),"Yes")</f>
        <v>Yes</v>
      </c>
      <c r="I440" s="5" t="str">
        <f ca="1">IFERROR(__xludf.DUMMYFUNCTION("""COMPUTED_VALUE"""),"Yes")</f>
        <v>Yes</v>
      </c>
      <c r="J440" s="5" t="str">
        <f ca="1">IFERROR(__xludf.DUMMYFUNCTION("""COMPUTED_VALUE"""),"Yes")</f>
        <v>Yes</v>
      </c>
      <c r="K440" s="5" t="str">
        <f ca="1">IFERROR(__xludf.DUMMYFUNCTION("""COMPUTED_VALUE"""),"Yes")</f>
        <v>Yes</v>
      </c>
      <c r="L440" s="5" t="str">
        <f ca="1">IFERROR(__xludf.DUMMYFUNCTION("""COMPUTED_VALUE"""),"Yes")</f>
        <v>Yes</v>
      </c>
      <c r="M440" s="5" t="str">
        <f ca="1">IFERROR(__xludf.DUMMYFUNCTION("""COMPUTED_VALUE"""),"Yes")</f>
        <v>Yes</v>
      </c>
      <c r="N440" s="5" t="str">
        <f ca="1">IFERROR(__xludf.DUMMYFUNCTION("""COMPUTED_VALUE"""),"Yes")</f>
        <v>Yes</v>
      </c>
      <c r="O440" s="5" t="str">
        <f ca="1">IFERROR(__xludf.DUMMYFUNCTION("""COMPUTED_VALUE"""),"Yes")</f>
        <v>Yes</v>
      </c>
      <c r="P440" s="5" t="str">
        <f ca="1">IFERROR(__xludf.DUMMYFUNCTION("""COMPUTED_VALUE"""),"Yes")</f>
        <v>Yes</v>
      </c>
      <c r="Q440" s="5" t="str">
        <f ca="1">IFERROR(__xludf.DUMMYFUNCTION("""COMPUTED_VALUE"""),"Yes")</f>
        <v>Yes</v>
      </c>
      <c r="R440" s="5" t="str">
        <f ca="1">IFERROR(__xludf.DUMMYFUNCTION("""COMPUTED_VALUE"""),"Yes")</f>
        <v>Yes</v>
      </c>
      <c r="S440" s="5" t="str">
        <f ca="1">IFERROR(__xludf.DUMMYFUNCTION("""COMPUTED_VALUE"""),"Yes")</f>
        <v>Yes</v>
      </c>
      <c r="T440" s="5" t="str">
        <f ca="1">IFERROR(__xludf.DUMMYFUNCTION("""COMPUTED_VALUE"""),"Yes")</f>
        <v>Yes</v>
      </c>
      <c r="U440" s="5" t="str">
        <f ca="1">IFERROR(__xludf.DUMMYFUNCTION("""COMPUTED_VALUE"""),"Yes")</f>
        <v>Yes</v>
      </c>
      <c r="V440" s="5"/>
      <c r="W440" s="5"/>
      <c r="X440" s="5"/>
      <c r="Y440" s="5"/>
      <c r="Z440" s="5" t="str">
        <f ca="1">IFERROR(__xludf.DUMMYFUNCTION("""COMPUTED_VALUE"""),"Yes")</f>
        <v>Yes</v>
      </c>
      <c r="AA440" s="5"/>
      <c r="AB440" s="5"/>
      <c r="AC440" s="5"/>
    </row>
    <row r="441" spans="1:29" x14ac:dyDescent="0.25">
      <c r="A441" s="5" t="str">
        <f ca="1">IFERROR(__xludf.DUMMYFUNCTION("""COMPUTED_VALUE"""),"UnicornSupremeSevens")</f>
        <v>UnicornSupremeSevens</v>
      </c>
      <c r="B44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1" s="5" t="str">
        <f ca="1">IFERROR(__xludf.DUMMYFUNCTION("""COMPUTED_VALUE"""),"Yes")</f>
        <v>Yes</v>
      </c>
      <c r="D441" s="5" t="str">
        <f ca="1">IFERROR(__xludf.DUMMYFUNCTION("""COMPUTED_VALUE"""),"Yes")</f>
        <v>Yes</v>
      </c>
      <c r="E441" s="5" t="str">
        <f ca="1">IFERROR(__xludf.DUMMYFUNCTION("""COMPUTED_VALUE"""),"Yes")</f>
        <v>Yes</v>
      </c>
      <c r="F441" s="5" t="str">
        <f ca="1">IFERROR(__xludf.DUMMYFUNCTION("""COMPUTED_VALUE"""),"No")</f>
        <v>No</v>
      </c>
      <c r="G441" s="5" t="str">
        <f ca="1">IFERROR(__xludf.DUMMYFUNCTION("""COMPUTED_VALUE"""),"No")</f>
        <v>No</v>
      </c>
      <c r="H441" s="5" t="str">
        <f ca="1">IFERROR(__xludf.DUMMYFUNCTION("""COMPUTED_VALUE"""),"No")</f>
        <v>No</v>
      </c>
      <c r="I441" s="5" t="str">
        <f ca="1">IFERROR(__xludf.DUMMYFUNCTION("""COMPUTED_VALUE"""),"No")</f>
        <v>No</v>
      </c>
      <c r="J441" s="5" t="str">
        <f ca="1">IFERROR(__xludf.DUMMYFUNCTION("""COMPUTED_VALUE"""),"No")</f>
        <v>No</v>
      </c>
      <c r="K441" s="5" t="str">
        <f ca="1">IFERROR(__xludf.DUMMYFUNCTION("""COMPUTED_VALUE"""),"Yes")</f>
        <v>Yes</v>
      </c>
      <c r="L441" s="5" t="str">
        <f ca="1">IFERROR(__xludf.DUMMYFUNCTION("""COMPUTED_VALUE"""),"Yes")</f>
        <v>Yes</v>
      </c>
      <c r="M441" s="5" t="str">
        <f ca="1">IFERROR(__xludf.DUMMYFUNCTION("""COMPUTED_VALUE"""),"Yes")</f>
        <v>Yes</v>
      </c>
      <c r="N441" s="5" t="str">
        <f ca="1">IFERROR(__xludf.DUMMYFUNCTION("""COMPUTED_VALUE"""),"Yes")</f>
        <v>Yes</v>
      </c>
      <c r="O441" s="5" t="str">
        <f ca="1">IFERROR(__xludf.DUMMYFUNCTION("""COMPUTED_VALUE"""),"Yes")</f>
        <v>Yes</v>
      </c>
      <c r="P441" s="5" t="str">
        <f ca="1">IFERROR(__xludf.DUMMYFUNCTION("""COMPUTED_VALUE"""),"No")</f>
        <v>No</v>
      </c>
      <c r="Q441" s="5" t="str">
        <f ca="1">IFERROR(__xludf.DUMMYFUNCTION("""COMPUTED_VALUE"""),"Yes")</f>
        <v>Yes</v>
      </c>
      <c r="R441" s="5" t="str">
        <f ca="1">IFERROR(__xludf.DUMMYFUNCTION("""COMPUTED_VALUE"""),"No")</f>
        <v>No</v>
      </c>
      <c r="S441" s="5" t="str">
        <f ca="1">IFERROR(__xludf.DUMMYFUNCTION("""COMPUTED_VALUE"""),"No")</f>
        <v>No</v>
      </c>
      <c r="T441" s="5" t="str">
        <f ca="1">IFERROR(__xludf.DUMMYFUNCTION("""COMPUTED_VALUE"""),"No")</f>
        <v>No</v>
      </c>
      <c r="U441" s="5" t="str">
        <f ca="1">IFERROR(__xludf.DUMMYFUNCTION("""COMPUTED_VALUE"""),"No")</f>
        <v>No</v>
      </c>
      <c r="V441" s="5"/>
      <c r="W441" s="5"/>
      <c r="X441" s="5" t="str">
        <f ca="1">IFERROR(__xludf.DUMMYFUNCTION("""COMPUTED_VALUE"""),"Yes")</f>
        <v>Yes</v>
      </c>
      <c r="Y441" s="5"/>
      <c r="Z441" s="5" t="str">
        <f ca="1">IFERROR(__xludf.DUMMYFUNCTION("""COMPUTED_VALUE"""),"No")</f>
        <v>No</v>
      </c>
      <c r="AA441" s="5"/>
      <c r="AB441" s="5" t="str">
        <f ca="1">IFERROR(__xludf.DUMMYFUNCTION("""COMPUTED_VALUE"""),"Yes")</f>
        <v>Yes</v>
      </c>
      <c r="AC441" s="5" t="str">
        <f ca="1">IFERROR(__xludf.DUMMYFUNCTION("""COMPUTED_VALUE"""),"Yes")</f>
        <v>Yes</v>
      </c>
    </row>
    <row r="442" spans="1:29" x14ac:dyDescent="0.25">
      <c r="A442" s="5" t="str">
        <f ca="1">IFERROR(__xludf.DUMMYFUNCTION("""COMPUTED_VALUE"""),"UnicornTripleStackedDiamonds")</f>
        <v>UnicornTripleStackedDiamonds</v>
      </c>
      <c r="B442" s="5" t="str">
        <f ca="1">IFERROR(__xludf.DUMMYFUNCTION("""COMPUTED_VALUE"""),"English(""eng"")")</f>
        <v>English("eng")</v>
      </c>
      <c r="C442" s="5" t="str">
        <f ca="1">IFERROR(__xludf.DUMMYFUNCTION("""COMPUTED_VALUE"""),"Yes")</f>
        <v>Yes</v>
      </c>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row>
    <row r="443" spans="1:29" x14ac:dyDescent="0.25">
      <c r="A443" s="5" t="str">
        <f ca="1">IFERROR(__xludf.DUMMYFUNCTION("""COMPUTED_VALUE"""),"UnicornDynamiteBoom")</f>
        <v>UnicornDynamiteBoom</v>
      </c>
      <c r="B44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3" s="5" t="str">
        <f ca="1">IFERROR(__xludf.DUMMYFUNCTION("""COMPUTED_VALUE"""),"Yes")</f>
        <v>Yes</v>
      </c>
      <c r="D443" s="5" t="str">
        <f ca="1">IFERROR(__xludf.DUMMYFUNCTION("""COMPUTED_VALUE"""),"Yes")</f>
        <v>Yes</v>
      </c>
      <c r="E443" s="5" t="str">
        <f ca="1">IFERROR(__xludf.DUMMYFUNCTION("""COMPUTED_VALUE"""),"Yes")</f>
        <v>Yes</v>
      </c>
      <c r="F443" s="5" t="str">
        <f ca="1">IFERROR(__xludf.DUMMYFUNCTION("""COMPUTED_VALUE"""),"No")</f>
        <v>No</v>
      </c>
      <c r="G443" s="5" t="str">
        <f ca="1">IFERROR(__xludf.DUMMYFUNCTION("""COMPUTED_VALUE"""),"No")</f>
        <v>No</v>
      </c>
      <c r="H443" s="5" t="str">
        <f ca="1">IFERROR(__xludf.DUMMYFUNCTION("""COMPUTED_VALUE"""),"No")</f>
        <v>No</v>
      </c>
      <c r="I443" s="5" t="str">
        <f ca="1">IFERROR(__xludf.DUMMYFUNCTION("""COMPUTED_VALUE"""),"No")</f>
        <v>No</v>
      </c>
      <c r="J443" s="5" t="str">
        <f ca="1">IFERROR(__xludf.DUMMYFUNCTION("""COMPUTED_VALUE"""),"No")</f>
        <v>No</v>
      </c>
      <c r="K443" s="5" t="str">
        <f ca="1">IFERROR(__xludf.DUMMYFUNCTION("""COMPUTED_VALUE"""),"Yes")</f>
        <v>Yes</v>
      </c>
      <c r="L443" s="5" t="str">
        <f ca="1">IFERROR(__xludf.DUMMYFUNCTION("""COMPUTED_VALUE"""),"Yes")</f>
        <v>Yes</v>
      </c>
      <c r="M443" s="5" t="str">
        <f ca="1">IFERROR(__xludf.DUMMYFUNCTION("""COMPUTED_VALUE"""),"Yes")</f>
        <v>Yes</v>
      </c>
      <c r="N443" s="5" t="str">
        <f ca="1">IFERROR(__xludf.DUMMYFUNCTION("""COMPUTED_VALUE"""),"Yes")</f>
        <v>Yes</v>
      </c>
      <c r="O443" s="5" t="str">
        <f ca="1">IFERROR(__xludf.DUMMYFUNCTION("""COMPUTED_VALUE"""),"Yes")</f>
        <v>Yes</v>
      </c>
      <c r="P443" s="5" t="str">
        <f ca="1">IFERROR(__xludf.DUMMYFUNCTION("""COMPUTED_VALUE"""),"No")</f>
        <v>No</v>
      </c>
      <c r="Q443" s="5" t="str">
        <f ca="1">IFERROR(__xludf.DUMMYFUNCTION("""COMPUTED_VALUE"""),"Yes")</f>
        <v>Yes</v>
      </c>
      <c r="R443" s="5" t="str">
        <f ca="1">IFERROR(__xludf.DUMMYFUNCTION("""COMPUTED_VALUE"""),"No")</f>
        <v>No</v>
      </c>
      <c r="S443" s="5" t="str">
        <f ca="1">IFERROR(__xludf.DUMMYFUNCTION("""COMPUTED_VALUE"""),"No")</f>
        <v>No</v>
      </c>
      <c r="T443" s="5" t="str">
        <f ca="1">IFERROR(__xludf.DUMMYFUNCTION("""COMPUTED_VALUE"""),"No")</f>
        <v>No</v>
      </c>
      <c r="U443" s="5" t="str">
        <f ca="1">IFERROR(__xludf.DUMMYFUNCTION("""COMPUTED_VALUE"""),"No")</f>
        <v>No</v>
      </c>
      <c r="V443" s="5"/>
      <c r="W443" s="5"/>
      <c r="X443" s="5" t="str">
        <f ca="1">IFERROR(__xludf.DUMMYFUNCTION("""COMPUTED_VALUE"""),"Yes")</f>
        <v>Yes</v>
      </c>
      <c r="Y443" s="5"/>
      <c r="Z443" s="5" t="str">
        <f ca="1">IFERROR(__xludf.DUMMYFUNCTION("""COMPUTED_VALUE"""),"No")</f>
        <v>No</v>
      </c>
      <c r="AA443" s="5"/>
      <c r="AB443" s="5" t="str">
        <f ca="1">IFERROR(__xludf.DUMMYFUNCTION("""COMPUTED_VALUE"""),"Yes")</f>
        <v>Yes</v>
      </c>
      <c r="AC443" s="5" t="str">
        <f ca="1">IFERROR(__xludf.DUMMYFUNCTION("""COMPUTED_VALUE"""),"Yes")</f>
        <v>Yes</v>
      </c>
    </row>
    <row r="444" spans="1:29" x14ac:dyDescent="0.25">
      <c r="A444" s="5" t="str">
        <f ca="1">IFERROR(__xludf.DUMMYFUNCTION("""COMPUTED_VALUE"""),"UnicornFastPay")</f>
        <v>UnicornFastPay</v>
      </c>
      <c r="B44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4" s="5" t="str">
        <f ca="1">IFERROR(__xludf.DUMMYFUNCTION("""COMPUTED_VALUE"""),"Yes")</f>
        <v>Yes</v>
      </c>
      <c r="D444" s="5" t="str">
        <f ca="1">IFERROR(__xludf.DUMMYFUNCTION("""COMPUTED_VALUE"""),"Yes")</f>
        <v>Yes</v>
      </c>
      <c r="E444" s="5" t="str">
        <f ca="1">IFERROR(__xludf.DUMMYFUNCTION("""COMPUTED_VALUE"""),"Yes")</f>
        <v>Yes</v>
      </c>
      <c r="F444" s="5"/>
      <c r="G444" s="5"/>
      <c r="H444" s="5"/>
      <c r="I444" s="5"/>
      <c r="J444" s="5"/>
      <c r="K444" s="5" t="str">
        <f ca="1">IFERROR(__xludf.DUMMYFUNCTION("""COMPUTED_VALUE"""),"Yes")</f>
        <v>Yes</v>
      </c>
      <c r="L444" s="5" t="str">
        <f ca="1">IFERROR(__xludf.DUMMYFUNCTION("""COMPUTED_VALUE"""),"Yes")</f>
        <v>Yes</v>
      </c>
      <c r="M444" s="5" t="str">
        <f ca="1">IFERROR(__xludf.DUMMYFUNCTION("""COMPUTED_VALUE"""),"Yes")</f>
        <v>Yes</v>
      </c>
      <c r="N444" s="5" t="str">
        <f ca="1">IFERROR(__xludf.DUMMYFUNCTION("""COMPUTED_VALUE"""),"Yes")</f>
        <v>Yes</v>
      </c>
      <c r="O444" s="5" t="str">
        <f ca="1">IFERROR(__xludf.DUMMYFUNCTION("""COMPUTED_VALUE"""),"Yes")</f>
        <v>Yes</v>
      </c>
      <c r="P444" s="5"/>
      <c r="Q444" s="5" t="str">
        <f ca="1">IFERROR(__xludf.DUMMYFUNCTION("""COMPUTED_VALUE"""),"Yes")</f>
        <v>Yes</v>
      </c>
      <c r="R444" s="5"/>
      <c r="S444" s="5"/>
      <c r="T444" s="5"/>
      <c r="U444" s="5"/>
      <c r="V444" s="5"/>
      <c r="W444" s="5"/>
      <c r="X444" s="5" t="str">
        <f ca="1">IFERROR(__xludf.DUMMYFUNCTION("""COMPUTED_VALUE"""),"Yes")</f>
        <v>Yes</v>
      </c>
      <c r="Y444" s="5"/>
      <c r="Z444" s="5"/>
      <c r="AA444" s="5"/>
      <c r="AB444" s="5" t="str">
        <f ca="1">IFERROR(__xludf.DUMMYFUNCTION("""COMPUTED_VALUE"""),"Yes")</f>
        <v>Yes</v>
      </c>
      <c r="AC444" s="5" t="str">
        <f ca="1">IFERROR(__xludf.DUMMYFUNCTION("""COMPUTED_VALUE"""),"Yes")</f>
        <v>Yes</v>
      </c>
    </row>
    <row r="445" spans="1:29" x14ac:dyDescent="0.25">
      <c r="A445" s="5" t="str">
        <f ca="1">IFERROR(__xludf.DUMMYFUNCTION("""COMPUTED_VALUE"""),"UnicornSuperFireJackpot")</f>
        <v>UnicornSuperFireJackpot</v>
      </c>
      <c r="B44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5" s="5" t="str">
        <f ca="1">IFERROR(__xludf.DUMMYFUNCTION("""COMPUTED_VALUE"""),"Yes")</f>
        <v>Yes</v>
      </c>
      <c r="D445" s="5" t="str">
        <f ca="1">IFERROR(__xludf.DUMMYFUNCTION("""COMPUTED_VALUE"""),"Yes")</f>
        <v>Yes</v>
      </c>
      <c r="E445" s="5" t="str">
        <f ca="1">IFERROR(__xludf.DUMMYFUNCTION("""COMPUTED_VALUE"""),"Yes")</f>
        <v>Yes</v>
      </c>
      <c r="F445" s="5"/>
      <c r="G445" s="5"/>
      <c r="H445" s="5"/>
      <c r="I445" s="5"/>
      <c r="J445" s="5"/>
      <c r="K445" s="5" t="str">
        <f ca="1">IFERROR(__xludf.DUMMYFUNCTION("""COMPUTED_VALUE"""),"Yes")</f>
        <v>Yes</v>
      </c>
      <c r="L445" s="5" t="str">
        <f ca="1">IFERROR(__xludf.DUMMYFUNCTION("""COMPUTED_VALUE"""),"Yes")</f>
        <v>Yes</v>
      </c>
      <c r="M445" s="5" t="str">
        <f ca="1">IFERROR(__xludf.DUMMYFUNCTION("""COMPUTED_VALUE"""),"Yes")</f>
        <v>Yes</v>
      </c>
      <c r="N445" s="5" t="str">
        <f ca="1">IFERROR(__xludf.DUMMYFUNCTION("""COMPUTED_VALUE"""),"Yes")</f>
        <v>Yes</v>
      </c>
      <c r="O445" s="5" t="str">
        <f ca="1">IFERROR(__xludf.DUMMYFUNCTION("""COMPUTED_VALUE"""),"Yes")</f>
        <v>Yes</v>
      </c>
      <c r="P445" s="5"/>
      <c r="Q445" s="5" t="str">
        <f ca="1">IFERROR(__xludf.DUMMYFUNCTION("""COMPUTED_VALUE"""),"Yes")</f>
        <v>Yes</v>
      </c>
      <c r="R445" s="5"/>
      <c r="S445" s="5"/>
      <c r="T445" s="5"/>
      <c r="U445" s="5"/>
      <c r="V445" s="5"/>
      <c r="W445" s="5"/>
      <c r="X445" s="5" t="str">
        <f ca="1">IFERROR(__xludf.DUMMYFUNCTION("""COMPUTED_VALUE"""),"Yes")</f>
        <v>Yes</v>
      </c>
      <c r="Y445" s="5"/>
      <c r="Z445" s="5"/>
      <c r="AA445" s="5"/>
      <c r="AB445" s="5" t="str">
        <f ca="1">IFERROR(__xludf.DUMMYFUNCTION("""COMPUTED_VALUE"""),"Yes")</f>
        <v>Yes</v>
      </c>
      <c r="AC445" s="5" t="str">
        <f ca="1">IFERROR(__xludf.DUMMYFUNCTION("""COMPUTED_VALUE"""),"Yes")</f>
        <v>Yes</v>
      </c>
    </row>
    <row r="446" spans="1:29" x14ac:dyDescent="0.25">
      <c r="A446" s="5" t="str">
        <f ca="1">IFERROR(__xludf.DUMMYFUNCTION("""COMPUTED_VALUE"""),"UnicornCoyoteGems")</f>
        <v>UnicornCoyoteGems</v>
      </c>
      <c r="B44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6" s="5" t="str">
        <f ca="1">IFERROR(__xludf.DUMMYFUNCTION("""COMPUTED_VALUE"""),"Yes")</f>
        <v>Yes</v>
      </c>
      <c r="D446" s="5" t="str">
        <f ca="1">IFERROR(__xludf.DUMMYFUNCTION("""COMPUTED_VALUE"""),"Yes")</f>
        <v>Yes</v>
      </c>
      <c r="E446" s="5" t="str">
        <f ca="1">IFERROR(__xludf.DUMMYFUNCTION("""COMPUTED_VALUE"""),"Yes")</f>
        <v>Yes</v>
      </c>
      <c r="F446" s="5"/>
      <c r="G446" s="5"/>
      <c r="H446" s="5"/>
      <c r="I446" s="5"/>
      <c r="J446" s="5"/>
      <c r="K446" s="5" t="str">
        <f ca="1">IFERROR(__xludf.DUMMYFUNCTION("""COMPUTED_VALUE"""),"Yes")</f>
        <v>Yes</v>
      </c>
      <c r="L446" s="5" t="str">
        <f ca="1">IFERROR(__xludf.DUMMYFUNCTION("""COMPUTED_VALUE"""),"Yes")</f>
        <v>Yes</v>
      </c>
      <c r="M446" s="5" t="str">
        <f ca="1">IFERROR(__xludf.DUMMYFUNCTION("""COMPUTED_VALUE"""),"Yes")</f>
        <v>Yes</v>
      </c>
      <c r="N446" s="5" t="str">
        <f ca="1">IFERROR(__xludf.DUMMYFUNCTION("""COMPUTED_VALUE"""),"Yes")</f>
        <v>Yes</v>
      </c>
      <c r="O446" s="5" t="str">
        <f ca="1">IFERROR(__xludf.DUMMYFUNCTION("""COMPUTED_VALUE"""),"Yes")</f>
        <v>Yes</v>
      </c>
      <c r="P446" s="5"/>
      <c r="Q446" s="5" t="str">
        <f ca="1">IFERROR(__xludf.DUMMYFUNCTION("""COMPUTED_VALUE"""),"Yes")</f>
        <v>Yes</v>
      </c>
      <c r="R446" s="5"/>
      <c r="S446" s="5"/>
      <c r="T446" s="5"/>
      <c r="U446" s="5"/>
      <c r="V446" s="5"/>
      <c r="W446" s="5"/>
      <c r="X446" s="5" t="str">
        <f ca="1">IFERROR(__xludf.DUMMYFUNCTION("""COMPUTED_VALUE"""),"Yes")</f>
        <v>Yes</v>
      </c>
      <c r="Y446" s="5"/>
      <c r="Z446" s="5"/>
      <c r="AA446" s="5"/>
      <c r="AB446" s="5" t="str">
        <f ca="1">IFERROR(__xludf.DUMMYFUNCTION("""COMPUTED_VALUE"""),"Yes")</f>
        <v>Yes</v>
      </c>
      <c r="AC446" s="5" t="str">
        <f ca="1">IFERROR(__xludf.DUMMYFUNCTION("""COMPUTED_VALUE"""),"Yes")</f>
        <v>Yes</v>
      </c>
    </row>
    <row r="447" spans="1:29" x14ac:dyDescent="0.25">
      <c r="A447" s="5" t="str">
        <f ca="1">IFERROR(__xludf.DUMMYFUNCTION("""COMPUTED_VALUE"""),"UnicornDynamiteRunDice")</f>
        <v>UnicornDynamiteRunDice</v>
      </c>
      <c r="B44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7" s="5" t="str">
        <f ca="1">IFERROR(__xludf.DUMMYFUNCTION("""COMPUTED_VALUE"""),"Yes")</f>
        <v>Yes</v>
      </c>
      <c r="D447" s="5" t="str">
        <f ca="1">IFERROR(__xludf.DUMMYFUNCTION("""COMPUTED_VALUE"""),"Yes")</f>
        <v>Yes</v>
      </c>
      <c r="E447" s="5" t="str">
        <f ca="1">IFERROR(__xludf.DUMMYFUNCTION("""COMPUTED_VALUE"""),"Yes")</f>
        <v>Yes</v>
      </c>
      <c r="F447" s="5"/>
      <c r="G447" s="5"/>
      <c r="H447" s="5"/>
      <c r="I447" s="5"/>
      <c r="J447" s="5"/>
      <c r="K447" s="5" t="str">
        <f ca="1">IFERROR(__xludf.DUMMYFUNCTION("""COMPUTED_VALUE"""),"Yes")</f>
        <v>Yes</v>
      </c>
      <c r="L447" s="5" t="str">
        <f ca="1">IFERROR(__xludf.DUMMYFUNCTION("""COMPUTED_VALUE"""),"Yes")</f>
        <v>Yes</v>
      </c>
      <c r="M447" s="5" t="str">
        <f ca="1">IFERROR(__xludf.DUMMYFUNCTION("""COMPUTED_VALUE"""),"Yes")</f>
        <v>Yes</v>
      </c>
      <c r="N447" s="5" t="str">
        <f ca="1">IFERROR(__xludf.DUMMYFUNCTION("""COMPUTED_VALUE"""),"Yes")</f>
        <v>Yes</v>
      </c>
      <c r="O447" s="5" t="str">
        <f ca="1">IFERROR(__xludf.DUMMYFUNCTION("""COMPUTED_VALUE"""),"Yes")</f>
        <v>Yes</v>
      </c>
      <c r="P447" s="5"/>
      <c r="Q447" s="5" t="str">
        <f ca="1">IFERROR(__xludf.DUMMYFUNCTION("""COMPUTED_VALUE"""),"Yes")</f>
        <v>Yes</v>
      </c>
      <c r="R447" s="5"/>
      <c r="S447" s="5"/>
      <c r="T447" s="5"/>
      <c r="U447" s="5"/>
      <c r="V447" s="5"/>
      <c r="W447" s="5"/>
      <c r="X447" s="5" t="str">
        <f ca="1">IFERROR(__xludf.DUMMYFUNCTION("""COMPUTED_VALUE"""),"Yes")</f>
        <v>Yes</v>
      </c>
      <c r="Y447" s="5"/>
      <c r="Z447" s="5"/>
      <c r="AA447" s="5"/>
      <c r="AB447" s="5" t="str">
        <f ca="1">IFERROR(__xludf.DUMMYFUNCTION("""COMPUTED_VALUE"""),"Yes")</f>
        <v>Yes</v>
      </c>
      <c r="AC447" s="5" t="str">
        <f ca="1">IFERROR(__xludf.DUMMYFUNCTION("""COMPUTED_VALUE"""),"Yes")</f>
        <v>Yes</v>
      </c>
    </row>
    <row r="448" spans="1:29" x14ac:dyDescent="0.25">
      <c r="A448" s="5" t="str">
        <f ca="1">IFERROR(__xludf.DUMMYFUNCTION("""COMPUTED_VALUE"""),"UnicornBigSpinDragons")</f>
        <v>UnicornBigSpinDragons</v>
      </c>
      <c r="B44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8" s="5" t="str">
        <f ca="1">IFERROR(__xludf.DUMMYFUNCTION("""COMPUTED_VALUE"""),"Yes")</f>
        <v>Yes</v>
      </c>
      <c r="D448" s="5" t="str">
        <f ca="1">IFERROR(__xludf.DUMMYFUNCTION("""COMPUTED_VALUE"""),"Yes")</f>
        <v>Yes</v>
      </c>
      <c r="E448" s="5" t="str">
        <f ca="1">IFERROR(__xludf.DUMMYFUNCTION("""COMPUTED_VALUE"""),"Yes")</f>
        <v>Yes</v>
      </c>
      <c r="F448" s="5" t="str">
        <f ca="1">IFERROR(__xludf.DUMMYFUNCTION("""COMPUTED_VALUE"""),"No")</f>
        <v>No</v>
      </c>
      <c r="G448" s="5" t="str">
        <f ca="1">IFERROR(__xludf.DUMMYFUNCTION("""COMPUTED_VALUE"""),"No")</f>
        <v>No</v>
      </c>
      <c r="H448" s="5" t="str">
        <f ca="1">IFERROR(__xludf.DUMMYFUNCTION("""COMPUTED_VALUE"""),"No")</f>
        <v>No</v>
      </c>
      <c r="I448" s="5" t="str">
        <f ca="1">IFERROR(__xludf.DUMMYFUNCTION("""COMPUTED_VALUE"""),"No")</f>
        <v>No</v>
      </c>
      <c r="J448" s="5" t="str">
        <f ca="1">IFERROR(__xludf.DUMMYFUNCTION("""COMPUTED_VALUE"""),"No")</f>
        <v>No</v>
      </c>
      <c r="K448" s="5" t="str">
        <f ca="1">IFERROR(__xludf.DUMMYFUNCTION("""COMPUTED_VALUE"""),"Yes")</f>
        <v>Yes</v>
      </c>
      <c r="L448" s="5" t="str">
        <f ca="1">IFERROR(__xludf.DUMMYFUNCTION("""COMPUTED_VALUE"""),"Yes")</f>
        <v>Yes</v>
      </c>
      <c r="M448" s="5" t="str">
        <f ca="1">IFERROR(__xludf.DUMMYFUNCTION("""COMPUTED_VALUE"""),"Yes")</f>
        <v>Yes</v>
      </c>
      <c r="N448" s="5" t="str">
        <f ca="1">IFERROR(__xludf.DUMMYFUNCTION("""COMPUTED_VALUE"""),"Yes")</f>
        <v>Yes</v>
      </c>
      <c r="O448" s="5" t="str">
        <f ca="1">IFERROR(__xludf.DUMMYFUNCTION("""COMPUTED_VALUE"""),"Yes")</f>
        <v>Yes</v>
      </c>
      <c r="P448" s="5" t="str">
        <f ca="1">IFERROR(__xludf.DUMMYFUNCTION("""COMPUTED_VALUE"""),"No")</f>
        <v>No</v>
      </c>
      <c r="Q448" s="5" t="str">
        <f ca="1">IFERROR(__xludf.DUMMYFUNCTION("""COMPUTED_VALUE"""),"Yes")</f>
        <v>Yes</v>
      </c>
      <c r="R448" s="5" t="str">
        <f ca="1">IFERROR(__xludf.DUMMYFUNCTION("""COMPUTED_VALUE"""),"No")</f>
        <v>No</v>
      </c>
      <c r="S448" s="5" t="str">
        <f ca="1">IFERROR(__xludf.DUMMYFUNCTION("""COMPUTED_VALUE"""),"No")</f>
        <v>No</v>
      </c>
      <c r="T448" s="5" t="str">
        <f ca="1">IFERROR(__xludf.DUMMYFUNCTION("""COMPUTED_VALUE"""),"No")</f>
        <v>No</v>
      </c>
      <c r="U448" s="5" t="str">
        <f ca="1">IFERROR(__xludf.DUMMYFUNCTION("""COMPUTED_VALUE"""),"No")</f>
        <v>No</v>
      </c>
      <c r="V448" s="5"/>
      <c r="W448" s="5"/>
      <c r="X448" s="5" t="str">
        <f ca="1">IFERROR(__xludf.DUMMYFUNCTION("""COMPUTED_VALUE"""),"Yes")</f>
        <v>Yes</v>
      </c>
      <c r="Y448" s="5"/>
      <c r="Z448" s="5" t="str">
        <f ca="1">IFERROR(__xludf.DUMMYFUNCTION("""COMPUTED_VALUE"""),"No")</f>
        <v>No</v>
      </c>
      <c r="AA448" s="5"/>
      <c r="AB448" s="5" t="str">
        <f ca="1">IFERROR(__xludf.DUMMYFUNCTION("""COMPUTED_VALUE"""),"Yes")</f>
        <v>Yes</v>
      </c>
      <c r="AC448" s="5" t="str">
        <f ca="1">IFERROR(__xludf.DUMMYFUNCTION("""COMPUTED_VALUE"""),"Yes")</f>
        <v>Yes</v>
      </c>
    </row>
    <row r="449" spans="1:29" x14ac:dyDescent="0.25">
      <c r="A449" s="5" t="str">
        <f ca="1">IFERROR(__xludf.DUMMYFUNCTION("""COMPUTED_VALUE"""),"UnicornSimplySevensGems")</f>
        <v>UnicornSimplySevensGems</v>
      </c>
      <c r="B44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9" s="5" t="str">
        <f ca="1">IFERROR(__xludf.DUMMYFUNCTION("""COMPUTED_VALUE"""),"Yes")</f>
        <v>Yes</v>
      </c>
      <c r="D449" s="5" t="str">
        <f ca="1">IFERROR(__xludf.DUMMYFUNCTION("""COMPUTED_VALUE"""),"Yes")</f>
        <v>Yes</v>
      </c>
      <c r="E449" s="5" t="str">
        <f ca="1">IFERROR(__xludf.DUMMYFUNCTION("""COMPUTED_VALUE"""),"Yes")</f>
        <v>Yes</v>
      </c>
      <c r="F449" s="5" t="str">
        <f ca="1">IFERROR(__xludf.DUMMYFUNCTION("""COMPUTED_VALUE"""),"No")</f>
        <v>No</v>
      </c>
      <c r="G449" s="5" t="str">
        <f ca="1">IFERROR(__xludf.DUMMYFUNCTION("""COMPUTED_VALUE"""),"No")</f>
        <v>No</v>
      </c>
      <c r="H449" s="5" t="str">
        <f ca="1">IFERROR(__xludf.DUMMYFUNCTION("""COMPUTED_VALUE"""),"No")</f>
        <v>No</v>
      </c>
      <c r="I449" s="5" t="str">
        <f ca="1">IFERROR(__xludf.DUMMYFUNCTION("""COMPUTED_VALUE"""),"No")</f>
        <v>No</v>
      </c>
      <c r="J449" s="5" t="str">
        <f ca="1">IFERROR(__xludf.DUMMYFUNCTION("""COMPUTED_VALUE"""),"No")</f>
        <v>No</v>
      </c>
      <c r="K449" s="5" t="str">
        <f ca="1">IFERROR(__xludf.DUMMYFUNCTION("""COMPUTED_VALUE"""),"Yes")</f>
        <v>Yes</v>
      </c>
      <c r="L449" s="5" t="str">
        <f ca="1">IFERROR(__xludf.DUMMYFUNCTION("""COMPUTED_VALUE"""),"Yes")</f>
        <v>Yes</v>
      </c>
      <c r="M449" s="5" t="str">
        <f ca="1">IFERROR(__xludf.DUMMYFUNCTION("""COMPUTED_VALUE"""),"Yes")</f>
        <v>Yes</v>
      </c>
      <c r="N449" s="5" t="str">
        <f ca="1">IFERROR(__xludf.DUMMYFUNCTION("""COMPUTED_VALUE"""),"Yes")</f>
        <v>Yes</v>
      </c>
      <c r="O449" s="5" t="str">
        <f ca="1">IFERROR(__xludf.DUMMYFUNCTION("""COMPUTED_VALUE"""),"Yes")</f>
        <v>Yes</v>
      </c>
      <c r="P449" s="5" t="str">
        <f ca="1">IFERROR(__xludf.DUMMYFUNCTION("""COMPUTED_VALUE"""),"No")</f>
        <v>No</v>
      </c>
      <c r="Q449" s="5" t="str">
        <f ca="1">IFERROR(__xludf.DUMMYFUNCTION("""COMPUTED_VALUE"""),"Yes")</f>
        <v>Yes</v>
      </c>
      <c r="R449" s="5" t="str">
        <f ca="1">IFERROR(__xludf.DUMMYFUNCTION("""COMPUTED_VALUE"""),"No")</f>
        <v>No</v>
      </c>
      <c r="S449" s="5" t="str">
        <f ca="1">IFERROR(__xludf.DUMMYFUNCTION("""COMPUTED_VALUE"""),"No")</f>
        <v>No</v>
      </c>
      <c r="T449" s="5" t="str">
        <f ca="1">IFERROR(__xludf.DUMMYFUNCTION("""COMPUTED_VALUE"""),"No")</f>
        <v>No</v>
      </c>
      <c r="U449" s="5" t="str">
        <f ca="1">IFERROR(__xludf.DUMMYFUNCTION("""COMPUTED_VALUE"""),"No")</f>
        <v>No</v>
      </c>
      <c r="V449" s="5"/>
      <c r="W449" s="5"/>
      <c r="X449" s="5" t="str">
        <f ca="1">IFERROR(__xludf.DUMMYFUNCTION("""COMPUTED_VALUE"""),"Yes")</f>
        <v>Yes</v>
      </c>
      <c r="Y449" s="5"/>
      <c r="Z449" s="5" t="str">
        <f ca="1">IFERROR(__xludf.DUMMYFUNCTION("""COMPUTED_VALUE"""),"No")</f>
        <v>No</v>
      </c>
      <c r="AA449" s="5"/>
      <c r="AB449" s="5" t="str">
        <f ca="1">IFERROR(__xludf.DUMMYFUNCTION("""COMPUTED_VALUE"""),"Yes")</f>
        <v>Yes</v>
      </c>
      <c r="AC449" s="5" t="str">
        <f ca="1">IFERROR(__xludf.DUMMYFUNCTION("""COMPUTED_VALUE"""),"Yes")</f>
        <v>Yes</v>
      </c>
    </row>
    <row r="450" spans="1:29" x14ac:dyDescent="0.25">
      <c r="A450" s="5" t="str">
        <f ca="1">IFERROR(__xludf.DUMMYFUNCTION("""COMPUTED_VALUE"""),"UnicornSuperFireDiceJackpot")</f>
        <v>UnicornSuperFireDiceJackpot</v>
      </c>
      <c r="B45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0" s="5" t="str">
        <f ca="1">IFERROR(__xludf.DUMMYFUNCTION("""COMPUTED_VALUE"""),"Yes")</f>
        <v>Yes</v>
      </c>
      <c r="D450" s="5" t="str">
        <f ca="1">IFERROR(__xludf.DUMMYFUNCTION("""COMPUTED_VALUE"""),"Yes")</f>
        <v>Yes</v>
      </c>
      <c r="E450" s="5" t="str">
        <f ca="1">IFERROR(__xludf.DUMMYFUNCTION("""COMPUTED_VALUE"""),"Yes")</f>
        <v>Yes</v>
      </c>
      <c r="F450" s="5" t="str">
        <f ca="1">IFERROR(__xludf.DUMMYFUNCTION("""COMPUTED_VALUE"""),"No")</f>
        <v>No</v>
      </c>
      <c r="G450" s="5" t="str">
        <f ca="1">IFERROR(__xludf.DUMMYFUNCTION("""COMPUTED_VALUE"""),"No")</f>
        <v>No</v>
      </c>
      <c r="H450" s="5" t="str">
        <f ca="1">IFERROR(__xludf.DUMMYFUNCTION("""COMPUTED_VALUE"""),"No")</f>
        <v>No</v>
      </c>
      <c r="I450" s="5" t="str">
        <f ca="1">IFERROR(__xludf.DUMMYFUNCTION("""COMPUTED_VALUE"""),"No")</f>
        <v>No</v>
      </c>
      <c r="J450" s="5" t="str">
        <f ca="1">IFERROR(__xludf.DUMMYFUNCTION("""COMPUTED_VALUE"""),"No")</f>
        <v>No</v>
      </c>
      <c r="K450" s="5" t="str">
        <f ca="1">IFERROR(__xludf.DUMMYFUNCTION("""COMPUTED_VALUE"""),"Yes")</f>
        <v>Yes</v>
      </c>
      <c r="L450" s="5" t="str">
        <f ca="1">IFERROR(__xludf.DUMMYFUNCTION("""COMPUTED_VALUE"""),"Yes")</f>
        <v>Yes</v>
      </c>
      <c r="M450" s="5" t="str">
        <f ca="1">IFERROR(__xludf.DUMMYFUNCTION("""COMPUTED_VALUE"""),"Yes")</f>
        <v>Yes</v>
      </c>
      <c r="N450" s="5" t="str">
        <f ca="1">IFERROR(__xludf.DUMMYFUNCTION("""COMPUTED_VALUE"""),"Yes")</f>
        <v>Yes</v>
      </c>
      <c r="O450" s="5" t="str">
        <f ca="1">IFERROR(__xludf.DUMMYFUNCTION("""COMPUTED_VALUE"""),"Yes")</f>
        <v>Yes</v>
      </c>
      <c r="P450" s="5" t="str">
        <f ca="1">IFERROR(__xludf.DUMMYFUNCTION("""COMPUTED_VALUE"""),"No")</f>
        <v>No</v>
      </c>
      <c r="Q450" s="5" t="str">
        <f ca="1">IFERROR(__xludf.DUMMYFUNCTION("""COMPUTED_VALUE"""),"Yes")</f>
        <v>Yes</v>
      </c>
      <c r="R450" s="5" t="str">
        <f ca="1">IFERROR(__xludf.DUMMYFUNCTION("""COMPUTED_VALUE"""),"No")</f>
        <v>No</v>
      </c>
      <c r="S450" s="5" t="str">
        <f ca="1">IFERROR(__xludf.DUMMYFUNCTION("""COMPUTED_VALUE"""),"No")</f>
        <v>No</v>
      </c>
      <c r="T450" s="5" t="str">
        <f ca="1">IFERROR(__xludf.DUMMYFUNCTION("""COMPUTED_VALUE"""),"No")</f>
        <v>No</v>
      </c>
      <c r="U450" s="5" t="str">
        <f ca="1">IFERROR(__xludf.DUMMYFUNCTION("""COMPUTED_VALUE"""),"No")</f>
        <v>No</v>
      </c>
      <c r="V450" s="5"/>
      <c r="W450" s="5"/>
      <c r="X450" s="5" t="str">
        <f ca="1">IFERROR(__xludf.DUMMYFUNCTION("""COMPUTED_VALUE"""),"Yes")</f>
        <v>Yes</v>
      </c>
      <c r="Y450" s="5"/>
      <c r="Z450" s="5" t="str">
        <f ca="1">IFERROR(__xludf.DUMMYFUNCTION("""COMPUTED_VALUE"""),"No")</f>
        <v>No</v>
      </c>
      <c r="AA450" s="5"/>
      <c r="AB450" s="5" t="str">
        <f ca="1">IFERROR(__xludf.DUMMYFUNCTION("""COMPUTED_VALUE"""),"Yes")</f>
        <v>Yes</v>
      </c>
      <c r="AC450" s="5" t="str">
        <f ca="1">IFERROR(__xludf.DUMMYFUNCTION("""COMPUTED_VALUE"""),"Yes")</f>
        <v>Yes</v>
      </c>
    </row>
    <row r="451" spans="1:29" x14ac:dyDescent="0.25">
      <c r="A451" s="5" t="str">
        <f ca="1">IFERROR(__xludf.DUMMYFUNCTION("""COMPUTED_VALUE"""),"UnicornMisterDice")</f>
        <v>UnicornMisterDice</v>
      </c>
      <c r="B45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1" s="5" t="str">
        <f ca="1">IFERROR(__xludf.DUMMYFUNCTION("""COMPUTED_VALUE"""),"Yes")</f>
        <v>Yes</v>
      </c>
      <c r="D451" s="5" t="str">
        <f ca="1">IFERROR(__xludf.DUMMYFUNCTION("""COMPUTED_VALUE"""),"Yes")</f>
        <v>Yes</v>
      </c>
      <c r="E451" s="5" t="str">
        <f ca="1">IFERROR(__xludf.DUMMYFUNCTION("""COMPUTED_VALUE"""),"Yes")</f>
        <v>Yes</v>
      </c>
      <c r="F451" s="5" t="str">
        <f ca="1">IFERROR(__xludf.DUMMYFUNCTION("""COMPUTED_VALUE"""),"No")</f>
        <v>No</v>
      </c>
      <c r="G451" s="5" t="str">
        <f ca="1">IFERROR(__xludf.DUMMYFUNCTION("""COMPUTED_VALUE"""),"No")</f>
        <v>No</v>
      </c>
      <c r="H451" s="5" t="str">
        <f ca="1">IFERROR(__xludf.DUMMYFUNCTION("""COMPUTED_VALUE"""),"No")</f>
        <v>No</v>
      </c>
      <c r="I451" s="5" t="str">
        <f ca="1">IFERROR(__xludf.DUMMYFUNCTION("""COMPUTED_VALUE"""),"No")</f>
        <v>No</v>
      </c>
      <c r="J451" s="5" t="str">
        <f ca="1">IFERROR(__xludf.DUMMYFUNCTION("""COMPUTED_VALUE"""),"No")</f>
        <v>No</v>
      </c>
      <c r="K451" s="5" t="str">
        <f ca="1">IFERROR(__xludf.DUMMYFUNCTION("""COMPUTED_VALUE"""),"Yes")</f>
        <v>Yes</v>
      </c>
      <c r="L451" s="5" t="str">
        <f ca="1">IFERROR(__xludf.DUMMYFUNCTION("""COMPUTED_VALUE"""),"Yes")</f>
        <v>Yes</v>
      </c>
      <c r="M451" s="5" t="str">
        <f ca="1">IFERROR(__xludf.DUMMYFUNCTION("""COMPUTED_VALUE"""),"Yes")</f>
        <v>Yes</v>
      </c>
      <c r="N451" s="5" t="str">
        <f ca="1">IFERROR(__xludf.DUMMYFUNCTION("""COMPUTED_VALUE"""),"Yes")</f>
        <v>Yes</v>
      </c>
      <c r="O451" s="5" t="str">
        <f ca="1">IFERROR(__xludf.DUMMYFUNCTION("""COMPUTED_VALUE"""),"Yes")</f>
        <v>Yes</v>
      </c>
      <c r="P451" s="5" t="str">
        <f ca="1">IFERROR(__xludf.DUMMYFUNCTION("""COMPUTED_VALUE"""),"No")</f>
        <v>No</v>
      </c>
      <c r="Q451" s="5" t="str">
        <f ca="1">IFERROR(__xludf.DUMMYFUNCTION("""COMPUTED_VALUE"""),"Yes")</f>
        <v>Yes</v>
      </c>
      <c r="R451" s="5" t="str">
        <f ca="1">IFERROR(__xludf.DUMMYFUNCTION("""COMPUTED_VALUE"""),"No")</f>
        <v>No</v>
      </c>
      <c r="S451" s="5" t="str">
        <f ca="1">IFERROR(__xludf.DUMMYFUNCTION("""COMPUTED_VALUE"""),"No")</f>
        <v>No</v>
      </c>
      <c r="T451" s="5" t="str">
        <f ca="1">IFERROR(__xludf.DUMMYFUNCTION("""COMPUTED_VALUE"""),"No")</f>
        <v>No</v>
      </c>
      <c r="U451" s="5" t="str">
        <f ca="1">IFERROR(__xludf.DUMMYFUNCTION("""COMPUTED_VALUE"""),"No")</f>
        <v>No</v>
      </c>
      <c r="V451" s="5"/>
      <c r="W451" s="5"/>
      <c r="X451" s="5" t="str">
        <f ca="1">IFERROR(__xludf.DUMMYFUNCTION("""COMPUTED_VALUE"""),"Yes")</f>
        <v>Yes</v>
      </c>
      <c r="Y451" s="5"/>
      <c r="Z451" s="5" t="str">
        <f ca="1">IFERROR(__xludf.DUMMYFUNCTION("""COMPUTED_VALUE"""),"No")</f>
        <v>No</v>
      </c>
      <c r="AA451" s="5"/>
      <c r="AB451" s="5" t="str">
        <f ca="1">IFERROR(__xludf.DUMMYFUNCTION("""COMPUTED_VALUE"""),"Yes")</f>
        <v>Yes</v>
      </c>
      <c r="AC451" s="5" t="str">
        <f ca="1">IFERROR(__xludf.DUMMYFUNCTION("""COMPUTED_VALUE"""),"Yes")</f>
        <v>Yes</v>
      </c>
    </row>
    <row r="452" spans="1:29" x14ac:dyDescent="0.25">
      <c r="A452" s="5" t="str">
        <f ca="1">IFERROR(__xludf.DUMMYFUNCTION("""COMPUTED_VALUE"""),"UnicornThreeReelSevens")</f>
        <v>UnicornThreeReelSevens</v>
      </c>
      <c r="B45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2" s="5" t="str">
        <f ca="1">IFERROR(__xludf.DUMMYFUNCTION("""COMPUTED_VALUE"""),"Yes")</f>
        <v>Yes</v>
      </c>
      <c r="D452" s="5" t="str">
        <f ca="1">IFERROR(__xludf.DUMMYFUNCTION("""COMPUTED_VALUE"""),"Yes")</f>
        <v>Yes</v>
      </c>
      <c r="E452" s="5" t="str">
        <f ca="1">IFERROR(__xludf.DUMMYFUNCTION("""COMPUTED_VALUE"""),"Yes")</f>
        <v>Yes</v>
      </c>
      <c r="F452" s="5" t="str">
        <f ca="1">IFERROR(__xludf.DUMMYFUNCTION("""COMPUTED_VALUE"""),"No")</f>
        <v>No</v>
      </c>
      <c r="G452" s="5" t="str">
        <f ca="1">IFERROR(__xludf.DUMMYFUNCTION("""COMPUTED_VALUE"""),"No")</f>
        <v>No</v>
      </c>
      <c r="H452" s="5" t="str">
        <f ca="1">IFERROR(__xludf.DUMMYFUNCTION("""COMPUTED_VALUE"""),"No")</f>
        <v>No</v>
      </c>
      <c r="I452" s="5" t="str">
        <f ca="1">IFERROR(__xludf.DUMMYFUNCTION("""COMPUTED_VALUE"""),"No")</f>
        <v>No</v>
      </c>
      <c r="J452" s="5" t="str">
        <f ca="1">IFERROR(__xludf.DUMMYFUNCTION("""COMPUTED_VALUE"""),"No")</f>
        <v>No</v>
      </c>
      <c r="K452" s="5" t="str">
        <f ca="1">IFERROR(__xludf.DUMMYFUNCTION("""COMPUTED_VALUE"""),"Yes")</f>
        <v>Yes</v>
      </c>
      <c r="L452" s="5" t="str">
        <f ca="1">IFERROR(__xludf.DUMMYFUNCTION("""COMPUTED_VALUE"""),"Yes")</f>
        <v>Yes</v>
      </c>
      <c r="M452" s="5" t="str">
        <f ca="1">IFERROR(__xludf.DUMMYFUNCTION("""COMPUTED_VALUE"""),"Yes")</f>
        <v>Yes</v>
      </c>
      <c r="N452" s="5" t="str">
        <f ca="1">IFERROR(__xludf.DUMMYFUNCTION("""COMPUTED_VALUE"""),"Yes")</f>
        <v>Yes</v>
      </c>
      <c r="O452" s="5" t="str">
        <f ca="1">IFERROR(__xludf.DUMMYFUNCTION("""COMPUTED_VALUE"""),"Yes")</f>
        <v>Yes</v>
      </c>
      <c r="P452" s="5" t="str">
        <f ca="1">IFERROR(__xludf.DUMMYFUNCTION("""COMPUTED_VALUE"""),"No")</f>
        <v>No</v>
      </c>
      <c r="Q452" s="5" t="str">
        <f ca="1">IFERROR(__xludf.DUMMYFUNCTION("""COMPUTED_VALUE"""),"Yes")</f>
        <v>Yes</v>
      </c>
      <c r="R452" s="5" t="str">
        <f ca="1">IFERROR(__xludf.DUMMYFUNCTION("""COMPUTED_VALUE"""),"No")</f>
        <v>No</v>
      </c>
      <c r="S452" s="5" t="str">
        <f ca="1">IFERROR(__xludf.DUMMYFUNCTION("""COMPUTED_VALUE"""),"No")</f>
        <v>No</v>
      </c>
      <c r="T452" s="5" t="str">
        <f ca="1">IFERROR(__xludf.DUMMYFUNCTION("""COMPUTED_VALUE"""),"No")</f>
        <v>No</v>
      </c>
      <c r="U452" s="5" t="str">
        <f ca="1">IFERROR(__xludf.DUMMYFUNCTION("""COMPUTED_VALUE"""),"No")</f>
        <v>No</v>
      </c>
      <c r="V452" s="5"/>
      <c r="W452" s="5"/>
      <c r="X452" s="5" t="str">
        <f ca="1">IFERROR(__xludf.DUMMYFUNCTION("""COMPUTED_VALUE"""),"Yes")</f>
        <v>Yes</v>
      </c>
      <c r="Y452" s="5"/>
      <c r="Z452" s="5" t="str">
        <f ca="1">IFERROR(__xludf.DUMMYFUNCTION("""COMPUTED_VALUE"""),"No")</f>
        <v>No</v>
      </c>
      <c r="AA452" s="5"/>
      <c r="AB452" s="5" t="str">
        <f ca="1">IFERROR(__xludf.DUMMYFUNCTION("""COMPUTED_VALUE"""),"Yes")</f>
        <v>Yes</v>
      </c>
      <c r="AC452" s="5" t="str">
        <f ca="1">IFERROR(__xludf.DUMMYFUNCTION("""COMPUTED_VALUE"""),"Yes")</f>
        <v>Yes</v>
      </c>
    </row>
    <row r="453" spans="1:29" x14ac:dyDescent="0.25">
      <c r="A453" s="5" t="str">
        <f ca="1">IFERROR(__xludf.DUMMYFUNCTION("""COMPUTED_VALUE"""),"LuckySheriff")</f>
        <v>LuckySheriff</v>
      </c>
      <c r="B4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3" s="5" t="str">
        <f ca="1">IFERROR(__xludf.DUMMYFUNCTION("""COMPUTED_VALUE"""),"Yes")</f>
        <v>Yes</v>
      </c>
      <c r="D453" s="5" t="str">
        <f ca="1">IFERROR(__xludf.DUMMYFUNCTION("""COMPUTED_VALUE"""),"Yes")</f>
        <v>Yes</v>
      </c>
      <c r="E453" s="5" t="str">
        <f ca="1">IFERROR(__xludf.DUMMYFUNCTION("""COMPUTED_VALUE"""),"Yes")</f>
        <v>Yes</v>
      </c>
      <c r="F453" s="5" t="str">
        <f ca="1">IFERROR(__xludf.DUMMYFUNCTION("""COMPUTED_VALUE"""),"Yes")</f>
        <v>Yes</v>
      </c>
      <c r="G453" s="5" t="str">
        <f ca="1">IFERROR(__xludf.DUMMYFUNCTION("""COMPUTED_VALUE"""),"Yes")</f>
        <v>Yes</v>
      </c>
      <c r="H453" s="5" t="str">
        <f ca="1">IFERROR(__xludf.DUMMYFUNCTION("""COMPUTED_VALUE"""),"Yes")</f>
        <v>Yes</v>
      </c>
      <c r="I453" s="5" t="str">
        <f ca="1">IFERROR(__xludf.DUMMYFUNCTION("""COMPUTED_VALUE"""),"Yes")</f>
        <v>Yes</v>
      </c>
      <c r="J453" s="5" t="str">
        <f ca="1">IFERROR(__xludf.DUMMYFUNCTION("""COMPUTED_VALUE"""),"Yes")</f>
        <v>Yes</v>
      </c>
      <c r="K453" s="5" t="str">
        <f ca="1">IFERROR(__xludf.DUMMYFUNCTION("""COMPUTED_VALUE"""),"Yes")</f>
        <v>Yes</v>
      </c>
      <c r="L453" s="5" t="str">
        <f ca="1">IFERROR(__xludf.DUMMYFUNCTION("""COMPUTED_VALUE"""),"Yes")</f>
        <v>Yes</v>
      </c>
      <c r="M453" s="5" t="str">
        <f ca="1">IFERROR(__xludf.DUMMYFUNCTION("""COMPUTED_VALUE"""),"Yes")</f>
        <v>Yes</v>
      </c>
      <c r="N453" s="5" t="str">
        <f ca="1">IFERROR(__xludf.DUMMYFUNCTION("""COMPUTED_VALUE"""),"Yes")</f>
        <v>Yes</v>
      </c>
      <c r="O453" s="5" t="str">
        <f ca="1">IFERROR(__xludf.DUMMYFUNCTION("""COMPUTED_VALUE"""),"Yes")</f>
        <v>Yes</v>
      </c>
      <c r="P453" s="5" t="str">
        <f ca="1">IFERROR(__xludf.DUMMYFUNCTION("""COMPUTED_VALUE"""),"Yes")</f>
        <v>Yes</v>
      </c>
      <c r="Q453" s="5" t="str">
        <f ca="1">IFERROR(__xludf.DUMMYFUNCTION("""COMPUTED_VALUE"""),"Yes")</f>
        <v>Yes</v>
      </c>
      <c r="R453" s="5" t="str">
        <f ca="1">IFERROR(__xludf.DUMMYFUNCTION("""COMPUTED_VALUE"""),"Yes")</f>
        <v>Yes</v>
      </c>
      <c r="S453" s="5" t="str">
        <f ca="1">IFERROR(__xludf.DUMMYFUNCTION("""COMPUTED_VALUE"""),"Yes")</f>
        <v>Yes</v>
      </c>
      <c r="T453" s="5" t="str">
        <f ca="1">IFERROR(__xludf.DUMMYFUNCTION("""COMPUTED_VALUE"""),"Yes")</f>
        <v>Yes</v>
      </c>
      <c r="U453" s="5" t="str">
        <f ca="1">IFERROR(__xludf.DUMMYFUNCTION("""COMPUTED_VALUE"""),"Yes")</f>
        <v>Yes</v>
      </c>
      <c r="V453" s="5" t="str">
        <f ca="1">IFERROR(__xludf.DUMMYFUNCTION("""COMPUTED_VALUE"""),"Yes")</f>
        <v>Yes</v>
      </c>
      <c r="W453" s="5" t="str">
        <f ca="1">IFERROR(__xludf.DUMMYFUNCTION("""COMPUTED_VALUE"""),"Yes")</f>
        <v>Yes</v>
      </c>
      <c r="X453" s="5" t="str">
        <f ca="1">IFERROR(__xludf.DUMMYFUNCTION("""COMPUTED_VALUE"""),"Yes")</f>
        <v>Yes</v>
      </c>
      <c r="Y453" s="5" t="str">
        <f ca="1">IFERROR(__xludf.DUMMYFUNCTION("""COMPUTED_VALUE"""),"Yes")</f>
        <v>Yes</v>
      </c>
      <c r="Z453" s="5" t="str">
        <f ca="1">IFERROR(__xludf.DUMMYFUNCTION("""COMPUTED_VALUE"""),"Yes")</f>
        <v>Yes</v>
      </c>
      <c r="AA453" s="5" t="str">
        <f ca="1">IFERROR(__xludf.DUMMYFUNCTION("""COMPUTED_VALUE"""),"Yes")</f>
        <v>Yes</v>
      </c>
      <c r="AB453" s="5" t="str">
        <f ca="1">IFERROR(__xludf.DUMMYFUNCTION("""COMPUTED_VALUE"""),"Yes")</f>
        <v>Yes</v>
      </c>
      <c r="AC453" s="5" t="str">
        <f ca="1">IFERROR(__xludf.DUMMYFUNCTION("""COMPUTED_VALUE"""),"No")</f>
        <v>No</v>
      </c>
    </row>
    <row r="454" spans="1:29" x14ac:dyDescent="0.25">
      <c r="A454" s="5" t="str">
        <f ca="1">IFERROR(__xludf.DUMMYFUNCTION("""COMPUTED_VALUE"""),"CoinSplash")</f>
        <v>CoinSplash</v>
      </c>
      <c r="B4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4" s="5" t="str">
        <f ca="1">IFERROR(__xludf.DUMMYFUNCTION("""COMPUTED_VALUE"""),"Yes")</f>
        <v>Yes</v>
      </c>
      <c r="D454" s="5" t="str">
        <f ca="1">IFERROR(__xludf.DUMMYFUNCTION("""COMPUTED_VALUE"""),"Yes")</f>
        <v>Yes</v>
      </c>
      <c r="E454" s="5" t="str">
        <f ca="1">IFERROR(__xludf.DUMMYFUNCTION("""COMPUTED_VALUE"""),"Yes")</f>
        <v>Yes</v>
      </c>
      <c r="F454" s="5" t="str">
        <f ca="1">IFERROR(__xludf.DUMMYFUNCTION("""COMPUTED_VALUE"""),"Yes")</f>
        <v>Yes</v>
      </c>
      <c r="G454" s="5" t="str">
        <f ca="1">IFERROR(__xludf.DUMMYFUNCTION("""COMPUTED_VALUE"""),"Yes")</f>
        <v>Yes</v>
      </c>
      <c r="H454" s="5" t="str">
        <f ca="1">IFERROR(__xludf.DUMMYFUNCTION("""COMPUTED_VALUE"""),"Yes")</f>
        <v>Yes</v>
      </c>
      <c r="I454" s="5" t="str">
        <f ca="1">IFERROR(__xludf.DUMMYFUNCTION("""COMPUTED_VALUE"""),"Yes")</f>
        <v>Yes</v>
      </c>
      <c r="J454" s="5" t="str">
        <f ca="1">IFERROR(__xludf.DUMMYFUNCTION("""COMPUTED_VALUE"""),"Yes")</f>
        <v>Yes</v>
      </c>
      <c r="K454" s="5" t="str">
        <f ca="1">IFERROR(__xludf.DUMMYFUNCTION("""COMPUTED_VALUE"""),"Yes")</f>
        <v>Yes</v>
      </c>
      <c r="L454" s="5" t="str">
        <f ca="1">IFERROR(__xludf.DUMMYFUNCTION("""COMPUTED_VALUE"""),"Yes")</f>
        <v>Yes</v>
      </c>
      <c r="M454" s="5" t="str">
        <f ca="1">IFERROR(__xludf.DUMMYFUNCTION("""COMPUTED_VALUE"""),"Yes")</f>
        <v>Yes</v>
      </c>
      <c r="N454" s="5" t="str">
        <f ca="1">IFERROR(__xludf.DUMMYFUNCTION("""COMPUTED_VALUE"""),"Yes")</f>
        <v>Yes</v>
      </c>
      <c r="O454" s="5" t="str">
        <f ca="1">IFERROR(__xludf.DUMMYFUNCTION("""COMPUTED_VALUE"""),"Yes")</f>
        <v>Yes</v>
      </c>
      <c r="P454" s="5" t="str">
        <f ca="1">IFERROR(__xludf.DUMMYFUNCTION("""COMPUTED_VALUE"""),"Yes")</f>
        <v>Yes</v>
      </c>
      <c r="Q454" s="5" t="str">
        <f ca="1">IFERROR(__xludf.DUMMYFUNCTION("""COMPUTED_VALUE"""),"Yes")</f>
        <v>Yes</v>
      </c>
      <c r="R454" s="5" t="str">
        <f ca="1">IFERROR(__xludf.DUMMYFUNCTION("""COMPUTED_VALUE"""),"Yes")</f>
        <v>Yes</v>
      </c>
      <c r="S454" s="5" t="str">
        <f ca="1">IFERROR(__xludf.DUMMYFUNCTION("""COMPUTED_VALUE"""),"Yes")</f>
        <v>Yes</v>
      </c>
      <c r="T454" s="5" t="str">
        <f ca="1">IFERROR(__xludf.DUMMYFUNCTION("""COMPUTED_VALUE"""),"Yes")</f>
        <v>Yes</v>
      </c>
      <c r="U454" s="5" t="str">
        <f ca="1">IFERROR(__xludf.DUMMYFUNCTION("""COMPUTED_VALUE"""),"Yes")</f>
        <v>Yes</v>
      </c>
      <c r="V454" s="5" t="str">
        <f ca="1">IFERROR(__xludf.DUMMYFUNCTION("""COMPUTED_VALUE"""),"Yes")</f>
        <v>Yes</v>
      </c>
      <c r="W454" s="5" t="str">
        <f ca="1">IFERROR(__xludf.DUMMYFUNCTION("""COMPUTED_VALUE"""),"Yes")</f>
        <v>Yes</v>
      </c>
      <c r="X454" s="5" t="str">
        <f ca="1">IFERROR(__xludf.DUMMYFUNCTION("""COMPUTED_VALUE"""),"Yes")</f>
        <v>Yes</v>
      </c>
      <c r="Y454" s="5" t="str">
        <f ca="1">IFERROR(__xludf.DUMMYFUNCTION("""COMPUTED_VALUE"""),"Yes")</f>
        <v>Yes</v>
      </c>
      <c r="Z454" s="5" t="str">
        <f ca="1">IFERROR(__xludf.DUMMYFUNCTION("""COMPUTED_VALUE"""),"Yes")</f>
        <v>Yes</v>
      </c>
      <c r="AA454" s="5" t="str">
        <f ca="1">IFERROR(__xludf.DUMMYFUNCTION("""COMPUTED_VALUE"""),"Yes")</f>
        <v>Yes</v>
      </c>
      <c r="AB454" s="5" t="str">
        <f ca="1">IFERROR(__xludf.DUMMYFUNCTION("""COMPUTED_VALUE"""),"Yes")</f>
        <v>Yes</v>
      </c>
      <c r="AC454" s="5" t="str">
        <f ca="1">IFERROR(__xludf.DUMMYFUNCTION("""COMPUTED_VALUE"""),"No")</f>
        <v>No</v>
      </c>
    </row>
    <row r="455" spans="1:29" x14ac:dyDescent="0.25">
      <c r="A455" s="5" t="str">
        <f ca="1">IFERROR(__xludf.DUMMYFUNCTION("""COMPUTED_VALUE"""),"Redstone10WildHeart")</f>
        <v>Redstone10WildHeart</v>
      </c>
      <c r="B45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5" s="5" t="str">
        <f ca="1">IFERROR(__xludf.DUMMYFUNCTION("""COMPUTED_VALUE"""),"Yes")</f>
        <v>Yes</v>
      </c>
      <c r="D455" s="5" t="str">
        <f ca="1">IFERROR(__xludf.DUMMYFUNCTION("""COMPUTED_VALUE"""),"Yes")</f>
        <v>Yes</v>
      </c>
      <c r="E455" s="5" t="str">
        <f ca="1">IFERROR(__xludf.DUMMYFUNCTION("""COMPUTED_VALUE"""),"Yes")</f>
        <v>Yes</v>
      </c>
      <c r="F455" s="5" t="str">
        <f ca="1">IFERROR(__xludf.DUMMYFUNCTION("""COMPUTED_VALUE"""),"No")</f>
        <v>No</v>
      </c>
      <c r="G455" s="5" t="str">
        <f ca="1">IFERROR(__xludf.DUMMYFUNCTION("""COMPUTED_VALUE"""),"No")</f>
        <v>No</v>
      </c>
      <c r="H455" s="5" t="str">
        <f ca="1">IFERROR(__xludf.DUMMYFUNCTION("""COMPUTED_VALUE"""),"No")</f>
        <v>No</v>
      </c>
      <c r="I455" s="5" t="str">
        <f ca="1">IFERROR(__xludf.DUMMYFUNCTION("""COMPUTED_VALUE"""),"No")</f>
        <v>No</v>
      </c>
      <c r="J455" s="5" t="str">
        <f ca="1">IFERROR(__xludf.DUMMYFUNCTION("""COMPUTED_VALUE"""),"No")</f>
        <v>No</v>
      </c>
      <c r="K455" s="5" t="str">
        <f ca="1">IFERROR(__xludf.DUMMYFUNCTION("""COMPUTED_VALUE"""),"Yes")</f>
        <v>Yes</v>
      </c>
      <c r="L455" s="5" t="str">
        <f ca="1">IFERROR(__xludf.DUMMYFUNCTION("""COMPUTED_VALUE"""),"Yes")</f>
        <v>Yes</v>
      </c>
      <c r="M455" s="5" t="str">
        <f ca="1">IFERROR(__xludf.DUMMYFUNCTION("""COMPUTED_VALUE"""),"Yes")</f>
        <v>Yes</v>
      </c>
      <c r="N455" s="5" t="str">
        <f ca="1">IFERROR(__xludf.DUMMYFUNCTION("""COMPUTED_VALUE"""),"Yes")</f>
        <v>Yes</v>
      </c>
      <c r="O455" s="5" t="str">
        <f ca="1">IFERROR(__xludf.DUMMYFUNCTION("""COMPUTED_VALUE"""),"Yes")</f>
        <v>Yes</v>
      </c>
      <c r="P455" s="5" t="str">
        <f ca="1">IFERROR(__xludf.DUMMYFUNCTION("""COMPUTED_VALUE"""),"No")</f>
        <v>No</v>
      </c>
      <c r="Q455" s="5" t="str">
        <f ca="1">IFERROR(__xludf.DUMMYFUNCTION("""COMPUTED_VALUE"""),"Yes")</f>
        <v>Yes</v>
      </c>
      <c r="R455" s="5" t="str">
        <f ca="1">IFERROR(__xludf.DUMMYFUNCTION("""COMPUTED_VALUE"""),"No")</f>
        <v>No</v>
      </c>
      <c r="S455" s="5" t="str">
        <f ca="1">IFERROR(__xludf.DUMMYFUNCTION("""COMPUTED_VALUE"""),"No")</f>
        <v>No</v>
      </c>
      <c r="T455" s="5" t="str">
        <f ca="1">IFERROR(__xludf.DUMMYFUNCTION("""COMPUTED_VALUE"""),"No")</f>
        <v>No</v>
      </c>
      <c r="U455" s="5" t="str">
        <f ca="1">IFERROR(__xludf.DUMMYFUNCTION("""COMPUTED_VALUE"""),"No")</f>
        <v>No</v>
      </c>
      <c r="V455" s="5"/>
      <c r="W455" s="5"/>
      <c r="X455" s="5" t="str">
        <f ca="1">IFERROR(__xludf.DUMMYFUNCTION("""COMPUTED_VALUE"""),"Yes")</f>
        <v>Yes</v>
      </c>
      <c r="Y455" s="5"/>
      <c r="Z455" s="5" t="str">
        <f ca="1">IFERROR(__xludf.DUMMYFUNCTION("""COMPUTED_VALUE"""),"No")</f>
        <v>No</v>
      </c>
      <c r="AA455" s="5"/>
      <c r="AB455" s="5" t="str">
        <f ca="1">IFERROR(__xludf.DUMMYFUNCTION("""COMPUTED_VALUE"""),"Yes")</f>
        <v>Yes</v>
      </c>
      <c r="AC455" s="5" t="str">
        <f ca="1">IFERROR(__xludf.DUMMYFUNCTION("""COMPUTED_VALUE"""),"Yes")</f>
        <v>Yes</v>
      </c>
    </row>
    <row r="456" spans="1:29" x14ac:dyDescent="0.25">
      <c r="A456" s="5" t="str">
        <f ca="1">IFERROR(__xludf.DUMMYFUNCTION("""COMPUTED_VALUE"""),"Redstone40JokerFire")</f>
        <v>Redstone40JokerFire</v>
      </c>
      <c r="B456" s="5" t="str">
        <f ca="1">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C456" s="5" t="str">
        <f ca="1">IFERROR(__xludf.DUMMYFUNCTION("""COMPUTED_VALUE"""),"Yes")</f>
        <v>Yes</v>
      </c>
      <c r="D456" s="5" t="str">
        <f ca="1">IFERROR(__xludf.DUMMYFUNCTION("""COMPUTED_VALUE"""),"Yes")</f>
        <v>Yes</v>
      </c>
      <c r="E456" s="5" t="str">
        <f ca="1">IFERROR(__xludf.DUMMYFUNCTION("""COMPUTED_VALUE"""),"Yes")</f>
        <v>Yes</v>
      </c>
      <c r="F456" s="5" t="str">
        <f ca="1">IFERROR(__xludf.DUMMYFUNCTION("""COMPUTED_VALUE"""),"No")</f>
        <v>No</v>
      </c>
      <c r="G456" s="5" t="str">
        <f ca="1">IFERROR(__xludf.DUMMYFUNCTION("""COMPUTED_VALUE"""),"No")</f>
        <v>No</v>
      </c>
      <c r="H456" s="5" t="str">
        <f ca="1">IFERROR(__xludf.DUMMYFUNCTION("""COMPUTED_VALUE"""),"No")</f>
        <v>No</v>
      </c>
      <c r="I456" s="5" t="str">
        <f ca="1">IFERROR(__xludf.DUMMYFUNCTION("""COMPUTED_VALUE"""),"No")</f>
        <v>No</v>
      </c>
      <c r="J456" s="5" t="str">
        <f ca="1">IFERROR(__xludf.DUMMYFUNCTION("""COMPUTED_VALUE"""),"No")</f>
        <v>No</v>
      </c>
      <c r="K456" s="5" t="str">
        <f ca="1">IFERROR(__xludf.DUMMYFUNCTION("""COMPUTED_VALUE"""),"Yes")</f>
        <v>Yes</v>
      </c>
      <c r="L456" s="5" t="str">
        <f ca="1">IFERROR(__xludf.DUMMYFUNCTION("""COMPUTED_VALUE"""),"Yes")</f>
        <v>Yes</v>
      </c>
      <c r="M456" s="5" t="str">
        <f ca="1">IFERROR(__xludf.DUMMYFUNCTION("""COMPUTED_VALUE"""),"Yes")</f>
        <v>Yes</v>
      </c>
      <c r="N456" s="5" t="str">
        <f ca="1">IFERROR(__xludf.DUMMYFUNCTION("""COMPUTED_VALUE"""),"Yes")</f>
        <v>Yes</v>
      </c>
      <c r="O456" s="5" t="str">
        <f ca="1">IFERROR(__xludf.DUMMYFUNCTION("""COMPUTED_VALUE"""),"Yes")</f>
        <v>Yes</v>
      </c>
      <c r="P456" s="5" t="str">
        <f ca="1">IFERROR(__xludf.DUMMYFUNCTION("""COMPUTED_VALUE"""),"No")</f>
        <v>No</v>
      </c>
      <c r="Q456" s="5" t="str">
        <f ca="1">IFERROR(__xludf.DUMMYFUNCTION("""COMPUTED_VALUE"""),"Yes")</f>
        <v>Yes</v>
      </c>
      <c r="R456" s="5" t="str">
        <f ca="1">IFERROR(__xludf.DUMMYFUNCTION("""COMPUTED_VALUE"""),"No")</f>
        <v>No</v>
      </c>
      <c r="S456" s="5" t="str">
        <f ca="1">IFERROR(__xludf.DUMMYFUNCTION("""COMPUTED_VALUE"""),"No")</f>
        <v>No</v>
      </c>
      <c r="T456" s="5" t="str">
        <f ca="1">IFERROR(__xludf.DUMMYFUNCTION("""COMPUTED_VALUE"""),"No")</f>
        <v>No</v>
      </c>
      <c r="U456" s="5" t="str">
        <f ca="1">IFERROR(__xludf.DUMMYFUNCTION("""COMPUTED_VALUE"""),"No")</f>
        <v>No</v>
      </c>
      <c r="V456" s="5"/>
      <c r="W456" s="5" t="str">
        <f ca="1">IFERROR(__xludf.DUMMYFUNCTION("""COMPUTED_VALUE"""),"Yes")</f>
        <v>Yes</v>
      </c>
      <c r="X456" s="5" t="str">
        <f ca="1">IFERROR(__xludf.DUMMYFUNCTION("""COMPUTED_VALUE"""),"Yes")</f>
        <v>Yes</v>
      </c>
      <c r="Y456" s="5"/>
      <c r="Z456" s="5" t="str">
        <f ca="1">IFERROR(__xludf.DUMMYFUNCTION("""COMPUTED_VALUE"""),"No")</f>
        <v>No</v>
      </c>
      <c r="AA456" s="5"/>
      <c r="AB456" s="5" t="str">
        <f ca="1">IFERROR(__xludf.DUMMYFUNCTION("""COMPUTED_VALUE"""),"Yes")</f>
        <v>Yes</v>
      </c>
      <c r="AC456" s="5"/>
    </row>
    <row r="457" spans="1:29" x14ac:dyDescent="0.25">
      <c r="A457" s="5" t="str">
        <f ca="1">IFERROR(__xludf.DUMMYFUNCTION("""COMPUTED_VALUE"""),"RedstoneBonusStars")</f>
        <v>RedstoneBonusStars</v>
      </c>
      <c r="B45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7" s="5" t="str">
        <f ca="1">IFERROR(__xludf.DUMMYFUNCTION("""COMPUTED_VALUE"""),"Yes")</f>
        <v>Yes</v>
      </c>
      <c r="D457" s="5" t="str">
        <f ca="1">IFERROR(__xludf.DUMMYFUNCTION("""COMPUTED_VALUE"""),"Yes")</f>
        <v>Yes</v>
      </c>
      <c r="E457" s="5" t="str">
        <f ca="1">IFERROR(__xludf.DUMMYFUNCTION("""COMPUTED_VALUE"""),"No")</f>
        <v>No</v>
      </c>
      <c r="F457" s="5" t="str">
        <f ca="1">IFERROR(__xludf.DUMMYFUNCTION("""COMPUTED_VALUE"""),"Yes")</f>
        <v>Yes</v>
      </c>
      <c r="G457" s="5" t="str">
        <f ca="1">IFERROR(__xludf.DUMMYFUNCTION("""COMPUTED_VALUE"""),"Yes")</f>
        <v>Yes</v>
      </c>
      <c r="H457" s="5" t="str">
        <f ca="1">IFERROR(__xludf.DUMMYFUNCTION("""COMPUTED_VALUE"""),"Yes")</f>
        <v>Yes</v>
      </c>
      <c r="I457" s="5" t="str">
        <f ca="1">IFERROR(__xludf.DUMMYFUNCTION("""COMPUTED_VALUE"""),"Yes")</f>
        <v>Yes</v>
      </c>
      <c r="J457" s="5" t="str">
        <f ca="1">IFERROR(__xludf.DUMMYFUNCTION("""COMPUTED_VALUE"""),"Yes")</f>
        <v>Yes</v>
      </c>
      <c r="K457" s="5" t="str">
        <f ca="1">IFERROR(__xludf.DUMMYFUNCTION("""COMPUTED_VALUE"""),"Yes")</f>
        <v>Yes</v>
      </c>
      <c r="L457" s="5" t="str">
        <f ca="1">IFERROR(__xludf.DUMMYFUNCTION("""COMPUTED_VALUE"""),"Yes")</f>
        <v>Yes</v>
      </c>
      <c r="M457" s="5" t="str">
        <f ca="1">IFERROR(__xludf.DUMMYFUNCTION("""COMPUTED_VALUE"""),"Yes")</f>
        <v>Yes</v>
      </c>
      <c r="N457" s="5" t="str">
        <f ca="1">IFERROR(__xludf.DUMMYFUNCTION("""COMPUTED_VALUE"""),"Yes")</f>
        <v>Yes</v>
      </c>
      <c r="O457" s="5" t="str">
        <f ca="1">IFERROR(__xludf.DUMMYFUNCTION("""COMPUTED_VALUE"""),"Yes")</f>
        <v>Yes</v>
      </c>
      <c r="P457" s="5" t="str">
        <f ca="1">IFERROR(__xludf.DUMMYFUNCTION("""COMPUTED_VALUE"""),"Yes")</f>
        <v>Yes</v>
      </c>
      <c r="Q457" s="5" t="str">
        <f ca="1">IFERROR(__xludf.DUMMYFUNCTION("""COMPUTED_VALUE"""),"Yes")</f>
        <v>Yes</v>
      </c>
      <c r="R457" s="5" t="str">
        <f ca="1">IFERROR(__xludf.DUMMYFUNCTION("""COMPUTED_VALUE"""),"No")</f>
        <v>No</v>
      </c>
      <c r="S457" s="5" t="str">
        <f ca="1">IFERROR(__xludf.DUMMYFUNCTION("""COMPUTED_VALUE"""),"No")</f>
        <v>No</v>
      </c>
      <c r="T457" s="5" t="str">
        <f ca="1">IFERROR(__xludf.DUMMYFUNCTION("""COMPUTED_VALUE"""),"No")</f>
        <v>No</v>
      </c>
      <c r="U457" s="5" t="str">
        <f ca="1">IFERROR(__xludf.DUMMYFUNCTION("""COMPUTED_VALUE"""),"No")</f>
        <v>No</v>
      </c>
      <c r="V457" s="5" t="str">
        <f ca="1">IFERROR(__xludf.DUMMYFUNCTION("""COMPUTED_VALUE"""),"No")</f>
        <v>No</v>
      </c>
      <c r="W457" s="5" t="str">
        <f ca="1">IFERROR(__xludf.DUMMYFUNCTION("""COMPUTED_VALUE"""),"No")</f>
        <v>No</v>
      </c>
      <c r="X457" s="5" t="str">
        <f ca="1">IFERROR(__xludf.DUMMYFUNCTION("""COMPUTED_VALUE"""),"Yes")</f>
        <v>Yes</v>
      </c>
      <c r="Y457" s="5" t="str">
        <f ca="1">IFERROR(__xludf.DUMMYFUNCTION("""COMPUTED_VALUE"""),"No")</f>
        <v>No</v>
      </c>
      <c r="Z457" s="5" t="str">
        <f ca="1">IFERROR(__xludf.DUMMYFUNCTION("""COMPUTED_VALUE"""),"No")</f>
        <v>No</v>
      </c>
      <c r="AA457" s="5" t="str">
        <f ca="1">IFERROR(__xludf.DUMMYFUNCTION("""COMPUTED_VALUE"""),"No")</f>
        <v>No</v>
      </c>
      <c r="AB457" s="5" t="str">
        <f ca="1">IFERROR(__xludf.DUMMYFUNCTION("""COMPUTED_VALUE"""),"Yes")</f>
        <v>Yes</v>
      </c>
      <c r="AC457" s="5" t="str">
        <f ca="1">IFERROR(__xludf.DUMMYFUNCTION("""COMPUTED_VALUE"""),"No")</f>
        <v>No</v>
      </c>
    </row>
    <row r="458" spans="1:29" x14ac:dyDescent="0.25">
      <c r="A458" s="5" t="str">
        <f ca="1">IFERROR(__xludf.DUMMYFUNCTION("""COMPUTED_VALUE"""),"Redstone5StarFire")</f>
        <v>Redstone5StarFire</v>
      </c>
      <c r="B45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8" s="5" t="str">
        <f ca="1">IFERROR(__xludf.DUMMYFUNCTION("""COMPUTED_VALUE"""),"Yes")</f>
        <v>Yes</v>
      </c>
      <c r="D458" s="5" t="str">
        <f ca="1">IFERROR(__xludf.DUMMYFUNCTION("""COMPUTED_VALUE"""),"Yes")</f>
        <v>Yes</v>
      </c>
      <c r="E458" s="5" t="str">
        <f ca="1">IFERROR(__xludf.DUMMYFUNCTION("""COMPUTED_VALUE"""),"No")</f>
        <v>No</v>
      </c>
      <c r="F458" s="5" t="str">
        <f ca="1">IFERROR(__xludf.DUMMYFUNCTION("""COMPUTED_VALUE"""),"Yes")</f>
        <v>Yes</v>
      </c>
      <c r="G458" s="5" t="str">
        <f ca="1">IFERROR(__xludf.DUMMYFUNCTION("""COMPUTED_VALUE"""),"Yes")</f>
        <v>Yes</v>
      </c>
      <c r="H458" s="5" t="str">
        <f ca="1">IFERROR(__xludf.DUMMYFUNCTION("""COMPUTED_VALUE"""),"Yes")</f>
        <v>Yes</v>
      </c>
      <c r="I458" s="5" t="str">
        <f ca="1">IFERROR(__xludf.DUMMYFUNCTION("""COMPUTED_VALUE"""),"Yes")</f>
        <v>Yes</v>
      </c>
      <c r="J458" s="5" t="str">
        <f ca="1">IFERROR(__xludf.DUMMYFUNCTION("""COMPUTED_VALUE"""),"Yes")</f>
        <v>Yes</v>
      </c>
      <c r="K458" s="5" t="str">
        <f ca="1">IFERROR(__xludf.DUMMYFUNCTION("""COMPUTED_VALUE"""),"Yes")</f>
        <v>Yes</v>
      </c>
      <c r="L458" s="5" t="str">
        <f ca="1">IFERROR(__xludf.DUMMYFUNCTION("""COMPUTED_VALUE"""),"Yes")</f>
        <v>Yes</v>
      </c>
      <c r="M458" s="5" t="str">
        <f ca="1">IFERROR(__xludf.DUMMYFUNCTION("""COMPUTED_VALUE"""),"Yes")</f>
        <v>Yes</v>
      </c>
      <c r="N458" s="5" t="str">
        <f ca="1">IFERROR(__xludf.DUMMYFUNCTION("""COMPUTED_VALUE"""),"Yes")</f>
        <v>Yes</v>
      </c>
      <c r="O458" s="5" t="str">
        <f ca="1">IFERROR(__xludf.DUMMYFUNCTION("""COMPUTED_VALUE"""),"Yes")</f>
        <v>Yes</v>
      </c>
      <c r="P458" s="5" t="str">
        <f ca="1">IFERROR(__xludf.DUMMYFUNCTION("""COMPUTED_VALUE"""),"Yes")</f>
        <v>Yes</v>
      </c>
      <c r="Q458" s="5" t="str">
        <f ca="1">IFERROR(__xludf.DUMMYFUNCTION("""COMPUTED_VALUE"""),"Yes")</f>
        <v>Yes</v>
      </c>
      <c r="R458" s="5" t="str">
        <f ca="1">IFERROR(__xludf.DUMMYFUNCTION("""COMPUTED_VALUE"""),"No")</f>
        <v>No</v>
      </c>
      <c r="S458" s="5" t="str">
        <f ca="1">IFERROR(__xludf.DUMMYFUNCTION("""COMPUTED_VALUE"""),"No")</f>
        <v>No</v>
      </c>
      <c r="T458" s="5" t="str">
        <f ca="1">IFERROR(__xludf.DUMMYFUNCTION("""COMPUTED_VALUE"""),"No")</f>
        <v>No</v>
      </c>
      <c r="U458" s="5" t="str">
        <f ca="1">IFERROR(__xludf.DUMMYFUNCTION("""COMPUTED_VALUE"""),"No")</f>
        <v>No</v>
      </c>
      <c r="V458" s="5" t="str">
        <f ca="1">IFERROR(__xludf.DUMMYFUNCTION("""COMPUTED_VALUE"""),"No")</f>
        <v>No</v>
      </c>
      <c r="W458" s="5" t="str">
        <f ca="1">IFERROR(__xludf.DUMMYFUNCTION("""COMPUTED_VALUE"""),"No")</f>
        <v>No</v>
      </c>
      <c r="X458" s="5" t="str">
        <f ca="1">IFERROR(__xludf.DUMMYFUNCTION("""COMPUTED_VALUE"""),"Yes")</f>
        <v>Yes</v>
      </c>
      <c r="Y458" s="5" t="str">
        <f ca="1">IFERROR(__xludf.DUMMYFUNCTION("""COMPUTED_VALUE"""),"No")</f>
        <v>No</v>
      </c>
      <c r="Z458" s="5" t="str">
        <f ca="1">IFERROR(__xludf.DUMMYFUNCTION("""COMPUTED_VALUE"""),"No")</f>
        <v>No</v>
      </c>
      <c r="AA458" s="5" t="str">
        <f ca="1">IFERROR(__xludf.DUMMYFUNCTION("""COMPUTED_VALUE"""),"No")</f>
        <v>No</v>
      </c>
      <c r="AB458" s="5" t="str">
        <f ca="1">IFERROR(__xludf.DUMMYFUNCTION("""COMPUTED_VALUE"""),"Yes")</f>
        <v>Yes</v>
      </c>
      <c r="AC458" s="5" t="str">
        <f ca="1">IFERROR(__xludf.DUMMYFUNCTION("""COMPUTED_VALUE"""),"No")</f>
        <v>No</v>
      </c>
    </row>
    <row r="459" spans="1:29" x14ac:dyDescent="0.25">
      <c r="A459" s="5" t="str">
        <f ca="1">IFERROR(__xludf.DUMMYFUNCTION("""COMPUTED_VALUE"""),"RedstoneCrushBonanza")</f>
        <v>RedstoneCrushBonanza</v>
      </c>
      <c r="B45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9" s="5" t="str">
        <f ca="1">IFERROR(__xludf.DUMMYFUNCTION("""COMPUTED_VALUE"""),"Yes")</f>
        <v>Yes</v>
      </c>
      <c r="D459" s="5" t="str">
        <f ca="1">IFERROR(__xludf.DUMMYFUNCTION("""COMPUTED_VALUE"""),"Yes")</f>
        <v>Yes</v>
      </c>
      <c r="E459" s="5" t="str">
        <f ca="1">IFERROR(__xludf.DUMMYFUNCTION("""COMPUTED_VALUE"""),"No")</f>
        <v>No</v>
      </c>
      <c r="F459" s="5" t="str">
        <f ca="1">IFERROR(__xludf.DUMMYFUNCTION("""COMPUTED_VALUE"""),"Yes")</f>
        <v>Yes</v>
      </c>
      <c r="G459" s="5" t="str">
        <f ca="1">IFERROR(__xludf.DUMMYFUNCTION("""COMPUTED_VALUE"""),"Yes")</f>
        <v>Yes</v>
      </c>
      <c r="H459" s="5" t="str">
        <f ca="1">IFERROR(__xludf.DUMMYFUNCTION("""COMPUTED_VALUE"""),"Yes")</f>
        <v>Yes</v>
      </c>
      <c r="I459" s="5" t="str">
        <f ca="1">IFERROR(__xludf.DUMMYFUNCTION("""COMPUTED_VALUE"""),"Yes")</f>
        <v>Yes</v>
      </c>
      <c r="J459" s="5" t="str">
        <f ca="1">IFERROR(__xludf.DUMMYFUNCTION("""COMPUTED_VALUE"""),"Yes")</f>
        <v>Yes</v>
      </c>
      <c r="K459" s="5" t="str">
        <f ca="1">IFERROR(__xludf.DUMMYFUNCTION("""COMPUTED_VALUE"""),"Yes")</f>
        <v>Yes</v>
      </c>
      <c r="L459" s="5" t="str">
        <f ca="1">IFERROR(__xludf.DUMMYFUNCTION("""COMPUTED_VALUE"""),"Yes")</f>
        <v>Yes</v>
      </c>
      <c r="M459" s="5" t="str">
        <f ca="1">IFERROR(__xludf.DUMMYFUNCTION("""COMPUTED_VALUE"""),"Yes")</f>
        <v>Yes</v>
      </c>
      <c r="N459" s="5" t="str">
        <f ca="1">IFERROR(__xludf.DUMMYFUNCTION("""COMPUTED_VALUE"""),"Yes")</f>
        <v>Yes</v>
      </c>
      <c r="O459" s="5" t="str">
        <f ca="1">IFERROR(__xludf.DUMMYFUNCTION("""COMPUTED_VALUE"""),"Yes")</f>
        <v>Yes</v>
      </c>
      <c r="P459" s="5" t="str">
        <f ca="1">IFERROR(__xludf.DUMMYFUNCTION("""COMPUTED_VALUE"""),"Yes")</f>
        <v>Yes</v>
      </c>
      <c r="Q459" s="5" t="str">
        <f ca="1">IFERROR(__xludf.DUMMYFUNCTION("""COMPUTED_VALUE"""),"Yes")</f>
        <v>Yes</v>
      </c>
      <c r="R459" s="5" t="str">
        <f ca="1">IFERROR(__xludf.DUMMYFUNCTION("""COMPUTED_VALUE"""),"No")</f>
        <v>No</v>
      </c>
      <c r="S459" s="5" t="str">
        <f ca="1">IFERROR(__xludf.DUMMYFUNCTION("""COMPUTED_VALUE"""),"No")</f>
        <v>No</v>
      </c>
      <c r="T459" s="5" t="str">
        <f ca="1">IFERROR(__xludf.DUMMYFUNCTION("""COMPUTED_VALUE"""),"No")</f>
        <v>No</v>
      </c>
      <c r="U459" s="5" t="str">
        <f ca="1">IFERROR(__xludf.DUMMYFUNCTION("""COMPUTED_VALUE"""),"No")</f>
        <v>No</v>
      </c>
      <c r="V459" s="5" t="str">
        <f ca="1">IFERROR(__xludf.DUMMYFUNCTION("""COMPUTED_VALUE"""),"No")</f>
        <v>No</v>
      </c>
      <c r="W459" s="5" t="str">
        <f ca="1">IFERROR(__xludf.DUMMYFUNCTION("""COMPUTED_VALUE"""),"No")</f>
        <v>No</v>
      </c>
      <c r="X459" s="5" t="str">
        <f ca="1">IFERROR(__xludf.DUMMYFUNCTION("""COMPUTED_VALUE"""),"Yes")</f>
        <v>Yes</v>
      </c>
      <c r="Y459" s="5" t="str">
        <f ca="1">IFERROR(__xludf.DUMMYFUNCTION("""COMPUTED_VALUE"""),"No")</f>
        <v>No</v>
      </c>
      <c r="Z459" s="5" t="str">
        <f ca="1">IFERROR(__xludf.DUMMYFUNCTION("""COMPUTED_VALUE"""),"No")</f>
        <v>No</v>
      </c>
      <c r="AA459" s="5" t="str">
        <f ca="1">IFERROR(__xludf.DUMMYFUNCTION("""COMPUTED_VALUE"""),"No")</f>
        <v>No</v>
      </c>
      <c r="AB459" s="5" t="str">
        <f ca="1">IFERROR(__xludf.DUMMYFUNCTION("""COMPUTED_VALUE"""),"Yes")</f>
        <v>Yes</v>
      </c>
      <c r="AC459" s="5" t="str">
        <f ca="1">IFERROR(__xludf.DUMMYFUNCTION("""COMPUTED_VALUE"""),"No")</f>
        <v>No</v>
      </c>
    </row>
    <row r="460" spans="1:29" x14ac:dyDescent="0.25">
      <c r="A460" s="5" t="str">
        <f ca="1">IFERROR(__xludf.DUMMYFUNCTION("""COMPUTED_VALUE"""),"RedstoneStickyBrilliants")</f>
        <v>RedstoneStickyBrilliants</v>
      </c>
      <c r="B4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0" s="5" t="str">
        <f ca="1">IFERROR(__xludf.DUMMYFUNCTION("""COMPUTED_VALUE"""),"Yes")</f>
        <v>Yes</v>
      </c>
      <c r="D460" s="5" t="str">
        <f ca="1">IFERROR(__xludf.DUMMYFUNCTION("""COMPUTED_VALUE"""),"Yes")</f>
        <v>Yes</v>
      </c>
      <c r="E460" s="5" t="str">
        <f ca="1">IFERROR(__xludf.DUMMYFUNCTION("""COMPUTED_VALUE"""),"Yes")</f>
        <v>Yes</v>
      </c>
      <c r="F460" s="5" t="str">
        <f ca="1">IFERROR(__xludf.DUMMYFUNCTION("""COMPUTED_VALUE"""),"Yes")</f>
        <v>Yes</v>
      </c>
      <c r="G460" s="5" t="str">
        <f ca="1">IFERROR(__xludf.DUMMYFUNCTION("""COMPUTED_VALUE"""),"Yes")</f>
        <v>Yes</v>
      </c>
      <c r="H460" s="5" t="str">
        <f ca="1">IFERROR(__xludf.DUMMYFUNCTION("""COMPUTED_VALUE"""),"Yes")</f>
        <v>Yes</v>
      </c>
      <c r="I460" s="5" t="str">
        <f ca="1">IFERROR(__xludf.DUMMYFUNCTION("""COMPUTED_VALUE"""),"Yes")</f>
        <v>Yes</v>
      </c>
      <c r="J460" s="5" t="str">
        <f ca="1">IFERROR(__xludf.DUMMYFUNCTION("""COMPUTED_VALUE"""),"Yes")</f>
        <v>Yes</v>
      </c>
      <c r="K460" s="5" t="str">
        <f ca="1">IFERROR(__xludf.DUMMYFUNCTION("""COMPUTED_VALUE"""),"Yes")</f>
        <v>Yes</v>
      </c>
      <c r="L460" s="5" t="str">
        <f ca="1">IFERROR(__xludf.DUMMYFUNCTION("""COMPUTED_VALUE"""),"Yes")</f>
        <v>Yes</v>
      </c>
      <c r="M460" s="5" t="str">
        <f ca="1">IFERROR(__xludf.DUMMYFUNCTION("""COMPUTED_VALUE"""),"Yes")</f>
        <v>Yes</v>
      </c>
      <c r="N460" s="5" t="str">
        <f ca="1">IFERROR(__xludf.DUMMYFUNCTION("""COMPUTED_VALUE"""),"Yes")</f>
        <v>Yes</v>
      </c>
      <c r="O460" s="5" t="str">
        <f ca="1">IFERROR(__xludf.DUMMYFUNCTION("""COMPUTED_VALUE"""),"Yes")</f>
        <v>Yes</v>
      </c>
      <c r="P460" s="5" t="str">
        <f ca="1">IFERROR(__xludf.DUMMYFUNCTION("""COMPUTED_VALUE"""),"Yes")</f>
        <v>Yes</v>
      </c>
      <c r="Q460" s="5" t="str">
        <f ca="1">IFERROR(__xludf.DUMMYFUNCTION("""COMPUTED_VALUE"""),"Yes")</f>
        <v>Yes</v>
      </c>
      <c r="R460" s="5" t="str">
        <f ca="1">IFERROR(__xludf.DUMMYFUNCTION("""COMPUTED_VALUE"""),"Yes")</f>
        <v>Yes</v>
      </c>
      <c r="S460" s="5" t="str">
        <f ca="1">IFERROR(__xludf.DUMMYFUNCTION("""COMPUTED_VALUE"""),"Yes")</f>
        <v>Yes</v>
      </c>
      <c r="T460" s="5" t="str">
        <f ca="1">IFERROR(__xludf.DUMMYFUNCTION("""COMPUTED_VALUE"""),"Yes")</f>
        <v>Yes</v>
      </c>
      <c r="U460" s="5" t="str">
        <f ca="1">IFERROR(__xludf.DUMMYFUNCTION("""COMPUTED_VALUE"""),"Yes")</f>
        <v>Yes</v>
      </c>
      <c r="V460" s="5"/>
      <c r="W460" s="5"/>
      <c r="X460" s="5"/>
      <c r="Y460" s="5"/>
      <c r="Z460" s="5" t="str">
        <f ca="1">IFERROR(__xludf.DUMMYFUNCTION("""COMPUTED_VALUE"""),"Yes")</f>
        <v>Yes</v>
      </c>
      <c r="AA460" s="5"/>
      <c r="AB460" s="5"/>
      <c r="AC460" s="5"/>
    </row>
    <row r="461" spans="1:29" x14ac:dyDescent="0.25">
      <c r="A461" s="5" t="str">
        <f ca="1">IFERROR(__xludf.DUMMYFUNCTION("""COMPUTED_VALUE"""),"RedstoneBookOfMystic")</f>
        <v>RedstoneBookOfMystic</v>
      </c>
      <c r="B4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1" s="5" t="str">
        <f ca="1">IFERROR(__xludf.DUMMYFUNCTION("""COMPUTED_VALUE"""),"Yes")</f>
        <v>Yes</v>
      </c>
      <c r="D461" s="5" t="str">
        <f ca="1">IFERROR(__xludf.DUMMYFUNCTION("""COMPUTED_VALUE"""),"Yes")</f>
        <v>Yes</v>
      </c>
      <c r="E461" s="5" t="str">
        <f ca="1">IFERROR(__xludf.DUMMYFUNCTION("""COMPUTED_VALUE"""),"Yes")</f>
        <v>Yes</v>
      </c>
      <c r="F461" s="5" t="str">
        <f ca="1">IFERROR(__xludf.DUMMYFUNCTION("""COMPUTED_VALUE"""),"Yes")</f>
        <v>Yes</v>
      </c>
      <c r="G461" s="5" t="str">
        <f ca="1">IFERROR(__xludf.DUMMYFUNCTION("""COMPUTED_VALUE"""),"Yes")</f>
        <v>Yes</v>
      </c>
      <c r="H461" s="5" t="str">
        <f ca="1">IFERROR(__xludf.DUMMYFUNCTION("""COMPUTED_VALUE"""),"Yes")</f>
        <v>Yes</v>
      </c>
      <c r="I461" s="5" t="str">
        <f ca="1">IFERROR(__xludf.DUMMYFUNCTION("""COMPUTED_VALUE"""),"Yes")</f>
        <v>Yes</v>
      </c>
      <c r="J461" s="5" t="str">
        <f ca="1">IFERROR(__xludf.DUMMYFUNCTION("""COMPUTED_VALUE"""),"Yes")</f>
        <v>Yes</v>
      </c>
      <c r="K461" s="5" t="str">
        <f ca="1">IFERROR(__xludf.DUMMYFUNCTION("""COMPUTED_VALUE"""),"Yes")</f>
        <v>Yes</v>
      </c>
      <c r="L461" s="5" t="str">
        <f ca="1">IFERROR(__xludf.DUMMYFUNCTION("""COMPUTED_VALUE"""),"Yes")</f>
        <v>Yes</v>
      </c>
      <c r="M461" s="5" t="str">
        <f ca="1">IFERROR(__xludf.DUMMYFUNCTION("""COMPUTED_VALUE"""),"Yes")</f>
        <v>Yes</v>
      </c>
      <c r="N461" s="5" t="str">
        <f ca="1">IFERROR(__xludf.DUMMYFUNCTION("""COMPUTED_VALUE"""),"Yes")</f>
        <v>Yes</v>
      </c>
      <c r="O461" s="5" t="str">
        <f ca="1">IFERROR(__xludf.DUMMYFUNCTION("""COMPUTED_VALUE"""),"Yes")</f>
        <v>Yes</v>
      </c>
      <c r="P461" s="5" t="str">
        <f ca="1">IFERROR(__xludf.DUMMYFUNCTION("""COMPUTED_VALUE"""),"Yes")</f>
        <v>Yes</v>
      </c>
      <c r="Q461" s="5" t="str">
        <f ca="1">IFERROR(__xludf.DUMMYFUNCTION("""COMPUTED_VALUE"""),"Yes")</f>
        <v>Yes</v>
      </c>
      <c r="R461" s="5" t="str">
        <f ca="1">IFERROR(__xludf.DUMMYFUNCTION("""COMPUTED_VALUE"""),"Yes")</f>
        <v>Yes</v>
      </c>
      <c r="S461" s="5" t="str">
        <f ca="1">IFERROR(__xludf.DUMMYFUNCTION("""COMPUTED_VALUE"""),"Yes")</f>
        <v>Yes</v>
      </c>
      <c r="T461" s="5" t="str">
        <f ca="1">IFERROR(__xludf.DUMMYFUNCTION("""COMPUTED_VALUE"""),"Yes")</f>
        <v>Yes</v>
      </c>
      <c r="U461" s="5" t="str">
        <f ca="1">IFERROR(__xludf.DUMMYFUNCTION("""COMPUTED_VALUE"""),"Yes")</f>
        <v>Yes</v>
      </c>
      <c r="V461" s="5"/>
      <c r="W461" s="5"/>
      <c r="X461" s="5"/>
      <c r="Y461" s="5"/>
      <c r="Z461" s="5" t="str">
        <f ca="1">IFERROR(__xludf.DUMMYFUNCTION("""COMPUTED_VALUE"""),"Yes")</f>
        <v>Yes</v>
      </c>
      <c r="AA461" s="5"/>
      <c r="AB461" s="5"/>
      <c r="AC461" s="5"/>
    </row>
    <row r="462" spans="1:29" x14ac:dyDescent="0.25">
      <c r="A462" s="5" t="str">
        <f ca="1">IFERROR(__xludf.DUMMYFUNCTION("""COMPUTED_VALUE"""),"RedstoneCloverDrop")</f>
        <v>RedstoneCloverDrop</v>
      </c>
      <c r="B4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2" s="5" t="str">
        <f ca="1">IFERROR(__xludf.DUMMYFUNCTION("""COMPUTED_VALUE"""),"Yes")</f>
        <v>Yes</v>
      </c>
      <c r="D462" s="5" t="str">
        <f ca="1">IFERROR(__xludf.DUMMYFUNCTION("""COMPUTED_VALUE"""),"Yes")</f>
        <v>Yes</v>
      </c>
      <c r="E462" s="5" t="str">
        <f ca="1">IFERROR(__xludf.DUMMYFUNCTION("""COMPUTED_VALUE"""),"Yes")</f>
        <v>Yes</v>
      </c>
      <c r="F462" s="5" t="str">
        <f ca="1">IFERROR(__xludf.DUMMYFUNCTION("""COMPUTED_VALUE"""),"Yes")</f>
        <v>Yes</v>
      </c>
      <c r="G462" s="5" t="str">
        <f ca="1">IFERROR(__xludf.DUMMYFUNCTION("""COMPUTED_VALUE"""),"Yes")</f>
        <v>Yes</v>
      </c>
      <c r="H462" s="5" t="str">
        <f ca="1">IFERROR(__xludf.DUMMYFUNCTION("""COMPUTED_VALUE"""),"Yes")</f>
        <v>Yes</v>
      </c>
      <c r="I462" s="5" t="str">
        <f ca="1">IFERROR(__xludf.DUMMYFUNCTION("""COMPUTED_VALUE"""),"Yes")</f>
        <v>Yes</v>
      </c>
      <c r="J462" s="5" t="str">
        <f ca="1">IFERROR(__xludf.DUMMYFUNCTION("""COMPUTED_VALUE"""),"Yes")</f>
        <v>Yes</v>
      </c>
      <c r="K462" s="5" t="str">
        <f ca="1">IFERROR(__xludf.DUMMYFUNCTION("""COMPUTED_VALUE"""),"Yes")</f>
        <v>Yes</v>
      </c>
      <c r="L462" s="5" t="str">
        <f ca="1">IFERROR(__xludf.DUMMYFUNCTION("""COMPUTED_VALUE"""),"Yes")</f>
        <v>Yes</v>
      </c>
      <c r="M462" s="5" t="str">
        <f ca="1">IFERROR(__xludf.DUMMYFUNCTION("""COMPUTED_VALUE"""),"Yes")</f>
        <v>Yes</v>
      </c>
      <c r="N462" s="5" t="str">
        <f ca="1">IFERROR(__xludf.DUMMYFUNCTION("""COMPUTED_VALUE"""),"Yes")</f>
        <v>Yes</v>
      </c>
      <c r="O462" s="5" t="str">
        <f ca="1">IFERROR(__xludf.DUMMYFUNCTION("""COMPUTED_VALUE"""),"Yes")</f>
        <v>Yes</v>
      </c>
      <c r="P462" s="5" t="str">
        <f ca="1">IFERROR(__xludf.DUMMYFUNCTION("""COMPUTED_VALUE"""),"Yes")</f>
        <v>Yes</v>
      </c>
      <c r="Q462" s="5" t="str">
        <f ca="1">IFERROR(__xludf.DUMMYFUNCTION("""COMPUTED_VALUE"""),"Yes")</f>
        <v>Yes</v>
      </c>
      <c r="R462" s="5" t="str">
        <f ca="1">IFERROR(__xludf.DUMMYFUNCTION("""COMPUTED_VALUE"""),"Yes")</f>
        <v>Yes</v>
      </c>
      <c r="S462" s="5" t="str">
        <f ca="1">IFERROR(__xludf.DUMMYFUNCTION("""COMPUTED_VALUE"""),"Yes")</f>
        <v>Yes</v>
      </c>
      <c r="T462" s="5" t="str">
        <f ca="1">IFERROR(__xludf.DUMMYFUNCTION("""COMPUTED_VALUE"""),"Yes")</f>
        <v>Yes</v>
      </c>
      <c r="U462" s="5" t="str">
        <f ca="1">IFERROR(__xludf.DUMMYFUNCTION("""COMPUTED_VALUE"""),"Yes")</f>
        <v>Yes</v>
      </c>
      <c r="V462" s="5"/>
      <c r="W462" s="5"/>
      <c r="X462" s="5"/>
      <c r="Y462" s="5"/>
      <c r="Z462" s="5" t="str">
        <f ca="1">IFERROR(__xludf.DUMMYFUNCTION("""COMPUTED_VALUE"""),"Yes")</f>
        <v>Yes</v>
      </c>
      <c r="AA462" s="5"/>
      <c r="AB462" s="5"/>
      <c r="AC462" s="5"/>
    </row>
    <row r="463" spans="1:29" x14ac:dyDescent="0.25">
      <c r="A463" s="5" t="str">
        <f ca="1">IFERROR(__xludf.DUMMYFUNCTION("""COMPUTED_VALUE"""),"PlayNetCloverSpread40")</f>
        <v>PlayNetCloverSpread40</v>
      </c>
      <c r="B46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63" s="5" t="str">
        <f ca="1">IFERROR(__xludf.DUMMYFUNCTION("""COMPUTED_VALUE"""),"Yes")</f>
        <v>Yes</v>
      </c>
      <c r="D463" s="5" t="str">
        <f ca="1">IFERROR(__xludf.DUMMYFUNCTION("""COMPUTED_VALUE"""),"Yes")</f>
        <v>Yes</v>
      </c>
      <c r="E463" s="5" t="str">
        <f ca="1">IFERROR(__xludf.DUMMYFUNCTION("""COMPUTED_VALUE"""),"No")</f>
        <v>No</v>
      </c>
      <c r="F463" s="5" t="str">
        <f ca="1">IFERROR(__xludf.DUMMYFUNCTION("""COMPUTED_VALUE"""),"Yes")</f>
        <v>Yes</v>
      </c>
      <c r="G463" s="5" t="str">
        <f ca="1">IFERROR(__xludf.DUMMYFUNCTION("""COMPUTED_VALUE"""),"Yes")</f>
        <v>Yes</v>
      </c>
      <c r="H463" s="5" t="str">
        <f ca="1">IFERROR(__xludf.DUMMYFUNCTION("""COMPUTED_VALUE"""),"Yes")</f>
        <v>Yes</v>
      </c>
      <c r="I463" s="5" t="str">
        <f ca="1">IFERROR(__xludf.DUMMYFUNCTION("""COMPUTED_VALUE"""),"Yes")</f>
        <v>Yes</v>
      </c>
      <c r="J463" s="5" t="str">
        <f ca="1">IFERROR(__xludf.DUMMYFUNCTION("""COMPUTED_VALUE"""),"Yes")</f>
        <v>Yes</v>
      </c>
      <c r="K463" s="5" t="str">
        <f ca="1">IFERROR(__xludf.DUMMYFUNCTION("""COMPUTED_VALUE"""),"Yes")</f>
        <v>Yes</v>
      </c>
      <c r="L463" s="5" t="str">
        <f ca="1">IFERROR(__xludf.DUMMYFUNCTION("""COMPUTED_VALUE"""),"Yes")</f>
        <v>Yes</v>
      </c>
      <c r="M463" s="5" t="str">
        <f ca="1">IFERROR(__xludf.DUMMYFUNCTION("""COMPUTED_VALUE"""),"Yes")</f>
        <v>Yes</v>
      </c>
      <c r="N463" s="5" t="str">
        <f ca="1">IFERROR(__xludf.DUMMYFUNCTION("""COMPUTED_VALUE"""),"Yes")</f>
        <v>Yes</v>
      </c>
      <c r="O463" s="5" t="str">
        <f ca="1">IFERROR(__xludf.DUMMYFUNCTION("""COMPUTED_VALUE"""),"Yes")</f>
        <v>Yes</v>
      </c>
      <c r="P463" s="5" t="str">
        <f ca="1">IFERROR(__xludf.DUMMYFUNCTION("""COMPUTED_VALUE"""),"Yes")</f>
        <v>Yes</v>
      </c>
      <c r="Q463" s="5" t="str">
        <f ca="1">IFERROR(__xludf.DUMMYFUNCTION("""COMPUTED_VALUE"""),"Yes")</f>
        <v>Yes</v>
      </c>
      <c r="R463" s="5" t="str">
        <f ca="1">IFERROR(__xludf.DUMMYFUNCTION("""COMPUTED_VALUE"""),"No")</f>
        <v>No</v>
      </c>
      <c r="S463" s="5" t="str">
        <f ca="1">IFERROR(__xludf.DUMMYFUNCTION("""COMPUTED_VALUE"""),"No")</f>
        <v>No</v>
      </c>
      <c r="T463" s="5" t="str">
        <f ca="1">IFERROR(__xludf.DUMMYFUNCTION("""COMPUTED_VALUE"""),"No")</f>
        <v>No</v>
      </c>
      <c r="U463" s="5" t="str">
        <f ca="1">IFERROR(__xludf.DUMMYFUNCTION("""COMPUTED_VALUE"""),"No")</f>
        <v>No</v>
      </c>
      <c r="V463" s="5" t="str">
        <f ca="1">IFERROR(__xludf.DUMMYFUNCTION("""COMPUTED_VALUE"""),"No")</f>
        <v>No</v>
      </c>
      <c r="W463" s="5" t="str">
        <f ca="1">IFERROR(__xludf.DUMMYFUNCTION("""COMPUTED_VALUE"""),"No")</f>
        <v>No</v>
      </c>
      <c r="X463" s="5" t="str">
        <f ca="1">IFERROR(__xludf.DUMMYFUNCTION("""COMPUTED_VALUE"""),"No")</f>
        <v>No</v>
      </c>
      <c r="Y463" s="5" t="str">
        <f ca="1">IFERROR(__xludf.DUMMYFUNCTION("""COMPUTED_VALUE"""),"No")</f>
        <v>No</v>
      </c>
      <c r="Z463" s="5" t="str">
        <f ca="1">IFERROR(__xludf.DUMMYFUNCTION("""COMPUTED_VALUE"""),"No")</f>
        <v>No</v>
      </c>
      <c r="AA463" s="5" t="str">
        <f ca="1">IFERROR(__xludf.DUMMYFUNCTION("""COMPUTED_VALUE"""),"No")</f>
        <v>No</v>
      </c>
      <c r="AB463" s="5" t="str">
        <f ca="1">IFERROR(__xludf.DUMMYFUNCTION("""COMPUTED_VALUE"""),"Yes")</f>
        <v>Yes</v>
      </c>
      <c r="AC463" s="5" t="str">
        <f ca="1">IFERROR(__xludf.DUMMYFUNCTION("""COMPUTED_VALUE"""),"No")</f>
        <v>No</v>
      </c>
    </row>
    <row r="464" spans="1:29" x14ac:dyDescent="0.25">
      <c r="A464" s="5" t="str">
        <f ca="1">IFERROR(__xludf.DUMMYFUNCTION("""COMPUTED_VALUE"""),"PlayNetMajesticCrownX2")</f>
        <v>PlayNetMajesticCrownX2</v>
      </c>
      <c r="B464"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4" s="5" t="str">
        <f ca="1">IFERROR(__xludf.DUMMYFUNCTION("""COMPUTED_VALUE"""),"Yes")</f>
        <v>Yes</v>
      </c>
      <c r="D464" s="5" t="str">
        <f ca="1">IFERROR(__xludf.DUMMYFUNCTION("""COMPUTED_VALUE"""),"Yes")</f>
        <v>Yes</v>
      </c>
      <c r="E464" s="5" t="str">
        <f ca="1">IFERROR(__xludf.DUMMYFUNCTION("""COMPUTED_VALUE"""),"Yes")</f>
        <v>Yes</v>
      </c>
      <c r="F464" s="5" t="str">
        <f ca="1">IFERROR(__xludf.DUMMYFUNCTION("""COMPUTED_VALUE"""),"Yes")</f>
        <v>Yes</v>
      </c>
      <c r="G464" s="5" t="str">
        <f ca="1">IFERROR(__xludf.DUMMYFUNCTION("""COMPUTED_VALUE"""),"Yes")</f>
        <v>Yes</v>
      </c>
      <c r="H464" s="5" t="str">
        <f ca="1">IFERROR(__xludf.DUMMYFUNCTION("""COMPUTED_VALUE"""),"Yes")</f>
        <v>Yes</v>
      </c>
      <c r="I464" s="5" t="str">
        <f ca="1">IFERROR(__xludf.DUMMYFUNCTION("""COMPUTED_VALUE"""),"Yes")</f>
        <v>Yes</v>
      </c>
      <c r="J464" s="5" t="str">
        <f ca="1">IFERROR(__xludf.DUMMYFUNCTION("""COMPUTED_VALUE"""),"Yes")</f>
        <v>Yes</v>
      </c>
      <c r="K464" s="5" t="str">
        <f ca="1">IFERROR(__xludf.DUMMYFUNCTION("""COMPUTED_VALUE"""),"Yes")</f>
        <v>Yes</v>
      </c>
      <c r="L464" s="5" t="str">
        <f ca="1">IFERROR(__xludf.DUMMYFUNCTION("""COMPUTED_VALUE"""),"Yes")</f>
        <v>Yes</v>
      </c>
      <c r="M464" s="5" t="str">
        <f ca="1">IFERROR(__xludf.DUMMYFUNCTION("""COMPUTED_VALUE"""),"Yes")</f>
        <v>Yes</v>
      </c>
      <c r="N464" s="5" t="str">
        <f ca="1">IFERROR(__xludf.DUMMYFUNCTION("""COMPUTED_VALUE"""),"Yes")</f>
        <v>Yes</v>
      </c>
      <c r="O464" s="5" t="str">
        <f ca="1">IFERROR(__xludf.DUMMYFUNCTION("""COMPUTED_VALUE"""),"Yes")</f>
        <v>Yes</v>
      </c>
      <c r="P464" s="5" t="str">
        <f ca="1">IFERROR(__xludf.DUMMYFUNCTION("""COMPUTED_VALUE"""),"Yes")</f>
        <v>Yes</v>
      </c>
      <c r="Q464" s="5" t="str">
        <f ca="1">IFERROR(__xludf.DUMMYFUNCTION("""COMPUTED_VALUE"""),"Yes")</f>
        <v>Yes</v>
      </c>
      <c r="R464" s="5" t="str">
        <f ca="1">IFERROR(__xludf.DUMMYFUNCTION("""COMPUTED_VALUE"""),"No")</f>
        <v>No</v>
      </c>
      <c r="S464" s="5" t="str">
        <f ca="1">IFERROR(__xludf.DUMMYFUNCTION("""COMPUTED_VALUE"""),"No")</f>
        <v>No</v>
      </c>
      <c r="T464" s="5" t="str">
        <f ca="1">IFERROR(__xludf.DUMMYFUNCTION("""COMPUTED_VALUE"""),"No")</f>
        <v>No</v>
      </c>
      <c r="U464" s="5" t="str">
        <f ca="1">IFERROR(__xludf.DUMMYFUNCTION("""COMPUTED_VALUE"""),"No")</f>
        <v>No</v>
      </c>
      <c r="V464" s="5"/>
      <c r="W464" s="5"/>
      <c r="X464" s="5"/>
      <c r="Y464" s="5"/>
      <c r="Z464" s="5" t="str">
        <f ca="1">IFERROR(__xludf.DUMMYFUNCTION("""COMPUTED_VALUE"""),"No")</f>
        <v>No</v>
      </c>
      <c r="AA464" s="5"/>
      <c r="AB464" s="5" t="str">
        <f ca="1">IFERROR(__xludf.DUMMYFUNCTION("""COMPUTED_VALUE"""),"Yes")</f>
        <v>Yes</v>
      </c>
      <c r="AC464" s="5"/>
    </row>
    <row r="465" spans="1:29" x14ac:dyDescent="0.25">
      <c r="A465" s="5" t="str">
        <f ca="1">IFERROR(__xludf.DUMMYFUNCTION("""COMPUTED_VALUE"""),"PlayNetBitSlot")</f>
        <v>PlayNetBitSlot</v>
      </c>
      <c r="B465" s="5" t="str">
        <f ca="1">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C465" s="5" t="str">
        <f ca="1">IFERROR(__xludf.DUMMYFUNCTION("""COMPUTED_VALUE"""),"Yes")</f>
        <v>Yes</v>
      </c>
      <c r="D465" s="5" t="str">
        <f ca="1">IFERROR(__xludf.DUMMYFUNCTION("""COMPUTED_VALUE"""),"Yes")</f>
        <v>Yes</v>
      </c>
      <c r="E465" s="5" t="str">
        <f ca="1">IFERROR(__xludf.DUMMYFUNCTION("""COMPUTED_VALUE"""),"Yes")</f>
        <v>Yes</v>
      </c>
      <c r="F465" s="5" t="str">
        <f ca="1">IFERROR(__xludf.DUMMYFUNCTION("""COMPUTED_VALUE"""),"Yes")</f>
        <v>Yes</v>
      </c>
      <c r="G465" s="5" t="str">
        <f ca="1">IFERROR(__xludf.DUMMYFUNCTION("""COMPUTED_VALUE"""),"Yes")</f>
        <v>Yes</v>
      </c>
      <c r="H465" s="5" t="str">
        <f ca="1">IFERROR(__xludf.DUMMYFUNCTION("""COMPUTED_VALUE"""),"Yes")</f>
        <v>Yes</v>
      </c>
      <c r="I465" s="5" t="str">
        <f ca="1">IFERROR(__xludf.DUMMYFUNCTION("""COMPUTED_VALUE"""),"Yes")</f>
        <v>Yes</v>
      </c>
      <c r="J465" s="5" t="str">
        <f ca="1">IFERROR(__xludf.DUMMYFUNCTION("""COMPUTED_VALUE"""),"Yes")</f>
        <v>Yes</v>
      </c>
      <c r="K465" s="5" t="str">
        <f ca="1">IFERROR(__xludf.DUMMYFUNCTION("""COMPUTED_VALUE"""),"Yes")</f>
        <v>Yes</v>
      </c>
      <c r="L465" s="5" t="str">
        <f ca="1">IFERROR(__xludf.DUMMYFUNCTION("""COMPUTED_VALUE"""),"Yes")</f>
        <v>Yes</v>
      </c>
      <c r="M465" s="5" t="str">
        <f ca="1">IFERROR(__xludf.DUMMYFUNCTION("""COMPUTED_VALUE"""),"Yes")</f>
        <v>Yes</v>
      </c>
      <c r="N465" s="5" t="str">
        <f ca="1">IFERROR(__xludf.DUMMYFUNCTION("""COMPUTED_VALUE"""),"Yes")</f>
        <v>Yes</v>
      </c>
      <c r="O465" s="5" t="str">
        <f ca="1">IFERROR(__xludf.DUMMYFUNCTION("""COMPUTED_VALUE"""),"Yes")</f>
        <v>Yes</v>
      </c>
      <c r="P465" s="5" t="str">
        <f ca="1">IFERROR(__xludf.DUMMYFUNCTION("""COMPUTED_VALUE"""),"Yes")</f>
        <v>Yes</v>
      </c>
      <c r="Q465" s="5" t="str">
        <f ca="1">IFERROR(__xludf.DUMMYFUNCTION("""COMPUTED_VALUE"""),"Yes")</f>
        <v>Yes</v>
      </c>
      <c r="R465" s="5" t="str">
        <f ca="1">IFERROR(__xludf.DUMMYFUNCTION("""COMPUTED_VALUE"""),"No")</f>
        <v>No</v>
      </c>
      <c r="S465" s="5" t="str">
        <f ca="1">IFERROR(__xludf.DUMMYFUNCTION("""COMPUTED_VALUE"""),"No")</f>
        <v>No</v>
      </c>
      <c r="T465" s="5" t="str">
        <f ca="1">IFERROR(__xludf.DUMMYFUNCTION("""COMPUTED_VALUE"""),"No")</f>
        <v>No</v>
      </c>
      <c r="U465" s="5" t="str">
        <f ca="1">IFERROR(__xludf.DUMMYFUNCTION("""COMPUTED_VALUE"""),"No")</f>
        <v>No</v>
      </c>
      <c r="V465" s="5"/>
      <c r="W465" s="5"/>
      <c r="X465" s="5"/>
      <c r="Y465" s="5"/>
      <c r="Z465" s="5" t="str">
        <f ca="1">IFERROR(__xludf.DUMMYFUNCTION("""COMPUTED_VALUE"""),"Yes")</f>
        <v>Yes</v>
      </c>
      <c r="AA465" s="5"/>
      <c r="AB465" s="5" t="str">
        <f ca="1">IFERROR(__xludf.DUMMYFUNCTION("""COMPUTED_VALUE"""),"Yes")</f>
        <v>Yes</v>
      </c>
      <c r="AC465" s="5"/>
    </row>
    <row r="466" spans="1:29" x14ac:dyDescent="0.25">
      <c r="A466" s="5" t="str">
        <f ca="1">IFERROR(__xludf.DUMMYFUNCTION("""COMPUTED_VALUE"""),"PlayNetFortuneClover10")</f>
        <v>PlayNetFortuneClover10</v>
      </c>
      <c r="B46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6" s="5" t="str">
        <f ca="1">IFERROR(__xludf.DUMMYFUNCTION("""COMPUTED_VALUE"""),"Yes")</f>
        <v>Yes</v>
      </c>
      <c r="D466" s="5" t="str">
        <f ca="1">IFERROR(__xludf.DUMMYFUNCTION("""COMPUTED_VALUE"""),"Yes")</f>
        <v>Yes</v>
      </c>
      <c r="E466" s="5" t="str">
        <f ca="1">IFERROR(__xludf.DUMMYFUNCTION("""COMPUTED_VALUE"""),"Yes")</f>
        <v>Yes</v>
      </c>
      <c r="F466" s="5" t="str">
        <f ca="1">IFERROR(__xludf.DUMMYFUNCTION("""COMPUTED_VALUE"""),"Yes")</f>
        <v>Yes</v>
      </c>
      <c r="G466" s="5" t="str">
        <f ca="1">IFERROR(__xludf.DUMMYFUNCTION("""COMPUTED_VALUE"""),"Yes")</f>
        <v>Yes</v>
      </c>
      <c r="H466" s="5" t="str">
        <f ca="1">IFERROR(__xludf.DUMMYFUNCTION("""COMPUTED_VALUE"""),"Yes")</f>
        <v>Yes</v>
      </c>
      <c r="I466" s="5" t="str">
        <f ca="1">IFERROR(__xludf.DUMMYFUNCTION("""COMPUTED_VALUE"""),"Yes")</f>
        <v>Yes</v>
      </c>
      <c r="J466" s="5" t="str">
        <f ca="1">IFERROR(__xludf.DUMMYFUNCTION("""COMPUTED_VALUE"""),"Yes")</f>
        <v>Yes</v>
      </c>
      <c r="K466" s="5" t="str">
        <f ca="1">IFERROR(__xludf.DUMMYFUNCTION("""COMPUTED_VALUE"""),"Yes")</f>
        <v>Yes</v>
      </c>
      <c r="L466" s="5" t="str">
        <f ca="1">IFERROR(__xludf.DUMMYFUNCTION("""COMPUTED_VALUE"""),"Yes")</f>
        <v>Yes</v>
      </c>
      <c r="M466" s="5" t="str">
        <f ca="1">IFERROR(__xludf.DUMMYFUNCTION("""COMPUTED_VALUE"""),"Yes")</f>
        <v>Yes</v>
      </c>
      <c r="N466" s="5" t="str">
        <f ca="1">IFERROR(__xludf.DUMMYFUNCTION("""COMPUTED_VALUE"""),"Yes")</f>
        <v>Yes</v>
      </c>
      <c r="O466" s="5" t="str">
        <f ca="1">IFERROR(__xludf.DUMMYFUNCTION("""COMPUTED_VALUE"""),"Yes")</f>
        <v>Yes</v>
      </c>
      <c r="P466" s="5" t="str">
        <f ca="1">IFERROR(__xludf.DUMMYFUNCTION("""COMPUTED_VALUE"""),"Yes")</f>
        <v>Yes</v>
      </c>
      <c r="Q466" s="5" t="str">
        <f ca="1">IFERROR(__xludf.DUMMYFUNCTION("""COMPUTED_VALUE"""),"Yes")</f>
        <v>Yes</v>
      </c>
      <c r="R466" s="5" t="str">
        <f ca="1">IFERROR(__xludf.DUMMYFUNCTION("""COMPUTED_VALUE"""),"No")</f>
        <v>No</v>
      </c>
      <c r="S466" s="5" t="str">
        <f ca="1">IFERROR(__xludf.DUMMYFUNCTION("""COMPUTED_VALUE"""),"No")</f>
        <v>No</v>
      </c>
      <c r="T466" s="5" t="str">
        <f ca="1">IFERROR(__xludf.DUMMYFUNCTION("""COMPUTED_VALUE"""),"No")</f>
        <v>No</v>
      </c>
      <c r="U466" s="5" t="str">
        <f ca="1">IFERROR(__xludf.DUMMYFUNCTION("""COMPUTED_VALUE"""),"No")</f>
        <v>No</v>
      </c>
      <c r="V466" s="5" t="str">
        <f ca="1">IFERROR(__xludf.DUMMYFUNCTION("""COMPUTED_VALUE"""),"No")</f>
        <v>No</v>
      </c>
      <c r="W466" s="5" t="str">
        <f ca="1">IFERROR(__xludf.DUMMYFUNCTION("""COMPUTED_VALUE"""),"No")</f>
        <v>No</v>
      </c>
      <c r="X466" s="5" t="str">
        <f ca="1">IFERROR(__xludf.DUMMYFUNCTION("""COMPUTED_VALUE"""),"No")</f>
        <v>No</v>
      </c>
      <c r="Y466" s="5" t="str">
        <f ca="1">IFERROR(__xludf.DUMMYFUNCTION("""COMPUTED_VALUE"""),"No")</f>
        <v>No</v>
      </c>
      <c r="Z466" s="5" t="str">
        <f ca="1">IFERROR(__xludf.DUMMYFUNCTION("""COMPUTED_VALUE"""),"No")</f>
        <v>No</v>
      </c>
      <c r="AA466" s="5" t="str">
        <f ca="1">IFERROR(__xludf.DUMMYFUNCTION("""COMPUTED_VALUE"""),"No")</f>
        <v>No</v>
      </c>
      <c r="AB466" s="5" t="str">
        <f ca="1">IFERROR(__xludf.DUMMYFUNCTION("""COMPUTED_VALUE"""),"Yes")</f>
        <v>Yes</v>
      </c>
      <c r="AC466" s="5" t="str">
        <f ca="1">IFERROR(__xludf.DUMMYFUNCTION("""COMPUTED_VALUE"""),"No")</f>
        <v>No</v>
      </c>
    </row>
    <row r="467" spans="1:29" x14ac:dyDescent="0.25">
      <c r="A467" s="5" t="str">
        <f ca="1">IFERROR(__xludf.DUMMYFUNCTION("""COMPUTED_VALUE"""),"PlayNetMajesticCrown100")</f>
        <v>PlayNetMajesticCrown100</v>
      </c>
      <c r="B46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7" s="5" t="str">
        <f ca="1">IFERROR(__xludf.DUMMYFUNCTION("""COMPUTED_VALUE"""),"Yes")</f>
        <v>Yes</v>
      </c>
      <c r="D467" s="5" t="str">
        <f ca="1">IFERROR(__xludf.DUMMYFUNCTION("""COMPUTED_VALUE"""),"Yes")</f>
        <v>Yes</v>
      </c>
      <c r="E467" s="5" t="str">
        <f ca="1">IFERROR(__xludf.DUMMYFUNCTION("""COMPUTED_VALUE"""),"Yes")</f>
        <v>Yes</v>
      </c>
      <c r="F467" s="5" t="str">
        <f ca="1">IFERROR(__xludf.DUMMYFUNCTION("""COMPUTED_VALUE"""),"Yes")</f>
        <v>Yes</v>
      </c>
      <c r="G467" s="5" t="str">
        <f ca="1">IFERROR(__xludf.DUMMYFUNCTION("""COMPUTED_VALUE"""),"Yes")</f>
        <v>Yes</v>
      </c>
      <c r="H467" s="5" t="str">
        <f ca="1">IFERROR(__xludf.DUMMYFUNCTION("""COMPUTED_VALUE"""),"Yes")</f>
        <v>Yes</v>
      </c>
      <c r="I467" s="5" t="str">
        <f ca="1">IFERROR(__xludf.DUMMYFUNCTION("""COMPUTED_VALUE"""),"Yes")</f>
        <v>Yes</v>
      </c>
      <c r="J467" s="5" t="str">
        <f ca="1">IFERROR(__xludf.DUMMYFUNCTION("""COMPUTED_VALUE"""),"Yes")</f>
        <v>Yes</v>
      </c>
      <c r="K467" s="5" t="str">
        <f ca="1">IFERROR(__xludf.DUMMYFUNCTION("""COMPUTED_VALUE"""),"Yes")</f>
        <v>Yes</v>
      </c>
      <c r="L467" s="5" t="str">
        <f ca="1">IFERROR(__xludf.DUMMYFUNCTION("""COMPUTED_VALUE"""),"Yes")</f>
        <v>Yes</v>
      </c>
      <c r="M467" s="5" t="str">
        <f ca="1">IFERROR(__xludf.DUMMYFUNCTION("""COMPUTED_VALUE"""),"Yes")</f>
        <v>Yes</v>
      </c>
      <c r="N467" s="5" t="str">
        <f ca="1">IFERROR(__xludf.DUMMYFUNCTION("""COMPUTED_VALUE"""),"Yes")</f>
        <v>Yes</v>
      </c>
      <c r="O467" s="5" t="str">
        <f ca="1">IFERROR(__xludf.DUMMYFUNCTION("""COMPUTED_VALUE"""),"Yes")</f>
        <v>Yes</v>
      </c>
      <c r="P467" s="5" t="str">
        <f ca="1">IFERROR(__xludf.DUMMYFUNCTION("""COMPUTED_VALUE"""),"Yes")</f>
        <v>Yes</v>
      </c>
      <c r="Q467" s="5" t="str">
        <f ca="1">IFERROR(__xludf.DUMMYFUNCTION("""COMPUTED_VALUE"""),"Yes")</f>
        <v>Yes</v>
      </c>
      <c r="R467" s="5" t="str">
        <f ca="1">IFERROR(__xludf.DUMMYFUNCTION("""COMPUTED_VALUE"""),"No")</f>
        <v>No</v>
      </c>
      <c r="S467" s="5" t="str">
        <f ca="1">IFERROR(__xludf.DUMMYFUNCTION("""COMPUTED_VALUE"""),"No")</f>
        <v>No</v>
      </c>
      <c r="T467" s="5" t="str">
        <f ca="1">IFERROR(__xludf.DUMMYFUNCTION("""COMPUTED_VALUE"""),"No")</f>
        <v>No</v>
      </c>
      <c r="U467" s="5" t="str">
        <f ca="1">IFERROR(__xludf.DUMMYFUNCTION("""COMPUTED_VALUE"""),"No")</f>
        <v>No</v>
      </c>
      <c r="V467" s="5"/>
      <c r="W467" s="5"/>
      <c r="X467" s="5"/>
      <c r="Y467" s="5"/>
      <c r="Z467" s="5" t="str">
        <f ca="1">IFERROR(__xludf.DUMMYFUNCTION("""COMPUTED_VALUE"""),"No")</f>
        <v>No</v>
      </c>
      <c r="AA467" s="5"/>
      <c r="AB467" s="5" t="str">
        <f ca="1">IFERROR(__xludf.DUMMYFUNCTION("""COMPUTED_VALUE"""),"Yes")</f>
        <v>Yes</v>
      </c>
      <c r="AC467" s="5"/>
    </row>
    <row r="468" spans="1:29" x14ac:dyDescent="0.25">
      <c r="A468" s="5" t="str">
        <f ca="1">IFERROR(__xludf.DUMMYFUNCTION("""COMPUTED_VALUE"""),"PlayNetFortuneClover20")</f>
        <v>PlayNetFortuneClover20</v>
      </c>
      <c r="B46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8" s="5" t="str">
        <f ca="1">IFERROR(__xludf.DUMMYFUNCTION("""COMPUTED_VALUE"""),"Yes")</f>
        <v>Yes</v>
      </c>
      <c r="D468" s="5" t="str">
        <f ca="1">IFERROR(__xludf.DUMMYFUNCTION("""COMPUTED_VALUE"""),"Yes")</f>
        <v>Yes</v>
      </c>
      <c r="E468" s="5" t="str">
        <f ca="1">IFERROR(__xludf.DUMMYFUNCTION("""COMPUTED_VALUE"""),"Yes")</f>
        <v>Yes</v>
      </c>
      <c r="F468" s="5" t="str">
        <f ca="1">IFERROR(__xludf.DUMMYFUNCTION("""COMPUTED_VALUE"""),"Yes")</f>
        <v>Yes</v>
      </c>
      <c r="G468" s="5" t="str">
        <f ca="1">IFERROR(__xludf.DUMMYFUNCTION("""COMPUTED_VALUE"""),"Yes")</f>
        <v>Yes</v>
      </c>
      <c r="H468" s="5" t="str">
        <f ca="1">IFERROR(__xludf.DUMMYFUNCTION("""COMPUTED_VALUE"""),"Yes")</f>
        <v>Yes</v>
      </c>
      <c r="I468" s="5" t="str">
        <f ca="1">IFERROR(__xludf.DUMMYFUNCTION("""COMPUTED_VALUE"""),"Yes")</f>
        <v>Yes</v>
      </c>
      <c r="J468" s="5" t="str">
        <f ca="1">IFERROR(__xludf.DUMMYFUNCTION("""COMPUTED_VALUE"""),"Yes")</f>
        <v>Yes</v>
      </c>
      <c r="K468" s="5" t="str">
        <f ca="1">IFERROR(__xludf.DUMMYFUNCTION("""COMPUTED_VALUE"""),"Yes")</f>
        <v>Yes</v>
      </c>
      <c r="L468" s="5" t="str">
        <f ca="1">IFERROR(__xludf.DUMMYFUNCTION("""COMPUTED_VALUE"""),"Yes")</f>
        <v>Yes</v>
      </c>
      <c r="M468" s="5" t="str">
        <f ca="1">IFERROR(__xludf.DUMMYFUNCTION("""COMPUTED_VALUE"""),"Yes")</f>
        <v>Yes</v>
      </c>
      <c r="N468" s="5" t="str">
        <f ca="1">IFERROR(__xludf.DUMMYFUNCTION("""COMPUTED_VALUE"""),"Yes")</f>
        <v>Yes</v>
      </c>
      <c r="O468" s="5" t="str">
        <f ca="1">IFERROR(__xludf.DUMMYFUNCTION("""COMPUTED_VALUE"""),"Yes")</f>
        <v>Yes</v>
      </c>
      <c r="P468" s="5" t="str">
        <f ca="1">IFERROR(__xludf.DUMMYFUNCTION("""COMPUTED_VALUE"""),"Yes")</f>
        <v>Yes</v>
      </c>
      <c r="Q468" s="5" t="str">
        <f ca="1">IFERROR(__xludf.DUMMYFUNCTION("""COMPUTED_VALUE"""),"Yes")</f>
        <v>Yes</v>
      </c>
      <c r="R468" s="5" t="str">
        <f ca="1">IFERROR(__xludf.DUMMYFUNCTION("""COMPUTED_VALUE"""),"No")</f>
        <v>No</v>
      </c>
      <c r="S468" s="5" t="str">
        <f ca="1">IFERROR(__xludf.DUMMYFUNCTION("""COMPUTED_VALUE"""),"No")</f>
        <v>No</v>
      </c>
      <c r="T468" s="5" t="str">
        <f ca="1">IFERROR(__xludf.DUMMYFUNCTION("""COMPUTED_VALUE"""),"No")</f>
        <v>No</v>
      </c>
      <c r="U468" s="5" t="str">
        <f ca="1">IFERROR(__xludf.DUMMYFUNCTION("""COMPUTED_VALUE"""),"No")</f>
        <v>No</v>
      </c>
      <c r="V468" s="5"/>
      <c r="W468" s="5"/>
      <c r="X468" s="5"/>
      <c r="Y468" s="5"/>
      <c r="Z468" s="5" t="str">
        <f ca="1">IFERROR(__xludf.DUMMYFUNCTION("""COMPUTED_VALUE"""),"No")</f>
        <v>No</v>
      </c>
      <c r="AA468" s="5"/>
      <c r="AB468" s="5" t="str">
        <f ca="1">IFERROR(__xludf.DUMMYFUNCTION("""COMPUTED_VALUE"""),"Yes")</f>
        <v>Yes</v>
      </c>
      <c r="AC468" s="5"/>
    </row>
    <row r="469" spans="1:29" x14ac:dyDescent="0.25">
      <c r="A469" s="5" t="str">
        <f ca="1">IFERROR(__xludf.DUMMYFUNCTION("""COMPUTED_VALUE"""),"rocket-roll")</f>
        <v>rocket-roll</v>
      </c>
      <c r="B4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9" s="5" t="str">
        <f ca="1">IFERROR(__xludf.DUMMYFUNCTION("""COMPUTED_VALUE"""),"Yes")</f>
        <v>Yes</v>
      </c>
      <c r="D469" s="5" t="str">
        <f ca="1">IFERROR(__xludf.DUMMYFUNCTION("""COMPUTED_VALUE"""),"Yes")</f>
        <v>Yes</v>
      </c>
      <c r="E469" s="5" t="str">
        <f ca="1">IFERROR(__xludf.DUMMYFUNCTION("""COMPUTED_VALUE"""),"Yes")</f>
        <v>Yes</v>
      </c>
      <c r="F469" s="5" t="str">
        <f ca="1">IFERROR(__xludf.DUMMYFUNCTION("""COMPUTED_VALUE"""),"Yes")</f>
        <v>Yes</v>
      </c>
      <c r="G469" s="5" t="str">
        <f ca="1">IFERROR(__xludf.DUMMYFUNCTION("""COMPUTED_VALUE"""),"Yes")</f>
        <v>Yes</v>
      </c>
      <c r="H469" s="5" t="str">
        <f ca="1">IFERROR(__xludf.DUMMYFUNCTION("""COMPUTED_VALUE"""),"Yes")</f>
        <v>Yes</v>
      </c>
      <c r="I469" s="5" t="str">
        <f ca="1">IFERROR(__xludf.DUMMYFUNCTION("""COMPUTED_VALUE"""),"Yes")</f>
        <v>Yes</v>
      </c>
      <c r="J469" s="5" t="str">
        <f ca="1">IFERROR(__xludf.DUMMYFUNCTION("""COMPUTED_VALUE"""),"Yes")</f>
        <v>Yes</v>
      </c>
      <c r="K469" s="5" t="str">
        <f ca="1">IFERROR(__xludf.DUMMYFUNCTION("""COMPUTED_VALUE"""),"Yes")</f>
        <v>Yes</v>
      </c>
      <c r="L469" s="5" t="str">
        <f ca="1">IFERROR(__xludf.DUMMYFUNCTION("""COMPUTED_VALUE"""),"Yes")</f>
        <v>Yes</v>
      </c>
      <c r="M469" s="5" t="str">
        <f ca="1">IFERROR(__xludf.DUMMYFUNCTION("""COMPUTED_VALUE"""),"Yes")</f>
        <v>Yes</v>
      </c>
      <c r="N469" s="5" t="str">
        <f ca="1">IFERROR(__xludf.DUMMYFUNCTION("""COMPUTED_VALUE"""),"Yes")</f>
        <v>Yes</v>
      </c>
      <c r="O469" s="5" t="str">
        <f ca="1">IFERROR(__xludf.DUMMYFUNCTION("""COMPUTED_VALUE"""),"Yes")</f>
        <v>Yes</v>
      </c>
      <c r="P469" s="5" t="str">
        <f ca="1">IFERROR(__xludf.DUMMYFUNCTION("""COMPUTED_VALUE"""),"Yes")</f>
        <v>Yes</v>
      </c>
      <c r="Q469" s="5" t="str">
        <f ca="1">IFERROR(__xludf.DUMMYFUNCTION("""COMPUTED_VALUE"""),"Yes")</f>
        <v>Yes</v>
      </c>
      <c r="R469" s="5" t="str">
        <f ca="1">IFERROR(__xludf.DUMMYFUNCTION("""COMPUTED_VALUE"""),"Yes")</f>
        <v>Yes</v>
      </c>
      <c r="S469" s="5" t="str">
        <f ca="1">IFERROR(__xludf.DUMMYFUNCTION("""COMPUTED_VALUE"""),"Yes")</f>
        <v>Yes</v>
      </c>
      <c r="T469" s="5" t="str">
        <f ca="1">IFERROR(__xludf.DUMMYFUNCTION("""COMPUTED_VALUE"""),"Yes")</f>
        <v>Yes</v>
      </c>
      <c r="U469" s="5" t="str">
        <f ca="1">IFERROR(__xludf.DUMMYFUNCTION("""COMPUTED_VALUE"""),"Yes")</f>
        <v>Yes</v>
      </c>
      <c r="V469" s="5"/>
      <c r="W469" s="5"/>
      <c r="X469" s="5"/>
      <c r="Y469" s="5"/>
      <c r="Z469" s="5" t="str">
        <f ca="1">IFERROR(__xludf.DUMMYFUNCTION("""COMPUTED_VALUE"""),"Yes")</f>
        <v>Yes</v>
      </c>
      <c r="AA469" s="5"/>
      <c r="AB469" s="5"/>
      <c r="AC469" s="5"/>
    </row>
    <row r="470" spans="1:29" x14ac:dyDescent="0.25">
      <c r="A470" s="5" t="str">
        <f ca="1">IFERROR(__xludf.DUMMYFUNCTION("""COMPUTED_VALUE"""),"cosmic-comet-chase")</f>
        <v>cosmic-comet-chase</v>
      </c>
      <c r="B4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0" s="5" t="str">
        <f ca="1">IFERROR(__xludf.DUMMYFUNCTION("""COMPUTED_VALUE"""),"Yes")</f>
        <v>Yes</v>
      </c>
      <c r="D470" s="5" t="str">
        <f ca="1">IFERROR(__xludf.DUMMYFUNCTION("""COMPUTED_VALUE"""),"Yes")</f>
        <v>Yes</v>
      </c>
      <c r="E470" s="5" t="str">
        <f ca="1">IFERROR(__xludf.DUMMYFUNCTION("""COMPUTED_VALUE"""),"Yes")</f>
        <v>Yes</v>
      </c>
      <c r="F470" s="5" t="str">
        <f ca="1">IFERROR(__xludf.DUMMYFUNCTION("""COMPUTED_VALUE"""),"Yes")</f>
        <v>Yes</v>
      </c>
      <c r="G470" s="5" t="str">
        <f ca="1">IFERROR(__xludf.DUMMYFUNCTION("""COMPUTED_VALUE"""),"Yes")</f>
        <v>Yes</v>
      </c>
      <c r="H470" s="5" t="str">
        <f ca="1">IFERROR(__xludf.DUMMYFUNCTION("""COMPUTED_VALUE"""),"Yes")</f>
        <v>Yes</v>
      </c>
      <c r="I470" s="5" t="str">
        <f ca="1">IFERROR(__xludf.DUMMYFUNCTION("""COMPUTED_VALUE"""),"Yes")</f>
        <v>Yes</v>
      </c>
      <c r="J470" s="5" t="str">
        <f ca="1">IFERROR(__xludf.DUMMYFUNCTION("""COMPUTED_VALUE"""),"Yes")</f>
        <v>Yes</v>
      </c>
      <c r="K470" s="5" t="str">
        <f ca="1">IFERROR(__xludf.DUMMYFUNCTION("""COMPUTED_VALUE"""),"Yes")</f>
        <v>Yes</v>
      </c>
      <c r="L470" s="5" t="str">
        <f ca="1">IFERROR(__xludf.DUMMYFUNCTION("""COMPUTED_VALUE"""),"Yes")</f>
        <v>Yes</v>
      </c>
      <c r="M470" s="5" t="str">
        <f ca="1">IFERROR(__xludf.DUMMYFUNCTION("""COMPUTED_VALUE"""),"Yes")</f>
        <v>Yes</v>
      </c>
      <c r="N470" s="5" t="str">
        <f ca="1">IFERROR(__xludf.DUMMYFUNCTION("""COMPUTED_VALUE"""),"Yes")</f>
        <v>Yes</v>
      </c>
      <c r="O470" s="5" t="str">
        <f ca="1">IFERROR(__xludf.DUMMYFUNCTION("""COMPUTED_VALUE"""),"Yes")</f>
        <v>Yes</v>
      </c>
      <c r="P470" s="5" t="str">
        <f ca="1">IFERROR(__xludf.DUMMYFUNCTION("""COMPUTED_VALUE"""),"Yes")</f>
        <v>Yes</v>
      </c>
      <c r="Q470" s="5" t="str">
        <f ca="1">IFERROR(__xludf.DUMMYFUNCTION("""COMPUTED_VALUE"""),"Yes")</f>
        <v>Yes</v>
      </c>
      <c r="R470" s="5" t="str">
        <f ca="1">IFERROR(__xludf.DUMMYFUNCTION("""COMPUTED_VALUE"""),"Yes")</f>
        <v>Yes</v>
      </c>
      <c r="S470" s="5" t="str">
        <f ca="1">IFERROR(__xludf.DUMMYFUNCTION("""COMPUTED_VALUE"""),"Yes")</f>
        <v>Yes</v>
      </c>
      <c r="T470" s="5" t="str">
        <f ca="1">IFERROR(__xludf.DUMMYFUNCTION("""COMPUTED_VALUE"""),"Yes")</f>
        <v>Yes</v>
      </c>
      <c r="U470" s="5" t="str">
        <f ca="1">IFERROR(__xludf.DUMMYFUNCTION("""COMPUTED_VALUE"""),"Yes")</f>
        <v>Yes</v>
      </c>
      <c r="V470" s="5"/>
      <c r="W470" s="5"/>
      <c r="X470" s="5"/>
      <c r="Y470" s="5"/>
      <c r="Z470" s="5" t="str">
        <f ca="1">IFERROR(__xludf.DUMMYFUNCTION("""COMPUTED_VALUE"""),"Yes")</f>
        <v>Yes</v>
      </c>
      <c r="AA470" s="5"/>
      <c r="AB470" s="5"/>
      <c r="AC470" s="5"/>
    </row>
    <row r="471" spans="1:29" x14ac:dyDescent="0.25">
      <c r="A471" s="5" t="str">
        <f ca="1">IFERROR(__xludf.DUMMYFUNCTION("""COMPUTED_VALUE"""),"neon-fruits")</f>
        <v>neon-fruits</v>
      </c>
      <c r="B4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1" s="5" t="str">
        <f ca="1">IFERROR(__xludf.DUMMYFUNCTION("""COMPUTED_VALUE"""),"Yes")</f>
        <v>Yes</v>
      </c>
      <c r="D471" s="5" t="str">
        <f ca="1">IFERROR(__xludf.DUMMYFUNCTION("""COMPUTED_VALUE"""),"Yes")</f>
        <v>Yes</v>
      </c>
      <c r="E471" s="5" t="str">
        <f ca="1">IFERROR(__xludf.DUMMYFUNCTION("""COMPUTED_VALUE"""),"Yes")</f>
        <v>Yes</v>
      </c>
      <c r="F471" s="5" t="str">
        <f ca="1">IFERROR(__xludf.DUMMYFUNCTION("""COMPUTED_VALUE"""),"Yes")</f>
        <v>Yes</v>
      </c>
      <c r="G471" s="5" t="str">
        <f ca="1">IFERROR(__xludf.DUMMYFUNCTION("""COMPUTED_VALUE"""),"Yes")</f>
        <v>Yes</v>
      </c>
      <c r="H471" s="5" t="str">
        <f ca="1">IFERROR(__xludf.DUMMYFUNCTION("""COMPUTED_VALUE"""),"Yes")</f>
        <v>Yes</v>
      </c>
      <c r="I471" s="5" t="str">
        <f ca="1">IFERROR(__xludf.DUMMYFUNCTION("""COMPUTED_VALUE"""),"Yes")</f>
        <v>Yes</v>
      </c>
      <c r="J471" s="5" t="str">
        <f ca="1">IFERROR(__xludf.DUMMYFUNCTION("""COMPUTED_VALUE"""),"Yes")</f>
        <v>Yes</v>
      </c>
      <c r="K471" s="5" t="str">
        <f ca="1">IFERROR(__xludf.DUMMYFUNCTION("""COMPUTED_VALUE"""),"Yes")</f>
        <v>Yes</v>
      </c>
      <c r="L471" s="5" t="str">
        <f ca="1">IFERROR(__xludf.DUMMYFUNCTION("""COMPUTED_VALUE"""),"Yes")</f>
        <v>Yes</v>
      </c>
      <c r="M471" s="5" t="str">
        <f ca="1">IFERROR(__xludf.DUMMYFUNCTION("""COMPUTED_VALUE"""),"Yes")</f>
        <v>Yes</v>
      </c>
      <c r="N471" s="5" t="str">
        <f ca="1">IFERROR(__xludf.DUMMYFUNCTION("""COMPUTED_VALUE"""),"Yes")</f>
        <v>Yes</v>
      </c>
      <c r="O471" s="5" t="str">
        <f ca="1">IFERROR(__xludf.DUMMYFUNCTION("""COMPUTED_VALUE"""),"Yes")</f>
        <v>Yes</v>
      </c>
      <c r="P471" s="5" t="str">
        <f ca="1">IFERROR(__xludf.DUMMYFUNCTION("""COMPUTED_VALUE"""),"Yes")</f>
        <v>Yes</v>
      </c>
      <c r="Q471" s="5" t="str">
        <f ca="1">IFERROR(__xludf.DUMMYFUNCTION("""COMPUTED_VALUE"""),"Yes")</f>
        <v>Yes</v>
      </c>
      <c r="R471" s="5" t="str">
        <f ca="1">IFERROR(__xludf.DUMMYFUNCTION("""COMPUTED_VALUE"""),"Yes")</f>
        <v>Yes</v>
      </c>
      <c r="S471" s="5" t="str">
        <f ca="1">IFERROR(__xludf.DUMMYFUNCTION("""COMPUTED_VALUE"""),"Yes")</f>
        <v>Yes</v>
      </c>
      <c r="T471" s="5" t="str">
        <f ca="1">IFERROR(__xludf.DUMMYFUNCTION("""COMPUTED_VALUE"""),"Yes")</f>
        <v>Yes</v>
      </c>
      <c r="U471" s="5" t="str">
        <f ca="1">IFERROR(__xludf.DUMMYFUNCTION("""COMPUTED_VALUE"""),"Yes")</f>
        <v>Yes</v>
      </c>
      <c r="V471" s="5"/>
      <c r="W471" s="5"/>
      <c r="X471" s="5"/>
      <c r="Y471" s="5"/>
      <c r="Z471" s="5" t="str">
        <f ca="1">IFERROR(__xludf.DUMMYFUNCTION("""COMPUTED_VALUE"""),"Yes")</f>
        <v>Yes</v>
      </c>
      <c r="AA471" s="5"/>
      <c r="AB471" s="5"/>
      <c r="AC471" s="5"/>
    </row>
    <row r="472" spans="1:29" x14ac:dyDescent="0.25">
      <c r="A472" s="5" t="str">
        <f ca="1">IFERROR(__xludf.DUMMYFUNCTION("""COMPUTED_VALUE"""),"GoldenCrownBooster")</f>
        <v>GoldenCrownBooster</v>
      </c>
      <c r="B4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2" s="5" t="str">
        <f ca="1">IFERROR(__xludf.DUMMYFUNCTION("""COMPUTED_VALUE"""),"Yes")</f>
        <v>Yes</v>
      </c>
      <c r="D472" s="5" t="str">
        <f ca="1">IFERROR(__xludf.DUMMYFUNCTION("""COMPUTED_VALUE"""),"Yes")</f>
        <v>Yes</v>
      </c>
      <c r="E472" s="5" t="str">
        <f ca="1">IFERROR(__xludf.DUMMYFUNCTION("""COMPUTED_VALUE"""),"Yes")</f>
        <v>Yes</v>
      </c>
      <c r="F472" s="5" t="str">
        <f ca="1">IFERROR(__xludf.DUMMYFUNCTION("""COMPUTED_VALUE"""),"Yes")</f>
        <v>Yes</v>
      </c>
      <c r="G472" s="5" t="str">
        <f ca="1">IFERROR(__xludf.DUMMYFUNCTION("""COMPUTED_VALUE"""),"Yes")</f>
        <v>Yes</v>
      </c>
      <c r="H472" s="5" t="str">
        <f ca="1">IFERROR(__xludf.DUMMYFUNCTION("""COMPUTED_VALUE"""),"Yes")</f>
        <v>Yes</v>
      </c>
      <c r="I472" s="5" t="str">
        <f ca="1">IFERROR(__xludf.DUMMYFUNCTION("""COMPUTED_VALUE"""),"Yes")</f>
        <v>Yes</v>
      </c>
      <c r="J472" s="5" t="str">
        <f ca="1">IFERROR(__xludf.DUMMYFUNCTION("""COMPUTED_VALUE"""),"Yes")</f>
        <v>Yes</v>
      </c>
      <c r="K472" s="5" t="str">
        <f ca="1">IFERROR(__xludf.DUMMYFUNCTION("""COMPUTED_VALUE"""),"Yes")</f>
        <v>Yes</v>
      </c>
      <c r="L472" s="5" t="str">
        <f ca="1">IFERROR(__xludf.DUMMYFUNCTION("""COMPUTED_VALUE"""),"Yes")</f>
        <v>Yes</v>
      </c>
      <c r="M472" s="5" t="str">
        <f ca="1">IFERROR(__xludf.DUMMYFUNCTION("""COMPUTED_VALUE"""),"Yes")</f>
        <v>Yes</v>
      </c>
      <c r="N472" s="5" t="str">
        <f ca="1">IFERROR(__xludf.DUMMYFUNCTION("""COMPUTED_VALUE"""),"Yes")</f>
        <v>Yes</v>
      </c>
      <c r="O472" s="5" t="str">
        <f ca="1">IFERROR(__xludf.DUMMYFUNCTION("""COMPUTED_VALUE"""),"Yes")</f>
        <v>Yes</v>
      </c>
      <c r="P472" s="5" t="str">
        <f ca="1">IFERROR(__xludf.DUMMYFUNCTION("""COMPUTED_VALUE"""),"Yes")</f>
        <v>Yes</v>
      </c>
      <c r="Q472" s="5" t="str">
        <f ca="1">IFERROR(__xludf.DUMMYFUNCTION("""COMPUTED_VALUE"""),"Yes")</f>
        <v>Yes</v>
      </c>
      <c r="R472" s="5" t="str">
        <f ca="1">IFERROR(__xludf.DUMMYFUNCTION("""COMPUTED_VALUE"""),"Yes")</f>
        <v>Yes</v>
      </c>
      <c r="S472" s="5" t="str">
        <f ca="1">IFERROR(__xludf.DUMMYFUNCTION("""COMPUTED_VALUE"""),"Yes")</f>
        <v>Yes</v>
      </c>
      <c r="T472" s="5" t="str">
        <f ca="1">IFERROR(__xludf.DUMMYFUNCTION("""COMPUTED_VALUE"""),"Yes")</f>
        <v>Yes</v>
      </c>
      <c r="U472" s="5" t="str">
        <f ca="1">IFERROR(__xludf.DUMMYFUNCTION("""COMPUTED_VALUE"""),"Yes")</f>
        <v>Yes</v>
      </c>
      <c r="V472" s="5" t="str">
        <f ca="1">IFERROR(__xludf.DUMMYFUNCTION("""COMPUTED_VALUE"""),"Yes")</f>
        <v>Yes</v>
      </c>
      <c r="W472" s="5" t="str">
        <f ca="1">IFERROR(__xludf.DUMMYFUNCTION("""COMPUTED_VALUE"""),"Yes")</f>
        <v>Yes</v>
      </c>
      <c r="X472" s="5" t="str">
        <f ca="1">IFERROR(__xludf.DUMMYFUNCTION("""COMPUTED_VALUE"""),"Yes")</f>
        <v>Yes</v>
      </c>
      <c r="Y472" s="5" t="str">
        <f ca="1">IFERROR(__xludf.DUMMYFUNCTION("""COMPUTED_VALUE"""),"Yes")</f>
        <v>Yes</v>
      </c>
      <c r="Z472" s="5" t="str">
        <f ca="1">IFERROR(__xludf.DUMMYFUNCTION("""COMPUTED_VALUE"""),"Yes")</f>
        <v>Yes</v>
      </c>
      <c r="AA472" s="5" t="str">
        <f ca="1">IFERROR(__xludf.DUMMYFUNCTION("""COMPUTED_VALUE"""),"Yes")</f>
        <v>Yes</v>
      </c>
      <c r="AB472" s="5" t="str">
        <f ca="1">IFERROR(__xludf.DUMMYFUNCTION("""COMPUTED_VALUE"""),"Yes")</f>
        <v>Yes</v>
      </c>
      <c r="AC472" s="5" t="str">
        <f ca="1">IFERROR(__xludf.DUMMYFUNCTION("""COMPUTED_VALUE"""),"No")</f>
        <v>No</v>
      </c>
    </row>
    <row r="473" spans="1:29" x14ac:dyDescent="0.25">
      <c r="A473" s="5" t="str">
        <f ca="1">IFERROR(__xludf.DUMMYFUNCTION("""COMPUTED_VALUE"""),"VeryHot5Booster")</f>
        <v>VeryHot5Booster</v>
      </c>
      <c r="B4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3" s="5" t="str">
        <f ca="1">IFERROR(__xludf.DUMMYFUNCTION("""COMPUTED_VALUE"""),"Yes")</f>
        <v>Yes</v>
      </c>
      <c r="D473" s="5" t="str">
        <f ca="1">IFERROR(__xludf.DUMMYFUNCTION("""COMPUTED_VALUE"""),"Yes")</f>
        <v>Yes</v>
      </c>
      <c r="E473" s="5" t="str">
        <f ca="1">IFERROR(__xludf.DUMMYFUNCTION("""COMPUTED_VALUE"""),"Yes")</f>
        <v>Yes</v>
      </c>
      <c r="F473" s="5" t="str">
        <f ca="1">IFERROR(__xludf.DUMMYFUNCTION("""COMPUTED_VALUE"""),"Yes")</f>
        <v>Yes</v>
      </c>
      <c r="G473" s="5" t="str">
        <f ca="1">IFERROR(__xludf.DUMMYFUNCTION("""COMPUTED_VALUE"""),"Yes")</f>
        <v>Yes</v>
      </c>
      <c r="H473" s="5" t="str">
        <f ca="1">IFERROR(__xludf.DUMMYFUNCTION("""COMPUTED_VALUE"""),"Yes")</f>
        <v>Yes</v>
      </c>
      <c r="I473" s="5" t="str">
        <f ca="1">IFERROR(__xludf.DUMMYFUNCTION("""COMPUTED_VALUE"""),"Yes")</f>
        <v>Yes</v>
      </c>
      <c r="J473" s="5" t="str">
        <f ca="1">IFERROR(__xludf.DUMMYFUNCTION("""COMPUTED_VALUE"""),"Yes")</f>
        <v>Yes</v>
      </c>
      <c r="K473" s="5" t="str">
        <f ca="1">IFERROR(__xludf.DUMMYFUNCTION("""COMPUTED_VALUE"""),"Yes")</f>
        <v>Yes</v>
      </c>
      <c r="L473" s="5" t="str">
        <f ca="1">IFERROR(__xludf.DUMMYFUNCTION("""COMPUTED_VALUE"""),"Yes")</f>
        <v>Yes</v>
      </c>
      <c r="M473" s="5" t="str">
        <f ca="1">IFERROR(__xludf.DUMMYFUNCTION("""COMPUTED_VALUE"""),"Yes")</f>
        <v>Yes</v>
      </c>
      <c r="N473" s="5" t="str">
        <f ca="1">IFERROR(__xludf.DUMMYFUNCTION("""COMPUTED_VALUE"""),"Yes")</f>
        <v>Yes</v>
      </c>
      <c r="O473" s="5" t="str">
        <f ca="1">IFERROR(__xludf.DUMMYFUNCTION("""COMPUTED_VALUE"""),"Yes")</f>
        <v>Yes</v>
      </c>
      <c r="P473" s="5" t="str">
        <f ca="1">IFERROR(__xludf.DUMMYFUNCTION("""COMPUTED_VALUE"""),"Yes")</f>
        <v>Yes</v>
      </c>
      <c r="Q473" s="5" t="str">
        <f ca="1">IFERROR(__xludf.DUMMYFUNCTION("""COMPUTED_VALUE"""),"Yes")</f>
        <v>Yes</v>
      </c>
      <c r="R473" s="5" t="str">
        <f ca="1">IFERROR(__xludf.DUMMYFUNCTION("""COMPUTED_VALUE"""),"Yes")</f>
        <v>Yes</v>
      </c>
      <c r="S473" s="5" t="str">
        <f ca="1">IFERROR(__xludf.DUMMYFUNCTION("""COMPUTED_VALUE"""),"Yes")</f>
        <v>Yes</v>
      </c>
      <c r="T473" s="5" t="str">
        <f ca="1">IFERROR(__xludf.DUMMYFUNCTION("""COMPUTED_VALUE"""),"Yes")</f>
        <v>Yes</v>
      </c>
      <c r="U473" s="5" t="str">
        <f ca="1">IFERROR(__xludf.DUMMYFUNCTION("""COMPUTED_VALUE"""),"Yes")</f>
        <v>Yes</v>
      </c>
      <c r="V473" s="5" t="str">
        <f ca="1">IFERROR(__xludf.DUMMYFUNCTION("""COMPUTED_VALUE"""),"Yes")</f>
        <v>Yes</v>
      </c>
      <c r="W473" s="5" t="str">
        <f ca="1">IFERROR(__xludf.DUMMYFUNCTION("""COMPUTED_VALUE"""),"Yes")</f>
        <v>Yes</v>
      </c>
      <c r="X473" s="5" t="str">
        <f ca="1">IFERROR(__xludf.DUMMYFUNCTION("""COMPUTED_VALUE"""),"Yes")</f>
        <v>Yes</v>
      </c>
      <c r="Y473" s="5" t="str">
        <f ca="1">IFERROR(__xludf.DUMMYFUNCTION("""COMPUTED_VALUE"""),"Yes")</f>
        <v>Yes</v>
      </c>
      <c r="Z473" s="5" t="str">
        <f ca="1">IFERROR(__xludf.DUMMYFUNCTION("""COMPUTED_VALUE"""),"Yes")</f>
        <v>Yes</v>
      </c>
      <c r="AA473" s="5" t="str">
        <f ca="1">IFERROR(__xludf.DUMMYFUNCTION("""COMPUTED_VALUE"""),"Yes")</f>
        <v>Yes</v>
      </c>
      <c r="AB473" s="5" t="str">
        <f ca="1">IFERROR(__xludf.DUMMYFUNCTION("""COMPUTED_VALUE"""),"Yes")</f>
        <v>Yes</v>
      </c>
      <c r="AC473" s="5" t="str">
        <f ca="1">IFERROR(__xludf.DUMMYFUNCTION("""COMPUTED_VALUE"""),"No")</f>
        <v>No</v>
      </c>
    </row>
    <row r="474" spans="1:29" x14ac:dyDescent="0.25">
      <c r="A474" s="5" t="str">
        <f ca="1">IFERROR(__xludf.DUMMYFUNCTION("""COMPUTED_VALUE"""),"EpicClover40Booster")</f>
        <v>EpicClover40Booster</v>
      </c>
      <c r="B4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4" s="5" t="str">
        <f ca="1">IFERROR(__xludf.DUMMYFUNCTION("""COMPUTED_VALUE"""),"Yes")</f>
        <v>Yes</v>
      </c>
      <c r="D474" s="5" t="str">
        <f ca="1">IFERROR(__xludf.DUMMYFUNCTION("""COMPUTED_VALUE"""),"Yes")</f>
        <v>Yes</v>
      </c>
      <c r="E474" s="5" t="str">
        <f ca="1">IFERROR(__xludf.DUMMYFUNCTION("""COMPUTED_VALUE"""),"Yes")</f>
        <v>Yes</v>
      </c>
      <c r="F474" s="5" t="str">
        <f ca="1">IFERROR(__xludf.DUMMYFUNCTION("""COMPUTED_VALUE"""),"Yes")</f>
        <v>Yes</v>
      </c>
      <c r="G474" s="5" t="str">
        <f ca="1">IFERROR(__xludf.DUMMYFUNCTION("""COMPUTED_VALUE"""),"Yes")</f>
        <v>Yes</v>
      </c>
      <c r="H474" s="5" t="str">
        <f ca="1">IFERROR(__xludf.DUMMYFUNCTION("""COMPUTED_VALUE"""),"Yes")</f>
        <v>Yes</v>
      </c>
      <c r="I474" s="5" t="str">
        <f ca="1">IFERROR(__xludf.DUMMYFUNCTION("""COMPUTED_VALUE"""),"Yes")</f>
        <v>Yes</v>
      </c>
      <c r="J474" s="5" t="str">
        <f ca="1">IFERROR(__xludf.DUMMYFUNCTION("""COMPUTED_VALUE"""),"Yes")</f>
        <v>Yes</v>
      </c>
      <c r="K474" s="5" t="str">
        <f ca="1">IFERROR(__xludf.DUMMYFUNCTION("""COMPUTED_VALUE"""),"Yes")</f>
        <v>Yes</v>
      </c>
      <c r="L474" s="5" t="str">
        <f ca="1">IFERROR(__xludf.DUMMYFUNCTION("""COMPUTED_VALUE"""),"Yes")</f>
        <v>Yes</v>
      </c>
      <c r="M474" s="5" t="str">
        <f ca="1">IFERROR(__xludf.DUMMYFUNCTION("""COMPUTED_VALUE"""),"Yes")</f>
        <v>Yes</v>
      </c>
      <c r="N474" s="5" t="str">
        <f ca="1">IFERROR(__xludf.DUMMYFUNCTION("""COMPUTED_VALUE"""),"Yes")</f>
        <v>Yes</v>
      </c>
      <c r="O474" s="5" t="str">
        <f ca="1">IFERROR(__xludf.DUMMYFUNCTION("""COMPUTED_VALUE"""),"Yes")</f>
        <v>Yes</v>
      </c>
      <c r="P474" s="5" t="str">
        <f ca="1">IFERROR(__xludf.DUMMYFUNCTION("""COMPUTED_VALUE"""),"Yes")</f>
        <v>Yes</v>
      </c>
      <c r="Q474" s="5" t="str">
        <f ca="1">IFERROR(__xludf.DUMMYFUNCTION("""COMPUTED_VALUE"""),"Yes")</f>
        <v>Yes</v>
      </c>
      <c r="R474" s="5" t="str">
        <f ca="1">IFERROR(__xludf.DUMMYFUNCTION("""COMPUTED_VALUE"""),"Yes")</f>
        <v>Yes</v>
      </c>
      <c r="S474" s="5" t="str">
        <f ca="1">IFERROR(__xludf.DUMMYFUNCTION("""COMPUTED_VALUE"""),"Yes")</f>
        <v>Yes</v>
      </c>
      <c r="T474" s="5" t="str">
        <f ca="1">IFERROR(__xludf.DUMMYFUNCTION("""COMPUTED_VALUE"""),"Yes")</f>
        <v>Yes</v>
      </c>
      <c r="U474" s="5" t="str">
        <f ca="1">IFERROR(__xludf.DUMMYFUNCTION("""COMPUTED_VALUE"""),"Yes")</f>
        <v>Yes</v>
      </c>
      <c r="V474" s="5" t="str">
        <f ca="1">IFERROR(__xludf.DUMMYFUNCTION("""COMPUTED_VALUE"""),"Yes")</f>
        <v>Yes</v>
      </c>
      <c r="W474" s="5" t="str">
        <f ca="1">IFERROR(__xludf.DUMMYFUNCTION("""COMPUTED_VALUE"""),"Yes")</f>
        <v>Yes</v>
      </c>
      <c r="X474" s="5" t="str">
        <f ca="1">IFERROR(__xludf.DUMMYFUNCTION("""COMPUTED_VALUE"""),"Yes")</f>
        <v>Yes</v>
      </c>
      <c r="Y474" s="5" t="str">
        <f ca="1">IFERROR(__xludf.DUMMYFUNCTION("""COMPUTED_VALUE"""),"Yes")</f>
        <v>Yes</v>
      </c>
      <c r="Z474" s="5" t="str">
        <f ca="1">IFERROR(__xludf.DUMMYFUNCTION("""COMPUTED_VALUE"""),"Yes")</f>
        <v>Yes</v>
      </c>
      <c r="AA474" s="5" t="str">
        <f ca="1">IFERROR(__xludf.DUMMYFUNCTION("""COMPUTED_VALUE"""),"Yes")</f>
        <v>Yes</v>
      </c>
      <c r="AB474" s="5" t="str">
        <f ca="1">IFERROR(__xludf.DUMMYFUNCTION("""COMPUTED_VALUE"""),"Yes")</f>
        <v>Yes</v>
      </c>
      <c r="AC474" s="5" t="str">
        <f ca="1">IFERROR(__xludf.DUMMYFUNCTION("""COMPUTED_VALUE"""),"No")</f>
        <v>No</v>
      </c>
    </row>
    <row r="475" spans="1:29" x14ac:dyDescent="0.25">
      <c r="A475" s="5" t="str">
        <f ca="1">IFERROR(__xludf.DUMMYFUNCTION("""COMPUTED_VALUE"""),"RedstoneMultiCrown10")</f>
        <v>RedstoneMultiCrown10</v>
      </c>
      <c r="B4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75" s="5" t="str">
        <f ca="1">IFERROR(__xludf.DUMMYFUNCTION("""COMPUTED_VALUE"""),"Yes")</f>
        <v>Yes</v>
      </c>
      <c r="D475" s="5" t="str">
        <f ca="1">IFERROR(__xludf.DUMMYFUNCTION("""COMPUTED_VALUE"""),"Yes")</f>
        <v>Yes</v>
      </c>
      <c r="E475" s="5" t="str">
        <f ca="1">IFERROR(__xludf.DUMMYFUNCTION("""COMPUTED_VALUE"""),"Yes")</f>
        <v>Yes</v>
      </c>
      <c r="F475" s="5" t="str">
        <f ca="1">IFERROR(__xludf.DUMMYFUNCTION("""COMPUTED_VALUE"""),"Yes")</f>
        <v>Yes</v>
      </c>
      <c r="G475" s="5" t="str">
        <f ca="1">IFERROR(__xludf.DUMMYFUNCTION("""COMPUTED_VALUE"""),"Yes")</f>
        <v>Yes</v>
      </c>
      <c r="H475" s="5" t="str">
        <f ca="1">IFERROR(__xludf.DUMMYFUNCTION("""COMPUTED_VALUE"""),"Yes")</f>
        <v>Yes</v>
      </c>
      <c r="I475" s="5" t="str">
        <f ca="1">IFERROR(__xludf.DUMMYFUNCTION("""COMPUTED_VALUE"""),"Yes")</f>
        <v>Yes</v>
      </c>
      <c r="J475" s="5" t="str">
        <f ca="1">IFERROR(__xludf.DUMMYFUNCTION("""COMPUTED_VALUE"""),"Yes")</f>
        <v>Yes</v>
      </c>
      <c r="K475" s="5" t="str">
        <f ca="1">IFERROR(__xludf.DUMMYFUNCTION("""COMPUTED_VALUE"""),"Yes")</f>
        <v>Yes</v>
      </c>
      <c r="L475" s="5" t="str">
        <f ca="1">IFERROR(__xludf.DUMMYFUNCTION("""COMPUTED_VALUE"""),"Yes")</f>
        <v>Yes</v>
      </c>
      <c r="M475" s="5" t="str">
        <f ca="1">IFERROR(__xludf.DUMMYFUNCTION("""COMPUTED_VALUE"""),"Yes")</f>
        <v>Yes</v>
      </c>
      <c r="N475" s="5" t="str">
        <f ca="1">IFERROR(__xludf.DUMMYFUNCTION("""COMPUTED_VALUE"""),"Yes")</f>
        <v>Yes</v>
      </c>
      <c r="O475" s="5" t="str">
        <f ca="1">IFERROR(__xludf.DUMMYFUNCTION("""COMPUTED_VALUE"""),"Yes")</f>
        <v>Yes</v>
      </c>
      <c r="P475" s="5" t="str">
        <f ca="1">IFERROR(__xludf.DUMMYFUNCTION("""COMPUTED_VALUE"""),"Yes")</f>
        <v>Yes</v>
      </c>
      <c r="Q475" s="5" t="str">
        <f ca="1">IFERROR(__xludf.DUMMYFUNCTION("""COMPUTED_VALUE"""),"Yes")</f>
        <v>Yes</v>
      </c>
      <c r="R475" s="5" t="str">
        <f ca="1">IFERROR(__xludf.DUMMYFUNCTION("""COMPUTED_VALUE"""),"Yes")</f>
        <v>Yes</v>
      </c>
      <c r="S475" s="5" t="str">
        <f ca="1">IFERROR(__xludf.DUMMYFUNCTION("""COMPUTED_VALUE"""),"Yes")</f>
        <v>Yes</v>
      </c>
      <c r="T475" s="5" t="str">
        <f ca="1">IFERROR(__xludf.DUMMYFUNCTION("""COMPUTED_VALUE"""),"Yes")</f>
        <v>Yes</v>
      </c>
      <c r="U475" s="5" t="str">
        <f ca="1">IFERROR(__xludf.DUMMYFUNCTION("""COMPUTED_VALUE"""),"Yes")</f>
        <v>Yes</v>
      </c>
      <c r="V475" s="5"/>
      <c r="W475" s="5" t="str">
        <f ca="1">IFERROR(__xludf.DUMMYFUNCTION("""COMPUTED_VALUE"""),"Yes")</f>
        <v>Yes</v>
      </c>
      <c r="X475" s="5"/>
      <c r="Y475" s="5"/>
      <c r="Z475" s="5" t="str">
        <f ca="1">IFERROR(__xludf.DUMMYFUNCTION("""COMPUTED_VALUE"""),"Yes")</f>
        <v>Yes</v>
      </c>
      <c r="AA475" s="5"/>
      <c r="AB475" s="5"/>
      <c r="AC475" s="5"/>
    </row>
    <row r="476" spans="1:29" x14ac:dyDescent="0.25">
      <c r="A476" s="5" t="str">
        <f ca="1">IFERROR(__xludf.DUMMYFUNCTION("""COMPUTED_VALUE"""),"BetwoonHot5")</f>
        <v>BetwoonHot5</v>
      </c>
      <c r="B47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76" s="5" t="str">
        <f ca="1">IFERROR(__xludf.DUMMYFUNCTION("""COMPUTED_VALUE"""),"Yes")</f>
        <v>Yes</v>
      </c>
      <c r="D476" s="5" t="str">
        <f ca="1">IFERROR(__xludf.DUMMYFUNCTION("""COMPUTED_VALUE"""),"Yes")</f>
        <v>Yes</v>
      </c>
      <c r="E476" s="5" t="str">
        <f ca="1">IFERROR(__xludf.DUMMYFUNCTION("""COMPUTED_VALUE"""),"No")</f>
        <v>No</v>
      </c>
      <c r="F476" s="5" t="str">
        <f ca="1">IFERROR(__xludf.DUMMYFUNCTION("""COMPUTED_VALUE"""),"Yes")</f>
        <v>Yes</v>
      </c>
      <c r="G476" s="5" t="str">
        <f ca="1">IFERROR(__xludf.DUMMYFUNCTION("""COMPUTED_VALUE"""),"Yes")</f>
        <v>Yes</v>
      </c>
      <c r="H476" s="5" t="str">
        <f ca="1">IFERROR(__xludf.DUMMYFUNCTION("""COMPUTED_VALUE"""),"Yes")</f>
        <v>Yes</v>
      </c>
      <c r="I476" s="5" t="str">
        <f ca="1">IFERROR(__xludf.DUMMYFUNCTION("""COMPUTED_VALUE"""),"Yes")</f>
        <v>Yes</v>
      </c>
      <c r="J476" s="5" t="str">
        <f ca="1">IFERROR(__xludf.DUMMYFUNCTION("""COMPUTED_VALUE"""),"Yes")</f>
        <v>Yes</v>
      </c>
      <c r="K476" s="5" t="str">
        <f ca="1">IFERROR(__xludf.DUMMYFUNCTION("""COMPUTED_VALUE"""),"Yes")</f>
        <v>Yes</v>
      </c>
      <c r="L476" s="5" t="str">
        <f ca="1">IFERROR(__xludf.DUMMYFUNCTION("""COMPUTED_VALUE"""),"Yes")</f>
        <v>Yes</v>
      </c>
      <c r="M476" s="5" t="str">
        <f ca="1">IFERROR(__xludf.DUMMYFUNCTION("""COMPUTED_VALUE"""),"Yes")</f>
        <v>Yes</v>
      </c>
      <c r="N476" s="5" t="str">
        <f ca="1">IFERROR(__xludf.DUMMYFUNCTION("""COMPUTED_VALUE"""),"Yes")</f>
        <v>Yes</v>
      </c>
      <c r="O476" s="5" t="str">
        <f ca="1">IFERROR(__xludf.DUMMYFUNCTION("""COMPUTED_VALUE"""),"Yes")</f>
        <v>Yes</v>
      </c>
      <c r="P476" s="5" t="str">
        <f ca="1">IFERROR(__xludf.DUMMYFUNCTION("""COMPUTED_VALUE"""),"Yes")</f>
        <v>Yes</v>
      </c>
      <c r="Q476" s="5" t="str">
        <f ca="1">IFERROR(__xludf.DUMMYFUNCTION("""COMPUTED_VALUE"""),"Yes")</f>
        <v>Yes</v>
      </c>
      <c r="R476" s="5" t="str">
        <f ca="1">IFERROR(__xludf.DUMMYFUNCTION("""COMPUTED_VALUE"""),"No")</f>
        <v>No</v>
      </c>
      <c r="S476" s="5" t="str">
        <f ca="1">IFERROR(__xludf.DUMMYFUNCTION("""COMPUTED_VALUE"""),"No")</f>
        <v>No</v>
      </c>
      <c r="T476" s="5" t="str">
        <f ca="1">IFERROR(__xludf.DUMMYFUNCTION("""COMPUTED_VALUE"""),"No")</f>
        <v>No</v>
      </c>
      <c r="U476" s="5" t="str">
        <f ca="1">IFERROR(__xludf.DUMMYFUNCTION("""COMPUTED_VALUE"""),"No")</f>
        <v>No</v>
      </c>
      <c r="V476" s="5" t="str">
        <f ca="1">IFERROR(__xludf.DUMMYFUNCTION("""COMPUTED_VALUE"""),"No")</f>
        <v>No</v>
      </c>
      <c r="W476" s="5" t="str">
        <f ca="1">IFERROR(__xludf.DUMMYFUNCTION("""COMPUTED_VALUE"""),"No")</f>
        <v>No</v>
      </c>
      <c r="X476" s="5" t="str">
        <f ca="1">IFERROR(__xludf.DUMMYFUNCTION("""COMPUTED_VALUE"""),"Yes")</f>
        <v>Yes</v>
      </c>
      <c r="Y476" s="5" t="str">
        <f ca="1">IFERROR(__xludf.DUMMYFUNCTION("""COMPUTED_VALUE"""),"No")</f>
        <v>No</v>
      </c>
      <c r="Z476" s="5" t="str">
        <f ca="1">IFERROR(__xludf.DUMMYFUNCTION("""COMPUTED_VALUE"""),"No")</f>
        <v>No</v>
      </c>
      <c r="AA476" s="5" t="str">
        <f ca="1">IFERROR(__xludf.DUMMYFUNCTION("""COMPUTED_VALUE"""),"No")</f>
        <v>No</v>
      </c>
      <c r="AB476" s="5" t="str">
        <f ca="1">IFERROR(__xludf.DUMMYFUNCTION("""COMPUTED_VALUE"""),"Yes")</f>
        <v>Yes</v>
      </c>
      <c r="AC476" s="5" t="str">
        <f ca="1">IFERROR(__xludf.DUMMYFUNCTION("""COMPUTED_VALUE"""),"No")</f>
        <v>No</v>
      </c>
    </row>
    <row r="477" spans="1:29" x14ac:dyDescent="0.25">
      <c r="A477" s="5" t="str">
        <f ca="1">IFERROR(__xludf.DUMMYFUNCTION("""COMPUTED_VALUE"""),"GoldenCrownExtreme")</f>
        <v>GoldenCrownExtreme</v>
      </c>
      <c r="B4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7" s="5" t="str">
        <f ca="1">IFERROR(__xludf.DUMMYFUNCTION("""COMPUTED_VALUE"""),"Yes")</f>
        <v>Yes</v>
      </c>
      <c r="D477" s="5" t="str">
        <f ca="1">IFERROR(__xludf.DUMMYFUNCTION("""COMPUTED_VALUE"""),"Yes")</f>
        <v>Yes</v>
      </c>
      <c r="E477" s="5" t="str">
        <f ca="1">IFERROR(__xludf.DUMMYFUNCTION("""COMPUTED_VALUE"""),"Yes")</f>
        <v>Yes</v>
      </c>
      <c r="F477" s="5" t="str">
        <f ca="1">IFERROR(__xludf.DUMMYFUNCTION("""COMPUTED_VALUE"""),"Yes")</f>
        <v>Yes</v>
      </c>
      <c r="G477" s="5" t="str">
        <f ca="1">IFERROR(__xludf.DUMMYFUNCTION("""COMPUTED_VALUE"""),"Yes")</f>
        <v>Yes</v>
      </c>
      <c r="H477" s="5" t="str">
        <f ca="1">IFERROR(__xludf.DUMMYFUNCTION("""COMPUTED_VALUE"""),"Yes")</f>
        <v>Yes</v>
      </c>
      <c r="I477" s="5" t="str">
        <f ca="1">IFERROR(__xludf.DUMMYFUNCTION("""COMPUTED_VALUE"""),"Yes")</f>
        <v>Yes</v>
      </c>
      <c r="J477" s="5" t="str">
        <f ca="1">IFERROR(__xludf.DUMMYFUNCTION("""COMPUTED_VALUE"""),"Yes")</f>
        <v>Yes</v>
      </c>
      <c r="K477" s="5" t="str">
        <f ca="1">IFERROR(__xludf.DUMMYFUNCTION("""COMPUTED_VALUE"""),"Yes")</f>
        <v>Yes</v>
      </c>
      <c r="L477" s="5" t="str">
        <f ca="1">IFERROR(__xludf.DUMMYFUNCTION("""COMPUTED_VALUE"""),"Yes")</f>
        <v>Yes</v>
      </c>
      <c r="M477" s="5" t="str">
        <f ca="1">IFERROR(__xludf.DUMMYFUNCTION("""COMPUTED_VALUE"""),"Yes")</f>
        <v>Yes</v>
      </c>
      <c r="N477" s="5" t="str">
        <f ca="1">IFERROR(__xludf.DUMMYFUNCTION("""COMPUTED_VALUE"""),"Yes")</f>
        <v>Yes</v>
      </c>
      <c r="O477" s="5" t="str">
        <f ca="1">IFERROR(__xludf.DUMMYFUNCTION("""COMPUTED_VALUE"""),"Yes")</f>
        <v>Yes</v>
      </c>
      <c r="P477" s="5" t="str">
        <f ca="1">IFERROR(__xludf.DUMMYFUNCTION("""COMPUTED_VALUE"""),"Yes")</f>
        <v>Yes</v>
      </c>
      <c r="Q477" s="5" t="str">
        <f ca="1">IFERROR(__xludf.DUMMYFUNCTION("""COMPUTED_VALUE"""),"Yes")</f>
        <v>Yes</v>
      </c>
      <c r="R477" s="5" t="str">
        <f ca="1">IFERROR(__xludf.DUMMYFUNCTION("""COMPUTED_VALUE"""),"Yes")</f>
        <v>Yes</v>
      </c>
      <c r="S477" s="5" t="str">
        <f ca="1">IFERROR(__xludf.DUMMYFUNCTION("""COMPUTED_VALUE"""),"Yes")</f>
        <v>Yes</v>
      </c>
      <c r="T477" s="5" t="str">
        <f ca="1">IFERROR(__xludf.DUMMYFUNCTION("""COMPUTED_VALUE"""),"Yes")</f>
        <v>Yes</v>
      </c>
      <c r="U477" s="5" t="str">
        <f ca="1">IFERROR(__xludf.DUMMYFUNCTION("""COMPUTED_VALUE"""),"Yes")</f>
        <v>Yes</v>
      </c>
      <c r="V477" s="5" t="str">
        <f ca="1">IFERROR(__xludf.DUMMYFUNCTION("""COMPUTED_VALUE"""),"Yes")</f>
        <v>Yes</v>
      </c>
      <c r="W477" s="5" t="str">
        <f ca="1">IFERROR(__xludf.DUMMYFUNCTION("""COMPUTED_VALUE"""),"Yes")</f>
        <v>Yes</v>
      </c>
      <c r="X477" s="5" t="str">
        <f ca="1">IFERROR(__xludf.DUMMYFUNCTION("""COMPUTED_VALUE"""),"Yes")</f>
        <v>Yes</v>
      </c>
      <c r="Y477" s="5" t="str">
        <f ca="1">IFERROR(__xludf.DUMMYFUNCTION("""COMPUTED_VALUE"""),"Yes")</f>
        <v>Yes</v>
      </c>
      <c r="Z477" s="5" t="str">
        <f ca="1">IFERROR(__xludf.DUMMYFUNCTION("""COMPUTED_VALUE"""),"Yes")</f>
        <v>Yes</v>
      </c>
      <c r="AA477" s="5" t="str">
        <f ca="1">IFERROR(__xludf.DUMMYFUNCTION("""COMPUTED_VALUE"""),"Yes")</f>
        <v>Yes</v>
      </c>
      <c r="AB477" s="5" t="str">
        <f ca="1">IFERROR(__xludf.DUMMYFUNCTION("""COMPUTED_VALUE"""),"Yes")</f>
        <v>Yes</v>
      </c>
      <c r="AC477" s="5" t="str">
        <f ca="1">IFERROR(__xludf.DUMMYFUNCTION("""COMPUTED_VALUE"""),"No")</f>
        <v>No</v>
      </c>
    </row>
    <row r="478" spans="1:29" x14ac:dyDescent="0.25">
      <c r="A478" s="5" t="str">
        <f ca="1">IFERROR(__xludf.DUMMYFUNCTION("""COMPUTED_VALUE"""),"PlayNetMajesticCrown5")</f>
        <v>PlayNetMajesticCrown5</v>
      </c>
      <c r="B47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8" s="5" t="str">
        <f ca="1">IFERROR(__xludf.DUMMYFUNCTION("""COMPUTED_VALUE"""),"Yes")</f>
        <v>Yes</v>
      </c>
      <c r="D478" s="5" t="str">
        <f ca="1">IFERROR(__xludf.DUMMYFUNCTION("""COMPUTED_VALUE"""),"Yes")</f>
        <v>Yes</v>
      </c>
      <c r="E478" s="5" t="str">
        <f ca="1">IFERROR(__xludf.DUMMYFUNCTION("""COMPUTED_VALUE"""),"Yes")</f>
        <v>Yes</v>
      </c>
      <c r="F478" s="5" t="str">
        <f ca="1">IFERROR(__xludf.DUMMYFUNCTION("""COMPUTED_VALUE"""),"Yes")</f>
        <v>Yes</v>
      </c>
      <c r="G478" s="5" t="str">
        <f ca="1">IFERROR(__xludf.DUMMYFUNCTION("""COMPUTED_VALUE"""),"Yes")</f>
        <v>Yes</v>
      </c>
      <c r="H478" s="5" t="str">
        <f ca="1">IFERROR(__xludf.DUMMYFUNCTION("""COMPUTED_VALUE"""),"Yes")</f>
        <v>Yes</v>
      </c>
      <c r="I478" s="5" t="str">
        <f ca="1">IFERROR(__xludf.DUMMYFUNCTION("""COMPUTED_VALUE"""),"Yes")</f>
        <v>Yes</v>
      </c>
      <c r="J478" s="5" t="str">
        <f ca="1">IFERROR(__xludf.DUMMYFUNCTION("""COMPUTED_VALUE"""),"Yes")</f>
        <v>Yes</v>
      </c>
      <c r="K478" s="5" t="str">
        <f ca="1">IFERROR(__xludf.DUMMYFUNCTION("""COMPUTED_VALUE"""),"Yes")</f>
        <v>Yes</v>
      </c>
      <c r="L478" s="5" t="str">
        <f ca="1">IFERROR(__xludf.DUMMYFUNCTION("""COMPUTED_VALUE"""),"Yes")</f>
        <v>Yes</v>
      </c>
      <c r="M478" s="5" t="str">
        <f ca="1">IFERROR(__xludf.DUMMYFUNCTION("""COMPUTED_VALUE"""),"Yes")</f>
        <v>Yes</v>
      </c>
      <c r="N478" s="5" t="str">
        <f ca="1">IFERROR(__xludf.DUMMYFUNCTION("""COMPUTED_VALUE"""),"Yes")</f>
        <v>Yes</v>
      </c>
      <c r="O478" s="5" t="str">
        <f ca="1">IFERROR(__xludf.DUMMYFUNCTION("""COMPUTED_VALUE"""),"Yes")</f>
        <v>Yes</v>
      </c>
      <c r="P478" s="5" t="str">
        <f ca="1">IFERROR(__xludf.DUMMYFUNCTION("""COMPUTED_VALUE"""),"Yes")</f>
        <v>Yes</v>
      </c>
      <c r="Q478" s="5" t="str">
        <f ca="1">IFERROR(__xludf.DUMMYFUNCTION("""COMPUTED_VALUE"""),"Yes")</f>
        <v>Yes</v>
      </c>
      <c r="R478" s="5" t="str">
        <f ca="1">IFERROR(__xludf.DUMMYFUNCTION("""COMPUTED_VALUE"""),"No")</f>
        <v>No</v>
      </c>
      <c r="S478" s="5" t="str">
        <f ca="1">IFERROR(__xludf.DUMMYFUNCTION("""COMPUTED_VALUE"""),"No")</f>
        <v>No</v>
      </c>
      <c r="T478" s="5" t="str">
        <f ca="1">IFERROR(__xludf.DUMMYFUNCTION("""COMPUTED_VALUE"""),"No")</f>
        <v>No</v>
      </c>
      <c r="U478" s="5" t="str">
        <f ca="1">IFERROR(__xludf.DUMMYFUNCTION("""COMPUTED_VALUE"""),"No")</f>
        <v>No</v>
      </c>
      <c r="V478" s="5"/>
      <c r="W478" s="5"/>
      <c r="X478" s="5"/>
      <c r="Y478" s="5"/>
      <c r="Z478" s="5" t="str">
        <f ca="1">IFERROR(__xludf.DUMMYFUNCTION("""COMPUTED_VALUE"""),"No")</f>
        <v>No</v>
      </c>
      <c r="AA478" s="5"/>
      <c r="AB478" s="5" t="str">
        <f ca="1">IFERROR(__xludf.DUMMYFUNCTION("""COMPUTED_VALUE"""),"Yes")</f>
        <v>Yes</v>
      </c>
      <c r="AC478" s="5"/>
    </row>
    <row r="479" spans="1:29" x14ac:dyDescent="0.25">
      <c r="A479" s="5" t="str">
        <f ca="1">IFERROR(__xludf.DUMMYFUNCTION("""COMPUTED_VALUE"""),"PlayNetRoyalFlame")</f>
        <v>PlayNetRoyalFlame</v>
      </c>
      <c r="B47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9" s="5" t="str">
        <f ca="1">IFERROR(__xludf.DUMMYFUNCTION("""COMPUTED_VALUE"""),"Yes")</f>
        <v>Yes</v>
      </c>
      <c r="D479" s="5" t="str">
        <f ca="1">IFERROR(__xludf.DUMMYFUNCTION("""COMPUTED_VALUE"""),"Yes")</f>
        <v>Yes</v>
      </c>
      <c r="E479" s="5" t="str">
        <f ca="1">IFERROR(__xludf.DUMMYFUNCTION("""COMPUTED_VALUE"""),"Yes")</f>
        <v>Yes</v>
      </c>
      <c r="F479" s="5" t="str">
        <f ca="1">IFERROR(__xludf.DUMMYFUNCTION("""COMPUTED_VALUE"""),"Yes")</f>
        <v>Yes</v>
      </c>
      <c r="G479" s="5" t="str">
        <f ca="1">IFERROR(__xludf.DUMMYFUNCTION("""COMPUTED_VALUE"""),"Yes")</f>
        <v>Yes</v>
      </c>
      <c r="H479" s="5" t="str">
        <f ca="1">IFERROR(__xludf.DUMMYFUNCTION("""COMPUTED_VALUE"""),"Yes")</f>
        <v>Yes</v>
      </c>
      <c r="I479" s="5" t="str">
        <f ca="1">IFERROR(__xludf.DUMMYFUNCTION("""COMPUTED_VALUE"""),"Yes")</f>
        <v>Yes</v>
      </c>
      <c r="J479" s="5" t="str">
        <f ca="1">IFERROR(__xludf.DUMMYFUNCTION("""COMPUTED_VALUE"""),"Yes")</f>
        <v>Yes</v>
      </c>
      <c r="K479" s="5" t="str">
        <f ca="1">IFERROR(__xludf.DUMMYFUNCTION("""COMPUTED_VALUE"""),"Yes")</f>
        <v>Yes</v>
      </c>
      <c r="L479" s="5" t="str">
        <f ca="1">IFERROR(__xludf.DUMMYFUNCTION("""COMPUTED_VALUE"""),"Yes")</f>
        <v>Yes</v>
      </c>
      <c r="M479" s="5" t="str">
        <f ca="1">IFERROR(__xludf.DUMMYFUNCTION("""COMPUTED_VALUE"""),"Yes")</f>
        <v>Yes</v>
      </c>
      <c r="N479" s="5" t="str">
        <f ca="1">IFERROR(__xludf.DUMMYFUNCTION("""COMPUTED_VALUE"""),"Yes")</f>
        <v>Yes</v>
      </c>
      <c r="O479" s="5" t="str">
        <f ca="1">IFERROR(__xludf.DUMMYFUNCTION("""COMPUTED_VALUE"""),"Yes")</f>
        <v>Yes</v>
      </c>
      <c r="P479" s="5" t="str">
        <f ca="1">IFERROR(__xludf.DUMMYFUNCTION("""COMPUTED_VALUE"""),"Yes")</f>
        <v>Yes</v>
      </c>
      <c r="Q479" s="5" t="str">
        <f ca="1">IFERROR(__xludf.DUMMYFUNCTION("""COMPUTED_VALUE"""),"Yes")</f>
        <v>Yes</v>
      </c>
      <c r="R479" s="5" t="str">
        <f ca="1">IFERROR(__xludf.DUMMYFUNCTION("""COMPUTED_VALUE"""),"No")</f>
        <v>No</v>
      </c>
      <c r="S479" s="5" t="str">
        <f ca="1">IFERROR(__xludf.DUMMYFUNCTION("""COMPUTED_VALUE"""),"No")</f>
        <v>No</v>
      </c>
      <c r="T479" s="5" t="str">
        <f ca="1">IFERROR(__xludf.DUMMYFUNCTION("""COMPUTED_VALUE"""),"No")</f>
        <v>No</v>
      </c>
      <c r="U479" s="5" t="str">
        <f ca="1">IFERROR(__xludf.DUMMYFUNCTION("""COMPUTED_VALUE"""),"No")</f>
        <v>No</v>
      </c>
      <c r="V479" s="5"/>
      <c r="W479" s="5"/>
      <c r="X479" s="5"/>
      <c r="Y479" s="5"/>
      <c r="Z479" s="5" t="str">
        <f ca="1">IFERROR(__xludf.DUMMYFUNCTION("""COMPUTED_VALUE"""),"No")</f>
        <v>No</v>
      </c>
      <c r="AA479" s="5"/>
      <c r="AB479" s="5" t="str">
        <f ca="1">IFERROR(__xludf.DUMMYFUNCTION("""COMPUTED_VALUE"""),"Yes")</f>
        <v>Yes</v>
      </c>
      <c r="AC479" s="5"/>
    </row>
    <row r="480" spans="1:29" x14ac:dyDescent="0.25">
      <c r="A480" s="5" t="str">
        <f ca="1">IFERROR(__xludf.DUMMYFUNCTION("""COMPUTED_VALUE"""),"PlayNetDiamondHeart100")</f>
        <v>PlayNetDiamondHeart100</v>
      </c>
      <c r="B48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0" s="5" t="str">
        <f ca="1">IFERROR(__xludf.DUMMYFUNCTION("""COMPUTED_VALUE"""),"Yes")</f>
        <v>Yes</v>
      </c>
      <c r="D480" s="5" t="str">
        <f ca="1">IFERROR(__xludf.DUMMYFUNCTION("""COMPUTED_VALUE"""),"Yes")</f>
        <v>Yes</v>
      </c>
      <c r="E480" s="5" t="str">
        <f ca="1">IFERROR(__xludf.DUMMYFUNCTION("""COMPUTED_VALUE"""),"Yes")</f>
        <v>Yes</v>
      </c>
      <c r="F480" s="5" t="str">
        <f ca="1">IFERROR(__xludf.DUMMYFUNCTION("""COMPUTED_VALUE"""),"Yes")</f>
        <v>Yes</v>
      </c>
      <c r="G480" s="5" t="str">
        <f ca="1">IFERROR(__xludf.DUMMYFUNCTION("""COMPUTED_VALUE"""),"Yes")</f>
        <v>Yes</v>
      </c>
      <c r="H480" s="5" t="str">
        <f ca="1">IFERROR(__xludf.DUMMYFUNCTION("""COMPUTED_VALUE"""),"Yes")</f>
        <v>Yes</v>
      </c>
      <c r="I480" s="5" t="str">
        <f ca="1">IFERROR(__xludf.DUMMYFUNCTION("""COMPUTED_VALUE"""),"Yes")</f>
        <v>Yes</v>
      </c>
      <c r="J480" s="5" t="str">
        <f ca="1">IFERROR(__xludf.DUMMYFUNCTION("""COMPUTED_VALUE"""),"Yes")</f>
        <v>Yes</v>
      </c>
      <c r="K480" s="5" t="str">
        <f ca="1">IFERROR(__xludf.DUMMYFUNCTION("""COMPUTED_VALUE"""),"Yes")</f>
        <v>Yes</v>
      </c>
      <c r="L480" s="5" t="str">
        <f ca="1">IFERROR(__xludf.DUMMYFUNCTION("""COMPUTED_VALUE"""),"Yes")</f>
        <v>Yes</v>
      </c>
      <c r="M480" s="5" t="str">
        <f ca="1">IFERROR(__xludf.DUMMYFUNCTION("""COMPUTED_VALUE"""),"Yes")</f>
        <v>Yes</v>
      </c>
      <c r="N480" s="5" t="str">
        <f ca="1">IFERROR(__xludf.DUMMYFUNCTION("""COMPUTED_VALUE"""),"Yes")</f>
        <v>Yes</v>
      </c>
      <c r="O480" s="5" t="str">
        <f ca="1">IFERROR(__xludf.DUMMYFUNCTION("""COMPUTED_VALUE"""),"Yes")</f>
        <v>Yes</v>
      </c>
      <c r="P480" s="5" t="str">
        <f ca="1">IFERROR(__xludf.DUMMYFUNCTION("""COMPUTED_VALUE"""),"Yes")</f>
        <v>Yes</v>
      </c>
      <c r="Q480" s="5" t="str">
        <f ca="1">IFERROR(__xludf.DUMMYFUNCTION("""COMPUTED_VALUE"""),"Yes")</f>
        <v>Yes</v>
      </c>
      <c r="R480" s="5" t="str">
        <f ca="1">IFERROR(__xludf.DUMMYFUNCTION("""COMPUTED_VALUE"""),"No")</f>
        <v>No</v>
      </c>
      <c r="S480" s="5" t="str">
        <f ca="1">IFERROR(__xludf.DUMMYFUNCTION("""COMPUTED_VALUE"""),"No")</f>
        <v>No</v>
      </c>
      <c r="T480" s="5" t="str">
        <f ca="1">IFERROR(__xludf.DUMMYFUNCTION("""COMPUTED_VALUE"""),"No")</f>
        <v>No</v>
      </c>
      <c r="U480" s="5" t="str">
        <f ca="1">IFERROR(__xludf.DUMMYFUNCTION("""COMPUTED_VALUE"""),"No")</f>
        <v>No</v>
      </c>
      <c r="V480" s="5"/>
      <c r="W480" s="5" t="str">
        <f ca="1">IFERROR(__xludf.DUMMYFUNCTION("""COMPUTED_VALUE"""),"No")</f>
        <v>No</v>
      </c>
      <c r="X480" s="5" t="str">
        <f ca="1">IFERROR(__xludf.DUMMYFUNCTION("""COMPUTED_VALUE"""),"No")</f>
        <v>No</v>
      </c>
      <c r="Y480" s="5" t="str">
        <f ca="1">IFERROR(__xludf.DUMMYFUNCTION("""COMPUTED_VALUE"""),"No")</f>
        <v>No</v>
      </c>
      <c r="Z480" s="5" t="str">
        <f ca="1">IFERROR(__xludf.DUMMYFUNCTION("""COMPUTED_VALUE"""),"No")</f>
        <v>No</v>
      </c>
      <c r="AA480" s="5" t="str">
        <f ca="1">IFERROR(__xludf.DUMMYFUNCTION("""COMPUTED_VALUE"""),"No")</f>
        <v>No</v>
      </c>
      <c r="AB480" s="5" t="str">
        <f ca="1">IFERROR(__xludf.DUMMYFUNCTION("""COMPUTED_VALUE"""),"Yes")</f>
        <v>Yes</v>
      </c>
      <c r="AC480" s="5"/>
    </row>
    <row r="481" spans="1:29" x14ac:dyDescent="0.25">
      <c r="A481" s="5" t="str">
        <f ca="1">IFERROR(__xludf.DUMMYFUNCTION("""COMPUTED_VALUE"""),"PlayNetGoldenGetsby")</f>
        <v>PlayNetGoldenGetsby</v>
      </c>
      <c r="B48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1" s="5" t="str">
        <f ca="1">IFERROR(__xludf.DUMMYFUNCTION("""COMPUTED_VALUE"""),"Yes")</f>
        <v>Yes</v>
      </c>
      <c r="D481" s="5" t="str">
        <f ca="1">IFERROR(__xludf.DUMMYFUNCTION("""COMPUTED_VALUE"""),"Yes")</f>
        <v>Yes</v>
      </c>
      <c r="E481" s="5" t="str">
        <f ca="1">IFERROR(__xludf.DUMMYFUNCTION("""COMPUTED_VALUE"""),"Yes")</f>
        <v>Yes</v>
      </c>
      <c r="F481" s="5" t="str">
        <f ca="1">IFERROR(__xludf.DUMMYFUNCTION("""COMPUTED_VALUE"""),"Yes")</f>
        <v>Yes</v>
      </c>
      <c r="G481" s="5" t="str">
        <f ca="1">IFERROR(__xludf.DUMMYFUNCTION("""COMPUTED_VALUE"""),"Yes")</f>
        <v>Yes</v>
      </c>
      <c r="H481" s="5" t="str">
        <f ca="1">IFERROR(__xludf.DUMMYFUNCTION("""COMPUTED_VALUE"""),"Yes")</f>
        <v>Yes</v>
      </c>
      <c r="I481" s="5" t="str">
        <f ca="1">IFERROR(__xludf.DUMMYFUNCTION("""COMPUTED_VALUE"""),"Yes")</f>
        <v>Yes</v>
      </c>
      <c r="J481" s="5" t="str">
        <f ca="1">IFERROR(__xludf.DUMMYFUNCTION("""COMPUTED_VALUE"""),"Yes")</f>
        <v>Yes</v>
      </c>
      <c r="K481" s="5" t="str">
        <f ca="1">IFERROR(__xludf.DUMMYFUNCTION("""COMPUTED_VALUE"""),"Yes")</f>
        <v>Yes</v>
      </c>
      <c r="L481" s="5" t="str">
        <f ca="1">IFERROR(__xludf.DUMMYFUNCTION("""COMPUTED_VALUE"""),"Yes")</f>
        <v>Yes</v>
      </c>
      <c r="M481" s="5" t="str">
        <f ca="1">IFERROR(__xludf.DUMMYFUNCTION("""COMPUTED_VALUE"""),"Yes")</f>
        <v>Yes</v>
      </c>
      <c r="N481" s="5" t="str">
        <f ca="1">IFERROR(__xludf.DUMMYFUNCTION("""COMPUTED_VALUE"""),"Yes")</f>
        <v>Yes</v>
      </c>
      <c r="O481" s="5" t="str">
        <f ca="1">IFERROR(__xludf.DUMMYFUNCTION("""COMPUTED_VALUE"""),"Yes")</f>
        <v>Yes</v>
      </c>
      <c r="P481" s="5" t="str">
        <f ca="1">IFERROR(__xludf.DUMMYFUNCTION("""COMPUTED_VALUE"""),"Yes")</f>
        <v>Yes</v>
      </c>
      <c r="Q481" s="5" t="str">
        <f ca="1">IFERROR(__xludf.DUMMYFUNCTION("""COMPUTED_VALUE"""),"Yes")</f>
        <v>Yes</v>
      </c>
      <c r="R481" s="5" t="str">
        <f ca="1">IFERROR(__xludf.DUMMYFUNCTION("""COMPUTED_VALUE"""),"No")</f>
        <v>No</v>
      </c>
      <c r="S481" s="5" t="str">
        <f ca="1">IFERROR(__xludf.DUMMYFUNCTION("""COMPUTED_VALUE"""),"No")</f>
        <v>No</v>
      </c>
      <c r="T481" s="5" t="str">
        <f ca="1">IFERROR(__xludf.DUMMYFUNCTION("""COMPUTED_VALUE"""),"No")</f>
        <v>No</v>
      </c>
      <c r="U481" s="5" t="str">
        <f ca="1">IFERROR(__xludf.DUMMYFUNCTION("""COMPUTED_VALUE"""),"No")</f>
        <v>No</v>
      </c>
      <c r="V481" s="5"/>
      <c r="W481" s="5" t="str">
        <f ca="1">IFERROR(__xludf.DUMMYFUNCTION("""COMPUTED_VALUE"""),"No")</f>
        <v>No</v>
      </c>
      <c r="X481" s="5" t="str">
        <f ca="1">IFERROR(__xludf.DUMMYFUNCTION("""COMPUTED_VALUE"""),"No")</f>
        <v>No</v>
      </c>
      <c r="Y481" s="5" t="str">
        <f ca="1">IFERROR(__xludf.DUMMYFUNCTION("""COMPUTED_VALUE"""),"No")</f>
        <v>No</v>
      </c>
      <c r="Z481" s="5" t="str">
        <f ca="1">IFERROR(__xludf.DUMMYFUNCTION("""COMPUTED_VALUE"""),"No")</f>
        <v>No</v>
      </c>
      <c r="AA481" s="5" t="str">
        <f ca="1">IFERROR(__xludf.DUMMYFUNCTION("""COMPUTED_VALUE"""),"No")</f>
        <v>No</v>
      </c>
      <c r="AB481" s="5" t="str">
        <f ca="1">IFERROR(__xludf.DUMMYFUNCTION("""COMPUTED_VALUE"""),"Yes")</f>
        <v>Yes</v>
      </c>
      <c r="AC481" s="5"/>
    </row>
    <row r="482" spans="1:29" x14ac:dyDescent="0.25">
      <c r="A482" s="5" t="str">
        <f ca="1">IFERROR(__xludf.DUMMYFUNCTION("""COMPUTED_VALUE"""),"PlayNetDashingHot20")</f>
        <v>PlayNetDashingHot20</v>
      </c>
      <c r="B482" s="5" t="str">
        <f ca="1">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2" s="5" t="str">
        <f ca="1">IFERROR(__xludf.DUMMYFUNCTION("""COMPUTED_VALUE"""),"Yes")</f>
        <v>Yes</v>
      </c>
      <c r="D482" s="5" t="str">
        <f ca="1">IFERROR(__xludf.DUMMYFUNCTION("""COMPUTED_VALUE"""),"Yes")</f>
        <v>Yes</v>
      </c>
      <c r="E482" s="5" t="str">
        <f ca="1">IFERROR(__xludf.DUMMYFUNCTION("""COMPUTED_VALUE"""),"Yes")</f>
        <v>Yes</v>
      </c>
      <c r="F482" s="5" t="str">
        <f ca="1">IFERROR(__xludf.DUMMYFUNCTION("""COMPUTED_VALUE"""),"Yes")</f>
        <v>Yes</v>
      </c>
      <c r="G482" s="5" t="str">
        <f ca="1">IFERROR(__xludf.DUMMYFUNCTION("""COMPUTED_VALUE"""),"Yes")</f>
        <v>Yes</v>
      </c>
      <c r="H482" s="5" t="str">
        <f ca="1">IFERROR(__xludf.DUMMYFUNCTION("""COMPUTED_VALUE"""),"Yes")</f>
        <v>Yes</v>
      </c>
      <c r="I482" s="5" t="str">
        <f ca="1">IFERROR(__xludf.DUMMYFUNCTION("""COMPUTED_VALUE"""),"Yes")</f>
        <v>Yes</v>
      </c>
      <c r="J482" s="5" t="str">
        <f ca="1">IFERROR(__xludf.DUMMYFUNCTION("""COMPUTED_VALUE"""),"Yes")</f>
        <v>Yes</v>
      </c>
      <c r="K482" s="5" t="str">
        <f ca="1">IFERROR(__xludf.DUMMYFUNCTION("""COMPUTED_VALUE"""),"Yes")</f>
        <v>Yes</v>
      </c>
      <c r="L482" s="5" t="str">
        <f ca="1">IFERROR(__xludf.DUMMYFUNCTION("""COMPUTED_VALUE"""),"Yes")</f>
        <v>Yes</v>
      </c>
      <c r="M482" s="5" t="str">
        <f ca="1">IFERROR(__xludf.DUMMYFUNCTION("""COMPUTED_VALUE"""),"Yes")</f>
        <v>Yes</v>
      </c>
      <c r="N482" s="5" t="str">
        <f ca="1">IFERROR(__xludf.DUMMYFUNCTION("""COMPUTED_VALUE"""),"Yes")</f>
        <v>Yes</v>
      </c>
      <c r="O482" s="5" t="str">
        <f ca="1">IFERROR(__xludf.DUMMYFUNCTION("""COMPUTED_VALUE"""),"Yes")</f>
        <v>Yes</v>
      </c>
      <c r="P482" s="5" t="str">
        <f ca="1">IFERROR(__xludf.DUMMYFUNCTION("""COMPUTED_VALUE"""),"Yes")</f>
        <v>Yes</v>
      </c>
      <c r="Q482" s="5" t="str">
        <f ca="1">IFERROR(__xludf.DUMMYFUNCTION("""COMPUTED_VALUE"""),"Yes")</f>
        <v>Yes</v>
      </c>
      <c r="R482" s="5" t="str">
        <f ca="1">IFERROR(__xludf.DUMMYFUNCTION("""COMPUTED_VALUE"""),"No")</f>
        <v>No</v>
      </c>
      <c r="S482" s="5" t="str">
        <f ca="1">IFERROR(__xludf.DUMMYFUNCTION("""COMPUTED_VALUE"""),"No")</f>
        <v>No</v>
      </c>
      <c r="T482" s="5" t="str">
        <f ca="1">IFERROR(__xludf.DUMMYFUNCTION("""COMPUTED_VALUE"""),"No")</f>
        <v>No</v>
      </c>
      <c r="U482" s="5" t="str">
        <f ca="1">IFERROR(__xludf.DUMMYFUNCTION("""COMPUTED_VALUE"""),"No")</f>
        <v>No</v>
      </c>
      <c r="V482" s="5"/>
      <c r="W482" s="5"/>
      <c r="X482" s="5"/>
      <c r="Y482" s="5"/>
      <c r="Z482" s="5" t="str">
        <f ca="1">IFERROR(__xludf.DUMMYFUNCTION("""COMPUTED_VALUE"""),"No")</f>
        <v>No</v>
      </c>
      <c r="AA482" s="5"/>
      <c r="AB482" s="5" t="str">
        <f ca="1">IFERROR(__xludf.DUMMYFUNCTION("""COMPUTED_VALUE"""),"Yes")</f>
        <v>Yes</v>
      </c>
      <c r="AC482" s="5" t="str">
        <f ca="1">IFERROR(__xludf.DUMMYFUNCTION("""COMPUTED_VALUE"""),"Yes")</f>
        <v>Yes</v>
      </c>
    </row>
    <row r="483" spans="1:29" x14ac:dyDescent="0.25">
      <c r="A483" s="5" t="str">
        <f ca="1">IFERROR(__xludf.DUMMYFUNCTION("""COMPUTED_VALUE"""),"PlayNetDarkTemptress")</f>
        <v>PlayNetDarkTemptress</v>
      </c>
      <c r="B483" s="5" t="str">
        <f ca="1">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3" s="5" t="str">
        <f ca="1">IFERROR(__xludf.DUMMYFUNCTION("""COMPUTED_VALUE"""),"Yes")</f>
        <v>Yes</v>
      </c>
      <c r="D483" s="5" t="str">
        <f ca="1">IFERROR(__xludf.DUMMYFUNCTION("""COMPUTED_VALUE"""),"Yes")</f>
        <v>Yes</v>
      </c>
      <c r="E483" s="5" t="str">
        <f ca="1">IFERROR(__xludf.DUMMYFUNCTION("""COMPUTED_VALUE"""),"Yes")</f>
        <v>Yes</v>
      </c>
      <c r="F483" s="5" t="str">
        <f ca="1">IFERROR(__xludf.DUMMYFUNCTION("""COMPUTED_VALUE"""),"Yes")</f>
        <v>Yes</v>
      </c>
      <c r="G483" s="5" t="str">
        <f ca="1">IFERROR(__xludf.DUMMYFUNCTION("""COMPUTED_VALUE"""),"Yes")</f>
        <v>Yes</v>
      </c>
      <c r="H483" s="5" t="str">
        <f ca="1">IFERROR(__xludf.DUMMYFUNCTION("""COMPUTED_VALUE"""),"Yes")</f>
        <v>Yes</v>
      </c>
      <c r="I483" s="5" t="str">
        <f ca="1">IFERROR(__xludf.DUMMYFUNCTION("""COMPUTED_VALUE"""),"Yes")</f>
        <v>Yes</v>
      </c>
      <c r="J483" s="5" t="str">
        <f ca="1">IFERROR(__xludf.DUMMYFUNCTION("""COMPUTED_VALUE"""),"Yes")</f>
        <v>Yes</v>
      </c>
      <c r="K483" s="5" t="str">
        <f ca="1">IFERROR(__xludf.DUMMYFUNCTION("""COMPUTED_VALUE"""),"Yes")</f>
        <v>Yes</v>
      </c>
      <c r="L483" s="5" t="str">
        <f ca="1">IFERROR(__xludf.DUMMYFUNCTION("""COMPUTED_VALUE"""),"Yes")</f>
        <v>Yes</v>
      </c>
      <c r="M483" s="5" t="str">
        <f ca="1">IFERROR(__xludf.DUMMYFUNCTION("""COMPUTED_VALUE"""),"Yes")</f>
        <v>Yes</v>
      </c>
      <c r="N483" s="5" t="str">
        <f ca="1">IFERROR(__xludf.DUMMYFUNCTION("""COMPUTED_VALUE"""),"Yes")</f>
        <v>Yes</v>
      </c>
      <c r="O483" s="5" t="str">
        <f ca="1">IFERROR(__xludf.DUMMYFUNCTION("""COMPUTED_VALUE"""),"Yes")</f>
        <v>Yes</v>
      </c>
      <c r="P483" s="5" t="str">
        <f ca="1">IFERROR(__xludf.DUMMYFUNCTION("""COMPUTED_VALUE"""),"Yes")</f>
        <v>Yes</v>
      </c>
      <c r="Q483" s="5" t="str">
        <f ca="1">IFERROR(__xludf.DUMMYFUNCTION("""COMPUTED_VALUE"""),"Yes")</f>
        <v>Yes</v>
      </c>
      <c r="R483" s="5" t="str">
        <f ca="1">IFERROR(__xludf.DUMMYFUNCTION("""COMPUTED_VALUE"""),"No")</f>
        <v>No</v>
      </c>
      <c r="S483" s="5" t="str">
        <f ca="1">IFERROR(__xludf.DUMMYFUNCTION("""COMPUTED_VALUE"""),"No")</f>
        <v>No</v>
      </c>
      <c r="T483" s="5" t="str">
        <f ca="1">IFERROR(__xludf.DUMMYFUNCTION("""COMPUTED_VALUE"""),"No")</f>
        <v>No</v>
      </c>
      <c r="U483" s="5" t="str">
        <f ca="1">IFERROR(__xludf.DUMMYFUNCTION("""COMPUTED_VALUE"""),"No")</f>
        <v>No</v>
      </c>
      <c r="V483" s="5"/>
      <c r="W483" s="5"/>
      <c r="X483" s="5"/>
      <c r="Y483" s="5"/>
      <c r="Z483" s="5" t="str">
        <f ca="1">IFERROR(__xludf.DUMMYFUNCTION("""COMPUTED_VALUE"""),"No")</f>
        <v>No</v>
      </c>
      <c r="AA483" s="5"/>
      <c r="AB483" s="5" t="str">
        <f ca="1">IFERROR(__xludf.DUMMYFUNCTION("""COMPUTED_VALUE"""),"Yes")</f>
        <v>Yes</v>
      </c>
      <c r="AC483" s="5" t="str">
        <f ca="1">IFERROR(__xludf.DUMMYFUNCTION("""COMPUTED_VALUE"""),"Yes")</f>
        <v>Yes</v>
      </c>
    </row>
    <row r="484" spans="1:29" x14ac:dyDescent="0.25">
      <c r="A484" s="5" t="str">
        <f ca="1">IFERROR(__xludf.DUMMYFUNCTION("""COMPUTED_VALUE"""),"WildStickyClover")</f>
        <v>WildStickyClover</v>
      </c>
      <c r="B4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4" s="5" t="str">
        <f ca="1">IFERROR(__xludf.DUMMYFUNCTION("""COMPUTED_VALUE"""),"Yes")</f>
        <v>Yes</v>
      </c>
      <c r="D484" s="5" t="str">
        <f ca="1">IFERROR(__xludf.DUMMYFUNCTION("""COMPUTED_VALUE"""),"Yes")</f>
        <v>Yes</v>
      </c>
      <c r="E484" s="5" t="str">
        <f ca="1">IFERROR(__xludf.DUMMYFUNCTION("""COMPUTED_VALUE"""),"Yes")</f>
        <v>Yes</v>
      </c>
      <c r="F484" s="5" t="str">
        <f ca="1">IFERROR(__xludf.DUMMYFUNCTION("""COMPUTED_VALUE"""),"Yes")</f>
        <v>Yes</v>
      </c>
      <c r="G484" s="5" t="str">
        <f ca="1">IFERROR(__xludf.DUMMYFUNCTION("""COMPUTED_VALUE"""),"Yes")</f>
        <v>Yes</v>
      </c>
      <c r="H484" s="5" t="str">
        <f ca="1">IFERROR(__xludf.DUMMYFUNCTION("""COMPUTED_VALUE"""),"Yes")</f>
        <v>Yes</v>
      </c>
      <c r="I484" s="5" t="str">
        <f ca="1">IFERROR(__xludf.DUMMYFUNCTION("""COMPUTED_VALUE"""),"Yes")</f>
        <v>Yes</v>
      </c>
      <c r="J484" s="5" t="str">
        <f ca="1">IFERROR(__xludf.DUMMYFUNCTION("""COMPUTED_VALUE"""),"Yes")</f>
        <v>Yes</v>
      </c>
      <c r="K484" s="5" t="str">
        <f ca="1">IFERROR(__xludf.DUMMYFUNCTION("""COMPUTED_VALUE"""),"Yes")</f>
        <v>Yes</v>
      </c>
      <c r="L484" s="5" t="str">
        <f ca="1">IFERROR(__xludf.DUMMYFUNCTION("""COMPUTED_VALUE"""),"Yes")</f>
        <v>Yes</v>
      </c>
      <c r="M484" s="5" t="str">
        <f ca="1">IFERROR(__xludf.DUMMYFUNCTION("""COMPUTED_VALUE"""),"Yes")</f>
        <v>Yes</v>
      </c>
      <c r="N484" s="5" t="str">
        <f ca="1">IFERROR(__xludf.DUMMYFUNCTION("""COMPUTED_VALUE"""),"Yes")</f>
        <v>Yes</v>
      </c>
      <c r="O484" s="5" t="str">
        <f ca="1">IFERROR(__xludf.DUMMYFUNCTION("""COMPUTED_VALUE"""),"Yes")</f>
        <v>Yes</v>
      </c>
      <c r="P484" s="5" t="str">
        <f ca="1">IFERROR(__xludf.DUMMYFUNCTION("""COMPUTED_VALUE"""),"Yes")</f>
        <v>Yes</v>
      </c>
      <c r="Q484" s="5" t="str">
        <f ca="1">IFERROR(__xludf.DUMMYFUNCTION("""COMPUTED_VALUE"""),"Yes")</f>
        <v>Yes</v>
      </c>
      <c r="R484" s="5" t="str">
        <f ca="1">IFERROR(__xludf.DUMMYFUNCTION("""COMPUTED_VALUE"""),"Yes")</f>
        <v>Yes</v>
      </c>
      <c r="S484" s="5" t="str">
        <f ca="1">IFERROR(__xludf.DUMMYFUNCTION("""COMPUTED_VALUE"""),"Yes")</f>
        <v>Yes</v>
      </c>
      <c r="T484" s="5" t="str">
        <f ca="1">IFERROR(__xludf.DUMMYFUNCTION("""COMPUTED_VALUE"""),"Yes")</f>
        <v>Yes</v>
      </c>
      <c r="U484" s="5" t="str">
        <f ca="1">IFERROR(__xludf.DUMMYFUNCTION("""COMPUTED_VALUE"""),"Yes")</f>
        <v>Yes</v>
      </c>
      <c r="V484" s="5" t="str">
        <f ca="1">IFERROR(__xludf.DUMMYFUNCTION("""COMPUTED_VALUE"""),"Yes")</f>
        <v>Yes</v>
      </c>
      <c r="W484" s="5" t="str">
        <f ca="1">IFERROR(__xludf.DUMMYFUNCTION("""COMPUTED_VALUE"""),"Yes")</f>
        <v>Yes</v>
      </c>
      <c r="X484" s="5" t="str">
        <f ca="1">IFERROR(__xludf.DUMMYFUNCTION("""COMPUTED_VALUE"""),"Yes")</f>
        <v>Yes</v>
      </c>
      <c r="Y484" s="5" t="str">
        <f ca="1">IFERROR(__xludf.DUMMYFUNCTION("""COMPUTED_VALUE"""),"Yes")</f>
        <v>Yes</v>
      </c>
      <c r="Z484" s="5" t="str">
        <f ca="1">IFERROR(__xludf.DUMMYFUNCTION("""COMPUTED_VALUE"""),"Yes")</f>
        <v>Yes</v>
      </c>
      <c r="AA484" s="5" t="str">
        <f ca="1">IFERROR(__xludf.DUMMYFUNCTION("""COMPUTED_VALUE"""),"Yes")</f>
        <v>Yes</v>
      </c>
      <c r="AB484" s="5" t="str">
        <f ca="1">IFERROR(__xludf.DUMMYFUNCTION("""COMPUTED_VALUE"""),"Yes")</f>
        <v>Yes</v>
      </c>
      <c r="AC484" s="5" t="str">
        <f ca="1">IFERROR(__xludf.DUMMYFUNCTION("""COMPUTED_VALUE"""),"No")</f>
        <v>No</v>
      </c>
    </row>
    <row r="485" spans="1:29" x14ac:dyDescent="0.25">
      <c r="A485" s="5" t="str">
        <f ca="1">IFERROR(__xludf.DUMMYFUNCTION("""COMPUTED_VALUE"""),"XSpins")</f>
        <v>XSpins</v>
      </c>
      <c r="B4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5" s="5" t="str">
        <f ca="1">IFERROR(__xludf.DUMMYFUNCTION("""COMPUTED_VALUE"""),"Yes")</f>
        <v>Yes</v>
      </c>
      <c r="D485" s="5" t="str">
        <f ca="1">IFERROR(__xludf.DUMMYFUNCTION("""COMPUTED_VALUE"""),"Yes")</f>
        <v>Yes</v>
      </c>
      <c r="E485" s="5" t="str">
        <f ca="1">IFERROR(__xludf.DUMMYFUNCTION("""COMPUTED_VALUE"""),"Yes")</f>
        <v>Yes</v>
      </c>
      <c r="F485" s="5" t="str">
        <f ca="1">IFERROR(__xludf.DUMMYFUNCTION("""COMPUTED_VALUE"""),"Yes")</f>
        <v>Yes</v>
      </c>
      <c r="G485" s="5" t="str">
        <f ca="1">IFERROR(__xludf.DUMMYFUNCTION("""COMPUTED_VALUE"""),"Yes")</f>
        <v>Yes</v>
      </c>
      <c r="H485" s="5" t="str">
        <f ca="1">IFERROR(__xludf.DUMMYFUNCTION("""COMPUTED_VALUE"""),"Yes")</f>
        <v>Yes</v>
      </c>
      <c r="I485" s="5" t="str">
        <f ca="1">IFERROR(__xludf.DUMMYFUNCTION("""COMPUTED_VALUE"""),"Yes")</f>
        <v>Yes</v>
      </c>
      <c r="J485" s="5" t="str">
        <f ca="1">IFERROR(__xludf.DUMMYFUNCTION("""COMPUTED_VALUE"""),"Yes")</f>
        <v>Yes</v>
      </c>
      <c r="K485" s="5" t="str">
        <f ca="1">IFERROR(__xludf.DUMMYFUNCTION("""COMPUTED_VALUE"""),"Yes")</f>
        <v>Yes</v>
      </c>
      <c r="L485" s="5" t="str">
        <f ca="1">IFERROR(__xludf.DUMMYFUNCTION("""COMPUTED_VALUE"""),"Yes")</f>
        <v>Yes</v>
      </c>
      <c r="M485" s="5" t="str">
        <f ca="1">IFERROR(__xludf.DUMMYFUNCTION("""COMPUTED_VALUE"""),"Yes")</f>
        <v>Yes</v>
      </c>
      <c r="N485" s="5" t="str">
        <f ca="1">IFERROR(__xludf.DUMMYFUNCTION("""COMPUTED_VALUE"""),"Yes")</f>
        <v>Yes</v>
      </c>
      <c r="O485" s="5" t="str">
        <f ca="1">IFERROR(__xludf.DUMMYFUNCTION("""COMPUTED_VALUE"""),"Yes")</f>
        <v>Yes</v>
      </c>
      <c r="P485" s="5" t="str">
        <f ca="1">IFERROR(__xludf.DUMMYFUNCTION("""COMPUTED_VALUE"""),"Yes")</f>
        <v>Yes</v>
      </c>
      <c r="Q485" s="5" t="str">
        <f ca="1">IFERROR(__xludf.DUMMYFUNCTION("""COMPUTED_VALUE"""),"Yes")</f>
        <v>Yes</v>
      </c>
      <c r="R485" s="5" t="str">
        <f ca="1">IFERROR(__xludf.DUMMYFUNCTION("""COMPUTED_VALUE"""),"Yes")</f>
        <v>Yes</v>
      </c>
      <c r="S485" s="5" t="str">
        <f ca="1">IFERROR(__xludf.DUMMYFUNCTION("""COMPUTED_VALUE"""),"Yes")</f>
        <v>Yes</v>
      </c>
      <c r="T485" s="5" t="str">
        <f ca="1">IFERROR(__xludf.DUMMYFUNCTION("""COMPUTED_VALUE"""),"Yes")</f>
        <v>Yes</v>
      </c>
      <c r="U485" s="5" t="str">
        <f ca="1">IFERROR(__xludf.DUMMYFUNCTION("""COMPUTED_VALUE"""),"Yes")</f>
        <v>Yes</v>
      </c>
      <c r="V485" s="5" t="str">
        <f ca="1">IFERROR(__xludf.DUMMYFUNCTION("""COMPUTED_VALUE"""),"Yes")</f>
        <v>Yes</v>
      </c>
      <c r="W485" s="5" t="str">
        <f ca="1">IFERROR(__xludf.DUMMYFUNCTION("""COMPUTED_VALUE"""),"Yes")</f>
        <v>Yes</v>
      </c>
      <c r="X485" s="5" t="str">
        <f ca="1">IFERROR(__xludf.DUMMYFUNCTION("""COMPUTED_VALUE"""),"Yes")</f>
        <v>Yes</v>
      </c>
      <c r="Y485" s="5" t="str">
        <f ca="1">IFERROR(__xludf.DUMMYFUNCTION("""COMPUTED_VALUE"""),"Yes")</f>
        <v>Yes</v>
      </c>
      <c r="Z485" s="5" t="str">
        <f ca="1">IFERROR(__xludf.DUMMYFUNCTION("""COMPUTED_VALUE"""),"Yes")</f>
        <v>Yes</v>
      </c>
      <c r="AA485" s="5" t="str">
        <f ca="1">IFERROR(__xludf.DUMMYFUNCTION("""COMPUTED_VALUE"""),"Yes")</f>
        <v>Yes</v>
      </c>
      <c r="AB485" s="5" t="str">
        <f ca="1">IFERROR(__xludf.DUMMYFUNCTION("""COMPUTED_VALUE"""),"Yes")</f>
        <v>Yes</v>
      </c>
      <c r="AC485" s="5" t="str">
        <f ca="1">IFERROR(__xludf.DUMMYFUNCTION("""COMPUTED_VALUE"""),"No")</f>
        <v>No</v>
      </c>
    </row>
    <row r="486" spans="1:29" x14ac:dyDescent="0.25">
      <c r="A486" s="5" t="str">
        <f ca="1">IFERROR(__xludf.DUMMYFUNCTION("""COMPUTED_VALUE"""),"EpicCrown5Booster")</f>
        <v>EpicCrown5Booster</v>
      </c>
      <c r="B4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86" s="5" t="str">
        <f ca="1">IFERROR(__xludf.DUMMYFUNCTION("""COMPUTED_VALUE"""),"Yes")</f>
        <v>Yes</v>
      </c>
      <c r="D486" s="5" t="str">
        <f ca="1">IFERROR(__xludf.DUMMYFUNCTION("""COMPUTED_VALUE"""),"Yes")</f>
        <v>Yes</v>
      </c>
      <c r="E486" s="5" t="str">
        <f ca="1">IFERROR(__xludf.DUMMYFUNCTION("""COMPUTED_VALUE"""),"Yes")</f>
        <v>Yes</v>
      </c>
      <c r="F486" s="5" t="str">
        <f ca="1">IFERROR(__xludf.DUMMYFUNCTION("""COMPUTED_VALUE"""),"Yes")</f>
        <v>Yes</v>
      </c>
      <c r="G486" s="5" t="str">
        <f ca="1">IFERROR(__xludf.DUMMYFUNCTION("""COMPUTED_VALUE"""),"Yes")</f>
        <v>Yes</v>
      </c>
      <c r="H486" s="5" t="str">
        <f ca="1">IFERROR(__xludf.DUMMYFUNCTION("""COMPUTED_VALUE"""),"Yes")</f>
        <v>Yes</v>
      </c>
      <c r="I486" s="5" t="str">
        <f ca="1">IFERROR(__xludf.DUMMYFUNCTION("""COMPUTED_VALUE"""),"Yes")</f>
        <v>Yes</v>
      </c>
      <c r="J486" s="5" t="str">
        <f ca="1">IFERROR(__xludf.DUMMYFUNCTION("""COMPUTED_VALUE"""),"Yes")</f>
        <v>Yes</v>
      </c>
      <c r="K486" s="5" t="str">
        <f ca="1">IFERROR(__xludf.DUMMYFUNCTION("""COMPUTED_VALUE"""),"Yes")</f>
        <v>Yes</v>
      </c>
      <c r="L486" s="5" t="str">
        <f ca="1">IFERROR(__xludf.DUMMYFUNCTION("""COMPUTED_VALUE"""),"Yes")</f>
        <v>Yes</v>
      </c>
      <c r="M486" s="5" t="str">
        <f ca="1">IFERROR(__xludf.DUMMYFUNCTION("""COMPUTED_VALUE"""),"Yes")</f>
        <v>Yes</v>
      </c>
      <c r="N486" s="5" t="str">
        <f ca="1">IFERROR(__xludf.DUMMYFUNCTION("""COMPUTED_VALUE"""),"Yes")</f>
        <v>Yes</v>
      </c>
      <c r="O486" s="5" t="str">
        <f ca="1">IFERROR(__xludf.DUMMYFUNCTION("""COMPUTED_VALUE"""),"Yes")</f>
        <v>Yes</v>
      </c>
      <c r="P486" s="5" t="str">
        <f ca="1">IFERROR(__xludf.DUMMYFUNCTION("""COMPUTED_VALUE"""),"Yes")</f>
        <v>Yes</v>
      </c>
      <c r="Q486" s="5" t="str">
        <f ca="1">IFERROR(__xludf.DUMMYFUNCTION("""COMPUTED_VALUE"""),"Yes")</f>
        <v>Yes</v>
      </c>
      <c r="R486" s="5" t="str">
        <f ca="1">IFERROR(__xludf.DUMMYFUNCTION("""COMPUTED_VALUE"""),"Yes")</f>
        <v>Yes</v>
      </c>
      <c r="S486" s="5" t="str">
        <f ca="1">IFERROR(__xludf.DUMMYFUNCTION("""COMPUTED_VALUE"""),"Yes")</f>
        <v>Yes</v>
      </c>
      <c r="T486" s="5" t="str">
        <f ca="1">IFERROR(__xludf.DUMMYFUNCTION("""COMPUTED_VALUE"""),"Yes")</f>
        <v>Yes</v>
      </c>
      <c r="U486" s="5" t="str">
        <f ca="1">IFERROR(__xludf.DUMMYFUNCTION("""COMPUTED_VALUE"""),"Yes")</f>
        <v>Yes</v>
      </c>
      <c r="V486" s="5"/>
      <c r="W486" s="5"/>
      <c r="X486" s="5"/>
      <c r="Y486" s="5"/>
      <c r="Z486" s="5" t="str">
        <f ca="1">IFERROR(__xludf.DUMMYFUNCTION("""COMPUTED_VALUE"""),"Yes")</f>
        <v>Yes</v>
      </c>
      <c r="AA486" s="5"/>
      <c r="AB486" s="5"/>
      <c r="AC486" s="5"/>
    </row>
    <row r="487" spans="1:29" x14ac:dyDescent="0.25">
      <c r="A487" s="5" t="str">
        <f ca="1">IFERROR(__xludf.DUMMYFUNCTION("""COMPUTED_VALUE"""),"EpicCrown10Booster")</f>
        <v>EpicCrown10Booster</v>
      </c>
      <c r="B4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87" s="5" t="str">
        <f ca="1">IFERROR(__xludf.DUMMYFUNCTION("""COMPUTED_VALUE"""),"Yes")</f>
        <v>Yes</v>
      </c>
      <c r="D487" s="5" t="str">
        <f ca="1">IFERROR(__xludf.DUMMYFUNCTION("""COMPUTED_VALUE"""),"Yes")</f>
        <v>Yes</v>
      </c>
      <c r="E487" s="5" t="str">
        <f ca="1">IFERROR(__xludf.DUMMYFUNCTION("""COMPUTED_VALUE"""),"Yes")</f>
        <v>Yes</v>
      </c>
      <c r="F487" s="5" t="str">
        <f ca="1">IFERROR(__xludf.DUMMYFUNCTION("""COMPUTED_VALUE"""),"Yes")</f>
        <v>Yes</v>
      </c>
      <c r="G487" s="5" t="str">
        <f ca="1">IFERROR(__xludf.DUMMYFUNCTION("""COMPUTED_VALUE"""),"Yes")</f>
        <v>Yes</v>
      </c>
      <c r="H487" s="5" t="str">
        <f ca="1">IFERROR(__xludf.DUMMYFUNCTION("""COMPUTED_VALUE"""),"Yes")</f>
        <v>Yes</v>
      </c>
      <c r="I487" s="5" t="str">
        <f ca="1">IFERROR(__xludf.DUMMYFUNCTION("""COMPUTED_VALUE"""),"Yes")</f>
        <v>Yes</v>
      </c>
      <c r="J487" s="5" t="str">
        <f ca="1">IFERROR(__xludf.DUMMYFUNCTION("""COMPUTED_VALUE"""),"Yes")</f>
        <v>Yes</v>
      </c>
      <c r="K487" s="5" t="str">
        <f ca="1">IFERROR(__xludf.DUMMYFUNCTION("""COMPUTED_VALUE"""),"Yes")</f>
        <v>Yes</v>
      </c>
      <c r="L487" s="5" t="str">
        <f ca="1">IFERROR(__xludf.DUMMYFUNCTION("""COMPUTED_VALUE"""),"Yes")</f>
        <v>Yes</v>
      </c>
      <c r="M487" s="5" t="str">
        <f ca="1">IFERROR(__xludf.DUMMYFUNCTION("""COMPUTED_VALUE"""),"Yes")</f>
        <v>Yes</v>
      </c>
      <c r="N487" s="5" t="str">
        <f ca="1">IFERROR(__xludf.DUMMYFUNCTION("""COMPUTED_VALUE"""),"Yes")</f>
        <v>Yes</v>
      </c>
      <c r="O487" s="5" t="str">
        <f ca="1">IFERROR(__xludf.DUMMYFUNCTION("""COMPUTED_VALUE"""),"Yes")</f>
        <v>Yes</v>
      </c>
      <c r="P487" s="5" t="str">
        <f ca="1">IFERROR(__xludf.DUMMYFUNCTION("""COMPUTED_VALUE"""),"Yes")</f>
        <v>Yes</v>
      </c>
      <c r="Q487" s="5" t="str">
        <f ca="1">IFERROR(__xludf.DUMMYFUNCTION("""COMPUTED_VALUE"""),"Yes")</f>
        <v>Yes</v>
      </c>
      <c r="R487" s="5" t="str">
        <f ca="1">IFERROR(__xludf.DUMMYFUNCTION("""COMPUTED_VALUE"""),"Yes")</f>
        <v>Yes</v>
      </c>
      <c r="S487" s="5" t="str">
        <f ca="1">IFERROR(__xludf.DUMMYFUNCTION("""COMPUTED_VALUE"""),"Yes")</f>
        <v>Yes</v>
      </c>
      <c r="T487" s="5" t="str">
        <f ca="1">IFERROR(__xludf.DUMMYFUNCTION("""COMPUTED_VALUE"""),"Yes")</f>
        <v>Yes</v>
      </c>
      <c r="U487" s="5" t="str">
        <f ca="1">IFERROR(__xludf.DUMMYFUNCTION("""COMPUTED_VALUE"""),"Yes")</f>
        <v>Yes</v>
      </c>
      <c r="V487" s="5"/>
      <c r="W487" s="5" t="str">
        <f ca="1">IFERROR(__xludf.DUMMYFUNCTION("""COMPUTED_VALUE"""),"Yes")</f>
        <v>Yes</v>
      </c>
      <c r="X487" s="5"/>
      <c r="Y487" s="5"/>
      <c r="Z487" s="5" t="str">
        <f ca="1">IFERROR(__xludf.DUMMYFUNCTION("""COMPUTED_VALUE"""),"Yes")</f>
        <v>Yes</v>
      </c>
      <c r="AA487" s="5"/>
      <c r="AB487" s="5"/>
      <c r="AC487" s="5"/>
    </row>
    <row r="488" spans="1:29" x14ac:dyDescent="0.25">
      <c r="A488" s="5" t="str">
        <f ca="1">IFERROR(__xludf.DUMMYFUNCTION("""COMPUTED_VALUE"""),"Redstone777Expand")</f>
        <v>Redstone777Expand</v>
      </c>
      <c r="B4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488" s="5" t="str">
        <f ca="1">IFERROR(__xludf.DUMMYFUNCTION("""COMPUTED_VALUE"""),"Yes")</f>
        <v>Yes</v>
      </c>
      <c r="D488" s="5" t="str">
        <f ca="1">IFERROR(__xludf.DUMMYFUNCTION("""COMPUTED_VALUE"""),"Yes")</f>
        <v>Yes</v>
      </c>
      <c r="E488" s="5" t="str">
        <f ca="1">IFERROR(__xludf.DUMMYFUNCTION("""COMPUTED_VALUE"""),"Yes")</f>
        <v>Yes</v>
      </c>
      <c r="F488" s="5" t="str">
        <f ca="1">IFERROR(__xludf.DUMMYFUNCTION("""COMPUTED_VALUE"""),"Yes")</f>
        <v>Yes</v>
      </c>
      <c r="G488" s="5" t="str">
        <f ca="1">IFERROR(__xludf.DUMMYFUNCTION("""COMPUTED_VALUE"""),"Yes")</f>
        <v>Yes</v>
      </c>
      <c r="H488" s="5" t="str">
        <f ca="1">IFERROR(__xludf.DUMMYFUNCTION("""COMPUTED_VALUE"""),"Yes")</f>
        <v>Yes</v>
      </c>
      <c r="I488" s="5" t="str">
        <f ca="1">IFERROR(__xludf.DUMMYFUNCTION("""COMPUTED_VALUE"""),"Yes")</f>
        <v>Yes</v>
      </c>
      <c r="J488" s="5" t="str">
        <f ca="1">IFERROR(__xludf.DUMMYFUNCTION("""COMPUTED_VALUE"""),"Yes")</f>
        <v>Yes</v>
      </c>
      <c r="K488" s="5" t="str">
        <f ca="1">IFERROR(__xludf.DUMMYFUNCTION("""COMPUTED_VALUE"""),"Yes")</f>
        <v>Yes</v>
      </c>
      <c r="L488" s="5" t="str">
        <f ca="1">IFERROR(__xludf.DUMMYFUNCTION("""COMPUTED_VALUE"""),"Yes")</f>
        <v>Yes</v>
      </c>
      <c r="M488" s="5" t="str">
        <f ca="1">IFERROR(__xludf.DUMMYFUNCTION("""COMPUTED_VALUE"""),"Yes")</f>
        <v>Yes</v>
      </c>
      <c r="N488" s="5" t="str">
        <f ca="1">IFERROR(__xludf.DUMMYFUNCTION("""COMPUTED_VALUE"""),"Yes")</f>
        <v>Yes</v>
      </c>
      <c r="O488" s="5" t="str">
        <f ca="1">IFERROR(__xludf.DUMMYFUNCTION("""COMPUTED_VALUE"""),"Yes")</f>
        <v>Yes</v>
      </c>
      <c r="P488" s="5" t="str">
        <f ca="1">IFERROR(__xludf.DUMMYFUNCTION("""COMPUTED_VALUE"""),"Yes")</f>
        <v>Yes</v>
      </c>
      <c r="Q488" s="5" t="str">
        <f ca="1">IFERROR(__xludf.DUMMYFUNCTION("""COMPUTED_VALUE"""),"Yes")</f>
        <v>Yes</v>
      </c>
      <c r="R488" s="5" t="str">
        <f ca="1">IFERROR(__xludf.DUMMYFUNCTION("""COMPUTED_VALUE"""),"Yes")</f>
        <v>Yes</v>
      </c>
      <c r="S488" s="5" t="str">
        <f ca="1">IFERROR(__xludf.DUMMYFUNCTION("""COMPUTED_VALUE"""),"Yes")</f>
        <v>Yes</v>
      </c>
      <c r="T488" s="5" t="str">
        <f ca="1">IFERROR(__xludf.DUMMYFUNCTION("""COMPUTED_VALUE"""),"Yes")</f>
        <v>Yes</v>
      </c>
      <c r="U488" s="5" t="str">
        <f ca="1">IFERROR(__xludf.DUMMYFUNCTION("""COMPUTED_VALUE"""),"Yes")</f>
        <v>Yes</v>
      </c>
      <c r="V488" s="5" t="str">
        <f ca="1">IFERROR(__xludf.DUMMYFUNCTION("""COMPUTED_VALUE"""),"Yes")</f>
        <v>Yes</v>
      </c>
      <c r="W488" s="5" t="str">
        <f ca="1">IFERROR(__xludf.DUMMYFUNCTION("""COMPUTED_VALUE"""),"Yes")</f>
        <v>Yes</v>
      </c>
      <c r="X488" s="5" t="str">
        <f ca="1">IFERROR(__xludf.DUMMYFUNCTION("""COMPUTED_VALUE"""),"Yes")</f>
        <v>Yes</v>
      </c>
      <c r="Y488" s="5" t="str">
        <f ca="1">IFERROR(__xludf.DUMMYFUNCTION("""COMPUTED_VALUE"""),"Yes")</f>
        <v>Yes</v>
      </c>
      <c r="Z488" s="5" t="str">
        <f ca="1">IFERROR(__xludf.DUMMYFUNCTION("""COMPUTED_VALUE"""),"Yes")</f>
        <v>Yes</v>
      </c>
      <c r="AA488" s="5" t="str">
        <f ca="1">IFERROR(__xludf.DUMMYFUNCTION("""COMPUTED_VALUE"""),"Yes")</f>
        <v>Yes</v>
      </c>
      <c r="AB488" s="5" t="str">
        <f ca="1">IFERROR(__xludf.DUMMYFUNCTION("""COMPUTED_VALUE"""),"Yes")</f>
        <v>Yes</v>
      </c>
      <c r="AC488" s="5" t="str">
        <f ca="1">IFERROR(__xludf.DUMMYFUNCTION("""COMPUTED_VALUE"""),"Yes")</f>
        <v>Yes</v>
      </c>
    </row>
    <row r="489" spans="1:29" x14ac:dyDescent="0.25">
      <c r="A489" s="5" t="str">
        <f ca="1">IFERROR(__xludf.DUMMYFUNCTION("""COMPUTED_VALUE"""),"RedstoneDoubleWildCrown")</f>
        <v>RedstoneDoubleWildCrown</v>
      </c>
      <c r="B489" s="5" t="str">
        <f ca="1">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C489" s="5" t="str">
        <f ca="1">IFERROR(__xludf.DUMMYFUNCTION("""COMPUTED_VALUE"""),"Yes")</f>
        <v>Yes</v>
      </c>
      <c r="D489" s="5" t="str">
        <f ca="1">IFERROR(__xludf.DUMMYFUNCTION("""COMPUTED_VALUE"""),"Yes")</f>
        <v>Yes</v>
      </c>
      <c r="E489" s="5" t="str">
        <f ca="1">IFERROR(__xludf.DUMMYFUNCTION("""COMPUTED_VALUE"""),"No")</f>
        <v>No</v>
      </c>
      <c r="F489" s="5" t="str">
        <f ca="1">IFERROR(__xludf.DUMMYFUNCTION("""COMPUTED_VALUE"""),"Yes")</f>
        <v>Yes</v>
      </c>
      <c r="G489" s="5" t="str">
        <f ca="1">IFERROR(__xludf.DUMMYFUNCTION("""COMPUTED_VALUE"""),"Yes")</f>
        <v>Yes</v>
      </c>
      <c r="H489" s="5" t="str">
        <f ca="1">IFERROR(__xludf.DUMMYFUNCTION("""COMPUTED_VALUE"""),"Yes")</f>
        <v>Yes</v>
      </c>
      <c r="I489" s="5" t="str">
        <f ca="1">IFERROR(__xludf.DUMMYFUNCTION("""COMPUTED_VALUE"""),"Yes")</f>
        <v>Yes</v>
      </c>
      <c r="J489" s="5" t="str">
        <f ca="1">IFERROR(__xludf.DUMMYFUNCTION("""COMPUTED_VALUE"""),"Yes")</f>
        <v>Yes</v>
      </c>
      <c r="K489" s="5" t="str">
        <f ca="1">IFERROR(__xludf.DUMMYFUNCTION("""COMPUTED_VALUE"""),"Yes")</f>
        <v>Yes</v>
      </c>
      <c r="L489" s="5" t="str">
        <f ca="1">IFERROR(__xludf.DUMMYFUNCTION("""COMPUTED_VALUE"""),"Yes")</f>
        <v>Yes</v>
      </c>
      <c r="M489" s="5" t="str">
        <f ca="1">IFERROR(__xludf.DUMMYFUNCTION("""COMPUTED_VALUE"""),"Yes")</f>
        <v>Yes</v>
      </c>
      <c r="N489" s="5" t="str">
        <f ca="1">IFERROR(__xludf.DUMMYFUNCTION("""COMPUTED_VALUE"""),"Yes")</f>
        <v>Yes</v>
      </c>
      <c r="O489" s="5" t="str">
        <f ca="1">IFERROR(__xludf.DUMMYFUNCTION("""COMPUTED_VALUE"""),"Yes")</f>
        <v>Yes</v>
      </c>
      <c r="P489" s="5" t="str">
        <f ca="1">IFERROR(__xludf.DUMMYFUNCTION("""COMPUTED_VALUE"""),"Yes")</f>
        <v>Yes</v>
      </c>
      <c r="Q489" s="5" t="str">
        <f ca="1">IFERROR(__xludf.DUMMYFUNCTION("""COMPUTED_VALUE"""),"Yes")</f>
        <v>Yes</v>
      </c>
      <c r="R489" s="5" t="str">
        <f ca="1">IFERROR(__xludf.DUMMYFUNCTION("""COMPUTED_VALUE"""),"Yes")</f>
        <v>Yes</v>
      </c>
      <c r="S489" s="5" t="str">
        <f ca="1">IFERROR(__xludf.DUMMYFUNCTION("""COMPUTED_VALUE"""),"Yes")</f>
        <v>Yes</v>
      </c>
      <c r="T489" s="5" t="str">
        <f ca="1">IFERROR(__xludf.DUMMYFUNCTION("""COMPUTED_VALUE"""),"No")</f>
        <v>No</v>
      </c>
      <c r="U489" s="5" t="str">
        <f ca="1">IFERROR(__xludf.DUMMYFUNCTION("""COMPUTED_VALUE"""),"No")</f>
        <v>No</v>
      </c>
      <c r="V489" s="5" t="str">
        <f ca="1">IFERROR(__xludf.DUMMYFUNCTION("""COMPUTED_VALUE"""),"No")</f>
        <v>No</v>
      </c>
      <c r="W489" s="5" t="str">
        <f ca="1">IFERROR(__xludf.DUMMYFUNCTION("""COMPUTED_VALUE"""),"No")</f>
        <v>No</v>
      </c>
      <c r="X489" s="5" t="str">
        <f ca="1">IFERROR(__xludf.DUMMYFUNCTION("""COMPUTED_VALUE"""),"Yes")</f>
        <v>Yes</v>
      </c>
      <c r="Y489" s="5" t="str">
        <f ca="1">IFERROR(__xludf.DUMMYFUNCTION("""COMPUTED_VALUE"""),"No")</f>
        <v>No</v>
      </c>
      <c r="Z489" s="5" t="str">
        <f ca="1">IFERROR(__xludf.DUMMYFUNCTION("""COMPUTED_VALUE"""),"No")</f>
        <v>No</v>
      </c>
      <c r="AA489" s="5" t="str">
        <f ca="1">IFERROR(__xludf.DUMMYFUNCTION("""COMPUTED_VALUE"""),"No")</f>
        <v>No</v>
      </c>
      <c r="AB489" s="5" t="str">
        <f ca="1">IFERROR(__xludf.DUMMYFUNCTION("""COMPUTED_VALUE"""),"Yes")</f>
        <v>Yes</v>
      </c>
      <c r="AC489" s="5" t="str">
        <f ca="1">IFERROR(__xludf.DUMMYFUNCTION("""COMPUTED_VALUE"""),"No")</f>
        <v>No</v>
      </c>
    </row>
    <row r="490" spans="1:29" x14ac:dyDescent="0.25">
      <c r="A490" s="5" t="str">
        <f ca="1">IFERROR(__xludf.DUMMYFUNCTION("""COMPUTED_VALUE"""),"RedstoneDoubleWildHeart")</f>
        <v>RedstoneDoubleWildHeart</v>
      </c>
      <c r="B490" s="5" t="str">
        <f ca="1">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C490" s="5" t="str">
        <f ca="1">IFERROR(__xludf.DUMMYFUNCTION("""COMPUTED_VALUE"""),"Yes")</f>
        <v>Yes</v>
      </c>
      <c r="D490" s="5" t="str">
        <f ca="1">IFERROR(__xludf.DUMMYFUNCTION("""COMPUTED_VALUE"""),"Yes")</f>
        <v>Yes</v>
      </c>
      <c r="E490" s="5" t="str">
        <f ca="1">IFERROR(__xludf.DUMMYFUNCTION("""COMPUTED_VALUE"""),"No")</f>
        <v>No</v>
      </c>
      <c r="F490" s="5" t="str">
        <f ca="1">IFERROR(__xludf.DUMMYFUNCTION("""COMPUTED_VALUE"""),"Yes")</f>
        <v>Yes</v>
      </c>
      <c r="G490" s="5" t="str">
        <f ca="1">IFERROR(__xludf.DUMMYFUNCTION("""COMPUTED_VALUE"""),"Yes")</f>
        <v>Yes</v>
      </c>
      <c r="H490" s="5" t="str">
        <f ca="1">IFERROR(__xludf.DUMMYFUNCTION("""COMPUTED_VALUE"""),"Yes")</f>
        <v>Yes</v>
      </c>
      <c r="I490" s="5" t="str">
        <f ca="1">IFERROR(__xludf.DUMMYFUNCTION("""COMPUTED_VALUE"""),"Yes")</f>
        <v>Yes</v>
      </c>
      <c r="J490" s="5" t="str">
        <f ca="1">IFERROR(__xludf.DUMMYFUNCTION("""COMPUTED_VALUE"""),"Yes")</f>
        <v>Yes</v>
      </c>
      <c r="K490" s="5" t="str">
        <f ca="1">IFERROR(__xludf.DUMMYFUNCTION("""COMPUTED_VALUE"""),"Yes")</f>
        <v>Yes</v>
      </c>
      <c r="L490" s="5" t="str">
        <f ca="1">IFERROR(__xludf.DUMMYFUNCTION("""COMPUTED_VALUE"""),"Yes")</f>
        <v>Yes</v>
      </c>
      <c r="M490" s="5" t="str">
        <f ca="1">IFERROR(__xludf.DUMMYFUNCTION("""COMPUTED_VALUE"""),"Yes")</f>
        <v>Yes</v>
      </c>
      <c r="N490" s="5" t="str">
        <f ca="1">IFERROR(__xludf.DUMMYFUNCTION("""COMPUTED_VALUE"""),"Yes")</f>
        <v>Yes</v>
      </c>
      <c r="O490" s="5" t="str">
        <f ca="1">IFERROR(__xludf.DUMMYFUNCTION("""COMPUTED_VALUE"""),"Yes")</f>
        <v>Yes</v>
      </c>
      <c r="P490" s="5" t="str">
        <f ca="1">IFERROR(__xludf.DUMMYFUNCTION("""COMPUTED_VALUE"""),"Yes")</f>
        <v>Yes</v>
      </c>
      <c r="Q490" s="5" t="str">
        <f ca="1">IFERROR(__xludf.DUMMYFUNCTION("""COMPUTED_VALUE"""),"Yes")</f>
        <v>Yes</v>
      </c>
      <c r="R490" s="5" t="str">
        <f ca="1">IFERROR(__xludf.DUMMYFUNCTION("""COMPUTED_VALUE"""),"No")</f>
        <v>No</v>
      </c>
      <c r="S490" s="5" t="str">
        <f ca="1">IFERROR(__xludf.DUMMYFUNCTION("""COMPUTED_VALUE"""),"No")</f>
        <v>No</v>
      </c>
      <c r="T490" s="5" t="str">
        <f ca="1">IFERROR(__xludf.DUMMYFUNCTION("""COMPUTED_VALUE"""),"No")</f>
        <v>No</v>
      </c>
      <c r="U490" s="5" t="str">
        <f ca="1">IFERROR(__xludf.DUMMYFUNCTION("""COMPUTED_VALUE"""),"No")</f>
        <v>No</v>
      </c>
      <c r="V490" s="5" t="str">
        <f ca="1">IFERROR(__xludf.DUMMYFUNCTION("""COMPUTED_VALUE"""),"No")</f>
        <v>No</v>
      </c>
      <c r="W490" s="5" t="str">
        <f ca="1">IFERROR(__xludf.DUMMYFUNCTION("""COMPUTED_VALUE"""),"Yes")</f>
        <v>Yes</v>
      </c>
      <c r="X490" s="5" t="str">
        <f ca="1">IFERROR(__xludf.DUMMYFUNCTION("""COMPUTED_VALUE"""),"Yes")</f>
        <v>Yes</v>
      </c>
      <c r="Y490" s="5" t="str">
        <f ca="1">IFERROR(__xludf.DUMMYFUNCTION("""COMPUTED_VALUE"""),"No")</f>
        <v>No</v>
      </c>
      <c r="Z490" s="5" t="str">
        <f ca="1">IFERROR(__xludf.DUMMYFUNCTION("""COMPUTED_VALUE"""),"No")</f>
        <v>No</v>
      </c>
      <c r="AA490" s="5" t="str">
        <f ca="1">IFERROR(__xludf.DUMMYFUNCTION("""COMPUTED_VALUE"""),"No")</f>
        <v>No</v>
      </c>
      <c r="AB490" s="5" t="str">
        <f ca="1">IFERROR(__xludf.DUMMYFUNCTION("""COMPUTED_VALUE"""),"Yes")</f>
        <v>Yes</v>
      </c>
      <c r="AC490" s="5" t="str">
        <f ca="1">IFERROR(__xludf.DUMMYFUNCTION("""COMPUTED_VALUE"""),"No")</f>
        <v>No</v>
      </c>
    </row>
    <row r="491" spans="1:29" x14ac:dyDescent="0.25">
      <c r="A491" s="5" t="str">
        <f ca="1">IFERROR(__xludf.DUMMYFUNCTION("""COMPUTED_VALUE"""),"NovaPixelWheelOfJoker")</f>
        <v>NovaPixelWheelOfJoker</v>
      </c>
      <c r="B491" s="5" t="str">
        <f ca="1">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C491" s="5" t="str">
        <f ca="1">IFERROR(__xludf.DUMMYFUNCTION("""COMPUTED_VALUE"""),"Yes")</f>
        <v>Yes</v>
      </c>
      <c r="D491" s="5" t="str">
        <f ca="1">IFERROR(__xludf.DUMMYFUNCTION("""COMPUTED_VALUE"""),"Yes")</f>
        <v>Yes</v>
      </c>
      <c r="E491" s="5" t="str">
        <f ca="1">IFERROR(__xludf.DUMMYFUNCTION("""COMPUTED_VALUE"""),"No")</f>
        <v>No</v>
      </c>
      <c r="F491" s="5" t="str">
        <f ca="1">IFERROR(__xludf.DUMMYFUNCTION("""COMPUTED_VALUE"""),"Yes")</f>
        <v>Yes</v>
      </c>
      <c r="G491" s="5" t="str">
        <f ca="1">IFERROR(__xludf.DUMMYFUNCTION("""COMPUTED_VALUE"""),"Yes")</f>
        <v>Yes</v>
      </c>
      <c r="H491" s="5" t="str">
        <f ca="1">IFERROR(__xludf.DUMMYFUNCTION("""COMPUTED_VALUE"""),"Yes")</f>
        <v>Yes</v>
      </c>
      <c r="I491" s="5" t="str">
        <f ca="1">IFERROR(__xludf.DUMMYFUNCTION("""COMPUTED_VALUE"""),"Yes")</f>
        <v>Yes</v>
      </c>
      <c r="J491" s="5" t="str">
        <f ca="1">IFERROR(__xludf.DUMMYFUNCTION("""COMPUTED_VALUE"""),"Yes")</f>
        <v>Yes</v>
      </c>
      <c r="K491" s="5" t="str">
        <f ca="1">IFERROR(__xludf.DUMMYFUNCTION("""COMPUTED_VALUE"""),"Yes")</f>
        <v>Yes</v>
      </c>
      <c r="L491" s="5" t="str">
        <f ca="1">IFERROR(__xludf.DUMMYFUNCTION("""COMPUTED_VALUE"""),"Yes")</f>
        <v>Yes</v>
      </c>
      <c r="M491" s="5" t="str">
        <f ca="1">IFERROR(__xludf.DUMMYFUNCTION("""COMPUTED_VALUE"""),"Yes")</f>
        <v>Yes</v>
      </c>
      <c r="N491" s="5" t="str">
        <f ca="1">IFERROR(__xludf.DUMMYFUNCTION("""COMPUTED_VALUE"""),"Yes")</f>
        <v>Yes</v>
      </c>
      <c r="O491" s="5" t="str">
        <f ca="1">IFERROR(__xludf.DUMMYFUNCTION("""COMPUTED_VALUE"""),"Yes")</f>
        <v>Yes</v>
      </c>
      <c r="P491" s="5" t="str">
        <f ca="1">IFERROR(__xludf.DUMMYFUNCTION("""COMPUTED_VALUE"""),"Yes")</f>
        <v>Yes</v>
      </c>
      <c r="Q491" s="5" t="str">
        <f ca="1">IFERROR(__xludf.DUMMYFUNCTION("""COMPUTED_VALUE"""),"Yes")</f>
        <v>Yes</v>
      </c>
      <c r="R491" s="5" t="str">
        <f ca="1">IFERROR(__xludf.DUMMYFUNCTION("""COMPUTED_VALUE"""),"Yes")</f>
        <v>Yes</v>
      </c>
      <c r="S491" s="5" t="str">
        <f ca="1">IFERROR(__xludf.DUMMYFUNCTION("""COMPUTED_VALUE"""),"Yes")</f>
        <v>Yes</v>
      </c>
      <c r="T491" s="5" t="str">
        <f ca="1">IFERROR(__xludf.DUMMYFUNCTION("""COMPUTED_VALUE"""),"Yes")</f>
        <v>Yes</v>
      </c>
      <c r="U491" s="5" t="str">
        <f ca="1">IFERROR(__xludf.DUMMYFUNCTION("""COMPUTED_VALUE"""),"Yes")</f>
        <v>Yes</v>
      </c>
      <c r="V491" s="5" t="str">
        <f ca="1">IFERROR(__xludf.DUMMYFUNCTION("""COMPUTED_VALUE"""),"No")</f>
        <v>No</v>
      </c>
      <c r="W491" s="5" t="str">
        <f ca="1">IFERROR(__xludf.DUMMYFUNCTION("""COMPUTED_VALUE"""),"No")</f>
        <v>No</v>
      </c>
      <c r="X491" s="5" t="str">
        <f ca="1">IFERROR(__xludf.DUMMYFUNCTION("""COMPUTED_VALUE"""),"Yes")</f>
        <v>Yes</v>
      </c>
      <c r="Y491" s="5" t="str">
        <f ca="1">IFERROR(__xludf.DUMMYFUNCTION("""COMPUTED_VALUE"""),"No")</f>
        <v>No</v>
      </c>
      <c r="Z491" s="5" t="str">
        <f ca="1">IFERROR(__xludf.DUMMYFUNCTION("""COMPUTED_VALUE"""),"Yes")</f>
        <v>Yes</v>
      </c>
      <c r="AA491" s="5" t="str">
        <f ca="1">IFERROR(__xludf.DUMMYFUNCTION("""COMPUTED_VALUE"""),"No")</f>
        <v>No</v>
      </c>
      <c r="AB491" s="5" t="str">
        <f ca="1">IFERROR(__xludf.DUMMYFUNCTION("""COMPUTED_VALUE"""),"Yes")</f>
        <v>Yes</v>
      </c>
      <c r="AC491" s="5" t="str">
        <f ca="1">IFERROR(__xludf.DUMMYFUNCTION("""COMPUTED_VALUE"""),"No")</f>
        <v>No</v>
      </c>
    </row>
    <row r="492" spans="1:29" x14ac:dyDescent="0.25">
      <c r="A492" s="5" t="str">
        <f ca="1">IFERROR(__xludf.DUMMYFUNCTION("""COMPUTED_VALUE"""),"TBD-F2")</f>
        <v>TBD-F2</v>
      </c>
      <c r="B4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2" s="5" t="str">
        <f ca="1">IFERROR(__xludf.DUMMYFUNCTION("""COMPUTED_VALUE"""),"Yes")</f>
        <v>Yes</v>
      </c>
      <c r="D492" s="5" t="str">
        <f ca="1">IFERROR(__xludf.DUMMYFUNCTION("""COMPUTED_VALUE"""),"Yes")</f>
        <v>Yes</v>
      </c>
      <c r="E492" s="5" t="str">
        <f ca="1">IFERROR(__xludf.DUMMYFUNCTION("""COMPUTED_VALUE"""),"Yes")</f>
        <v>Yes</v>
      </c>
      <c r="F492" s="5" t="str">
        <f ca="1">IFERROR(__xludf.DUMMYFUNCTION("""COMPUTED_VALUE"""),"Yes")</f>
        <v>Yes</v>
      </c>
      <c r="G492" s="5" t="str">
        <f ca="1">IFERROR(__xludf.DUMMYFUNCTION("""COMPUTED_VALUE"""),"Yes")</f>
        <v>Yes</v>
      </c>
      <c r="H492" s="5" t="str">
        <f ca="1">IFERROR(__xludf.DUMMYFUNCTION("""COMPUTED_VALUE"""),"Yes")</f>
        <v>Yes</v>
      </c>
      <c r="I492" s="5" t="str">
        <f ca="1">IFERROR(__xludf.DUMMYFUNCTION("""COMPUTED_VALUE"""),"Yes")</f>
        <v>Yes</v>
      </c>
      <c r="J492" s="5" t="str">
        <f ca="1">IFERROR(__xludf.DUMMYFUNCTION("""COMPUTED_VALUE"""),"Yes")</f>
        <v>Yes</v>
      </c>
      <c r="K492" s="5" t="str">
        <f ca="1">IFERROR(__xludf.DUMMYFUNCTION("""COMPUTED_VALUE"""),"Yes")</f>
        <v>Yes</v>
      </c>
      <c r="L492" s="5" t="str">
        <f ca="1">IFERROR(__xludf.DUMMYFUNCTION("""COMPUTED_VALUE"""),"Yes")</f>
        <v>Yes</v>
      </c>
      <c r="M492" s="5" t="str">
        <f ca="1">IFERROR(__xludf.DUMMYFUNCTION("""COMPUTED_VALUE"""),"Yes")</f>
        <v>Yes</v>
      </c>
      <c r="N492" s="5" t="str">
        <f ca="1">IFERROR(__xludf.DUMMYFUNCTION("""COMPUTED_VALUE"""),"Yes")</f>
        <v>Yes</v>
      </c>
      <c r="O492" s="5" t="str">
        <f ca="1">IFERROR(__xludf.DUMMYFUNCTION("""COMPUTED_VALUE"""),"Yes")</f>
        <v>Yes</v>
      </c>
      <c r="P492" s="5" t="str">
        <f ca="1">IFERROR(__xludf.DUMMYFUNCTION("""COMPUTED_VALUE"""),"Yes")</f>
        <v>Yes</v>
      </c>
      <c r="Q492" s="5" t="str">
        <f ca="1">IFERROR(__xludf.DUMMYFUNCTION("""COMPUTED_VALUE"""),"Yes")</f>
        <v>Yes</v>
      </c>
      <c r="R492" s="5" t="str">
        <f ca="1">IFERROR(__xludf.DUMMYFUNCTION("""COMPUTED_VALUE"""),"Yes")</f>
        <v>Yes</v>
      </c>
      <c r="S492" s="5" t="str">
        <f ca="1">IFERROR(__xludf.DUMMYFUNCTION("""COMPUTED_VALUE"""),"Yes")</f>
        <v>Yes</v>
      </c>
      <c r="T492" s="5" t="str">
        <f ca="1">IFERROR(__xludf.DUMMYFUNCTION("""COMPUTED_VALUE"""),"Yes")</f>
        <v>Yes</v>
      </c>
      <c r="U492" s="5" t="str">
        <f ca="1">IFERROR(__xludf.DUMMYFUNCTION("""COMPUTED_VALUE"""),"Yes")</f>
        <v>Yes</v>
      </c>
      <c r="V492" s="5"/>
      <c r="W492" s="5"/>
      <c r="X492" s="5"/>
      <c r="Y492" s="5"/>
      <c r="Z492" s="5" t="str">
        <f ca="1">IFERROR(__xludf.DUMMYFUNCTION("""COMPUTED_VALUE"""),"Yes")</f>
        <v>Yes</v>
      </c>
      <c r="AA492" s="5"/>
      <c r="AB492" s="5"/>
      <c r="AC492" s="5"/>
    </row>
    <row r="493" spans="1:29" x14ac:dyDescent="0.25">
      <c r="A493" s="5" t="str">
        <f ca="1">IFERROR(__xludf.DUMMYFUNCTION("""COMPUTED_VALUE"""),"TBD-F3")</f>
        <v>TBD-F3</v>
      </c>
      <c r="B4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3" s="5" t="str">
        <f ca="1">IFERROR(__xludf.DUMMYFUNCTION("""COMPUTED_VALUE"""),"Yes")</f>
        <v>Yes</v>
      </c>
      <c r="D493" s="5" t="str">
        <f ca="1">IFERROR(__xludf.DUMMYFUNCTION("""COMPUTED_VALUE"""),"Yes")</f>
        <v>Yes</v>
      </c>
      <c r="E493" s="5" t="str">
        <f ca="1">IFERROR(__xludf.DUMMYFUNCTION("""COMPUTED_VALUE"""),"Yes")</f>
        <v>Yes</v>
      </c>
      <c r="F493" s="5" t="str">
        <f ca="1">IFERROR(__xludf.DUMMYFUNCTION("""COMPUTED_VALUE"""),"Yes")</f>
        <v>Yes</v>
      </c>
      <c r="G493" s="5" t="str">
        <f ca="1">IFERROR(__xludf.DUMMYFUNCTION("""COMPUTED_VALUE"""),"Yes")</f>
        <v>Yes</v>
      </c>
      <c r="H493" s="5" t="str">
        <f ca="1">IFERROR(__xludf.DUMMYFUNCTION("""COMPUTED_VALUE"""),"Yes")</f>
        <v>Yes</v>
      </c>
      <c r="I493" s="5" t="str">
        <f ca="1">IFERROR(__xludf.DUMMYFUNCTION("""COMPUTED_VALUE"""),"Yes")</f>
        <v>Yes</v>
      </c>
      <c r="J493" s="5" t="str">
        <f ca="1">IFERROR(__xludf.DUMMYFUNCTION("""COMPUTED_VALUE"""),"Yes")</f>
        <v>Yes</v>
      </c>
      <c r="K493" s="5" t="str">
        <f ca="1">IFERROR(__xludf.DUMMYFUNCTION("""COMPUTED_VALUE"""),"Yes")</f>
        <v>Yes</v>
      </c>
      <c r="L493" s="5" t="str">
        <f ca="1">IFERROR(__xludf.DUMMYFUNCTION("""COMPUTED_VALUE"""),"Yes")</f>
        <v>Yes</v>
      </c>
      <c r="M493" s="5" t="str">
        <f ca="1">IFERROR(__xludf.DUMMYFUNCTION("""COMPUTED_VALUE"""),"Yes")</f>
        <v>Yes</v>
      </c>
      <c r="N493" s="5" t="str">
        <f ca="1">IFERROR(__xludf.DUMMYFUNCTION("""COMPUTED_VALUE"""),"Yes")</f>
        <v>Yes</v>
      </c>
      <c r="O493" s="5" t="str">
        <f ca="1">IFERROR(__xludf.DUMMYFUNCTION("""COMPUTED_VALUE"""),"Yes")</f>
        <v>Yes</v>
      </c>
      <c r="P493" s="5" t="str">
        <f ca="1">IFERROR(__xludf.DUMMYFUNCTION("""COMPUTED_VALUE"""),"Yes")</f>
        <v>Yes</v>
      </c>
      <c r="Q493" s="5" t="str">
        <f ca="1">IFERROR(__xludf.DUMMYFUNCTION("""COMPUTED_VALUE"""),"Yes")</f>
        <v>Yes</v>
      </c>
      <c r="R493" s="5" t="str">
        <f ca="1">IFERROR(__xludf.DUMMYFUNCTION("""COMPUTED_VALUE"""),"Yes")</f>
        <v>Yes</v>
      </c>
      <c r="S493" s="5" t="str">
        <f ca="1">IFERROR(__xludf.DUMMYFUNCTION("""COMPUTED_VALUE"""),"Yes")</f>
        <v>Yes</v>
      </c>
      <c r="T493" s="5" t="str">
        <f ca="1">IFERROR(__xludf.DUMMYFUNCTION("""COMPUTED_VALUE"""),"Yes")</f>
        <v>Yes</v>
      </c>
      <c r="U493" s="5" t="str">
        <f ca="1">IFERROR(__xludf.DUMMYFUNCTION("""COMPUTED_VALUE"""),"Yes")</f>
        <v>Yes</v>
      </c>
      <c r="V493" s="5"/>
      <c r="W493" s="5"/>
      <c r="X493" s="5"/>
      <c r="Y493" s="5"/>
      <c r="Z493" s="5" t="str">
        <f ca="1">IFERROR(__xludf.DUMMYFUNCTION("""COMPUTED_VALUE"""),"Yes")</f>
        <v>Yes</v>
      </c>
      <c r="AA493" s="5"/>
      <c r="AB493" s="5"/>
      <c r="AC493" s="5"/>
    </row>
    <row r="494" spans="1:29" x14ac:dyDescent="0.25">
      <c r="A494" s="5" t="str">
        <f ca="1">IFERROR(__xludf.DUMMYFUNCTION("""COMPUTED_VALUE"""),"TBD-F4")</f>
        <v>TBD-F4</v>
      </c>
      <c r="B4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4" s="5" t="str">
        <f ca="1">IFERROR(__xludf.DUMMYFUNCTION("""COMPUTED_VALUE"""),"Yes")</f>
        <v>Yes</v>
      </c>
      <c r="D494" s="5" t="str">
        <f ca="1">IFERROR(__xludf.DUMMYFUNCTION("""COMPUTED_VALUE"""),"Yes")</f>
        <v>Yes</v>
      </c>
      <c r="E494" s="5" t="str">
        <f ca="1">IFERROR(__xludf.DUMMYFUNCTION("""COMPUTED_VALUE"""),"Yes")</f>
        <v>Yes</v>
      </c>
      <c r="F494" s="5" t="str">
        <f ca="1">IFERROR(__xludf.DUMMYFUNCTION("""COMPUTED_VALUE"""),"Yes")</f>
        <v>Yes</v>
      </c>
      <c r="G494" s="5" t="str">
        <f ca="1">IFERROR(__xludf.DUMMYFUNCTION("""COMPUTED_VALUE"""),"Yes")</f>
        <v>Yes</v>
      </c>
      <c r="H494" s="5" t="str">
        <f ca="1">IFERROR(__xludf.DUMMYFUNCTION("""COMPUTED_VALUE"""),"Yes")</f>
        <v>Yes</v>
      </c>
      <c r="I494" s="5" t="str">
        <f ca="1">IFERROR(__xludf.DUMMYFUNCTION("""COMPUTED_VALUE"""),"Yes")</f>
        <v>Yes</v>
      </c>
      <c r="J494" s="5" t="str">
        <f ca="1">IFERROR(__xludf.DUMMYFUNCTION("""COMPUTED_VALUE"""),"Yes")</f>
        <v>Yes</v>
      </c>
      <c r="K494" s="5" t="str">
        <f ca="1">IFERROR(__xludf.DUMMYFUNCTION("""COMPUTED_VALUE"""),"Yes")</f>
        <v>Yes</v>
      </c>
      <c r="L494" s="5" t="str">
        <f ca="1">IFERROR(__xludf.DUMMYFUNCTION("""COMPUTED_VALUE"""),"Yes")</f>
        <v>Yes</v>
      </c>
      <c r="M494" s="5" t="str">
        <f ca="1">IFERROR(__xludf.DUMMYFUNCTION("""COMPUTED_VALUE"""),"Yes")</f>
        <v>Yes</v>
      </c>
      <c r="N494" s="5" t="str">
        <f ca="1">IFERROR(__xludf.DUMMYFUNCTION("""COMPUTED_VALUE"""),"Yes")</f>
        <v>Yes</v>
      </c>
      <c r="O494" s="5" t="str">
        <f ca="1">IFERROR(__xludf.DUMMYFUNCTION("""COMPUTED_VALUE"""),"Yes")</f>
        <v>Yes</v>
      </c>
      <c r="P494" s="5" t="str">
        <f ca="1">IFERROR(__xludf.DUMMYFUNCTION("""COMPUTED_VALUE"""),"Yes")</f>
        <v>Yes</v>
      </c>
      <c r="Q494" s="5" t="str">
        <f ca="1">IFERROR(__xludf.DUMMYFUNCTION("""COMPUTED_VALUE"""),"Yes")</f>
        <v>Yes</v>
      </c>
      <c r="R494" s="5" t="str">
        <f ca="1">IFERROR(__xludf.DUMMYFUNCTION("""COMPUTED_VALUE"""),"Yes")</f>
        <v>Yes</v>
      </c>
      <c r="S494" s="5" t="str">
        <f ca="1">IFERROR(__xludf.DUMMYFUNCTION("""COMPUTED_VALUE"""),"Yes")</f>
        <v>Yes</v>
      </c>
      <c r="T494" s="5" t="str">
        <f ca="1">IFERROR(__xludf.DUMMYFUNCTION("""COMPUTED_VALUE"""),"Yes")</f>
        <v>Yes</v>
      </c>
      <c r="U494" s="5" t="str">
        <f ca="1">IFERROR(__xludf.DUMMYFUNCTION("""COMPUTED_VALUE"""),"Yes")</f>
        <v>Yes</v>
      </c>
      <c r="V494" s="5"/>
      <c r="W494" s="5"/>
      <c r="X494" s="5"/>
      <c r="Y494" s="5"/>
      <c r="Z494" s="5" t="str">
        <f ca="1">IFERROR(__xludf.DUMMYFUNCTION("""COMPUTED_VALUE"""),"Yes")</f>
        <v>Yes</v>
      </c>
      <c r="AA494" s="5"/>
      <c r="AB494" s="5"/>
      <c r="AC494" s="5"/>
    </row>
    <row r="495" spans="1:29" x14ac:dyDescent="0.25">
      <c r="A495" s="5" t="str">
        <f ca="1">IFERROR(__xludf.DUMMYFUNCTION("""COMPUTED_VALUE"""),"TBD-F5")</f>
        <v>TBD-F5</v>
      </c>
      <c r="B4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5" s="5" t="str">
        <f ca="1">IFERROR(__xludf.DUMMYFUNCTION("""COMPUTED_VALUE"""),"Yes")</f>
        <v>Yes</v>
      </c>
      <c r="D495" s="5" t="str">
        <f ca="1">IFERROR(__xludf.DUMMYFUNCTION("""COMPUTED_VALUE"""),"Yes")</f>
        <v>Yes</v>
      </c>
      <c r="E495" s="5" t="str">
        <f ca="1">IFERROR(__xludf.DUMMYFUNCTION("""COMPUTED_VALUE"""),"Yes")</f>
        <v>Yes</v>
      </c>
      <c r="F495" s="5" t="str">
        <f ca="1">IFERROR(__xludf.DUMMYFUNCTION("""COMPUTED_VALUE"""),"Yes")</f>
        <v>Yes</v>
      </c>
      <c r="G495" s="5" t="str">
        <f ca="1">IFERROR(__xludf.DUMMYFUNCTION("""COMPUTED_VALUE"""),"Yes")</f>
        <v>Yes</v>
      </c>
      <c r="H495" s="5" t="str">
        <f ca="1">IFERROR(__xludf.DUMMYFUNCTION("""COMPUTED_VALUE"""),"Yes")</f>
        <v>Yes</v>
      </c>
      <c r="I495" s="5" t="str">
        <f ca="1">IFERROR(__xludf.DUMMYFUNCTION("""COMPUTED_VALUE"""),"Yes")</f>
        <v>Yes</v>
      </c>
      <c r="J495" s="5" t="str">
        <f ca="1">IFERROR(__xludf.DUMMYFUNCTION("""COMPUTED_VALUE"""),"Yes")</f>
        <v>Yes</v>
      </c>
      <c r="K495" s="5" t="str">
        <f ca="1">IFERROR(__xludf.DUMMYFUNCTION("""COMPUTED_VALUE"""),"Yes")</f>
        <v>Yes</v>
      </c>
      <c r="L495" s="5" t="str">
        <f ca="1">IFERROR(__xludf.DUMMYFUNCTION("""COMPUTED_VALUE"""),"Yes")</f>
        <v>Yes</v>
      </c>
      <c r="M495" s="5" t="str">
        <f ca="1">IFERROR(__xludf.DUMMYFUNCTION("""COMPUTED_VALUE"""),"Yes")</f>
        <v>Yes</v>
      </c>
      <c r="N495" s="5" t="str">
        <f ca="1">IFERROR(__xludf.DUMMYFUNCTION("""COMPUTED_VALUE"""),"Yes")</f>
        <v>Yes</v>
      </c>
      <c r="O495" s="5" t="str">
        <f ca="1">IFERROR(__xludf.DUMMYFUNCTION("""COMPUTED_VALUE"""),"Yes")</f>
        <v>Yes</v>
      </c>
      <c r="P495" s="5" t="str">
        <f ca="1">IFERROR(__xludf.DUMMYFUNCTION("""COMPUTED_VALUE"""),"Yes")</f>
        <v>Yes</v>
      </c>
      <c r="Q495" s="5" t="str">
        <f ca="1">IFERROR(__xludf.DUMMYFUNCTION("""COMPUTED_VALUE"""),"Yes")</f>
        <v>Yes</v>
      </c>
      <c r="R495" s="5" t="str">
        <f ca="1">IFERROR(__xludf.DUMMYFUNCTION("""COMPUTED_VALUE"""),"Yes")</f>
        <v>Yes</v>
      </c>
      <c r="S495" s="5" t="str">
        <f ca="1">IFERROR(__xludf.DUMMYFUNCTION("""COMPUTED_VALUE"""),"Yes")</f>
        <v>Yes</v>
      </c>
      <c r="T495" s="5" t="str">
        <f ca="1">IFERROR(__xludf.DUMMYFUNCTION("""COMPUTED_VALUE"""),"Yes")</f>
        <v>Yes</v>
      </c>
      <c r="U495" s="5" t="str">
        <f ca="1">IFERROR(__xludf.DUMMYFUNCTION("""COMPUTED_VALUE"""),"Yes")</f>
        <v>Yes</v>
      </c>
      <c r="V495" s="5"/>
      <c r="W495" s="5"/>
      <c r="X495" s="5"/>
      <c r="Y495" s="5"/>
      <c r="Z495" s="5" t="str">
        <f ca="1">IFERROR(__xludf.DUMMYFUNCTION("""COMPUTED_VALUE"""),"Yes")</f>
        <v>Yes</v>
      </c>
      <c r="AA495" s="5"/>
      <c r="AB495" s="5"/>
      <c r="AC495" s="5"/>
    </row>
    <row r="496" spans="1:29" x14ac:dyDescent="0.25">
      <c r="A496" s="5" t="str">
        <f ca="1">IFERROR(__xludf.DUMMYFUNCTION("""COMPUTED_VALUE"""),"TBD-F6")</f>
        <v>TBD-F6</v>
      </c>
      <c r="B4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6" s="5" t="str">
        <f ca="1">IFERROR(__xludf.DUMMYFUNCTION("""COMPUTED_VALUE"""),"Yes")</f>
        <v>Yes</v>
      </c>
      <c r="D496" s="5" t="str">
        <f ca="1">IFERROR(__xludf.DUMMYFUNCTION("""COMPUTED_VALUE"""),"Yes")</f>
        <v>Yes</v>
      </c>
      <c r="E496" s="5" t="str">
        <f ca="1">IFERROR(__xludf.DUMMYFUNCTION("""COMPUTED_VALUE"""),"Yes")</f>
        <v>Yes</v>
      </c>
      <c r="F496" s="5" t="str">
        <f ca="1">IFERROR(__xludf.DUMMYFUNCTION("""COMPUTED_VALUE"""),"Yes")</f>
        <v>Yes</v>
      </c>
      <c r="G496" s="5" t="str">
        <f ca="1">IFERROR(__xludf.DUMMYFUNCTION("""COMPUTED_VALUE"""),"Yes")</f>
        <v>Yes</v>
      </c>
      <c r="H496" s="5" t="str">
        <f ca="1">IFERROR(__xludf.DUMMYFUNCTION("""COMPUTED_VALUE"""),"Yes")</f>
        <v>Yes</v>
      </c>
      <c r="I496" s="5" t="str">
        <f ca="1">IFERROR(__xludf.DUMMYFUNCTION("""COMPUTED_VALUE"""),"Yes")</f>
        <v>Yes</v>
      </c>
      <c r="J496" s="5" t="str">
        <f ca="1">IFERROR(__xludf.DUMMYFUNCTION("""COMPUTED_VALUE"""),"Yes")</f>
        <v>Yes</v>
      </c>
      <c r="K496" s="5" t="str">
        <f ca="1">IFERROR(__xludf.DUMMYFUNCTION("""COMPUTED_VALUE"""),"Yes")</f>
        <v>Yes</v>
      </c>
      <c r="L496" s="5" t="str">
        <f ca="1">IFERROR(__xludf.DUMMYFUNCTION("""COMPUTED_VALUE"""),"Yes")</f>
        <v>Yes</v>
      </c>
      <c r="M496" s="5" t="str">
        <f ca="1">IFERROR(__xludf.DUMMYFUNCTION("""COMPUTED_VALUE"""),"Yes")</f>
        <v>Yes</v>
      </c>
      <c r="N496" s="5" t="str">
        <f ca="1">IFERROR(__xludf.DUMMYFUNCTION("""COMPUTED_VALUE"""),"Yes")</f>
        <v>Yes</v>
      </c>
      <c r="O496" s="5" t="str">
        <f ca="1">IFERROR(__xludf.DUMMYFUNCTION("""COMPUTED_VALUE"""),"Yes")</f>
        <v>Yes</v>
      </c>
      <c r="P496" s="5" t="str">
        <f ca="1">IFERROR(__xludf.DUMMYFUNCTION("""COMPUTED_VALUE"""),"Yes")</f>
        <v>Yes</v>
      </c>
      <c r="Q496" s="5" t="str">
        <f ca="1">IFERROR(__xludf.DUMMYFUNCTION("""COMPUTED_VALUE"""),"Yes")</f>
        <v>Yes</v>
      </c>
      <c r="R496" s="5" t="str">
        <f ca="1">IFERROR(__xludf.DUMMYFUNCTION("""COMPUTED_VALUE"""),"Yes")</f>
        <v>Yes</v>
      </c>
      <c r="S496" s="5" t="str">
        <f ca="1">IFERROR(__xludf.DUMMYFUNCTION("""COMPUTED_VALUE"""),"Yes")</f>
        <v>Yes</v>
      </c>
      <c r="T496" s="5" t="str">
        <f ca="1">IFERROR(__xludf.DUMMYFUNCTION("""COMPUTED_VALUE"""),"Yes")</f>
        <v>Yes</v>
      </c>
      <c r="U496" s="5" t="str">
        <f ca="1">IFERROR(__xludf.DUMMYFUNCTION("""COMPUTED_VALUE"""),"Yes")</f>
        <v>Yes</v>
      </c>
      <c r="V496" s="5"/>
      <c r="W496" s="5"/>
      <c r="X496" s="5"/>
      <c r="Y496" s="5"/>
      <c r="Z496" s="5" t="str">
        <f ca="1">IFERROR(__xludf.DUMMYFUNCTION("""COMPUTED_VALUE"""),"Yes")</f>
        <v>Yes</v>
      </c>
      <c r="AA496" s="5"/>
      <c r="AB496" s="5"/>
      <c r="AC496" s="5"/>
    </row>
    <row r="497" spans="1:29" x14ac:dyDescent="0.25">
      <c r="A497" s="5" t="str">
        <f ca="1">IFERROR(__xludf.DUMMYFUNCTION("""COMPUTED_VALUE"""),"TBD-F7")</f>
        <v>TBD-F7</v>
      </c>
      <c r="B4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7" s="5" t="str">
        <f ca="1">IFERROR(__xludf.DUMMYFUNCTION("""COMPUTED_VALUE"""),"Yes")</f>
        <v>Yes</v>
      </c>
      <c r="D497" s="5" t="str">
        <f ca="1">IFERROR(__xludf.DUMMYFUNCTION("""COMPUTED_VALUE"""),"Yes")</f>
        <v>Yes</v>
      </c>
      <c r="E497" s="5" t="str">
        <f ca="1">IFERROR(__xludf.DUMMYFUNCTION("""COMPUTED_VALUE"""),"Yes")</f>
        <v>Yes</v>
      </c>
      <c r="F497" s="5" t="str">
        <f ca="1">IFERROR(__xludf.DUMMYFUNCTION("""COMPUTED_VALUE"""),"Yes")</f>
        <v>Yes</v>
      </c>
      <c r="G497" s="5" t="str">
        <f ca="1">IFERROR(__xludf.DUMMYFUNCTION("""COMPUTED_VALUE"""),"Yes")</f>
        <v>Yes</v>
      </c>
      <c r="H497" s="5" t="str">
        <f ca="1">IFERROR(__xludf.DUMMYFUNCTION("""COMPUTED_VALUE"""),"Yes")</f>
        <v>Yes</v>
      </c>
      <c r="I497" s="5" t="str">
        <f ca="1">IFERROR(__xludf.DUMMYFUNCTION("""COMPUTED_VALUE"""),"Yes")</f>
        <v>Yes</v>
      </c>
      <c r="J497" s="5" t="str">
        <f ca="1">IFERROR(__xludf.DUMMYFUNCTION("""COMPUTED_VALUE"""),"Yes")</f>
        <v>Yes</v>
      </c>
      <c r="K497" s="5" t="str">
        <f ca="1">IFERROR(__xludf.DUMMYFUNCTION("""COMPUTED_VALUE"""),"Yes")</f>
        <v>Yes</v>
      </c>
      <c r="L497" s="5" t="str">
        <f ca="1">IFERROR(__xludf.DUMMYFUNCTION("""COMPUTED_VALUE"""),"Yes")</f>
        <v>Yes</v>
      </c>
      <c r="M497" s="5" t="str">
        <f ca="1">IFERROR(__xludf.DUMMYFUNCTION("""COMPUTED_VALUE"""),"Yes")</f>
        <v>Yes</v>
      </c>
      <c r="N497" s="5" t="str">
        <f ca="1">IFERROR(__xludf.DUMMYFUNCTION("""COMPUTED_VALUE"""),"Yes")</f>
        <v>Yes</v>
      </c>
      <c r="O497" s="5" t="str">
        <f ca="1">IFERROR(__xludf.DUMMYFUNCTION("""COMPUTED_VALUE"""),"Yes")</f>
        <v>Yes</v>
      </c>
      <c r="P497" s="5" t="str">
        <f ca="1">IFERROR(__xludf.DUMMYFUNCTION("""COMPUTED_VALUE"""),"Yes")</f>
        <v>Yes</v>
      </c>
      <c r="Q497" s="5" t="str">
        <f ca="1">IFERROR(__xludf.DUMMYFUNCTION("""COMPUTED_VALUE"""),"Yes")</f>
        <v>Yes</v>
      </c>
      <c r="R497" s="5" t="str">
        <f ca="1">IFERROR(__xludf.DUMMYFUNCTION("""COMPUTED_VALUE"""),"Yes")</f>
        <v>Yes</v>
      </c>
      <c r="S497" s="5" t="str">
        <f ca="1">IFERROR(__xludf.DUMMYFUNCTION("""COMPUTED_VALUE"""),"Yes")</f>
        <v>Yes</v>
      </c>
      <c r="T497" s="5" t="str">
        <f ca="1">IFERROR(__xludf.DUMMYFUNCTION("""COMPUTED_VALUE"""),"Yes")</f>
        <v>Yes</v>
      </c>
      <c r="U497" s="5" t="str">
        <f ca="1">IFERROR(__xludf.DUMMYFUNCTION("""COMPUTED_VALUE"""),"Yes")</f>
        <v>Yes</v>
      </c>
      <c r="V497" s="5"/>
      <c r="W497" s="5"/>
      <c r="X497" s="5"/>
      <c r="Y497" s="5"/>
      <c r="Z497" s="5" t="str">
        <f ca="1">IFERROR(__xludf.DUMMYFUNCTION("""COMPUTED_VALUE"""),"Yes")</f>
        <v>Yes</v>
      </c>
      <c r="AA497" s="5"/>
      <c r="AB497" s="5"/>
      <c r="AC497" s="5"/>
    </row>
    <row r="498" spans="1:29" x14ac:dyDescent="0.25">
      <c r="A498" s="5" t="str">
        <f ca="1">IFERROR(__xludf.DUMMYFUNCTION("""COMPUTED_VALUE"""),"TBD-F8")</f>
        <v>TBD-F8</v>
      </c>
      <c r="B498" s="5" t="str">
        <f ca="1">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C498" s="5" t="str">
        <f ca="1">IFERROR(__xludf.DUMMYFUNCTION("""COMPUTED_VALUE"""),"Yes")</f>
        <v>Yes</v>
      </c>
      <c r="D498" s="5" t="str">
        <f ca="1">IFERROR(__xludf.DUMMYFUNCTION("""COMPUTED_VALUE"""),"Yes")</f>
        <v>Yes</v>
      </c>
      <c r="E498" s="5" t="str">
        <f ca="1">IFERROR(__xludf.DUMMYFUNCTION("""COMPUTED_VALUE"""),"Yes")</f>
        <v>Yes</v>
      </c>
      <c r="F498" s="5" t="str">
        <f ca="1">IFERROR(__xludf.DUMMYFUNCTION("""COMPUTED_VALUE"""),"Yes")</f>
        <v>Yes</v>
      </c>
      <c r="G498" s="5" t="str">
        <f ca="1">IFERROR(__xludf.DUMMYFUNCTION("""COMPUTED_VALUE"""),"Yes")</f>
        <v>Yes</v>
      </c>
      <c r="H498" s="5" t="str">
        <f ca="1">IFERROR(__xludf.DUMMYFUNCTION("""COMPUTED_VALUE"""),"Yes")</f>
        <v>Yes</v>
      </c>
      <c r="I498" s="5" t="str">
        <f ca="1">IFERROR(__xludf.DUMMYFUNCTION("""COMPUTED_VALUE"""),"Yes")</f>
        <v>Yes</v>
      </c>
      <c r="J498" s="5" t="str">
        <f ca="1">IFERROR(__xludf.DUMMYFUNCTION("""COMPUTED_VALUE"""),"Yes")</f>
        <v>Yes</v>
      </c>
      <c r="K498" s="5" t="str">
        <f ca="1">IFERROR(__xludf.DUMMYFUNCTION("""COMPUTED_VALUE"""),"Yes")</f>
        <v>Yes</v>
      </c>
      <c r="L498" s="5" t="str">
        <f ca="1">IFERROR(__xludf.DUMMYFUNCTION("""COMPUTED_VALUE"""),"Yes")</f>
        <v>Yes</v>
      </c>
      <c r="M498" s="5" t="str">
        <f ca="1">IFERROR(__xludf.DUMMYFUNCTION("""COMPUTED_VALUE"""),"Yes")</f>
        <v>Yes</v>
      </c>
      <c r="N498" s="5" t="str">
        <f ca="1">IFERROR(__xludf.DUMMYFUNCTION("""COMPUTED_VALUE"""),"Yes")</f>
        <v>Yes</v>
      </c>
      <c r="O498" s="5" t="str">
        <f ca="1">IFERROR(__xludf.DUMMYFUNCTION("""COMPUTED_VALUE"""),"Yes")</f>
        <v>Yes</v>
      </c>
      <c r="P498" s="5" t="str">
        <f ca="1">IFERROR(__xludf.DUMMYFUNCTION("""COMPUTED_VALUE"""),"Yes")</f>
        <v>Yes</v>
      </c>
      <c r="Q498" s="5" t="str">
        <f ca="1">IFERROR(__xludf.DUMMYFUNCTION("""COMPUTED_VALUE"""),"Yes")</f>
        <v>Yes</v>
      </c>
      <c r="R498" s="5"/>
      <c r="S498" s="5" t="str">
        <f ca="1">IFERROR(__xludf.DUMMYFUNCTION("""COMPUTED_VALUE"""),"Yes")</f>
        <v>Yes</v>
      </c>
      <c r="T498" s="5" t="str">
        <f ca="1">IFERROR(__xludf.DUMMYFUNCTION("""COMPUTED_VALUE"""),"Yes")</f>
        <v>Yes</v>
      </c>
      <c r="U498" s="5" t="str">
        <f ca="1">IFERROR(__xludf.DUMMYFUNCTION("""COMPUTED_VALUE"""),"Yes")</f>
        <v>Yes</v>
      </c>
      <c r="V498" s="5" t="str">
        <f ca="1">IFERROR(__xludf.DUMMYFUNCTION("""COMPUTED_VALUE"""),"Yes")</f>
        <v>Yes</v>
      </c>
      <c r="W498" s="5"/>
      <c r="X498" s="5"/>
      <c r="Y498" s="5"/>
      <c r="Z498" s="5"/>
      <c r="AA498" s="5"/>
      <c r="AB498" s="5"/>
      <c r="AC498" s="5"/>
    </row>
    <row r="499" spans="1:29" x14ac:dyDescent="0.25">
      <c r="A499" s="5" t="str">
        <f ca="1">IFERROR(__xludf.DUMMYFUNCTION("""COMPUTED_VALUE"""),"TBD-F9")</f>
        <v>TBD-F9</v>
      </c>
      <c r="B499" s="5" t="str">
        <f ca="1">IFERROR(__xludf.DUMMYFUNCTION("""COMPUTED_VALUE"""),"")</f>
        <v/>
      </c>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row>
    <row r="500" spans="1:29" x14ac:dyDescent="0.25">
      <c r="A500" s="5" t="str">
        <f ca="1">IFERROR(__xludf.DUMMYFUNCTION("""COMPUTED_VALUE"""),"TBD-F10")</f>
        <v>TBD-F10</v>
      </c>
      <c r="B500" s="5" t="str">
        <f ca="1">IFERROR(__xludf.DUMMYFUNCTION("""COMPUTED_VALUE"""),"")</f>
        <v/>
      </c>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row>
    <row r="501" spans="1:29" x14ac:dyDescent="0.25">
      <c r="A501" s="5" t="str">
        <f ca="1">IFERROR(__xludf.DUMMYFUNCTION("""COMPUTED_VALUE"""),"TBD-F11")</f>
        <v>TBD-F11</v>
      </c>
      <c r="B501" s="5" t="str">
        <f ca="1">IFERROR(__xludf.DUMMYFUNCTION("""COMPUTED_VALUE"""),"")</f>
        <v/>
      </c>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row>
    <row r="502" spans="1:29" x14ac:dyDescent="0.25">
      <c r="A502" s="5" t="str">
        <f ca="1">IFERROR(__xludf.DUMMYFUNCTION("""COMPUTED_VALUE"""),"TBD-F12")</f>
        <v>TBD-F12</v>
      </c>
      <c r="B502" s="5" t="str">
        <f ca="1">IFERROR(__xludf.DUMMYFUNCTION("""COMPUTED_VALUE"""),"")</f>
        <v/>
      </c>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row>
    <row r="503" spans="1:29" x14ac:dyDescent="0.25">
      <c r="A503" s="5" t="str">
        <f ca="1">IFERROR(__xludf.DUMMYFUNCTION("""COMPUTED_VALUE"""),"TBD-F13")</f>
        <v>TBD-F13</v>
      </c>
      <c r="B503" s="5" t="str">
        <f ca="1">IFERROR(__xludf.DUMMYFUNCTION("""COMPUTED_VALUE"""),"")</f>
        <v/>
      </c>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row>
    <row r="504" spans="1:29" x14ac:dyDescent="0.25">
      <c r="A504" s="5" t="str">
        <f ca="1">IFERROR(__xludf.DUMMYFUNCTION("""COMPUTED_VALUE"""),"Redstone40WildCrown")</f>
        <v>Redstone40WildCrown</v>
      </c>
      <c r="B50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4" s="5" t="str">
        <f ca="1">IFERROR(__xludf.DUMMYFUNCTION("""COMPUTED_VALUE"""),"Yes")</f>
        <v>Yes</v>
      </c>
      <c r="D504" s="5" t="str">
        <f ca="1">IFERROR(__xludf.DUMMYFUNCTION("""COMPUTED_VALUE"""),"Yes")</f>
        <v>Yes</v>
      </c>
      <c r="E504" s="5" t="str">
        <f ca="1">IFERROR(__xludf.DUMMYFUNCTION("""COMPUTED_VALUE"""),"Yes")</f>
        <v>Yes</v>
      </c>
      <c r="F504" s="5" t="str">
        <f ca="1">IFERROR(__xludf.DUMMYFUNCTION("""COMPUTED_VALUE"""),"Yes")</f>
        <v>Yes</v>
      </c>
      <c r="G504" s="5" t="str">
        <f ca="1">IFERROR(__xludf.DUMMYFUNCTION("""COMPUTED_VALUE"""),"Yes")</f>
        <v>Yes</v>
      </c>
      <c r="H504" s="5" t="str">
        <f ca="1">IFERROR(__xludf.DUMMYFUNCTION("""COMPUTED_VALUE"""),"Yes")</f>
        <v>Yes</v>
      </c>
      <c r="I504" s="5" t="str">
        <f ca="1">IFERROR(__xludf.DUMMYFUNCTION("""COMPUTED_VALUE"""),"Yes")</f>
        <v>Yes</v>
      </c>
      <c r="J504" s="5" t="str">
        <f ca="1">IFERROR(__xludf.DUMMYFUNCTION("""COMPUTED_VALUE"""),"Yes")</f>
        <v>Yes</v>
      </c>
      <c r="K504" s="5" t="str">
        <f ca="1">IFERROR(__xludf.DUMMYFUNCTION("""COMPUTED_VALUE"""),"Yes")</f>
        <v>Yes</v>
      </c>
      <c r="L504" s="5" t="str">
        <f ca="1">IFERROR(__xludf.DUMMYFUNCTION("""COMPUTED_VALUE"""),"Yes")</f>
        <v>Yes</v>
      </c>
      <c r="M504" s="5" t="str">
        <f ca="1">IFERROR(__xludf.DUMMYFUNCTION("""COMPUTED_VALUE"""),"Yes")</f>
        <v>Yes</v>
      </c>
      <c r="N504" s="5" t="str">
        <f ca="1">IFERROR(__xludf.DUMMYFUNCTION("""COMPUTED_VALUE"""),"Yes")</f>
        <v>Yes</v>
      </c>
      <c r="O504" s="5" t="str">
        <f ca="1">IFERROR(__xludf.DUMMYFUNCTION("""COMPUTED_VALUE"""),"Yes")</f>
        <v>Yes</v>
      </c>
      <c r="P504" s="5" t="str">
        <f ca="1">IFERROR(__xludf.DUMMYFUNCTION("""COMPUTED_VALUE"""),"Yes")</f>
        <v>Yes</v>
      </c>
      <c r="Q504" s="5" t="str">
        <f ca="1">IFERROR(__xludf.DUMMYFUNCTION("""COMPUTED_VALUE"""),"Yes")</f>
        <v>Yes</v>
      </c>
      <c r="R504" s="5" t="str">
        <f ca="1">IFERROR(__xludf.DUMMYFUNCTION("""COMPUTED_VALUE"""),"No")</f>
        <v>No</v>
      </c>
      <c r="S504" s="5" t="str">
        <f ca="1">IFERROR(__xludf.DUMMYFUNCTION("""COMPUTED_VALUE"""),"No")</f>
        <v>No</v>
      </c>
      <c r="T504" s="5" t="str">
        <f ca="1">IFERROR(__xludf.DUMMYFUNCTION("""COMPUTED_VALUE"""),"No")</f>
        <v>No</v>
      </c>
      <c r="U504" s="5" t="str">
        <f ca="1">IFERROR(__xludf.DUMMYFUNCTION("""COMPUTED_VALUE"""),"No")</f>
        <v>No</v>
      </c>
      <c r="V504" s="5" t="str">
        <f ca="1">IFERROR(__xludf.DUMMYFUNCTION("""COMPUTED_VALUE"""),"No")</f>
        <v>No</v>
      </c>
      <c r="W504" s="5" t="str">
        <f ca="1">IFERROR(__xludf.DUMMYFUNCTION("""COMPUTED_VALUE"""),"No")</f>
        <v>No</v>
      </c>
      <c r="X504" s="5" t="str">
        <f ca="1">IFERROR(__xludf.DUMMYFUNCTION("""COMPUTED_VALUE"""),"Yes")</f>
        <v>Yes</v>
      </c>
      <c r="Y504" s="5" t="str">
        <f ca="1">IFERROR(__xludf.DUMMYFUNCTION("""COMPUTED_VALUE"""),"No")</f>
        <v>No</v>
      </c>
      <c r="Z504" s="5" t="str">
        <f ca="1">IFERROR(__xludf.DUMMYFUNCTION("""COMPUTED_VALUE"""),"No")</f>
        <v>No</v>
      </c>
      <c r="AA504" s="5" t="str">
        <f ca="1">IFERROR(__xludf.DUMMYFUNCTION("""COMPUTED_VALUE"""),"No")</f>
        <v>No</v>
      </c>
      <c r="AB504" s="5" t="str">
        <f ca="1">IFERROR(__xludf.DUMMYFUNCTION("""COMPUTED_VALUE"""),"Yes")</f>
        <v>Yes</v>
      </c>
      <c r="AC504" s="5" t="str">
        <f ca="1">IFERROR(__xludf.DUMMYFUNCTION("""COMPUTED_VALUE"""),"No")</f>
        <v>No</v>
      </c>
    </row>
    <row r="505" spans="1:29" x14ac:dyDescent="0.25">
      <c r="A505" s="5" t="str">
        <f ca="1">IFERROR(__xludf.DUMMYFUNCTION("""COMPUTED_VALUE"""),"RedstoneDoubleCrown5")</f>
        <v>RedstoneDoubleCrown5</v>
      </c>
      <c r="B50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5" s="5" t="str">
        <f ca="1">IFERROR(__xludf.DUMMYFUNCTION("""COMPUTED_VALUE"""),"Yes")</f>
        <v>Yes</v>
      </c>
      <c r="D505" s="5" t="str">
        <f ca="1">IFERROR(__xludf.DUMMYFUNCTION("""COMPUTED_VALUE"""),"Yes")</f>
        <v>Yes</v>
      </c>
      <c r="E505" s="5" t="str">
        <f ca="1">IFERROR(__xludf.DUMMYFUNCTION("""COMPUTED_VALUE"""),"Yes")</f>
        <v>Yes</v>
      </c>
      <c r="F505" s="5" t="str">
        <f ca="1">IFERROR(__xludf.DUMMYFUNCTION("""COMPUTED_VALUE"""),"Yes")</f>
        <v>Yes</v>
      </c>
      <c r="G505" s="5" t="str">
        <f ca="1">IFERROR(__xludf.DUMMYFUNCTION("""COMPUTED_VALUE"""),"Yes")</f>
        <v>Yes</v>
      </c>
      <c r="H505" s="5" t="str">
        <f ca="1">IFERROR(__xludf.DUMMYFUNCTION("""COMPUTED_VALUE"""),"Yes")</f>
        <v>Yes</v>
      </c>
      <c r="I505" s="5" t="str">
        <f ca="1">IFERROR(__xludf.DUMMYFUNCTION("""COMPUTED_VALUE"""),"Yes")</f>
        <v>Yes</v>
      </c>
      <c r="J505" s="5" t="str">
        <f ca="1">IFERROR(__xludf.DUMMYFUNCTION("""COMPUTED_VALUE"""),"Yes")</f>
        <v>Yes</v>
      </c>
      <c r="K505" s="5" t="str">
        <f ca="1">IFERROR(__xludf.DUMMYFUNCTION("""COMPUTED_VALUE"""),"Yes")</f>
        <v>Yes</v>
      </c>
      <c r="L505" s="5" t="str">
        <f ca="1">IFERROR(__xludf.DUMMYFUNCTION("""COMPUTED_VALUE"""),"Yes")</f>
        <v>Yes</v>
      </c>
      <c r="M505" s="5" t="str">
        <f ca="1">IFERROR(__xludf.DUMMYFUNCTION("""COMPUTED_VALUE"""),"Yes")</f>
        <v>Yes</v>
      </c>
      <c r="N505" s="5" t="str">
        <f ca="1">IFERROR(__xludf.DUMMYFUNCTION("""COMPUTED_VALUE"""),"Yes")</f>
        <v>Yes</v>
      </c>
      <c r="O505" s="5" t="str">
        <f ca="1">IFERROR(__xludf.DUMMYFUNCTION("""COMPUTED_VALUE"""),"Yes")</f>
        <v>Yes</v>
      </c>
      <c r="P505" s="5" t="str">
        <f ca="1">IFERROR(__xludf.DUMMYFUNCTION("""COMPUTED_VALUE"""),"Yes")</f>
        <v>Yes</v>
      </c>
      <c r="Q505" s="5" t="str">
        <f ca="1">IFERROR(__xludf.DUMMYFUNCTION("""COMPUTED_VALUE"""),"Yes")</f>
        <v>Yes</v>
      </c>
      <c r="R505" s="5" t="str">
        <f ca="1">IFERROR(__xludf.DUMMYFUNCTION("""COMPUTED_VALUE"""),"No")</f>
        <v>No</v>
      </c>
      <c r="S505" s="5" t="str">
        <f ca="1">IFERROR(__xludf.DUMMYFUNCTION("""COMPUTED_VALUE"""),"No")</f>
        <v>No</v>
      </c>
      <c r="T505" s="5" t="str">
        <f ca="1">IFERROR(__xludf.DUMMYFUNCTION("""COMPUTED_VALUE"""),"No")</f>
        <v>No</v>
      </c>
      <c r="U505" s="5" t="str">
        <f ca="1">IFERROR(__xludf.DUMMYFUNCTION("""COMPUTED_VALUE"""),"No")</f>
        <v>No</v>
      </c>
      <c r="V505" s="5" t="str">
        <f ca="1">IFERROR(__xludf.DUMMYFUNCTION("""COMPUTED_VALUE"""),"No")</f>
        <v>No</v>
      </c>
      <c r="W505" s="5" t="str">
        <f ca="1">IFERROR(__xludf.DUMMYFUNCTION("""COMPUTED_VALUE"""),"No")</f>
        <v>No</v>
      </c>
      <c r="X505" s="5" t="str">
        <f ca="1">IFERROR(__xludf.DUMMYFUNCTION("""COMPUTED_VALUE"""),"Yes")</f>
        <v>Yes</v>
      </c>
      <c r="Y505" s="5" t="str">
        <f ca="1">IFERROR(__xludf.DUMMYFUNCTION("""COMPUTED_VALUE"""),"No")</f>
        <v>No</v>
      </c>
      <c r="Z505" s="5" t="str">
        <f ca="1">IFERROR(__xludf.DUMMYFUNCTION("""COMPUTED_VALUE"""),"No")</f>
        <v>No</v>
      </c>
      <c r="AA505" s="5" t="str">
        <f ca="1">IFERROR(__xludf.DUMMYFUNCTION("""COMPUTED_VALUE"""),"No")</f>
        <v>No</v>
      </c>
      <c r="AB505" s="5" t="str">
        <f ca="1">IFERROR(__xludf.DUMMYFUNCTION("""COMPUTED_VALUE"""),"Yes")</f>
        <v>Yes</v>
      </c>
      <c r="AC505" s="5" t="str">
        <f ca="1">IFERROR(__xludf.DUMMYFUNCTION("""COMPUTED_VALUE"""),"No")</f>
        <v>No</v>
      </c>
    </row>
    <row r="506" spans="1:29" x14ac:dyDescent="0.25">
      <c r="A506" s="5" t="str">
        <f ca="1">IFERROR(__xludf.DUMMYFUNCTION("""COMPUTED_VALUE"""),"RedstoneHeartRoyale")</f>
        <v>RedstoneHeartRoyale</v>
      </c>
      <c r="B50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6" s="5" t="str">
        <f ca="1">IFERROR(__xludf.DUMMYFUNCTION("""COMPUTED_VALUE"""),"Yes")</f>
        <v>Yes</v>
      </c>
      <c r="D506" s="5" t="str">
        <f ca="1">IFERROR(__xludf.DUMMYFUNCTION("""COMPUTED_VALUE"""),"Yes")</f>
        <v>Yes</v>
      </c>
      <c r="E506" s="5" t="str">
        <f ca="1">IFERROR(__xludf.DUMMYFUNCTION("""COMPUTED_VALUE"""),"No")</f>
        <v>No</v>
      </c>
      <c r="F506" s="5" t="str">
        <f ca="1">IFERROR(__xludf.DUMMYFUNCTION("""COMPUTED_VALUE"""),"Yes")</f>
        <v>Yes</v>
      </c>
      <c r="G506" s="5" t="str">
        <f ca="1">IFERROR(__xludf.DUMMYFUNCTION("""COMPUTED_VALUE"""),"Yes")</f>
        <v>Yes</v>
      </c>
      <c r="H506" s="5" t="str">
        <f ca="1">IFERROR(__xludf.DUMMYFUNCTION("""COMPUTED_VALUE"""),"Yes")</f>
        <v>Yes</v>
      </c>
      <c r="I506" s="5" t="str">
        <f ca="1">IFERROR(__xludf.DUMMYFUNCTION("""COMPUTED_VALUE"""),"Yes")</f>
        <v>Yes</v>
      </c>
      <c r="J506" s="5" t="str">
        <f ca="1">IFERROR(__xludf.DUMMYFUNCTION("""COMPUTED_VALUE"""),"Yes")</f>
        <v>Yes</v>
      </c>
      <c r="K506" s="5" t="str">
        <f ca="1">IFERROR(__xludf.DUMMYFUNCTION("""COMPUTED_VALUE"""),"Yes")</f>
        <v>Yes</v>
      </c>
      <c r="L506" s="5" t="str">
        <f ca="1">IFERROR(__xludf.DUMMYFUNCTION("""COMPUTED_VALUE"""),"Yes")</f>
        <v>Yes</v>
      </c>
      <c r="M506" s="5" t="str">
        <f ca="1">IFERROR(__xludf.DUMMYFUNCTION("""COMPUTED_VALUE"""),"Yes")</f>
        <v>Yes</v>
      </c>
      <c r="N506" s="5" t="str">
        <f ca="1">IFERROR(__xludf.DUMMYFUNCTION("""COMPUTED_VALUE"""),"Yes")</f>
        <v>Yes</v>
      </c>
      <c r="O506" s="5" t="str">
        <f ca="1">IFERROR(__xludf.DUMMYFUNCTION("""COMPUTED_VALUE"""),"Yes")</f>
        <v>Yes</v>
      </c>
      <c r="P506" s="5" t="str">
        <f ca="1">IFERROR(__xludf.DUMMYFUNCTION("""COMPUTED_VALUE"""),"Yes")</f>
        <v>Yes</v>
      </c>
      <c r="Q506" s="5" t="str">
        <f ca="1">IFERROR(__xludf.DUMMYFUNCTION("""COMPUTED_VALUE"""),"Yes")</f>
        <v>Yes</v>
      </c>
      <c r="R506" s="5" t="str">
        <f ca="1">IFERROR(__xludf.DUMMYFUNCTION("""COMPUTED_VALUE"""),"No")</f>
        <v>No</v>
      </c>
      <c r="S506" s="5" t="str">
        <f ca="1">IFERROR(__xludf.DUMMYFUNCTION("""COMPUTED_VALUE"""),"No")</f>
        <v>No</v>
      </c>
      <c r="T506" s="5" t="str">
        <f ca="1">IFERROR(__xludf.DUMMYFUNCTION("""COMPUTED_VALUE"""),"No")</f>
        <v>No</v>
      </c>
      <c r="U506" s="5" t="str">
        <f ca="1">IFERROR(__xludf.DUMMYFUNCTION("""COMPUTED_VALUE"""),"No")</f>
        <v>No</v>
      </c>
      <c r="V506" s="5" t="str">
        <f ca="1">IFERROR(__xludf.DUMMYFUNCTION("""COMPUTED_VALUE"""),"No")</f>
        <v>No</v>
      </c>
      <c r="W506" s="5" t="str">
        <f ca="1">IFERROR(__xludf.DUMMYFUNCTION("""COMPUTED_VALUE"""),"No")</f>
        <v>No</v>
      </c>
      <c r="X506" s="5" t="str">
        <f ca="1">IFERROR(__xludf.DUMMYFUNCTION("""COMPUTED_VALUE"""),"Yes")</f>
        <v>Yes</v>
      </c>
      <c r="Y506" s="5" t="str">
        <f ca="1">IFERROR(__xludf.DUMMYFUNCTION("""COMPUTED_VALUE"""),"No")</f>
        <v>No</v>
      </c>
      <c r="Z506" s="5" t="str">
        <f ca="1">IFERROR(__xludf.DUMMYFUNCTION("""COMPUTED_VALUE"""),"No")</f>
        <v>No</v>
      </c>
      <c r="AA506" s="5" t="str">
        <f ca="1">IFERROR(__xludf.DUMMYFUNCTION("""COMPUTED_VALUE"""),"No")</f>
        <v>No</v>
      </c>
      <c r="AB506" s="5" t="str">
        <f ca="1">IFERROR(__xludf.DUMMYFUNCTION("""COMPUTED_VALUE"""),"Yes")</f>
        <v>Yes</v>
      </c>
      <c r="AC506" s="5" t="str">
        <f ca="1">IFERROR(__xludf.DUMMYFUNCTION("""COMPUTED_VALUE"""),"No")</f>
        <v>No</v>
      </c>
    </row>
    <row r="507" spans="1:29" x14ac:dyDescent="0.25">
      <c r="A507" s="5" t="str">
        <f ca="1">IFERROR(__xludf.DUMMYFUNCTION("""COMPUTED_VALUE"""),"RedstoneReelX527Ways")</f>
        <v>RedstoneReelX527Ways</v>
      </c>
      <c r="B50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7" s="5" t="str">
        <f ca="1">IFERROR(__xludf.DUMMYFUNCTION("""COMPUTED_VALUE"""),"Yes")</f>
        <v>Yes</v>
      </c>
      <c r="D507" s="5" t="str">
        <f ca="1">IFERROR(__xludf.DUMMYFUNCTION("""COMPUTED_VALUE"""),"Yes")</f>
        <v>Yes</v>
      </c>
      <c r="E507" s="5" t="str">
        <f ca="1">IFERROR(__xludf.DUMMYFUNCTION("""COMPUTED_VALUE"""),"No")</f>
        <v>No</v>
      </c>
      <c r="F507" s="5" t="str">
        <f ca="1">IFERROR(__xludf.DUMMYFUNCTION("""COMPUTED_VALUE"""),"Yes")</f>
        <v>Yes</v>
      </c>
      <c r="G507" s="5" t="str">
        <f ca="1">IFERROR(__xludf.DUMMYFUNCTION("""COMPUTED_VALUE"""),"Yes")</f>
        <v>Yes</v>
      </c>
      <c r="H507" s="5" t="str">
        <f ca="1">IFERROR(__xludf.DUMMYFUNCTION("""COMPUTED_VALUE"""),"Yes")</f>
        <v>Yes</v>
      </c>
      <c r="I507" s="5" t="str">
        <f ca="1">IFERROR(__xludf.DUMMYFUNCTION("""COMPUTED_VALUE"""),"Yes")</f>
        <v>Yes</v>
      </c>
      <c r="J507" s="5" t="str">
        <f ca="1">IFERROR(__xludf.DUMMYFUNCTION("""COMPUTED_VALUE"""),"Yes")</f>
        <v>Yes</v>
      </c>
      <c r="K507" s="5" t="str">
        <f ca="1">IFERROR(__xludf.DUMMYFUNCTION("""COMPUTED_VALUE"""),"Yes")</f>
        <v>Yes</v>
      </c>
      <c r="L507" s="5" t="str">
        <f ca="1">IFERROR(__xludf.DUMMYFUNCTION("""COMPUTED_VALUE"""),"Yes")</f>
        <v>Yes</v>
      </c>
      <c r="M507" s="5" t="str">
        <f ca="1">IFERROR(__xludf.DUMMYFUNCTION("""COMPUTED_VALUE"""),"Yes")</f>
        <v>Yes</v>
      </c>
      <c r="N507" s="5" t="str">
        <f ca="1">IFERROR(__xludf.DUMMYFUNCTION("""COMPUTED_VALUE"""),"Yes")</f>
        <v>Yes</v>
      </c>
      <c r="O507" s="5" t="str">
        <f ca="1">IFERROR(__xludf.DUMMYFUNCTION("""COMPUTED_VALUE"""),"Yes")</f>
        <v>Yes</v>
      </c>
      <c r="P507" s="5" t="str">
        <f ca="1">IFERROR(__xludf.DUMMYFUNCTION("""COMPUTED_VALUE"""),"Yes")</f>
        <v>Yes</v>
      </c>
      <c r="Q507" s="5" t="str">
        <f ca="1">IFERROR(__xludf.DUMMYFUNCTION("""COMPUTED_VALUE"""),"Yes")</f>
        <v>Yes</v>
      </c>
      <c r="R507" s="5" t="str">
        <f ca="1">IFERROR(__xludf.DUMMYFUNCTION("""COMPUTED_VALUE"""),"No")</f>
        <v>No</v>
      </c>
      <c r="S507" s="5" t="str">
        <f ca="1">IFERROR(__xludf.DUMMYFUNCTION("""COMPUTED_VALUE"""),"No")</f>
        <v>No</v>
      </c>
      <c r="T507" s="5" t="str">
        <f ca="1">IFERROR(__xludf.DUMMYFUNCTION("""COMPUTED_VALUE"""),"No")</f>
        <v>No</v>
      </c>
      <c r="U507" s="5" t="str">
        <f ca="1">IFERROR(__xludf.DUMMYFUNCTION("""COMPUTED_VALUE"""),"No")</f>
        <v>No</v>
      </c>
      <c r="V507" s="5" t="str">
        <f ca="1">IFERROR(__xludf.DUMMYFUNCTION("""COMPUTED_VALUE"""),"No")</f>
        <v>No</v>
      </c>
      <c r="W507" s="5" t="str">
        <f ca="1">IFERROR(__xludf.DUMMYFUNCTION("""COMPUTED_VALUE"""),"No")</f>
        <v>No</v>
      </c>
      <c r="X507" s="5" t="str">
        <f ca="1">IFERROR(__xludf.DUMMYFUNCTION("""COMPUTED_VALUE"""),"Yes")</f>
        <v>Yes</v>
      </c>
      <c r="Y507" s="5" t="str">
        <f ca="1">IFERROR(__xludf.DUMMYFUNCTION("""COMPUTED_VALUE"""),"No")</f>
        <v>No</v>
      </c>
      <c r="Z507" s="5" t="str">
        <f ca="1">IFERROR(__xludf.DUMMYFUNCTION("""COMPUTED_VALUE"""),"No")</f>
        <v>No</v>
      </c>
      <c r="AA507" s="5" t="str">
        <f ca="1">IFERROR(__xludf.DUMMYFUNCTION("""COMPUTED_VALUE"""),"No")</f>
        <v>No</v>
      </c>
      <c r="AB507" s="5" t="str">
        <f ca="1">IFERROR(__xludf.DUMMYFUNCTION("""COMPUTED_VALUE"""),"Yes")</f>
        <v>Yes</v>
      </c>
      <c r="AC507" s="5" t="str">
        <f ca="1">IFERROR(__xludf.DUMMYFUNCTION("""COMPUTED_VALUE"""),"No")</f>
        <v>No</v>
      </c>
    </row>
    <row r="508" spans="1:29" x14ac:dyDescent="0.25">
      <c r="A508" s="5" t="str">
        <f ca="1">IFERROR(__xludf.DUMMYFUNCTION("""COMPUTED_VALUE"""),"RedstoneCrownDrop")</f>
        <v>RedstoneCrownDrop</v>
      </c>
      <c r="B50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8" s="5" t="str">
        <f ca="1">IFERROR(__xludf.DUMMYFUNCTION("""COMPUTED_VALUE"""),"Yes")</f>
        <v>Yes</v>
      </c>
      <c r="D508" s="5" t="str">
        <f ca="1">IFERROR(__xludf.DUMMYFUNCTION("""COMPUTED_VALUE"""),"Yes")</f>
        <v>Yes</v>
      </c>
      <c r="E508" s="5" t="str">
        <f ca="1">IFERROR(__xludf.DUMMYFUNCTION("""COMPUTED_VALUE"""),"No")</f>
        <v>No</v>
      </c>
      <c r="F508" s="5" t="str">
        <f ca="1">IFERROR(__xludf.DUMMYFUNCTION("""COMPUTED_VALUE"""),"Yes")</f>
        <v>Yes</v>
      </c>
      <c r="G508" s="5" t="str">
        <f ca="1">IFERROR(__xludf.DUMMYFUNCTION("""COMPUTED_VALUE"""),"Yes")</f>
        <v>Yes</v>
      </c>
      <c r="H508" s="5" t="str">
        <f ca="1">IFERROR(__xludf.DUMMYFUNCTION("""COMPUTED_VALUE"""),"Yes")</f>
        <v>Yes</v>
      </c>
      <c r="I508" s="5" t="str">
        <f ca="1">IFERROR(__xludf.DUMMYFUNCTION("""COMPUTED_VALUE"""),"Yes")</f>
        <v>Yes</v>
      </c>
      <c r="J508" s="5" t="str">
        <f ca="1">IFERROR(__xludf.DUMMYFUNCTION("""COMPUTED_VALUE"""),"Yes")</f>
        <v>Yes</v>
      </c>
      <c r="K508" s="5" t="str">
        <f ca="1">IFERROR(__xludf.DUMMYFUNCTION("""COMPUTED_VALUE"""),"Yes")</f>
        <v>Yes</v>
      </c>
      <c r="L508" s="5" t="str">
        <f ca="1">IFERROR(__xludf.DUMMYFUNCTION("""COMPUTED_VALUE"""),"Yes")</f>
        <v>Yes</v>
      </c>
      <c r="M508" s="5" t="str">
        <f ca="1">IFERROR(__xludf.DUMMYFUNCTION("""COMPUTED_VALUE"""),"Yes")</f>
        <v>Yes</v>
      </c>
      <c r="N508" s="5" t="str">
        <f ca="1">IFERROR(__xludf.DUMMYFUNCTION("""COMPUTED_VALUE"""),"Yes")</f>
        <v>Yes</v>
      </c>
      <c r="O508" s="5" t="str">
        <f ca="1">IFERROR(__xludf.DUMMYFUNCTION("""COMPUTED_VALUE"""),"Yes")</f>
        <v>Yes</v>
      </c>
      <c r="P508" s="5" t="str">
        <f ca="1">IFERROR(__xludf.DUMMYFUNCTION("""COMPUTED_VALUE"""),"Yes")</f>
        <v>Yes</v>
      </c>
      <c r="Q508" s="5" t="str">
        <f ca="1">IFERROR(__xludf.DUMMYFUNCTION("""COMPUTED_VALUE"""),"Yes")</f>
        <v>Yes</v>
      </c>
      <c r="R508" s="5" t="str">
        <f ca="1">IFERROR(__xludf.DUMMYFUNCTION("""COMPUTED_VALUE"""),"No")</f>
        <v>No</v>
      </c>
      <c r="S508" s="5" t="str">
        <f ca="1">IFERROR(__xludf.DUMMYFUNCTION("""COMPUTED_VALUE"""),"No")</f>
        <v>No</v>
      </c>
      <c r="T508" s="5" t="str">
        <f ca="1">IFERROR(__xludf.DUMMYFUNCTION("""COMPUTED_VALUE"""),"No")</f>
        <v>No</v>
      </c>
      <c r="U508" s="5" t="str">
        <f ca="1">IFERROR(__xludf.DUMMYFUNCTION("""COMPUTED_VALUE"""),"No")</f>
        <v>No</v>
      </c>
      <c r="V508" s="5" t="str">
        <f ca="1">IFERROR(__xludf.DUMMYFUNCTION("""COMPUTED_VALUE"""),"No")</f>
        <v>No</v>
      </c>
      <c r="W508" s="5" t="str">
        <f ca="1">IFERROR(__xludf.DUMMYFUNCTION("""COMPUTED_VALUE"""),"No")</f>
        <v>No</v>
      </c>
      <c r="X508" s="5" t="str">
        <f ca="1">IFERROR(__xludf.DUMMYFUNCTION("""COMPUTED_VALUE"""),"Yes")</f>
        <v>Yes</v>
      </c>
      <c r="Y508" s="5" t="str">
        <f ca="1">IFERROR(__xludf.DUMMYFUNCTION("""COMPUTED_VALUE"""),"No")</f>
        <v>No</v>
      </c>
      <c r="Z508" s="5" t="str">
        <f ca="1">IFERROR(__xludf.DUMMYFUNCTION("""COMPUTED_VALUE"""),"No")</f>
        <v>No</v>
      </c>
      <c r="AA508" s="5" t="str">
        <f ca="1">IFERROR(__xludf.DUMMYFUNCTION("""COMPUTED_VALUE"""),"No")</f>
        <v>No</v>
      </c>
      <c r="AB508" s="5" t="str">
        <f ca="1">IFERROR(__xludf.DUMMYFUNCTION("""COMPUTED_VALUE"""),"Yes")</f>
        <v>Yes</v>
      </c>
      <c r="AC508" s="5" t="str">
        <f ca="1">IFERROR(__xludf.DUMMYFUNCTION("""COMPUTED_VALUE"""),"No")</f>
        <v>No</v>
      </c>
    </row>
    <row r="509" spans="1:29" x14ac:dyDescent="0.25">
      <c r="A509" s="5" t="str">
        <f ca="1">IFERROR(__xludf.DUMMYFUNCTION("""COMPUTED_VALUE"""),"Redstone5CloverFire6Reels")</f>
        <v>Redstone5CloverFire6Reels</v>
      </c>
      <c r="B50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9" s="5" t="str">
        <f ca="1">IFERROR(__xludf.DUMMYFUNCTION("""COMPUTED_VALUE"""),"Yes")</f>
        <v>Yes</v>
      </c>
      <c r="D509" s="5" t="str">
        <f ca="1">IFERROR(__xludf.DUMMYFUNCTION("""COMPUTED_VALUE"""),"Yes")</f>
        <v>Yes</v>
      </c>
      <c r="E509" s="5" t="str">
        <f ca="1">IFERROR(__xludf.DUMMYFUNCTION("""COMPUTED_VALUE"""),"No")</f>
        <v>No</v>
      </c>
      <c r="F509" s="5" t="str">
        <f ca="1">IFERROR(__xludf.DUMMYFUNCTION("""COMPUTED_VALUE"""),"Yes")</f>
        <v>Yes</v>
      </c>
      <c r="G509" s="5" t="str">
        <f ca="1">IFERROR(__xludf.DUMMYFUNCTION("""COMPUTED_VALUE"""),"Yes")</f>
        <v>Yes</v>
      </c>
      <c r="H509" s="5" t="str">
        <f ca="1">IFERROR(__xludf.DUMMYFUNCTION("""COMPUTED_VALUE"""),"Yes")</f>
        <v>Yes</v>
      </c>
      <c r="I509" s="5" t="str">
        <f ca="1">IFERROR(__xludf.DUMMYFUNCTION("""COMPUTED_VALUE"""),"Yes")</f>
        <v>Yes</v>
      </c>
      <c r="J509" s="5" t="str">
        <f ca="1">IFERROR(__xludf.DUMMYFUNCTION("""COMPUTED_VALUE"""),"Yes")</f>
        <v>Yes</v>
      </c>
      <c r="K509" s="5" t="str">
        <f ca="1">IFERROR(__xludf.DUMMYFUNCTION("""COMPUTED_VALUE"""),"Yes")</f>
        <v>Yes</v>
      </c>
      <c r="L509" s="5" t="str">
        <f ca="1">IFERROR(__xludf.DUMMYFUNCTION("""COMPUTED_VALUE"""),"Yes")</f>
        <v>Yes</v>
      </c>
      <c r="M509" s="5" t="str">
        <f ca="1">IFERROR(__xludf.DUMMYFUNCTION("""COMPUTED_VALUE"""),"Yes")</f>
        <v>Yes</v>
      </c>
      <c r="N509" s="5" t="str">
        <f ca="1">IFERROR(__xludf.DUMMYFUNCTION("""COMPUTED_VALUE"""),"Yes")</f>
        <v>Yes</v>
      </c>
      <c r="O509" s="5" t="str">
        <f ca="1">IFERROR(__xludf.DUMMYFUNCTION("""COMPUTED_VALUE"""),"Yes")</f>
        <v>Yes</v>
      </c>
      <c r="P509" s="5" t="str">
        <f ca="1">IFERROR(__xludf.DUMMYFUNCTION("""COMPUTED_VALUE"""),"Yes")</f>
        <v>Yes</v>
      </c>
      <c r="Q509" s="5" t="str">
        <f ca="1">IFERROR(__xludf.DUMMYFUNCTION("""COMPUTED_VALUE"""),"Yes")</f>
        <v>Yes</v>
      </c>
      <c r="R509" s="5" t="str">
        <f ca="1">IFERROR(__xludf.DUMMYFUNCTION("""COMPUTED_VALUE"""),"No")</f>
        <v>No</v>
      </c>
      <c r="S509" s="5" t="str">
        <f ca="1">IFERROR(__xludf.DUMMYFUNCTION("""COMPUTED_VALUE"""),"No")</f>
        <v>No</v>
      </c>
      <c r="T509" s="5" t="str">
        <f ca="1">IFERROR(__xludf.DUMMYFUNCTION("""COMPUTED_VALUE"""),"No")</f>
        <v>No</v>
      </c>
      <c r="U509" s="5" t="str">
        <f ca="1">IFERROR(__xludf.DUMMYFUNCTION("""COMPUTED_VALUE"""),"No")</f>
        <v>No</v>
      </c>
      <c r="V509" s="5" t="str">
        <f ca="1">IFERROR(__xludf.DUMMYFUNCTION("""COMPUTED_VALUE"""),"No")</f>
        <v>No</v>
      </c>
      <c r="W509" s="5" t="str">
        <f ca="1">IFERROR(__xludf.DUMMYFUNCTION("""COMPUTED_VALUE"""),"No")</f>
        <v>No</v>
      </c>
      <c r="X509" s="5" t="str">
        <f ca="1">IFERROR(__xludf.DUMMYFUNCTION("""COMPUTED_VALUE"""),"Yes")</f>
        <v>Yes</v>
      </c>
      <c r="Y509" s="5" t="str">
        <f ca="1">IFERROR(__xludf.DUMMYFUNCTION("""COMPUTED_VALUE"""),"No")</f>
        <v>No</v>
      </c>
      <c r="Z509" s="5" t="str">
        <f ca="1">IFERROR(__xludf.DUMMYFUNCTION("""COMPUTED_VALUE"""),"No")</f>
        <v>No</v>
      </c>
      <c r="AA509" s="5" t="str">
        <f ca="1">IFERROR(__xludf.DUMMYFUNCTION("""COMPUTED_VALUE"""),"No")</f>
        <v>No</v>
      </c>
      <c r="AB509" s="5" t="str">
        <f ca="1">IFERROR(__xludf.DUMMYFUNCTION("""COMPUTED_VALUE"""),"Yes")</f>
        <v>Yes</v>
      </c>
      <c r="AC509" s="5" t="str">
        <f ca="1">IFERROR(__xludf.DUMMYFUNCTION("""COMPUTED_VALUE"""),"No")</f>
        <v>No</v>
      </c>
    </row>
    <row r="510" spans="1:29" x14ac:dyDescent="0.25">
      <c r="A510" s="5" t="str">
        <f ca="1">IFERROR(__xludf.DUMMYFUNCTION("""COMPUTED_VALUE"""),"Redstone10ExtraBank")</f>
        <v>Redstone10ExtraBank</v>
      </c>
      <c r="B51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10" s="5" t="str">
        <f ca="1">IFERROR(__xludf.DUMMYFUNCTION("""COMPUTED_VALUE"""),"Yes")</f>
        <v>Yes</v>
      </c>
      <c r="D510" s="5" t="str">
        <f ca="1">IFERROR(__xludf.DUMMYFUNCTION("""COMPUTED_VALUE"""),"Yes")</f>
        <v>Yes</v>
      </c>
      <c r="E510" s="5" t="str">
        <f ca="1">IFERROR(__xludf.DUMMYFUNCTION("""COMPUTED_VALUE"""),"No")</f>
        <v>No</v>
      </c>
      <c r="F510" s="5" t="str">
        <f ca="1">IFERROR(__xludf.DUMMYFUNCTION("""COMPUTED_VALUE"""),"Yes")</f>
        <v>Yes</v>
      </c>
      <c r="G510" s="5" t="str">
        <f ca="1">IFERROR(__xludf.DUMMYFUNCTION("""COMPUTED_VALUE"""),"Yes")</f>
        <v>Yes</v>
      </c>
      <c r="H510" s="5" t="str">
        <f ca="1">IFERROR(__xludf.DUMMYFUNCTION("""COMPUTED_VALUE"""),"Yes")</f>
        <v>Yes</v>
      </c>
      <c r="I510" s="5" t="str">
        <f ca="1">IFERROR(__xludf.DUMMYFUNCTION("""COMPUTED_VALUE"""),"Yes")</f>
        <v>Yes</v>
      </c>
      <c r="J510" s="5" t="str">
        <f ca="1">IFERROR(__xludf.DUMMYFUNCTION("""COMPUTED_VALUE"""),"Yes")</f>
        <v>Yes</v>
      </c>
      <c r="K510" s="5" t="str">
        <f ca="1">IFERROR(__xludf.DUMMYFUNCTION("""COMPUTED_VALUE"""),"Yes")</f>
        <v>Yes</v>
      </c>
      <c r="L510" s="5" t="str">
        <f ca="1">IFERROR(__xludf.DUMMYFUNCTION("""COMPUTED_VALUE"""),"Yes")</f>
        <v>Yes</v>
      </c>
      <c r="M510" s="5" t="str">
        <f ca="1">IFERROR(__xludf.DUMMYFUNCTION("""COMPUTED_VALUE"""),"Yes")</f>
        <v>Yes</v>
      </c>
      <c r="N510" s="5" t="str">
        <f ca="1">IFERROR(__xludf.DUMMYFUNCTION("""COMPUTED_VALUE"""),"Yes")</f>
        <v>Yes</v>
      </c>
      <c r="O510" s="5" t="str">
        <f ca="1">IFERROR(__xludf.DUMMYFUNCTION("""COMPUTED_VALUE"""),"Yes")</f>
        <v>Yes</v>
      </c>
      <c r="P510" s="5" t="str">
        <f ca="1">IFERROR(__xludf.DUMMYFUNCTION("""COMPUTED_VALUE"""),"Yes")</f>
        <v>Yes</v>
      </c>
      <c r="Q510" s="5" t="str">
        <f ca="1">IFERROR(__xludf.DUMMYFUNCTION("""COMPUTED_VALUE"""),"Yes")</f>
        <v>Yes</v>
      </c>
      <c r="R510" s="5" t="str">
        <f ca="1">IFERROR(__xludf.DUMMYFUNCTION("""COMPUTED_VALUE"""),"No")</f>
        <v>No</v>
      </c>
      <c r="S510" s="5" t="str">
        <f ca="1">IFERROR(__xludf.DUMMYFUNCTION("""COMPUTED_VALUE"""),"No")</f>
        <v>No</v>
      </c>
      <c r="T510" s="5" t="str">
        <f ca="1">IFERROR(__xludf.DUMMYFUNCTION("""COMPUTED_VALUE"""),"No")</f>
        <v>No</v>
      </c>
      <c r="U510" s="5" t="str">
        <f ca="1">IFERROR(__xludf.DUMMYFUNCTION("""COMPUTED_VALUE"""),"No")</f>
        <v>No</v>
      </c>
      <c r="V510" s="5" t="str">
        <f ca="1">IFERROR(__xludf.DUMMYFUNCTION("""COMPUTED_VALUE"""),"No")</f>
        <v>No</v>
      </c>
      <c r="W510" s="5" t="str">
        <f ca="1">IFERROR(__xludf.DUMMYFUNCTION("""COMPUTED_VALUE"""),"No")</f>
        <v>No</v>
      </c>
      <c r="X510" s="5" t="str">
        <f ca="1">IFERROR(__xludf.DUMMYFUNCTION("""COMPUTED_VALUE"""),"Yes")</f>
        <v>Yes</v>
      </c>
      <c r="Y510" s="5" t="str">
        <f ca="1">IFERROR(__xludf.DUMMYFUNCTION("""COMPUTED_VALUE"""),"No")</f>
        <v>No</v>
      </c>
      <c r="Z510" s="5" t="str">
        <f ca="1">IFERROR(__xludf.DUMMYFUNCTION("""COMPUTED_VALUE"""),"No")</f>
        <v>No</v>
      </c>
      <c r="AA510" s="5" t="str">
        <f ca="1">IFERROR(__xludf.DUMMYFUNCTION("""COMPUTED_VALUE"""),"No")</f>
        <v>No</v>
      </c>
      <c r="AB510" s="5" t="str">
        <f ca="1">IFERROR(__xludf.DUMMYFUNCTION("""COMPUTED_VALUE"""),"Yes")</f>
        <v>Yes</v>
      </c>
      <c r="AC510" s="5" t="str">
        <f ca="1">IFERROR(__xludf.DUMMYFUNCTION("""COMPUTED_VALUE"""),"No")</f>
        <v>No</v>
      </c>
    </row>
    <row r="511" spans="1:29" x14ac:dyDescent="0.25">
      <c r="A511" s="5" t="str">
        <f ca="1">IFERROR(__xludf.DUMMYFUNCTION("""COMPUTED_VALUE"""),"RedstoneSevensHeaven")</f>
        <v>RedstoneSevensHeaven</v>
      </c>
      <c r="B5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1" s="5" t="str">
        <f ca="1">IFERROR(__xludf.DUMMYFUNCTION("""COMPUTED_VALUE"""),"Yes")</f>
        <v>Yes</v>
      </c>
      <c r="D511" s="5" t="str">
        <f ca="1">IFERROR(__xludf.DUMMYFUNCTION("""COMPUTED_VALUE"""),"Yes")</f>
        <v>Yes</v>
      </c>
      <c r="E511" s="5" t="str">
        <f ca="1">IFERROR(__xludf.DUMMYFUNCTION("""COMPUTED_VALUE"""),"Yes")</f>
        <v>Yes</v>
      </c>
      <c r="F511" s="5" t="str">
        <f ca="1">IFERROR(__xludf.DUMMYFUNCTION("""COMPUTED_VALUE"""),"Yes")</f>
        <v>Yes</v>
      </c>
      <c r="G511" s="5" t="str">
        <f ca="1">IFERROR(__xludf.DUMMYFUNCTION("""COMPUTED_VALUE"""),"Yes")</f>
        <v>Yes</v>
      </c>
      <c r="H511" s="5" t="str">
        <f ca="1">IFERROR(__xludf.DUMMYFUNCTION("""COMPUTED_VALUE"""),"Yes")</f>
        <v>Yes</v>
      </c>
      <c r="I511" s="5" t="str">
        <f ca="1">IFERROR(__xludf.DUMMYFUNCTION("""COMPUTED_VALUE"""),"Yes")</f>
        <v>Yes</v>
      </c>
      <c r="J511" s="5" t="str">
        <f ca="1">IFERROR(__xludf.DUMMYFUNCTION("""COMPUTED_VALUE"""),"Yes")</f>
        <v>Yes</v>
      </c>
      <c r="K511" s="5" t="str">
        <f ca="1">IFERROR(__xludf.DUMMYFUNCTION("""COMPUTED_VALUE"""),"Yes")</f>
        <v>Yes</v>
      </c>
      <c r="L511" s="5" t="str">
        <f ca="1">IFERROR(__xludf.DUMMYFUNCTION("""COMPUTED_VALUE"""),"Yes")</f>
        <v>Yes</v>
      </c>
      <c r="M511" s="5" t="str">
        <f ca="1">IFERROR(__xludf.DUMMYFUNCTION("""COMPUTED_VALUE"""),"Yes")</f>
        <v>Yes</v>
      </c>
      <c r="N511" s="5" t="str">
        <f ca="1">IFERROR(__xludf.DUMMYFUNCTION("""COMPUTED_VALUE"""),"Yes")</f>
        <v>Yes</v>
      </c>
      <c r="O511" s="5" t="str">
        <f ca="1">IFERROR(__xludf.DUMMYFUNCTION("""COMPUTED_VALUE"""),"Yes")</f>
        <v>Yes</v>
      </c>
      <c r="P511" s="5" t="str">
        <f ca="1">IFERROR(__xludf.DUMMYFUNCTION("""COMPUTED_VALUE"""),"Yes")</f>
        <v>Yes</v>
      </c>
      <c r="Q511" s="5" t="str">
        <f ca="1">IFERROR(__xludf.DUMMYFUNCTION("""COMPUTED_VALUE"""),"Yes")</f>
        <v>Yes</v>
      </c>
      <c r="R511" s="5" t="str">
        <f ca="1">IFERROR(__xludf.DUMMYFUNCTION("""COMPUTED_VALUE"""),"Yes")</f>
        <v>Yes</v>
      </c>
      <c r="S511" s="5" t="str">
        <f ca="1">IFERROR(__xludf.DUMMYFUNCTION("""COMPUTED_VALUE"""),"Yes")</f>
        <v>Yes</v>
      </c>
      <c r="T511" s="5" t="str">
        <f ca="1">IFERROR(__xludf.DUMMYFUNCTION("""COMPUTED_VALUE"""),"Yes")</f>
        <v>Yes</v>
      </c>
      <c r="U511" s="5" t="str">
        <f ca="1">IFERROR(__xludf.DUMMYFUNCTION("""COMPUTED_VALUE"""),"Yes")</f>
        <v>Yes</v>
      </c>
      <c r="V511" s="5"/>
      <c r="W511" s="5"/>
      <c r="X511" s="5"/>
      <c r="Y511" s="5"/>
      <c r="Z511" s="5" t="str">
        <f ca="1">IFERROR(__xludf.DUMMYFUNCTION("""COMPUTED_VALUE"""),"Yes")</f>
        <v>Yes</v>
      </c>
      <c r="AA511" s="5"/>
      <c r="AB511" s="5"/>
      <c r="AC511" s="5"/>
    </row>
    <row r="512" spans="1:29" x14ac:dyDescent="0.25">
      <c r="A512" s="5" t="str">
        <f ca="1">IFERROR(__xludf.DUMMYFUNCTION("""COMPUTED_VALUE"""),"Redstone777ExtraChance")</f>
        <v>Redstone777ExtraChance</v>
      </c>
      <c r="B5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2" s="5" t="str">
        <f ca="1">IFERROR(__xludf.DUMMYFUNCTION("""COMPUTED_VALUE"""),"Yes")</f>
        <v>Yes</v>
      </c>
      <c r="D512" s="5" t="str">
        <f ca="1">IFERROR(__xludf.DUMMYFUNCTION("""COMPUTED_VALUE"""),"Yes")</f>
        <v>Yes</v>
      </c>
      <c r="E512" s="5" t="str">
        <f ca="1">IFERROR(__xludf.DUMMYFUNCTION("""COMPUTED_VALUE"""),"Yes")</f>
        <v>Yes</v>
      </c>
      <c r="F512" s="5" t="str">
        <f ca="1">IFERROR(__xludf.DUMMYFUNCTION("""COMPUTED_VALUE"""),"Yes")</f>
        <v>Yes</v>
      </c>
      <c r="G512" s="5" t="str">
        <f ca="1">IFERROR(__xludf.DUMMYFUNCTION("""COMPUTED_VALUE"""),"Yes")</f>
        <v>Yes</v>
      </c>
      <c r="H512" s="5" t="str">
        <f ca="1">IFERROR(__xludf.DUMMYFUNCTION("""COMPUTED_VALUE"""),"Yes")</f>
        <v>Yes</v>
      </c>
      <c r="I512" s="5" t="str">
        <f ca="1">IFERROR(__xludf.DUMMYFUNCTION("""COMPUTED_VALUE"""),"Yes")</f>
        <v>Yes</v>
      </c>
      <c r="J512" s="5" t="str">
        <f ca="1">IFERROR(__xludf.DUMMYFUNCTION("""COMPUTED_VALUE"""),"Yes")</f>
        <v>Yes</v>
      </c>
      <c r="K512" s="5" t="str">
        <f ca="1">IFERROR(__xludf.DUMMYFUNCTION("""COMPUTED_VALUE"""),"Yes")</f>
        <v>Yes</v>
      </c>
      <c r="L512" s="5" t="str">
        <f ca="1">IFERROR(__xludf.DUMMYFUNCTION("""COMPUTED_VALUE"""),"Yes")</f>
        <v>Yes</v>
      </c>
      <c r="M512" s="5" t="str">
        <f ca="1">IFERROR(__xludf.DUMMYFUNCTION("""COMPUTED_VALUE"""),"Yes")</f>
        <v>Yes</v>
      </c>
      <c r="N512" s="5" t="str">
        <f ca="1">IFERROR(__xludf.DUMMYFUNCTION("""COMPUTED_VALUE"""),"Yes")</f>
        <v>Yes</v>
      </c>
      <c r="O512" s="5" t="str">
        <f ca="1">IFERROR(__xludf.DUMMYFUNCTION("""COMPUTED_VALUE"""),"Yes")</f>
        <v>Yes</v>
      </c>
      <c r="P512" s="5" t="str">
        <f ca="1">IFERROR(__xludf.DUMMYFUNCTION("""COMPUTED_VALUE"""),"Yes")</f>
        <v>Yes</v>
      </c>
      <c r="Q512" s="5" t="str">
        <f ca="1">IFERROR(__xludf.DUMMYFUNCTION("""COMPUTED_VALUE"""),"Yes")</f>
        <v>Yes</v>
      </c>
      <c r="R512" s="5" t="str">
        <f ca="1">IFERROR(__xludf.DUMMYFUNCTION("""COMPUTED_VALUE"""),"Yes")</f>
        <v>Yes</v>
      </c>
      <c r="S512" s="5" t="str">
        <f ca="1">IFERROR(__xludf.DUMMYFUNCTION("""COMPUTED_VALUE"""),"Yes")</f>
        <v>Yes</v>
      </c>
      <c r="T512" s="5" t="str">
        <f ca="1">IFERROR(__xludf.DUMMYFUNCTION("""COMPUTED_VALUE"""),"Yes")</f>
        <v>Yes</v>
      </c>
      <c r="U512" s="5" t="str">
        <f ca="1">IFERROR(__xludf.DUMMYFUNCTION("""COMPUTED_VALUE"""),"Yes")</f>
        <v>Yes</v>
      </c>
      <c r="V512" s="5"/>
      <c r="W512" s="5"/>
      <c r="X512" s="5"/>
      <c r="Y512" s="5"/>
      <c r="Z512" s="5" t="str">
        <f ca="1">IFERROR(__xludf.DUMMYFUNCTION("""COMPUTED_VALUE"""),"Yes")</f>
        <v>Yes</v>
      </c>
      <c r="AA512" s="5"/>
      <c r="AB512" s="5"/>
      <c r="AC512" s="5"/>
    </row>
    <row r="513" spans="1:29" x14ac:dyDescent="0.25">
      <c r="A513" s="5" t="str">
        <f ca="1">IFERROR(__xludf.DUMMYFUNCTION("""COMPUTED_VALUE"""),"Redstone81RespinFire")</f>
        <v>Redstone81RespinFire</v>
      </c>
      <c r="B5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3" s="5" t="str">
        <f ca="1">IFERROR(__xludf.DUMMYFUNCTION("""COMPUTED_VALUE"""),"Yes")</f>
        <v>Yes</v>
      </c>
      <c r="D513" s="5" t="str">
        <f ca="1">IFERROR(__xludf.DUMMYFUNCTION("""COMPUTED_VALUE"""),"Yes")</f>
        <v>Yes</v>
      </c>
      <c r="E513" s="5" t="str">
        <f ca="1">IFERROR(__xludf.DUMMYFUNCTION("""COMPUTED_VALUE"""),"Yes")</f>
        <v>Yes</v>
      </c>
      <c r="F513" s="5" t="str">
        <f ca="1">IFERROR(__xludf.DUMMYFUNCTION("""COMPUTED_VALUE"""),"Yes")</f>
        <v>Yes</v>
      </c>
      <c r="G513" s="5" t="str">
        <f ca="1">IFERROR(__xludf.DUMMYFUNCTION("""COMPUTED_VALUE"""),"Yes")</f>
        <v>Yes</v>
      </c>
      <c r="H513" s="5" t="str">
        <f ca="1">IFERROR(__xludf.DUMMYFUNCTION("""COMPUTED_VALUE"""),"Yes")</f>
        <v>Yes</v>
      </c>
      <c r="I513" s="5" t="str">
        <f ca="1">IFERROR(__xludf.DUMMYFUNCTION("""COMPUTED_VALUE"""),"Yes")</f>
        <v>Yes</v>
      </c>
      <c r="J513" s="5" t="str">
        <f ca="1">IFERROR(__xludf.DUMMYFUNCTION("""COMPUTED_VALUE"""),"Yes")</f>
        <v>Yes</v>
      </c>
      <c r="K513" s="5" t="str">
        <f ca="1">IFERROR(__xludf.DUMMYFUNCTION("""COMPUTED_VALUE"""),"Yes")</f>
        <v>Yes</v>
      </c>
      <c r="L513" s="5" t="str">
        <f ca="1">IFERROR(__xludf.DUMMYFUNCTION("""COMPUTED_VALUE"""),"Yes")</f>
        <v>Yes</v>
      </c>
      <c r="M513" s="5" t="str">
        <f ca="1">IFERROR(__xludf.DUMMYFUNCTION("""COMPUTED_VALUE"""),"Yes")</f>
        <v>Yes</v>
      </c>
      <c r="N513" s="5" t="str">
        <f ca="1">IFERROR(__xludf.DUMMYFUNCTION("""COMPUTED_VALUE"""),"Yes")</f>
        <v>Yes</v>
      </c>
      <c r="O513" s="5" t="str">
        <f ca="1">IFERROR(__xludf.DUMMYFUNCTION("""COMPUTED_VALUE"""),"Yes")</f>
        <v>Yes</v>
      </c>
      <c r="P513" s="5" t="str">
        <f ca="1">IFERROR(__xludf.DUMMYFUNCTION("""COMPUTED_VALUE"""),"Yes")</f>
        <v>Yes</v>
      </c>
      <c r="Q513" s="5" t="str">
        <f ca="1">IFERROR(__xludf.DUMMYFUNCTION("""COMPUTED_VALUE"""),"Yes")</f>
        <v>Yes</v>
      </c>
      <c r="R513" s="5" t="str">
        <f ca="1">IFERROR(__xludf.DUMMYFUNCTION("""COMPUTED_VALUE"""),"Yes")</f>
        <v>Yes</v>
      </c>
      <c r="S513" s="5" t="str">
        <f ca="1">IFERROR(__xludf.DUMMYFUNCTION("""COMPUTED_VALUE"""),"Yes")</f>
        <v>Yes</v>
      </c>
      <c r="T513" s="5" t="str">
        <f ca="1">IFERROR(__xludf.DUMMYFUNCTION("""COMPUTED_VALUE"""),"Yes")</f>
        <v>Yes</v>
      </c>
      <c r="U513" s="5" t="str">
        <f ca="1">IFERROR(__xludf.DUMMYFUNCTION("""COMPUTED_VALUE"""),"Yes")</f>
        <v>Yes</v>
      </c>
      <c r="V513" s="5"/>
      <c r="W513" s="5"/>
      <c r="X513" s="5"/>
      <c r="Y513" s="5"/>
      <c r="Z513" s="5" t="str">
        <f ca="1">IFERROR(__xludf.DUMMYFUNCTION("""COMPUTED_VALUE"""),"Yes")</f>
        <v>Yes</v>
      </c>
      <c r="AA513" s="5"/>
      <c r="AB513" s="5"/>
      <c r="AC513" s="5"/>
    </row>
    <row r="514" spans="1:29" x14ac:dyDescent="0.25">
      <c r="A514" s="5" t="str">
        <f ca="1">IFERROR(__xludf.DUMMYFUNCTION("""COMPUTED_VALUE"""),"RedstoneHangThatWitch")</f>
        <v>RedstoneHangThatWitch</v>
      </c>
      <c r="B5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4" s="5" t="str">
        <f ca="1">IFERROR(__xludf.DUMMYFUNCTION("""COMPUTED_VALUE"""),"Yes")</f>
        <v>Yes</v>
      </c>
      <c r="D514" s="5" t="str">
        <f ca="1">IFERROR(__xludf.DUMMYFUNCTION("""COMPUTED_VALUE"""),"Yes")</f>
        <v>Yes</v>
      </c>
      <c r="E514" s="5" t="str">
        <f ca="1">IFERROR(__xludf.DUMMYFUNCTION("""COMPUTED_VALUE"""),"Yes")</f>
        <v>Yes</v>
      </c>
      <c r="F514" s="5" t="str">
        <f ca="1">IFERROR(__xludf.DUMMYFUNCTION("""COMPUTED_VALUE"""),"Yes")</f>
        <v>Yes</v>
      </c>
      <c r="G514" s="5" t="str">
        <f ca="1">IFERROR(__xludf.DUMMYFUNCTION("""COMPUTED_VALUE"""),"Yes")</f>
        <v>Yes</v>
      </c>
      <c r="H514" s="5" t="str">
        <f ca="1">IFERROR(__xludf.DUMMYFUNCTION("""COMPUTED_VALUE"""),"Yes")</f>
        <v>Yes</v>
      </c>
      <c r="I514" s="5" t="str">
        <f ca="1">IFERROR(__xludf.DUMMYFUNCTION("""COMPUTED_VALUE"""),"Yes")</f>
        <v>Yes</v>
      </c>
      <c r="J514" s="5" t="str">
        <f ca="1">IFERROR(__xludf.DUMMYFUNCTION("""COMPUTED_VALUE"""),"Yes")</f>
        <v>Yes</v>
      </c>
      <c r="K514" s="5" t="str">
        <f ca="1">IFERROR(__xludf.DUMMYFUNCTION("""COMPUTED_VALUE"""),"Yes")</f>
        <v>Yes</v>
      </c>
      <c r="L514" s="5" t="str">
        <f ca="1">IFERROR(__xludf.DUMMYFUNCTION("""COMPUTED_VALUE"""),"Yes")</f>
        <v>Yes</v>
      </c>
      <c r="M514" s="5" t="str">
        <f ca="1">IFERROR(__xludf.DUMMYFUNCTION("""COMPUTED_VALUE"""),"Yes")</f>
        <v>Yes</v>
      </c>
      <c r="N514" s="5" t="str">
        <f ca="1">IFERROR(__xludf.DUMMYFUNCTION("""COMPUTED_VALUE"""),"Yes")</f>
        <v>Yes</v>
      </c>
      <c r="O514" s="5" t="str">
        <f ca="1">IFERROR(__xludf.DUMMYFUNCTION("""COMPUTED_VALUE"""),"Yes")</f>
        <v>Yes</v>
      </c>
      <c r="P514" s="5" t="str">
        <f ca="1">IFERROR(__xludf.DUMMYFUNCTION("""COMPUTED_VALUE"""),"Yes")</f>
        <v>Yes</v>
      </c>
      <c r="Q514" s="5" t="str">
        <f ca="1">IFERROR(__xludf.DUMMYFUNCTION("""COMPUTED_VALUE"""),"Yes")</f>
        <v>Yes</v>
      </c>
      <c r="R514" s="5" t="str">
        <f ca="1">IFERROR(__xludf.DUMMYFUNCTION("""COMPUTED_VALUE"""),"Yes")</f>
        <v>Yes</v>
      </c>
      <c r="S514" s="5" t="str">
        <f ca="1">IFERROR(__xludf.DUMMYFUNCTION("""COMPUTED_VALUE"""),"Yes")</f>
        <v>Yes</v>
      </c>
      <c r="T514" s="5" t="str">
        <f ca="1">IFERROR(__xludf.DUMMYFUNCTION("""COMPUTED_VALUE"""),"Yes")</f>
        <v>Yes</v>
      </c>
      <c r="U514" s="5" t="str">
        <f ca="1">IFERROR(__xludf.DUMMYFUNCTION("""COMPUTED_VALUE"""),"Yes")</f>
        <v>Yes</v>
      </c>
      <c r="V514" s="5"/>
      <c r="W514" s="5"/>
      <c r="X514" s="5"/>
      <c r="Y514" s="5"/>
      <c r="Z514" s="5" t="str">
        <f ca="1">IFERROR(__xludf.DUMMYFUNCTION("""COMPUTED_VALUE"""),"Yes")</f>
        <v>Yes</v>
      </c>
      <c r="AA514" s="5"/>
      <c r="AB514" s="5"/>
      <c r="AC514" s="5"/>
    </row>
    <row r="515" spans="1:29" x14ac:dyDescent="0.25">
      <c r="A515" s="5" t="str">
        <f ca="1">IFERROR(__xludf.DUMMYFUNCTION("""COMPUTED_VALUE"""),"RedstoneDivineStrike")</f>
        <v>RedstoneDivineStrike</v>
      </c>
      <c r="B5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5" s="5" t="str">
        <f ca="1">IFERROR(__xludf.DUMMYFUNCTION("""COMPUTED_VALUE"""),"Yes")</f>
        <v>Yes</v>
      </c>
      <c r="D515" s="5" t="str">
        <f ca="1">IFERROR(__xludf.DUMMYFUNCTION("""COMPUTED_VALUE"""),"Yes")</f>
        <v>Yes</v>
      </c>
      <c r="E515" s="5" t="str">
        <f ca="1">IFERROR(__xludf.DUMMYFUNCTION("""COMPUTED_VALUE"""),"Yes")</f>
        <v>Yes</v>
      </c>
      <c r="F515" s="5" t="str">
        <f ca="1">IFERROR(__xludf.DUMMYFUNCTION("""COMPUTED_VALUE"""),"Yes")</f>
        <v>Yes</v>
      </c>
      <c r="G515" s="5" t="str">
        <f ca="1">IFERROR(__xludf.DUMMYFUNCTION("""COMPUTED_VALUE"""),"Yes")</f>
        <v>Yes</v>
      </c>
      <c r="H515" s="5" t="str">
        <f ca="1">IFERROR(__xludf.DUMMYFUNCTION("""COMPUTED_VALUE"""),"Yes")</f>
        <v>Yes</v>
      </c>
      <c r="I515" s="5" t="str">
        <f ca="1">IFERROR(__xludf.DUMMYFUNCTION("""COMPUTED_VALUE"""),"Yes")</f>
        <v>Yes</v>
      </c>
      <c r="J515" s="5" t="str">
        <f ca="1">IFERROR(__xludf.DUMMYFUNCTION("""COMPUTED_VALUE"""),"Yes")</f>
        <v>Yes</v>
      </c>
      <c r="K515" s="5" t="str">
        <f ca="1">IFERROR(__xludf.DUMMYFUNCTION("""COMPUTED_VALUE"""),"Yes")</f>
        <v>Yes</v>
      </c>
      <c r="L515" s="5" t="str">
        <f ca="1">IFERROR(__xludf.DUMMYFUNCTION("""COMPUTED_VALUE"""),"Yes")</f>
        <v>Yes</v>
      </c>
      <c r="M515" s="5" t="str">
        <f ca="1">IFERROR(__xludf.DUMMYFUNCTION("""COMPUTED_VALUE"""),"Yes")</f>
        <v>Yes</v>
      </c>
      <c r="N515" s="5" t="str">
        <f ca="1">IFERROR(__xludf.DUMMYFUNCTION("""COMPUTED_VALUE"""),"Yes")</f>
        <v>Yes</v>
      </c>
      <c r="O515" s="5" t="str">
        <f ca="1">IFERROR(__xludf.DUMMYFUNCTION("""COMPUTED_VALUE"""),"Yes")</f>
        <v>Yes</v>
      </c>
      <c r="P515" s="5" t="str">
        <f ca="1">IFERROR(__xludf.DUMMYFUNCTION("""COMPUTED_VALUE"""),"Yes")</f>
        <v>Yes</v>
      </c>
      <c r="Q515" s="5" t="str">
        <f ca="1">IFERROR(__xludf.DUMMYFUNCTION("""COMPUTED_VALUE"""),"Yes")</f>
        <v>Yes</v>
      </c>
      <c r="R515" s="5" t="str">
        <f ca="1">IFERROR(__xludf.DUMMYFUNCTION("""COMPUTED_VALUE"""),"Yes")</f>
        <v>Yes</v>
      </c>
      <c r="S515" s="5" t="str">
        <f ca="1">IFERROR(__xludf.DUMMYFUNCTION("""COMPUTED_VALUE"""),"Yes")</f>
        <v>Yes</v>
      </c>
      <c r="T515" s="5" t="str">
        <f ca="1">IFERROR(__xludf.DUMMYFUNCTION("""COMPUTED_VALUE"""),"Yes")</f>
        <v>Yes</v>
      </c>
      <c r="U515" s="5" t="str">
        <f ca="1">IFERROR(__xludf.DUMMYFUNCTION("""COMPUTED_VALUE"""),"Yes")</f>
        <v>Yes</v>
      </c>
      <c r="V515" s="5"/>
      <c r="W515" s="5"/>
      <c r="X515" s="5"/>
      <c r="Y515" s="5"/>
      <c r="Z515" s="5" t="str">
        <f ca="1">IFERROR(__xludf.DUMMYFUNCTION("""COMPUTED_VALUE"""),"Yes")</f>
        <v>Yes</v>
      </c>
      <c r="AA515" s="5"/>
      <c r="AB515" s="5"/>
      <c r="AC515" s="5"/>
    </row>
    <row r="516" spans="1:29" x14ac:dyDescent="0.25">
      <c r="A516" s="5" t="str">
        <f ca="1">IFERROR(__xludf.DUMMYFUNCTION("""COMPUTED_VALUE"""),"TotoWildHot40")</f>
        <v>TotoWildHot40</v>
      </c>
      <c r="B5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6" s="5" t="str">
        <f ca="1">IFERROR(__xludf.DUMMYFUNCTION("""COMPUTED_VALUE"""),"Yes")</f>
        <v>Yes</v>
      </c>
      <c r="D516" s="5" t="str">
        <f ca="1">IFERROR(__xludf.DUMMYFUNCTION("""COMPUTED_VALUE"""),"Yes")</f>
        <v>Yes</v>
      </c>
      <c r="E516" s="5" t="str">
        <f ca="1">IFERROR(__xludf.DUMMYFUNCTION("""COMPUTED_VALUE"""),"Yes")</f>
        <v>Yes</v>
      </c>
      <c r="F516" s="5" t="str">
        <f ca="1">IFERROR(__xludf.DUMMYFUNCTION("""COMPUTED_VALUE"""),"Yes")</f>
        <v>Yes</v>
      </c>
      <c r="G516" s="5" t="str">
        <f ca="1">IFERROR(__xludf.DUMMYFUNCTION("""COMPUTED_VALUE"""),"Yes")</f>
        <v>Yes</v>
      </c>
      <c r="H516" s="5" t="str">
        <f ca="1">IFERROR(__xludf.DUMMYFUNCTION("""COMPUTED_VALUE"""),"Yes")</f>
        <v>Yes</v>
      </c>
      <c r="I516" s="5" t="str">
        <f ca="1">IFERROR(__xludf.DUMMYFUNCTION("""COMPUTED_VALUE"""),"Yes")</f>
        <v>Yes</v>
      </c>
      <c r="J516" s="5" t="str">
        <f ca="1">IFERROR(__xludf.DUMMYFUNCTION("""COMPUTED_VALUE"""),"Yes")</f>
        <v>Yes</v>
      </c>
      <c r="K516" s="5" t="str">
        <f ca="1">IFERROR(__xludf.DUMMYFUNCTION("""COMPUTED_VALUE"""),"Yes")</f>
        <v>Yes</v>
      </c>
      <c r="L516" s="5" t="str">
        <f ca="1">IFERROR(__xludf.DUMMYFUNCTION("""COMPUTED_VALUE"""),"Yes")</f>
        <v>Yes</v>
      </c>
      <c r="M516" s="5" t="str">
        <f ca="1">IFERROR(__xludf.DUMMYFUNCTION("""COMPUTED_VALUE"""),"Yes")</f>
        <v>Yes</v>
      </c>
      <c r="N516" s="5" t="str">
        <f ca="1">IFERROR(__xludf.DUMMYFUNCTION("""COMPUTED_VALUE"""),"Yes")</f>
        <v>Yes</v>
      </c>
      <c r="O516" s="5" t="str">
        <f ca="1">IFERROR(__xludf.DUMMYFUNCTION("""COMPUTED_VALUE"""),"Yes")</f>
        <v>Yes</v>
      </c>
      <c r="P516" s="5" t="str">
        <f ca="1">IFERROR(__xludf.DUMMYFUNCTION("""COMPUTED_VALUE"""),"Yes")</f>
        <v>Yes</v>
      </c>
      <c r="Q516" s="5" t="str">
        <f ca="1">IFERROR(__xludf.DUMMYFUNCTION("""COMPUTED_VALUE"""),"Yes")</f>
        <v>Yes</v>
      </c>
      <c r="R516" s="5" t="str">
        <f ca="1">IFERROR(__xludf.DUMMYFUNCTION("""COMPUTED_VALUE"""),"Yes")</f>
        <v>Yes</v>
      </c>
      <c r="S516" s="5" t="str">
        <f ca="1">IFERROR(__xludf.DUMMYFUNCTION("""COMPUTED_VALUE"""),"Yes")</f>
        <v>Yes</v>
      </c>
      <c r="T516" s="5" t="str">
        <f ca="1">IFERROR(__xludf.DUMMYFUNCTION("""COMPUTED_VALUE"""),"Yes")</f>
        <v>Yes</v>
      </c>
      <c r="U516" s="5" t="str">
        <f ca="1">IFERROR(__xludf.DUMMYFUNCTION("""COMPUTED_VALUE"""),"Yes")</f>
        <v>Yes</v>
      </c>
      <c r="V516" s="5" t="str">
        <f ca="1">IFERROR(__xludf.DUMMYFUNCTION("""COMPUTED_VALUE"""),"Yes")</f>
        <v>Yes</v>
      </c>
      <c r="W516" s="5" t="str">
        <f ca="1">IFERROR(__xludf.DUMMYFUNCTION("""COMPUTED_VALUE"""),"Yes")</f>
        <v>Yes</v>
      </c>
      <c r="X516" s="5" t="str">
        <f ca="1">IFERROR(__xludf.DUMMYFUNCTION("""COMPUTED_VALUE"""),"Yes")</f>
        <v>Yes</v>
      </c>
      <c r="Y516" s="5" t="str">
        <f ca="1">IFERROR(__xludf.DUMMYFUNCTION("""COMPUTED_VALUE"""),"Yes")</f>
        <v>Yes</v>
      </c>
      <c r="Z516" s="5" t="str">
        <f ca="1">IFERROR(__xludf.DUMMYFUNCTION("""COMPUTED_VALUE"""),"Yes")</f>
        <v>Yes</v>
      </c>
      <c r="AA516" s="5" t="str">
        <f ca="1">IFERROR(__xludf.DUMMYFUNCTION("""COMPUTED_VALUE"""),"Yes")</f>
        <v>Yes</v>
      </c>
      <c r="AB516" s="5" t="str">
        <f ca="1">IFERROR(__xludf.DUMMYFUNCTION("""COMPUTED_VALUE"""),"Yes")</f>
        <v>Yes</v>
      </c>
      <c r="AC516" s="5" t="str">
        <f ca="1">IFERROR(__xludf.DUMMYFUNCTION("""COMPUTED_VALUE"""),"No")</f>
        <v>No</v>
      </c>
    </row>
    <row r="517" spans="1:29" x14ac:dyDescent="0.25">
      <c r="A517" s="5" t="str">
        <f ca="1">IFERROR(__xludf.DUMMYFUNCTION("""COMPUTED_VALUE"""),"TotoFruityWin40")</f>
        <v>TotoFruityWin40</v>
      </c>
      <c r="B5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7" s="5" t="str">
        <f ca="1">IFERROR(__xludf.DUMMYFUNCTION("""COMPUTED_VALUE"""),"Yes")</f>
        <v>Yes</v>
      </c>
      <c r="D517" s="5" t="str">
        <f ca="1">IFERROR(__xludf.DUMMYFUNCTION("""COMPUTED_VALUE"""),"Yes")</f>
        <v>Yes</v>
      </c>
      <c r="E517" s="5" t="str">
        <f ca="1">IFERROR(__xludf.DUMMYFUNCTION("""COMPUTED_VALUE"""),"Yes")</f>
        <v>Yes</v>
      </c>
      <c r="F517" s="5" t="str">
        <f ca="1">IFERROR(__xludf.DUMMYFUNCTION("""COMPUTED_VALUE"""),"Yes")</f>
        <v>Yes</v>
      </c>
      <c r="G517" s="5" t="str">
        <f ca="1">IFERROR(__xludf.DUMMYFUNCTION("""COMPUTED_VALUE"""),"Yes")</f>
        <v>Yes</v>
      </c>
      <c r="H517" s="5" t="str">
        <f ca="1">IFERROR(__xludf.DUMMYFUNCTION("""COMPUTED_VALUE"""),"Yes")</f>
        <v>Yes</v>
      </c>
      <c r="I517" s="5" t="str">
        <f ca="1">IFERROR(__xludf.DUMMYFUNCTION("""COMPUTED_VALUE"""),"Yes")</f>
        <v>Yes</v>
      </c>
      <c r="J517" s="5" t="str">
        <f ca="1">IFERROR(__xludf.DUMMYFUNCTION("""COMPUTED_VALUE"""),"Yes")</f>
        <v>Yes</v>
      </c>
      <c r="K517" s="5" t="str">
        <f ca="1">IFERROR(__xludf.DUMMYFUNCTION("""COMPUTED_VALUE"""),"Yes")</f>
        <v>Yes</v>
      </c>
      <c r="L517" s="5" t="str">
        <f ca="1">IFERROR(__xludf.DUMMYFUNCTION("""COMPUTED_VALUE"""),"Yes")</f>
        <v>Yes</v>
      </c>
      <c r="M517" s="5" t="str">
        <f ca="1">IFERROR(__xludf.DUMMYFUNCTION("""COMPUTED_VALUE"""),"Yes")</f>
        <v>Yes</v>
      </c>
      <c r="N517" s="5" t="str">
        <f ca="1">IFERROR(__xludf.DUMMYFUNCTION("""COMPUTED_VALUE"""),"Yes")</f>
        <v>Yes</v>
      </c>
      <c r="O517" s="5" t="str">
        <f ca="1">IFERROR(__xludf.DUMMYFUNCTION("""COMPUTED_VALUE"""),"Yes")</f>
        <v>Yes</v>
      </c>
      <c r="P517" s="5" t="str">
        <f ca="1">IFERROR(__xludf.DUMMYFUNCTION("""COMPUTED_VALUE"""),"Yes")</f>
        <v>Yes</v>
      </c>
      <c r="Q517" s="5" t="str">
        <f ca="1">IFERROR(__xludf.DUMMYFUNCTION("""COMPUTED_VALUE"""),"Yes")</f>
        <v>Yes</v>
      </c>
      <c r="R517" s="5" t="str">
        <f ca="1">IFERROR(__xludf.DUMMYFUNCTION("""COMPUTED_VALUE"""),"Yes")</f>
        <v>Yes</v>
      </c>
      <c r="S517" s="5" t="str">
        <f ca="1">IFERROR(__xludf.DUMMYFUNCTION("""COMPUTED_VALUE"""),"Yes")</f>
        <v>Yes</v>
      </c>
      <c r="T517" s="5" t="str">
        <f ca="1">IFERROR(__xludf.DUMMYFUNCTION("""COMPUTED_VALUE"""),"Yes")</f>
        <v>Yes</v>
      </c>
      <c r="U517" s="5" t="str">
        <f ca="1">IFERROR(__xludf.DUMMYFUNCTION("""COMPUTED_VALUE"""),"Yes")</f>
        <v>Yes</v>
      </c>
      <c r="V517" s="5" t="str">
        <f ca="1">IFERROR(__xludf.DUMMYFUNCTION("""COMPUTED_VALUE"""),"Yes")</f>
        <v>Yes</v>
      </c>
      <c r="W517" s="5" t="str">
        <f ca="1">IFERROR(__xludf.DUMMYFUNCTION("""COMPUTED_VALUE"""),"Yes")</f>
        <v>Yes</v>
      </c>
      <c r="X517" s="5" t="str">
        <f ca="1">IFERROR(__xludf.DUMMYFUNCTION("""COMPUTED_VALUE"""),"Yes")</f>
        <v>Yes</v>
      </c>
      <c r="Y517" s="5" t="str">
        <f ca="1">IFERROR(__xludf.DUMMYFUNCTION("""COMPUTED_VALUE"""),"Yes")</f>
        <v>Yes</v>
      </c>
      <c r="Z517" s="5" t="str">
        <f ca="1">IFERROR(__xludf.DUMMYFUNCTION("""COMPUTED_VALUE"""),"Yes")</f>
        <v>Yes</v>
      </c>
      <c r="AA517" s="5" t="str">
        <f ca="1">IFERROR(__xludf.DUMMYFUNCTION("""COMPUTED_VALUE"""),"Yes")</f>
        <v>Yes</v>
      </c>
      <c r="AB517" s="5" t="str">
        <f ca="1">IFERROR(__xludf.DUMMYFUNCTION("""COMPUTED_VALUE"""),"Yes")</f>
        <v>Yes</v>
      </c>
      <c r="AC517" s="5" t="str">
        <f ca="1">IFERROR(__xludf.DUMMYFUNCTION("""COMPUTED_VALUE"""),"No")</f>
        <v>No</v>
      </c>
    </row>
    <row r="518" spans="1:29" x14ac:dyDescent="0.25">
      <c r="A518" s="5" t="str">
        <f ca="1">IFERROR(__xludf.DUMMYFUNCTION("""COMPUTED_VALUE"""),"BetAndreasWild")</f>
        <v>BetAndreasWild</v>
      </c>
      <c r="B5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8" s="5" t="str">
        <f ca="1">IFERROR(__xludf.DUMMYFUNCTION("""COMPUTED_VALUE"""),"Yes")</f>
        <v>Yes</v>
      </c>
      <c r="D518" s="5" t="str">
        <f ca="1">IFERROR(__xludf.DUMMYFUNCTION("""COMPUTED_VALUE"""),"Yes")</f>
        <v>Yes</v>
      </c>
      <c r="E518" s="5" t="str">
        <f ca="1">IFERROR(__xludf.DUMMYFUNCTION("""COMPUTED_VALUE"""),"Yes")</f>
        <v>Yes</v>
      </c>
      <c r="F518" s="5" t="str">
        <f ca="1">IFERROR(__xludf.DUMMYFUNCTION("""COMPUTED_VALUE"""),"Yes")</f>
        <v>Yes</v>
      </c>
      <c r="G518" s="5" t="str">
        <f ca="1">IFERROR(__xludf.DUMMYFUNCTION("""COMPUTED_VALUE"""),"Yes")</f>
        <v>Yes</v>
      </c>
      <c r="H518" s="5" t="str">
        <f ca="1">IFERROR(__xludf.DUMMYFUNCTION("""COMPUTED_VALUE"""),"Yes")</f>
        <v>Yes</v>
      </c>
      <c r="I518" s="5" t="str">
        <f ca="1">IFERROR(__xludf.DUMMYFUNCTION("""COMPUTED_VALUE"""),"Yes")</f>
        <v>Yes</v>
      </c>
      <c r="J518" s="5" t="str">
        <f ca="1">IFERROR(__xludf.DUMMYFUNCTION("""COMPUTED_VALUE"""),"Yes")</f>
        <v>Yes</v>
      </c>
      <c r="K518" s="5" t="str">
        <f ca="1">IFERROR(__xludf.DUMMYFUNCTION("""COMPUTED_VALUE"""),"Yes")</f>
        <v>Yes</v>
      </c>
      <c r="L518" s="5" t="str">
        <f ca="1">IFERROR(__xludf.DUMMYFUNCTION("""COMPUTED_VALUE"""),"Yes")</f>
        <v>Yes</v>
      </c>
      <c r="M518" s="5" t="str">
        <f ca="1">IFERROR(__xludf.DUMMYFUNCTION("""COMPUTED_VALUE"""),"Yes")</f>
        <v>Yes</v>
      </c>
      <c r="N518" s="5" t="str">
        <f ca="1">IFERROR(__xludf.DUMMYFUNCTION("""COMPUTED_VALUE"""),"Yes")</f>
        <v>Yes</v>
      </c>
      <c r="O518" s="5" t="str">
        <f ca="1">IFERROR(__xludf.DUMMYFUNCTION("""COMPUTED_VALUE"""),"Yes")</f>
        <v>Yes</v>
      </c>
      <c r="P518" s="5" t="str">
        <f ca="1">IFERROR(__xludf.DUMMYFUNCTION("""COMPUTED_VALUE"""),"Yes")</f>
        <v>Yes</v>
      </c>
      <c r="Q518" s="5" t="str">
        <f ca="1">IFERROR(__xludf.DUMMYFUNCTION("""COMPUTED_VALUE"""),"Yes")</f>
        <v>Yes</v>
      </c>
      <c r="R518" s="5" t="str">
        <f ca="1">IFERROR(__xludf.DUMMYFUNCTION("""COMPUTED_VALUE"""),"Yes")</f>
        <v>Yes</v>
      </c>
      <c r="S518" s="5" t="str">
        <f ca="1">IFERROR(__xludf.DUMMYFUNCTION("""COMPUTED_VALUE"""),"Yes")</f>
        <v>Yes</v>
      </c>
      <c r="T518" s="5" t="str">
        <f ca="1">IFERROR(__xludf.DUMMYFUNCTION("""COMPUTED_VALUE"""),"Yes")</f>
        <v>Yes</v>
      </c>
      <c r="U518" s="5" t="str">
        <f ca="1">IFERROR(__xludf.DUMMYFUNCTION("""COMPUTED_VALUE"""),"Yes")</f>
        <v>Yes</v>
      </c>
      <c r="V518" s="5" t="str">
        <f ca="1">IFERROR(__xludf.DUMMYFUNCTION("""COMPUTED_VALUE"""),"Yes")</f>
        <v>Yes</v>
      </c>
      <c r="W518" s="5" t="str">
        <f ca="1">IFERROR(__xludf.DUMMYFUNCTION("""COMPUTED_VALUE"""),"Yes")</f>
        <v>Yes</v>
      </c>
      <c r="X518" s="5" t="str">
        <f ca="1">IFERROR(__xludf.DUMMYFUNCTION("""COMPUTED_VALUE"""),"Yes")</f>
        <v>Yes</v>
      </c>
      <c r="Y518" s="5" t="str">
        <f ca="1">IFERROR(__xludf.DUMMYFUNCTION("""COMPUTED_VALUE"""),"Yes")</f>
        <v>Yes</v>
      </c>
      <c r="Z518" s="5" t="str">
        <f ca="1">IFERROR(__xludf.DUMMYFUNCTION("""COMPUTED_VALUE"""),"Yes")</f>
        <v>Yes</v>
      </c>
      <c r="AA518" s="5" t="str">
        <f ca="1">IFERROR(__xludf.DUMMYFUNCTION("""COMPUTED_VALUE"""),"Yes")</f>
        <v>Yes</v>
      </c>
      <c r="AB518" s="5" t="str">
        <f ca="1">IFERROR(__xludf.DUMMYFUNCTION("""COMPUTED_VALUE"""),"Yes")</f>
        <v>Yes</v>
      </c>
      <c r="AC518" s="5" t="str">
        <f ca="1">IFERROR(__xludf.DUMMYFUNCTION("""COMPUTED_VALUE"""),"No")</f>
        <v>No</v>
      </c>
    </row>
    <row r="519" spans="1:29" x14ac:dyDescent="0.25">
      <c r="A519" s="5" t="str">
        <f ca="1">IFERROR(__xludf.DUMMYFUNCTION("""COMPUTED_VALUE"""),"MaxBetHot40Blow")</f>
        <v>MaxBetHot40Blow</v>
      </c>
      <c r="B5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9" s="5" t="str">
        <f ca="1">IFERROR(__xludf.DUMMYFUNCTION("""COMPUTED_VALUE"""),"Yes")</f>
        <v>Yes</v>
      </c>
      <c r="D519" s="5" t="str">
        <f ca="1">IFERROR(__xludf.DUMMYFUNCTION("""COMPUTED_VALUE"""),"Yes")</f>
        <v>Yes</v>
      </c>
      <c r="E519" s="5" t="str">
        <f ca="1">IFERROR(__xludf.DUMMYFUNCTION("""COMPUTED_VALUE"""),"Yes")</f>
        <v>Yes</v>
      </c>
      <c r="F519" s="5" t="str">
        <f ca="1">IFERROR(__xludf.DUMMYFUNCTION("""COMPUTED_VALUE"""),"Yes")</f>
        <v>Yes</v>
      </c>
      <c r="G519" s="5" t="str">
        <f ca="1">IFERROR(__xludf.DUMMYFUNCTION("""COMPUTED_VALUE"""),"Yes")</f>
        <v>Yes</v>
      </c>
      <c r="H519" s="5" t="str">
        <f ca="1">IFERROR(__xludf.DUMMYFUNCTION("""COMPUTED_VALUE"""),"Yes")</f>
        <v>Yes</v>
      </c>
      <c r="I519" s="5" t="str">
        <f ca="1">IFERROR(__xludf.DUMMYFUNCTION("""COMPUTED_VALUE"""),"Yes")</f>
        <v>Yes</v>
      </c>
      <c r="J519" s="5" t="str">
        <f ca="1">IFERROR(__xludf.DUMMYFUNCTION("""COMPUTED_VALUE"""),"Yes")</f>
        <v>Yes</v>
      </c>
      <c r="K519" s="5" t="str">
        <f ca="1">IFERROR(__xludf.DUMMYFUNCTION("""COMPUTED_VALUE"""),"Yes")</f>
        <v>Yes</v>
      </c>
      <c r="L519" s="5" t="str">
        <f ca="1">IFERROR(__xludf.DUMMYFUNCTION("""COMPUTED_VALUE"""),"Yes")</f>
        <v>Yes</v>
      </c>
      <c r="M519" s="5" t="str">
        <f ca="1">IFERROR(__xludf.DUMMYFUNCTION("""COMPUTED_VALUE"""),"Yes")</f>
        <v>Yes</v>
      </c>
      <c r="N519" s="5" t="str">
        <f ca="1">IFERROR(__xludf.DUMMYFUNCTION("""COMPUTED_VALUE"""),"Yes")</f>
        <v>Yes</v>
      </c>
      <c r="O519" s="5" t="str">
        <f ca="1">IFERROR(__xludf.DUMMYFUNCTION("""COMPUTED_VALUE"""),"Yes")</f>
        <v>Yes</v>
      </c>
      <c r="P519" s="5" t="str">
        <f ca="1">IFERROR(__xludf.DUMMYFUNCTION("""COMPUTED_VALUE"""),"Yes")</f>
        <v>Yes</v>
      </c>
      <c r="Q519" s="5" t="str">
        <f ca="1">IFERROR(__xludf.DUMMYFUNCTION("""COMPUTED_VALUE"""),"Yes")</f>
        <v>Yes</v>
      </c>
      <c r="R519" s="5" t="str">
        <f ca="1">IFERROR(__xludf.DUMMYFUNCTION("""COMPUTED_VALUE"""),"Yes")</f>
        <v>Yes</v>
      </c>
      <c r="S519" s="5" t="str">
        <f ca="1">IFERROR(__xludf.DUMMYFUNCTION("""COMPUTED_VALUE"""),"Yes")</f>
        <v>Yes</v>
      </c>
      <c r="T519" s="5" t="str">
        <f ca="1">IFERROR(__xludf.DUMMYFUNCTION("""COMPUTED_VALUE"""),"Yes")</f>
        <v>Yes</v>
      </c>
      <c r="U519" s="5" t="str">
        <f ca="1">IFERROR(__xludf.DUMMYFUNCTION("""COMPUTED_VALUE"""),"Yes")</f>
        <v>Yes</v>
      </c>
      <c r="V519" s="5" t="str">
        <f ca="1">IFERROR(__xludf.DUMMYFUNCTION("""COMPUTED_VALUE"""),"Yes")</f>
        <v>Yes</v>
      </c>
      <c r="W519" s="5" t="str">
        <f ca="1">IFERROR(__xludf.DUMMYFUNCTION("""COMPUTED_VALUE"""),"Yes")</f>
        <v>Yes</v>
      </c>
      <c r="X519" s="5" t="str">
        <f ca="1">IFERROR(__xludf.DUMMYFUNCTION("""COMPUTED_VALUE"""),"Yes")</f>
        <v>Yes</v>
      </c>
      <c r="Y519" s="5" t="str">
        <f ca="1">IFERROR(__xludf.DUMMYFUNCTION("""COMPUTED_VALUE"""),"Yes")</f>
        <v>Yes</v>
      </c>
      <c r="Z519" s="5" t="str">
        <f ca="1">IFERROR(__xludf.DUMMYFUNCTION("""COMPUTED_VALUE"""),"Yes")</f>
        <v>Yes</v>
      </c>
      <c r="AA519" s="5" t="str">
        <f ca="1">IFERROR(__xludf.DUMMYFUNCTION("""COMPUTED_VALUE"""),"Yes")</f>
        <v>Yes</v>
      </c>
      <c r="AB519" s="5" t="str">
        <f ca="1">IFERROR(__xludf.DUMMYFUNCTION("""COMPUTED_VALUE"""),"Yes")</f>
        <v>Yes</v>
      </c>
      <c r="AC519" s="5" t="str">
        <f ca="1">IFERROR(__xludf.DUMMYFUNCTION("""COMPUTED_VALUE"""),"No")</f>
        <v>No</v>
      </c>
    </row>
    <row r="520" spans="1:29" x14ac:dyDescent="0.25">
      <c r="A520" s="5" t="str">
        <f ca="1">IFERROR(__xludf.DUMMYFUNCTION("""COMPUTED_VALUE"""),"MaxBetClover2")</f>
        <v>MaxBetClover2</v>
      </c>
      <c r="B5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0" s="5" t="str">
        <f ca="1">IFERROR(__xludf.DUMMYFUNCTION("""COMPUTED_VALUE"""),"Yes")</f>
        <v>Yes</v>
      </c>
      <c r="D520" s="5" t="str">
        <f ca="1">IFERROR(__xludf.DUMMYFUNCTION("""COMPUTED_VALUE"""),"Yes")</f>
        <v>Yes</v>
      </c>
      <c r="E520" s="5" t="str">
        <f ca="1">IFERROR(__xludf.DUMMYFUNCTION("""COMPUTED_VALUE"""),"Yes")</f>
        <v>Yes</v>
      </c>
      <c r="F520" s="5" t="str">
        <f ca="1">IFERROR(__xludf.DUMMYFUNCTION("""COMPUTED_VALUE"""),"Yes")</f>
        <v>Yes</v>
      </c>
      <c r="G520" s="5" t="str">
        <f ca="1">IFERROR(__xludf.DUMMYFUNCTION("""COMPUTED_VALUE"""),"Yes")</f>
        <v>Yes</v>
      </c>
      <c r="H520" s="5" t="str">
        <f ca="1">IFERROR(__xludf.DUMMYFUNCTION("""COMPUTED_VALUE"""),"Yes")</f>
        <v>Yes</v>
      </c>
      <c r="I520" s="5" t="str">
        <f ca="1">IFERROR(__xludf.DUMMYFUNCTION("""COMPUTED_VALUE"""),"Yes")</f>
        <v>Yes</v>
      </c>
      <c r="J520" s="5" t="str">
        <f ca="1">IFERROR(__xludf.DUMMYFUNCTION("""COMPUTED_VALUE"""),"Yes")</f>
        <v>Yes</v>
      </c>
      <c r="K520" s="5" t="str">
        <f ca="1">IFERROR(__xludf.DUMMYFUNCTION("""COMPUTED_VALUE"""),"Yes")</f>
        <v>Yes</v>
      </c>
      <c r="L520" s="5" t="str">
        <f ca="1">IFERROR(__xludf.DUMMYFUNCTION("""COMPUTED_VALUE"""),"Yes")</f>
        <v>Yes</v>
      </c>
      <c r="M520" s="5" t="str">
        <f ca="1">IFERROR(__xludf.DUMMYFUNCTION("""COMPUTED_VALUE"""),"Yes")</f>
        <v>Yes</v>
      </c>
      <c r="N520" s="5" t="str">
        <f ca="1">IFERROR(__xludf.DUMMYFUNCTION("""COMPUTED_VALUE"""),"Yes")</f>
        <v>Yes</v>
      </c>
      <c r="O520" s="5" t="str">
        <f ca="1">IFERROR(__xludf.DUMMYFUNCTION("""COMPUTED_VALUE"""),"Yes")</f>
        <v>Yes</v>
      </c>
      <c r="P520" s="5" t="str">
        <f ca="1">IFERROR(__xludf.DUMMYFUNCTION("""COMPUTED_VALUE"""),"Yes")</f>
        <v>Yes</v>
      </c>
      <c r="Q520" s="5" t="str">
        <f ca="1">IFERROR(__xludf.DUMMYFUNCTION("""COMPUTED_VALUE"""),"Yes")</f>
        <v>Yes</v>
      </c>
      <c r="R520" s="5" t="str">
        <f ca="1">IFERROR(__xludf.DUMMYFUNCTION("""COMPUTED_VALUE"""),"Yes")</f>
        <v>Yes</v>
      </c>
      <c r="S520" s="5" t="str">
        <f ca="1">IFERROR(__xludf.DUMMYFUNCTION("""COMPUTED_VALUE"""),"Yes")</f>
        <v>Yes</v>
      </c>
      <c r="T520" s="5" t="str">
        <f ca="1">IFERROR(__xludf.DUMMYFUNCTION("""COMPUTED_VALUE"""),"Yes")</f>
        <v>Yes</v>
      </c>
      <c r="U520" s="5" t="str">
        <f ca="1">IFERROR(__xludf.DUMMYFUNCTION("""COMPUTED_VALUE"""),"Yes")</f>
        <v>Yes</v>
      </c>
      <c r="V520" s="5" t="str">
        <f ca="1">IFERROR(__xludf.DUMMYFUNCTION("""COMPUTED_VALUE"""),"Yes")</f>
        <v>Yes</v>
      </c>
      <c r="W520" s="5" t="str">
        <f ca="1">IFERROR(__xludf.DUMMYFUNCTION("""COMPUTED_VALUE"""),"Yes")</f>
        <v>Yes</v>
      </c>
      <c r="X520" s="5" t="str">
        <f ca="1">IFERROR(__xludf.DUMMYFUNCTION("""COMPUTED_VALUE"""),"Yes")</f>
        <v>Yes</v>
      </c>
      <c r="Y520" s="5" t="str">
        <f ca="1">IFERROR(__xludf.DUMMYFUNCTION("""COMPUTED_VALUE"""),"Yes")</f>
        <v>Yes</v>
      </c>
      <c r="Z520" s="5" t="str">
        <f ca="1">IFERROR(__xludf.DUMMYFUNCTION("""COMPUTED_VALUE"""),"Yes")</f>
        <v>Yes</v>
      </c>
      <c r="AA520" s="5" t="str">
        <f ca="1">IFERROR(__xludf.DUMMYFUNCTION("""COMPUTED_VALUE"""),"Yes")</f>
        <v>Yes</v>
      </c>
      <c r="AB520" s="5" t="str">
        <f ca="1">IFERROR(__xludf.DUMMYFUNCTION("""COMPUTED_VALUE"""),"Yes")</f>
        <v>Yes</v>
      </c>
      <c r="AC520" s="5" t="str">
        <f ca="1">IFERROR(__xludf.DUMMYFUNCTION("""COMPUTED_VALUE"""),"No")</f>
        <v>No</v>
      </c>
    </row>
    <row r="521" spans="1:29" x14ac:dyDescent="0.25">
      <c r="A521" s="5" t="str">
        <f ca="1">IFERROR(__xludf.DUMMYFUNCTION("""COMPUTED_VALUE"""),"MaxBetHot40")</f>
        <v>MaxBetHot40</v>
      </c>
      <c r="B5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1" s="5" t="str">
        <f ca="1">IFERROR(__xludf.DUMMYFUNCTION("""COMPUTED_VALUE"""),"Yes")</f>
        <v>Yes</v>
      </c>
      <c r="D521" s="5" t="str">
        <f ca="1">IFERROR(__xludf.DUMMYFUNCTION("""COMPUTED_VALUE"""),"Yes")</f>
        <v>Yes</v>
      </c>
      <c r="E521" s="5" t="str">
        <f ca="1">IFERROR(__xludf.DUMMYFUNCTION("""COMPUTED_VALUE"""),"Yes")</f>
        <v>Yes</v>
      </c>
      <c r="F521" s="5" t="str">
        <f ca="1">IFERROR(__xludf.DUMMYFUNCTION("""COMPUTED_VALUE"""),"Yes")</f>
        <v>Yes</v>
      </c>
      <c r="G521" s="5" t="str">
        <f ca="1">IFERROR(__xludf.DUMMYFUNCTION("""COMPUTED_VALUE"""),"Yes")</f>
        <v>Yes</v>
      </c>
      <c r="H521" s="5" t="str">
        <f ca="1">IFERROR(__xludf.DUMMYFUNCTION("""COMPUTED_VALUE"""),"Yes")</f>
        <v>Yes</v>
      </c>
      <c r="I521" s="5" t="str">
        <f ca="1">IFERROR(__xludf.DUMMYFUNCTION("""COMPUTED_VALUE"""),"Yes")</f>
        <v>Yes</v>
      </c>
      <c r="J521" s="5" t="str">
        <f ca="1">IFERROR(__xludf.DUMMYFUNCTION("""COMPUTED_VALUE"""),"Yes")</f>
        <v>Yes</v>
      </c>
      <c r="K521" s="5" t="str">
        <f ca="1">IFERROR(__xludf.DUMMYFUNCTION("""COMPUTED_VALUE"""),"Yes")</f>
        <v>Yes</v>
      </c>
      <c r="L521" s="5" t="str">
        <f ca="1">IFERROR(__xludf.DUMMYFUNCTION("""COMPUTED_VALUE"""),"Yes")</f>
        <v>Yes</v>
      </c>
      <c r="M521" s="5" t="str">
        <f ca="1">IFERROR(__xludf.DUMMYFUNCTION("""COMPUTED_VALUE"""),"Yes")</f>
        <v>Yes</v>
      </c>
      <c r="N521" s="5" t="str">
        <f ca="1">IFERROR(__xludf.DUMMYFUNCTION("""COMPUTED_VALUE"""),"Yes")</f>
        <v>Yes</v>
      </c>
      <c r="O521" s="5" t="str">
        <f ca="1">IFERROR(__xludf.DUMMYFUNCTION("""COMPUTED_VALUE"""),"Yes")</f>
        <v>Yes</v>
      </c>
      <c r="P521" s="5" t="str">
        <f ca="1">IFERROR(__xludf.DUMMYFUNCTION("""COMPUTED_VALUE"""),"Yes")</f>
        <v>Yes</v>
      </c>
      <c r="Q521" s="5" t="str">
        <f ca="1">IFERROR(__xludf.DUMMYFUNCTION("""COMPUTED_VALUE"""),"Yes")</f>
        <v>Yes</v>
      </c>
      <c r="R521" s="5" t="str">
        <f ca="1">IFERROR(__xludf.DUMMYFUNCTION("""COMPUTED_VALUE"""),"Yes")</f>
        <v>Yes</v>
      </c>
      <c r="S521" s="5" t="str">
        <f ca="1">IFERROR(__xludf.DUMMYFUNCTION("""COMPUTED_VALUE"""),"Yes")</f>
        <v>Yes</v>
      </c>
      <c r="T521" s="5" t="str">
        <f ca="1">IFERROR(__xludf.DUMMYFUNCTION("""COMPUTED_VALUE"""),"Yes")</f>
        <v>Yes</v>
      </c>
      <c r="U521" s="5" t="str">
        <f ca="1">IFERROR(__xludf.DUMMYFUNCTION("""COMPUTED_VALUE"""),"Yes")</f>
        <v>Yes</v>
      </c>
      <c r="V521" s="5" t="str">
        <f ca="1">IFERROR(__xludf.DUMMYFUNCTION("""COMPUTED_VALUE"""),"Yes")</f>
        <v>Yes</v>
      </c>
      <c r="W521" s="5" t="str">
        <f ca="1">IFERROR(__xludf.DUMMYFUNCTION("""COMPUTED_VALUE"""),"Yes")</f>
        <v>Yes</v>
      </c>
      <c r="X521" s="5" t="str">
        <f ca="1">IFERROR(__xludf.DUMMYFUNCTION("""COMPUTED_VALUE"""),"Yes")</f>
        <v>Yes</v>
      </c>
      <c r="Y521" s="5" t="str">
        <f ca="1">IFERROR(__xludf.DUMMYFUNCTION("""COMPUTED_VALUE"""),"Yes")</f>
        <v>Yes</v>
      </c>
      <c r="Z521" s="5" t="str">
        <f ca="1">IFERROR(__xludf.DUMMYFUNCTION("""COMPUTED_VALUE"""),"Yes")</f>
        <v>Yes</v>
      </c>
      <c r="AA521" s="5" t="str">
        <f ca="1">IFERROR(__xludf.DUMMYFUNCTION("""COMPUTED_VALUE"""),"Yes")</f>
        <v>Yes</v>
      </c>
      <c r="AB521" s="5" t="str">
        <f ca="1">IFERROR(__xludf.DUMMYFUNCTION("""COMPUTED_VALUE"""),"Yes")</f>
        <v>Yes</v>
      </c>
      <c r="AC521" s="5" t="str">
        <f ca="1">IFERROR(__xludf.DUMMYFUNCTION("""COMPUTED_VALUE"""),"No")</f>
        <v>No</v>
      </c>
    </row>
    <row r="522" spans="1:29" x14ac:dyDescent="0.25">
      <c r="A522" s="5" t="str">
        <f ca="1">IFERROR(__xludf.DUMMYFUNCTION("""COMPUTED_VALUE"""),"SenatorHot5")</f>
        <v>SenatorHot5</v>
      </c>
      <c r="B5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2" s="5" t="str">
        <f ca="1">IFERROR(__xludf.DUMMYFUNCTION("""COMPUTED_VALUE"""),"Yes")</f>
        <v>Yes</v>
      </c>
      <c r="D522" s="5" t="str">
        <f ca="1">IFERROR(__xludf.DUMMYFUNCTION("""COMPUTED_VALUE"""),"Yes")</f>
        <v>Yes</v>
      </c>
      <c r="E522" s="5" t="str">
        <f ca="1">IFERROR(__xludf.DUMMYFUNCTION("""COMPUTED_VALUE"""),"Yes")</f>
        <v>Yes</v>
      </c>
      <c r="F522" s="5" t="str">
        <f ca="1">IFERROR(__xludf.DUMMYFUNCTION("""COMPUTED_VALUE"""),"Yes")</f>
        <v>Yes</v>
      </c>
      <c r="G522" s="5" t="str">
        <f ca="1">IFERROR(__xludf.DUMMYFUNCTION("""COMPUTED_VALUE"""),"Yes")</f>
        <v>Yes</v>
      </c>
      <c r="H522" s="5" t="str">
        <f ca="1">IFERROR(__xludf.DUMMYFUNCTION("""COMPUTED_VALUE"""),"Yes")</f>
        <v>Yes</v>
      </c>
      <c r="I522" s="5" t="str">
        <f ca="1">IFERROR(__xludf.DUMMYFUNCTION("""COMPUTED_VALUE"""),"Yes")</f>
        <v>Yes</v>
      </c>
      <c r="J522" s="5" t="str">
        <f ca="1">IFERROR(__xludf.DUMMYFUNCTION("""COMPUTED_VALUE"""),"Yes")</f>
        <v>Yes</v>
      </c>
      <c r="K522" s="5" t="str">
        <f ca="1">IFERROR(__xludf.DUMMYFUNCTION("""COMPUTED_VALUE"""),"Yes")</f>
        <v>Yes</v>
      </c>
      <c r="L522" s="5" t="str">
        <f ca="1">IFERROR(__xludf.DUMMYFUNCTION("""COMPUTED_VALUE"""),"Yes")</f>
        <v>Yes</v>
      </c>
      <c r="M522" s="5" t="str">
        <f ca="1">IFERROR(__xludf.DUMMYFUNCTION("""COMPUTED_VALUE"""),"Yes")</f>
        <v>Yes</v>
      </c>
      <c r="N522" s="5" t="str">
        <f ca="1">IFERROR(__xludf.DUMMYFUNCTION("""COMPUTED_VALUE"""),"Yes")</f>
        <v>Yes</v>
      </c>
      <c r="O522" s="5" t="str">
        <f ca="1">IFERROR(__xludf.DUMMYFUNCTION("""COMPUTED_VALUE"""),"Yes")</f>
        <v>Yes</v>
      </c>
      <c r="P522" s="5" t="str">
        <f ca="1">IFERROR(__xludf.DUMMYFUNCTION("""COMPUTED_VALUE"""),"Yes")</f>
        <v>Yes</v>
      </c>
      <c r="Q522" s="5" t="str">
        <f ca="1">IFERROR(__xludf.DUMMYFUNCTION("""COMPUTED_VALUE"""),"Yes")</f>
        <v>Yes</v>
      </c>
      <c r="R522" s="5" t="str">
        <f ca="1">IFERROR(__xludf.DUMMYFUNCTION("""COMPUTED_VALUE"""),"Yes")</f>
        <v>Yes</v>
      </c>
      <c r="S522" s="5" t="str">
        <f ca="1">IFERROR(__xludf.DUMMYFUNCTION("""COMPUTED_VALUE"""),"Yes")</f>
        <v>Yes</v>
      </c>
      <c r="T522" s="5" t="str">
        <f ca="1">IFERROR(__xludf.DUMMYFUNCTION("""COMPUTED_VALUE"""),"Yes")</f>
        <v>Yes</v>
      </c>
      <c r="U522" s="5" t="str">
        <f ca="1">IFERROR(__xludf.DUMMYFUNCTION("""COMPUTED_VALUE"""),"Yes")</f>
        <v>Yes</v>
      </c>
      <c r="V522" s="5" t="str">
        <f ca="1">IFERROR(__xludf.DUMMYFUNCTION("""COMPUTED_VALUE"""),"Yes")</f>
        <v>Yes</v>
      </c>
      <c r="W522" s="5" t="str">
        <f ca="1">IFERROR(__xludf.DUMMYFUNCTION("""COMPUTED_VALUE"""),"Yes")</f>
        <v>Yes</v>
      </c>
      <c r="X522" s="5" t="str">
        <f ca="1">IFERROR(__xludf.DUMMYFUNCTION("""COMPUTED_VALUE"""),"Yes")</f>
        <v>Yes</v>
      </c>
      <c r="Y522" s="5" t="str">
        <f ca="1">IFERROR(__xludf.DUMMYFUNCTION("""COMPUTED_VALUE"""),"Yes")</f>
        <v>Yes</v>
      </c>
      <c r="Z522" s="5" t="str">
        <f ca="1">IFERROR(__xludf.DUMMYFUNCTION("""COMPUTED_VALUE"""),"Yes")</f>
        <v>Yes</v>
      </c>
      <c r="AA522" s="5" t="str">
        <f ca="1">IFERROR(__xludf.DUMMYFUNCTION("""COMPUTED_VALUE"""),"Yes")</f>
        <v>Yes</v>
      </c>
      <c r="AB522" s="5" t="str">
        <f ca="1">IFERROR(__xludf.DUMMYFUNCTION("""COMPUTED_VALUE"""),"Yes")</f>
        <v>Yes</v>
      </c>
      <c r="AC522" s="5" t="str">
        <f ca="1">IFERROR(__xludf.DUMMYFUNCTION("""COMPUTED_VALUE"""),"No")</f>
        <v>No</v>
      </c>
    </row>
    <row r="523" spans="1:29" x14ac:dyDescent="0.25">
      <c r="A523" s="5" t="str">
        <f ca="1">IFERROR(__xludf.DUMMYFUNCTION("""COMPUTED_VALUE"""),"MostBet27")</f>
        <v>MostBet27</v>
      </c>
      <c r="B5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3" s="5" t="str">
        <f ca="1">IFERROR(__xludf.DUMMYFUNCTION("""COMPUTED_VALUE"""),"Yes")</f>
        <v>Yes</v>
      </c>
      <c r="D523" s="5" t="str">
        <f ca="1">IFERROR(__xludf.DUMMYFUNCTION("""COMPUTED_VALUE"""),"Yes")</f>
        <v>Yes</v>
      </c>
      <c r="E523" s="5" t="str">
        <f ca="1">IFERROR(__xludf.DUMMYFUNCTION("""COMPUTED_VALUE"""),"Yes")</f>
        <v>Yes</v>
      </c>
      <c r="F523" s="5" t="str">
        <f ca="1">IFERROR(__xludf.DUMMYFUNCTION("""COMPUTED_VALUE"""),"Yes")</f>
        <v>Yes</v>
      </c>
      <c r="G523" s="5" t="str">
        <f ca="1">IFERROR(__xludf.DUMMYFUNCTION("""COMPUTED_VALUE"""),"Yes")</f>
        <v>Yes</v>
      </c>
      <c r="H523" s="5" t="str">
        <f ca="1">IFERROR(__xludf.DUMMYFUNCTION("""COMPUTED_VALUE"""),"Yes")</f>
        <v>Yes</v>
      </c>
      <c r="I523" s="5" t="str">
        <f ca="1">IFERROR(__xludf.DUMMYFUNCTION("""COMPUTED_VALUE"""),"Yes")</f>
        <v>Yes</v>
      </c>
      <c r="J523" s="5" t="str">
        <f ca="1">IFERROR(__xludf.DUMMYFUNCTION("""COMPUTED_VALUE"""),"Yes")</f>
        <v>Yes</v>
      </c>
      <c r="K523" s="5" t="str">
        <f ca="1">IFERROR(__xludf.DUMMYFUNCTION("""COMPUTED_VALUE"""),"Yes")</f>
        <v>Yes</v>
      </c>
      <c r="L523" s="5" t="str">
        <f ca="1">IFERROR(__xludf.DUMMYFUNCTION("""COMPUTED_VALUE"""),"Yes")</f>
        <v>Yes</v>
      </c>
      <c r="M523" s="5" t="str">
        <f ca="1">IFERROR(__xludf.DUMMYFUNCTION("""COMPUTED_VALUE"""),"Yes")</f>
        <v>Yes</v>
      </c>
      <c r="N523" s="5" t="str">
        <f ca="1">IFERROR(__xludf.DUMMYFUNCTION("""COMPUTED_VALUE"""),"Yes")</f>
        <v>Yes</v>
      </c>
      <c r="O523" s="5" t="str">
        <f ca="1">IFERROR(__xludf.DUMMYFUNCTION("""COMPUTED_VALUE"""),"Yes")</f>
        <v>Yes</v>
      </c>
      <c r="P523" s="5" t="str">
        <f ca="1">IFERROR(__xludf.DUMMYFUNCTION("""COMPUTED_VALUE"""),"Yes")</f>
        <v>Yes</v>
      </c>
      <c r="Q523" s="5" t="str">
        <f ca="1">IFERROR(__xludf.DUMMYFUNCTION("""COMPUTED_VALUE"""),"Yes")</f>
        <v>Yes</v>
      </c>
      <c r="R523" s="5" t="str">
        <f ca="1">IFERROR(__xludf.DUMMYFUNCTION("""COMPUTED_VALUE"""),"Yes")</f>
        <v>Yes</v>
      </c>
      <c r="S523" s="5" t="str">
        <f ca="1">IFERROR(__xludf.DUMMYFUNCTION("""COMPUTED_VALUE"""),"Yes")</f>
        <v>Yes</v>
      </c>
      <c r="T523" s="5" t="str">
        <f ca="1">IFERROR(__xludf.DUMMYFUNCTION("""COMPUTED_VALUE"""),"Yes")</f>
        <v>Yes</v>
      </c>
      <c r="U523" s="5" t="str">
        <f ca="1">IFERROR(__xludf.DUMMYFUNCTION("""COMPUTED_VALUE"""),"Yes")</f>
        <v>Yes</v>
      </c>
      <c r="V523" s="5" t="str">
        <f ca="1">IFERROR(__xludf.DUMMYFUNCTION("""COMPUTED_VALUE"""),"Yes")</f>
        <v>Yes</v>
      </c>
      <c r="W523" s="5" t="str">
        <f ca="1">IFERROR(__xludf.DUMMYFUNCTION("""COMPUTED_VALUE"""),"Yes")</f>
        <v>Yes</v>
      </c>
      <c r="X523" s="5" t="str">
        <f ca="1">IFERROR(__xludf.DUMMYFUNCTION("""COMPUTED_VALUE"""),"Yes")</f>
        <v>Yes</v>
      </c>
      <c r="Y523" s="5" t="str">
        <f ca="1">IFERROR(__xludf.DUMMYFUNCTION("""COMPUTED_VALUE"""),"Yes")</f>
        <v>Yes</v>
      </c>
      <c r="Z523" s="5" t="str">
        <f ca="1">IFERROR(__xludf.DUMMYFUNCTION("""COMPUTED_VALUE"""),"Yes")</f>
        <v>Yes</v>
      </c>
      <c r="AA523" s="5" t="str">
        <f ca="1">IFERROR(__xludf.DUMMYFUNCTION("""COMPUTED_VALUE"""),"Yes")</f>
        <v>Yes</v>
      </c>
      <c r="AB523" s="5" t="str">
        <f ca="1">IFERROR(__xludf.DUMMYFUNCTION("""COMPUTED_VALUE"""),"Yes")</f>
        <v>Yes</v>
      </c>
      <c r="AC523" s="5" t="str">
        <f ca="1">IFERROR(__xludf.DUMMYFUNCTION("""COMPUTED_VALUE"""),"No")</f>
        <v>No</v>
      </c>
    </row>
    <row r="524" spans="1:29" x14ac:dyDescent="0.25">
      <c r="A524" s="5" t="str">
        <f ca="1">IFERROR(__xludf.DUMMYFUNCTION("""COMPUTED_VALUE"""),"UnicornEnchantedGems")</f>
        <v>UnicornEnchantedGems</v>
      </c>
      <c r="B5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4" s="5" t="str">
        <f ca="1">IFERROR(__xludf.DUMMYFUNCTION("""COMPUTED_VALUE"""),"Yes")</f>
        <v>Yes</v>
      </c>
      <c r="D524" s="5" t="str">
        <f ca="1">IFERROR(__xludf.DUMMYFUNCTION("""COMPUTED_VALUE"""),"Yes")</f>
        <v>Yes</v>
      </c>
      <c r="E524" s="5" t="str">
        <f ca="1">IFERROR(__xludf.DUMMYFUNCTION("""COMPUTED_VALUE"""),"Yes")</f>
        <v>Yes</v>
      </c>
      <c r="F524" s="5" t="str">
        <f ca="1">IFERROR(__xludf.DUMMYFUNCTION("""COMPUTED_VALUE"""),"Yes")</f>
        <v>Yes</v>
      </c>
      <c r="G524" s="5" t="str">
        <f ca="1">IFERROR(__xludf.DUMMYFUNCTION("""COMPUTED_VALUE"""),"Yes")</f>
        <v>Yes</v>
      </c>
      <c r="H524" s="5" t="str">
        <f ca="1">IFERROR(__xludf.DUMMYFUNCTION("""COMPUTED_VALUE"""),"Yes")</f>
        <v>Yes</v>
      </c>
      <c r="I524" s="5" t="str">
        <f ca="1">IFERROR(__xludf.DUMMYFUNCTION("""COMPUTED_VALUE"""),"Yes")</f>
        <v>Yes</v>
      </c>
      <c r="J524" s="5" t="str">
        <f ca="1">IFERROR(__xludf.DUMMYFUNCTION("""COMPUTED_VALUE"""),"Yes")</f>
        <v>Yes</v>
      </c>
      <c r="K524" s="5" t="str">
        <f ca="1">IFERROR(__xludf.DUMMYFUNCTION("""COMPUTED_VALUE"""),"Yes")</f>
        <v>Yes</v>
      </c>
      <c r="L524" s="5" t="str">
        <f ca="1">IFERROR(__xludf.DUMMYFUNCTION("""COMPUTED_VALUE"""),"Yes")</f>
        <v>Yes</v>
      </c>
      <c r="M524" s="5" t="str">
        <f ca="1">IFERROR(__xludf.DUMMYFUNCTION("""COMPUTED_VALUE"""),"Yes")</f>
        <v>Yes</v>
      </c>
      <c r="N524" s="5" t="str">
        <f ca="1">IFERROR(__xludf.DUMMYFUNCTION("""COMPUTED_VALUE"""),"Yes")</f>
        <v>Yes</v>
      </c>
      <c r="O524" s="5" t="str">
        <f ca="1">IFERROR(__xludf.DUMMYFUNCTION("""COMPUTED_VALUE"""),"Yes")</f>
        <v>Yes</v>
      </c>
      <c r="P524" s="5" t="str">
        <f ca="1">IFERROR(__xludf.DUMMYFUNCTION("""COMPUTED_VALUE"""),"Yes")</f>
        <v>Yes</v>
      </c>
      <c r="Q524" s="5" t="str">
        <f ca="1">IFERROR(__xludf.DUMMYFUNCTION("""COMPUTED_VALUE"""),"Yes")</f>
        <v>Yes</v>
      </c>
      <c r="R524" s="5" t="str">
        <f ca="1">IFERROR(__xludf.DUMMYFUNCTION("""COMPUTED_VALUE"""),"Yes")</f>
        <v>Yes</v>
      </c>
      <c r="S524" s="5" t="str">
        <f ca="1">IFERROR(__xludf.DUMMYFUNCTION("""COMPUTED_VALUE"""),"Yes")</f>
        <v>Yes</v>
      </c>
      <c r="T524" s="5" t="str">
        <f ca="1">IFERROR(__xludf.DUMMYFUNCTION("""COMPUTED_VALUE"""),"Yes")</f>
        <v>Yes</v>
      </c>
      <c r="U524" s="5" t="str">
        <f ca="1">IFERROR(__xludf.DUMMYFUNCTION("""COMPUTED_VALUE"""),"Yes")</f>
        <v>Yes</v>
      </c>
      <c r="V524" s="5"/>
      <c r="W524" s="5"/>
      <c r="X524" s="5"/>
      <c r="Y524" s="5"/>
      <c r="Z524" s="5" t="str">
        <f ca="1">IFERROR(__xludf.DUMMYFUNCTION("""COMPUTED_VALUE"""),"Yes")</f>
        <v>Yes</v>
      </c>
      <c r="AA524" s="5"/>
      <c r="AB524" s="5"/>
      <c r="AC524" s="5"/>
    </row>
    <row r="525" spans="1:29" x14ac:dyDescent="0.25">
      <c r="A525" s="5" t="str">
        <f ca="1">IFERROR(__xludf.DUMMYFUNCTION("""COMPUTED_VALUE"""),"UnicornSupremeSevensDice")</f>
        <v>UnicornSupremeSevensDice</v>
      </c>
      <c r="B5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5" s="5" t="str">
        <f ca="1">IFERROR(__xludf.DUMMYFUNCTION("""COMPUTED_VALUE"""),"Yes")</f>
        <v>Yes</v>
      </c>
      <c r="D525" s="5" t="str">
        <f ca="1">IFERROR(__xludf.DUMMYFUNCTION("""COMPUTED_VALUE"""),"Yes")</f>
        <v>Yes</v>
      </c>
      <c r="E525" s="5" t="str">
        <f ca="1">IFERROR(__xludf.DUMMYFUNCTION("""COMPUTED_VALUE"""),"Yes")</f>
        <v>Yes</v>
      </c>
      <c r="F525" s="5" t="str">
        <f ca="1">IFERROR(__xludf.DUMMYFUNCTION("""COMPUTED_VALUE"""),"Yes")</f>
        <v>Yes</v>
      </c>
      <c r="G525" s="5" t="str">
        <f ca="1">IFERROR(__xludf.DUMMYFUNCTION("""COMPUTED_VALUE"""),"Yes")</f>
        <v>Yes</v>
      </c>
      <c r="H525" s="5" t="str">
        <f ca="1">IFERROR(__xludf.DUMMYFUNCTION("""COMPUTED_VALUE"""),"Yes")</f>
        <v>Yes</v>
      </c>
      <c r="I525" s="5" t="str">
        <f ca="1">IFERROR(__xludf.DUMMYFUNCTION("""COMPUTED_VALUE"""),"Yes")</f>
        <v>Yes</v>
      </c>
      <c r="J525" s="5" t="str">
        <f ca="1">IFERROR(__xludf.DUMMYFUNCTION("""COMPUTED_VALUE"""),"Yes")</f>
        <v>Yes</v>
      </c>
      <c r="K525" s="5" t="str">
        <f ca="1">IFERROR(__xludf.DUMMYFUNCTION("""COMPUTED_VALUE"""),"Yes")</f>
        <v>Yes</v>
      </c>
      <c r="L525" s="5" t="str">
        <f ca="1">IFERROR(__xludf.DUMMYFUNCTION("""COMPUTED_VALUE"""),"Yes")</f>
        <v>Yes</v>
      </c>
      <c r="M525" s="5" t="str">
        <f ca="1">IFERROR(__xludf.DUMMYFUNCTION("""COMPUTED_VALUE"""),"Yes")</f>
        <v>Yes</v>
      </c>
      <c r="N525" s="5" t="str">
        <f ca="1">IFERROR(__xludf.DUMMYFUNCTION("""COMPUTED_VALUE"""),"Yes")</f>
        <v>Yes</v>
      </c>
      <c r="O525" s="5" t="str">
        <f ca="1">IFERROR(__xludf.DUMMYFUNCTION("""COMPUTED_VALUE"""),"Yes")</f>
        <v>Yes</v>
      </c>
      <c r="P525" s="5" t="str">
        <f ca="1">IFERROR(__xludf.DUMMYFUNCTION("""COMPUTED_VALUE"""),"Yes")</f>
        <v>Yes</v>
      </c>
      <c r="Q525" s="5" t="str">
        <f ca="1">IFERROR(__xludf.DUMMYFUNCTION("""COMPUTED_VALUE"""),"Yes")</f>
        <v>Yes</v>
      </c>
      <c r="R525" s="5" t="str">
        <f ca="1">IFERROR(__xludf.DUMMYFUNCTION("""COMPUTED_VALUE"""),"Yes")</f>
        <v>Yes</v>
      </c>
      <c r="S525" s="5" t="str">
        <f ca="1">IFERROR(__xludf.DUMMYFUNCTION("""COMPUTED_VALUE"""),"Yes")</f>
        <v>Yes</v>
      </c>
      <c r="T525" s="5" t="str">
        <f ca="1">IFERROR(__xludf.DUMMYFUNCTION("""COMPUTED_VALUE"""),"Yes")</f>
        <v>Yes</v>
      </c>
      <c r="U525" s="5" t="str">
        <f ca="1">IFERROR(__xludf.DUMMYFUNCTION("""COMPUTED_VALUE"""),"Yes")</f>
        <v>Yes</v>
      </c>
      <c r="V525" s="5"/>
      <c r="W525" s="5"/>
      <c r="X525" s="5"/>
      <c r="Y525" s="5"/>
      <c r="Z525" s="5" t="str">
        <f ca="1">IFERROR(__xludf.DUMMYFUNCTION("""COMPUTED_VALUE"""),"Yes")</f>
        <v>Yes</v>
      </c>
      <c r="AA525" s="5"/>
      <c r="AB525" s="5"/>
      <c r="AC525" s="5"/>
    </row>
    <row r="526" spans="1:29" x14ac:dyDescent="0.25">
      <c r="A526" s="5" t="str">
        <f ca="1">IFERROR(__xludf.DUMMYFUNCTION("""COMPUTED_VALUE"""),"UnicornReelyWildReels")</f>
        <v>UnicornReelyWildReels</v>
      </c>
      <c r="B5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6" s="5" t="str">
        <f ca="1">IFERROR(__xludf.DUMMYFUNCTION("""COMPUTED_VALUE"""),"Yes")</f>
        <v>Yes</v>
      </c>
      <c r="D526" s="5" t="str">
        <f ca="1">IFERROR(__xludf.DUMMYFUNCTION("""COMPUTED_VALUE"""),"Yes")</f>
        <v>Yes</v>
      </c>
      <c r="E526" s="5" t="str">
        <f ca="1">IFERROR(__xludf.DUMMYFUNCTION("""COMPUTED_VALUE"""),"Yes")</f>
        <v>Yes</v>
      </c>
      <c r="F526" s="5" t="str">
        <f ca="1">IFERROR(__xludf.DUMMYFUNCTION("""COMPUTED_VALUE"""),"Yes")</f>
        <v>Yes</v>
      </c>
      <c r="G526" s="5" t="str">
        <f ca="1">IFERROR(__xludf.DUMMYFUNCTION("""COMPUTED_VALUE"""),"Yes")</f>
        <v>Yes</v>
      </c>
      <c r="H526" s="5" t="str">
        <f ca="1">IFERROR(__xludf.DUMMYFUNCTION("""COMPUTED_VALUE"""),"Yes")</f>
        <v>Yes</v>
      </c>
      <c r="I526" s="5" t="str">
        <f ca="1">IFERROR(__xludf.DUMMYFUNCTION("""COMPUTED_VALUE"""),"Yes")</f>
        <v>Yes</v>
      </c>
      <c r="J526" s="5" t="str">
        <f ca="1">IFERROR(__xludf.DUMMYFUNCTION("""COMPUTED_VALUE"""),"Yes")</f>
        <v>Yes</v>
      </c>
      <c r="K526" s="5" t="str">
        <f ca="1">IFERROR(__xludf.DUMMYFUNCTION("""COMPUTED_VALUE"""),"Yes")</f>
        <v>Yes</v>
      </c>
      <c r="L526" s="5" t="str">
        <f ca="1">IFERROR(__xludf.DUMMYFUNCTION("""COMPUTED_VALUE"""),"Yes")</f>
        <v>Yes</v>
      </c>
      <c r="M526" s="5" t="str">
        <f ca="1">IFERROR(__xludf.DUMMYFUNCTION("""COMPUTED_VALUE"""),"Yes")</f>
        <v>Yes</v>
      </c>
      <c r="N526" s="5" t="str">
        <f ca="1">IFERROR(__xludf.DUMMYFUNCTION("""COMPUTED_VALUE"""),"Yes")</f>
        <v>Yes</v>
      </c>
      <c r="O526" s="5" t="str">
        <f ca="1">IFERROR(__xludf.DUMMYFUNCTION("""COMPUTED_VALUE"""),"Yes")</f>
        <v>Yes</v>
      </c>
      <c r="P526" s="5" t="str">
        <f ca="1">IFERROR(__xludf.DUMMYFUNCTION("""COMPUTED_VALUE"""),"Yes")</f>
        <v>Yes</v>
      </c>
      <c r="Q526" s="5" t="str">
        <f ca="1">IFERROR(__xludf.DUMMYFUNCTION("""COMPUTED_VALUE"""),"Yes")</f>
        <v>Yes</v>
      </c>
      <c r="R526" s="5" t="str">
        <f ca="1">IFERROR(__xludf.DUMMYFUNCTION("""COMPUTED_VALUE"""),"Yes")</f>
        <v>Yes</v>
      </c>
      <c r="S526" s="5" t="str">
        <f ca="1">IFERROR(__xludf.DUMMYFUNCTION("""COMPUTED_VALUE"""),"Yes")</f>
        <v>Yes</v>
      </c>
      <c r="T526" s="5" t="str">
        <f ca="1">IFERROR(__xludf.DUMMYFUNCTION("""COMPUTED_VALUE"""),"Yes")</f>
        <v>Yes</v>
      </c>
      <c r="U526" s="5" t="str">
        <f ca="1">IFERROR(__xludf.DUMMYFUNCTION("""COMPUTED_VALUE"""),"Yes")</f>
        <v>Yes</v>
      </c>
      <c r="V526" s="5"/>
      <c r="W526" s="5"/>
      <c r="X526" s="5"/>
      <c r="Y526" s="5"/>
      <c r="Z526" s="5" t="str">
        <f ca="1">IFERROR(__xludf.DUMMYFUNCTION("""COMPUTED_VALUE"""),"Yes")</f>
        <v>Yes</v>
      </c>
      <c r="AA526" s="5"/>
      <c r="AB526" s="5"/>
      <c r="AC526" s="5"/>
    </row>
    <row r="527" spans="1:29" x14ac:dyDescent="0.25">
      <c r="A527" s="5" t="str">
        <f ca="1">IFERROR(__xludf.DUMMYFUNCTION("""COMPUTED_VALUE"""),"UnicornDynamiteEscape")</f>
        <v>UnicornDynamiteEscape</v>
      </c>
      <c r="B52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7" s="5" t="str">
        <f ca="1">IFERROR(__xludf.DUMMYFUNCTION("""COMPUTED_VALUE"""),"Yes")</f>
        <v>Yes</v>
      </c>
      <c r="D527" s="5" t="str">
        <f ca="1">IFERROR(__xludf.DUMMYFUNCTION("""COMPUTED_VALUE"""),"Yes")</f>
        <v>Yes</v>
      </c>
      <c r="E527" s="5" t="str">
        <f ca="1">IFERROR(__xludf.DUMMYFUNCTION("""COMPUTED_VALUE"""),"Yes")</f>
        <v>Yes</v>
      </c>
      <c r="F527" s="5" t="str">
        <f ca="1">IFERROR(__xludf.DUMMYFUNCTION("""COMPUTED_VALUE"""),"No")</f>
        <v>No</v>
      </c>
      <c r="G527" s="5" t="str">
        <f ca="1">IFERROR(__xludf.DUMMYFUNCTION("""COMPUTED_VALUE"""),"No")</f>
        <v>No</v>
      </c>
      <c r="H527" s="5" t="str">
        <f ca="1">IFERROR(__xludf.DUMMYFUNCTION("""COMPUTED_VALUE"""),"No")</f>
        <v>No</v>
      </c>
      <c r="I527" s="5" t="str">
        <f ca="1">IFERROR(__xludf.DUMMYFUNCTION("""COMPUTED_VALUE"""),"No")</f>
        <v>No</v>
      </c>
      <c r="J527" s="5" t="str">
        <f ca="1">IFERROR(__xludf.DUMMYFUNCTION("""COMPUTED_VALUE"""),"No")</f>
        <v>No</v>
      </c>
      <c r="K527" s="5" t="str">
        <f ca="1">IFERROR(__xludf.DUMMYFUNCTION("""COMPUTED_VALUE"""),"Yes")</f>
        <v>Yes</v>
      </c>
      <c r="L527" s="5" t="str">
        <f ca="1">IFERROR(__xludf.DUMMYFUNCTION("""COMPUTED_VALUE"""),"Yes")</f>
        <v>Yes</v>
      </c>
      <c r="M527" s="5" t="str">
        <f ca="1">IFERROR(__xludf.DUMMYFUNCTION("""COMPUTED_VALUE"""),"Yes")</f>
        <v>Yes</v>
      </c>
      <c r="N527" s="5" t="str">
        <f ca="1">IFERROR(__xludf.DUMMYFUNCTION("""COMPUTED_VALUE"""),"Yes")</f>
        <v>Yes</v>
      </c>
      <c r="O527" s="5" t="str">
        <f ca="1">IFERROR(__xludf.DUMMYFUNCTION("""COMPUTED_VALUE"""),"Yes")</f>
        <v>Yes</v>
      </c>
      <c r="P527" s="5" t="str">
        <f ca="1">IFERROR(__xludf.DUMMYFUNCTION("""COMPUTED_VALUE"""),"No")</f>
        <v>No</v>
      </c>
      <c r="Q527" s="5" t="str">
        <f ca="1">IFERROR(__xludf.DUMMYFUNCTION("""COMPUTED_VALUE"""),"Yes")</f>
        <v>Yes</v>
      </c>
      <c r="R527" s="5" t="str">
        <f ca="1">IFERROR(__xludf.DUMMYFUNCTION("""COMPUTED_VALUE"""),"No")</f>
        <v>No</v>
      </c>
      <c r="S527" s="5" t="str">
        <f ca="1">IFERROR(__xludf.DUMMYFUNCTION("""COMPUTED_VALUE"""),"No")</f>
        <v>No</v>
      </c>
      <c r="T527" s="5" t="str">
        <f ca="1">IFERROR(__xludf.DUMMYFUNCTION("""COMPUTED_VALUE"""),"No")</f>
        <v>No</v>
      </c>
      <c r="U527" s="5" t="str">
        <f ca="1">IFERROR(__xludf.DUMMYFUNCTION("""COMPUTED_VALUE"""),"No")</f>
        <v>No</v>
      </c>
      <c r="V527" s="5"/>
      <c r="W527" s="5"/>
      <c r="X527" s="5" t="str">
        <f ca="1">IFERROR(__xludf.DUMMYFUNCTION("""COMPUTED_VALUE"""),"Yes")</f>
        <v>Yes</v>
      </c>
      <c r="Y527" s="5"/>
      <c r="Z527" s="5" t="str">
        <f ca="1">IFERROR(__xludf.DUMMYFUNCTION("""COMPUTED_VALUE"""),"No")</f>
        <v>No</v>
      </c>
      <c r="AA527" s="5"/>
      <c r="AB527" s="5" t="str">
        <f ca="1">IFERROR(__xludf.DUMMYFUNCTION("""COMPUTED_VALUE"""),"Yes")</f>
        <v>Yes</v>
      </c>
      <c r="AC527" s="5" t="str">
        <f ca="1">IFERROR(__xludf.DUMMYFUNCTION("""COMPUTED_VALUE"""),"Yes")</f>
        <v>Yes</v>
      </c>
    </row>
    <row r="528" spans="1:29" x14ac:dyDescent="0.25">
      <c r="A528" s="5" t="str">
        <f ca="1">IFERROR(__xludf.DUMMYFUNCTION("""COMPUTED_VALUE"""),"UnicornBuffaloSevensJackpot")</f>
        <v>UnicornBuffaloSevensJackpot</v>
      </c>
      <c r="B52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8" s="5" t="str">
        <f ca="1">IFERROR(__xludf.DUMMYFUNCTION("""COMPUTED_VALUE"""),"Yes")</f>
        <v>Yes</v>
      </c>
      <c r="D528" s="5" t="str">
        <f ca="1">IFERROR(__xludf.DUMMYFUNCTION("""COMPUTED_VALUE"""),"Yes")</f>
        <v>Yes</v>
      </c>
      <c r="E528" s="5" t="str">
        <f ca="1">IFERROR(__xludf.DUMMYFUNCTION("""COMPUTED_VALUE"""),"Yes")</f>
        <v>Yes</v>
      </c>
      <c r="F528" s="5" t="str">
        <f ca="1">IFERROR(__xludf.DUMMYFUNCTION("""COMPUTED_VALUE"""),"No")</f>
        <v>No</v>
      </c>
      <c r="G528" s="5" t="str">
        <f ca="1">IFERROR(__xludf.DUMMYFUNCTION("""COMPUTED_VALUE"""),"No")</f>
        <v>No</v>
      </c>
      <c r="H528" s="5" t="str">
        <f ca="1">IFERROR(__xludf.DUMMYFUNCTION("""COMPUTED_VALUE"""),"No")</f>
        <v>No</v>
      </c>
      <c r="I528" s="5" t="str">
        <f ca="1">IFERROR(__xludf.DUMMYFUNCTION("""COMPUTED_VALUE"""),"No")</f>
        <v>No</v>
      </c>
      <c r="J528" s="5" t="str">
        <f ca="1">IFERROR(__xludf.DUMMYFUNCTION("""COMPUTED_VALUE"""),"No")</f>
        <v>No</v>
      </c>
      <c r="K528" s="5" t="str">
        <f ca="1">IFERROR(__xludf.DUMMYFUNCTION("""COMPUTED_VALUE"""),"Yes")</f>
        <v>Yes</v>
      </c>
      <c r="L528" s="5" t="str">
        <f ca="1">IFERROR(__xludf.DUMMYFUNCTION("""COMPUTED_VALUE"""),"Yes")</f>
        <v>Yes</v>
      </c>
      <c r="M528" s="5" t="str">
        <f ca="1">IFERROR(__xludf.DUMMYFUNCTION("""COMPUTED_VALUE"""),"Yes")</f>
        <v>Yes</v>
      </c>
      <c r="N528" s="5" t="str">
        <f ca="1">IFERROR(__xludf.DUMMYFUNCTION("""COMPUTED_VALUE"""),"Yes")</f>
        <v>Yes</v>
      </c>
      <c r="O528" s="5" t="str">
        <f ca="1">IFERROR(__xludf.DUMMYFUNCTION("""COMPUTED_VALUE"""),"Yes")</f>
        <v>Yes</v>
      </c>
      <c r="P528" s="5" t="str">
        <f ca="1">IFERROR(__xludf.DUMMYFUNCTION("""COMPUTED_VALUE"""),"No")</f>
        <v>No</v>
      </c>
      <c r="Q528" s="5" t="str">
        <f ca="1">IFERROR(__xludf.DUMMYFUNCTION("""COMPUTED_VALUE"""),"Yes")</f>
        <v>Yes</v>
      </c>
      <c r="R528" s="5" t="str">
        <f ca="1">IFERROR(__xludf.DUMMYFUNCTION("""COMPUTED_VALUE"""),"No")</f>
        <v>No</v>
      </c>
      <c r="S528" s="5" t="str">
        <f ca="1">IFERROR(__xludf.DUMMYFUNCTION("""COMPUTED_VALUE"""),"No")</f>
        <v>No</v>
      </c>
      <c r="T528" s="5" t="str">
        <f ca="1">IFERROR(__xludf.DUMMYFUNCTION("""COMPUTED_VALUE"""),"No")</f>
        <v>No</v>
      </c>
      <c r="U528" s="5" t="str">
        <f ca="1">IFERROR(__xludf.DUMMYFUNCTION("""COMPUTED_VALUE"""),"No")</f>
        <v>No</v>
      </c>
      <c r="V528" s="5"/>
      <c r="W528" s="5"/>
      <c r="X528" s="5" t="str">
        <f ca="1">IFERROR(__xludf.DUMMYFUNCTION("""COMPUTED_VALUE"""),"Yes")</f>
        <v>Yes</v>
      </c>
      <c r="Y528" s="5"/>
      <c r="Z528" s="5" t="str">
        <f ca="1">IFERROR(__xludf.DUMMYFUNCTION("""COMPUTED_VALUE"""),"No")</f>
        <v>No</v>
      </c>
      <c r="AA528" s="5"/>
      <c r="AB528" s="5" t="str">
        <f ca="1">IFERROR(__xludf.DUMMYFUNCTION("""COMPUTED_VALUE"""),"Yes")</f>
        <v>Yes</v>
      </c>
      <c r="AC528" s="5" t="str">
        <f ca="1">IFERROR(__xludf.DUMMYFUNCTION("""COMPUTED_VALUE"""),"Yes")</f>
        <v>Yes</v>
      </c>
    </row>
    <row r="529" spans="1:29" x14ac:dyDescent="0.25">
      <c r="A529" s="5" t="str">
        <f ca="1">IFERROR(__xludf.DUMMYFUNCTION("""COMPUTED_VALUE"""),"UnicornScatterKaChing")</f>
        <v>UnicornScatterKaChing</v>
      </c>
      <c r="B52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9" s="5" t="str">
        <f ca="1">IFERROR(__xludf.DUMMYFUNCTION("""COMPUTED_VALUE"""),"Yes")</f>
        <v>Yes</v>
      </c>
      <c r="D529" s="5" t="str">
        <f ca="1">IFERROR(__xludf.DUMMYFUNCTION("""COMPUTED_VALUE"""),"Yes")</f>
        <v>Yes</v>
      </c>
      <c r="E529" s="5" t="str">
        <f ca="1">IFERROR(__xludf.DUMMYFUNCTION("""COMPUTED_VALUE"""),"Yes")</f>
        <v>Yes</v>
      </c>
      <c r="F529" s="5" t="str">
        <f ca="1">IFERROR(__xludf.DUMMYFUNCTION("""COMPUTED_VALUE"""),"No")</f>
        <v>No</v>
      </c>
      <c r="G529" s="5" t="str">
        <f ca="1">IFERROR(__xludf.DUMMYFUNCTION("""COMPUTED_VALUE"""),"No")</f>
        <v>No</v>
      </c>
      <c r="H529" s="5" t="str">
        <f ca="1">IFERROR(__xludf.DUMMYFUNCTION("""COMPUTED_VALUE"""),"No")</f>
        <v>No</v>
      </c>
      <c r="I529" s="5" t="str">
        <f ca="1">IFERROR(__xludf.DUMMYFUNCTION("""COMPUTED_VALUE"""),"No")</f>
        <v>No</v>
      </c>
      <c r="J529" s="5" t="str">
        <f ca="1">IFERROR(__xludf.DUMMYFUNCTION("""COMPUTED_VALUE"""),"No")</f>
        <v>No</v>
      </c>
      <c r="K529" s="5" t="str">
        <f ca="1">IFERROR(__xludf.DUMMYFUNCTION("""COMPUTED_VALUE"""),"Yes")</f>
        <v>Yes</v>
      </c>
      <c r="L529" s="5" t="str">
        <f ca="1">IFERROR(__xludf.DUMMYFUNCTION("""COMPUTED_VALUE"""),"Yes")</f>
        <v>Yes</v>
      </c>
      <c r="M529" s="5" t="str">
        <f ca="1">IFERROR(__xludf.DUMMYFUNCTION("""COMPUTED_VALUE"""),"Yes")</f>
        <v>Yes</v>
      </c>
      <c r="N529" s="5" t="str">
        <f ca="1">IFERROR(__xludf.DUMMYFUNCTION("""COMPUTED_VALUE"""),"Yes")</f>
        <v>Yes</v>
      </c>
      <c r="O529" s="5" t="str">
        <f ca="1">IFERROR(__xludf.DUMMYFUNCTION("""COMPUTED_VALUE"""),"Yes")</f>
        <v>Yes</v>
      </c>
      <c r="P529" s="5" t="str">
        <f ca="1">IFERROR(__xludf.DUMMYFUNCTION("""COMPUTED_VALUE"""),"No")</f>
        <v>No</v>
      </c>
      <c r="Q529" s="5" t="str">
        <f ca="1">IFERROR(__xludf.DUMMYFUNCTION("""COMPUTED_VALUE"""),"Yes")</f>
        <v>Yes</v>
      </c>
      <c r="R529" s="5" t="str">
        <f ca="1">IFERROR(__xludf.DUMMYFUNCTION("""COMPUTED_VALUE"""),"No")</f>
        <v>No</v>
      </c>
      <c r="S529" s="5" t="str">
        <f ca="1">IFERROR(__xludf.DUMMYFUNCTION("""COMPUTED_VALUE"""),"No")</f>
        <v>No</v>
      </c>
      <c r="T529" s="5" t="str">
        <f ca="1">IFERROR(__xludf.DUMMYFUNCTION("""COMPUTED_VALUE"""),"No")</f>
        <v>No</v>
      </c>
      <c r="U529" s="5" t="str">
        <f ca="1">IFERROR(__xludf.DUMMYFUNCTION("""COMPUTED_VALUE"""),"No")</f>
        <v>No</v>
      </c>
      <c r="V529" s="5"/>
      <c r="W529" s="5"/>
      <c r="X529" s="5" t="str">
        <f ca="1">IFERROR(__xludf.DUMMYFUNCTION("""COMPUTED_VALUE"""),"Yes")</f>
        <v>Yes</v>
      </c>
      <c r="Y529" s="5"/>
      <c r="Z529" s="5" t="str">
        <f ca="1">IFERROR(__xludf.DUMMYFUNCTION("""COMPUTED_VALUE"""),"No")</f>
        <v>No</v>
      </c>
      <c r="AA529" s="5"/>
      <c r="AB529" s="5" t="str">
        <f ca="1">IFERROR(__xludf.DUMMYFUNCTION("""COMPUTED_VALUE"""),"Yes")</f>
        <v>Yes</v>
      </c>
      <c r="AC529" s="5" t="str">
        <f ca="1">IFERROR(__xludf.DUMMYFUNCTION("""COMPUTED_VALUE"""),"Yes")</f>
        <v>Yes</v>
      </c>
    </row>
    <row r="530" spans="1:29" x14ac:dyDescent="0.25">
      <c r="A530" s="5" t="str">
        <f ca="1">IFERROR(__xludf.DUMMYFUNCTION("""COMPUTED_VALUE"""),"UnicornFruitPlay")</f>
        <v>UnicornFruitPlay</v>
      </c>
      <c r="B53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0" s="5" t="str">
        <f ca="1">IFERROR(__xludf.DUMMYFUNCTION("""COMPUTED_VALUE"""),"Yes")</f>
        <v>Yes</v>
      </c>
      <c r="D530" s="5" t="str">
        <f ca="1">IFERROR(__xludf.DUMMYFUNCTION("""COMPUTED_VALUE"""),"Yes")</f>
        <v>Yes</v>
      </c>
      <c r="E530" s="5" t="str">
        <f ca="1">IFERROR(__xludf.DUMMYFUNCTION("""COMPUTED_VALUE"""),"Yes")</f>
        <v>Yes</v>
      </c>
      <c r="F530" s="5" t="str">
        <f ca="1">IFERROR(__xludf.DUMMYFUNCTION("""COMPUTED_VALUE"""),"No")</f>
        <v>No</v>
      </c>
      <c r="G530" s="5" t="str">
        <f ca="1">IFERROR(__xludf.DUMMYFUNCTION("""COMPUTED_VALUE"""),"No")</f>
        <v>No</v>
      </c>
      <c r="H530" s="5" t="str">
        <f ca="1">IFERROR(__xludf.DUMMYFUNCTION("""COMPUTED_VALUE"""),"No")</f>
        <v>No</v>
      </c>
      <c r="I530" s="5" t="str">
        <f ca="1">IFERROR(__xludf.DUMMYFUNCTION("""COMPUTED_VALUE"""),"No")</f>
        <v>No</v>
      </c>
      <c r="J530" s="5" t="str">
        <f ca="1">IFERROR(__xludf.DUMMYFUNCTION("""COMPUTED_VALUE"""),"No")</f>
        <v>No</v>
      </c>
      <c r="K530" s="5" t="str">
        <f ca="1">IFERROR(__xludf.DUMMYFUNCTION("""COMPUTED_VALUE"""),"Yes")</f>
        <v>Yes</v>
      </c>
      <c r="L530" s="5" t="str">
        <f ca="1">IFERROR(__xludf.DUMMYFUNCTION("""COMPUTED_VALUE"""),"Yes")</f>
        <v>Yes</v>
      </c>
      <c r="M530" s="5" t="str">
        <f ca="1">IFERROR(__xludf.DUMMYFUNCTION("""COMPUTED_VALUE"""),"Yes")</f>
        <v>Yes</v>
      </c>
      <c r="N530" s="5" t="str">
        <f ca="1">IFERROR(__xludf.DUMMYFUNCTION("""COMPUTED_VALUE"""),"Yes")</f>
        <v>Yes</v>
      </c>
      <c r="O530" s="5" t="str">
        <f ca="1">IFERROR(__xludf.DUMMYFUNCTION("""COMPUTED_VALUE"""),"Yes")</f>
        <v>Yes</v>
      </c>
      <c r="P530" s="5" t="str">
        <f ca="1">IFERROR(__xludf.DUMMYFUNCTION("""COMPUTED_VALUE"""),"No")</f>
        <v>No</v>
      </c>
      <c r="Q530" s="5" t="str">
        <f ca="1">IFERROR(__xludf.DUMMYFUNCTION("""COMPUTED_VALUE"""),"Yes")</f>
        <v>Yes</v>
      </c>
      <c r="R530" s="5" t="str">
        <f ca="1">IFERROR(__xludf.DUMMYFUNCTION("""COMPUTED_VALUE"""),"No")</f>
        <v>No</v>
      </c>
      <c r="S530" s="5" t="str">
        <f ca="1">IFERROR(__xludf.DUMMYFUNCTION("""COMPUTED_VALUE"""),"No")</f>
        <v>No</v>
      </c>
      <c r="T530" s="5" t="str">
        <f ca="1">IFERROR(__xludf.DUMMYFUNCTION("""COMPUTED_VALUE"""),"No")</f>
        <v>No</v>
      </c>
      <c r="U530" s="5" t="str">
        <f ca="1">IFERROR(__xludf.DUMMYFUNCTION("""COMPUTED_VALUE"""),"No")</f>
        <v>No</v>
      </c>
      <c r="V530" s="5"/>
      <c r="W530" s="5"/>
      <c r="X530" s="5" t="str">
        <f ca="1">IFERROR(__xludf.DUMMYFUNCTION("""COMPUTED_VALUE"""),"Yes")</f>
        <v>Yes</v>
      </c>
      <c r="Y530" s="5"/>
      <c r="Z530" s="5" t="str">
        <f ca="1">IFERROR(__xludf.DUMMYFUNCTION("""COMPUTED_VALUE"""),"No")</f>
        <v>No</v>
      </c>
      <c r="AA530" s="5"/>
      <c r="AB530" s="5" t="str">
        <f ca="1">IFERROR(__xludf.DUMMYFUNCTION("""COMPUTED_VALUE"""),"Yes")</f>
        <v>Yes</v>
      </c>
      <c r="AC530" s="5" t="str">
        <f ca="1">IFERROR(__xludf.DUMMYFUNCTION("""COMPUTED_VALUE"""),"Yes")</f>
        <v>Yes</v>
      </c>
    </row>
    <row r="531" spans="1:29" x14ac:dyDescent="0.25">
      <c r="A531" s="5" t="str">
        <f ca="1">IFERROR(__xludf.DUMMYFUNCTION("""COMPUTED_VALUE"""),"UnicornFruitIslandJackpot")</f>
        <v>UnicornFruitIslandJackpot</v>
      </c>
      <c r="B53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1" s="5" t="str">
        <f ca="1">IFERROR(__xludf.DUMMYFUNCTION("""COMPUTED_VALUE"""),"Yes")</f>
        <v>Yes</v>
      </c>
      <c r="D531" s="5" t="str">
        <f ca="1">IFERROR(__xludf.DUMMYFUNCTION("""COMPUTED_VALUE"""),"Yes")</f>
        <v>Yes</v>
      </c>
      <c r="E531" s="5" t="str">
        <f ca="1">IFERROR(__xludf.DUMMYFUNCTION("""COMPUTED_VALUE"""),"Yes")</f>
        <v>Yes</v>
      </c>
      <c r="F531" s="5" t="str">
        <f ca="1">IFERROR(__xludf.DUMMYFUNCTION("""COMPUTED_VALUE"""),"No")</f>
        <v>No</v>
      </c>
      <c r="G531" s="5" t="str">
        <f ca="1">IFERROR(__xludf.DUMMYFUNCTION("""COMPUTED_VALUE"""),"No")</f>
        <v>No</v>
      </c>
      <c r="H531" s="5" t="str">
        <f ca="1">IFERROR(__xludf.DUMMYFUNCTION("""COMPUTED_VALUE"""),"No")</f>
        <v>No</v>
      </c>
      <c r="I531" s="5" t="str">
        <f ca="1">IFERROR(__xludf.DUMMYFUNCTION("""COMPUTED_VALUE"""),"No")</f>
        <v>No</v>
      </c>
      <c r="J531" s="5" t="str">
        <f ca="1">IFERROR(__xludf.DUMMYFUNCTION("""COMPUTED_VALUE"""),"No")</f>
        <v>No</v>
      </c>
      <c r="K531" s="5" t="str">
        <f ca="1">IFERROR(__xludf.DUMMYFUNCTION("""COMPUTED_VALUE"""),"Yes")</f>
        <v>Yes</v>
      </c>
      <c r="L531" s="5" t="str">
        <f ca="1">IFERROR(__xludf.DUMMYFUNCTION("""COMPUTED_VALUE"""),"Yes")</f>
        <v>Yes</v>
      </c>
      <c r="M531" s="5" t="str">
        <f ca="1">IFERROR(__xludf.DUMMYFUNCTION("""COMPUTED_VALUE"""),"Yes")</f>
        <v>Yes</v>
      </c>
      <c r="N531" s="5" t="str">
        <f ca="1">IFERROR(__xludf.DUMMYFUNCTION("""COMPUTED_VALUE"""),"Yes")</f>
        <v>Yes</v>
      </c>
      <c r="O531" s="5" t="str">
        <f ca="1">IFERROR(__xludf.DUMMYFUNCTION("""COMPUTED_VALUE"""),"Yes")</f>
        <v>Yes</v>
      </c>
      <c r="P531" s="5" t="str">
        <f ca="1">IFERROR(__xludf.DUMMYFUNCTION("""COMPUTED_VALUE"""),"No")</f>
        <v>No</v>
      </c>
      <c r="Q531" s="5" t="str">
        <f ca="1">IFERROR(__xludf.DUMMYFUNCTION("""COMPUTED_VALUE"""),"Yes")</f>
        <v>Yes</v>
      </c>
      <c r="R531" s="5" t="str">
        <f ca="1">IFERROR(__xludf.DUMMYFUNCTION("""COMPUTED_VALUE"""),"No")</f>
        <v>No</v>
      </c>
      <c r="S531" s="5" t="str">
        <f ca="1">IFERROR(__xludf.DUMMYFUNCTION("""COMPUTED_VALUE"""),"No")</f>
        <v>No</v>
      </c>
      <c r="T531" s="5" t="str">
        <f ca="1">IFERROR(__xludf.DUMMYFUNCTION("""COMPUTED_VALUE"""),"No")</f>
        <v>No</v>
      </c>
      <c r="U531" s="5" t="str">
        <f ca="1">IFERROR(__xludf.DUMMYFUNCTION("""COMPUTED_VALUE"""),"No")</f>
        <v>No</v>
      </c>
      <c r="V531" s="5"/>
      <c r="W531" s="5"/>
      <c r="X531" s="5" t="str">
        <f ca="1">IFERROR(__xludf.DUMMYFUNCTION("""COMPUTED_VALUE"""),"Yes")</f>
        <v>Yes</v>
      </c>
      <c r="Y531" s="5"/>
      <c r="Z531" s="5" t="str">
        <f ca="1">IFERROR(__xludf.DUMMYFUNCTION("""COMPUTED_VALUE"""),"No")</f>
        <v>No</v>
      </c>
      <c r="AA531" s="5"/>
      <c r="AB531" s="5" t="str">
        <f ca="1">IFERROR(__xludf.DUMMYFUNCTION("""COMPUTED_VALUE"""),"Yes")</f>
        <v>Yes</v>
      </c>
      <c r="AC531" s="5" t="str">
        <f ca="1">IFERROR(__xludf.DUMMYFUNCTION("""COMPUTED_VALUE"""),"Yes")</f>
        <v>Yes</v>
      </c>
    </row>
    <row r="532" spans="1:29" x14ac:dyDescent="0.25">
      <c r="A532" s="5" t="str">
        <f ca="1">IFERROR(__xludf.DUMMYFUNCTION("""COMPUTED_VALUE"""),"UnicornCollectCall")</f>
        <v>UnicornCollectCall</v>
      </c>
      <c r="B53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2" s="5" t="str">
        <f ca="1">IFERROR(__xludf.DUMMYFUNCTION("""COMPUTED_VALUE"""),"Yes")</f>
        <v>Yes</v>
      </c>
      <c r="D532" s="5" t="str">
        <f ca="1">IFERROR(__xludf.DUMMYFUNCTION("""COMPUTED_VALUE"""),"Yes")</f>
        <v>Yes</v>
      </c>
      <c r="E532" s="5" t="str">
        <f ca="1">IFERROR(__xludf.DUMMYFUNCTION("""COMPUTED_VALUE"""),"Yes")</f>
        <v>Yes</v>
      </c>
      <c r="F532" s="5" t="str">
        <f ca="1">IFERROR(__xludf.DUMMYFUNCTION("""COMPUTED_VALUE"""),"No")</f>
        <v>No</v>
      </c>
      <c r="G532" s="5" t="str">
        <f ca="1">IFERROR(__xludf.DUMMYFUNCTION("""COMPUTED_VALUE"""),"No")</f>
        <v>No</v>
      </c>
      <c r="H532" s="5" t="str">
        <f ca="1">IFERROR(__xludf.DUMMYFUNCTION("""COMPUTED_VALUE"""),"No")</f>
        <v>No</v>
      </c>
      <c r="I532" s="5" t="str">
        <f ca="1">IFERROR(__xludf.DUMMYFUNCTION("""COMPUTED_VALUE"""),"No")</f>
        <v>No</v>
      </c>
      <c r="J532" s="5" t="str">
        <f ca="1">IFERROR(__xludf.DUMMYFUNCTION("""COMPUTED_VALUE"""),"No")</f>
        <v>No</v>
      </c>
      <c r="K532" s="5" t="str">
        <f ca="1">IFERROR(__xludf.DUMMYFUNCTION("""COMPUTED_VALUE"""),"Yes")</f>
        <v>Yes</v>
      </c>
      <c r="L532" s="5" t="str">
        <f ca="1">IFERROR(__xludf.DUMMYFUNCTION("""COMPUTED_VALUE"""),"Yes")</f>
        <v>Yes</v>
      </c>
      <c r="M532" s="5" t="str">
        <f ca="1">IFERROR(__xludf.DUMMYFUNCTION("""COMPUTED_VALUE"""),"Yes")</f>
        <v>Yes</v>
      </c>
      <c r="N532" s="5" t="str">
        <f ca="1">IFERROR(__xludf.DUMMYFUNCTION("""COMPUTED_VALUE"""),"Yes")</f>
        <v>Yes</v>
      </c>
      <c r="O532" s="5" t="str">
        <f ca="1">IFERROR(__xludf.DUMMYFUNCTION("""COMPUTED_VALUE"""),"Yes")</f>
        <v>Yes</v>
      </c>
      <c r="P532" s="5" t="str">
        <f ca="1">IFERROR(__xludf.DUMMYFUNCTION("""COMPUTED_VALUE"""),"No")</f>
        <v>No</v>
      </c>
      <c r="Q532" s="5" t="str">
        <f ca="1">IFERROR(__xludf.DUMMYFUNCTION("""COMPUTED_VALUE"""),"Yes")</f>
        <v>Yes</v>
      </c>
      <c r="R532" s="5" t="str">
        <f ca="1">IFERROR(__xludf.DUMMYFUNCTION("""COMPUTED_VALUE"""),"No")</f>
        <v>No</v>
      </c>
      <c r="S532" s="5" t="str">
        <f ca="1">IFERROR(__xludf.DUMMYFUNCTION("""COMPUTED_VALUE"""),"No")</f>
        <v>No</v>
      </c>
      <c r="T532" s="5" t="str">
        <f ca="1">IFERROR(__xludf.DUMMYFUNCTION("""COMPUTED_VALUE"""),"No")</f>
        <v>No</v>
      </c>
      <c r="U532" s="5" t="str">
        <f ca="1">IFERROR(__xludf.DUMMYFUNCTION("""COMPUTED_VALUE"""),"No")</f>
        <v>No</v>
      </c>
      <c r="V532" s="5" t="str">
        <f ca="1">IFERROR(__xludf.DUMMYFUNCTION("""COMPUTED_VALUE"""),"No")</f>
        <v>No</v>
      </c>
      <c r="W532" s="5" t="str">
        <f ca="1">IFERROR(__xludf.DUMMYFUNCTION("""COMPUTED_VALUE"""),"No")</f>
        <v>No</v>
      </c>
      <c r="X532" s="5" t="str">
        <f ca="1">IFERROR(__xludf.DUMMYFUNCTION("""COMPUTED_VALUE"""),"Yes")</f>
        <v>Yes</v>
      </c>
      <c r="Y532" s="5" t="str">
        <f ca="1">IFERROR(__xludf.DUMMYFUNCTION("""COMPUTED_VALUE"""),"No")</f>
        <v>No</v>
      </c>
      <c r="Z532" s="5" t="str">
        <f ca="1">IFERROR(__xludf.DUMMYFUNCTION("""COMPUTED_VALUE"""),"No")</f>
        <v>No</v>
      </c>
      <c r="AA532" s="5" t="str">
        <f ca="1">IFERROR(__xludf.DUMMYFUNCTION("""COMPUTED_VALUE"""),"No")</f>
        <v>No</v>
      </c>
      <c r="AB532" s="5" t="str">
        <f ca="1">IFERROR(__xludf.DUMMYFUNCTION("""COMPUTED_VALUE"""),"Yes")</f>
        <v>Yes</v>
      </c>
      <c r="AC532" s="5" t="str">
        <f ca="1">IFERROR(__xludf.DUMMYFUNCTION("""COMPUTED_VALUE"""),"Yes")</f>
        <v>Yes</v>
      </c>
    </row>
    <row r="533" spans="1:29" x14ac:dyDescent="0.25">
      <c r="A533" s="5" t="str">
        <f ca="1">IFERROR(__xludf.DUMMYFUNCTION("""COMPUTED_VALUE"""),"UnicornCoyoteSevensHalloween")</f>
        <v>UnicornCoyoteSevensHalloween</v>
      </c>
      <c r="B53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3" s="5" t="str">
        <f ca="1">IFERROR(__xludf.DUMMYFUNCTION("""COMPUTED_VALUE"""),"Yes")</f>
        <v>Yes</v>
      </c>
      <c r="D533" s="5" t="str">
        <f ca="1">IFERROR(__xludf.DUMMYFUNCTION("""COMPUTED_VALUE"""),"Yes")</f>
        <v>Yes</v>
      </c>
      <c r="E533" s="5" t="str">
        <f ca="1">IFERROR(__xludf.DUMMYFUNCTION("""COMPUTED_VALUE"""),"Yes")</f>
        <v>Yes</v>
      </c>
      <c r="F533" s="5" t="str">
        <f ca="1">IFERROR(__xludf.DUMMYFUNCTION("""COMPUTED_VALUE"""),"No")</f>
        <v>No</v>
      </c>
      <c r="G533" s="5" t="str">
        <f ca="1">IFERROR(__xludf.DUMMYFUNCTION("""COMPUTED_VALUE"""),"No")</f>
        <v>No</v>
      </c>
      <c r="H533" s="5" t="str">
        <f ca="1">IFERROR(__xludf.DUMMYFUNCTION("""COMPUTED_VALUE"""),"No")</f>
        <v>No</v>
      </c>
      <c r="I533" s="5" t="str">
        <f ca="1">IFERROR(__xludf.DUMMYFUNCTION("""COMPUTED_VALUE"""),"No")</f>
        <v>No</v>
      </c>
      <c r="J533" s="5" t="str">
        <f ca="1">IFERROR(__xludf.DUMMYFUNCTION("""COMPUTED_VALUE"""),"No")</f>
        <v>No</v>
      </c>
      <c r="K533" s="5" t="str">
        <f ca="1">IFERROR(__xludf.DUMMYFUNCTION("""COMPUTED_VALUE"""),"Yes")</f>
        <v>Yes</v>
      </c>
      <c r="L533" s="5" t="str">
        <f ca="1">IFERROR(__xludf.DUMMYFUNCTION("""COMPUTED_VALUE"""),"Yes")</f>
        <v>Yes</v>
      </c>
      <c r="M533" s="5" t="str">
        <f ca="1">IFERROR(__xludf.DUMMYFUNCTION("""COMPUTED_VALUE"""),"Yes")</f>
        <v>Yes</v>
      </c>
      <c r="N533" s="5" t="str">
        <f ca="1">IFERROR(__xludf.DUMMYFUNCTION("""COMPUTED_VALUE"""),"Yes")</f>
        <v>Yes</v>
      </c>
      <c r="O533" s="5" t="str">
        <f ca="1">IFERROR(__xludf.DUMMYFUNCTION("""COMPUTED_VALUE"""),"Yes")</f>
        <v>Yes</v>
      </c>
      <c r="P533" s="5" t="str">
        <f ca="1">IFERROR(__xludf.DUMMYFUNCTION("""COMPUTED_VALUE"""),"No")</f>
        <v>No</v>
      </c>
      <c r="Q533" s="5" t="str">
        <f ca="1">IFERROR(__xludf.DUMMYFUNCTION("""COMPUTED_VALUE"""),"Yes")</f>
        <v>Yes</v>
      </c>
      <c r="R533" s="5" t="str">
        <f ca="1">IFERROR(__xludf.DUMMYFUNCTION("""COMPUTED_VALUE"""),"No")</f>
        <v>No</v>
      </c>
      <c r="S533" s="5" t="str">
        <f ca="1">IFERROR(__xludf.DUMMYFUNCTION("""COMPUTED_VALUE"""),"No")</f>
        <v>No</v>
      </c>
      <c r="T533" s="5" t="str">
        <f ca="1">IFERROR(__xludf.DUMMYFUNCTION("""COMPUTED_VALUE"""),"No")</f>
        <v>No</v>
      </c>
      <c r="U533" s="5" t="str">
        <f ca="1">IFERROR(__xludf.DUMMYFUNCTION("""COMPUTED_VALUE"""),"No")</f>
        <v>No</v>
      </c>
      <c r="V533" s="5"/>
      <c r="W533" s="5"/>
      <c r="X533" s="5" t="str">
        <f ca="1">IFERROR(__xludf.DUMMYFUNCTION("""COMPUTED_VALUE"""),"Yes")</f>
        <v>Yes</v>
      </c>
      <c r="Y533" s="5"/>
      <c r="Z533" s="5" t="str">
        <f ca="1">IFERROR(__xludf.DUMMYFUNCTION("""COMPUTED_VALUE"""),"No")</f>
        <v>No</v>
      </c>
      <c r="AA533" s="5"/>
      <c r="AB533" s="5" t="str">
        <f ca="1">IFERROR(__xludf.DUMMYFUNCTION("""COMPUTED_VALUE"""),"Yes")</f>
        <v>Yes</v>
      </c>
      <c r="AC533" s="5" t="str">
        <f ca="1">IFERROR(__xludf.DUMMYFUNCTION("""COMPUTED_VALUE"""),"Yes")</f>
        <v>Yes</v>
      </c>
    </row>
    <row r="534" spans="1:29" x14ac:dyDescent="0.25">
      <c r="A534" s="5" t="str">
        <f ca="1">IFERROR(__xludf.DUMMYFUNCTION("""COMPUTED_VALUE"""),"UnicornLavaGems")</f>
        <v>UnicornLavaGems</v>
      </c>
      <c r="B53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4" s="5" t="str">
        <f ca="1">IFERROR(__xludf.DUMMYFUNCTION("""COMPUTED_VALUE"""),"Yes")</f>
        <v>Yes</v>
      </c>
      <c r="D534" s="5" t="str">
        <f ca="1">IFERROR(__xludf.DUMMYFUNCTION("""COMPUTED_VALUE"""),"Yes")</f>
        <v>Yes</v>
      </c>
      <c r="E534" s="5" t="str">
        <f ca="1">IFERROR(__xludf.DUMMYFUNCTION("""COMPUTED_VALUE"""),"Yes")</f>
        <v>Yes</v>
      </c>
      <c r="F534" s="5" t="str">
        <f ca="1">IFERROR(__xludf.DUMMYFUNCTION("""COMPUTED_VALUE"""),"No")</f>
        <v>No</v>
      </c>
      <c r="G534" s="5" t="str">
        <f ca="1">IFERROR(__xludf.DUMMYFUNCTION("""COMPUTED_VALUE"""),"No")</f>
        <v>No</v>
      </c>
      <c r="H534" s="5" t="str">
        <f ca="1">IFERROR(__xludf.DUMMYFUNCTION("""COMPUTED_VALUE"""),"No")</f>
        <v>No</v>
      </c>
      <c r="I534" s="5" t="str">
        <f ca="1">IFERROR(__xludf.DUMMYFUNCTION("""COMPUTED_VALUE"""),"No")</f>
        <v>No</v>
      </c>
      <c r="J534" s="5" t="str">
        <f ca="1">IFERROR(__xludf.DUMMYFUNCTION("""COMPUTED_VALUE"""),"No")</f>
        <v>No</v>
      </c>
      <c r="K534" s="5" t="str">
        <f ca="1">IFERROR(__xludf.DUMMYFUNCTION("""COMPUTED_VALUE"""),"Yes")</f>
        <v>Yes</v>
      </c>
      <c r="L534" s="5" t="str">
        <f ca="1">IFERROR(__xludf.DUMMYFUNCTION("""COMPUTED_VALUE"""),"Yes")</f>
        <v>Yes</v>
      </c>
      <c r="M534" s="5" t="str">
        <f ca="1">IFERROR(__xludf.DUMMYFUNCTION("""COMPUTED_VALUE"""),"Yes")</f>
        <v>Yes</v>
      </c>
      <c r="N534" s="5" t="str">
        <f ca="1">IFERROR(__xludf.DUMMYFUNCTION("""COMPUTED_VALUE"""),"Yes")</f>
        <v>Yes</v>
      </c>
      <c r="O534" s="5" t="str">
        <f ca="1">IFERROR(__xludf.DUMMYFUNCTION("""COMPUTED_VALUE"""),"Yes")</f>
        <v>Yes</v>
      </c>
      <c r="P534" s="5" t="str">
        <f ca="1">IFERROR(__xludf.DUMMYFUNCTION("""COMPUTED_VALUE"""),"No")</f>
        <v>No</v>
      </c>
      <c r="Q534" s="5" t="str">
        <f ca="1">IFERROR(__xludf.DUMMYFUNCTION("""COMPUTED_VALUE"""),"Yes")</f>
        <v>Yes</v>
      </c>
      <c r="R534" s="5" t="str">
        <f ca="1">IFERROR(__xludf.DUMMYFUNCTION("""COMPUTED_VALUE"""),"No")</f>
        <v>No</v>
      </c>
      <c r="S534" s="5" t="str">
        <f ca="1">IFERROR(__xludf.DUMMYFUNCTION("""COMPUTED_VALUE"""),"No")</f>
        <v>No</v>
      </c>
      <c r="T534" s="5" t="str">
        <f ca="1">IFERROR(__xludf.DUMMYFUNCTION("""COMPUTED_VALUE"""),"No")</f>
        <v>No</v>
      </c>
      <c r="U534" s="5" t="str">
        <f ca="1">IFERROR(__xludf.DUMMYFUNCTION("""COMPUTED_VALUE"""),"No")</f>
        <v>No</v>
      </c>
      <c r="V534" s="5"/>
      <c r="W534" s="5"/>
      <c r="X534" s="5" t="str">
        <f ca="1">IFERROR(__xludf.DUMMYFUNCTION("""COMPUTED_VALUE"""),"Yes")</f>
        <v>Yes</v>
      </c>
      <c r="Y534" s="5"/>
      <c r="Z534" s="5" t="str">
        <f ca="1">IFERROR(__xludf.DUMMYFUNCTION("""COMPUTED_VALUE"""),"No")</f>
        <v>No</v>
      </c>
      <c r="AA534" s="5"/>
      <c r="AB534" s="5" t="str">
        <f ca="1">IFERROR(__xludf.DUMMYFUNCTION("""COMPUTED_VALUE"""),"Yes")</f>
        <v>Yes</v>
      </c>
      <c r="AC534" s="5" t="str">
        <f ca="1">IFERROR(__xludf.DUMMYFUNCTION("""COMPUTED_VALUE"""),"Yes")</f>
        <v>Yes</v>
      </c>
    </row>
    <row r="535" spans="1:29" x14ac:dyDescent="0.25">
      <c r="A535" s="5" t="str">
        <f ca="1">IFERROR(__xludf.DUMMYFUNCTION("""COMPUTED_VALUE"""),"UnicornTheKingsHalloween")</f>
        <v>UnicornTheKingsHalloween</v>
      </c>
      <c r="B53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5" s="5" t="str">
        <f ca="1">IFERROR(__xludf.DUMMYFUNCTION("""COMPUTED_VALUE"""),"Yes")</f>
        <v>Yes</v>
      </c>
      <c r="D535" s="5" t="str">
        <f ca="1">IFERROR(__xludf.DUMMYFUNCTION("""COMPUTED_VALUE"""),"Yes")</f>
        <v>Yes</v>
      </c>
      <c r="E535" s="5" t="str">
        <f ca="1">IFERROR(__xludf.DUMMYFUNCTION("""COMPUTED_VALUE"""),"Yes")</f>
        <v>Yes</v>
      </c>
      <c r="F535" s="5"/>
      <c r="G535" s="5"/>
      <c r="H535" s="5"/>
      <c r="I535" s="5"/>
      <c r="J535" s="5"/>
      <c r="K535" s="5" t="str">
        <f ca="1">IFERROR(__xludf.DUMMYFUNCTION("""COMPUTED_VALUE"""),"Yes")</f>
        <v>Yes</v>
      </c>
      <c r="L535" s="5" t="str">
        <f ca="1">IFERROR(__xludf.DUMMYFUNCTION("""COMPUTED_VALUE"""),"Yes")</f>
        <v>Yes</v>
      </c>
      <c r="M535" s="5" t="str">
        <f ca="1">IFERROR(__xludf.DUMMYFUNCTION("""COMPUTED_VALUE"""),"Yes")</f>
        <v>Yes</v>
      </c>
      <c r="N535" s="5" t="str">
        <f ca="1">IFERROR(__xludf.DUMMYFUNCTION("""COMPUTED_VALUE"""),"Yes")</f>
        <v>Yes</v>
      </c>
      <c r="O535" s="5" t="str">
        <f ca="1">IFERROR(__xludf.DUMMYFUNCTION("""COMPUTED_VALUE"""),"Yes")</f>
        <v>Yes</v>
      </c>
      <c r="P535" s="5"/>
      <c r="Q535" s="5" t="str">
        <f ca="1">IFERROR(__xludf.DUMMYFUNCTION("""COMPUTED_VALUE"""),"Yes")</f>
        <v>Yes</v>
      </c>
      <c r="R535" s="5"/>
      <c r="S535" s="5"/>
      <c r="T535" s="5"/>
      <c r="U535" s="5"/>
      <c r="V535" s="5"/>
      <c r="W535" s="5"/>
      <c r="X535" s="5" t="str">
        <f ca="1">IFERROR(__xludf.DUMMYFUNCTION("""COMPUTED_VALUE"""),"Yes")</f>
        <v>Yes</v>
      </c>
      <c r="Y535" s="5"/>
      <c r="Z535" s="5"/>
      <c r="AA535" s="5"/>
      <c r="AB535" s="5" t="str">
        <f ca="1">IFERROR(__xludf.DUMMYFUNCTION("""COMPUTED_VALUE"""),"Yes")</f>
        <v>Yes</v>
      </c>
      <c r="AC535" s="5" t="str">
        <f ca="1">IFERROR(__xludf.DUMMYFUNCTION("""COMPUTED_VALUE"""),"Yes")</f>
        <v>Yes</v>
      </c>
    </row>
    <row r="536" spans="1:29" x14ac:dyDescent="0.25">
      <c r="A536" s="5" t="str">
        <f ca="1">IFERROR(__xludf.DUMMYFUNCTION("""COMPUTED_VALUE"""),"WildSunflower")</f>
        <v>WildSunflower</v>
      </c>
      <c r="B5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6" s="5" t="str">
        <f ca="1">IFERROR(__xludf.DUMMYFUNCTION("""COMPUTED_VALUE"""),"Yes")</f>
        <v>Yes</v>
      </c>
      <c r="D536" s="5" t="str">
        <f ca="1">IFERROR(__xludf.DUMMYFUNCTION("""COMPUTED_VALUE"""),"Yes")</f>
        <v>Yes</v>
      </c>
      <c r="E536" s="5" t="str">
        <f ca="1">IFERROR(__xludf.DUMMYFUNCTION("""COMPUTED_VALUE"""),"Yes")</f>
        <v>Yes</v>
      </c>
      <c r="F536" s="5" t="str">
        <f ca="1">IFERROR(__xludf.DUMMYFUNCTION("""COMPUTED_VALUE"""),"Yes")</f>
        <v>Yes</v>
      </c>
      <c r="G536" s="5" t="str">
        <f ca="1">IFERROR(__xludf.DUMMYFUNCTION("""COMPUTED_VALUE"""),"Yes")</f>
        <v>Yes</v>
      </c>
      <c r="H536" s="5" t="str">
        <f ca="1">IFERROR(__xludf.DUMMYFUNCTION("""COMPUTED_VALUE"""),"Yes")</f>
        <v>Yes</v>
      </c>
      <c r="I536" s="5" t="str">
        <f ca="1">IFERROR(__xludf.DUMMYFUNCTION("""COMPUTED_VALUE"""),"Yes")</f>
        <v>Yes</v>
      </c>
      <c r="J536" s="5" t="str">
        <f ca="1">IFERROR(__xludf.DUMMYFUNCTION("""COMPUTED_VALUE"""),"Yes")</f>
        <v>Yes</v>
      </c>
      <c r="K536" s="5" t="str">
        <f ca="1">IFERROR(__xludf.DUMMYFUNCTION("""COMPUTED_VALUE"""),"Yes")</f>
        <v>Yes</v>
      </c>
      <c r="L536" s="5" t="str">
        <f ca="1">IFERROR(__xludf.DUMMYFUNCTION("""COMPUTED_VALUE"""),"Yes")</f>
        <v>Yes</v>
      </c>
      <c r="M536" s="5" t="str">
        <f ca="1">IFERROR(__xludf.DUMMYFUNCTION("""COMPUTED_VALUE"""),"Yes")</f>
        <v>Yes</v>
      </c>
      <c r="N536" s="5" t="str">
        <f ca="1">IFERROR(__xludf.DUMMYFUNCTION("""COMPUTED_VALUE"""),"Yes")</f>
        <v>Yes</v>
      </c>
      <c r="O536" s="5" t="str">
        <f ca="1">IFERROR(__xludf.DUMMYFUNCTION("""COMPUTED_VALUE"""),"Yes")</f>
        <v>Yes</v>
      </c>
      <c r="P536" s="5" t="str">
        <f ca="1">IFERROR(__xludf.DUMMYFUNCTION("""COMPUTED_VALUE"""),"Yes")</f>
        <v>Yes</v>
      </c>
      <c r="Q536" s="5" t="str">
        <f ca="1">IFERROR(__xludf.DUMMYFUNCTION("""COMPUTED_VALUE"""),"Yes")</f>
        <v>Yes</v>
      </c>
      <c r="R536" s="5" t="str">
        <f ca="1">IFERROR(__xludf.DUMMYFUNCTION("""COMPUTED_VALUE"""),"Yes")</f>
        <v>Yes</v>
      </c>
      <c r="S536" s="5" t="str">
        <f ca="1">IFERROR(__xludf.DUMMYFUNCTION("""COMPUTED_VALUE"""),"Yes")</f>
        <v>Yes</v>
      </c>
      <c r="T536" s="5" t="str">
        <f ca="1">IFERROR(__xludf.DUMMYFUNCTION("""COMPUTED_VALUE"""),"Yes")</f>
        <v>Yes</v>
      </c>
      <c r="U536" s="5" t="str">
        <f ca="1">IFERROR(__xludf.DUMMYFUNCTION("""COMPUTED_VALUE"""),"Yes")</f>
        <v>Yes</v>
      </c>
      <c r="V536" s="5" t="str">
        <f ca="1">IFERROR(__xludf.DUMMYFUNCTION("""COMPUTED_VALUE"""),"Yes")</f>
        <v>Yes</v>
      </c>
      <c r="W536" s="5" t="str">
        <f ca="1">IFERROR(__xludf.DUMMYFUNCTION("""COMPUTED_VALUE"""),"Yes")</f>
        <v>Yes</v>
      </c>
      <c r="X536" s="5" t="str">
        <f ca="1">IFERROR(__xludf.DUMMYFUNCTION("""COMPUTED_VALUE"""),"Yes")</f>
        <v>Yes</v>
      </c>
      <c r="Y536" s="5" t="str">
        <f ca="1">IFERROR(__xludf.DUMMYFUNCTION("""COMPUTED_VALUE"""),"Yes")</f>
        <v>Yes</v>
      </c>
      <c r="Z536" s="5" t="str">
        <f ca="1">IFERROR(__xludf.DUMMYFUNCTION("""COMPUTED_VALUE"""),"Yes")</f>
        <v>Yes</v>
      </c>
      <c r="AA536" s="5" t="str">
        <f ca="1">IFERROR(__xludf.DUMMYFUNCTION("""COMPUTED_VALUE"""),"Yes")</f>
        <v>Yes</v>
      </c>
      <c r="AB536" s="5" t="str">
        <f ca="1">IFERROR(__xludf.DUMMYFUNCTION("""COMPUTED_VALUE"""),"Yes")</f>
        <v>Yes</v>
      </c>
      <c r="AC536" s="5" t="str">
        <f ca="1">IFERROR(__xludf.DUMMYFUNCTION("""COMPUTED_VALUE"""),"No")</f>
        <v>No</v>
      </c>
    </row>
    <row r="537" spans="1:29" x14ac:dyDescent="0.25">
      <c r="A537" s="5" t="str">
        <f ca="1">IFERROR(__xludf.DUMMYFUNCTION("""COMPUTED_VALUE"""),"GoldenCrownMaxBooster")</f>
        <v>GoldenCrownMaxBooster</v>
      </c>
      <c r="B5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7" s="5" t="str">
        <f ca="1">IFERROR(__xludf.DUMMYFUNCTION("""COMPUTED_VALUE"""),"Yes")</f>
        <v>Yes</v>
      </c>
      <c r="D537" s="5" t="str">
        <f ca="1">IFERROR(__xludf.DUMMYFUNCTION("""COMPUTED_VALUE"""),"Yes")</f>
        <v>Yes</v>
      </c>
      <c r="E537" s="5" t="str">
        <f ca="1">IFERROR(__xludf.DUMMYFUNCTION("""COMPUTED_VALUE"""),"Yes")</f>
        <v>Yes</v>
      </c>
      <c r="F537" s="5" t="str">
        <f ca="1">IFERROR(__xludf.DUMMYFUNCTION("""COMPUTED_VALUE"""),"Yes")</f>
        <v>Yes</v>
      </c>
      <c r="G537" s="5" t="str">
        <f ca="1">IFERROR(__xludf.DUMMYFUNCTION("""COMPUTED_VALUE"""),"Yes")</f>
        <v>Yes</v>
      </c>
      <c r="H537" s="5" t="str">
        <f ca="1">IFERROR(__xludf.DUMMYFUNCTION("""COMPUTED_VALUE"""),"Yes")</f>
        <v>Yes</v>
      </c>
      <c r="I537" s="5" t="str">
        <f ca="1">IFERROR(__xludf.DUMMYFUNCTION("""COMPUTED_VALUE"""),"Yes")</f>
        <v>Yes</v>
      </c>
      <c r="J537" s="5" t="str">
        <f ca="1">IFERROR(__xludf.DUMMYFUNCTION("""COMPUTED_VALUE"""),"Yes")</f>
        <v>Yes</v>
      </c>
      <c r="K537" s="5" t="str">
        <f ca="1">IFERROR(__xludf.DUMMYFUNCTION("""COMPUTED_VALUE"""),"Yes")</f>
        <v>Yes</v>
      </c>
      <c r="L537" s="5" t="str">
        <f ca="1">IFERROR(__xludf.DUMMYFUNCTION("""COMPUTED_VALUE"""),"Yes")</f>
        <v>Yes</v>
      </c>
      <c r="M537" s="5" t="str">
        <f ca="1">IFERROR(__xludf.DUMMYFUNCTION("""COMPUTED_VALUE"""),"Yes")</f>
        <v>Yes</v>
      </c>
      <c r="N537" s="5" t="str">
        <f ca="1">IFERROR(__xludf.DUMMYFUNCTION("""COMPUTED_VALUE"""),"Yes")</f>
        <v>Yes</v>
      </c>
      <c r="O537" s="5" t="str">
        <f ca="1">IFERROR(__xludf.DUMMYFUNCTION("""COMPUTED_VALUE"""),"Yes")</f>
        <v>Yes</v>
      </c>
      <c r="P537" s="5" t="str">
        <f ca="1">IFERROR(__xludf.DUMMYFUNCTION("""COMPUTED_VALUE"""),"Yes")</f>
        <v>Yes</v>
      </c>
      <c r="Q537" s="5" t="str">
        <f ca="1">IFERROR(__xludf.DUMMYFUNCTION("""COMPUTED_VALUE"""),"Yes")</f>
        <v>Yes</v>
      </c>
      <c r="R537" s="5" t="str">
        <f ca="1">IFERROR(__xludf.DUMMYFUNCTION("""COMPUTED_VALUE"""),"Yes")</f>
        <v>Yes</v>
      </c>
      <c r="S537" s="5" t="str">
        <f ca="1">IFERROR(__xludf.DUMMYFUNCTION("""COMPUTED_VALUE"""),"Yes")</f>
        <v>Yes</v>
      </c>
      <c r="T537" s="5" t="str">
        <f ca="1">IFERROR(__xludf.DUMMYFUNCTION("""COMPUTED_VALUE"""),"Yes")</f>
        <v>Yes</v>
      </c>
      <c r="U537" s="5" t="str">
        <f ca="1">IFERROR(__xludf.DUMMYFUNCTION("""COMPUTED_VALUE"""),"Yes")</f>
        <v>Yes</v>
      </c>
      <c r="V537" s="5" t="str">
        <f ca="1">IFERROR(__xludf.DUMMYFUNCTION("""COMPUTED_VALUE"""),"Yes")</f>
        <v>Yes</v>
      </c>
      <c r="W537" s="5" t="str">
        <f ca="1">IFERROR(__xludf.DUMMYFUNCTION("""COMPUTED_VALUE"""),"Yes")</f>
        <v>Yes</v>
      </c>
      <c r="X537" s="5" t="str">
        <f ca="1">IFERROR(__xludf.DUMMYFUNCTION("""COMPUTED_VALUE"""),"Yes")</f>
        <v>Yes</v>
      </c>
      <c r="Y537" s="5" t="str">
        <f ca="1">IFERROR(__xludf.DUMMYFUNCTION("""COMPUTED_VALUE"""),"Yes")</f>
        <v>Yes</v>
      </c>
      <c r="Z537" s="5" t="str">
        <f ca="1">IFERROR(__xludf.DUMMYFUNCTION("""COMPUTED_VALUE"""),"Yes")</f>
        <v>Yes</v>
      </c>
      <c r="AA537" s="5" t="str">
        <f ca="1">IFERROR(__xludf.DUMMYFUNCTION("""COMPUTED_VALUE"""),"Yes")</f>
        <v>Yes</v>
      </c>
      <c r="AB537" s="5" t="str">
        <f ca="1">IFERROR(__xludf.DUMMYFUNCTION("""COMPUTED_VALUE"""),"Yes")</f>
        <v>Yes</v>
      </c>
      <c r="AC537" s="5" t="str">
        <f ca="1">IFERROR(__xludf.DUMMYFUNCTION("""COMPUTED_VALUE"""),"No")</f>
        <v>No</v>
      </c>
    </row>
    <row r="538" spans="1:29" x14ac:dyDescent="0.25">
      <c r="A538" s="5" t="str">
        <f ca="1">IFERROR(__xludf.DUMMYFUNCTION("""COMPUTED_VALUE"""),"VeryHot40Booster")</f>
        <v>VeryHot40Booster</v>
      </c>
      <c r="B5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8" s="5" t="str">
        <f ca="1">IFERROR(__xludf.DUMMYFUNCTION("""COMPUTED_VALUE"""),"Yes")</f>
        <v>Yes</v>
      </c>
      <c r="D538" s="5" t="str">
        <f ca="1">IFERROR(__xludf.DUMMYFUNCTION("""COMPUTED_VALUE"""),"Yes")</f>
        <v>Yes</v>
      </c>
      <c r="E538" s="5" t="str">
        <f ca="1">IFERROR(__xludf.DUMMYFUNCTION("""COMPUTED_VALUE"""),"Yes")</f>
        <v>Yes</v>
      </c>
      <c r="F538" s="5" t="str">
        <f ca="1">IFERROR(__xludf.DUMMYFUNCTION("""COMPUTED_VALUE"""),"Yes")</f>
        <v>Yes</v>
      </c>
      <c r="G538" s="5" t="str">
        <f ca="1">IFERROR(__xludf.DUMMYFUNCTION("""COMPUTED_VALUE"""),"Yes")</f>
        <v>Yes</v>
      </c>
      <c r="H538" s="5" t="str">
        <f ca="1">IFERROR(__xludf.DUMMYFUNCTION("""COMPUTED_VALUE"""),"Yes")</f>
        <v>Yes</v>
      </c>
      <c r="I538" s="5" t="str">
        <f ca="1">IFERROR(__xludf.DUMMYFUNCTION("""COMPUTED_VALUE"""),"Yes")</f>
        <v>Yes</v>
      </c>
      <c r="J538" s="5" t="str">
        <f ca="1">IFERROR(__xludf.DUMMYFUNCTION("""COMPUTED_VALUE"""),"Yes")</f>
        <v>Yes</v>
      </c>
      <c r="K538" s="5" t="str">
        <f ca="1">IFERROR(__xludf.DUMMYFUNCTION("""COMPUTED_VALUE"""),"Yes")</f>
        <v>Yes</v>
      </c>
      <c r="L538" s="5" t="str">
        <f ca="1">IFERROR(__xludf.DUMMYFUNCTION("""COMPUTED_VALUE"""),"Yes")</f>
        <v>Yes</v>
      </c>
      <c r="M538" s="5" t="str">
        <f ca="1">IFERROR(__xludf.DUMMYFUNCTION("""COMPUTED_VALUE"""),"Yes")</f>
        <v>Yes</v>
      </c>
      <c r="N538" s="5" t="str">
        <f ca="1">IFERROR(__xludf.DUMMYFUNCTION("""COMPUTED_VALUE"""),"Yes")</f>
        <v>Yes</v>
      </c>
      <c r="O538" s="5" t="str">
        <f ca="1">IFERROR(__xludf.DUMMYFUNCTION("""COMPUTED_VALUE"""),"Yes")</f>
        <v>Yes</v>
      </c>
      <c r="P538" s="5" t="str">
        <f ca="1">IFERROR(__xludf.DUMMYFUNCTION("""COMPUTED_VALUE"""),"Yes")</f>
        <v>Yes</v>
      </c>
      <c r="Q538" s="5" t="str">
        <f ca="1">IFERROR(__xludf.DUMMYFUNCTION("""COMPUTED_VALUE"""),"Yes")</f>
        <v>Yes</v>
      </c>
      <c r="R538" s="5" t="str">
        <f ca="1">IFERROR(__xludf.DUMMYFUNCTION("""COMPUTED_VALUE"""),"Yes")</f>
        <v>Yes</v>
      </c>
      <c r="S538" s="5" t="str">
        <f ca="1">IFERROR(__xludf.DUMMYFUNCTION("""COMPUTED_VALUE"""),"Yes")</f>
        <v>Yes</v>
      </c>
      <c r="T538" s="5" t="str">
        <f ca="1">IFERROR(__xludf.DUMMYFUNCTION("""COMPUTED_VALUE"""),"Yes")</f>
        <v>Yes</v>
      </c>
      <c r="U538" s="5" t="str">
        <f ca="1">IFERROR(__xludf.DUMMYFUNCTION("""COMPUTED_VALUE"""),"Yes")</f>
        <v>Yes</v>
      </c>
      <c r="V538" s="5" t="str">
        <f ca="1">IFERROR(__xludf.DUMMYFUNCTION("""COMPUTED_VALUE"""),"Yes")</f>
        <v>Yes</v>
      </c>
      <c r="W538" s="5" t="str">
        <f ca="1">IFERROR(__xludf.DUMMYFUNCTION("""COMPUTED_VALUE"""),"Yes")</f>
        <v>Yes</v>
      </c>
      <c r="X538" s="5" t="str">
        <f ca="1">IFERROR(__xludf.DUMMYFUNCTION("""COMPUTED_VALUE"""),"Yes")</f>
        <v>Yes</v>
      </c>
      <c r="Y538" s="5" t="str">
        <f ca="1">IFERROR(__xludf.DUMMYFUNCTION("""COMPUTED_VALUE"""),"Yes")</f>
        <v>Yes</v>
      </c>
      <c r="Z538" s="5" t="str">
        <f ca="1">IFERROR(__xludf.DUMMYFUNCTION("""COMPUTED_VALUE"""),"Yes")</f>
        <v>Yes</v>
      </c>
      <c r="AA538" s="5" t="str">
        <f ca="1">IFERROR(__xludf.DUMMYFUNCTION("""COMPUTED_VALUE"""),"Yes")</f>
        <v>Yes</v>
      </c>
      <c r="AB538" s="5" t="str">
        <f ca="1">IFERROR(__xludf.DUMMYFUNCTION("""COMPUTED_VALUE"""),"Yes")</f>
        <v>Yes</v>
      </c>
      <c r="AC538" s="5" t="str">
        <f ca="1">IFERROR(__xludf.DUMMYFUNCTION("""COMPUTED_VALUE"""),"No")</f>
        <v>No</v>
      </c>
    </row>
    <row r="539" spans="1:29" x14ac:dyDescent="0.25">
      <c r="A539" s="5" t="str">
        <f ca="1">IFERROR(__xludf.DUMMYFUNCTION("""COMPUTED_VALUE"""),"GoldenCrown40Booster")</f>
        <v>GoldenCrown40Booster</v>
      </c>
      <c r="B5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9" s="5" t="str">
        <f ca="1">IFERROR(__xludf.DUMMYFUNCTION("""COMPUTED_VALUE"""),"Yes")</f>
        <v>Yes</v>
      </c>
      <c r="D539" s="5" t="str">
        <f ca="1">IFERROR(__xludf.DUMMYFUNCTION("""COMPUTED_VALUE"""),"Yes")</f>
        <v>Yes</v>
      </c>
      <c r="E539" s="5" t="str">
        <f ca="1">IFERROR(__xludf.DUMMYFUNCTION("""COMPUTED_VALUE"""),"Yes")</f>
        <v>Yes</v>
      </c>
      <c r="F539" s="5" t="str">
        <f ca="1">IFERROR(__xludf.DUMMYFUNCTION("""COMPUTED_VALUE"""),"Yes")</f>
        <v>Yes</v>
      </c>
      <c r="G539" s="5" t="str">
        <f ca="1">IFERROR(__xludf.DUMMYFUNCTION("""COMPUTED_VALUE"""),"Yes")</f>
        <v>Yes</v>
      </c>
      <c r="H539" s="5" t="str">
        <f ca="1">IFERROR(__xludf.DUMMYFUNCTION("""COMPUTED_VALUE"""),"Yes")</f>
        <v>Yes</v>
      </c>
      <c r="I539" s="5" t="str">
        <f ca="1">IFERROR(__xludf.DUMMYFUNCTION("""COMPUTED_VALUE"""),"Yes")</f>
        <v>Yes</v>
      </c>
      <c r="J539" s="5" t="str">
        <f ca="1">IFERROR(__xludf.DUMMYFUNCTION("""COMPUTED_VALUE"""),"Yes")</f>
        <v>Yes</v>
      </c>
      <c r="K539" s="5" t="str">
        <f ca="1">IFERROR(__xludf.DUMMYFUNCTION("""COMPUTED_VALUE"""),"Yes")</f>
        <v>Yes</v>
      </c>
      <c r="L539" s="5" t="str">
        <f ca="1">IFERROR(__xludf.DUMMYFUNCTION("""COMPUTED_VALUE"""),"Yes")</f>
        <v>Yes</v>
      </c>
      <c r="M539" s="5" t="str">
        <f ca="1">IFERROR(__xludf.DUMMYFUNCTION("""COMPUTED_VALUE"""),"Yes")</f>
        <v>Yes</v>
      </c>
      <c r="N539" s="5" t="str">
        <f ca="1">IFERROR(__xludf.DUMMYFUNCTION("""COMPUTED_VALUE"""),"Yes")</f>
        <v>Yes</v>
      </c>
      <c r="O539" s="5" t="str">
        <f ca="1">IFERROR(__xludf.DUMMYFUNCTION("""COMPUTED_VALUE"""),"Yes")</f>
        <v>Yes</v>
      </c>
      <c r="P539" s="5" t="str">
        <f ca="1">IFERROR(__xludf.DUMMYFUNCTION("""COMPUTED_VALUE"""),"Yes")</f>
        <v>Yes</v>
      </c>
      <c r="Q539" s="5" t="str">
        <f ca="1">IFERROR(__xludf.DUMMYFUNCTION("""COMPUTED_VALUE"""),"Yes")</f>
        <v>Yes</v>
      </c>
      <c r="R539" s="5" t="str">
        <f ca="1">IFERROR(__xludf.DUMMYFUNCTION("""COMPUTED_VALUE"""),"Yes")</f>
        <v>Yes</v>
      </c>
      <c r="S539" s="5" t="str">
        <f ca="1">IFERROR(__xludf.DUMMYFUNCTION("""COMPUTED_VALUE"""),"Yes")</f>
        <v>Yes</v>
      </c>
      <c r="T539" s="5" t="str">
        <f ca="1">IFERROR(__xludf.DUMMYFUNCTION("""COMPUTED_VALUE"""),"Yes")</f>
        <v>Yes</v>
      </c>
      <c r="U539" s="5" t="str">
        <f ca="1">IFERROR(__xludf.DUMMYFUNCTION("""COMPUTED_VALUE"""),"Yes")</f>
        <v>Yes</v>
      </c>
      <c r="V539" s="5" t="str">
        <f ca="1">IFERROR(__xludf.DUMMYFUNCTION("""COMPUTED_VALUE"""),"Yes")</f>
        <v>Yes</v>
      </c>
      <c r="W539" s="5" t="str">
        <f ca="1">IFERROR(__xludf.DUMMYFUNCTION("""COMPUTED_VALUE"""),"Yes")</f>
        <v>Yes</v>
      </c>
      <c r="X539" s="5" t="str">
        <f ca="1">IFERROR(__xludf.DUMMYFUNCTION("""COMPUTED_VALUE"""),"Yes")</f>
        <v>Yes</v>
      </c>
      <c r="Y539" s="5" t="str">
        <f ca="1">IFERROR(__xludf.DUMMYFUNCTION("""COMPUTED_VALUE"""),"Yes")</f>
        <v>Yes</v>
      </c>
      <c r="Z539" s="5" t="str">
        <f ca="1">IFERROR(__xludf.DUMMYFUNCTION("""COMPUTED_VALUE"""),"Yes")</f>
        <v>Yes</v>
      </c>
      <c r="AA539" s="5" t="str">
        <f ca="1">IFERROR(__xludf.DUMMYFUNCTION("""COMPUTED_VALUE"""),"Yes")</f>
        <v>Yes</v>
      </c>
      <c r="AB539" s="5" t="str">
        <f ca="1">IFERROR(__xludf.DUMMYFUNCTION("""COMPUTED_VALUE"""),"Yes")</f>
        <v>Yes</v>
      </c>
      <c r="AC539" s="5" t="str">
        <f ca="1">IFERROR(__xludf.DUMMYFUNCTION("""COMPUTED_VALUE"""),"No")</f>
        <v>No</v>
      </c>
    </row>
    <row r="540" spans="1:29" x14ac:dyDescent="0.25">
      <c r="A540" s="5" t="str">
        <f ca="1">IFERROR(__xludf.DUMMYFUNCTION("""COMPUTED_VALUE"""),"BrilliantHeartBooster")</f>
        <v>BrilliantHeartBooster</v>
      </c>
      <c r="B5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0" s="5" t="str">
        <f ca="1">IFERROR(__xludf.DUMMYFUNCTION("""COMPUTED_VALUE"""),"Yes")</f>
        <v>Yes</v>
      </c>
      <c r="D540" s="5" t="str">
        <f ca="1">IFERROR(__xludf.DUMMYFUNCTION("""COMPUTED_VALUE"""),"Yes")</f>
        <v>Yes</v>
      </c>
      <c r="E540" s="5" t="str">
        <f ca="1">IFERROR(__xludf.DUMMYFUNCTION("""COMPUTED_VALUE"""),"Yes")</f>
        <v>Yes</v>
      </c>
      <c r="F540" s="5" t="str">
        <f ca="1">IFERROR(__xludf.DUMMYFUNCTION("""COMPUTED_VALUE"""),"Yes")</f>
        <v>Yes</v>
      </c>
      <c r="G540" s="5" t="str">
        <f ca="1">IFERROR(__xludf.DUMMYFUNCTION("""COMPUTED_VALUE"""),"Yes")</f>
        <v>Yes</v>
      </c>
      <c r="H540" s="5" t="str">
        <f ca="1">IFERROR(__xludf.DUMMYFUNCTION("""COMPUTED_VALUE"""),"Yes")</f>
        <v>Yes</v>
      </c>
      <c r="I540" s="5" t="str">
        <f ca="1">IFERROR(__xludf.DUMMYFUNCTION("""COMPUTED_VALUE"""),"Yes")</f>
        <v>Yes</v>
      </c>
      <c r="J540" s="5" t="str">
        <f ca="1">IFERROR(__xludf.DUMMYFUNCTION("""COMPUTED_VALUE"""),"Yes")</f>
        <v>Yes</v>
      </c>
      <c r="K540" s="5" t="str">
        <f ca="1">IFERROR(__xludf.DUMMYFUNCTION("""COMPUTED_VALUE"""),"Yes")</f>
        <v>Yes</v>
      </c>
      <c r="L540" s="5" t="str">
        <f ca="1">IFERROR(__xludf.DUMMYFUNCTION("""COMPUTED_VALUE"""),"Yes")</f>
        <v>Yes</v>
      </c>
      <c r="M540" s="5" t="str">
        <f ca="1">IFERROR(__xludf.DUMMYFUNCTION("""COMPUTED_VALUE"""),"Yes")</f>
        <v>Yes</v>
      </c>
      <c r="N540" s="5" t="str">
        <f ca="1">IFERROR(__xludf.DUMMYFUNCTION("""COMPUTED_VALUE"""),"Yes")</f>
        <v>Yes</v>
      </c>
      <c r="O540" s="5" t="str">
        <f ca="1">IFERROR(__xludf.DUMMYFUNCTION("""COMPUTED_VALUE"""),"Yes")</f>
        <v>Yes</v>
      </c>
      <c r="P540" s="5" t="str">
        <f ca="1">IFERROR(__xludf.DUMMYFUNCTION("""COMPUTED_VALUE"""),"Yes")</f>
        <v>Yes</v>
      </c>
      <c r="Q540" s="5" t="str">
        <f ca="1">IFERROR(__xludf.DUMMYFUNCTION("""COMPUTED_VALUE"""),"Yes")</f>
        <v>Yes</v>
      </c>
      <c r="R540" s="5" t="str">
        <f ca="1">IFERROR(__xludf.DUMMYFUNCTION("""COMPUTED_VALUE"""),"Yes")</f>
        <v>Yes</v>
      </c>
      <c r="S540" s="5" t="str">
        <f ca="1">IFERROR(__xludf.DUMMYFUNCTION("""COMPUTED_VALUE"""),"Yes")</f>
        <v>Yes</v>
      </c>
      <c r="T540" s="5" t="str">
        <f ca="1">IFERROR(__xludf.DUMMYFUNCTION("""COMPUTED_VALUE"""),"Yes")</f>
        <v>Yes</v>
      </c>
      <c r="U540" s="5" t="str">
        <f ca="1">IFERROR(__xludf.DUMMYFUNCTION("""COMPUTED_VALUE"""),"Yes")</f>
        <v>Yes</v>
      </c>
      <c r="V540" s="5" t="str">
        <f ca="1">IFERROR(__xludf.DUMMYFUNCTION("""COMPUTED_VALUE"""),"Yes")</f>
        <v>Yes</v>
      </c>
      <c r="W540" s="5" t="str">
        <f ca="1">IFERROR(__xludf.DUMMYFUNCTION("""COMPUTED_VALUE"""),"Yes")</f>
        <v>Yes</v>
      </c>
      <c r="X540" s="5" t="str">
        <f ca="1">IFERROR(__xludf.DUMMYFUNCTION("""COMPUTED_VALUE"""),"Yes")</f>
        <v>Yes</v>
      </c>
      <c r="Y540" s="5" t="str">
        <f ca="1">IFERROR(__xludf.DUMMYFUNCTION("""COMPUTED_VALUE"""),"Yes")</f>
        <v>Yes</v>
      </c>
      <c r="Z540" s="5" t="str">
        <f ca="1">IFERROR(__xludf.DUMMYFUNCTION("""COMPUTED_VALUE"""),"Yes")</f>
        <v>Yes</v>
      </c>
      <c r="AA540" s="5" t="str">
        <f ca="1">IFERROR(__xludf.DUMMYFUNCTION("""COMPUTED_VALUE"""),"Yes")</f>
        <v>Yes</v>
      </c>
      <c r="AB540" s="5" t="str">
        <f ca="1">IFERROR(__xludf.DUMMYFUNCTION("""COMPUTED_VALUE"""),"Yes")</f>
        <v>Yes</v>
      </c>
      <c r="AC540" s="5" t="str">
        <f ca="1">IFERROR(__xludf.DUMMYFUNCTION("""COMPUTED_VALUE"""),"No")</f>
        <v>No</v>
      </c>
    </row>
    <row r="541" spans="1:29" x14ac:dyDescent="0.25">
      <c r="A541" s="5" t="str">
        <f ca="1">IFERROR(__xludf.DUMMYFUNCTION("""COMPUTED_VALUE"""),"EpicClover100Booster")</f>
        <v>EpicClover100Booster</v>
      </c>
      <c r="B5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1" s="5" t="str">
        <f ca="1">IFERROR(__xludf.DUMMYFUNCTION("""COMPUTED_VALUE"""),"Yes")</f>
        <v>Yes</v>
      </c>
      <c r="D541" s="5" t="str">
        <f ca="1">IFERROR(__xludf.DUMMYFUNCTION("""COMPUTED_VALUE"""),"Yes")</f>
        <v>Yes</v>
      </c>
      <c r="E541" s="5" t="str">
        <f ca="1">IFERROR(__xludf.DUMMYFUNCTION("""COMPUTED_VALUE"""),"Yes")</f>
        <v>Yes</v>
      </c>
      <c r="F541" s="5" t="str">
        <f ca="1">IFERROR(__xludf.DUMMYFUNCTION("""COMPUTED_VALUE"""),"Yes")</f>
        <v>Yes</v>
      </c>
      <c r="G541" s="5" t="str">
        <f ca="1">IFERROR(__xludf.DUMMYFUNCTION("""COMPUTED_VALUE"""),"Yes")</f>
        <v>Yes</v>
      </c>
      <c r="H541" s="5" t="str">
        <f ca="1">IFERROR(__xludf.DUMMYFUNCTION("""COMPUTED_VALUE"""),"Yes")</f>
        <v>Yes</v>
      </c>
      <c r="I541" s="5" t="str">
        <f ca="1">IFERROR(__xludf.DUMMYFUNCTION("""COMPUTED_VALUE"""),"Yes")</f>
        <v>Yes</v>
      </c>
      <c r="J541" s="5" t="str">
        <f ca="1">IFERROR(__xludf.DUMMYFUNCTION("""COMPUTED_VALUE"""),"Yes")</f>
        <v>Yes</v>
      </c>
      <c r="K541" s="5" t="str">
        <f ca="1">IFERROR(__xludf.DUMMYFUNCTION("""COMPUTED_VALUE"""),"Yes")</f>
        <v>Yes</v>
      </c>
      <c r="L541" s="5" t="str">
        <f ca="1">IFERROR(__xludf.DUMMYFUNCTION("""COMPUTED_VALUE"""),"Yes")</f>
        <v>Yes</v>
      </c>
      <c r="M541" s="5" t="str">
        <f ca="1">IFERROR(__xludf.DUMMYFUNCTION("""COMPUTED_VALUE"""),"Yes")</f>
        <v>Yes</v>
      </c>
      <c r="N541" s="5" t="str">
        <f ca="1">IFERROR(__xludf.DUMMYFUNCTION("""COMPUTED_VALUE"""),"Yes")</f>
        <v>Yes</v>
      </c>
      <c r="O541" s="5" t="str">
        <f ca="1">IFERROR(__xludf.DUMMYFUNCTION("""COMPUTED_VALUE"""),"Yes")</f>
        <v>Yes</v>
      </c>
      <c r="P541" s="5" t="str">
        <f ca="1">IFERROR(__xludf.DUMMYFUNCTION("""COMPUTED_VALUE"""),"Yes")</f>
        <v>Yes</v>
      </c>
      <c r="Q541" s="5" t="str">
        <f ca="1">IFERROR(__xludf.DUMMYFUNCTION("""COMPUTED_VALUE"""),"Yes")</f>
        <v>Yes</v>
      </c>
      <c r="R541" s="5" t="str">
        <f ca="1">IFERROR(__xludf.DUMMYFUNCTION("""COMPUTED_VALUE"""),"Yes")</f>
        <v>Yes</v>
      </c>
      <c r="S541" s="5" t="str">
        <f ca="1">IFERROR(__xludf.DUMMYFUNCTION("""COMPUTED_VALUE"""),"Yes")</f>
        <v>Yes</v>
      </c>
      <c r="T541" s="5" t="str">
        <f ca="1">IFERROR(__xludf.DUMMYFUNCTION("""COMPUTED_VALUE"""),"Yes")</f>
        <v>Yes</v>
      </c>
      <c r="U541" s="5" t="str">
        <f ca="1">IFERROR(__xludf.DUMMYFUNCTION("""COMPUTED_VALUE"""),"Yes")</f>
        <v>Yes</v>
      </c>
      <c r="V541" s="5" t="str">
        <f ca="1">IFERROR(__xludf.DUMMYFUNCTION("""COMPUTED_VALUE"""),"Yes")</f>
        <v>Yes</v>
      </c>
      <c r="W541" s="5" t="str">
        <f ca="1">IFERROR(__xludf.DUMMYFUNCTION("""COMPUTED_VALUE"""),"Yes")</f>
        <v>Yes</v>
      </c>
      <c r="X541" s="5" t="str">
        <f ca="1">IFERROR(__xludf.DUMMYFUNCTION("""COMPUTED_VALUE"""),"Yes")</f>
        <v>Yes</v>
      </c>
      <c r="Y541" s="5" t="str">
        <f ca="1">IFERROR(__xludf.DUMMYFUNCTION("""COMPUTED_VALUE"""),"Yes")</f>
        <v>Yes</v>
      </c>
      <c r="Z541" s="5" t="str">
        <f ca="1">IFERROR(__xludf.DUMMYFUNCTION("""COMPUTED_VALUE"""),"Yes")</f>
        <v>Yes</v>
      </c>
      <c r="AA541" s="5" t="str">
        <f ca="1">IFERROR(__xludf.DUMMYFUNCTION("""COMPUTED_VALUE"""),"Yes")</f>
        <v>Yes</v>
      </c>
      <c r="AB541" s="5" t="str">
        <f ca="1">IFERROR(__xludf.DUMMYFUNCTION("""COMPUTED_VALUE"""),"Yes")</f>
        <v>Yes</v>
      </c>
      <c r="AC541" s="5" t="str">
        <f ca="1">IFERROR(__xludf.DUMMYFUNCTION("""COMPUTED_VALUE"""),"No")</f>
        <v>No</v>
      </c>
    </row>
    <row r="542" spans="1:29" x14ac:dyDescent="0.25">
      <c r="A542" s="5" t="str">
        <f ca="1">IFERROR(__xludf.DUMMYFUNCTION("""COMPUTED_VALUE"""),"AdmiralBetWildHot40FreeSpins")</f>
        <v>AdmiralBetWildHot40FreeSpins</v>
      </c>
      <c r="B5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2" s="5" t="str">
        <f ca="1">IFERROR(__xludf.DUMMYFUNCTION("""COMPUTED_VALUE"""),"Yes")</f>
        <v>Yes</v>
      </c>
      <c r="D542" s="5" t="str">
        <f ca="1">IFERROR(__xludf.DUMMYFUNCTION("""COMPUTED_VALUE"""),"Yes")</f>
        <v>Yes</v>
      </c>
      <c r="E542" s="5" t="str">
        <f ca="1">IFERROR(__xludf.DUMMYFUNCTION("""COMPUTED_VALUE"""),"Yes")</f>
        <v>Yes</v>
      </c>
      <c r="F542" s="5" t="str">
        <f ca="1">IFERROR(__xludf.DUMMYFUNCTION("""COMPUTED_VALUE"""),"Yes")</f>
        <v>Yes</v>
      </c>
      <c r="G542" s="5" t="str">
        <f ca="1">IFERROR(__xludf.DUMMYFUNCTION("""COMPUTED_VALUE"""),"Yes")</f>
        <v>Yes</v>
      </c>
      <c r="H542" s="5" t="str">
        <f ca="1">IFERROR(__xludf.DUMMYFUNCTION("""COMPUTED_VALUE"""),"Yes")</f>
        <v>Yes</v>
      </c>
      <c r="I542" s="5" t="str">
        <f ca="1">IFERROR(__xludf.DUMMYFUNCTION("""COMPUTED_VALUE"""),"Yes")</f>
        <v>Yes</v>
      </c>
      <c r="J542" s="5" t="str">
        <f ca="1">IFERROR(__xludf.DUMMYFUNCTION("""COMPUTED_VALUE"""),"Yes")</f>
        <v>Yes</v>
      </c>
      <c r="K542" s="5" t="str">
        <f ca="1">IFERROR(__xludf.DUMMYFUNCTION("""COMPUTED_VALUE"""),"Yes")</f>
        <v>Yes</v>
      </c>
      <c r="L542" s="5" t="str">
        <f ca="1">IFERROR(__xludf.DUMMYFUNCTION("""COMPUTED_VALUE"""),"Yes")</f>
        <v>Yes</v>
      </c>
      <c r="M542" s="5" t="str">
        <f ca="1">IFERROR(__xludf.DUMMYFUNCTION("""COMPUTED_VALUE"""),"Yes")</f>
        <v>Yes</v>
      </c>
      <c r="N542" s="5" t="str">
        <f ca="1">IFERROR(__xludf.DUMMYFUNCTION("""COMPUTED_VALUE"""),"Yes")</f>
        <v>Yes</v>
      </c>
      <c r="O542" s="5" t="str">
        <f ca="1">IFERROR(__xludf.DUMMYFUNCTION("""COMPUTED_VALUE"""),"Yes")</f>
        <v>Yes</v>
      </c>
      <c r="P542" s="5" t="str">
        <f ca="1">IFERROR(__xludf.DUMMYFUNCTION("""COMPUTED_VALUE"""),"Yes")</f>
        <v>Yes</v>
      </c>
      <c r="Q542" s="5" t="str">
        <f ca="1">IFERROR(__xludf.DUMMYFUNCTION("""COMPUTED_VALUE"""),"Yes")</f>
        <v>Yes</v>
      </c>
      <c r="R542" s="5" t="str">
        <f ca="1">IFERROR(__xludf.DUMMYFUNCTION("""COMPUTED_VALUE"""),"Yes")</f>
        <v>Yes</v>
      </c>
      <c r="S542" s="5" t="str">
        <f ca="1">IFERROR(__xludf.DUMMYFUNCTION("""COMPUTED_VALUE"""),"Yes")</f>
        <v>Yes</v>
      </c>
      <c r="T542" s="5" t="str">
        <f ca="1">IFERROR(__xludf.DUMMYFUNCTION("""COMPUTED_VALUE"""),"Yes")</f>
        <v>Yes</v>
      </c>
      <c r="U542" s="5" t="str">
        <f ca="1">IFERROR(__xludf.DUMMYFUNCTION("""COMPUTED_VALUE"""),"Yes")</f>
        <v>Yes</v>
      </c>
      <c r="V542" s="5" t="str">
        <f ca="1">IFERROR(__xludf.DUMMYFUNCTION("""COMPUTED_VALUE"""),"Yes")</f>
        <v>Yes</v>
      </c>
      <c r="W542" s="5" t="str">
        <f ca="1">IFERROR(__xludf.DUMMYFUNCTION("""COMPUTED_VALUE"""),"Yes")</f>
        <v>Yes</v>
      </c>
      <c r="X542" s="5" t="str">
        <f ca="1">IFERROR(__xludf.DUMMYFUNCTION("""COMPUTED_VALUE"""),"Yes")</f>
        <v>Yes</v>
      </c>
      <c r="Y542" s="5" t="str">
        <f ca="1">IFERROR(__xludf.DUMMYFUNCTION("""COMPUTED_VALUE"""),"Yes")</f>
        <v>Yes</v>
      </c>
      <c r="Z542" s="5" t="str">
        <f ca="1">IFERROR(__xludf.DUMMYFUNCTION("""COMPUTED_VALUE"""),"Yes")</f>
        <v>Yes</v>
      </c>
      <c r="AA542" s="5" t="str">
        <f ca="1">IFERROR(__xludf.DUMMYFUNCTION("""COMPUTED_VALUE"""),"Yes")</f>
        <v>Yes</v>
      </c>
      <c r="AB542" s="5" t="str">
        <f ca="1">IFERROR(__xludf.DUMMYFUNCTION("""COMPUTED_VALUE"""),"Yes")</f>
        <v>Yes</v>
      </c>
      <c r="AC542" s="5" t="str">
        <f ca="1">IFERROR(__xludf.DUMMYFUNCTION("""COMPUTED_VALUE"""),"No")</f>
        <v>No</v>
      </c>
    </row>
    <row r="543" spans="1:29" x14ac:dyDescent="0.25">
      <c r="A543" s="5" t="str">
        <f ca="1">IFERROR(__xludf.DUMMYFUNCTION("""COMPUTED_VALUE"""),"CoinSplashExtreme")</f>
        <v>CoinSplashExtreme</v>
      </c>
      <c r="B5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3" s="5" t="str">
        <f ca="1">IFERROR(__xludf.DUMMYFUNCTION("""COMPUTED_VALUE"""),"Yes")</f>
        <v>Yes</v>
      </c>
      <c r="D543" s="5" t="str">
        <f ca="1">IFERROR(__xludf.DUMMYFUNCTION("""COMPUTED_VALUE"""),"Yes")</f>
        <v>Yes</v>
      </c>
      <c r="E543" s="5" t="str">
        <f ca="1">IFERROR(__xludf.DUMMYFUNCTION("""COMPUTED_VALUE"""),"Yes")</f>
        <v>Yes</v>
      </c>
      <c r="F543" s="5" t="str">
        <f ca="1">IFERROR(__xludf.DUMMYFUNCTION("""COMPUTED_VALUE"""),"Yes")</f>
        <v>Yes</v>
      </c>
      <c r="G543" s="5" t="str">
        <f ca="1">IFERROR(__xludf.DUMMYFUNCTION("""COMPUTED_VALUE"""),"Yes")</f>
        <v>Yes</v>
      </c>
      <c r="H543" s="5" t="str">
        <f ca="1">IFERROR(__xludf.DUMMYFUNCTION("""COMPUTED_VALUE"""),"Yes")</f>
        <v>Yes</v>
      </c>
      <c r="I543" s="5" t="str">
        <f ca="1">IFERROR(__xludf.DUMMYFUNCTION("""COMPUTED_VALUE"""),"Yes")</f>
        <v>Yes</v>
      </c>
      <c r="J543" s="5" t="str">
        <f ca="1">IFERROR(__xludf.DUMMYFUNCTION("""COMPUTED_VALUE"""),"Yes")</f>
        <v>Yes</v>
      </c>
      <c r="K543" s="5" t="str">
        <f ca="1">IFERROR(__xludf.DUMMYFUNCTION("""COMPUTED_VALUE"""),"Yes")</f>
        <v>Yes</v>
      </c>
      <c r="L543" s="5" t="str">
        <f ca="1">IFERROR(__xludf.DUMMYFUNCTION("""COMPUTED_VALUE"""),"Yes")</f>
        <v>Yes</v>
      </c>
      <c r="M543" s="5" t="str">
        <f ca="1">IFERROR(__xludf.DUMMYFUNCTION("""COMPUTED_VALUE"""),"Yes")</f>
        <v>Yes</v>
      </c>
      <c r="N543" s="5" t="str">
        <f ca="1">IFERROR(__xludf.DUMMYFUNCTION("""COMPUTED_VALUE"""),"Yes")</f>
        <v>Yes</v>
      </c>
      <c r="O543" s="5" t="str">
        <f ca="1">IFERROR(__xludf.DUMMYFUNCTION("""COMPUTED_VALUE"""),"Yes")</f>
        <v>Yes</v>
      </c>
      <c r="P543" s="5" t="str">
        <f ca="1">IFERROR(__xludf.DUMMYFUNCTION("""COMPUTED_VALUE"""),"Yes")</f>
        <v>Yes</v>
      </c>
      <c r="Q543" s="5" t="str">
        <f ca="1">IFERROR(__xludf.DUMMYFUNCTION("""COMPUTED_VALUE"""),"Yes")</f>
        <v>Yes</v>
      </c>
      <c r="R543" s="5" t="str">
        <f ca="1">IFERROR(__xludf.DUMMYFUNCTION("""COMPUTED_VALUE"""),"Yes")</f>
        <v>Yes</v>
      </c>
      <c r="S543" s="5" t="str">
        <f ca="1">IFERROR(__xludf.DUMMYFUNCTION("""COMPUTED_VALUE"""),"Yes")</f>
        <v>Yes</v>
      </c>
      <c r="T543" s="5" t="str">
        <f ca="1">IFERROR(__xludf.DUMMYFUNCTION("""COMPUTED_VALUE"""),"Yes")</f>
        <v>Yes</v>
      </c>
      <c r="U543" s="5" t="str">
        <f ca="1">IFERROR(__xludf.DUMMYFUNCTION("""COMPUTED_VALUE"""),"Yes")</f>
        <v>Yes</v>
      </c>
      <c r="V543" s="5" t="str">
        <f ca="1">IFERROR(__xludf.DUMMYFUNCTION("""COMPUTED_VALUE"""),"Yes")</f>
        <v>Yes</v>
      </c>
      <c r="W543" s="5" t="str">
        <f ca="1">IFERROR(__xludf.DUMMYFUNCTION("""COMPUTED_VALUE"""),"Yes")</f>
        <v>Yes</v>
      </c>
      <c r="X543" s="5" t="str">
        <f ca="1">IFERROR(__xludf.DUMMYFUNCTION("""COMPUTED_VALUE"""),"Yes")</f>
        <v>Yes</v>
      </c>
      <c r="Y543" s="5" t="str">
        <f ca="1">IFERROR(__xludf.DUMMYFUNCTION("""COMPUTED_VALUE"""),"Yes")</f>
        <v>Yes</v>
      </c>
      <c r="Z543" s="5" t="str">
        <f ca="1">IFERROR(__xludf.DUMMYFUNCTION("""COMPUTED_VALUE"""),"Yes")</f>
        <v>Yes</v>
      </c>
      <c r="AA543" s="5" t="str">
        <f ca="1">IFERROR(__xludf.DUMMYFUNCTION("""COMPUTED_VALUE"""),"Yes")</f>
        <v>Yes</v>
      </c>
      <c r="AB543" s="5" t="str">
        <f ca="1">IFERROR(__xludf.DUMMYFUNCTION("""COMPUTED_VALUE"""),"Yes")</f>
        <v>Yes</v>
      </c>
      <c r="AC543" s="5" t="str">
        <f ca="1">IFERROR(__xludf.DUMMYFUNCTION("""COMPUTED_VALUE"""),"No")</f>
        <v>No</v>
      </c>
    </row>
    <row r="544" spans="1:29" x14ac:dyDescent="0.25">
      <c r="A544" s="5" t="str">
        <f ca="1">IFERROR(__xludf.DUMMYFUNCTION("""COMPUTED_VALUE"""),"HotClock")</f>
        <v>HotClock</v>
      </c>
      <c r="B5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4" s="5" t="str">
        <f ca="1">IFERROR(__xludf.DUMMYFUNCTION("""COMPUTED_VALUE"""),"Yes")</f>
        <v>Yes</v>
      </c>
      <c r="D544" s="5" t="str">
        <f ca="1">IFERROR(__xludf.DUMMYFUNCTION("""COMPUTED_VALUE"""),"Yes")</f>
        <v>Yes</v>
      </c>
      <c r="E544" s="5" t="str">
        <f ca="1">IFERROR(__xludf.DUMMYFUNCTION("""COMPUTED_VALUE"""),"Yes")</f>
        <v>Yes</v>
      </c>
      <c r="F544" s="5" t="str">
        <f ca="1">IFERROR(__xludf.DUMMYFUNCTION("""COMPUTED_VALUE"""),"Yes")</f>
        <v>Yes</v>
      </c>
      <c r="G544" s="5" t="str">
        <f ca="1">IFERROR(__xludf.DUMMYFUNCTION("""COMPUTED_VALUE"""),"Yes")</f>
        <v>Yes</v>
      </c>
      <c r="H544" s="5" t="str">
        <f ca="1">IFERROR(__xludf.DUMMYFUNCTION("""COMPUTED_VALUE"""),"Yes")</f>
        <v>Yes</v>
      </c>
      <c r="I544" s="5" t="str">
        <f ca="1">IFERROR(__xludf.DUMMYFUNCTION("""COMPUTED_VALUE"""),"Yes")</f>
        <v>Yes</v>
      </c>
      <c r="J544" s="5" t="str">
        <f ca="1">IFERROR(__xludf.DUMMYFUNCTION("""COMPUTED_VALUE"""),"Yes")</f>
        <v>Yes</v>
      </c>
      <c r="K544" s="5" t="str">
        <f ca="1">IFERROR(__xludf.DUMMYFUNCTION("""COMPUTED_VALUE"""),"Yes")</f>
        <v>Yes</v>
      </c>
      <c r="L544" s="5" t="str">
        <f ca="1">IFERROR(__xludf.DUMMYFUNCTION("""COMPUTED_VALUE"""),"Yes")</f>
        <v>Yes</v>
      </c>
      <c r="M544" s="5" t="str">
        <f ca="1">IFERROR(__xludf.DUMMYFUNCTION("""COMPUTED_VALUE"""),"Yes")</f>
        <v>Yes</v>
      </c>
      <c r="N544" s="5" t="str">
        <f ca="1">IFERROR(__xludf.DUMMYFUNCTION("""COMPUTED_VALUE"""),"Yes")</f>
        <v>Yes</v>
      </c>
      <c r="O544" s="5" t="str">
        <f ca="1">IFERROR(__xludf.DUMMYFUNCTION("""COMPUTED_VALUE"""),"Yes")</f>
        <v>Yes</v>
      </c>
      <c r="P544" s="5" t="str">
        <f ca="1">IFERROR(__xludf.DUMMYFUNCTION("""COMPUTED_VALUE"""),"Yes")</f>
        <v>Yes</v>
      </c>
      <c r="Q544" s="5" t="str">
        <f ca="1">IFERROR(__xludf.DUMMYFUNCTION("""COMPUTED_VALUE"""),"Yes")</f>
        <v>Yes</v>
      </c>
      <c r="R544" s="5" t="str">
        <f ca="1">IFERROR(__xludf.DUMMYFUNCTION("""COMPUTED_VALUE"""),"Yes")</f>
        <v>Yes</v>
      </c>
      <c r="S544" s="5" t="str">
        <f ca="1">IFERROR(__xludf.DUMMYFUNCTION("""COMPUTED_VALUE"""),"Yes")</f>
        <v>Yes</v>
      </c>
      <c r="T544" s="5" t="str">
        <f ca="1">IFERROR(__xludf.DUMMYFUNCTION("""COMPUTED_VALUE"""),"Yes")</f>
        <v>Yes</v>
      </c>
      <c r="U544" s="5" t="str">
        <f ca="1">IFERROR(__xludf.DUMMYFUNCTION("""COMPUTED_VALUE"""),"Yes")</f>
        <v>Yes</v>
      </c>
      <c r="V544" s="5" t="str">
        <f ca="1">IFERROR(__xludf.DUMMYFUNCTION("""COMPUTED_VALUE"""),"Yes")</f>
        <v>Yes</v>
      </c>
      <c r="W544" s="5" t="str">
        <f ca="1">IFERROR(__xludf.DUMMYFUNCTION("""COMPUTED_VALUE"""),"Yes")</f>
        <v>Yes</v>
      </c>
      <c r="X544" s="5" t="str">
        <f ca="1">IFERROR(__xludf.DUMMYFUNCTION("""COMPUTED_VALUE"""),"Yes")</f>
        <v>Yes</v>
      </c>
      <c r="Y544" s="5" t="str">
        <f ca="1">IFERROR(__xludf.DUMMYFUNCTION("""COMPUTED_VALUE"""),"Yes")</f>
        <v>Yes</v>
      </c>
      <c r="Z544" s="5" t="str">
        <f ca="1">IFERROR(__xludf.DUMMYFUNCTION("""COMPUTED_VALUE"""),"Yes")</f>
        <v>Yes</v>
      </c>
      <c r="AA544" s="5" t="str">
        <f ca="1">IFERROR(__xludf.DUMMYFUNCTION("""COMPUTED_VALUE"""),"Yes")</f>
        <v>Yes</v>
      </c>
      <c r="AB544" s="5" t="str">
        <f ca="1">IFERROR(__xludf.DUMMYFUNCTION("""COMPUTED_VALUE"""),"Yes")</f>
        <v>Yes</v>
      </c>
      <c r="AC544" s="5" t="str">
        <f ca="1">IFERROR(__xludf.DUMMYFUNCTION("""COMPUTED_VALUE"""),"No")</f>
        <v>No</v>
      </c>
    </row>
    <row r="545" spans="1:29" x14ac:dyDescent="0.25">
      <c r="A545" s="5" t="str">
        <f ca="1">IFERROR(__xludf.DUMMYFUNCTION("""COMPUTED_VALUE"""),"Redstone10WildCrownHalloween")</f>
        <v>Redstone10WildCrownHalloween</v>
      </c>
      <c r="B5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C545" s="5" t="str">
        <f ca="1">IFERROR(__xludf.DUMMYFUNCTION("""COMPUTED_VALUE"""),"Yes")</f>
        <v>Yes</v>
      </c>
      <c r="D545" s="5" t="str">
        <f ca="1">IFERROR(__xludf.DUMMYFUNCTION("""COMPUTED_VALUE"""),"Yes")</f>
        <v>Yes</v>
      </c>
      <c r="E545" s="5" t="str">
        <f ca="1">IFERROR(__xludf.DUMMYFUNCTION("""COMPUTED_VALUE"""),"Yes")</f>
        <v>Yes</v>
      </c>
      <c r="F545" s="5" t="str">
        <f ca="1">IFERROR(__xludf.DUMMYFUNCTION("""COMPUTED_VALUE"""),"Yes")</f>
        <v>Yes</v>
      </c>
      <c r="G545" s="5" t="str">
        <f ca="1">IFERROR(__xludf.DUMMYFUNCTION("""COMPUTED_VALUE"""),"Yes")</f>
        <v>Yes</v>
      </c>
      <c r="H545" s="5" t="str">
        <f ca="1">IFERROR(__xludf.DUMMYFUNCTION("""COMPUTED_VALUE"""),"Yes")</f>
        <v>Yes</v>
      </c>
      <c r="I545" s="5" t="str">
        <f ca="1">IFERROR(__xludf.DUMMYFUNCTION("""COMPUTED_VALUE"""),"Yes")</f>
        <v>Yes</v>
      </c>
      <c r="J545" s="5" t="str">
        <f ca="1">IFERROR(__xludf.DUMMYFUNCTION("""COMPUTED_VALUE"""),"Yes")</f>
        <v>Yes</v>
      </c>
      <c r="K545" s="5" t="str">
        <f ca="1">IFERROR(__xludf.DUMMYFUNCTION("""COMPUTED_VALUE"""),"Yes")</f>
        <v>Yes</v>
      </c>
      <c r="L545" s="5" t="str">
        <f ca="1">IFERROR(__xludf.DUMMYFUNCTION("""COMPUTED_VALUE"""),"Yes")</f>
        <v>Yes</v>
      </c>
      <c r="M545" s="5" t="str">
        <f ca="1">IFERROR(__xludf.DUMMYFUNCTION("""COMPUTED_VALUE"""),"Yes")</f>
        <v>Yes</v>
      </c>
      <c r="N545" s="5" t="str">
        <f ca="1">IFERROR(__xludf.DUMMYFUNCTION("""COMPUTED_VALUE"""),"Yes")</f>
        <v>Yes</v>
      </c>
      <c r="O545" s="5" t="str">
        <f ca="1">IFERROR(__xludf.DUMMYFUNCTION("""COMPUTED_VALUE"""),"Yes")</f>
        <v>Yes</v>
      </c>
      <c r="P545" s="5" t="str">
        <f ca="1">IFERROR(__xludf.DUMMYFUNCTION("""COMPUTED_VALUE"""),"Yes")</f>
        <v>Yes</v>
      </c>
      <c r="Q545" s="5" t="str">
        <f ca="1">IFERROR(__xludf.DUMMYFUNCTION("""COMPUTED_VALUE"""),"Yes")</f>
        <v>Yes</v>
      </c>
      <c r="R545" s="5" t="str">
        <f ca="1">IFERROR(__xludf.DUMMYFUNCTION("""COMPUTED_VALUE"""),"Yes")</f>
        <v>Yes</v>
      </c>
      <c r="S545" s="5" t="str">
        <f ca="1">IFERROR(__xludf.DUMMYFUNCTION("""COMPUTED_VALUE"""),"Yes")</f>
        <v>Yes</v>
      </c>
      <c r="T545" s="5" t="str">
        <f ca="1">IFERROR(__xludf.DUMMYFUNCTION("""COMPUTED_VALUE"""),"Yes")</f>
        <v>Yes</v>
      </c>
      <c r="U545" s="5" t="str">
        <f ca="1">IFERROR(__xludf.DUMMYFUNCTION("""COMPUTED_VALUE"""),"Yes")</f>
        <v>Yes</v>
      </c>
      <c r="V545" s="5"/>
      <c r="W545" s="5"/>
      <c r="X545" s="5"/>
      <c r="Y545" s="5"/>
      <c r="Z545" s="5" t="str">
        <f ca="1">IFERROR(__xludf.DUMMYFUNCTION("""COMPUTED_VALUE"""),"Yes")</f>
        <v>Yes</v>
      </c>
      <c r="AA545" s="5"/>
      <c r="AB545" s="5" t="str">
        <f ca="1">IFERROR(__xludf.DUMMYFUNCTION("""COMPUTED_VALUE"""),"Yes")</f>
        <v>Yes</v>
      </c>
      <c r="AC545" s="5"/>
    </row>
    <row r="546" spans="1:29" x14ac:dyDescent="0.25">
      <c r="A546" s="5" t="str">
        <f ca="1">IFERROR(__xludf.DUMMYFUNCTION("""COMPUTED_VALUE"""),"Redstone5CloverFireHalloween")</f>
        <v>Redstone5CloverFireHalloween</v>
      </c>
      <c r="B5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C546" s="5" t="str">
        <f ca="1">IFERROR(__xludf.DUMMYFUNCTION("""COMPUTED_VALUE"""),"Yes")</f>
        <v>Yes</v>
      </c>
      <c r="D546" s="5" t="str">
        <f ca="1">IFERROR(__xludf.DUMMYFUNCTION("""COMPUTED_VALUE"""),"Yes")</f>
        <v>Yes</v>
      </c>
      <c r="E546" s="5" t="str">
        <f ca="1">IFERROR(__xludf.DUMMYFUNCTION("""COMPUTED_VALUE"""),"Yes")</f>
        <v>Yes</v>
      </c>
      <c r="F546" s="5" t="str">
        <f ca="1">IFERROR(__xludf.DUMMYFUNCTION("""COMPUTED_VALUE"""),"Yes")</f>
        <v>Yes</v>
      </c>
      <c r="G546" s="5" t="str">
        <f ca="1">IFERROR(__xludf.DUMMYFUNCTION("""COMPUTED_VALUE"""),"Yes")</f>
        <v>Yes</v>
      </c>
      <c r="H546" s="5" t="str">
        <f ca="1">IFERROR(__xludf.DUMMYFUNCTION("""COMPUTED_VALUE"""),"Yes")</f>
        <v>Yes</v>
      </c>
      <c r="I546" s="5" t="str">
        <f ca="1">IFERROR(__xludf.DUMMYFUNCTION("""COMPUTED_VALUE"""),"Yes")</f>
        <v>Yes</v>
      </c>
      <c r="J546" s="5" t="str">
        <f ca="1">IFERROR(__xludf.DUMMYFUNCTION("""COMPUTED_VALUE"""),"Yes")</f>
        <v>Yes</v>
      </c>
      <c r="K546" s="5" t="str">
        <f ca="1">IFERROR(__xludf.DUMMYFUNCTION("""COMPUTED_VALUE"""),"Yes")</f>
        <v>Yes</v>
      </c>
      <c r="L546" s="5" t="str">
        <f ca="1">IFERROR(__xludf.DUMMYFUNCTION("""COMPUTED_VALUE"""),"Yes")</f>
        <v>Yes</v>
      </c>
      <c r="M546" s="5" t="str">
        <f ca="1">IFERROR(__xludf.DUMMYFUNCTION("""COMPUTED_VALUE"""),"Yes")</f>
        <v>Yes</v>
      </c>
      <c r="N546" s="5" t="str">
        <f ca="1">IFERROR(__xludf.DUMMYFUNCTION("""COMPUTED_VALUE"""),"Yes")</f>
        <v>Yes</v>
      </c>
      <c r="O546" s="5" t="str">
        <f ca="1">IFERROR(__xludf.DUMMYFUNCTION("""COMPUTED_VALUE"""),"Yes")</f>
        <v>Yes</v>
      </c>
      <c r="P546" s="5" t="str">
        <f ca="1">IFERROR(__xludf.DUMMYFUNCTION("""COMPUTED_VALUE"""),"Yes")</f>
        <v>Yes</v>
      </c>
      <c r="Q546" s="5" t="str">
        <f ca="1">IFERROR(__xludf.DUMMYFUNCTION("""COMPUTED_VALUE"""),"Yes")</f>
        <v>Yes</v>
      </c>
      <c r="R546" s="5" t="str">
        <f ca="1">IFERROR(__xludf.DUMMYFUNCTION("""COMPUTED_VALUE"""),"Yes")</f>
        <v>Yes</v>
      </c>
      <c r="S546" s="5" t="str">
        <f ca="1">IFERROR(__xludf.DUMMYFUNCTION("""COMPUTED_VALUE"""),"Yes")</f>
        <v>Yes</v>
      </c>
      <c r="T546" s="5" t="str">
        <f ca="1">IFERROR(__xludf.DUMMYFUNCTION("""COMPUTED_VALUE"""),"Yes")</f>
        <v>Yes</v>
      </c>
      <c r="U546" s="5" t="str">
        <f ca="1">IFERROR(__xludf.DUMMYFUNCTION("""COMPUTED_VALUE"""),"Yes")</f>
        <v>Yes</v>
      </c>
      <c r="V546" s="5" t="str">
        <f ca="1">IFERROR(__xludf.DUMMYFUNCTION("""COMPUTED_VALUE"""),"Yes")</f>
        <v>Yes</v>
      </c>
      <c r="W546" s="5" t="str">
        <f ca="1">IFERROR(__xludf.DUMMYFUNCTION("""COMPUTED_VALUE"""),"Yes")</f>
        <v>Yes</v>
      </c>
      <c r="X546" s="5"/>
      <c r="Y546" s="5"/>
      <c r="Z546" s="5" t="str">
        <f ca="1">IFERROR(__xludf.DUMMYFUNCTION("""COMPUTED_VALUE"""),"Yes")</f>
        <v>Yes</v>
      </c>
      <c r="AA546" s="5"/>
      <c r="AB546" s="5" t="str">
        <f ca="1">IFERROR(__xludf.DUMMYFUNCTION("""COMPUTED_VALUE"""),"Yes")</f>
        <v>Yes</v>
      </c>
      <c r="AC546" s="5"/>
    </row>
    <row r="547" spans="1:29" x14ac:dyDescent="0.25">
      <c r="A547" s="5" t="str">
        <f ca="1">IFERROR(__xludf.DUMMYFUNCTION("""COMPUTED_VALUE"""),"FruitLock7")</f>
        <v>FruitLock7</v>
      </c>
      <c r="B5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7" s="5" t="str">
        <f ca="1">IFERROR(__xludf.DUMMYFUNCTION("""COMPUTED_VALUE"""),"Yes")</f>
        <v>Yes</v>
      </c>
      <c r="D547" s="5" t="str">
        <f ca="1">IFERROR(__xludf.DUMMYFUNCTION("""COMPUTED_VALUE"""),"Yes")</f>
        <v>Yes</v>
      </c>
      <c r="E547" s="5" t="str">
        <f ca="1">IFERROR(__xludf.DUMMYFUNCTION("""COMPUTED_VALUE"""),"Yes")</f>
        <v>Yes</v>
      </c>
      <c r="F547" s="5" t="str">
        <f ca="1">IFERROR(__xludf.DUMMYFUNCTION("""COMPUTED_VALUE"""),"Yes")</f>
        <v>Yes</v>
      </c>
      <c r="G547" s="5" t="str">
        <f ca="1">IFERROR(__xludf.DUMMYFUNCTION("""COMPUTED_VALUE"""),"Yes")</f>
        <v>Yes</v>
      </c>
      <c r="H547" s="5" t="str">
        <f ca="1">IFERROR(__xludf.DUMMYFUNCTION("""COMPUTED_VALUE"""),"Yes")</f>
        <v>Yes</v>
      </c>
      <c r="I547" s="5" t="str">
        <f ca="1">IFERROR(__xludf.DUMMYFUNCTION("""COMPUTED_VALUE"""),"Yes")</f>
        <v>Yes</v>
      </c>
      <c r="J547" s="5" t="str">
        <f ca="1">IFERROR(__xludf.DUMMYFUNCTION("""COMPUTED_VALUE"""),"Yes")</f>
        <v>Yes</v>
      </c>
      <c r="K547" s="5" t="str">
        <f ca="1">IFERROR(__xludf.DUMMYFUNCTION("""COMPUTED_VALUE"""),"Yes")</f>
        <v>Yes</v>
      </c>
      <c r="L547" s="5" t="str">
        <f ca="1">IFERROR(__xludf.DUMMYFUNCTION("""COMPUTED_VALUE"""),"Yes")</f>
        <v>Yes</v>
      </c>
      <c r="M547" s="5" t="str">
        <f ca="1">IFERROR(__xludf.DUMMYFUNCTION("""COMPUTED_VALUE"""),"Yes")</f>
        <v>Yes</v>
      </c>
      <c r="N547" s="5" t="str">
        <f ca="1">IFERROR(__xludf.DUMMYFUNCTION("""COMPUTED_VALUE"""),"Yes")</f>
        <v>Yes</v>
      </c>
      <c r="O547" s="5" t="str">
        <f ca="1">IFERROR(__xludf.DUMMYFUNCTION("""COMPUTED_VALUE"""),"Yes")</f>
        <v>Yes</v>
      </c>
      <c r="P547" s="5" t="str">
        <f ca="1">IFERROR(__xludf.DUMMYFUNCTION("""COMPUTED_VALUE"""),"Yes")</f>
        <v>Yes</v>
      </c>
      <c r="Q547" s="5" t="str">
        <f ca="1">IFERROR(__xludf.DUMMYFUNCTION("""COMPUTED_VALUE"""),"Yes")</f>
        <v>Yes</v>
      </c>
      <c r="R547" s="5" t="str">
        <f ca="1">IFERROR(__xludf.DUMMYFUNCTION("""COMPUTED_VALUE"""),"Yes")</f>
        <v>Yes</v>
      </c>
      <c r="S547" s="5" t="str">
        <f ca="1">IFERROR(__xludf.DUMMYFUNCTION("""COMPUTED_VALUE"""),"Yes")</f>
        <v>Yes</v>
      </c>
      <c r="T547" s="5" t="str">
        <f ca="1">IFERROR(__xludf.DUMMYFUNCTION("""COMPUTED_VALUE"""),"Yes")</f>
        <v>Yes</v>
      </c>
      <c r="U547" s="5" t="str">
        <f ca="1">IFERROR(__xludf.DUMMYFUNCTION("""COMPUTED_VALUE"""),"Yes")</f>
        <v>Yes</v>
      </c>
      <c r="V547" s="5" t="str">
        <f ca="1">IFERROR(__xludf.DUMMYFUNCTION("""COMPUTED_VALUE"""),"Yes")</f>
        <v>Yes</v>
      </c>
      <c r="W547" s="5" t="str">
        <f ca="1">IFERROR(__xludf.DUMMYFUNCTION("""COMPUTED_VALUE"""),"Yes")</f>
        <v>Yes</v>
      </c>
      <c r="X547" s="5" t="str">
        <f ca="1">IFERROR(__xludf.DUMMYFUNCTION("""COMPUTED_VALUE"""),"Yes")</f>
        <v>Yes</v>
      </c>
      <c r="Y547" s="5" t="str">
        <f ca="1">IFERROR(__xludf.DUMMYFUNCTION("""COMPUTED_VALUE"""),"Yes")</f>
        <v>Yes</v>
      </c>
      <c r="Z547" s="5" t="str">
        <f ca="1">IFERROR(__xludf.DUMMYFUNCTION("""COMPUTED_VALUE"""),"Yes")</f>
        <v>Yes</v>
      </c>
      <c r="AA547" s="5" t="str">
        <f ca="1">IFERROR(__xludf.DUMMYFUNCTION("""COMPUTED_VALUE"""),"Yes")</f>
        <v>Yes</v>
      </c>
      <c r="AB547" s="5" t="str">
        <f ca="1">IFERROR(__xludf.DUMMYFUNCTION("""COMPUTED_VALUE"""),"Yes")</f>
        <v>Yes</v>
      </c>
      <c r="AC547" s="5" t="str">
        <f ca="1">IFERROR(__xludf.DUMMYFUNCTION("""COMPUTED_VALUE"""),"No")</f>
        <v>No</v>
      </c>
    </row>
    <row r="548" spans="1:29" x14ac:dyDescent="0.25">
      <c r="A548" s="5" t="str">
        <f ca="1">IFERROR(__xludf.DUMMYFUNCTION("""COMPUTED_VALUE"""),"GoldenCrownHalloween")</f>
        <v>GoldenCrownHalloween</v>
      </c>
      <c r="B5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8" s="5" t="str">
        <f ca="1">IFERROR(__xludf.DUMMYFUNCTION("""COMPUTED_VALUE"""),"Yes")</f>
        <v>Yes</v>
      </c>
      <c r="D548" s="5" t="str">
        <f ca="1">IFERROR(__xludf.DUMMYFUNCTION("""COMPUTED_VALUE"""),"Yes")</f>
        <v>Yes</v>
      </c>
      <c r="E548" s="5" t="str">
        <f ca="1">IFERROR(__xludf.DUMMYFUNCTION("""COMPUTED_VALUE"""),"Yes")</f>
        <v>Yes</v>
      </c>
      <c r="F548" s="5" t="str">
        <f ca="1">IFERROR(__xludf.DUMMYFUNCTION("""COMPUTED_VALUE"""),"Yes")</f>
        <v>Yes</v>
      </c>
      <c r="G548" s="5" t="str">
        <f ca="1">IFERROR(__xludf.DUMMYFUNCTION("""COMPUTED_VALUE"""),"Yes")</f>
        <v>Yes</v>
      </c>
      <c r="H548" s="5" t="str">
        <f ca="1">IFERROR(__xludf.DUMMYFUNCTION("""COMPUTED_VALUE"""),"Yes")</f>
        <v>Yes</v>
      </c>
      <c r="I548" s="5" t="str">
        <f ca="1">IFERROR(__xludf.DUMMYFUNCTION("""COMPUTED_VALUE"""),"Yes")</f>
        <v>Yes</v>
      </c>
      <c r="J548" s="5" t="str">
        <f ca="1">IFERROR(__xludf.DUMMYFUNCTION("""COMPUTED_VALUE"""),"Yes")</f>
        <v>Yes</v>
      </c>
      <c r="K548" s="5" t="str">
        <f ca="1">IFERROR(__xludf.DUMMYFUNCTION("""COMPUTED_VALUE"""),"Yes")</f>
        <v>Yes</v>
      </c>
      <c r="L548" s="5" t="str">
        <f ca="1">IFERROR(__xludf.DUMMYFUNCTION("""COMPUTED_VALUE"""),"Yes")</f>
        <v>Yes</v>
      </c>
      <c r="M548" s="5" t="str">
        <f ca="1">IFERROR(__xludf.DUMMYFUNCTION("""COMPUTED_VALUE"""),"Yes")</f>
        <v>Yes</v>
      </c>
      <c r="N548" s="5" t="str">
        <f ca="1">IFERROR(__xludf.DUMMYFUNCTION("""COMPUTED_VALUE"""),"Yes")</f>
        <v>Yes</v>
      </c>
      <c r="O548" s="5" t="str">
        <f ca="1">IFERROR(__xludf.DUMMYFUNCTION("""COMPUTED_VALUE"""),"Yes")</f>
        <v>Yes</v>
      </c>
      <c r="P548" s="5" t="str">
        <f ca="1">IFERROR(__xludf.DUMMYFUNCTION("""COMPUTED_VALUE"""),"Yes")</f>
        <v>Yes</v>
      </c>
      <c r="Q548" s="5" t="str">
        <f ca="1">IFERROR(__xludf.DUMMYFUNCTION("""COMPUTED_VALUE"""),"Yes")</f>
        <v>Yes</v>
      </c>
      <c r="R548" s="5" t="str">
        <f ca="1">IFERROR(__xludf.DUMMYFUNCTION("""COMPUTED_VALUE"""),"Yes")</f>
        <v>Yes</v>
      </c>
      <c r="S548" s="5" t="str">
        <f ca="1">IFERROR(__xludf.DUMMYFUNCTION("""COMPUTED_VALUE"""),"Yes")</f>
        <v>Yes</v>
      </c>
      <c r="T548" s="5" t="str">
        <f ca="1">IFERROR(__xludf.DUMMYFUNCTION("""COMPUTED_VALUE"""),"Yes")</f>
        <v>Yes</v>
      </c>
      <c r="U548" s="5" t="str">
        <f ca="1">IFERROR(__xludf.DUMMYFUNCTION("""COMPUTED_VALUE"""),"Yes")</f>
        <v>Yes</v>
      </c>
      <c r="V548" s="5" t="str">
        <f ca="1">IFERROR(__xludf.DUMMYFUNCTION("""COMPUTED_VALUE"""),"Yes")</f>
        <v>Yes</v>
      </c>
      <c r="W548" s="5" t="str">
        <f ca="1">IFERROR(__xludf.DUMMYFUNCTION("""COMPUTED_VALUE"""),"Yes")</f>
        <v>Yes</v>
      </c>
      <c r="X548" s="5" t="str">
        <f ca="1">IFERROR(__xludf.DUMMYFUNCTION("""COMPUTED_VALUE"""),"Yes")</f>
        <v>Yes</v>
      </c>
      <c r="Y548" s="5" t="str">
        <f ca="1">IFERROR(__xludf.DUMMYFUNCTION("""COMPUTED_VALUE"""),"Yes")</f>
        <v>Yes</v>
      </c>
      <c r="Z548" s="5" t="str">
        <f ca="1">IFERROR(__xludf.DUMMYFUNCTION("""COMPUTED_VALUE"""),"Yes")</f>
        <v>Yes</v>
      </c>
      <c r="AA548" s="5" t="str">
        <f ca="1">IFERROR(__xludf.DUMMYFUNCTION("""COMPUTED_VALUE"""),"Yes")</f>
        <v>Yes</v>
      </c>
      <c r="AB548" s="5" t="str">
        <f ca="1">IFERROR(__xludf.DUMMYFUNCTION("""COMPUTED_VALUE"""),"Yes")</f>
        <v>Yes</v>
      </c>
      <c r="AC548" s="5" t="str">
        <f ca="1">IFERROR(__xludf.DUMMYFUNCTION("""COMPUTED_VALUE"""),"No")</f>
        <v>No</v>
      </c>
    </row>
    <row r="549" spans="1:29" x14ac:dyDescent="0.25">
      <c r="A549" s="5" t="str">
        <f ca="1">IFERROR(__xludf.DUMMYFUNCTION("""COMPUTED_VALUE"""),"Wild27Halloween")</f>
        <v>Wild27Halloween</v>
      </c>
      <c r="B5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9" s="5" t="str">
        <f ca="1">IFERROR(__xludf.DUMMYFUNCTION("""COMPUTED_VALUE"""),"Yes")</f>
        <v>Yes</v>
      </c>
      <c r="D549" s="5" t="str">
        <f ca="1">IFERROR(__xludf.DUMMYFUNCTION("""COMPUTED_VALUE"""),"Yes")</f>
        <v>Yes</v>
      </c>
      <c r="E549" s="5" t="str">
        <f ca="1">IFERROR(__xludf.DUMMYFUNCTION("""COMPUTED_VALUE"""),"Yes")</f>
        <v>Yes</v>
      </c>
      <c r="F549" s="5" t="str">
        <f ca="1">IFERROR(__xludf.DUMMYFUNCTION("""COMPUTED_VALUE"""),"Yes")</f>
        <v>Yes</v>
      </c>
      <c r="G549" s="5" t="str">
        <f ca="1">IFERROR(__xludf.DUMMYFUNCTION("""COMPUTED_VALUE"""),"Yes")</f>
        <v>Yes</v>
      </c>
      <c r="H549" s="5" t="str">
        <f ca="1">IFERROR(__xludf.DUMMYFUNCTION("""COMPUTED_VALUE"""),"Yes")</f>
        <v>Yes</v>
      </c>
      <c r="I549" s="5" t="str">
        <f ca="1">IFERROR(__xludf.DUMMYFUNCTION("""COMPUTED_VALUE"""),"Yes")</f>
        <v>Yes</v>
      </c>
      <c r="J549" s="5" t="str">
        <f ca="1">IFERROR(__xludf.DUMMYFUNCTION("""COMPUTED_VALUE"""),"Yes")</f>
        <v>Yes</v>
      </c>
      <c r="K549" s="5" t="str">
        <f ca="1">IFERROR(__xludf.DUMMYFUNCTION("""COMPUTED_VALUE"""),"Yes")</f>
        <v>Yes</v>
      </c>
      <c r="L549" s="5" t="str">
        <f ca="1">IFERROR(__xludf.DUMMYFUNCTION("""COMPUTED_VALUE"""),"Yes")</f>
        <v>Yes</v>
      </c>
      <c r="M549" s="5" t="str">
        <f ca="1">IFERROR(__xludf.DUMMYFUNCTION("""COMPUTED_VALUE"""),"Yes")</f>
        <v>Yes</v>
      </c>
      <c r="N549" s="5" t="str">
        <f ca="1">IFERROR(__xludf.DUMMYFUNCTION("""COMPUTED_VALUE"""),"Yes")</f>
        <v>Yes</v>
      </c>
      <c r="O549" s="5" t="str">
        <f ca="1">IFERROR(__xludf.DUMMYFUNCTION("""COMPUTED_VALUE"""),"Yes")</f>
        <v>Yes</v>
      </c>
      <c r="P549" s="5" t="str">
        <f ca="1">IFERROR(__xludf.DUMMYFUNCTION("""COMPUTED_VALUE"""),"Yes")</f>
        <v>Yes</v>
      </c>
      <c r="Q549" s="5" t="str">
        <f ca="1">IFERROR(__xludf.DUMMYFUNCTION("""COMPUTED_VALUE"""),"Yes")</f>
        <v>Yes</v>
      </c>
      <c r="R549" s="5" t="str">
        <f ca="1">IFERROR(__xludf.DUMMYFUNCTION("""COMPUTED_VALUE"""),"Yes")</f>
        <v>Yes</v>
      </c>
      <c r="S549" s="5" t="str">
        <f ca="1">IFERROR(__xludf.DUMMYFUNCTION("""COMPUTED_VALUE"""),"Yes")</f>
        <v>Yes</v>
      </c>
      <c r="T549" s="5" t="str">
        <f ca="1">IFERROR(__xludf.DUMMYFUNCTION("""COMPUTED_VALUE"""),"Yes")</f>
        <v>Yes</v>
      </c>
      <c r="U549" s="5" t="str">
        <f ca="1">IFERROR(__xludf.DUMMYFUNCTION("""COMPUTED_VALUE"""),"Yes")</f>
        <v>Yes</v>
      </c>
      <c r="V549" s="5" t="str">
        <f ca="1">IFERROR(__xludf.DUMMYFUNCTION("""COMPUTED_VALUE"""),"Yes")</f>
        <v>Yes</v>
      </c>
      <c r="W549" s="5" t="str">
        <f ca="1">IFERROR(__xludf.DUMMYFUNCTION("""COMPUTED_VALUE"""),"Yes")</f>
        <v>Yes</v>
      </c>
      <c r="X549" s="5" t="str">
        <f ca="1">IFERROR(__xludf.DUMMYFUNCTION("""COMPUTED_VALUE"""),"Yes")</f>
        <v>Yes</v>
      </c>
      <c r="Y549" s="5" t="str">
        <f ca="1">IFERROR(__xludf.DUMMYFUNCTION("""COMPUTED_VALUE"""),"Yes")</f>
        <v>Yes</v>
      </c>
      <c r="Z549" s="5" t="str">
        <f ca="1">IFERROR(__xludf.DUMMYFUNCTION("""COMPUTED_VALUE"""),"Yes")</f>
        <v>Yes</v>
      </c>
      <c r="AA549" s="5" t="str">
        <f ca="1">IFERROR(__xludf.DUMMYFUNCTION("""COMPUTED_VALUE"""),"Yes")</f>
        <v>Yes</v>
      </c>
      <c r="AB549" s="5" t="str">
        <f ca="1">IFERROR(__xludf.DUMMYFUNCTION("""COMPUTED_VALUE"""),"Yes")</f>
        <v>Yes</v>
      </c>
      <c r="AC549" s="5" t="str">
        <f ca="1">IFERROR(__xludf.DUMMYFUNCTION("""COMPUTED_VALUE"""),"No")</f>
        <v>No</v>
      </c>
    </row>
    <row r="550" spans="1:29" x14ac:dyDescent="0.25">
      <c r="A550" s="5" t="str">
        <f ca="1">IFERROR(__xludf.DUMMYFUNCTION("""COMPUTED_VALUE"""),"WildWins40")</f>
        <v>WildWins40</v>
      </c>
      <c r="B5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0" s="5" t="str">
        <f ca="1">IFERROR(__xludf.DUMMYFUNCTION("""COMPUTED_VALUE"""),"Yes")</f>
        <v>Yes</v>
      </c>
      <c r="D550" s="5" t="str">
        <f ca="1">IFERROR(__xludf.DUMMYFUNCTION("""COMPUTED_VALUE"""),"Yes")</f>
        <v>Yes</v>
      </c>
      <c r="E550" s="5" t="str">
        <f ca="1">IFERROR(__xludf.DUMMYFUNCTION("""COMPUTED_VALUE"""),"Yes")</f>
        <v>Yes</v>
      </c>
      <c r="F550" s="5" t="str">
        <f ca="1">IFERROR(__xludf.DUMMYFUNCTION("""COMPUTED_VALUE"""),"Yes")</f>
        <v>Yes</v>
      </c>
      <c r="G550" s="5" t="str">
        <f ca="1">IFERROR(__xludf.DUMMYFUNCTION("""COMPUTED_VALUE"""),"Yes")</f>
        <v>Yes</v>
      </c>
      <c r="H550" s="5" t="str">
        <f ca="1">IFERROR(__xludf.DUMMYFUNCTION("""COMPUTED_VALUE"""),"Yes")</f>
        <v>Yes</v>
      </c>
      <c r="I550" s="5" t="str">
        <f ca="1">IFERROR(__xludf.DUMMYFUNCTION("""COMPUTED_VALUE"""),"Yes")</f>
        <v>Yes</v>
      </c>
      <c r="J550" s="5" t="str">
        <f ca="1">IFERROR(__xludf.DUMMYFUNCTION("""COMPUTED_VALUE"""),"Yes")</f>
        <v>Yes</v>
      </c>
      <c r="K550" s="5" t="str">
        <f ca="1">IFERROR(__xludf.DUMMYFUNCTION("""COMPUTED_VALUE"""),"Yes")</f>
        <v>Yes</v>
      </c>
      <c r="L550" s="5" t="str">
        <f ca="1">IFERROR(__xludf.DUMMYFUNCTION("""COMPUTED_VALUE"""),"Yes")</f>
        <v>Yes</v>
      </c>
      <c r="M550" s="5" t="str">
        <f ca="1">IFERROR(__xludf.DUMMYFUNCTION("""COMPUTED_VALUE"""),"Yes")</f>
        <v>Yes</v>
      </c>
      <c r="N550" s="5" t="str">
        <f ca="1">IFERROR(__xludf.DUMMYFUNCTION("""COMPUTED_VALUE"""),"Yes")</f>
        <v>Yes</v>
      </c>
      <c r="O550" s="5" t="str">
        <f ca="1">IFERROR(__xludf.DUMMYFUNCTION("""COMPUTED_VALUE"""),"Yes")</f>
        <v>Yes</v>
      </c>
      <c r="P550" s="5" t="str">
        <f ca="1">IFERROR(__xludf.DUMMYFUNCTION("""COMPUTED_VALUE"""),"Yes")</f>
        <v>Yes</v>
      </c>
      <c r="Q550" s="5" t="str">
        <f ca="1">IFERROR(__xludf.DUMMYFUNCTION("""COMPUTED_VALUE"""),"Yes")</f>
        <v>Yes</v>
      </c>
      <c r="R550" s="5" t="str">
        <f ca="1">IFERROR(__xludf.DUMMYFUNCTION("""COMPUTED_VALUE"""),"Yes")</f>
        <v>Yes</v>
      </c>
      <c r="S550" s="5" t="str">
        <f ca="1">IFERROR(__xludf.DUMMYFUNCTION("""COMPUTED_VALUE"""),"Yes")</f>
        <v>Yes</v>
      </c>
      <c r="T550" s="5" t="str">
        <f ca="1">IFERROR(__xludf.DUMMYFUNCTION("""COMPUTED_VALUE"""),"Yes")</f>
        <v>Yes</v>
      </c>
      <c r="U550" s="5" t="str">
        <f ca="1">IFERROR(__xludf.DUMMYFUNCTION("""COMPUTED_VALUE"""),"Yes")</f>
        <v>Yes</v>
      </c>
      <c r="V550" s="5" t="str">
        <f ca="1">IFERROR(__xludf.DUMMYFUNCTION("""COMPUTED_VALUE"""),"Yes")</f>
        <v>Yes</v>
      </c>
      <c r="W550" s="5" t="str">
        <f ca="1">IFERROR(__xludf.DUMMYFUNCTION("""COMPUTED_VALUE"""),"Yes")</f>
        <v>Yes</v>
      </c>
      <c r="X550" s="5" t="str">
        <f ca="1">IFERROR(__xludf.DUMMYFUNCTION("""COMPUTED_VALUE"""),"Yes")</f>
        <v>Yes</v>
      </c>
      <c r="Y550" s="5" t="str">
        <f ca="1">IFERROR(__xludf.DUMMYFUNCTION("""COMPUTED_VALUE"""),"Yes")</f>
        <v>Yes</v>
      </c>
      <c r="Z550" s="5" t="str">
        <f ca="1">IFERROR(__xludf.DUMMYFUNCTION("""COMPUTED_VALUE"""),"Yes")</f>
        <v>Yes</v>
      </c>
      <c r="AA550" s="5" t="str">
        <f ca="1">IFERROR(__xludf.DUMMYFUNCTION("""COMPUTED_VALUE"""),"Yes")</f>
        <v>Yes</v>
      </c>
      <c r="AB550" s="5" t="str">
        <f ca="1">IFERROR(__xludf.DUMMYFUNCTION("""COMPUTED_VALUE"""),"Yes")</f>
        <v>Yes</v>
      </c>
      <c r="AC550" s="5" t="str">
        <f ca="1">IFERROR(__xludf.DUMMYFUNCTION("""COMPUTED_VALUE"""),"No")</f>
        <v>No</v>
      </c>
    </row>
    <row r="551" spans="1:29" x14ac:dyDescent="0.25">
      <c r="A551" s="5" t="str">
        <f ca="1">IFERROR(__xludf.DUMMYFUNCTION("""COMPUTED_VALUE"""),"sugar-luck")</f>
        <v>sugar-luck</v>
      </c>
      <c r="B5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1" s="5" t="str">
        <f ca="1">IFERROR(__xludf.DUMMYFUNCTION("""COMPUTED_VALUE"""),"Yes")</f>
        <v>Yes</v>
      </c>
      <c r="D551" s="5" t="str">
        <f ca="1">IFERROR(__xludf.DUMMYFUNCTION("""COMPUTED_VALUE"""),"Yes")</f>
        <v>Yes</v>
      </c>
      <c r="E551" s="5" t="str">
        <f ca="1">IFERROR(__xludf.DUMMYFUNCTION("""COMPUTED_VALUE"""),"Yes")</f>
        <v>Yes</v>
      </c>
      <c r="F551" s="5" t="str">
        <f ca="1">IFERROR(__xludf.DUMMYFUNCTION("""COMPUTED_VALUE"""),"Yes")</f>
        <v>Yes</v>
      </c>
      <c r="G551" s="5" t="str">
        <f ca="1">IFERROR(__xludf.DUMMYFUNCTION("""COMPUTED_VALUE"""),"Yes")</f>
        <v>Yes</v>
      </c>
      <c r="H551" s="5" t="str">
        <f ca="1">IFERROR(__xludf.DUMMYFUNCTION("""COMPUTED_VALUE"""),"Yes")</f>
        <v>Yes</v>
      </c>
      <c r="I551" s="5" t="str">
        <f ca="1">IFERROR(__xludf.DUMMYFUNCTION("""COMPUTED_VALUE"""),"Yes")</f>
        <v>Yes</v>
      </c>
      <c r="J551" s="5" t="str">
        <f ca="1">IFERROR(__xludf.DUMMYFUNCTION("""COMPUTED_VALUE"""),"Yes")</f>
        <v>Yes</v>
      </c>
      <c r="K551" s="5" t="str">
        <f ca="1">IFERROR(__xludf.DUMMYFUNCTION("""COMPUTED_VALUE"""),"Yes")</f>
        <v>Yes</v>
      </c>
      <c r="L551" s="5" t="str">
        <f ca="1">IFERROR(__xludf.DUMMYFUNCTION("""COMPUTED_VALUE"""),"Yes")</f>
        <v>Yes</v>
      </c>
      <c r="M551" s="5" t="str">
        <f ca="1">IFERROR(__xludf.DUMMYFUNCTION("""COMPUTED_VALUE"""),"Yes")</f>
        <v>Yes</v>
      </c>
      <c r="N551" s="5" t="str">
        <f ca="1">IFERROR(__xludf.DUMMYFUNCTION("""COMPUTED_VALUE"""),"Yes")</f>
        <v>Yes</v>
      </c>
      <c r="O551" s="5" t="str">
        <f ca="1">IFERROR(__xludf.DUMMYFUNCTION("""COMPUTED_VALUE"""),"Yes")</f>
        <v>Yes</v>
      </c>
      <c r="P551" s="5" t="str">
        <f ca="1">IFERROR(__xludf.DUMMYFUNCTION("""COMPUTED_VALUE"""),"Yes")</f>
        <v>Yes</v>
      </c>
      <c r="Q551" s="5" t="str">
        <f ca="1">IFERROR(__xludf.DUMMYFUNCTION("""COMPUTED_VALUE"""),"Yes")</f>
        <v>Yes</v>
      </c>
      <c r="R551" s="5" t="str">
        <f ca="1">IFERROR(__xludf.DUMMYFUNCTION("""COMPUTED_VALUE"""),"Yes")</f>
        <v>Yes</v>
      </c>
      <c r="S551" s="5" t="str">
        <f ca="1">IFERROR(__xludf.DUMMYFUNCTION("""COMPUTED_VALUE"""),"Yes")</f>
        <v>Yes</v>
      </c>
      <c r="T551" s="5" t="str">
        <f ca="1">IFERROR(__xludf.DUMMYFUNCTION("""COMPUTED_VALUE"""),"Yes")</f>
        <v>Yes</v>
      </c>
      <c r="U551" s="5" t="str">
        <f ca="1">IFERROR(__xludf.DUMMYFUNCTION("""COMPUTED_VALUE"""),"Yes")</f>
        <v>Yes</v>
      </c>
      <c r="V551" s="5" t="str">
        <f ca="1">IFERROR(__xludf.DUMMYFUNCTION("""COMPUTED_VALUE"""),"Yes")</f>
        <v>Yes</v>
      </c>
      <c r="W551" s="5" t="str">
        <f ca="1">IFERROR(__xludf.DUMMYFUNCTION("""COMPUTED_VALUE"""),"Yes")</f>
        <v>Yes</v>
      </c>
      <c r="X551" s="5" t="str">
        <f ca="1">IFERROR(__xludf.DUMMYFUNCTION("""COMPUTED_VALUE"""),"Yes")</f>
        <v>Yes</v>
      </c>
      <c r="Y551" s="5" t="str">
        <f ca="1">IFERROR(__xludf.DUMMYFUNCTION("""COMPUTED_VALUE"""),"Yes")</f>
        <v>Yes</v>
      </c>
      <c r="Z551" s="5" t="str">
        <f ca="1">IFERROR(__xludf.DUMMYFUNCTION("""COMPUTED_VALUE"""),"Yes")</f>
        <v>Yes</v>
      </c>
      <c r="AA551" s="5" t="str">
        <f ca="1">IFERROR(__xludf.DUMMYFUNCTION("""COMPUTED_VALUE"""),"Yes")</f>
        <v>Yes</v>
      </c>
      <c r="AB551" s="5" t="str">
        <f ca="1">IFERROR(__xludf.DUMMYFUNCTION("""COMPUTED_VALUE"""),"Yes")</f>
        <v>Yes</v>
      </c>
      <c r="AC551" s="5"/>
    </row>
    <row r="552" spans="1:29" x14ac:dyDescent="0.25">
      <c r="A552" s="5" t="str">
        <f ca="1">IFERROR(__xludf.DUMMYFUNCTION("""COMPUTED_VALUE"""),"fruity-luck")</f>
        <v>fruity-luck</v>
      </c>
      <c r="B552" s="5" t="str">
        <f ca="1">IFERROR(__xludf.DUMMYFUNCTION("""COMPUTED_VALUE"""),"")</f>
        <v/>
      </c>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row>
    <row r="553" spans="1:29" x14ac:dyDescent="0.25">
      <c r="A553" s="5" t="str">
        <f ca="1">IFERROR(__xludf.DUMMYFUNCTION("""COMPUTED_VALUE"""),"BongoBongoHot40")</f>
        <v>BongoBongoHot40</v>
      </c>
      <c r="B5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3" s="5" t="str">
        <f ca="1">IFERROR(__xludf.DUMMYFUNCTION("""COMPUTED_VALUE"""),"Yes")</f>
        <v>Yes</v>
      </c>
      <c r="D553" s="5" t="str">
        <f ca="1">IFERROR(__xludf.DUMMYFUNCTION("""COMPUTED_VALUE"""),"Yes")</f>
        <v>Yes</v>
      </c>
      <c r="E553" s="5" t="str">
        <f ca="1">IFERROR(__xludf.DUMMYFUNCTION("""COMPUTED_VALUE"""),"Yes")</f>
        <v>Yes</v>
      </c>
      <c r="F553" s="5" t="str">
        <f ca="1">IFERROR(__xludf.DUMMYFUNCTION("""COMPUTED_VALUE"""),"Yes")</f>
        <v>Yes</v>
      </c>
      <c r="G553" s="5" t="str">
        <f ca="1">IFERROR(__xludf.DUMMYFUNCTION("""COMPUTED_VALUE"""),"Yes")</f>
        <v>Yes</v>
      </c>
      <c r="H553" s="5" t="str">
        <f ca="1">IFERROR(__xludf.DUMMYFUNCTION("""COMPUTED_VALUE"""),"Yes")</f>
        <v>Yes</v>
      </c>
      <c r="I553" s="5" t="str">
        <f ca="1">IFERROR(__xludf.DUMMYFUNCTION("""COMPUTED_VALUE"""),"Yes")</f>
        <v>Yes</v>
      </c>
      <c r="J553" s="5" t="str">
        <f ca="1">IFERROR(__xludf.DUMMYFUNCTION("""COMPUTED_VALUE"""),"Yes")</f>
        <v>Yes</v>
      </c>
      <c r="K553" s="5" t="str">
        <f ca="1">IFERROR(__xludf.DUMMYFUNCTION("""COMPUTED_VALUE"""),"Yes")</f>
        <v>Yes</v>
      </c>
      <c r="L553" s="5" t="str">
        <f ca="1">IFERROR(__xludf.DUMMYFUNCTION("""COMPUTED_VALUE"""),"Yes")</f>
        <v>Yes</v>
      </c>
      <c r="M553" s="5" t="str">
        <f ca="1">IFERROR(__xludf.DUMMYFUNCTION("""COMPUTED_VALUE"""),"Yes")</f>
        <v>Yes</v>
      </c>
      <c r="N553" s="5" t="str">
        <f ca="1">IFERROR(__xludf.DUMMYFUNCTION("""COMPUTED_VALUE"""),"Yes")</f>
        <v>Yes</v>
      </c>
      <c r="O553" s="5" t="str">
        <f ca="1">IFERROR(__xludf.DUMMYFUNCTION("""COMPUTED_VALUE"""),"Yes")</f>
        <v>Yes</v>
      </c>
      <c r="P553" s="5" t="str">
        <f ca="1">IFERROR(__xludf.DUMMYFUNCTION("""COMPUTED_VALUE"""),"Yes")</f>
        <v>Yes</v>
      </c>
      <c r="Q553" s="5" t="str">
        <f ca="1">IFERROR(__xludf.DUMMYFUNCTION("""COMPUTED_VALUE"""),"Yes")</f>
        <v>Yes</v>
      </c>
      <c r="R553" s="5" t="str">
        <f ca="1">IFERROR(__xludf.DUMMYFUNCTION("""COMPUTED_VALUE"""),"Yes")</f>
        <v>Yes</v>
      </c>
      <c r="S553" s="5" t="str">
        <f ca="1">IFERROR(__xludf.DUMMYFUNCTION("""COMPUTED_VALUE"""),"Yes")</f>
        <v>Yes</v>
      </c>
      <c r="T553" s="5" t="str">
        <f ca="1">IFERROR(__xludf.DUMMYFUNCTION("""COMPUTED_VALUE"""),"Yes")</f>
        <v>Yes</v>
      </c>
      <c r="U553" s="5" t="str">
        <f ca="1">IFERROR(__xludf.DUMMYFUNCTION("""COMPUTED_VALUE"""),"Yes")</f>
        <v>Yes</v>
      </c>
      <c r="V553" s="5" t="str">
        <f ca="1">IFERROR(__xludf.DUMMYFUNCTION("""COMPUTED_VALUE"""),"Yes")</f>
        <v>Yes</v>
      </c>
      <c r="W553" s="5" t="str">
        <f ca="1">IFERROR(__xludf.DUMMYFUNCTION("""COMPUTED_VALUE"""),"Yes")</f>
        <v>Yes</v>
      </c>
      <c r="X553" s="5" t="str">
        <f ca="1">IFERROR(__xludf.DUMMYFUNCTION("""COMPUTED_VALUE"""),"Yes")</f>
        <v>Yes</v>
      </c>
      <c r="Y553" s="5" t="str">
        <f ca="1">IFERROR(__xludf.DUMMYFUNCTION("""COMPUTED_VALUE"""),"Yes")</f>
        <v>Yes</v>
      </c>
      <c r="Z553" s="5" t="str">
        <f ca="1">IFERROR(__xludf.DUMMYFUNCTION("""COMPUTED_VALUE"""),"Yes")</f>
        <v>Yes</v>
      </c>
      <c r="AA553" s="5" t="str">
        <f ca="1">IFERROR(__xludf.DUMMYFUNCTION("""COMPUTED_VALUE"""),"Yes")</f>
        <v>Yes</v>
      </c>
      <c r="AB553" s="5" t="str">
        <f ca="1">IFERROR(__xludf.DUMMYFUNCTION("""COMPUTED_VALUE"""),"Yes")</f>
        <v>Yes</v>
      </c>
      <c r="AC553" s="5" t="str">
        <f ca="1">IFERROR(__xludf.DUMMYFUNCTION("""COMPUTED_VALUE"""),"No")</f>
        <v>No</v>
      </c>
    </row>
    <row r="554" spans="1:29" x14ac:dyDescent="0.25">
      <c r="A554" s="5" t="str">
        <f ca="1">IFERROR(__xludf.DUMMYFUNCTION("""COMPUTED_VALUE"""),"BetArabiaFreeSpins")</f>
        <v>BetArabiaFreeSpins</v>
      </c>
      <c r="B5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4" s="5" t="str">
        <f ca="1">IFERROR(__xludf.DUMMYFUNCTION("""COMPUTED_VALUE"""),"Yes")</f>
        <v>Yes</v>
      </c>
      <c r="D554" s="5" t="str">
        <f ca="1">IFERROR(__xludf.DUMMYFUNCTION("""COMPUTED_VALUE"""),"Yes")</f>
        <v>Yes</v>
      </c>
      <c r="E554" s="5" t="str">
        <f ca="1">IFERROR(__xludf.DUMMYFUNCTION("""COMPUTED_VALUE"""),"Yes")</f>
        <v>Yes</v>
      </c>
      <c r="F554" s="5" t="str">
        <f ca="1">IFERROR(__xludf.DUMMYFUNCTION("""COMPUTED_VALUE"""),"Yes")</f>
        <v>Yes</v>
      </c>
      <c r="G554" s="5" t="str">
        <f ca="1">IFERROR(__xludf.DUMMYFUNCTION("""COMPUTED_VALUE"""),"Yes")</f>
        <v>Yes</v>
      </c>
      <c r="H554" s="5" t="str">
        <f ca="1">IFERROR(__xludf.DUMMYFUNCTION("""COMPUTED_VALUE"""),"Yes")</f>
        <v>Yes</v>
      </c>
      <c r="I554" s="5" t="str">
        <f ca="1">IFERROR(__xludf.DUMMYFUNCTION("""COMPUTED_VALUE"""),"Yes")</f>
        <v>Yes</v>
      </c>
      <c r="J554" s="5" t="str">
        <f ca="1">IFERROR(__xludf.DUMMYFUNCTION("""COMPUTED_VALUE"""),"Yes")</f>
        <v>Yes</v>
      </c>
      <c r="K554" s="5" t="str">
        <f ca="1">IFERROR(__xludf.DUMMYFUNCTION("""COMPUTED_VALUE"""),"Yes")</f>
        <v>Yes</v>
      </c>
      <c r="L554" s="5" t="str">
        <f ca="1">IFERROR(__xludf.DUMMYFUNCTION("""COMPUTED_VALUE"""),"Yes")</f>
        <v>Yes</v>
      </c>
      <c r="M554" s="5" t="str">
        <f ca="1">IFERROR(__xludf.DUMMYFUNCTION("""COMPUTED_VALUE"""),"Yes")</f>
        <v>Yes</v>
      </c>
      <c r="N554" s="5" t="str">
        <f ca="1">IFERROR(__xludf.DUMMYFUNCTION("""COMPUTED_VALUE"""),"Yes")</f>
        <v>Yes</v>
      </c>
      <c r="O554" s="5" t="str">
        <f ca="1">IFERROR(__xludf.DUMMYFUNCTION("""COMPUTED_VALUE"""),"Yes")</f>
        <v>Yes</v>
      </c>
      <c r="P554" s="5" t="str">
        <f ca="1">IFERROR(__xludf.DUMMYFUNCTION("""COMPUTED_VALUE"""),"Yes")</f>
        <v>Yes</v>
      </c>
      <c r="Q554" s="5" t="str">
        <f ca="1">IFERROR(__xludf.DUMMYFUNCTION("""COMPUTED_VALUE"""),"Yes")</f>
        <v>Yes</v>
      </c>
      <c r="R554" s="5" t="str">
        <f ca="1">IFERROR(__xludf.DUMMYFUNCTION("""COMPUTED_VALUE"""),"Yes")</f>
        <v>Yes</v>
      </c>
      <c r="S554" s="5" t="str">
        <f ca="1">IFERROR(__xludf.DUMMYFUNCTION("""COMPUTED_VALUE"""),"Yes")</f>
        <v>Yes</v>
      </c>
      <c r="T554" s="5" t="str">
        <f ca="1">IFERROR(__xludf.DUMMYFUNCTION("""COMPUTED_VALUE"""),"Yes")</f>
        <v>Yes</v>
      </c>
      <c r="U554" s="5" t="str">
        <f ca="1">IFERROR(__xludf.DUMMYFUNCTION("""COMPUTED_VALUE"""),"Yes")</f>
        <v>Yes</v>
      </c>
      <c r="V554" s="5" t="str">
        <f ca="1">IFERROR(__xludf.DUMMYFUNCTION("""COMPUTED_VALUE"""),"Yes")</f>
        <v>Yes</v>
      </c>
      <c r="W554" s="5" t="str">
        <f ca="1">IFERROR(__xludf.DUMMYFUNCTION("""COMPUTED_VALUE"""),"Yes")</f>
        <v>Yes</v>
      </c>
      <c r="X554" s="5" t="str">
        <f ca="1">IFERROR(__xludf.DUMMYFUNCTION("""COMPUTED_VALUE"""),"Yes")</f>
        <v>Yes</v>
      </c>
      <c r="Y554" s="5" t="str">
        <f ca="1">IFERROR(__xludf.DUMMYFUNCTION("""COMPUTED_VALUE"""),"Yes")</f>
        <v>Yes</v>
      </c>
      <c r="Z554" s="5" t="str">
        <f ca="1">IFERROR(__xludf.DUMMYFUNCTION("""COMPUTED_VALUE"""),"Yes")</f>
        <v>Yes</v>
      </c>
      <c r="AA554" s="5" t="str">
        <f ca="1">IFERROR(__xludf.DUMMYFUNCTION("""COMPUTED_VALUE"""),"Yes")</f>
        <v>Yes</v>
      </c>
      <c r="AB554" s="5" t="str">
        <f ca="1">IFERROR(__xludf.DUMMYFUNCTION("""COMPUTED_VALUE"""),"Yes")</f>
        <v>Yes</v>
      </c>
      <c r="AC554" s="5" t="str">
        <f ca="1">IFERROR(__xludf.DUMMYFUNCTION("""COMPUTED_VALUE"""),"No")</f>
        <v>No</v>
      </c>
    </row>
    <row r="555" spans="1:29" x14ac:dyDescent="0.25">
      <c r="A555" s="5" t="str">
        <f ca="1">IFERROR(__xludf.DUMMYFUNCTION("""COMPUTED_VALUE"""),"UnicornSuperHighRunner")</f>
        <v>UnicornSuperHighRunner</v>
      </c>
      <c r="B555" s="5" t="str">
        <f ca="1">IFERROR(__xludf.DUMMYFUNCTION("""COMPUTED_VALUE"""),"English(""eng"")")</f>
        <v>English("eng")</v>
      </c>
      <c r="C555" s="5" t="str">
        <f ca="1">IFERROR(__xludf.DUMMYFUNCTION("""COMPUTED_VALUE"""),"Yes")</f>
        <v>Yes</v>
      </c>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row>
    <row r="556" spans="1:29" x14ac:dyDescent="0.25">
      <c r="A556" s="5" t="str">
        <f ca="1">IFERROR(__xludf.DUMMYFUNCTION("""COMPUTED_VALUE"""),"PlayNetBrewmastersBank")</f>
        <v>PlayNetBrewmastersBank</v>
      </c>
      <c r="B556" s="5" t="str">
        <f ca="1">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C556" s="5" t="str">
        <f ca="1">IFERROR(__xludf.DUMMYFUNCTION("""COMPUTED_VALUE"""),"Yes")</f>
        <v>Yes</v>
      </c>
      <c r="D556" s="5" t="str">
        <f ca="1">IFERROR(__xludf.DUMMYFUNCTION("""COMPUTED_VALUE"""),"Yes")</f>
        <v>Yes</v>
      </c>
      <c r="E556" s="5"/>
      <c r="F556" s="5" t="str">
        <f ca="1">IFERROR(__xludf.DUMMYFUNCTION("""COMPUTED_VALUE"""),"Yes")</f>
        <v>Yes</v>
      </c>
      <c r="G556" s="5" t="str">
        <f ca="1">IFERROR(__xludf.DUMMYFUNCTION("""COMPUTED_VALUE"""),"Yes")</f>
        <v>Yes</v>
      </c>
      <c r="H556" s="5" t="str">
        <f ca="1">IFERROR(__xludf.DUMMYFUNCTION("""COMPUTED_VALUE"""),"Yes")</f>
        <v>Yes</v>
      </c>
      <c r="I556" s="5" t="str">
        <f ca="1">IFERROR(__xludf.DUMMYFUNCTION("""COMPUTED_VALUE"""),"Yes")</f>
        <v>Yes</v>
      </c>
      <c r="J556" s="5" t="str">
        <f ca="1">IFERROR(__xludf.DUMMYFUNCTION("""COMPUTED_VALUE"""),"Yes")</f>
        <v>Yes</v>
      </c>
      <c r="K556" s="5" t="str">
        <f ca="1">IFERROR(__xludf.DUMMYFUNCTION("""COMPUTED_VALUE"""),"Yes")</f>
        <v>Yes</v>
      </c>
      <c r="L556" s="5" t="str">
        <f ca="1">IFERROR(__xludf.DUMMYFUNCTION("""COMPUTED_VALUE"""),"Yes")</f>
        <v>Yes</v>
      </c>
      <c r="M556" s="5" t="str">
        <f ca="1">IFERROR(__xludf.DUMMYFUNCTION("""COMPUTED_VALUE"""),"Yes")</f>
        <v>Yes</v>
      </c>
      <c r="N556" s="5" t="str">
        <f ca="1">IFERROR(__xludf.DUMMYFUNCTION("""COMPUTED_VALUE"""),"Yes")</f>
        <v>Yes</v>
      </c>
      <c r="O556" s="5" t="str">
        <f ca="1">IFERROR(__xludf.DUMMYFUNCTION("""COMPUTED_VALUE"""),"Yes")</f>
        <v>Yes</v>
      </c>
      <c r="P556" s="5" t="str">
        <f ca="1">IFERROR(__xludf.DUMMYFUNCTION("""COMPUTED_VALUE"""),"Yes")</f>
        <v>Yes</v>
      </c>
      <c r="Q556" s="5"/>
      <c r="R556" s="5"/>
      <c r="S556" s="5"/>
      <c r="T556" s="5"/>
      <c r="U556" s="5"/>
      <c r="V556" s="5"/>
      <c r="W556" s="5"/>
      <c r="X556" s="5"/>
      <c r="Y556" s="5"/>
      <c r="Z556" s="5"/>
      <c r="AA556" s="5"/>
      <c r="AB556" s="5" t="str">
        <f ca="1">IFERROR(__xludf.DUMMYFUNCTION("""COMPUTED_VALUE"""),"Yes")</f>
        <v>Yes</v>
      </c>
      <c r="AC556" s="5"/>
    </row>
    <row r="557" spans="1:29" x14ac:dyDescent="0.25">
      <c r="A557" s="5" t="str">
        <f ca="1">IFERROR(__xludf.DUMMYFUNCTION("""COMPUTED_VALUE"""),"UnicornBigSpinDice")</f>
        <v>UnicornBigSpinDice</v>
      </c>
      <c r="B557" s="5" t="str">
        <f ca="1">IFERROR(__xludf.DUMMYFUNCTION("""COMPUTED_VALUE"""),"Social English(""sen"")")</f>
        <v>Social English("sen")</v>
      </c>
      <c r="C557" s="5"/>
      <c r="D557" s="5"/>
      <c r="E557" s="5"/>
      <c r="F557" s="5"/>
      <c r="G557" s="5"/>
      <c r="H557" s="5"/>
      <c r="I557" s="5"/>
      <c r="J557" s="5"/>
      <c r="K557" s="5"/>
      <c r="L557" s="5"/>
      <c r="M557" s="5"/>
      <c r="N557" s="5"/>
      <c r="O557" s="5"/>
      <c r="P557" s="5"/>
      <c r="Q557" s="5"/>
      <c r="R557" s="5"/>
      <c r="S557" s="5"/>
      <c r="T557" s="5"/>
      <c r="U557" s="5"/>
      <c r="V557" s="5"/>
      <c r="W557" s="5" t="str">
        <f ca="1">IFERROR(__xludf.DUMMYFUNCTION("""COMPUTED_VALUE"""),"Yes")</f>
        <v>Yes</v>
      </c>
      <c r="X557" s="5"/>
      <c r="Y557" s="5"/>
      <c r="Z557" s="5"/>
      <c r="AA557" s="5"/>
      <c r="AB557" s="5"/>
      <c r="AC557" s="5"/>
    </row>
    <row r="558" spans="1:29" x14ac:dyDescent="0.25">
      <c r="A558" s="5" t="str">
        <f ca="1">IFERROR(__xludf.DUMMYFUNCTION("""COMPUTED_VALUE"""),"UnicornFruitIslandDice")</f>
        <v>UnicornFruitIslandDice</v>
      </c>
      <c r="B55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58" s="5" t="str">
        <f ca="1">IFERROR(__xludf.DUMMYFUNCTION("""COMPUTED_VALUE"""),"Yes")</f>
        <v>Yes</v>
      </c>
      <c r="D558" s="5" t="str">
        <f ca="1">IFERROR(__xludf.DUMMYFUNCTION("""COMPUTED_VALUE"""),"Yes")</f>
        <v>Yes</v>
      </c>
      <c r="E558" s="5" t="str">
        <f ca="1">IFERROR(__xludf.DUMMYFUNCTION("""COMPUTED_VALUE"""),"Yes")</f>
        <v>Yes</v>
      </c>
      <c r="F558" s="5"/>
      <c r="G558" s="5"/>
      <c r="H558" s="5"/>
      <c r="I558" s="5"/>
      <c r="J558" s="5"/>
      <c r="K558" s="5" t="str">
        <f ca="1">IFERROR(__xludf.DUMMYFUNCTION("""COMPUTED_VALUE"""),"Yes")</f>
        <v>Yes</v>
      </c>
      <c r="L558" s="5" t="str">
        <f ca="1">IFERROR(__xludf.DUMMYFUNCTION("""COMPUTED_VALUE"""),"Yes")</f>
        <v>Yes</v>
      </c>
      <c r="M558" s="5" t="str">
        <f ca="1">IFERROR(__xludf.DUMMYFUNCTION("""COMPUTED_VALUE"""),"Yes")</f>
        <v>Yes</v>
      </c>
      <c r="N558" s="5" t="str">
        <f ca="1">IFERROR(__xludf.DUMMYFUNCTION("""COMPUTED_VALUE"""),"Yes")</f>
        <v>Yes</v>
      </c>
      <c r="O558" s="5" t="str">
        <f ca="1">IFERROR(__xludf.DUMMYFUNCTION("""COMPUTED_VALUE"""),"Yes")</f>
        <v>Yes</v>
      </c>
      <c r="P558" s="5"/>
      <c r="Q558" s="5" t="str">
        <f ca="1">IFERROR(__xludf.DUMMYFUNCTION("""COMPUTED_VALUE"""),"Yes")</f>
        <v>Yes</v>
      </c>
      <c r="R558" s="5"/>
      <c r="S558" s="5"/>
      <c r="T558" s="5"/>
      <c r="U558" s="5"/>
      <c r="V558" s="5"/>
      <c r="W558" s="5"/>
      <c r="X558" s="5" t="str">
        <f ca="1">IFERROR(__xludf.DUMMYFUNCTION("""COMPUTED_VALUE"""),"Yes")</f>
        <v>Yes</v>
      </c>
      <c r="Y558" s="5"/>
      <c r="Z558" s="5"/>
      <c r="AA558" s="5"/>
      <c r="AB558" s="5" t="str">
        <f ca="1">IFERROR(__xludf.DUMMYFUNCTION("""COMPUTED_VALUE"""),"Yes")</f>
        <v>Yes</v>
      </c>
      <c r="AC558" s="5" t="str">
        <f ca="1">IFERROR(__xludf.DUMMYFUNCTION("""COMPUTED_VALUE"""),"Yes")</f>
        <v>Yes</v>
      </c>
    </row>
    <row r="559" spans="1:29" x14ac:dyDescent="0.25">
      <c r="A559" s="5" t="str">
        <f ca="1">IFERROR(__xludf.DUMMYFUNCTION("""COMPUTED_VALUE"""),"UnicornStormDice")</f>
        <v>UnicornStormDice</v>
      </c>
      <c r="B559" s="5" t="str">
        <f ca="1">IFERROR(__xludf.DUMMYFUNCTION("""COMPUTED_VALUE"""),"English(""eng"")")</f>
        <v>English("eng")</v>
      </c>
      <c r="C559" s="5" t="str">
        <f ca="1">IFERROR(__xludf.DUMMYFUNCTION("""COMPUTED_VALUE"""),"Yes")</f>
        <v>Yes</v>
      </c>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row>
    <row r="560" spans="1:29" x14ac:dyDescent="0.25">
      <c r="A560" s="5" t="str">
        <f ca="1">IFERROR(__xludf.DUMMYFUNCTION("""COMPUTED_VALUE"""),"UnicornSantasRudolf")</f>
        <v>UnicornSantasRudolf</v>
      </c>
      <c r="B56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0" s="5" t="str">
        <f ca="1">IFERROR(__xludf.DUMMYFUNCTION("""COMPUTED_VALUE"""),"Yes")</f>
        <v>Yes</v>
      </c>
      <c r="D560" s="5" t="str">
        <f ca="1">IFERROR(__xludf.DUMMYFUNCTION("""COMPUTED_VALUE"""),"Yes")</f>
        <v>Yes</v>
      </c>
      <c r="E560" s="5" t="str">
        <f ca="1">IFERROR(__xludf.DUMMYFUNCTION("""COMPUTED_VALUE"""),"Yes")</f>
        <v>Yes</v>
      </c>
      <c r="F560" s="5"/>
      <c r="G560" s="5"/>
      <c r="H560" s="5"/>
      <c r="I560" s="5"/>
      <c r="J560" s="5"/>
      <c r="K560" s="5" t="str">
        <f ca="1">IFERROR(__xludf.DUMMYFUNCTION("""COMPUTED_VALUE"""),"Yes")</f>
        <v>Yes</v>
      </c>
      <c r="L560" s="5" t="str">
        <f ca="1">IFERROR(__xludf.DUMMYFUNCTION("""COMPUTED_VALUE"""),"Yes")</f>
        <v>Yes</v>
      </c>
      <c r="M560" s="5" t="str">
        <f ca="1">IFERROR(__xludf.DUMMYFUNCTION("""COMPUTED_VALUE"""),"Yes")</f>
        <v>Yes</v>
      </c>
      <c r="N560" s="5" t="str">
        <f ca="1">IFERROR(__xludf.DUMMYFUNCTION("""COMPUTED_VALUE"""),"Yes")</f>
        <v>Yes</v>
      </c>
      <c r="O560" s="5" t="str">
        <f ca="1">IFERROR(__xludf.DUMMYFUNCTION("""COMPUTED_VALUE"""),"Yes")</f>
        <v>Yes</v>
      </c>
      <c r="P560" s="5"/>
      <c r="Q560" s="5" t="str">
        <f ca="1">IFERROR(__xludf.DUMMYFUNCTION("""COMPUTED_VALUE"""),"Yes")</f>
        <v>Yes</v>
      </c>
      <c r="R560" s="5"/>
      <c r="S560" s="5"/>
      <c r="T560" s="5"/>
      <c r="U560" s="5"/>
      <c r="V560" s="5"/>
      <c r="W560" s="5"/>
      <c r="X560" s="5" t="str">
        <f ca="1">IFERROR(__xludf.DUMMYFUNCTION("""COMPUTED_VALUE"""),"Yes")</f>
        <v>Yes</v>
      </c>
      <c r="Y560" s="5"/>
      <c r="Z560" s="5"/>
      <c r="AA560" s="5"/>
      <c r="AB560" s="5" t="str">
        <f ca="1">IFERROR(__xludf.DUMMYFUNCTION("""COMPUTED_VALUE"""),"Yes")</f>
        <v>Yes</v>
      </c>
      <c r="AC560" s="5" t="str">
        <f ca="1">IFERROR(__xludf.DUMMYFUNCTION("""COMPUTED_VALUE"""),"Yes")</f>
        <v>Yes</v>
      </c>
    </row>
    <row r="561" spans="1:29" x14ac:dyDescent="0.25">
      <c r="A561" s="5" t="str">
        <f ca="1">IFERROR(__xludf.DUMMYFUNCTION("""COMPUTED_VALUE"""),"UnicornGoldLineGems")</f>
        <v>UnicornGoldLineGems</v>
      </c>
      <c r="B56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1" s="5" t="str">
        <f ca="1">IFERROR(__xludf.DUMMYFUNCTION("""COMPUTED_VALUE"""),"Yes")</f>
        <v>Yes</v>
      </c>
      <c r="D561" s="5" t="str">
        <f ca="1">IFERROR(__xludf.DUMMYFUNCTION("""COMPUTED_VALUE"""),"Yes")</f>
        <v>Yes</v>
      </c>
      <c r="E561" s="5" t="str">
        <f ca="1">IFERROR(__xludf.DUMMYFUNCTION("""COMPUTED_VALUE"""),"Yes")</f>
        <v>Yes</v>
      </c>
      <c r="F561" s="5"/>
      <c r="G561" s="5"/>
      <c r="H561" s="5"/>
      <c r="I561" s="5"/>
      <c r="J561" s="5"/>
      <c r="K561" s="5" t="str">
        <f ca="1">IFERROR(__xludf.DUMMYFUNCTION("""COMPUTED_VALUE"""),"Yes")</f>
        <v>Yes</v>
      </c>
      <c r="L561" s="5" t="str">
        <f ca="1">IFERROR(__xludf.DUMMYFUNCTION("""COMPUTED_VALUE"""),"Yes")</f>
        <v>Yes</v>
      </c>
      <c r="M561" s="5" t="str">
        <f ca="1">IFERROR(__xludf.DUMMYFUNCTION("""COMPUTED_VALUE"""),"Yes")</f>
        <v>Yes</v>
      </c>
      <c r="N561" s="5" t="str">
        <f ca="1">IFERROR(__xludf.DUMMYFUNCTION("""COMPUTED_VALUE"""),"Yes")</f>
        <v>Yes</v>
      </c>
      <c r="O561" s="5" t="str">
        <f ca="1">IFERROR(__xludf.DUMMYFUNCTION("""COMPUTED_VALUE"""),"Yes")</f>
        <v>Yes</v>
      </c>
      <c r="P561" s="5"/>
      <c r="Q561" s="5" t="str">
        <f ca="1">IFERROR(__xludf.DUMMYFUNCTION("""COMPUTED_VALUE"""),"Yes")</f>
        <v>Yes</v>
      </c>
      <c r="R561" s="5"/>
      <c r="S561" s="5"/>
      <c r="T561" s="5"/>
      <c r="U561" s="5"/>
      <c r="V561" s="5"/>
      <c r="W561" s="5"/>
      <c r="X561" s="5" t="str">
        <f ca="1">IFERROR(__xludf.DUMMYFUNCTION("""COMPUTED_VALUE"""),"Yes")</f>
        <v>Yes</v>
      </c>
      <c r="Y561" s="5"/>
      <c r="Z561" s="5"/>
      <c r="AA561" s="5"/>
      <c r="AB561" s="5" t="str">
        <f ca="1">IFERROR(__xludf.DUMMYFUNCTION("""COMPUTED_VALUE"""),"Yes")</f>
        <v>Yes</v>
      </c>
      <c r="AC561" s="5" t="str">
        <f ca="1">IFERROR(__xludf.DUMMYFUNCTION("""COMPUTED_VALUE"""),"Yes")</f>
        <v>Yes</v>
      </c>
    </row>
    <row r="562" spans="1:29" x14ac:dyDescent="0.25">
      <c r="A562" s="5" t="str">
        <f ca="1">IFERROR(__xludf.DUMMYFUNCTION("""COMPUTED_VALUE"""),"UnicornChristmasPresents2025")</f>
        <v>UnicornChristmasPresents2025</v>
      </c>
      <c r="B56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2" s="5" t="str">
        <f ca="1">IFERROR(__xludf.DUMMYFUNCTION("""COMPUTED_VALUE"""),"Yes")</f>
        <v>Yes</v>
      </c>
      <c r="D562" s="5" t="str">
        <f ca="1">IFERROR(__xludf.DUMMYFUNCTION("""COMPUTED_VALUE"""),"Yes")</f>
        <v>Yes</v>
      </c>
      <c r="E562" s="5" t="str">
        <f ca="1">IFERROR(__xludf.DUMMYFUNCTION("""COMPUTED_VALUE"""),"Yes")</f>
        <v>Yes</v>
      </c>
      <c r="F562" s="5" t="str">
        <f ca="1">IFERROR(__xludf.DUMMYFUNCTION("""COMPUTED_VALUE"""),"No")</f>
        <v>No</v>
      </c>
      <c r="G562" s="5" t="str">
        <f ca="1">IFERROR(__xludf.DUMMYFUNCTION("""COMPUTED_VALUE"""),"No")</f>
        <v>No</v>
      </c>
      <c r="H562" s="5" t="str">
        <f ca="1">IFERROR(__xludf.DUMMYFUNCTION("""COMPUTED_VALUE"""),"No")</f>
        <v>No</v>
      </c>
      <c r="I562" s="5" t="str">
        <f ca="1">IFERROR(__xludf.DUMMYFUNCTION("""COMPUTED_VALUE"""),"No")</f>
        <v>No</v>
      </c>
      <c r="J562" s="5" t="str">
        <f ca="1">IFERROR(__xludf.DUMMYFUNCTION("""COMPUTED_VALUE"""),"No")</f>
        <v>No</v>
      </c>
      <c r="K562" s="5" t="str">
        <f ca="1">IFERROR(__xludf.DUMMYFUNCTION("""COMPUTED_VALUE"""),"Yes")</f>
        <v>Yes</v>
      </c>
      <c r="L562" s="5" t="str">
        <f ca="1">IFERROR(__xludf.DUMMYFUNCTION("""COMPUTED_VALUE"""),"Yes")</f>
        <v>Yes</v>
      </c>
      <c r="M562" s="5" t="str">
        <f ca="1">IFERROR(__xludf.DUMMYFUNCTION("""COMPUTED_VALUE"""),"Yes")</f>
        <v>Yes</v>
      </c>
      <c r="N562" s="5" t="str">
        <f ca="1">IFERROR(__xludf.DUMMYFUNCTION("""COMPUTED_VALUE"""),"Yes")</f>
        <v>Yes</v>
      </c>
      <c r="O562" s="5" t="str">
        <f ca="1">IFERROR(__xludf.DUMMYFUNCTION("""COMPUTED_VALUE"""),"Yes")</f>
        <v>Yes</v>
      </c>
      <c r="P562" s="5" t="str">
        <f ca="1">IFERROR(__xludf.DUMMYFUNCTION("""COMPUTED_VALUE"""),"No")</f>
        <v>No</v>
      </c>
      <c r="Q562" s="5" t="str">
        <f ca="1">IFERROR(__xludf.DUMMYFUNCTION("""COMPUTED_VALUE"""),"Yes")</f>
        <v>Yes</v>
      </c>
      <c r="R562" s="5" t="str">
        <f ca="1">IFERROR(__xludf.DUMMYFUNCTION("""COMPUTED_VALUE"""),"No")</f>
        <v>No</v>
      </c>
      <c r="S562" s="5" t="str">
        <f ca="1">IFERROR(__xludf.DUMMYFUNCTION("""COMPUTED_VALUE"""),"No")</f>
        <v>No</v>
      </c>
      <c r="T562" s="5" t="str">
        <f ca="1">IFERROR(__xludf.DUMMYFUNCTION("""COMPUTED_VALUE"""),"No")</f>
        <v>No</v>
      </c>
      <c r="U562" s="5" t="str">
        <f ca="1">IFERROR(__xludf.DUMMYFUNCTION("""COMPUTED_VALUE"""),"No")</f>
        <v>No</v>
      </c>
      <c r="V562" s="5" t="str">
        <f ca="1">IFERROR(__xludf.DUMMYFUNCTION("""COMPUTED_VALUE"""),"No")</f>
        <v>No</v>
      </c>
      <c r="W562" s="5" t="str">
        <f ca="1">IFERROR(__xludf.DUMMYFUNCTION("""COMPUTED_VALUE"""),"No")</f>
        <v>No</v>
      </c>
      <c r="X562" s="5" t="str">
        <f ca="1">IFERROR(__xludf.DUMMYFUNCTION("""COMPUTED_VALUE"""),"Yes")</f>
        <v>Yes</v>
      </c>
      <c r="Y562" s="5" t="str">
        <f ca="1">IFERROR(__xludf.DUMMYFUNCTION("""COMPUTED_VALUE"""),"No")</f>
        <v>No</v>
      </c>
      <c r="Z562" s="5" t="str">
        <f ca="1">IFERROR(__xludf.DUMMYFUNCTION("""COMPUTED_VALUE"""),"No")</f>
        <v>No</v>
      </c>
      <c r="AA562" s="5" t="str">
        <f ca="1">IFERROR(__xludf.DUMMYFUNCTION("""COMPUTED_VALUE"""),"No")</f>
        <v>No</v>
      </c>
      <c r="AB562" s="5" t="str">
        <f ca="1">IFERROR(__xludf.DUMMYFUNCTION("""COMPUTED_VALUE"""),"Yes")</f>
        <v>Yes</v>
      </c>
      <c r="AC562" s="5" t="str">
        <f ca="1">IFERROR(__xludf.DUMMYFUNCTION("""COMPUTED_VALUE"""),"Yes")</f>
        <v>Yes</v>
      </c>
    </row>
    <row r="563" spans="1:29" x14ac:dyDescent="0.25">
      <c r="A563" s="5" t="str">
        <f ca="1">IFERROR(__xludf.DUMMYFUNCTION("""COMPUTED_VALUE"""),"UnicornMoneyStandardPlatinum")</f>
        <v>UnicornMoneyStandardPlatinum</v>
      </c>
      <c r="B563"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3" s="5" t="str">
        <f ca="1">IFERROR(__xludf.DUMMYFUNCTION("""COMPUTED_VALUE"""),"Yes")</f>
        <v>Yes</v>
      </c>
      <c r="D563" s="5" t="str">
        <f ca="1">IFERROR(__xludf.DUMMYFUNCTION("""COMPUTED_VALUE"""),"Yes")</f>
        <v>Yes</v>
      </c>
      <c r="E563" s="5" t="str">
        <f ca="1">IFERROR(__xludf.DUMMYFUNCTION("""COMPUTED_VALUE"""),"Yes")</f>
        <v>Yes</v>
      </c>
      <c r="F563" s="5"/>
      <c r="G563" s="5" t="str">
        <f ca="1">IFERROR(__xludf.DUMMYFUNCTION("""COMPUTED_VALUE"""),"Yes")</f>
        <v>Yes</v>
      </c>
      <c r="H563" s="5"/>
      <c r="I563" s="5"/>
      <c r="J563" s="5"/>
      <c r="K563" s="5" t="str">
        <f ca="1">IFERROR(__xludf.DUMMYFUNCTION("""COMPUTED_VALUE"""),"Yes")</f>
        <v>Yes</v>
      </c>
      <c r="L563" s="5" t="str">
        <f ca="1">IFERROR(__xludf.DUMMYFUNCTION("""COMPUTED_VALUE"""),"Yes")</f>
        <v>Yes</v>
      </c>
      <c r="M563" s="5" t="str">
        <f ca="1">IFERROR(__xludf.DUMMYFUNCTION("""COMPUTED_VALUE"""),"Yes")</f>
        <v>Yes</v>
      </c>
      <c r="N563" s="5" t="str">
        <f ca="1">IFERROR(__xludf.DUMMYFUNCTION("""COMPUTED_VALUE"""),"Yes")</f>
        <v>Yes</v>
      </c>
      <c r="O563" s="5" t="str">
        <f ca="1">IFERROR(__xludf.DUMMYFUNCTION("""COMPUTED_VALUE"""),"Yes")</f>
        <v>Yes</v>
      </c>
      <c r="P563" s="5"/>
      <c r="Q563" s="5" t="str">
        <f ca="1">IFERROR(__xludf.DUMMYFUNCTION("""COMPUTED_VALUE"""),"Yes")</f>
        <v>Yes</v>
      </c>
      <c r="R563" s="5"/>
      <c r="S563" s="5"/>
      <c r="T563" s="5"/>
      <c r="U563" s="5"/>
      <c r="V563" s="5"/>
      <c r="W563" s="5"/>
      <c r="X563" s="5" t="str">
        <f ca="1">IFERROR(__xludf.DUMMYFUNCTION("""COMPUTED_VALUE"""),"Yes")</f>
        <v>Yes</v>
      </c>
      <c r="Y563" s="5"/>
      <c r="Z563" s="5"/>
      <c r="AA563" s="5"/>
      <c r="AB563" s="5" t="str">
        <f ca="1">IFERROR(__xludf.DUMMYFUNCTION("""COMPUTED_VALUE"""),"Yes")</f>
        <v>Yes</v>
      </c>
      <c r="AC563" s="5" t="str">
        <f ca="1">IFERROR(__xludf.DUMMYFUNCTION("""COMPUTED_VALUE"""),"Yes")</f>
        <v>Yes</v>
      </c>
    </row>
    <row r="564" spans="1:29" x14ac:dyDescent="0.25">
      <c r="A564" s="5" t="str">
        <f ca="1">IFERROR(__xludf.DUMMYFUNCTION("""COMPUTED_VALUE"""),"UnicornFruitMultipliers")</f>
        <v>UnicornFruitMultipliers</v>
      </c>
      <c r="B564"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4" s="5" t="str">
        <f ca="1">IFERROR(__xludf.DUMMYFUNCTION("""COMPUTED_VALUE"""),"Yes")</f>
        <v>Yes</v>
      </c>
      <c r="D564" s="5" t="str">
        <f ca="1">IFERROR(__xludf.DUMMYFUNCTION("""COMPUTED_VALUE"""),"Yes")</f>
        <v>Yes</v>
      </c>
      <c r="E564" s="5" t="str">
        <f ca="1">IFERROR(__xludf.DUMMYFUNCTION("""COMPUTED_VALUE"""),"Yes")</f>
        <v>Yes</v>
      </c>
      <c r="F564" s="5"/>
      <c r="G564" s="5" t="str">
        <f ca="1">IFERROR(__xludf.DUMMYFUNCTION("""COMPUTED_VALUE"""),"Yes")</f>
        <v>Yes</v>
      </c>
      <c r="H564" s="5"/>
      <c r="I564" s="5"/>
      <c r="J564" s="5"/>
      <c r="K564" s="5" t="str">
        <f ca="1">IFERROR(__xludf.DUMMYFUNCTION("""COMPUTED_VALUE"""),"Yes")</f>
        <v>Yes</v>
      </c>
      <c r="L564" s="5" t="str">
        <f ca="1">IFERROR(__xludf.DUMMYFUNCTION("""COMPUTED_VALUE"""),"Yes")</f>
        <v>Yes</v>
      </c>
      <c r="M564" s="5" t="str">
        <f ca="1">IFERROR(__xludf.DUMMYFUNCTION("""COMPUTED_VALUE"""),"Yes")</f>
        <v>Yes</v>
      </c>
      <c r="N564" s="5" t="str">
        <f ca="1">IFERROR(__xludf.DUMMYFUNCTION("""COMPUTED_VALUE"""),"Yes")</f>
        <v>Yes</v>
      </c>
      <c r="O564" s="5" t="str">
        <f ca="1">IFERROR(__xludf.DUMMYFUNCTION("""COMPUTED_VALUE"""),"Yes")</f>
        <v>Yes</v>
      </c>
      <c r="P564" s="5"/>
      <c r="Q564" s="5" t="str">
        <f ca="1">IFERROR(__xludf.DUMMYFUNCTION("""COMPUTED_VALUE"""),"Yes")</f>
        <v>Yes</v>
      </c>
      <c r="R564" s="5"/>
      <c r="S564" s="5"/>
      <c r="T564" s="5"/>
      <c r="U564" s="5"/>
      <c r="V564" s="5"/>
      <c r="W564" s="5"/>
      <c r="X564" s="5" t="str">
        <f ca="1">IFERROR(__xludf.DUMMYFUNCTION("""COMPUTED_VALUE"""),"Yes")</f>
        <v>Yes</v>
      </c>
      <c r="Y564" s="5"/>
      <c r="Z564" s="5"/>
      <c r="AA564" s="5"/>
      <c r="AB564" s="5" t="str">
        <f ca="1">IFERROR(__xludf.DUMMYFUNCTION("""COMPUTED_VALUE"""),"Yes")</f>
        <v>Yes</v>
      </c>
      <c r="AC564" s="5" t="str">
        <f ca="1">IFERROR(__xludf.DUMMYFUNCTION("""COMPUTED_VALUE"""),"Yes")</f>
        <v>Yes</v>
      </c>
    </row>
    <row r="565" spans="1:29" x14ac:dyDescent="0.25">
      <c r="A565" s="5" t="str">
        <f ca="1">IFERROR(__xludf.DUMMYFUNCTION("""COMPUTED_VALUE"""),"UnicornSevensPay")</f>
        <v>UnicornSevensPay</v>
      </c>
      <c r="B565"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5" s="5" t="str">
        <f ca="1">IFERROR(__xludf.DUMMYFUNCTION("""COMPUTED_VALUE"""),"Yes")</f>
        <v>Yes</v>
      </c>
      <c r="D565" s="5" t="str">
        <f ca="1">IFERROR(__xludf.DUMMYFUNCTION("""COMPUTED_VALUE"""),"Yes")</f>
        <v>Yes</v>
      </c>
      <c r="E565" s="5" t="str">
        <f ca="1">IFERROR(__xludf.DUMMYFUNCTION("""COMPUTED_VALUE"""),"Yes")</f>
        <v>Yes</v>
      </c>
      <c r="F565" s="5"/>
      <c r="G565" s="5" t="str">
        <f ca="1">IFERROR(__xludf.DUMMYFUNCTION("""COMPUTED_VALUE"""),"Yes")</f>
        <v>Yes</v>
      </c>
      <c r="H565" s="5"/>
      <c r="I565" s="5"/>
      <c r="J565" s="5"/>
      <c r="K565" s="5" t="str">
        <f ca="1">IFERROR(__xludf.DUMMYFUNCTION("""COMPUTED_VALUE"""),"Yes")</f>
        <v>Yes</v>
      </c>
      <c r="L565" s="5" t="str">
        <f ca="1">IFERROR(__xludf.DUMMYFUNCTION("""COMPUTED_VALUE"""),"Yes")</f>
        <v>Yes</v>
      </c>
      <c r="M565" s="5" t="str">
        <f ca="1">IFERROR(__xludf.DUMMYFUNCTION("""COMPUTED_VALUE"""),"Yes")</f>
        <v>Yes</v>
      </c>
      <c r="N565" s="5" t="str">
        <f ca="1">IFERROR(__xludf.DUMMYFUNCTION("""COMPUTED_VALUE"""),"Yes")</f>
        <v>Yes</v>
      </c>
      <c r="O565" s="5" t="str">
        <f ca="1">IFERROR(__xludf.DUMMYFUNCTION("""COMPUTED_VALUE"""),"Yes")</f>
        <v>Yes</v>
      </c>
      <c r="P565" s="5"/>
      <c r="Q565" s="5" t="str">
        <f ca="1">IFERROR(__xludf.DUMMYFUNCTION("""COMPUTED_VALUE"""),"Yes")</f>
        <v>Yes</v>
      </c>
      <c r="R565" s="5"/>
      <c r="S565" s="5"/>
      <c r="T565" s="5"/>
      <c r="U565" s="5"/>
      <c r="V565" s="5"/>
      <c r="W565" s="5"/>
      <c r="X565" s="5" t="str">
        <f ca="1">IFERROR(__xludf.DUMMYFUNCTION("""COMPUTED_VALUE"""),"Yes")</f>
        <v>Yes</v>
      </c>
      <c r="Y565" s="5"/>
      <c r="Z565" s="5"/>
      <c r="AA565" s="5"/>
      <c r="AB565" s="5" t="str">
        <f ca="1">IFERROR(__xludf.DUMMYFUNCTION("""COMPUTED_VALUE"""),"Yes")</f>
        <v>Yes</v>
      </c>
      <c r="AC565" s="5" t="str">
        <f ca="1">IFERROR(__xludf.DUMMYFUNCTION("""COMPUTED_VALUE"""),"Yes")</f>
        <v>Yes</v>
      </c>
    </row>
    <row r="566" spans="1:29" x14ac:dyDescent="0.25">
      <c r="A566" s="5" t="str">
        <f ca="1">IFERROR(__xludf.DUMMYFUNCTION("""COMPUTED_VALUE"""),"PlayNetMajesticCrown40")</f>
        <v>PlayNetMajesticCrown40</v>
      </c>
      <c r="B566" s="5" t="str">
        <f ca="1">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C566" s="5" t="str">
        <f ca="1">IFERROR(__xludf.DUMMYFUNCTION("""COMPUTED_VALUE"""),"Yes")</f>
        <v>Yes</v>
      </c>
      <c r="D566" s="5" t="str">
        <f ca="1">IFERROR(__xludf.DUMMYFUNCTION("""COMPUTED_VALUE"""),"Yes")</f>
        <v>Yes</v>
      </c>
      <c r="E566" s="5" t="str">
        <f ca="1">IFERROR(__xludf.DUMMYFUNCTION("""COMPUTED_VALUE"""),"Yes")</f>
        <v>Yes</v>
      </c>
      <c r="F566" s="5" t="str">
        <f ca="1">IFERROR(__xludf.DUMMYFUNCTION("""COMPUTED_VALUE"""),"Yes")</f>
        <v>Yes</v>
      </c>
      <c r="G566" s="5" t="str">
        <f ca="1">IFERROR(__xludf.DUMMYFUNCTION("""COMPUTED_VALUE"""),"Yes")</f>
        <v>Yes</v>
      </c>
      <c r="H566" s="5" t="str">
        <f ca="1">IFERROR(__xludf.DUMMYFUNCTION("""COMPUTED_VALUE"""),"Yes")</f>
        <v>Yes</v>
      </c>
      <c r="I566" s="5" t="str">
        <f ca="1">IFERROR(__xludf.DUMMYFUNCTION("""COMPUTED_VALUE"""),"Yes")</f>
        <v>Yes</v>
      </c>
      <c r="J566" s="5" t="str">
        <f ca="1">IFERROR(__xludf.DUMMYFUNCTION("""COMPUTED_VALUE"""),"Yes")</f>
        <v>Yes</v>
      </c>
      <c r="K566" s="5" t="str">
        <f ca="1">IFERROR(__xludf.DUMMYFUNCTION("""COMPUTED_VALUE"""),"Yes")</f>
        <v>Yes</v>
      </c>
      <c r="L566" s="5" t="str">
        <f ca="1">IFERROR(__xludf.DUMMYFUNCTION("""COMPUTED_VALUE"""),"Yes")</f>
        <v>Yes</v>
      </c>
      <c r="M566" s="5" t="str">
        <f ca="1">IFERROR(__xludf.DUMMYFUNCTION("""COMPUTED_VALUE"""),"Yes")</f>
        <v>Yes</v>
      </c>
      <c r="N566" s="5" t="str">
        <f ca="1">IFERROR(__xludf.DUMMYFUNCTION("""COMPUTED_VALUE"""),"Yes")</f>
        <v>Yes</v>
      </c>
      <c r="O566" s="5" t="str">
        <f ca="1">IFERROR(__xludf.DUMMYFUNCTION("""COMPUTED_VALUE"""),"Yes")</f>
        <v>Yes</v>
      </c>
      <c r="P566" s="5" t="str">
        <f ca="1">IFERROR(__xludf.DUMMYFUNCTION("""COMPUTED_VALUE"""),"Yes")</f>
        <v>Yes</v>
      </c>
      <c r="Q566" s="5" t="str">
        <f ca="1">IFERROR(__xludf.DUMMYFUNCTION("""COMPUTED_VALUE"""),"Yes")</f>
        <v>Yes</v>
      </c>
      <c r="R566" s="5"/>
      <c r="S566" s="5"/>
      <c r="T566" s="5"/>
      <c r="U566" s="5"/>
      <c r="V566" s="5"/>
      <c r="W566" s="5"/>
      <c r="X566" s="5" t="str">
        <f ca="1">IFERROR(__xludf.DUMMYFUNCTION("""COMPUTED_VALUE"""),"Yes")</f>
        <v>Yes</v>
      </c>
      <c r="Y566" s="5"/>
      <c r="Z566" s="5"/>
      <c r="AA566" s="5"/>
      <c r="AB566" s="5" t="str">
        <f ca="1">IFERROR(__xludf.DUMMYFUNCTION("""COMPUTED_VALUE"""),"Yes")</f>
        <v>Yes</v>
      </c>
      <c r="AC566" s="5" t="str">
        <f ca="1">IFERROR(__xludf.DUMMYFUNCTION("""COMPUTED_VALUE"""),"Yes")</f>
        <v>Yes</v>
      </c>
    </row>
    <row r="567" spans="1:29" x14ac:dyDescent="0.25">
      <c r="A567" s="5" t="str">
        <f ca="1">IFERROR(__xludf.DUMMYFUNCTION("""COMPUTED_VALUE"""),"PlayNetNeptunesJewels")</f>
        <v>PlayNetNeptunesJewels</v>
      </c>
      <c r="B567" s="5" t="str">
        <f ca="1">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C567" s="5" t="str">
        <f ca="1">IFERROR(__xludf.DUMMYFUNCTION("""COMPUTED_VALUE"""),"Yes")</f>
        <v>Yes</v>
      </c>
      <c r="D567" s="5" t="str">
        <f ca="1">IFERROR(__xludf.DUMMYFUNCTION("""COMPUTED_VALUE"""),"Yes")</f>
        <v>Yes</v>
      </c>
      <c r="E567" s="5" t="str">
        <f ca="1">IFERROR(__xludf.DUMMYFUNCTION("""COMPUTED_VALUE"""),"No")</f>
        <v>No</v>
      </c>
      <c r="F567" s="5" t="str">
        <f ca="1">IFERROR(__xludf.DUMMYFUNCTION("""COMPUTED_VALUE"""),"Yes")</f>
        <v>Yes</v>
      </c>
      <c r="G567" s="5" t="str">
        <f ca="1">IFERROR(__xludf.DUMMYFUNCTION("""COMPUTED_VALUE"""),"Yes")</f>
        <v>Yes</v>
      </c>
      <c r="H567" s="5" t="str">
        <f ca="1">IFERROR(__xludf.DUMMYFUNCTION("""COMPUTED_VALUE"""),"Yes")</f>
        <v>Yes</v>
      </c>
      <c r="I567" s="5" t="str">
        <f ca="1">IFERROR(__xludf.DUMMYFUNCTION("""COMPUTED_VALUE"""),"Yes")</f>
        <v>Yes</v>
      </c>
      <c r="J567" s="5" t="str">
        <f ca="1">IFERROR(__xludf.DUMMYFUNCTION("""COMPUTED_VALUE"""),"Yes")</f>
        <v>Yes</v>
      </c>
      <c r="K567" s="5" t="str">
        <f ca="1">IFERROR(__xludf.DUMMYFUNCTION("""COMPUTED_VALUE"""),"Yes")</f>
        <v>Yes</v>
      </c>
      <c r="L567" s="5" t="str">
        <f ca="1">IFERROR(__xludf.DUMMYFUNCTION("""COMPUTED_VALUE"""),"Yes")</f>
        <v>Yes</v>
      </c>
      <c r="M567" s="5" t="str">
        <f ca="1">IFERROR(__xludf.DUMMYFUNCTION("""COMPUTED_VALUE"""),"Yes")</f>
        <v>Yes</v>
      </c>
      <c r="N567" s="5" t="str">
        <f ca="1">IFERROR(__xludf.DUMMYFUNCTION("""COMPUTED_VALUE"""),"Yes")</f>
        <v>Yes</v>
      </c>
      <c r="O567" s="5" t="str">
        <f ca="1">IFERROR(__xludf.DUMMYFUNCTION("""COMPUTED_VALUE"""),"Yes")</f>
        <v>Yes</v>
      </c>
      <c r="P567" s="5" t="str">
        <f ca="1">IFERROR(__xludf.DUMMYFUNCTION("""COMPUTED_VALUE"""),"Yes")</f>
        <v>Yes</v>
      </c>
      <c r="Q567" s="5" t="str">
        <f ca="1">IFERROR(__xludf.DUMMYFUNCTION("""COMPUTED_VALUE"""),"Yes")</f>
        <v>Yes</v>
      </c>
      <c r="R567" s="5"/>
      <c r="S567" s="5"/>
      <c r="T567" s="5"/>
      <c r="U567" s="5"/>
      <c r="V567" s="5"/>
      <c r="W567" s="5"/>
      <c r="X567" s="5" t="str">
        <f ca="1">IFERROR(__xludf.DUMMYFUNCTION("""COMPUTED_VALUE"""),"Yes")</f>
        <v>Yes</v>
      </c>
      <c r="Y567" s="5"/>
      <c r="Z567" s="5"/>
      <c r="AA567" s="5"/>
      <c r="AB567" s="5" t="str">
        <f ca="1">IFERROR(__xludf.DUMMYFUNCTION("""COMPUTED_VALUE"""),"Yes")</f>
        <v>Yes</v>
      </c>
      <c r="AC567" s="5" t="str">
        <f ca="1">IFERROR(__xludf.DUMMYFUNCTION("""COMPUTED_VALUE"""),"Yes")</f>
        <v>Yes</v>
      </c>
    </row>
    <row r="568" spans="1:29" x14ac:dyDescent="0.25">
      <c r="A568" s="5" t="str">
        <f ca="1">IFERROR(__xludf.DUMMYFUNCTION("""COMPUTED_VALUE"""),"PlayNet81MagicStars")</f>
        <v>PlayNet81MagicStars</v>
      </c>
      <c r="B568" s="5" t="str">
        <f ca="1">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C568" s="5" t="str">
        <f ca="1">IFERROR(__xludf.DUMMYFUNCTION("""COMPUTED_VALUE"""),"Yes")</f>
        <v>Yes</v>
      </c>
      <c r="D568" s="5" t="str">
        <f ca="1">IFERROR(__xludf.DUMMYFUNCTION("""COMPUTED_VALUE"""),"Yes")</f>
        <v>Yes</v>
      </c>
      <c r="E568" s="5" t="str">
        <f ca="1">IFERROR(__xludf.DUMMYFUNCTION("""COMPUTED_VALUE"""),"No")</f>
        <v>No</v>
      </c>
      <c r="F568" s="5" t="str">
        <f ca="1">IFERROR(__xludf.DUMMYFUNCTION("""COMPUTED_VALUE"""),"Yes")</f>
        <v>Yes</v>
      </c>
      <c r="G568" s="5" t="str">
        <f ca="1">IFERROR(__xludf.DUMMYFUNCTION("""COMPUTED_VALUE"""),"Yes")</f>
        <v>Yes</v>
      </c>
      <c r="H568" s="5" t="str">
        <f ca="1">IFERROR(__xludf.DUMMYFUNCTION("""COMPUTED_VALUE"""),"Yes")</f>
        <v>Yes</v>
      </c>
      <c r="I568" s="5" t="str">
        <f ca="1">IFERROR(__xludf.DUMMYFUNCTION("""COMPUTED_VALUE"""),"Yes")</f>
        <v>Yes</v>
      </c>
      <c r="J568" s="5" t="str">
        <f ca="1">IFERROR(__xludf.DUMMYFUNCTION("""COMPUTED_VALUE"""),"Yes")</f>
        <v>Yes</v>
      </c>
      <c r="K568" s="5" t="str">
        <f ca="1">IFERROR(__xludf.DUMMYFUNCTION("""COMPUTED_VALUE"""),"Yes")</f>
        <v>Yes</v>
      </c>
      <c r="L568" s="5" t="str">
        <f ca="1">IFERROR(__xludf.DUMMYFUNCTION("""COMPUTED_VALUE"""),"Yes")</f>
        <v>Yes</v>
      </c>
      <c r="M568" s="5" t="str">
        <f ca="1">IFERROR(__xludf.DUMMYFUNCTION("""COMPUTED_VALUE"""),"Yes")</f>
        <v>Yes</v>
      </c>
      <c r="N568" s="5" t="str">
        <f ca="1">IFERROR(__xludf.DUMMYFUNCTION("""COMPUTED_VALUE"""),"Yes")</f>
        <v>Yes</v>
      </c>
      <c r="O568" s="5" t="str">
        <f ca="1">IFERROR(__xludf.DUMMYFUNCTION("""COMPUTED_VALUE"""),"Yes")</f>
        <v>Yes</v>
      </c>
      <c r="P568" s="5" t="str">
        <f ca="1">IFERROR(__xludf.DUMMYFUNCTION("""COMPUTED_VALUE"""),"Yes")</f>
        <v>Yes</v>
      </c>
      <c r="Q568" s="5" t="str">
        <f ca="1">IFERROR(__xludf.DUMMYFUNCTION("""COMPUTED_VALUE"""),"Yes")</f>
        <v>Yes</v>
      </c>
      <c r="R568" s="5"/>
      <c r="S568" s="5"/>
      <c r="T568" s="5"/>
      <c r="U568" s="5"/>
      <c r="V568" s="5"/>
      <c r="W568" s="5"/>
      <c r="X568" s="5" t="str">
        <f ca="1">IFERROR(__xludf.DUMMYFUNCTION("""COMPUTED_VALUE"""),"No")</f>
        <v>No</v>
      </c>
      <c r="Y568" s="5"/>
      <c r="Z568" s="5"/>
      <c r="AA568" s="5"/>
      <c r="AB568" s="5" t="str">
        <f ca="1">IFERROR(__xludf.DUMMYFUNCTION("""COMPUTED_VALUE"""),"Yes")</f>
        <v>Yes</v>
      </c>
      <c r="AC568" s="5" t="str">
        <f ca="1">IFERROR(__xludf.DUMMYFUNCTION("""COMPUTED_VALUE"""),"Yes")</f>
        <v>Yes</v>
      </c>
    </row>
    <row r="569" spans="1:29" x14ac:dyDescent="0.25">
      <c r="A569" s="5" t="str">
        <f ca="1">IFERROR(__xludf.DUMMYFUNCTION("""COMPUTED_VALUE"""),"Redstone40CloverField")</f>
        <v>Redstone40CloverField</v>
      </c>
      <c r="B569" s="5" t="str">
        <f ca="1">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C569" s="5" t="str">
        <f ca="1">IFERROR(__xludf.DUMMYFUNCTION("""COMPUTED_VALUE"""),"Yes")</f>
        <v>Yes</v>
      </c>
      <c r="D569" s="5" t="str">
        <f ca="1">IFERROR(__xludf.DUMMYFUNCTION("""COMPUTED_VALUE"""),"Yes")</f>
        <v>Yes</v>
      </c>
      <c r="E569" s="5" t="str">
        <f ca="1">IFERROR(__xludf.DUMMYFUNCTION("""COMPUTED_VALUE"""),"Yes")</f>
        <v>Yes</v>
      </c>
      <c r="F569" s="5" t="str">
        <f ca="1">IFERROR(__xludf.DUMMYFUNCTION("""COMPUTED_VALUE"""),"Yes")</f>
        <v>Yes</v>
      </c>
      <c r="G569" s="5" t="str">
        <f ca="1">IFERROR(__xludf.DUMMYFUNCTION("""COMPUTED_VALUE"""),"Yes")</f>
        <v>Yes</v>
      </c>
      <c r="H569" s="5" t="str">
        <f ca="1">IFERROR(__xludf.DUMMYFUNCTION("""COMPUTED_VALUE"""),"Yes")</f>
        <v>Yes</v>
      </c>
      <c r="I569" s="5" t="str">
        <f ca="1">IFERROR(__xludf.DUMMYFUNCTION("""COMPUTED_VALUE"""),"Yes")</f>
        <v>Yes</v>
      </c>
      <c r="J569" s="5" t="str">
        <f ca="1">IFERROR(__xludf.DUMMYFUNCTION("""COMPUTED_VALUE"""),"Yes")</f>
        <v>Yes</v>
      </c>
      <c r="K569" s="5" t="str">
        <f ca="1">IFERROR(__xludf.DUMMYFUNCTION("""COMPUTED_VALUE"""),"Yes")</f>
        <v>Yes</v>
      </c>
      <c r="L569" s="5" t="str">
        <f ca="1">IFERROR(__xludf.DUMMYFUNCTION("""COMPUTED_VALUE"""),"Yes")</f>
        <v>Yes</v>
      </c>
      <c r="M569" s="5" t="str">
        <f ca="1">IFERROR(__xludf.DUMMYFUNCTION("""COMPUTED_VALUE"""),"Yes")</f>
        <v>Yes</v>
      </c>
      <c r="N569" s="5" t="str">
        <f ca="1">IFERROR(__xludf.DUMMYFUNCTION("""COMPUTED_VALUE"""),"Yes")</f>
        <v>Yes</v>
      </c>
      <c r="O569" s="5" t="str">
        <f ca="1">IFERROR(__xludf.DUMMYFUNCTION("""COMPUTED_VALUE"""),"Yes")</f>
        <v>Yes</v>
      </c>
      <c r="P569" s="5" t="str">
        <f ca="1">IFERROR(__xludf.DUMMYFUNCTION("""COMPUTED_VALUE"""),"Yes")</f>
        <v>Yes</v>
      </c>
      <c r="Q569" s="5" t="str">
        <f ca="1">IFERROR(__xludf.DUMMYFUNCTION("""COMPUTED_VALUE"""),"Yes")</f>
        <v>Yes</v>
      </c>
      <c r="R569" s="5" t="str">
        <f ca="1">IFERROR(__xludf.DUMMYFUNCTION("""COMPUTED_VALUE"""),"Yes")</f>
        <v>Yes</v>
      </c>
      <c r="S569" s="5" t="str">
        <f ca="1">IFERROR(__xludf.DUMMYFUNCTION("""COMPUTED_VALUE"""),"Yes")</f>
        <v>Yes</v>
      </c>
      <c r="T569" s="5" t="str">
        <f ca="1">IFERROR(__xludf.DUMMYFUNCTION("""COMPUTED_VALUE"""),"No")</f>
        <v>No</v>
      </c>
      <c r="U569" s="5" t="str">
        <f ca="1">IFERROR(__xludf.DUMMYFUNCTION("""COMPUTED_VALUE"""),"No")</f>
        <v>No</v>
      </c>
      <c r="V569" s="5" t="str">
        <f ca="1">IFERROR(__xludf.DUMMYFUNCTION("""COMPUTED_VALUE"""),"No")</f>
        <v>No</v>
      </c>
      <c r="W569" s="5" t="str">
        <f ca="1">IFERROR(__xludf.DUMMYFUNCTION("""COMPUTED_VALUE"""),"No")</f>
        <v>No</v>
      </c>
      <c r="X569" s="5" t="str">
        <f ca="1">IFERROR(__xludf.DUMMYFUNCTION("""COMPUTED_VALUE"""),"Yes")</f>
        <v>Yes</v>
      </c>
      <c r="Y569" s="5" t="str">
        <f ca="1">IFERROR(__xludf.DUMMYFUNCTION("""COMPUTED_VALUE"""),"No")</f>
        <v>No</v>
      </c>
      <c r="Z569" s="5" t="str">
        <f ca="1">IFERROR(__xludf.DUMMYFUNCTION("""COMPUTED_VALUE"""),"No")</f>
        <v>No</v>
      </c>
      <c r="AA569" s="5" t="str">
        <f ca="1">IFERROR(__xludf.DUMMYFUNCTION("""COMPUTED_VALUE"""),"No")</f>
        <v>No</v>
      </c>
      <c r="AB569" s="5" t="str">
        <f ca="1">IFERROR(__xludf.DUMMYFUNCTION("""COMPUTED_VALUE"""),"Yes")</f>
        <v>Yes</v>
      </c>
      <c r="AC569" s="5" t="str">
        <f ca="1">IFERROR(__xludf.DUMMYFUNCTION("""COMPUTED_VALUE"""),"No")</f>
        <v>No</v>
      </c>
    </row>
    <row r="570" spans="1:29" x14ac:dyDescent="0.25">
      <c r="A570" s="5" t="str">
        <f ca="1">IFERROR(__xludf.DUMMYFUNCTION("""COMPUTED_VALUE"""),"PlayNetElfAndRoll")</f>
        <v>PlayNetElfAndRoll</v>
      </c>
      <c r="B57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0" s="5" t="str">
        <f ca="1">IFERROR(__xludf.DUMMYFUNCTION("""COMPUTED_VALUE"""),"Yes")</f>
        <v>Yes</v>
      </c>
      <c r="D570" s="5" t="str">
        <f ca="1">IFERROR(__xludf.DUMMYFUNCTION("""COMPUTED_VALUE"""),"Yes")</f>
        <v>Yes</v>
      </c>
      <c r="E570" s="5" t="str">
        <f ca="1">IFERROR(__xludf.DUMMYFUNCTION("""COMPUTED_VALUE"""),"No")</f>
        <v>No</v>
      </c>
      <c r="F570" s="5" t="str">
        <f ca="1">IFERROR(__xludf.DUMMYFUNCTION("""COMPUTED_VALUE"""),"Yes")</f>
        <v>Yes</v>
      </c>
      <c r="G570" s="5" t="str">
        <f ca="1">IFERROR(__xludf.DUMMYFUNCTION("""COMPUTED_VALUE"""),"Yes")</f>
        <v>Yes</v>
      </c>
      <c r="H570" s="5" t="str">
        <f ca="1">IFERROR(__xludf.DUMMYFUNCTION("""COMPUTED_VALUE"""),"Yes")</f>
        <v>Yes</v>
      </c>
      <c r="I570" s="5" t="str">
        <f ca="1">IFERROR(__xludf.DUMMYFUNCTION("""COMPUTED_VALUE"""),"Yes")</f>
        <v>Yes</v>
      </c>
      <c r="J570" s="5" t="str">
        <f ca="1">IFERROR(__xludf.DUMMYFUNCTION("""COMPUTED_VALUE"""),"Yes")</f>
        <v>Yes</v>
      </c>
      <c r="K570" s="5" t="str">
        <f ca="1">IFERROR(__xludf.DUMMYFUNCTION("""COMPUTED_VALUE"""),"Yes")</f>
        <v>Yes</v>
      </c>
      <c r="L570" s="5" t="str">
        <f ca="1">IFERROR(__xludf.DUMMYFUNCTION("""COMPUTED_VALUE"""),"Yes")</f>
        <v>Yes</v>
      </c>
      <c r="M570" s="5" t="str">
        <f ca="1">IFERROR(__xludf.DUMMYFUNCTION("""COMPUTED_VALUE"""),"Yes")</f>
        <v>Yes</v>
      </c>
      <c r="N570" s="5" t="str">
        <f ca="1">IFERROR(__xludf.DUMMYFUNCTION("""COMPUTED_VALUE"""),"Yes")</f>
        <v>Yes</v>
      </c>
      <c r="O570" s="5" t="str">
        <f ca="1">IFERROR(__xludf.DUMMYFUNCTION("""COMPUTED_VALUE"""),"Yes")</f>
        <v>Yes</v>
      </c>
      <c r="P570" s="5" t="str">
        <f ca="1">IFERROR(__xludf.DUMMYFUNCTION("""COMPUTED_VALUE"""),"Yes")</f>
        <v>Yes</v>
      </c>
      <c r="Q570" s="5" t="str">
        <f ca="1">IFERROR(__xludf.DUMMYFUNCTION("""COMPUTED_VALUE"""),"Yes")</f>
        <v>Yes</v>
      </c>
      <c r="R570" s="5" t="str">
        <f ca="1">IFERROR(__xludf.DUMMYFUNCTION("""COMPUTED_VALUE"""),"No")</f>
        <v>No</v>
      </c>
      <c r="S570" s="5" t="str">
        <f ca="1">IFERROR(__xludf.DUMMYFUNCTION("""COMPUTED_VALUE"""),"No")</f>
        <v>No</v>
      </c>
      <c r="T570" s="5" t="str">
        <f ca="1">IFERROR(__xludf.DUMMYFUNCTION("""COMPUTED_VALUE"""),"No")</f>
        <v>No</v>
      </c>
      <c r="U570" s="5" t="str">
        <f ca="1">IFERROR(__xludf.DUMMYFUNCTION("""COMPUTED_VALUE"""),"No")</f>
        <v>No</v>
      </c>
      <c r="V570" s="5" t="str">
        <f ca="1">IFERROR(__xludf.DUMMYFUNCTION("""COMPUTED_VALUE"""),"No")</f>
        <v>No</v>
      </c>
      <c r="W570" s="5" t="str">
        <f ca="1">IFERROR(__xludf.DUMMYFUNCTION("""COMPUTED_VALUE"""),"No")</f>
        <v>No</v>
      </c>
      <c r="X570" s="5" t="str">
        <f ca="1">IFERROR(__xludf.DUMMYFUNCTION("""COMPUTED_VALUE"""),"No")</f>
        <v>No</v>
      </c>
      <c r="Y570" s="5" t="str">
        <f ca="1">IFERROR(__xludf.DUMMYFUNCTION("""COMPUTED_VALUE"""),"No")</f>
        <v>No</v>
      </c>
      <c r="Z570" s="5" t="str">
        <f ca="1">IFERROR(__xludf.DUMMYFUNCTION("""COMPUTED_VALUE"""),"No")</f>
        <v>No</v>
      </c>
      <c r="AA570" s="5" t="str">
        <f ca="1">IFERROR(__xludf.DUMMYFUNCTION("""COMPUTED_VALUE"""),"No")</f>
        <v>No</v>
      </c>
      <c r="AB570" s="5" t="str">
        <f ca="1">IFERROR(__xludf.DUMMYFUNCTION("""COMPUTED_VALUE"""),"Yes")</f>
        <v>Yes</v>
      </c>
      <c r="AC570" s="5" t="str">
        <f ca="1">IFERROR(__xludf.DUMMYFUNCTION("""COMPUTED_VALUE"""),"No")</f>
        <v>No</v>
      </c>
    </row>
    <row r="571" spans="1:29" x14ac:dyDescent="0.25">
      <c r="A571" s="5" t="str">
        <f ca="1">IFERROR(__xludf.DUMMYFUNCTION("""COMPUTED_VALUE"""),"RedstoneMultiHeart5")</f>
        <v>RedstoneMultiHeart5</v>
      </c>
      <c r="B57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1" s="5" t="str">
        <f ca="1">IFERROR(__xludf.DUMMYFUNCTION("""COMPUTED_VALUE"""),"Yes")</f>
        <v>Yes</v>
      </c>
      <c r="D571" s="5" t="str">
        <f ca="1">IFERROR(__xludf.DUMMYFUNCTION("""COMPUTED_VALUE"""),"Yes")</f>
        <v>Yes</v>
      </c>
      <c r="E571" s="5" t="str">
        <f ca="1">IFERROR(__xludf.DUMMYFUNCTION("""COMPUTED_VALUE"""),"Yes")</f>
        <v>Yes</v>
      </c>
      <c r="F571" s="5" t="str">
        <f ca="1">IFERROR(__xludf.DUMMYFUNCTION("""COMPUTED_VALUE"""),"Yes")</f>
        <v>Yes</v>
      </c>
      <c r="G571" s="5" t="str">
        <f ca="1">IFERROR(__xludf.DUMMYFUNCTION("""COMPUTED_VALUE"""),"Yes")</f>
        <v>Yes</v>
      </c>
      <c r="H571" s="5" t="str">
        <f ca="1">IFERROR(__xludf.DUMMYFUNCTION("""COMPUTED_VALUE"""),"Yes")</f>
        <v>Yes</v>
      </c>
      <c r="I571" s="5" t="str">
        <f ca="1">IFERROR(__xludf.DUMMYFUNCTION("""COMPUTED_VALUE"""),"Yes")</f>
        <v>Yes</v>
      </c>
      <c r="J571" s="5" t="str">
        <f ca="1">IFERROR(__xludf.DUMMYFUNCTION("""COMPUTED_VALUE"""),"Yes")</f>
        <v>Yes</v>
      </c>
      <c r="K571" s="5" t="str">
        <f ca="1">IFERROR(__xludf.DUMMYFUNCTION("""COMPUTED_VALUE"""),"Yes")</f>
        <v>Yes</v>
      </c>
      <c r="L571" s="5" t="str">
        <f ca="1">IFERROR(__xludf.DUMMYFUNCTION("""COMPUTED_VALUE"""),"Yes")</f>
        <v>Yes</v>
      </c>
      <c r="M571" s="5" t="str">
        <f ca="1">IFERROR(__xludf.DUMMYFUNCTION("""COMPUTED_VALUE"""),"Yes")</f>
        <v>Yes</v>
      </c>
      <c r="N571" s="5" t="str">
        <f ca="1">IFERROR(__xludf.DUMMYFUNCTION("""COMPUTED_VALUE"""),"Yes")</f>
        <v>Yes</v>
      </c>
      <c r="O571" s="5" t="str">
        <f ca="1">IFERROR(__xludf.DUMMYFUNCTION("""COMPUTED_VALUE"""),"Yes")</f>
        <v>Yes</v>
      </c>
      <c r="P571" s="5" t="str">
        <f ca="1">IFERROR(__xludf.DUMMYFUNCTION("""COMPUTED_VALUE"""),"Yes")</f>
        <v>Yes</v>
      </c>
      <c r="Q571" s="5" t="str">
        <f ca="1">IFERROR(__xludf.DUMMYFUNCTION("""COMPUTED_VALUE"""),"Yes")</f>
        <v>Yes</v>
      </c>
      <c r="R571" s="5" t="str">
        <f ca="1">IFERROR(__xludf.DUMMYFUNCTION("""COMPUTED_VALUE"""),"No")</f>
        <v>No</v>
      </c>
      <c r="S571" s="5" t="str">
        <f ca="1">IFERROR(__xludf.DUMMYFUNCTION("""COMPUTED_VALUE"""),"No")</f>
        <v>No</v>
      </c>
      <c r="T571" s="5" t="str">
        <f ca="1">IFERROR(__xludf.DUMMYFUNCTION("""COMPUTED_VALUE"""),"No")</f>
        <v>No</v>
      </c>
      <c r="U571" s="5" t="str">
        <f ca="1">IFERROR(__xludf.DUMMYFUNCTION("""COMPUTED_VALUE"""),"No")</f>
        <v>No</v>
      </c>
      <c r="V571" s="5" t="str">
        <f ca="1">IFERROR(__xludf.DUMMYFUNCTION("""COMPUTED_VALUE"""),"No")</f>
        <v>No</v>
      </c>
      <c r="W571" s="5" t="str">
        <f ca="1">IFERROR(__xludf.DUMMYFUNCTION("""COMPUTED_VALUE"""),"No")</f>
        <v>No</v>
      </c>
      <c r="X571" s="5" t="str">
        <f ca="1">IFERROR(__xludf.DUMMYFUNCTION("""COMPUTED_VALUE"""),"Yes")</f>
        <v>Yes</v>
      </c>
      <c r="Y571" s="5" t="str">
        <f ca="1">IFERROR(__xludf.DUMMYFUNCTION("""COMPUTED_VALUE"""),"No")</f>
        <v>No</v>
      </c>
      <c r="Z571" s="5" t="str">
        <f ca="1">IFERROR(__xludf.DUMMYFUNCTION("""COMPUTED_VALUE"""),"No")</f>
        <v>No</v>
      </c>
      <c r="AA571" s="5" t="str">
        <f ca="1">IFERROR(__xludf.DUMMYFUNCTION("""COMPUTED_VALUE"""),"No")</f>
        <v>No</v>
      </c>
      <c r="AB571" s="5" t="str">
        <f ca="1">IFERROR(__xludf.DUMMYFUNCTION("""COMPUTED_VALUE"""),"Yes")</f>
        <v>Yes</v>
      </c>
      <c r="AC571" s="5" t="str">
        <f ca="1">IFERROR(__xludf.DUMMYFUNCTION("""COMPUTED_VALUE"""),"No")</f>
        <v>No</v>
      </c>
    </row>
    <row r="572" spans="1:29" x14ac:dyDescent="0.25">
      <c r="A572" s="5" t="str">
        <f ca="1">IFERROR(__xludf.DUMMYFUNCTION("""COMPUTED_VALUE"""),"Redstone20WildHeart")</f>
        <v>Redstone20WildHeart</v>
      </c>
      <c r="B57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2" s="5" t="str">
        <f ca="1">IFERROR(__xludf.DUMMYFUNCTION("""COMPUTED_VALUE"""),"Yes")</f>
        <v>Yes</v>
      </c>
      <c r="D572" s="5" t="str">
        <f ca="1">IFERROR(__xludf.DUMMYFUNCTION("""COMPUTED_VALUE"""),"Yes")</f>
        <v>Yes</v>
      </c>
      <c r="E572" s="5" t="str">
        <f ca="1">IFERROR(__xludf.DUMMYFUNCTION("""COMPUTED_VALUE"""),"No")</f>
        <v>No</v>
      </c>
      <c r="F572" s="5" t="str">
        <f ca="1">IFERROR(__xludf.DUMMYFUNCTION("""COMPUTED_VALUE"""),"Yes")</f>
        <v>Yes</v>
      </c>
      <c r="G572" s="5" t="str">
        <f ca="1">IFERROR(__xludf.DUMMYFUNCTION("""COMPUTED_VALUE"""),"Yes")</f>
        <v>Yes</v>
      </c>
      <c r="H572" s="5" t="str">
        <f ca="1">IFERROR(__xludf.DUMMYFUNCTION("""COMPUTED_VALUE"""),"Yes")</f>
        <v>Yes</v>
      </c>
      <c r="I572" s="5" t="str">
        <f ca="1">IFERROR(__xludf.DUMMYFUNCTION("""COMPUTED_VALUE"""),"Yes")</f>
        <v>Yes</v>
      </c>
      <c r="J572" s="5" t="str">
        <f ca="1">IFERROR(__xludf.DUMMYFUNCTION("""COMPUTED_VALUE"""),"Yes")</f>
        <v>Yes</v>
      </c>
      <c r="K572" s="5" t="str">
        <f ca="1">IFERROR(__xludf.DUMMYFUNCTION("""COMPUTED_VALUE"""),"Yes")</f>
        <v>Yes</v>
      </c>
      <c r="L572" s="5" t="str">
        <f ca="1">IFERROR(__xludf.DUMMYFUNCTION("""COMPUTED_VALUE"""),"Yes")</f>
        <v>Yes</v>
      </c>
      <c r="M572" s="5" t="str">
        <f ca="1">IFERROR(__xludf.DUMMYFUNCTION("""COMPUTED_VALUE"""),"Yes")</f>
        <v>Yes</v>
      </c>
      <c r="N572" s="5" t="str">
        <f ca="1">IFERROR(__xludf.DUMMYFUNCTION("""COMPUTED_VALUE"""),"Yes")</f>
        <v>Yes</v>
      </c>
      <c r="O572" s="5" t="str">
        <f ca="1">IFERROR(__xludf.DUMMYFUNCTION("""COMPUTED_VALUE"""),"Yes")</f>
        <v>Yes</v>
      </c>
      <c r="P572" s="5" t="str">
        <f ca="1">IFERROR(__xludf.DUMMYFUNCTION("""COMPUTED_VALUE"""),"Yes")</f>
        <v>Yes</v>
      </c>
      <c r="Q572" s="5" t="str">
        <f ca="1">IFERROR(__xludf.DUMMYFUNCTION("""COMPUTED_VALUE"""),"Yes")</f>
        <v>Yes</v>
      </c>
      <c r="R572" s="5" t="str">
        <f ca="1">IFERROR(__xludf.DUMMYFUNCTION("""COMPUTED_VALUE"""),"No")</f>
        <v>No</v>
      </c>
      <c r="S572" s="5" t="str">
        <f ca="1">IFERROR(__xludf.DUMMYFUNCTION("""COMPUTED_VALUE"""),"No")</f>
        <v>No</v>
      </c>
      <c r="T572" s="5" t="str">
        <f ca="1">IFERROR(__xludf.DUMMYFUNCTION("""COMPUTED_VALUE"""),"No")</f>
        <v>No</v>
      </c>
      <c r="U572" s="5" t="str">
        <f ca="1">IFERROR(__xludf.DUMMYFUNCTION("""COMPUTED_VALUE"""),"No")</f>
        <v>No</v>
      </c>
      <c r="V572" s="5" t="str">
        <f ca="1">IFERROR(__xludf.DUMMYFUNCTION("""COMPUTED_VALUE"""),"No")</f>
        <v>No</v>
      </c>
      <c r="W572" s="5" t="str">
        <f ca="1">IFERROR(__xludf.DUMMYFUNCTION("""COMPUTED_VALUE"""),"No")</f>
        <v>No</v>
      </c>
      <c r="X572" s="5" t="str">
        <f ca="1">IFERROR(__xludf.DUMMYFUNCTION("""COMPUTED_VALUE"""),"Yes")</f>
        <v>Yes</v>
      </c>
      <c r="Y572" s="5" t="str">
        <f ca="1">IFERROR(__xludf.DUMMYFUNCTION("""COMPUTED_VALUE"""),"No")</f>
        <v>No</v>
      </c>
      <c r="Z572" s="5" t="str">
        <f ca="1">IFERROR(__xludf.DUMMYFUNCTION("""COMPUTED_VALUE"""),"No")</f>
        <v>No</v>
      </c>
      <c r="AA572" s="5" t="str">
        <f ca="1">IFERROR(__xludf.DUMMYFUNCTION("""COMPUTED_VALUE"""),"No")</f>
        <v>No</v>
      </c>
      <c r="AB572" s="5" t="str">
        <f ca="1">IFERROR(__xludf.DUMMYFUNCTION("""COMPUTED_VALUE"""),"Yes")</f>
        <v>Yes</v>
      </c>
      <c r="AC572" s="5" t="str">
        <f ca="1">IFERROR(__xludf.DUMMYFUNCTION("""COMPUTED_VALUE"""),"No")</f>
        <v>No</v>
      </c>
    </row>
    <row r="573" spans="1:29" x14ac:dyDescent="0.25">
      <c r="A573" s="5" t="str">
        <f ca="1">IFERROR(__xludf.DUMMYFUNCTION("""COMPUTED_VALUE"""),"PlayNetFortuneCloverX2Xmas")</f>
        <v>PlayNetFortuneCloverX2Xmas</v>
      </c>
      <c r="B573" s="5" t="str">
        <f ca="1">IFERROR(__xludf.DUMMYFUNCTION("""COMPUTED_VALUE"""),"")</f>
        <v/>
      </c>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row>
    <row r="574" spans="1:29" x14ac:dyDescent="0.25">
      <c r="A574" s="5" t="str">
        <f ca="1">IFERROR(__xludf.DUMMYFUNCTION("""COMPUTED_VALUE"""),"RedstoneChilliHot40")</f>
        <v>RedstoneChilliHot40</v>
      </c>
      <c r="B57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4" s="5" t="str">
        <f ca="1">IFERROR(__xludf.DUMMYFUNCTION("""COMPUTED_VALUE"""),"Yes")</f>
        <v>Yes</v>
      </c>
      <c r="D574" s="5" t="str">
        <f ca="1">IFERROR(__xludf.DUMMYFUNCTION("""COMPUTED_VALUE"""),"Yes")</f>
        <v>Yes</v>
      </c>
      <c r="E574" s="5" t="str">
        <f ca="1">IFERROR(__xludf.DUMMYFUNCTION("""COMPUTED_VALUE"""),"No")</f>
        <v>No</v>
      </c>
      <c r="F574" s="5" t="str">
        <f ca="1">IFERROR(__xludf.DUMMYFUNCTION("""COMPUTED_VALUE"""),"Yes")</f>
        <v>Yes</v>
      </c>
      <c r="G574" s="5" t="str">
        <f ca="1">IFERROR(__xludf.DUMMYFUNCTION("""COMPUTED_VALUE"""),"Yes")</f>
        <v>Yes</v>
      </c>
      <c r="H574" s="5" t="str">
        <f ca="1">IFERROR(__xludf.DUMMYFUNCTION("""COMPUTED_VALUE"""),"Yes")</f>
        <v>Yes</v>
      </c>
      <c r="I574" s="5" t="str">
        <f ca="1">IFERROR(__xludf.DUMMYFUNCTION("""COMPUTED_VALUE"""),"Yes")</f>
        <v>Yes</v>
      </c>
      <c r="J574" s="5" t="str">
        <f ca="1">IFERROR(__xludf.DUMMYFUNCTION("""COMPUTED_VALUE"""),"Yes")</f>
        <v>Yes</v>
      </c>
      <c r="K574" s="5" t="str">
        <f ca="1">IFERROR(__xludf.DUMMYFUNCTION("""COMPUTED_VALUE"""),"Yes")</f>
        <v>Yes</v>
      </c>
      <c r="L574" s="5" t="str">
        <f ca="1">IFERROR(__xludf.DUMMYFUNCTION("""COMPUTED_VALUE"""),"Yes")</f>
        <v>Yes</v>
      </c>
      <c r="M574" s="5" t="str">
        <f ca="1">IFERROR(__xludf.DUMMYFUNCTION("""COMPUTED_VALUE"""),"Yes")</f>
        <v>Yes</v>
      </c>
      <c r="N574" s="5" t="str">
        <f ca="1">IFERROR(__xludf.DUMMYFUNCTION("""COMPUTED_VALUE"""),"Yes")</f>
        <v>Yes</v>
      </c>
      <c r="O574" s="5" t="str">
        <f ca="1">IFERROR(__xludf.DUMMYFUNCTION("""COMPUTED_VALUE"""),"Yes")</f>
        <v>Yes</v>
      </c>
      <c r="P574" s="5" t="str">
        <f ca="1">IFERROR(__xludf.DUMMYFUNCTION("""COMPUTED_VALUE"""),"Yes")</f>
        <v>Yes</v>
      </c>
      <c r="Q574" s="5" t="str">
        <f ca="1">IFERROR(__xludf.DUMMYFUNCTION("""COMPUTED_VALUE"""),"Yes")</f>
        <v>Yes</v>
      </c>
      <c r="R574" s="5" t="str">
        <f ca="1">IFERROR(__xludf.DUMMYFUNCTION("""COMPUTED_VALUE"""),"No")</f>
        <v>No</v>
      </c>
      <c r="S574" s="5" t="str">
        <f ca="1">IFERROR(__xludf.DUMMYFUNCTION("""COMPUTED_VALUE"""),"No")</f>
        <v>No</v>
      </c>
      <c r="T574" s="5" t="str">
        <f ca="1">IFERROR(__xludf.DUMMYFUNCTION("""COMPUTED_VALUE"""),"No")</f>
        <v>No</v>
      </c>
      <c r="U574" s="5" t="str">
        <f ca="1">IFERROR(__xludf.DUMMYFUNCTION("""COMPUTED_VALUE"""),"No")</f>
        <v>No</v>
      </c>
      <c r="V574" s="5" t="str">
        <f ca="1">IFERROR(__xludf.DUMMYFUNCTION("""COMPUTED_VALUE"""),"No")</f>
        <v>No</v>
      </c>
      <c r="W574" s="5" t="str">
        <f ca="1">IFERROR(__xludf.DUMMYFUNCTION("""COMPUTED_VALUE"""),"No")</f>
        <v>No</v>
      </c>
      <c r="X574" s="5" t="str">
        <f ca="1">IFERROR(__xludf.DUMMYFUNCTION("""COMPUTED_VALUE"""),"Yes")</f>
        <v>Yes</v>
      </c>
      <c r="Y574" s="5" t="str">
        <f ca="1">IFERROR(__xludf.DUMMYFUNCTION("""COMPUTED_VALUE"""),"No")</f>
        <v>No</v>
      </c>
      <c r="Z574" s="5" t="str">
        <f ca="1">IFERROR(__xludf.DUMMYFUNCTION("""COMPUTED_VALUE"""),"No")</f>
        <v>No</v>
      </c>
      <c r="AA574" s="5" t="str">
        <f ca="1">IFERROR(__xludf.DUMMYFUNCTION("""COMPUTED_VALUE"""),"No")</f>
        <v>No</v>
      </c>
      <c r="AB574" s="5" t="str">
        <f ca="1">IFERROR(__xludf.DUMMYFUNCTION("""COMPUTED_VALUE"""),"Yes")</f>
        <v>Yes</v>
      </c>
      <c r="AC574" s="5" t="str">
        <f ca="1">IFERROR(__xludf.DUMMYFUNCTION("""COMPUTED_VALUE"""),"No")</f>
        <v>No</v>
      </c>
    </row>
    <row r="575" spans="1:29" x14ac:dyDescent="0.25">
      <c r="A575" s="5" t="str">
        <f ca="1">IFERROR(__xludf.DUMMYFUNCTION("""COMPUTED_VALUE""")," PlayNetGearsOfFortune")</f>
        <v xml:space="preserve"> PlayNetGearsOfFortune</v>
      </c>
      <c r="B57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5" s="5" t="str">
        <f ca="1">IFERROR(__xludf.DUMMYFUNCTION("""COMPUTED_VALUE"""),"Yes")</f>
        <v>Yes</v>
      </c>
      <c r="D575" s="5" t="str">
        <f ca="1">IFERROR(__xludf.DUMMYFUNCTION("""COMPUTED_VALUE"""),"Yes")</f>
        <v>Yes</v>
      </c>
      <c r="E575" s="5" t="str">
        <f ca="1">IFERROR(__xludf.DUMMYFUNCTION("""COMPUTED_VALUE"""),"No")</f>
        <v>No</v>
      </c>
      <c r="F575" s="5" t="str">
        <f ca="1">IFERROR(__xludf.DUMMYFUNCTION("""COMPUTED_VALUE"""),"Yes")</f>
        <v>Yes</v>
      </c>
      <c r="G575" s="5" t="str">
        <f ca="1">IFERROR(__xludf.DUMMYFUNCTION("""COMPUTED_VALUE"""),"Yes")</f>
        <v>Yes</v>
      </c>
      <c r="H575" s="5" t="str">
        <f ca="1">IFERROR(__xludf.DUMMYFUNCTION("""COMPUTED_VALUE"""),"Yes")</f>
        <v>Yes</v>
      </c>
      <c r="I575" s="5" t="str">
        <f ca="1">IFERROR(__xludf.DUMMYFUNCTION("""COMPUTED_VALUE"""),"Yes")</f>
        <v>Yes</v>
      </c>
      <c r="J575" s="5" t="str">
        <f ca="1">IFERROR(__xludf.DUMMYFUNCTION("""COMPUTED_VALUE"""),"Yes")</f>
        <v>Yes</v>
      </c>
      <c r="K575" s="5" t="str">
        <f ca="1">IFERROR(__xludf.DUMMYFUNCTION("""COMPUTED_VALUE"""),"Yes")</f>
        <v>Yes</v>
      </c>
      <c r="L575" s="5" t="str">
        <f ca="1">IFERROR(__xludf.DUMMYFUNCTION("""COMPUTED_VALUE"""),"Yes")</f>
        <v>Yes</v>
      </c>
      <c r="M575" s="5" t="str">
        <f ca="1">IFERROR(__xludf.DUMMYFUNCTION("""COMPUTED_VALUE"""),"Yes")</f>
        <v>Yes</v>
      </c>
      <c r="N575" s="5" t="str">
        <f ca="1">IFERROR(__xludf.DUMMYFUNCTION("""COMPUTED_VALUE"""),"Yes")</f>
        <v>Yes</v>
      </c>
      <c r="O575" s="5" t="str">
        <f ca="1">IFERROR(__xludf.DUMMYFUNCTION("""COMPUTED_VALUE"""),"Yes")</f>
        <v>Yes</v>
      </c>
      <c r="P575" s="5" t="str">
        <f ca="1">IFERROR(__xludf.DUMMYFUNCTION("""COMPUTED_VALUE"""),"Yes")</f>
        <v>Yes</v>
      </c>
      <c r="Q575" s="5" t="str">
        <f ca="1">IFERROR(__xludf.DUMMYFUNCTION("""COMPUTED_VALUE"""),"Yes")</f>
        <v>Yes</v>
      </c>
      <c r="R575" s="5" t="str">
        <f ca="1">IFERROR(__xludf.DUMMYFUNCTION("""COMPUTED_VALUE"""),"No")</f>
        <v>No</v>
      </c>
      <c r="S575" s="5" t="str">
        <f ca="1">IFERROR(__xludf.DUMMYFUNCTION("""COMPUTED_VALUE"""),"No")</f>
        <v>No</v>
      </c>
      <c r="T575" s="5" t="str">
        <f ca="1">IFERROR(__xludf.DUMMYFUNCTION("""COMPUTED_VALUE"""),"No")</f>
        <v>No</v>
      </c>
      <c r="U575" s="5" t="str">
        <f ca="1">IFERROR(__xludf.DUMMYFUNCTION("""COMPUTED_VALUE"""),"No")</f>
        <v>No</v>
      </c>
      <c r="V575" s="5" t="str">
        <f ca="1">IFERROR(__xludf.DUMMYFUNCTION("""COMPUTED_VALUE"""),"No")</f>
        <v>No</v>
      </c>
      <c r="W575" s="5" t="str">
        <f ca="1">IFERROR(__xludf.DUMMYFUNCTION("""COMPUTED_VALUE"""),"No")</f>
        <v>No</v>
      </c>
      <c r="X575" s="5" t="str">
        <f ca="1">IFERROR(__xludf.DUMMYFUNCTION("""COMPUTED_VALUE"""),"No")</f>
        <v>No</v>
      </c>
      <c r="Y575" s="5" t="str">
        <f ca="1">IFERROR(__xludf.DUMMYFUNCTION("""COMPUTED_VALUE"""),"No")</f>
        <v>No</v>
      </c>
      <c r="Z575" s="5" t="str">
        <f ca="1">IFERROR(__xludf.DUMMYFUNCTION("""COMPUTED_VALUE"""),"No")</f>
        <v>No</v>
      </c>
      <c r="AA575" s="5" t="str">
        <f ca="1">IFERROR(__xludf.DUMMYFUNCTION("""COMPUTED_VALUE"""),"No")</f>
        <v>No</v>
      </c>
      <c r="AB575" s="5" t="str">
        <f ca="1">IFERROR(__xludf.DUMMYFUNCTION("""COMPUTED_VALUE"""),"Yes")</f>
        <v>Yes</v>
      </c>
      <c r="AC575" s="5" t="str">
        <f ca="1">IFERROR(__xludf.DUMMYFUNCTION("""COMPUTED_VALUE"""),"No")</f>
        <v>No</v>
      </c>
    </row>
    <row r="576" spans="1:29" x14ac:dyDescent="0.25">
      <c r="A576" s="5" t="str">
        <f ca="1">IFERROR(__xludf.DUMMYFUNCTION("""COMPUTED_VALUE"""),"RedstoneInfernoHot20")</f>
        <v>RedstoneInfernoHot20</v>
      </c>
      <c r="B57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6" s="5" t="str">
        <f ca="1">IFERROR(__xludf.DUMMYFUNCTION("""COMPUTED_VALUE"""),"Yes")</f>
        <v>Yes</v>
      </c>
      <c r="D576" s="5" t="str">
        <f ca="1">IFERROR(__xludf.DUMMYFUNCTION("""COMPUTED_VALUE"""),"Yes")</f>
        <v>Yes</v>
      </c>
      <c r="E576" s="5" t="str">
        <f ca="1">IFERROR(__xludf.DUMMYFUNCTION("""COMPUTED_VALUE"""),"Yes")</f>
        <v>Yes</v>
      </c>
      <c r="F576" s="5" t="str">
        <f ca="1">IFERROR(__xludf.DUMMYFUNCTION("""COMPUTED_VALUE"""),"Yes")</f>
        <v>Yes</v>
      </c>
      <c r="G576" s="5" t="str">
        <f ca="1">IFERROR(__xludf.DUMMYFUNCTION("""COMPUTED_VALUE"""),"Yes")</f>
        <v>Yes</v>
      </c>
      <c r="H576" s="5" t="str">
        <f ca="1">IFERROR(__xludf.DUMMYFUNCTION("""COMPUTED_VALUE"""),"Yes")</f>
        <v>Yes</v>
      </c>
      <c r="I576" s="5" t="str">
        <f ca="1">IFERROR(__xludf.DUMMYFUNCTION("""COMPUTED_VALUE"""),"Yes")</f>
        <v>Yes</v>
      </c>
      <c r="J576" s="5" t="str">
        <f ca="1">IFERROR(__xludf.DUMMYFUNCTION("""COMPUTED_VALUE"""),"Yes")</f>
        <v>Yes</v>
      </c>
      <c r="K576" s="5" t="str">
        <f ca="1">IFERROR(__xludf.DUMMYFUNCTION("""COMPUTED_VALUE"""),"Yes")</f>
        <v>Yes</v>
      </c>
      <c r="L576" s="5" t="str">
        <f ca="1">IFERROR(__xludf.DUMMYFUNCTION("""COMPUTED_VALUE"""),"Yes")</f>
        <v>Yes</v>
      </c>
      <c r="M576" s="5" t="str">
        <f ca="1">IFERROR(__xludf.DUMMYFUNCTION("""COMPUTED_VALUE"""),"Yes")</f>
        <v>Yes</v>
      </c>
      <c r="N576" s="5" t="str">
        <f ca="1">IFERROR(__xludf.DUMMYFUNCTION("""COMPUTED_VALUE"""),"Yes")</f>
        <v>Yes</v>
      </c>
      <c r="O576" s="5" t="str">
        <f ca="1">IFERROR(__xludf.DUMMYFUNCTION("""COMPUTED_VALUE"""),"Yes")</f>
        <v>Yes</v>
      </c>
      <c r="P576" s="5" t="str">
        <f ca="1">IFERROR(__xludf.DUMMYFUNCTION("""COMPUTED_VALUE"""),"Yes")</f>
        <v>Yes</v>
      </c>
      <c r="Q576" s="5" t="str">
        <f ca="1">IFERROR(__xludf.DUMMYFUNCTION("""COMPUTED_VALUE"""),"Yes")</f>
        <v>Yes</v>
      </c>
      <c r="R576" s="5" t="str">
        <f ca="1">IFERROR(__xludf.DUMMYFUNCTION("""COMPUTED_VALUE"""),"No")</f>
        <v>No</v>
      </c>
      <c r="S576" s="5" t="str">
        <f ca="1">IFERROR(__xludf.DUMMYFUNCTION("""COMPUTED_VALUE"""),"No")</f>
        <v>No</v>
      </c>
      <c r="T576" s="5" t="str">
        <f ca="1">IFERROR(__xludf.DUMMYFUNCTION("""COMPUTED_VALUE"""),"No")</f>
        <v>No</v>
      </c>
      <c r="U576" s="5" t="str">
        <f ca="1">IFERROR(__xludf.DUMMYFUNCTION("""COMPUTED_VALUE"""),"No")</f>
        <v>No</v>
      </c>
      <c r="V576" s="5" t="str">
        <f ca="1">IFERROR(__xludf.DUMMYFUNCTION("""COMPUTED_VALUE"""),"No")</f>
        <v>No</v>
      </c>
      <c r="W576" s="5" t="str">
        <f ca="1">IFERROR(__xludf.DUMMYFUNCTION("""COMPUTED_VALUE"""),"No")</f>
        <v>No</v>
      </c>
      <c r="X576" s="5" t="str">
        <f ca="1">IFERROR(__xludf.DUMMYFUNCTION("""COMPUTED_VALUE"""),"Yes")</f>
        <v>Yes</v>
      </c>
      <c r="Y576" s="5" t="str">
        <f ca="1">IFERROR(__xludf.DUMMYFUNCTION("""COMPUTED_VALUE"""),"No")</f>
        <v>No</v>
      </c>
      <c r="Z576" s="5" t="str">
        <f ca="1">IFERROR(__xludf.DUMMYFUNCTION("""COMPUTED_VALUE"""),"No")</f>
        <v>No</v>
      </c>
      <c r="AA576" s="5" t="str">
        <f ca="1">IFERROR(__xludf.DUMMYFUNCTION("""COMPUTED_VALUE"""),"No")</f>
        <v>No</v>
      </c>
      <c r="AB576" s="5" t="str">
        <f ca="1">IFERROR(__xludf.DUMMYFUNCTION("""COMPUTED_VALUE"""),"Yes")</f>
        <v>Yes</v>
      </c>
      <c r="AC576" s="5" t="str">
        <f ca="1">IFERROR(__xludf.DUMMYFUNCTION("""COMPUTED_VALUE"""),"No")</f>
        <v>No</v>
      </c>
    </row>
    <row r="577" spans="1:29" x14ac:dyDescent="0.25">
      <c r="A577" s="5" t="str">
        <f ca="1">IFERROR(__xludf.DUMMYFUNCTION("""COMPUTED_VALUE"""),"RedstoneCrownBlast40")</f>
        <v>RedstoneCrownBlast40</v>
      </c>
      <c r="B57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7" s="5" t="str">
        <f ca="1">IFERROR(__xludf.DUMMYFUNCTION("""COMPUTED_VALUE"""),"Yes")</f>
        <v>Yes</v>
      </c>
      <c r="D577" s="5" t="str">
        <f ca="1">IFERROR(__xludf.DUMMYFUNCTION("""COMPUTED_VALUE"""),"Yes")</f>
        <v>Yes</v>
      </c>
      <c r="E577" s="5" t="str">
        <f ca="1">IFERROR(__xludf.DUMMYFUNCTION("""COMPUTED_VALUE"""),"No")</f>
        <v>No</v>
      </c>
      <c r="F577" s="5" t="str">
        <f ca="1">IFERROR(__xludf.DUMMYFUNCTION("""COMPUTED_VALUE"""),"Yes")</f>
        <v>Yes</v>
      </c>
      <c r="G577" s="5" t="str">
        <f ca="1">IFERROR(__xludf.DUMMYFUNCTION("""COMPUTED_VALUE"""),"Yes")</f>
        <v>Yes</v>
      </c>
      <c r="H577" s="5" t="str">
        <f ca="1">IFERROR(__xludf.DUMMYFUNCTION("""COMPUTED_VALUE"""),"Yes")</f>
        <v>Yes</v>
      </c>
      <c r="I577" s="5" t="str">
        <f ca="1">IFERROR(__xludf.DUMMYFUNCTION("""COMPUTED_VALUE"""),"Yes")</f>
        <v>Yes</v>
      </c>
      <c r="J577" s="5" t="str">
        <f ca="1">IFERROR(__xludf.DUMMYFUNCTION("""COMPUTED_VALUE"""),"Yes")</f>
        <v>Yes</v>
      </c>
      <c r="K577" s="5" t="str">
        <f ca="1">IFERROR(__xludf.DUMMYFUNCTION("""COMPUTED_VALUE"""),"Yes")</f>
        <v>Yes</v>
      </c>
      <c r="L577" s="5" t="str">
        <f ca="1">IFERROR(__xludf.DUMMYFUNCTION("""COMPUTED_VALUE"""),"Yes")</f>
        <v>Yes</v>
      </c>
      <c r="M577" s="5" t="str">
        <f ca="1">IFERROR(__xludf.DUMMYFUNCTION("""COMPUTED_VALUE"""),"Yes")</f>
        <v>Yes</v>
      </c>
      <c r="N577" s="5" t="str">
        <f ca="1">IFERROR(__xludf.DUMMYFUNCTION("""COMPUTED_VALUE"""),"Yes")</f>
        <v>Yes</v>
      </c>
      <c r="O577" s="5" t="str">
        <f ca="1">IFERROR(__xludf.DUMMYFUNCTION("""COMPUTED_VALUE"""),"Yes")</f>
        <v>Yes</v>
      </c>
      <c r="P577" s="5" t="str">
        <f ca="1">IFERROR(__xludf.DUMMYFUNCTION("""COMPUTED_VALUE"""),"Yes")</f>
        <v>Yes</v>
      </c>
      <c r="Q577" s="5" t="str">
        <f ca="1">IFERROR(__xludf.DUMMYFUNCTION("""COMPUTED_VALUE"""),"Yes")</f>
        <v>Yes</v>
      </c>
      <c r="R577" s="5" t="str">
        <f ca="1">IFERROR(__xludf.DUMMYFUNCTION("""COMPUTED_VALUE"""),"No")</f>
        <v>No</v>
      </c>
      <c r="S577" s="5" t="str">
        <f ca="1">IFERROR(__xludf.DUMMYFUNCTION("""COMPUTED_VALUE"""),"No")</f>
        <v>No</v>
      </c>
      <c r="T577" s="5" t="str">
        <f ca="1">IFERROR(__xludf.DUMMYFUNCTION("""COMPUTED_VALUE"""),"No")</f>
        <v>No</v>
      </c>
      <c r="U577" s="5" t="str">
        <f ca="1">IFERROR(__xludf.DUMMYFUNCTION("""COMPUTED_VALUE"""),"No")</f>
        <v>No</v>
      </c>
      <c r="V577" s="5" t="str">
        <f ca="1">IFERROR(__xludf.DUMMYFUNCTION("""COMPUTED_VALUE"""),"No")</f>
        <v>No</v>
      </c>
      <c r="W577" s="5" t="str">
        <f ca="1">IFERROR(__xludf.DUMMYFUNCTION("""COMPUTED_VALUE"""),"No")</f>
        <v>No</v>
      </c>
      <c r="X577" s="5" t="str">
        <f ca="1">IFERROR(__xludf.DUMMYFUNCTION("""COMPUTED_VALUE"""),"Yes")</f>
        <v>Yes</v>
      </c>
      <c r="Y577" s="5" t="str">
        <f ca="1">IFERROR(__xludf.DUMMYFUNCTION("""COMPUTED_VALUE"""),"No")</f>
        <v>No</v>
      </c>
      <c r="Z577" s="5" t="str">
        <f ca="1">IFERROR(__xludf.DUMMYFUNCTION("""COMPUTED_VALUE"""),"No")</f>
        <v>No</v>
      </c>
      <c r="AA577" s="5" t="str">
        <f ca="1">IFERROR(__xludf.DUMMYFUNCTION("""COMPUTED_VALUE"""),"No")</f>
        <v>No</v>
      </c>
      <c r="AB577" s="5" t="str">
        <f ca="1">IFERROR(__xludf.DUMMYFUNCTION("""COMPUTED_VALUE"""),"Yes")</f>
        <v>Yes</v>
      </c>
      <c r="AC577" s="5" t="str">
        <f ca="1">IFERROR(__xludf.DUMMYFUNCTION("""COMPUTED_VALUE"""),"No")</f>
        <v>No</v>
      </c>
    </row>
    <row r="578" spans="1:29" x14ac:dyDescent="0.25">
      <c r="A578" s="5" t="str">
        <f ca="1">IFERROR(__xludf.DUMMYFUNCTION("""COMPUTED_VALUE"""),"RedstoneCrownRoyale")</f>
        <v>RedstoneCrownRoyale</v>
      </c>
      <c r="B578" s="5" t="str">
        <f ca="1">IFERROR(__xludf.DUMMYFUNCTION("""COMPUTED_VALUE"""),"")</f>
        <v/>
      </c>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row>
    <row r="579" spans="1:29" x14ac:dyDescent="0.25">
      <c r="A579" s="5" t="str">
        <f ca="1">IFERROR(__xludf.DUMMYFUNCTION("""COMPUTED_VALUE"""),"RedstoneDoubleCloverFireChristmas")</f>
        <v>RedstoneDoubleCloverFireChristmas</v>
      </c>
      <c r="B579" s="5" t="str">
        <f ca="1">IFERROR(__xludf.DUMMYFUNCTION("""COMPUTED_VALUE"""),"")</f>
        <v/>
      </c>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row>
    <row r="580" spans="1:29" x14ac:dyDescent="0.25">
      <c r="A580" s="5" t="str">
        <f ca="1">IFERROR(__xludf.DUMMYFUNCTION("""COMPUTED_VALUE"""),"RedstoneChilliDouble40")</f>
        <v>RedstoneChilliDouble40</v>
      </c>
      <c r="B58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0" s="5" t="str">
        <f ca="1">IFERROR(__xludf.DUMMYFUNCTION("""COMPUTED_VALUE"""),"Yes")</f>
        <v>Yes</v>
      </c>
      <c r="D580" s="5" t="str">
        <f ca="1">IFERROR(__xludf.DUMMYFUNCTION("""COMPUTED_VALUE"""),"Yes")</f>
        <v>Yes</v>
      </c>
      <c r="E580" s="5" t="str">
        <f ca="1">IFERROR(__xludf.DUMMYFUNCTION("""COMPUTED_VALUE"""),"No")</f>
        <v>No</v>
      </c>
      <c r="F580" s="5" t="str">
        <f ca="1">IFERROR(__xludf.DUMMYFUNCTION("""COMPUTED_VALUE"""),"Yes")</f>
        <v>Yes</v>
      </c>
      <c r="G580" s="5" t="str">
        <f ca="1">IFERROR(__xludf.DUMMYFUNCTION("""COMPUTED_VALUE"""),"Yes")</f>
        <v>Yes</v>
      </c>
      <c r="H580" s="5" t="str">
        <f ca="1">IFERROR(__xludf.DUMMYFUNCTION("""COMPUTED_VALUE"""),"Yes")</f>
        <v>Yes</v>
      </c>
      <c r="I580" s="5" t="str">
        <f ca="1">IFERROR(__xludf.DUMMYFUNCTION("""COMPUTED_VALUE"""),"Yes")</f>
        <v>Yes</v>
      </c>
      <c r="J580" s="5" t="str">
        <f ca="1">IFERROR(__xludf.DUMMYFUNCTION("""COMPUTED_VALUE"""),"Yes")</f>
        <v>Yes</v>
      </c>
      <c r="K580" s="5" t="str">
        <f ca="1">IFERROR(__xludf.DUMMYFUNCTION("""COMPUTED_VALUE"""),"Yes")</f>
        <v>Yes</v>
      </c>
      <c r="L580" s="5" t="str">
        <f ca="1">IFERROR(__xludf.DUMMYFUNCTION("""COMPUTED_VALUE"""),"Yes")</f>
        <v>Yes</v>
      </c>
      <c r="M580" s="5" t="str">
        <f ca="1">IFERROR(__xludf.DUMMYFUNCTION("""COMPUTED_VALUE"""),"Yes")</f>
        <v>Yes</v>
      </c>
      <c r="N580" s="5" t="str">
        <f ca="1">IFERROR(__xludf.DUMMYFUNCTION("""COMPUTED_VALUE"""),"Yes")</f>
        <v>Yes</v>
      </c>
      <c r="O580" s="5" t="str">
        <f ca="1">IFERROR(__xludf.DUMMYFUNCTION("""COMPUTED_VALUE"""),"Yes")</f>
        <v>Yes</v>
      </c>
      <c r="P580" s="5" t="str">
        <f ca="1">IFERROR(__xludf.DUMMYFUNCTION("""COMPUTED_VALUE"""),"Yes")</f>
        <v>Yes</v>
      </c>
      <c r="Q580" s="5" t="str">
        <f ca="1">IFERROR(__xludf.DUMMYFUNCTION("""COMPUTED_VALUE"""),"Yes")</f>
        <v>Yes</v>
      </c>
      <c r="R580" s="5" t="str">
        <f ca="1">IFERROR(__xludf.DUMMYFUNCTION("""COMPUTED_VALUE"""),"No")</f>
        <v>No</v>
      </c>
      <c r="S580" s="5" t="str">
        <f ca="1">IFERROR(__xludf.DUMMYFUNCTION("""COMPUTED_VALUE"""),"No")</f>
        <v>No</v>
      </c>
      <c r="T580" s="5" t="str">
        <f ca="1">IFERROR(__xludf.DUMMYFUNCTION("""COMPUTED_VALUE"""),"No")</f>
        <v>No</v>
      </c>
      <c r="U580" s="5" t="str">
        <f ca="1">IFERROR(__xludf.DUMMYFUNCTION("""COMPUTED_VALUE"""),"No")</f>
        <v>No</v>
      </c>
      <c r="V580" s="5" t="str">
        <f ca="1">IFERROR(__xludf.DUMMYFUNCTION("""COMPUTED_VALUE"""),"No")</f>
        <v>No</v>
      </c>
      <c r="W580" s="5" t="str">
        <f ca="1">IFERROR(__xludf.DUMMYFUNCTION("""COMPUTED_VALUE"""),"No")</f>
        <v>No</v>
      </c>
      <c r="X580" s="5" t="str">
        <f ca="1">IFERROR(__xludf.DUMMYFUNCTION("""COMPUTED_VALUE"""),"Yes")</f>
        <v>Yes</v>
      </c>
      <c r="Y580" s="5" t="str">
        <f ca="1">IFERROR(__xludf.DUMMYFUNCTION("""COMPUTED_VALUE"""),"No")</f>
        <v>No</v>
      </c>
      <c r="Z580" s="5" t="str">
        <f ca="1">IFERROR(__xludf.DUMMYFUNCTION("""COMPUTED_VALUE"""),"No")</f>
        <v>No</v>
      </c>
      <c r="AA580" s="5" t="str">
        <f ca="1">IFERROR(__xludf.DUMMYFUNCTION("""COMPUTED_VALUE"""),"No")</f>
        <v>No</v>
      </c>
      <c r="AB580" s="5" t="str">
        <f ca="1">IFERROR(__xludf.DUMMYFUNCTION("""COMPUTED_VALUE"""),"Yes")</f>
        <v>Yes</v>
      </c>
      <c r="AC580" s="5" t="str">
        <f ca="1">IFERROR(__xludf.DUMMYFUNCTION("""COMPUTED_VALUE"""),"No")</f>
        <v>No</v>
      </c>
    </row>
    <row r="581" spans="1:29" x14ac:dyDescent="0.25">
      <c r="A581" s="5" t="str">
        <f ca="1">IFERROR(__xludf.DUMMYFUNCTION("""COMPUTED_VALUE"""),"Redstone20CoinCollector")</f>
        <v>Redstone20CoinCollector</v>
      </c>
      <c r="B58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81" s="5" t="str">
        <f ca="1">IFERROR(__xludf.DUMMYFUNCTION("""COMPUTED_VALUE"""),"Yes")</f>
        <v>Yes</v>
      </c>
      <c r="D581" s="5" t="str">
        <f ca="1">IFERROR(__xludf.DUMMYFUNCTION("""COMPUTED_VALUE"""),"Yes")</f>
        <v>Yes</v>
      </c>
      <c r="E581" s="5" t="str">
        <f ca="1">IFERROR(__xludf.DUMMYFUNCTION("""COMPUTED_VALUE"""),"No")</f>
        <v>No</v>
      </c>
      <c r="F581" s="5" t="str">
        <f ca="1">IFERROR(__xludf.DUMMYFUNCTION("""COMPUTED_VALUE"""),"Yes")</f>
        <v>Yes</v>
      </c>
      <c r="G581" s="5" t="str">
        <f ca="1">IFERROR(__xludf.DUMMYFUNCTION("""COMPUTED_VALUE"""),"Yes")</f>
        <v>Yes</v>
      </c>
      <c r="H581" s="5" t="str">
        <f ca="1">IFERROR(__xludf.DUMMYFUNCTION("""COMPUTED_VALUE"""),"Yes")</f>
        <v>Yes</v>
      </c>
      <c r="I581" s="5" t="str">
        <f ca="1">IFERROR(__xludf.DUMMYFUNCTION("""COMPUTED_VALUE"""),"Yes")</f>
        <v>Yes</v>
      </c>
      <c r="J581" s="5" t="str">
        <f ca="1">IFERROR(__xludf.DUMMYFUNCTION("""COMPUTED_VALUE"""),"Yes")</f>
        <v>Yes</v>
      </c>
      <c r="K581" s="5" t="str">
        <f ca="1">IFERROR(__xludf.DUMMYFUNCTION("""COMPUTED_VALUE"""),"Yes")</f>
        <v>Yes</v>
      </c>
      <c r="L581" s="5" t="str">
        <f ca="1">IFERROR(__xludf.DUMMYFUNCTION("""COMPUTED_VALUE"""),"Yes")</f>
        <v>Yes</v>
      </c>
      <c r="M581" s="5" t="str">
        <f ca="1">IFERROR(__xludf.DUMMYFUNCTION("""COMPUTED_VALUE"""),"Yes")</f>
        <v>Yes</v>
      </c>
      <c r="N581" s="5" t="str">
        <f ca="1">IFERROR(__xludf.DUMMYFUNCTION("""COMPUTED_VALUE"""),"Yes")</f>
        <v>Yes</v>
      </c>
      <c r="O581" s="5" t="str">
        <f ca="1">IFERROR(__xludf.DUMMYFUNCTION("""COMPUTED_VALUE"""),"Yes")</f>
        <v>Yes</v>
      </c>
      <c r="P581" s="5" t="str">
        <f ca="1">IFERROR(__xludf.DUMMYFUNCTION("""COMPUTED_VALUE"""),"Yes")</f>
        <v>Yes</v>
      </c>
      <c r="Q581" s="5" t="str">
        <f ca="1">IFERROR(__xludf.DUMMYFUNCTION("""COMPUTED_VALUE"""),"Yes")</f>
        <v>Yes</v>
      </c>
      <c r="R581" s="5" t="str">
        <f ca="1">IFERROR(__xludf.DUMMYFUNCTION("""COMPUTED_VALUE"""),"No")</f>
        <v>No</v>
      </c>
      <c r="S581" s="5" t="str">
        <f ca="1">IFERROR(__xludf.DUMMYFUNCTION("""COMPUTED_VALUE"""),"No")</f>
        <v>No</v>
      </c>
      <c r="T581" s="5" t="str">
        <f ca="1">IFERROR(__xludf.DUMMYFUNCTION("""COMPUTED_VALUE"""),"No")</f>
        <v>No</v>
      </c>
      <c r="U581" s="5" t="str">
        <f ca="1">IFERROR(__xludf.DUMMYFUNCTION("""COMPUTED_VALUE"""),"No")</f>
        <v>No</v>
      </c>
      <c r="V581" s="5" t="str">
        <f ca="1">IFERROR(__xludf.DUMMYFUNCTION("""COMPUTED_VALUE"""),"No")</f>
        <v>No</v>
      </c>
      <c r="W581" s="5" t="str">
        <f ca="1">IFERROR(__xludf.DUMMYFUNCTION("""COMPUTED_VALUE"""),"No")</f>
        <v>No</v>
      </c>
      <c r="X581" s="5" t="str">
        <f ca="1">IFERROR(__xludf.DUMMYFUNCTION("""COMPUTED_VALUE"""),"No")</f>
        <v>No</v>
      </c>
      <c r="Y581" s="5" t="str">
        <f ca="1">IFERROR(__xludf.DUMMYFUNCTION("""COMPUTED_VALUE"""),"No")</f>
        <v>No</v>
      </c>
      <c r="Z581" s="5" t="str">
        <f ca="1">IFERROR(__xludf.DUMMYFUNCTION("""COMPUTED_VALUE"""),"No")</f>
        <v>No</v>
      </c>
      <c r="AA581" s="5" t="str">
        <f ca="1">IFERROR(__xludf.DUMMYFUNCTION("""COMPUTED_VALUE"""),"No")</f>
        <v>No</v>
      </c>
      <c r="AB581" s="5" t="str">
        <f ca="1">IFERROR(__xludf.DUMMYFUNCTION("""COMPUTED_VALUE"""),"Yes")</f>
        <v>Yes</v>
      </c>
      <c r="AC581" s="5" t="str">
        <f ca="1">IFERROR(__xludf.DUMMYFUNCTION("""COMPUTED_VALUE"""),"No")</f>
        <v>No</v>
      </c>
    </row>
    <row r="582" spans="1:29" x14ac:dyDescent="0.25">
      <c r="A582" s="5" t="str">
        <f ca="1">IFERROR(__xludf.DUMMYFUNCTION("""COMPUTED_VALUE"""),"Redstone5BombFire")</f>
        <v>Redstone5BombFire</v>
      </c>
      <c r="B582" s="5" t="str">
        <f ca="1">IFERROR(__xludf.DUMMYFUNCTION("""COMPUTED_VALUE"""),"")</f>
        <v/>
      </c>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row>
    <row r="583" spans="1:29" x14ac:dyDescent="0.25">
      <c r="A583" s="5" t="str">
        <f ca="1">IFERROR(__xludf.DUMMYFUNCTION("""COMPUTED_VALUE"""),"RedstoneRespinGems")</f>
        <v>RedstoneRespinGems</v>
      </c>
      <c r="B58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3" s="5" t="str">
        <f ca="1">IFERROR(__xludf.DUMMYFUNCTION("""COMPUTED_VALUE"""),"Yes")</f>
        <v>Yes</v>
      </c>
      <c r="D583" s="5" t="str">
        <f ca="1">IFERROR(__xludf.DUMMYFUNCTION("""COMPUTED_VALUE"""),"Yes")</f>
        <v>Yes</v>
      </c>
      <c r="E583" s="5" t="str">
        <f ca="1">IFERROR(__xludf.DUMMYFUNCTION("""COMPUTED_VALUE"""),"No")</f>
        <v>No</v>
      </c>
      <c r="F583" s="5" t="str">
        <f ca="1">IFERROR(__xludf.DUMMYFUNCTION("""COMPUTED_VALUE"""),"Yes")</f>
        <v>Yes</v>
      </c>
      <c r="G583" s="5" t="str">
        <f ca="1">IFERROR(__xludf.DUMMYFUNCTION("""COMPUTED_VALUE"""),"Yes")</f>
        <v>Yes</v>
      </c>
      <c r="H583" s="5" t="str">
        <f ca="1">IFERROR(__xludf.DUMMYFUNCTION("""COMPUTED_VALUE"""),"Yes")</f>
        <v>Yes</v>
      </c>
      <c r="I583" s="5" t="str">
        <f ca="1">IFERROR(__xludf.DUMMYFUNCTION("""COMPUTED_VALUE"""),"Yes")</f>
        <v>Yes</v>
      </c>
      <c r="J583" s="5" t="str">
        <f ca="1">IFERROR(__xludf.DUMMYFUNCTION("""COMPUTED_VALUE"""),"Yes")</f>
        <v>Yes</v>
      </c>
      <c r="K583" s="5" t="str">
        <f ca="1">IFERROR(__xludf.DUMMYFUNCTION("""COMPUTED_VALUE"""),"Yes")</f>
        <v>Yes</v>
      </c>
      <c r="L583" s="5" t="str">
        <f ca="1">IFERROR(__xludf.DUMMYFUNCTION("""COMPUTED_VALUE"""),"Yes")</f>
        <v>Yes</v>
      </c>
      <c r="M583" s="5" t="str">
        <f ca="1">IFERROR(__xludf.DUMMYFUNCTION("""COMPUTED_VALUE"""),"Yes")</f>
        <v>Yes</v>
      </c>
      <c r="N583" s="5" t="str">
        <f ca="1">IFERROR(__xludf.DUMMYFUNCTION("""COMPUTED_VALUE"""),"Yes")</f>
        <v>Yes</v>
      </c>
      <c r="O583" s="5" t="str">
        <f ca="1">IFERROR(__xludf.DUMMYFUNCTION("""COMPUTED_VALUE"""),"Yes")</f>
        <v>Yes</v>
      </c>
      <c r="P583" s="5" t="str">
        <f ca="1">IFERROR(__xludf.DUMMYFUNCTION("""COMPUTED_VALUE"""),"Yes")</f>
        <v>Yes</v>
      </c>
      <c r="Q583" s="5" t="str">
        <f ca="1">IFERROR(__xludf.DUMMYFUNCTION("""COMPUTED_VALUE"""),"Yes")</f>
        <v>Yes</v>
      </c>
      <c r="R583" s="5" t="str">
        <f ca="1">IFERROR(__xludf.DUMMYFUNCTION("""COMPUTED_VALUE"""),"No")</f>
        <v>No</v>
      </c>
      <c r="S583" s="5" t="str">
        <f ca="1">IFERROR(__xludf.DUMMYFUNCTION("""COMPUTED_VALUE"""),"No")</f>
        <v>No</v>
      </c>
      <c r="T583" s="5" t="str">
        <f ca="1">IFERROR(__xludf.DUMMYFUNCTION("""COMPUTED_VALUE"""),"No")</f>
        <v>No</v>
      </c>
      <c r="U583" s="5" t="str">
        <f ca="1">IFERROR(__xludf.DUMMYFUNCTION("""COMPUTED_VALUE"""),"No")</f>
        <v>No</v>
      </c>
      <c r="V583" s="5" t="str">
        <f ca="1">IFERROR(__xludf.DUMMYFUNCTION("""COMPUTED_VALUE"""),"No")</f>
        <v>No</v>
      </c>
      <c r="W583" s="5" t="str">
        <f ca="1">IFERROR(__xludf.DUMMYFUNCTION("""COMPUTED_VALUE"""),"No")</f>
        <v>No</v>
      </c>
      <c r="X583" s="5" t="str">
        <f ca="1">IFERROR(__xludf.DUMMYFUNCTION("""COMPUTED_VALUE"""),"Yes")</f>
        <v>Yes</v>
      </c>
      <c r="Y583" s="5" t="str">
        <f ca="1">IFERROR(__xludf.DUMMYFUNCTION("""COMPUTED_VALUE"""),"No")</f>
        <v>No</v>
      </c>
      <c r="Z583" s="5" t="str">
        <f ca="1">IFERROR(__xludf.DUMMYFUNCTION("""COMPUTED_VALUE"""),"No")</f>
        <v>No</v>
      </c>
      <c r="AA583" s="5" t="str">
        <f ca="1">IFERROR(__xludf.DUMMYFUNCTION("""COMPUTED_VALUE"""),"No")</f>
        <v>No</v>
      </c>
      <c r="AB583" s="5" t="str">
        <f ca="1">IFERROR(__xludf.DUMMYFUNCTION("""COMPUTED_VALUE"""),"Yes")</f>
        <v>Yes</v>
      </c>
      <c r="AC583" s="5" t="str">
        <f ca="1">IFERROR(__xludf.DUMMYFUNCTION("""COMPUTED_VALUE"""),"No")</f>
        <v>No</v>
      </c>
    </row>
    <row r="584" spans="1:29" x14ac:dyDescent="0.25">
      <c r="A584" s="5" t="str">
        <f ca="1">IFERROR(__xludf.DUMMYFUNCTION("""COMPUTED_VALUE"""),"Redstone9ofaKind")</f>
        <v>Redstone9ofaKind</v>
      </c>
      <c r="B58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84" s="5" t="str">
        <f ca="1">IFERROR(__xludf.DUMMYFUNCTION("""COMPUTED_VALUE"""),"Yes")</f>
        <v>Yes</v>
      </c>
      <c r="D584" s="5" t="str">
        <f ca="1">IFERROR(__xludf.DUMMYFUNCTION("""COMPUTED_VALUE"""),"Yes")</f>
        <v>Yes</v>
      </c>
      <c r="E584" s="5" t="str">
        <f ca="1">IFERROR(__xludf.DUMMYFUNCTION("""COMPUTED_VALUE"""),"Yes")</f>
        <v>Yes</v>
      </c>
      <c r="F584" s="5" t="str">
        <f ca="1">IFERROR(__xludf.DUMMYFUNCTION("""COMPUTED_VALUE"""),"Yes")</f>
        <v>Yes</v>
      </c>
      <c r="G584" s="5" t="str">
        <f ca="1">IFERROR(__xludf.DUMMYFUNCTION("""COMPUTED_VALUE"""),"Yes")</f>
        <v>Yes</v>
      </c>
      <c r="H584" s="5" t="str">
        <f ca="1">IFERROR(__xludf.DUMMYFUNCTION("""COMPUTED_VALUE"""),"Yes")</f>
        <v>Yes</v>
      </c>
      <c r="I584" s="5" t="str">
        <f ca="1">IFERROR(__xludf.DUMMYFUNCTION("""COMPUTED_VALUE"""),"Yes")</f>
        <v>Yes</v>
      </c>
      <c r="J584" s="5" t="str">
        <f ca="1">IFERROR(__xludf.DUMMYFUNCTION("""COMPUTED_VALUE"""),"Yes")</f>
        <v>Yes</v>
      </c>
      <c r="K584" s="5" t="str">
        <f ca="1">IFERROR(__xludf.DUMMYFUNCTION("""COMPUTED_VALUE"""),"Yes")</f>
        <v>Yes</v>
      </c>
      <c r="L584" s="5" t="str">
        <f ca="1">IFERROR(__xludf.DUMMYFUNCTION("""COMPUTED_VALUE"""),"Yes")</f>
        <v>Yes</v>
      </c>
      <c r="M584" s="5" t="str">
        <f ca="1">IFERROR(__xludf.DUMMYFUNCTION("""COMPUTED_VALUE"""),"Yes")</f>
        <v>Yes</v>
      </c>
      <c r="N584" s="5" t="str">
        <f ca="1">IFERROR(__xludf.DUMMYFUNCTION("""COMPUTED_VALUE"""),"Yes")</f>
        <v>Yes</v>
      </c>
      <c r="O584" s="5" t="str">
        <f ca="1">IFERROR(__xludf.DUMMYFUNCTION("""COMPUTED_VALUE"""),"Yes")</f>
        <v>Yes</v>
      </c>
      <c r="P584" s="5" t="str">
        <f ca="1">IFERROR(__xludf.DUMMYFUNCTION("""COMPUTED_VALUE"""),"Yes")</f>
        <v>Yes</v>
      </c>
      <c r="Q584" s="5" t="str">
        <f ca="1">IFERROR(__xludf.DUMMYFUNCTION("""COMPUTED_VALUE"""),"Yes")</f>
        <v>Yes</v>
      </c>
      <c r="R584" s="5" t="str">
        <f ca="1">IFERROR(__xludf.DUMMYFUNCTION("""COMPUTED_VALUE"""),"No")</f>
        <v>No</v>
      </c>
      <c r="S584" s="5" t="str">
        <f ca="1">IFERROR(__xludf.DUMMYFUNCTION("""COMPUTED_VALUE"""),"No")</f>
        <v>No</v>
      </c>
      <c r="T584" s="5" t="str">
        <f ca="1">IFERROR(__xludf.DUMMYFUNCTION("""COMPUTED_VALUE"""),"No")</f>
        <v>No</v>
      </c>
      <c r="U584" s="5" t="str">
        <f ca="1">IFERROR(__xludf.DUMMYFUNCTION("""COMPUTED_VALUE"""),"No")</f>
        <v>No</v>
      </c>
      <c r="V584" s="5" t="str">
        <f ca="1">IFERROR(__xludf.DUMMYFUNCTION("""COMPUTED_VALUE"""),"No")</f>
        <v>No</v>
      </c>
      <c r="W584" s="5" t="str">
        <f ca="1">IFERROR(__xludf.DUMMYFUNCTION("""COMPUTED_VALUE"""),"No")</f>
        <v>No</v>
      </c>
      <c r="X584" s="5" t="str">
        <f ca="1">IFERROR(__xludf.DUMMYFUNCTION("""COMPUTED_VALUE"""),"Yes")</f>
        <v>Yes</v>
      </c>
      <c r="Y584" s="5" t="str">
        <f ca="1">IFERROR(__xludf.DUMMYFUNCTION("""COMPUTED_VALUE"""),"No")</f>
        <v>No</v>
      </c>
      <c r="Z584" s="5" t="str">
        <f ca="1">IFERROR(__xludf.DUMMYFUNCTION("""COMPUTED_VALUE"""),"No")</f>
        <v>No</v>
      </c>
      <c r="AA584" s="5" t="str">
        <f ca="1">IFERROR(__xludf.DUMMYFUNCTION("""COMPUTED_VALUE"""),"No")</f>
        <v>No</v>
      </c>
      <c r="AB584" s="5" t="str">
        <f ca="1">IFERROR(__xludf.DUMMYFUNCTION("""COMPUTED_VALUE"""),"Yes")</f>
        <v>Yes</v>
      </c>
      <c r="AC584" s="5" t="str">
        <f ca="1">IFERROR(__xludf.DUMMYFUNCTION("""COMPUTED_VALUE"""),"No")</f>
        <v>No</v>
      </c>
    </row>
    <row r="585" spans="1:29" x14ac:dyDescent="0.25">
      <c r="A585" s="5" t="str">
        <f ca="1">IFERROR(__xludf.DUMMYFUNCTION("""COMPUTED_VALUE"""),"WildJokerHotBooster")</f>
        <v>WildJokerHotBooster</v>
      </c>
      <c r="B5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5" s="5" t="str">
        <f ca="1">IFERROR(__xludf.DUMMYFUNCTION("""COMPUTED_VALUE"""),"Yes")</f>
        <v>Yes</v>
      </c>
      <c r="D585" s="5" t="str">
        <f ca="1">IFERROR(__xludf.DUMMYFUNCTION("""COMPUTED_VALUE"""),"Yes")</f>
        <v>Yes</v>
      </c>
      <c r="E585" s="5" t="str">
        <f ca="1">IFERROR(__xludf.DUMMYFUNCTION("""COMPUTED_VALUE"""),"Yes")</f>
        <v>Yes</v>
      </c>
      <c r="F585" s="5" t="str">
        <f ca="1">IFERROR(__xludf.DUMMYFUNCTION("""COMPUTED_VALUE"""),"Yes")</f>
        <v>Yes</v>
      </c>
      <c r="G585" s="5" t="str">
        <f ca="1">IFERROR(__xludf.DUMMYFUNCTION("""COMPUTED_VALUE"""),"Yes")</f>
        <v>Yes</v>
      </c>
      <c r="H585" s="5" t="str">
        <f ca="1">IFERROR(__xludf.DUMMYFUNCTION("""COMPUTED_VALUE"""),"Yes")</f>
        <v>Yes</v>
      </c>
      <c r="I585" s="5" t="str">
        <f ca="1">IFERROR(__xludf.DUMMYFUNCTION("""COMPUTED_VALUE"""),"Yes")</f>
        <v>Yes</v>
      </c>
      <c r="J585" s="5" t="str">
        <f ca="1">IFERROR(__xludf.DUMMYFUNCTION("""COMPUTED_VALUE"""),"Yes")</f>
        <v>Yes</v>
      </c>
      <c r="K585" s="5" t="str">
        <f ca="1">IFERROR(__xludf.DUMMYFUNCTION("""COMPUTED_VALUE"""),"Yes")</f>
        <v>Yes</v>
      </c>
      <c r="L585" s="5" t="str">
        <f ca="1">IFERROR(__xludf.DUMMYFUNCTION("""COMPUTED_VALUE"""),"Yes")</f>
        <v>Yes</v>
      </c>
      <c r="M585" s="5" t="str">
        <f ca="1">IFERROR(__xludf.DUMMYFUNCTION("""COMPUTED_VALUE"""),"Yes")</f>
        <v>Yes</v>
      </c>
      <c r="N585" s="5" t="str">
        <f ca="1">IFERROR(__xludf.DUMMYFUNCTION("""COMPUTED_VALUE"""),"Yes")</f>
        <v>Yes</v>
      </c>
      <c r="O585" s="5" t="str">
        <f ca="1">IFERROR(__xludf.DUMMYFUNCTION("""COMPUTED_VALUE"""),"Yes")</f>
        <v>Yes</v>
      </c>
      <c r="P585" s="5" t="str">
        <f ca="1">IFERROR(__xludf.DUMMYFUNCTION("""COMPUTED_VALUE"""),"Yes")</f>
        <v>Yes</v>
      </c>
      <c r="Q585" s="5" t="str">
        <f ca="1">IFERROR(__xludf.DUMMYFUNCTION("""COMPUTED_VALUE"""),"Yes")</f>
        <v>Yes</v>
      </c>
      <c r="R585" s="5" t="str">
        <f ca="1">IFERROR(__xludf.DUMMYFUNCTION("""COMPUTED_VALUE"""),"Yes")</f>
        <v>Yes</v>
      </c>
      <c r="S585" s="5" t="str">
        <f ca="1">IFERROR(__xludf.DUMMYFUNCTION("""COMPUTED_VALUE"""),"Yes")</f>
        <v>Yes</v>
      </c>
      <c r="T585" s="5" t="str">
        <f ca="1">IFERROR(__xludf.DUMMYFUNCTION("""COMPUTED_VALUE"""),"Yes")</f>
        <v>Yes</v>
      </c>
      <c r="U585" s="5" t="str">
        <f ca="1">IFERROR(__xludf.DUMMYFUNCTION("""COMPUTED_VALUE"""),"Yes")</f>
        <v>Yes</v>
      </c>
      <c r="V585" s="5" t="str">
        <f ca="1">IFERROR(__xludf.DUMMYFUNCTION("""COMPUTED_VALUE"""),"Yes")</f>
        <v>Yes</v>
      </c>
      <c r="W585" s="5" t="str">
        <f ca="1">IFERROR(__xludf.DUMMYFUNCTION("""COMPUTED_VALUE"""),"Yes")</f>
        <v>Yes</v>
      </c>
      <c r="X585" s="5" t="str">
        <f ca="1">IFERROR(__xludf.DUMMYFUNCTION("""COMPUTED_VALUE"""),"Yes")</f>
        <v>Yes</v>
      </c>
      <c r="Y585" s="5" t="str">
        <f ca="1">IFERROR(__xludf.DUMMYFUNCTION("""COMPUTED_VALUE"""),"Yes")</f>
        <v>Yes</v>
      </c>
      <c r="Z585" s="5" t="str">
        <f ca="1">IFERROR(__xludf.DUMMYFUNCTION("""COMPUTED_VALUE"""),"Yes")</f>
        <v>Yes</v>
      </c>
      <c r="AA585" s="5" t="str">
        <f ca="1">IFERROR(__xludf.DUMMYFUNCTION("""COMPUTED_VALUE"""),"Yes")</f>
        <v>Yes</v>
      </c>
      <c r="AB585" s="5" t="str">
        <f ca="1">IFERROR(__xludf.DUMMYFUNCTION("""COMPUTED_VALUE"""),"Yes")</f>
        <v>Yes</v>
      </c>
      <c r="AC585" s="5" t="str">
        <f ca="1">IFERROR(__xludf.DUMMYFUNCTION("""COMPUTED_VALUE"""),"No")</f>
        <v>No</v>
      </c>
    </row>
    <row r="586" spans="1:29" x14ac:dyDescent="0.25">
      <c r="A586" s="5" t="str">
        <f ca="1">IFERROR(__xludf.DUMMYFUNCTION("""COMPUTED_VALUE"""),"Money5Booster")</f>
        <v>Money5Booster</v>
      </c>
      <c r="B5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6" s="5" t="str">
        <f ca="1">IFERROR(__xludf.DUMMYFUNCTION("""COMPUTED_VALUE"""),"Yes")</f>
        <v>Yes</v>
      </c>
      <c r="D586" s="5" t="str">
        <f ca="1">IFERROR(__xludf.DUMMYFUNCTION("""COMPUTED_VALUE"""),"Yes")</f>
        <v>Yes</v>
      </c>
      <c r="E586" s="5" t="str">
        <f ca="1">IFERROR(__xludf.DUMMYFUNCTION("""COMPUTED_VALUE"""),"Yes")</f>
        <v>Yes</v>
      </c>
      <c r="F586" s="5" t="str">
        <f ca="1">IFERROR(__xludf.DUMMYFUNCTION("""COMPUTED_VALUE"""),"Yes")</f>
        <v>Yes</v>
      </c>
      <c r="G586" s="5" t="str">
        <f ca="1">IFERROR(__xludf.DUMMYFUNCTION("""COMPUTED_VALUE"""),"Yes")</f>
        <v>Yes</v>
      </c>
      <c r="H586" s="5" t="str">
        <f ca="1">IFERROR(__xludf.DUMMYFUNCTION("""COMPUTED_VALUE"""),"Yes")</f>
        <v>Yes</v>
      </c>
      <c r="I586" s="5" t="str">
        <f ca="1">IFERROR(__xludf.DUMMYFUNCTION("""COMPUTED_VALUE"""),"Yes")</f>
        <v>Yes</v>
      </c>
      <c r="J586" s="5" t="str">
        <f ca="1">IFERROR(__xludf.DUMMYFUNCTION("""COMPUTED_VALUE"""),"Yes")</f>
        <v>Yes</v>
      </c>
      <c r="K586" s="5" t="str">
        <f ca="1">IFERROR(__xludf.DUMMYFUNCTION("""COMPUTED_VALUE"""),"Yes")</f>
        <v>Yes</v>
      </c>
      <c r="L586" s="5" t="str">
        <f ca="1">IFERROR(__xludf.DUMMYFUNCTION("""COMPUTED_VALUE"""),"Yes")</f>
        <v>Yes</v>
      </c>
      <c r="M586" s="5" t="str">
        <f ca="1">IFERROR(__xludf.DUMMYFUNCTION("""COMPUTED_VALUE"""),"Yes")</f>
        <v>Yes</v>
      </c>
      <c r="N586" s="5" t="str">
        <f ca="1">IFERROR(__xludf.DUMMYFUNCTION("""COMPUTED_VALUE"""),"Yes")</f>
        <v>Yes</v>
      </c>
      <c r="O586" s="5" t="str">
        <f ca="1">IFERROR(__xludf.DUMMYFUNCTION("""COMPUTED_VALUE"""),"Yes")</f>
        <v>Yes</v>
      </c>
      <c r="P586" s="5" t="str">
        <f ca="1">IFERROR(__xludf.DUMMYFUNCTION("""COMPUTED_VALUE"""),"Yes")</f>
        <v>Yes</v>
      </c>
      <c r="Q586" s="5" t="str">
        <f ca="1">IFERROR(__xludf.DUMMYFUNCTION("""COMPUTED_VALUE"""),"Yes")</f>
        <v>Yes</v>
      </c>
      <c r="R586" s="5" t="str">
        <f ca="1">IFERROR(__xludf.DUMMYFUNCTION("""COMPUTED_VALUE"""),"Yes")</f>
        <v>Yes</v>
      </c>
      <c r="S586" s="5" t="str">
        <f ca="1">IFERROR(__xludf.DUMMYFUNCTION("""COMPUTED_VALUE"""),"Yes")</f>
        <v>Yes</v>
      </c>
      <c r="T586" s="5" t="str">
        <f ca="1">IFERROR(__xludf.DUMMYFUNCTION("""COMPUTED_VALUE"""),"Yes")</f>
        <v>Yes</v>
      </c>
      <c r="U586" s="5" t="str">
        <f ca="1">IFERROR(__xludf.DUMMYFUNCTION("""COMPUTED_VALUE"""),"Yes")</f>
        <v>Yes</v>
      </c>
      <c r="V586" s="5" t="str">
        <f ca="1">IFERROR(__xludf.DUMMYFUNCTION("""COMPUTED_VALUE"""),"Yes")</f>
        <v>Yes</v>
      </c>
      <c r="W586" s="5" t="str">
        <f ca="1">IFERROR(__xludf.DUMMYFUNCTION("""COMPUTED_VALUE"""),"Yes")</f>
        <v>Yes</v>
      </c>
      <c r="X586" s="5" t="str">
        <f ca="1">IFERROR(__xludf.DUMMYFUNCTION("""COMPUTED_VALUE"""),"Yes")</f>
        <v>Yes</v>
      </c>
      <c r="Y586" s="5" t="str">
        <f ca="1">IFERROR(__xludf.DUMMYFUNCTION("""COMPUTED_VALUE"""),"Yes")</f>
        <v>Yes</v>
      </c>
      <c r="Z586" s="5" t="str">
        <f ca="1">IFERROR(__xludf.DUMMYFUNCTION("""COMPUTED_VALUE"""),"Yes")</f>
        <v>Yes</v>
      </c>
      <c r="AA586" s="5" t="str">
        <f ca="1">IFERROR(__xludf.DUMMYFUNCTION("""COMPUTED_VALUE"""),"Yes")</f>
        <v>Yes</v>
      </c>
      <c r="AB586" s="5" t="str">
        <f ca="1">IFERROR(__xludf.DUMMYFUNCTION("""COMPUTED_VALUE"""),"Yes")</f>
        <v>Yes</v>
      </c>
      <c r="AC586" s="5" t="str">
        <f ca="1">IFERROR(__xludf.DUMMYFUNCTION("""COMPUTED_VALUE"""),"No")</f>
        <v>No</v>
      </c>
    </row>
    <row r="587" spans="1:29" x14ac:dyDescent="0.25">
      <c r="A587" s="5" t="str">
        <f ca="1">IFERROR(__xludf.DUMMYFUNCTION("""COMPUTED_VALUE"""),"GoldenCrownChristmasBooster")</f>
        <v>GoldenCrownChristmasBooster</v>
      </c>
      <c r="B5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7" s="5" t="str">
        <f ca="1">IFERROR(__xludf.DUMMYFUNCTION("""COMPUTED_VALUE"""),"Yes")</f>
        <v>Yes</v>
      </c>
      <c r="D587" s="5" t="str">
        <f ca="1">IFERROR(__xludf.DUMMYFUNCTION("""COMPUTED_VALUE"""),"Yes")</f>
        <v>Yes</v>
      </c>
      <c r="E587" s="5" t="str">
        <f ca="1">IFERROR(__xludf.DUMMYFUNCTION("""COMPUTED_VALUE"""),"Yes")</f>
        <v>Yes</v>
      </c>
      <c r="F587" s="5" t="str">
        <f ca="1">IFERROR(__xludf.DUMMYFUNCTION("""COMPUTED_VALUE"""),"Yes")</f>
        <v>Yes</v>
      </c>
      <c r="G587" s="5" t="str">
        <f ca="1">IFERROR(__xludf.DUMMYFUNCTION("""COMPUTED_VALUE"""),"Yes")</f>
        <v>Yes</v>
      </c>
      <c r="H587" s="5" t="str">
        <f ca="1">IFERROR(__xludf.DUMMYFUNCTION("""COMPUTED_VALUE"""),"Yes")</f>
        <v>Yes</v>
      </c>
      <c r="I587" s="5" t="str">
        <f ca="1">IFERROR(__xludf.DUMMYFUNCTION("""COMPUTED_VALUE"""),"Yes")</f>
        <v>Yes</v>
      </c>
      <c r="J587" s="5" t="str">
        <f ca="1">IFERROR(__xludf.DUMMYFUNCTION("""COMPUTED_VALUE"""),"Yes")</f>
        <v>Yes</v>
      </c>
      <c r="K587" s="5" t="str">
        <f ca="1">IFERROR(__xludf.DUMMYFUNCTION("""COMPUTED_VALUE"""),"Yes")</f>
        <v>Yes</v>
      </c>
      <c r="L587" s="5" t="str">
        <f ca="1">IFERROR(__xludf.DUMMYFUNCTION("""COMPUTED_VALUE"""),"Yes")</f>
        <v>Yes</v>
      </c>
      <c r="M587" s="5" t="str">
        <f ca="1">IFERROR(__xludf.DUMMYFUNCTION("""COMPUTED_VALUE"""),"Yes")</f>
        <v>Yes</v>
      </c>
      <c r="N587" s="5" t="str">
        <f ca="1">IFERROR(__xludf.DUMMYFUNCTION("""COMPUTED_VALUE"""),"Yes")</f>
        <v>Yes</v>
      </c>
      <c r="O587" s="5" t="str">
        <f ca="1">IFERROR(__xludf.DUMMYFUNCTION("""COMPUTED_VALUE"""),"Yes")</f>
        <v>Yes</v>
      </c>
      <c r="P587" s="5" t="str">
        <f ca="1">IFERROR(__xludf.DUMMYFUNCTION("""COMPUTED_VALUE"""),"Yes")</f>
        <v>Yes</v>
      </c>
      <c r="Q587" s="5" t="str">
        <f ca="1">IFERROR(__xludf.DUMMYFUNCTION("""COMPUTED_VALUE"""),"Yes")</f>
        <v>Yes</v>
      </c>
      <c r="R587" s="5" t="str">
        <f ca="1">IFERROR(__xludf.DUMMYFUNCTION("""COMPUTED_VALUE"""),"Yes")</f>
        <v>Yes</v>
      </c>
      <c r="S587" s="5" t="str">
        <f ca="1">IFERROR(__xludf.DUMMYFUNCTION("""COMPUTED_VALUE"""),"Yes")</f>
        <v>Yes</v>
      </c>
      <c r="T587" s="5" t="str">
        <f ca="1">IFERROR(__xludf.DUMMYFUNCTION("""COMPUTED_VALUE"""),"Yes")</f>
        <v>Yes</v>
      </c>
      <c r="U587" s="5" t="str">
        <f ca="1">IFERROR(__xludf.DUMMYFUNCTION("""COMPUTED_VALUE"""),"Yes")</f>
        <v>Yes</v>
      </c>
      <c r="V587" s="5" t="str">
        <f ca="1">IFERROR(__xludf.DUMMYFUNCTION("""COMPUTED_VALUE"""),"Yes")</f>
        <v>Yes</v>
      </c>
      <c r="W587" s="5" t="str">
        <f ca="1">IFERROR(__xludf.DUMMYFUNCTION("""COMPUTED_VALUE"""),"Yes")</f>
        <v>Yes</v>
      </c>
      <c r="X587" s="5" t="str">
        <f ca="1">IFERROR(__xludf.DUMMYFUNCTION("""COMPUTED_VALUE"""),"Yes")</f>
        <v>Yes</v>
      </c>
      <c r="Y587" s="5" t="str">
        <f ca="1">IFERROR(__xludf.DUMMYFUNCTION("""COMPUTED_VALUE"""),"Yes")</f>
        <v>Yes</v>
      </c>
      <c r="Z587" s="5" t="str">
        <f ca="1">IFERROR(__xludf.DUMMYFUNCTION("""COMPUTED_VALUE"""),"Yes")</f>
        <v>Yes</v>
      </c>
      <c r="AA587" s="5" t="str">
        <f ca="1">IFERROR(__xludf.DUMMYFUNCTION("""COMPUTED_VALUE"""),"Yes")</f>
        <v>Yes</v>
      </c>
      <c r="AB587" s="5" t="str">
        <f ca="1">IFERROR(__xludf.DUMMYFUNCTION("""COMPUTED_VALUE"""),"Yes")</f>
        <v>Yes</v>
      </c>
      <c r="AC587" s="5" t="str">
        <f ca="1">IFERROR(__xludf.DUMMYFUNCTION("""COMPUTED_VALUE"""),"No")</f>
        <v>No</v>
      </c>
    </row>
    <row r="588" spans="1:29" x14ac:dyDescent="0.25">
      <c r="A588" s="5" t="str">
        <f ca="1">IFERROR(__xludf.DUMMYFUNCTION("""COMPUTED_VALUE"""),"BellasWorld")</f>
        <v>BellasWorld</v>
      </c>
      <c r="B5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8" s="5" t="str">
        <f ca="1">IFERROR(__xludf.DUMMYFUNCTION("""COMPUTED_VALUE"""),"Yes")</f>
        <v>Yes</v>
      </c>
      <c r="D588" s="5" t="str">
        <f ca="1">IFERROR(__xludf.DUMMYFUNCTION("""COMPUTED_VALUE"""),"Yes")</f>
        <v>Yes</v>
      </c>
      <c r="E588" s="5" t="str">
        <f ca="1">IFERROR(__xludf.DUMMYFUNCTION("""COMPUTED_VALUE"""),"Yes")</f>
        <v>Yes</v>
      </c>
      <c r="F588" s="5" t="str">
        <f ca="1">IFERROR(__xludf.DUMMYFUNCTION("""COMPUTED_VALUE"""),"Yes")</f>
        <v>Yes</v>
      </c>
      <c r="G588" s="5" t="str">
        <f ca="1">IFERROR(__xludf.DUMMYFUNCTION("""COMPUTED_VALUE"""),"Yes")</f>
        <v>Yes</v>
      </c>
      <c r="H588" s="5" t="str">
        <f ca="1">IFERROR(__xludf.DUMMYFUNCTION("""COMPUTED_VALUE"""),"Yes")</f>
        <v>Yes</v>
      </c>
      <c r="I588" s="5" t="str">
        <f ca="1">IFERROR(__xludf.DUMMYFUNCTION("""COMPUTED_VALUE"""),"Yes")</f>
        <v>Yes</v>
      </c>
      <c r="J588" s="5" t="str">
        <f ca="1">IFERROR(__xludf.DUMMYFUNCTION("""COMPUTED_VALUE"""),"Yes")</f>
        <v>Yes</v>
      </c>
      <c r="K588" s="5" t="str">
        <f ca="1">IFERROR(__xludf.DUMMYFUNCTION("""COMPUTED_VALUE"""),"Yes")</f>
        <v>Yes</v>
      </c>
      <c r="L588" s="5" t="str">
        <f ca="1">IFERROR(__xludf.DUMMYFUNCTION("""COMPUTED_VALUE"""),"Yes")</f>
        <v>Yes</v>
      </c>
      <c r="M588" s="5" t="str">
        <f ca="1">IFERROR(__xludf.DUMMYFUNCTION("""COMPUTED_VALUE"""),"Yes")</f>
        <v>Yes</v>
      </c>
      <c r="N588" s="5" t="str">
        <f ca="1">IFERROR(__xludf.DUMMYFUNCTION("""COMPUTED_VALUE"""),"Yes")</f>
        <v>Yes</v>
      </c>
      <c r="O588" s="5" t="str">
        <f ca="1">IFERROR(__xludf.DUMMYFUNCTION("""COMPUTED_VALUE"""),"Yes")</f>
        <v>Yes</v>
      </c>
      <c r="P588" s="5" t="str">
        <f ca="1">IFERROR(__xludf.DUMMYFUNCTION("""COMPUTED_VALUE"""),"Yes")</f>
        <v>Yes</v>
      </c>
      <c r="Q588" s="5" t="str">
        <f ca="1">IFERROR(__xludf.DUMMYFUNCTION("""COMPUTED_VALUE"""),"Yes")</f>
        <v>Yes</v>
      </c>
      <c r="R588" s="5" t="str">
        <f ca="1">IFERROR(__xludf.DUMMYFUNCTION("""COMPUTED_VALUE"""),"Yes")</f>
        <v>Yes</v>
      </c>
      <c r="S588" s="5" t="str">
        <f ca="1">IFERROR(__xludf.DUMMYFUNCTION("""COMPUTED_VALUE"""),"Yes")</f>
        <v>Yes</v>
      </c>
      <c r="T588" s="5" t="str">
        <f ca="1">IFERROR(__xludf.DUMMYFUNCTION("""COMPUTED_VALUE"""),"Yes")</f>
        <v>Yes</v>
      </c>
      <c r="U588" s="5" t="str">
        <f ca="1">IFERROR(__xludf.DUMMYFUNCTION("""COMPUTED_VALUE"""),"Yes")</f>
        <v>Yes</v>
      </c>
      <c r="V588" s="5" t="str">
        <f ca="1">IFERROR(__xludf.DUMMYFUNCTION("""COMPUTED_VALUE"""),"Yes")</f>
        <v>Yes</v>
      </c>
      <c r="W588" s="5" t="str">
        <f ca="1">IFERROR(__xludf.DUMMYFUNCTION("""COMPUTED_VALUE"""),"Yes")</f>
        <v>Yes</v>
      </c>
      <c r="X588" s="5" t="str">
        <f ca="1">IFERROR(__xludf.DUMMYFUNCTION("""COMPUTED_VALUE"""),"Yes")</f>
        <v>Yes</v>
      </c>
      <c r="Y588" s="5" t="str">
        <f ca="1">IFERROR(__xludf.DUMMYFUNCTION("""COMPUTED_VALUE"""),"Yes")</f>
        <v>Yes</v>
      </c>
      <c r="Z588" s="5" t="str">
        <f ca="1">IFERROR(__xludf.DUMMYFUNCTION("""COMPUTED_VALUE"""),"Yes")</f>
        <v>Yes</v>
      </c>
      <c r="AA588" s="5" t="str">
        <f ca="1">IFERROR(__xludf.DUMMYFUNCTION("""COMPUTED_VALUE"""),"Yes")</f>
        <v>Yes</v>
      </c>
      <c r="AB588" s="5" t="str">
        <f ca="1">IFERROR(__xludf.DUMMYFUNCTION("""COMPUTED_VALUE"""),"Yes")</f>
        <v>Yes</v>
      </c>
      <c r="AC588" s="5" t="str">
        <f ca="1">IFERROR(__xludf.DUMMYFUNCTION("""COMPUTED_VALUE"""),"No")</f>
        <v>No</v>
      </c>
    </row>
    <row r="589" spans="1:29" x14ac:dyDescent="0.25">
      <c r="A589" s="5" t="str">
        <f ca="1">IFERROR(__xludf.DUMMYFUNCTION("""COMPUTED_VALUE"""),"Wild27Extreme")</f>
        <v>Wild27Extreme</v>
      </c>
      <c r="B5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9" s="5" t="str">
        <f ca="1">IFERROR(__xludf.DUMMYFUNCTION("""COMPUTED_VALUE"""),"Yes")</f>
        <v>Yes</v>
      </c>
      <c r="D589" s="5" t="str">
        <f ca="1">IFERROR(__xludf.DUMMYFUNCTION("""COMPUTED_VALUE"""),"Yes")</f>
        <v>Yes</v>
      </c>
      <c r="E589" s="5" t="str">
        <f ca="1">IFERROR(__xludf.DUMMYFUNCTION("""COMPUTED_VALUE"""),"Yes")</f>
        <v>Yes</v>
      </c>
      <c r="F589" s="5" t="str">
        <f ca="1">IFERROR(__xludf.DUMMYFUNCTION("""COMPUTED_VALUE"""),"Yes")</f>
        <v>Yes</v>
      </c>
      <c r="G589" s="5" t="str">
        <f ca="1">IFERROR(__xludf.DUMMYFUNCTION("""COMPUTED_VALUE"""),"Yes")</f>
        <v>Yes</v>
      </c>
      <c r="H589" s="5" t="str">
        <f ca="1">IFERROR(__xludf.DUMMYFUNCTION("""COMPUTED_VALUE"""),"Yes")</f>
        <v>Yes</v>
      </c>
      <c r="I589" s="5" t="str">
        <f ca="1">IFERROR(__xludf.DUMMYFUNCTION("""COMPUTED_VALUE"""),"Yes")</f>
        <v>Yes</v>
      </c>
      <c r="J589" s="5" t="str">
        <f ca="1">IFERROR(__xludf.DUMMYFUNCTION("""COMPUTED_VALUE"""),"Yes")</f>
        <v>Yes</v>
      </c>
      <c r="K589" s="5" t="str">
        <f ca="1">IFERROR(__xludf.DUMMYFUNCTION("""COMPUTED_VALUE"""),"Yes")</f>
        <v>Yes</v>
      </c>
      <c r="L589" s="5" t="str">
        <f ca="1">IFERROR(__xludf.DUMMYFUNCTION("""COMPUTED_VALUE"""),"Yes")</f>
        <v>Yes</v>
      </c>
      <c r="M589" s="5" t="str">
        <f ca="1">IFERROR(__xludf.DUMMYFUNCTION("""COMPUTED_VALUE"""),"Yes")</f>
        <v>Yes</v>
      </c>
      <c r="N589" s="5" t="str">
        <f ca="1">IFERROR(__xludf.DUMMYFUNCTION("""COMPUTED_VALUE"""),"Yes")</f>
        <v>Yes</v>
      </c>
      <c r="O589" s="5" t="str">
        <f ca="1">IFERROR(__xludf.DUMMYFUNCTION("""COMPUTED_VALUE"""),"Yes")</f>
        <v>Yes</v>
      </c>
      <c r="P589" s="5" t="str">
        <f ca="1">IFERROR(__xludf.DUMMYFUNCTION("""COMPUTED_VALUE"""),"Yes")</f>
        <v>Yes</v>
      </c>
      <c r="Q589" s="5" t="str">
        <f ca="1">IFERROR(__xludf.DUMMYFUNCTION("""COMPUTED_VALUE"""),"Yes")</f>
        <v>Yes</v>
      </c>
      <c r="R589" s="5" t="str">
        <f ca="1">IFERROR(__xludf.DUMMYFUNCTION("""COMPUTED_VALUE"""),"Yes")</f>
        <v>Yes</v>
      </c>
      <c r="S589" s="5" t="str">
        <f ca="1">IFERROR(__xludf.DUMMYFUNCTION("""COMPUTED_VALUE"""),"Yes")</f>
        <v>Yes</v>
      </c>
      <c r="T589" s="5" t="str">
        <f ca="1">IFERROR(__xludf.DUMMYFUNCTION("""COMPUTED_VALUE"""),"Yes")</f>
        <v>Yes</v>
      </c>
      <c r="U589" s="5" t="str">
        <f ca="1">IFERROR(__xludf.DUMMYFUNCTION("""COMPUTED_VALUE"""),"Yes")</f>
        <v>Yes</v>
      </c>
      <c r="V589" s="5" t="str">
        <f ca="1">IFERROR(__xludf.DUMMYFUNCTION("""COMPUTED_VALUE"""),"Yes")</f>
        <v>Yes</v>
      </c>
      <c r="W589" s="5" t="str">
        <f ca="1">IFERROR(__xludf.DUMMYFUNCTION("""COMPUTED_VALUE"""),"Yes")</f>
        <v>Yes</v>
      </c>
      <c r="X589" s="5" t="str">
        <f ca="1">IFERROR(__xludf.DUMMYFUNCTION("""COMPUTED_VALUE"""),"Yes")</f>
        <v>Yes</v>
      </c>
      <c r="Y589" s="5" t="str">
        <f ca="1">IFERROR(__xludf.DUMMYFUNCTION("""COMPUTED_VALUE"""),"Yes")</f>
        <v>Yes</v>
      </c>
      <c r="Z589" s="5" t="str">
        <f ca="1">IFERROR(__xludf.DUMMYFUNCTION("""COMPUTED_VALUE"""),"Yes")</f>
        <v>Yes</v>
      </c>
      <c r="AA589" s="5" t="str">
        <f ca="1">IFERROR(__xludf.DUMMYFUNCTION("""COMPUTED_VALUE"""),"Yes")</f>
        <v>Yes</v>
      </c>
      <c r="AB589" s="5" t="str">
        <f ca="1">IFERROR(__xludf.DUMMYFUNCTION("""COMPUTED_VALUE"""),"Yes")</f>
        <v>Yes</v>
      </c>
      <c r="AC589" s="5" t="str">
        <f ca="1">IFERROR(__xludf.DUMMYFUNCTION("""COMPUTED_VALUE"""),"No")</f>
        <v>No</v>
      </c>
    </row>
    <row r="590" spans="1:29" x14ac:dyDescent="0.25">
      <c r="A590" s="5" t="str">
        <f ca="1">IFERROR(__xludf.DUMMYFUNCTION("""COMPUTED_VALUE"""),"MacacoDaFortuna")</f>
        <v>MacacoDaFortuna</v>
      </c>
      <c r="B5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0" s="5" t="str">
        <f ca="1">IFERROR(__xludf.DUMMYFUNCTION("""COMPUTED_VALUE"""),"Yes")</f>
        <v>Yes</v>
      </c>
      <c r="D590" s="5" t="str">
        <f ca="1">IFERROR(__xludf.DUMMYFUNCTION("""COMPUTED_VALUE"""),"Yes")</f>
        <v>Yes</v>
      </c>
      <c r="E590" s="5" t="str">
        <f ca="1">IFERROR(__xludf.DUMMYFUNCTION("""COMPUTED_VALUE"""),"Yes")</f>
        <v>Yes</v>
      </c>
      <c r="F590" s="5" t="str">
        <f ca="1">IFERROR(__xludf.DUMMYFUNCTION("""COMPUTED_VALUE"""),"Yes")</f>
        <v>Yes</v>
      </c>
      <c r="G590" s="5" t="str">
        <f ca="1">IFERROR(__xludf.DUMMYFUNCTION("""COMPUTED_VALUE"""),"Yes")</f>
        <v>Yes</v>
      </c>
      <c r="H590" s="5" t="str">
        <f ca="1">IFERROR(__xludf.DUMMYFUNCTION("""COMPUTED_VALUE"""),"Yes")</f>
        <v>Yes</v>
      </c>
      <c r="I590" s="5" t="str">
        <f ca="1">IFERROR(__xludf.DUMMYFUNCTION("""COMPUTED_VALUE"""),"Yes")</f>
        <v>Yes</v>
      </c>
      <c r="J590" s="5" t="str">
        <f ca="1">IFERROR(__xludf.DUMMYFUNCTION("""COMPUTED_VALUE"""),"Yes")</f>
        <v>Yes</v>
      </c>
      <c r="K590" s="5" t="str">
        <f ca="1">IFERROR(__xludf.DUMMYFUNCTION("""COMPUTED_VALUE"""),"Yes")</f>
        <v>Yes</v>
      </c>
      <c r="L590" s="5" t="str">
        <f ca="1">IFERROR(__xludf.DUMMYFUNCTION("""COMPUTED_VALUE"""),"Yes")</f>
        <v>Yes</v>
      </c>
      <c r="M590" s="5" t="str">
        <f ca="1">IFERROR(__xludf.DUMMYFUNCTION("""COMPUTED_VALUE"""),"Yes")</f>
        <v>Yes</v>
      </c>
      <c r="N590" s="5" t="str">
        <f ca="1">IFERROR(__xludf.DUMMYFUNCTION("""COMPUTED_VALUE"""),"Yes")</f>
        <v>Yes</v>
      </c>
      <c r="O590" s="5" t="str">
        <f ca="1">IFERROR(__xludf.DUMMYFUNCTION("""COMPUTED_VALUE"""),"Yes")</f>
        <v>Yes</v>
      </c>
      <c r="P590" s="5" t="str">
        <f ca="1">IFERROR(__xludf.DUMMYFUNCTION("""COMPUTED_VALUE"""),"Yes")</f>
        <v>Yes</v>
      </c>
      <c r="Q590" s="5" t="str">
        <f ca="1">IFERROR(__xludf.DUMMYFUNCTION("""COMPUTED_VALUE"""),"Yes")</f>
        <v>Yes</v>
      </c>
      <c r="R590" s="5" t="str">
        <f ca="1">IFERROR(__xludf.DUMMYFUNCTION("""COMPUTED_VALUE"""),"Yes")</f>
        <v>Yes</v>
      </c>
      <c r="S590" s="5" t="str">
        <f ca="1">IFERROR(__xludf.DUMMYFUNCTION("""COMPUTED_VALUE"""),"Yes")</f>
        <v>Yes</v>
      </c>
      <c r="T590" s="5" t="str">
        <f ca="1">IFERROR(__xludf.DUMMYFUNCTION("""COMPUTED_VALUE"""),"Yes")</f>
        <v>Yes</v>
      </c>
      <c r="U590" s="5" t="str">
        <f ca="1">IFERROR(__xludf.DUMMYFUNCTION("""COMPUTED_VALUE"""),"Yes")</f>
        <v>Yes</v>
      </c>
      <c r="V590" s="5" t="str">
        <f ca="1">IFERROR(__xludf.DUMMYFUNCTION("""COMPUTED_VALUE"""),"Yes")</f>
        <v>Yes</v>
      </c>
      <c r="W590" s="5" t="str">
        <f ca="1">IFERROR(__xludf.DUMMYFUNCTION("""COMPUTED_VALUE"""),"Yes")</f>
        <v>Yes</v>
      </c>
      <c r="X590" s="5" t="str">
        <f ca="1">IFERROR(__xludf.DUMMYFUNCTION("""COMPUTED_VALUE"""),"Yes")</f>
        <v>Yes</v>
      </c>
      <c r="Y590" s="5" t="str">
        <f ca="1">IFERROR(__xludf.DUMMYFUNCTION("""COMPUTED_VALUE"""),"Yes")</f>
        <v>Yes</v>
      </c>
      <c r="Z590" s="5" t="str">
        <f ca="1">IFERROR(__xludf.DUMMYFUNCTION("""COMPUTED_VALUE"""),"Yes")</f>
        <v>Yes</v>
      </c>
      <c r="AA590" s="5" t="str">
        <f ca="1">IFERROR(__xludf.DUMMYFUNCTION("""COMPUTED_VALUE"""),"Yes")</f>
        <v>Yes</v>
      </c>
      <c r="AB590" s="5" t="str">
        <f ca="1">IFERROR(__xludf.DUMMYFUNCTION("""COMPUTED_VALUE"""),"Yes")</f>
        <v>Yes</v>
      </c>
      <c r="AC590" s="5" t="str">
        <f ca="1">IFERROR(__xludf.DUMMYFUNCTION("""COMPUTED_VALUE"""),"No")</f>
        <v>No</v>
      </c>
    </row>
    <row r="591" spans="1:29" x14ac:dyDescent="0.25">
      <c r="A591" s="5" t="str">
        <f ca="1">IFERROR(__xludf.DUMMYFUNCTION("""COMPUTED_VALUE"""),"GigaHot40FreeSpins")</f>
        <v>GigaHot40FreeSpins</v>
      </c>
      <c r="B5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1" s="5" t="str">
        <f ca="1">IFERROR(__xludf.DUMMYFUNCTION("""COMPUTED_VALUE"""),"Yes")</f>
        <v>Yes</v>
      </c>
      <c r="D591" s="5" t="str">
        <f ca="1">IFERROR(__xludf.DUMMYFUNCTION("""COMPUTED_VALUE"""),"Yes")</f>
        <v>Yes</v>
      </c>
      <c r="E591" s="5" t="str">
        <f ca="1">IFERROR(__xludf.DUMMYFUNCTION("""COMPUTED_VALUE"""),"Yes")</f>
        <v>Yes</v>
      </c>
      <c r="F591" s="5" t="str">
        <f ca="1">IFERROR(__xludf.DUMMYFUNCTION("""COMPUTED_VALUE"""),"Yes")</f>
        <v>Yes</v>
      </c>
      <c r="G591" s="5" t="str">
        <f ca="1">IFERROR(__xludf.DUMMYFUNCTION("""COMPUTED_VALUE"""),"Yes")</f>
        <v>Yes</v>
      </c>
      <c r="H591" s="5" t="str">
        <f ca="1">IFERROR(__xludf.DUMMYFUNCTION("""COMPUTED_VALUE"""),"Yes")</f>
        <v>Yes</v>
      </c>
      <c r="I591" s="5" t="str">
        <f ca="1">IFERROR(__xludf.DUMMYFUNCTION("""COMPUTED_VALUE"""),"Yes")</f>
        <v>Yes</v>
      </c>
      <c r="J591" s="5" t="str">
        <f ca="1">IFERROR(__xludf.DUMMYFUNCTION("""COMPUTED_VALUE"""),"Yes")</f>
        <v>Yes</v>
      </c>
      <c r="K591" s="5" t="str">
        <f ca="1">IFERROR(__xludf.DUMMYFUNCTION("""COMPUTED_VALUE"""),"Yes")</f>
        <v>Yes</v>
      </c>
      <c r="L591" s="5" t="str">
        <f ca="1">IFERROR(__xludf.DUMMYFUNCTION("""COMPUTED_VALUE"""),"Yes")</f>
        <v>Yes</v>
      </c>
      <c r="M591" s="5" t="str">
        <f ca="1">IFERROR(__xludf.DUMMYFUNCTION("""COMPUTED_VALUE"""),"Yes")</f>
        <v>Yes</v>
      </c>
      <c r="N591" s="5" t="str">
        <f ca="1">IFERROR(__xludf.DUMMYFUNCTION("""COMPUTED_VALUE"""),"Yes")</f>
        <v>Yes</v>
      </c>
      <c r="O591" s="5" t="str">
        <f ca="1">IFERROR(__xludf.DUMMYFUNCTION("""COMPUTED_VALUE"""),"Yes")</f>
        <v>Yes</v>
      </c>
      <c r="P591" s="5" t="str">
        <f ca="1">IFERROR(__xludf.DUMMYFUNCTION("""COMPUTED_VALUE"""),"Yes")</f>
        <v>Yes</v>
      </c>
      <c r="Q591" s="5" t="str">
        <f ca="1">IFERROR(__xludf.DUMMYFUNCTION("""COMPUTED_VALUE"""),"Yes")</f>
        <v>Yes</v>
      </c>
      <c r="R591" s="5" t="str">
        <f ca="1">IFERROR(__xludf.DUMMYFUNCTION("""COMPUTED_VALUE"""),"Yes")</f>
        <v>Yes</v>
      </c>
      <c r="S591" s="5" t="str">
        <f ca="1">IFERROR(__xludf.DUMMYFUNCTION("""COMPUTED_VALUE"""),"Yes")</f>
        <v>Yes</v>
      </c>
      <c r="T591" s="5" t="str">
        <f ca="1">IFERROR(__xludf.DUMMYFUNCTION("""COMPUTED_VALUE"""),"Yes")</f>
        <v>Yes</v>
      </c>
      <c r="U591" s="5" t="str">
        <f ca="1">IFERROR(__xludf.DUMMYFUNCTION("""COMPUTED_VALUE"""),"Yes")</f>
        <v>Yes</v>
      </c>
      <c r="V591" s="5" t="str">
        <f ca="1">IFERROR(__xludf.DUMMYFUNCTION("""COMPUTED_VALUE"""),"Yes")</f>
        <v>Yes</v>
      </c>
      <c r="W591" s="5" t="str">
        <f ca="1">IFERROR(__xludf.DUMMYFUNCTION("""COMPUTED_VALUE"""),"Yes")</f>
        <v>Yes</v>
      </c>
      <c r="X591" s="5" t="str">
        <f ca="1">IFERROR(__xludf.DUMMYFUNCTION("""COMPUTED_VALUE"""),"Yes")</f>
        <v>Yes</v>
      </c>
      <c r="Y591" s="5" t="str">
        <f ca="1">IFERROR(__xludf.DUMMYFUNCTION("""COMPUTED_VALUE"""),"Yes")</f>
        <v>Yes</v>
      </c>
      <c r="Z591" s="5" t="str">
        <f ca="1">IFERROR(__xludf.DUMMYFUNCTION("""COMPUTED_VALUE"""),"Yes")</f>
        <v>Yes</v>
      </c>
      <c r="AA591" s="5" t="str">
        <f ca="1">IFERROR(__xludf.DUMMYFUNCTION("""COMPUTED_VALUE"""),"Yes")</f>
        <v>Yes</v>
      </c>
      <c r="AB591" s="5" t="str">
        <f ca="1">IFERROR(__xludf.DUMMYFUNCTION("""COMPUTED_VALUE"""),"Yes")</f>
        <v>Yes</v>
      </c>
      <c r="AC591" s="5" t="str">
        <f ca="1">IFERROR(__xludf.DUMMYFUNCTION("""COMPUTED_VALUE"""),"No")</f>
        <v>No</v>
      </c>
    </row>
    <row r="592" spans="1:29" x14ac:dyDescent="0.25">
      <c r="A592" s="5" t="str">
        <f ca="1">IFERROR(__xludf.DUMMYFUNCTION("""COMPUTED_VALUE"""),"TBD")</f>
        <v>TBD</v>
      </c>
      <c r="B59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92" s="5" t="str">
        <f ca="1">IFERROR(__xludf.DUMMYFUNCTION("""COMPUTED_VALUE"""),"Yes")</f>
        <v>Yes</v>
      </c>
      <c r="D592" s="5" t="str">
        <f ca="1">IFERROR(__xludf.DUMMYFUNCTION("""COMPUTED_VALUE"""),"Yes")</f>
        <v>Yes</v>
      </c>
      <c r="E592" s="5" t="str">
        <f ca="1">IFERROR(__xludf.DUMMYFUNCTION("""COMPUTED_VALUE"""),"Yes")</f>
        <v>Yes</v>
      </c>
      <c r="F592" s="5"/>
      <c r="G592" s="5"/>
      <c r="H592" s="5"/>
      <c r="I592" s="5"/>
      <c r="J592" s="5"/>
      <c r="K592" s="5" t="str">
        <f ca="1">IFERROR(__xludf.DUMMYFUNCTION("""COMPUTED_VALUE"""),"Yes")</f>
        <v>Yes</v>
      </c>
      <c r="L592" s="5" t="str">
        <f ca="1">IFERROR(__xludf.DUMMYFUNCTION("""COMPUTED_VALUE"""),"Yes")</f>
        <v>Yes</v>
      </c>
      <c r="M592" s="5" t="str">
        <f ca="1">IFERROR(__xludf.DUMMYFUNCTION("""COMPUTED_VALUE"""),"Yes")</f>
        <v>Yes</v>
      </c>
      <c r="N592" s="5" t="str">
        <f ca="1">IFERROR(__xludf.DUMMYFUNCTION("""COMPUTED_VALUE"""),"Yes")</f>
        <v>Yes</v>
      </c>
      <c r="O592" s="5" t="str">
        <f ca="1">IFERROR(__xludf.DUMMYFUNCTION("""COMPUTED_VALUE"""),"Yes")</f>
        <v>Yes</v>
      </c>
      <c r="P592" s="5"/>
      <c r="Q592" s="5" t="str">
        <f ca="1">IFERROR(__xludf.DUMMYFUNCTION("""COMPUTED_VALUE"""),"Yes")</f>
        <v>Yes</v>
      </c>
      <c r="R592" s="5"/>
      <c r="S592" s="5"/>
      <c r="T592" s="5"/>
      <c r="U592" s="5"/>
      <c r="V592" s="5"/>
      <c r="W592" s="5"/>
      <c r="X592" s="5" t="str">
        <f ca="1">IFERROR(__xludf.DUMMYFUNCTION("""COMPUTED_VALUE"""),"Yes")</f>
        <v>Yes</v>
      </c>
      <c r="Y592" s="5"/>
      <c r="Z592" s="5"/>
      <c r="AA592" s="5"/>
      <c r="AB592" s="5" t="str">
        <f ca="1">IFERROR(__xludf.DUMMYFUNCTION("""COMPUTED_VALUE"""),"Yes")</f>
        <v>Yes</v>
      </c>
      <c r="AC592" s="5" t="str">
        <f ca="1">IFERROR(__xludf.DUMMYFUNCTION("""COMPUTED_VALUE"""),"Yes")</f>
        <v>Yes</v>
      </c>
    </row>
    <row r="593" spans="1:29" x14ac:dyDescent="0.25">
      <c r="A593" s="5" t="str">
        <f ca="1">IFERROR(__xludf.DUMMYFUNCTION("""COMPUTED_VALUE"""),"VeryHot5ChristmasBooster")</f>
        <v>VeryHot5ChristmasBooster</v>
      </c>
      <c r="B5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3" s="5" t="str">
        <f ca="1">IFERROR(__xludf.DUMMYFUNCTION("""COMPUTED_VALUE"""),"Yes")</f>
        <v>Yes</v>
      </c>
      <c r="D593" s="5" t="str">
        <f ca="1">IFERROR(__xludf.DUMMYFUNCTION("""COMPUTED_VALUE"""),"Yes")</f>
        <v>Yes</v>
      </c>
      <c r="E593" s="5" t="str">
        <f ca="1">IFERROR(__xludf.DUMMYFUNCTION("""COMPUTED_VALUE"""),"Yes")</f>
        <v>Yes</v>
      </c>
      <c r="F593" s="5" t="str">
        <f ca="1">IFERROR(__xludf.DUMMYFUNCTION("""COMPUTED_VALUE"""),"Yes")</f>
        <v>Yes</v>
      </c>
      <c r="G593" s="5" t="str">
        <f ca="1">IFERROR(__xludf.DUMMYFUNCTION("""COMPUTED_VALUE"""),"Yes")</f>
        <v>Yes</v>
      </c>
      <c r="H593" s="5" t="str">
        <f ca="1">IFERROR(__xludf.DUMMYFUNCTION("""COMPUTED_VALUE"""),"Yes")</f>
        <v>Yes</v>
      </c>
      <c r="I593" s="5" t="str">
        <f ca="1">IFERROR(__xludf.DUMMYFUNCTION("""COMPUTED_VALUE"""),"Yes")</f>
        <v>Yes</v>
      </c>
      <c r="J593" s="5" t="str">
        <f ca="1">IFERROR(__xludf.DUMMYFUNCTION("""COMPUTED_VALUE"""),"Yes")</f>
        <v>Yes</v>
      </c>
      <c r="K593" s="5" t="str">
        <f ca="1">IFERROR(__xludf.DUMMYFUNCTION("""COMPUTED_VALUE"""),"Yes")</f>
        <v>Yes</v>
      </c>
      <c r="L593" s="5" t="str">
        <f ca="1">IFERROR(__xludf.DUMMYFUNCTION("""COMPUTED_VALUE"""),"Yes")</f>
        <v>Yes</v>
      </c>
      <c r="M593" s="5" t="str">
        <f ca="1">IFERROR(__xludf.DUMMYFUNCTION("""COMPUTED_VALUE"""),"Yes")</f>
        <v>Yes</v>
      </c>
      <c r="N593" s="5" t="str">
        <f ca="1">IFERROR(__xludf.DUMMYFUNCTION("""COMPUTED_VALUE"""),"Yes")</f>
        <v>Yes</v>
      </c>
      <c r="O593" s="5" t="str">
        <f ca="1">IFERROR(__xludf.DUMMYFUNCTION("""COMPUTED_VALUE"""),"Yes")</f>
        <v>Yes</v>
      </c>
      <c r="P593" s="5" t="str">
        <f ca="1">IFERROR(__xludf.DUMMYFUNCTION("""COMPUTED_VALUE"""),"Yes")</f>
        <v>Yes</v>
      </c>
      <c r="Q593" s="5" t="str">
        <f ca="1">IFERROR(__xludf.DUMMYFUNCTION("""COMPUTED_VALUE"""),"Yes")</f>
        <v>Yes</v>
      </c>
      <c r="R593" s="5" t="str">
        <f ca="1">IFERROR(__xludf.DUMMYFUNCTION("""COMPUTED_VALUE"""),"Yes")</f>
        <v>Yes</v>
      </c>
      <c r="S593" s="5" t="str">
        <f ca="1">IFERROR(__xludf.DUMMYFUNCTION("""COMPUTED_VALUE"""),"Yes")</f>
        <v>Yes</v>
      </c>
      <c r="T593" s="5" t="str">
        <f ca="1">IFERROR(__xludf.DUMMYFUNCTION("""COMPUTED_VALUE"""),"Yes")</f>
        <v>Yes</v>
      </c>
      <c r="U593" s="5" t="str">
        <f ca="1">IFERROR(__xludf.DUMMYFUNCTION("""COMPUTED_VALUE"""),"Yes")</f>
        <v>Yes</v>
      </c>
      <c r="V593" s="5" t="str">
        <f ca="1">IFERROR(__xludf.DUMMYFUNCTION("""COMPUTED_VALUE"""),"Yes")</f>
        <v>Yes</v>
      </c>
      <c r="W593" s="5" t="str">
        <f ca="1">IFERROR(__xludf.DUMMYFUNCTION("""COMPUTED_VALUE"""),"Yes")</f>
        <v>Yes</v>
      </c>
      <c r="X593" s="5" t="str">
        <f ca="1">IFERROR(__xludf.DUMMYFUNCTION("""COMPUTED_VALUE"""),"Yes")</f>
        <v>Yes</v>
      </c>
      <c r="Y593" s="5" t="str">
        <f ca="1">IFERROR(__xludf.DUMMYFUNCTION("""COMPUTED_VALUE"""),"Yes")</f>
        <v>Yes</v>
      </c>
      <c r="Z593" s="5" t="str">
        <f ca="1">IFERROR(__xludf.DUMMYFUNCTION("""COMPUTED_VALUE"""),"Yes")</f>
        <v>Yes</v>
      </c>
      <c r="AA593" s="5" t="str">
        <f ca="1">IFERROR(__xludf.DUMMYFUNCTION("""COMPUTED_VALUE"""),"Yes")</f>
        <v>Yes</v>
      </c>
      <c r="AB593" s="5" t="str">
        <f ca="1">IFERROR(__xludf.DUMMYFUNCTION("""COMPUTED_VALUE"""),"Yes")</f>
        <v>Yes</v>
      </c>
      <c r="AC593" s="5" t="str">
        <f ca="1">IFERROR(__xludf.DUMMYFUNCTION("""COMPUTED_VALUE"""),"No")</f>
        <v>No</v>
      </c>
    </row>
    <row r="594" spans="1:29" x14ac:dyDescent="0.25">
      <c r="A594" s="5" t="str">
        <f ca="1">IFERROR(__xludf.DUMMYFUNCTION("""COMPUTED_VALUE"""),"TBD")</f>
        <v>TBD</v>
      </c>
      <c r="B594" s="5" t="str">
        <f ca="1">IFERROR(__xludf.DUMMYFUNCTION("""COMPUTED_VALUE"""),"Social English(""sen"")")</f>
        <v>Social English("sen")</v>
      </c>
      <c r="C594" s="5"/>
      <c r="D594" s="5"/>
      <c r="E594" s="5"/>
      <c r="F594" s="5"/>
      <c r="G594" s="5"/>
      <c r="H594" s="5"/>
      <c r="I594" s="5"/>
      <c r="J594" s="5"/>
      <c r="K594" s="5"/>
      <c r="L594" s="5"/>
      <c r="M594" s="5"/>
      <c r="N594" s="5"/>
      <c r="O594" s="5"/>
      <c r="P594" s="5"/>
      <c r="Q594" s="5"/>
      <c r="R594" s="5"/>
      <c r="S594" s="5"/>
      <c r="T594" s="5"/>
      <c r="U594" s="5"/>
      <c r="V594" s="5"/>
      <c r="W594" s="5" t="str">
        <f ca="1">IFERROR(__xludf.DUMMYFUNCTION("""COMPUTED_VALUE"""),"Yes")</f>
        <v>Yes</v>
      </c>
      <c r="X594" s="5"/>
      <c r="Y594" s="5"/>
      <c r="Z594" s="5"/>
      <c r="AA594" s="5"/>
      <c r="AB594" s="5"/>
      <c r="AC594" s="5"/>
    </row>
    <row r="595" spans="1:29" x14ac:dyDescent="0.25">
      <c r="A595" s="5" t="str">
        <f ca="1">IFERROR(__xludf.DUMMYFUNCTION("""COMPUTED_VALUE"""),"TaxiRush")</f>
        <v>TaxiRush</v>
      </c>
      <c r="B5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5" s="5" t="str">
        <f ca="1">IFERROR(__xludf.DUMMYFUNCTION("""COMPUTED_VALUE"""),"Yes")</f>
        <v>Yes</v>
      </c>
      <c r="D595" s="5" t="str">
        <f ca="1">IFERROR(__xludf.DUMMYFUNCTION("""COMPUTED_VALUE"""),"Yes")</f>
        <v>Yes</v>
      </c>
      <c r="E595" s="5" t="str">
        <f ca="1">IFERROR(__xludf.DUMMYFUNCTION("""COMPUTED_VALUE"""),"Yes")</f>
        <v>Yes</v>
      </c>
      <c r="F595" s="5" t="str">
        <f ca="1">IFERROR(__xludf.DUMMYFUNCTION("""COMPUTED_VALUE"""),"Yes")</f>
        <v>Yes</v>
      </c>
      <c r="G595" s="5" t="str">
        <f ca="1">IFERROR(__xludf.DUMMYFUNCTION("""COMPUTED_VALUE"""),"Yes")</f>
        <v>Yes</v>
      </c>
      <c r="H595" s="5" t="str">
        <f ca="1">IFERROR(__xludf.DUMMYFUNCTION("""COMPUTED_VALUE"""),"Yes")</f>
        <v>Yes</v>
      </c>
      <c r="I595" s="5" t="str">
        <f ca="1">IFERROR(__xludf.DUMMYFUNCTION("""COMPUTED_VALUE"""),"Yes")</f>
        <v>Yes</v>
      </c>
      <c r="J595" s="5" t="str">
        <f ca="1">IFERROR(__xludf.DUMMYFUNCTION("""COMPUTED_VALUE"""),"Yes")</f>
        <v>Yes</v>
      </c>
      <c r="K595" s="5" t="str">
        <f ca="1">IFERROR(__xludf.DUMMYFUNCTION("""COMPUTED_VALUE"""),"Yes")</f>
        <v>Yes</v>
      </c>
      <c r="L595" s="5" t="str">
        <f ca="1">IFERROR(__xludf.DUMMYFUNCTION("""COMPUTED_VALUE"""),"Yes")</f>
        <v>Yes</v>
      </c>
      <c r="M595" s="5" t="str">
        <f ca="1">IFERROR(__xludf.DUMMYFUNCTION("""COMPUTED_VALUE"""),"Yes")</f>
        <v>Yes</v>
      </c>
      <c r="N595" s="5" t="str">
        <f ca="1">IFERROR(__xludf.DUMMYFUNCTION("""COMPUTED_VALUE"""),"Yes")</f>
        <v>Yes</v>
      </c>
      <c r="O595" s="5" t="str">
        <f ca="1">IFERROR(__xludf.DUMMYFUNCTION("""COMPUTED_VALUE"""),"Yes")</f>
        <v>Yes</v>
      </c>
      <c r="P595" s="5" t="str">
        <f ca="1">IFERROR(__xludf.DUMMYFUNCTION("""COMPUTED_VALUE"""),"Yes")</f>
        <v>Yes</v>
      </c>
      <c r="Q595" s="5" t="str">
        <f ca="1">IFERROR(__xludf.DUMMYFUNCTION("""COMPUTED_VALUE"""),"Yes")</f>
        <v>Yes</v>
      </c>
      <c r="R595" s="5" t="str">
        <f ca="1">IFERROR(__xludf.DUMMYFUNCTION("""COMPUTED_VALUE"""),"Yes")</f>
        <v>Yes</v>
      </c>
      <c r="S595" s="5" t="str">
        <f ca="1">IFERROR(__xludf.DUMMYFUNCTION("""COMPUTED_VALUE"""),"Yes")</f>
        <v>Yes</v>
      </c>
      <c r="T595" s="5" t="str">
        <f ca="1">IFERROR(__xludf.DUMMYFUNCTION("""COMPUTED_VALUE"""),"Yes")</f>
        <v>Yes</v>
      </c>
      <c r="U595" s="5" t="str">
        <f ca="1">IFERROR(__xludf.DUMMYFUNCTION("""COMPUTED_VALUE"""),"Yes")</f>
        <v>Yes</v>
      </c>
      <c r="V595" s="5" t="str">
        <f ca="1">IFERROR(__xludf.DUMMYFUNCTION("""COMPUTED_VALUE"""),"Yes")</f>
        <v>Yes</v>
      </c>
      <c r="W595" s="5" t="str">
        <f ca="1">IFERROR(__xludf.DUMMYFUNCTION("""COMPUTED_VALUE"""),"Yes")</f>
        <v>Yes</v>
      </c>
      <c r="X595" s="5" t="str">
        <f ca="1">IFERROR(__xludf.DUMMYFUNCTION("""COMPUTED_VALUE"""),"Yes")</f>
        <v>Yes</v>
      </c>
      <c r="Y595" s="5" t="str">
        <f ca="1">IFERROR(__xludf.DUMMYFUNCTION("""COMPUTED_VALUE"""),"Yes")</f>
        <v>Yes</v>
      </c>
      <c r="Z595" s="5" t="str">
        <f ca="1">IFERROR(__xludf.DUMMYFUNCTION("""COMPUTED_VALUE"""),"Yes")</f>
        <v>Yes</v>
      </c>
      <c r="AA595" s="5" t="str">
        <f ca="1">IFERROR(__xludf.DUMMYFUNCTION("""COMPUTED_VALUE"""),"Yes")</f>
        <v>Yes</v>
      </c>
      <c r="AB595" s="5" t="str">
        <f ca="1">IFERROR(__xludf.DUMMYFUNCTION("""COMPUTED_VALUE"""),"Yes")</f>
        <v>Yes</v>
      </c>
      <c r="AC595" s="5" t="str">
        <f ca="1">IFERROR(__xludf.DUMMYFUNCTION("""COMPUTED_VALUE"""),"No")</f>
        <v>No</v>
      </c>
    </row>
    <row r="596" spans="1:29" x14ac:dyDescent="0.25">
      <c r="A596" s="5" t="str">
        <f ca="1">IFERROR(__xludf.DUMMYFUNCTION("""COMPUTED_VALUE"""),"WildHot40HoldAndWin")</f>
        <v>WildHot40HoldAndWin</v>
      </c>
      <c r="B5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6" s="5" t="str">
        <f ca="1">IFERROR(__xludf.DUMMYFUNCTION("""COMPUTED_VALUE"""),"Yes")</f>
        <v>Yes</v>
      </c>
      <c r="D596" s="5" t="str">
        <f ca="1">IFERROR(__xludf.DUMMYFUNCTION("""COMPUTED_VALUE"""),"Yes")</f>
        <v>Yes</v>
      </c>
      <c r="E596" s="5" t="str">
        <f ca="1">IFERROR(__xludf.DUMMYFUNCTION("""COMPUTED_VALUE"""),"Yes")</f>
        <v>Yes</v>
      </c>
      <c r="F596" s="5" t="str">
        <f ca="1">IFERROR(__xludf.DUMMYFUNCTION("""COMPUTED_VALUE"""),"Yes")</f>
        <v>Yes</v>
      </c>
      <c r="G596" s="5" t="str">
        <f ca="1">IFERROR(__xludf.DUMMYFUNCTION("""COMPUTED_VALUE"""),"Yes")</f>
        <v>Yes</v>
      </c>
      <c r="H596" s="5" t="str">
        <f ca="1">IFERROR(__xludf.DUMMYFUNCTION("""COMPUTED_VALUE"""),"Yes")</f>
        <v>Yes</v>
      </c>
      <c r="I596" s="5" t="str">
        <f ca="1">IFERROR(__xludf.DUMMYFUNCTION("""COMPUTED_VALUE"""),"Yes")</f>
        <v>Yes</v>
      </c>
      <c r="J596" s="5" t="str">
        <f ca="1">IFERROR(__xludf.DUMMYFUNCTION("""COMPUTED_VALUE"""),"Yes")</f>
        <v>Yes</v>
      </c>
      <c r="K596" s="5" t="str">
        <f ca="1">IFERROR(__xludf.DUMMYFUNCTION("""COMPUTED_VALUE"""),"Yes")</f>
        <v>Yes</v>
      </c>
      <c r="L596" s="5" t="str">
        <f ca="1">IFERROR(__xludf.DUMMYFUNCTION("""COMPUTED_VALUE"""),"Yes")</f>
        <v>Yes</v>
      </c>
      <c r="M596" s="5" t="str">
        <f ca="1">IFERROR(__xludf.DUMMYFUNCTION("""COMPUTED_VALUE"""),"Yes")</f>
        <v>Yes</v>
      </c>
      <c r="N596" s="5" t="str">
        <f ca="1">IFERROR(__xludf.DUMMYFUNCTION("""COMPUTED_VALUE"""),"Yes")</f>
        <v>Yes</v>
      </c>
      <c r="O596" s="5" t="str">
        <f ca="1">IFERROR(__xludf.DUMMYFUNCTION("""COMPUTED_VALUE"""),"Yes")</f>
        <v>Yes</v>
      </c>
      <c r="P596" s="5" t="str">
        <f ca="1">IFERROR(__xludf.DUMMYFUNCTION("""COMPUTED_VALUE"""),"Yes")</f>
        <v>Yes</v>
      </c>
      <c r="Q596" s="5" t="str">
        <f ca="1">IFERROR(__xludf.DUMMYFUNCTION("""COMPUTED_VALUE"""),"Yes")</f>
        <v>Yes</v>
      </c>
      <c r="R596" s="5" t="str">
        <f ca="1">IFERROR(__xludf.DUMMYFUNCTION("""COMPUTED_VALUE"""),"Yes")</f>
        <v>Yes</v>
      </c>
      <c r="S596" s="5" t="str">
        <f ca="1">IFERROR(__xludf.DUMMYFUNCTION("""COMPUTED_VALUE"""),"Yes")</f>
        <v>Yes</v>
      </c>
      <c r="T596" s="5" t="str">
        <f ca="1">IFERROR(__xludf.DUMMYFUNCTION("""COMPUTED_VALUE"""),"Yes")</f>
        <v>Yes</v>
      </c>
      <c r="U596" s="5" t="str">
        <f ca="1">IFERROR(__xludf.DUMMYFUNCTION("""COMPUTED_VALUE"""),"Yes")</f>
        <v>Yes</v>
      </c>
      <c r="V596" s="5" t="str">
        <f ca="1">IFERROR(__xludf.DUMMYFUNCTION("""COMPUTED_VALUE"""),"Yes")</f>
        <v>Yes</v>
      </c>
      <c r="W596" s="5" t="str">
        <f ca="1">IFERROR(__xludf.DUMMYFUNCTION("""COMPUTED_VALUE"""),"Yes")</f>
        <v>Yes</v>
      </c>
      <c r="X596" s="5" t="str">
        <f ca="1">IFERROR(__xludf.DUMMYFUNCTION("""COMPUTED_VALUE"""),"Yes")</f>
        <v>Yes</v>
      </c>
      <c r="Y596" s="5" t="str">
        <f ca="1">IFERROR(__xludf.DUMMYFUNCTION("""COMPUTED_VALUE"""),"Yes")</f>
        <v>Yes</v>
      </c>
      <c r="Z596" s="5" t="str">
        <f ca="1">IFERROR(__xludf.DUMMYFUNCTION("""COMPUTED_VALUE"""),"Yes")</f>
        <v>Yes</v>
      </c>
      <c r="AA596" s="5" t="str">
        <f ca="1">IFERROR(__xludf.DUMMYFUNCTION("""COMPUTED_VALUE"""),"Yes")</f>
        <v>Yes</v>
      </c>
      <c r="AB596" s="5" t="str">
        <f ca="1">IFERROR(__xludf.DUMMYFUNCTION("""COMPUTED_VALUE"""),"Yes")</f>
        <v>Yes</v>
      </c>
      <c r="AC596" s="5" t="str">
        <f ca="1">IFERROR(__xludf.DUMMYFUNCTION("""COMPUTED_VALUE"""),"No")</f>
        <v>No</v>
      </c>
    </row>
    <row r="597" spans="1:29" x14ac:dyDescent="0.25">
      <c r="A597" s="5" t="str">
        <f ca="1">IFERROR(__xludf.DUMMYFUNCTION("""COMPUTED_VALUE"""),"TBD")</f>
        <v>TBD</v>
      </c>
      <c r="B597" s="5" t="str">
        <f ca="1">IFERROR(__xludf.DUMMYFUNCTION("""COMPUTED_VALUE"""),"")</f>
        <v/>
      </c>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row>
    <row r="598" spans="1:29" x14ac:dyDescent="0.25">
      <c r="A598" s="5" t="str">
        <f ca="1">IFERROR(__xludf.DUMMYFUNCTION("""COMPUTED_VALUE"""),"WildHot40BlowBooster")</f>
        <v>WildHot40BlowBooster</v>
      </c>
      <c r="B5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8" s="5" t="str">
        <f ca="1">IFERROR(__xludf.DUMMYFUNCTION("""COMPUTED_VALUE"""),"Yes")</f>
        <v>Yes</v>
      </c>
      <c r="D598" s="5" t="str">
        <f ca="1">IFERROR(__xludf.DUMMYFUNCTION("""COMPUTED_VALUE"""),"Yes")</f>
        <v>Yes</v>
      </c>
      <c r="E598" s="5" t="str">
        <f ca="1">IFERROR(__xludf.DUMMYFUNCTION("""COMPUTED_VALUE"""),"Yes")</f>
        <v>Yes</v>
      </c>
      <c r="F598" s="5" t="str">
        <f ca="1">IFERROR(__xludf.DUMMYFUNCTION("""COMPUTED_VALUE"""),"Yes")</f>
        <v>Yes</v>
      </c>
      <c r="G598" s="5" t="str">
        <f ca="1">IFERROR(__xludf.DUMMYFUNCTION("""COMPUTED_VALUE"""),"Yes")</f>
        <v>Yes</v>
      </c>
      <c r="H598" s="5" t="str">
        <f ca="1">IFERROR(__xludf.DUMMYFUNCTION("""COMPUTED_VALUE"""),"Yes")</f>
        <v>Yes</v>
      </c>
      <c r="I598" s="5" t="str">
        <f ca="1">IFERROR(__xludf.DUMMYFUNCTION("""COMPUTED_VALUE"""),"Yes")</f>
        <v>Yes</v>
      </c>
      <c r="J598" s="5" t="str">
        <f ca="1">IFERROR(__xludf.DUMMYFUNCTION("""COMPUTED_VALUE"""),"Yes")</f>
        <v>Yes</v>
      </c>
      <c r="K598" s="5" t="str">
        <f ca="1">IFERROR(__xludf.DUMMYFUNCTION("""COMPUTED_VALUE"""),"Yes")</f>
        <v>Yes</v>
      </c>
      <c r="L598" s="5" t="str">
        <f ca="1">IFERROR(__xludf.DUMMYFUNCTION("""COMPUTED_VALUE"""),"Yes")</f>
        <v>Yes</v>
      </c>
      <c r="M598" s="5" t="str">
        <f ca="1">IFERROR(__xludf.DUMMYFUNCTION("""COMPUTED_VALUE"""),"Yes")</f>
        <v>Yes</v>
      </c>
      <c r="N598" s="5" t="str">
        <f ca="1">IFERROR(__xludf.DUMMYFUNCTION("""COMPUTED_VALUE"""),"Yes")</f>
        <v>Yes</v>
      </c>
      <c r="O598" s="5" t="str">
        <f ca="1">IFERROR(__xludf.DUMMYFUNCTION("""COMPUTED_VALUE"""),"Yes")</f>
        <v>Yes</v>
      </c>
      <c r="P598" s="5" t="str">
        <f ca="1">IFERROR(__xludf.DUMMYFUNCTION("""COMPUTED_VALUE"""),"Yes")</f>
        <v>Yes</v>
      </c>
      <c r="Q598" s="5" t="str">
        <f ca="1">IFERROR(__xludf.DUMMYFUNCTION("""COMPUTED_VALUE"""),"Yes")</f>
        <v>Yes</v>
      </c>
      <c r="R598" s="5" t="str">
        <f ca="1">IFERROR(__xludf.DUMMYFUNCTION("""COMPUTED_VALUE"""),"Yes")</f>
        <v>Yes</v>
      </c>
      <c r="S598" s="5" t="str">
        <f ca="1">IFERROR(__xludf.DUMMYFUNCTION("""COMPUTED_VALUE"""),"Yes")</f>
        <v>Yes</v>
      </c>
      <c r="T598" s="5" t="str">
        <f ca="1">IFERROR(__xludf.DUMMYFUNCTION("""COMPUTED_VALUE"""),"Yes")</f>
        <v>Yes</v>
      </c>
      <c r="U598" s="5" t="str">
        <f ca="1">IFERROR(__xludf.DUMMYFUNCTION("""COMPUTED_VALUE"""),"Yes")</f>
        <v>Yes</v>
      </c>
      <c r="V598" s="5" t="str">
        <f ca="1">IFERROR(__xludf.DUMMYFUNCTION("""COMPUTED_VALUE"""),"Yes")</f>
        <v>Yes</v>
      </c>
      <c r="W598" s="5" t="str">
        <f ca="1">IFERROR(__xludf.DUMMYFUNCTION("""COMPUTED_VALUE"""),"Yes")</f>
        <v>Yes</v>
      </c>
      <c r="X598" s="5" t="str">
        <f ca="1">IFERROR(__xludf.DUMMYFUNCTION("""COMPUTED_VALUE"""),"Yes")</f>
        <v>Yes</v>
      </c>
      <c r="Y598" s="5" t="str">
        <f ca="1">IFERROR(__xludf.DUMMYFUNCTION("""COMPUTED_VALUE"""),"Yes")</f>
        <v>Yes</v>
      </c>
      <c r="Z598" s="5" t="str">
        <f ca="1">IFERROR(__xludf.DUMMYFUNCTION("""COMPUTED_VALUE"""),"Yes")</f>
        <v>Yes</v>
      </c>
      <c r="AA598" s="5" t="str">
        <f ca="1">IFERROR(__xludf.DUMMYFUNCTION("""COMPUTED_VALUE"""),"Yes")</f>
        <v>Yes</v>
      </c>
      <c r="AB598" s="5" t="str">
        <f ca="1">IFERROR(__xludf.DUMMYFUNCTION("""COMPUTED_VALUE"""),"Yes")</f>
        <v>Yes</v>
      </c>
      <c r="AC598" s="5" t="str">
        <f ca="1">IFERROR(__xludf.DUMMYFUNCTION("""COMPUTED_VALUE"""),"No")</f>
        <v>No</v>
      </c>
    </row>
    <row r="599" spans="1:29" x14ac:dyDescent="0.25">
      <c r="A599" s="5" t="str">
        <f ca="1">IFERROR(__xludf.DUMMYFUNCTION("""COMPUTED_VALUE"""),"bluff-and-bite")</f>
        <v>bluff-and-bite</v>
      </c>
      <c r="B5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Ukrainian("&amp;"""ukr""),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Ukrainian("ukr"), Bosnian("")</v>
      </c>
      <c r="C599" s="5" t="str">
        <f ca="1">IFERROR(__xludf.DUMMYFUNCTION("""COMPUTED_VALUE"""),"Yes")</f>
        <v>Yes</v>
      </c>
      <c r="D599" s="5" t="str">
        <f ca="1">IFERROR(__xludf.DUMMYFUNCTION("""COMPUTED_VALUE"""),"Yes")</f>
        <v>Yes</v>
      </c>
      <c r="E599" s="5" t="str">
        <f ca="1">IFERROR(__xludf.DUMMYFUNCTION("""COMPUTED_VALUE"""),"Yes")</f>
        <v>Yes</v>
      </c>
      <c r="F599" s="5" t="str">
        <f ca="1">IFERROR(__xludf.DUMMYFUNCTION("""COMPUTED_VALUE"""),"Yes")</f>
        <v>Yes</v>
      </c>
      <c r="G599" s="5" t="str">
        <f ca="1">IFERROR(__xludf.DUMMYFUNCTION("""COMPUTED_VALUE"""),"Yes")</f>
        <v>Yes</v>
      </c>
      <c r="H599" s="5" t="str">
        <f ca="1">IFERROR(__xludf.DUMMYFUNCTION("""COMPUTED_VALUE"""),"Yes")</f>
        <v>Yes</v>
      </c>
      <c r="I599" s="5" t="str">
        <f ca="1">IFERROR(__xludf.DUMMYFUNCTION("""COMPUTED_VALUE"""),"Yes")</f>
        <v>Yes</v>
      </c>
      <c r="J599" s="5" t="str">
        <f ca="1">IFERROR(__xludf.DUMMYFUNCTION("""COMPUTED_VALUE"""),"Yes")</f>
        <v>Yes</v>
      </c>
      <c r="K599" s="5" t="str">
        <f ca="1">IFERROR(__xludf.DUMMYFUNCTION("""COMPUTED_VALUE"""),"Yes")</f>
        <v>Yes</v>
      </c>
      <c r="L599" s="5" t="str">
        <f ca="1">IFERROR(__xludf.DUMMYFUNCTION("""COMPUTED_VALUE"""),"Yes")</f>
        <v>Yes</v>
      </c>
      <c r="M599" s="5" t="str">
        <f ca="1">IFERROR(__xludf.DUMMYFUNCTION("""COMPUTED_VALUE"""),"Yes")</f>
        <v>Yes</v>
      </c>
      <c r="N599" s="5" t="str">
        <f ca="1">IFERROR(__xludf.DUMMYFUNCTION("""COMPUTED_VALUE"""),"Yes")</f>
        <v>Yes</v>
      </c>
      <c r="O599" s="5" t="str">
        <f ca="1">IFERROR(__xludf.DUMMYFUNCTION("""COMPUTED_VALUE"""),"Yes")</f>
        <v>Yes</v>
      </c>
      <c r="P599" s="5" t="str">
        <f ca="1">IFERROR(__xludf.DUMMYFUNCTION("""COMPUTED_VALUE"""),"Yes")</f>
        <v>Yes</v>
      </c>
      <c r="Q599" s="5" t="str">
        <f ca="1">IFERROR(__xludf.DUMMYFUNCTION("""COMPUTED_VALUE"""),"Yes")</f>
        <v>Yes</v>
      </c>
      <c r="R599" s="5" t="str">
        <f ca="1">IFERROR(__xludf.DUMMYFUNCTION("""COMPUTED_VALUE"""),"Yes")</f>
        <v>Yes</v>
      </c>
      <c r="S599" s="5" t="str">
        <f ca="1">IFERROR(__xludf.DUMMYFUNCTION("""COMPUTED_VALUE"""),"Yes")</f>
        <v>Yes</v>
      </c>
      <c r="T599" s="5" t="str">
        <f ca="1">IFERROR(__xludf.DUMMYFUNCTION("""COMPUTED_VALUE"""),"Yes")</f>
        <v>Yes</v>
      </c>
      <c r="U599" s="5" t="str">
        <f ca="1">IFERROR(__xludf.DUMMYFUNCTION("""COMPUTED_VALUE"""),"Yes")</f>
        <v>Yes</v>
      </c>
      <c r="V599" s="5" t="str">
        <f ca="1">IFERROR(__xludf.DUMMYFUNCTION("""COMPUTED_VALUE"""),"Yes")</f>
        <v>Yes</v>
      </c>
      <c r="W599" s="5" t="str">
        <f ca="1">IFERROR(__xludf.DUMMYFUNCTION("""COMPUTED_VALUE"""),"Yes")</f>
        <v>Yes</v>
      </c>
      <c r="X599" s="5" t="str">
        <f ca="1">IFERROR(__xludf.DUMMYFUNCTION("""COMPUTED_VALUE"""),"Yes")</f>
        <v>Yes</v>
      </c>
      <c r="Y599" s="5" t="str">
        <f ca="1">IFERROR(__xludf.DUMMYFUNCTION("""COMPUTED_VALUE"""),"No")</f>
        <v>No</v>
      </c>
      <c r="Z599" s="5" t="str">
        <f ca="1">IFERROR(__xludf.DUMMYFUNCTION("""COMPUTED_VALUE"""),"Yes")</f>
        <v>Yes</v>
      </c>
      <c r="AA599" s="5" t="str">
        <f ca="1">IFERROR(__xludf.DUMMYFUNCTION("""COMPUTED_VALUE"""),"Yes")</f>
        <v>Yes</v>
      </c>
      <c r="AB599" s="5" t="str">
        <f ca="1">IFERROR(__xludf.DUMMYFUNCTION("""COMPUTED_VALUE"""),"Yes")</f>
        <v>Yes</v>
      </c>
      <c r="AC599" s="5" t="str">
        <f ca="1">IFERROR(__xludf.DUMMYFUNCTION("""COMPUTED_VALUE"""),"Yes")</f>
        <v>Yes</v>
      </c>
    </row>
    <row r="600" spans="1:29" x14ac:dyDescent="0.25">
      <c r="A600" s="5" t="str">
        <f ca="1">IFERROR(__xludf.DUMMYFUNCTION("""COMPUTED_VALUE"""),"royal-crown-delight")</f>
        <v>royal-crown-delight</v>
      </c>
      <c r="B600" s="5" t="str">
        <f ca="1">IFERROR(__xludf.DUMMYFUNCTION("""COMPUTED_VALUE"""),"")</f>
        <v/>
      </c>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row>
    <row r="601" spans="1:29" x14ac:dyDescent="0.25">
      <c r="A601" s="5" t="str">
        <f ca="1">IFERROR(__xludf.DUMMYFUNCTION("""COMPUTED_VALUE"""),"AdmiralBetBonusCrown")</f>
        <v>AdmiralBetBonusCrown</v>
      </c>
      <c r="B6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1" s="5" t="str">
        <f ca="1">IFERROR(__xludf.DUMMYFUNCTION("""COMPUTED_VALUE"""),"Yes")</f>
        <v>Yes</v>
      </c>
      <c r="D601" s="5" t="str">
        <f ca="1">IFERROR(__xludf.DUMMYFUNCTION("""COMPUTED_VALUE"""),"Yes")</f>
        <v>Yes</v>
      </c>
      <c r="E601" s="5" t="str">
        <f ca="1">IFERROR(__xludf.DUMMYFUNCTION("""COMPUTED_VALUE"""),"Yes")</f>
        <v>Yes</v>
      </c>
      <c r="F601" s="5" t="str">
        <f ca="1">IFERROR(__xludf.DUMMYFUNCTION("""COMPUTED_VALUE"""),"Yes")</f>
        <v>Yes</v>
      </c>
      <c r="G601" s="5" t="str">
        <f ca="1">IFERROR(__xludf.DUMMYFUNCTION("""COMPUTED_VALUE"""),"Yes")</f>
        <v>Yes</v>
      </c>
      <c r="H601" s="5" t="str">
        <f ca="1">IFERROR(__xludf.DUMMYFUNCTION("""COMPUTED_VALUE"""),"Yes")</f>
        <v>Yes</v>
      </c>
      <c r="I601" s="5" t="str">
        <f ca="1">IFERROR(__xludf.DUMMYFUNCTION("""COMPUTED_VALUE"""),"Yes")</f>
        <v>Yes</v>
      </c>
      <c r="J601" s="5" t="str">
        <f ca="1">IFERROR(__xludf.DUMMYFUNCTION("""COMPUTED_VALUE"""),"Yes")</f>
        <v>Yes</v>
      </c>
      <c r="K601" s="5" t="str">
        <f ca="1">IFERROR(__xludf.DUMMYFUNCTION("""COMPUTED_VALUE"""),"Yes")</f>
        <v>Yes</v>
      </c>
      <c r="L601" s="5" t="str">
        <f ca="1">IFERROR(__xludf.DUMMYFUNCTION("""COMPUTED_VALUE"""),"Yes")</f>
        <v>Yes</v>
      </c>
      <c r="M601" s="5" t="str">
        <f ca="1">IFERROR(__xludf.DUMMYFUNCTION("""COMPUTED_VALUE"""),"Yes")</f>
        <v>Yes</v>
      </c>
      <c r="N601" s="5" t="str">
        <f ca="1">IFERROR(__xludf.DUMMYFUNCTION("""COMPUTED_VALUE"""),"Yes")</f>
        <v>Yes</v>
      </c>
      <c r="O601" s="5" t="str">
        <f ca="1">IFERROR(__xludf.DUMMYFUNCTION("""COMPUTED_VALUE"""),"Yes")</f>
        <v>Yes</v>
      </c>
      <c r="P601" s="5" t="str">
        <f ca="1">IFERROR(__xludf.DUMMYFUNCTION("""COMPUTED_VALUE"""),"Yes")</f>
        <v>Yes</v>
      </c>
      <c r="Q601" s="5" t="str">
        <f ca="1">IFERROR(__xludf.DUMMYFUNCTION("""COMPUTED_VALUE"""),"Yes")</f>
        <v>Yes</v>
      </c>
      <c r="R601" s="5" t="str">
        <f ca="1">IFERROR(__xludf.DUMMYFUNCTION("""COMPUTED_VALUE"""),"Yes")</f>
        <v>Yes</v>
      </c>
      <c r="S601" s="5" t="str">
        <f ca="1">IFERROR(__xludf.DUMMYFUNCTION("""COMPUTED_VALUE"""),"Yes")</f>
        <v>Yes</v>
      </c>
      <c r="T601" s="5" t="str">
        <f ca="1">IFERROR(__xludf.DUMMYFUNCTION("""COMPUTED_VALUE"""),"Yes")</f>
        <v>Yes</v>
      </c>
      <c r="U601" s="5" t="str">
        <f ca="1">IFERROR(__xludf.DUMMYFUNCTION("""COMPUTED_VALUE"""),"Yes")</f>
        <v>Yes</v>
      </c>
      <c r="V601" s="5" t="str">
        <f ca="1">IFERROR(__xludf.DUMMYFUNCTION("""COMPUTED_VALUE"""),"Yes")</f>
        <v>Yes</v>
      </c>
      <c r="W601" s="5" t="str">
        <f ca="1">IFERROR(__xludf.DUMMYFUNCTION("""COMPUTED_VALUE"""),"Yes")</f>
        <v>Yes</v>
      </c>
      <c r="X601" s="5" t="str">
        <f ca="1">IFERROR(__xludf.DUMMYFUNCTION("""COMPUTED_VALUE"""),"Yes")</f>
        <v>Yes</v>
      </c>
      <c r="Y601" s="5" t="str">
        <f ca="1">IFERROR(__xludf.DUMMYFUNCTION("""COMPUTED_VALUE"""),"Yes")</f>
        <v>Yes</v>
      </c>
      <c r="Z601" s="5" t="str">
        <f ca="1">IFERROR(__xludf.DUMMYFUNCTION("""COMPUTED_VALUE"""),"Yes")</f>
        <v>Yes</v>
      </c>
      <c r="AA601" s="5" t="str">
        <f ca="1">IFERROR(__xludf.DUMMYFUNCTION("""COMPUTED_VALUE"""),"Yes")</f>
        <v>Yes</v>
      </c>
      <c r="AB601" s="5" t="str">
        <f ca="1">IFERROR(__xludf.DUMMYFUNCTION("""COMPUTED_VALUE"""),"Yes")</f>
        <v>Yes</v>
      </c>
      <c r="AC601" s="5" t="str">
        <f ca="1">IFERROR(__xludf.DUMMYFUNCTION("""COMPUTED_VALUE"""),"No")</f>
        <v>No</v>
      </c>
    </row>
    <row r="602" spans="1:29" x14ac:dyDescent="0.25">
      <c r="A602" s="5" t="str">
        <f ca="1">IFERROR(__xludf.DUMMYFUNCTION("""COMPUTED_VALUE"""),"CratosHot40")</f>
        <v>CratosHot40</v>
      </c>
      <c r="B6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2" s="5" t="str">
        <f ca="1">IFERROR(__xludf.DUMMYFUNCTION("""COMPUTED_VALUE"""),"Yes")</f>
        <v>Yes</v>
      </c>
      <c r="D602" s="5" t="str">
        <f ca="1">IFERROR(__xludf.DUMMYFUNCTION("""COMPUTED_VALUE"""),"Yes")</f>
        <v>Yes</v>
      </c>
      <c r="E602" s="5" t="str">
        <f ca="1">IFERROR(__xludf.DUMMYFUNCTION("""COMPUTED_VALUE"""),"Yes")</f>
        <v>Yes</v>
      </c>
      <c r="F602" s="5" t="str">
        <f ca="1">IFERROR(__xludf.DUMMYFUNCTION("""COMPUTED_VALUE"""),"Yes")</f>
        <v>Yes</v>
      </c>
      <c r="G602" s="5" t="str">
        <f ca="1">IFERROR(__xludf.DUMMYFUNCTION("""COMPUTED_VALUE"""),"Yes")</f>
        <v>Yes</v>
      </c>
      <c r="H602" s="5" t="str">
        <f ca="1">IFERROR(__xludf.DUMMYFUNCTION("""COMPUTED_VALUE"""),"Yes")</f>
        <v>Yes</v>
      </c>
      <c r="I602" s="5" t="str">
        <f ca="1">IFERROR(__xludf.DUMMYFUNCTION("""COMPUTED_VALUE"""),"Yes")</f>
        <v>Yes</v>
      </c>
      <c r="J602" s="5" t="str">
        <f ca="1">IFERROR(__xludf.DUMMYFUNCTION("""COMPUTED_VALUE"""),"Yes")</f>
        <v>Yes</v>
      </c>
      <c r="K602" s="5" t="str">
        <f ca="1">IFERROR(__xludf.DUMMYFUNCTION("""COMPUTED_VALUE"""),"Yes")</f>
        <v>Yes</v>
      </c>
      <c r="L602" s="5" t="str">
        <f ca="1">IFERROR(__xludf.DUMMYFUNCTION("""COMPUTED_VALUE"""),"Yes")</f>
        <v>Yes</v>
      </c>
      <c r="M602" s="5" t="str">
        <f ca="1">IFERROR(__xludf.DUMMYFUNCTION("""COMPUTED_VALUE"""),"Yes")</f>
        <v>Yes</v>
      </c>
      <c r="N602" s="5" t="str">
        <f ca="1">IFERROR(__xludf.DUMMYFUNCTION("""COMPUTED_VALUE"""),"Yes")</f>
        <v>Yes</v>
      </c>
      <c r="O602" s="5" t="str">
        <f ca="1">IFERROR(__xludf.DUMMYFUNCTION("""COMPUTED_VALUE"""),"Yes")</f>
        <v>Yes</v>
      </c>
      <c r="P602" s="5" t="str">
        <f ca="1">IFERROR(__xludf.DUMMYFUNCTION("""COMPUTED_VALUE"""),"Yes")</f>
        <v>Yes</v>
      </c>
      <c r="Q602" s="5" t="str">
        <f ca="1">IFERROR(__xludf.DUMMYFUNCTION("""COMPUTED_VALUE"""),"Yes")</f>
        <v>Yes</v>
      </c>
      <c r="R602" s="5" t="str">
        <f ca="1">IFERROR(__xludf.DUMMYFUNCTION("""COMPUTED_VALUE"""),"Yes")</f>
        <v>Yes</v>
      </c>
      <c r="S602" s="5" t="str">
        <f ca="1">IFERROR(__xludf.DUMMYFUNCTION("""COMPUTED_VALUE"""),"Yes")</f>
        <v>Yes</v>
      </c>
      <c r="T602" s="5" t="str">
        <f ca="1">IFERROR(__xludf.DUMMYFUNCTION("""COMPUTED_VALUE"""),"Yes")</f>
        <v>Yes</v>
      </c>
      <c r="U602" s="5" t="str">
        <f ca="1">IFERROR(__xludf.DUMMYFUNCTION("""COMPUTED_VALUE"""),"Yes")</f>
        <v>Yes</v>
      </c>
      <c r="V602" s="5" t="str">
        <f ca="1">IFERROR(__xludf.DUMMYFUNCTION("""COMPUTED_VALUE"""),"Yes")</f>
        <v>Yes</v>
      </c>
      <c r="W602" s="5" t="str">
        <f ca="1">IFERROR(__xludf.DUMMYFUNCTION("""COMPUTED_VALUE"""),"Yes")</f>
        <v>Yes</v>
      </c>
      <c r="X602" s="5" t="str">
        <f ca="1">IFERROR(__xludf.DUMMYFUNCTION("""COMPUTED_VALUE"""),"Yes")</f>
        <v>Yes</v>
      </c>
      <c r="Y602" s="5" t="str">
        <f ca="1">IFERROR(__xludf.DUMMYFUNCTION("""COMPUTED_VALUE"""),"Yes")</f>
        <v>Yes</v>
      </c>
      <c r="Z602" s="5" t="str">
        <f ca="1">IFERROR(__xludf.DUMMYFUNCTION("""COMPUTED_VALUE"""),"Yes")</f>
        <v>Yes</v>
      </c>
      <c r="AA602" s="5" t="str">
        <f ca="1">IFERROR(__xludf.DUMMYFUNCTION("""COMPUTED_VALUE"""),"Yes")</f>
        <v>Yes</v>
      </c>
      <c r="AB602" s="5" t="str">
        <f ca="1">IFERROR(__xludf.DUMMYFUNCTION("""COMPUTED_VALUE"""),"Yes")</f>
        <v>Yes</v>
      </c>
      <c r="AC602" s="5" t="str">
        <f ca="1">IFERROR(__xludf.DUMMYFUNCTION("""COMPUTED_VALUE"""),"No")</f>
        <v>No</v>
      </c>
    </row>
    <row r="603" spans="1:29" x14ac:dyDescent="0.25">
      <c r="A603" s="5" t="str">
        <f ca="1">IFERROR(__xludf.DUMMYFUNCTION("""COMPUTED_VALUE"""),"planet-dice-escape")</f>
        <v>planet-dice-escape</v>
      </c>
      <c r="B603" s="5" t="str">
        <f ca="1">IFERROR(__xludf.DUMMYFUNCTION("""COMPUTED_VALUE"""),"")</f>
        <v/>
      </c>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row>
    <row r="604" spans="1:29" x14ac:dyDescent="0.25">
      <c r="A604" s="5" t="str">
        <f ca="1">IFERROR(__xludf.DUMMYFUNCTION("""COMPUTED_VALUE"""),"wild-tiki-mayhem")</f>
        <v>wild-tiki-mayhem</v>
      </c>
      <c r="B604" s="5" t="str">
        <f ca="1">IFERROR(__xludf.DUMMYFUNCTION("""COMPUTED_VALUE"""),"")</f>
        <v/>
      </c>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row>
    <row r="605" spans="1:29" x14ac:dyDescent="0.25">
      <c r="A605" s="5" t="str">
        <f ca="1">IFERROR(__xludf.DUMMYFUNCTION("""COMPUTED_VALUE"""),"WildHot223")</f>
        <v>WildHot223</v>
      </c>
      <c r="B6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5" s="5" t="str">
        <f ca="1">IFERROR(__xludf.DUMMYFUNCTION("""COMPUTED_VALUE"""),"Yes")</f>
        <v>Yes</v>
      </c>
      <c r="D605" s="5" t="str">
        <f ca="1">IFERROR(__xludf.DUMMYFUNCTION("""COMPUTED_VALUE"""),"Yes")</f>
        <v>Yes</v>
      </c>
      <c r="E605" s="5" t="str">
        <f ca="1">IFERROR(__xludf.DUMMYFUNCTION("""COMPUTED_VALUE"""),"Yes")</f>
        <v>Yes</v>
      </c>
      <c r="F605" s="5" t="str">
        <f ca="1">IFERROR(__xludf.DUMMYFUNCTION("""COMPUTED_VALUE"""),"Yes")</f>
        <v>Yes</v>
      </c>
      <c r="G605" s="5" t="str">
        <f ca="1">IFERROR(__xludf.DUMMYFUNCTION("""COMPUTED_VALUE"""),"Yes")</f>
        <v>Yes</v>
      </c>
      <c r="H605" s="5" t="str">
        <f ca="1">IFERROR(__xludf.DUMMYFUNCTION("""COMPUTED_VALUE"""),"Yes")</f>
        <v>Yes</v>
      </c>
      <c r="I605" s="5" t="str">
        <f ca="1">IFERROR(__xludf.DUMMYFUNCTION("""COMPUTED_VALUE"""),"Yes")</f>
        <v>Yes</v>
      </c>
      <c r="J605" s="5" t="str">
        <f ca="1">IFERROR(__xludf.DUMMYFUNCTION("""COMPUTED_VALUE"""),"Yes")</f>
        <v>Yes</v>
      </c>
      <c r="K605" s="5" t="str">
        <f ca="1">IFERROR(__xludf.DUMMYFUNCTION("""COMPUTED_VALUE"""),"Yes")</f>
        <v>Yes</v>
      </c>
      <c r="L605" s="5" t="str">
        <f ca="1">IFERROR(__xludf.DUMMYFUNCTION("""COMPUTED_VALUE"""),"Yes")</f>
        <v>Yes</v>
      </c>
      <c r="M605" s="5" t="str">
        <f ca="1">IFERROR(__xludf.DUMMYFUNCTION("""COMPUTED_VALUE"""),"Yes")</f>
        <v>Yes</v>
      </c>
      <c r="N605" s="5" t="str">
        <f ca="1">IFERROR(__xludf.DUMMYFUNCTION("""COMPUTED_VALUE"""),"Yes")</f>
        <v>Yes</v>
      </c>
      <c r="O605" s="5" t="str">
        <f ca="1">IFERROR(__xludf.DUMMYFUNCTION("""COMPUTED_VALUE"""),"Yes")</f>
        <v>Yes</v>
      </c>
      <c r="P605" s="5" t="str">
        <f ca="1">IFERROR(__xludf.DUMMYFUNCTION("""COMPUTED_VALUE"""),"Yes")</f>
        <v>Yes</v>
      </c>
      <c r="Q605" s="5" t="str">
        <f ca="1">IFERROR(__xludf.DUMMYFUNCTION("""COMPUTED_VALUE"""),"Yes")</f>
        <v>Yes</v>
      </c>
      <c r="R605" s="5" t="str">
        <f ca="1">IFERROR(__xludf.DUMMYFUNCTION("""COMPUTED_VALUE"""),"Yes")</f>
        <v>Yes</v>
      </c>
      <c r="S605" s="5" t="str">
        <f ca="1">IFERROR(__xludf.DUMMYFUNCTION("""COMPUTED_VALUE"""),"Yes")</f>
        <v>Yes</v>
      </c>
      <c r="T605" s="5" t="str">
        <f ca="1">IFERROR(__xludf.DUMMYFUNCTION("""COMPUTED_VALUE"""),"Yes")</f>
        <v>Yes</v>
      </c>
      <c r="U605" s="5" t="str">
        <f ca="1">IFERROR(__xludf.DUMMYFUNCTION("""COMPUTED_VALUE"""),"Yes")</f>
        <v>Yes</v>
      </c>
      <c r="V605" s="5" t="str">
        <f ca="1">IFERROR(__xludf.DUMMYFUNCTION("""COMPUTED_VALUE"""),"Yes")</f>
        <v>Yes</v>
      </c>
      <c r="W605" s="5" t="str">
        <f ca="1">IFERROR(__xludf.DUMMYFUNCTION("""COMPUTED_VALUE"""),"Yes")</f>
        <v>Yes</v>
      </c>
      <c r="X605" s="5" t="str">
        <f ca="1">IFERROR(__xludf.DUMMYFUNCTION("""COMPUTED_VALUE"""),"Yes")</f>
        <v>Yes</v>
      </c>
      <c r="Y605" s="5" t="str">
        <f ca="1">IFERROR(__xludf.DUMMYFUNCTION("""COMPUTED_VALUE"""),"Yes")</f>
        <v>Yes</v>
      </c>
      <c r="Z605" s="5" t="str">
        <f ca="1">IFERROR(__xludf.DUMMYFUNCTION("""COMPUTED_VALUE"""),"Yes")</f>
        <v>Yes</v>
      </c>
      <c r="AA605" s="5" t="str">
        <f ca="1">IFERROR(__xludf.DUMMYFUNCTION("""COMPUTED_VALUE"""),"Yes")</f>
        <v>Yes</v>
      </c>
      <c r="AB605" s="5" t="str">
        <f ca="1">IFERROR(__xludf.DUMMYFUNCTION("""COMPUTED_VALUE"""),"Yes")</f>
        <v>Yes</v>
      </c>
      <c r="AC605" s="5" t="str">
        <f ca="1">IFERROR(__xludf.DUMMYFUNCTION("""COMPUTED_VALUE"""),"No")</f>
        <v>No</v>
      </c>
    </row>
    <row r="606" spans="1:29" x14ac:dyDescent="0.25">
      <c r="A606" s="5" t="str">
        <f ca="1">IFERROR(__xludf.DUMMYFUNCTION("""COMPUTED_VALUE"""),"Redstone5WildDiamond")</f>
        <v>Redstone5WildDiamond</v>
      </c>
      <c r="B60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06" s="5" t="str">
        <f ca="1">IFERROR(__xludf.DUMMYFUNCTION("""COMPUTED_VALUE"""),"Yes")</f>
        <v>Yes</v>
      </c>
      <c r="D606" s="5" t="str">
        <f ca="1">IFERROR(__xludf.DUMMYFUNCTION("""COMPUTED_VALUE"""),"Yes")</f>
        <v>Yes</v>
      </c>
      <c r="E606" s="5" t="str">
        <f ca="1">IFERROR(__xludf.DUMMYFUNCTION("""COMPUTED_VALUE"""),"Yes")</f>
        <v>Yes</v>
      </c>
      <c r="F606" s="5" t="str">
        <f ca="1">IFERROR(__xludf.DUMMYFUNCTION("""COMPUTED_VALUE"""),"Yes")</f>
        <v>Yes</v>
      </c>
      <c r="G606" s="5" t="str">
        <f ca="1">IFERROR(__xludf.DUMMYFUNCTION("""COMPUTED_VALUE"""),"Yes")</f>
        <v>Yes</v>
      </c>
      <c r="H606" s="5" t="str">
        <f ca="1">IFERROR(__xludf.DUMMYFUNCTION("""COMPUTED_VALUE"""),"Yes")</f>
        <v>Yes</v>
      </c>
      <c r="I606" s="5" t="str">
        <f ca="1">IFERROR(__xludf.DUMMYFUNCTION("""COMPUTED_VALUE"""),"Yes")</f>
        <v>Yes</v>
      </c>
      <c r="J606" s="5" t="str">
        <f ca="1">IFERROR(__xludf.DUMMYFUNCTION("""COMPUTED_VALUE"""),"Yes")</f>
        <v>Yes</v>
      </c>
      <c r="K606" s="5" t="str">
        <f ca="1">IFERROR(__xludf.DUMMYFUNCTION("""COMPUTED_VALUE"""),"Yes")</f>
        <v>Yes</v>
      </c>
      <c r="L606" s="5" t="str">
        <f ca="1">IFERROR(__xludf.DUMMYFUNCTION("""COMPUTED_VALUE"""),"Yes")</f>
        <v>Yes</v>
      </c>
      <c r="M606" s="5" t="str">
        <f ca="1">IFERROR(__xludf.DUMMYFUNCTION("""COMPUTED_VALUE"""),"Yes")</f>
        <v>Yes</v>
      </c>
      <c r="N606" s="5" t="str">
        <f ca="1">IFERROR(__xludf.DUMMYFUNCTION("""COMPUTED_VALUE"""),"Yes")</f>
        <v>Yes</v>
      </c>
      <c r="O606" s="5" t="str">
        <f ca="1">IFERROR(__xludf.DUMMYFUNCTION("""COMPUTED_VALUE"""),"Yes")</f>
        <v>Yes</v>
      </c>
      <c r="P606" s="5" t="str">
        <f ca="1">IFERROR(__xludf.DUMMYFUNCTION("""COMPUTED_VALUE"""),"Yes")</f>
        <v>Yes</v>
      </c>
      <c r="Q606" s="5" t="str">
        <f ca="1">IFERROR(__xludf.DUMMYFUNCTION("""COMPUTED_VALUE"""),"Yes")</f>
        <v>Yes</v>
      </c>
      <c r="R606" s="5" t="str">
        <f ca="1">IFERROR(__xludf.DUMMYFUNCTION("""COMPUTED_VALUE"""),"No")</f>
        <v>No</v>
      </c>
      <c r="S606" s="5" t="str">
        <f ca="1">IFERROR(__xludf.DUMMYFUNCTION("""COMPUTED_VALUE"""),"No")</f>
        <v>No</v>
      </c>
      <c r="T606" s="5" t="str">
        <f ca="1">IFERROR(__xludf.DUMMYFUNCTION("""COMPUTED_VALUE"""),"No")</f>
        <v>No</v>
      </c>
      <c r="U606" s="5" t="str">
        <f ca="1">IFERROR(__xludf.DUMMYFUNCTION("""COMPUTED_VALUE"""),"No")</f>
        <v>No</v>
      </c>
      <c r="V606" s="5" t="str">
        <f ca="1">IFERROR(__xludf.DUMMYFUNCTION("""COMPUTED_VALUE"""),"No")</f>
        <v>No</v>
      </c>
      <c r="W606" s="5" t="str">
        <f ca="1">IFERROR(__xludf.DUMMYFUNCTION("""COMPUTED_VALUE"""),"No")</f>
        <v>No</v>
      </c>
      <c r="X606" s="5" t="str">
        <f ca="1">IFERROR(__xludf.DUMMYFUNCTION("""COMPUTED_VALUE"""),"Yes")</f>
        <v>Yes</v>
      </c>
      <c r="Y606" s="5" t="str">
        <f ca="1">IFERROR(__xludf.DUMMYFUNCTION("""COMPUTED_VALUE"""),"No")</f>
        <v>No</v>
      </c>
      <c r="Z606" s="5" t="str">
        <f ca="1">IFERROR(__xludf.DUMMYFUNCTION("""COMPUTED_VALUE"""),"No")</f>
        <v>No</v>
      </c>
      <c r="AA606" s="5" t="str">
        <f ca="1">IFERROR(__xludf.DUMMYFUNCTION("""COMPUTED_VALUE"""),"No")</f>
        <v>No</v>
      </c>
      <c r="AB606" s="5" t="str">
        <f ca="1">IFERROR(__xludf.DUMMYFUNCTION("""COMPUTED_VALUE"""),"Yes")</f>
        <v>Yes</v>
      </c>
      <c r="AC606" s="5" t="str">
        <f ca="1">IFERROR(__xludf.DUMMYFUNCTION("""COMPUTED_VALUE"""),"No")</f>
        <v>No</v>
      </c>
    </row>
    <row r="607" spans="1:29" x14ac:dyDescent="0.25">
      <c r="A607" s="5" t="str">
        <f ca="1">IFERROR(__xludf.DUMMYFUNCTION("""COMPUTED_VALUE"""),"christmas-sugar-luck")</f>
        <v>christmas-sugar-luck</v>
      </c>
      <c r="B60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07" s="5" t="str">
        <f ca="1">IFERROR(__xludf.DUMMYFUNCTION("""COMPUTED_VALUE"""),"Yes")</f>
        <v>Yes</v>
      </c>
      <c r="D607" s="5" t="str">
        <f ca="1">IFERROR(__xludf.DUMMYFUNCTION("""COMPUTED_VALUE"""),"Yes")</f>
        <v>Yes</v>
      </c>
      <c r="E607" s="5" t="str">
        <f ca="1">IFERROR(__xludf.DUMMYFUNCTION("""COMPUTED_VALUE"""),"No")</f>
        <v>No</v>
      </c>
      <c r="F607" s="5" t="str">
        <f ca="1">IFERROR(__xludf.DUMMYFUNCTION("""COMPUTED_VALUE"""),"Yes")</f>
        <v>Yes</v>
      </c>
      <c r="G607" s="5" t="str">
        <f ca="1">IFERROR(__xludf.DUMMYFUNCTION("""COMPUTED_VALUE"""),"Yes")</f>
        <v>Yes</v>
      </c>
      <c r="H607" s="5" t="str">
        <f ca="1">IFERROR(__xludf.DUMMYFUNCTION("""COMPUTED_VALUE"""),"Yes")</f>
        <v>Yes</v>
      </c>
      <c r="I607" s="5" t="str">
        <f ca="1">IFERROR(__xludf.DUMMYFUNCTION("""COMPUTED_VALUE"""),"Yes")</f>
        <v>Yes</v>
      </c>
      <c r="J607" s="5" t="str">
        <f ca="1">IFERROR(__xludf.DUMMYFUNCTION("""COMPUTED_VALUE"""),"Yes")</f>
        <v>Yes</v>
      </c>
      <c r="K607" s="5" t="str">
        <f ca="1">IFERROR(__xludf.DUMMYFUNCTION("""COMPUTED_VALUE"""),"Yes")</f>
        <v>Yes</v>
      </c>
      <c r="L607" s="5" t="str">
        <f ca="1">IFERROR(__xludf.DUMMYFUNCTION("""COMPUTED_VALUE"""),"Yes")</f>
        <v>Yes</v>
      </c>
      <c r="M607" s="5" t="str">
        <f ca="1">IFERROR(__xludf.DUMMYFUNCTION("""COMPUTED_VALUE"""),"Yes")</f>
        <v>Yes</v>
      </c>
      <c r="N607" s="5" t="str">
        <f ca="1">IFERROR(__xludf.DUMMYFUNCTION("""COMPUTED_VALUE"""),"Yes")</f>
        <v>Yes</v>
      </c>
      <c r="O607" s="5" t="str">
        <f ca="1">IFERROR(__xludf.DUMMYFUNCTION("""COMPUTED_VALUE"""),"Yes")</f>
        <v>Yes</v>
      </c>
      <c r="P607" s="5" t="str">
        <f ca="1">IFERROR(__xludf.DUMMYFUNCTION("""COMPUTED_VALUE"""),"Yes")</f>
        <v>Yes</v>
      </c>
      <c r="Q607" s="5" t="str">
        <f ca="1">IFERROR(__xludf.DUMMYFUNCTION("""COMPUTED_VALUE"""),"Yes")</f>
        <v>Yes</v>
      </c>
      <c r="R607" s="5" t="str">
        <f ca="1">IFERROR(__xludf.DUMMYFUNCTION("""COMPUTED_VALUE"""),"No")</f>
        <v>No</v>
      </c>
      <c r="S607" s="5" t="str">
        <f ca="1">IFERROR(__xludf.DUMMYFUNCTION("""COMPUTED_VALUE"""),"No")</f>
        <v>No</v>
      </c>
      <c r="T607" s="5" t="str">
        <f ca="1">IFERROR(__xludf.DUMMYFUNCTION("""COMPUTED_VALUE"""),"No")</f>
        <v>No</v>
      </c>
      <c r="U607" s="5" t="str">
        <f ca="1">IFERROR(__xludf.DUMMYFUNCTION("""COMPUTED_VALUE"""),"No")</f>
        <v>No</v>
      </c>
      <c r="V607" s="5" t="str">
        <f ca="1">IFERROR(__xludf.DUMMYFUNCTION("""COMPUTED_VALUE"""),"No")</f>
        <v>No</v>
      </c>
      <c r="W607" s="5" t="str">
        <f ca="1">IFERROR(__xludf.DUMMYFUNCTION("""COMPUTED_VALUE"""),"No")</f>
        <v>No</v>
      </c>
      <c r="X607" s="5" t="str">
        <f ca="1">IFERROR(__xludf.DUMMYFUNCTION("""COMPUTED_VALUE"""),"No")</f>
        <v>No</v>
      </c>
      <c r="Y607" s="5" t="str">
        <f ca="1">IFERROR(__xludf.DUMMYFUNCTION("""COMPUTED_VALUE"""),"No")</f>
        <v>No</v>
      </c>
      <c r="Z607" s="5" t="str">
        <f ca="1">IFERROR(__xludf.DUMMYFUNCTION("""COMPUTED_VALUE"""),"No")</f>
        <v>No</v>
      </c>
      <c r="AA607" s="5" t="str">
        <f ca="1">IFERROR(__xludf.DUMMYFUNCTION("""COMPUTED_VALUE"""),"No")</f>
        <v>No</v>
      </c>
      <c r="AB607" s="5" t="str">
        <f ca="1">IFERROR(__xludf.DUMMYFUNCTION("""COMPUTED_VALUE"""),"Yes")</f>
        <v>Yes</v>
      </c>
      <c r="AC607" s="5" t="str">
        <f ca="1">IFERROR(__xludf.DUMMYFUNCTION("""COMPUTED_VALUE"""),"No")</f>
        <v>No</v>
      </c>
    </row>
    <row r="608" spans="1:29" x14ac:dyDescent="0.25">
      <c r="A608" s="5" t="str">
        <f ca="1">IFERROR(__xludf.DUMMYFUNCTION("""COMPUTED_VALUE"""),"KonfamBall")</f>
        <v>KonfamBall</v>
      </c>
      <c r="B6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8" s="5" t="str">
        <f ca="1">IFERROR(__xludf.DUMMYFUNCTION("""COMPUTED_VALUE"""),"Yes")</f>
        <v>Yes</v>
      </c>
      <c r="D608" s="5" t="str">
        <f ca="1">IFERROR(__xludf.DUMMYFUNCTION("""COMPUTED_VALUE"""),"Yes")</f>
        <v>Yes</v>
      </c>
      <c r="E608" s="5" t="str">
        <f ca="1">IFERROR(__xludf.DUMMYFUNCTION("""COMPUTED_VALUE"""),"Yes")</f>
        <v>Yes</v>
      </c>
      <c r="F608" s="5" t="str">
        <f ca="1">IFERROR(__xludf.DUMMYFUNCTION("""COMPUTED_VALUE"""),"Yes")</f>
        <v>Yes</v>
      </c>
      <c r="G608" s="5" t="str">
        <f ca="1">IFERROR(__xludf.DUMMYFUNCTION("""COMPUTED_VALUE"""),"Yes")</f>
        <v>Yes</v>
      </c>
      <c r="H608" s="5" t="str">
        <f ca="1">IFERROR(__xludf.DUMMYFUNCTION("""COMPUTED_VALUE"""),"Yes")</f>
        <v>Yes</v>
      </c>
      <c r="I608" s="5" t="str">
        <f ca="1">IFERROR(__xludf.DUMMYFUNCTION("""COMPUTED_VALUE"""),"Yes")</f>
        <v>Yes</v>
      </c>
      <c r="J608" s="5" t="str">
        <f ca="1">IFERROR(__xludf.DUMMYFUNCTION("""COMPUTED_VALUE"""),"Yes")</f>
        <v>Yes</v>
      </c>
      <c r="K608" s="5" t="str">
        <f ca="1">IFERROR(__xludf.DUMMYFUNCTION("""COMPUTED_VALUE"""),"Yes")</f>
        <v>Yes</v>
      </c>
      <c r="L608" s="5" t="str">
        <f ca="1">IFERROR(__xludf.DUMMYFUNCTION("""COMPUTED_VALUE"""),"Yes")</f>
        <v>Yes</v>
      </c>
      <c r="M608" s="5" t="str">
        <f ca="1">IFERROR(__xludf.DUMMYFUNCTION("""COMPUTED_VALUE"""),"Yes")</f>
        <v>Yes</v>
      </c>
      <c r="N608" s="5" t="str">
        <f ca="1">IFERROR(__xludf.DUMMYFUNCTION("""COMPUTED_VALUE"""),"Yes")</f>
        <v>Yes</v>
      </c>
      <c r="O608" s="5" t="str">
        <f ca="1">IFERROR(__xludf.DUMMYFUNCTION("""COMPUTED_VALUE"""),"Yes")</f>
        <v>Yes</v>
      </c>
      <c r="P608" s="5" t="str">
        <f ca="1">IFERROR(__xludf.DUMMYFUNCTION("""COMPUTED_VALUE"""),"Yes")</f>
        <v>Yes</v>
      </c>
      <c r="Q608" s="5" t="str">
        <f ca="1">IFERROR(__xludf.DUMMYFUNCTION("""COMPUTED_VALUE"""),"Yes")</f>
        <v>Yes</v>
      </c>
      <c r="R608" s="5" t="str">
        <f ca="1">IFERROR(__xludf.DUMMYFUNCTION("""COMPUTED_VALUE"""),"Yes")</f>
        <v>Yes</v>
      </c>
      <c r="S608" s="5" t="str">
        <f ca="1">IFERROR(__xludf.DUMMYFUNCTION("""COMPUTED_VALUE"""),"Yes")</f>
        <v>Yes</v>
      </c>
      <c r="T608" s="5" t="str">
        <f ca="1">IFERROR(__xludf.DUMMYFUNCTION("""COMPUTED_VALUE"""),"Yes")</f>
        <v>Yes</v>
      </c>
      <c r="U608" s="5" t="str">
        <f ca="1">IFERROR(__xludf.DUMMYFUNCTION("""COMPUTED_VALUE"""),"Yes")</f>
        <v>Yes</v>
      </c>
      <c r="V608" s="5" t="str">
        <f ca="1">IFERROR(__xludf.DUMMYFUNCTION("""COMPUTED_VALUE"""),"Yes")</f>
        <v>Yes</v>
      </c>
      <c r="W608" s="5" t="str">
        <f ca="1">IFERROR(__xludf.DUMMYFUNCTION("""COMPUTED_VALUE"""),"Yes")</f>
        <v>Yes</v>
      </c>
      <c r="X608" s="5" t="str">
        <f ca="1">IFERROR(__xludf.DUMMYFUNCTION("""COMPUTED_VALUE"""),"Yes")</f>
        <v>Yes</v>
      </c>
      <c r="Y608" s="5" t="str">
        <f ca="1">IFERROR(__xludf.DUMMYFUNCTION("""COMPUTED_VALUE"""),"Yes")</f>
        <v>Yes</v>
      </c>
      <c r="Z608" s="5" t="str">
        <f ca="1">IFERROR(__xludf.DUMMYFUNCTION("""COMPUTED_VALUE"""),"Yes")</f>
        <v>Yes</v>
      </c>
      <c r="AA608" s="5" t="str">
        <f ca="1">IFERROR(__xludf.DUMMYFUNCTION("""COMPUTED_VALUE"""),"Yes")</f>
        <v>Yes</v>
      </c>
      <c r="AB608" s="5" t="str">
        <f ca="1">IFERROR(__xludf.DUMMYFUNCTION("""COMPUTED_VALUE"""),"Yes")</f>
        <v>Yes</v>
      </c>
      <c r="AC608" s="5" t="str">
        <f ca="1">IFERROR(__xludf.DUMMYFUNCTION("""COMPUTED_VALUE"""),"No")</f>
        <v>No</v>
      </c>
    </row>
    <row r="609" spans="1:29" x14ac:dyDescent="0.25">
      <c r="A609" s="5" t="str">
        <f ca="1">IFERROR(__xludf.DUMMYFUNCTION("""COMPUTED_VALUE"""),"UnicornDynamiteBoomDice")</f>
        <v>UnicornDynamiteBoomDice</v>
      </c>
      <c r="B609" s="5" t="str">
        <f ca="1">IFERROR(__xludf.DUMMYFUNCTION("""COMPUTED_VALUE"""),"English(""eng"")")</f>
        <v>English("eng")</v>
      </c>
      <c r="C609" s="5" t="str">
        <f ca="1">IFERROR(__xludf.DUMMYFUNCTION("""COMPUTED_VALUE"""),"Yes")</f>
        <v>Yes</v>
      </c>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row>
    <row r="610" spans="1:29" x14ac:dyDescent="0.25">
      <c r="A610" s="5" t="str">
        <f ca="1">IFERROR(__xludf.DUMMYFUNCTION("""COMPUTED_VALUE"""),"UnicornBuffaloDiceJackpot")</f>
        <v>UnicornBuffaloDiceJackpot</v>
      </c>
      <c r="B610" s="5" t="str">
        <f ca="1">IFERROR(__xludf.DUMMYFUNCTION("""COMPUTED_VALUE"""),"English(""eng"")")</f>
        <v>English("eng")</v>
      </c>
      <c r="C610" s="5" t="str">
        <f ca="1">IFERROR(__xludf.DUMMYFUNCTION("""COMPUTED_VALUE"""),"Yes")</f>
        <v>Yes</v>
      </c>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row>
    <row r="611" spans="1:29" x14ac:dyDescent="0.25">
      <c r="A611" s="5" t="str">
        <f ca="1">IFERROR(__xludf.DUMMYFUNCTION("""COMPUTED_VALUE"""),"UnicornTripleStackedDiamondJackpot")</f>
        <v>UnicornTripleStackedDiamondJackpot</v>
      </c>
      <c r="B611" s="5" t="str">
        <f ca="1">IFERROR(__xludf.DUMMYFUNCTION("""COMPUTED_VALUE"""),"English(""eng"")")</f>
        <v>English("eng")</v>
      </c>
      <c r="C611" s="5" t="str">
        <f ca="1">IFERROR(__xludf.DUMMYFUNCTION("""COMPUTED_VALUE"""),"Yes")</f>
        <v>Yes</v>
      </c>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row>
    <row r="612" spans="1:29" x14ac:dyDescent="0.25">
      <c r="A612" s="5" t="str">
        <f ca="1">IFERROR(__xludf.DUMMYFUNCTION("""COMPUTED_VALUE"""),"SuperTripleDouble")</f>
        <v>SuperTripleDouble</v>
      </c>
      <c r="B6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2" s="5" t="str">
        <f ca="1">IFERROR(__xludf.DUMMYFUNCTION("""COMPUTED_VALUE"""),"Yes")</f>
        <v>Yes</v>
      </c>
      <c r="D612" s="5" t="str">
        <f ca="1">IFERROR(__xludf.DUMMYFUNCTION("""COMPUTED_VALUE"""),"Yes")</f>
        <v>Yes</v>
      </c>
      <c r="E612" s="5" t="str">
        <f ca="1">IFERROR(__xludf.DUMMYFUNCTION("""COMPUTED_VALUE"""),"Yes")</f>
        <v>Yes</v>
      </c>
      <c r="F612" s="5" t="str">
        <f ca="1">IFERROR(__xludf.DUMMYFUNCTION("""COMPUTED_VALUE"""),"Yes")</f>
        <v>Yes</v>
      </c>
      <c r="G612" s="5" t="str">
        <f ca="1">IFERROR(__xludf.DUMMYFUNCTION("""COMPUTED_VALUE"""),"Yes")</f>
        <v>Yes</v>
      </c>
      <c r="H612" s="5" t="str">
        <f ca="1">IFERROR(__xludf.DUMMYFUNCTION("""COMPUTED_VALUE"""),"Yes")</f>
        <v>Yes</v>
      </c>
      <c r="I612" s="5" t="str">
        <f ca="1">IFERROR(__xludf.DUMMYFUNCTION("""COMPUTED_VALUE"""),"Yes")</f>
        <v>Yes</v>
      </c>
      <c r="J612" s="5" t="str">
        <f ca="1">IFERROR(__xludf.DUMMYFUNCTION("""COMPUTED_VALUE"""),"Yes")</f>
        <v>Yes</v>
      </c>
      <c r="K612" s="5" t="str">
        <f ca="1">IFERROR(__xludf.DUMMYFUNCTION("""COMPUTED_VALUE"""),"Yes")</f>
        <v>Yes</v>
      </c>
      <c r="L612" s="5" t="str">
        <f ca="1">IFERROR(__xludf.DUMMYFUNCTION("""COMPUTED_VALUE"""),"Yes")</f>
        <v>Yes</v>
      </c>
      <c r="M612" s="5" t="str">
        <f ca="1">IFERROR(__xludf.DUMMYFUNCTION("""COMPUTED_VALUE"""),"Yes")</f>
        <v>Yes</v>
      </c>
      <c r="N612" s="5" t="str">
        <f ca="1">IFERROR(__xludf.DUMMYFUNCTION("""COMPUTED_VALUE"""),"Yes")</f>
        <v>Yes</v>
      </c>
      <c r="O612" s="5" t="str">
        <f ca="1">IFERROR(__xludf.DUMMYFUNCTION("""COMPUTED_VALUE"""),"Yes")</f>
        <v>Yes</v>
      </c>
      <c r="P612" s="5" t="str">
        <f ca="1">IFERROR(__xludf.DUMMYFUNCTION("""COMPUTED_VALUE"""),"Yes")</f>
        <v>Yes</v>
      </c>
      <c r="Q612" s="5" t="str">
        <f ca="1">IFERROR(__xludf.DUMMYFUNCTION("""COMPUTED_VALUE"""),"Yes")</f>
        <v>Yes</v>
      </c>
      <c r="R612" s="5" t="str">
        <f ca="1">IFERROR(__xludf.DUMMYFUNCTION("""COMPUTED_VALUE"""),"Yes")</f>
        <v>Yes</v>
      </c>
      <c r="S612" s="5" t="str">
        <f ca="1">IFERROR(__xludf.DUMMYFUNCTION("""COMPUTED_VALUE"""),"Yes")</f>
        <v>Yes</v>
      </c>
      <c r="T612" s="5" t="str">
        <f ca="1">IFERROR(__xludf.DUMMYFUNCTION("""COMPUTED_VALUE"""),"Yes")</f>
        <v>Yes</v>
      </c>
      <c r="U612" s="5" t="str">
        <f ca="1">IFERROR(__xludf.DUMMYFUNCTION("""COMPUTED_VALUE"""),"Yes")</f>
        <v>Yes</v>
      </c>
      <c r="V612" s="5" t="str">
        <f ca="1">IFERROR(__xludf.DUMMYFUNCTION("""COMPUTED_VALUE"""),"Yes")</f>
        <v>Yes</v>
      </c>
      <c r="W612" s="5" t="str">
        <f ca="1">IFERROR(__xludf.DUMMYFUNCTION("""COMPUTED_VALUE"""),"Yes")</f>
        <v>Yes</v>
      </c>
      <c r="X612" s="5" t="str">
        <f ca="1">IFERROR(__xludf.DUMMYFUNCTION("""COMPUTED_VALUE"""),"Yes")</f>
        <v>Yes</v>
      </c>
      <c r="Y612" s="5" t="str">
        <f ca="1">IFERROR(__xludf.DUMMYFUNCTION("""COMPUTED_VALUE"""),"Yes")</f>
        <v>Yes</v>
      </c>
      <c r="Z612" s="5" t="str">
        <f ca="1">IFERROR(__xludf.DUMMYFUNCTION("""COMPUTED_VALUE"""),"Yes")</f>
        <v>Yes</v>
      </c>
      <c r="AA612" s="5" t="str">
        <f ca="1">IFERROR(__xludf.DUMMYFUNCTION("""COMPUTED_VALUE"""),"Yes")</f>
        <v>Yes</v>
      </c>
      <c r="AB612" s="5" t="str">
        <f ca="1">IFERROR(__xludf.DUMMYFUNCTION("""COMPUTED_VALUE"""),"Yes")</f>
        <v>Yes</v>
      </c>
      <c r="AC612" s="5" t="str">
        <f ca="1">IFERROR(__xludf.DUMMYFUNCTION("""COMPUTED_VALUE"""),"No")</f>
        <v>No</v>
      </c>
    </row>
    <row r="613" spans="1:29" x14ac:dyDescent="0.25">
      <c r="A613" s="5" t="str">
        <f ca="1">IFERROR(__xludf.DUMMYFUNCTION("""COMPUTED_VALUE"""),"RedstoneInfernoHot40")</f>
        <v>RedstoneInfernoHot40</v>
      </c>
      <c r="B61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13" s="5" t="str">
        <f ca="1">IFERROR(__xludf.DUMMYFUNCTION("""COMPUTED_VALUE"""),"Yes")</f>
        <v>Yes</v>
      </c>
      <c r="D613" s="5" t="str">
        <f ca="1">IFERROR(__xludf.DUMMYFUNCTION("""COMPUTED_VALUE"""),"Yes")</f>
        <v>Yes</v>
      </c>
      <c r="E613" s="5" t="str">
        <f ca="1">IFERROR(__xludf.DUMMYFUNCTION("""COMPUTED_VALUE"""),"Yes")</f>
        <v>Yes</v>
      </c>
      <c r="F613" s="5" t="str">
        <f ca="1">IFERROR(__xludf.DUMMYFUNCTION("""COMPUTED_VALUE"""),"Yes")</f>
        <v>Yes</v>
      </c>
      <c r="G613" s="5" t="str">
        <f ca="1">IFERROR(__xludf.DUMMYFUNCTION("""COMPUTED_VALUE"""),"Yes")</f>
        <v>Yes</v>
      </c>
      <c r="H613" s="5" t="str">
        <f ca="1">IFERROR(__xludf.DUMMYFUNCTION("""COMPUTED_VALUE"""),"Yes")</f>
        <v>Yes</v>
      </c>
      <c r="I613" s="5" t="str">
        <f ca="1">IFERROR(__xludf.DUMMYFUNCTION("""COMPUTED_VALUE"""),"Yes")</f>
        <v>Yes</v>
      </c>
      <c r="J613" s="5" t="str">
        <f ca="1">IFERROR(__xludf.DUMMYFUNCTION("""COMPUTED_VALUE"""),"Yes")</f>
        <v>Yes</v>
      </c>
      <c r="K613" s="5" t="str">
        <f ca="1">IFERROR(__xludf.DUMMYFUNCTION("""COMPUTED_VALUE"""),"Yes")</f>
        <v>Yes</v>
      </c>
      <c r="L613" s="5" t="str">
        <f ca="1">IFERROR(__xludf.DUMMYFUNCTION("""COMPUTED_VALUE"""),"Yes")</f>
        <v>Yes</v>
      </c>
      <c r="M613" s="5" t="str">
        <f ca="1">IFERROR(__xludf.DUMMYFUNCTION("""COMPUTED_VALUE"""),"Yes")</f>
        <v>Yes</v>
      </c>
      <c r="N613" s="5" t="str">
        <f ca="1">IFERROR(__xludf.DUMMYFUNCTION("""COMPUTED_VALUE"""),"Yes")</f>
        <v>Yes</v>
      </c>
      <c r="O613" s="5" t="str">
        <f ca="1">IFERROR(__xludf.DUMMYFUNCTION("""COMPUTED_VALUE"""),"Yes")</f>
        <v>Yes</v>
      </c>
      <c r="P613" s="5" t="str">
        <f ca="1">IFERROR(__xludf.DUMMYFUNCTION("""COMPUTED_VALUE"""),"Yes")</f>
        <v>Yes</v>
      </c>
      <c r="Q613" s="5" t="str">
        <f ca="1">IFERROR(__xludf.DUMMYFUNCTION("""COMPUTED_VALUE"""),"Yes")</f>
        <v>Yes</v>
      </c>
      <c r="R613" s="5" t="str">
        <f ca="1">IFERROR(__xludf.DUMMYFUNCTION("""COMPUTED_VALUE"""),"No")</f>
        <v>No</v>
      </c>
      <c r="S613" s="5" t="str">
        <f ca="1">IFERROR(__xludf.DUMMYFUNCTION("""COMPUTED_VALUE"""),"No")</f>
        <v>No</v>
      </c>
      <c r="T613" s="5" t="str">
        <f ca="1">IFERROR(__xludf.DUMMYFUNCTION("""COMPUTED_VALUE"""),"No")</f>
        <v>No</v>
      </c>
      <c r="U613" s="5" t="str">
        <f ca="1">IFERROR(__xludf.DUMMYFUNCTION("""COMPUTED_VALUE"""),"No")</f>
        <v>No</v>
      </c>
      <c r="V613" s="5" t="str">
        <f ca="1">IFERROR(__xludf.DUMMYFUNCTION("""COMPUTED_VALUE"""),"No")</f>
        <v>No</v>
      </c>
      <c r="W613" s="5" t="str">
        <f ca="1">IFERROR(__xludf.DUMMYFUNCTION("""COMPUTED_VALUE"""),"No")</f>
        <v>No</v>
      </c>
      <c r="X613" s="5" t="str">
        <f ca="1">IFERROR(__xludf.DUMMYFUNCTION("""COMPUTED_VALUE"""),"Yes")</f>
        <v>Yes</v>
      </c>
      <c r="Y613" s="5" t="str">
        <f ca="1">IFERROR(__xludf.DUMMYFUNCTION("""COMPUTED_VALUE"""),"No")</f>
        <v>No</v>
      </c>
      <c r="Z613" s="5" t="str">
        <f ca="1">IFERROR(__xludf.DUMMYFUNCTION("""COMPUTED_VALUE"""),"No")</f>
        <v>No</v>
      </c>
      <c r="AA613" s="5" t="str">
        <f ca="1">IFERROR(__xludf.DUMMYFUNCTION("""COMPUTED_VALUE"""),"No")</f>
        <v>No</v>
      </c>
      <c r="AB613" s="5" t="str">
        <f ca="1">IFERROR(__xludf.DUMMYFUNCTION("""COMPUTED_VALUE"""),"Yes")</f>
        <v>Yes</v>
      </c>
      <c r="AC613" s="5" t="str">
        <f ca="1">IFERROR(__xludf.DUMMYFUNCTION("""COMPUTED_VALUE"""),"No")</f>
        <v>No</v>
      </c>
    </row>
    <row r="614" spans="1:29" x14ac:dyDescent="0.25">
      <c r="A614" s="5" t="str">
        <f ca="1">IFERROR(__xludf.DUMMYFUNCTION("""COMPUTED_VALUE"""),"RedstoneRollingHearts10")</f>
        <v>RedstoneRollingHearts10</v>
      </c>
      <c r="B614"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4" s="5" t="str">
        <f ca="1">IFERROR(__xludf.DUMMYFUNCTION("""COMPUTED_VALUE"""),"Yes")</f>
        <v>Yes</v>
      </c>
      <c r="D614" s="5" t="str">
        <f ca="1">IFERROR(__xludf.DUMMYFUNCTION("""COMPUTED_VALUE"""),"Yes")</f>
        <v>Yes</v>
      </c>
      <c r="E614" s="5" t="str">
        <f ca="1">IFERROR(__xludf.DUMMYFUNCTION("""COMPUTED_VALUE"""),"Yes")</f>
        <v>Yes</v>
      </c>
      <c r="F614" s="5"/>
      <c r="G614" s="5" t="str">
        <f ca="1">IFERROR(__xludf.DUMMYFUNCTION("""COMPUTED_VALUE"""),"Yes")</f>
        <v>Yes</v>
      </c>
      <c r="H614" s="5"/>
      <c r="I614" s="5"/>
      <c r="J614" s="5"/>
      <c r="K614" s="5" t="str">
        <f ca="1">IFERROR(__xludf.DUMMYFUNCTION("""COMPUTED_VALUE"""),"Yes")</f>
        <v>Yes</v>
      </c>
      <c r="L614" s="5" t="str">
        <f ca="1">IFERROR(__xludf.DUMMYFUNCTION("""COMPUTED_VALUE"""),"Yes")</f>
        <v>Yes</v>
      </c>
      <c r="M614" s="5" t="str">
        <f ca="1">IFERROR(__xludf.DUMMYFUNCTION("""COMPUTED_VALUE"""),"Yes")</f>
        <v>Yes</v>
      </c>
      <c r="N614" s="5" t="str">
        <f ca="1">IFERROR(__xludf.DUMMYFUNCTION("""COMPUTED_VALUE"""),"Yes")</f>
        <v>Yes</v>
      </c>
      <c r="O614" s="5" t="str">
        <f ca="1">IFERROR(__xludf.DUMMYFUNCTION("""COMPUTED_VALUE"""),"Yes")</f>
        <v>Yes</v>
      </c>
      <c r="P614" s="5"/>
      <c r="Q614" s="5" t="str">
        <f ca="1">IFERROR(__xludf.DUMMYFUNCTION("""COMPUTED_VALUE"""),"Yes")</f>
        <v>Yes</v>
      </c>
      <c r="R614" s="5"/>
      <c r="S614" s="5"/>
      <c r="T614" s="5"/>
      <c r="U614" s="5"/>
      <c r="V614" s="5"/>
      <c r="W614" s="5"/>
      <c r="X614" s="5" t="str">
        <f ca="1">IFERROR(__xludf.DUMMYFUNCTION("""COMPUTED_VALUE"""),"Yes")</f>
        <v>Yes</v>
      </c>
      <c r="Y614" s="5"/>
      <c r="Z614" s="5"/>
      <c r="AA614" s="5"/>
      <c r="AB614" s="5" t="str">
        <f ca="1">IFERROR(__xludf.DUMMYFUNCTION("""COMPUTED_VALUE"""),"Yes")</f>
        <v>Yes</v>
      </c>
      <c r="AC614" s="5" t="str">
        <f ca="1">IFERROR(__xludf.DUMMYFUNCTION("""COMPUTED_VALUE"""),"Yes")</f>
        <v>Yes</v>
      </c>
    </row>
    <row r="615" spans="1:29" x14ac:dyDescent="0.25">
      <c r="A615" s="5" t="str">
        <f ca="1">IFERROR(__xludf.DUMMYFUNCTION("""COMPUTED_VALUE"""),"RedstoneCupidsWildHearts")</f>
        <v>RedstoneCupidsWildHearts</v>
      </c>
      <c r="B615"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5" s="5" t="str">
        <f ca="1">IFERROR(__xludf.DUMMYFUNCTION("""COMPUTED_VALUE"""),"Yes")</f>
        <v>Yes</v>
      </c>
      <c r="D615" s="5" t="str">
        <f ca="1">IFERROR(__xludf.DUMMYFUNCTION("""COMPUTED_VALUE"""),"Yes")</f>
        <v>Yes</v>
      </c>
      <c r="E615" s="5" t="str">
        <f ca="1">IFERROR(__xludf.DUMMYFUNCTION("""COMPUTED_VALUE"""),"Yes")</f>
        <v>Yes</v>
      </c>
      <c r="F615" s="5" t="str">
        <f ca="1">IFERROR(__xludf.DUMMYFUNCTION("""COMPUTED_VALUE"""),"No")</f>
        <v>No</v>
      </c>
      <c r="G615" s="5" t="str">
        <f ca="1">IFERROR(__xludf.DUMMYFUNCTION("""COMPUTED_VALUE"""),"Yes")</f>
        <v>Yes</v>
      </c>
      <c r="H615" s="5" t="str">
        <f ca="1">IFERROR(__xludf.DUMMYFUNCTION("""COMPUTED_VALUE"""),"No")</f>
        <v>No</v>
      </c>
      <c r="I615" s="5" t="str">
        <f ca="1">IFERROR(__xludf.DUMMYFUNCTION("""COMPUTED_VALUE"""),"No")</f>
        <v>No</v>
      </c>
      <c r="J615" s="5" t="str">
        <f ca="1">IFERROR(__xludf.DUMMYFUNCTION("""COMPUTED_VALUE"""),"No")</f>
        <v>No</v>
      </c>
      <c r="K615" s="5" t="str">
        <f ca="1">IFERROR(__xludf.DUMMYFUNCTION("""COMPUTED_VALUE"""),"Yes")</f>
        <v>Yes</v>
      </c>
      <c r="L615" s="5" t="str">
        <f ca="1">IFERROR(__xludf.DUMMYFUNCTION("""COMPUTED_VALUE"""),"Yes")</f>
        <v>Yes</v>
      </c>
      <c r="M615" s="5" t="str">
        <f ca="1">IFERROR(__xludf.DUMMYFUNCTION("""COMPUTED_VALUE"""),"Yes")</f>
        <v>Yes</v>
      </c>
      <c r="N615" s="5" t="str">
        <f ca="1">IFERROR(__xludf.DUMMYFUNCTION("""COMPUTED_VALUE"""),"Yes")</f>
        <v>Yes</v>
      </c>
      <c r="O615" s="5" t="str">
        <f ca="1">IFERROR(__xludf.DUMMYFUNCTION("""COMPUTED_VALUE"""),"Yes")</f>
        <v>Yes</v>
      </c>
      <c r="P615" s="5" t="str">
        <f ca="1">IFERROR(__xludf.DUMMYFUNCTION("""COMPUTED_VALUE"""),"No")</f>
        <v>No</v>
      </c>
      <c r="Q615" s="5" t="str">
        <f ca="1">IFERROR(__xludf.DUMMYFUNCTION("""COMPUTED_VALUE"""),"Yes")</f>
        <v>Yes</v>
      </c>
      <c r="R615" s="5" t="str">
        <f ca="1">IFERROR(__xludf.DUMMYFUNCTION("""COMPUTED_VALUE"""),"No")</f>
        <v>No</v>
      </c>
      <c r="S615" s="5" t="str">
        <f ca="1">IFERROR(__xludf.DUMMYFUNCTION("""COMPUTED_VALUE"""),"No")</f>
        <v>No</v>
      </c>
      <c r="T615" s="5" t="str">
        <f ca="1">IFERROR(__xludf.DUMMYFUNCTION("""COMPUTED_VALUE"""),"No")</f>
        <v>No</v>
      </c>
      <c r="U615" s="5" t="str">
        <f ca="1">IFERROR(__xludf.DUMMYFUNCTION("""COMPUTED_VALUE"""),"No")</f>
        <v>No</v>
      </c>
      <c r="V615" s="5" t="str">
        <f ca="1">IFERROR(__xludf.DUMMYFUNCTION("""COMPUTED_VALUE"""),"No")</f>
        <v>No</v>
      </c>
      <c r="W615" s="5" t="str">
        <f ca="1">IFERROR(__xludf.DUMMYFUNCTION("""COMPUTED_VALUE"""),"No")</f>
        <v>No</v>
      </c>
      <c r="X615" s="5" t="str">
        <f ca="1">IFERROR(__xludf.DUMMYFUNCTION("""COMPUTED_VALUE"""),"Yes")</f>
        <v>Yes</v>
      </c>
      <c r="Y615" s="5" t="str">
        <f ca="1">IFERROR(__xludf.DUMMYFUNCTION("""COMPUTED_VALUE"""),"No")</f>
        <v>No</v>
      </c>
      <c r="Z615" s="5" t="str">
        <f ca="1">IFERROR(__xludf.DUMMYFUNCTION("""COMPUTED_VALUE"""),"No")</f>
        <v>No</v>
      </c>
      <c r="AA615" s="5" t="str">
        <f ca="1">IFERROR(__xludf.DUMMYFUNCTION("""COMPUTED_VALUE"""),"No")</f>
        <v>No</v>
      </c>
      <c r="AB615" s="5" t="str">
        <f ca="1">IFERROR(__xludf.DUMMYFUNCTION("""COMPUTED_VALUE"""),"Yes")</f>
        <v>Yes</v>
      </c>
      <c r="AC615" s="5" t="str">
        <f ca="1">IFERROR(__xludf.DUMMYFUNCTION("""COMPUTED_VALUE"""),"Yes")</f>
        <v>Yes</v>
      </c>
    </row>
    <row r="616" spans="1:29" x14ac:dyDescent="0.25">
      <c r="A616" s="5" t="str">
        <f ca="1">IFERROR(__xludf.DUMMYFUNCTION("""COMPUTED_VALUE"""),"RedstoneDoubleWildDiamond")</f>
        <v>RedstoneDoubleWildDiamond</v>
      </c>
      <c r="B61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16" s="5" t="str">
        <f ca="1">IFERROR(__xludf.DUMMYFUNCTION("""COMPUTED_VALUE"""),"Yes")</f>
        <v>Yes</v>
      </c>
      <c r="D616" s="5" t="str">
        <f ca="1">IFERROR(__xludf.DUMMYFUNCTION("""COMPUTED_VALUE"""),"Yes")</f>
        <v>Yes</v>
      </c>
      <c r="E616" s="5" t="str">
        <f ca="1">IFERROR(__xludf.DUMMYFUNCTION("""COMPUTED_VALUE"""),"No")</f>
        <v>No</v>
      </c>
      <c r="F616" s="5" t="str">
        <f ca="1">IFERROR(__xludf.DUMMYFUNCTION("""COMPUTED_VALUE"""),"Yes")</f>
        <v>Yes</v>
      </c>
      <c r="G616" s="5" t="str">
        <f ca="1">IFERROR(__xludf.DUMMYFUNCTION("""COMPUTED_VALUE"""),"Yes")</f>
        <v>Yes</v>
      </c>
      <c r="H616" s="5" t="str">
        <f ca="1">IFERROR(__xludf.DUMMYFUNCTION("""COMPUTED_VALUE"""),"Yes")</f>
        <v>Yes</v>
      </c>
      <c r="I616" s="5" t="str">
        <f ca="1">IFERROR(__xludf.DUMMYFUNCTION("""COMPUTED_VALUE"""),"Yes")</f>
        <v>Yes</v>
      </c>
      <c r="J616" s="5" t="str">
        <f ca="1">IFERROR(__xludf.DUMMYFUNCTION("""COMPUTED_VALUE"""),"Yes")</f>
        <v>Yes</v>
      </c>
      <c r="K616" s="5" t="str">
        <f ca="1">IFERROR(__xludf.DUMMYFUNCTION("""COMPUTED_VALUE"""),"Yes")</f>
        <v>Yes</v>
      </c>
      <c r="L616" s="5" t="str">
        <f ca="1">IFERROR(__xludf.DUMMYFUNCTION("""COMPUTED_VALUE"""),"Yes")</f>
        <v>Yes</v>
      </c>
      <c r="M616" s="5" t="str">
        <f ca="1">IFERROR(__xludf.DUMMYFUNCTION("""COMPUTED_VALUE"""),"Yes")</f>
        <v>Yes</v>
      </c>
      <c r="N616" s="5" t="str">
        <f ca="1">IFERROR(__xludf.DUMMYFUNCTION("""COMPUTED_VALUE"""),"Yes")</f>
        <v>Yes</v>
      </c>
      <c r="O616" s="5" t="str">
        <f ca="1">IFERROR(__xludf.DUMMYFUNCTION("""COMPUTED_VALUE"""),"Yes")</f>
        <v>Yes</v>
      </c>
      <c r="P616" s="5" t="str">
        <f ca="1">IFERROR(__xludf.DUMMYFUNCTION("""COMPUTED_VALUE"""),"Yes")</f>
        <v>Yes</v>
      </c>
      <c r="Q616" s="5" t="str">
        <f ca="1">IFERROR(__xludf.DUMMYFUNCTION("""COMPUTED_VALUE"""),"Yes")</f>
        <v>Yes</v>
      </c>
      <c r="R616" s="5" t="str">
        <f ca="1">IFERROR(__xludf.DUMMYFUNCTION("""COMPUTED_VALUE"""),"No")</f>
        <v>No</v>
      </c>
      <c r="S616" s="5" t="str">
        <f ca="1">IFERROR(__xludf.DUMMYFUNCTION("""COMPUTED_VALUE"""),"No")</f>
        <v>No</v>
      </c>
      <c r="T616" s="5" t="str">
        <f ca="1">IFERROR(__xludf.DUMMYFUNCTION("""COMPUTED_VALUE"""),"No")</f>
        <v>No</v>
      </c>
      <c r="U616" s="5" t="str">
        <f ca="1">IFERROR(__xludf.DUMMYFUNCTION("""COMPUTED_VALUE"""),"No")</f>
        <v>No</v>
      </c>
      <c r="V616" s="5" t="str">
        <f ca="1">IFERROR(__xludf.DUMMYFUNCTION("""COMPUTED_VALUE"""),"No")</f>
        <v>No</v>
      </c>
      <c r="W616" s="5" t="str">
        <f ca="1">IFERROR(__xludf.DUMMYFUNCTION("""COMPUTED_VALUE"""),"No")</f>
        <v>No</v>
      </c>
      <c r="X616" s="5" t="str">
        <f ca="1">IFERROR(__xludf.DUMMYFUNCTION("""COMPUTED_VALUE"""),"Yes")</f>
        <v>Yes</v>
      </c>
      <c r="Y616" s="5" t="str">
        <f ca="1">IFERROR(__xludf.DUMMYFUNCTION("""COMPUTED_VALUE"""),"No")</f>
        <v>No</v>
      </c>
      <c r="Z616" s="5" t="str">
        <f ca="1">IFERROR(__xludf.DUMMYFUNCTION("""COMPUTED_VALUE"""),"No")</f>
        <v>No</v>
      </c>
      <c r="AA616" s="5" t="str">
        <f ca="1">IFERROR(__xludf.DUMMYFUNCTION("""COMPUTED_VALUE"""),"No")</f>
        <v>No</v>
      </c>
      <c r="AB616" s="5" t="str">
        <f ca="1">IFERROR(__xludf.DUMMYFUNCTION("""COMPUTED_VALUE"""),"Yes")</f>
        <v>Yes</v>
      </c>
      <c r="AC616" s="5" t="str">
        <f ca="1">IFERROR(__xludf.DUMMYFUNCTION("""COMPUTED_VALUE"""),"No")</f>
        <v>No</v>
      </c>
    </row>
    <row r="617" spans="1:29" x14ac:dyDescent="0.25">
      <c r="A617" s="5" t="str">
        <f ca="1">IFERROR(__xludf.DUMMYFUNCTION("""COMPUTED_VALUE"""),"PlayNetDiamondHeart10")</f>
        <v>PlayNetDiamondHeart10</v>
      </c>
      <c r="B61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7" s="5" t="str">
        <f ca="1">IFERROR(__xludf.DUMMYFUNCTION("""COMPUTED_VALUE"""),"Yes")</f>
        <v>Yes</v>
      </c>
      <c r="D617" s="5" t="str">
        <f ca="1">IFERROR(__xludf.DUMMYFUNCTION("""COMPUTED_VALUE"""),"Yes")</f>
        <v>Yes</v>
      </c>
      <c r="E617" s="5" t="str">
        <f ca="1">IFERROR(__xludf.DUMMYFUNCTION("""COMPUTED_VALUE"""),"Yes")</f>
        <v>Yes</v>
      </c>
      <c r="F617" s="5" t="str">
        <f ca="1">IFERROR(__xludf.DUMMYFUNCTION("""COMPUTED_VALUE"""),"Yes")</f>
        <v>Yes</v>
      </c>
      <c r="G617" s="5" t="str">
        <f ca="1">IFERROR(__xludf.DUMMYFUNCTION("""COMPUTED_VALUE"""),"Yes")</f>
        <v>Yes</v>
      </c>
      <c r="H617" s="5" t="str">
        <f ca="1">IFERROR(__xludf.DUMMYFUNCTION("""COMPUTED_VALUE"""),"Yes")</f>
        <v>Yes</v>
      </c>
      <c r="I617" s="5" t="str">
        <f ca="1">IFERROR(__xludf.DUMMYFUNCTION("""COMPUTED_VALUE"""),"Yes")</f>
        <v>Yes</v>
      </c>
      <c r="J617" s="5" t="str">
        <f ca="1">IFERROR(__xludf.DUMMYFUNCTION("""COMPUTED_VALUE"""),"Yes")</f>
        <v>Yes</v>
      </c>
      <c r="K617" s="5" t="str">
        <f ca="1">IFERROR(__xludf.DUMMYFUNCTION("""COMPUTED_VALUE"""),"Yes")</f>
        <v>Yes</v>
      </c>
      <c r="L617" s="5" t="str">
        <f ca="1">IFERROR(__xludf.DUMMYFUNCTION("""COMPUTED_VALUE"""),"Yes")</f>
        <v>Yes</v>
      </c>
      <c r="M617" s="5" t="str">
        <f ca="1">IFERROR(__xludf.DUMMYFUNCTION("""COMPUTED_VALUE"""),"Yes")</f>
        <v>Yes</v>
      </c>
      <c r="N617" s="5" t="str">
        <f ca="1">IFERROR(__xludf.DUMMYFUNCTION("""COMPUTED_VALUE"""),"Yes")</f>
        <v>Yes</v>
      </c>
      <c r="O617" s="5" t="str">
        <f ca="1">IFERROR(__xludf.DUMMYFUNCTION("""COMPUTED_VALUE"""),"Yes")</f>
        <v>Yes</v>
      </c>
      <c r="P617" s="5" t="str">
        <f ca="1">IFERROR(__xludf.DUMMYFUNCTION("""COMPUTED_VALUE"""),"Yes")</f>
        <v>Yes</v>
      </c>
      <c r="Q617" s="5" t="str">
        <f ca="1">IFERROR(__xludf.DUMMYFUNCTION("""COMPUTED_VALUE"""),"Yes")</f>
        <v>Yes</v>
      </c>
      <c r="R617" s="5" t="str">
        <f ca="1">IFERROR(__xludf.DUMMYFUNCTION("""COMPUTED_VALUE"""),"No")</f>
        <v>No</v>
      </c>
      <c r="S617" s="5" t="str">
        <f ca="1">IFERROR(__xludf.DUMMYFUNCTION("""COMPUTED_VALUE"""),"No")</f>
        <v>No</v>
      </c>
      <c r="T617" s="5" t="str">
        <f ca="1">IFERROR(__xludf.DUMMYFUNCTION("""COMPUTED_VALUE"""),"No")</f>
        <v>No</v>
      </c>
      <c r="U617" s="5" t="str">
        <f ca="1">IFERROR(__xludf.DUMMYFUNCTION("""COMPUTED_VALUE"""),"No")</f>
        <v>No</v>
      </c>
      <c r="V617" s="5" t="str">
        <f ca="1">IFERROR(__xludf.DUMMYFUNCTION("""COMPUTED_VALUE"""),"No")</f>
        <v>No</v>
      </c>
      <c r="W617" s="5" t="str">
        <f ca="1">IFERROR(__xludf.DUMMYFUNCTION("""COMPUTED_VALUE"""),"No")</f>
        <v>No</v>
      </c>
      <c r="X617" s="5" t="str">
        <f ca="1">IFERROR(__xludf.DUMMYFUNCTION("""COMPUTED_VALUE"""),"No")</f>
        <v>No</v>
      </c>
      <c r="Y617" s="5" t="str">
        <f ca="1">IFERROR(__xludf.DUMMYFUNCTION("""COMPUTED_VALUE"""),"No")</f>
        <v>No</v>
      </c>
      <c r="Z617" s="5" t="str">
        <f ca="1">IFERROR(__xludf.DUMMYFUNCTION("""COMPUTED_VALUE"""),"No")</f>
        <v>No</v>
      </c>
      <c r="AA617" s="5" t="str">
        <f ca="1">IFERROR(__xludf.DUMMYFUNCTION("""COMPUTED_VALUE"""),"No")</f>
        <v>No</v>
      </c>
      <c r="AB617" s="5" t="str">
        <f ca="1">IFERROR(__xludf.DUMMYFUNCTION("""COMPUTED_VALUE"""),"Yes")</f>
        <v>Yes</v>
      </c>
      <c r="AC617" s="5" t="str">
        <f ca="1">IFERROR(__xludf.DUMMYFUNCTION("""COMPUTED_VALUE"""),"No")</f>
        <v>No</v>
      </c>
    </row>
    <row r="618" spans="1:29" x14ac:dyDescent="0.25">
      <c r="A618" s="5" t="str">
        <f ca="1">IFERROR(__xludf.DUMMYFUNCTION("""COMPUTED_VALUE"""),"PlayNetLeprechaunsFortuneClover")</f>
        <v>PlayNetLeprechaunsFortuneClover</v>
      </c>
      <c r="B61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8" s="5" t="str">
        <f ca="1">IFERROR(__xludf.DUMMYFUNCTION("""COMPUTED_VALUE"""),"Yes")</f>
        <v>Yes</v>
      </c>
      <c r="D618" s="5" t="str">
        <f ca="1">IFERROR(__xludf.DUMMYFUNCTION("""COMPUTED_VALUE"""),"Yes")</f>
        <v>Yes</v>
      </c>
      <c r="E618" s="5" t="str">
        <f ca="1">IFERROR(__xludf.DUMMYFUNCTION("""COMPUTED_VALUE"""),"Yes")</f>
        <v>Yes</v>
      </c>
      <c r="F618" s="5" t="str">
        <f ca="1">IFERROR(__xludf.DUMMYFUNCTION("""COMPUTED_VALUE"""),"Yes")</f>
        <v>Yes</v>
      </c>
      <c r="G618" s="5" t="str">
        <f ca="1">IFERROR(__xludf.DUMMYFUNCTION("""COMPUTED_VALUE"""),"Yes")</f>
        <v>Yes</v>
      </c>
      <c r="H618" s="5" t="str">
        <f ca="1">IFERROR(__xludf.DUMMYFUNCTION("""COMPUTED_VALUE"""),"Yes")</f>
        <v>Yes</v>
      </c>
      <c r="I618" s="5" t="str">
        <f ca="1">IFERROR(__xludf.DUMMYFUNCTION("""COMPUTED_VALUE"""),"Yes")</f>
        <v>Yes</v>
      </c>
      <c r="J618" s="5" t="str">
        <f ca="1">IFERROR(__xludf.DUMMYFUNCTION("""COMPUTED_VALUE"""),"Yes")</f>
        <v>Yes</v>
      </c>
      <c r="K618" s="5" t="str">
        <f ca="1">IFERROR(__xludf.DUMMYFUNCTION("""COMPUTED_VALUE"""),"Yes")</f>
        <v>Yes</v>
      </c>
      <c r="L618" s="5" t="str">
        <f ca="1">IFERROR(__xludf.DUMMYFUNCTION("""COMPUTED_VALUE"""),"Yes")</f>
        <v>Yes</v>
      </c>
      <c r="M618" s="5" t="str">
        <f ca="1">IFERROR(__xludf.DUMMYFUNCTION("""COMPUTED_VALUE"""),"Yes")</f>
        <v>Yes</v>
      </c>
      <c r="N618" s="5" t="str">
        <f ca="1">IFERROR(__xludf.DUMMYFUNCTION("""COMPUTED_VALUE"""),"Yes")</f>
        <v>Yes</v>
      </c>
      <c r="O618" s="5" t="str">
        <f ca="1">IFERROR(__xludf.DUMMYFUNCTION("""COMPUTED_VALUE"""),"Yes")</f>
        <v>Yes</v>
      </c>
      <c r="P618" s="5" t="str">
        <f ca="1">IFERROR(__xludf.DUMMYFUNCTION("""COMPUTED_VALUE"""),"Yes")</f>
        <v>Yes</v>
      </c>
      <c r="Q618" s="5" t="str">
        <f ca="1">IFERROR(__xludf.DUMMYFUNCTION("""COMPUTED_VALUE"""),"Yes")</f>
        <v>Yes</v>
      </c>
      <c r="R618" s="5" t="str">
        <f ca="1">IFERROR(__xludf.DUMMYFUNCTION("""COMPUTED_VALUE"""),"No")</f>
        <v>No</v>
      </c>
      <c r="S618" s="5" t="str">
        <f ca="1">IFERROR(__xludf.DUMMYFUNCTION("""COMPUTED_VALUE"""),"No")</f>
        <v>No</v>
      </c>
      <c r="T618" s="5" t="str">
        <f ca="1">IFERROR(__xludf.DUMMYFUNCTION("""COMPUTED_VALUE"""),"No")</f>
        <v>No</v>
      </c>
      <c r="U618" s="5" t="str">
        <f ca="1">IFERROR(__xludf.DUMMYFUNCTION("""COMPUTED_VALUE"""),"No")</f>
        <v>No</v>
      </c>
      <c r="V618" s="5" t="str">
        <f ca="1">IFERROR(__xludf.DUMMYFUNCTION("""COMPUTED_VALUE"""),"No")</f>
        <v>No</v>
      </c>
      <c r="W618" s="5" t="str">
        <f ca="1">IFERROR(__xludf.DUMMYFUNCTION("""COMPUTED_VALUE"""),"No")</f>
        <v>No</v>
      </c>
      <c r="X618" s="5" t="str">
        <f ca="1">IFERROR(__xludf.DUMMYFUNCTION("""COMPUTED_VALUE"""),"No")</f>
        <v>No</v>
      </c>
      <c r="Y618" s="5" t="str">
        <f ca="1">IFERROR(__xludf.DUMMYFUNCTION("""COMPUTED_VALUE"""),"No")</f>
        <v>No</v>
      </c>
      <c r="Z618" s="5" t="str">
        <f ca="1">IFERROR(__xludf.DUMMYFUNCTION("""COMPUTED_VALUE"""),"No")</f>
        <v>No</v>
      </c>
      <c r="AA618" s="5" t="str">
        <f ca="1">IFERROR(__xludf.DUMMYFUNCTION("""COMPUTED_VALUE"""),"No")</f>
        <v>No</v>
      </c>
      <c r="AB618" s="5" t="str">
        <f ca="1">IFERROR(__xludf.DUMMYFUNCTION("""COMPUTED_VALUE"""),"Yes")</f>
        <v>Yes</v>
      </c>
      <c r="AC618" s="5" t="str">
        <f ca="1">IFERROR(__xludf.DUMMYFUNCTION("""COMPUTED_VALUE"""),"No")</f>
        <v>No</v>
      </c>
    </row>
    <row r="619" spans="1:29" x14ac:dyDescent="0.25">
      <c r="A619" s="5" t="str">
        <f ca="1">IFERROR(__xludf.DUMMYFUNCTION("""COMPUTED_VALUE"""),"PlayNetEmpressOfFlame")</f>
        <v>PlayNetEmpressOfFlame</v>
      </c>
      <c r="B61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9" s="5" t="str">
        <f ca="1">IFERROR(__xludf.DUMMYFUNCTION("""COMPUTED_VALUE"""),"Yes")</f>
        <v>Yes</v>
      </c>
      <c r="D619" s="5" t="str">
        <f ca="1">IFERROR(__xludf.DUMMYFUNCTION("""COMPUTED_VALUE"""),"Yes")</f>
        <v>Yes</v>
      </c>
      <c r="E619" s="5" t="str">
        <f ca="1">IFERROR(__xludf.DUMMYFUNCTION("""COMPUTED_VALUE"""),"Yes")</f>
        <v>Yes</v>
      </c>
      <c r="F619" s="5" t="str">
        <f ca="1">IFERROR(__xludf.DUMMYFUNCTION("""COMPUTED_VALUE"""),"Yes")</f>
        <v>Yes</v>
      </c>
      <c r="G619" s="5" t="str">
        <f ca="1">IFERROR(__xludf.DUMMYFUNCTION("""COMPUTED_VALUE"""),"Yes")</f>
        <v>Yes</v>
      </c>
      <c r="H619" s="5" t="str">
        <f ca="1">IFERROR(__xludf.DUMMYFUNCTION("""COMPUTED_VALUE"""),"Yes")</f>
        <v>Yes</v>
      </c>
      <c r="I619" s="5" t="str">
        <f ca="1">IFERROR(__xludf.DUMMYFUNCTION("""COMPUTED_VALUE"""),"Yes")</f>
        <v>Yes</v>
      </c>
      <c r="J619" s="5" t="str">
        <f ca="1">IFERROR(__xludf.DUMMYFUNCTION("""COMPUTED_VALUE"""),"Yes")</f>
        <v>Yes</v>
      </c>
      <c r="K619" s="5" t="str">
        <f ca="1">IFERROR(__xludf.DUMMYFUNCTION("""COMPUTED_VALUE"""),"Yes")</f>
        <v>Yes</v>
      </c>
      <c r="L619" s="5" t="str">
        <f ca="1">IFERROR(__xludf.DUMMYFUNCTION("""COMPUTED_VALUE"""),"Yes")</f>
        <v>Yes</v>
      </c>
      <c r="M619" s="5" t="str">
        <f ca="1">IFERROR(__xludf.DUMMYFUNCTION("""COMPUTED_VALUE"""),"Yes")</f>
        <v>Yes</v>
      </c>
      <c r="N619" s="5" t="str">
        <f ca="1">IFERROR(__xludf.DUMMYFUNCTION("""COMPUTED_VALUE"""),"Yes")</f>
        <v>Yes</v>
      </c>
      <c r="O619" s="5" t="str">
        <f ca="1">IFERROR(__xludf.DUMMYFUNCTION("""COMPUTED_VALUE"""),"Yes")</f>
        <v>Yes</v>
      </c>
      <c r="P619" s="5" t="str">
        <f ca="1">IFERROR(__xludf.DUMMYFUNCTION("""COMPUTED_VALUE"""),"Yes")</f>
        <v>Yes</v>
      </c>
      <c r="Q619" s="5" t="str">
        <f ca="1">IFERROR(__xludf.DUMMYFUNCTION("""COMPUTED_VALUE"""),"Yes")</f>
        <v>Yes</v>
      </c>
      <c r="R619" s="5" t="str">
        <f ca="1">IFERROR(__xludf.DUMMYFUNCTION("""COMPUTED_VALUE"""),"No")</f>
        <v>No</v>
      </c>
      <c r="S619" s="5" t="str">
        <f ca="1">IFERROR(__xludf.DUMMYFUNCTION("""COMPUTED_VALUE"""),"No")</f>
        <v>No</v>
      </c>
      <c r="T619" s="5" t="str">
        <f ca="1">IFERROR(__xludf.DUMMYFUNCTION("""COMPUTED_VALUE"""),"No")</f>
        <v>No</v>
      </c>
      <c r="U619" s="5" t="str">
        <f ca="1">IFERROR(__xludf.DUMMYFUNCTION("""COMPUTED_VALUE"""),"No")</f>
        <v>No</v>
      </c>
      <c r="V619" s="5" t="str">
        <f ca="1">IFERROR(__xludf.DUMMYFUNCTION("""COMPUTED_VALUE"""),"No")</f>
        <v>No</v>
      </c>
      <c r="W619" s="5" t="str">
        <f ca="1">IFERROR(__xludf.DUMMYFUNCTION("""COMPUTED_VALUE"""),"No")</f>
        <v>No</v>
      </c>
      <c r="X619" s="5" t="str">
        <f ca="1">IFERROR(__xludf.DUMMYFUNCTION("""COMPUTED_VALUE"""),"No")</f>
        <v>No</v>
      </c>
      <c r="Y619" s="5" t="str">
        <f ca="1">IFERROR(__xludf.DUMMYFUNCTION("""COMPUTED_VALUE"""),"No")</f>
        <v>No</v>
      </c>
      <c r="Z619" s="5" t="str">
        <f ca="1">IFERROR(__xludf.DUMMYFUNCTION("""COMPUTED_VALUE"""),"No")</f>
        <v>No</v>
      </c>
      <c r="AA619" s="5" t="str">
        <f ca="1">IFERROR(__xludf.DUMMYFUNCTION("""COMPUTED_VALUE"""),"No")</f>
        <v>No</v>
      </c>
      <c r="AB619" s="5" t="str">
        <f ca="1">IFERROR(__xludf.DUMMYFUNCTION("""COMPUTED_VALUE"""),"Yes")</f>
        <v>Yes</v>
      </c>
      <c r="AC619" s="5" t="str">
        <f ca="1">IFERROR(__xludf.DUMMYFUNCTION("""COMPUTED_VALUE"""),"No")</f>
        <v>No</v>
      </c>
    </row>
    <row r="620" spans="1:29" x14ac:dyDescent="0.25">
      <c r="A620" s="5" t="str">
        <f ca="1">IFERROR(__xludf.DUMMYFUNCTION("""COMPUTED_VALUE"""),"UnicornThreeReelFruitBoost")</f>
        <v>UnicornThreeReelFruitBoost</v>
      </c>
      <c r="B620" s="5" t="str">
        <f ca="1">IFERROR(__xludf.DUMMYFUNCTION("""COMPUTED_VALUE"""),"English(""eng"")")</f>
        <v>English("eng")</v>
      </c>
      <c r="C620" s="5" t="str">
        <f ca="1">IFERROR(__xludf.DUMMYFUNCTION("""COMPUTED_VALUE"""),"Yes")</f>
        <v>Yes</v>
      </c>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row>
    <row r="621" spans="1:29" x14ac:dyDescent="0.25">
      <c r="A621" s="5" t="str">
        <f ca="1">IFERROR(__xludf.DUMMYFUNCTION("""COMPUTED_VALUE"""),"StarHeat40")</f>
        <v>StarHeat40</v>
      </c>
      <c r="B6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1" s="5" t="str">
        <f ca="1">IFERROR(__xludf.DUMMYFUNCTION("""COMPUTED_VALUE"""),"Yes")</f>
        <v>Yes</v>
      </c>
      <c r="D621" s="5" t="str">
        <f ca="1">IFERROR(__xludf.DUMMYFUNCTION("""COMPUTED_VALUE"""),"Yes")</f>
        <v>Yes</v>
      </c>
      <c r="E621" s="5" t="str">
        <f ca="1">IFERROR(__xludf.DUMMYFUNCTION("""COMPUTED_VALUE"""),"Yes")</f>
        <v>Yes</v>
      </c>
      <c r="F621" s="5" t="str">
        <f ca="1">IFERROR(__xludf.DUMMYFUNCTION("""COMPUTED_VALUE"""),"Yes")</f>
        <v>Yes</v>
      </c>
      <c r="G621" s="5" t="str">
        <f ca="1">IFERROR(__xludf.DUMMYFUNCTION("""COMPUTED_VALUE"""),"Yes")</f>
        <v>Yes</v>
      </c>
      <c r="H621" s="5" t="str">
        <f ca="1">IFERROR(__xludf.DUMMYFUNCTION("""COMPUTED_VALUE"""),"Yes")</f>
        <v>Yes</v>
      </c>
      <c r="I621" s="5" t="str">
        <f ca="1">IFERROR(__xludf.DUMMYFUNCTION("""COMPUTED_VALUE"""),"Yes")</f>
        <v>Yes</v>
      </c>
      <c r="J621" s="5" t="str">
        <f ca="1">IFERROR(__xludf.DUMMYFUNCTION("""COMPUTED_VALUE"""),"Yes")</f>
        <v>Yes</v>
      </c>
      <c r="K621" s="5" t="str">
        <f ca="1">IFERROR(__xludf.DUMMYFUNCTION("""COMPUTED_VALUE"""),"Yes")</f>
        <v>Yes</v>
      </c>
      <c r="L621" s="5" t="str">
        <f ca="1">IFERROR(__xludf.DUMMYFUNCTION("""COMPUTED_VALUE"""),"Yes")</f>
        <v>Yes</v>
      </c>
      <c r="M621" s="5" t="str">
        <f ca="1">IFERROR(__xludf.DUMMYFUNCTION("""COMPUTED_VALUE"""),"Yes")</f>
        <v>Yes</v>
      </c>
      <c r="N621" s="5" t="str">
        <f ca="1">IFERROR(__xludf.DUMMYFUNCTION("""COMPUTED_VALUE"""),"Yes")</f>
        <v>Yes</v>
      </c>
      <c r="O621" s="5" t="str">
        <f ca="1">IFERROR(__xludf.DUMMYFUNCTION("""COMPUTED_VALUE"""),"Yes")</f>
        <v>Yes</v>
      </c>
      <c r="P621" s="5" t="str">
        <f ca="1">IFERROR(__xludf.DUMMYFUNCTION("""COMPUTED_VALUE"""),"Yes")</f>
        <v>Yes</v>
      </c>
      <c r="Q621" s="5" t="str">
        <f ca="1">IFERROR(__xludf.DUMMYFUNCTION("""COMPUTED_VALUE"""),"Yes")</f>
        <v>Yes</v>
      </c>
      <c r="R621" s="5" t="str">
        <f ca="1">IFERROR(__xludf.DUMMYFUNCTION("""COMPUTED_VALUE"""),"Yes")</f>
        <v>Yes</v>
      </c>
      <c r="S621" s="5" t="str">
        <f ca="1">IFERROR(__xludf.DUMMYFUNCTION("""COMPUTED_VALUE"""),"Yes")</f>
        <v>Yes</v>
      </c>
      <c r="T621" s="5" t="str">
        <f ca="1">IFERROR(__xludf.DUMMYFUNCTION("""COMPUTED_VALUE"""),"Yes")</f>
        <v>Yes</v>
      </c>
      <c r="U621" s="5" t="str">
        <f ca="1">IFERROR(__xludf.DUMMYFUNCTION("""COMPUTED_VALUE"""),"Yes")</f>
        <v>Yes</v>
      </c>
      <c r="V621" s="5" t="str">
        <f ca="1">IFERROR(__xludf.DUMMYFUNCTION("""COMPUTED_VALUE"""),"Yes")</f>
        <v>Yes</v>
      </c>
      <c r="W621" s="5" t="str">
        <f ca="1">IFERROR(__xludf.DUMMYFUNCTION("""COMPUTED_VALUE"""),"Yes")</f>
        <v>Yes</v>
      </c>
      <c r="X621" s="5" t="str">
        <f ca="1">IFERROR(__xludf.DUMMYFUNCTION("""COMPUTED_VALUE"""),"Yes")</f>
        <v>Yes</v>
      </c>
      <c r="Y621" s="5" t="str">
        <f ca="1">IFERROR(__xludf.DUMMYFUNCTION("""COMPUTED_VALUE"""),"Yes")</f>
        <v>Yes</v>
      </c>
      <c r="Z621" s="5" t="str">
        <f ca="1">IFERROR(__xludf.DUMMYFUNCTION("""COMPUTED_VALUE"""),"Yes")</f>
        <v>Yes</v>
      </c>
      <c r="AA621" s="5" t="str">
        <f ca="1">IFERROR(__xludf.DUMMYFUNCTION("""COMPUTED_VALUE"""),"Yes")</f>
        <v>Yes</v>
      </c>
      <c r="AB621" s="5" t="str">
        <f ca="1">IFERROR(__xludf.DUMMYFUNCTION("""COMPUTED_VALUE"""),"Yes")</f>
        <v>Yes</v>
      </c>
      <c r="AC621" s="5" t="str">
        <f ca="1">IFERROR(__xludf.DUMMYFUNCTION("""COMPUTED_VALUE"""),"No")</f>
        <v>No</v>
      </c>
    </row>
    <row r="622" spans="1:29" x14ac:dyDescent="0.25">
      <c r="A622" s="5" t="str">
        <f ca="1">IFERROR(__xludf.DUMMYFUNCTION("""COMPUTED_VALUE"""),"Retro27")</f>
        <v>Retro27</v>
      </c>
      <c r="B6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2" s="5" t="str">
        <f ca="1">IFERROR(__xludf.DUMMYFUNCTION("""COMPUTED_VALUE"""),"Yes")</f>
        <v>Yes</v>
      </c>
      <c r="D622" s="5" t="str">
        <f ca="1">IFERROR(__xludf.DUMMYFUNCTION("""COMPUTED_VALUE"""),"Yes")</f>
        <v>Yes</v>
      </c>
      <c r="E622" s="5" t="str">
        <f ca="1">IFERROR(__xludf.DUMMYFUNCTION("""COMPUTED_VALUE"""),"Yes")</f>
        <v>Yes</v>
      </c>
      <c r="F622" s="5" t="str">
        <f ca="1">IFERROR(__xludf.DUMMYFUNCTION("""COMPUTED_VALUE"""),"Yes")</f>
        <v>Yes</v>
      </c>
      <c r="G622" s="5" t="str">
        <f ca="1">IFERROR(__xludf.DUMMYFUNCTION("""COMPUTED_VALUE"""),"Yes")</f>
        <v>Yes</v>
      </c>
      <c r="H622" s="5" t="str">
        <f ca="1">IFERROR(__xludf.DUMMYFUNCTION("""COMPUTED_VALUE"""),"Yes")</f>
        <v>Yes</v>
      </c>
      <c r="I622" s="5" t="str">
        <f ca="1">IFERROR(__xludf.DUMMYFUNCTION("""COMPUTED_VALUE"""),"Yes")</f>
        <v>Yes</v>
      </c>
      <c r="J622" s="5" t="str">
        <f ca="1">IFERROR(__xludf.DUMMYFUNCTION("""COMPUTED_VALUE"""),"Yes")</f>
        <v>Yes</v>
      </c>
      <c r="K622" s="5" t="str">
        <f ca="1">IFERROR(__xludf.DUMMYFUNCTION("""COMPUTED_VALUE"""),"Yes")</f>
        <v>Yes</v>
      </c>
      <c r="L622" s="5" t="str">
        <f ca="1">IFERROR(__xludf.DUMMYFUNCTION("""COMPUTED_VALUE"""),"Yes")</f>
        <v>Yes</v>
      </c>
      <c r="M622" s="5" t="str">
        <f ca="1">IFERROR(__xludf.DUMMYFUNCTION("""COMPUTED_VALUE"""),"Yes")</f>
        <v>Yes</v>
      </c>
      <c r="N622" s="5" t="str">
        <f ca="1">IFERROR(__xludf.DUMMYFUNCTION("""COMPUTED_VALUE"""),"Yes")</f>
        <v>Yes</v>
      </c>
      <c r="O622" s="5" t="str">
        <f ca="1">IFERROR(__xludf.DUMMYFUNCTION("""COMPUTED_VALUE"""),"Yes")</f>
        <v>Yes</v>
      </c>
      <c r="P622" s="5" t="str">
        <f ca="1">IFERROR(__xludf.DUMMYFUNCTION("""COMPUTED_VALUE"""),"Yes")</f>
        <v>Yes</v>
      </c>
      <c r="Q622" s="5" t="str">
        <f ca="1">IFERROR(__xludf.DUMMYFUNCTION("""COMPUTED_VALUE"""),"Yes")</f>
        <v>Yes</v>
      </c>
      <c r="R622" s="5" t="str">
        <f ca="1">IFERROR(__xludf.DUMMYFUNCTION("""COMPUTED_VALUE"""),"Yes")</f>
        <v>Yes</v>
      </c>
      <c r="S622" s="5" t="str">
        <f ca="1">IFERROR(__xludf.DUMMYFUNCTION("""COMPUTED_VALUE"""),"Yes")</f>
        <v>Yes</v>
      </c>
      <c r="T622" s="5" t="str">
        <f ca="1">IFERROR(__xludf.DUMMYFUNCTION("""COMPUTED_VALUE"""),"Yes")</f>
        <v>Yes</v>
      </c>
      <c r="U622" s="5" t="str">
        <f ca="1">IFERROR(__xludf.DUMMYFUNCTION("""COMPUTED_VALUE"""),"Yes")</f>
        <v>Yes</v>
      </c>
      <c r="V622" s="5" t="str">
        <f ca="1">IFERROR(__xludf.DUMMYFUNCTION("""COMPUTED_VALUE"""),"Yes")</f>
        <v>Yes</v>
      </c>
      <c r="W622" s="5" t="str">
        <f ca="1">IFERROR(__xludf.DUMMYFUNCTION("""COMPUTED_VALUE"""),"Yes")</f>
        <v>Yes</v>
      </c>
      <c r="X622" s="5" t="str">
        <f ca="1">IFERROR(__xludf.DUMMYFUNCTION("""COMPUTED_VALUE"""),"Yes")</f>
        <v>Yes</v>
      </c>
      <c r="Y622" s="5" t="str">
        <f ca="1">IFERROR(__xludf.DUMMYFUNCTION("""COMPUTED_VALUE"""),"Yes")</f>
        <v>Yes</v>
      </c>
      <c r="Z622" s="5" t="str">
        <f ca="1">IFERROR(__xludf.DUMMYFUNCTION("""COMPUTED_VALUE"""),"Yes")</f>
        <v>Yes</v>
      </c>
      <c r="AA622" s="5" t="str">
        <f ca="1">IFERROR(__xludf.DUMMYFUNCTION("""COMPUTED_VALUE"""),"Yes")</f>
        <v>Yes</v>
      </c>
      <c r="AB622" s="5" t="str">
        <f ca="1">IFERROR(__xludf.DUMMYFUNCTION("""COMPUTED_VALUE"""),"Yes")</f>
        <v>Yes</v>
      </c>
      <c r="AC622" s="5" t="str">
        <f ca="1">IFERROR(__xludf.DUMMYFUNCTION("""COMPUTED_VALUE"""),"No")</f>
        <v>No</v>
      </c>
    </row>
    <row r="623" spans="1:29" x14ac:dyDescent="0.25">
      <c r="A623" s="5" t="str">
        <f ca="1">IFERROR(__xludf.DUMMYFUNCTION("""COMPUTED_VALUE"""),"Wild27Dice")</f>
        <v>Wild27Dice</v>
      </c>
      <c r="B6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3" s="5" t="str">
        <f ca="1">IFERROR(__xludf.DUMMYFUNCTION("""COMPUTED_VALUE"""),"Yes")</f>
        <v>Yes</v>
      </c>
      <c r="D623" s="5" t="str">
        <f ca="1">IFERROR(__xludf.DUMMYFUNCTION("""COMPUTED_VALUE"""),"Yes")</f>
        <v>Yes</v>
      </c>
      <c r="E623" s="5" t="str">
        <f ca="1">IFERROR(__xludf.DUMMYFUNCTION("""COMPUTED_VALUE"""),"Yes")</f>
        <v>Yes</v>
      </c>
      <c r="F623" s="5" t="str">
        <f ca="1">IFERROR(__xludf.DUMMYFUNCTION("""COMPUTED_VALUE"""),"Yes")</f>
        <v>Yes</v>
      </c>
      <c r="G623" s="5" t="str">
        <f ca="1">IFERROR(__xludf.DUMMYFUNCTION("""COMPUTED_VALUE"""),"Yes")</f>
        <v>Yes</v>
      </c>
      <c r="H623" s="5" t="str">
        <f ca="1">IFERROR(__xludf.DUMMYFUNCTION("""COMPUTED_VALUE"""),"Yes")</f>
        <v>Yes</v>
      </c>
      <c r="I623" s="5" t="str">
        <f ca="1">IFERROR(__xludf.DUMMYFUNCTION("""COMPUTED_VALUE"""),"Yes")</f>
        <v>Yes</v>
      </c>
      <c r="J623" s="5" t="str">
        <f ca="1">IFERROR(__xludf.DUMMYFUNCTION("""COMPUTED_VALUE"""),"Yes")</f>
        <v>Yes</v>
      </c>
      <c r="K623" s="5" t="str">
        <f ca="1">IFERROR(__xludf.DUMMYFUNCTION("""COMPUTED_VALUE"""),"Yes")</f>
        <v>Yes</v>
      </c>
      <c r="L623" s="5" t="str">
        <f ca="1">IFERROR(__xludf.DUMMYFUNCTION("""COMPUTED_VALUE"""),"Yes")</f>
        <v>Yes</v>
      </c>
      <c r="M623" s="5" t="str">
        <f ca="1">IFERROR(__xludf.DUMMYFUNCTION("""COMPUTED_VALUE"""),"Yes")</f>
        <v>Yes</v>
      </c>
      <c r="N623" s="5" t="str">
        <f ca="1">IFERROR(__xludf.DUMMYFUNCTION("""COMPUTED_VALUE"""),"Yes")</f>
        <v>Yes</v>
      </c>
      <c r="O623" s="5" t="str">
        <f ca="1">IFERROR(__xludf.DUMMYFUNCTION("""COMPUTED_VALUE"""),"Yes")</f>
        <v>Yes</v>
      </c>
      <c r="P623" s="5" t="str">
        <f ca="1">IFERROR(__xludf.DUMMYFUNCTION("""COMPUTED_VALUE"""),"Yes")</f>
        <v>Yes</v>
      </c>
      <c r="Q623" s="5" t="str">
        <f ca="1">IFERROR(__xludf.DUMMYFUNCTION("""COMPUTED_VALUE"""),"Yes")</f>
        <v>Yes</v>
      </c>
      <c r="R623" s="5" t="str">
        <f ca="1">IFERROR(__xludf.DUMMYFUNCTION("""COMPUTED_VALUE"""),"Yes")</f>
        <v>Yes</v>
      </c>
      <c r="S623" s="5" t="str">
        <f ca="1">IFERROR(__xludf.DUMMYFUNCTION("""COMPUTED_VALUE"""),"Yes")</f>
        <v>Yes</v>
      </c>
      <c r="T623" s="5" t="str">
        <f ca="1">IFERROR(__xludf.DUMMYFUNCTION("""COMPUTED_VALUE"""),"Yes")</f>
        <v>Yes</v>
      </c>
      <c r="U623" s="5" t="str">
        <f ca="1">IFERROR(__xludf.DUMMYFUNCTION("""COMPUTED_VALUE"""),"Yes")</f>
        <v>Yes</v>
      </c>
      <c r="V623" s="5" t="str">
        <f ca="1">IFERROR(__xludf.DUMMYFUNCTION("""COMPUTED_VALUE"""),"Yes")</f>
        <v>Yes</v>
      </c>
      <c r="W623" s="5" t="str">
        <f ca="1">IFERROR(__xludf.DUMMYFUNCTION("""COMPUTED_VALUE"""),"Yes")</f>
        <v>Yes</v>
      </c>
      <c r="X623" s="5" t="str">
        <f ca="1">IFERROR(__xludf.DUMMYFUNCTION("""COMPUTED_VALUE"""),"Yes")</f>
        <v>Yes</v>
      </c>
      <c r="Y623" s="5" t="str">
        <f ca="1">IFERROR(__xludf.DUMMYFUNCTION("""COMPUTED_VALUE"""),"Yes")</f>
        <v>Yes</v>
      </c>
      <c r="Z623" s="5" t="str">
        <f ca="1">IFERROR(__xludf.DUMMYFUNCTION("""COMPUTED_VALUE"""),"Yes")</f>
        <v>Yes</v>
      </c>
      <c r="AA623" s="5" t="str">
        <f ca="1">IFERROR(__xludf.DUMMYFUNCTION("""COMPUTED_VALUE"""),"Yes")</f>
        <v>Yes</v>
      </c>
      <c r="AB623" s="5" t="str">
        <f ca="1">IFERROR(__xludf.DUMMYFUNCTION("""COMPUTED_VALUE"""),"Yes")</f>
        <v>Yes</v>
      </c>
      <c r="AC623" s="5" t="str">
        <f ca="1">IFERROR(__xludf.DUMMYFUNCTION("""COMPUTED_VALUE"""),"No")</f>
        <v>No</v>
      </c>
    </row>
    <row r="624" spans="1:29" x14ac:dyDescent="0.25">
      <c r="A624" s="5" t="str">
        <f ca="1">IFERROR(__xludf.DUMMYFUNCTION("""COMPUTED_VALUE"""),"CoinSplashDice")</f>
        <v>CoinSplashDice</v>
      </c>
      <c r="B6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4" s="5" t="str">
        <f ca="1">IFERROR(__xludf.DUMMYFUNCTION("""COMPUTED_VALUE"""),"Yes")</f>
        <v>Yes</v>
      </c>
      <c r="D624" s="5" t="str">
        <f ca="1">IFERROR(__xludf.DUMMYFUNCTION("""COMPUTED_VALUE"""),"Yes")</f>
        <v>Yes</v>
      </c>
      <c r="E624" s="5" t="str">
        <f ca="1">IFERROR(__xludf.DUMMYFUNCTION("""COMPUTED_VALUE"""),"Yes")</f>
        <v>Yes</v>
      </c>
      <c r="F624" s="5" t="str">
        <f ca="1">IFERROR(__xludf.DUMMYFUNCTION("""COMPUTED_VALUE"""),"Yes")</f>
        <v>Yes</v>
      </c>
      <c r="G624" s="5" t="str">
        <f ca="1">IFERROR(__xludf.DUMMYFUNCTION("""COMPUTED_VALUE"""),"Yes")</f>
        <v>Yes</v>
      </c>
      <c r="H624" s="5" t="str">
        <f ca="1">IFERROR(__xludf.DUMMYFUNCTION("""COMPUTED_VALUE"""),"Yes")</f>
        <v>Yes</v>
      </c>
      <c r="I624" s="5" t="str">
        <f ca="1">IFERROR(__xludf.DUMMYFUNCTION("""COMPUTED_VALUE"""),"Yes")</f>
        <v>Yes</v>
      </c>
      <c r="J624" s="5" t="str">
        <f ca="1">IFERROR(__xludf.DUMMYFUNCTION("""COMPUTED_VALUE"""),"Yes")</f>
        <v>Yes</v>
      </c>
      <c r="K624" s="5" t="str">
        <f ca="1">IFERROR(__xludf.DUMMYFUNCTION("""COMPUTED_VALUE"""),"Yes")</f>
        <v>Yes</v>
      </c>
      <c r="L624" s="5" t="str">
        <f ca="1">IFERROR(__xludf.DUMMYFUNCTION("""COMPUTED_VALUE"""),"Yes")</f>
        <v>Yes</v>
      </c>
      <c r="M624" s="5" t="str">
        <f ca="1">IFERROR(__xludf.DUMMYFUNCTION("""COMPUTED_VALUE"""),"Yes")</f>
        <v>Yes</v>
      </c>
      <c r="N624" s="5" t="str">
        <f ca="1">IFERROR(__xludf.DUMMYFUNCTION("""COMPUTED_VALUE"""),"Yes")</f>
        <v>Yes</v>
      </c>
      <c r="O624" s="5" t="str">
        <f ca="1">IFERROR(__xludf.DUMMYFUNCTION("""COMPUTED_VALUE"""),"Yes")</f>
        <v>Yes</v>
      </c>
      <c r="P624" s="5" t="str">
        <f ca="1">IFERROR(__xludf.DUMMYFUNCTION("""COMPUTED_VALUE"""),"Yes")</f>
        <v>Yes</v>
      </c>
      <c r="Q624" s="5" t="str">
        <f ca="1">IFERROR(__xludf.DUMMYFUNCTION("""COMPUTED_VALUE"""),"Yes")</f>
        <v>Yes</v>
      </c>
      <c r="R624" s="5" t="str">
        <f ca="1">IFERROR(__xludf.DUMMYFUNCTION("""COMPUTED_VALUE"""),"Yes")</f>
        <v>Yes</v>
      </c>
      <c r="S624" s="5" t="str">
        <f ca="1">IFERROR(__xludf.DUMMYFUNCTION("""COMPUTED_VALUE"""),"Yes")</f>
        <v>Yes</v>
      </c>
      <c r="T624" s="5" t="str">
        <f ca="1">IFERROR(__xludf.DUMMYFUNCTION("""COMPUTED_VALUE"""),"Yes")</f>
        <v>Yes</v>
      </c>
      <c r="U624" s="5" t="str">
        <f ca="1">IFERROR(__xludf.DUMMYFUNCTION("""COMPUTED_VALUE"""),"Yes")</f>
        <v>Yes</v>
      </c>
      <c r="V624" s="5" t="str">
        <f ca="1">IFERROR(__xludf.DUMMYFUNCTION("""COMPUTED_VALUE"""),"Yes")</f>
        <v>Yes</v>
      </c>
      <c r="W624" s="5" t="str">
        <f ca="1">IFERROR(__xludf.DUMMYFUNCTION("""COMPUTED_VALUE"""),"Yes")</f>
        <v>Yes</v>
      </c>
      <c r="X624" s="5" t="str">
        <f ca="1">IFERROR(__xludf.DUMMYFUNCTION("""COMPUTED_VALUE"""),"Yes")</f>
        <v>Yes</v>
      </c>
      <c r="Y624" s="5" t="str">
        <f ca="1">IFERROR(__xludf.DUMMYFUNCTION("""COMPUTED_VALUE"""),"Yes")</f>
        <v>Yes</v>
      </c>
      <c r="Z624" s="5" t="str">
        <f ca="1">IFERROR(__xludf.DUMMYFUNCTION("""COMPUTED_VALUE"""),"Yes")</f>
        <v>Yes</v>
      </c>
      <c r="AA624" s="5" t="str">
        <f ca="1">IFERROR(__xludf.DUMMYFUNCTION("""COMPUTED_VALUE"""),"Yes")</f>
        <v>Yes</v>
      </c>
      <c r="AB624" s="5" t="str">
        <f ca="1">IFERROR(__xludf.DUMMYFUNCTION("""COMPUTED_VALUE"""),"Yes")</f>
        <v>Yes</v>
      </c>
      <c r="AC624" s="5" t="str">
        <f ca="1">IFERROR(__xludf.DUMMYFUNCTION("""COMPUTED_VALUE"""),"No")</f>
        <v>No</v>
      </c>
    </row>
    <row r="625" spans="1:29" x14ac:dyDescent="0.25">
      <c r="A625" s="5" t="str">
        <f ca="1">IFERROR(__xludf.DUMMYFUNCTION("""COMPUTED_VALUE"""),"FruitsAndStars1X")</f>
        <v>FruitsAndStars1X</v>
      </c>
      <c r="B6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5" s="5" t="str">
        <f ca="1">IFERROR(__xludf.DUMMYFUNCTION("""COMPUTED_VALUE"""),"Yes")</f>
        <v>Yes</v>
      </c>
      <c r="D625" s="5" t="str">
        <f ca="1">IFERROR(__xludf.DUMMYFUNCTION("""COMPUTED_VALUE"""),"Yes")</f>
        <v>Yes</v>
      </c>
      <c r="E625" s="5" t="str">
        <f ca="1">IFERROR(__xludf.DUMMYFUNCTION("""COMPUTED_VALUE"""),"Yes")</f>
        <v>Yes</v>
      </c>
      <c r="F625" s="5" t="str">
        <f ca="1">IFERROR(__xludf.DUMMYFUNCTION("""COMPUTED_VALUE"""),"Yes")</f>
        <v>Yes</v>
      </c>
      <c r="G625" s="5" t="str">
        <f ca="1">IFERROR(__xludf.DUMMYFUNCTION("""COMPUTED_VALUE"""),"Yes")</f>
        <v>Yes</v>
      </c>
      <c r="H625" s="5" t="str">
        <f ca="1">IFERROR(__xludf.DUMMYFUNCTION("""COMPUTED_VALUE"""),"Yes")</f>
        <v>Yes</v>
      </c>
      <c r="I625" s="5" t="str">
        <f ca="1">IFERROR(__xludf.DUMMYFUNCTION("""COMPUTED_VALUE"""),"Yes")</f>
        <v>Yes</v>
      </c>
      <c r="J625" s="5" t="str">
        <f ca="1">IFERROR(__xludf.DUMMYFUNCTION("""COMPUTED_VALUE"""),"Yes")</f>
        <v>Yes</v>
      </c>
      <c r="K625" s="5" t="str">
        <f ca="1">IFERROR(__xludf.DUMMYFUNCTION("""COMPUTED_VALUE"""),"Yes")</f>
        <v>Yes</v>
      </c>
      <c r="L625" s="5" t="str">
        <f ca="1">IFERROR(__xludf.DUMMYFUNCTION("""COMPUTED_VALUE"""),"Yes")</f>
        <v>Yes</v>
      </c>
      <c r="M625" s="5" t="str">
        <f ca="1">IFERROR(__xludf.DUMMYFUNCTION("""COMPUTED_VALUE"""),"Yes")</f>
        <v>Yes</v>
      </c>
      <c r="N625" s="5" t="str">
        <f ca="1">IFERROR(__xludf.DUMMYFUNCTION("""COMPUTED_VALUE"""),"Yes")</f>
        <v>Yes</v>
      </c>
      <c r="O625" s="5" t="str">
        <f ca="1">IFERROR(__xludf.DUMMYFUNCTION("""COMPUTED_VALUE"""),"Yes")</f>
        <v>Yes</v>
      </c>
      <c r="P625" s="5" t="str">
        <f ca="1">IFERROR(__xludf.DUMMYFUNCTION("""COMPUTED_VALUE"""),"Yes")</f>
        <v>Yes</v>
      </c>
      <c r="Q625" s="5" t="str">
        <f ca="1">IFERROR(__xludf.DUMMYFUNCTION("""COMPUTED_VALUE"""),"Yes")</f>
        <v>Yes</v>
      </c>
      <c r="R625" s="5" t="str">
        <f ca="1">IFERROR(__xludf.DUMMYFUNCTION("""COMPUTED_VALUE"""),"Yes")</f>
        <v>Yes</v>
      </c>
      <c r="S625" s="5" t="str">
        <f ca="1">IFERROR(__xludf.DUMMYFUNCTION("""COMPUTED_VALUE"""),"Yes")</f>
        <v>Yes</v>
      </c>
      <c r="T625" s="5" t="str">
        <f ca="1">IFERROR(__xludf.DUMMYFUNCTION("""COMPUTED_VALUE"""),"Yes")</f>
        <v>Yes</v>
      </c>
      <c r="U625" s="5" t="str">
        <f ca="1">IFERROR(__xludf.DUMMYFUNCTION("""COMPUTED_VALUE"""),"Yes")</f>
        <v>Yes</v>
      </c>
      <c r="V625" s="5" t="str">
        <f ca="1">IFERROR(__xludf.DUMMYFUNCTION("""COMPUTED_VALUE"""),"Yes")</f>
        <v>Yes</v>
      </c>
      <c r="W625" s="5" t="str">
        <f ca="1">IFERROR(__xludf.DUMMYFUNCTION("""COMPUTED_VALUE"""),"Yes")</f>
        <v>Yes</v>
      </c>
      <c r="X625" s="5" t="str">
        <f ca="1">IFERROR(__xludf.DUMMYFUNCTION("""COMPUTED_VALUE"""),"Yes")</f>
        <v>Yes</v>
      </c>
      <c r="Y625" s="5" t="str">
        <f ca="1">IFERROR(__xludf.DUMMYFUNCTION("""COMPUTED_VALUE"""),"Yes")</f>
        <v>Yes</v>
      </c>
      <c r="Z625" s="5" t="str">
        <f ca="1">IFERROR(__xludf.DUMMYFUNCTION("""COMPUTED_VALUE"""),"Yes")</f>
        <v>Yes</v>
      </c>
      <c r="AA625" s="5" t="str">
        <f ca="1">IFERROR(__xludf.DUMMYFUNCTION("""COMPUTED_VALUE"""),"Yes")</f>
        <v>Yes</v>
      </c>
      <c r="AB625" s="5" t="str">
        <f ca="1">IFERROR(__xludf.DUMMYFUNCTION("""COMPUTED_VALUE"""),"Yes")</f>
        <v>Yes</v>
      </c>
      <c r="AC625" s="5" t="str">
        <f ca="1">IFERROR(__xludf.DUMMYFUNCTION("""COMPUTED_VALUE"""),"No")</f>
        <v>No</v>
      </c>
    </row>
    <row r="626" spans="1:29" x14ac:dyDescent="0.25">
      <c r="A626" s="5" t="str">
        <f ca="1">IFERROR(__xludf.DUMMYFUNCTION("""COMPUTED_VALUE"""),"KKPartizanSlot")</f>
        <v>KKPartizanSlot</v>
      </c>
      <c r="B6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6" s="5" t="str">
        <f ca="1">IFERROR(__xludf.DUMMYFUNCTION("""COMPUTED_VALUE"""),"Yes")</f>
        <v>Yes</v>
      </c>
      <c r="D626" s="5" t="str">
        <f ca="1">IFERROR(__xludf.DUMMYFUNCTION("""COMPUTED_VALUE"""),"Yes")</f>
        <v>Yes</v>
      </c>
      <c r="E626" s="5" t="str">
        <f ca="1">IFERROR(__xludf.DUMMYFUNCTION("""COMPUTED_VALUE"""),"Yes")</f>
        <v>Yes</v>
      </c>
      <c r="F626" s="5" t="str">
        <f ca="1">IFERROR(__xludf.DUMMYFUNCTION("""COMPUTED_VALUE"""),"Yes")</f>
        <v>Yes</v>
      </c>
      <c r="G626" s="5" t="str">
        <f ca="1">IFERROR(__xludf.DUMMYFUNCTION("""COMPUTED_VALUE"""),"Yes")</f>
        <v>Yes</v>
      </c>
      <c r="H626" s="5" t="str">
        <f ca="1">IFERROR(__xludf.DUMMYFUNCTION("""COMPUTED_VALUE"""),"Yes")</f>
        <v>Yes</v>
      </c>
      <c r="I626" s="5" t="str">
        <f ca="1">IFERROR(__xludf.DUMMYFUNCTION("""COMPUTED_VALUE"""),"Yes")</f>
        <v>Yes</v>
      </c>
      <c r="J626" s="5" t="str">
        <f ca="1">IFERROR(__xludf.DUMMYFUNCTION("""COMPUTED_VALUE"""),"Yes")</f>
        <v>Yes</v>
      </c>
      <c r="K626" s="5" t="str">
        <f ca="1">IFERROR(__xludf.DUMMYFUNCTION("""COMPUTED_VALUE"""),"Yes")</f>
        <v>Yes</v>
      </c>
      <c r="L626" s="5" t="str">
        <f ca="1">IFERROR(__xludf.DUMMYFUNCTION("""COMPUTED_VALUE"""),"Yes")</f>
        <v>Yes</v>
      </c>
      <c r="M626" s="5" t="str">
        <f ca="1">IFERROR(__xludf.DUMMYFUNCTION("""COMPUTED_VALUE"""),"Yes")</f>
        <v>Yes</v>
      </c>
      <c r="N626" s="5" t="str">
        <f ca="1">IFERROR(__xludf.DUMMYFUNCTION("""COMPUTED_VALUE"""),"Yes")</f>
        <v>Yes</v>
      </c>
      <c r="O626" s="5" t="str">
        <f ca="1">IFERROR(__xludf.DUMMYFUNCTION("""COMPUTED_VALUE"""),"Yes")</f>
        <v>Yes</v>
      </c>
      <c r="P626" s="5" t="str">
        <f ca="1">IFERROR(__xludf.DUMMYFUNCTION("""COMPUTED_VALUE"""),"Yes")</f>
        <v>Yes</v>
      </c>
      <c r="Q626" s="5" t="str">
        <f ca="1">IFERROR(__xludf.DUMMYFUNCTION("""COMPUTED_VALUE"""),"Yes")</f>
        <v>Yes</v>
      </c>
      <c r="R626" s="5" t="str">
        <f ca="1">IFERROR(__xludf.DUMMYFUNCTION("""COMPUTED_VALUE"""),"Yes")</f>
        <v>Yes</v>
      </c>
      <c r="S626" s="5" t="str">
        <f ca="1">IFERROR(__xludf.DUMMYFUNCTION("""COMPUTED_VALUE"""),"Yes")</f>
        <v>Yes</v>
      </c>
      <c r="T626" s="5" t="str">
        <f ca="1">IFERROR(__xludf.DUMMYFUNCTION("""COMPUTED_VALUE"""),"Yes")</f>
        <v>Yes</v>
      </c>
      <c r="U626" s="5" t="str">
        <f ca="1">IFERROR(__xludf.DUMMYFUNCTION("""COMPUTED_VALUE"""),"Yes")</f>
        <v>Yes</v>
      </c>
      <c r="V626" s="5" t="str">
        <f ca="1">IFERROR(__xludf.DUMMYFUNCTION("""COMPUTED_VALUE"""),"Yes")</f>
        <v>Yes</v>
      </c>
      <c r="W626" s="5" t="str">
        <f ca="1">IFERROR(__xludf.DUMMYFUNCTION("""COMPUTED_VALUE"""),"Yes")</f>
        <v>Yes</v>
      </c>
      <c r="X626" s="5" t="str">
        <f ca="1">IFERROR(__xludf.DUMMYFUNCTION("""COMPUTED_VALUE"""),"Yes")</f>
        <v>Yes</v>
      </c>
      <c r="Y626" s="5" t="str">
        <f ca="1">IFERROR(__xludf.DUMMYFUNCTION("""COMPUTED_VALUE"""),"Yes")</f>
        <v>Yes</v>
      </c>
      <c r="Z626" s="5" t="str">
        <f ca="1">IFERROR(__xludf.DUMMYFUNCTION("""COMPUTED_VALUE"""),"Yes")</f>
        <v>Yes</v>
      </c>
      <c r="AA626" s="5" t="str">
        <f ca="1">IFERROR(__xludf.DUMMYFUNCTION("""COMPUTED_VALUE"""),"Yes")</f>
        <v>Yes</v>
      </c>
      <c r="AB626" s="5" t="str">
        <f ca="1">IFERROR(__xludf.DUMMYFUNCTION("""COMPUTED_VALUE"""),"Yes")</f>
        <v>Yes</v>
      </c>
      <c r="AC626" s="5" t="str">
        <f ca="1">IFERROR(__xludf.DUMMYFUNCTION("""COMPUTED_VALUE"""),"No")</f>
        <v>No</v>
      </c>
    </row>
    <row r="627" spans="1:29" x14ac:dyDescent="0.25">
      <c r="A627" s="5" t="str">
        <f ca="1">IFERROR(__xludf.DUMMYFUNCTION("""COMPUTED_VALUE"""),"SBbetHot5Extreme")</f>
        <v>SBbetHot5Extreme</v>
      </c>
      <c r="B6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7" s="5" t="str">
        <f ca="1">IFERROR(__xludf.DUMMYFUNCTION("""COMPUTED_VALUE"""),"Yes")</f>
        <v>Yes</v>
      </c>
      <c r="D627" s="5" t="str">
        <f ca="1">IFERROR(__xludf.DUMMYFUNCTION("""COMPUTED_VALUE"""),"Yes")</f>
        <v>Yes</v>
      </c>
      <c r="E627" s="5" t="str">
        <f ca="1">IFERROR(__xludf.DUMMYFUNCTION("""COMPUTED_VALUE"""),"Yes")</f>
        <v>Yes</v>
      </c>
      <c r="F627" s="5" t="str">
        <f ca="1">IFERROR(__xludf.DUMMYFUNCTION("""COMPUTED_VALUE"""),"Yes")</f>
        <v>Yes</v>
      </c>
      <c r="G627" s="5" t="str">
        <f ca="1">IFERROR(__xludf.DUMMYFUNCTION("""COMPUTED_VALUE"""),"Yes")</f>
        <v>Yes</v>
      </c>
      <c r="H627" s="5" t="str">
        <f ca="1">IFERROR(__xludf.DUMMYFUNCTION("""COMPUTED_VALUE"""),"Yes")</f>
        <v>Yes</v>
      </c>
      <c r="I627" s="5" t="str">
        <f ca="1">IFERROR(__xludf.DUMMYFUNCTION("""COMPUTED_VALUE"""),"Yes")</f>
        <v>Yes</v>
      </c>
      <c r="J627" s="5" t="str">
        <f ca="1">IFERROR(__xludf.DUMMYFUNCTION("""COMPUTED_VALUE"""),"Yes")</f>
        <v>Yes</v>
      </c>
      <c r="K627" s="5" t="str">
        <f ca="1">IFERROR(__xludf.DUMMYFUNCTION("""COMPUTED_VALUE"""),"Yes")</f>
        <v>Yes</v>
      </c>
      <c r="L627" s="5" t="str">
        <f ca="1">IFERROR(__xludf.DUMMYFUNCTION("""COMPUTED_VALUE"""),"Yes")</f>
        <v>Yes</v>
      </c>
      <c r="M627" s="5" t="str">
        <f ca="1">IFERROR(__xludf.DUMMYFUNCTION("""COMPUTED_VALUE"""),"Yes")</f>
        <v>Yes</v>
      </c>
      <c r="N627" s="5" t="str">
        <f ca="1">IFERROR(__xludf.DUMMYFUNCTION("""COMPUTED_VALUE"""),"Yes")</f>
        <v>Yes</v>
      </c>
      <c r="O627" s="5" t="str">
        <f ca="1">IFERROR(__xludf.DUMMYFUNCTION("""COMPUTED_VALUE"""),"Yes")</f>
        <v>Yes</v>
      </c>
      <c r="P627" s="5" t="str">
        <f ca="1">IFERROR(__xludf.DUMMYFUNCTION("""COMPUTED_VALUE"""),"Yes")</f>
        <v>Yes</v>
      </c>
      <c r="Q627" s="5" t="str">
        <f ca="1">IFERROR(__xludf.DUMMYFUNCTION("""COMPUTED_VALUE"""),"Yes")</f>
        <v>Yes</v>
      </c>
      <c r="R627" s="5" t="str">
        <f ca="1">IFERROR(__xludf.DUMMYFUNCTION("""COMPUTED_VALUE"""),"Yes")</f>
        <v>Yes</v>
      </c>
      <c r="S627" s="5" t="str">
        <f ca="1">IFERROR(__xludf.DUMMYFUNCTION("""COMPUTED_VALUE"""),"Yes")</f>
        <v>Yes</v>
      </c>
      <c r="T627" s="5" t="str">
        <f ca="1">IFERROR(__xludf.DUMMYFUNCTION("""COMPUTED_VALUE"""),"Yes")</f>
        <v>Yes</v>
      </c>
      <c r="U627" s="5" t="str">
        <f ca="1">IFERROR(__xludf.DUMMYFUNCTION("""COMPUTED_VALUE"""),"Yes")</f>
        <v>Yes</v>
      </c>
      <c r="V627" s="5" t="str">
        <f ca="1">IFERROR(__xludf.DUMMYFUNCTION("""COMPUTED_VALUE"""),"Yes")</f>
        <v>Yes</v>
      </c>
      <c r="W627" s="5" t="str">
        <f ca="1">IFERROR(__xludf.DUMMYFUNCTION("""COMPUTED_VALUE"""),"Yes")</f>
        <v>Yes</v>
      </c>
      <c r="X627" s="5" t="str">
        <f ca="1">IFERROR(__xludf.DUMMYFUNCTION("""COMPUTED_VALUE"""),"Yes")</f>
        <v>Yes</v>
      </c>
      <c r="Y627" s="5" t="str">
        <f ca="1">IFERROR(__xludf.DUMMYFUNCTION("""COMPUTED_VALUE"""),"Yes")</f>
        <v>Yes</v>
      </c>
      <c r="Z627" s="5" t="str">
        <f ca="1">IFERROR(__xludf.DUMMYFUNCTION("""COMPUTED_VALUE"""),"Yes")</f>
        <v>Yes</v>
      </c>
      <c r="AA627" s="5" t="str">
        <f ca="1">IFERROR(__xludf.DUMMYFUNCTION("""COMPUTED_VALUE"""),"Yes")</f>
        <v>Yes</v>
      </c>
      <c r="AB627" s="5" t="str">
        <f ca="1">IFERROR(__xludf.DUMMYFUNCTION("""COMPUTED_VALUE"""),"Yes")</f>
        <v>Yes</v>
      </c>
      <c r="AC627" s="5" t="str">
        <f ca="1">IFERROR(__xludf.DUMMYFUNCTION("""COMPUTED_VALUE"""),"No")</f>
        <v>No</v>
      </c>
    </row>
    <row r="628" spans="1:29" x14ac:dyDescent="0.25">
      <c r="A628" s="5" t="str">
        <f ca="1">IFERROR(__xludf.DUMMYFUNCTION("""COMPUTED_VALUE"""),"WildHot40Deluxe")</f>
        <v>WildHot40Deluxe</v>
      </c>
      <c r="B6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8" s="5" t="str">
        <f ca="1">IFERROR(__xludf.DUMMYFUNCTION("""COMPUTED_VALUE"""),"Yes")</f>
        <v>Yes</v>
      </c>
      <c r="D628" s="5" t="str">
        <f ca="1">IFERROR(__xludf.DUMMYFUNCTION("""COMPUTED_VALUE"""),"Yes")</f>
        <v>Yes</v>
      </c>
      <c r="E628" s="5" t="str">
        <f ca="1">IFERROR(__xludf.DUMMYFUNCTION("""COMPUTED_VALUE"""),"Yes")</f>
        <v>Yes</v>
      </c>
      <c r="F628" s="5" t="str">
        <f ca="1">IFERROR(__xludf.DUMMYFUNCTION("""COMPUTED_VALUE"""),"Yes")</f>
        <v>Yes</v>
      </c>
      <c r="G628" s="5" t="str">
        <f ca="1">IFERROR(__xludf.DUMMYFUNCTION("""COMPUTED_VALUE"""),"Yes")</f>
        <v>Yes</v>
      </c>
      <c r="H628" s="5" t="str">
        <f ca="1">IFERROR(__xludf.DUMMYFUNCTION("""COMPUTED_VALUE"""),"Yes")</f>
        <v>Yes</v>
      </c>
      <c r="I628" s="5" t="str">
        <f ca="1">IFERROR(__xludf.DUMMYFUNCTION("""COMPUTED_VALUE"""),"Yes")</f>
        <v>Yes</v>
      </c>
      <c r="J628" s="5" t="str">
        <f ca="1">IFERROR(__xludf.DUMMYFUNCTION("""COMPUTED_VALUE"""),"Yes")</f>
        <v>Yes</v>
      </c>
      <c r="K628" s="5" t="str">
        <f ca="1">IFERROR(__xludf.DUMMYFUNCTION("""COMPUTED_VALUE"""),"Yes")</f>
        <v>Yes</v>
      </c>
      <c r="L628" s="5" t="str">
        <f ca="1">IFERROR(__xludf.DUMMYFUNCTION("""COMPUTED_VALUE"""),"Yes")</f>
        <v>Yes</v>
      </c>
      <c r="M628" s="5" t="str">
        <f ca="1">IFERROR(__xludf.DUMMYFUNCTION("""COMPUTED_VALUE"""),"Yes")</f>
        <v>Yes</v>
      </c>
      <c r="N628" s="5" t="str">
        <f ca="1">IFERROR(__xludf.DUMMYFUNCTION("""COMPUTED_VALUE"""),"Yes")</f>
        <v>Yes</v>
      </c>
      <c r="O628" s="5" t="str">
        <f ca="1">IFERROR(__xludf.DUMMYFUNCTION("""COMPUTED_VALUE"""),"Yes")</f>
        <v>Yes</v>
      </c>
      <c r="P628" s="5" t="str">
        <f ca="1">IFERROR(__xludf.DUMMYFUNCTION("""COMPUTED_VALUE"""),"Yes")</f>
        <v>Yes</v>
      </c>
      <c r="Q628" s="5" t="str">
        <f ca="1">IFERROR(__xludf.DUMMYFUNCTION("""COMPUTED_VALUE"""),"Yes")</f>
        <v>Yes</v>
      </c>
      <c r="R628" s="5" t="str">
        <f ca="1">IFERROR(__xludf.DUMMYFUNCTION("""COMPUTED_VALUE"""),"Yes")</f>
        <v>Yes</v>
      </c>
      <c r="S628" s="5" t="str">
        <f ca="1">IFERROR(__xludf.DUMMYFUNCTION("""COMPUTED_VALUE"""),"Yes")</f>
        <v>Yes</v>
      </c>
      <c r="T628" s="5" t="str">
        <f ca="1">IFERROR(__xludf.DUMMYFUNCTION("""COMPUTED_VALUE"""),"Yes")</f>
        <v>Yes</v>
      </c>
      <c r="U628" s="5" t="str">
        <f ca="1">IFERROR(__xludf.DUMMYFUNCTION("""COMPUTED_VALUE"""),"Yes")</f>
        <v>Yes</v>
      </c>
      <c r="V628" s="5" t="str">
        <f ca="1">IFERROR(__xludf.DUMMYFUNCTION("""COMPUTED_VALUE"""),"Yes")</f>
        <v>Yes</v>
      </c>
      <c r="W628" s="5" t="str">
        <f ca="1">IFERROR(__xludf.DUMMYFUNCTION("""COMPUTED_VALUE"""),"Yes")</f>
        <v>Yes</v>
      </c>
      <c r="X628" s="5" t="str">
        <f ca="1">IFERROR(__xludf.DUMMYFUNCTION("""COMPUTED_VALUE"""),"Yes")</f>
        <v>Yes</v>
      </c>
      <c r="Y628" s="5" t="str">
        <f ca="1">IFERROR(__xludf.DUMMYFUNCTION("""COMPUTED_VALUE"""),"Yes")</f>
        <v>Yes</v>
      </c>
      <c r="Z628" s="5" t="str">
        <f ca="1">IFERROR(__xludf.DUMMYFUNCTION("""COMPUTED_VALUE"""),"Yes")</f>
        <v>Yes</v>
      </c>
      <c r="AA628" s="5" t="str">
        <f ca="1">IFERROR(__xludf.DUMMYFUNCTION("""COMPUTED_VALUE"""),"Yes")</f>
        <v>Yes</v>
      </c>
      <c r="AB628" s="5" t="str">
        <f ca="1">IFERROR(__xludf.DUMMYFUNCTION("""COMPUTED_VALUE"""),"Yes")</f>
        <v>Yes</v>
      </c>
      <c r="AC628" s="5" t="str">
        <f ca="1">IFERROR(__xludf.DUMMYFUNCTION("""COMPUTED_VALUE"""),"No")</f>
        <v>No</v>
      </c>
    </row>
    <row r="629" spans="1:29" x14ac:dyDescent="0.25">
      <c r="A629" s="5" t="str">
        <f ca="1">IFERROR(__xludf.DUMMYFUNCTION("""COMPUTED_VALUE"""),"BonusEpicCrownDice")</f>
        <v>BonusEpicCrownDice</v>
      </c>
      <c r="B6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9" s="5" t="str">
        <f ca="1">IFERROR(__xludf.DUMMYFUNCTION("""COMPUTED_VALUE"""),"Yes")</f>
        <v>Yes</v>
      </c>
      <c r="D629" s="5" t="str">
        <f ca="1">IFERROR(__xludf.DUMMYFUNCTION("""COMPUTED_VALUE"""),"Yes")</f>
        <v>Yes</v>
      </c>
      <c r="E629" s="5" t="str">
        <f ca="1">IFERROR(__xludf.DUMMYFUNCTION("""COMPUTED_VALUE"""),"Yes")</f>
        <v>Yes</v>
      </c>
      <c r="F629" s="5" t="str">
        <f ca="1">IFERROR(__xludf.DUMMYFUNCTION("""COMPUTED_VALUE"""),"Yes")</f>
        <v>Yes</v>
      </c>
      <c r="G629" s="5" t="str">
        <f ca="1">IFERROR(__xludf.DUMMYFUNCTION("""COMPUTED_VALUE"""),"Yes")</f>
        <v>Yes</v>
      </c>
      <c r="H629" s="5" t="str">
        <f ca="1">IFERROR(__xludf.DUMMYFUNCTION("""COMPUTED_VALUE"""),"Yes")</f>
        <v>Yes</v>
      </c>
      <c r="I629" s="5" t="str">
        <f ca="1">IFERROR(__xludf.DUMMYFUNCTION("""COMPUTED_VALUE"""),"Yes")</f>
        <v>Yes</v>
      </c>
      <c r="J629" s="5" t="str">
        <f ca="1">IFERROR(__xludf.DUMMYFUNCTION("""COMPUTED_VALUE"""),"Yes")</f>
        <v>Yes</v>
      </c>
      <c r="K629" s="5" t="str">
        <f ca="1">IFERROR(__xludf.DUMMYFUNCTION("""COMPUTED_VALUE"""),"Yes")</f>
        <v>Yes</v>
      </c>
      <c r="L629" s="5" t="str">
        <f ca="1">IFERROR(__xludf.DUMMYFUNCTION("""COMPUTED_VALUE"""),"Yes")</f>
        <v>Yes</v>
      </c>
      <c r="M629" s="5" t="str">
        <f ca="1">IFERROR(__xludf.DUMMYFUNCTION("""COMPUTED_VALUE"""),"Yes")</f>
        <v>Yes</v>
      </c>
      <c r="N629" s="5" t="str">
        <f ca="1">IFERROR(__xludf.DUMMYFUNCTION("""COMPUTED_VALUE"""),"Yes")</f>
        <v>Yes</v>
      </c>
      <c r="O629" s="5" t="str">
        <f ca="1">IFERROR(__xludf.DUMMYFUNCTION("""COMPUTED_VALUE"""),"Yes")</f>
        <v>Yes</v>
      </c>
      <c r="P629" s="5" t="str">
        <f ca="1">IFERROR(__xludf.DUMMYFUNCTION("""COMPUTED_VALUE"""),"Yes")</f>
        <v>Yes</v>
      </c>
      <c r="Q629" s="5" t="str">
        <f ca="1">IFERROR(__xludf.DUMMYFUNCTION("""COMPUTED_VALUE"""),"Yes")</f>
        <v>Yes</v>
      </c>
      <c r="R629" s="5" t="str">
        <f ca="1">IFERROR(__xludf.DUMMYFUNCTION("""COMPUTED_VALUE"""),"Yes")</f>
        <v>Yes</v>
      </c>
      <c r="S629" s="5" t="str">
        <f ca="1">IFERROR(__xludf.DUMMYFUNCTION("""COMPUTED_VALUE"""),"Yes")</f>
        <v>Yes</v>
      </c>
      <c r="T629" s="5" t="str">
        <f ca="1">IFERROR(__xludf.DUMMYFUNCTION("""COMPUTED_VALUE"""),"Yes")</f>
        <v>Yes</v>
      </c>
      <c r="U629" s="5" t="str">
        <f ca="1">IFERROR(__xludf.DUMMYFUNCTION("""COMPUTED_VALUE"""),"Yes")</f>
        <v>Yes</v>
      </c>
      <c r="V629" s="5" t="str">
        <f ca="1">IFERROR(__xludf.DUMMYFUNCTION("""COMPUTED_VALUE"""),"Yes")</f>
        <v>Yes</v>
      </c>
      <c r="W629" s="5" t="str">
        <f ca="1">IFERROR(__xludf.DUMMYFUNCTION("""COMPUTED_VALUE"""),"Yes")</f>
        <v>Yes</v>
      </c>
      <c r="X629" s="5" t="str">
        <f ca="1">IFERROR(__xludf.DUMMYFUNCTION("""COMPUTED_VALUE"""),"Yes")</f>
        <v>Yes</v>
      </c>
      <c r="Y629" s="5" t="str">
        <f ca="1">IFERROR(__xludf.DUMMYFUNCTION("""COMPUTED_VALUE"""),"Yes")</f>
        <v>Yes</v>
      </c>
      <c r="Z629" s="5" t="str">
        <f ca="1">IFERROR(__xludf.DUMMYFUNCTION("""COMPUTED_VALUE"""),"Yes")</f>
        <v>Yes</v>
      </c>
      <c r="AA629" s="5" t="str">
        <f ca="1">IFERROR(__xludf.DUMMYFUNCTION("""COMPUTED_VALUE"""),"Yes")</f>
        <v>Yes</v>
      </c>
      <c r="AB629" s="5" t="str">
        <f ca="1">IFERROR(__xludf.DUMMYFUNCTION("""COMPUTED_VALUE"""),"Yes")</f>
        <v>Yes</v>
      </c>
      <c r="AC629" s="5" t="str">
        <f ca="1">IFERROR(__xludf.DUMMYFUNCTION("""COMPUTED_VALUE"""),"No")</f>
        <v>No</v>
      </c>
    </row>
    <row r="630" spans="1:29" x14ac:dyDescent="0.25">
      <c r="A630" s="5" t="str">
        <f ca="1">IFERROR(__xludf.DUMMYFUNCTION("""COMPUTED_VALUE"""),"GoldenCrownHoldAndWin")</f>
        <v>GoldenCrownHoldAndWin</v>
      </c>
      <c r="B6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0" s="5" t="str">
        <f ca="1">IFERROR(__xludf.DUMMYFUNCTION("""COMPUTED_VALUE"""),"Yes")</f>
        <v>Yes</v>
      </c>
      <c r="D630" s="5" t="str">
        <f ca="1">IFERROR(__xludf.DUMMYFUNCTION("""COMPUTED_VALUE"""),"Yes")</f>
        <v>Yes</v>
      </c>
      <c r="E630" s="5" t="str">
        <f ca="1">IFERROR(__xludf.DUMMYFUNCTION("""COMPUTED_VALUE"""),"Yes")</f>
        <v>Yes</v>
      </c>
      <c r="F630" s="5" t="str">
        <f ca="1">IFERROR(__xludf.DUMMYFUNCTION("""COMPUTED_VALUE"""),"Yes")</f>
        <v>Yes</v>
      </c>
      <c r="G630" s="5" t="str">
        <f ca="1">IFERROR(__xludf.DUMMYFUNCTION("""COMPUTED_VALUE"""),"Yes")</f>
        <v>Yes</v>
      </c>
      <c r="H630" s="5" t="str">
        <f ca="1">IFERROR(__xludf.DUMMYFUNCTION("""COMPUTED_VALUE"""),"Yes")</f>
        <v>Yes</v>
      </c>
      <c r="I630" s="5" t="str">
        <f ca="1">IFERROR(__xludf.DUMMYFUNCTION("""COMPUTED_VALUE"""),"Yes")</f>
        <v>Yes</v>
      </c>
      <c r="J630" s="5" t="str">
        <f ca="1">IFERROR(__xludf.DUMMYFUNCTION("""COMPUTED_VALUE"""),"Yes")</f>
        <v>Yes</v>
      </c>
      <c r="K630" s="5" t="str">
        <f ca="1">IFERROR(__xludf.DUMMYFUNCTION("""COMPUTED_VALUE"""),"Yes")</f>
        <v>Yes</v>
      </c>
      <c r="L630" s="5" t="str">
        <f ca="1">IFERROR(__xludf.DUMMYFUNCTION("""COMPUTED_VALUE"""),"Yes")</f>
        <v>Yes</v>
      </c>
      <c r="M630" s="5" t="str">
        <f ca="1">IFERROR(__xludf.DUMMYFUNCTION("""COMPUTED_VALUE"""),"Yes")</f>
        <v>Yes</v>
      </c>
      <c r="N630" s="5" t="str">
        <f ca="1">IFERROR(__xludf.DUMMYFUNCTION("""COMPUTED_VALUE"""),"Yes")</f>
        <v>Yes</v>
      </c>
      <c r="O630" s="5" t="str">
        <f ca="1">IFERROR(__xludf.DUMMYFUNCTION("""COMPUTED_VALUE"""),"Yes")</f>
        <v>Yes</v>
      </c>
      <c r="P630" s="5" t="str">
        <f ca="1">IFERROR(__xludf.DUMMYFUNCTION("""COMPUTED_VALUE"""),"Yes")</f>
        <v>Yes</v>
      </c>
      <c r="Q630" s="5" t="str">
        <f ca="1">IFERROR(__xludf.DUMMYFUNCTION("""COMPUTED_VALUE"""),"Yes")</f>
        <v>Yes</v>
      </c>
      <c r="R630" s="5" t="str">
        <f ca="1">IFERROR(__xludf.DUMMYFUNCTION("""COMPUTED_VALUE"""),"Yes")</f>
        <v>Yes</v>
      </c>
      <c r="S630" s="5" t="str">
        <f ca="1">IFERROR(__xludf.DUMMYFUNCTION("""COMPUTED_VALUE"""),"Yes")</f>
        <v>Yes</v>
      </c>
      <c r="T630" s="5" t="str">
        <f ca="1">IFERROR(__xludf.DUMMYFUNCTION("""COMPUTED_VALUE"""),"Yes")</f>
        <v>Yes</v>
      </c>
      <c r="U630" s="5" t="str">
        <f ca="1">IFERROR(__xludf.DUMMYFUNCTION("""COMPUTED_VALUE"""),"Yes")</f>
        <v>Yes</v>
      </c>
      <c r="V630" s="5" t="str">
        <f ca="1">IFERROR(__xludf.DUMMYFUNCTION("""COMPUTED_VALUE"""),"Yes")</f>
        <v>Yes</v>
      </c>
      <c r="W630" s="5" t="str">
        <f ca="1">IFERROR(__xludf.DUMMYFUNCTION("""COMPUTED_VALUE"""),"Yes")</f>
        <v>Yes</v>
      </c>
      <c r="X630" s="5" t="str">
        <f ca="1">IFERROR(__xludf.DUMMYFUNCTION("""COMPUTED_VALUE"""),"Yes")</f>
        <v>Yes</v>
      </c>
      <c r="Y630" s="5" t="str">
        <f ca="1">IFERROR(__xludf.DUMMYFUNCTION("""COMPUTED_VALUE"""),"Yes")</f>
        <v>Yes</v>
      </c>
      <c r="Z630" s="5" t="str">
        <f ca="1">IFERROR(__xludf.DUMMYFUNCTION("""COMPUTED_VALUE"""),"Yes")</f>
        <v>Yes</v>
      </c>
      <c r="AA630" s="5" t="str">
        <f ca="1">IFERROR(__xludf.DUMMYFUNCTION("""COMPUTED_VALUE"""),"Yes")</f>
        <v>Yes</v>
      </c>
      <c r="AB630" s="5" t="str">
        <f ca="1">IFERROR(__xludf.DUMMYFUNCTION("""COMPUTED_VALUE"""),"Yes")</f>
        <v>Yes</v>
      </c>
      <c r="AC630" s="5" t="str">
        <f ca="1">IFERROR(__xludf.DUMMYFUNCTION("""COMPUTED_VALUE"""),"No")</f>
        <v>No</v>
      </c>
    </row>
    <row r="631" spans="1:29" x14ac:dyDescent="0.25">
      <c r="A631" s="5" t="str">
        <f ca="1">IFERROR(__xludf.DUMMYFUNCTION("""COMPUTED_VALUE"""),"RedstoneRespinFortune")</f>
        <v>RedstoneRespinFortune</v>
      </c>
      <c r="B63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1" s="5" t="str">
        <f ca="1">IFERROR(__xludf.DUMMYFUNCTION("""COMPUTED_VALUE"""),"Yes")</f>
        <v>Yes</v>
      </c>
      <c r="D631" s="5" t="str">
        <f ca="1">IFERROR(__xludf.DUMMYFUNCTION("""COMPUTED_VALUE"""),"Yes")</f>
        <v>Yes</v>
      </c>
      <c r="E631" s="5" t="str">
        <f ca="1">IFERROR(__xludf.DUMMYFUNCTION("""COMPUTED_VALUE"""),"Yes")</f>
        <v>Yes</v>
      </c>
      <c r="F631" s="5" t="str">
        <f ca="1">IFERROR(__xludf.DUMMYFUNCTION("""COMPUTED_VALUE"""),"Yes")</f>
        <v>Yes</v>
      </c>
      <c r="G631" s="5" t="str">
        <f ca="1">IFERROR(__xludf.DUMMYFUNCTION("""COMPUTED_VALUE"""),"Yes")</f>
        <v>Yes</v>
      </c>
      <c r="H631" s="5" t="str">
        <f ca="1">IFERROR(__xludf.DUMMYFUNCTION("""COMPUTED_VALUE"""),"Yes")</f>
        <v>Yes</v>
      </c>
      <c r="I631" s="5" t="str">
        <f ca="1">IFERROR(__xludf.DUMMYFUNCTION("""COMPUTED_VALUE"""),"Yes")</f>
        <v>Yes</v>
      </c>
      <c r="J631" s="5" t="str">
        <f ca="1">IFERROR(__xludf.DUMMYFUNCTION("""COMPUTED_VALUE"""),"Yes")</f>
        <v>Yes</v>
      </c>
      <c r="K631" s="5" t="str">
        <f ca="1">IFERROR(__xludf.DUMMYFUNCTION("""COMPUTED_VALUE"""),"Yes")</f>
        <v>Yes</v>
      </c>
      <c r="L631" s="5" t="str">
        <f ca="1">IFERROR(__xludf.DUMMYFUNCTION("""COMPUTED_VALUE"""),"Yes")</f>
        <v>Yes</v>
      </c>
      <c r="M631" s="5" t="str">
        <f ca="1">IFERROR(__xludf.DUMMYFUNCTION("""COMPUTED_VALUE"""),"Yes")</f>
        <v>Yes</v>
      </c>
      <c r="N631" s="5" t="str">
        <f ca="1">IFERROR(__xludf.DUMMYFUNCTION("""COMPUTED_VALUE"""),"Yes")</f>
        <v>Yes</v>
      </c>
      <c r="O631" s="5" t="str">
        <f ca="1">IFERROR(__xludf.DUMMYFUNCTION("""COMPUTED_VALUE"""),"Yes")</f>
        <v>Yes</v>
      </c>
      <c r="P631" s="5" t="str">
        <f ca="1">IFERROR(__xludf.DUMMYFUNCTION("""COMPUTED_VALUE"""),"Yes")</f>
        <v>Yes</v>
      </c>
      <c r="Q631" s="5" t="str">
        <f ca="1">IFERROR(__xludf.DUMMYFUNCTION("""COMPUTED_VALUE"""),"Yes")</f>
        <v>Yes</v>
      </c>
      <c r="R631" s="5" t="str">
        <f ca="1">IFERROR(__xludf.DUMMYFUNCTION("""COMPUTED_VALUE"""),"No")</f>
        <v>No</v>
      </c>
      <c r="S631" s="5" t="str">
        <f ca="1">IFERROR(__xludf.DUMMYFUNCTION("""COMPUTED_VALUE"""),"No")</f>
        <v>No</v>
      </c>
      <c r="T631" s="5" t="str">
        <f ca="1">IFERROR(__xludf.DUMMYFUNCTION("""COMPUTED_VALUE"""),"No")</f>
        <v>No</v>
      </c>
      <c r="U631" s="5" t="str">
        <f ca="1">IFERROR(__xludf.DUMMYFUNCTION("""COMPUTED_VALUE"""),"No")</f>
        <v>No</v>
      </c>
      <c r="V631" s="5" t="str">
        <f ca="1">IFERROR(__xludf.DUMMYFUNCTION("""COMPUTED_VALUE"""),"No")</f>
        <v>No</v>
      </c>
      <c r="W631" s="5" t="str">
        <f ca="1">IFERROR(__xludf.DUMMYFUNCTION("""COMPUTED_VALUE"""),"No")</f>
        <v>No</v>
      </c>
      <c r="X631" s="5" t="str">
        <f ca="1">IFERROR(__xludf.DUMMYFUNCTION("""COMPUTED_VALUE"""),"Yes")</f>
        <v>Yes</v>
      </c>
      <c r="Y631" s="5" t="str">
        <f ca="1">IFERROR(__xludf.DUMMYFUNCTION("""COMPUTED_VALUE"""),"No")</f>
        <v>No</v>
      </c>
      <c r="Z631" s="5" t="str">
        <f ca="1">IFERROR(__xludf.DUMMYFUNCTION("""COMPUTED_VALUE"""),"No")</f>
        <v>No</v>
      </c>
      <c r="AA631" s="5" t="str">
        <f ca="1">IFERROR(__xludf.DUMMYFUNCTION("""COMPUTED_VALUE"""),"No")</f>
        <v>No</v>
      </c>
      <c r="AB631" s="5" t="str">
        <f ca="1">IFERROR(__xludf.DUMMYFUNCTION("""COMPUTED_VALUE"""),"Yes")</f>
        <v>Yes</v>
      </c>
      <c r="AC631" s="5" t="str">
        <f ca="1">IFERROR(__xludf.DUMMYFUNCTION("""COMPUTED_VALUE"""),"No")</f>
        <v>No</v>
      </c>
    </row>
    <row r="632" spans="1:29" x14ac:dyDescent="0.25">
      <c r="A632" s="5" t="str">
        <f ca="1">IFERROR(__xludf.DUMMYFUNCTION("""COMPUTED_VALUE"""),"RedstoneMultiClover5")</f>
        <v>RedstoneMultiClover5</v>
      </c>
      <c r="B63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2" s="5" t="str">
        <f ca="1">IFERROR(__xludf.DUMMYFUNCTION("""COMPUTED_VALUE"""),"Yes")</f>
        <v>Yes</v>
      </c>
      <c r="D632" s="5" t="str">
        <f ca="1">IFERROR(__xludf.DUMMYFUNCTION("""COMPUTED_VALUE"""),"Yes")</f>
        <v>Yes</v>
      </c>
      <c r="E632" s="5" t="str">
        <f ca="1">IFERROR(__xludf.DUMMYFUNCTION("""COMPUTED_VALUE"""),"No")</f>
        <v>No</v>
      </c>
      <c r="F632" s="5" t="str">
        <f ca="1">IFERROR(__xludf.DUMMYFUNCTION("""COMPUTED_VALUE"""),"Yes")</f>
        <v>Yes</v>
      </c>
      <c r="G632" s="5" t="str">
        <f ca="1">IFERROR(__xludf.DUMMYFUNCTION("""COMPUTED_VALUE"""),"Yes")</f>
        <v>Yes</v>
      </c>
      <c r="H632" s="5" t="str">
        <f ca="1">IFERROR(__xludf.DUMMYFUNCTION("""COMPUTED_VALUE"""),"Yes")</f>
        <v>Yes</v>
      </c>
      <c r="I632" s="5" t="str">
        <f ca="1">IFERROR(__xludf.DUMMYFUNCTION("""COMPUTED_VALUE"""),"Yes")</f>
        <v>Yes</v>
      </c>
      <c r="J632" s="5" t="str">
        <f ca="1">IFERROR(__xludf.DUMMYFUNCTION("""COMPUTED_VALUE"""),"Yes")</f>
        <v>Yes</v>
      </c>
      <c r="K632" s="5" t="str">
        <f ca="1">IFERROR(__xludf.DUMMYFUNCTION("""COMPUTED_VALUE"""),"Yes")</f>
        <v>Yes</v>
      </c>
      <c r="L632" s="5" t="str">
        <f ca="1">IFERROR(__xludf.DUMMYFUNCTION("""COMPUTED_VALUE"""),"Yes")</f>
        <v>Yes</v>
      </c>
      <c r="M632" s="5" t="str">
        <f ca="1">IFERROR(__xludf.DUMMYFUNCTION("""COMPUTED_VALUE"""),"Yes")</f>
        <v>Yes</v>
      </c>
      <c r="N632" s="5" t="str">
        <f ca="1">IFERROR(__xludf.DUMMYFUNCTION("""COMPUTED_VALUE"""),"Yes")</f>
        <v>Yes</v>
      </c>
      <c r="O632" s="5" t="str">
        <f ca="1">IFERROR(__xludf.DUMMYFUNCTION("""COMPUTED_VALUE"""),"Yes")</f>
        <v>Yes</v>
      </c>
      <c r="P632" s="5" t="str">
        <f ca="1">IFERROR(__xludf.DUMMYFUNCTION("""COMPUTED_VALUE"""),"Yes")</f>
        <v>Yes</v>
      </c>
      <c r="Q632" s="5" t="str">
        <f ca="1">IFERROR(__xludf.DUMMYFUNCTION("""COMPUTED_VALUE"""),"Yes")</f>
        <v>Yes</v>
      </c>
      <c r="R632" s="5" t="str">
        <f ca="1">IFERROR(__xludf.DUMMYFUNCTION("""COMPUTED_VALUE"""),"No")</f>
        <v>No</v>
      </c>
      <c r="S632" s="5" t="str">
        <f ca="1">IFERROR(__xludf.DUMMYFUNCTION("""COMPUTED_VALUE"""),"No")</f>
        <v>No</v>
      </c>
      <c r="T632" s="5" t="str">
        <f ca="1">IFERROR(__xludf.DUMMYFUNCTION("""COMPUTED_VALUE"""),"No")</f>
        <v>No</v>
      </c>
      <c r="U632" s="5" t="str">
        <f ca="1">IFERROR(__xludf.DUMMYFUNCTION("""COMPUTED_VALUE"""),"No")</f>
        <v>No</v>
      </c>
      <c r="V632" s="5" t="str">
        <f ca="1">IFERROR(__xludf.DUMMYFUNCTION("""COMPUTED_VALUE"""),"No")</f>
        <v>No</v>
      </c>
      <c r="W632" s="5" t="str">
        <f ca="1">IFERROR(__xludf.DUMMYFUNCTION("""COMPUTED_VALUE"""),"No")</f>
        <v>No</v>
      </c>
      <c r="X632" s="5" t="str">
        <f ca="1">IFERROR(__xludf.DUMMYFUNCTION("""COMPUTED_VALUE"""),"Yes")</f>
        <v>Yes</v>
      </c>
      <c r="Y632" s="5" t="str">
        <f ca="1">IFERROR(__xludf.DUMMYFUNCTION("""COMPUTED_VALUE"""),"No")</f>
        <v>No</v>
      </c>
      <c r="Z632" s="5" t="str">
        <f ca="1">IFERROR(__xludf.DUMMYFUNCTION("""COMPUTED_VALUE"""),"No")</f>
        <v>No</v>
      </c>
      <c r="AA632" s="5" t="str">
        <f ca="1">IFERROR(__xludf.DUMMYFUNCTION("""COMPUTED_VALUE"""),"No")</f>
        <v>No</v>
      </c>
      <c r="AB632" s="5" t="str">
        <f ca="1">IFERROR(__xludf.DUMMYFUNCTION("""COMPUTED_VALUE"""),"Yes")</f>
        <v>Yes</v>
      </c>
      <c r="AC632" s="5" t="str">
        <f ca="1">IFERROR(__xludf.DUMMYFUNCTION("""COMPUTED_VALUE"""),"No")</f>
        <v>No</v>
      </c>
    </row>
    <row r="633" spans="1:29" x14ac:dyDescent="0.25">
      <c r="A633" s="5" t="str">
        <f ca="1">IFERROR(__xludf.DUMMYFUNCTION("""COMPUTED_VALUE"""),"RedstoneJokerX5")</f>
        <v>RedstoneJokerX5</v>
      </c>
      <c r="B63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3" s="5" t="str">
        <f ca="1">IFERROR(__xludf.DUMMYFUNCTION("""COMPUTED_VALUE"""),"Yes")</f>
        <v>Yes</v>
      </c>
      <c r="D633" s="5" t="str">
        <f ca="1">IFERROR(__xludf.DUMMYFUNCTION("""COMPUTED_VALUE"""),"Yes")</f>
        <v>Yes</v>
      </c>
      <c r="E633" s="5" t="str">
        <f ca="1">IFERROR(__xludf.DUMMYFUNCTION("""COMPUTED_VALUE"""),"Yes")</f>
        <v>Yes</v>
      </c>
      <c r="F633" s="5" t="str">
        <f ca="1">IFERROR(__xludf.DUMMYFUNCTION("""COMPUTED_VALUE"""),"Yes")</f>
        <v>Yes</v>
      </c>
      <c r="G633" s="5" t="str">
        <f ca="1">IFERROR(__xludf.DUMMYFUNCTION("""COMPUTED_VALUE"""),"Yes")</f>
        <v>Yes</v>
      </c>
      <c r="H633" s="5" t="str">
        <f ca="1">IFERROR(__xludf.DUMMYFUNCTION("""COMPUTED_VALUE"""),"Yes")</f>
        <v>Yes</v>
      </c>
      <c r="I633" s="5" t="str">
        <f ca="1">IFERROR(__xludf.DUMMYFUNCTION("""COMPUTED_VALUE"""),"Yes")</f>
        <v>Yes</v>
      </c>
      <c r="J633" s="5" t="str">
        <f ca="1">IFERROR(__xludf.DUMMYFUNCTION("""COMPUTED_VALUE"""),"Yes")</f>
        <v>Yes</v>
      </c>
      <c r="K633" s="5" t="str">
        <f ca="1">IFERROR(__xludf.DUMMYFUNCTION("""COMPUTED_VALUE"""),"Yes")</f>
        <v>Yes</v>
      </c>
      <c r="L633" s="5" t="str">
        <f ca="1">IFERROR(__xludf.DUMMYFUNCTION("""COMPUTED_VALUE"""),"Yes")</f>
        <v>Yes</v>
      </c>
      <c r="M633" s="5" t="str">
        <f ca="1">IFERROR(__xludf.DUMMYFUNCTION("""COMPUTED_VALUE"""),"Yes")</f>
        <v>Yes</v>
      </c>
      <c r="N633" s="5" t="str">
        <f ca="1">IFERROR(__xludf.DUMMYFUNCTION("""COMPUTED_VALUE"""),"Yes")</f>
        <v>Yes</v>
      </c>
      <c r="O633" s="5" t="str">
        <f ca="1">IFERROR(__xludf.DUMMYFUNCTION("""COMPUTED_VALUE"""),"Yes")</f>
        <v>Yes</v>
      </c>
      <c r="P633" s="5" t="str">
        <f ca="1">IFERROR(__xludf.DUMMYFUNCTION("""COMPUTED_VALUE"""),"Yes")</f>
        <v>Yes</v>
      </c>
      <c r="Q633" s="5" t="str">
        <f ca="1">IFERROR(__xludf.DUMMYFUNCTION("""COMPUTED_VALUE"""),"Yes")</f>
        <v>Yes</v>
      </c>
      <c r="R633" s="5" t="str">
        <f ca="1">IFERROR(__xludf.DUMMYFUNCTION("""COMPUTED_VALUE"""),"No")</f>
        <v>No</v>
      </c>
      <c r="S633" s="5" t="str">
        <f ca="1">IFERROR(__xludf.DUMMYFUNCTION("""COMPUTED_VALUE"""),"No")</f>
        <v>No</v>
      </c>
      <c r="T633" s="5" t="str">
        <f ca="1">IFERROR(__xludf.DUMMYFUNCTION("""COMPUTED_VALUE"""),"No")</f>
        <v>No</v>
      </c>
      <c r="U633" s="5" t="str">
        <f ca="1">IFERROR(__xludf.DUMMYFUNCTION("""COMPUTED_VALUE"""),"No")</f>
        <v>No</v>
      </c>
      <c r="V633" s="5" t="str">
        <f ca="1">IFERROR(__xludf.DUMMYFUNCTION("""COMPUTED_VALUE"""),"No")</f>
        <v>No</v>
      </c>
      <c r="W633" s="5" t="str">
        <f ca="1">IFERROR(__xludf.DUMMYFUNCTION("""COMPUTED_VALUE"""),"No")</f>
        <v>No</v>
      </c>
      <c r="X633" s="5" t="str">
        <f ca="1">IFERROR(__xludf.DUMMYFUNCTION("""COMPUTED_VALUE"""),"Yes")</f>
        <v>Yes</v>
      </c>
      <c r="Y633" s="5" t="str">
        <f ca="1">IFERROR(__xludf.DUMMYFUNCTION("""COMPUTED_VALUE"""),"No")</f>
        <v>No</v>
      </c>
      <c r="Z633" s="5" t="str">
        <f ca="1">IFERROR(__xludf.DUMMYFUNCTION("""COMPUTED_VALUE"""),"No")</f>
        <v>No</v>
      </c>
      <c r="AA633" s="5" t="str">
        <f ca="1">IFERROR(__xludf.DUMMYFUNCTION("""COMPUTED_VALUE"""),"No")</f>
        <v>No</v>
      </c>
      <c r="AB633" s="5" t="str">
        <f ca="1">IFERROR(__xludf.DUMMYFUNCTION("""COMPUTED_VALUE"""),"Yes")</f>
        <v>Yes</v>
      </c>
      <c r="AC633" s="5" t="str">
        <f ca="1">IFERROR(__xludf.DUMMYFUNCTION("""COMPUTED_VALUE"""),"No")</f>
        <v>No</v>
      </c>
    </row>
    <row r="634" spans="1:29" x14ac:dyDescent="0.25">
      <c r="A634" s="5" t="str">
        <f ca="1">IFERROR(__xludf.DUMMYFUNCTION("""COMPUTED_VALUE"""),"RedstoneCloverRush5")</f>
        <v>RedstoneCloverRush5</v>
      </c>
      <c r="B63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4" s="5" t="str">
        <f ca="1">IFERROR(__xludf.DUMMYFUNCTION("""COMPUTED_VALUE"""),"Yes")</f>
        <v>Yes</v>
      </c>
      <c r="D634" s="5" t="str">
        <f ca="1">IFERROR(__xludf.DUMMYFUNCTION("""COMPUTED_VALUE"""),"Yes")</f>
        <v>Yes</v>
      </c>
      <c r="E634" s="5" t="str">
        <f ca="1">IFERROR(__xludf.DUMMYFUNCTION("""COMPUTED_VALUE"""),"No")</f>
        <v>No</v>
      </c>
      <c r="F634" s="5" t="str">
        <f ca="1">IFERROR(__xludf.DUMMYFUNCTION("""COMPUTED_VALUE"""),"Yes")</f>
        <v>Yes</v>
      </c>
      <c r="G634" s="5" t="str">
        <f ca="1">IFERROR(__xludf.DUMMYFUNCTION("""COMPUTED_VALUE"""),"Yes")</f>
        <v>Yes</v>
      </c>
      <c r="H634" s="5" t="str">
        <f ca="1">IFERROR(__xludf.DUMMYFUNCTION("""COMPUTED_VALUE"""),"Yes")</f>
        <v>Yes</v>
      </c>
      <c r="I634" s="5" t="str">
        <f ca="1">IFERROR(__xludf.DUMMYFUNCTION("""COMPUTED_VALUE"""),"Yes")</f>
        <v>Yes</v>
      </c>
      <c r="J634" s="5" t="str">
        <f ca="1">IFERROR(__xludf.DUMMYFUNCTION("""COMPUTED_VALUE"""),"Yes")</f>
        <v>Yes</v>
      </c>
      <c r="K634" s="5" t="str">
        <f ca="1">IFERROR(__xludf.DUMMYFUNCTION("""COMPUTED_VALUE"""),"Yes")</f>
        <v>Yes</v>
      </c>
      <c r="L634" s="5" t="str">
        <f ca="1">IFERROR(__xludf.DUMMYFUNCTION("""COMPUTED_VALUE"""),"Yes")</f>
        <v>Yes</v>
      </c>
      <c r="M634" s="5" t="str">
        <f ca="1">IFERROR(__xludf.DUMMYFUNCTION("""COMPUTED_VALUE"""),"Yes")</f>
        <v>Yes</v>
      </c>
      <c r="N634" s="5" t="str">
        <f ca="1">IFERROR(__xludf.DUMMYFUNCTION("""COMPUTED_VALUE"""),"Yes")</f>
        <v>Yes</v>
      </c>
      <c r="O634" s="5" t="str">
        <f ca="1">IFERROR(__xludf.DUMMYFUNCTION("""COMPUTED_VALUE"""),"Yes")</f>
        <v>Yes</v>
      </c>
      <c r="P634" s="5" t="str">
        <f ca="1">IFERROR(__xludf.DUMMYFUNCTION("""COMPUTED_VALUE"""),"Yes")</f>
        <v>Yes</v>
      </c>
      <c r="Q634" s="5" t="str">
        <f ca="1">IFERROR(__xludf.DUMMYFUNCTION("""COMPUTED_VALUE"""),"Yes")</f>
        <v>Yes</v>
      </c>
      <c r="R634" s="5" t="str">
        <f ca="1">IFERROR(__xludf.DUMMYFUNCTION("""COMPUTED_VALUE"""),"No")</f>
        <v>No</v>
      </c>
      <c r="S634" s="5" t="str">
        <f ca="1">IFERROR(__xludf.DUMMYFUNCTION("""COMPUTED_VALUE"""),"No")</f>
        <v>No</v>
      </c>
      <c r="T634" s="5" t="str">
        <f ca="1">IFERROR(__xludf.DUMMYFUNCTION("""COMPUTED_VALUE"""),"No")</f>
        <v>No</v>
      </c>
      <c r="U634" s="5" t="str">
        <f ca="1">IFERROR(__xludf.DUMMYFUNCTION("""COMPUTED_VALUE"""),"No")</f>
        <v>No</v>
      </c>
      <c r="V634" s="5" t="str">
        <f ca="1">IFERROR(__xludf.DUMMYFUNCTION("""COMPUTED_VALUE"""),"No")</f>
        <v>No</v>
      </c>
      <c r="W634" s="5" t="str">
        <f ca="1">IFERROR(__xludf.DUMMYFUNCTION("""COMPUTED_VALUE"""),"No")</f>
        <v>No</v>
      </c>
      <c r="X634" s="5" t="str">
        <f ca="1">IFERROR(__xludf.DUMMYFUNCTION("""COMPUTED_VALUE"""),"Yes")</f>
        <v>Yes</v>
      </c>
      <c r="Y634" s="5" t="str">
        <f ca="1">IFERROR(__xludf.DUMMYFUNCTION("""COMPUTED_VALUE"""),"No")</f>
        <v>No</v>
      </c>
      <c r="Z634" s="5" t="str">
        <f ca="1">IFERROR(__xludf.DUMMYFUNCTION("""COMPUTED_VALUE"""),"No")</f>
        <v>No</v>
      </c>
      <c r="AA634" s="5" t="str">
        <f ca="1">IFERROR(__xludf.DUMMYFUNCTION("""COMPUTED_VALUE"""),"No")</f>
        <v>No</v>
      </c>
      <c r="AB634" s="5" t="str">
        <f ca="1">IFERROR(__xludf.DUMMYFUNCTION("""COMPUTED_VALUE"""),"Yes")</f>
        <v>Yes</v>
      </c>
      <c r="AC634" s="5" t="str">
        <f ca="1">IFERROR(__xludf.DUMMYFUNCTION("""COMPUTED_VALUE"""),"No")</f>
        <v>No</v>
      </c>
    </row>
    <row r="635" spans="1:29" x14ac:dyDescent="0.25">
      <c r="A635" s="5" t="str">
        <f ca="1">IFERROR(__xludf.DUMMYFUNCTION("""COMPUTED_VALUE"""),"Redstone5BellFire")</f>
        <v>Redstone5BellFire</v>
      </c>
      <c r="B63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5" s="5" t="str">
        <f ca="1">IFERROR(__xludf.DUMMYFUNCTION("""COMPUTED_VALUE"""),"Yes")</f>
        <v>Yes</v>
      </c>
      <c r="D635" s="5" t="str">
        <f ca="1">IFERROR(__xludf.DUMMYFUNCTION("""COMPUTED_VALUE"""),"Yes")</f>
        <v>Yes</v>
      </c>
      <c r="E635" s="5" t="str">
        <f ca="1">IFERROR(__xludf.DUMMYFUNCTION("""COMPUTED_VALUE"""),"No")</f>
        <v>No</v>
      </c>
      <c r="F635" s="5" t="str">
        <f ca="1">IFERROR(__xludf.DUMMYFUNCTION("""COMPUTED_VALUE"""),"Yes")</f>
        <v>Yes</v>
      </c>
      <c r="G635" s="5" t="str">
        <f ca="1">IFERROR(__xludf.DUMMYFUNCTION("""COMPUTED_VALUE"""),"Yes")</f>
        <v>Yes</v>
      </c>
      <c r="H635" s="5" t="str">
        <f ca="1">IFERROR(__xludf.DUMMYFUNCTION("""COMPUTED_VALUE"""),"Yes")</f>
        <v>Yes</v>
      </c>
      <c r="I635" s="5" t="str">
        <f ca="1">IFERROR(__xludf.DUMMYFUNCTION("""COMPUTED_VALUE"""),"Yes")</f>
        <v>Yes</v>
      </c>
      <c r="J635" s="5" t="str">
        <f ca="1">IFERROR(__xludf.DUMMYFUNCTION("""COMPUTED_VALUE"""),"Yes")</f>
        <v>Yes</v>
      </c>
      <c r="K635" s="5" t="str">
        <f ca="1">IFERROR(__xludf.DUMMYFUNCTION("""COMPUTED_VALUE"""),"Yes")</f>
        <v>Yes</v>
      </c>
      <c r="L635" s="5" t="str">
        <f ca="1">IFERROR(__xludf.DUMMYFUNCTION("""COMPUTED_VALUE"""),"Yes")</f>
        <v>Yes</v>
      </c>
      <c r="M635" s="5" t="str">
        <f ca="1">IFERROR(__xludf.DUMMYFUNCTION("""COMPUTED_VALUE"""),"Yes")</f>
        <v>Yes</v>
      </c>
      <c r="N635" s="5" t="str">
        <f ca="1">IFERROR(__xludf.DUMMYFUNCTION("""COMPUTED_VALUE"""),"Yes")</f>
        <v>Yes</v>
      </c>
      <c r="O635" s="5" t="str">
        <f ca="1">IFERROR(__xludf.DUMMYFUNCTION("""COMPUTED_VALUE"""),"Yes")</f>
        <v>Yes</v>
      </c>
      <c r="P635" s="5" t="str">
        <f ca="1">IFERROR(__xludf.DUMMYFUNCTION("""COMPUTED_VALUE"""),"Yes")</f>
        <v>Yes</v>
      </c>
      <c r="Q635" s="5" t="str">
        <f ca="1">IFERROR(__xludf.DUMMYFUNCTION("""COMPUTED_VALUE"""),"Yes")</f>
        <v>Yes</v>
      </c>
      <c r="R635" s="5" t="str">
        <f ca="1">IFERROR(__xludf.DUMMYFUNCTION("""COMPUTED_VALUE"""),"No")</f>
        <v>No</v>
      </c>
      <c r="S635" s="5" t="str">
        <f ca="1">IFERROR(__xludf.DUMMYFUNCTION("""COMPUTED_VALUE"""),"No")</f>
        <v>No</v>
      </c>
      <c r="T635" s="5" t="str">
        <f ca="1">IFERROR(__xludf.DUMMYFUNCTION("""COMPUTED_VALUE"""),"No")</f>
        <v>No</v>
      </c>
      <c r="U635" s="5" t="str">
        <f ca="1">IFERROR(__xludf.DUMMYFUNCTION("""COMPUTED_VALUE"""),"No")</f>
        <v>No</v>
      </c>
      <c r="V635" s="5" t="str">
        <f ca="1">IFERROR(__xludf.DUMMYFUNCTION("""COMPUTED_VALUE"""),"No")</f>
        <v>No</v>
      </c>
      <c r="W635" s="5" t="str">
        <f ca="1">IFERROR(__xludf.DUMMYFUNCTION("""COMPUTED_VALUE"""),"No")</f>
        <v>No</v>
      </c>
      <c r="X635" s="5" t="str">
        <f ca="1">IFERROR(__xludf.DUMMYFUNCTION("""COMPUTED_VALUE"""),"Yes")</f>
        <v>Yes</v>
      </c>
      <c r="Y635" s="5" t="str">
        <f ca="1">IFERROR(__xludf.DUMMYFUNCTION("""COMPUTED_VALUE"""),"No")</f>
        <v>No</v>
      </c>
      <c r="Z635" s="5" t="str">
        <f ca="1">IFERROR(__xludf.DUMMYFUNCTION("""COMPUTED_VALUE"""),"No")</f>
        <v>No</v>
      </c>
      <c r="AA635" s="5" t="str">
        <f ca="1">IFERROR(__xludf.DUMMYFUNCTION("""COMPUTED_VALUE"""),"No")</f>
        <v>No</v>
      </c>
      <c r="AB635" s="5" t="str">
        <f ca="1">IFERROR(__xludf.DUMMYFUNCTION("""COMPUTED_VALUE"""),"Yes")</f>
        <v>Yes</v>
      </c>
      <c r="AC635" s="5" t="str">
        <f ca="1">IFERROR(__xludf.DUMMYFUNCTION("""COMPUTED_VALUE"""),"No")</f>
        <v>No</v>
      </c>
    </row>
    <row r="636" spans="1:29" x14ac:dyDescent="0.25">
      <c r="A636" s="5" t="str">
        <f ca="1">IFERROR(__xludf.DUMMYFUNCTION("""COMPUTED_VALUE"""),"RedstoneDiceDrop10")</f>
        <v>RedstoneDiceDrop10</v>
      </c>
      <c r="B63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6" s="5" t="str">
        <f ca="1">IFERROR(__xludf.DUMMYFUNCTION("""COMPUTED_VALUE"""),"Yes")</f>
        <v>Yes</v>
      </c>
      <c r="D636" s="5" t="str">
        <f ca="1">IFERROR(__xludf.DUMMYFUNCTION("""COMPUTED_VALUE"""),"Yes")</f>
        <v>Yes</v>
      </c>
      <c r="E636" s="5" t="str">
        <f ca="1">IFERROR(__xludf.DUMMYFUNCTION("""COMPUTED_VALUE"""),"No")</f>
        <v>No</v>
      </c>
      <c r="F636" s="5" t="str">
        <f ca="1">IFERROR(__xludf.DUMMYFUNCTION("""COMPUTED_VALUE"""),"Yes")</f>
        <v>Yes</v>
      </c>
      <c r="G636" s="5" t="str">
        <f ca="1">IFERROR(__xludf.DUMMYFUNCTION("""COMPUTED_VALUE"""),"Yes")</f>
        <v>Yes</v>
      </c>
      <c r="H636" s="5" t="str">
        <f ca="1">IFERROR(__xludf.DUMMYFUNCTION("""COMPUTED_VALUE"""),"Yes")</f>
        <v>Yes</v>
      </c>
      <c r="I636" s="5" t="str">
        <f ca="1">IFERROR(__xludf.DUMMYFUNCTION("""COMPUTED_VALUE"""),"Yes")</f>
        <v>Yes</v>
      </c>
      <c r="J636" s="5" t="str">
        <f ca="1">IFERROR(__xludf.DUMMYFUNCTION("""COMPUTED_VALUE"""),"Yes")</f>
        <v>Yes</v>
      </c>
      <c r="K636" s="5" t="str">
        <f ca="1">IFERROR(__xludf.DUMMYFUNCTION("""COMPUTED_VALUE"""),"Yes")</f>
        <v>Yes</v>
      </c>
      <c r="L636" s="5" t="str">
        <f ca="1">IFERROR(__xludf.DUMMYFUNCTION("""COMPUTED_VALUE"""),"Yes")</f>
        <v>Yes</v>
      </c>
      <c r="M636" s="5" t="str">
        <f ca="1">IFERROR(__xludf.DUMMYFUNCTION("""COMPUTED_VALUE"""),"Yes")</f>
        <v>Yes</v>
      </c>
      <c r="N636" s="5" t="str">
        <f ca="1">IFERROR(__xludf.DUMMYFUNCTION("""COMPUTED_VALUE"""),"Yes")</f>
        <v>Yes</v>
      </c>
      <c r="O636" s="5" t="str">
        <f ca="1">IFERROR(__xludf.DUMMYFUNCTION("""COMPUTED_VALUE"""),"Yes")</f>
        <v>Yes</v>
      </c>
      <c r="P636" s="5" t="str">
        <f ca="1">IFERROR(__xludf.DUMMYFUNCTION("""COMPUTED_VALUE"""),"Yes")</f>
        <v>Yes</v>
      </c>
      <c r="Q636" s="5" t="str">
        <f ca="1">IFERROR(__xludf.DUMMYFUNCTION("""COMPUTED_VALUE"""),"Yes")</f>
        <v>Yes</v>
      </c>
      <c r="R636" s="5" t="str">
        <f ca="1">IFERROR(__xludf.DUMMYFUNCTION("""COMPUTED_VALUE"""),"No")</f>
        <v>No</v>
      </c>
      <c r="S636" s="5" t="str">
        <f ca="1">IFERROR(__xludf.DUMMYFUNCTION("""COMPUTED_VALUE"""),"No")</f>
        <v>No</v>
      </c>
      <c r="T636" s="5" t="str">
        <f ca="1">IFERROR(__xludf.DUMMYFUNCTION("""COMPUTED_VALUE"""),"No")</f>
        <v>No</v>
      </c>
      <c r="U636" s="5" t="str">
        <f ca="1">IFERROR(__xludf.DUMMYFUNCTION("""COMPUTED_VALUE"""),"No")</f>
        <v>No</v>
      </c>
      <c r="V636" s="5" t="str">
        <f ca="1">IFERROR(__xludf.DUMMYFUNCTION("""COMPUTED_VALUE"""),"No")</f>
        <v>No</v>
      </c>
      <c r="W636" s="5" t="str">
        <f ca="1">IFERROR(__xludf.DUMMYFUNCTION("""COMPUTED_VALUE"""),"No")</f>
        <v>No</v>
      </c>
      <c r="X636" s="5" t="str">
        <f ca="1">IFERROR(__xludf.DUMMYFUNCTION("""COMPUTED_VALUE"""),"Yes")</f>
        <v>Yes</v>
      </c>
      <c r="Y636" s="5" t="str">
        <f ca="1">IFERROR(__xludf.DUMMYFUNCTION("""COMPUTED_VALUE"""),"No")</f>
        <v>No</v>
      </c>
      <c r="Z636" s="5" t="str">
        <f ca="1">IFERROR(__xludf.DUMMYFUNCTION("""COMPUTED_VALUE"""),"No")</f>
        <v>No</v>
      </c>
      <c r="AA636" s="5" t="str">
        <f ca="1">IFERROR(__xludf.DUMMYFUNCTION("""COMPUTED_VALUE"""),"No")</f>
        <v>No</v>
      </c>
      <c r="AB636" s="5" t="str">
        <f ca="1">IFERROR(__xludf.DUMMYFUNCTION("""COMPUTED_VALUE"""),"Yes")</f>
        <v>Yes</v>
      </c>
      <c r="AC636" s="5" t="str">
        <f ca="1">IFERROR(__xludf.DUMMYFUNCTION("""COMPUTED_VALUE"""),"No")</f>
        <v>No</v>
      </c>
    </row>
    <row r="637" spans="1:29" x14ac:dyDescent="0.25">
      <c r="A637" s="5" t="str">
        <f ca="1">IFERROR(__xludf.DUMMYFUNCTION("""COMPUTED_VALUE"""),"RedstoneLunarCoins")</f>
        <v>RedstoneLunarCoins</v>
      </c>
      <c r="B63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7" s="5" t="str">
        <f ca="1">IFERROR(__xludf.DUMMYFUNCTION("""COMPUTED_VALUE"""),"Yes")</f>
        <v>Yes</v>
      </c>
      <c r="D637" s="5" t="str">
        <f ca="1">IFERROR(__xludf.DUMMYFUNCTION("""COMPUTED_VALUE"""),"Yes")</f>
        <v>Yes</v>
      </c>
      <c r="E637" s="5" t="str">
        <f ca="1">IFERROR(__xludf.DUMMYFUNCTION("""COMPUTED_VALUE"""),"No")</f>
        <v>No</v>
      </c>
      <c r="F637" s="5" t="str">
        <f ca="1">IFERROR(__xludf.DUMMYFUNCTION("""COMPUTED_VALUE"""),"Yes")</f>
        <v>Yes</v>
      </c>
      <c r="G637" s="5" t="str">
        <f ca="1">IFERROR(__xludf.DUMMYFUNCTION("""COMPUTED_VALUE"""),"Yes")</f>
        <v>Yes</v>
      </c>
      <c r="H637" s="5" t="str">
        <f ca="1">IFERROR(__xludf.DUMMYFUNCTION("""COMPUTED_VALUE"""),"Yes")</f>
        <v>Yes</v>
      </c>
      <c r="I637" s="5" t="str">
        <f ca="1">IFERROR(__xludf.DUMMYFUNCTION("""COMPUTED_VALUE"""),"Yes")</f>
        <v>Yes</v>
      </c>
      <c r="J637" s="5" t="str">
        <f ca="1">IFERROR(__xludf.DUMMYFUNCTION("""COMPUTED_VALUE"""),"Yes")</f>
        <v>Yes</v>
      </c>
      <c r="K637" s="5" t="str">
        <f ca="1">IFERROR(__xludf.DUMMYFUNCTION("""COMPUTED_VALUE"""),"Yes")</f>
        <v>Yes</v>
      </c>
      <c r="L637" s="5" t="str">
        <f ca="1">IFERROR(__xludf.DUMMYFUNCTION("""COMPUTED_VALUE"""),"Yes")</f>
        <v>Yes</v>
      </c>
      <c r="M637" s="5" t="str">
        <f ca="1">IFERROR(__xludf.DUMMYFUNCTION("""COMPUTED_VALUE"""),"Yes")</f>
        <v>Yes</v>
      </c>
      <c r="N637" s="5" t="str">
        <f ca="1">IFERROR(__xludf.DUMMYFUNCTION("""COMPUTED_VALUE"""),"Yes")</f>
        <v>Yes</v>
      </c>
      <c r="O637" s="5" t="str">
        <f ca="1">IFERROR(__xludf.DUMMYFUNCTION("""COMPUTED_VALUE"""),"Yes")</f>
        <v>Yes</v>
      </c>
      <c r="P637" s="5" t="str">
        <f ca="1">IFERROR(__xludf.DUMMYFUNCTION("""COMPUTED_VALUE"""),"Yes")</f>
        <v>Yes</v>
      </c>
      <c r="Q637" s="5" t="str">
        <f ca="1">IFERROR(__xludf.DUMMYFUNCTION("""COMPUTED_VALUE"""),"Yes")</f>
        <v>Yes</v>
      </c>
      <c r="R637" s="5" t="str">
        <f ca="1">IFERROR(__xludf.DUMMYFUNCTION("""COMPUTED_VALUE"""),"No")</f>
        <v>No</v>
      </c>
      <c r="S637" s="5" t="str">
        <f ca="1">IFERROR(__xludf.DUMMYFUNCTION("""COMPUTED_VALUE"""),"No")</f>
        <v>No</v>
      </c>
      <c r="T637" s="5" t="str">
        <f ca="1">IFERROR(__xludf.DUMMYFUNCTION("""COMPUTED_VALUE"""),"No")</f>
        <v>No</v>
      </c>
      <c r="U637" s="5" t="str">
        <f ca="1">IFERROR(__xludf.DUMMYFUNCTION("""COMPUTED_VALUE"""),"No")</f>
        <v>No</v>
      </c>
      <c r="V637" s="5" t="str">
        <f ca="1">IFERROR(__xludf.DUMMYFUNCTION("""COMPUTED_VALUE"""),"No")</f>
        <v>No</v>
      </c>
      <c r="W637" s="5" t="str">
        <f ca="1">IFERROR(__xludf.DUMMYFUNCTION("""COMPUTED_VALUE"""),"No")</f>
        <v>No</v>
      </c>
      <c r="X637" s="5" t="str">
        <f ca="1">IFERROR(__xludf.DUMMYFUNCTION("""COMPUTED_VALUE"""),"Yes")</f>
        <v>Yes</v>
      </c>
      <c r="Y637" s="5" t="str">
        <f ca="1">IFERROR(__xludf.DUMMYFUNCTION("""COMPUTED_VALUE"""),"No")</f>
        <v>No</v>
      </c>
      <c r="Z637" s="5" t="str">
        <f ca="1">IFERROR(__xludf.DUMMYFUNCTION("""COMPUTED_VALUE"""),"No")</f>
        <v>No</v>
      </c>
      <c r="AA637" s="5" t="str">
        <f ca="1">IFERROR(__xludf.DUMMYFUNCTION("""COMPUTED_VALUE"""),"No")</f>
        <v>No</v>
      </c>
      <c r="AB637" s="5" t="str">
        <f ca="1">IFERROR(__xludf.DUMMYFUNCTION("""COMPUTED_VALUE"""),"Yes")</f>
        <v>Yes</v>
      </c>
      <c r="AC637" s="5" t="str">
        <f ca="1">IFERROR(__xludf.DUMMYFUNCTION("""COMPUTED_VALUE"""),"No")</f>
        <v>No</v>
      </c>
    </row>
    <row r="638" spans="1:29" x14ac:dyDescent="0.25">
      <c r="A638" s="5" t="str">
        <f ca="1">IFERROR(__xludf.DUMMYFUNCTION("""COMPUTED_VALUE"""),"Redstone5CloverFireBlast")</f>
        <v>Redstone5CloverFireBlast</v>
      </c>
      <c r="B63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8" s="5" t="str">
        <f ca="1">IFERROR(__xludf.DUMMYFUNCTION("""COMPUTED_VALUE"""),"Yes")</f>
        <v>Yes</v>
      </c>
      <c r="D638" s="5" t="str">
        <f ca="1">IFERROR(__xludf.DUMMYFUNCTION("""COMPUTED_VALUE"""),"Yes")</f>
        <v>Yes</v>
      </c>
      <c r="E638" s="5" t="str">
        <f ca="1">IFERROR(__xludf.DUMMYFUNCTION("""COMPUTED_VALUE"""),"No")</f>
        <v>No</v>
      </c>
      <c r="F638" s="5" t="str">
        <f ca="1">IFERROR(__xludf.DUMMYFUNCTION("""COMPUTED_VALUE"""),"Yes")</f>
        <v>Yes</v>
      </c>
      <c r="G638" s="5" t="str">
        <f ca="1">IFERROR(__xludf.DUMMYFUNCTION("""COMPUTED_VALUE"""),"Yes")</f>
        <v>Yes</v>
      </c>
      <c r="H638" s="5" t="str">
        <f ca="1">IFERROR(__xludf.DUMMYFUNCTION("""COMPUTED_VALUE"""),"Yes")</f>
        <v>Yes</v>
      </c>
      <c r="I638" s="5" t="str">
        <f ca="1">IFERROR(__xludf.DUMMYFUNCTION("""COMPUTED_VALUE"""),"Yes")</f>
        <v>Yes</v>
      </c>
      <c r="J638" s="5" t="str">
        <f ca="1">IFERROR(__xludf.DUMMYFUNCTION("""COMPUTED_VALUE"""),"Yes")</f>
        <v>Yes</v>
      </c>
      <c r="K638" s="5" t="str">
        <f ca="1">IFERROR(__xludf.DUMMYFUNCTION("""COMPUTED_VALUE"""),"Yes")</f>
        <v>Yes</v>
      </c>
      <c r="L638" s="5" t="str">
        <f ca="1">IFERROR(__xludf.DUMMYFUNCTION("""COMPUTED_VALUE"""),"Yes")</f>
        <v>Yes</v>
      </c>
      <c r="M638" s="5" t="str">
        <f ca="1">IFERROR(__xludf.DUMMYFUNCTION("""COMPUTED_VALUE"""),"Yes")</f>
        <v>Yes</v>
      </c>
      <c r="N638" s="5" t="str">
        <f ca="1">IFERROR(__xludf.DUMMYFUNCTION("""COMPUTED_VALUE"""),"Yes")</f>
        <v>Yes</v>
      </c>
      <c r="O638" s="5" t="str">
        <f ca="1">IFERROR(__xludf.DUMMYFUNCTION("""COMPUTED_VALUE"""),"Yes")</f>
        <v>Yes</v>
      </c>
      <c r="P638" s="5" t="str">
        <f ca="1">IFERROR(__xludf.DUMMYFUNCTION("""COMPUTED_VALUE"""),"Yes")</f>
        <v>Yes</v>
      </c>
      <c r="Q638" s="5" t="str">
        <f ca="1">IFERROR(__xludf.DUMMYFUNCTION("""COMPUTED_VALUE"""),"Yes")</f>
        <v>Yes</v>
      </c>
      <c r="R638" s="5" t="str">
        <f ca="1">IFERROR(__xludf.DUMMYFUNCTION("""COMPUTED_VALUE"""),"No")</f>
        <v>No</v>
      </c>
      <c r="S638" s="5" t="str">
        <f ca="1">IFERROR(__xludf.DUMMYFUNCTION("""COMPUTED_VALUE"""),"No")</f>
        <v>No</v>
      </c>
      <c r="T638" s="5" t="str">
        <f ca="1">IFERROR(__xludf.DUMMYFUNCTION("""COMPUTED_VALUE"""),"No")</f>
        <v>No</v>
      </c>
      <c r="U638" s="5" t="str">
        <f ca="1">IFERROR(__xludf.DUMMYFUNCTION("""COMPUTED_VALUE"""),"No")</f>
        <v>No</v>
      </c>
      <c r="V638" s="5" t="str">
        <f ca="1">IFERROR(__xludf.DUMMYFUNCTION("""COMPUTED_VALUE"""),"No")</f>
        <v>No</v>
      </c>
      <c r="W638" s="5" t="str">
        <f ca="1">IFERROR(__xludf.DUMMYFUNCTION("""COMPUTED_VALUE"""),"No")</f>
        <v>No</v>
      </c>
      <c r="X638" s="5" t="str">
        <f ca="1">IFERROR(__xludf.DUMMYFUNCTION("""COMPUTED_VALUE"""),"Yes")</f>
        <v>Yes</v>
      </c>
      <c r="Y638" s="5" t="str">
        <f ca="1">IFERROR(__xludf.DUMMYFUNCTION("""COMPUTED_VALUE"""),"No")</f>
        <v>No</v>
      </c>
      <c r="Z638" s="5" t="str">
        <f ca="1">IFERROR(__xludf.DUMMYFUNCTION("""COMPUTED_VALUE"""),"No")</f>
        <v>No</v>
      </c>
      <c r="AA638" s="5" t="str">
        <f ca="1">IFERROR(__xludf.DUMMYFUNCTION("""COMPUTED_VALUE"""),"No")</f>
        <v>No</v>
      </c>
      <c r="AB638" s="5" t="str">
        <f ca="1">IFERROR(__xludf.DUMMYFUNCTION("""COMPUTED_VALUE"""),"Yes")</f>
        <v>Yes</v>
      </c>
      <c r="AC638" s="5" t="str">
        <f ca="1">IFERROR(__xludf.DUMMYFUNCTION("""COMPUTED_VALUE"""),"No")</f>
        <v>No</v>
      </c>
    </row>
    <row r="639" spans="1:29" x14ac:dyDescent="0.25">
      <c r="A639" s="5" t="str">
        <f ca="1">IFERROR(__xludf.DUMMYFUNCTION("""COMPUTED_VALUE"""),"PlayNetMajesticCrownEaster")</f>
        <v>PlayNetMajesticCrownEaster</v>
      </c>
      <c r="B63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9" s="5" t="str">
        <f ca="1">IFERROR(__xludf.DUMMYFUNCTION("""COMPUTED_VALUE"""),"Yes")</f>
        <v>Yes</v>
      </c>
      <c r="D639" s="5" t="str">
        <f ca="1">IFERROR(__xludf.DUMMYFUNCTION("""COMPUTED_VALUE"""),"Yes")</f>
        <v>Yes</v>
      </c>
      <c r="E639" s="5" t="str">
        <f ca="1">IFERROR(__xludf.DUMMYFUNCTION("""COMPUTED_VALUE"""),"Yes")</f>
        <v>Yes</v>
      </c>
      <c r="F639" s="5" t="str">
        <f ca="1">IFERROR(__xludf.DUMMYFUNCTION("""COMPUTED_VALUE"""),"Yes")</f>
        <v>Yes</v>
      </c>
      <c r="G639" s="5" t="str">
        <f ca="1">IFERROR(__xludf.DUMMYFUNCTION("""COMPUTED_VALUE"""),"Yes")</f>
        <v>Yes</v>
      </c>
      <c r="H639" s="5" t="str">
        <f ca="1">IFERROR(__xludf.DUMMYFUNCTION("""COMPUTED_VALUE"""),"Yes")</f>
        <v>Yes</v>
      </c>
      <c r="I639" s="5" t="str">
        <f ca="1">IFERROR(__xludf.DUMMYFUNCTION("""COMPUTED_VALUE"""),"Yes")</f>
        <v>Yes</v>
      </c>
      <c r="J639" s="5" t="str">
        <f ca="1">IFERROR(__xludf.DUMMYFUNCTION("""COMPUTED_VALUE"""),"Yes")</f>
        <v>Yes</v>
      </c>
      <c r="K639" s="5" t="str">
        <f ca="1">IFERROR(__xludf.DUMMYFUNCTION("""COMPUTED_VALUE"""),"Yes")</f>
        <v>Yes</v>
      </c>
      <c r="L639" s="5" t="str">
        <f ca="1">IFERROR(__xludf.DUMMYFUNCTION("""COMPUTED_VALUE"""),"Yes")</f>
        <v>Yes</v>
      </c>
      <c r="M639" s="5" t="str">
        <f ca="1">IFERROR(__xludf.DUMMYFUNCTION("""COMPUTED_VALUE"""),"Yes")</f>
        <v>Yes</v>
      </c>
      <c r="N639" s="5" t="str">
        <f ca="1">IFERROR(__xludf.DUMMYFUNCTION("""COMPUTED_VALUE"""),"Yes")</f>
        <v>Yes</v>
      </c>
      <c r="O639" s="5" t="str">
        <f ca="1">IFERROR(__xludf.DUMMYFUNCTION("""COMPUTED_VALUE"""),"Yes")</f>
        <v>Yes</v>
      </c>
      <c r="P639" s="5" t="str">
        <f ca="1">IFERROR(__xludf.DUMMYFUNCTION("""COMPUTED_VALUE"""),"Yes")</f>
        <v>Yes</v>
      </c>
      <c r="Q639" s="5" t="str">
        <f ca="1">IFERROR(__xludf.DUMMYFUNCTION("""COMPUTED_VALUE"""),"Yes")</f>
        <v>Yes</v>
      </c>
      <c r="R639" s="5" t="str">
        <f ca="1">IFERROR(__xludf.DUMMYFUNCTION("""COMPUTED_VALUE"""),"No")</f>
        <v>No</v>
      </c>
      <c r="S639" s="5" t="str">
        <f ca="1">IFERROR(__xludf.DUMMYFUNCTION("""COMPUTED_VALUE"""),"No")</f>
        <v>No</v>
      </c>
      <c r="T639" s="5" t="str">
        <f ca="1">IFERROR(__xludf.DUMMYFUNCTION("""COMPUTED_VALUE"""),"No")</f>
        <v>No</v>
      </c>
      <c r="U639" s="5" t="str">
        <f ca="1">IFERROR(__xludf.DUMMYFUNCTION("""COMPUTED_VALUE"""),"No")</f>
        <v>No</v>
      </c>
      <c r="V639" s="5" t="str">
        <f ca="1">IFERROR(__xludf.DUMMYFUNCTION("""COMPUTED_VALUE"""),"No")</f>
        <v>No</v>
      </c>
      <c r="W639" s="5" t="str">
        <f ca="1">IFERROR(__xludf.DUMMYFUNCTION("""COMPUTED_VALUE"""),"No")</f>
        <v>No</v>
      </c>
      <c r="X639" s="5" t="str">
        <f ca="1">IFERROR(__xludf.DUMMYFUNCTION("""COMPUTED_VALUE"""),"Yes")</f>
        <v>Yes</v>
      </c>
      <c r="Y639" s="5" t="str">
        <f ca="1">IFERROR(__xludf.DUMMYFUNCTION("""COMPUTED_VALUE"""),"No")</f>
        <v>No</v>
      </c>
      <c r="Z639" s="5" t="str">
        <f ca="1">IFERROR(__xludf.DUMMYFUNCTION("""COMPUTED_VALUE"""),"No")</f>
        <v>No</v>
      </c>
      <c r="AA639" s="5" t="str">
        <f ca="1">IFERROR(__xludf.DUMMYFUNCTION("""COMPUTED_VALUE"""),"No")</f>
        <v>No</v>
      </c>
      <c r="AB639" s="5" t="str">
        <f ca="1">IFERROR(__xludf.DUMMYFUNCTION("""COMPUTED_VALUE"""),"Yes")</f>
        <v>Yes</v>
      </c>
      <c r="AC639" s="5" t="str">
        <f ca="1">IFERROR(__xludf.DUMMYFUNCTION("""COMPUTED_VALUE"""),"No")</f>
        <v>No</v>
      </c>
    </row>
    <row r="640" spans="1:29" x14ac:dyDescent="0.25">
      <c r="A640" s="5" t="str">
        <f ca="1">IFERROR(__xludf.DUMMYFUNCTION("""COMPUTED_VALUE"""),"PlayNetTropicTwist")</f>
        <v>PlayNetTropicTwist</v>
      </c>
      <c r="B64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40" s="5" t="str">
        <f ca="1">IFERROR(__xludf.DUMMYFUNCTION("""COMPUTED_VALUE"""),"Yes")</f>
        <v>Yes</v>
      </c>
      <c r="D640" s="5" t="str">
        <f ca="1">IFERROR(__xludf.DUMMYFUNCTION("""COMPUTED_VALUE"""),"Yes")</f>
        <v>Yes</v>
      </c>
      <c r="E640" s="5" t="str">
        <f ca="1">IFERROR(__xludf.DUMMYFUNCTION("""COMPUTED_VALUE"""),"Yes")</f>
        <v>Yes</v>
      </c>
      <c r="F640" s="5" t="str">
        <f ca="1">IFERROR(__xludf.DUMMYFUNCTION("""COMPUTED_VALUE"""),"Yes")</f>
        <v>Yes</v>
      </c>
      <c r="G640" s="5" t="str">
        <f ca="1">IFERROR(__xludf.DUMMYFUNCTION("""COMPUTED_VALUE"""),"Yes")</f>
        <v>Yes</v>
      </c>
      <c r="H640" s="5" t="str">
        <f ca="1">IFERROR(__xludf.DUMMYFUNCTION("""COMPUTED_VALUE"""),"Yes")</f>
        <v>Yes</v>
      </c>
      <c r="I640" s="5" t="str">
        <f ca="1">IFERROR(__xludf.DUMMYFUNCTION("""COMPUTED_VALUE"""),"Yes")</f>
        <v>Yes</v>
      </c>
      <c r="J640" s="5" t="str">
        <f ca="1">IFERROR(__xludf.DUMMYFUNCTION("""COMPUTED_VALUE"""),"Yes")</f>
        <v>Yes</v>
      </c>
      <c r="K640" s="5" t="str">
        <f ca="1">IFERROR(__xludf.DUMMYFUNCTION("""COMPUTED_VALUE"""),"Yes")</f>
        <v>Yes</v>
      </c>
      <c r="L640" s="5" t="str">
        <f ca="1">IFERROR(__xludf.DUMMYFUNCTION("""COMPUTED_VALUE"""),"Yes")</f>
        <v>Yes</v>
      </c>
      <c r="M640" s="5" t="str">
        <f ca="1">IFERROR(__xludf.DUMMYFUNCTION("""COMPUTED_VALUE"""),"Yes")</f>
        <v>Yes</v>
      </c>
      <c r="N640" s="5" t="str">
        <f ca="1">IFERROR(__xludf.DUMMYFUNCTION("""COMPUTED_VALUE"""),"Yes")</f>
        <v>Yes</v>
      </c>
      <c r="O640" s="5" t="str">
        <f ca="1">IFERROR(__xludf.DUMMYFUNCTION("""COMPUTED_VALUE"""),"Yes")</f>
        <v>Yes</v>
      </c>
      <c r="P640" s="5" t="str">
        <f ca="1">IFERROR(__xludf.DUMMYFUNCTION("""COMPUTED_VALUE"""),"Yes")</f>
        <v>Yes</v>
      </c>
      <c r="Q640" s="5" t="str">
        <f ca="1">IFERROR(__xludf.DUMMYFUNCTION("""COMPUTED_VALUE"""),"Yes")</f>
        <v>Yes</v>
      </c>
      <c r="R640" s="5"/>
      <c r="S640" s="5"/>
      <c r="T640" s="5"/>
      <c r="U640" s="5"/>
      <c r="V640" s="5"/>
      <c r="W640" s="5"/>
      <c r="X640" s="5"/>
      <c r="Y640" s="5"/>
      <c r="Z640" s="5"/>
      <c r="AA640" s="5"/>
      <c r="AB640" s="5" t="str">
        <f ca="1">IFERROR(__xludf.DUMMYFUNCTION("""COMPUTED_VALUE"""),"Yes")</f>
        <v>Yes</v>
      </c>
      <c r="AC640" s="5"/>
    </row>
    <row r="641" spans="1:29" x14ac:dyDescent="0.25">
      <c r="A641" s="5" t="str">
        <f ca="1">IFERROR(__xludf.DUMMYFUNCTION("""COMPUTED_VALUE"""),"UnicornSuperDiceRunner")</f>
        <v>UnicornSuperDiceRunner</v>
      </c>
      <c r="B641" s="5" t="str">
        <f ca="1">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C641" s="5" t="str">
        <f ca="1">IFERROR(__xludf.DUMMYFUNCTION("""COMPUTED_VALUE"""),"Yes")</f>
        <v>Yes</v>
      </c>
      <c r="D641" s="5" t="str">
        <f ca="1">IFERROR(__xludf.DUMMYFUNCTION("""COMPUTED_VALUE"""),"Yes")</f>
        <v>Yes</v>
      </c>
      <c r="E641" s="5" t="str">
        <f ca="1">IFERROR(__xludf.DUMMYFUNCTION("""COMPUTED_VALUE"""),"No")</f>
        <v>No</v>
      </c>
      <c r="F641" s="5" t="str">
        <f ca="1">IFERROR(__xludf.DUMMYFUNCTION("""COMPUTED_VALUE"""),"Yes")</f>
        <v>Yes</v>
      </c>
      <c r="G641" s="5" t="str">
        <f ca="1">IFERROR(__xludf.DUMMYFUNCTION("""COMPUTED_VALUE"""),"Yes")</f>
        <v>Yes</v>
      </c>
      <c r="H641" s="5" t="str">
        <f ca="1">IFERROR(__xludf.DUMMYFUNCTION("""COMPUTED_VALUE"""),"Yes")</f>
        <v>Yes</v>
      </c>
      <c r="I641" s="5"/>
      <c r="J641" s="5" t="str">
        <f ca="1">IFERROR(__xludf.DUMMYFUNCTION("""COMPUTED_VALUE"""),"Yes")</f>
        <v>Yes</v>
      </c>
      <c r="K641" s="5" t="str">
        <f ca="1">IFERROR(__xludf.DUMMYFUNCTION("""COMPUTED_VALUE"""),"Yes")</f>
        <v>Yes</v>
      </c>
      <c r="L641" s="5" t="str">
        <f ca="1">IFERROR(__xludf.DUMMYFUNCTION("""COMPUTED_VALUE"""),"Yes")</f>
        <v>Yes</v>
      </c>
      <c r="M641" s="5" t="str">
        <f ca="1">IFERROR(__xludf.DUMMYFUNCTION("""COMPUTED_VALUE"""),"Yes")</f>
        <v>Yes</v>
      </c>
      <c r="N641" s="5" t="str">
        <f ca="1">IFERROR(__xludf.DUMMYFUNCTION("""COMPUTED_VALUE"""),"Yes")</f>
        <v>Yes</v>
      </c>
      <c r="O641" s="5" t="str">
        <f ca="1">IFERROR(__xludf.DUMMYFUNCTION("""COMPUTED_VALUE"""),"Yes")</f>
        <v>Yes</v>
      </c>
      <c r="P641" s="5" t="str">
        <f ca="1">IFERROR(__xludf.DUMMYFUNCTION("""COMPUTED_VALUE"""),"Yes")</f>
        <v>Yes</v>
      </c>
      <c r="Q641" s="5" t="str">
        <f ca="1">IFERROR(__xludf.DUMMYFUNCTION("""COMPUTED_VALUE"""),"Yes")</f>
        <v>Yes</v>
      </c>
      <c r="R641" s="5" t="str">
        <f ca="1">IFERROR(__xludf.DUMMYFUNCTION("""COMPUTED_VALUE"""),"No")</f>
        <v>No</v>
      </c>
      <c r="S641" s="5" t="str">
        <f ca="1">IFERROR(__xludf.DUMMYFUNCTION("""COMPUTED_VALUE"""),"No")</f>
        <v>No</v>
      </c>
      <c r="T641" s="5" t="str">
        <f ca="1">IFERROR(__xludf.DUMMYFUNCTION("""COMPUTED_VALUE"""),"No")</f>
        <v>No</v>
      </c>
      <c r="U641" s="5" t="str">
        <f ca="1">IFERROR(__xludf.DUMMYFUNCTION("""COMPUTED_VALUE"""),"No")</f>
        <v>No</v>
      </c>
      <c r="V641" s="5" t="str">
        <f ca="1">IFERROR(__xludf.DUMMYFUNCTION("""COMPUTED_VALUE"""),"No")</f>
        <v>No</v>
      </c>
      <c r="W641" s="5" t="str">
        <f ca="1">IFERROR(__xludf.DUMMYFUNCTION("""COMPUTED_VALUE"""),"No")</f>
        <v>No</v>
      </c>
      <c r="X641" s="5" t="str">
        <f ca="1">IFERROR(__xludf.DUMMYFUNCTION("""COMPUTED_VALUE"""),"Yes")</f>
        <v>Yes</v>
      </c>
      <c r="Y641" s="5" t="str">
        <f ca="1">IFERROR(__xludf.DUMMYFUNCTION("""COMPUTED_VALUE"""),"No")</f>
        <v>No</v>
      </c>
      <c r="Z641" s="5" t="str">
        <f ca="1">IFERROR(__xludf.DUMMYFUNCTION("""COMPUTED_VALUE"""),"No")</f>
        <v>No</v>
      </c>
      <c r="AA641" s="5" t="str">
        <f ca="1">IFERROR(__xludf.DUMMYFUNCTION("""COMPUTED_VALUE"""),"No")</f>
        <v>No</v>
      </c>
      <c r="AB641" s="5" t="str">
        <f ca="1">IFERROR(__xludf.DUMMYFUNCTION("""COMPUTED_VALUE"""),"Yes")</f>
        <v>Yes</v>
      </c>
      <c r="AC641" s="5" t="str">
        <f ca="1">IFERROR(__xludf.DUMMYFUNCTION("""COMPUTED_VALUE"""),"No")</f>
        <v>No</v>
      </c>
    </row>
    <row r="642" spans="1:29" x14ac:dyDescent="0.25">
      <c r="A642" s="5" t="str">
        <f ca="1">IFERROR(__xludf.DUMMYFUNCTION("""COMPUTED_VALUE"""),"UnicornLuckyGinger")</f>
        <v>UnicornLuckyGinger</v>
      </c>
      <c r="B642" s="5" t="str">
        <f ca="1">IFERROR(__xludf.DUMMYFUNCTION("""COMPUTED_VALUE"""),"")</f>
        <v/>
      </c>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row>
    <row r="643" spans="1:29" x14ac:dyDescent="0.25">
      <c r="A643" s="5" t="str">
        <f ca="1">IFERROR(__xludf.DUMMYFUNCTION("""COMPUTED_VALUE"""),"UnicornLionsSevensExtreme")</f>
        <v>UnicornLionsSevensExtreme</v>
      </c>
      <c r="B64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43" s="5" t="str">
        <f ca="1">IFERROR(__xludf.DUMMYFUNCTION("""COMPUTED_VALUE"""),"Yes")</f>
        <v>Yes</v>
      </c>
      <c r="D643" s="5" t="str">
        <f ca="1">IFERROR(__xludf.DUMMYFUNCTION("""COMPUTED_VALUE"""),"Yes")</f>
        <v>Yes</v>
      </c>
      <c r="E643" s="5" t="str">
        <f ca="1">IFERROR(__xludf.DUMMYFUNCTION("""COMPUTED_VALUE"""),"No")</f>
        <v>No</v>
      </c>
      <c r="F643" s="5" t="str">
        <f ca="1">IFERROR(__xludf.DUMMYFUNCTION("""COMPUTED_VALUE"""),"Yes")</f>
        <v>Yes</v>
      </c>
      <c r="G643" s="5" t="str">
        <f ca="1">IFERROR(__xludf.DUMMYFUNCTION("""COMPUTED_VALUE"""),"Yes")</f>
        <v>Yes</v>
      </c>
      <c r="H643" s="5" t="str">
        <f ca="1">IFERROR(__xludf.DUMMYFUNCTION("""COMPUTED_VALUE"""),"Yes")</f>
        <v>Yes</v>
      </c>
      <c r="I643" s="5" t="str">
        <f ca="1">IFERROR(__xludf.DUMMYFUNCTION("""COMPUTED_VALUE"""),"Yes")</f>
        <v>Yes</v>
      </c>
      <c r="J643" s="5" t="str">
        <f ca="1">IFERROR(__xludf.DUMMYFUNCTION("""COMPUTED_VALUE"""),"Yes")</f>
        <v>Yes</v>
      </c>
      <c r="K643" s="5" t="str">
        <f ca="1">IFERROR(__xludf.DUMMYFUNCTION("""COMPUTED_VALUE"""),"Yes")</f>
        <v>Yes</v>
      </c>
      <c r="L643" s="5" t="str">
        <f ca="1">IFERROR(__xludf.DUMMYFUNCTION("""COMPUTED_VALUE"""),"Yes")</f>
        <v>Yes</v>
      </c>
      <c r="M643" s="5" t="str">
        <f ca="1">IFERROR(__xludf.DUMMYFUNCTION("""COMPUTED_VALUE"""),"Yes")</f>
        <v>Yes</v>
      </c>
      <c r="N643" s="5" t="str">
        <f ca="1">IFERROR(__xludf.DUMMYFUNCTION("""COMPUTED_VALUE"""),"Yes")</f>
        <v>Yes</v>
      </c>
      <c r="O643" s="5" t="str">
        <f ca="1">IFERROR(__xludf.DUMMYFUNCTION("""COMPUTED_VALUE"""),"Yes")</f>
        <v>Yes</v>
      </c>
      <c r="P643" s="5" t="str">
        <f ca="1">IFERROR(__xludf.DUMMYFUNCTION("""COMPUTED_VALUE"""),"Yes")</f>
        <v>Yes</v>
      </c>
      <c r="Q643" s="5" t="str">
        <f ca="1">IFERROR(__xludf.DUMMYFUNCTION("""COMPUTED_VALUE"""),"Yes")</f>
        <v>Yes</v>
      </c>
      <c r="R643" s="5" t="str">
        <f ca="1">IFERROR(__xludf.DUMMYFUNCTION("""COMPUTED_VALUE"""),"No")</f>
        <v>No</v>
      </c>
      <c r="S643" s="5" t="str">
        <f ca="1">IFERROR(__xludf.DUMMYFUNCTION("""COMPUTED_VALUE"""),"No")</f>
        <v>No</v>
      </c>
      <c r="T643" s="5" t="str">
        <f ca="1">IFERROR(__xludf.DUMMYFUNCTION("""COMPUTED_VALUE"""),"No")</f>
        <v>No</v>
      </c>
      <c r="U643" s="5" t="str">
        <f ca="1">IFERROR(__xludf.DUMMYFUNCTION("""COMPUTED_VALUE"""),"No")</f>
        <v>No</v>
      </c>
      <c r="V643" s="5" t="str">
        <f ca="1">IFERROR(__xludf.DUMMYFUNCTION("""COMPUTED_VALUE"""),"No")</f>
        <v>No</v>
      </c>
      <c r="W643" s="5"/>
      <c r="X643" s="5" t="str">
        <f ca="1">IFERROR(__xludf.DUMMYFUNCTION("""COMPUTED_VALUE"""),"No")</f>
        <v>No</v>
      </c>
      <c r="Y643" s="5"/>
      <c r="Z643" s="5"/>
      <c r="AA643" s="5"/>
      <c r="AB643" s="5" t="str">
        <f ca="1">IFERROR(__xludf.DUMMYFUNCTION("""COMPUTED_VALUE"""),"Yes")</f>
        <v>Yes</v>
      </c>
      <c r="AC643" s="5"/>
    </row>
    <row r="644" spans="1:29" x14ac:dyDescent="0.25">
      <c r="A644" s="5" t="str">
        <f ca="1">IFERROR(__xludf.DUMMYFUNCTION("""COMPUTED_VALUE"""),"UnicornCoyoteSevensJackpot")</f>
        <v>UnicornCoyoteSevensJackpot</v>
      </c>
      <c r="B644" s="5" t="str">
        <f ca="1">IFERROR(__xludf.DUMMYFUNCTION("""COMPUTED_VALUE"""),"English(""eng"")")</f>
        <v>English("eng")</v>
      </c>
      <c r="C644" s="5" t="str">
        <f ca="1">IFERROR(__xludf.DUMMYFUNCTION("""COMPUTED_VALUE"""),"Yes")</f>
        <v>Yes</v>
      </c>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row>
    <row r="645" spans="1:29" x14ac:dyDescent="0.25">
      <c r="A645" s="5" t="str">
        <f ca="1">IFERROR(__xludf.DUMMYFUNCTION("""COMPUTED_VALUE"""),"UnicornDragonGems")</f>
        <v>UnicornDragonGems</v>
      </c>
      <c r="B645" s="5" t="str">
        <f ca="1">IFERROR(__xludf.DUMMYFUNCTION("""COMPUTED_VALUE"""),"English(""eng"")")</f>
        <v>English("eng")</v>
      </c>
      <c r="C645" s="5" t="str">
        <f ca="1">IFERROR(__xludf.DUMMYFUNCTION("""COMPUTED_VALUE"""),"Yes")</f>
        <v>Yes</v>
      </c>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row>
    <row r="646" spans="1:29" x14ac:dyDescent="0.25">
      <c r="A646" s="5" t="str">
        <f ca="1">IFERROR(__xludf.DUMMYFUNCTION("""COMPUTED_VALUE"""),"UnicornByeBouse")</f>
        <v>UnicornByeBouse</v>
      </c>
      <c r="B646" s="5" t="str">
        <f ca="1">IFERROR(__xludf.DUMMYFUNCTION("""COMPUTED_VALUE"""),"English(""eng"")")</f>
        <v>English("eng")</v>
      </c>
      <c r="C646" s="5" t="str">
        <f ca="1">IFERROR(__xludf.DUMMYFUNCTION("""COMPUTED_VALUE"""),"Yes")</f>
        <v>Yes</v>
      </c>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row>
    <row r="647" spans="1:29" x14ac:dyDescent="0.25">
      <c r="A647" s="5" t="str">
        <f ca="1">IFERROR(__xludf.DUMMYFUNCTION("""COMPUTED_VALUE"""),"UnicornTripleRoyalWilds")</f>
        <v>UnicornTripleRoyalWilds</v>
      </c>
      <c r="B647" s="5" t="str">
        <f ca="1">IFERROR(__xludf.DUMMYFUNCTION("""COMPUTED_VALUE"""),"English(""eng"")")</f>
        <v>English("eng")</v>
      </c>
      <c r="C647" s="5" t="str">
        <f ca="1">IFERROR(__xludf.DUMMYFUNCTION("""COMPUTED_VALUE"""),"Yes")</f>
        <v>Yes</v>
      </c>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row>
    <row r="648" spans="1:29" x14ac:dyDescent="0.25">
      <c r="A648" s="5" t="str">
        <f ca="1">IFERROR(__xludf.DUMMYFUNCTION("""COMPUTED_VALUE"""),"GoldenDiamonds5Extreme")</f>
        <v>GoldenDiamonds5Extreme</v>
      </c>
      <c r="B6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8" s="5" t="str">
        <f ca="1">IFERROR(__xludf.DUMMYFUNCTION("""COMPUTED_VALUE"""),"Yes")</f>
        <v>Yes</v>
      </c>
      <c r="D648" s="5" t="str">
        <f ca="1">IFERROR(__xludf.DUMMYFUNCTION("""COMPUTED_VALUE"""),"Yes")</f>
        <v>Yes</v>
      </c>
      <c r="E648" s="5" t="str">
        <f ca="1">IFERROR(__xludf.DUMMYFUNCTION("""COMPUTED_VALUE"""),"Yes")</f>
        <v>Yes</v>
      </c>
      <c r="F648" s="5" t="str">
        <f ca="1">IFERROR(__xludf.DUMMYFUNCTION("""COMPUTED_VALUE"""),"Yes")</f>
        <v>Yes</v>
      </c>
      <c r="G648" s="5" t="str">
        <f ca="1">IFERROR(__xludf.DUMMYFUNCTION("""COMPUTED_VALUE"""),"Yes")</f>
        <v>Yes</v>
      </c>
      <c r="H648" s="5" t="str">
        <f ca="1">IFERROR(__xludf.DUMMYFUNCTION("""COMPUTED_VALUE"""),"Yes")</f>
        <v>Yes</v>
      </c>
      <c r="I648" s="5" t="str">
        <f ca="1">IFERROR(__xludf.DUMMYFUNCTION("""COMPUTED_VALUE"""),"Yes")</f>
        <v>Yes</v>
      </c>
      <c r="J648" s="5" t="str">
        <f ca="1">IFERROR(__xludf.DUMMYFUNCTION("""COMPUTED_VALUE"""),"Yes")</f>
        <v>Yes</v>
      </c>
      <c r="K648" s="5" t="str">
        <f ca="1">IFERROR(__xludf.DUMMYFUNCTION("""COMPUTED_VALUE"""),"Yes")</f>
        <v>Yes</v>
      </c>
      <c r="L648" s="5" t="str">
        <f ca="1">IFERROR(__xludf.DUMMYFUNCTION("""COMPUTED_VALUE"""),"Yes")</f>
        <v>Yes</v>
      </c>
      <c r="M648" s="5" t="str">
        <f ca="1">IFERROR(__xludf.DUMMYFUNCTION("""COMPUTED_VALUE"""),"Yes")</f>
        <v>Yes</v>
      </c>
      <c r="N648" s="5" t="str">
        <f ca="1">IFERROR(__xludf.DUMMYFUNCTION("""COMPUTED_VALUE"""),"Yes")</f>
        <v>Yes</v>
      </c>
      <c r="O648" s="5" t="str">
        <f ca="1">IFERROR(__xludf.DUMMYFUNCTION("""COMPUTED_VALUE"""),"Yes")</f>
        <v>Yes</v>
      </c>
      <c r="P648" s="5" t="str">
        <f ca="1">IFERROR(__xludf.DUMMYFUNCTION("""COMPUTED_VALUE"""),"Yes")</f>
        <v>Yes</v>
      </c>
      <c r="Q648" s="5" t="str">
        <f ca="1">IFERROR(__xludf.DUMMYFUNCTION("""COMPUTED_VALUE"""),"Yes")</f>
        <v>Yes</v>
      </c>
      <c r="R648" s="5" t="str">
        <f ca="1">IFERROR(__xludf.DUMMYFUNCTION("""COMPUTED_VALUE"""),"Yes")</f>
        <v>Yes</v>
      </c>
      <c r="S648" s="5" t="str">
        <f ca="1">IFERROR(__xludf.DUMMYFUNCTION("""COMPUTED_VALUE"""),"Yes")</f>
        <v>Yes</v>
      </c>
      <c r="T648" s="5" t="str">
        <f ca="1">IFERROR(__xludf.DUMMYFUNCTION("""COMPUTED_VALUE"""),"Yes")</f>
        <v>Yes</v>
      </c>
      <c r="U648" s="5" t="str">
        <f ca="1">IFERROR(__xludf.DUMMYFUNCTION("""COMPUTED_VALUE"""),"Yes")</f>
        <v>Yes</v>
      </c>
      <c r="V648" s="5" t="str">
        <f ca="1">IFERROR(__xludf.DUMMYFUNCTION("""COMPUTED_VALUE"""),"Yes")</f>
        <v>Yes</v>
      </c>
      <c r="W648" s="5" t="str">
        <f ca="1">IFERROR(__xludf.DUMMYFUNCTION("""COMPUTED_VALUE"""),"Yes")</f>
        <v>Yes</v>
      </c>
      <c r="X648" s="5" t="str">
        <f ca="1">IFERROR(__xludf.DUMMYFUNCTION("""COMPUTED_VALUE"""),"Yes")</f>
        <v>Yes</v>
      </c>
      <c r="Y648" s="5" t="str">
        <f ca="1">IFERROR(__xludf.DUMMYFUNCTION("""COMPUTED_VALUE"""),"Yes")</f>
        <v>Yes</v>
      </c>
      <c r="Z648" s="5" t="str">
        <f ca="1">IFERROR(__xludf.DUMMYFUNCTION("""COMPUTED_VALUE"""),"Yes")</f>
        <v>Yes</v>
      </c>
      <c r="AA648" s="5" t="str">
        <f ca="1">IFERROR(__xludf.DUMMYFUNCTION("""COMPUTED_VALUE"""),"Yes")</f>
        <v>Yes</v>
      </c>
      <c r="AB648" s="5" t="str">
        <f ca="1">IFERROR(__xludf.DUMMYFUNCTION("""COMPUTED_VALUE"""),"Yes")</f>
        <v>Yes</v>
      </c>
      <c r="AC648" s="5" t="str">
        <f ca="1">IFERROR(__xludf.DUMMYFUNCTION("""COMPUTED_VALUE"""),"No")</f>
        <v>No</v>
      </c>
    </row>
    <row r="649" spans="1:29" x14ac:dyDescent="0.25">
      <c r="A649" s="5" t="str">
        <f ca="1">IFERROR(__xludf.DUMMYFUNCTION("""COMPUTED_VALUE"""),"GoldenDiamonds10Extreme")</f>
        <v>GoldenDiamonds10Extreme</v>
      </c>
      <c r="B6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9" s="5" t="str">
        <f ca="1">IFERROR(__xludf.DUMMYFUNCTION("""COMPUTED_VALUE"""),"Yes")</f>
        <v>Yes</v>
      </c>
      <c r="D649" s="5" t="str">
        <f ca="1">IFERROR(__xludf.DUMMYFUNCTION("""COMPUTED_VALUE"""),"Yes")</f>
        <v>Yes</v>
      </c>
      <c r="E649" s="5" t="str">
        <f ca="1">IFERROR(__xludf.DUMMYFUNCTION("""COMPUTED_VALUE"""),"Yes")</f>
        <v>Yes</v>
      </c>
      <c r="F649" s="5" t="str">
        <f ca="1">IFERROR(__xludf.DUMMYFUNCTION("""COMPUTED_VALUE"""),"Yes")</f>
        <v>Yes</v>
      </c>
      <c r="G649" s="5" t="str">
        <f ca="1">IFERROR(__xludf.DUMMYFUNCTION("""COMPUTED_VALUE"""),"Yes")</f>
        <v>Yes</v>
      </c>
      <c r="H649" s="5" t="str">
        <f ca="1">IFERROR(__xludf.DUMMYFUNCTION("""COMPUTED_VALUE"""),"Yes")</f>
        <v>Yes</v>
      </c>
      <c r="I649" s="5" t="str">
        <f ca="1">IFERROR(__xludf.DUMMYFUNCTION("""COMPUTED_VALUE"""),"Yes")</f>
        <v>Yes</v>
      </c>
      <c r="J649" s="5" t="str">
        <f ca="1">IFERROR(__xludf.DUMMYFUNCTION("""COMPUTED_VALUE"""),"Yes")</f>
        <v>Yes</v>
      </c>
      <c r="K649" s="5" t="str">
        <f ca="1">IFERROR(__xludf.DUMMYFUNCTION("""COMPUTED_VALUE"""),"Yes")</f>
        <v>Yes</v>
      </c>
      <c r="L649" s="5" t="str">
        <f ca="1">IFERROR(__xludf.DUMMYFUNCTION("""COMPUTED_VALUE"""),"Yes")</f>
        <v>Yes</v>
      </c>
      <c r="M649" s="5" t="str">
        <f ca="1">IFERROR(__xludf.DUMMYFUNCTION("""COMPUTED_VALUE"""),"Yes")</f>
        <v>Yes</v>
      </c>
      <c r="N649" s="5" t="str">
        <f ca="1">IFERROR(__xludf.DUMMYFUNCTION("""COMPUTED_VALUE"""),"Yes")</f>
        <v>Yes</v>
      </c>
      <c r="O649" s="5" t="str">
        <f ca="1">IFERROR(__xludf.DUMMYFUNCTION("""COMPUTED_VALUE"""),"Yes")</f>
        <v>Yes</v>
      </c>
      <c r="P649" s="5" t="str">
        <f ca="1">IFERROR(__xludf.DUMMYFUNCTION("""COMPUTED_VALUE"""),"Yes")</f>
        <v>Yes</v>
      </c>
      <c r="Q649" s="5" t="str">
        <f ca="1">IFERROR(__xludf.DUMMYFUNCTION("""COMPUTED_VALUE"""),"Yes")</f>
        <v>Yes</v>
      </c>
      <c r="R649" s="5" t="str">
        <f ca="1">IFERROR(__xludf.DUMMYFUNCTION("""COMPUTED_VALUE"""),"Yes")</f>
        <v>Yes</v>
      </c>
      <c r="S649" s="5" t="str">
        <f ca="1">IFERROR(__xludf.DUMMYFUNCTION("""COMPUTED_VALUE"""),"Yes")</f>
        <v>Yes</v>
      </c>
      <c r="T649" s="5" t="str">
        <f ca="1">IFERROR(__xludf.DUMMYFUNCTION("""COMPUTED_VALUE"""),"Yes")</f>
        <v>Yes</v>
      </c>
      <c r="U649" s="5" t="str">
        <f ca="1">IFERROR(__xludf.DUMMYFUNCTION("""COMPUTED_VALUE"""),"Yes")</f>
        <v>Yes</v>
      </c>
      <c r="V649" s="5" t="str">
        <f ca="1">IFERROR(__xludf.DUMMYFUNCTION("""COMPUTED_VALUE"""),"Yes")</f>
        <v>Yes</v>
      </c>
      <c r="W649" s="5" t="str">
        <f ca="1">IFERROR(__xludf.DUMMYFUNCTION("""COMPUTED_VALUE"""),"Yes")</f>
        <v>Yes</v>
      </c>
      <c r="X649" s="5" t="str">
        <f ca="1">IFERROR(__xludf.DUMMYFUNCTION("""COMPUTED_VALUE"""),"Yes")</f>
        <v>Yes</v>
      </c>
      <c r="Y649" s="5" t="str">
        <f ca="1">IFERROR(__xludf.DUMMYFUNCTION("""COMPUTED_VALUE"""),"Yes")</f>
        <v>Yes</v>
      </c>
      <c r="Z649" s="5" t="str">
        <f ca="1">IFERROR(__xludf.DUMMYFUNCTION("""COMPUTED_VALUE"""),"Yes")</f>
        <v>Yes</v>
      </c>
      <c r="AA649" s="5" t="str">
        <f ca="1">IFERROR(__xludf.DUMMYFUNCTION("""COMPUTED_VALUE"""),"Yes")</f>
        <v>Yes</v>
      </c>
      <c r="AB649" s="5" t="str">
        <f ca="1">IFERROR(__xludf.DUMMYFUNCTION("""COMPUTED_VALUE"""),"Yes")</f>
        <v>Yes</v>
      </c>
      <c r="AC649" s="5" t="str">
        <f ca="1">IFERROR(__xludf.DUMMYFUNCTION("""COMPUTED_VALUE"""),"No")</f>
        <v>No</v>
      </c>
    </row>
    <row r="650" spans="1:29" x14ac:dyDescent="0.25">
      <c r="A650" s="5" t="str">
        <f ca="1">IFERROR(__xludf.DUMMYFUNCTION("""COMPUTED_VALUE"""),"GoldenDiamonds20Extreme")</f>
        <v>GoldenDiamonds20Extreme</v>
      </c>
      <c r="B6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0" s="5" t="str">
        <f ca="1">IFERROR(__xludf.DUMMYFUNCTION("""COMPUTED_VALUE"""),"Yes")</f>
        <v>Yes</v>
      </c>
      <c r="D650" s="5" t="str">
        <f ca="1">IFERROR(__xludf.DUMMYFUNCTION("""COMPUTED_VALUE"""),"Yes")</f>
        <v>Yes</v>
      </c>
      <c r="E650" s="5" t="str">
        <f ca="1">IFERROR(__xludf.DUMMYFUNCTION("""COMPUTED_VALUE"""),"Yes")</f>
        <v>Yes</v>
      </c>
      <c r="F650" s="5" t="str">
        <f ca="1">IFERROR(__xludf.DUMMYFUNCTION("""COMPUTED_VALUE"""),"Yes")</f>
        <v>Yes</v>
      </c>
      <c r="G650" s="5" t="str">
        <f ca="1">IFERROR(__xludf.DUMMYFUNCTION("""COMPUTED_VALUE"""),"Yes")</f>
        <v>Yes</v>
      </c>
      <c r="H650" s="5" t="str">
        <f ca="1">IFERROR(__xludf.DUMMYFUNCTION("""COMPUTED_VALUE"""),"Yes")</f>
        <v>Yes</v>
      </c>
      <c r="I650" s="5" t="str">
        <f ca="1">IFERROR(__xludf.DUMMYFUNCTION("""COMPUTED_VALUE"""),"Yes")</f>
        <v>Yes</v>
      </c>
      <c r="J650" s="5" t="str">
        <f ca="1">IFERROR(__xludf.DUMMYFUNCTION("""COMPUTED_VALUE"""),"Yes")</f>
        <v>Yes</v>
      </c>
      <c r="K650" s="5" t="str">
        <f ca="1">IFERROR(__xludf.DUMMYFUNCTION("""COMPUTED_VALUE"""),"Yes")</f>
        <v>Yes</v>
      </c>
      <c r="L650" s="5" t="str">
        <f ca="1">IFERROR(__xludf.DUMMYFUNCTION("""COMPUTED_VALUE"""),"Yes")</f>
        <v>Yes</v>
      </c>
      <c r="M650" s="5" t="str">
        <f ca="1">IFERROR(__xludf.DUMMYFUNCTION("""COMPUTED_VALUE"""),"Yes")</f>
        <v>Yes</v>
      </c>
      <c r="N650" s="5" t="str">
        <f ca="1">IFERROR(__xludf.DUMMYFUNCTION("""COMPUTED_VALUE"""),"Yes")</f>
        <v>Yes</v>
      </c>
      <c r="O650" s="5" t="str">
        <f ca="1">IFERROR(__xludf.DUMMYFUNCTION("""COMPUTED_VALUE"""),"Yes")</f>
        <v>Yes</v>
      </c>
      <c r="P650" s="5" t="str">
        <f ca="1">IFERROR(__xludf.DUMMYFUNCTION("""COMPUTED_VALUE"""),"Yes")</f>
        <v>Yes</v>
      </c>
      <c r="Q650" s="5" t="str">
        <f ca="1">IFERROR(__xludf.DUMMYFUNCTION("""COMPUTED_VALUE"""),"Yes")</f>
        <v>Yes</v>
      </c>
      <c r="R650" s="5" t="str">
        <f ca="1">IFERROR(__xludf.DUMMYFUNCTION("""COMPUTED_VALUE"""),"Yes")</f>
        <v>Yes</v>
      </c>
      <c r="S650" s="5" t="str">
        <f ca="1">IFERROR(__xludf.DUMMYFUNCTION("""COMPUTED_VALUE"""),"Yes")</f>
        <v>Yes</v>
      </c>
      <c r="T650" s="5" t="str">
        <f ca="1">IFERROR(__xludf.DUMMYFUNCTION("""COMPUTED_VALUE"""),"Yes")</f>
        <v>Yes</v>
      </c>
      <c r="U650" s="5" t="str">
        <f ca="1">IFERROR(__xludf.DUMMYFUNCTION("""COMPUTED_VALUE"""),"Yes")</f>
        <v>Yes</v>
      </c>
      <c r="V650" s="5" t="str">
        <f ca="1">IFERROR(__xludf.DUMMYFUNCTION("""COMPUTED_VALUE"""),"Yes")</f>
        <v>Yes</v>
      </c>
      <c r="W650" s="5" t="str">
        <f ca="1">IFERROR(__xludf.DUMMYFUNCTION("""COMPUTED_VALUE"""),"Yes")</f>
        <v>Yes</v>
      </c>
      <c r="X650" s="5" t="str">
        <f ca="1">IFERROR(__xludf.DUMMYFUNCTION("""COMPUTED_VALUE"""),"Yes")</f>
        <v>Yes</v>
      </c>
      <c r="Y650" s="5" t="str">
        <f ca="1">IFERROR(__xludf.DUMMYFUNCTION("""COMPUTED_VALUE"""),"Yes")</f>
        <v>Yes</v>
      </c>
      <c r="Z650" s="5" t="str">
        <f ca="1">IFERROR(__xludf.DUMMYFUNCTION("""COMPUTED_VALUE"""),"Yes")</f>
        <v>Yes</v>
      </c>
      <c r="AA650" s="5" t="str">
        <f ca="1">IFERROR(__xludf.DUMMYFUNCTION("""COMPUTED_VALUE"""),"Yes")</f>
        <v>Yes</v>
      </c>
      <c r="AB650" s="5" t="str">
        <f ca="1">IFERROR(__xludf.DUMMYFUNCTION("""COMPUTED_VALUE"""),"Yes")</f>
        <v>Yes</v>
      </c>
      <c r="AC650" s="5" t="str">
        <f ca="1">IFERROR(__xludf.DUMMYFUNCTION("""COMPUTED_VALUE"""),"No")</f>
        <v>No</v>
      </c>
    </row>
    <row r="651" spans="1:29" x14ac:dyDescent="0.25">
      <c r="A651" s="5" t="str">
        <f ca="1">IFERROR(__xludf.DUMMYFUNCTION("""COMPUTED_VALUE"""),"GoldenDiamonds40Extreme")</f>
        <v>GoldenDiamonds40Extreme</v>
      </c>
      <c r="B6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1" s="5" t="str">
        <f ca="1">IFERROR(__xludf.DUMMYFUNCTION("""COMPUTED_VALUE"""),"Yes")</f>
        <v>Yes</v>
      </c>
      <c r="D651" s="5" t="str">
        <f ca="1">IFERROR(__xludf.DUMMYFUNCTION("""COMPUTED_VALUE"""),"Yes")</f>
        <v>Yes</v>
      </c>
      <c r="E651" s="5" t="str">
        <f ca="1">IFERROR(__xludf.DUMMYFUNCTION("""COMPUTED_VALUE"""),"Yes")</f>
        <v>Yes</v>
      </c>
      <c r="F651" s="5" t="str">
        <f ca="1">IFERROR(__xludf.DUMMYFUNCTION("""COMPUTED_VALUE"""),"Yes")</f>
        <v>Yes</v>
      </c>
      <c r="G651" s="5" t="str">
        <f ca="1">IFERROR(__xludf.DUMMYFUNCTION("""COMPUTED_VALUE"""),"Yes")</f>
        <v>Yes</v>
      </c>
      <c r="H651" s="5" t="str">
        <f ca="1">IFERROR(__xludf.DUMMYFUNCTION("""COMPUTED_VALUE"""),"Yes")</f>
        <v>Yes</v>
      </c>
      <c r="I651" s="5" t="str">
        <f ca="1">IFERROR(__xludf.DUMMYFUNCTION("""COMPUTED_VALUE"""),"Yes")</f>
        <v>Yes</v>
      </c>
      <c r="J651" s="5" t="str">
        <f ca="1">IFERROR(__xludf.DUMMYFUNCTION("""COMPUTED_VALUE"""),"Yes")</f>
        <v>Yes</v>
      </c>
      <c r="K651" s="5" t="str">
        <f ca="1">IFERROR(__xludf.DUMMYFUNCTION("""COMPUTED_VALUE"""),"Yes")</f>
        <v>Yes</v>
      </c>
      <c r="L651" s="5" t="str">
        <f ca="1">IFERROR(__xludf.DUMMYFUNCTION("""COMPUTED_VALUE"""),"Yes")</f>
        <v>Yes</v>
      </c>
      <c r="M651" s="5" t="str">
        <f ca="1">IFERROR(__xludf.DUMMYFUNCTION("""COMPUTED_VALUE"""),"Yes")</f>
        <v>Yes</v>
      </c>
      <c r="N651" s="5" t="str">
        <f ca="1">IFERROR(__xludf.DUMMYFUNCTION("""COMPUTED_VALUE"""),"Yes")</f>
        <v>Yes</v>
      </c>
      <c r="O651" s="5" t="str">
        <f ca="1">IFERROR(__xludf.DUMMYFUNCTION("""COMPUTED_VALUE"""),"Yes")</f>
        <v>Yes</v>
      </c>
      <c r="P651" s="5" t="str">
        <f ca="1">IFERROR(__xludf.DUMMYFUNCTION("""COMPUTED_VALUE"""),"Yes")</f>
        <v>Yes</v>
      </c>
      <c r="Q651" s="5" t="str">
        <f ca="1">IFERROR(__xludf.DUMMYFUNCTION("""COMPUTED_VALUE"""),"Yes")</f>
        <v>Yes</v>
      </c>
      <c r="R651" s="5" t="str">
        <f ca="1">IFERROR(__xludf.DUMMYFUNCTION("""COMPUTED_VALUE"""),"Yes")</f>
        <v>Yes</v>
      </c>
      <c r="S651" s="5" t="str">
        <f ca="1">IFERROR(__xludf.DUMMYFUNCTION("""COMPUTED_VALUE"""),"Yes")</f>
        <v>Yes</v>
      </c>
      <c r="T651" s="5" t="str">
        <f ca="1">IFERROR(__xludf.DUMMYFUNCTION("""COMPUTED_VALUE"""),"Yes")</f>
        <v>Yes</v>
      </c>
      <c r="U651" s="5" t="str">
        <f ca="1">IFERROR(__xludf.DUMMYFUNCTION("""COMPUTED_VALUE"""),"Yes")</f>
        <v>Yes</v>
      </c>
      <c r="V651" s="5" t="str">
        <f ca="1">IFERROR(__xludf.DUMMYFUNCTION("""COMPUTED_VALUE"""),"Yes")</f>
        <v>Yes</v>
      </c>
      <c r="W651" s="5" t="str">
        <f ca="1">IFERROR(__xludf.DUMMYFUNCTION("""COMPUTED_VALUE"""),"Yes")</f>
        <v>Yes</v>
      </c>
      <c r="X651" s="5" t="str">
        <f ca="1">IFERROR(__xludf.DUMMYFUNCTION("""COMPUTED_VALUE"""),"Yes")</f>
        <v>Yes</v>
      </c>
      <c r="Y651" s="5" t="str">
        <f ca="1">IFERROR(__xludf.DUMMYFUNCTION("""COMPUTED_VALUE"""),"Yes")</f>
        <v>Yes</v>
      </c>
      <c r="Z651" s="5" t="str">
        <f ca="1">IFERROR(__xludf.DUMMYFUNCTION("""COMPUTED_VALUE"""),"Yes")</f>
        <v>Yes</v>
      </c>
      <c r="AA651" s="5" t="str">
        <f ca="1">IFERROR(__xludf.DUMMYFUNCTION("""COMPUTED_VALUE"""),"Yes")</f>
        <v>Yes</v>
      </c>
      <c r="AB651" s="5" t="str">
        <f ca="1">IFERROR(__xludf.DUMMYFUNCTION("""COMPUTED_VALUE"""),"Yes")</f>
        <v>Yes</v>
      </c>
      <c r="AC651" s="5" t="str">
        <f ca="1">IFERROR(__xludf.DUMMYFUNCTION("""COMPUTED_VALUE"""),"No")</f>
        <v>No</v>
      </c>
    </row>
    <row r="652" spans="1:29" x14ac:dyDescent="0.25">
      <c r="A652" s="5" t="str">
        <f ca="1">IFERROR(__xludf.DUMMYFUNCTION("""COMPUTED_VALUE"""),"VeryHot5ExtremeBooster")</f>
        <v>VeryHot5ExtremeBooster</v>
      </c>
      <c r="B6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2" s="5" t="str">
        <f ca="1">IFERROR(__xludf.DUMMYFUNCTION("""COMPUTED_VALUE"""),"Yes")</f>
        <v>Yes</v>
      </c>
      <c r="D652" s="5" t="str">
        <f ca="1">IFERROR(__xludf.DUMMYFUNCTION("""COMPUTED_VALUE"""),"Yes")</f>
        <v>Yes</v>
      </c>
      <c r="E652" s="5" t="str">
        <f ca="1">IFERROR(__xludf.DUMMYFUNCTION("""COMPUTED_VALUE"""),"Yes")</f>
        <v>Yes</v>
      </c>
      <c r="F652" s="5" t="str">
        <f ca="1">IFERROR(__xludf.DUMMYFUNCTION("""COMPUTED_VALUE"""),"Yes")</f>
        <v>Yes</v>
      </c>
      <c r="G652" s="5" t="str">
        <f ca="1">IFERROR(__xludf.DUMMYFUNCTION("""COMPUTED_VALUE"""),"Yes")</f>
        <v>Yes</v>
      </c>
      <c r="H652" s="5" t="str">
        <f ca="1">IFERROR(__xludf.DUMMYFUNCTION("""COMPUTED_VALUE"""),"Yes")</f>
        <v>Yes</v>
      </c>
      <c r="I652" s="5" t="str">
        <f ca="1">IFERROR(__xludf.DUMMYFUNCTION("""COMPUTED_VALUE"""),"Yes")</f>
        <v>Yes</v>
      </c>
      <c r="J652" s="5" t="str">
        <f ca="1">IFERROR(__xludf.DUMMYFUNCTION("""COMPUTED_VALUE"""),"Yes")</f>
        <v>Yes</v>
      </c>
      <c r="K652" s="5" t="str">
        <f ca="1">IFERROR(__xludf.DUMMYFUNCTION("""COMPUTED_VALUE"""),"Yes")</f>
        <v>Yes</v>
      </c>
      <c r="L652" s="5" t="str">
        <f ca="1">IFERROR(__xludf.DUMMYFUNCTION("""COMPUTED_VALUE"""),"Yes")</f>
        <v>Yes</v>
      </c>
      <c r="M652" s="5" t="str">
        <f ca="1">IFERROR(__xludf.DUMMYFUNCTION("""COMPUTED_VALUE"""),"Yes")</f>
        <v>Yes</v>
      </c>
      <c r="N652" s="5" t="str">
        <f ca="1">IFERROR(__xludf.DUMMYFUNCTION("""COMPUTED_VALUE"""),"Yes")</f>
        <v>Yes</v>
      </c>
      <c r="O652" s="5" t="str">
        <f ca="1">IFERROR(__xludf.DUMMYFUNCTION("""COMPUTED_VALUE"""),"Yes")</f>
        <v>Yes</v>
      </c>
      <c r="P652" s="5" t="str">
        <f ca="1">IFERROR(__xludf.DUMMYFUNCTION("""COMPUTED_VALUE"""),"Yes")</f>
        <v>Yes</v>
      </c>
      <c r="Q652" s="5" t="str">
        <f ca="1">IFERROR(__xludf.DUMMYFUNCTION("""COMPUTED_VALUE"""),"Yes")</f>
        <v>Yes</v>
      </c>
      <c r="R652" s="5" t="str">
        <f ca="1">IFERROR(__xludf.DUMMYFUNCTION("""COMPUTED_VALUE"""),"Yes")</f>
        <v>Yes</v>
      </c>
      <c r="S652" s="5" t="str">
        <f ca="1">IFERROR(__xludf.DUMMYFUNCTION("""COMPUTED_VALUE"""),"Yes")</f>
        <v>Yes</v>
      </c>
      <c r="T652" s="5" t="str">
        <f ca="1">IFERROR(__xludf.DUMMYFUNCTION("""COMPUTED_VALUE"""),"Yes")</f>
        <v>Yes</v>
      </c>
      <c r="U652" s="5" t="str">
        <f ca="1">IFERROR(__xludf.DUMMYFUNCTION("""COMPUTED_VALUE"""),"Yes")</f>
        <v>Yes</v>
      </c>
      <c r="V652" s="5" t="str">
        <f ca="1">IFERROR(__xludf.DUMMYFUNCTION("""COMPUTED_VALUE"""),"Yes")</f>
        <v>Yes</v>
      </c>
      <c r="W652" s="5" t="str">
        <f ca="1">IFERROR(__xludf.DUMMYFUNCTION("""COMPUTED_VALUE"""),"Yes")</f>
        <v>Yes</v>
      </c>
      <c r="X652" s="5" t="str">
        <f ca="1">IFERROR(__xludf.DUMMYFUNCTION("""COMPUTED_VALUE"""),"Yes")</f>
        <v>Yes</v>
      </c>
      <c r="Y652" s="5" t="str">
        <f ca="1">IFERROR(__xludf.DUMMYFUNCTION("""COMPUTED_VALUE"""),"Yes")</f>
        <v>Yes</v>
      </c>
      <c r="Z652" s="5" t="str">
        <f ca="1">IFERROR(__xludf.DUMMYFUNCTION("""COMPUTED_VALUE"""),"Yes")</f>
        <v>Yes</v>
      </c>
      <c r="AA652" s="5" t="str">
        <f ca="1">IFERROR(__xludf.DUMMYFUNCTION("""COMPUTED_VALUE"""),"Yes")</f>
        <v>Yes</v>
      </c>
      <c r="AB652" s="5" t="str">
        <f ca="1">IFERROR(__xludf.DUMMYFUNCTION("""COMPUTED_VALUE"""),"Yes")</f>
        <v>Yes</v>
      </c>
      <c r="AC652" s="5" t="str">
        <f ca="1">IFERROR(__xludf.DUMMYFUNCTION("""COMPUTED_VALUE"""),"No")</f>
        <v>No</v>
      </c>
    </row>
    <row r="653" spans="1:29" x14ac:dyDescent="0.25">
      <c r="A653" s="5" t="str">
        <f ca="1">IFERROR(__xludf.DUMMYFUNCTION("""COMPUTED_VALUE"""),"LockedHearts10")</f>
        <v>LockedHearts10</v>
      </c>
      <c r="B6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3" s="5" t="str">
        <f ca="1">IFERROR(__xludf.DUMMYFUNCTION("""COMPUTED_VALUE"""),"Yes")</f>
        <v>Yes</v>
      </c>
      <c r="D653" s="5" t="str">
        <f ca="1">IFERROR(__xludf.DUMMYFUNCTION("""COMPUTED_VALUE"""),"Yes")</f>
        <v>Yes</v>
      </c>
      <c r="E653" s="5" t="str">
        <f ca="1">IFERROR(__xludf.DUMMYFUNCTION("""COMPUTED_VALUE"""),"Yes")</f>
        <v>Yes</v>
      </c>
      <c r="F653" s="5" t="str">
        <f ca="1">IFERROR(__xludf.DUMMYFUNCTION("""COMPUTED_VALUE"""),"Yes")</f>
        <v>Yes</v>
      </c>
      <c r="G653" s="5" t="str">
        <f ca="1">IFERROR(__xludf.DUMMYFUNCTION("""COMPUTED_VALUE"""),"Yes")</f>
        <v>Yes</v>
      </c>
      <c r="H653" s="5" t="str">
        <f ca="1">IFERROR(__xludf.DUMMYFUNCTION("""COMPUTED_VALUE"""),"Yes")</f>
        <v>Yes</v>
      </c>
      <c r="I653" s="5" t="str">
        <f ca="1">IFERROR(__xludf.DUMMYFUNCTION("""COMPUTED_VALUE"""),"Yes")</f>
        <v>Yes</v>
      </c>
      <c r="J653" s="5" t="str">
        <f ca="1">IFERROR(__xludf.DUMMYFUNCTION("""COMPUTED_VALUE"""),"Yes")</f>
        <v>Yes</v>
      </c>
      <c r="K653" s="5" t="str">
        <f ca="1">IFERROR(__xludf.DUMMYFUNCTION("""COMPUTED_VALUE"""),"Yes")</f>
        <v>Yes</v>
      </c>
      <c r="L653" s="5" t="str">
        <f ca="1">IFERROR(__xludf.DUMMYFUNCTION("""COMPUTED_VALUE"""),"Yes")</f>
        <v>Yes</v>
      </c>
      <c r="M653" s="5" t="str">
        <f ca="1">IFERROR(__xludf.DUMMYFUNCTION("""COMPUTED_VALUE"""),"Yes")</f>
        <v>Yes</v>
      </c>
      <c r="N653" s="5" t="str">
        <f ca="1">IFERROR(__xludf.DUMMYFUNCTION("""COMPUTED_VALUE"""),"Yes")</f>
        <v>Yes</v>
      </c>
      <c r="O653" s="5" t="str">
        <f ca="1">IFERROR(__xludf.DUMMYFUNCTION("""COMPUTED_VALUE"""),"Yes")</f>
        <v>Yes</v>
      </c>
      <c r="P653" s="5" t="str">
        <f ca="1">IFERROR(__xludf.DUMMYFUNCTION("""COMPUTED_VALUE"""),"Yes")</f>
        <v>Yes</v>
      </c>
      <c r="Q653" s="5" t="str">
        <f ca="1">IFERROR(__xludf.DUMMYFUNCTION("""COMPUTED_VALUE"""),"Yes")</f>
        <v>Yes</v>
      </c>
      <c r="R653" s="5" t="str">
        <f ca="1">IFERROR(__xludf.DUMMYFUNCTION("""COMPUTED_VALUE"""),"Yes")</f>
        <v>Yes</v>
      </c>
      <c r="S653" s="5" t="str">
        <f ca="1">IFERROR(__xludf.DUMMYFUNCTION("""COMPUTED_VALUE"""),"Yes")</f>
        <v>Yes</v>
      </c>
      <c r="T653" s="5" t="str">
        <f ca="1">IFERROR(__xludf.DUMMYFUNCTION("""COMPUTED_VALUE"""),"Yes")</f>
        <v>Yes</v>
      </c>
      <c r="U653" s="5" t="str">
        <f ca="1">IFERROR(__xludf.DUMMYFUNCTION("""COMPUTED_VALUE"""),"Yes")</f>
        <v>Yes</v>
      </c>
      <c r="V653" s="5" t="str">
        <f ca="1">IFERROR(__xludf.DUMMYFUNCTION("""COMPUTED_VALUE"""),"Yes")</f>
        <v>Yes</v>
      </c>
      <c r="W653" s="5" t="str">
        <f ca="1">IFERROR(__xludf.DUMMYFUNCTION("""COMPUTED_VALUE"""),"Yes")</f>
        <v>Yes</v>
      </c>
      <c r="X653" s="5" t="str">
        <f ca="1">IFERROR(__xludf.DUMMYFUNCTION("""COMPUTED_VALUE"""),"Yes")</f>
        <v>Yes</v>
      </c>
      <c r="Y653" s="5" t="str">
        <f ca="1">IFERROR(__xludf.DUMMYFUNCTION("""COMPUTED_VALUE"""),"Yes")</f>
        <v>Yes</v>
      </c>
      <c r="Z653" s="5" t="str">
        <f ca="1">IFERROR(__xludf.DUMMYFUNCTION("""COMPUTED_VALUE"""),"Yes")</f>
        <v>Yes</v>
      </c>
      <c r="AA653" s="5" t="str">
        <f ca="1">IFERROR(__xludf.DUMMYFUNCTION("""COMPUTED_VALUE"""),"Yes")</f>
        <v>Yes</v>
      </c>
      <c r="AB653" s="5" t="str">
        <f ca="1">IFERROR(__xludf.DUMMYFUNCTION("""COMPUTED_VALUE"""),"Yes")</f>
        <v>Yes</v>
      </c>
      <c r="AC653" s="5" t="str">
        <f ca="1">IFERROR(__xludf.DUMMYFUNCTION("""COMPUTED_VALUE"""),"No")</f>
        <v>No</v>
      </c>
    </row>
    <row r="654" spans="1:29" x14ac:dyDescent="0.25">
      <c r="A654" s="5" t="str">
        <f ca="1">IFERROR(__xludf.DUMMYFUNCTION("""COMPUTED_VALUE"""),"LockedHearts5")</f>
        <v>LockedHearts5</v>
      </c>
      <c r="B6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4" s="5" t="str">
        <f ca="1">IFERROR(__xludf.DUMMYFUNCTION("""COMPUTED_VALUE"""),"Yes")</f>
        <v>Yes</v>
      </c>
      <c r="D654" s="5" t="str">
        <f ca="1">IFERROR(__xludf.DUMMYFUNCTION("""COMPUTED_VALUE"""),"Yes")</f>
        <v>Yes</v>
      </c>
      <c r="E654" s="5" t="str">
        <f ca="1">IFERROR(__xludf.DUMMYFUNCTION("""COMPUTED_VALUE"""),"Yes")</f>
        <v>Yes</v>
      </c>
      <c r="F654" s="5" t="str">
        <f ca="1">IFERROR(__xludf.DUMMYFUNCTION("""COMPUTED_VALUE"""),"Yes")</f>
        <v>Yes</v>
      </c>
      <c r="G654" s="5" t="str">
        <f ca="1">IFERROR(__xludf.DUMMYFUNCTION("""COMPUTED_VALUE"""),"Yes")</f>
        <v>Yes</v>
      </c>
      <c r="H654" s="5" t="str">
        <f ca="1">IFERROR(__xludf.DUMMYFUNCTION("""COMPUTED_VALUE"""),"Yes")</f>
        <v>Yes</v>
      </c>
      <c r="I654" s="5" t="str">
        <f ca="1">IFERROR(__xludf.DUMMYFUNCTION("""COMPUTED_VALUE"""),"Yes")</f>
        <v>Yes</v>
      </c>
      <c r="J654" s="5" t="str">
        <f ca="1">IFERROR(__xludf.DUMMYFUNCTION("""COMPUTED_VALUE"""),"Yes")</f>
        <v>Yes</v>
      </c>
      <c r="K654" s="5" t="str">
        <f ca="1">IFERROR(__xludf.DUMMYFUNCTION("""COMPUTED_VALUE"""),"Yes")</f>
        <v>Yes</v>
      </c>
      <c r="L654" s="5" t="str">
        <f ca="1">IFERROR(__xludf.DUMMYFUNCTION("""COMPUTED_VALUE"""),"Yes")</f>
        <v>Yes</v>
      </c>
      <c r="M654" s="5" t="str">
        <f ca="1">IFERROR(__xludf.DUMMYFUNCTION("""COMPUTED_VALUE"""),"Yes")</f>
        <v>Yes</v>
      </c>
      <c r="N654" s="5" t="str">
        <f ca="1">IFERROR(__xludf.DUMMYFUNCTION("""COMPUTED_VALUE"""),"Yes")</f>
        <v>Yes</v>
      </c>
      <c r="O654" s="5" t="str">
        <f ca="1">IFERROR(__xludf.DUMMYFUNCTION("""COMPUTED_VALUE"""),"Yes")</f>
        <v>Yes</v>
      </c>
      <c r="P654" s="5" t="str">
        <f ca="1">IFERROR(__xludf.DUMMYFUNCTION("""COMPUTED_VALUE"""),"Yes")</f>
        <v>Yes</v>
      </c>
      <c r="Q654" s="5" t="str">
        <f ca="1">IFERROR(__xludf.DUMMYFUNCTION("""COMPUTED_VALUE"""),"Yes")</f>
        <v>Yes</v>
      </c>
      <c r="R654" s="5" t="str">
        <f ca="1">IFERROR(__xludf.DUMMYFUNCTION("""COMPUTED_VALUE"""),"Yes")</f>
        <v>Yes</v>
      </c>
      <c r="S654" s="5" t="str">
        <f ca="1">IFERROR(__xludf.DUMMYFUNCTION("""COMPUTED_VALUE"""),"Yes")</f>
        <v>Yes</v>
      </c>
      <c r="T654" s="5" t="str">
        <f ca="1">IFERROR(__xludf.DUMMYFUNCTION("""COMPUTED_VALUE"""),"Yes")</f>
        <v>Yes</v>
      </c>
      <c r="U654" s="5" t="str">
        <f ca="1">IFERROR(__xludf.DUMMYFUNCTION("""COMPUTED_VALUE"""),"Yes")</f>
        <v>Yes</v>
      </c>
      <c r="V654" s="5" t="str">
        <f ca="1">IFERROR(__xludf.DUMMYFUNCTION("""COMPUTED_VALUE"""),"Yes")</f>
        <v>Yes</v>
      </c>
      <c r="W654" s="5" t="str">
        <f ca="1">IFERROR(__xludf.DUMMYFUNCTION("""COMPUTED_VALUE"""),"Yes")</f>
        <v>Yes</v>
      </c>
      <c r="X654" s="5" t="str">
        <f ca="1">IFERROR(__xludf.DUMMYFUNCTION("""COMPUTED_VALUE"""),"Yes")</f>
        <v>Yes</v>
      </c>
      <c r="Y654" s="5" t="str">
        <f ca="1">IFERROR(__xludf.DUMMYFUNCTION("""COMPUTED_VALUE"""),"Yes")</f>
        <v>Yes</v>
      </c>
      <c r="Z654" s="5" t="str">
        <f ca="1">IFERROR(__xludf.DUMMYFUNCTION("""COMPUTED_VALUE"""),"Yes")</f>
        <v>Yes</v>
      </c>
      <c r="AA654" s="5" t="str">
        <f ca="1">IFERROR(__xludf.DUMMYFUNCTION("""COMPUTED_VALUE"""),"Yes")</f>
        <v>Yes</v>
      </c>
      <c r="AB654" s="5" t="str">
        <f ca="1">IFERROR(__xludf.DUMMYFUNCTION("""COMPUTED_VALUE"""),"Yes")</f>
        <v>Yes</v>
      </c>
      <c r="AC654" s="5" t="str">
        <f ca="1">IFERROR(__xludf.DUMMYFUNCTION("""COMPUTED_VALUE"""),"No")</f>
        <v>No</v>
      </c>
    </row>
    <row r="655" spans="1:29" x14ac:dyDescent="0.25">
      <c r="A655" s="5" t="str">
        <f ca="1">IFERROR(__xludf.DUMMYFUNCTION("""COMPUTED_VALUE"""),"LockedHearts20")</f>
        <v>LockedHearts20</v>
      </c>
      <c r="B6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5" s="5" t="str">
        <f ca="1">IFERROR(__xludf.DUMMYFUNCTION("""COMPUTED_VALUE"""),"Yes")</f>
        <v>Yes</v>
      </c>
      <c r="D655" s="5" t="str">
        <f ca="1">IFERROR(__xludf.DUMMYFUNCTION("""COMPUTED_VALUE"""),"Yes")</f>
        <v>Yes</v>
      </c>
      <c r="E655" s="5" t="str">
        <f ca="1">IFERROR(__xludf.DUMMYFUNCTION("""COMPUTED_VALUE"""),"Yes")</f>
        <v>Yes</v>
      </c>
      <c r="F655" s="5" t="str">
        <f ca="1">IFERROR(__xludf.DUMMYFUNCTION("""COMPUTED_VALUE"""),"Yes")</f>
        <v>Yes</v>
      </c>
      <c r="G655" s="5" t="str">
        <f ca="1">IFERROR(__xludf.DUMMYFUNCTION("""COMPUTED_VALUE"""),"Yes")</f>
        <v>Yes</v>
      </c>
      <c r="H655" s="5" t="str">
        <f ca="1">IFERROR(__xludf.DUMMYFUNCTION("""COMPUTED_VALUE"""),"Yes")</f>
        <v>Yes</v>
      </c>
      <c r="I655" s="5" t="str">
        <f ca="1">IFERROR(__xludf.DUMMYFUNCTION("""COMPUTED_VALUE"""),"Yes")</f>
        <v>Yes</v>
      </c>
      <c r="J655" s="5" t="str">
        <f ca="1">IFERROR(__xludf.DUMMYFUNCTION("""COMPUTED_VALUE"""),"Yes")</f>
        <v>Yes</v>
      </c>
      <c r="K655" s="5" t="str">
        <f ca="1">IFERROR(__xludf.DUMMYFUNCTION("""COMPUTED_VALUE"""),"Yes")</f>
        <v>Yes</v>
      </c>
      <c r="L655" s="5" t="str">
        <f ca="1">IFERROR(__xludf.DUMMYFUNCTION("""COMPUTED_VALUE"""),"Yes")</f>
        <v>Yes</v>
      </c>
      <c r="M655" s="5" t="str">
        <f ca="1">IFERROR(__xludf.DUMMYFUNCTION("""COMPUTED_VALUE"""),"Yes")</f>
        <v>Yes</v>
      </c>
      <c r="N655" s="5" t="str">
        <f ca="1">IFERROR(__xludf.DUMMYFUNCTION("""COMPUTED_VALUE"""),"Yes")</f>
        <v>Yes</v>
      </c>
      <c r="O655" s="5" t="str">
        <f ca="1">IFERROR(__xludf.DUMMYFUNCTION("""COMPUTED_VALUE"""),"Yes")</f>
        <v>Yes</v>
      </c>
      <c r="P655" s="5" t="str">
        <f ca="1">IFERROR(__xludf.DUMMYFUNCTION("""COMPUTED_VALUE"""),"Yes")</f>
        <v>Yes</v>
      </c>
      <c r="Q655" s="5" t="str">
        <f ca="1">IFERROR(__xludf.DUMMYFUNCTION("""COMPUTED_VALUE"""),"Yes")</f>
        <v>Yes</v>
      </c>
      <c r="R655" s="5" t="str">
        <f ca="1">IFERROR(__xludf.DUMMYFUNCTION("""COMPUTED_VALUE"""),"Yes")</f>
        <v>Yes</v>
      </c>
      <c r="S655" s="5" t="str">
        <f ca="1">IFERROR(__xludf.DUMMYFUNCTION("""COMPUTED_VALUE"""),"Yes")</f>
        <v>Yes</v>
      </c>
      <c r="T655" s="5" t="str">
        <f ca="1">IFERROR(__xludf.DUMMYFUNCTION("""COMPUTED_VALUE"""),"Yes")</f>
        <v>Yes</v>
      </c>
      <c r="U655" s="5" t="str">
        <f ca="1">IFERROR(__xludf.DUMMYFUNCTION("""COMPUTED_VALUE"""),"Yes")</f>
        <v>Yes</v>
      </c>
      <c r="V655" s="5" t="str">
        <f ca="1">IFERROR(__xludf.DUMMYFUNCTION("""COMPUTED_VALUE"""),"Yes")</f>
        <v>Yes</v>
      </c>
      <c r="W655" s="5" t="str">
        <f ca="1">IFERROR(__xludf.DUMMYFUNCTION("""COMPUTED_VALUE"""),"Yes")</f>
        <v>Yes</v>
      </c>
      <c r="X655" s="5" t="str">
        <f ca="1">IFERROR(__xludf.DUMMYFUNCTION("""COMPUTED_VALUE"""),"Yes")</f>
        <v>Yes</v>
      </c>
      <c r="Y655" s="5" t="str">
        <f ca="1">IFERROR(__xludf.DUMMYFUNCTION("""COMPUTED_VALUE"""),"Yes")</f>
        <v>Yes</v>
      </c>
      <c r="Z655" s="5" t="str">
        <f ca="1">IFERROR(__xludf.DUMMYFUNCTION("""COMPUTED_VALUE"""),"Yes")</f>
        <v>Yes</v>
      </c>
      <c r="AA655" s="5" t="str">
        <f ca="1">IFERROR(__xludf.DUMMYFUNCTION("""COMPUTED_VALUE"""),"Yes")</f>
        <v>Yes</v>
      </c>
      <c r="AB655" s="5" t="str">
        <f ca="1">IFERROR(__xludf.DUMMYFUNCTION("""COMPUTED_VALUE"""),"Yes")</f>
        <v>Yes</v>
      </c>
      <c r="AC655" s="5" t="str">
        <f ca="1">IFERROR(__xludf.DUMMYFUNCTION("""COMPUTED_VALUE"""),"No")</f>
        <v>No</v>
      </c>
    </row>
    <row r="656" spans="1:29" x14ac:dyDescent="0.25">
      <c r="A656" s="5" t="str">
        <f ca="1">IFERROR(__xludf.DUMMYFUNCTION("""COMPUTED_VALUE"""),"LockedHearts40")</f>
        <v>LockedHearts40</v>
      </c>
      <c r="B6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6" s="5" t="str">
        <f ca="1">IFERROR(__xludf.DUMMYFUNCTION("""COMPUTED_VALUE"""),"Yes")</f>
        <v>Yes</v>
      </c>
      <c r="D656" s="5" t="str">
        <f ca="1">IFERROR(__xludf.DUMMYFUNCTION("""COMPUTED_VALUE"""),"Yes")</f>
        <v>Yes</v>
      </c>
      <c r="E656" s="5" t="str">
        <f ca="1">IFERROR(__xludf.DUMMYFUNCTION("""COMPUTED_VALUE"""),"Yes")</f>
        <v>Yes</v>
      </c>
      <c r="F656" s="5" t="str">
        <f ca="1">IFERROR(__xludf.DUMMYFUNCTION("""COMPUTED_VALUE"""),"Yes")</f>
        <v>Yes</v>
      </c>
      <c r="G656" s="5" t="str">
        <f ca="1">IFERROR(__xludf.DUMMYFUNCTION("""COMPUTED_VALUE"""),"Yes")</f>
        <v>Yes</v>
      </c>
      <c r="H656" s="5" t="str">
        <f ca="1">IFERROR(__xludf.DUMMYFUNCTION("""COMPUTED_VALUE"""),"Yes")</f>
        <v>Yes</v>
      </c>
      <c r="I656" s="5" t="str">
        <f ca="1">IFERROR(__xludf.DUMMYFUNCTION("""COMPUTED_VALUE"""),"Yes")</f>
        <v>Yes</v>
      </c>
      <c r="J656" s="5" t="str">
        <f ca="1">IFERROR(__xludf.DUMMYFUNCTION("""COMPUTED_VALUE"""),"Yes")</f>
        <v>Yes</v>
      </c>
      <c r="K656" s="5" t="str">
        <f ca="1">IFERROR(__xludf.DUMMYFUNCTION("""COMPUTED_VALUE"""),"Yes")</f>
        <v>Yes</v>
      </c>
      <c r="L656" s="5" t="str">
        <f ca="1">IFERROR(__xludf.DUMMYFUNCTION("""COMPUTED_VALUE"""),"Yes")</f>
        <v>Yes</v>
      </c>
      <c r="M656" s="5" t="str">
        <f ca="1">IFERROR(__xludf.DUMMYFUNCTION("""COMPUTED_VALUE"""),"Yes")</f>
        <v>Yes</v>
      </c>
      <c r="N656" s="5" t="str">
        <f ca="1">IFERROR(__xludf.DUMMYFUNCTION("""COMPUTED_VALUE"""),"Yes")</f>
        <v>Yes</v>
      </c>
      <c r="O656" s="5" t="str">
        <f ca="1">IFERROR(__xludf.DUMMYFUNCTION("""COMPUTED_VALUE"""),"Yes")</f>
        <v>Yes</v>
      </c>
      <c r="P656" s="5" t="str">
        <f ca="1">IFERROR(__xludf.DUMMYFUNCTION("""COMPUTED_VALUE"""),"Yes")</f>
        <v>Yes</v>
      </c>
      <c r="Q656" s="5" t="str">
        <f ca="1">IFERROR(__xludf.DUMMYFUNCTION("""COMPUTED_VALUE"""),"Yes")</f>
        <v>Yes</v>
      </c>
      <c r="R656" s="5" t="str">
        <f ca="1">IFERROR(__xludf.DUMMYFUNCTION("""COMPUTED_VALUE"""),"Yes")</f>
        <v>Yes</v>
      </c>
      <c r="S656" s="5" t="str">
        <f ca="1">IFERROR(__xludf.DUMMYFUNCTION("""COMPUTED_VALUE"""),"Yes")</f>
        <v>Yes</v>
      </c>
      <c r="T656" s="5" t="str">
        <f ca="1">IFERROR(__xludf.DUMMYFUNCTION("""COMPUTED_VALUE"""),"Yes")</f>
        <v>Yes</v>
      </c>
      <c r="U656" s="5" t="str">
        <f ca="1">IFERROR(__xludf.DUMMYFUNCTION("""COMPUTED_VALUE"""),"Yes")</f>
        <v>Yes</v>
      </c>
      <c r="V656" s="5" t="str">
        <f ca="1">IFERROR(__xludf.DUMMYFUNCTION("""COMPUTED_VALUE"""),"Yes")</f>
        <v>Yes</v>
      </c>
      <c r="W656" s="5" t="str">
        <f ca="1">IFERROR(__xludf.DUMMYFUNCTION("""COMPUTED_VALUE"""),"Yes")</f>
        <v>Yes</v>
      </c>
      <c r="X656" s="5" t="str">
        <f ca="1">IFERROR(__xludf.DUMMYFUNCTION("""COMPUTED_VALUE"""),"Yes")</f>
        <v>Yes</v>
      </c>
      <c r="Y656" s="5" t="str">
        <f ca="1">IFERROR(__xludf.DUMMYFUNCTION("""COMPUTED_VALUE"""),"Yes")</f>
        <v>Yes</v>
      </c>
      <c r="Z656" s="5" t="str">
        <f ca="1">IFERROR(__xludf.DUMMYFUNCTION("""COMPUTED_VALUE"""),"Yes")</f>
        <v>Yes</v>
      </c>
      <c r="AA656" s="5" t="str">
        <f ca="1">IFERROR(__xludf.DUMMYFUNCTION("""COMPUTED_VALUE"""),"Yes")</f>
        <v>Yes</v>
      </c>
      <c r="AB656" s="5" t="str">
        <f ca="1">IFERROR(__xludf.DUMMYFUNCTION("""COMPUTED_VALUE"""),"Yes")</f>
        <v>Yes</v>
      </c>
      <c r="AC656" s="5" t="str">
        <f ca="1">IFERROR(__xludf.DUMMYFUNCTION("""COMPUTED_VALUE"""),"No")</f>
        <v>No</v>
      </c>
    </row>
    <row r="657" spans="1:29" x14ac:dyDescent="0.25">
      <c r="A657" s="5" t="str">
        <f ca="1">IFERROR(__xludf.DUMMYFUNCTION("""COMPUTED_VALUE"""),"WinningClover5HoldAndWin")</f>
        <v>WinningClover5HoldAndWin</v>
      </c>
      <c r="B6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7" s="5" t="str">
        <f ca="1">IFERROR(__xludf.DUMMYFUNCTION("""COMPUTED_VALUE"""),"Yes")</f>
        <v>Yes</v>
      </c>
      <c r="D657" s="5" t="str">
        <f ca="1">IFERROR(__xludf.DUMMYFUNCTION("""COMPUTED_VALUE"""),"Yes")</f>
        <v>Yes</v>
      </c>
      <c r="E657" s="5" t="str">
        <f ca="1">IFERROR(__xludf.DUMMYFUNCTION("""COMPUTED_VALUE"""),"Yes")</f>
        <v>Yes</v>
      </c>
      <c r="F657" s="5" t="str">
        <f ca="1">IFERROR(__xludf.DUMMYFUNCTION("""COMPUTED_VALUE"""),"Yes")</f>
        <v>Yes</v>
      </c>
      <c r="G657" s="5" t="str">
        <f ca="1">IFERROR(__xludf.DUMMYFUNCTION("""COMPUTED_VALUE"""),"Yes")</f>
        <v>Yes</v>
      </c>
      <c r="H657" s="5" t="str">
        <f ca="1">IFERROR(__xludf.DUMMYFUNCTION("""COMPUTED_VALUE"""),"Yes")</f>
        <v>Yes</v>
      </c>
      <c r="I657" s="5" t="str">
        <f ca="1">IFERROR(__xludf.DUMMYFUNCTION("""COMPUTED_VALUE"""),"Yes")</f>
        <v>Yes</v>
      </c>
      <c r="J657" s="5" t="str">
        <f ca="1">IFERROR(__xludf.DUMMYFUNCTION("""COMPUTED_VALUE"""),"Yes")</f>
        <v>Yes</v>
      </c>
      <c r="K657" s="5" t="str">
        <f ca="1">IFERROR(__xludf.DUMMYFUNCTION("""COMPUTED_VALUE"""),"Yes")</f>
        <v>Yes</v>
      </c>
      <c r="L657" s="5" t="str">
        <f ca="1">IFERROR(__xludf.DUMMYFUNCTION("""COMPUTED_VALUE"""),"Yes")</f>
        <v>Yes</v>
      </c>
      <c r="M657" s="5" t="str">
        <f ca="1">IFERROR(__xludf.DUMMYFUNCTION("""COMPUTED_VALUE"""),"Yes")</f>
        <v>Yes</v>
      </c>
      <c r="N657" s="5" t="str">
        <f ca="1">IFERROR(__xludf.DUMMYFUNCTION("""COMPUTED_VALUE"""),"Yes")</f>
        <v>Yes</v>
      </c>
      <c r="O657" s="5" t="str">
        <f ca="1">IFERROR(__xludf.DUMMYFUNCTION("""COMPUTED_VALUE"""),"Yes")</f>
        <v>Yes</v>
      </c>
      <c r="P657" s="5" t="str">
        <f ca="1">IFERROR(__xludf.DUMMYFUNCTION("""COMPUTED_VALUE"""),"Yes")</f>
        <v>Yes</v>
      </c>
      <c r="Q657" s="5" t="str">
        <f ca="1">IFERROR(__xludf.DUMMYFUNCTION("""COMPUTED_VALUE"""),"Yes")</f>
        <v>Yes</v>
      </c>
      <c r="R657" s="5" t="str">
        <f ca="1">IFERROR(__xludf.DUMMYFUNCTION("""COMPUTED_VALUE"""),"Yes")</f>
        <v>Yes</v>
      </c>
      <c r="S657" s="5" t="str">
        <f ca="1">IFERROR(__xludf.DUMMYFUNCTION("""COMPUTED_VALUE"""),"Yes")</f>
        <v>Yes</v>
      </c>
      <c r="T657" s="5" t="str">
        <f ca="1">IFERROR(__xludf.DUMMYFUNCTION("""COMPUTED_VALUE"""),"Yes")</f>
        <v>Yes</v>
      </c>
      <c r="U657" s="5" t="str">
        <f ca="1">IFERROR(__xludf.DUMMYFUNCTION("""COMPUTED_VALUE"""),"Yes")</f>
        <v>Yes</v>
      </c>
      <c r="V657" s="5" t="str">
        <f ca="1">IFERROR(__xludf.DUMMYFUNCTION("""COMPUTED_VALUE"""),"Yes")</f>
        <v>Yes</v>
      </c>
      <c r="W657" s="5" t="str">
        <f ca="1">IFERROR(__xludf.DUMMYFUNCTION("""COMPUTED_VALUE"""),"Yes")</f>
        <v>Yes</v>
      </c>
      <c r="X657" s="5" t="str">
        <f ca="1">IFERROR(__xludf.DUMMYFUNCTION("""COMPUTED_VALUE"""),"Yes")</f>
        <v>Yes</v>
      </c>
      <c r="Y657" s="5" t="str">
        <f ca="1">IFERROR(__xludf.DUMMYFUNCTION("""COMPUTED_VALUE"""),"Yes")</f>
        <v>Yes</v>
      </c>
      <c r="Z657" s="5" t="str">
        <f ca="1">IFERROR(__xludf.DUMMYFUNCTION("""COMPUTED_VALUE"""),"Yes")</f>
        <v>Yes</v>
      </c>
      <c r="AA657" s="5" t="str">
        <f ca="1">IFERROR(__xludf.DUMMYFUNCTION("""COMPUTED_VALUE"""),"Yes")</f>
        <v>Yes</v>
      </c>
      <c r="AB657" s="5" t="str">
        <f ca="1">IFERROR(__xludf.DUMMYFUNCTION("""COMPUTED_VALUE"""),"Yes")</f>
        <v>Yes</v>
      </c>
      <c r="AC657" s="5" t="str">
        <f ca="1">IFERROR(__xludf.DUMMYFUNCTION("""COMPUTED_VALUE"""),"No")</f>
        <v>No</v>
      </c>
    </row>
    <row r="658" spans="1:29" x14ac:dyDescent="0.25">
      <c r="A658" s="5" t="str">
        <f ca="1">IFERROR(__xludf.DUMMYFUNCTION("""COMPUTED_VALUE"""),"royal-jewels-fortune")</f>
        <v>royal-jewels-fortune</v>
      </c>
      <c r="B6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8" s="5" t="str">
        <f ca="1">IFERROR(__xludf.DUMMYFUNCTION("""COMPUTED_VALUE"""),"Yes")</f>
        <v>Yes</v>
      </c>
      <c r="D658" s="5" t="str">
        <f ca="1">IFERROR(__xludf.DUMMYFUNCTION("""COMPUTED_VALUE"""),"Yes")</f>
        <v>Yes</v>
      </c>
      <c r="E658" s="5" t="str">
        <f ca="1">IFERROR(__xludf.DUMMYFUNCTION("""COMPUTED_VALUE"""),"Yes")</f>
        <v>Yes</v>
      </c>
      <c r="F658" s="5" t="str">
        <f ca="1">IFERROR(__xludf.DUMMYFUNCTION("""COMPUTED_VALUE"""),"Yes")</f>
        <v>Yes</v>
      </c>
      <c r="G658" s="5" t="str">
        <f ca="1">IFERROR(__xludf.DUMMYFUNCTION("""COMPUTED_VALUE"""),"Yes")</f>
        <v>Yes</v>
      </c>
      <c r="H658" s="5" t="str">
        <f ca="1">IFERROR(__xludf.DUMMYFUNCTION("""COMPUTED_VALUE"""),"Yes")</f>
        <v>Yes</v>
      </c>
      <c r="I658" s="5" t="str">
        <f ca="1">IFERROR(__xludf.DUMMYFUNCTION("""COMPUTED_VALUE"""),"Yes")</f>
        <v>Yes</v>
      </c>
      <c r="J658" s="5" t="str">
        <f ca="1">IFERROR(__xludf.DUMMYFUNCTION("""COMPUTED_VALUE"""),"Yes")</f>
        <v>Yes</v>
      </c>
      <c r="K658" s="5" t="str">
        <f ca="1">IFERROR(__xludf.DUMMYFUNCTION("""COMPUTED_VALUE"""),"Yes")</f>
        <v>Yes</v>
      </c>
      <c r="L658" s="5" t="str">
        <f ca="1">IFERROR(__xludf.DUMMYFUNCTION("""COMPUTED_VALUE"""),"Yes")</f>
        <v>Yes</v>
      </c>
      <c r="M658" s="5" t="str">
        <f ca="1">IFERROR(__xludf.DUMMYFUNCTION("""COMPUTED_VALUE"""),"Yes")</f>
        <v>Yes</v>
      </c>
      <c r="N658" s="5" t="str">
        <f ca="1">IFERROR(__xludf.DUMMYFUNCTION("""COMPUTED_VALUE"""),"Yes")</f>
        <v>Yes</v>
      </c>
      <c r="O658" s="5" t="str">
        <f ca="1">IFERROR(__xludf.DUMMYFUNCTION("""COMPUTED_VALUE"""),"Yes")</f>
        <v>Yes</v>
      </c>
      <c r="P658" s="5" t="str">
        <f ca="1">IFERROR(__xludf.DUMMYFUNCTION("""COMPUTED_VALUE"""),"Yes")</f>
        <v>Yes</v>
      </c>
      <c r="Q658" s="5" t="str">
        <f ca="1">IFERROR(__xludf.DUMMYFUNCTION("""COMPUTED_VALUE"""),"Yes")</f>
        <v>Yes</v>
      </c>
      <c r="R658" s="5" t="str">
        <f ca="1">IFERROR(__xludf.DUMMYFUNCTION("""COMPUTED_VALUE"""),"Yes")</f>
        <v>Yes</v>
      </c>
      <c r="S658" s="5" t="str">
        <f ca="1">IFERROR(__xludf.DUMMYFUNCTION("""COMPUTED_VALUE"""),"Yes")</f>
        <v>Yes</v>
      </c>
      <c r="T658" s="5" t="str">
        <f ca="1">IFERROR(__xludf.DUMMYFUNCTION("""COMPUTED_VALUE"""),"Yes")</f>
        <v>Yes</v>
      </c>
      <c r="U658" s="5" t="str">
        <f ca="1">IFERROR(__xludf.DUMMYFUNCTION("""COMPUTED_VALUE"""),"Yes")</f>
        <v>Yes</v>
      </c>
      <c r="V658" s="5" t="str">
        <f ca="1">IFERROR(__xludf.DUMMYFUNCTION("""COMPUTED_VALUE"""),"Yes")</f>
        <v>Yes</v>
      </c>
      <c r="W658" s="5" t="str">
        <f ca="1">IFERROR(__xludf.DUMMYFUNCTION("""COMPUTED_VALUE"""),"Yes")</f>
        <v>Yes</v>
      </c>
      <c r="X658" s="5" t="str">
        <f ca="1">IFERROR(__xludf.DUMMYFUNCTION("""COMPUTED_VALUE"""),"Yes")</f>
        <v>Yes</v>
      </c>
      <c r="Y658" s="5" t="str">
        <f ca="1">IFERROR(__xludf.DUMMYFUNCTION("""COMPUTED_VALUE"""),"Yes")</f>
        <v>Yes</v>
      </c>
      <c r="Z658" s="5" t="str">
        <f ca="1">IFERROR(__xludf.DUMMYFUNCTION("""COMPUTED_VALUE"""),"Yes")</f>
        <v>Yes</v>
      </c>
      <c r="AA658" s="5" t="str">
        <f ca="1">IFERROR(__xludf.DUMMYFUNCTION("""COMPUTED_VALUE"""),"Yes")</f>
        <v>Yes</v>
      </c>
      <c r="AB658" s="5" t="str">
        <f ca="1">IFERROR(__xludf.DUMMYFUNCTION("""COMPUTED_VALUE"""),"Yes")</f>
        <v>Yes</v>
      </c>
      <c r="AC658" s="5"/>
    </row>
    <row r="659" spans="1:29" x14ac:dyDescent="0.25">
      <c r="A659" s="5" t="str">
        <f ca="1">IFERROR(__xludf.DUMMYFUNCTION("""COMPUTED_VALUE"""),"CloversAndDiamonds5")</f>
        <v>CloversAndDiamonds5</v>
      </c>
      <c r="B6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9" s="5" t="str">
        <f ca="1">IFERROR(__xludf.DUMMYFUNCTION("""COMPUTED_VALUE"""),"Yes")</f>
        <v>Yes</v>
      </c>
      <c r="D659" s="5" t="str">
        <f ca="1">IFERROR(__xludf.DUMMYFUNCTION("""COMPUTED_VALUE"""),"Yes")</f>
        <v>Yes</v>
      </c>
      <c r="E659" s="5" t="str">
        <f ca="1">IFERROR(__xludf.DUMMYFUNCTION("""COMPUTED_VALUE"""),"Yes")</f>
        <v>Yes</v>
      </c>
      <c r="F659" s="5" t="str">
        <f ca="1">IFERROR(__xludf.DUMMYFUNCTION("""COMPUTED_VALUE"""),"Yes")</f>
        <v>Yes</v>
      </c>
      <c r="G659" s="5" t="str">
        <f ca="1">IFERROR(__xludf.DUMMYFUNCTION("""COMPUTED_VALUE"""),"Yes")</f>
        <v>Yes</v>
      </c>
      <c r="H659" s="5" t="str">
        <f ca="1">IFERROR(__xludf.DUMMYFUNCTION("""COMPUTED_VALUE"""),"Yes")</f>
        <v>Yes</v>
      </c>
      <c r="I659" s="5" t="str">
        <f ca="1">IFERROR(__xludf.DUMMYFUNCTION("""COMPUTED_VALUE"""),"Yes")</f>
        <v>Yes</v>
      </c>
      <c r="J659" s="5" t="str">
        <f ca="1">IFERROR(__xludf.DUMMYFUNCTION("""COMPUTED_VALUE"""),"Yes")</f>
        <v>Yes</v>
      </c>
      <c r="K659" s="5" t="str">
        <f ca="1">IFERROR(__xludf.DUMMYFUNCTION("""COMPUTED_VALUE"""),"Yes")</f>
        <v>Yes</v>
      </c>
      <c r="L659" s="5" t="str">
        <f ca="1">IFERROR(__xludf.DUMMYFUNCTION("""COMPUTED_VALUE"""),"Yes")</f>
        <v>Yes</v>
      </c>
      <c r="M659" s="5" t="str">
        <f ca="1">IFERROR(__xludf.DUMMYFUNCTION("""COMPUTED_VALUE"""),"Yes")</f>
        <v>Yes</v>
      </c>
      <c r="N659" s="5" t="str">
        <f ca="1">IFERROR(__xludf.DUMMYFUNCTION("""COMPUTED_VALUE"""),"Yes")</f>
        <v>Yes</v>
      </c>
      <c r="O659" s="5" t="str">
        <f ca="1">IFERROR(__xludf.DUMMYFUNCTION("""COMPUTED_VALUE"""),"Yes")</f>
        <v>Yes</v>
      </c>
      <c r="P659" s="5" t="str">
        <f ca="1">IFERROR(__xludf.DUMMYFUNCTION("""COMPUTED_VALUE"""),"Yes")</f>
        <v>Yes</v>
      </c>
      <c r="Q659" s="5" t="str">
        <f ca="1">IFERROR(__xludf.DUMMYFUNCTION("""COMPUTED_VALUE"""),"Yes")</f>
        <v>Yes</v>
      </c>
      <c r="R659" s="5" t="str">
        <f ca="1">IFERROR(__xludf.DUMMYFUNCTION("""COMPUTED_VALUE"""),"Yes")</f>
        <v>Yes</v>
      </c>
      <c r="S659" s="5" t="str">
        <f ca="1">IFERROR(__xludf.DUMMYFUNCTION("""COMPUTED_VALUE"""),"Yes")</f>
        <v>Yes</v>
      </c>
      <c r="T659" s="5" t="str">
        <f ca="1">IFERROR(__xludf.DUMMYFUNCTION("""COMPUTED_VALUE"""),"Yes")</f>
        <v>Yes</v>
      </c>
      <c r="U659" s="5" t="str">
        <f ca="1">IFERROR(__xludf.DUMMYFUNCTION("""COMPUTED_VALUE"""),"Yes")</f>
        <v>Yes</v>
      </c>
      <c r="V659" s="5" t="str">
        <f ca="1">IFERROR(__xludf.DUMMYFUNCTION("""COMPUTED_VALUE"""),"Yes")</f>
        <v>Yes</v>
      </c>
      <c r="W659" s="5" t="str">
        <f ca="1">IFERROR(__xludf.DUMMYFUNCTION("""COMPUTED_VALUE"""),"Yes")</f>
        <v>Yes</v>
      </c>
      <c r="X659" s="5" t="str">
        <f ca="1">IFERROR(__xludf.DUMMYFUNCTION("""COMPUTED_VALUE"""),"Yes")</f>
        <v>Yes</v>
      </c>
      <c r="Y659" s="5" t="str">
        <f ca="1">IFERROR(__xludf.DUMMYFUNCTION("""COMPUTED_VALUE"""),"Yes")</f>
        <v>Yes</v>
      </c>
      <c r="Z659" s="5" t="str">
        <f ca="1">IFERROR(__xludf.DUMMYFUNCTION("""COMPUTED_VALUE"""),"Yes")</f>
        <v>Yes</v>
      </c>
      <c r="AA659" s="5" t="str">
        <f ca="1">IFERROR(__xludf.DUMMYFUNCTION("""COMPUTED_VALUE"""),"Yes")</f>
        <v>Yes</v>
      </c>
      <c r="AB659" s="5" t="str">
        <f ca="1">IFERROR(__xludf.DUMMYFUNCTION("""COMPUTED_VALUE"""),"Yes")</f>
        <v>Yes</v>
      </c>
      <c r="AC659" s="5" t="str">
        <f ca="1">IFERROR(__xludf.DUMMYFUNCTION("""COMPUTED_VALUE"""),"No")</f>
        <v>No</v>
      </c>
    </row>
    <row r="660" spans="1:29" x14ac:dyDescent="0.25">
      <c r="A660" s="5" t="str">
        <f ca="1">IFERROR(__xludf.DUMMYFUNCTION("""COMPUTED_VALUE"""),"UnicornThreeReelTripleFruit")</f>
        <v>UnicornThreeReelTripleFruit</v>
      </c>
      <c r="B660" s="5" t="str">
        <f ca="1">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C660" s="5" t="str">
        <f ca="1">IFERROR(__xludf.DUMMYFUNCTION("""COMPUTED_VALUE"""),"Yes")</f>
        <v>Yes</v>
      </c>
      <c r="D660" s="5" t="str">
        <f ca="1">IFERROR(__xludf.DUMMYFUNCTION("""COMPUTED_VALUE"""),"Yes")</f>
        <v>Yes</v>
      </c>
      <c r="E660" s="5" t="str">
        <f ca="1">IFERROR(__xludf.DUMMYFUNCTION("""COMPUTED_VALUE"""),"Yes")</f>
        <v>Yes</v>
      </c>
      <c r="F660" s="5" t="str">
        <f ca="1">IFERROR(__xludf.DUMMYFUNCTION("""COMPUTED_VALUE"""),"No")</f>
        <v>No</v>
      </c>
      <c r="G660" s="5" t="str">
        <f ca="1">IFERROR(__xludf.DUMMYFUNCTION("""COMPUTED_VALUE"""),"Yes")</f>
        <v>Yes</v>
      </c>
      <c r="H660" s="5" t="str">
        <f ca="1">IFERROR(__xludf.DUMMYFUNCTION("""COMPUTED_VALUE"""),"No")</f>
        <v>No</v>
      </c>
      <c r="I660" s="5" t="str">
        <f ca="1">IFERROR(__xludf.DUMMYFUNCTION("""COMPUTED_VALUE"""),"No")</f>
        <v>No</v>
      </c>
      <c r="J660" s="5" t="str">
        <f ca="1">IFERROR(__xludf.DUMMYFUNCTION("""COMPUTED_VALUE"""),"No")</f>
        <v>No</v>
      </c>
      <c r="K660" s="5" t="str">
        <f ca="1">IFERROR(__xludf.DUMMYFUNCTION("""COMPUTED_VALUE"""),"Yes")</f>
        <v>Yes</v>
      </c>
      <c r="L660" s="5" t="str">
        <f ca="1">IFERROR(__xludf.DUMMYFUNCTION("""COMPUTED_VALUE"""),"Yes")</f>
        <v>Yes</v>
      </c>
      <c r="M660" s="5" t="str">
        <f ca="1">IFERROR(__xludf.DUMMYFUNCTION("""COMPUTED_VALUE"""),"Yes")</f>
        <v>Yes</v>
      </c>
      <c r="N660" s="5" t="str">
        <f ca="1">IFERROR(__xludf.DUMMYFUNCTION("""COMPUTED_VALUE"""),"Yes")</f>
        <v>Yes</v>
      </c>
      <c r="O660" s="5" t="str">
        <f ca="1">IFERROR(__xludf.DUMMYFUNCTION("""COMPUTED_VALUE"""),"Yes")</f>
        <v>Yes</v>
      </c>
      <c r="P660" s="5" t="str">
        <f ca="1">IFERROR(__xludf.DUMMYFUNCTION("""COMPUTED_VALUE"""),"No")</f>
        <v>No</v>
      </c>
      <c r="Q660" s="5" t="str">
        <f ca="1">IFERROR(__xludf.DUMMYFUNCTION("""COMPUTED_VALUE"""),"Yes")</f>
        <v>Yes</v>
      </c>
      <c r="R660" s="5" t="str">
        <f ca="1">IFERROR(__xludf.DUMMYFUNCTION("""COMPUTED_VALUE"""),"No")</f>
        <v>No</v>
      </c>
      <c r="S660" s="5"/>
      <c r="T660" s="5"/>
      <c r="U660" s="5"/>
      <c r="V660" s="5" t="str">
        <f ca="1">IFERROR(__xludf.DUMMYFUNCTION("""COMPUTED_VALUE"""),"No")</f>
        <v>No</v>
      </c>
      <c r="W660" s="5" t="str">
        <f ca="1">IFERROR(__xludf.DUMMYFUNCTION("""COMPUTED_VALUE"""),"Yes")</f>
        <v>Yes</v>
      </c>
      <c r="X660" s="5" t="str">
        <f ca="1">IFERROR(__xludf.DUMMYFUNCTION("""COMPUTED_VALUE"""),"Yes")</f>
        <v>Yes</v>
      </c>
      <c r="Y660" s="5"/>
      <c r="Z660" s="5"/>
      <c r="AA660" s="5"/>
      <c r="AB660" s="5" t="str">
        <f ca="1">IFERROR(__xludf.DUMMYFUNCTION("""COMPUTED_VALUE"""),"Yes")</f>
        <v>Yes</v>
      </c>
      <c r="AC660" s="5" t="str">
        <f ca="1">IFERROR(__xludf.DUMMYFUNCTION("""COMPUTED_VALUE"""),"Yes")</f>
        <v>Yes</v>
      </c>
    </row>
    <row r="661" spans="1:29" x14ac:dyDescent="0.25">
      <c r="A661" s="5" t="str">
        <f ca="1">IFERROR(__xludf.DUMMYFUNCTION("""COMPUTED_VALUE"""),"EpicDice100Booster")</f>
        <v>EpicDice100Booster</v>
      </c>
      <c r="B6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1" s="5" t="str">
        <f ca="1">IFERROR(__xludf.DUMMYFUNCTION("""COMPUTED_VALUE"""),"Yes")</f>
        <v>Yes</v>
      </c>
      <c r="D661" s="5" t="str">
        <f ca="1">IFERROR(__xludf.DUMMYFUNCTION("""COMPUTED_VALUE"""),"Yes")</f>
        <v>Yes</v>
      </c>
      <c r="E661" s="5" t="str">
        <f ca="1">IFERROR(__xludf.DUMMYFUNCTION("""COMPUTED_VALUE"""),"Yes")</f>
        <v>Yes</v>
      </c>
      <c r="F661" s="5" t="str">
        <f ca="1">IFERROR(__xludf.DUMMYFUNCTION("""COMPUTED_VALUE"""),"Yes")</f>
        <v>Yes</v>
      </c>
      <c r="G661" s="5" t="str">
        <f ca="1">IFERROR(__xludf.DUMMYFUNCTION("""COMPUTED_VALUE"""),"Yes")</f>
        <v>Yes</v>
      </c>
      <c r="H661" s="5" t="str">
        <f ca="1">IFERROR(__xludf.DUMMYFUNCTION("""COMPUTED_VALUE"""),"Yes")</f>
        <v>Yes</v>
      </c>
      <c r="I661" s="5" t="str">
        <f ca="1">IFERROR(__xludf.DUMMYFUNCTION("""COMPUTED_VALUE"""),"Yes")</f>
        <v>Yes</v>
      </c>
      <c r="J661" s="5" t="str">
        <f ca="1">IFERROR(__xludf.DUMMYFUNCTION("""COMPUTED_VALUE"""),"Yes")</f>
        <v>Yes</v>
      </c>
      <c r="K661" s="5" t="str">
        <f ca="1">IFERROR(__xludf.DUMMYFUNCTION("""COMPUTED_VALUE"""),"Yes")</f>
        <v>Yes</v>
      </c>
      <c r="L661" s="5" t="str">
        <f ca="1">IFERROR(__xludf.DUMMYFUNCTION("""COMPUTED_VALUE"""),"Yes")</f>
        <v>Yes</v>
      </c>
      <c r="M661" s="5" t="str">
        <f ca="1">IFERROR(__xludf.DUMMYFUNCTION("""COMPUTED_VALUE"""),"Yes")</f>
        <v>Yes</v>
      </c>
      <c r="N661" s="5" t="str">
        <f ca="1">IFERROR(__xludf.DUMMYFUNCTION("""COMPUTED_VALUE"""),"Yes")</f>
        <v>Yes</v>
      </c>
      <c r="O661" s="5" t="str">
        <f ca="1">IFERROR(__xludf.DUMMYFUNCTION("""COMPUTED_VALUE"""),"Yes")</f>
        <v>Yes</v>
      </c>
      <c r="P661" s="5" t="str">
        <f ca="1">IFERROR(__xludf.DUMMYFUNCTION("""COMPUTED_VALUE"""),"Yes")</f>
        <v>Yes</v>
      </c>
      <c r="Q661" s="5" t="str">
        <f ca="1">IFERROR(__xludf.DUMMYFUNCTION("""COMPUTED_VALUE"""),"Yes")</f>
        <v>Yes</v>
      </c>
      <c r="R661" s="5" t="str">
        <f ca="1">IFERROR(__xludf.DUMMYFUNCTION("""COMPUTED_VALUE"""),"Yes")</f>
        <v>Yes</v>
      </c>
      <c r="S661" s="5" t="str">
        <f ca="1">IFERROR(__xludf.DUMMYFUNCTION("""COMPUTED_VALUE"""),"Yes")</f>
        <v>Yes</v>
      </c>
      <c r="T661" s="5" t="str">
        <f ca="1">IFERROR(__xludf.DUMMYFUNCTION("""COMPUTED_VALUE"""),"Yes")</f>
        <v>Yes</v>
      </c>
      <c r="U661" s="5" t="str">
        <f ca="1">IFERROR(__xludf.DUMMYFUNCTION("""COMPUTED_VALUE"""),"Yes")</f>
        <v>Yes</v>
      </c>
      <c r="V661" s="5" t="str">
        <f ca="1">IFERROR(__xludf.DUMMYFUNCTION("""COMPUTED_VALUE"""),"Yes")</f>
        <v>Yes</v>
      </c>
      <c r="W661" s="5" t="str">
        <f ca="1">IFERROR(__xludf.DUMMYFUNCTION("""COMPUTED_VALUE"""),"Yes")</f>
        <v>Yes</v>
      </c>
      <c r="X661" s="5" t="str">
        <f ca="1">IFERROR(__xludf.DUMMYFUNCTION("""COMPUTED_VALUE"""),"Yes")</f>
        <v>Yes</v>
      </c>
      <c r="Y661" s="5" t="str">
        <f ca="1">IFERROR(__xludf.DUMMYFUNCTION("""COMPUTED_VALUE"""),"Yes")</f>
        <v>Yes</v>
      </c>
      <c r="Z661" s="5" t="str">
        <f ca="1">IFERROR(__xludf.DUMMYFUNCTION("""COMPUTED_VALUE"""),"Yes")</f>
        <v>Yes</v>
      </c>
      <c r="AA661" s="5" t="str">
        <f ca="1">IFERROR(__xludf.DUMMYFUNCTION("""COMPUTED_VALUE"""),"Yes")</f>
        <v>Yes</v>
      </c>
      <c r="AB661" s="5" t="str">
        <f ca="1">IFERROR(__xludf.DUMMYFUNCTION("""COMPUTED_VALUE"""),"Yes")</f>
        <v>Yes</v>
      </c>
      <c r="AC661" s="5" t="str">
        <f ca="1">IFERROR(__xludf.DUMMYFUNCTION("""COMPUTED_VALUE"""),"No")</f>
        <v>No</v>
      </c>
    </row>
    <row r="662" spans="1:29" x14ac:dyDescent="0.25">
      <c r="A662" s="5" t="str">
        <f ca="1">IFERROR(__xludf.DUMMYFUNCTION("""COMPUTED_VALUE"""),"VeryHot40DiceBooster")</f>
        <v>VeryHot40DiceBooster</v>
      </c>
      <c r="B6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2" s="5" t="str">
        <f ca="1">IFERROR(__xludf.DUMMYFUNCTION("""COMPUTED_VALUE"""),"Yes")</f>
        <v>Yes</v>
      </c>
      <c r="D662" s="5" t="str">
        <f ca="1">IFERROR(__xludf.DUMMYFUNCTION("""COMPUTED_VALUE"""),"Yes")</f>
        <v>Yes</v>
      </c>
      <c r="E662" s="5" t="str">
        <f ca="1">IFERROR(__xludf.DUMMYFUNCTION("""COMPUTED_VALUE"""),"Yes")</f>
        <v>Yes</v>
      </c>
      <c r="F662" s="5" t="str">
        <f ca="1">IFERROR(__xludf.DUMMYFUNCTION("""COMPUTED_VALUE"""),"Yes")</f>
        <v>Yes</v>
      </c>
      <c r="G662" s="5" t="str">
        <f ca="1">IFERROR(__xludf.DUMMYFUNCTION("""COMPUTED_VALUE"""),"Yes")</f>
        <v>Yes</v>
      </c>
      <c r="H662" s="5" t="str">
        <f ca="1">IFERROR(__xludf.DUMMYFUNCTION("""COMPUTED_VALUE"""),"Yes")</f>
        <v>Yes</v>
      </c>
      <c r="I662" s="5" t="str">
        <f ca="1">IFERROR(__xludf.DUMMYFUNCTION("""COMPUTED_VALUE"""),"Yes")</f>
        <v>Yes</v>
      </c>
      <c r="J662" s="5" t="str">
        <f ca="1">IFERROR(__xludf.DUMMYFUNCTION("""COMPUTED_VALUE"""),"Yes")</f>
        <v>Yes</v>
      </c>
      <c r="K662" s="5" t="str">
        <f ca="1">IFERROR(__xludf.DUMMYFUNCTION("""COMPUTED_VALUE"""),"Yes")</f>
        <v>Yes</v>
      </c>
      <c r="L662" s="5" t="str">
        <f ca="1">IFERROR(__xludf.DUMMYFUNCTION("""COMPUTED_VALUE"""),"Yes")</f>
        <v>Yes</v>
      </c>
      <c r="M662" s="5" t="str">
        <f ca="1">IFERROR(__xludf.DUMMYFUNCTION("""COMPUTED_VALUE"""),"Yes")</f>
        <v>Yes</v>
      </c>
      <c r="N662" s="5" t="str">
        <f ca="1">IFERROR(__xludf.DUMMYFUNCTION("""COMPUTED_VALUE"""),"Yes")</f>
        <v>Yes</v>
      </c>
      <c r="O662" s="5" t="str">
        <f ca="1">IFERROR(__xludf.DUMMYFUNCTION("""COMPUTED_VALUE"""),"Yes")</f>
        <v>Yes</v>
      </c>
      <c r="P662" s="5" t="str">
        <f ca="1">IFERROR(__xludf.DUMMYFUNCTION("""COMPUTED_VALUE"""),"Yes")</f>
        <v>Yes</v>
      </c>
      <c r="Q662" s="5" t="str">
        <f ca="1">IFERROR(__xludf.DUMMYFUNCTION("""COMPUTED_VALUE"""),"Yes")</f>
        <v>Yes</v>
      </c>
      <c r="R662" s="5" t="str">
        <f ca="1">IFERROR(__xludf.DUMMYFUNCTION("""COMPUTED_VALUE"""),"Yes")</f>
        <v>Yes</v>
      </c>
      <c r="S662" s="5" t="str">
        <f ca="1">IFERROR(__xludf.DUMMYFUNCTION("""COMPUTED_VALUE"""),"Yes")</f>
        <v>Yes</v>
      </c>
      <c r="T662" s="5" t="str">
        <f ca="1">IFERROR(__xludf.DUMMYFUNCTION("""COMPUTED_VALUE"""),"Yes")</f>
        <v>Yes</v>
      </c>
      <c r="U662" s="5" t="str">
        <f ca="1">IFERROR(__xludf.DUMMYFUNCTION("""COMPUTED_VALUE"""),"Yes")</f>
        <v>Yes</v>
      </c>
      <c r="V662" s="5" t="str">
        <f ca="1">IFERROR(__xludf.DUMMYFUNCTION("""COMPUTED_VALUE"""),"Yes")</f>
        <v>Yes</v>
      </c>
      <c r="W662" s="5" t="str">
        <f ca="1">IFERROR(__xludf.DUMMYFUNCTION("""COMPUTED_VALUE"""),"Yes")</f>
        <v>Yes</v>
      </c>
      <c r="X662" s="5" t="str">
        <f ca="1">IFERROR(__xludf.DUMMYFUNCTION("""COMPUTED_VALUE"""),"Yes")</f>
        <v>Yes</v>
      </c>
      <c r="Y662" s="5" t="str">
        <f ca="1">IFERROR(__xludf.DUMMYFUNCTION("""COMPUTED_VALUE"""),"Yes")</f>
        <v>Yes</v>
      </c>
      <c r="Z662" s="5" t="str">
        <f ca="1">IFERROR(__xludf.DUMMYFUNCTION("""COMPUTED_VALUE"""),"Yes")</f>
        <v>Yes</v>
      </c>
      <c r="AA662" s="5" t="str">
        <f ca="1">IFERROR(__xludf.DUMMYFUNCTION("""COMPUTED_VALUE"""),"Yes")</f>
        <v>Yes</v>
      </c>
      <c r="AB662" s="5" t="str">
        <f ca="1">IFERROR(__xludf.DUMMYFUNCTION("""COMPUTED_VALUE"""),"Yes")</f>
        <v>Yes</v>
      </c>
      <c r="AC662" s="5" t="str">
        <f ca="1">IFERROR(__xludf.DUMMYFUNCTION("""COMPUTED_VALUE"""),"No")</f>
        <v>No</v>
      </c>
    </row>
    <row r="663" spans="1:29" x14ac:dyDescent="0.25">
      <c r="A663" s="5" t="str">
        <f ca="1">IFERROR(__xludf.DUMMYFUNCTION("""COMPUTED_VALUE"""),"PasinoCrown")</f>
        <v>PasinoCrown</v>
      </c>
      <c r="B6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3" s="5" t="str">
        <f ca="1">IFERROR(__xludf.DUMMYFUNCTION("""COMPUTED_VALUE"""),"Yes")</f>
        <v>Yes</v>
      </c>
      <c r="D663" s="5" t="str">
        <f ca="1">IFERROR(__xludf.DUMMYFUNCTION("""COMPUTED_VALUE"""),"Yes")</f>
        <v>Yes</v>
      </c>
      <c r="E663" s="5" t="str">
        <f ca="1">IFERROR(__xludf.DUMMYFUNCTION("""COMPUTED_VALUE"""),"Yes")</f>
        <v>Yes</v>
      </c>
      <c r="F663" s="5" t="str">
        <f ca="1">IFERROR(__xludf.DUMMYFUNCTION("""COMPUTED_VALUE"""),"Yes")</f>
        <v>Yes</v>
      </c>
      <c r="G663" s="5" t="str">
        <f ca="1">IFERROR(__xludf.DUMMYFUNCTION("""COMPUTED_VALUE"""),"Yes")</f>
        <v>Yes</v>
      </c>
      <c r="H663" s="5" t="str">
        <f ca="1">IFERROR(__xludf.DUMMYFUNCTION("""COMPUTED_VALUE"""),"Yes")</f>
        <v>Yes</v>
      </c>
      <c r="I663" s="5" t="str">
        <f ca="1">IFERROR(__xludf.DUMMYFUNCTION("""COMPUTED_VALUE"""),"Yes")</f>
        <v>Yes</v>
      </c>
      <c r="J663" s="5" t="str">
        <f ca="1">IFERROR(__xludf.DUMMYFUNCTION("""COMPUTED_VALUE"""),"Yes")</f>
        <v>Yes</v>
      </c>
      <c r="K663" s="5" t="str">
        <f ca="1">IFERROR(__xludf.DUMMYFUNCTION("""COMPUTED_VALUE"""),"Yes")</f>
        <v>Yes</v>
      </c>
      <c r="L663" s="5" t="str">
        <f ca="1">IFERROR(__xludf.DUMMYFUNCTION("""COMPUTED_VALUE"""),"Yes")</f>
        <v>Yes</v>
      </c>
      <c r="M663" s="5" t="str">
        <f ca="1">IFERROR(__xludf.DUMMYFUNCTION("""COMPUTED_VALUE"""),"Yes")</f>
        <v>Yes</v>
      </c>
      <c r="N663" s="5" t="str">
        <f ca="1">IFERROR(__xludf.DUMMYFUNCTION("""COMPUTED_VALUE"""),"Yes")</f>
        <v>Yes</v>
      </c>
      <c r="O663" s="5" t="str">
        <f ca="1">IFERROR(__xludf.DUMMYFUNCTION("""COMPUTED_VALUE"""),"Yes")</f>
        <v>Yes</v>
      </c>
      <c r="P663" s="5" t="str">
        <f ca="1">IFERROR(__xludf.DUMMYFUNCTION("""COMPUTED_VALUE"""),"Yes")</f>
        <v>Yes</v>
      </c>
      <c r="Q663" s="5" t="str">
        <f ca="1">IFERROR(__xludf.DUMMYFUNCTION("""COMPUTED_VALUE"""),"Yes")</f>
        <v>Yes</v>
      </c>
      <c r="R663" s="5" t="str">
        <f ca="1">IFERROR(__xludf.DUMMYFUNCTION("""COMPUTED_VALUE"""),"Yes")</f>
        <v>Yes</v>
      </c>
      <c r="S663" s="5" t="str">
        <f ca="1">IFERROR(__xludf.DUMMYFUNCTION("""COMPUTED_VALUE"""),"Yes")</f>
        <v>Yes</v>
      </c>
      <c r="T663" s="5" t="str">
        <f ca="1">IFERROR(__xludf.DUMMYFUNCTION("""COMPUTED_VALUE"""),"Yes")</f>
        <v>Yes</v>
      </c>
      <c r="U663" s="5" t="str">
        <f ca="1">IFERROR(__xludf.DUMMYFUNCTION("""COMPUTED_VALUE"""),"Yes")</f>
        <v>Yes</v>
      </c>
      <c r="V663" s="5" t="str">
        <f ca="1">IFERROR(__xludf.DUMMYFUNCTION("""COMPUTED_VALUE"""),"Yes")</f>
        <v>Yes</v>
      </c>
      <c r="W663" s="5" t="str">
        <f ca="1">IFERROR(__xludf.DUMMYFUNCTION("""COMPUTED_VALUE"""),"Yes")</f>
        <v>Yes</v>
      </c>
      <c r="X663" s="5" t="str">
        <f ca="1">IFERROR(__xludf.DUMMYFUNCTION("""COMPUTED_VALUE"""),"Yes")</f>
        <v>Yes</v>
      </c>
      <c r="Y663" s="5" t="str">
        <f ca="1">IFERROR(__xludf.DUMMYFUNCTION("""COMPUTED_VALUE"""),"Yes")</f>
        <v>Yes</v>
      </c>
      <c r="Z663" s="5" t="str">
        <f ca="1">IFERROR(__xludf.DUMMYFUNCTION("""COMPUTED_VALUE"""),"Yes")</f>
        <v>Yes</v>
      </c>
      <c r="AA663" s="5" t="str">
        <f ca="1">IFERROR(__xludf.DUMMYFUNCTION("""COMPUTED_VALUE"""),"Yes")</f>
        <v>Yes</v>
      </c>
      <c r="AB663" s="5" t="str">
        <f ca="1">IFERROR(__xludf.DUMMYFUNCTION("""COMPUTED_VALUE"""),"Yes")</f>
        <v>Yes</v>
      </c>
      <c r="AC663" s="5" t="str">
        <f ca="1">IFERROR(__xludf.DUMMYFUNCTION("""COMPUTED_VALUE"""),"No")</f>
        <v>No</v>
      </c>
    </row>
    <row r="664" spans="1:29" x14ac:dyDescent="0.25">
      <c r="A664" s="5" t="str">
        <f ca="1">IFERROR(__xludf.DUMMYFUNCTION("""COMPUTED_VALUE"""),"GoldenCrownExtremeDice")</f>
        <v>GoldenCrownExtremeDice</v>
      </c>
      <c r="B6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4" s="5" t="str">
        <f ca="1">IFERROR(__xludf.DUMMYFUNCTION("""COMPUTED_VALUE"""),"Yes")</f>
        <v>Yes</v>
      </c>
      <c r="D664" s="5" t="str">
        <f ca="1">IFERROR(__xludf.DUMMYFUNCTION("""COMPUTED_VALUE"""),"Yes")</f>
        <v>Yes</v>
      </c>
      <c r="E664" s="5" t="str">
        <f ca="1">IFERROR(__xludf.DUMMYFUNCTION("""COMPUTED_VALUE"""),"Yes")</f>
        <v>Yes</v>
      </c>
      <c r="F664" s="5" t="str">
        <f ca="1">IFERROR(__xludf.DUMMYFUNCTION("""COMPUTED_VALUE"""),"Yes")</f>
        <v>Yes</v>
      </c>
      <c r="G664" s="5" t="str">
        <f ca="1">IFERROR(__xludf.DUMMYFUNCTION("""COMPUTED_VALUE"""),"Yes")</f>
        <v>Yes</v>
      </c>
      <c r="H664" s="5" t="str">
        <f ca="1">IFERROR(__xludf.DUMMYFUNCTION("""COMPUTED_VALUE"""),"Yes")</f>
        <v>Yes</v>
      </c>
      <c r="I664" s="5" t="str">
        <f ca="1">IFERROR(__xludf.DUMMYFUNCTION("""COMPUTED_VALUE"""),"Yes")</f>
        <v>Yes</v>
      </c>
      <c r="J664" s="5" t="str">
        <f ca="1">IFERROR(__xludf.DUMMYFUNCTION("""COMPUTED_VALUE"""),"Yes")</f>
        <v>Yes</v>
      </c>
      <c r="K664" s="5" t="str">
        <f ca="1">IFERROR(__xludf.DUMMYFUNCTION("""COMPUTED_VALUE"""),"Yes")</f>
        <v>Yes</v>
      </c>
      <c r="L664" s="5" t="str">
        <f ca="1">IFERROR(__xludf.DUMMYFUNCTION("""COMPUTED_VALUE"""),"Yes")</f>
        <v>Yes</v>
      </c>
      <c r="M664" s="5" t="str">
        <f ca="1">IFERROR(__xludf.DUMMYFUNCTION("""COMPUTED_VALUE"""),"Yes")</f>
        <v>Yes</v>
      </c>
      <c r="N664" s="5" t="str">
        <f ca="1">IFERROR(__xludf.DUMMYFUNCTION("""COMPUTED_VALUE"""),"Yes")</f>
        <v>Yes</v>
      </c>
      <c r="O664" s="5" t="str">
        <f ca="1">IFERROR(__xludf.DUMMYFUNCTION("""COMPUTED_VALUE"""),"Yes")</f>
        <v>Yes</v>
      </c>
      <c r="P664" s="5" t="str">
        <f ca="1">IFERROR(__xludf.DUMMYFUNCTION("""COMPUTED_VALUE"""),"Yes")</f>
        <v>Yes</v>
      </c>
      <c r="Q664" s="5" t="str">
        <f ca="1">IFERROR(__xludf.DUMMYFUNCTION("""COMPUTED_VALUE"""),"Yes")</f>
        <v>Yes</v>
      </c>
      <c r="R664" s="5" t="str">
        <f ca="1">IFERROR(__xludf.DUMMYFUNCTION("""COMPUTED_VALUE"""),"Yes")</f>
        <v>Yes</v>
      </c>
      <c r="S664" s="5" t="str">
        <f ca="1">IFERROR(__xludf.DUMMYFUNCTION("""COMPUTED_VALUE"""),"Yes")</f>
        <v>Yes</v>
      </c>
      <c r="T664" s="5" t="str">
        <f ca="1">IFERROR(__xludf.DUMMYFUNCTION("""COMPUTED_VALUE"""),"Yes")</f>
        <v>Yes</v>
      </c>
      <c r="U664" s="5" t="str">
        <f ca="1">IFERROR(__xludf.DUMMYFUNCTION("""COMPUTED_VALUE"""),"Yes")</f>
        <v>Yes</v>
      </c>
      <c r="V664" s="5" t="str">
        <f ca="1">IFERROR(__xludf.DUMMYFUNCTION("""COMPUTED_VALUE"""),"Yes")</f>
        <v>Yes</v>
      </c>
      <c r="W664" s="5" t="str">
        <f ca="1">IFERROR(__xludf.DUMMYFUNCTION("""COMPUTED_VALUE"""),"Yes")</f>
        <v>Yes</v>
      </c>
      <c r="X664" s="5" t="str">
        <f ca="1">IFERROR(__xludf.DUMMYFUNCTION("""COMPUTED_VALUE"""),"Yes")</f>
        <v>Yes</v>
      </c>
      <c r="Y664" s="5" t="str">
        <f ca="1">IFERROR(__xludf.DUMMYFUNCTION("""COMPUTED_VALUE"""),"Yes")</f>
        <v>Yes</v>
      </c>
      <c r="Z664" s="5" t="str">
        <f ca="1">IFERROR(__xludf.DUMMYFUNCTION("""COMPUTED_VALUE"""),"Yes")</f>
        <v>Yes</v>
      </c>
      <c r="AA664" s="5" t="str">
        <f ca="1">IFERROR(__xludf.DUMMYFUNCTION("""COMPUTED_VALUE"""),"Yes")</f>
        <v>Yes</v>
      </c>
      <c r="AB664" s="5" t="str">
        <f ca="1">IFERROR(__xludf.DUMMYFUNCTION("""COMPUTED_VALUE"""),"Yes")</f>
        <v>Yes</v>
      </c>
      <c r="AC664" s="5" t="str">
        <f ca="1">IFERROR(__xludf.DUMMYFUNCTION("""COMPUTED_VALUE"""),"No")</f>
        <v>No</v>
      </c>
    </row>
    <row r="665" spans="1:29" x14ac:dyDescent="0.25">
      <c r="A665" s="5" t="str">
        <f ca="1">IFERROR(__xludf.DUMMYFUNCTION("""COMPUTED_VALUE"""),"WinningClover5ExtremeBooster")</f>
        <v>WinningClover5ExtremeBooster</v>
      </c>
      <c r="B6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5" s="5" t="str">
        <f ca="1">IFERROR(__xludf.DUMMYFUNCTION("""COMPUTED_VALUE"""),"Yes")</f>
        <v>Yes</v>
      </c>
      <c r="D665" s="5" t="str">
        <f ca="1">IFERROR(__xludf.DUMMYFUNCTION("""COMPUTED_VALUE"""),"Yes")</f>
        <v>Yes</v>
      </c>
      <c r="E665" s="5" t="str">
        <f ca="1">IFERROR(__xludf.DUMMYFUNCTION("""COMPUTED_VALUE"""),"Yes")</f>
        <v>Yes</v>
      </c>
      <c r="F665" s="5" t="str">
        <f ca="1">IFERROR(__xludf.DUMMYFUNCTION("""COMPUTED_VALUE"""),"Yes")</f>
        <v>Yes</v>
      </c>
      <c r="G665" s="5" t="str">
        <f ca="1">IFERROR(__xludf.DUMMYFUNCTION("""COMPUTED_VALUE"""),"Yes")</f>
        <v>Yes</v>
      </c>
      <c r="H665" s="5" t="str">
        <f ca="1">IFERROR(__xludf.DUMMYFUNCTION("""COMPUTED_VALUE"""),"Yes")</f>
        <v>Yes</v>
      </c>
      <c r="I665" s="5" t="str">
        <f ca="1">IFERROR(__xludf.DUMMYFUNCTION("""COMPUTED_VALUE"""),"Yes")</f>
        <v>Yes</v>
      </c>
      <c r="J665" s="5" t="str">
        <f ca="1">IFERROR(__xludf.DUMMYFUNCTION("""COMPUTED_VALUE"""),"Yes")</f>
        <v>Yes</v>
      </c>
      <c r="K665" s="5" t="str">
        <f ca="1">IFERROR(__xludf.DUMMYFUNCTION("""COMPUTED_VALUE"""),"Yes")</f>
        <v>Yes</v>
      </c>
      <c r="L665" s="5" t="str">
        <f ca="1">IFERROR(__xludf.DUMMYFUNCTION("""COMPUTED_VALUE"""),"Yes")</f>
        <v>Yes</v>
      </c>
      <c r="M665" s="5" t="str">
        <f ca="1">IFERROR(__xludf.DUMMYFUNCTION("""COMPUTED_VALUE"""),"Yes")</f>
        <v>Yes</v>
      </c>
      <c r="N665" s="5" t="str">
        <f ca="1">IFERROR(__xludf.DUMMYFUNCTION("""COMPUTED_VALUE"""),"Yes")</f>
        <v>Yes</v>
      </c>
      <c r="O665" s="5" t="str">
        <f ca="1">IFERROR(__xludf.DUMMYFUNCTION("""COMPUTED_VALUE"""),"Yes")</f>
        <v>Yes</v>
      </c>
      <c r="P665" s="5" t="str">
        <f ca="1">IFERROR(__xludf.DUMMYFUNCTION("""COMPUTED_VALUE"""),"Yes")</f>
        <v>Yes</v>
      </c>
      <c r="Q665" s="5" t="str">
        <f ca="1">IFERROR(__xludf.DUMMYFUNCTION("""COMPUTED_VALUE"""),"Yes")</f>
        <v>Yes</v>
      </c>
      <c r="R665" s="5" t="str">
        <f ca="1">IFERROR(__xludf.DUMMYFUNCTION("""COMPUTED_VALUE"""),"Yes")</f>
        <v>Yes</v>
      </c>
      <c r="S665" s="5" t="str">
        <f ca="1">IFERROR(__xludf.DUMMYFUNCTION("""COMPUTED_VALUE"""),"Yes")</f>
        <v>Yes</v>
      </c>
      <c r="T665" s="5" t="str">
        <f ca="1">IFERROR(__xludf.DUMMYFUNCTION("""COMPUTED_VALUE"""),"Yes")</f>
        <v>Yes</v>
      </c>
      <c r="U665" s="5" t="str">
        <f ca="1">IFERROR(__xludf.DUMMYFUNCTION("""COMPUTED_VALUE"""),"Yes")</f>
        <v>Yes</v>
      </c>
      <c r="V665" s="5" t="str">
        <f ca="1">IFERROR(__xludf.DUMMYFUNCTION("""COMPUTED_VALUE"""),"Yes")</f>
        <v>Yes</v>
      </c>
      <c r="W665" s="5" t="str">
        <f ca="1">IFERROR(__xludf.DUMMYFUNCTION("""COMPUTED_VALUE"""),"Yes")</f>
        <v>Yes</v>
      </c>
      <c r="X665" s="5" t="str">
        <f ca="1">IFERROR(__xludf.DUMMYFUNCTION("""COMPUTED_VALUE"""),"Yes")</f>
        <v>Yes</v>
      </c>
      <c r="Y665" s="5" t="str">
        <f ca="1">IFERROR(__xludf.DUMMYFUNCTION("""COMPUTED_VALUE"""),"Yes")</f>
        <v>Yes</v>
      </c>
      <c r="Z665" s="5" t="str">
        <f ca="1">IFERROR(__xludf.DUMMYFUNCTION("""COMPUTED_VALUE"""),"Yes")</f>
        <v>Yes</v>
      </c>
      <c r="AA665" s="5" t="str">
        <f ca="1">IFERROR(__xludf.DUMMYFUNCTION("""COMPUTED_VALUE"""),"Yes")</f>
        <v>Yes</v>
      </c>
      <c r="AB665" s="5" t="str">
        <f ca="1">IFERROR(__xludf.DUMMYFUNCTION("""COMPUTED_VALUE"""),"Yes")</f>
        <v>Yes</v>
      </c>
      <c r="AC665" s="5" t="str">
        <f ca="1">IFERROR(__xludf.DUMMYFUNCTION("""COMPUTED_VALUE"""),"No")</f>
        <v>No</v>
      </c>
    </row>
    <row r="666" spans="1:29" x14ac:dyDescent="0.25">
      <c r="A666" s="5" t="str">
        <f ca="1">IFERROR(__xludf.DUMMYFUNCTION("""COMPUTED_VALUE"""),"VeryHot40ExtremeBooster")</f>
        <v>VeryHot40ExtremeBooster</v>
      </c>
      <c r="B6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6" s="5" t="str">
        <f ca="1">IFERROR(__xludf.DUMMYFUNCTION("""COMPUTED_VALUE"""),"Yes")</f>
        <v>Yes</v>
      </c>
      <c r="D666" s="5" t="str">
        <f ca="1">IFERROR(__xludf.DUMMYFUNCTION("""COMPUTED_VALUE"""),"Yes")</f>
        <v>Yes</v>
      </c>
      <c r="E666" s="5" t="str">
        <f ca="1">IFERROR(__xludf.DUMMYFUNCTION("""COMPUTED_VALUE"""),"Yes")</f>
        <v>Yes</v>
      </c>
      <c r="F666" s="5" t="str">
        <f ca="1">IFERROR(__xludf.DUMMYFUNCTION("""COMPUTED_VALUE"""),"Yes")</f>
        <v>Yes</v>
      </c>
      <c r="G666" s="5" t="str">
        <f ca="1">IFERROR(__xludf.DUMMYFUNCTION("""COMPUTED_VALUE"""),"Yes")</f>
        <v>Yes</v>
      </c>
      <c r="H666" s="5" t="str">
        <f ca="1">IFERROR(__xludf.DUMMYFUNCTION("""COMPUTED_VALUE"""),"Yes")</f>
        <v>Yes</v>
      </c>
      <c r="I666" s="5" t="str">
        <f ca="1">IFERROR(__xludf.DUMMYFUNCTION("""COMPUTED_VALUE"""),"Yes")</f>
        <v>Yes</v>
      </c>
      <c r="J666" s="5" t="str">
        <f ca="1">IFERROR(__xludf.DUMMYFUNCTION("""COMPUTED_VALUE"""),"Yes")</f>
        <v>Yes</v>
      </c>
      <c r="K666" s="5" t="str">
        <f ca="1">IFERROR(__xludf.DUMMYFUNCTION("""COMPUTED_VALUE"""),"Yes")</f>
        <v>Yes</v>
      </c>
      <c r="L666" s="5" t="str">
        <f ca="1">IFERROR(__xludf.DUMMYFUNCTION("""COMPUTED_VALUE"""),"Yes")</f>
        <v>Yes</v>
      </c>
      <c r="M666" s="5" t="str">
        <f ca="1">IFERROR(__xludf.DUMMYFUNCTION("""COMPUTED_VALUE"""),"Yes")</f>
        <v>Yes</v>
      </c>
      <c r="N666" s="5" t="str">
        <f ca="1">IFERROR(__xludf.DUMMYFUNCTION("""COMPUTED_VALUE"""),"Yes")</f>
        <v>Yes</v>
      </c>
      <c r="O666" s="5" t="str">
        <f ca="1">IFERROR(__xludf.DUMMYFUNCTION("""COMPUTED_VALUE"""),"Yes")</f>
        <v>Yes</v>
      </c>
      <c r="P666" s="5" t="str">
        <f ca="1">IFERROR(__xludf.DUMMYFUNCTION("""COMPUTED_VALUE"""),"Yes")</f>
        <v>Yes</v>
      </c>
      <c r="Q666" s="5" t="str">
        <f ca="1">IFERROR(__xludf.DUMMYFUNCTION("""COMPUTED_VALUE"""),"Yes")</f>
        <v>Yes</v>
      </c>
      <c r="R666" s="5" t="str">
        <f ca="1">IFERROR(__xludf.DUMMYFUNCTION("""COMPUTED_VALUE"""),"Yes")</f>
        <v>Yes</v>
      </c>
      <c r="S666" s="5" t="str">
        <f ca="1">IFERROR(__xludf.DUMMYFUNCTION("""COMPUTED_VALUE"""),"Yes")</f>
        <v>Yes</v>
      </c>
      <c r="T666" s="5" t="str">
        <f ca="1">IFERROR(__xludf.DUMMYFUNCTION("""COMPUTED_VALUE"""),"Yes")</f>
        <v>Yes</v>
      </c>
      <c r="U666" s="5" t="str">
        <f ca="1">IFERROR(__xludf.DUMMYFUNCTION("""COMPUTED_VALUE"""),"Yes")</f>
        <v>Yes</v>
      </c>
      <c r="V666" s="5" t="str">
        <f ca="1">IFERROR(__xludf.DUMMYFUNCTION("""COMPUTED_VALUE"""),"Yes")</f>
        <v>Yes</v>
      </c>
      <c r="W666" s="5" t="str">
        <f ca="1">IFERROR(__xludf.DUMMYFUNCTION("""COMPUTED_VALUE"""),"Yes")</f>
        <v>Yes</v>
      </c>
      <c r="X666" s="5" t="str">
        <f ca="1">IFERROR(__xludf.DUMMYFUNCTION("""COMPUTED_VALUE"""),"Yes")</f>
        <v>Yes</v>
      </c>
      <c r="Y666" s="5" t="str">
        <f ca="1">IFERROR(__xludf.DUMMYFUNCTION("""COMPUTED_VALUE"""),"Yes")</f>
        <v>Yes</v>
      </c>
      <c r="Z666" s="5" t="str">
        <f ca="1">IFERROR(__xludf.DUMMYFUNCTION("""COMPUTED_VALUE"""),"Yes")</f>
        <v>Yes</v>
      </c>
      <c r="AA666" s="5" t="str">
        <f ca="1">IFERROR(__xludf.DUMMYFUNCTION("""COMPUTED_VALUE"""),"Yes")</f>
        <v>Yes</v>
      </c>
      <c r="AB666" s="5" t="str">
        <f ca="1">IFERROR(__xludf.DUMMYFUNCTION("""COMPUTED_VALUE"""),"Yes")</f>
        <v>Yes</v>
      </c>
      <c r="AC666" s="5" t="str">
        <f ca="1">IFERROR(__xludf.DUMMYFUNCTION("""COMPUTED_VALUE"""),"No")</f>
        <v>No</v>
      </c>
    </row>
    <row r="667" spans="1:29" x14ac:dyDescent="0.25">
      <c r="A667" s="5" t="str">
        <f ca="1">IFERROR(__xludf.DUMMYFUNCTION("""COMPUTED_VALUE"""),"WinningClover5Booster")</f>
        <v>WinningClover5Booster</v>
      </c>
      <c r="B6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7" s="5" t="str">
        <f ca="1">IFERROR(__xludf.DUMMYFUNCTION("""COMPUTED_VALUE"""),"Yes")</f>
        <v>Yes</v>
      </c>
      <c r="D667" s="5" t="str">
        <f ca="1">IFERROR(__xludf.DUMMYFUNCTION("""COMPUTED_VALUE"""),"Yes")</f>
        <v>Yes</v>
      </c>
      <c r="E667" s="5" t="str">
        <f ca="1">IFERROR(__xludf.DUMMYFUNCTION("""COMPUTED_VALUE"""),"Yes")</f>
        <v>Yes</v>
      </c>
      <c r="F667" s="5" t="str">
        <f ca="1">IFERROR(__xludf.DUMMYFUNCTION("""COMPUTED_VALUE"""),"Yes")</f>
        <v>Yes</v>
      </c>
      <c r="G667" s="5" t="str">
        <f ca="1">IFERROR(__xludf.DUMMYFUNCTION("""COMPUTED_VALUE"""),"Yes")</f>
        <v>Yes</v>
      </c>
      <c r="H667" s="5" t="str">
        <f ca="1">IFERROR(__xludf.DUMMYFUNCTION("""COMPUTED_VALUE"""),"Yes")</f>
        <v>Yes</v>
      </c>
      <c r="I667" s="5" t="str">
        <f ca="1">IFERROR(__xludf.DUMMYFUNCTION("""COMPUTED_VALUE"""),"Yes")</f>
        <v>Yes</v>
      </c>
      <c r="J667" s="5" t="str">
        <f ca="1">IFERROR(__xludf.DUMMYFUNCTION("""COMPUTED_VALUE"""),"Yes")</f>
        <v>Yes</v>
      </c>
      <c r="K667" s="5" t="str">
        <f ca="1">IFERROR(__xludf.DUMMYFUNCTION("""COMPUTED_VALUE"""),"Yes")</f>
        <v>Yes</v>
      </c>
      <c r="L667" s="5" t="str">
        <f ca="1">IFERROR(__xludf.DUMMYFUNCTION("""COMPUTED_VALUE"""),"Yes")</f>
        <v>Yes</v>
      </c>
      <c r="M667" s="5" t="str">
        <f ca="1">IFERROR(__xludf.DUMMYFUNCTION("""COMPUTED_VALUE"""),"Yes")</f>
        <v>Yes</v>
      </c>
      <c r="N667" s="5" t="str">
        <f ca="1">IFERROR(__xludf.DUMMYFUNCTION("""COMPUTED_VALUE"""),"Yes")</f>
        <v>Yes</v>
      </c>
      <c r="O667" s="5" t="str">
        <f ca="1">IFERROR(__xludf.DUMMYFUNCTION("""COMPUTED_VALUE"""),"Yes")</f>
        <v>Yes</v>
      </c>
      <c r="P667" s="5" t="str">
        <f ca="1">IFERROR(__xludf.DUMMYFUNCTION("""COMPUTED_VALUE"""),"Yes")</f>
        <v>Yes</v>
      </c>
      <c r="Q667" s="5" t="str">
        <f ca="1">IFERROR(__xludf.DUMMYFUNCTION("""COMPUTED_VALUE"""),"Yes")</f>
        <v>Yes</v>
      </c>
      <c r="R667" s="5" t="str">
        <f ca="1">IFERROR(__xludf.DUMMYFUNCTION("""COMPUTED_VALUE"""),"Yes")</f>
        <v>Yes</v>
      </c>
      <c r="S667" s="5" t="str">
        <f ca="1">IFERROR(__xludf.DUMMYFUNCTION("""COMPUTED_VALUE"""),"Yes")</f>
        <v>Yes</v>
      </c>
      <c r="T667" s="5" t="str">
        <f ca="1">IFERROR(__xludf.DUMMYFUNCTION("""COMPUTED_VALUE"""),"Yes")</f>
        <v>Yes</v>
      </c>
      <c r="U667" s="5" t="str">
        <f ca="1">IFERROR(__xludf.DUMMYFUNCTION("""COMPUTED_VALUE"""),"Yes")</f>
        <v>Yes</v>
      </c>
      <c r="V667" s="5" t="str">
        <f ca="1">IFERROR(__xludf.DUMMYFUNCTION("""COMPUTED_VALUE"""),"Yes")</f>
        <v>Yes</v>
      </c>
      <c r="W667" s="5" t="str">
        <f ca="1">IFERROR(__xludf.DUMMYFUNCTION("""COMPUTED_VALUE"""),"Yes")</f>
        <v>Yes</v>
      </c>
      <c r="X667" s="5" t="str">
        <f ca="1">IFERROR(__xludf.DUMMYFUNCTION("""COMPUTED_VALUE"""),"Yes")</f>
        <v>Yes</v>
      </c>
      <c r="Y667" s="5" t="str">
        <f ca="1">IFERROR(__xludf.DUMMYFUNCTION("""COMPUTED_VALUE"""),"Yes")</f>
        <v>Yes</v>
      </c>
      <c r="Z667" s="5" t="str">
        <f ca="1">IFERROR(__xludf.DUMMYFUNCTION("""COMPUTED_VALUE"""),"Yes")</f>
        <v>Yes</v>
      </c>
      <c r="AA667" s="5" t="str">
        <f ca="1">IFERROR(__xludf.DUMMYFUNCTION("""COMPUTED_VALUE"""),"Yes")</f>
        <v>Yes</v>
      </c>
      <c r="AB667" s="5" t="str">
        <f ca="1">IFERROR(__xludf.DUMMYFUNCTION("""COMPUTED_VALUE"""),"Yes")</f>
        <v>Yes</v>
      </c>
      <c r="AC667" s="5" t="str">
        <f ca="1">IFERROR(__xludf.DUMMYFUNCTION("""COMPUTED_VALUE"""),"No")</f>
        <v>No</v>
      </c>
    </row>
    <row r="668" spans="1:29" x14ac:dyDescent="0.25">
      <c r="A668" s="5" t="str">
        <f ca="1">IFERROR(__xludf.DUMMYFUNCTION("""COMPUTED_VALUE"""),"FortuneOfWuKong")</f>
        <v>FortuneOfWuKong</v>
      </c>
      <c r="B6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8" s="5" t="str">
        <f ca="1">IFERROR(__xludf.DUMMYFUNCTION("""COMPUTED_VALUE"""),"Yes")</f>
        <v>Yes</v>
      </c>
      <c r="D668" s="5" t="str">
        <f ca="1">IFERROR(__xludf.DUMMYFUNCTION("""COMPUTED_VALUE"""),"Yes")</f>
        <v>Yes</v>
      </c>
      <c r="E668" s="5" t="str">
        <f ca="1">IFERROR(__xludf.DUMMYFUNCTION("""COMPUTED_VALUE"""),"Yes")</f>
        <v>Yes</v>
      </c>
      <c r="F668" s="5" t="str">
        <f ca="1">IFERROR(__xludf.DUMMYFUNCTION("""COMPUTED_VALUE"""),"Yes")</f>
        <v>Yes</v>
      </c>
      <c r="G668" s="5" t="str">
        <f ca="1">IFERROR(__xludf.DUMMYFUNCTION("""COMPUTED_VALUE"""),"Yes")</f>
        <v>Yes</v>
      </c>
      <c r="H668" s="5" t="str">
        <f ca="1">IFERROR(__xludf.DUMMYFUNCTION("""COMPUTED_VALUE"""),"Yes")</f>
        <v>Yes</v>
      </c>
      <c r="I668" s="5" t="str">
        <f ca="1">IFERROR(__xludf.DUMMYFUNCTION("""COMPUTED_VALUE"""),"Yes")</f>
        <v>Yes</v>
      </c>
      <c r="J668" s="5" t="str">
        <f ca="1">IFERROR(__xludf.DUMMYFUNCTION("""COMPUTED_VALUE"""),"Yes")</f>
        <v>Yes</v>
      </c>
      <c r="K668" s="5" t="str">
        <f ca="1">IFERROR(__xludf.DUMMYFUNCTION("""COMPUTED_VALUE"""),"Yes")</f>
        <v>Yes</v>
      </c>
      <c r="L668" s="5" t="str">
        <f ca="1">IFERROR(__xludf.DUMMYFUNCTION("""COMPUTED_VALUE"""),"Yes")</f>
        <v>Yes</v>
      </c>
      <c r="M668" s="5" t="str">
        <f ca="1">IFERROR(__xludf.DUMMYFUNCTION("""COMPUTED_VALUE"""),"Yes")</f>
        <v>Yes</v>
      </c>
      <c r="N668" s="5" t="str">
        <f ca="1">IFERROR(__xludf.DUMMYFUNCTION("""COMPUTED_VALUE"""),"Yes")</f>
        <v>Yes</v>
      </c>
      <c r="O668" s="5" t="str">
        <f ca="1">IFERROR(__xludf.DUMMYFUNCTION("""COMPUTED_VALUE"""),"Yes")</f>
        <v>Yes</v>
      </c>
      <c r="P668" s="5" t="str">
        <f ca="1">IFERROR(__xludf.DUMMYFUNCTION("""COMPUTED_VALUE"""),"Yes")</f>
        <v>Yes</v>
      </c>
      <c r="Q668" s="5" t="str">
        <f ca="1">IFERROR(__xludf.DUMMYFUNCTION("""COMPUTED_VALUE"""),"Yes")</f>
        <v>Yes</v>
      </c>
      <c r="R668" s="5" t="str">
        <f ca="1">IFERROR(__xludf.DUMMYFUNCTION("""COMPUTED_VALUE"""),"Yes")</f>
        <v>Yes</v>
      </c>
      <c r="S668" s="5" t="str">
        <f ca="1">IFERROR(__xludf.DUMMYFUNCTION("""COMPUTED_VALUE"""),"Yes")</f>
        <v>Yes</v>
      </c>
      <c r="T668" s="5" t="str">
        <f ca="1">IFERROR(__xludf.DUMMYFUNCTION("""COMPUTED_VALUE"""),"Yes")</f>
        <v>Yes</v>
      </c>
      <c r="U668" s="5" t="str">
        <f ca="1">IFERROR(__xludf.DUMMYFUNCTION("""COMPUTED_VALUE"""),"Yes")</f>
        <v>Yes</v>
      </c>
      <c r="V668" s="5" t="str">
        <f ca="1">IFERROR(__xludf.DUMMYFUNCTION("""COMPUTED_VALUE"""),"Yes")</f>
        <v>Yes</v>
      </c>
      <c r="W668" s="5" t="str">
        <f ca="1">IFERROR(__xludf.DUMMYFUNCTION("""COMPUTED_VALUE"""),"Yes")</f>
        <v>Yes</v>
      </c>
      <c r="X668" s="5" t="str">
        <f ca="1">IFERROR(__xludf.DUMMYFUNCTION("""COMPUTED_VALUE"""),"Yes")</f>
        <v>Yes</v>
      </c>
      <c r="Y668" s="5" t="str">
        <f ca="1">IFERROR(__xludf.DUMMYFUNCTION("""COMPUTED_VALUE"""),"Yes")</f>
        <v>Yes</v>
      </c>
      <c r="Z668" s="5" t="str">
        <f ca="1">IFERROR(__xludf.DUMMYFUNCTION("""COMPUTED_VALUE"""),"Yes")</f>
        <v>Yes</v>
      </c>
      <c r="AA668" s="5" t="str">
        <f ca="1">IFERROR(__xludf.DUMMYFUNCTION("""COMPUTED_VALUE"""),"Yes")</f>
        <v>Yes</v>
      </c>
      <c r="AB668" s="5" t="str">
        <f ca="1">IFERROR(__xludf.DUMMYFUNCTION("""COMPUTED_VALUE"""),"Yes")</f>
        <v>Yes</v>
      </c>
      <c r="AC668" s="5" t="str">
        <f ca="1">IFERROR(__xludf.DUMMYFUNCTION("""COMPUTED_VALUE"""),"No")</f>
        <v>No</v>
      </c>
    </row>
    <row r="669" spans="1:29" x14ac:dyDescent="0.25">
      <c r="A669" s="5" t="str">
        <f ca="1">IFERROR(__xludf.DUMMYFUNCTION("""COMPUTED_VALUE"""),"CloversAndDiamonds10")</f>
        <v>CloversAndDiamonds10</v>
      </c>
      <c r="B6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9" s="5" t="str">
        <f ca="1">IFERROR(__xludf.DUMMYFUNCTION("""COMPUTED_VALUE"""),"Yes")</f>
        <v>Yes</v>
      </c>
      <c r="D669" s="5" t="str">
        <f ca="1">IFERROR(__xludf.DUMMYFUNCTION("""COMPUTED_VALUE"""),"Yes")</f>
        <v>Yes</v>
      </c>
      <c r="E669" s="5" t="str">
        <f ca="1">IFERROR(__xludf.DUMMYFUNCTION("""COMPUTED_VALUE"""),"Yes")</f>
        <v>Yes</v>
      </c>
      <c r="F669" s="5" t="str">
        <f ca="1">IFERROR(__xludf.DUMMYFUNCTION("""COMPUTED_VALUE"""),"Yes")</f>
        <v>Yes</v>
      </c>
      <c r="G669" s="5" t="str">
        <f ca="1">IFERROR(__xludf.DUMMYFUNCTION("""COMPUTED_VALUE"""),"Yes")</f>
        <v>Yes</v>
      </c>
      <c r="H669" s="5" t="str">
        <f ca="1">IFERROR(__xludf.DUMMYFUNCTION("""COMPUTED_VALUE"""),"Yes")</f>
        <v>Yes</v>
      </c>
      <c r="I669" s="5" t="str">
        <f ca="1">IFERROR(__xludf.DUMMYFUNCTION("""COMPUTED_VALUE"""),"Yes")</f>
        <v>Yes</v>
      </c>
      <c r="J669" s="5" t="str">
        <f ca="1">IFERROR(__xludf.DUMMYFUNCTION("""COMPUTED_VALUE"""),"Yes")</f>
        <v>Yes</v>
      </c>
      <c r="K669" s="5" t="str">
        <f ca="1">IFERROR(__xludf.DUMMYFUNCTION("""COMPUTED_VALUE"""),"Yes")</f>
        <v>Yes</v>
      </c>
      <c r="L669" s="5" t="str">
        <f ca="1">IFERROR(__xludf.DUMMYFUNCTION("""COMPUTED_VALUE"""),"Yes")</f>
        <v>Yes</v>
      </c>
      <c r="M669" s="5" t="str">
        <f ca="1">IFERROR(__xludf.DUMMYFUNCTION("""COMPUTED_VALUE"""),"Yes")</f>
        <v>Yes</v>
      </c>
      <c r="N669" s="5" t="str">
        <f ca="1">IFERROR(__xludf.DUMMYFUNCTION("""COMPUTED_VALUE"""),"Yes")</f>
        <v>Yes</v>
      </c>
      <c r="O669" s="5" t="str">
        <f ca="1">IFERROR(__xludf.DUMMYFUNCTION("""COMPUTED_VALUE"""),"Yes")</f>
        <v>Yes</v>
      </c>
      <c r="P669" s="5" t="str">
        <f ca="1">IFERROR(__xludf.DUMMYFUNCTION("""COMPUTED_VALUE"""),"Yes")</f>
        <v>Yes</v>
      </c>
      <c r="Q669" s="5" t="str">
        <f ca="1">IFERROR(__xludf.DUMMYFUNCTION("""COMPUTED_VALUE"""),"Yes")</f>
        <v>Yes</v>
      </c>
      <c r="R669" s="5" t="str">
        <f ca="1">IFERROR(__xludf.DUMMYFUNCTION("""COMPUTED_VALUE"""),"Yes")</f>
        <v>Yes</v>
      </c>
      <c r="S669" s="5" t="str">
        <f ca="1">IFERROR(__xludf.DUMMYFUNCTION("""COMPUTED_VALUE"""),"Yes")</f>
        <v>Yes</v>
      </c>
      <c r="T669" s="5" t="str">
        <f ca="1">IFERROR(__xludf.DUMMYFUNCTION("""COMPUTED_VALUE"""),"Yes")</f>
        <v>Yes</v>
      </c>
      <c r="U669" s="5" t="str">
        <f ca="1">IFERROR(__xludf.DUMMYFUNCTION("""COMPUTED_VALUE"""),"Yes")</f>
        <v>Yes</v>
      </c>
      <c r="V669" s="5" t="str">
        <f ca="1">IFERROR(__xludf.DUMMYFUNCTION("""COMPUTED_VALUE"""),"Yes")</f>
        <v>Yes</v>
      </c>
      <c r="W669" s="5" t="str">
        <f ca="1">IFERROR(__xludf.DUMMYFUNCTION("""COMPUTED_VALUE"""),"Yes")</f>
        <v>Yes</v>
      </c>
      <c r="X669" s="5" t="str">
        <f ca="1">IFERROR(__xludf.DUMMYFUNCTION("""COMPUTED_VALUE"""),"Yes")</f>
        <v>Yes</v>
      </c>
      <c r="Y669" s="5" t="str">
        <f ca="1">IFERROR(__xludf.DUMMYFUNCTION("""COMPUTED_VALUE"""),"Yes")</f>
        <v>Yes</v>
      </c>
      <c r="Z669" s="5" t="str">
        <f ca="1">IFERROR(__xludf.DUMMYFUNCTION("""COMPUTED_VALUE"""),"Yes")</f>
        <v>Yes</v>
      </c>
      <c r="AA669" s="5" t="str">
        <f ca="1">IFERROR(__xludf.DUMMYFUNCTION("""COMPUTED_VALUE"""),"Yes")</f>
        <v>Yes</v>
      </c>
      <c r="AB669" s="5" t="str">
        <f ca="1">IFERROR(__xludf.DUMMYFUNCTION("""COMPUTED_VALUE"""),"Yes")</f>
        <v>Yes</v>
      </c>
      <c r="AC669" s="5" t="str">
        <f ca="1">IFERROR(__xludf.DUMMYFUNCTION("""COMPUTED_VALUE"""),"No")</f>
        <v>No</v>
      </c>
    </row>
    <row r="670" spans="1:29" x14ac:dyDescent="0.25">
      <c r="A670" s="5" t="str">
        <f ca="1">IFERROR(__xludf.DUMMYFUNCTION("""COMPUTED_VALUE"""),"CloversAndDiamonds20")</f>
        <v>CloversAndDiamonds20</v>
      </c>
      <c r="B6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0" s="5" t="str">
        <f ca="1">IFERROR(__xludf.DUMMYFUNCTION("""COMPUTED_VALUE"""),"Yes")</f>
        <v>Yes</v>
      </c>
      <c r="D670" s="5" t="str">
        <f ca="1">IFERROR(__xludf.DUMMYFUNCTION("""COMPUTED_VALUE"""),"Yes")</f>
        <v>Yes</v>
      </c>
      <c r="E670" s="5" t="str">
        <f ca="1">IFERROR(__xludf.DUMMYFUNCTION("""COMPUTED_VALUE"""),"Yes")</f>
        <v>Yes</v>
      </c>
      <c r="F670" s="5" t="str">
        <f ca="1">IFERROR(__xludf.DUMMYFUNCTION("""COMPUTED_VALUE"""),"Yes")</f>
        <v>Yes</v>
      </c>
      <c r="G670" s="5" t="str">
        <f ca="1">IFERROR(__xludf.DUMMYFUNCTION("""COMPUTED_VALUE"""),"Yes")</f>
        <v>Yes</v>
      </c>
      <c r="H670" s="5" t="str">
        <f ca="1">IFERROR(__xludf.DUMMYFUNCTION("""COMPUTED_VALUE"""),"Yes")</f>
        <v>Yes</v>
      </c>
      <c r="I670" s="5" t="str">
        <f ca="1">IFERROR(__xludf.DUMMYFUNCTION("""COMPUTED_VALUE"""),"Yes")</f>
        <v>Yes</v>
      </c>
      <c r="J670" s="5" t="str">
        <f ca="1">IFERROR(__xludf.DUMMYFUNCTION("""COMPUTED_VALUE"""),"Yes")</f>
        <v>Yes</v>
      </c>
      <c r="K670" s="5" t="str">
        <f ca="1">IFERROR(__xludf.DUMMYFUNCTION("""COMPUTED_VALUE"""),"Yes")</f>
        <v>Yes</v>
      </c>
      <c r="L670" s="5" t="str">
        <f ca="1">IFERROR(__xludf.DUMMYFUNCTION("""COMPUTED_VALUE"""),"Yes")</f>
        <v>Yes</v>
      </c>
      <c r="M670" s="5" t="str">
        <f ca="1">IFERROR(__xludf.DUMMYFUNCTION("""COMPUTED_VALUE"""),"Yes")</f>
        <v>Yes</v>
      </c>
      <c r="N670" s="5" t="str">
        <f ca="1">IFERROR(__xludf.DUMMYFUNCTION("""COMPUTED_VALUE"""),"Yes")</f>
        <v>Yes</v>
      </c>
      <c r="O670" s="5" t="str">
        <f ca="1">IFERROR(__xludf.DUMMYFUNCTION("""COMPUTED_VALUE"""),"Yes")</f>
        <v>Yes</v>
      </c>
      <c r="P670" s="5" t="str">
        <f ca="1">IFERROR(__xludf.DUMMYFUNCTION("""COMPUTED_VALUE"""),"Yes")</f>
        <v>Yes</v>
      </c>
      <c r="Q670" s="5" t="str">
        <f ca="1">IFERROR(__xludf.DUMMYFUNCTION("""COMPUTED_VALUE"""),"Yes")</f>
        <v>Yes</v>
      </c>
      <c r="R670" s="5" t="str">
        <f ca="1">IFERROR(__xludf.DUMMYFUNCTION("""COMPUTED_VALUE"""),"Yes")</f>
        <v>Yes</v>
      </c>
      <c r="S670" s="5" t="str">
        <f ca="1">IFERROR(__xludf.DUMMYFUNCTION("""COMPUTED_VALUE"""),"Yes")</f>
        <v>Yes</v>
      </c>
      <c r="T670" s="5" t="str">
        <f ca="1">IFERROR(__xludf.DUMMYFUNCTION("""COMPUTED_VALUE"""),"Yes")</f>
        <v>Yes</v>
      </c>
      <c r="U670" s="5" t="str">
        <f ca="1">IFERROR(__xludf.DUMMYFUNCTION("""COMPUTED_VALUE"""),"Yes")</f>
        <v>Yes</v>
      </c>
      <c r="V670" s="5" t="str">
        <f ca="1">IFERROR(__xludf.DUMMYFUNCTION("""COMPUTED_VALUE"""),"Yes")</f>
        <v>Yes</v>
      </c>
      <c r="W670" s="5" t="str">
        <f ca="1">IFERROR(__xludf.DUMMYFUNCTION("""COMPUTED_VALUE"""),"Yes")</f>
        <v>Yes</v>
      </c>
      <c r="X670" s="5" t="str">
        <f ca="1">IFERROR(__xludf.DUMMYFUNCTION("""COMPUTED_VALUE"""),"Yes")</f>
        <v>Yes</v>
      </c>
      <c r="Y670" s="5" t="str">
        <f ca="1">IFERROR(__xludf.DUMMYFUNCTION("""COMPUTED_VALUE"""),"Yes")</f>
        <v>Yes</v>
      </c>
      <c r="Z670" s="5" t="str">
        <f ca="1">IFERROR(__xludf.DUMMYFUNCTION("""COMPUTED_VALUE"""),"Yes")</f>
        <v>Yes</v>
      </c>
      <c r="AA670" s="5" t="str">
        <f ca="1">IFERROR(__xludf.DUMMYFUNCTION("""COMPUTED_VALUE"""),"Yes")</f>
        <v>Yes</v>
      </c>
      <c r="AB670" s="5" t="str">
        <f ca="1">IFERROR(__xludf.DUMMYFUNCTION("""COMPUTED_VALUE"""),"Yes")</f>
        <v>Yes</v>
      </c>
      <c r="AC670" s="5" t="str">
        <f ca="1">IFERROR(__xludf.DUMMYFUNCTION("""COMPUTED_VALUE"""),"No")</f>
        <v>No</v>
      </c>
    </row>
    <row r="671" spans="1:29" x14ac:dyDescent="0.25">
      <c r="A671" s="5" t="str">
        <f ca="1">IFERROR(__xludf.DUMMYFUNCTION("""COMPUTED_VALUE"""),"CloversAndDiamonds40")</f>
        <v>CloversAndDiamonds40</v>
      </c>
      <c r="B6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1" s="5" t="str">
        <f ca="1">IFERROR(__xludf.DUMMYFUNCTION("""COMPUTED_VALUE"""),"Yes")</f>
        <v>Yes</v>
      </c>
      <c r="D671" s="5" t="str">
        <f ca="1">IFERROR(__xludf.DUMMYFUNCTION("""COMPUTED_VALUE"""),"Yes")</f>
        <v>Yes</v>
      </c>
      <c r="E671" s="5" t="str">
        <f ca="1">IFERROR(__xludf.DUMMYFUNCTION("""COMPUTED_VALUE"""),"Yes")</f>
        <v>Yes</v>
      </c>
      <c r="F671" s="5" t="str">
        <f ca="1">IFERROR(__xludf.DUMMYFUNCTION("""COMPUTED_VALUE"""),"Yes")</f>
        <v>Yes</v>
      </c>
      <c r="G671" s="5" t="str">
        <f ca="1">IFERROR(__xludf.DUMMYFUNCTION("""COMPUTED_VALUE"""),"Yes")</f>
        <v>Yes</v>
      </c>
      <c r="H671" s="5" t="str">
        <f ca="1">IFERROR(__xludf.DUMMYFUNCTION("""COMPUTED_VALUE"""),"Yes")</f>
        <v>Yes</v>
      </c>
      <c r="I671" s="5" t="str">
        <f ca="1">IFERROR(__xludf.DUMMYFUNCTION("""COMPUTED_VALUE"""),"Yes")</f>
        <v>Yes</v>
      </c>
      <c r="J671" s="5" t="str">
        <f ca="1">IFERROR(__xludf.DUMMYFUNCTION("""COMPUTED_VALUE"""),"Yes")</f>
        <v>Yes</v>
      </c>
      <c r="K671" s="5" t="str">
        <f ca="1">IFERROR(__xludf.DUMMYFUNCTION("""COMPUTED_VALUE"""),"Yes")</f>
        <v>Yes</v>
      </c>
      <c r="L671" s="5" t="str">
        <f ca="1">IFERROR(__xludf.DUMMYFUNCTION("""COMPUTED_VALUE"""),"Yes")</f>
        <v>Yes</v>
      </c>
      <c r="M671" s="5" t="str">
        <f ca="1">IFERROR(__xludf.DUMMYFUNCTION("""COMPUTED_VALUE"""),"Yes")</f>
        <v>Yes</v>
      </c>
      <c r="N671" s="5" t="str">
        <f ca="1">IFERROR(__xludf.DUMMYFUNCTION("""COMPUTED_VALUE"""),"Yes")</f>
        <v>Yes</v>
      </c>
      <c r="O671" s="5" t="str">
        <f ca="1">IFERROR(__xludf.DUMMYFUNCTION("""COMPUTED_VALUE"""),"Yes")</f>
        <v>Yes</v>
      </c>
      <c r="P671" s="5" t="str">
        <f ca="1">IFERROR(__xludf.DUMMYFUNCTION("""COMPUTED_VALUE"""),"Yes")</f>
        <v>Yes</v>
      </c>
      <c r="Q671" s="5" t="str">
        <f ca="1">IFERROR(__xludf.DUMMYFUNCTION("""COMPUTED_VALUE"""),"Yes")</f>
        <v>Yes</v>
      </c>
      <c r="R671" s="5" t="str">
        <f ca="1">IFERROR(__xludf.DUMMYFUNCTION("""COMPUTED_VALUE"""),"Yes")</f>
        <v>Yes</v>
      </c>
      <c r="S671" s="5" t="str">
        <f ca="1">IFERROR(__xludf.DUMMYFUNCTION("""COMPUTED_VALUE"""),"Yes")</f>
        <v>Yes</v>
      </c>
      <c r="T671" s="5" t="str">
        <f ca="1">IFERROR(__xludf.DUMMYFUNCTION("""COMPUTED_VALUE"""),"Yes")</f>
        <v>Yes</v>
      </c>
      <c r="U671" s="5" t="str">
        <f ca="1">IFERROR(__xludf.DUMMYFUNCTION("""COMPUTED_VALUE"""),"Yes")</f>
        <v>Yes</v>
      </c>
      <c r="V671" s="5" t="str">
        <f ca="1">IFERROR(__xludf.DUMMYFUNCTION("""COMPUTED_VALUE"""),"Yes")</f>
        <v>Yes</v>
      </c>
      <c r="W671" s="5" t="str">
        <f ca="1">IFERROR(__xludf.DUMMYFUNCTION("""COMPUTED_VALUE"""),"Yes")</f>
        <v>Yes</v>
      </c>
      <c r="X671" s="5" t="str">
        <f ca="1">IFERROR(__xludf.DUMMYFUNCTION("""COMPUTED_VALUE"""),"Yes")</f>
        <v>Yes</v>
      </c>
      <c r="Y671" s="5" t="str">
        <f ca="1">IFERROR(__xludf.DUMMYFUNCTION("""COMPUTED_VALUE"""),"Yes")</f>
        <v>Yes</v>
      </c>
      <c r="Z671" s="5" t="str">
        <f ca="1">IFERROR(__xludf.DUMMYFUNCTION("""COMPUTED_VALUE"""),"Yes")</f>
        <v>Yes</v>
      </c>
      <c r="AA671" s="5" t="str">
        <f ca="1">IFERROR(__xludf.DUMMYFUNCTION("""COMPUTED_VALUE"""),"Yes")</f>
        <v>Yes</v>
      </c>
      <c r="AB671" s="5" t="str">
        <f ca="1">IFERROR(__xludf.DUMMYFUNCTION("""COMPUTED_VALUE"""),"Yes")</f>
        <v>Yes</v>
      </c>
      <c r="AC671" s="5" t="str">
        <f ca="1">IFERROR(__xludf.DUMMYFUNCTION("""COMPUTED_VALUE"""),"No")</f>
        <v>No</v>
      </c>
    </row>
    <row r="672" spans="1:29" x14ac:dyDescent="0.25">
      <c r="A672" s="5" t="str">
        <f ca="1">IFERROR(__xludf.DUMMYFUNCTION("""COMPUTED_VALUE"""),"RoyalgardenKing")</f>
        <v>RoyalgardenKing</v>
      </c>
      <c r="B6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2" s="5" t="str">
        <f ca="1">IFERROR(__xludf.DUMMYFUNCTION("""COMPUTED_VALUE"""),"Yes")</f>
        <v>Yes</v>
      </c>
      <c r="D672" s="5" t="str">
        <f ca="1">IFERROR(__xludf.DUMMYFUNCTION("""COMPUTED_VALUE"""),"Yes")</f>
        <v>Yes</v>
      </c>
      <c r="E672" s="5" t="str">
        <f ca="1">IFERROR(__xludf.DUMMYFUNCTION("""COMPUTED_VALUE"""),"Yes")</f>
        <v>Yes</v>
      </c>
      <c r="F672" s="5" t="str">
        <f ca="1">IFERROR(__xludf.DUMMYFUNCTION("""COMPUTED_VALUE"""),"Yes")</f>
        <v>Yes</v>
      </c>
      <c r="G672" s="5" t="str">
        <f ca="1">IFERROR(__xludf.DUMMYFUNCTION("""COMPUTED_VALUE"""),"Yes")</f>
        <v>Yes</v>
      </c>
      <c r="H672" s="5" t="str">
        <f ca="1">IFERROR(__xludf.DUMMYFUNCTION("""COMPUTED_VALUE"""),"Yes")</f>
        <v>Yes</v>
      </c>
      <c r="I672" s="5" t="str">
        <f ca="1">IFERROR(__xludf.DUMMYFUNCTION("""COMPUTED_VALUE"""),"Yes")</f>
        <v>Yes</v>
      </c>
      <c r="J672" s="5" t="str">
        <f ca="1">IFERROR(__xludf.DUMMYFUNCTION("""COMPUTED_VALUE"""),"Yes")</f>
        <v>Yes</v>
      </c>
      <c r="K672" s="5" t="str">
        <f ca="1">IFERROR(__xludf.DUMMYFUNCTION("""COMPUTED_VALUE"""),"Yes")</f>
        <v>Yes</v>
      </c>
      <c r="L672" s="5" t="str">
        <f ca="1">IFERROR(__xludf.DUMMYFUNCTION("""COMPUTED_VALUE"""),"Yes")</f>
        <v>Yes</v>
      </c>
      <c r="M672" s="5" t="str">
        <f ca="1">IFERROR(__xludf.DUMMYFUNCTION("""COMPUTED_VALUE"""),"Yes")</f>
        <v>Yes</v>
      </c>
      <c r="N672" s="5" t="str">
        <f ca="1">IFERROR(__xludf.DUMMYFUNCTION("""COMPUTED_VALUE"""),"Yes")</f>
        <v>Yes</v>
      </c>
      <c r="O672" s="5" t="str">
        <f ca="1">IFERROR(__xludf.DUMMYFUNCTION("""COMPUTED_VALUE"""),"Yes")</f>
        <v>Yes</v>
      </c>
      <c r="P672" s="5" t="str">
        <f ca="1">IFERROR(__xludf.DUMMYFUNCTION("""COMPUTED_VALUE"""),"Yes")</f>
        <v>Yes</v>
      </c>
      <c r="Q672" s="5" t="str">
        <f ca="1">IFERROR(__xludf.DUMMYFUNCTION("""COMPUTED_VALUE"""),"Yes")</f>
        <v>Yes</v>
      </c>
      <c r="R672" s="5" t="str">
        <f ca="1">IFERROR(__xludf.DUMMYFUNCTION("""COMPUTED_VALUE"""),"Yes")</f>
        <v>Yes</v>
      </c>
      <c r="S672" s="5" t="str">
        <f ca="1">IFERROR(__xludf.DUMMYFUNCTION("""COMPUTED_VALUE"""),"Yes")</f>
        <v>Yes</v>
      </c>
      <c r="T672" s="5" t="str">
        <f ca="1">IFERROR(__xludf.DUMMYFUNCTION("""COMPUTED_VALUE"""),"Yes")</f>
        <v>Yes</v>
      </c>
      <c r="U672" s="5" t="str">
        <f ca="1">IFERROR(__xludf.DUMMYFUNCTION("""COMPUTED_VALUE"""),"Yes")</f>
        <v>Yes</v>
      </c>
      <c r="V672" s="5" t="str">
        <f ca="1">IFERROR(__xludf.DUMMYFUNCTION("""COMPUTED_VALUE"""),"Yes")</f>
        <v>Yes</v>
      </c>
      <c r="W672" s="5" t="str">
        <f ca="1">IFERROR(__xludf.DUMMYFUNCTION("""COMPUTED_VALUE"""),"Yes")</f>
        <v>Yes</v>
      </c>
      <c r="X672" s="5" t="str">
        <f ca="1">IFERROR(__xludf.DUMMYFUNCTION("""COMPUTED_VALUE"""),"Yes")</f>
        <v>Yes</v>
      </c>
      <c r="Y672" s="5" t="str">
        <f ca="1">IFERROR(__xludf.DUMMYFUNCTION("""COMPUTED_VALUE"""),"Yes")</f>
        <v>Yes</v>
      </c>
      <c r="Z672" s="5" t="str">
        <f ca="1">IFERROR(__xludf.DUMMYFUNCTION("""COMPUTED_VALUE"""),"Yes")</f>
        <v>Yes</v>
      </c>
      <c r="AA672" s="5" t="str">
        <f ca="1">IFERROR(__xludf.DUMMYFUNCTION("""COMPUTED_VALUE"""),"Yes")</f>
        <v>Yes</v>
      </c>
      <c r="AB672" s="5" t="str">
        <f ca="1">IFERROR(__xludf.DUMMYFUNCTION("""COMPUTED_VALUE"""),"Yes")</f>
        <v>Yes</v>
      </c>
      <c r="AC672" s="5" t="str">
        <f ca="1">IFERROR(__xludf.DUMMYFUNCTION("""COMPUTED_VALUE"""),"No")</f>
        <v>No</v>
      </c>
    </row>
    <row r="673" spans="1:29" x14ac:dyDescent="0.25">
      <c r="A673" s="5" t="str">
        <f ca="1">IFERROR(__xludf.DUMMYFUNCTION("""COMPUTED_VALUE"""),"RoyalgardenQueen")</f>
        <v>RoyalgardenQueen</v>
      </c>
      <c r="B6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3" s="5" t="str">
        <f ca="1">IFERROR(__xludf.DUMMYFUNCTION("""COMPUTED_VALUE"""),"Yes")</f>
        <v>Yes</v>
      </c>
      <c r="D673" s="5" t="str">
        <f ca="1">IFERROR(__xludf.DUMMYFUNCTION("""COMPUTED_VALUE"""),"Yes")</f>
        <v>Yes</v>
      </c>
      <c r="E673" s="5" t="str">
        <f ca="1">IFERROR(__xludf.DUMMYFUNCTION("""COMPUTED_VALUE"""),"Yes")</f>
        <v>Yes</v>
      </c>
      <c r="F673" s="5" t="str">
        <f ca="1">IFERROR(__xludf.DUMMYFUNCTION("""COMPUTED_VALUE"""),"Yes")</f>
        <v>Yes</v>
      </c>
      <c r="G673" s="5" t="str">
        <f ca="1">IFERROR(__xludf.DUMMYFUNCTION("""COMPUTED_VALUE"""),"Yes")</f>
        <v>Yes</v>
      </c>
      <c r="H673" s="5" t="str">
        <f ca="1">IFERROR(__xludf.DUMMYFUNCTION("""COMPUTED_VALUE"""),"Yes")</f>
        <v>Yes</v>
      </c>
      <c r="I673" s="5" t="str">
        <f ca="1">IFERROR(__xludf.DUMMYFUNCTION("""COMPUTED_VALUE"""),"Yes")</f>
        <v>Yes</v>
      </c>
      <c r="J673" s="5" t="str">
        <f ca="1">IFERROR(__xludf.DUMMYFUNCTION("""COMPUTED_VALUE"""),"Yes")</f>
        <v>Yes</v>
      </c>
      <c r="K673" s="5" t="str">
        <f ca="1">IFERROR(__xludf.DUMMYFUNCTION("""COMPUTED_VALUE"""),"Yes")</f>
        <v>Yes</v>
      </c>
      <c r="L673" s="5" t="str">
        <f ca="1">IFERROR(__xludf.DUMMYFUNCTION("""COMPUTED_VALUE"""),"Yes")</f>
        <v>Yes</v>
      </c>
      <c r="M673" s="5" t="str">
        <f ca="1">IFERROR(__xludf.DUMMYFUNCTION("""COMPUTED_VALUE"""),"Yes")</f>
        <v>Yes</v>
      </c>
      <c r="N673" s="5" t="str">
        <f ca="1">IFERROR(__xludf.DUMMYFUNCTION("""COMPUTED_VALUE"""),"Yes")</f>
        <v>Yes</v>
      </c>
      <c r="O673" s="5" t="str">
        <f ca="1">IFERROR(__xludf.DUMMYFUNCTION("""COMPUTED_VALUE"""),"Yes")</f>
        <v>Yes</v>
      </c>
      <c r="P673" s="5" t="str">
        <f ca="1">IFERROR(__xludf.DUMMYFUNCTION("""COMPUTED_VALUE"""),"Yes")</f>
        <v>Yes</v>
      </c>
      <c r="Q673" s="5" t="str">
        <f ca="1">IFERROR(__xludf.DUMMYFUNCTION("""COMPUTED_VALUE"""),"Yes")</f>
        <v>Yes</v>
      </c>
      <c r="R673" s="5" t="str">
        <f ca="1">IFERROR(__xludf.DUMMYFUNCTION("""COMPUTED_VALUE"""),"Yes")</f>
        <v>Yes</v>
      </c>
      <c r="S673" s="5" t="str">
        <f ca="1">IFERROR(__xludf.DUMMYFUNCTION("""COMPUTED_VALUE"""),"Yes")</f>
        <v>Yes</v>
      </c>
      <c r="T673" s="5" t="str">
        <f ca="1">IFERROR(__xludf.DUMMYFUNCTION("""COMPUTED_VALUE"""),"Yes")</f>
        <v>Yes</v>
      </c>
      <c r="U673" s="5" t="str">
        <f ca="1">IFERROR(__xludf.DUMMYFUNCTION("""COMPUTED_VALUE"""),"Yes")</f>
        <v>Yes</v>
      </c>
      <c r="V673" s="5" t="str">
        <f ca="1">IFERROR(__xludf.DUMMYFUNCTION("""COMPUTED_VALUE"""),"Yes")</f>
        <v>Yes</v>
      </c>
      <c r="W673" s="5" t="str">
        <f ca="1">IFERROR(__xludf.DUMMYFUNCTION("""COMPUTED_VALUE"""),"Yes")</f>
        <v>Yes</v>
      </c>
      <c r="X673" s="5" t="str">
        <f ca="1">IFERROR(__xludf.DUMMYFUNCTION("""COMPUTED_VALUE"""),"Yes")</f>
        <v>Yes</v>
      </c>
      <c r="Y673" s="5" t="str">
        <f ca="1">IFERROR(__xludf.DUMMYFUNCTION("""COMPUTED_VALUE"""),"Yes")</f>
        <v>Yes</v>
      </c>
      <c r="Z673" s="5" t="str">
        <f ca="1">IFERROR(__xludf.DUMMYFUNCTION("""COMPUTED_VALUE"""),"Yes")</f>
        <v>Yes</v>
      </c>
      <c r="AA673" s="5" t="str">
        <f ca="1">IFERROR(__xludf.DUMMYFUNCTION("""COMPUTED_VALUE"""),"Yes")</f>
        <v>Yes</v>
      </c>
      <c r="AB673" s="5" t="str">
        <f ca="1">IFERROR(__xludf.DUMMYFUNCTION("""COMPUTED_VALUE"""),"Yes")</f>
        <v>Yes</v>
      </c>
      <c r="AC673" s="5" t="str">
        <f ca="1">IFERROR(__xludf.DUMMYFUNCTION("""COMPUTED_VALUE"""),"No")</f>
        <v>No</v>
      </c>
    </row>
    <row r="674" spans="1:29" x14ac:dyDescent="0.25">
      <c r="A674" s="5" t="str">
        <f ca="1">IFERROR(__xludf.DUMMYFUNCTION("""COMPUTED_VALUE"""),"WildHotJacks40")</f>
        <v>WildHotJacks40</v>
      </c>
      <c r="B6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4" s="5" t="str">
        <f ca="1">IFERROR(__xludf.DUMMYFUNCTION("""COMPUTED_VALUE"""),"Yes")</f>
        <v>Yes</v>
      </c>
      <c r="D674" s="5" t="str">
        <f ca="1">IFERROR(__xludf.DUMMYFUNCTION("""COMPUTED_VALUE"""),"Yes")</f>
        <v>Yes</v>
      </c>
      <c r="E674" s="5" t="str">
        <f ca="1">IFERROR(__xludf.DUMMYFUNCTION("""COMPUTED_VALUE"""),"Yes")</f>
        <v>Yes</v>
      </c>
      <c r="F674" s="5" t="str">
        <f ca="1">IFERROR(__xludf.DUMMYFUNCTION("""COMPUTED_VALUE"""),"Yes")</f>
        <v>Yes</v>
      </c>
      <c r="G674" s="5" t="str">
        <f ca="1">IFERROR(__xludf.DUMMYFUNCTION("""COMPUTED_VALUE"""),"Yes")</f>
        <v>Yes</v>
      </c>
      <c r="H674" s="5" t="str">
        <f ca="1">IFERROR(__xludf.DUMMYFUNCTION("""COMPUTED_VALUE"""),"Yes")</f>
        <v>Yes</v>
      </c>
      <c r="I674" s="5" t="str">
        <f ca="1">IFERROR(__xludf.DUMMYFUNCTION("""COMPUTED_VALUE"""),"Yes")</f>
        <v>Yes</v>
      </c>
      <c r="J674" s="5" t="str">
        <f ca="1">IFERROR(__xludf.DUMMYFUNCTION("""COMPUTED_VALUE"""),"Yes")</f>
        <v>Yes</v>
      </c>
      <c r="K674" s="5" t="str">
        <f ca="1">IFERROR(__xludf.DUMMYFUNCTION("""COMPUTED_VALUE"""),"Yes")</f>
        <v>Yes</v>
      </c>
      <c r="L674" s="5" t="str">
        <f ca="1">IFERROR(__xludf.DUMMYFUNCTION("""COMPUTED_VALUE"""),"Yes")</f>
        <v>Yes</v>
      </c>
      <c r="M674" s="5" t="str">
        <f ca="1">IFERROR(__xludf.DUMMYFUNCTION("""COMPUTED_VALUE"""),"Yes")</f>
        <v>Yes</v>
      </c>
      <c r="N674" s="5" t="str">
        <f ca="1">IFERROR(__xludf.DUMMYFUNCTION("""COMPUTED_VALUE"""),"Yes")</f>
        <v>Yes</v>
      </c>
      <c r="O674" s="5" t="str">
        <f ca="1">IFERROR(__xludf.DUMMYFUNCTION("""COMPUTED_VALUE"""),"Yes")</f>
        <v>Yes</v>
      </c>
      <c r="P674" s="5" t="str">
        <f ca="1">IFERROR(__xludf.DUMMYFUNCTION("""COMPUTED_VALUE"""),"Yes")</f>
        <v>Yes</v>
      </c>
      <c r="Q674" s="5" t="str">
        <f ca="1">IFERROR(__xludf.DUMMYFUNCTION("""COMPUTED_VALUE"""),"Yes")</f>
        <v>Yes</v>
      </c>
      <c r="R674" s="5" t="str">
        <f ca="1">IFERROR(__xludf.DUMMYFUNCTION("""COMPUTED_VALUE"""),"Yes")</f>
        <v>Yes</v>
      </c>
      <c r="S674" s="5" t="str">
        <f ca="1">IFERROR(__xludf.DUMMYFUNCTION("""COMPUTED_VALUE"""),"Yes")</f>
        <v>Yes</v>
      </c>
      <c r="T674" s="5" t="str">
        <f ca="1">IFERROR(__xludf.DUMMYFUNCTION("""COMPUTED_VALUE"""),"Yes")</f>
        <v>Yes</v>
      </c>
      <c r="U674" s="5" t="str">
        <f ca="1">IFERROR(__xludf.DUMMYFUNCTION("""COMPUTED_VALUE"""),"Yes")</f>
        <v>Yes</v>
      </c>
      <c r="V674" s="5" t="str">
        <f ca="1">IFERROR(__xludf.DUMMYFUNCTION("""COMPUTED_VALUE"""),"Yes")</f>
        <v>Yes</v>
      </c>
      <c r="W674" s="5" t="str">
        <f ca="1">IFERROR(__xludf.DUMMYFUNCTION("""COMPUTED_VALUE"""),"Yes")</f>
        <v>Yes</v>
      </c>
      <c r="X674" s="5" t="str">
        <f ca="1">IFERROR(__xludf.DUMMYFUNCTION("""COMPUTED_VALUE"""),"Yes")</f>
        <v>Yes</v>
      </c>
      <c r="Y674" s="5" t="str">
        <f ca="1">IFERROR(__xludf.DUMMYFUNCTION("""COMPUTED_VALUE"""),"Yes")</f>
        <v>Yes</v>
      </c>
      <c r="Z674" s="5" t="str">
        <f ca="1">IFERROR(__xludf.DUMMYFUNCTION("""COMPUTED_VALUE"""),"Yes")</f>
        <v>Yes</v>
      </c>
      <c r="AA674" s="5" t="str">
        <f ca="1">IFERROR(__xludf.DUMMYFUNCTION("""COMPUTED_VALUE"""),"Yes")</f>
        <v>Yes</v>
      </c>
      <c r="AB674" s="5" t="str">
        <f ca="1">IFERROR(__xludf.DUMMYFUNCTION("""COMPUTED_VALUE"""),"Yes")</f>
        <v>Yes</v>
      </c>
      <c r="AC674" s="5" t="str">
        <f ca="1">IFERROR(__xludf.DUMMYFUNCTION("""COMPUTED_VALUE"""),"No")</f>
        <v>No</v>
      </c>
    </row>
    <row r="675" spans="1:29" x14ac:dyDescent="0.25">
      <c r="A675" s="5" t="str">
        <f ca="1">IFERROR(__xludf.DUMMYFUNCTION("""COMPUTED_VALUE"""),"GrandpashabetClover40")</f>
        <v>GrandpashabetClover40</v>
      </c>
      <c r="B6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5" s="5" t="str">
        <f ca="1">IFERROR(__xludf.DUMMYFUNCTION("""COMPUTED_VALUE"""),"Yes")</f>
        <v>Yes</v>
      </c>
      <c r="D675" s="5" t="str">
        <f ca="1">IFERROR(__xludf.DUMMYFUNCTION("""COMPUTED_VALUE"""),"Yes")</f>
        <v>Yes</v>
      </c>
      <c r="E675" s="5" t="str">
        <f ca="1">IFERROR(__xludf.DUMMYFUNCTION("""COMPUTED_VALUE"""),"Yes")</f>
        <v>Yes</v>
      </c>
      <c r="F675" s="5" t="str">
        <f ca="1">IFERROR(__xludf.DUMMYFUNCTION("""COMPUTED_VALUE"""),"Yes")</f>
        <v>Yes</v>
      </c>
      <c r="G675" s="5" t="str">
        <f ca="1">IFERROR(__xludf.DUMMYFUNCTION("""COMPUTED_VALUE"""),"Yes")</f>
        <v>Yes</v>
      </c>
      <c r="H675" s="5" t="str">
        <f ca="1">IFERROR(__xludf.DUMMYFUNCTION("""COMPUTED_VALUE"""),"Yes")</f>
        <v>Yes</v>
      </c>
      <c r="I675" s="5" t="str">
        <f ca="1">IFERROR(__xludf.DUMMYFUNCTION("""COMPUTED_VALUE"""),"Yes")</f>
        <v>Yes</v>
      </c>
      <c r="J675" s="5" t="str">
        <f ca="1">IFERROR(__xludf.DUMMYFUNCTION("""COMPUTED_VALUE"""),"Yes")</f>
        <v>Yes</v>
      </c>
      <c r="K675" s="5" t="str">
        <f ca="1">IFERROR(__xludf.DUMMYFUNCTION("""COMPUTED_VALUE"""),"Yes")</f>
        <v>Yes</v>
      </c>
      <c r="L675" s="5" t="str">
        <f ca="1">IFERROR(__xludf.DUMMYFUNCTION("""COMPUTED_VALUE"""),"Yes")</f>
        <v>Yes</v>
      </c>
      <c r="M675" s="5" t="str">
        <f ca="1">IFERROR(__xludf.DUMMYFUNCTION("""COMPUTED_VALUE"""),"Yes")</f>
        <v>Yes</v>
      </c>
      <c r="N675" s="5" t="str">
        <f ca="1">IFERROR(__xludf.DUMMYFUNCTION("""COMPUTED_VALUE"""),"Yes")</f>
        <v>Yes</v>
      </c>
      <c r="O675" s="5" t="str">
        <f ca="1">IFERROR(__xludf.DUMMYFUNCTION("""COMPUTED_VALUE"""),"Yes")</f>
        <v>Yes</v>
      </c>
      <c r="P675" s="5" t="str">
        <f ca="1">IFERROR(__xludf.DUMMYFUNCTION("""COMPUTED_VALUE"""),"Yes")</f>
        <v>Yes</v>
      </c>
      <c r="Q675" s="5" t="str">
        <f ca="1">IFERROR(__xludf.DUMMYFUNCTION("""COMPUTED_VALUE"""),"Yes")</f>
        <v>Yes</v>
      </c>
      <c r="R675" s="5" t="str">
        <f ca="1">IFERROR(__xludf.DUMMYFUNCTION("""COMPUTED_VALUE"""),"Yes")</f>
        <v>Yes</v>
      </c>
      <c r="S675" s="5" t="str">
        <f ca="1">IFERROR(__xludf.DUMMYFUNCTION("""COMPUTED_VALUE"""),"Yes")</f>
        <v>Yes</v>
      </c>
      <c r="T675" s="5" t="str">
        <f ca="1">IFERROR(__xludf.DUMMYFUNCTION("""COMPUTED_VALUE"""),"Yes")</f>
        <v>Yes</v>
      </c>
      <c r="U675" s="5" t="str">
        <f ca="1">IFERROR(__xludf.DUMMYFUNCTION("""COMPUTED_VALUE"""),"Yes")</f>
        <v>Yes</v>
      </c>
      <c r="V675" s="5" t="str">
        <f ca="1">IFERROR(__xludf.DUMMYFUNCTION("""COMPUTED_VALUE"""),"Yes")</f>
        <v>Yes</v>
      </c>
      <c r="W675" s="5" t="str">
        <f ca="1">IFERROR(__xludf.DUMMYFUNCTION("""COMPUTED_VALUE"""),"Yes")</f>
        <v>Yes</v>
      </c>
      <c r="X675" s="5" t="str">
        <f ca="1">IFERROR(__xludf.DUMMYFUNCTION("""COMPUTED_VALUE"""),"Yes")</f>
        <v>Yes</v>
      </c>
      <c r="Y675" s="5" t="str">
        <f ca="1">IFERROR(__xludf.DUMMYFUNCTION("""COMPUTED_VALUE"""),"Yes")</f>
        <v>Yes</v>
      </c>
      <c r="Z675" s="5" t="str">
        <f ca="1">IFERROR(__xludf.DUMMYFUNCTION("""COMPUTED_VALUE"""),"Yes")</f>
        <v>Yes</v>
      </c>
      <c r="AA675" s="5" t="str">
        <f ca="1">IFERROR(__xludf.DUMMYFUNCTION("""COMPUTED_VALUE"""),"Yes")</f>
        <v>Yes</v>
      </c>
      <c r="AB675" s="5" t="str">
        <f ca="1">IFERROR(__xludf.DUMMYFUNCTION("""COMPUTED_VALUE"""),"Yes")</f>
        <v>Yes</v>
      </c>
      <c r="AC675" s="5" t="str">
        <f ca="1">IFERROR(__xludf.DUMMYFUNCTION("""COMPUTED_VALUE"""),"No")</f>
        <v>No</v>
      </c>
    </row>
    <row r="676" spans="1:29" x14ac:dyDescent="0.25">
      <c r="A676" s="5" t="str">
        <f ca="1">IFERROR(__xludf.DUMMYFUNCTION("""COMPUTED_VALUE"""),"CroCasinoGoldenCrown")</f>
        <v>CroCasinoGoldenCrown</v>
      </c>
      <c r="B6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6" s="5" t="str">
        <f ca="1">IFERROR(__xludf.DUMMYFUNCTION("""COMPUTED_VALUE"""),"Yes")</f>
        <v>Yes</v>
      </c>
      <c r="D676" s="5" t="str">
        <f ca="1">IFERROR(__xludf.DUMMYFUNCTION("""COMPUTED_VALUE"""),"Yes")</f>
        <v>Yes</v>
      </c>
      <c r="E676" s="5" t="str">
        <f ca="1">IFERROR(__xludf.DUMMYFUNCTION("""COMPUTED_VALUE"""),"Yes")</f>
        <v>Yes</v>
      </c>
      <c r="F676" s="5" t="str">
        <f ca="1">IFERROR(__xludf.DUMMYFUNCTION("""COMPUTED_VALUE"""),"Yes")</f>
        <v>Yes</v>
      </c>
      <c r="G676" s="5" t="str">
        <f ca="1">IFERROR(__xludf.DUMMYFUNCTION("""COMPUTED_VALUE"""),"Yes")</f>
        <v>Yes</v>
      </c>
      <c r="H676" s="5" t="str">
        <f ca="1">IFERROR(__xludf.DUMMYFUNCTION("""COMPUTED_VALUE"""),"Yes")</f>
        <v>Yes</v>
      </c>
      <c r="I676" s="5" t="str">
        <f ca="1">IFERROR(__xludf.DUMMYFUNCTION("""COMPUTED_VALUE"""),"Yes")</f>
        <v>Yes</v>
      </c>
      <c r="J676" s="5" t="str">
        <f ca="1">IFERROR(__xludf.DUMMYFUNCTION("""COMPUTED_VALUE"""),"Yes")</f>
        <v>Yes</v>
      </c>
      <c r="K676" s="5" t="str">
        <f ca="1">IFERROR(__xludf.DUMMYFUNCTION("""COMPUTED_VALUE"""),"Yes")</f>
        <v>Yes</v>
      </c>
      <c r="L676" s="5" t="str">
        <f ca="1">IFERROR(__xludf.DUMMYFUNCTION("""COMPUTED_VALUE"""),"Yes")</f>
        <v>Yes</v>
      </c>
      <c r="M676" s="5" t="str">
        <f ca="1">IFERROR(__xludf.DUMMYFUNCTION("""COMPUTED_VALUE"""),"Yes")</f>
        <v>Yes</v>
      </c>
      <c r="N676" s="5" t="str">
        <f ca="1">IFERROR(__xludf.DUMMYFUNCTION("""COMPUTED_VALUE"""),"Yes")</f>
        <v>Yes</v>
      </c>
      <c r="O676" s="5" t="str">
        <f ca="1">IFERROR(__xludf.DUMMYFUNCTION("""COMPUTED_VALUE"""),"Yes")</f>
        <v>Yes</v>
      </c>
      <c r="P676" s="5" t="str">
        <f ca="1">IFERROR(__xludf.DUMMYFUNCTION("""COMPUTED_VALUE"""),"Yes")</f>
        <v>Yes</v>
      </c>
      <c r="Q676" s="5" t="str">
        <f ca="1">IFERROR(__xludf.DUMMYFUNCTION("""COMPUTED_VALUE"""),"Yes")</f>
        <v>Yes</v>
      </c>
      <c r="R676" s="5" t="str">
        <f ca="1">IFERROR(__xludf.DUMMYFUNCTION("""COMPUTED_VALUE"""),"Yes")</f>
        <v>Yes</v>
      </c>
      <c r="S676" s="5" t="str">
        <f ca="1">IFERROR(__xludf.DUMMYFUNCTION("""COMPUTED_VALUE"""),"Yes")</f>
        <v>Yes</v>
      </c>
      <c r="T676" s="5" t="str">
        <f ca="1">IFERROR(__xludf.DUMMYFUNCTION("""COMPUTED_VALUE"""),"Yes")</f>
        <v>Yes</v>
      </c>
      <c r="U676" s="5" t="str">
        <f ca="1">IFERROR(__xludf.DUMMYFUNCTION("""COMPUTED_VALUE"""),"Yes")</f>
        <v>Yes</v>
      </c>
      <c r="V676" s="5" t="str">
        <f ca="1">IFERROR(__xludf.DUMMYFUNCTION("""COMPUTED_VALUE"""),"Yes")</f>
        <v>Yes</v>
      </c>
      <c r="W676" s="5" t="str">
        <f ca="1">IFERROR(__xludf.DUMMYFUNCTION("""COMPUTED_VALUE"""),"Yes")</f>
        <v>Yes</v>
      </c>
      <c r="X676" s="5" t="str">
        <f ca="1">IFERROR(__xludf.DUMMYFUNCTION("""COMPUTED_VALUE"""),"Yes")</f>
        <v>Yes</v>
      </c>
      <c r="Y676" s="5" t="str">
        <f ca="1">IFERROR(__xludf.DUMMYFUNCTION("""COMPUTED_VALUE"""),"Yes")</f>
        <v>Yes</v>
      </c>
      <c r="Z676" s="5" t="str">
        <f ca="1">IFERROR(__xludf.DUMMYFUNCTION("""COMPUTED_VALUE"""),"Yes")</f>
        <v>Yes</v>
      </c>
      <c r="AA676" s="5" t="str">
        <f ca="1">IFERROR(__xludf.DUMMYFUNCTION("""COMPUTED_VALUE"""),"Yes")</f>
        <v>Yes</v>
      </c>
      <c r="AB676" s="5" t="str">
        <f ca="1">IFERROR(__xludf.DUMMYFUNCTION("""COMPUTED_VALUE"""),"Yes")</f>
        <v>Yes</v>
      </c>
      <c r="AC676" s="5" t="str">
        <f ca="1">IFERROR(__xludf.DUMMYFUNCTION("""COMPUTED_VALUE"""),"No")</f>
        <v>No</v>
      </c>
    </row>
    <row r="677" spans="1:29" x14ac:dyDescent="0.25">
      <c r="A677" s="5" t="str">
        <f ca="1">IFERROR(__xludf.DUMMYFUNCTION("""COMPUTED_VALUE"""),"WildShine40")</f>
        <v>WildShine40</v>
      </c>
      <c r="B6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7" s="5" t="str">
        <f ca="1">IFERROR(__xludf.DUMMYFUNCTION("""COMPUTED_VALUE"""),"Yes")</f>
        <v>Yes</v>
      </c>
      <c r="D677" s="5" t="str">
        <f ca="1">IFERROR(__xludf.DUMMYFUNCTION("""COMPUTED_VALUE"""),"Yes")</f>
        <v>Yes</v>
      </c>
      <c r="E677" s="5" t="str">
        <f ca="1">IFERROR(__xludf.DUMMYFUNCTION("""COMPUTED_VALUE"""),"Yes")</f>
        <v>Yes</v>
      </c>
      <c r="F677" s="5" t="str">
        <f ca="1">IFERROR(__xludf.DUMMYFUNCTION("""COMPUTED_VALUE"""),"Yes")</f>
        <v>Yes</v>
      </c>
      <c r="G677" s="5" t="str">
        <f ca="1">IFERROR(__xludf.DUMMYFUNCTION("""COMPUTED_VALUE"""),"Yes")</f>
        <v>Yes</v>
      </c>
      <c r="H677" s="5" t="str">
        <f ca="1">IFERROR(__xludf.DUMMYFUNCTION("""COMPUTED_VALUE"""),"Yes")</f>
        <v>Yes</v>
      </c>
      <c r="I677" s="5" t="str">
        <f ca="1">IFERROR(__xludf.DUMMYFUNCTION("""COMPUTED_VALUE"""),"Yes")</f>
        <v>Yes</v>
      </c>
      <c r="J677" s="5" t="str">
        <f ca="1">IFERROR(__xludf.DUMMYFUNCTION("""COMPUTED_VALUE"""),"Yes")</f>
        <v>Yes</v>
      </c>
      <c r="K677" s="5" t="str">
        <f ca="1">IFERROR(__xludf.DUMMYFUNCTION("""COMPUTED_VALUE"""),"Yes")</f>
        <v>Yes</v>
      </c>
      <c r="L677" s="5" t="str">
        <f ca="1">IFERROR(__xludf.DUMMYFUNCTION("""COMPUTED_VALUE"""),"Yes")</f>
        <v>Yes</v>
      </c>
      <c r="M677" s="5" t="str">
        <f ca="1">IFERROR(__xludf.DUMMYFUNCTION("""COMPUTED_VALUE"""),"Yes")</f>
        <v>Yes</v>
      </c>
      <c r="N677" s="5" t="str">
        <f ca="1">IFERROR(__xludf.DUMMYFUNCTION("""COMPUTED_VALUE"""),"Yes")</f>
        <v>Yes</v>
      </c>
      <c r="O677" s="5" t="str">
        <f ca="1">IFERROR(__xludf.DUMMYFUNCTION("""COMPUTED_VALUE"""),"Yes")</f>
        <v>Yes</v>
      </c>
      <c r="P677" s="5" t="str">
        <f ca="1">IFERROR(__xludf.DUMMYFUNCTION("""COMPUTED_VALUE"""),"Yes")</f>
        <v>Yes</v>
      </c>
      <c r="Q677" s="5" t="str">
        <f ca="1">IFERROR(__xludf.DUMMYFUNCTION("""COMPUTED_VALUE"""),"Yes")</f>
        <v>Yes</v>
      </c>
      <c r="R677" s="5" t="str">
        <f ca="1">IFERROR(__xludf.DUMMYFUNCTION("""COMPUTED_VALUE"""),"Yes")</f>
        <v>Yes</v>
      </c>
      <c r="S677" s="5" t="str">
        <f ca="1">IFERROR(__xludf.DUMMYFUNCTION("""COMPUTED_VALUE"""),"Yes")</f>
        <v>Yes</v>
      </c>
      <c r="T677" s="5" t="str">
        <f ca="1">IFERROR(__xludf.DUMMYFUNCTION("""COMPUTED_VALUE"""),"Yes")</f>
        <v>Yes</v>
      </c>
      <c r="U677" s="5" t="str">
        <f ca="1">IFERROR(__xludf.DUMMYFUNCTION("""COMPUTED_VALUE"""),"Yes")</f>
        <v>Yes</v>
      </c>
      <c r="V677" s="5" t="str">
        <f ca="1">IFERROR(__xludf.DUMMYFUNCTION("""COMPUTED_VALUE"""),"Yes")</f>
        <v>Yes</v>
      </c>
      <c r="W677" s="5" t="str">
        <f ca="1">IFERROR(__xludf.DUMMYFUNCTION("""COMPUTED_VALUE"""),"Yes")</f>
        <v>Yes</v>
      </c>
      <c r="X677" s="5" t="str">
        <f ca="1">IFERROR(__xludf.DUMMYFUNCTION("""COMPUTED_VALUE"""),"Yes")</f>
        <v>Yes</v>
      </c>
      <c r="Y677" s="5" t="str">
        <f ca="1">IFERROR(__xludf.DUMMYFUNCTION("""COMPUTED_VALUE"""),"Yes")</f>
        <v>Yes</v>
      </c>
      <c r="Z677" s="5" t="str">
        <f ca="1">IFERROR(__xludf.DUMMYFUNCTION("""COMPUTED_VALUE"""),"Yes")</f>
        <v>Yes</v>
      </c>
      <c r="AA677" s="5" t="str">
        <f ca="1">IFERROR(__xludf.DUMMYFUNCTION("""COMPUTED_VALUE"""),"Yes")</f>
        <v>Yes</v>
      </c>
      <c r="AB677" s="5" t="str">
        <f ca="1">IFERROR(__xludf.DUMMYFUNCTION("""COMPUTED_VALUE"""),"Yes")</f>
        <v>Yes</v>
      </c>
      <c r="AC677" s="5" t="str">
        <f ca="1">IFERROR(__xludf.DUMMYFUNCTION("""COMPUTED_VALUE"""),"No")</f>
        <v>No</v>
      </c>
    </row>
    <row r="678" spans="1:29" x14ac:dyDescent="0.25">
      <c r="A678" s="5" t="str">
        <f ca="1">IFERROR(__xludf.DUMMYFUNCTION("""COMPUTED_VALUE"""),"UnicornHotFireballs")</f>
        <v>UnicornHotFireballs</v>
      </c>
      <c r="B678" s="5" t="str">
        <f ca="1">IFERROR(__xludf.DUMMYFUNCTION("""COMPUTED_VALUE"""),"English(""eng"")")</f>
        <v>English("eng")</v>
      </c>
      <c r="C678" s="5" t="str">
        <f ca="1">IFERROR(__xludf.DUMMYFUNCTION("""COMPUTED_VALUE"""),"Yes")</f>
        <v>Yes</v>
      </c>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row>
    <row r="679" spans="1:29" x14ac:dyDescent="0.25">
      <c r="A679" s="5" t="str">
        <f ca="1">IFERROR(__xludf.DUMMYFUNCTION("""COMPUTED_VALUE"""),"UnicornThreeReelDice")</f>
        <v>UnicornThreeReelDice</v>
      </c>
      <c r="B679" s="5" t="str">
        <f ca="1">IFERROR(__xludf.DUMMYFUNCTION("""COMPUTED_VALUE"""),"English(""eng"")")</f>
        <v>English("eng")</v>
      </c>
      <c r="C679" s="5" t="str">
        <f ca="1">IFERROR(__xludf.DUMMYFUNCTION("""COMPUTED_VALUE"""),"Yes")</f>
        <v>Yes</v>
      </c>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row>
    <row r="680" spans="1:29" x14ac:dyDescent="0.25">
      <c r="A680" s="5" t="str">
        <f ca="1">IFERROR(__xludf.DUMMYFUNCTION("""COMPUTED_VALUE"""),"UnicornTropicalTreasure")</f>
        <v>UnicornTropicalTreasure</v>
      </c>
      <c r="B680" s="5" t="str">
        <f ca="1">IFERROR(__xludf.DUMMYFUNCTION("""COMPUTED_VALUE"""),"English(""eng"")")</f>
        <v>English("eng")</v>
      </c>
      <c r="C680" s="5" t="str">
        <f ca="1">IFERROR(__xludf.DUMMYFUNCTION("""COMPUTED_VALUE"""),"Yes")</f>
        <v>Yes</v>
      </c>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row>
    <row r="681" spans="1:29" x14ac:dyDescent="0.25">
      <c r="A681" s="5" t="str">
        <f ca="1">IFERROR(__xludf.DUMMYFUNCTION("""COMPUTED_VALUE"""),"UnicornGoldenGateFruit")</f>
        <v>UnicornGoldenGateFruit</v>
      </c>
      <c r="B681" s="5" t="str">
        <f ca="1">IFERROR(__xludf.DUMMYFUNCTION("""COMPUTED_VALUE"""),"English(""eng"")")</f>
        <v>English("eng")</v>
      </c>
      <c r="C681" s="5" t="str">
        <f ca="1">IFERROR(__xludf.DUMMYFUNCTION("""COMPUTED_VALUE"""),"Yes")</f>
        <v>Yes</v>
      </c>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row>
    <row r="682" spans="1:29" x14ac:dyDescent="0.25">
      <c r="A682" s="5" t="str">
        <f ca="1">IFERROR(__xludf.DUMMYFUNCTION("""COMPUTED_VALUE"""),"UnicornMoneyStandardJackpot")</f>
        <v>UnicornMoneyStandardJackpot</v>
      </c>
      <c r="B682" s="5" t="str">
        <f ca="1">IFERROR(__xludf.DUMMYFUNCTION("""COMPUTED_VALUE"""),"English(""eng"")")</f>
        <v>English("eng")</v>
      </c>
      <c r="C682" s="5" t="str">
        <f ca="1">IFERROR(__xludf.DUMMYFUNCTION("""COMPUTED_VALUE"""),"Yes")</f>
        <v>Yes</v>
      </c>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row>
    <row r="683" spans="1:29" x14ac:dyDescent="0.25">
      <c r="A683" s="5" t="str">
        <f ca="1">IFERROR(__xludf.DUMMYFUNCTION("""COMPUTED_VALUE"""),"UnicornShinyFireballs")</f>
        <v>UnicornShinyFireballs</v>
      </c>
      <c r="B683" s="5" t="str">
        <f ca="1">IFERROR(__xludf.DUMMYFUNCTION("""COMPUTED_VALUE"""),"English(""eng"")")</f>
        <v>English("eng")</v>
      </c>
      <c r="C683" s="5" t="str">
        <f ca="1">IFERROR(__xludf.DUMMYFUNCTION("""COMPUTED_VALUE"""),"Yes")</f>
        <v>Yes</v>
      </c>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row>
    <row r="684" spans="1:29" x14ac:dyDescent="0.25">
      <c r="A684" s="5" t="str">
        <f ca="1">IFERROR(__xludf.DUMMYFUNCTION("""COMPUTED_VALUE"""),"UnicornHotEightyOne")</f>
        <v>UnicornHotEightyOne</v>
      </c>
      <c r="B684" s="5" t="str">
        <f ca="1">IFERROR(__xludf.DUMMYFUNCTION("""COMPUTED_VALUE"""),"English(""eng"")")</f>
        <v>English("eng")</v>
      </c>
      <c r="C684" s="5" t="str">
        <f ca="1">IFERROR(__xludf.DUMMYFUNCTION("""COMPUTED_VALUE"""),"Yes")</f>
        <v>Yes</v>
      </c>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row>
    <row r="685" spans="1:29" x14ac:dyDescent="0.25">
      <c r="A685" s="5" t="str">
        <f ca="1">IFERROR(__xludf.DUMMYFUNCTION("""COMPUTED_VALUE"""),"UnicornHotFiredice")</f>
        <v>UnicornHotFiredice</v>
      </c>
      <c r="B685" s="5" t="str">
        <f ca="1">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C685" s="5" t="str">
        <f ca="1">IFERROR(__xludf.DUMMYFUNCTION("""COMPUTED_VALUE"""),"Yes")</f>
        <v>Yes</v>
      </c>
      <c r="D685" s="5" t="str">
        <f ca="1">IFERROR(__xludf.DUMMYFUNCTION("""COMPUTED_VALUE"""),"Yes")</f>
        <v>Yes</v>
      </c>
      <c r="E685" s="5" t="str">
        <f ca="1">IFERROR(__xludf.DUMMYFUNCTION("""COMPUTED_VALUE"""),"Yes")</f>
        <v>Yes</v>
      </c>
      <c r="F685" s="5" t="str">
        <f ca="1">IFERROR(__xludf.DUMMYFUNCTION("""COMPUTED_VALUE"""),"No")</f>
        <v>No</v>
      </c>
      <c r="G685" s="5" t="str">
        <f ca="1">IFERROR(__xludf.DUMMYFUNCTION("""COMPUTED_VALUE"""),"Yes")</f>
        <v>Yes</v>
      </c>
      <c r="H685" s="5" t="str">
        <f ca="1">IFERROR(__xludf.DUMMYFUNCTION("""COMPUTED_VALUE"""),"No")</f>
        <v>No</v>
      </c>
      <c r="I685" s="5" t="str">
        <f ca="1">IFERROR(__xludf.DUMMYFUNCTION("""COMPUTED_VALUE"""),"No")</f>
        <v>No</v>
      </c>
      <c r="J685" s="5" t="str">
        <f ca="1">IFERROR(__xludf.DUMMYFUNCTION("""COMPUTED_VALUE"""),"No")</f>
        <v>No</v>
      </c>
      <c r="K685" s="5" t="str">
        <f ca="1">IFERROR(__xludf.DUMMYFUNCTION("""COMPUTED_VALUE"""),"Yes")</f>
        <v>Yes</v>
      </c>
      <c r="L685" s="5" t="str">
        <f ca="1">IFERROR(__xludf.DUMMYFUNCTION("""COMPUTED_VALUE"""),"Yes")</f>
        <v>Yes</v>
      </c>
      <c r="M685" s="5" t="str">
        <f ca="1">IFERROR(__xludf.DUMMYFUNCTION("""COMPUTED_VALUE"""),"Yes")</f>
        <v>Yes</v>
      </c>
      <c r="N685" s="5" t="str">
        <f ca="1">IFERROR(__xludf.DUMMYFUNCTION("""COMPUTED_VALUE"""),"Yes")</f>
        <v>Yes</v>
      </c>
      <c r="O685" s="5" t="str">
        <f ca="1">IFERROR(__xludf.DUMMYFUNCTION("""COMPUTED_VALUE"""),"Yes")</f>
        <v>Yes</v>
      </c>
      <c r="P685" s="5" t="str">
        <f ca="1">IFERROR(__xludf.DUMMYFUNCTION("""COMPUTED_VALUE"""),"Yes")</f>
        <v>Yes</v>
      </c>
      <c r="Q685" s="5" t="str">
        <f ca="1">IFERROR(__xludf.DUMMYFUNCTION("""COMPUTED_VALUE"""),"Yes")</f>
        <v>Yes</v>
      </c>
      <c r="R685" s="5" t="str">
        <f ca="1">IFERROR(__xludf.DUMMYFUNCTION("""COMPUTED_VALUE"""),"No")</f>
        <v>No</v>
      </c>
      <c r="S685" s="5" t="str">
        <f ca="1">IFERROR(__xludf.DUMMYFUNCTION("""COMPUTED_VALUE"""),"No")</f>
        <v>No</v>
      </c>
      <c r="T685" s="5" t="str">
        <f ca="1">IFERROR(__xludf.DUMMYFUNCTION("""COMPUTED_VALUE"""),"No")</f>
        <v>No</v>
      </c>
      <c r="U685" s="5" t="str">
        <f ca="1">IFERROR(__xludf.DUMMYFUNCTION("""COMPUTED_VALUE"""),"No")</f>
        <v>No</v>
      </c>
      <c r="V685" s="5" t="str">
        <f ca="1">IFERROR(__xludf.DUMMYFUNCTION("""COMPUTED_VALUE"""),"No")</f>
        <v>No</v>
      </c>
      <c r="W685" s="5" t="str">
        <f ca="1">IFERROR(__xludf.DUMMYFUNCTION("""COMPUTED_VALUE"""),"No")</f>
        <v>No</v>
      </c>
      <c r="X685" s="5" t="str">
        <f ca="1">IFERROR(__xludf.DUMMYFUNCTION("""COMPUTED_VALUE"""),"Yes")</f>
        <v>Yes</v>
      </c>
      <c r="Y685" s="5" t="str">
        <f ca="1">IFERROR(__xludf.DUMMYFUNCTION("""COMPUTED_VALUE"""),"No")</f>
        <v>No</v>
      </c>
      <c r="Z685" s="5" t="str">
        <f ca="1">IFERROR(__xludf.DUMMYFUNCTION("""COMPUTED_VALUE"""),"No")</f>
        <v>No</v>
      </c>
      <c r="AA685" s="5" t="str">
        <f ca="1">IFERROR(__xludf.DUMMYFUNCTION("""COMPUTED_VALUE"""),"No")</f>
        <v>No</v>
      </c>
      <c r="AB685" s="5" t="str">
        <f ca="1">IFERROR(__xludf.DUMMYFUNCTION("""COMPUTED_VALUE"""),"Yes")</f>
        <v>Yes</v>
      </c>
      <c r="AC685" s="5" t="str">
        <f ca="1">IFERROR(__xludf.DUMMYFUNCTION("""COMPUTED_VALUE"""),"Yes")</f>
        <v>Yes</v>
      </c>
    </row>
    <row r="686" spans="1:29" x14ac:dyDescent="0.25">
      <c r="A686" s="5" t="str">
        <f ca="1">IFERROR(__xludf.DUMMYFUNCTION("""COMPUTED_VALUE"""),"UnicornMysticTreasure")</f>
        <v>UnicornMysticTreasure</v>
      </c>
      <c r="B686" s="5" t="str">
        <f ca="1">IFERROR(__xludf.DUMMYFUNCTION("""COMPUTED_VALUE"""),"English(""eng"")")</f>
        <v>English("eng")</v>
      </c>
      <c r="C686" s="5" t="str">
        <f ca="1">IFERROR(__xludf.DUMMYFUNCTION("""COMPUTED_VALUE"""),"Yes")</f>
        <v>Yes</v>
      </c>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row>
    <row r="687" spans="1:29" x14ac:dyDescent="0.25">
      <c r="A687" s="5" t="str">
        <f ca="1">IFERROR(__xludf.DUMMYFUNCTION("""COMPUTED_VALUE"""),"UnicornGoldenGateDice")</f>
        <v>UnicornGoldenGateDice</v>
      </c>
      <c r="B687" s="5" t="str">
        <f ca="1">IFERROR(__xludf.DUMMYFUNCTION("""COMPUTED_VALUE"""),"English(""eng"")")</f>
        <v>English("eng")</v>
      </c>
      <c r="C687" s="5" t="str">
        <f ca="1">IFERROR(__xludf.DUMMYFUNCTION("""COMPUTED_VALUE"""),"Yes")</f>
        <v>Yes</v>
      </c>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row>
    <row r="688" spans="1:29" x14ac:dyDescent="0.25">
      <c r="A688" s="5" t="str">
        <f ca="1">IFERROR(__xludf.DUMMYFUNCTION("""COMPUTED_VALUE"""),"UnicornBarrelsOfRiches")</f>
        <v>UnicornBarrelsOfRiches</v>
      </c>
      <c r="B688" s="5" t="str">
        <f ca="1">IFERROR(__xludf.DUMMYFUNCTION("""COMPUTED_VALUE"""),"English(""eng"")")</f>
        <v>English("eng")</v>
      </c>
      <c r="C688" s="5" t="str">
        <f ca="1">IFERROR(__xludf.DUMMYFUNCTION("""COMPUTED_VALUE"""),"Yes")</f>
        <v>Yes</v>
      </c>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row>
    <row r="689" spans="1:29" x14ac:dyDescent="0.25">
      <c r="A689" s="5" t="str">
        <f ca="1">IFERROR(__xludf.DUMMYFUNCTION("""COMPUTED_VALUE"""),"RedstoneFruitFire")</f>
        <v>RedstoneFruitFire</v>
      </c>
      <c r="B68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89" s="5" t="str">
        <f ca="1">IFERROR(__xludf.DUMMYFUNCTION("""COMPUTED_VALUE"""),"Yes")</f>
        <v>Yes</v>
      </c>
      <c r="D689" s="5" t="str">
        <f ca="1">IFERROR(__xludf.DUMMYFUNCTION("""COMPUTED_VALUE"""),"Yes")</f>
        <v>Yes</v>
      </c>
      <c r="E689" s="5" t="str">
        <f ca="1">IFERROR(__xludf.DUMMYFUNCTION("""COMPUTED_VALUE"""),"Yes")</f>
        <v>Yes</v>
      </c>
      <c r="F689" s="5" t="str">
        <f ca="1">IFERROR(__xludf.DUMMYFUNCTION("""COMPUTED_VALUE"""),"Yes")</f>
        <v>Yes</v>
      </c>
      <c r="G689" s="5" t="str">
        <f ca="1">IFERROR(__xludf.DUMMYFUNCTION("""COMPUTED_VALUE"""),"Yes")</f>
        <v>Yes</v>
      </c>
      <c r="H689" s="5" t="str">
        <f ca="1">IFERROR(__xludf.DUMMYFUNCTION("""COMPUTED_VALUE"""),"Yes")</f>
        <v>Yes</v>
      </c>
      <c r="I689" s="5" t="str">
        <f ca="1">IFERROR(__xludf.DUMMYFUNCTION("""COMPUTED_VALUE"""),"Yes")</f>
        <v>Yes</v>
      </c>
      <c r="J689" s="5" t="str">
        <f ca="1">IFERROR(__xludf.DUMMYFUNCTION("""COMPUTED_VALUE"""),"Yes")</f>
        <v>Yes</v>
      </c>
      <c r="K689" s="5" t="str">
        <f ca="1">IFERROR(__xludf.DUMMYFUNCTION("""COMPUTED_VALUE"""),"Yes")</f>
        <v>Yes</v>
      </c>
      <c r="L689" s="5" t="str">
        <f ca="1">IFERROR(__xludf.DUMMYFUNCTION("""COMPUTED_VALUE"""),"Yes")</f>
        <v>Yes</v>
      </c>
      <c r="M689" s="5" t="str">
        <f ca="1">IFERROR(__xludf.DUMMYFUNCTION("""COMPUTED_VALUE"""),"Yes")</f>
        <v>Yes</v>
      </c>
      <c r="N689" s="5" t="str">
        <f ca="1">IFERROR(__xludf.DUMMYFUNCTION("""COMPUTED_VALUE"""),"Yes")</f>
        <v>Yes</v>
      </c>
      <c r="O689" s="5" t="str">
        <f ca="1">IFERROR(__xludf.DUMMYFUNCTION("""COMPUTED_VALUE"""),"Yes")</f>
        <v>Yes</v>
      </c>
      <c r="P689" s="5" t="str">
        <f ca="1">IFERROR(__xludf.DUMMYFUNCTION("""COMPUTED_VALUE"""),"Yes")</f>
        <v>Yes</v>
      </c>
      <c r="Q689" s="5" t="str">
        <f ca="1">IFERROR(__xludf.DUMMYFUNCTION("""COMPUTED_VALUE"""),"Yes")</f>
        <v>Yes</v>
      </c>
      <c r="R689" s="5" t="str">
        <f ca="1">IFERROR(__xludf.DUMMYFUNCTION("""COMPUTED_VALUE"""),"No")</f>
        <v>No</v>
      </c>
      <c r="S689" s="5" t="str">
        <f ca="1">IFERROR(__xludf.DUMMYFUNCTION("""COMPUTED_VALUE"""),"No")</f>
        <v>No</v>
      </c>
      <c r="T689" s="5" t="str">
        <f ca="1">IFERROR(__xludf.DUMMYFUNCTION("""COMPUTED_VALUE"""),"No")</f>
        <v>No</v>
      </c>
      <c r="U689" s="5" t="str">
        <f ca="1">IFERROR(__xludf.DUMMYFUNCTION("""COMPUTED_VALUE"""),"No")</f>
        <v>No</v>
      </c>
      <c r="V689" s="5" t="str">
        <f ca="1">IFERROR(__xludf.DUMMYFUNCTION("""COMPUTED_VALUE"""),"No")</f>
        <v>No</v>
      </c>
      <c r="W689" s="5" t="str">
        <f ca="1">IFERROR(__xludf.DUMMYFUNCTION("""COMPUTED_VALUE"""),"No")</f>
        <v>No</v>
      </c>
      <c r="X689" s="5" t="str">
        <f ca="1">IFERROR(__xludf.DUMMYFUNCTION("""COMPUTED_VALUE"""),"Yes")</f>
        <v>Yes</v>
      </c>
      <c r="Y689" s="5" t="str">
        <f ca="1">IFERROR(__xludf.DUMMYFUNCTION("""COMPUTED_VALUE"""),"No")</f>
        <v>No</v>
      </c>
      <c r="Z689" s="5" t="str">
        <f ca="1">IFERROR(__xludf.DUMMYFUNCTION("""COMPUTED_VALUE"""),"No")</f>
        <v>No</v>
      </c>
      <c r="AA689" s="5" t="str">
        <f ca="1">IFERROR(__xludf.DUMMYFUNCTION("""COMPUTED_VALUE"""),"No")</f>
        <v>No</v>
      </c>
      <c r="AB689" s="5" t="str">
        <f ca="1">IFERROR(__xludf.DUMMYFUNCTION("""COMPUTED_VALUE"""),"Yes")</f>
        <v>Yes</v>
      </c>
      <c r="AC689" s="5" t="str">
        <f ca="1">IFERROR(__xludf.DUMMYFUNCTION("""COMPUTED_VALUE"""),"No")</f>
        <v>No</v>
      </c>
    </row>
    <row r="690" spans="1:29" x14ac:dyDescent="0.25">
      <c r="A690" s="5" t="str">
        <f ca="1">IFERROR(__xludf.DUMMYFUNCTION("""COMPUTED_VALUE"""),"RedstoneXCloverFire")</f>
        <v>RedstoneXCloverFire</v>
      </c>
      <c r="B69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0" s="5" t="str">
        <f ca="1">IFERROR(__xludf.DUMMYFUNCTION("""COMPUTED_VALUE"""),"Yes")</f>
        <v>Yes</v>
      </c>
      <c r="D690" s="5" t="str">
        <f ca="1">IFERROR(__xludf.DUMMYFUNCTION("""COMPUTED_VALUE"""),"Yes")</f>
        <v>Yes</v>
      </c>
      <c r="E690" s="5" t="str">
        <f ca="1">IFERROR(__xludf.DUMMYFUNCTION("""COMPUTED_VALUE"""),"No")</f>
        <v>No</v>
      </c>
      <c r="F690" s="5" t="str">
        <f ca="1">IFERROR(__xludf.DUMMYFUNCTION("""COMPUTED_VALUE"""),"Yes")</f>
        <v>Yes</v>
      </c>
      <c r="G690" s="5" t="str">
        <f ca="1">IFERROR(__xludf.DUMMYFUNCTION("""COMPUTED_VALUE"""),"Yes")</f>
        <v>Yes</v>
      </c>
      <c r="H690" s="5" t="str">
        <f ca="1">IFERROR(__xludf.DUMMYFUNCTION("""COMPUTED_VALUE"""),"Yes")</f>
        <v>Yes</v>
      </c>
      <c r="I690" s="5" t="str">
        <f ca="1">IFERROR(__xludf.DUMMYFUNCTION("""COMPUTED_VALUE"""),"Yes")</f>
        <v>Yes</v>
      </c>
      <c r="J690" s="5" t="str">
        <f ca="1">IFERROR(__xludf.DUMMYFUNCTION("""COMPUTED_VALUE"""),"Yes")</f>
        <v>Yes</v>
      </c>
      <c r="K690" s="5" t="str">
        <f ca="1">IFERROR(__xludf.DUMMYFUNCTION("""COMPUTED_VALUE"""),"Yes")</f>
        <v>Yes</v>
      </c>
      <c r="L690" s="5" t="str">
        <f ca="1">IFERROR(__xludf.DUMMYFUNCTION("""COMPUTED_VALUE"""),"Yes")</f>
        <v>Yes</v>
      </c>
      <c r="M690" s="5" t="str">
        <f ca="1">IFERROR(__xludf.DUMMYFUNCTION("""COMPUTED_VALUE"""),"Yes")</f>
        <v>Yes</v>
      </c>
      <c r="N690" s="5" t="str">
        <f ca="1">IFERROR(__xludf.DUMMYFUNCTION("""COMPUTED_VALUE"""),"Yes")</f>
        <v>Yes</v>
      </c>
      <c r="O690" s="5" t="str">
        <f ca="1">IFERROR(__xludf.DUMMYFUNCTION("""COMPUTED_VALUE"""),"Yes")</f>
        <v>Yes</v>
      </c>
      <c r="P690" s="5" t="str">
        <f ca="1">IFERROR(__xludf.DUMMYFUNCTION("""COMPUTED_VALUE"""),"Yes")</f>
        <v>Yes</v>
      </c>
      <c r="Q690" s="5" t="str">
        <f ca="1">IFERROR(__xludf.DUMMYFUNCTION("""COMPUTED_VALUE"""),"Yes")</f>
        <v>Yes</v>
      </c>
      <c r="R690" s="5" t="str">
        <f ca="1">IFERROR(__xludf.DUMMYFUNCTION("""COMPUTED_VALUE"""),"No")</f>
        <v>No</v>
      </c>
      <c r="S690" s="5" t="str">
        <f ca="1">IFERROR(__xludf.DUMMYFUNCTION("""COMPUTED_VALUE"""),"No")</f>
        <v>No</v>
      </c>
      <c r="T690" s="5" t="str">
        <f ca="1">IFERROR(__xludf.DUMMYFUNCTION("""COMPUTED_VALUE"""),"No")</f>
        <v>No</v>
      </c>
      <c r="U690" s="5" t="str">
        <f ca="1">IFERROR(__xludf.DUMMYFUNCTION("""COMPUTED_VALUE"""),"No")</f>
        <v>No</v>
      </c>
      <c r="V690" s="5" t="str">
        <f ca="1">IFERROR(__xludf.DUMMYFUNCTION("""COMPUTED_VALUE"""),"No")</f>
        <v>No</v>
      </c>
      <c r="W690" s="5" t="str">
        <f ca="1">IFERROR(__xludf.DUMMYFUNCTION("""COMPUTED_VALUE"""),"No")</f>
        <v>No</v>
      </c>
      <c r="X690" s="5" t="str">
        <f ca="1">IFERROR(__xludf.DUMMYFUNCTION("""COMPUTED_VALUE"""),"Yes")</f>
        <v>Yes</v>
      </c>
      <c r="Y690" s="5" t="str">
        <f ca="1">IFERROR(__xludf.DUMMYFUNCTION("""COMPUTED_VALUE"""),"No")</f>
        <v>No</v>
      </c>
      <c r="Z690" s="5" t="str">
        <f ca="1">IFERROR(__xludf.DUMMYFUNCTION("""COMPUTED_VALUE"""),"No")</f>
        <v>No</v>
      </c>
      <c r="AA690" s="5" t="str">
        <f ca="1">IFERROR(__xludf.DUMMYFUNCTION("""COMPUTED_VALUE"""),"No")</f>
        <v>No</v>
      </c>
      <c r="AB690" s="5" t="str">
        <f ca="1">IFERROR(__xludf.DUMMYFUNCTION("""COMPUTED_VALUE"""),"Yes")</f>
        <v>Yes</v>
      </c>
      <c r="AC690" s="5" t="str">
        <f ca="1">IFERROR(__xludf.DUMMYFUNCTION("""COMPUTED_VALUE"""),"No")</f>
        <v>No</v>
      </c>
    </row>
    <row r="691" spans="1:29" x14ac:dyDescent="0.25">
      <c r="A691" s="5" t="str">
        <f ca="1">IFERROR(__xludf.DUMMYFUNCTION("""COMPUTED_VALUE"""),"Redstone5HeartDeluxe")</f>
        <v>Redstone5HeartDeluxe</v>
      </c>
      <c r="B69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1" s="5" t="str">
        <f ca="1">IFERROR(__xludf.DUMMYFUNCTION("""COMPUTED_VALUE"""),"Yes")</f>
        <v>Yes</v>
      </c>
      <c r="D691" s="5" t="str">
        <f ca="1">IFERROR(__xludf.DUMMYFUNCTION("""COMPUTED_VALUE"""),"Yes")</f>
        <v>Yes</v>
      </c>
      <c r="E691" s="5" t="str">
        <f ca="1">IFERROR(__xludf.DUMMYFUNCTION("""COMPUTED_VALUE"""),"No")</f>
        <v>No</v>
      </c>
      <c r="F691" s="5" t="str">
        <f ca="1">IFERROR(__xludf.DUMMYFUNCTION("""COMPUTED_VALUE"""),"Yes")</f>
        <v>Yes</v>
      </c>
      <c r="G691" s="5" t="str">
        <f ca="1">IFERROR(__xludf.DUMMYFUNCTION("""COMPUTED_VALUE"""),"Yes")</f>
        <v>Yes</v>
      </c>
      <c r="H691" s="5" t="str">
        <f ca="1">IFERROR(__xludf.DUMMYFUNCTION("""COMPUTED_VALUE"""),"Yes")</f>
        <v>Yes</v>
      </c>
      <c r="I691" s="5" t="str">
        <f ca="1">IFERROR(__xludf.DUMMYFUNCTION("""COMPUTED_VALUE"""),"Yes")</f>
        <v>Yes</v>
      </c>
      <c r="J691" s="5" t="str">
        <f ca="1">IFERROR(__xludf.DUMMYFUNCTION("""COMPUTED_VALUE"""),"Yes")</f>
        <v>Yes</v>
      </c>
      <c r="K691" s="5" t="str">
        <f ca="1">IFERROR(__xludf.DUMMYFUNCTION("""COMPUTED_VALUE"""),"Yes")</f>
        <v>Yes</v>
      </c>
      <c r="L691" s="5" t="str">
        <f ca="1">IFERROR(__xludf.DUMMYFUNCTION("""COMPUTED_VALUE"""),"Yes")</f>
        <v>Yes</v>
      </c>
      <c r="M691" s="5" t="str">
        <f ca="1">IFERROR(__xludf.DUMMYFUNCTION("""COMPUTED_VALUE"""),"Yes")</f>
        <v>Yes</v>
      </c>
      <c r="N691" s="5" t="str">
        <f ca="1">IFERROR(__xludf.DUMMYFUNCTION("""COMPUTED_VALUE"""),"Yes")</f>
        <v>Yes</v>
      </c>
      <c r="O691" s="5" t="str">
        <f ca="1">IFERROR(__xludf.DUMMYFUNCTION("""COMPUTED_VALUE"""),"Yes")</f>
        <v>Yes</v>
      </c>
      <c r="P691" s="5" t="str">
        <f ca="1">IFERROR(__xludf.DUMMYFUNCTION("""COMPUTED_VALUE"""),"Yes")</f>
        <v>Yes</v>
      </c>
      <c r="Q691" s="5" t="str">
        <f ca="1">IFERROR(__xludf.DUMMYFUNCTION("""COMPUTED_VALUE"""),"Yes")</f>
        <v>Yes</v>
      </c>
      <c r="R691" s="5" t="str">
        <f ca="1">IFERROR(__xludf.DUMMYFUNCTION("""COMPUTED_VALUE"""),"No")</f>
        <v>No</v>
      </c>
      <c r="S691" s="5" t="str">
        <f ca="1">IFERROR(__xludf.DUMMYFUNCTION("""COMPUTED_VALUE"""),"No")</f>
        <v>No</v>
      </c>
      <c r="T691" s="5" t="str">
        <f ca="1">IFERROR(__xludf.DUMMYFUNCTION("""COMPUTED_VALUE"""),"No")</f>
        <v>No</v>
      </c>
      <c r="U691" s="5" t="str">
        <f ca="1">IFERROR(__xludf.DUMMYFUNCTION("""COMPUTED_VALUE"""),"No")</f>
        <v>No</v>
      </c>
      <c r="V691" s="5" t="str">
        <f ca="1">IFERROR(__xludf.DUMMYFUNCTION("""COMPUTED_VALUE"""),"No")</f>
        <v>No</v>
      </c>
      <c r="W691" s="5" t="str">
        <f ca="1">IFERROR(__xludf.DUMMYFUNCTION("""COMPUTED_VALUE"""),"No")</f>
        <v>No</v>
      </c>
      <c r="X691" s="5" t="str">
        <f ca="1">IFERROR(__xludf.DUMMYFUNCTION("""COMPUTED_VALUE"""),"Yes")</f>
        <v>Yes</v>
      </c>
      <c r="Y691" s="5" t="str">
        <f ca="1">IFERROR(__xludf.DUMMYFUNCTION("""COMPUTED_VALUE"""),"No")</f>
        <v>No</v>
      </c>
      <c r="Z691" s="5" t="str">
        <f ca="1">IFERROR(__xludf.DUMMYFUNCTION("""COMPUTED_VALUE"""),"No")</f>
        <v>No</v>
      </c>
      <c r="AA691" s="5" t="str">
        <f ca="1">IFERROR(__xludf.DUMMYFUNCTION("""COMPUTED_VALUE"""),"No")</f>
        <v>No</v>
      </c>
      <c r="AB691" s="5" t="str">
        <f ca="1">IFERROR(__xludf.DUMMYFUNCTION("""COMPUTED_VALUE"""),"Yes")</f>
        <v>Yes</v>
      </c>
      <c r="AC691" s="5" t="str">
        <f ca="1">IFERROR(__xludf.DUMMYFUNCTION("""COMPUTED_VALUE"""),"No")</f>
        <v>No</v>
      </c>
    </row>
    <row r="692" spans="1:29" x14ac:dyDescent="0.25">
      <c r="A692" s="5" t="str">
        <f ca="1">IFERROR(__xludf.DUMMYFUNCTION("""COMPUTED_VALUE"""),"RedstoneCloverDeluxe2X")</f>
        <v>RedstoneCloverDeluxe2X</v>
      </c>
      <c r="B692"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2" s="5" t="str">
        <f ca="1">IFERROR(__xludf.DUMMYFUNCTION("""COMPUTED_VALUE"""),"Yes")</f>
        <v>Yes</v>
      </c>
      <c r="D692" s="5" t="str">
        <f ca="1">IFERROR(__xludf.DUMMYFUNCTION("""COMPUTED_VALUE"""),"Yes")</f>
        <v>Yes</v>
      </c>
      <c r="E692" s="5" t="str">
        <f ca="1">IFERROR(__xludf.DUMMYFUNCTION("""COMPUTED_VALUE"""),"Yes")</f>
        <v>Yes</v>
      </c>
      <c r="F692" s="5" t="str">
        <f ca="1">IFERROR(__xludf.DUMMYFUNCTION("""COMPUTED_VALUE"""),"Yes")</f>
        <v>Yes</v>
      </c>
      <c r="G692" s="5" t="str">
        <f ca="1">IFERROR(__xludf.DUMMYFUNCTION("""COMPUTED_VALUE"""),"Yes")</f>
        <v>Yes</v>
      </c>
      <c r="H692" s="5" t="str">
        <f ca="1">IFERROR(__xludf.DUMMYFUNCTION("""COMPUTED_VALUE"""),"Yes")</f>
        <v>Yes</v>
      </c>
      <c r="I692" s="5" t="str">
        <f ca="1">IFERROR(__xludf.DUMMYFUNCTION("""COMPUTED_VALUE"""),"Yes")</f>
        <v>Yes</v>
      </c>
      <c r="J692" s="5" t="str">
        <f ca="1">IFERROR(__xludf.DUMMYFUNCTION("""COMPUTED_VALUE"""),"Yes")</f>
        <v>Yes</v>
      </c>
      <c r="K692" s="5" t="str">
        <f ca="1">IFERROR(__xludf.DUMMYFUNCTION("""COMPUTED_VALUE"""),"Yes")</f>
        <v>Yes</v>
      </c>
      <c r="L692" s="5" t="str">
        <f ca="1">IFERROR(__xludf.DUMMYFUNCTION("""COMPUTED_VALUE"""),"Yes")</f>
        <v>Yes</v>
      </c>
      <c r="M692" s="5" t="str">
        <f ca="1">IFERROR(__xludf.DUMMYFUNCTION("""COMPUTED_VALUE"""),"Yes")</f>
        <v>Yes</v>
      </c>
      <c r="N692" s="5" t="str">
        <f ca="1">IFERROR(__xludf.DUMMYFUNCTION("""COMPUTED_VALUE"""),"Yes")</f>
        <v>Yes</v>
      </c>
      <c r="O692" s="5" t="str">
        <f ca="1">IFERROR(__xludf.DUMMYFUNCTION("""COMPUTED_VALUE"""),"Yes")</f>
        <v>Yes</v>
      </c>
      <c r="P692" s="5" t="str">
        <f ca="1">IFERROR(__xludf.DUMMYFUNCTION("""COMPUTED_VALUE"""),"Yes")</f>
        <v>Yes</v>
      </c>
      <c r="Q692" s="5" t="str">
        <f ca="1">IFERROR(__xludf.DUMMYFUNCTION("""COMPUTED_VALUE"""),"Yes")</f>
        <v>Yes</v>
      </c>
      <c r="R692" s="5" t="str">
        <f ca="1">IFERROR(__xludf.DUMMYFUNCTION("""COMPUTED_VALUE"""),"No")</f>
        <v>No</v>
      </c>
      <c r="S692" s="5" t="str">
        <f ca="1">IFERROR(__xludf.DUMMYFUNCTION("""COMPUTED_VALUE"""),"No")</f>
        <v>No</v>
      </c>
      <c r="T692" s="5" t="str">
        <f ca="1">IFERROR(__xludf.DUMMYFUNCTION("""COMPUTED_VALUE"""),"No")</f>
        <v>No</v>
      </c>
      <c r="U692" s="5" t="str">
        <f ca="1">IFERROR(__xludf.DUMMYFUNCTION("""COMPUTED_VALUE"""),"No")</f>
        <v>No</v>
      </c>
      <c r="V692" s="5" t="str">
        <f ca="1">IFERROR(__xludf.DUMMYFUNCTION("""COMPUTED_VALUE"""),"No")</f>
        <v>No</v>
      </c>
      <c r="W692" s="5" t="str">
        <f ca="1">IFERROR(__xludf.DUMMYFUNCTION("""COMPUTED_VALUE"""),"No")</f>
        <v>No</v>
      </c>
      <c r="X692" s="5" t="str">
        <f ca="1">IFERROR(__xludf.DUMMYFUNCTION("""COMPUTED_VALUE"""),"Yes")</f>
        <v>Yes</v>
      </c>
      <c r="Y692" s="5" t="str">
        <f ca="1">IFERROR(__xludf.DUMMYFUNCTION("""COMPUTED_VALUE"""),"No")</f>
        <v>No</v>
      </c>
      <c r="Z692" s="5" t="str">
        <f ca="1">IFERROR(__xludf.DUMMYFUNCTION("""COMPUTED_VALUE"""),"No")</f>
        <v>No</v>
      </c>
      <c r="AA692" s="5" t="str">
        <f ca="1">IFERROR(__xludf.DUMMYFUNCTION("""COMPUTED_VALUE"""),"No")</f>
        <v>No</v>
      </c>
      <c r="AB692" s="5" t="str">
        <f ca="1">IFERROR(__xludf.DUMMYFUNCTION("""COMPUTED_VALUE"""),"Yes")</f>
        <v>Yes</v>
      </c>
      <c r="AC692" s="5" t="str">
        <f ca="1">IFERROR(__xludf.DUMMYFUNCTION("""COMPUTED_VALUE"""),"No")</f>
        <v>No</v>
      </c>
    </row>
    <row r="693" spans="1:29" x14ac:dyDescent="0.25">
      <c r="A693" s="5" t="str">
        <f ca="1">IFERROR(__xludf.DUMMYFUNCTION("""COMPUTED_VALUE"""),"RedstonePureHot5")</f>
        <v>RedstonePureHot5</v>
      </c>
      <c r="B69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3" s="5" t="str">
        <f ca="1">IFERROR(__xludf.DUMMYFUNCTION("""COMPUTED_VALUE"""),"Yes")</f>
        <v>Yes</v>
      </c>
      <c r="D693" s="5" t="str">
        <f ca="1">IFERROR(__xludf.DUMMYFUNCTION("""COMPUTED_VALUE"""),"Yes")</f>
        <v>Yes</v>
      </c>
      <c r="E693" s="5" t="str">
        <f ca="1">IFERROR(__xludf.DUMMYFUNCTION("""COMPUTED_VALUE"""),"Yes")</f>
        <v>Yes</v>
      </c>
      <c r="F693" s="5" t="str">
        <f ca="1">IFERROR(__xludf.DUMMYFUNCTION("""COMPUTED_VALUE"""),"Yes")</f>
        <v>Yes</v>
      </c>
      <c r="G693" s="5" t="str">
        <f ca="1">IFERROR(__xludf.DUMMYFUNCTION("""COMPUTED_VALUE"""),"Yes")</f>
        <v>Yes</v>
      </c>
      <c r="H693" s="5" t="str">
        <f ca="1">IFERROR(__xludf.DUMMYFUNCTION("""COMPUTED_VALUE"""),"Yes")</f>
        <v>Yes</v>
      </c>
      <c r="I693" s="5" t="str">
        <f ca="1">IFERROR(__xludf.DUMMYFUNCTION("""COMPUTED_VALUE"""),"Yes")</f>
        <v>Yes</v>
      </c>
      <c r="J693" s="5" t="str">
        <f ca="1">IFERROR(__xludf.DUMMYFUNCTION("""COMPUTED_VALUE"""),"Yes")</f>
        <v>Yes</v>
      </c>
      <c r="K693" s="5" t="str">
        <f ca="1">IFERROR(__xludf.DUMMYFUNCTION("""COMPUTED_VALUE"""),"Yes")</f>
        <v>Yes</v>
      </c>
      <c r="L693" s="5" t="str">
        <f ca="1">IFERROR(__xludf.DUMMYFUNCTION("""COMPUTED_VALUE"""),"Yes")</f>
        <v>Yes</v>
      </c>
      <c r="M693" s="5" t="str">
        <f ca="1">IFERROR(__xludf.DUMMYFUNCTION("""COMPUTED_VALUE"""),"Yes")</f>
        <v>Yes</v>
      </c>
      <c r="N693" s="5" t="str">
        <f ca="1">IFERROR(__xludf.DUMMYFUNCTION("""COMPUTED_VALUE"""),"Yes")</f>
        <v>Yes</v>
      </c>
      <c r="O693" s="5" t="str">
        <f ca="1">IFERROR(__xludf.DUMMYFUNCTION("""COMPUTED_VALUE"""),"Yes")</f>
        <v>Yes</v>
      </c>
      <c r="P693" s="5" t="str">
        <f ca="1">IFERROR(__xludf.DUMMYFUNCTION("""COMPUTED_VALUE"""),"Yes")</f>
        <v>Yes</v>
      </c>
      <c r="Q693" s="5" t="str">
        <f ca="1">IFERROR(__xludf.DUMMYFUNCTION("""COMPUTED_VALUE"""),"Yes")</f>
        <v>Yes</v>
      </c>
      <c r="R693" s="5" t="str">
        <f ca="1">IFERROR(__xludf.DUMMYFUNCTION("""COMPUTED_VALUE"""),"No")</f>
        <v>No</v>
      </c>
      <c r="S693" s="5" t="str">
        <f ca="1">IFERROR(__xludf.DUMMYFUNCTION("""COMPUTED_VALUE"""),"No")</f>
        <v>No</v>
      </c>
      <c r="T693" s="5" t="str">
        <f ca="1">IFERROR(__xludf.DUMMYFUNCTION("""COMPUTED_VALUE"""),"No")</f>
        <v>No</v>
      </c>
      <c r="U693" s="5" t="str">
        <f ca="1">IFERROR(__xludf.DUMMYFUNCTION("""COMPUTED_VALUE"""),"No")</f>
        <v>No</v>
      </c>
      <c r="V693" s="5" t="str">
        <f ca="1">IFERROR(__xludf.DUMMYFUNCTION("""COMPUTED_VALUE"""),"No")</f>
        <v>No</v>
      </c>
      <c r="W693" s="5" t="str">
        <f ca="1">IFERROR(__xludf.DUMMYFUNCTION("""COMPUTED_VALUE"""),"No")</f>
        <v>No</v>
      </c>
      <c r="X693" s="5" t="str">
        <f ca="1">IFERROR(__xludf.DUMMYFUNCTION("""COMPUTED_VALUE"""),"Yes")</f>
        <v>Yes</v>
      </c>
      <c r="Y693" s="5" t="str">
        <f ca="1">IFERROR(__xludf.DUMMYFUNCTION("""COMPUTED_VALUE"""),"No")</f>
        <v>No</v>
      </c>
      <c r="Z693" s="5" t="str">
        <f ca="1">IFERROR(__xludf.DUMMYFUNCTION("""COMPUTED_VALUE"""),"No")</f>
        <v>No</v>
      </c>
      <c r="AA693" s="5" t="str">
        <f ca="1">IFERROR(__xludf.DUMMYFUNCTION("""COMPUTED_VALUE"""),"No")</f>
        <v>No</v>
      </c>
      <c r="AB693" s="5" t="str">
        <f ca="1">IFERROR(__xludf.DUMMYFUNCTION("""COMPUTED_VALUE"""),"Yes")</f>
        <v>Yes</v>
      </c>
      <c r="AC693" s="5" t="str">
        <f ca="1">IFERROR(__xludf.DUMMYFUNCTION("""COMPUTED_VALUE"""),"No")</f>
        <v>No</v>
      </c>
    </row>
    <row r="694" spans="1:29" x14ac:dyDescent="0.25">
      <c r="A694" s="5" t="str">
        <f ca="1">IFERROR(__xludf.DUMMYFUNCTION("""COMPUTED_VALUE"""),"GoldenCrownExtremeBooster")</f>
        <v>GoldenCrownExtremeBooster</v>
      </c>
      <c r="B6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4" s="5" t="str">
        <f ca="1">IFERROR(__xludf.DUMMYFUNCTION("""COMPUTED_VALUE"""),"Yes")</f>
        <v>Yes</v>
      </c>
      <c r="D694" s="5" t="str">
        <f ca="1">IFERROR(__xludf.DUMMYFUNCTION("""COMPUTED_VALUE"""),"Yes")</f>
        <v>Yes</v>
      </c>
      <c r="E694" s="5" t="str">
        <f ca="1">IFERROR(__xludf.DUMMYFUNCTION("""COMPUTED_VALUE"""),"Yes")</f>
        <v>Yes</v>
      </c>
      <c r="F694" s="5" t="str">
        <f ca="1">IFERROR(__xludf.DUMMYFUNCTION("""COMPUTED_VALUE"""),"Yes")</f>
        <v>Yes</v>
      </c>
      <c r="G694" s="5" t="str">
        <f ca="1">IFERROR(__xludf.DUMMYFUNCTION("""COMPUTED_VALUE"""),"Yes")</f>
        <v>Yes</v>
      </c>
      <c r="H694" s="5" t="str">
        <f ca="1">IFERROR(__xludf.DUMMYFUNCTION("""COMPUTED_VALUE"""),"Yes")</f>
        <v>Yes</v>
      </c>
      <c r="I694" s="5" t="str">
        <f ca="1">IFERROR(__xludf.DUMMYFUNCTION("""COMPUTED_VALUE"""),"Yes")</f>
        <v>Yes</v>
      </c>
      <c r="J694" s="5" t="str">
        <f ca="1">IFERROR(__xludf.DUMMYFUNCTION("""COMPUTED_VALUE"""),"Yes")</f>
        <v>Yes</v>
      </c>
      <c r="K694" s="5" t="str">
        <f ca="1">IFERROR(__xludf.DUMMYFUNCTION("""COMPUTED_VALUE"""),"Yes")</f>
        <v>Yes</v>
      </c>
      <c r="L694" s="5" t="str">
        <f ca="1">IFERROR(__xludf.DUMMYFUNCTION("""COMPUTED_VALUE"""),"Yes")</f>
        <v>Yes</v>
      </c>
      <c r="M694" s="5" t="str">
        <f ca="1">IFERROR(__xludf.DUMMYFUNCTION("""COMPUTED_VALUE"""),"Yes")</f>
        <v>Yes</v>
      </c>
      <c r="N694" s="5" t="str">
        <f ca="1">IFERROR(__xludf.DUMMYFUNCTION("""COMPUTED_VALUE"""),"Yes")</f>
        <v>Yes</v>
      </c>
      <c r="O694" s="5" t="str">
        <f ca="1">IFERROR(__xludf.DUMMYFUNCTION("""COMPUTED_VALUE"""),"Yes")</f>
        <v>Yes</v>
      </c>
      <c r="P694" s="5" t="str">
        <f ca="1">IFERROR(__xludf.DUMMYFUNCTION("""COMPUTED_VALUE"""),"Yes")</f>
        <v>Yes</v>
      </c>
      <c r="Q694" s="5" t="str">
        <f ca="1">IFERROR(__xludf.DUMMYFUNCTION("""COMPUTED_VALUE"""),"Yes")</f>
        <v>Yes</v>
      </c>
      <c r="R694" s="5" t="str">
        <f ca="1">IFERROR(__xludf.DUMMYFUNCTION("""COMPUTED_VALUE"""),"Yes")</f>
        <v>Yes</v>
      </c>
      <c r="S694" s="5" t="str">
        <f ca="1">IFERROR(__xludf.DUMMYFUNCTION("""COMPUTED_VALUE"""),"Yes")</f>
        <v>Yes</v>
      </c>
      <c r="T694" s="5" t="str">
        <f ca="1">IFERROR(__xludf.DUMMYFUNCTION("""COMPUTED_VALUE"""),"Yes")</f>
        <v>Yes</v>
      </c>
      <c r="U694" s="5" t="str">
        <f ca="1">IFERROR(__xludf.DUMMYFUNCTION("""COMPUTED_VALUE"""),"Yes")</f>
        <v>Yes</v>
      </c>
      <c r="V694" s="5" t="str">
        <f ca="1">IFERROR(__xludf.DUMMYFUNCTION("""COMPUTED_VALUE"""),"Yes")</f>
        <v>Yes</v>
      </c>
      <c r="W694" s="5" t="str">
        <f ca="1">IFERROR(__xludf.DUMMYFUNCTION("""COMPUTED_VALUE"""),"Yes")</f>
        <v>Yes</v>
      </c>
      <c r="X694" s="5" t="str">
        <f ca="1">IFERROR(__xludf.DUMMYFUNCTION("""COMPUTED_VALUE"""),"Yes")</f>
        <v>Yes</v>
      </c>
      <c r="Y694" s="5" t="str">
        <f ca="1">IFERROR(__xludf.DUMMYFUNCTION("""COMPUTED_VALUE"""),"Yes")</f>
        <v>Yes</v>
      </c>
      <c r="Z694" s="5" t="str">
        <f ca="1">IFERROR(__xludf.DUMMYFUNCTION("""COMPUTED_VALUE"""),"Yes")</f>
        <v>Yes</v>
      </c>
      <c r="AA694" s="5" t="str">
        <f ca="1">IFERROR(__xludf.DUMMYFUNCTION("""COMPUTED_VALUE"""),"Yes")</f>
        <v>Yes</v>
      </c>
      <c r="AB694" s="5" t="str">
        <f ca="1">IFERROR(__xludf.DUMMYFUNCTION("""COMPUTED_VALUE"""),"Yes")</f>
        <v>Yes</v>
      </c>
      <c r="AC694" s="5" t="str">
        <f ca="1">IFERROR(__xludf.DUMMYFUNCTION("""COMPUTED_VALUE"""),"No")</f>
        <v>No</v>
      </c>
    </row>
    <row r="695" spans="1:29" x14ac:dyDescent="0.25">
      <c r="A695" s="5" t="str">
        <f ca="1">IFERROR(__xludf.DUMMYFUNCTION("""COMPUTED_VALUE"""),"RedstoneXWildCrown")</f>
        <v>RedstoneXWildCrown</v>
      </c>
      <c r="B69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5" s="5" t="str">
        <f ca="1">IFERROR(__xludf.DUMMYFUNCTION("""COMPUTED_VALUE"""),"Yes")</f>
        <v>Yes</v>
      </c>
      <c r="D695" s="5" t="str">
        <f ca="1">IFERROR(__xludf.DUMMYFUNCTION("""COMPUTED_VALUE"""),"Yes")</f>
        <v>Yes</v>
      </c>
      <c r="E695" s="5" t="str">
        <f ca="1">IFERROR(__xludf.DUMMYFUNCTION("""COMPUTED_VALUE"""),"Yes")</f>
        <v>Yes</v>
      </c>
      <c r="F695" s="5" t="str">
        <f ca="1">IFERROR(__xludf.DUMMYFUNCTION("""COMPUTED_VALUE"""),"Yes")</f>
        <v>Yes</v>
      </c>
      <c r="G695" s="5" t="str">
        <f ca="1">IFERROR(__xludf.DUMMYFUNCTION("""COMPUTED_VALUE"""),"Yes")</f>
        <v>Yes</v>
      </c>
      <c r="H695" s="5" t="str">
        <f ca="1">IFERROR(__xludf.DUMMYFUNCTION("""COMPUTED_VALUE"""),"Yes")</f>
        <v>Yes</v>
      </c>
      <c r="I695" s="5" t="str">
        <f ca="1">IFERROR(__xludf.DUMMYFUNCTION("""COMPUTED_VALUE"""),"Yes")</f>
        <v>Yes</v>
      </c>
      <c r="J695" s="5" t="str">
        <f ca="1">IFERROR(__xludf.DUMMYFUNCTION("""COMPUTED_VALUE"""),"Yes")</f>
        <v>Yes</v>
      </c>
      <c r="K695" s="5" t="str">
        <f ca="1">IFERROR(__xludf.DUMMYFUNCTION("""COMPUTED_VALUE"""),"Yes")</f>
        <v>Yes</v>
      </c>
      <c r="L695" s="5" t="str">
        <f ca="1">IFERROR(__xludf.DUMMYFUNCTION("""COMPUTED_VALUE"""),"Yes")</f>
        <v>Yes</v>
      </c>
      <c r="M695" s="5" t="str">
        <f ca="1">IFERROR(__xludf.DUMMYFUNCTION("""COMPUTED_VALUE"""),"Yes")</f>
        <v>Yes</v>
      </c>
      <c r="N695" s="5" t="str">
        <f ca="1">IFERROR(__xludf.DUMMYFUNCTION("""COMPUTED_VALUE"""),"Yes")</f>
        <v>Yes</v>
      </c>
      <c r="O695" s="5" t="str">
        <f ca="1">IFERROR(__xludf.DUMMYFUNCTION("""COMPUTED_VALUE"""),"Yes")</f>
        <v>Yes</v>
      </c>
      <c r="P695" s="5" t="str">
        <f ca="1">IFERROR(__xludf.DUMMYFUNCTION("""COMPUTED_VALUE"""),"Yes")</f>
        <v>Yes</v>
      </c>
      <c r="Q695" s="5" t="str">
        <f ca="1">IFERROR(__xludf.DUMMYFUNCTION("""COMPUTED_VALUE"""),"Yes")</f>
        <v>Yes</v>
      </c>
      <c r="R695" s="5" t="str">
        <f ca="1">IFERROR(__xludf.DUMMYFUNCTION("""COMPUTED_VALUE"""),"No")</f>
        <v>No</v>
      </c>
      <c r="S695" s="5" t="str">
        <f ca="1">IFERROR(__xludf.DUMMYFUNCTION("""COMPUTED_VALUE"""),"No")</f>
        <v>No</v>
      </c>
      <c r="T695" s="5" t="str">
        <f ca="1">IFERROR(__xludf.DUMMYFUNCTION("""COMPUTED_VALUE"""),"No")</f>
        <v>No</v>
      </c>
      <c r="U695" s="5" t="str">
        <f ca="1">IFERROR(__xludf.DUMMYFUNCTION("""COMPUTED_VALUE"""),"No")</f>
        <v>No</v>
      </c>
      <c r="V695" s="5" t="str">
        <f ca="1">IFERROR(__xludf.DUMMYFUNCTION("""COMPUTED_VALUE"""),"No")</f>
        <v>No</v>
      </c>
      <c r="W695" s="5" t="str">
        <f ca="1">IFERROR(__xludf.DUMMYFUNCTION("""COMPUTED_VALUE"""),"No")</f>
        <v>No</v>
      </c>
      <c r="X695" s="5" t="str">
        <f ca="1">IFERROR(__xludf.DUMMYFUNCTION("""COMPUTED_VALUE"""),"Yes")</f>
        <v>Yes</v>
      </c>
      <c r="Y695" s="5" t="str">
        <f ca="1">IFERROR(__xludf.DUMMYFUNCTION("""COMPUTED_VALUE"""),"No")</f>
        <v>No</v>
      </c>
      <c r="Z695" s="5" t="str">
        <f ca="1">IFERROR(__xludf.DUMMYFUNCTION("""COMPUTED_VALUE"""),"No")</f>
        <v>No</v>
      </c>
      <c r="AA695" s="5" t="str">
        <f ca="1">IFERROR(__xludf.DUMMYFUNCTION("""COMPUTED_VALUE"""),"No")</f>
        <v>No</v>
      </c>
      <c r="AB695" s="5" t="str">
        <f ca="1">IFERROR(__xludf.DUMMYFUNCTION("""COMPUTED_VALUE"""),"Yes")</f>
        <v>Yes</v>
      </c>
      <c r="AC695" s="5" t="str">
        <f ca="1">IFERROR(__xludf.DUMMYFUNCTION("""COMPUTED_VALUE"""),"No")</f>
        <v>No</v>
      </c>
    </row>
    <row r="696" spans="1:29" x14ac:dyDescent="0.25">
      <c r="A696" s="5" t="str">
        <f ca="1">IFERROR(__xludf.DUMMYFUNCTION("""COMPUTED_VALUE"""),"Redstone5CloverDeluxe")</f>
        <v>Redstone5CloverDeluxe</v>
      </c>
      <c r="B69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6" s="5" t="str">
        <f ca="1">IFERROR(__xludf.DUMMYFUNCTION("""COMPUTED_VALUE"""),"Yes")</f>
        <v>Yes</v>
      </c>
      <c r="D696" s="5" t="str">
        <f ca="1">IFERROR(__xludf.DUMMYFUNCTION("""COMPUTED_VALUE"""),"Yes")</f>
        <v>Yes</v>
      </c>
      <c r="E696" s="5" t="str">
        <f ca="1">IFERROR(__xludf.DUMMYFUNCTION("""COMPUTED_VALUE"""),"No")</f>
        <v>No</v>
      </c>
      <c r="F696" s="5" t="str">
        <f ca="1">IFERROR(__xludf.DUMMYFUNCTION("""COMPUTED_VALUE"""),"Yes")</f>
        <v>Yes</v>
      </c>
      <c r="G696" s="5" t="str">
        <f ca="1">IFERROR(__xludf.DUMMYFUNCTION("""COMPUTED_VALUE"""),"Yes")</f>
        <v>Yes</v>
      </c>
      <c r="H696" s="5" t="str">
        <f ca="1">IFERROR(__xludf.DUMMYFUNCTION("""COMPUTED_VALUE"""),"Yes")</f>
        <v>Yes</v>
      </c>
      <c r="I696" s="5" t="str">
        <f ca="1">IFERROR(__xludf.DUMMYFUNCTION("""COMPUTED_VALUE"""),"Yes")</f>
        <v>Yes</v>
      </c>
      <c r="J696" s="5" t="str">
        <f ca="1">IFERROR(__xludf.DUMMYFUNCTION("""COMPUTED_VALUE"""),"Yes")</f>
        <v>Yes</v>
      </c>
      <c r="K696" s="5" t="str">
        <f ca="1">IFERROR(__xludf.DUMMYFUNCTION("""COMPUTED_VALUE"""),"Yes")</f>
        <v>Yes</v>
      </c>
      <c r="L696" s="5" t="str">
        <f ca="1">IFERROR(__xludf.DUMMYFUNCTION("""COMPUTED_VALUE"""),"Yes")</f>
        <v>Yes</v>
      </c>
      <c r="M696" s="5" t="str">
        <f ca="1">IFERROR(__xludf.DUMMYFUNCTION("""COMPUTED_VALUE"""),"Yes")</f>
        <v>Yes</v>
      </c>
      <c r="N696" s="5" t="str">
        <f ca="1">IFERROR(__xludf.DUMMYFUNCTION("""COMPUTED_VALUE"""),"Yes")</f>
        <v>Yes</v>
      </c>
      <c r="O696" s="5" t="str">
        <f ca="1">IFERROR(__xludf.DUMMYFUNCTION("""COMPUTED_VALUE"""),"Yes")</f>
        <v>Yes</v>
      </c>
      <c r="P696" s="5" t="str">
        <f ca="1">IFERROR(__xludf.DUMMYFUNCTION("""COMPUTED_VALUE"""),"Yes")</f>
        <v>Yes</v>
      </c>
      <c r="Q696" s="5" t="str">
        <f ca="1">IFERROR(__xludf.DUMMYFUNCTION("""COMPUTED_VALUE"""),"Yes")</f>
        <v>Yes</v>
      </c>
      <c r="R696" s="5" t="str">
        <f ca="1">IFERROR(__xludf.DUMMYFUNCTION("""COMPUTED_VALUE"""),"No")</f>
        <v>No</v>
      </c>
      <c r="S696" s="5" t="str">
        <f ca="1">IFERROR(__xludf.DUMMYFUNCTION("""COMPUTED_VALUE"""),"No")</f>
        <v>No</v>
      </c>
      <c r="T696" s="5" t="str">
        <f ca="1">IFERROR(__xludf.DUMMYFUNCTION("""COMPUTED_VALUE"""),"No")</f>
        <v>No</v>
      </c>
      <c r="U696" s="5" t="str">
        <f ca="1">IFERROR(__xludf.DUMMYFUNCTION("""COMPUTED_VALUE"""),"No")</f>
        <v>No</v>
      </c>
      <c r="V696" s="5" t="str">
        <f ca="1">IFERROR(__xludf.DUMMYFUNCTION("""COMPUTED_VALUE"""),"No")</f>
        <v>No</v>
      </c>
      <c r="W696" s="5" t="str">
        <f ca="1">IFERROR(__xludf.DUMMYFUNCTION("""COMPUTED_VALUE"""),"No")</f>
        <v>No</v>
      </c>
      <c r="X696" s="5" t="str">
        <f ca="1">IFERROR(__xludf.DUMMYFUNCTION("""COMPUTED_VALUE"""),"Yes")</f>
        <v>Yes</v>
      </c>
      <c r="Y696" s="5" t="str">
        <f ca="1">IFERROR(__xludf.DUMMYFUNCTION("""COMPUTED_VALUE"""),"No")</f>
        <v>No</v>
      </c>
      <c r="Z696" s="5" t="str">
        <f ca="1">IFERROR(__xludf.DUMMYFUNCTION("""COMPUTED_VALUE"""),"No")</f>
        <v>No</v>
      </c>
      <c r="AA696" s="5" t="str">
        <f ca="1">IFERROR(__xludf.DUMMYFUNCTION("""COMPUTED_VALUE"""),"No")</f>
        <v>No</v>
      </c>
      <c r="AB696" s="5" t="str">
        <f ca="1">IFERROR(__xludf.DUMMYFUNCTION("""COMPUTED_VALUE"""),"Yes")</f>
        <v>Yes</v>
      </c>
      <c r="AC696" s="5" t="str">
        <f ca="1">IFERROR(__xludf.DUMMYFUNCTION("""COMPUTED_VALUE"""),"No")</f>
        <v>No</v>
      </c>
    </row>
    <row r="697" spans="1:29" x14ac:dyDescent="0.25">
      <c r="A697" s="5" t="str">
        <f ca="1">IFERROR(__xludf.DUMMYFUNCTION("""COMPUTED_VALUE"""),"RedstoneHeartDeluxe2X")</f>
        <v>RedstoneHeartDeluxe2X</v>
      </c>
      <c r="B69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7" s="5" t="str">
        <f ca="1">IFERROR(__xludf.DUMMYFUNCTION("""COMPUTED_VALUE"""),"Yes")</f>
        <v>Yes</v>
      </c>
      <c r="D697" s="5" t="str">
        <f ca="1">IFERROR(__xludf.DUMMYFUNCTION("""COMPUTED_VALUE"""),"Yes")</f>
        <v>Yes</v>
      </c>
      <c r="E697" s="5" t="str">
        <f ca="1">IFERROR(__xludf.DUMMYFUNCTION("""COMPUTED_VALUE"""),"No")</f>
        <v>No</v>
      </c>
      <c r="F697" s="5" t="str">
        <f ca="1">IFERROR(__xludf.DUMMYFUNCTION("""COMPUTED_VALUE"""),"Yes")</f>
        <v>Yes</v>
      </c>
      <c r="G697" s="5" t="str">
        <f ca="1">IFERROR(__xludf.DUMMYFUNCTION("""COMPUTED_VALUE"""),"Yes")</f>
        <v>Yes</v>
      </c>
      <c r="H697" s="5" t="str">
        <f ca="1">IFERROR(__xludf.DUMMYFUNCTION("""COMPUTED_VALUE"""),"Yes")</f>
        <v>Yes</v>
      </c>
      <c r="I697" s="5" t="str">
        <f ca="1">IFERROR(__xludf.DUMMYFUNCTION("""COMPUTED_VALUE"""),"Yes")</f>
        <v>Yes</v>
      </c>
      <c r="J697" s="5" t="str">
        <f ca="1">IFERROR(__xludf.DUMMYFUNCTION("""COMPUTED_VALUE"""),"Yes")</f>
        <v>Yes</v>
      </c>
      <c r="K697" s="5" t="str">
        <f ca="1">IFERROR(__xludf.DUMMYFUNCTION("""COMPUTED_VALUE"""),"Yes")</f>
        <v>Yes</v>
      </c>
      <c r="L697" s="5" t="str">
        <f ca="1">IFERROR(__xludf.DUMMYFUNCTION("""COMPUTED_VALUE"""),"Yes")</f>
        <v>Yes</v>
      </c>
      <c r="M697" s="5" t="str">
        <f ca="1">IFERROR(__xludf.DUMMYFUNCTION("""COMPUTED_VALUE"""),"Yes")</f>
        <v>Yes</v>
      </c>
      <c r="N697" s="5" t="str">
        <f ca="1">IFERROR(__xludf.DUMMYFUNCTION("""COMPUTED_VALUE"""),"Yes")</f>
        <v>Yes</v>
      </c>
      <c r="O697" s="5" t="str">
        <f ca="1">IFERROR(__xludf.DUMMYFUNCTION("""COMPUTED_VALUE"""),"Yes")</f>
        <v>Yes</v>
      </c>
      <c r="P697" s="5" t="str">
        <f ca="1">IFERROR(__xludf.DUMMYFUNCTION("""COMPUTED_VALUE"""),"Yes")</f>
        <v>Yes</v>
      </c>
      <c r="Q697" s="5" t="str">
        <f ca="1">IFERROR(__xludf.DUMMYFUNCTION("""COMPUTED_VALUE"""),"Yes")</f>
        <v>Yes</v>
      </c>
      <c r="R697" s="5" t="str">
        <f ca="1">IFERROR(__xludf.DUMMYFUNCTION("""COMPUTED_VALUE"""),"No")</f>
        <v>No</v>
      </c>
      <c r="S697" s="5" t="str">
        <f ca="1">IFERROR(__xludf.DUMMYFUNCTION("""COMPUTED_VALUE"""),"No")</f>
        <v>No</v>
      </c>
      <c r="T697" s="5" t="str">
        <f ca="1">IFERROR(__xludf.DUMMYFUNCTION("""COMPUTED_VALUE"""),"No")</f>
        <v>No</v>
      </c>
      <c r="U697" s="5" t="str">
        <f ca="1">IFERROR(__xludf.DUMMYFUNCTION("""COMPUTED_VALUE"""),"No")</f>
        <v>No</v>
      </c>
      <c r="V697" s="5" t="str">
        <f ca="1">IFERROR(__xludf.DUMMYFUNCTION("""COMPUTED_VALUE"""),"No")</f>
        <v>No</v>
      </c>
      <c r="W697" s="5" t="str">
        <f ca="1">IFERROR(__xludf.DUMMYFUNCTION("""COMPUTED_VALUE"""),"No")</f>
        <v>No</v>
      </c>
      <c r="X697" s="5" t="str">
        <f ca="1">IFERROR(__xludf.DUMMYFUNCTION("""COMPUTED_VALUE"""),"Yes")</f>
        <v>Yes</v>
      </c>
      <c r="Y697" s="5" t="str">
        <f ca="1">IFERROR(__xludf.DUMMYFUNCTION("""COMPUTED_VALUE"""),"No")</f>
        <v>No</v>
      </c>
      <c r="Z697" s="5" t="str">
        <f ca="1">IFERROR(__xludf.DUMMYFUNCTION("""COMPUTED_VALUE"""),"No")</f>
        <v>No</v>
      </c>
      <c r="AA697" s="5" t="str">
        <f ca="1">IFERROR(__xludf.DUMMYFUNCTION("""COMPUTED_VALUE"""),"No")</f>
        <v>No</v>
      </c>
      <c r="AB697" s="5" t="str">
        <f ca="1">IFERROR(__xludf.DUMMYFUNCTION("""COMPUTED_VALUE"""),"Yes")</f>
        <v>Yes</v>
      </c>
      <c r="AC697" s="5" t="str">
        <f ca="1">IFERROR(__xludf.DUMMYFUNCTION("""COMPUTED_VALUE"""),"No")</f>
        <v>No</v>
      </c>
    </row>
    <row r="698" spans="1:29" x14ac:dyDescent="0.25">
      <c r="A698" s="5" t="str">
        <f ca="1">IFERROR(__xludf.DUMMYFUNCTION("""COMPUTED_VALUE"""),"RedstoneCosmicFruits")</f>
        <v>RedstoneCosmicFruits</v>
      </c>
      <c r="B69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8" s="5" t="str">
        <f ca="1">IFERROR(__xludf.DUMMYFUNCTION("""COMPUTED_VALUE"""),"Yes")</f>
        <v>Yes</v>
      </c>
      <c r="D698" s="5" t="str">
        <f ca="1">IFERROR(__xludf.DUMMYFUNCTION("""COMPUTED_VALUE"""),"Yes")</f>
        <v>Yes</v>
      </c>
      <c r="E698" s="5" t="str">
        <f ca="1">IFERROR(__xludf.DUMMYFUNCTION("""COMPUTED_VALUE"""),"No")</f>
        <v>No</v>
      </c>
      <c r="F698" s="5" t="str">
        <f ca="1">IFERROR(__xludf.DUMMYFUNCTION("""COMPUTED_VALUE"""),"Yes")</f>
        <v>Yes</v>
      </c>
      <c r="G698" s="5" t="str">
        <f ca="1">IFERROR(__xludf.DUMMYFUNCTION("""COMPUTED_VALUE"""),"Yes")</f>
        <v>Yes</v>
      </c>
      <c r="H698" s="5" t="str">
        <f ca="1">IFERROR(__xludf.DUMMYFUNCTION("""COMPUTED_VALUE"""),"Yes")</f>
        <v>Yes</v>
      </c>
      <c r="I698" s="5" t="str">
        <f ca="1">IFERROR(__xludf.DUMMYFUNCTION("""COMPUTED_VALUE"""),"Yes")</f>
        <v>Yes</v>
      </c>
      <c r="J698" s="5" t="str">
        <f ca="1">IFERROR(__xludf.DUMMYFUNCTION("""COMPUTED_VALUE"""),"Yes")</f>
        <v>Yes</v>
      </c>
      <c r="K698" s="5" t="str">
        <f ca="1">IFERROR(__xludf.DUMMYFUNCTION("""COMPUTED_VALUE"""),"Yes")</f>
        <v>Yes</v>
      </c>
      <c r="L698" s="5" t="str">
        <f ca="1">IFERROR(__xludf.DUMMYFUNCTION("""COMPUTED_VALUE"""),"Yes")</f>
        <v>Yes</v>
      </c>
      <c r="M698" s="5" t="str">
        <f ca="1">IFERROR(__xludf.DUMMYFUNCTION("""COMPUTED_VALUE"""),"Yes")</f>
        <v>Yes</v>
      </c>
      <c r="N698" s="5" t="str">
        <f ca="1">IFERROR(__xludf.DUMMYFUNCTION("""COMPUTED_VALUE"""),"Yes")</f>
        <v>Yes</v>
      </c>
      <c r="O698" s="5" t="str">
        <f ca="1">IFERROR(__xludf.DUMMYFUNCTION("""COMPUTED_VALUE"""),"Yes")</f>
        <v>Yes</v>
      </c>
      <c r="P698" s="5" t="str">
        <f ca="1">IFERROR(__xludf.DUMMYFUNCTION("""COMPUTED_VALUE"""),"Yes")</f>
        <v>Yes</v>
      </c>
      <c r="Q698" s="5" t="str">
        <f ca="1">IFERROR(__xludf.DUMMYFUNCTION("""COMPUTED_VALUE"""),"Yes")</f>
        <v>Yes</v>
      </c>
      <c r="R698" s="5" t="str">
        <f ca="1">IFERROR(__xludf.DUMMYFUNCTION("""COMPUTED_VALUE"""),"No")</f>
        <v>No</v>
      </c>
      <c r="S698" s="5" t="str">
        <f ca="1">IFERROR(__xludf.DUMMYFUNCTION("""COMPUTED_VALUE"""),"No")</f>
        <v>No</v>
      </c>
      <c r="T698" s="5" t="str">
        <f ca="1">IFERROR(__xludf.DUMMYFUNCTION("""COMPUTED_VALUE"""),"No")</f>
        <v>No</v>
      </c>
      <c r="U698" s="5" t="str">
        <f ca="1">IFERROR(__xludf.DUMMYFUNCTION("""COMPUTED_VALUE"""),"No")</f>
        <v>No</v>
      </c>
      <c r="V698" s="5" t="str">
        <f ca="1">IFERROR(__xludf.DUMMYFUNCTION("""COMPUTED_VALUE"""),"No")</f>
        <v>No</v>
      </c>
      <c r="W698" s="5" t="str">
        <f ca="1">IFERROR(__xludf.DUMMYFUNCTION("""COMPUTED_VALUE"""),"No")</f>
        <v>No</v>
      </c>
      <c r="X698" s="5" t="str">
        <f ca="1">IFERROR(__xludf.DUMMYFUNCTION("""COMPUTED_VALUE"""),"Yes")</f>
        <v>Yes</v>
      </c>
      <c r="Y698" s="5" t="str">
        <f ca="1">IFERROR(__xludf.DUMMYFUNCTION("""COMPUTED_VALUE"""),"No")</f>
        <v>No</v>
      </c>
      <c r="Z698" s="5" t="str">
        <f ca="1">IFERROR(__xludf.DUMMYFUNCTION("""COMPUTED_VALUE"""),"No")</f>
        <v>No</v>
      </c>
      <c r="AA698" s="5" t="str">
        <f ca="1">IFERROR(__xludf.DUMMYFUNCTION("""COMPUTED_VALUE"""),"No")</f>
        <v>No</v>
      </c>
      <c r="AB698" s="5" t="str">
        <f ca="1">IFERROR(__xludf.DUMMYFUNCTION("""COMPUTED_VALUE"""),"Yes")</f>
        <v>Yes</v>
      </c>
      <c r="AC698" s="5" t="str">
        <f ca="1">IFERROR(__xludf.DUMMYFUNCTION("""COMPUTED_VALUE"""),"No")</f>
        <v>No</v>
      </c>
    </row>
    <row r="699" spans="1:29" x14ac:dyDescent="0.25">
      <c r="A699" s="5" t="str">
        <f ca="1">IFERROR(__xludf.DUMMYFUNCTION("""COMPUTED_VALUE"""),"RedstoneXWildHeart")</f>
        <v>RedstoneXWildHeart</v>
      </c>
      <c r="B69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9" s="5" t="str">
        <f ca="1">IFERROR(__xludf.DUMMYFUNCTION("""COMPUTED_VALUE"""),"Yes")</f>
        <v>Yes</v>
      </c>
      <c r="D699" s="5" t="str">
        <f ca="1">IFERROR(__xludf.DUMMYFUNCTION("""COMPUTED_VALUE"""),"Yes")</f>
        <v>Yes</v>
      </c>
      <c r="E699" s="5" t="str">
        <f ca="1">IFERROR(__xludf.DUMMYFUNCTION("""COMPUTED_VALUE"""),"No")</f>
        <v>No</v>
      </c>
      <c r="F699" s="5" t="str">
        <f ca="1">IFERROR(__xludf.DUMMYFUNCTION("""COMPUTED_VALUE"""),"Yes")</f>
        <v>Yes</v>
      </c>
      <c r="G699" s="5" t="str">
        <f ca="1">IFERROR(__xludf.DUMMYFUNCTION("""COMPUTED_VALUE"""),"Yes")</f>
        <v>Yes</v>
      </c>
      <c r="H699" s="5" t="str">
        <f ca="1">IFERROR(__xludf.DUMMYFUNCTION("""COMPUTED_VALUE"""),"Yes")</f>
        <v>Yes</v>
      </c>
      <c r="I699" s="5" t="str">
        <f ca="1">IFERROR(__xludf.DUMMYFUNCTION("""COMPUTED_VALUE"""),"Yes")</f>
        <v>Yes</v>
      </c>
      <c r="J699" s="5" t="str">
        <f ca="1">IFERROR(__xludf.DUMMYFUNCTION("""COMPUTED_VALUE"""),"Yes")</f>
        <v>Yes</v>
      </c>
      <c r="K699" s="5" t="str">
        <f ca="1">IFERROR(__xludf.DUMMYFUNCTION("""COMPUTED_VALUE"""),"Yes")</f>
        <v>Yes</v>
      </c>
      <c r="L699" s="5" t="str">
        <f ca="1">IFERROR(__xludf.DUMMYFUNCTION("""COMPUTED_VALUE"""),"Yes")</f>
        <v>Yes</v>
      </c>
      <c r="M699" s="5" t="str">
        <f ca="1">IFERROR(__xludf.DUMMYFUNCTION("""COMPUTED_VALUE"""),"Yes")</f>
        <v>Yes</v>
      </c>
      <c r="N699" s="5" t="str">
        <f ca="1">IFERROR(__xludf.DUMMYFUNCTION("""COMPUTED_VALUE"""),"Yes")</f>
        <v>Yes</v>
      </c>
      <c r="O699" s="5" t="str">
        <f ca="1">IFERROR(__xludf.DUMMYFUNCTION("""COMPUTED_VALUE"""),"Yes")</f>
        <v>Yes</v>
      </c>
      <c r="P699" s="5" t="str">
        <f ca="1">IFERROR(__xludf.DUMMYFUNCTION("""COMPUTED_VALUE"""),"Yes")</f>
        <v>Yes</v>
      </c>
      <c r="Q699" s="5" t="str">
        <f ca="1">IFERROR(__xludf.DUMMYFUNCTION("""COMPUTED_VALUE"""),"Yes")</f>
        <v>Yes</v>
      </c>
      <c r="R699" s="5" t="str">
        <f ca="1">IFERROR(__xludf.DUMMYFUNCTION("""COMPUTED_VALUE"""),"No")</f>
        <v>No</v>
      </c>
      <c r="S699" s="5" t="str">
        <f ca="1">IFERROR(__xludf.DUMMYFUNCTION("""COMPUTED_VALUE"""),"No")</f>
        <v>No</v>
      </c>
      <c r="T699" s="5" t="str">
        <f ca="1">IFERROR(__xludf.DUMMYFUNCTION("""COMPUTED_VALUE"""),"No")</f>
        <v>No</v>
      </c>
      <c r="U699" s="5" t="str">
        <f ca="1">IFERROR(__xludf.DUMMYFUNCTION("""COMPUTED_VALUE"""),"No")</f>
        <v>No</v>
      </c>
      <c r="V699" s="5" t="str">
        <f ca="1">IFERROR(__xludf.DUMMYFUNCTION("""COMPUTED_VALUE"""),"No")</f>
        <v>No</v>
      </c>
      <c r="W699" s="5" t="str">
        <f ca="1">IFERROR(__xludf.DUMMYFUNCTION("""COMPUTED_VALUE"""),"No")</f>
        <v>No</v>
      </c>
      <c r="X699" s="5" t="str">
        <f ca="1">IFERROR(__xludf.DUMMYFUNCTION("""COMPUTED_VALUE"""),"Yes")</f>
        <v>Yes</v>
      </c>
      <c r="Y699" s="5" t="str">
        <f ca="1">IFERROR(__xludf.DUMMYFUNCTION("""COMPUTED_VALUE"""),"No")</f>
        <v>No</v>
      </c>
      <c r="Z699" s="5" t="str">
        <f ca="1">IFERROR(__xludf.DUMMYFUNCTION("""COMPUTED_VALUE"""),"No")</f>
        <v>No</v>
      </c>
      <c r="AA699" s="5" t="str">
        <f ca="1">IFERROR(__xludf.DUMMYFUNCTION("""COMPUTED_VALUE"""),"No")</f>
        <v>No</v>
      </c>
      <c r="AB699" s="5" t="str">
        <f ca="1">IFERROR(__xludf.DUMMYFUNCTION("""COMPUTED_VALUE"""),"Yes")</f>
        <v>Yes</v>
      </c>
      <c r="AC699" s="5" t="str">
        <f ca="1">IFERROR(__xludf.DUMMYFUNCTION("""COMPUTED_VALUE"""),"No")</f>
        <v>No</v>
      </c>
    </row>
    <row r="700" spans="1:29" x14ac:dyDescent="0.25">
      <c r="A700" s="5" t="str">
        <f ca="1">IFERROR(__xludf.DUMMYFUNCTION("""COMPUTED_VALUE"""),"Redstone5CrownDeluxe")</f>
        <v>Redstone5CrownDeluxe</v>
      </c>
      <c r="B70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0" s="5" t="str">
        <f ca="1">IFERROR(__xludf.DUMMYFUNCTION("""COMPUTED_VALUE"""),"Yes")</f>
        <v>Yes</v>
      </c>
      <c r="D700" s="5" t="str">
        <f ca="1">IFERROR(__xludf.DUMMYFUNCTION("""COMPUTED_VALUE"""),"Yes")</f>
        <v>Yes</v>
      </c>
      <c r="E700" s="5" t="str">
        <f ca="1">IFERROR(__xludf.DUMMYFUNCTION("""COMPUTED_VALUE"""),"No")</f>
        <v>No</v>
      </c>
      <c r="F700" s="5" t="str">
        <f ca="1">IFERROR(__xludf.DUMMYFUNCTION("""COMPUTED_VALUE"""),"Yes")</f>
        <v>Yes</v>
      </c>
      <c r="G700" s="5" t="str">
        <f ca="1">IFERROR(__xludf.DUMMYFUNCTION("""COMPUTED_VALUE"""),"Yes")</f>
        <v>Yes</v>
      </c>
      <c r="H700" s="5" t="str">
        <f ca="1">IFERROR(__xludf.DUMMYFUNCTION("""COMPUTED_VALUE"""),"Yes")</f>
        <v>Yes</v>
      </c>
      <c r="I700" s="5" t="str">
        <f ca="1">IFERROR(__xludf.DUMMYFUNCTION("""COMPUTED_VALUE"""),"Yes")</f>
        <v>Yes</v>
      </c>
      <c r="J700" s="5" t="str">
        <f ca="1">IFERROR(__xludf.DUMMYFUNCTION("""COMPUTED_VALUE"""),"Yes")</f>
        <v>Yes</v>
      </c>
      <c r="K700" s="5" t="str">
        <f ca="1">IFERROR(__xludf.DUMMYFUNCTION("""COMPUTED_VALUE"""),"Yes")</f>
        <v>Yes</v>
      </c>
      <c r="L700" s="5" t="str">
        <f ca="1">IFERROR(__xludf.DUMMYFUNCTION("""COMPUTED_VALUE"""),"Yes")</f>
        <v>Yes</v>
      </c>
      <c r="M700" s="5" t="str">
        <f ca="1">IFERROR(__xludf.DUMMYFUNCTION("""COMPUTED_VALUE"""),"Yes")</f>
        <v>Yes</v>
      </c>
      <c r="N700" s="5" t="str">
        <f ca="1">IFERROR(__xludf.DUMMYFUNCTION("""COMPUTED_VALUE"""),"Yes")</f>
        <v>Yes</v>
      </c>
      <c r="O700" s="5" t="str">
        <f ca="1">IFERROR(__xludf.DUMMYFUNCTION("""COMPUTED_VALUE"""),"Yes")</f>
        <v>Yes</v>
      </c>
      <c r="P700" s="5" t="str">
        <f ca="1">IFERROR(__xludf.DUMMYFUNCTION("""COMPUTED_VALUE"""),"Yes")</f>
        <v>Yes</v>
      </c>
      <c r="Q700" s="5" t="str">
        <f ca="1">IFERROR(__xludf.DUMMYFUNCTION("""COMPUTED_VALUE"""),"Yes")</f>
        <v>Yes</v>
      </c>
      <c r="R700" s="5" t="str">
        <f ca="1">IFERROR(__xludf.DUMMYFUNCTION("""COMPUTED_VALUE"""),"No")</f>
        <v>No</v>
      </c>
      <c r="S700" s="5" t="str">
        <f ca="1">IFERROR(__xludf.DUMMYFUNCTION("""COMPUTED_VALUE"""),"No")</f>
        <v>No</v>
      </c>
      <c r="T700" s="5" t="str">
        <f ca="1">IFERROR(__xludf.DUMMYFUNCTION("""COMPUTED_VALUE"""),"No")</f>
        <v>No</v>
      </c>
      <c r="U700" s="5" t="str">
        <f ca="1">IFERROR(__xludf.DUMMYFUNCTION("""COMPUTED_VALUE"""),"No")</f>
        <v>No</v>
      </c>
      <c r="V700" s="5" t="str">
        <f ca="1">IFERROR(__xludf.DUMMYFUNCTION("""COMPUTED_VALUE"""),"No")</f>
        <v>No</v>
      </c>
      <c r="W700" s="5" t="str">
        <f ca="1">IFERROR(__xludf.DUMMYFUNCTION("""COMPUTED_VALUE"""),"No")</f>
        <v>No</v>
      </c>
      <c r="X700" s="5" t="str">
        <f ca="1">IFERROR(__xludf.DUMMYFUNCTION("""COMPUTED_VALUE"""),"Yes")</f>
        <v>Yes</v>
      </c>
      <c r="Y700" s="5" t="str">
        <f ca="1">IFERROR(__xludf.DUMMYFUNCTION("""COMPUTED_VALUE"""),"No")</f>
        <v>No</v>
      </c>
      <c r="Z700" s="5" t="str">
        <f ca="1">IFERROR(__xludf.DUMMYFUNCTION("""COMPUTED_VALUE"""),"No")</f>
        <v>No</v>
      </c>
      <c r="AA700" s="5" t="str">
        <f ca="1">IFERROR(__xludf.DUMMYFUNCTION("""COMPUTED_VALUE"""),"No")</f>
        <v>No</v>
      </c>
      <c r="AB700" s="5" t="str">
        <f ca="1">IFERROR(__xludf.DUMMYFUNCTION("""COMPUTED_VALUE"""),"Yes")</f>
        <v>Yes</v>
      </c>
      <c r="AC700" s="5" t="str">
        <f ca="1">IFERROR(__xludf.DUMMYFUNCTION("""COMPUTED_VALUE"""),"No")</f>
        <v>No</v>
      </c>
    </row>
    <row r="701" spans="1:29" x14ac:dyDescent="0.25">
      <c r="A701" s="5" t="str">
        <f ca="1">IFERROR(__xludf.DUMMYFUNCTION("""COMPUTED_VALUE"""),"RedstoneCrownDeluxe2X")</f>
        <v>RedstoneCrownDeluxe2X</v>
      </c>
      <c r="B70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1" s="5" t="str">
        <f ca="1">IFERROR(__xludf.DUMMYFUNCTION("""COMPUTED_VALUE"""),"Yes")</f>
        <v>Yes</v>
      </c>
      <c r="D701" s="5" t="str">
        <f ca="1">IFERROR(__xludf.DUMMYFUNCTION("""COMPUTED_VALUE"""),"Yes")</f>
        <v>Yes</v>
      </c>
      <c r="E701" s="5" t="str">
        <f ca="1">IFERROR(__xludf.DUMMYFUNCTION("""COMPUTED_VALUE"""),"No")</f>
        <v>No</v>
      </c>
      <c r="F701" s="5" t="str">
        <f ca="1">IFERROR(__xludf.DUMMYFUNCTION("""COMPUTED_VALUE"""),"Yes")</f>
        <v>Yes</v>
      </c>
      <c r="G701" s="5" t="str">
        <f ca="1">IFERROR(__xludf.DUMMYFUNCTION("""COMPUTED_VALUE"""),"Yes")</f>
        <v>Yes</v>
      </c>
      <c r="H701" s="5" t="str">
        <f ca="1">IFERROR(__xludf.DUMMYFUNCTION("""COMPUTED_VALUE"""),"Yes")</f>
        <v>Yes</v>
      </c>
      <c r="I701" s="5" t="str">
        <f ca="1">IFERROR(__xludf.DUMMYFUNCTION("""COMPUTED_VALUE"""),"Yes")</f>
        <v>Yes</v>
      </c>
      <c r="J701" s="5" t="str">
        <f ca="1">IFERROR(__xludf.DUMMYFUNCTION("""COMPUTED_VALUE"""),"Yes")</f>
        <v>Yes</v>
      </c>
      <c r="K701" s="5" t="str">
        <f ca="1">IFERROR(__xludf.DUMMYFUNCTION("""COMPUTED_VALUE"""),"Yes")</f>
        <v>Yes</v>
      </c>
      <c r="L701" s="5" t="str">
        <f ca="1">IFERROR(__xludf.DUMMYFUNCTION("""COMPUTED_VALUE"""),"Yes")</f>
        <v>Yes</v>
      </c>
      <c r="M701" s="5" t="str">
        <f ca="1">IFERROR(__xludf.DUMMYFUNCTION("""COMPUTED_VALUE"""),"Yes")</f>
        <v>Yes</v>
      </c>
      <c r="N701" s="5" t="str">
        <f ca="1">IFERROR(__xludf.DUMMYFUNCTION("""COMPUTED_VALUE"""),"Yes")</f>
        <v>Yes</v>
      </c>
      <c r="O701" s="5" t="str">
        <f ca="1">IFERROR(__xludf.DUMMYFUNCTION("""COMPUTED_VALUE"""),"Yes")</f>
        <v>Yes</v>
      </c>
      <c r="P701" s="5" t="str">
        <f ca="1">IFERROR(__xludf.DUMMYFUNCTION("""COMPUTED_VALUE"""),"Yes")</f>
        <v>Yes</v>
      </c>
      <c r="Q701" s="5" t="str">
        <f ca="1">IFERROR(__xludf.DUMMYFUNCTION("""COMPUTED_VALUE"""),"Yes")</f>
        <v>Yes</v>
      </c>
      <c r="R701" s="5" t="str">
        <f ca="1">IFERROR(__xludf.DUMMYFUNCTION("""COMPUTED_VALUE"""),"No")</f>
        <v>No</v>
      </c>
      <c r="S701" s="5" t="str">
        <f ca="1">IFERROR(__xludf.DUMMYFUNCTION("""COMPUTED_VALUE"""),"No")</f>
        <v>No</v>
      </c>
      <c r="T701" s="5" t="str">
        <f ca="1">IFERROR(__xludf.DUMMYFUNCTION("""COMPUTED_VALUE"""),"No")</f>
        <v>No</v>
      </c>
      <c r="U701" s="5" t="str">
        <f ca="1">IFERROR(__xludf.DUMMYFUNCTION("""COMPUTED_VALUE"""),"No")</f>
        <v>No</v>
      </c>
      <c r="V701" s="5" t="str">
        <f ca="1">IFERROR(__xludf.DUMMYFUNCTION("""COMPUTED_VALUE"""),"No")</f>
        <v>No</v>
      </c>
      <c r="W701" s="5" t="str">
        <f ca="1">IFERROR(__xludf.DUMMYFUNCTION("""COMPUTED_VALUE"""),"No")</f>
        <v>No</v>
      </c>
      <c r="X701" s="5" t="str">
        <f ca="1">IFERROR(__xludf.DUMMYFUNCTION("""COMPUTED_VALUE"""),"Yes")</f>
        <v>Yes</v>
      </c>
      <c r="Y701" s="5" t="str">
        <f ca="1">IFERROR(__xludf.DUMMYFUNCTION("""COMPUTED_VALUE"""),"No")</f>
        <v>No</v>
      </c>
      <c r="Z701" s="5" t="str">
        <f ca="1">IFERROR(__xludf.DUMMYFUNCTION("""COMPUTED_VALUE"""),"No")</f>
        <v>No</v>
      </c>
      <c r="AA701" s="5" t="str">
        <f ca="1">IFERROR(__xludf.DUMMYFUNCTION("""COMPUTED_VALUE"""),"No")</f>
        <v>No</v>
      </c>
      <c r="AB701" s="5" t="str">
        <f ca="1">IFERROR(__xludf.DUMMYFUNCTION("""COMPUTED_VALUE"""),"Yes")</f>
        <v>Yes</v>
      </c>
      <c r="AC701" s="5" t="str">
        <f ca="1">IFERROR(__xludf.DUMMYFUNCTION("""COMPUTED_VALUE"""),"No")</f>
        <v>No</v>
      </c>
    </row>
    <row r="702" spans="1:29" x14ac:dyDescent="0.25">
      <c r="A702" s="5" t="str">
        <f ca="1">IFERROR(__xludf.DUMMYFUNCTION("""COMPUTED_VALUE"""),"PlayNetRoyalFlame40")</f>
        <v>PlayNetRoyalFlame40</v>
      </c>
      <c r="B70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2" s="5" t="str">
        <f ca="1">IFERROR(__xludf.DUMMYFUNCTION("""COMPUTED_VALUE"""),"Yes")</f>
        <v>Yes</v>
      </c>
      <c r="D702" s="5" t="str">
        <f ca="1">IFERROR(__xludf.DUMMYFUNCTION("""COMPUTED_VALUE"""),"Yes")</f>
        <v>Yes</v>
      </c>
      <c r="E702" s="5" t="str">
        <f ca="1">IFERROR(__xludf.DUMMYFUNCTION("""COMPUTED_VALUE"""),"Yes")</f>
        <v>Yes</v>
      </c>
      <c r="F702" s="5" t="str">
        <f ca="1">IFERROR(__xludf.DUMMYFUNCTION("""COMPUTED_VALUE"""),"Yes")</f>
        <v>Yes</v>
      </c>
      <c r="G702" s="5" t="str">
        <f ca="1">IFERROR(__xludf.DUMMYFUNCTION("""COMPUTED_VALUE"""),"Yes")</f>
        <v>Yes</v>
      </c>
      <c r="H702" s="5" t="str">
        <f ca="1">IFERROR(__xludf.DUMMYFUNCTION("""COMPUTED_VALUE"""),"Yes")</f>
        <v>Yes</v>
      </c>
      <c r="I702" s="5" t="str">
        <f ca="1">IFERROR(__xludf.DUMMYFUNCTION("""COMPUTED_VALUE"""),"Yes")</f>
        <v>Yes</v>
      </c>
      <c r="J702" s="5" t="str">
        <f ca="1">IFERROR(__xludf.DUMMYFUNCTION("""COMPUTED_VALUE"""),"Yes")</f>
        <v>Yes</v>
      </c>
      <c r="K702" s="5" t="str">
        <f ca="1">IFERROR(__xludf.DUMMYFUNCTION("""COMPUTED_VALUE"""),"Yes")</f>
        <v>Yes</v>
      </c>
      <c r="L702" s="5" t="str">
        <f ca="1">IFERROR(__xludf.DUMMYFUNCTION("""COMPUTED_VALUE"""),"Yes")</f>
        <v>Yes</v>
      </c>
      <c r="M702" s="5" t="str">
        <f ca="1">IFERROR(__xludf.DUMMYFUNCTION("""COMPUTED_VALUE"""),"Yes")</f>
        <v>Yes</v>
      </c>
      <c r="N702" s="5" t="str">
        <f ca="1">IFERROR(__xludf.DUMMYFUNCTION("""COMPUTED_VALUE"""),"Yes")</f>
        <v>Yes</v>
      </c>
      <c r="O702" s="5" t="str">
        <f ca="1">IFERROR(__xludf.DUMMYFUNCTION("""COMPUTED_VALUE"""),"Yes")</f>
        <v>Yes</v>
      </c>
      <c r="P702" s="5" t="str">
        <f ca="1">IFERROR(__xludf.DUMMYFUNCTION("""COMPUTED_VALUE"""),"Yes")</f>
        <v>Yes</v>
      </c>
      <c r="Q702" s="5" t="str">
        <f ca="1">IFERROR(__xludf.DUMMYFUNCTION("""COMPUTED_VALUE"""),"Yes")</f>
        <v>Yes</v>
      </c>
      <c r="R702" s="5" t="str">
        <f ca="1">IFERROR(__xludf.DUMMYFUNCTION("""COMPUTED_VALUE"""),"No")</f>
        <v>No</v>
      </c>
      <c r="S702" s="5" t="str">
        <f ca="1">IFERROR(__xludf.DUMMYFUNCTION("""COMPUTED_VALUE"""),"No")</f>
        <v>No</v>
      </c>
      <c r="T702" s="5" t="str">
        <f ca="1">IFERROR(__xludf.DUMMYFUNCTION("""COMPUTED_VALUE"""),"No")</f>
        <v>No</v>
      </c>
      <c r="U702" s="5" t="str">
        <f ca="1">IFERROR(__xludf.DUMMYFUNCTION("""COMPUTED_VALUE"""),"No")</f>
        <v>No</v>
      </c>
      <c r="V702" s="5" t="str">
        <f ca="1">IFERROR(__xludf.DUMMYFUNCTION("""COMPUTED_VALUE"""),"No")</f>
        <v>No</v>
      </c>
      <c r="W702" s="5" t="str">
        <f ca="1">IFERROR(__xludf.DUMMYFUNCTION("""COMPUTED_VALUE"""),"No")</f>
        <v>No</v>
      </c>
      <c r="X702" s="5" t="str">
        <f ca="1">IFERROR(__xludf.DUMMYFUNCTION("""COMPUTED_VALUE"""),"No")</f>
        <v>No</v>
      </c>
      <c r="Y702" s="5" t="str">
        <f ca="1">IFERROR(__xludf.DUMMYFUNCTION("""COMPUTED_VALUE"""),"No")</f>
        <v>No</v>
      </c>
      <c r="Z702" s="5" t="str">
        <f ca="1">IFERROR(__xludf.DUMMYFUNCTION("""COMPUTED_VALUE"""),"No")</f>
        <v>No</v>
      </c>
      <c r="AA702" s="5" t="str">
        <f ca="1">IFERROR(__xludf.DUMMYFUNCTION("""COMPUTED_VALUE"""),"No")</f>
        <v>No</v>
      </c>
      <c r="AB702" s="5" t="str">
        <f ca="1">IFERROR(__xludf.DUMMYFUNCTION("""COMPUTED_VALUE"""),"Yes")</f>
        <v>Yes</v>
      </c>
      <c r="AC702" s="5" t="str">
        <f ca="1">IFERROR(__xludf.DUMMYFUNCTION("""COMPUTED_VALUE"""),"No")</f>
        <v>No</v>
      </c>
    </row>
    <row r="703" spans="1:29" x14ac:dyDescent="0.25">
      <c r="A703" s="5" t="str">
        <f ca="1">IFERROR(__xludf.DUMMYFUNCTION("""COMPUTED_VALUE"""),"PlayNetFruitJackPotx10000")</f>
        <v>PlayNetFruitJackPotx10000</v>
      </c>
      <c r="B70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3" s="5" t="str">
        <f ca="1">IFERROR(__xludf.DUMMYFUNCTION("""COMPUTED_VALUE"""),"Yes")</f>
        <v>Yes</v>
      </c>
      <c r="D703" s="5" t="str">
        <f ca="1">IFERROR(__xludf.DUMMYFUNCTION("""COMPUTED_VALUE"""),"Yes")</f>
        <v>Yes</v>
      </c>
      <c r="E703" s="5" t="str">
        <f ca="1">IFERROR(__xludf.DUMMYFUNCTION("""COMPUTED_VALUE"""),"Yes")</f>
        <v>Yes</v>
      </c>
      <c r="F703" s="5" t="str">
        <f ca="1">IFERROR(__xludf.DUMMYFUNCTION("""COMPUTED_VALUE"""),"Yes")</f>
        <v>Yes</v>
      </c>
      <c r="G703" s="5" t="str">
        <f ca="1">IFERROR(__xludf.DUMMYFUNCTION("""COMPUTED_VALUE"""),"Yes")</f>
        <v>Yes</v>
      </c>
      <c r="H703" s="5" t="str">
        <f ca="1">IFERROR(__xludf.DUMMYFUNCTION("""COMPUTED_VALUE"""),"Yes")</f>
        <v>Yes</v>
      </c>
      <c r="I703" s="5" t="str">
        <f ca="1">IFERROR(__xludf.DUMMYFUNCTION("""COMPUTED_VALUE"""),"Yes")</f>
        <v>Yes</v>
      </c>
      <c r="J703" s="5" t="str">
        <f ca="1">IFERROR(__xludf.DUMMYFUNCTION("""COMPUTED_VALUE"""),"Yes")</f>
        <v>Yes</v>
      </c>
      <c r="K703" s="5" t="str">
        <f ca="1">IFERROR(__xludf.DUMMYFUNCTION("""COMPUTED_VALUE"""),"Yes")</f>
        <v>Yes</v>
      </c>
      <c r="L703" s="5" t="str">
        <f ca="1">IFERROR(__xludf.DUMMYFUNCTION("""COMPUTED_VALUE"""),"Yes")</f>
        <v>Yes</v>
      </c>
      <c r="M703" s="5" t="str">
        <f ca="1">IFERROR(__xludf.DUMMYFUNCTION("""COMPUTED_VALUE"""),"Yes")</f>
        <v>Yes</v>
      </c>
      <c r="N703" s="5" t="str">
        <f ca="1">IFERROR(__xludf.DUMMYFUNCTION("""COMPUTED_VALUE"""),"Yes")</f>
        <v>Yes</v>
      </c>
      <c r="O703" s="5" t="str">
        <f ca="1">IFERROR(__xludf.DUMMYFUNCTION("""COMPUTED_VALUE"""),"Yes")</f>
        <v>Yes</v>
      </c>
      <c r="P703" s="5" t="str">
        <f ca="1">IFERROR(__xludf.DUMMYFUNCTION("""COMPUTED_VALUE"""),"Yes")</f>
        <v>Yes</v>
      </c>
      <c r="Q703" s="5" t="str">
        <f ca="1">IFERROR(__xludf.DUMMYFUNCTION("""COMPUTED_VALUE"""),"Yes")</f>
        <v>Yes</v>
      </c>
      <c r="R703" s="5" t="str">
        <f ca="1">IFERROR(__xludf.DUMMYFUNCTION("""COMPUTED_VALUE"""),"No")</f>
        <v>No</v>
      </c>
      <c r="S703" s="5" t="str">
        <f ca="1">IFERROR(__xludf.DUMMYFUNCTION("""COMPUTED_VALUE"""),"No")</f>
        <v>No</v>
      </c>
      <c r="T703" s="5"/>
      <c r="U703" s="5"/>
      <c r="V703" s="5"/>
      <c r="W703" s="5"/>
      <c r="X703" s="5"/>
      <c r="Y703" s="5"/>
      <c r="Z703" s="5"/>
      <c r="AA703" s="5"/>
      <c r="AB703" s="5" t="str">
        <f ca="1">IFERROR(__xludf.DUMMYFUNCTION("""COMPUTED_VALUE"""),"Yes")</f>
        <v>Yes</v>
      </c>
      <c r="AC703" s="5"/>
    </row>
    <row r="704" spans="1:29" x14ac:dyDescent="0.25">
      <c r="A704" s="5" t="str">
        <f ca="1">IFERROR(__xludf.DUMMYFUNCTION("""COMPUTED_VALUE"""),"PlayNet27LuckyFruits")</f>
        <v>PlayNet27LuckyFruits</v>
      </c>
      <c r="B70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04" s="5" t="str">
        <f ca="1">IFERROR(__xludf.DUMMYFUNCTION("""COMPUTED_VALUE"""),"Yes")</f>
        <v>Yes</v>
      </c>
      <c r="D704" s="5" t="str">
        <f ca="1">IFERROR(__xludf.DUMMYFUNCTION("""COMPUTED_VALUE"""),"Yes")</f>
        <v>Yes</v>
      </c>
      <c r="E704" s="5" t="str">
        <f ca="1">IFERROR(__xludf.DUMMYFUNCTION("""COMPUTED_VALUE"""),"Yes")</f>
        <v>Yes</v>
      </c>
      <c r="F704" s="5" t="str">
        <f ca="1">IFERROR(__xludf.DUMMYFUNCTION("""COMPUTED_VALUE"""),"Yes")</f>
        <v>Yes</v>
      </c>
      <c r="G704" s="5" t="str">
        <f ca="1">IFERROR(__xludf.DUMMYFUNCTION("""COMPUTED_VALUE"""),"Yes")</f>
        <v>Yes</v>
      </c>
      <c r="H704" s="5" t="str">
        <f ca="1">IFERROR(__xludf.DUMMYFUNCTION("""COMPUTED_VALUE"""),"Yes")</f>
        <v>Yes</v>
      </c>
      <c r="I704" s="5" t="str">
        <f ca="1">IFERROR(__xludf.DUMMYFUNCTION("""COMPUTED_VALUE"""),"Yes")</f>
        <v>Yes</v>
      </c>
      <c r="J704" s="5" t="str">
        <f ca="1">IFERROR(__xludf.DUMMYFUNCTION("""COMPUTED_VALUE"""),"Yes")</f>
        <v>Yes</v>
      </c>
      <c r="K704" s="5" t="str">
        <f ca="1">IFERROR(__xludf.DUMMYFUNCTION("""COMPUTED_VALUE"""),"Yes")</f>
        <v>Yes</v>
      </c>
      <c r="L704" s="5" t="str">
        <f ca="1">IFERROR(__xludf.DUMMYFUNCTION("""COMPUTED_VALUE"""),"Yes")</f>
        <v>Yes</v>
      </c>
      <c r="M704" s="5" t="str">
        <f ca="1">IFERROR(__xludf.DUMMYFUNCTION("""COMPUTED_VALUE"""),"Yes")</f>
        <v>Yes</v>
      </c>
      <c r="N704" s="5" t="str">
        <f ca="1">IFERROR(__xludf.DUMMYFUNCTION("""COMPUTED_VALUE"""),"Yes")</f>
        <v>Yes</v>
      </c>
      <c r="O704" s="5" t="str">
        <f ca="1">IFERROR(__xludf.DUMMYFUNCTION("""COMPUTED_VALUE"""),"Yes")</f>
        <v>Yes</v>
      </c>
      <c r="P704" s="5" t="str">
        <f ca="1">IFERROR(__xludf.DUMMYFUNCTION("""COMPUTED_VALUE"""),"Yes")</f>
        <v>Yes</v>
      </c>
      <c r="Q704" s="5" t="str">
        <f ca="1">IFERROR(__xludf.DUMMYFUNCTION("""COMPUTED_VALUE"""),"Yes")</f>
        <v>Yes</v>
      </c>
      <c r="R704" s="5" t="str">
        <f ca="1">IFERROR(__xludf.DUMMYFUNCTION("""COMPUTED_VALUE"""),"No")</f>
        <v>No</v>
      </c>
      <c r="S704" s="5" t="str">
        <f ca="1">IFERROR(__xludf.DUMMYFUNCTION("""COMPUTED_VALUE"""),"No")</f>
        <v>No</v>
      </c>
      <c r="T704" s="5" t="str">
        <f ca="1">IFERROR(__xludf.DUMMYFUNCTION("""COMPUTED_VALUE"""),"No")</f>
        <v>No</v>
      </c>
      <c r="U704" s="5" t="str">
        <f ca="1">IFERROR(__xludf.DUMMYFUNCTION("""COMPUTED_VALUE"""),"No")</f>
        <v>No</v>
      </c>
      <c r="V704" s="5" t="str">
        <f ca="1">IFERROR(__xludf.DUMMYFUNCTION("""COMPUTED_VALUE"""),"No")</f>
        <v>No</v>
      </c>
      <c r="W704" s="5" t="str">
        <f ca="1">IFERROR(__xludf.DUMMYFUNCTION("""COMPUTED_VALUE"""),"No")</f>
        <v>No</v>
      </c>
      <c r="X704" s="5" t="str">
        <f ca="1">IFERROR(__xludf.DUMMYFUNCTION("""COMPUTED_VALUE"""),"Yes")</f>
        <v>Yes</v>
      </c>
      <c r="Y704" s="5" t="str">
        <f ca="1">IFERROR(__xludf.DUMMYFUNCTION("""COMPUTED_VALUE"""),"No")</f>
        <v>No</v>
      </c>
      <c r="Z704" s="5" t="str">
        <f ca="1">IFERROR(__xludf.DUMMYFUNCTION("""COMPUTED_VALUE"""),"No")</f>
        <v>No</v>
      </c>
      <c r="AA704" s="5" t="str">
        <f ca="1">IFERROR(__xludf.DUMMYFUNCTION("""COMPUTED_VALUE"""),"No")</f>
        <v>No</v>
      </c>
      <c r="AB704" s="5" t="str">
        <f ca="1">IFERROR(__xludf.DUMMYFUNCTION("""COMPUTED_VALUE"""),"Yes")</f>
        <v>Yes</v>
      </c>
      <c r="AC704" s="5" t="str">
        <f ca="1">IFERROR(__xludf.DUMMYFUNCTION("""COMPUTED_VALUE"""),"No")</f>
        <v>No</v>
      </c>
    </row>
    <row r="705" spans="1:29" x14ac:dyDescent="0.25">
      <c r="A705" s="5" t="str">
        <f ca="1">IFERROR(__xludf.DUMMYFUNCTION("""COMPUTED_VALUE"""),"PlayNetShadowHunt10")</f>
        <v>PlayNetShadowHunt10</v>
      </c>
      <c r="B70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5" s="5" t="str">
        <f ca="1">IFERROR(__xludf.DUMMYFUNCTION("""COMPUTED_VALUE"""),"Yes")</f>
        <v>Yes</v>
      </c>
      <c r="D705" s="5" t="str">
        <f ca="1">IFERROR(__xludf.DUMMYFUNCTION("""COMPUTED_VALUE"""),"Yes")</f>
        <v>Yes</v>
      </c>
      <c r="E705" s="5" t="str">
        <f ca="1">IFERROR(__xludf.DUMMYFUNCTION("""COMPUTED_VALUE"""),"Yes")</f>
        <v>Yes</v>
      </c>
      <c r="F705" s="5" t="str">
        <f ca="1">IFERROR(__xludf.DUMMYFUNCTION("""COMPUTED_VALUE"""),"Yes")</f>
        <v>Yes</v>
      </c>
      <c r="G705" s="5" t="str">
        <f ca="1">IFERROR(__xludf.DUMMYFUNCTION("""COMPUTED_VALUE"""),"Yes")</f>
        <v>Yes</v>
      </c>
      <c r="H705" s="5" t="str">
        <f ca="1">IFERROR(__xludf.DUMMYFUNCTION("""COMPUTED_VALUE"""),"Yes")</f>
        <v>Yes</v>
      </c>
      <c r="I705" s="5" t="str">
        <f ca="1">IFERROR(__xludf.DUMMYFUNCTION("""COMPUTED_VALUE"""),"Yes")</f>
        <v>Yes</v>
      </c>
      <c r="J705" s="5" t="str">
        <f ca="1">IFERROR(__xludf.DUMMYFUNCTION("""COMPUTED_VALUE"""),"Yes")</f>
        <v>Yes</v>
      </c>
      <c r="K705" s="5" t="str">
        <f ca="1">IFERROR(__xludf.DUMMYFUNCTION("""COMPUTED_VALUE"""),"Yes")</f>
        <v>Yes</v>
      </c>
      <c r="L705" s="5" t="str">
        <f ca="1">IFERROR(__xludf.DUMMYFUNCTION("""COMPUTED_VALUE"""),"Yes")</f>
        <v>Yes</v>
      </c>
      <c r="M705" s="5" t="str">
        <f ca="1">IFERROR(__xludf.DUMMYFUNCTION("""COMPUTED_VALUE"""),"Yes")</f>
        <v>Yes</v>
      </c>
      <c r="N705" s="5" t="str">
        <f ca="1">IFERROR(__xludf.DUMMYFUNCTION("""COMPUTED_VALUE"""),"Yes")</f>
        <v>Yes</v>
      </c>
      <c r="O705" s="5" t="str">
        <f ca="1">IFERROR(__xludf.DUMMYFUNCTION("""COMPUTED_VALUE"""),"Yes")</f>
        <v>Yes</v>
      </c>
      <c r="P705" s="5" t="str">
        <f ca="1">IFERROR(__xludf.DUMMYFUNCTION("""COMPUTED_VALUE"""),"Yes")</f>
        <v>Yes</v>
      </c>
      <c r="Q705" s="5" t="str">
        <f ca="1">IFERROR(__xludf.DUMMYFUNCTION("""COMPUTED_VALUE"""),"Yes")</f>
        <v>Yes</v>
      </c>
      <c r="R705" s="5"/>
      <c r="S705" s="5"/>
      <c r="T705" s="5"/>
      <c r="U705" s="5"/>
      <c r="V705" s="5"/>
      <c r="W705" s="5"/>
      <c r="X705" s="5"/>
      <c r="Y705" s="5"/>
      <c r="Z705" s="5"/>
      <c r="AA705" s="5"/>
      <c r="AB705" s="5" t="str">
        <f ca="1">IFERROR(__xludf.DUMMYFUNCTION("""COMPUTED_VALUE"""),"Yes")</f>
        <v>Yes</v>
      </c>
      <c r="AC705" s="5"/>
    </row>
    <row r="706" spans="1:29" x14ac:dyDescent="0.25">
      <c r="A706" s="5" t="str">
        <f ca="1">IFERROR(__xludf.DUMMYFUNCTION("""COMPUTED_VALUE"""),"PlayNetDiamondHeart20")</f>
        <v>PlayNetDiamondHeart20</v>
      </c>
      <c r="B70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6" s="5" t="str">
        <f ca="1">IFERROR(__xludf.DUMMYFUNCTION("""COMPUTED_VALUE"""),"Yes")</f>
        <v>Yes</v>
      </c>
      <c r="D706" s="5" t="str">
        <f ca="1">IFERROR(__xludf.DUMMYFUNCTION("""COMPUTED_VALUE"""),"Yes")</f>
        <v>Yes</v>
      </c>
      <c r="E706" s="5" t="str">
        <f ca="1">IFERROR(__xludf.DUMMYFUNCTION("""COMPUTED_VALUE"""),"Yes")</f>
        <v>Yes</v>
      </c>
      <c r="F706" s="5" t="str">
        <f ca="1">IFERROR(__xludf.DUMMYFUNCTION("""COMPUTED_VALUE"""),"Yes")</f>
        <v>Yes</v>
      </c>
      <c r="G706" s="5" t="str">
        <f ca="1">IFERROR(__xludf.DUMMYFUNCTION("""COMPUTED_VALUE"""),"Yes")</f>
        <v>Yes</v>
      </c>
      <c r="H706" s="5" t="str">
        <f ca="1">IFERROR(__xludf.DUMMYFUNCTION("""COMPUTED_VALUE"""),"Yes")</f>
        <v>Yes</v>
      </c>
      <c r="I706" s="5" t="str">
        <f ca="1">IFERROR(__xludf.DUMMYFUNCTION("""COMPUTED_VALUE"""),"Yes")</f>
        <v>Yes</v>
      </c>
      <c r="J706" s="5" t="str">
        <f ca="1">IFERROR(__xludf.DUMMYFUNCTION("""COMPUTED_VALUE"""),"Yes")</f>
        <v>Yes</v>
      </c>
      <c r="K706" s="5" t="str">
        <f ca="1">IFERROR(__xludf.DUMMYFUNCTION("""COMPUTED_VALUE"""),"Yes")</f>
        <v>Yes</v>
      </c>
      <c r="L706" s="5" t="str">
        <f ca="1">IFERROR(__xludf.DUMMYFUNCTION("""COMPUTED_VALUE"""),"Yes")</f>
        <v>Yes</v>
      </c>
      <c r="M706" s="5" t="str">
        <f ca="1">IFERROR(__xludf.DUMMYFUNCTION("""COMPUTED_VALUE"""),"Yes")</f>
        <v>Yes</v>
      </c>
      <c r="N706" s="5" t="str">
        <f ca="1">IFERROR(__xludf.DUMMYFUNCTION("""COMPUTED_VALUE"""),"Yes")</f>
        <v>Yes</v>
      </c>
      <c r="O706" s="5" t="str">
        <f ca="1">IFERROR(__xludf.DUMMYFUNCTION("""COMPUTED_VALUE"""),"Yes")</f>
        <v>Yes</v>
      </c>
      <c r="P706" s="5" t="str">
        <f ca="1">IFERROR(__xludf.DUMMYFUNCTION("""COMPUTED_VALUE"""),"Yes")</f>
        <v>Yes</v>
      </c>
      <c r="Q706" s="5" t="str">
        <f ca="1">IFERROR(__xludf.DUMMYFUNCTION("""COMPUTED_VALUE"""),"Yes")</f>
        <v>Yes</v>
      </c>
      <c r="R706" s="5"/>
      <c r="S706" s="5"/>
      <c r="T706" s="5"/>
      <c r="U706" s="5"/>
      <c r="V706" s="5"/>
      <c r="W706" s="5"/>
      <c r="X706" s="5"/>
      <c r="Y706" s="5"/>
      <c r="Z706" s="5"/>
      <c r="AA706" s="5"/>
      <c r="AB706" s="5" t="str">
        <f ca="1">IFERROR(__xludf.DUMMYFUNCTION("""COMPUTED_VALUE"""),"Yes")</f>
        <v>Yes</v>
      </c>
      <c r="AC706" s="5"/>
    </row>
    <row r="707" spans="1:29" x14ac:dyDescent="0.25">
      <c r="A707" s="5" t="str">
        <f ca="1">IFERROR(__xludf.DUMMYFUNCTION("""COMPUTED_VALUE"""),"PlayNetBitQueen")</f>
        <v>PlayNetBitQueen</v>
      </c>
      <c r="B70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7" s="5" t="str">
        <f ca="1">IFERROR(__xludf.DUMMYFUNCTION("""COMPUTED_VALUE"""),"Yes")</f>
        <v>Yes</v>
      </c>
      <c r="D707" s="5" t="str">
        <f ca="1">IFERROR(__xludf.DUMMYFUNCTION("""COMPUTED_VALUE"""),"Yes")</f>
        <v>Yes</v>
      </c>
      <c r="E707" s="5" t="str">
        <f ca="1">IFERROR(__xludf.DUMMYFUNCTION("""COMPUTED_VALUE"""),"Yes")</f>
        <v>Yes</v>
      </c>
      <c r="F707" s="5" t="str">
        <f ca="1">IFERROR(__xludf.DUMMYFUNCTION("""COMPUTED_VALUE"""),"Yes")</f>
        <v>Yes</v>
      </c>
      <c r="G707" s="5" t="str">
        <f ca="1">IFERROR(__xludf.DUMMYFUNCTION("""COMPUTED_VALUE"""),"Yes")</f>
        <v>Yes</v>
      </c>
      <c r="H707" s="5" t="str">
        <f ca="1">IFERROR(__xludf.DUMMYFUNCTION("""COMPUTED_VALUE"""),"Yes")</f>
        <v>Yes</v>
      </c>
      <c r="I707" s="5" t="str">
        <f ca="1">IFERROR(__xludf.DUMMYFUNCTION("""COMPUTED_VALUE"""),"Yes")</f>
        <v>Yes</v>
      </c>
      <c r="J707" s="5" t="str">
        <f ca="1">IFERROR(__xludf.DUMMYFUNCTION("""COMPUTED_VALUE"""),"Yes")</f>
        <v>Yes</v>
      </c>
      <c r="K707" s="5" t="str">
        <f ca="1">IFERROR(__xludf.DUMMYFUNCTION("""COMPUTED_VALUE"""),"Yes")</f>
        <v>Yes</v>
      </c>
      <c r="L707" s="5" t="str">
        <f ca="1">IFERROR(__xludf.DUMMYFUNCTION("""COMPUTED_VALUE"""),"Yes")</f>
        <v>Yes</v>
      </c>
      <c r="M707" s="5" t="str">
        <f ca="1">IFERROR(__xludf.DUMMYFUNCTION("""COMPUTED_VALUE"""),"Yes")</f>
        <v>Yes</v>
      </c>
      <c r="N707" s="5" t="str">
        <f ca="1">IFERROR(__xludf.DUMMYFUNCTION("""COMPUTED_VALUE"""),"Yes")</f>
        <v>Yes</v>
      </c>
      <c r="O707" s="5" t="str">
        <f ca="1">IFERROR(__xludf.DUMMYFUNCTION("""COMPUTED_VALUE"""),"Yes")</f>
        <v>Yes</v>
      </c>
      <c r="P707" s="5" t="str">
        <f ca="1">IFERROR(__xludf.DUMMYFUNCTION("""COMPUTED_VALUE"""),"Yes")</f>
        <v>Yes</v>
      </c>
      <c r="Q707" s="5" t="str">
        <f ca="1">IFERROR(__xludf.DUMMYFUNCTION("""COMPUTED_VALUE"""),"Yes")</f>
        <v>Yes</v>
      </c>
      <c r="R707" s="5"/>
      <c r="S707" s="5"/>
      <c r="T707" s="5"/>
      <c r="U707" s="5"/>
      <c r="V707" s="5"/>
      <c r="W707" s="5"/>
      <c r="X707" s="5"/>
      <c r="Y707" s="5"/>
      <c r="Z707" s="5"/>
      <c r="AA707" s="5"/>
      <c r="AB707" s="5" t="str">
        <f ca="1">IFERROR(__xludf.DUMMYFUNCTION("""COMPUTED_VALUE"""),"Yes")</f>
        <v>Yes</v>
      </c>
      <c r="AC707" s="5"/>
    </row>
    <row r="708" spans="1:29" x14ac:dyDescent="0.25">
      <c r="A708" s="5" t="str">
        <f ca="1">IFERROR(__xludf.DUMMYFUNCTION("""COMPUTED_VALUE"""),"PlayNetDashingHot40")</f>
        <v>PlayNetDashingHot40</v>
      </c>
      <c r="B70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8" s="5" t="str">
        <f ca="1">IFERROR(__xludf.DUMMYFUNCTION("""COMPUTED_VALUE"""),"Yes")</f>
        <v>Yes</v>
      </c>
      <c r="D708" s="5" t="str">
        <f ca="1">IFERROR(__xludf.DUMMYFUNCTION("""COMPUTED_VALUE"""),"Yes")</f>
        <v>Yes</v>
      </c>
      <c r="E708" s="5" t="str">
        <f ca="1">IFERROR(__xludf.DUMMYFUNCTION("""COMPUTED_VALUE"""),"Yes")</f>
        <v>Yes</v>
      </c>
      <c r="F708" s="5" t="str">
        <f ca="1">IFERROR(__xludf.DUMMYFUNCTION("""COMPUTED_VALUE"""),"Yes")</f>
        <v>Yes</v>
      </c>
      <c r="G708" s="5" t="str">
        <f ca="1">IFERROR(__xludf.DUMMYFUNCTION("""COMPUTED_VALUE"""),"Yes")</f>
        <v>Yes</v>
      </c>
      <c r="H708" s="5" t="str">
        <f ca="1">IFERROR(__xludf.DUMMYFUNCTION("""COMPUTED_VALUE"""),"Yes")</f>
        <v>Yes</v>
      </c>
      <c r="I708" s="5" t="str">
        <f ca="1">IFERROR(__xludf.DUMMYFUNCTION("""COMPUTED_VALUE"""),"Yes")</f>
        <v>Yes</v>
      </c>
      <c r="J708" s="5" t="str">
        <f ca="1">IFERROR(__xludf.DUMMYFUNCTION("""COMPUTED_VALUE"""),"Yes")</f>
        <v>Yes</v>
      </c>
      <c r="K708" s="5" t="str">
        <f ca="1">IFERROR(__xludf.DUMMYFUNCTION("""COMPUTED_VALUE"""),"Yes")</f>
        <v>Yes</v>
      </c>
      <c r="L708" s="5" t="str">
        <f ca="1">IFERROR(__xludf.DUMMYFUNCTION("""COMPUTED_VALUE"""),"Yes")</f>
        <v>Yes</v>
      </c>
      <c r="M708" s="5" t="str">
        <f ca="1">IFERROR(__xludf.DUMMYFUNCTION("""COMPUTED_VALUE"""),"Yes")</f>
        <v>Yes</v>
      </c>
      <c r="N708" s="5" t="str">
        <f ca="1">IFERROR(__xludf.DUMMYFUNCTION("""COMPUTED_VALUE"""),"Yes")</f>
        <v>Yes</v>
      </c>
      <c r="O708" s="5" t="str">
        <f ca="1">IFERROR(__xludf.DUMMYFUNCTION("""COMPUTED_VALUE"""),"Yes")</f>
        <v>Yes</v>
      </c>
      <c r="P708" s="5" t="str">
        <f ca="1">IFERROR(__xludf.DUMMYFUNCTION("""COMPUTED_VALUE"""),"Yes")</f>
        <v>Yes</v>
      </c>
      <c r="Q708" s="5" t="str">
        <f ca="1">IFERROR(__xludf.DUMMYFUNCTION("""COMPUTED_VALUE"""),"Yes")</f>
        <v>Yes</v>
      </c>
      <c r="R708" s="5"/>
      <c r="S708" s="5"/>
      <c r="T708" s="5"/>
      <c r="U708" s="5"/>
      <c r="V708" s="5"/>
      <c r="W708" s="5"/>
      <c r="X708" s="5"/>
      <c r="Y708" s="5"/>
      <c r="Z708" s="5"/>
      <c r="AA708" s="5"/>
      <c r="AB708" s="5" t="str">
        <f ca="1">IFERROR(__xludf.DUMMYFUNCTION("""COMPUTED_VALUE"""),"Yes")</f>
        <v>Yes</v>
      </c>
      <c r="AC708" s="5"/>
    </row>
    <row r="709" spans="1:29" x14ac:dyDescent="0.25">
      <c r="A709" s="5" t="str">
        <f ca="1">IFERROR(__xludf.DUMMYFUNCTION("""COMPUTED_VALUE"""),"PlayNetDarkTemptress100")</f>
        <v>PlayNetDarkTemptress100</v>
      </c>
      <c r="B70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9" s="5" t="str">
        <f ca="1">IFERROR(__xludf.DUMMYFUNCTION("""COMPUTED_VALUE"""),"Yes")</f>
        <v>Yes</v>
      </c>
      <c r="D709" s="5" t="str">
        <f ca="1">IFERROR(__xludf.DUMMYFUNCTION("""COMPUTED_VALUE"""),"Yes")</f>
        <v>Yes</v>
      </c>
      <c r="E709" s="5" t="str">
        <f ca="1">IFERROR(__xludf.DUMMYFUNCTION("""COMPUTED_VALUE"""),"Yes")</f>
        <v>Yes</v>
      </c>
      <c r="F709" s="5" t="str">
        <f ca="1">IFERROR(__xludf.DUMMYFUNCTION("""COMPUTED_VALUE"""),"Yes")</f>
        <v>Yes</v>
      </c>
      <c r="G709" s="5" t="str">
        <f ca="1">IFERROR(__xludf.DUMMYFUNCTION("""COMPUTED_VALUE"""),"Yes")</f>
        <v>Yes</v>
      </c>
      <c r="H709" s="5" t="str">
        <f ca="1">IFERROR(__xludf.DUMMYFUNCTION("""COMPUTED_VALUE"""),"Yes")</f>
        <v>Yes</v>
      </c>
      <c r="I709" s="5" t="str">
        <f ca="1">IFERROR(__xludf.DUMMYFUNCTION("""COMPUTED_VALUE"""),"Yes")</f>
        <v>Yes</v>
      </c>
      <c r="J709" s="5" t="str">
        <f ca="1">IFERROR(__xludf.DUMMYFUNCTION("""COMPUTED_VALUE"""),"Yes")</f>
        <v>Yes</v>
      </c>
      <c r="K709" s="5" t="str">
        <f ca="1">IFERROR(__xludf.DUMMYFUNCTION("""COMPUTED_VALUE"""),"Yes")</f>
        <v>Yes</v>
      </c>
      <c r="L709" s="5" t="str">
        <f ca="1">IFERROR(__xludf.DUMMYFUNCTION("""COMPUTED_VALUE"""),"Yes")</f>
        <v>Yes</v>
      </c>
      <c r="M709" s="5" t="str">
        <f ca="1">IFERROR(__xludf.DUMMYFUNCTION("""COMPUTED_VALUE"""),"Yes")</f>
        <v>Yes</v>
      </c>
      <c r="N709" s="5" t="str">
        <f ca="1">IFERROR(__xludf.DUMMYFUNCTION("""COMPUTED_VALUE"""),"Yes")</f>
        <v>Yes</v>
      </c>
      <c r="O709" s="5" t="str">
        <f ca="1">IFERROR(__xludf.DUMMYFUNCTION("""COMPUTED_VALUE"""),"Yes")</f>
        <v>Yes</v>
      </c>
      <c r="P709" s="5" t="str">
        <f ca="1">IFERROR(__xludf.DUMMYFUNCTION("""COMPUTED_VALUE"""),"Yes")</f>
        <v>Yes</v>
      </c>
      <c r="Q709" s="5" t="str">
        <f ca="1">IFERROR(__xludf.DUMMYFUNCTION("""COMPUTED_VALUE"""),"Yes")</f>
        <v>Yes</v>
      </c>
      <c r="R709" s="5"/>
      <c r="S709" s="5"/>
      <c r="T709" s="5"/>
      <c r="U709" s="5"/>
      <c r="V709" s="5"/>
      <c r="W709" s="5"/>
      <c r="X709" s="5"/>
      <c r="Y709" s="5"/>
      <c r="Z709" s="5"/>
      <c r="AA709" s="5"/>
      <c r="AB709" s="5" t="str">
        <f ca="1">IFERROR(__xludf.DUMMYFUNCTION("""COMPUTED_VALUE"""),"Yes")</f>
        <v>Yes</v>
      </c>
      <c r="AC709" s="5"/>
    </row>
    <row r="710" spans="1:29" x14ac:dyDescent="0.25">
      <c r="A710" s="5" t="str">
        <f ca="1">IFERROR(__xludf.DUMMYFUNCTION("""COMPUTED_VALUE"""),"PlayNetBarkinRiches")</f>
        <v>PlayNetBarkinRiches</v>
      </c>
      <c r="B71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10" s="5" t="str">
        <f ca="1">IFERROR(__xludf.DUMMYFUNCTION("""COMPUTED_VALUE"""),"Yes")</f>
        <v>Yes</v>
      </c>
      <c r="D710" s="5" t="str">
        <f ca="1">IFERROR(__xludf.DUMMYFUNCTION("""COMPUTED_VALUE"""),"Yes")</f>
        <v>Yes</v>
      </c>
      <c r="E710" s="5" t="str">
        <f ca="1">IFERROR(__xludf.DUMMYFUNCTION("""COMPUTED_VALUE"""),"Yes")</f>
        <v>Yes</v>
      </c>
      <c r="F710" s="5" t="str">
        <f ca="1">IFERROR(__xludf.DUMMYFUNCTION("""COMPUTED_VALUE"""),"Yes")</f>
        <v>Yes</v>
      </c>
      <c r="G710" s="5" t="str">
        <f ca="1">IFERROR(__xludf.DUMMYFUNCTION("""COMPUTED_VALUE"""),"Yes")</f>
        <v>Yes</v>
      </c>
      <c r="H710" s="5" t="str">
        <f ca="1">IFERROR(__xludf.DUMMYFUNCTION("""COMPUTED_VALUE"""),"Yes")</f>
        <v>Yes</v>
      </c>
      <c r="I710" s="5" t="str">
        <f ca="1">IFERROR(__xludf.DUMMYFUNCTION("""COMPUTED_VALUE"""),"Yes")</f>
        <v>Yes</v>
      </c>
      <c r="J710" s="5" t="str">
        <f ca="1">IFERROR(__xludf.DUMMYFUNCTION("""COMPUTED_VALUE"""),"Yes")</f>
        <v>Yes</v>
      </c>
      <c r="K710" s="5" t="str">
        <f ca="1">IFERROR(__xludf.DUMMYFUNCTION("""COMPUTED_VALUE"""),"Yes")</f>
        <v>Yes</v>
      </c>
      <c r="L710" s="5" t="str">
        <f ca="1">IFERROR(__xludf.DUMMYFUNCTION("""COMPUTED_VALUE"""),"Yes")</f>
        <v>Yes</v>
      </c>
      <c r="M710" s="5" t="str">
        <f ca="1">IFERROR(__xludf.DUMMYFUNCTION("""COMPUTED_VALUE"""),"Yes")</f>
        <v>Yes</v>
      </c>
      <c r="N710" s="5" t="str">
        <f ca="1">IFERROR(__xludf.DUMMYFUNCTION("""COMPUTED_VALUE"""),"Yes")</f>
        <v>Yes</v>
      </c>
      <c r="O710" s="5" t="str">
        <f ca="1">IFERROR(__xludf.DUMMYFUNCTION("""COMPUTED_VALUE"""),"Yes")</f>
        <v>Yes</v>
      </c>
      <c r="P710" s="5" t="str">
        <f ca="1">IFERROR(__xludf.DUMMYFUNCTION("""COMPUTED_VALUE"""),"Yes")</f>
        <v>Yes</v>
      </c>
      <c r="Q710" s="5" t="str">
        <f ca="1">IFERROR(__xludf.DUMMYFUNCTION("""COMPUTED_VALUE"""),"Yes")</f>
        <v>Yes</v>
      </c>
      <c r="R710" s="5"/>
      <c r="S710" s="5"/>
      <c r="T710" s="5"/>
      <c r="U710" s="5"/>
      <c r="V710" s="5"/>
      <c r="W710" s="5"/>
      <c r="X710" s="5"/>
      <c r="Y710" s="5"/>
      <c r="Z710" s="5"/>
      <c r="AA710" s="5"/>
      <c r="AB710" s="5" t="str">
        <f ca="1">IFERROR(__xludf.DUMMYFUNCTION("""COMPUTED_VALUE"""),"Yes")</f>
        <v>Yes</v>
      </c>
      <c r="AC710" s="5"/>
    </row>
    <row r="711" spans="1:29" x14ac:dyDescent="0.25">
      <c r="A711" s="5" t="str">
        <f ca="1">IFERROR(__xludf.DUMMYFUNCTION("""COMPUTED_VALUE"""),"Special4RabetFruits")</f>
        <v>Special4RabetFruits</v>
      </c>
      <c r="B711" s="5" t="str">
        <f ca="1">IFERROR(__xludf.DUMMYFUNCTION("""COMPUTED_VALUE"""),"")</f>
        <v/>
      </c>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spans="1:29" x14ac:dyDescent="0.25">
      <c r="A712" s="5" t="str">
        <f ca="1">IFERROR(__xludf.DUMMYFUNCTION("""COMPUTED_VALUE"""),"MultihotPot")</f>
        <v>MultihotPot</v>
      </c>
      <c r="B7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2" s="5" t="str">
        <f ca="1">IFERROR(__xludf.DUMMYFUNCTION("""COMPUTED_VALUE"""),"Yes")</f>
        <v>Yes</v>
      </c>
      <c r="D712" s="5" t="str">
        <f ca="1">IFERROR(__xludf.DUMMYFUNCTION("""COMPUTED_VALUE"""),"Yes")</f>
        <v>Yes</v>
      </c>
      <c r="E712" s="5" t="str">
        <f ca="1">IFERROR(__xludf.DUMMYFUNCTION("""COMPUTED_VALUE"""),"Yes")</f>
        <v>Yes</v>
      </c>
      <c r="F712" s="5" t="str">
        <f ca="1">IFERROR(__xludf.DUMMYFUNCTION("""COMPUTED_VALUE"""),"Yes")</f>
        <v>Yes</v>
      </c>
      <c r="G712" s="5" t="str">
        <f ca="1">IFERROR(__xludf.DUMMYFUNCTION("""COMPUTED_VALUE"""),"Yes")</f>
        <v>Yes</v>
      </c>
      <c r="H712" s="5" t="str">
        <f ca="1">IFERROR(__xludf.DUMMYFUNCTION("""COMPUTED_VALUE"""),"Yes")</f>
        <v>Yes</v>
      </c>
      <c r="I712" s="5" t="str">
        <f ca="1">IFERROR(__xludf.DUMMYFUNCTION("""COMPUTED_VALUE"""),"Yes")</f>
        <v>Yes</v>
      </c>
      <c r="J712" s="5" t="str">
        <f ca="1">IFERROR(__xludf.DUMMYFUNCTION("""COMPUTED_VALUE"""),"Yes")</f>
        <v>Yes</v>
      </c>
      <c r="K712" s="5" t="str">
        <f ca="1">IFERROR(__xludf.DUMMYFUNCTION("""COMPUTED_VALUE"""),"Yes")</f>
        <v>Yes</v>
      </c>
      <c r="L712" s="5" t="str">
        <f ca="1">IFERROR(__xludf.DUMMYFUNCTION("""COMPUTED_VALUE"""),"Yes")</f>
        <v>Yes</v>
      </c>
      <c r="M712" s="5" t="str">
        <f ca="1">IFERROR(__xludf.DUMMYFUNCTION("""COMPUTED_VALUE"""),"Yes")</f>
        <v>Yes</v>
      </c>
      <c r="N712" s="5" t="str">
        <f ca="1">IFERROR(__xludf.DUMMYFUNCTION("""COMPUTED_VALUE"""),"Yes")</f>
        <v>Yes</v>
      </c>
      <c r="O712" s="5" t="str">
        <f ca="1">IFERROR(__xludf.DUMMYFUNCTION("""COMPUTED_VALUE"""),"Yes")</f>
        <v>Yes</v>
      </c>
      <c r="P712" s="5" t="str">
        <f ca="1">IFERROR(__xludf.DUMMYFUNCTION("""COMPUTED_VALUE"""),"Yes")</f>
        <v>Yes</v>
      </c>
      <c r="Q712" s="5" t="str">
        <f ca="1">IFERROR(__xludf.DUMMYFUNCTION("""COMPUTED_VALUE"""),"Yes")</f>
        <v>Yes</v>
      </c>
      <c r="R712" s="5" t="str">
        <f ca="1">IFERROR(__xludf.DUMMYFUNCTION("""COMPUTED_VALUE"""),"Yes")</f>
        <v>Yes</v>
      </c>
      <c r="S712" s="5" t="str">
        <f ca="1">IFERROR(__xludf.DUMMYFUNCTION("""COMPUTED_VALUE"""),"Yes")</f>
        <v>Yes</v>
      </c>
      <c r="T712" s="5" t="str">
        <f ca="1">IFERROR(__xludf.DUMMYFUNCTION("""COMPUTED_VALUE"""),"Yes")</f>
        <v>Yes</v>
      </c>
      <c r="U712" s="5" t="str">
        <f ca="1">IFERROR(__xludf.DUMMYFUNCTION("""COMPUTED_VALUE"""),"Yes")</f>
        <v>Yes</v>
      </c>
      <c r="V712" s="5" t="str">
        <f ca="1">IFERROR(__xludf.DUMMYFUNCTION("""COMPUTED_VALUE"""),"Yes")</f>
        <v>Yes</v>
      </c>
      <c r="W712" s="5" t="str">
        <f ca="1">IFERROR(__xludf.DUMMYFUNCTION("""COMPUTED_VALUE"""),"Yes")</f>
        <v>Yes</v>
      </c>
      <c r="X712" s="5" t="str">
        <f ca="1">IFERROR(__xludf.DUMMYFUNCTION("""COMPUTED_VALUE"""),"Yes")</f>
        <v>Yes</v>
      </c>
      <c r="Y712" s="5" t="str">
        <f ca="1">IFERROR(__xludf.DUMMYFUNCTION("""COMPUTED_VALUE"""),"Yes")</f>
        <v>Yes</v>
      </c>
      <c r="Z712" s="5" t="str">
        <f ca="1">IFERROR(__xludf.DUMMYFUNCTION("""COMPUTED_VALUE"""),"Yes")</f>
        <v>Yes</v>
      </c>
      <c r="AA712" s="5" t="str">
        <f ca="1">IFERROR(__xludf.DUMMYFUNCTION("""COMPUTED_VALUE"""),"Yes")</f>
        <v>Yes</v>
      </c>
      <c r="AB712" s="5" t="str">
        <f ca="1">IFERROR(__xludf.DUMMYFUNCTION("""COMPUTED_VALUE"""),"Yes")</f>
        <v>Yes</v>
      </c>
      <c r="AC712" s="5" t="str">
        <f ca="1">IFERROR(__xludf.DUMMYFUNCTION("""COMPUTED_VALUE"""),"Yes")</f>
        <v>Yes</v>
      </c>
    </row>
    <row r="713" spans="1:29" x14ac:dyDescent="0.25">
      <c r="A713" s="5" t="str">
        <f ca="1">IFERROR(__xludf.DUMMYFUNCTION("""COMPUTED_VALUE"""),"TripleWildCrown")</f>
        <v>TripleWildCrown</v>
      </c>
      <c r="B7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3" s="5" t="str">
        <f ca="1">IFERROR(__xludf.DUMMYFUNCTION("""COMPUTED_VALUE"""),"Yes")</f>
        <v>Yes</v>
      </c>
      <c r="D713" s="5" t="str">
        <f ca="1">IFERROR(__xludf.DUMMYFUNCTION("""COMPUTED_VALUE"""),"Yes")</f>
        <v>Yes</v>
      </c>
      <c r="E713" s="5" t="str">
        <f ca="1">IFERROR(__xludf.DUMMYFUNCTION("""COMPUTED_VALUE"""),"Yes")</f>
        <v>Yes</v>
      </c>
      <c r="F713" s="5" t="str">
        <f ca="1">IFERROR(__xludf.DUMMYFUNCTION("""COMPUTED_VALUE"""),"Yes")</f>
        <v>Yes</v>
      </c>
      <c r="G713" s="5" t="str">
        <f ca="1">IFERROR(__xludf.DUMMYFUNCTION("""COMPUTED_VALUE"""),"Yes")</f>
        <v>Yes</v>
      </c>
      <c r="H713" s="5" t="str">
        <f ca="1">IFERROR(__xludf.DUMMYFUNCTION("""COMPUTED_VALUE"""),"Yes")</f>
        <v>Yes</v>
      </c>
      <c r="I713" s="5" t="str">
        <f ca="1">IFERROR(__xludf.DUMMYFUNCTION("""COMPUTED_VALUE"""),"Yes")</f>
        <v>Yes</v>
      </c>
      <c r="J713" s="5" t="str">
        <f ca="1">IFERROR(__xludf.DUMMYFUNCTION("""COMPUTED_VALUE"""),"Yes")</f>
        <v>Yes</v>
      </c>
      <c r="K713" s="5" t="str">
        <f ca="1">IFERROR(__xludf.DUMMYFUNCTION("""COMPUTED_VALUE"""),"Yes")</f>
        <v>Yes</v>
      </c>
      <c r="L713" s="5" t="str">
        <f ca="1">IFERROR(__xludf.DUMMYFUNCTION("""COMPUTED_VALUE"""),"Yes")</f>
        <v>Yes</v>
      </c>
      <c r="M713" s="5" t="str">
        <f ca="1">IFERROR(__xludf.DUMMYFUNCTION("""COMPUTED_VALUE"""),"Yes")</f>
        <v>Yes</v>
      </c>
      <c r="N713" s="5" t="str">
        <f ca="1">IFERROR(__xludf.DUMMYFUNCTION("""COMPUTED_VALUE"""),"Yes")</f>
        <v>Yes</v>
      </c>
      <c r="O713" s="5" t="str">
        <f ca="1">IFERROR(__xludf.DUMMYFUNCTION("""COMPUTED_VALUE"""),"Yes")</f>
        <v>Yes</v>
      </c>
      <c r="P713" s="5" t="str">
        <f ca="1">IFERROR(__xludf.DUMMYFUNCTION("""COMPUTED_VALUE"""),"Yes")</f>
        <v>Yes</v>
      </c>
      <c r="Q713" s="5" t="str">
        <f ca="1">IFERROR(__xludf.DUMMYFUNCTION("""COMPUTED_VALUE"""),"Yes")</f>
        <v>Yes</v>
      </c>
      <c r="R713" s="5" t="str">
        <f ca="1">IFERROR(__xludf.DUMMYFUNCTION("""COMPUTED_VALUE"""),"Yes")</f>
        <v>Yes</v>
      </c>
      <c r="S713" s="5" t="str">
        <f ca="1">IFERROR(__xludf.DUMMYFUNCTION("""COMPUTED_VALUE"""),"Yes")</f>
        <v>Yes</v>
      </c>
      <c r="T713" s="5" t="str">
        <f ca="1">IFERROR(__xludf.DUMMYFUNCTION("""COMPUTED_VALUE"""),"Yes")</f>
        <v>Yes</v>
      </c>
      <c r="U713" s="5" t="str">
        <f ca="1">IFERROR(__xludf.DUMMYFUNCTION("""COMPUTED_VALUE"""),"Yes")</f>
        <v>Yes</v>
      </c>
      <c r="V713" s="5" t="str">
        <f ca="1">IFERROR(__xludf.DUMMYFUNCTION("""COMPUTED_VALUE"""),"Yes")</f>
        <v>Yes</v>
      </c>
      <c r="W713" s="5" t="str">
        <f ca="1">IFERROR(__xludf.DUMMYFUNCTION("""COMPUTED_VALUE"""),"Yes")</f>
        <v>Yes</v>
      </c>
      <c r="X713" s="5" t="str">
        <f ca="1">IFERROR(__xludf.DUMMYFUNCTION("""COMPUTED_VALUE"""),"Yes")</f>
        <v>Yes</v>
      </c>
      <c r="Y713" s="5" t="str">
        <f ca="1">IFERROR(__xludf.DUMMYFUNCTION("""COMPUTED_VALUE"""),"Yes")</f>
        <v>Yes</v>
      </c>
      <c r="Z713" s="5" t="str">
        <f ca="1">IFERROR(__xludf.DUMMYFUNCTION("""COMPUTED_VALUE"""),"Yes")</f>
        <v>Yes</v>
      </c>
      <c r="AA713" s="5" t="str">
        <f ca="1">IFERROR(__xludf.DUMMYFUNCTION("""COMPUTED_VALUE"""),"Yes")</f>
        <v>Yes</v>
      </c>
      <c r="AB713" s="5" t="str">
        <f ca="1">IFERROR(__xludf.DUMMYFUNCTION("""COMPUTED_VALUE"""),"Yes")</f>
        <v>Yes</v>
      </c>
      <c r="AC713" s="5" t="str">
        <f ca="1">IFERROR(__xludf.DUMMYFUNCTION("""COMPUTED_VALUE"""),"No")</f>
        <v>No</v>
      </c>
    </row>
    <row r="714" spans="1:29" x14ac:dyDescent="0.25">
      <c r="A714" s="5" t="str">
        <f ca="1">IFERROR(__xludf.DUMMYFUNCTION("""COMPUTED_VALUE"""),"BonusRoyalCrownExtralines")</f>
        <v>BonusRoyalCrownExtralines</v>
      </c>
      <c r="B7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4" s="5" t="str">
        <f ca="1">IFERROR(__xludf.DUMMYFUNCTION("""COMPUTED_VALUE"""),"Yes")</f>
        <v>Yes</v>
      </c>
      <c r="D714" s="5" t="str">
        <f ca="1">IFERROR(__xludf.DUMMYFUNCTION("""COMPUTED_VALUE"""),"Yes")</f>
        <v>Yes</v>
      </c>
      <c r="E714" s="5" t="str">
        <f ca="1">IFERROR(__xludf.DUMMYFUNCTION("""COMPUTED_VALUE"""),"Yes")</f>
        <v>Yes</v>
      </c>
      <c r="F714" s="5" t="str">
        <f ca="1">IFERROR(__xludf.DUMMYFUNCTION("""COMPUTED_VALUE"""),"Yes")</f>
        <v>Yes</v>
      </c>
      <c r="G714" s="5" t="str">
        <f ca="1">IFERROR(__xludf.DUMMYFUNCTION("""COMPUTED_VALUE"""),"Yes")</f>
        <v>Yes</v>
      </c>
      <c r="H714" s="5" t="str">
        <f ca="1">IFERROR(__xludf.DUMMYFUNCTION("""COMPUTED_VALUE"""),"Yes")</f>
        <v>Yes</v>
      </c>
      <c r="I714" s="5" t="str">
        <f ca="1">IFERROR(__xludf.DUMMYFUNCTION("""COMPUTED_VALUE"""),"Yes")</f>
        <v>Yes</v>
      </c>
      <c r="J714" s="5" t="str">
        <f ca="1">IFERROR(__xludf.DUMMYFUNCTION("""COMPUTED_VALUE"""),"Yes")</f>
        <v>Yes</v>
      </c>
      <c r="K714" s="5" t="str">
        <f ca="1">IFERROR(__xludf.DUMMYFUNCTION("""COMPUTED_VALUE"""),"Yes")</f>
        <v>Yes</v>
      </c>
      <c r="L714" s="5" t="str">
        <f ca="1">IFERROR(__xludf.DUMMYFUNCTION("""COMPUTED_VALUE"""),"Yes")</f>
        <v>Yes</v>
      </c>
      <c r="M714" s="5" t="str">
        <f ca="1">IFERROR(__xludf.DUMMYFUNCTION("""COMPUTED_VALUE"""),"Yes")</f>
        <v>Yes</v>
      </c>
      <c r="N714" s="5" t="str">
        <f ca="1">IFERROR(__xludf.DUMMYFUNCTION("""COMPUTED_VALUE"""),"Yes")</f>
        <v>Yes</v>
      </c>
      <c r="O714" s="5" t="str">
        <f ca="1">IFERROR(__xludf.DUMMYFUNCTION("""COMPUTED_VALUE"""),"Yes")</f>
        <v>Yes</v>
      </c>
      <c r="P714" s="5" t="str">
        <f ca="1">IFERROR(__xludf.DUMMYFUNCTION("""COMPUTED_VALUE"""),"Yes")</f>
        <v>Yes</v>
      </c>
      <c r="Q714" s="5" t="str">
        <f ca="1">IFERROR(__xludf.DUMMYFUNCTION("""COMPUTED_VALUE"""),"Yes")</f>
        <v>Yes</v>
      </c>
      <c r="R714" s="5" t="str">
        <f ca="1">IFERROR(__xludf.DUMMYFUNCTION("""COMPUTED_VALUE"""),"Yes")</f>
        <v>Yes</v>
      </c>
      <c r="S714" s="5" t="str">
        <f ca="1">IFERROR(__xludf.DUMMYFUNCTION("""COMPUTED_VALUE"""),"Yes")</f>
        <v>Yes</v>
      </c>
      <c r="T714" s="5" t="str">
        <f ca="1">IFERROR(__xludf.DUMMYFUNCTION("""COMPUTED_VALUE"""),"Yes")</f>
        <v>Yes</v>
      </c>
      <c r="U714" s="5" t="str">
        <f ca="1">IFERROR(__xludf.DUMMYFUNCTION("""COMPUTED_VALUE"""),"Yes")</f>
        <v>Yes</v>
      </c>
      <c r="V714" s="5" t="str">
        <f ca="1">IFERROR(__xludf.DUMMYFUNCTION("""COMPUTED_VALUE"""),"Yes")</f>
        <v>Yes</v>
      </c>
      <c r="W714" s="5" t="str">
        <f ca="1">IFERROR(__xludf.DUMMYFUNCTION("""COMPUTED_VALUE"""),"Yes")</f>
        <v>Yes</v>
      </c>
      <c r="X714" s="5" t="str">
        <f ca="1">IFERROR(__xludf.DUMMYFUNCTION("""COMPUTED_VALUE"""),"Yes")</f>
        <v>Yes</v>
      </c>
      <c r="Y714" s="5" t="str">
        <f ca="1">IFERROR(__xludf.DUMMYFUNCTION("""COMPUTED_VALUE"""),"Yes")</f>
        <v>Yes</v>
      </c>
      <c r="Z714" s="5" t="str">
        <f ca="1">IFERROR(__xludf.DUMMYFUNCTION("""COMPUTED_VALUE"""),"Yes")</f>
        <v>Yes</v>
      </c>
      <c r="AA714" s="5" t="str">
        <f ca="1">IFERROR(__xludf.DUMMYFUNCTION("""COMPUTED_VALUE"""),"Yes")</f>
        <v>Yes</v>
      </c>
      <c r="AB714" s="5" t="str">
        <f ca="1">IFERROR(__xludf.DUMMYFUNCTION("""COMPUTED_VALUE"""),"Yes")</f>
        <v>Yes</v>
      </c>
      <c r="AC714" s="5" t="str">
        <f ca="1">IFERROR(__xludf.DUMMYFUNCTION("""COMPUTED_VALUE"""),"Yes")</f>
        <v>Yes</v>
      </c>
    </row>
    <row r="715" spans="1:29" x14ac:dyDescent="0.25">
      <c r="A715" s="5" t="str">
        <f ca="1">IFERROR(__xludf.DUMMYFUNCTION("""COMPUTED_VALUE"""),"BonusEpicWildExtralines")</f>
        <v>BonusEpicWildExtralines</v>
      </c>
      <c r="B7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5" s="5" t="str">
        <f ca="1">IFERROR(__xludf.DUMMYFUNCTION("""COMPUTED_VALUE"""),"Yes")</f>
        <v>Yes</v>
      </c>
      <c r="D715" s="5" t="str">
        <f ca="1">IFERROR(__xludf.DUMMYFUNCTION("""COMPUTED_VALUE"""),"Yes")</f>
        <v>Yes</v>
      </c>
      <c r="E715" s="5" t="str">
        <f ca="1">IFERROR(__xludf.DUMMYFUNCTION("""COMPUTED_VALUE"""),"Yes")</f>
        <v>Yes</v>
      </c>
      <c r="F715" s="5" t="str">
        <f ca="1">IFERROR(__xludf.DUMMYFUNCTION("""COMPUTED_VALUE"""),"Yes")</f>
        <v>Yes</v>
      </c>
      <c r="G715" s="5" t="str">
        <f ca="1">IFERROR(__xludf.DUMMYFUNCTION("""COMPUTED_VALUE"""),"Yes")</f>
        <v>Yes</v>
      </c>
      <c r="H715" s="5" t="str">
        <f ca="1">IFERROR(__xludf.DUMMYFUNCTION("""COMPUTED_VALUE"""),"Yes")</f>
        <v>Yes</v>
      </c>
      <c r="I715" s="5" t="str">
        <f ca="1">IFERROR(__xludf.DUMMYFUNCTION("""COMPUTED_VALUE"""),"Yes")</f>
        <v>Yes</v>
      </c>
      <c r="J715" s="5" t="str">
        <f ca="1">IFERROR(__xludf.DUMMYFUNCTION("""COMPUTED_VALUE"""),"Yes")</f>
        <v>Yes</v>
      </c>
      <c r="K715" s="5" t="str">
        <f ca="1">IFERROR(__xludf.DUMMYFUNCTION("""COMPUTED_VALUE"""),"Yes")</f>
        <v>Yes</v>
      </c>
      <c r="L715" s="5" t="str">
        <f ca="1">IFERROR(__xludf.DUMMYFUNCTION("""COMPUTED_VALUE"""),"Yes")</f>
        <v>Yes</v>
      </c>
      <c r="M715" s="5" t="str">
        <f ca="1">IFERROR(__xludf.DUMMYFUNCTION("""COMPUTED_VALUE"""),"Yes")</f>
        <v>Yes</v>
      </c>
      <c r="N715" s="5" t="str">
        <f ca="1">IFERROR(__xludf.DUMMYFUNCTION("""COMPUTED_VALUE"""),"Yes")</f>
        <v>Yes</v>
      </c>
      <c r="O715" s="5" t="str">
        <f ca="1">IFERROR(__xludf.DUMMYFUNCTION("""COMPUTED_VALUE"""),"Yes")</f>
        <v>Yes</v>
      </c>
      <c r="P715" s="5" t="str">
        <f ca="1">IFERROR(__xludf.DUMMYFUNCTION("""COMPUTED_VALUE"""),"Yes")</f>
        <v>Yes</v>
      </c>
      <c r="Q715" s="5" t="str">
        <f ca="1">IFERROR(__xludf.DUMMYFUNCTION("""COMPUTED_VALUE"""),"Yes")</f>
        <v>Yes</v>
      </c>
      <c r="R715" s="5" t="str">
        <f ca="1">IFERROR(__xludf.DUMMYFUNCTION("""COMPUTED_VALUE"""),"Yes")</f>
        <v>Yes</v>
      </c>
      <c r="S715" s="5" t="str">
        <f ca="1">IFERROR(__xludf.DUMMYFUNCTION("""COMPUTED_VALUE"""),"Yes")</f>
        <v>Yes</v>
      </c>
      <c r="T715" s="5" t="str">
        <f ca="1">IFERROR(__xludf.DUMMYFUNCTION("""COMPUTED_VALUE"""),"Yes")</f>
        <v>Yes</v>
      </c>
      <c r="U715" s="5" t="str">
        <f ca="1">IFERROR(__xludf.DUMMYFUNCTION("""COMPUTED_VALUE"""),"Yes")</f>
        <v>Yes</v>
      </c>
      <c r="V715" s="5" t="str">
        <f ca="1">IFERROR(__xludf.DUMMYFUNCTION("""COMPUTED_VALUE"""),"Yes")</f>
        <v>Yes</v>
      </c>
      <c r="W715" s="5" t="str">
        <f ca="1">IFERROR(__xludf.DUMMYFUNCTION("""COMPUTED_VALUE"""),"Yes")</f>
        <v>Yes</v>
      </c>
      <c r="X715" s="5" t="str">
        <f ca="1">IFERROR(__xludf.DUMMYFUNCTION("""COMPUTED_VALUE"""),"Yes")</f>
        <v>Yes</v>
      </c>
      <c r="Y715" s="5" t="str">
        <f ca="1">IFERROR(__xludf.DUMMYFUNCTION("""COMPUTED_VALUE"""),"Yes")</f>
        <v>Yes</v>
      </c>
      <c r="Z715" s="5" t="str">
        <f ca="1">IFERROR(__xludf.DUMMYFUNCTION("""COMPUTED_VALUE"""),"Yes")</f>
        <v>Yes</v>
      </c>
      <c r="AA715" s="5" t="str">
        <f ca="1">IFERROR(__xludf.DUMMYFUNCTION("""COMPUTED_VALUE"""),"Yes")</f>
        <v>Yes</v>
      </c>
      <c r="AB715" s="5" t="str">
        <f ca="1">IFERROR(__xludf.DUMMYFUNCTION("""COMPUTED_VALUE"""),"Yes")</f>
        <v>Yes</v>
      </c>
      <c r="AC715" s="5" t="str">
        <f ca="1">IFERROR(__xludf.DUMMYFUNCTION("""COMPUTED_VALUE"""),"No")</f>
        <v>No</v>
      </c>
    </row>
    <row r="716" spans="1:29" x14ac:dyDescent="0.25">
      <c r="A716" s="5" t="str">
        <f ca="1">IFERROR(__xludf.DUMMYFUNCTION("""COMPUTED_VALUE"""),"VeryHot10Extreme")</f>
        <v>VeryHot10Extreme</v>
      </c>
      <c r="B716" s="5" t="str">
        <f ca="1">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Swahili(""swa""), Polish(""pol""), Latvian(""lav""), Lithuanian(""lit""), Ukrainian("""&amp;"ukr"")")</f>
        <v>English("eng"), Serbian(""srp","srb""), Montenegrian("mne"), Bulgarian("bul"), Spanish("spa"), Portuguese("por"), Italian("ita"), Romanian("rum/ron"), Croatian("hrv"), French("fre/fra"), German("ger/deu"), Dutch("dut/nld"), Turkish("tur"), Greek("gre/ell"), Czech("cze/ces"), Hungarian("hun"), N. Macedonian("mkd/mac"), Finnish("fin"), Armenian("arm/hye"), Social English("sen"), Swahili("swa"), Polish("pol"), Latvian("lav"), Lithuanian("lit"), Ukrainian("ukr")</v>
      </c>
      <c r="C716" s="5" t="str">
        <f ca="1">IFERROR(__xludf.DUMMYFUNCTION("""COMPUTED_VALUE"""),"Yes")</f>
        <v>Yes</v>
      </c>
      <c r="D716" s="5" t="str">
        <f ca="1">IFERROR(__xludf.DUMMYFUNCTION("""COMPUTED_VALUE"""),"Yes")</f>
        <v>Yes</v>
      </c>
      <c r="E716" s="5" t="str">
        <f ca="1">IFERROR(__xludf.DUMMYFUNCTION("""COMPUTED_VALUE"""),"Yes")</f>
        <v>Yes</v>
      </c>
      <c r="F716" s="5" t="str">
        <f ca="1">IFERROR(__xludf.DUMMYFUNCTION("""COMPUTED_VALUE"""),"Yes")</f>
        <v>Yes</v>
      </c>
      <c r="G716" s="5" t="str">
        <f ca="1">IFERROR(__xludf.DUMMYFUNCTION("""COMPUTED_VALUE"""),"Yes")</f>
        <v>Yes</v>
      </c>
      <c r="H716" s="5" t="str">
        <f ca="1">IFERROR(__xludf.DUMMYFUNCTION("""COMPUTED_VALUE"""),"Yes")</f>
        <v>Yes</v>
      </c>
      <c r="I716" s="5" t="str">
        <f ca="1">IFERROR(__xludf.DUMMYFUNCTION("""COMPUTED_VALUE"""),"Yes")</f>
        <v>Yes</v>
      </c>
      <c r="J716" s="5" t="str">
        <f ca="1">IFERROR(__xludf.DUMMYFUNCTION("""COMPUTED_VALUE"""),"Yes")</f>
        <v>Yes</v>
      </c>
      <c r="K716" s="5" t="str">
        <f ca="1">IFERROR(__xludf.DUMMYFUNCTION("""COMPUTED_VALUE"""),"Yes")</f>
        <v>Yes</v>
      </c>
      <c r="L716" s="5" t="str">
        <f ca="1">IFERROR(__xludf.DUMMYFUNCTION("""COMPUTED_VALUE"""),"Yes")</f>
        <v>Yes</v>
      </c>
      <c r="M716" s="5" t="str">
        <f ca="1">IFERROR(__xludf.DUMMYFUNCTION("""COMPUTED_VALUE"""),"Yes")</f>
        <v>Yes</v>
      </c>
      <c r="N716" s="5" t="str">
        <f ca="1">IFERROR(__xludf.DUMMYFUNCTION("""COMPUTED_VALUE"""),"Yes")</f>
        <v>Yes</v>
      </c>
      <c r="O716" s="5" t="str">
        <f ca="1">IFERROR(__xludf.DUMMYFUNCTION("""COMPUTED_VALUE"""),"Yes")</f>
        <v>Yes</v>
      </c>
      <c r="P716" s="5" t="str">
        <f ca="1">IFERROR(__xludf.DUMMYFUNCTION("""COMPUTED_VALUE"""),"Yes")</f>
        <v>Yes</v>
      </c>
      <c r="Q716" s="5"/>
      <c r="R716" s="5" t="str">
        <f ca="1">IFERROR(__xludf.DUMMYFUNCTION("""COMPUTED_VALUE"""),"Yes")</f>
        <v>Yes</v>
      </c>
      <c r="S716" s="5" t="str">
        <f ca="1">IFERROR(__xludf.DUMMYFUNCTION("""COMPUTED_VALUE"""),"Yes")</f>
        <v>Yes</v>
      </c>
      <c r="T716" s="5" t="str">
        <f ca="1">IFERROR(__xludf.DUMMYFUNCTION("""COMPUTED_VALUE"""),"Yes")</f>
        <v>Yes</v>
      </c>
      <c r="U716" s="5" t="str">
        <f ca="1">IFERROR(__xludf.DUMMYFUNCTION("""COMPUTED_VALUE"""),"Yes")</f>
        <v>Yes</v>
      </c>
      <c r="V716" s="5" t="str">
        <f ca="1">IFERROR(__xludf.DUMMYFUNCTION("""COMPUTED_VALUE"""),"Yes")</f>
        <v>Yes</v>
      </c>
      <c r="W716" s="5" t="str">
        <f ca="1">IFERROR(__xludf.DUMMYFUNCTION("""COMPUTED_VALUE"""),"Yes")</f>
        <v>Yes</v>
      </c>
      <c r="X716" s="5" t="str">
        <f ca="1">IFERROR(__xludf.DUMMYFUNCTION("""COMPUTED_VALUE"""),"Yes")</f>
        <v>Yes</v>
      </c>
      <c r="Y716" s="5" t="str">
        <f ca="1">IFERROR(__xludf.DUMMYFUNCTION("""COMPUTED_VALUE"""),"Yes")</f>
        <v>Yes</v>
      </c>
      <c r="Z716" s="5" t="str">
        <f ca="1">IFERROR(__xludf.DUMMYFUNCTION("""COMPUTED_VALUE"""),"Yes")</f>
        <v>Yes</v>
      </c>
      <c r="AA716" s="5" t="str">
        <f ca="1">IFERROR(__xludf.DUMMYFUNCTION("""COMPUTED_VALUE"""),"Yes")</f>
        <v>Yes</v>
      </c>
      <c r="AB716" s="5" t="str">
        <f ca="1">IFERROR(__xludf.DUMMYFUNCTION("""COMPUTED_VALUE"""),"Yes")</f>
        <v>Yes</v>
      </c>
      <c r="AC716" s="5"/>
    </row>
    <row r="717" spans="1:29" x14ac:dyDescent="0.25">
      <c r="A717" s="5" t="str">
        <f ca="1">IFERROR(__xludf.DUMMYFUNCTION("""COMPUTED_VALUE"""),"VeryHot20Extreme")</f>
        <v>VeryHot20Extreme</v>
      </c>
      <c r="B7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7" s="5" t="str">
        <f ca="1">IFERROR(__xludf.DUMMYFUNCTION("""COMPUTED_VALUE"""),"Yes")</f>
        <v>Yes</v>
      </c>
      <c r="D717" s="5" t="str">
        <f ca="1">IFERROR(__xludf.DUMMYFUNCTION("""COMPUTED_VALUE"""),"Yes")</f>
        <v>Yes</v>
      </c>
      <c r="E717" s="5" t="str">
        <f ca="1">IFERROR(__xludf.DUMMYFUNCTION("""COMPUTED_VALUE"""),"Yes")</f>
        <v>Yes</v>
      </c>
      <c r="F717" s="5" t="str">
        <f ca="1">IFERROR(__xludf.DUMMYFUNCTION("""COMPUTED_VALUE"""),"Yes")</f>
        <v>Yes</v>
      </c>
      <c r="G717" s="5" t="str">
        <f ca="1">IFERROR(__xludf.DUMMYFUNCTION("""COMPUTED_VALUE"""),"Yes")</f>
        <v>Yes</v>
      </c>
      <c r="H717" s="5" t="str">
        <f ca="1">IFERROR(__xludf.DUMMYFUNCTION("""COMPUTED_VALUE"""),"Yes")</f>
        <v>Yes</v>
      </c>
      <c r="I717" s="5" t="str">
        <f ca="1">IFERROR(__xludf.DUMMYFUNCTION("""COMPUTED_VALUE"""),"Yes")</f>
        <v>Yes</v>
      </c>
      <c r="J717" s="5" t="str">
        <f ca="1">IFERROR(__xludf.DUMMYFUNCTION("""COMPUTED_VALUE"""),"Yes")</f>
        <v>Yes</v>
      </c>
      <c r="K717" s="5" t="str">
        <f ca="1">IFERROR(__xludf.DUMMYFUNCTION("""COMPUTED_VALUE"""),"Yes")</f>
        <v>Yes</v>
      </c>
      <c r="L717" s="5" t="str">
        <f ca="1">IFERROR(__xludf.DUMMYFUNCTION("""COMPUTED_VALUE"""),"Yes")</f>
        <v>Yes</v>
      </c>
      <c r="M717" s="5" t="str">
        <f ca="1">IFERROR(__xludf.DUMMYFUNCTION("""COMPUTED_VALUE"""),"Yes")</f>
        <v>Yes</v>
      </c>
      <c r="N717" s="5" t="str">
        <f ca="1">IFERROR(__xludf.DUMMYFUNCTION("""COMPUTED_VALUE"""),"Yes")</f>
        <v>Yes</v>
      </c>
      <c r="O717" s="5" t="str">
        <f ca="1">IFERROR(__xludf.DUMMYFUNCTION("""COMPUTED_VALUE"""),"Yes")</f>
        <v>Yes</v>
      </c>
      <c r="P717" s="5" t="str">
        <f ca="1">IFERROR(__xludf.DUMMYFUNCTION("""COMPUTED_VALUE"""),"Yes")</f>
        <v>Yes</v>
      </c>
      <c r="Q717" s="5" t="str">
        <f ca="1">IFERROR(__xludf.DUMMYFUNCTION("""COMPUTED_VALUE"""),"Yes")</f>
        <v>Yes</v>
      </c>
      <c r="R717" s="5" t="str">
        <f ca="1">IFERROR(__xludf.DUMMYFUNCTION("""COMPUTED_VALUE"""),"Yes")</f>
        <v>Yes</v>
      </c>
      <c r="S717" s="5" t="str">
        <f ca="1">IFERROR(__xludf.DUMMYFUNCTION("""COMPUTED_VALUE"""),"Yes")</f>
        <v>Yes</v>
      </c>
      <c r="T717" s="5" t="str">
        <f ca="1">IFERROR(__xludf.DUMMYFUNCTION("""COMPUTED_VALUE"""),"Yes")</f>
        <v>Yes</v>
      </c>
      <c r="U717" s="5" t="str">
        <f ca="1">IFERROR(__xludf.DUMMYFUNCTION("""COMPUTED_VALUE"""),"Yes")</f>
        <v>Yes</v>
      </c>
      <c r="V717" s="5" t="str">
        <f ca="1">IFERROR(__xludf.DUMMYFUNCTION("""COMPUTED_VALUE"""),"Yes")</f>
        <v>Yes</v>
      </c>
      <c r="W717" s="5" t="str">
        <f ca="1">IFERROR(__xludf.DUMMYFUNCTION("""COMPUTED_VALUE"""),"Yes")</f>
        <v>Yes</v>
      </c>
      <c r="X717" s="5" t="str">
        <f ca="1">IFERROR(__xludf.DUMMYFUNCTION("""COMPUTED_VALUE"""),"Yes")</f>
        <v>Yes</v>
      </c>
      <c r="Y717" s="5" t="str">
        <f ca="1">IFERROR(__xludf.DUMMYFUNCTION("""COMPUTED_VALUE"""),"Yes")</f>
        <v>Yes</v>
      </c>
      <c r="Z717" s="5" t="str">
        <f ca="1">IFERROR(__xludf.DUMMYFUNCTION("""COMPUTED_VALUE"""),"Yes")</f>
        <v>Yes</v>
      </c>
      <c r="AA717" s="5" t="str">
        <f ca="1">IFERROR(__xludf.DUMMYFUNCTION("""COMPUTED_VALUE"""),"Yes")</f>
        <v>Yes</v>
      </c>
      <c r="AB717" s="5" t="str">
        <f ca="1">IFERROR(__xludf.DUMMYFUNCTION("""COMPUTED_VALUE"""),"Yes")</f>
        <v>Yes</v>
      </c>
      <c r="AC717" s="5" t="str">
        <f ca="1">IFERROR(__xludf.DUMMYFUNCTION("""COMPUTED_VALUE"""),"No")</f>
        <v>No</v>
      </c>
    </row>
    <row r="718" spans="1:29" x14ac:dyDescent="0.25">
      <c r="A718" s="5" t="str">
        <f ca="1">IFERROR(__xludf.DUMMYFUNCTION("""COMPUTED_VALUE"""),"VeryHot20ExtremeBooster")</f>
        <v>VeryHot20ExtremeBooster</v>
      </c>
      <c r="B7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8" s="5" t="str">
        <f ca="1">IFERROR(__xludf.DUMMYFUNCTION("""COMPUTED_VALUE"""),"Yes")</f>
        <v>Yes</v>
      </c>
      <c r="D718" s="5" t="str">
        <f ca="1">IFERROR(__xludf.DUMMYFUNCTION("""COMPUTED_VALUE"""),"Yes")</f>
        <v>Yes</v>
      </c>
      <c r="E718" s="5" t="str">
        <f ca="1">IFERROR(__xludf.DUMMYFUNCTION("""COMPUTED_VALUE"""),"Yes")</f>
        <v>Yes</v>
      </c>
      <c r="F718" s="5" t="str">
        <f ca="1">IFERROR(__xludf.DUMMYFUNCTION("""COMPUTED_VALUE"""),"Yes")</f>
        <v>Yes</v>
      </c>
      <c r="G718" s="5" t="str">
        <f ca="1">IFERROR(__xludf.DUMMYFUNCTION("""COMPUTED_VALUE"""),"Yes")</f>
        <v>Yes</v>
      </c>
      <c r="H718" s="5" t="str">
        <f ca="1">IFERROR(__xludf.DUMMYFUNCTION("""COMPUTED_VALUE"""),"Yes")</f>
        <v>Yes</v>
      </c>
      <c r="I718" s="5" t="str">
        <f ca="1">IFERROR(__xludf.DUMMYFUNCTION("""COMPUTED_VALUE"""),"Yes")</f>
        <v>Yes</v>
      </c>
      <c r="J718" s="5" t="str">
        <f ca="1">IFERROR(__xludf.DUMMYFUNCTION("""COMPUTED_VALUE"""),"Yes")</f>
        <v>Yes</v>
      </c>
      <c r="K718" s="5" t="str">
        <f ca="1">IFERROR(__xludf.DUMMYFUNCTION("""COMPUTED_VALUE"""),"Yes")</f>
        <v>Yes</v>
      </c>
      <c r="L718" s="5" t="str">
        <f ca="1">IFERROR(__xludf.DUMMYFUNCTION("""COMPUTED_VALUE"""),"Yes")</f>
        <v>Yes</v>
      </c>
      <c r="M718" s="5" t="str">
        <f ca="1">IFERROR(__xludf.DUMMYFUNCTION("""COMPUTED_VALUE"""),"Yes")</f>
        <v>Yes</v>
      </c>
      <c r="N718" s="5" t="str">
        <f ca="1">IFERROR(__xludf.DUMMYFUNCTION("""COMPUTED_VALUE"""),"Yes")</f>
        <v>Yes</v>
      </c>
      <c r="O718" s="5" t="str">
        <f ca="1">IFERROR(__xludf.DUMMYFUNCTION("""COMPUTED_VALUE"""),"Yes")</f>
        <v>Yes</v>
      </c>
      <c r="P718" s="5" t="str">
        <f ca="1">IFERROR(__xludf.DUMMYFUNCTION("""COMPUTED_VALUE"""),"Yes")</f>
        <v>Yes</v>
      </c>
      <c r="Q718" s="5" t="str">
        <f ca="1">IFERROR(__xludf.DUMMYFUNCTION("""COMPUTED_VALUE"""),"Yes")</f>
        <v>Yes</v>
      </c>
      <c r="R718" s="5" t="str">
        <f ca="1">IFERROR(__xludf.DUMMYFUNCTION("""COMPUTED_VALUE"""),"Yes")</f>
        <v>Yes</v>
      </c>
      <c r="S718" s="5" t="str">
        <f ca="1">IFERROR(__xludf.DUMMYFUNCTION("""COMPUTED_VALUE"""),"Yes")</f>
        <v>Yes</v>
      </c>
      <c r="T718" s="5" t="str">
        <f ca="1">IFERROR(__xludf.DUMMYFUNCTION("""COMPUTED_VALUE"""),"Yes")</f>
        <v>Yes</v>
      </c>
      <c r="U718" s="5" t="str">
        <f ca="1">IFERROR(__xludf.DUMMYFUNCTION("""COMPUTED_VALUE"""),"Yes")</f>
        <v>Yes</v>
      </c>
      <c r="V718" s="5" t="str">
        <f ca="1">IFERROR(__xludf.DUMMYFUNCTION("""COMPUTED_VALUE"""),"Yes")</f>
        <v>Yes</v>
      </c>
      <c r="W718" s="5" t="str">
        <f ca="1">IFERROR(__xludf.DUMMYFUNCTION("""COMPUTED_VALUE"""),"Yes")</f>
        <v>Yes</v>
      </c>
      <c r="X718" s="5" t="str">
        <f ca="1">IFERROR(__xludf.DUMMYFUNCTION("""COMPUTED_VALUE"""),"Yes")</f>
        <v>Yes</v>
      </c>
      <c r="Y718" s="5" t="str">
        <f ca="1">IFERROR(__xludf.DUMMYFUNCTION("""COMPUTED_VALUE"""),"Yes")</f>
        <v>Yes</v>
      </c>
      <c r="Z718" s="5" t="str">
        <f ca="1">IFERROR(__xludf.DUMMYFUNCTION("""COMPUTED_VALUE"""),"Yes")</f>
        <v>Yes</v>
      </c>
      <c r="AA718" s="5" t="str">
        <f ca="1">IFERROR(__xludf.DUMMYFUNCTION("""COMPUTED_VALUE"""),"Yes")</f>
        <v>Yes</v>
      </c>
      <c r="AB718" s="5" t="str">
        <f ca="1">IFERROR(__xludf.DUMMYFUNCTION("""COMPUTED_VALUE"""),"Yes")</f>
        <v>Yes</v>
      </c>
      <c r="AC718" s="5" t="str">
        <f ca="1">IFERROR(__xludf.DUMMYFUNCTION("""COMPUTED_VALUE"""),"No")</f>
        <v>No</v>
      </c>
    </row>
    <row r="719" spans="1:29" x14ac:dyDescent="0.25">
      <c r="A719" s="5" t="str">
        <f ca="1">IFERROR(__xludf.DUMMYFUNCTION("""COMPUTED_VALUE"""),"VeryHot10ExtremeBooster")</f>
        <v>VeryHot10ExtremeBooster</v>
      </c>
      <c r="B7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9" s="5" t="str">
        <f ca="1">IFERROR(__xludf.DUMMYFUNCTION("""COMPUTED_VALUE"""),"Yes")</f>
        <v>Yes</v>
      </c>
      <c r="D719" s="5" t="str">
        <f ca="1">IFERROR(__xludf.DUMMYFUNCTION("""COMPUTED_VALUE"""),"Yes")</f>
        <v>Yes</v>
      </c>
      <c r="E719" s="5" t="str">
        <f ca="1">IFERROR(__xludf.DUMMYFUNCTION("""COMPUTED_VALUE"""),"Yes")</f>
        <v>Yes</v>
      </c>
      <c r="F719" s="5" t="str">
        <f ca="1">IFERROR(__xludf.DUMMYFUNCTION("""COMPUTED_VALUE"""),"Yes")</f>
        <v>Yes</v>
      </c>
      <c r="G719" s="5" t="str">
        <f ca="1">IFERROR(__xludf.DUMMYFUNCTION("""COMPUTED_VALUE"""),"Yes")</f>
        <v>Yes</v>
      </c>
      <c r="H719" s="5" t="str">
        <f ca="1">IFERROR(__xludf.DUMMYFUNCTION("""COMPUTED_VALUE"""),"Yes")</f>
        <v>Yes</v>
      </c>
      <c r="I719" s="5" t="str">
        <f ca="1">IFERROR(__xludf.DUMMYFUNCTION("""COMPUTED_VALUE"""),"Yes")</f>
        <v>Yes</v>
      </c>
      <c r="J719" s="5" t="str">
        <f ca="1">IFERROR(__xludf.DUMMYFUNCTION("""COMPUTED_VALUE"""),"Yes")</f>
        <v>Yes</v>
      </c>
      <c r="K719" s="5" t="str">
        <f ca="1">IFERROR(__xludf.DUMMYFUNCTION("""COMPUTED_VALUE"""),"Yes")</f>
        <v>Yes</v>
      </c>
      <c r="L719" s="5" t="str">
        <f ca="1">IFERROR(__xludf.DUMMYFUNCTION("""COMPUTED_VALUE"""),"Yes")</f>
        <v>Yes</v>
      </c>
      <c r="M719" s="5" t="str">
        <f ca="1">IFERROR(__xludf.DUMMYFUNCTION("""COMPUTED_VALUE"""),"Yes")</f>
        <v>Yes</v>
      </c>
      <c r="N719" s="5" t="str">
        <f ca="1">IFERROR(__xludf.DUMMYFUNCTION("""COMPUTED_VALUE"""),"Yes")</f>
        <v>Yes</v>
      </c>
      <c r="O719" s="5" t="str">
        <f ca="1">IFERROR(__xludf.DUMMYFUNCTION("""COMPUTED_VALUE"""),"Yes")</f>
        <v>Yes</v>
      </c>
      <c r="P719" s="5" t="str">
        <f ca="1">IFERROR(__xludf.DUMMYFUNCTION("""COMPUTED_VALUE"""),"Yes")</f>
        <v>Yes</v>
      </c>
      <c r="Q719" s="5" t="str">
        <f ca="1">IFERROR(__xludf.DUMMYFUNCTION("""COMPUTED_VALUE"""),"Yes")</f>
        <v>Yes</v>
      </c>
      <c r="R719" s="5" t="str">
        <f ca="1">IFERROR(__xludf.DUMMYFUNCTION("""COMPUTED_VALUE"""),"Yes")</f>
        <v>Yes</v>
      </c>
      <c r="S719" s="5" t="str">
        <f ca="1">IFERROR(__xludf.DUMMYFUNCTION("""COMPUTED_VALUE"""),"Yes")</f>
        <v>Yes</v>
      </c>
      <c r="T719" s="5" t="str">
        <f ca="1">IFERROR(__xludf.DUMMYFUNCTION("""COMPUTED_VALUE"""),"Yes")</f>
        <v>Yes</v>
      </c>
      <c r="U719" s="5" t="str">
        <f ca="1">IFERROR(__xludf.DUMMYFUNCTION("""COMPUTED_VALUE"""),"Yes")</f>
        <v>Yes</v>
      </c>
      <c r="V719" s="5" t="str">
        <f ca="1">IFERROR(__xludf.DUMMYFUNCTION("""COMPUTED_VALUE"""),"Yes")</f>
        <v>Yes</v>
      </c>
      <c r="W719" s="5" t="str">
        <f ca="1">IFERROR(__xludf.DUMMYFUNCTION("""COMPUTED_VALUE"""),"Yes")</f>
        <v>Yes</v>
      </c>
      <c r="X719" s="5" t="str">
        <f ca="1">IFERROR(__xludf.DUMMYFUNCTION("""COMPUTED_VALUE"""),"Yes")</f>
        <v>Yes</v>
      </c>
      <c r="Y719" s="5" t="str">
        <f ca="1">IFERROR(__xludf.DUMMYFUNCTION("""COMPUTED_VALUE"""),"Yes")</f>
        <v>Yes</v>
      </c>
      <c r="Z719" s="5" t="str">
        <f ca="1">IFERROR(__xludf.DUMMYFUNCTION("""COMPUTED_VALUE"""),"Yes")</f>
        <v>Yes</v>
      </c>
      <c r="AA719" s="5" t="str">
        <f ca="1">IFERROR(__xludf.DUMMYFUNCTION("""COMPUTED_VALUE"""),"Yes")</f>
        <v>Yes</v>
      </c>
      <c r="AB719" s="5" t="str">
        <f ca="1">IFERROR(__xludf.DUMMYFUNCTION("""COMPUTED_VALUE"""),"Yes")</f>
        <v>Yes</v>
      </c>
      <c r="AC719" s="5" t="str">
        <f ca="1">IFERROR(__xludf.DUMMYFUNCTION("""COMPUTED_VALUE"""),"No")</f>
        <v>No</v>
      </c>
    </row>
    <row r="720" spans="1:29" x14ac:dyDescent="0.25">
      <c r="A720" s="5" t="str">
        <f ca="1">IFERROR(__xludf.DUMMYFUNCTION("""COMPUTED_VALUE"""),"VeryHot100Extreme")</f>
        <v>VeryHot100Extreme</v>
      </c>
      <c r="B7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0" s="5" t="str">
        <f ca="1">IFERROR(__xludf.DUMMYFUNCTION("""COMPUTED_VALUE"""),"Yes")</f>
        <v>Yes</v>
      </c>
      <c r="D720" s="5" t="str">
        <f ca="1">IFERROR(__xludf.DUMMYFUNCTION("""COMPUTED_VALUE"""),"Yes")</f>
        <v>Yes</v>
      </c>
      <c r="E720" s="5" t="str">
        <f ca="1">IFERROR(__xludf.DUMMYFUNCTION("""COMPUTED_VALUE"""),"Yes")</f>
        <v>Yes</v>
      </c>
      <c r="F720" s="5" t="str">
        <f ca="1">IFERROR(__xludf.DUMMYFUNCTION("""COMPUTED_VALUE"""),"Yes")</f>
        <v>Yes</v>
      </c>
      <c r="G720" s="5" t="str">
        <f ca="1">IFERROR(__xludf.DUMMYFUNCTION("""COMPUTED_VALUE"""),"Yes")</f>
        <v>Yes</v>
      </c>
      <c r="H720" s="5" t="str">
        <f ca="1">IFERROR(__xludf.DUMMYFUNCTION("""COMPUTED_VALUE"""),"Yes")</f>
        <v>Yes</v>
      </c>
      <c r="I720" s="5" t="str">
        <f ca="1">IFERROR(__xludf.DUMMYFUNCTION("""COMPUTED_VALUE"""),"Yes")</f>
        <v>Yes</v>
      </c>
      <c r="J720" s="5" t="str">
        <f ca="1">IFERROR(__xludf.DUMMYFUNCTION("""COMPUTED_VALUE"""),"Yes")</f>
        <v>Yes</v>
      </c>
      <c r="K720" s="5" t="str">
        <f ca="1">IFERROR(__xludf.DUMMYFUNCTION("""COMPUTED_VALUE"""),"Yes")</f>
        <v>Yes</v>
      </c>
      <c r="L720" s="5" t="str">
        <f ca="1">IFERROR(__xludf.DUMMYFUNCTION("""COMPUTED_VALUE"""),"Yes")</f>
        <v>Yes</v>
      </c>
      <c r="M720" s="5" t="str">
        <f ca="1">IFERROR(__xludf.DUMMYFUNCTION("""COMPUTED_VALUE"""),"Yes")</f>
        <v>Yes</v>
      </c>
      <c r="N720" s="5" t="str">
        <f ca="1">IFERROR(__xludf.DUMMYFUNCTION("""COMPUTED_VALUE"""),"Yes")</f>
        <v>Yes</v>
      </c>
      <c r="O720" s="5" t="str">
        <f ca="1">IFERROR(__xludf.DUMMYFUNCTION("""COMPUTED_VALUE"""),"Yes")</f>
        <v>Yes</v>
      </c>
      <c r="P720" s="5" t="str">
        <f ca="1">IFERROR(__xludf.DUMMYFUNCTION("""COMPUTED_VALUE"""),"Yes")</f>
        <v>Yes</v>
      </c>
      <c r="Q720" s="5" t="str">
        <f ca="1">IFERROR(__xludf.DUMMYFUNCTION("""COMPUTED_VALUE"""),"Yes")</f>
        <v>Yes</v>
      </c>
      <c r="R720" s="5" t="str">
        <f ca="1">IFERROR(__xludf.DUMMYFUNCTION("""COMPUTED_VALUE"""),"Yes")</f>
        <v>Yes</v>
      </c>
      <c r="S720" s="5" t="str">
        <f ca="1">IFERROR(__xludf.DUMMYFUNCTION("""COMPUTED_VALUE"""),"Yes")</f>
        <v>Yes</v>
      </c>
      <c r="T720" s="5" t="str">
        <f ca="1">IFERROR(__xludf.DUMMYFUNCTION("""COMPUTED_VALUE"""),"Yes")</f>
        <v>Yes</v>
      </c>
      <c r="U720" s="5" t="str">
        <f ca="1">IFERROR(__xludf.DUMMYFUNCTION("""COMPUTED_VALUE"""),"Yes")</f>
        <v>Yes</v>
      </c>
      <c r="V720" s="5" t="str">
        <f ca="1">IFERROR(__xludf.DUMMYFUNCTION("""COMPUTED_VALUE"""),"Yes")</f>
        <v>Yes</v>
      </c>
      <c r="W720" s="5" t="str">
        <f ca="1">IFERROR(__xludf.DUMMYFUNCTION("""COMPUTED_VALUE"""),"Yes")</f>
        <v>Yes</v>
      </c>
      <c r="X720" s="5" t="str">
        <f ca="1">IFERROR(__xludf.DUMMYFUNCTION("""COMPUTED_VALUE"""),"Yes")</f>
        <v>Yes</v>
      </c>
      <c r="Y720" s="5" t="str">
        <f ca="1">IFERROR(__xludf.DUMMYFUNCTION("""COMPUTED_VALUE"""),"Yes")</f>
        <v>Yes</v>
      </c>
      <c r="Z720" s="5" t="str">
        <f ca="1">IFERROR(__xludf.DUMMYFUNCTION("""COMPUTED_VALUE"""),"Yes")</f>
        <v>Yes</v>
      </c>
      <c r="AA720" s="5" t="str">
        <f ca="1">IFERROR(__xludf.DUMMYFUNCTION("""COMPUTED_VALUE"""),"Yes")</f>
        <v>Yes</v>
      </c>
      <c r="AB720" s="5" t="str">
        <f ca="1">IFERROR(__xludf.DUMMYFUNCTION("""COMPUTED_VALUE"""),"Yes")</f>
        <v>Yes</v>
      </c>
      <c r="AC720" s="5" t="str">
        <f ca="1">IFERROR(__xludf.DUMMYFUNCTION("""COMPUTED_VALUE"""),"No")</f>
        <v>No</v>
      </c>
    </row>
    <row r="721" spans="1:29" x14ac:dyDescent="0.25">
      <c r="A721" s="5" t="str">
        <f ca="1">IFERROR(__xludf.DUMMYFUNCTION("""COMPUTED_VALUE"""),"VeryHot100ExtremeBooster")</f>
        <v>VeryHot100ExtremeBooster</v>
      </c>
      <c r="B7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1" s="5" t="str">
        <f ca="1">IFERROR(__xludf.DUMMYFUNCTION("""COMPUTED_VALUE"""),"Yes")</f>
        <v>Yes</v>
      </c>
      <c r="D721" s="5" t="str">
        <f ca="1">IFERROR(__xludf.DUMMYFUNCTION("""COMPUTED_VALUE"""),"Yes")</f>
        <v>Yes</v>
      </c>
      <c r="E721" s="5" t="str">
        <f ca="1">IFERROR(__xludf.DUMMYFUNCTION("""COMPUTED_VALUE"""),"Yes")</f>
        <v>Yes</v>
      </c>
      <c r="F721" s="5" t="str">
        <f ca="1">IFERROR(__xludf.DUMMYFUNCTION("""COMPUTED_VALUE"""),"Yes")</f>
        <v>Yes</v>
      </c>
      <c r="G721" s="5" t="str">
        <f ca="1">IFERROR(__xludf.DUMMYFUNCTION("""COMPUTED_VALUE"""),"Yes")</f>
        <v>Yes</v>
      </c>
      <c r="H721" s="5" t="str">
        <f ca="1">IFERROR(__xludf.DUMMYFUNCTION("""COMPUTED_VALUE"""),"Yes")</f>
        <v>Yes</v>
      </c>
      <c r="I721" s="5" t="str">
        <f ca="1">IFERROR(__xludf.DUMMYFUNCTION("""COMPUTED_VALUE"""),"Yes")</f>
        <v>Yes</v>
      </c>
      <c r="J721" s="5" t="str">
        <f ca="1">IFERROR(__xludf.DUMMYFUNCTION("""COMPUTED_VALUE"""),"Yes")</f>
        <v>Yes</v>
      </c>
      <c r="K721" s="5" t="str">
        <f ca="1">IFERROR(__xludf.DUMMYFUNCTION("""COMPUTED_VALUE"""),"Yes")</f>
        <v>Yes</v>
      </c>
      <c r="L721" s="5" t="str">
        <f ca="1">IFERROR(__xludf.DUMMYFUNCTION("""COMPUTED_VALUE"""),"Yes")</f>
        <v>Yes</v>
      </c>
      <c r="M721" s="5" t="str">
        <f ca="1">IFERROR(__xludf.DUMMYFUNCTION("""COMPUTED_VALUE"""),"Yes")</f>
        <v>Yes</v>
      </c>
      <c r="N721" s="5" t="str">
        <f ca="1">IFERROR(__xludf.DUMMYFUNCTION("""COMPUTED_VALUE"""),"Yes")</f>
        <v>Yes</v>
      </c>
      <c r="O721" s="5" t="str">
        <f ca="1">IFERROR(__xludf.DUMMYFUNCTION("""COMPUTED_VALUE"""),"Yes")</f>
        <v>Yes</v>
      </c>
      <c r="P721" s="5" t="str">
        <f ca="1">IFERROR(__xludf.DUMMYFUNCTION("""COMPUTED_VALUE"""),"Yes")</f>
        <v>Yes</v>
      </c>
      <c r="Q721" s="5" t="str">
        <f ca="1">IFERROR(__xludf.DUMMYFUNCTION("""COMPUTED_VALUE"""),"Yes")</f>
        <v>Yes</v>
      </c>
      <c r="R721" s="5" t="str">
        <f ca="1">IFERROR(__xludf.DUMMYFUNCTION("""COMPUTED_VALUE"""),"Yes")</f>
        <v>Yes</v>
      </c>
      <c r="S721" s="5" t="str">
        <f ca="1">IFERROR(__xludf.DUMMYFUNCTION("""COMPUTED_VALUE"""),"Yes")</f>
        <v>Yes</v>
      </c>
      <c r="T721" s="5" t="str">
        <f ca="1">IFERROR(__xludf.DUMMYFUNCTION("""COMPUTED_VALUE"""),"Yes")</f>
        <v>Yes</v>
      </c>
      <c r="U721" s="5" t="str">
        <f ca="1">IFERROR(__xludf.DUMMYFUNCTION("""COMPUTED_VALUE"""),"Yes")</f>
        <v>Yes</v>
      </c>
      <c r="V721" s="5" t="str">
        <f ca="1">IFERROR(__xludf.DUMMYFUNCTION("""COMPUTED_VALUE"""),"Yes")</f>
        <v>Yes</v>
      </c>
      <c r="W721" s="5" t="str">
        <f ca="1">IFERROR(__xludf.DUMMYFUNCTION("""COMPUTED_VALUE"""),"Yes")</f>
        <v>Yes</v>
      </c>
      <c r="X721" s="5" t="str">
        <f ca="1">IFERROR(__xludf.DUMMYFUNCTION("""COMPUTED_VALUE"""),"Yes")</f>
        <v>Yes</v>
      </c>
      <c r="Y721" s="5" t="str">
        <f ca="1">IFERROR(__xludf.DUMMYFUNCTION("""COMPUTED_VALUE"""),"Yes")</f>
        <v>Yes</v>
      </c>
      <c r="Z721" s="5" t="str">
        <f ca="1">IFERROR(__xludf.DUMMYFUNCTION("""COMPUTED_VALUE"""),"Yes")</f>
        <v>Yes</v>
      </c>
      <c r="AA721" s="5" t="str">
        <f ca="1">IFERROR(__xludf.DUMMYFUNCTION("""COMPUTED_VALUE"""),"Yes")</f>
        <v>Yes</v>
      </c>
      <c r="AB721" s="5" t="str">
        <f ca="1">IFERROR(__xludf.DUMMYFUNCTION("""COMPUTED_VALUE"""),"Yes")</f>
        <v>Yes</v>
      </c>
      <c r="AC721" s="5" t="str">
        <f ca="1">IFERROR(__xludf.DUMMYFUNCTION("""COMPUTED_VALUE"""),"No")</f>
        <v>No</v>
      </c>
    </row>
    <row r="722" spans="1:29" x14ac:dyDescent="0.25">
      <c r="A722" s="5" t="str">
        <f ca="1">IFERROR(__xludf.DUMMYFUNCTION("""COMPUTED_VALUE"""),"OnDemandRoulette")</f>
        <v>OnDemandRoulette</v>
      </c>
      <c r="B7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2" s="5" t="str">
        <f ca="1">IFERROR(__xludf.DUMMYFUNCTION("""COMPUTED_VALUE"""),"Yes")</f>
        <v>Yes</v>
      </c>
      <c r="D722" s="5" t="str">
        <f ca="1">IFERROR(__xludf.DUMMYFUNCTION("""COMPUTED_VALUE"""),"Yes")</f>
        <v>Yes</v>
      </c>
      <c r="E722" s="5" t="str">
        <f ca="1">IFERROR(__xludf.DUMMYFUNCTION("""COMPUTED_VALUE"""),"Yes")</f>
        <v>Yes</v>
      </c>
      <c r="F722" s="5" t="str">
        <f ca="1">IFERROR(__xludf.DUMMYFUNCTION("""COMPUTED_VALUE"""),"Yes")</f>
        <v>Yes</v>
      </c>
      <c r="G722" s="5" t="str">
        <f ca="1">IFERROR(__xludf.DUMMYFUNCTION("""COMPUTED_VALUE"""),"Yes")</f>
        <v>Yes</v>
      </c>
      <c r="H722" s="5" t="str">
        <f ca="1">IFERROR(__xludf.DUMMYFUNCTION("""COMPUTED_VALUE"""),"Yes")</f>
        <v>Yes</v>
      </c>
      <c r="I722" s="5" t="str">
        <f ca="1">IFERROR(__xludf.DUMMYFUNCTION("""COMPUTED_VALUE"""),"Yes")</f>
        <v>Yes</v>
      </c>
      <c r="J722" s="5" t="str">
        <f ca="1">IFERROR(__xludf.DUMMYFUNCTION("""COMPUTED_VALUE"""),"Yes")</f>
        <v>Yes</v>
      </c>
      <c r="K722" s="5" t="str">
        <f ca="1">IFERROR(__xludf.DUMMYFUNCTION("""COMPUTED_VALUE"""),"Yes")</f>
        <v>Yes</v>
      </c>
      <c r="L722" s="5" t="str">
        <f ca="1">IFERROR(__xludf.DUMMYFUNCTION("""COMPUTED_VALUE"""),"Yes")</f>
        <v>Yes</v>
      </c>
      <c r="M722" s="5" t="str">
        <f ca="1">IFERROR(__xludf.DUMMYFUNCTION("""COMPUTED_VALUE"""),"Yes")</f>
        <v>Yes</v>
      </c>
      <c r="N722" s="5" t="str">
        <f ca="1">IFERROR(__xludf.DUMMYFUNCTION("""COMPUTED_VALUE"""),"Yes")</f>
        <v>Yes</v>
      </c>
      <c r="O722" s="5" t="str">
        <f ca="1">IFERROR(__xludf.DUMMYFUNCTION("""COMPUTED_VALUE"""),"Yes")</f>
        <v>Yes</v>
      </c>
      <c r="P722" s="5" t="str">
        <f ca="1">IFERROR(__xludf.DUMMYFUNCTION("""COMPUTED_VALUE"""),"Yes")</f>
        <v>Yes</v>
      </c>
      <c r="Q722" s="5" t="str">
        <f ca="1">IFERROR(__xludf.DUMMYFUNCTION("""COMPUTED_VALUE"""),"Yes")</f>
        <v>Yes</v>
      </c>
      <c r="R722" s="5" t="str">
        <f ca="1">IFERROR(__xludf.DUMMYFUNCTION("""COMPUTED_VALUE"""),"Yes")</f>
        <v>Yes</v>
      </c>
      <c r="S722" s="5" t="str">
        <f ca="1">IFERROR(__xludf.DUMMYFUNCTION("""COMPUTED_VALUE"""),"Yes")</f>
        <v>Yes</v>
      </c>
      <c r="T722" s="5" t="str">
        <f ca="1">IFERROR(__xludf.DUMMYFUNCTION("""COMPUTED_VALUE"""),"Yes")</f>
        <v>Yes</v>
      </c>
      <c r="U722" s="5" t="str">
        <f ca="1">IFERROR(__xludf.DUMMYFUNCTION("""COMPUTED_VALUE"""),"Yes")</f>
        <v>Yes</v>
      </c>
      <c r="V722" s="5" t="str">
        <f ca="1">IFERROR(__xludf.DUMMYFUNCTION("""COMPUTED_VALUE"""),"Yes")</f>
        <v>Yes</v>
      </c>
      <c r="W722" s="5" t="str">
        <f ca="1">IFERROR(__xludf.DUMMYFUNCTION("""COMPUTED_VALUE"""),"Yes")</f>
        <v>Yes</v>
      </c>
      <c r="X722" s="5" t="str">
        <f ca="1">IFERROR(__xludf.DUMMYFUNCTION("""COMPUTED_VALUE"""),"Yes")</f>
        <v>Yes</v>
      </c>
      <c r="Y722" s="5" t="str">
        <f ca="1">IFERROR(__xludf.DUMMYFUNCTION("""COMPUTED_VALUE"""),"Yes")</f>
        <v>Yes</v>
      </c>
      <c r="Z722" s="5" t="str">
        <f ca="1">IFERROR(__xludf.DUMMYFUNCTION("""COMPUTED_VALUE"""),"Yes")</f>
        <v>Yes</v>
      </c>
      <c r="AA722" s="5" t="str">
        <f ca="1">IFERROR(__xludf.DUMMYFUNCTION("""COMPUTED_VALUE"""),"Yes")</f>
        <v>Yes</v>
      </c>
      <c r="AB722" s="5" t="str">
        <f ca="1">IFERROR(__xludf.DUMMYFUNCTION("""COMPUTED_VALUE"""),"Yes")</f>
        <v>Yes</v>
      </c>
      <c r="AC722" s="5" t="str">
        <f ca="1">IFERROR(__xludf.DUMMYFUNCTION("""COMPUTED_VALUE"""),"No")</f>
        <v>No</v>
      </c>
    </row>
    <row r="723" spans="1:29" x14ac:dyDescent="0.25">
      <c r="A723" s="5" t="str">
        <f ca="1">IFERROR(__xludf.DUMMYFUNCTION("""COMPUTED_VALUE"""),"TBD")</f>
        <v>TBD</v>
      </c>
      <c r="B7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3" s="5" t="str">
        <f ca="1">IFERROR(__xludf.DUMMYFUNCTION("""COMPUTED_VALUE"""),"Yes")</f>
        <v>Yes</v>
      </c>
      <c r="D723" s="5" t="str">
        <f ca="1">IFERROR(__xludf.DUMMYFUNCTION("""COMPUTED_VALUE"""),"Yes")</f>
        <v>Yes</v>
      </c>
      <c r="E723" s="5" t="str">
        <f ca="1">IFERROR(__xludf.DUMMYFUNCTION("""COMPUTED_VALUE"""),"Yes")</f>
        <v>Yes</v>
      </c>
      <c r="F723" s="5" t="str">
        <f ca="1">IFERROR(__xludf.DUMMYFUNCTION("""COMPUTED_VALUE"""),"Yes")</f>
        <v>Yes</v>
      </c>
      <c r="G723" s="5" t="str">
        <f ca="1">IFERROR(__xludf.DUMMYFUNCTION("""COMPUTED_VALUE"""),"Yes")</f>
        <v>Yes</v>
      </c>
      <c r="H723" s="5" t="str">
        <f ca="1">IFERROR(__xludf.DUMMYFUNCTION("""COMPUTED_VALUE"""),"Yes")</f>
        <v>Yes</v>
      </c>
      <c r="I723" s="5" t="str">
        <f ca="1">IFERROR(__xludf.DUMMYFUNCTION("""COMPUTED_VALUE"""),"Yes")</f>
        <v>Yes</v>
      </c>
      <c r="J723" s="5" t="str">
        <f ca="1">IFERROR(__xludf.DUMMYFUNCTION("""COMPUTED_VALUE"""),"Yes")</f>
        <v>Yes</v>
      </c>
      <c r="K723" s="5" t="str">
        <f ca="1">IFERROR(__xludf.DUMMYFUNCTION("""COMPUTED_VALUE"""),"Yes")</f>
        <v>Yes</v>
      </c>
      <c r="L723" s="5" t="str">
        <f ca="1">IFERROR(__xludf.DUMMYFUNCTION("""COMPUTED_VALUE"""),"Yes")</f>
        <v>Yes</v>
      </c>
      <c r="M723" s="5" t="str">
        <f ca="1">IFERROR(__xludf.DUMMYFUNCTION("""COMPUTED_VALUE"""),"Yes")</f>
        <v>Yes</v>
      </c>
      <c r="N723" s="5" t="str">
        <f ca="1">IFERROR(__xludf.DUMMYFUNCTION("""COMPUTED_VALUE"""),"Yes")</f>
        <v>Yes</v>
      </c>
      <c r="O723" s="5" t="str">
        <f ca="1">IFERROR(__xludf.DUMMYFUNCTION("""COMPUTED_VALUE"""),"Yes")</f>
        <v>Yes</v>
      </c>
      <c r="P723" s="5" t="str">
        <f ca="1">IFERROR(__xludf.DUMMYFUNCTION("""COMPUTED_VALUE"""),"Yes")</f>
        <v>Yes</v>
      </c>
      <c r="Q723" s="5" t="str">
        <f ca="1">IFERROR(__xludf.DUMMYFUNCTION("""COMPUTED_VALUE"""),"Yes")</f>
        <v>Yes</v>
      </c>
      <c r="R723" s="5" t="str">
        <f ca="1">IFERROR(__xludf.DUMMYFUNCTION("""COMPUTED_VALUE"""),"Yes")</f>
        <v>Yes</v>
      </c>
      <c r="S723" s="5" t="str">
        <f ca="1">IFERROR(__xludf.DUMMYFUNCTION("""COMPUTED_VALUE"""),"Yes")</f>
        <v>Yes</v>
      </c>
      <c r="T723" s="5" t="str">
        <f ca="1">IFERROR(__xludf.DUMMYFUNCTION("""COMPUTED_VALUE"""),"Yes")</f>
        <v>Yes</v>
      </c>
      <c r="U723" s="5" t="str">
        <f ca="1">IFERROR(__xludf.DUMMYFUNCTION("""COMPUTED_VALUE"""),"Yes")</f>
        <v>Yes</v>
      </c>
      <c r="V723" s="5" t="str">
        <f ca="1">IFERROR(__xludf.DUMMYFUNCTION("""COMPUTED_VALUE"""),"Yes")</f>
        <v>Yes</v>
      </c>
      <c r="W723" s="5" t="str">
        <f ca="1">IFERROR(__xludf.DUMMYFUNCTION("""COMPUTED_VALUE"""),"Yes")</f>
        <v>Yes</v>
      </c>
      <c r="X723" s="5" t="str">
        <f ca="1">IFERROR(__xludf.DUMMYFUNCTION("""COMPUTED_VALUE"""),"Yes")</f>
        <v>Yes</v>
      </c>
      <c r="Y723" s="5" t="str">
        <f ca="1">IFERROR(__xludf.DUMMYFUNCTION("""COMPUTED_VALUE"""),"Yes")</f>
        <v>Yes</v>
      </c>
      <c r="Z723" s="5" t="str">
        <f ca="1">IFERROR(__xludf.DUMMYFUNCTION("""COMPUTED_VALUE"""),"Yes")</f>
        <v>Yes</v>
      </c>
      <c r="AA723" s="5" t="str">
        <f ca="1">IFERROR(__xludf.DUMMYFUNCTION("""COMPUTED_VALUE"""),"Yes")</f>
        <v>Yes</v>
      </c>
      <c r="AB723" s="5" t="str">
        <f ca="1">IFERROR(__xludf.DUMMYFUNCTION("""COMPUTED_VALUE"""),"Yes")</f>
        <v>Yes</v>
      </c>
      <c r="AC723" s="5" t="str">
        <f ca="1">IFERROR(__xludf.DUMMYFUNCTION("""COMPUTED_VALUE"""),"No")</f>
        <v>No</v>
      </c>
    </row>
    <row r="724" spans="1:29" x14ac:dyDescent="0.25">
      <c r="A724" s="5" t="str">
        <f ca="1">IFERROR(__xludf.DUMMYFUNCTION("""COMPUTED_VALUE"""),"Clover27")</f>
        <v>Clover27</v>
      </c>
      <c r="B7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4" s="5" t="str">
        <f ca="1">IFERROR(__xludf.DUMMYFUNCTION("""COMPUTED_VALUE"""),"Yes")</f>
        <v>Yes</v>
      </c>
      <c r="D724" s="5" t="str">
        <f ca="1">IFERROR(__xludf.DUMMYFUNCTION("""COMPUTED_VALUE"""),"Yes")</f>
        <v>Yes</v>
      </c>
      <c r="E724" s="5" t="str">
        <f ca="1">IFERROR(__xludf.DUMMYFUNCTION("""COMPUTED_VALUE"""),"Yes")</f>
        <v>Yes</v>
      </c>
      <c r="F724" s="5" t="str">
        <f ca="1">IFERROR(__xludf.DUMMYFUNCTION("""COMPUTED_VALUE"""),"Yes")</f>
        <v>Yes</v>
      </c>
      <c r="G724" s="5" t="str">
        <f ca="1">IFERROR(__xludf.DUMMYFUNCTION("""COMPUTED_VALUE"""),"Yes")</f>
        <v>Yes</v>
      </c>
      <c r="H724" s="5" t="str">
        <f ca="1">IFERROR(__xludf.DUMMYFUNCTION("""COMPUTED_VALUE"""),"Yes")</f>
        <v>Yes</v>
      </c>
      <c r="I724" s="5" t="str">
        <f ca="1">IFERROR(__xludf.DUMMYFUNCTION("""COMPUTED_VALUE"""),"Yes")</f>
        <v>Yes</v>
      </c>
      <c r="J724" s="5" t="str">
        <f ca="1">IFERROR(__xludf.DUMMYFUNCTION("""COMPUTED_VALUE"""),"Yes")</f>
        <v>Yes</v>
      </c>
      <c r="K724" s="5" t="str">
        <f ca="1">IFERROR(__xludf.DUMMYFUNCTION("""COMPUTED_VALUE"""),"Yes")</f>
        <v>Yes</v>
      </c>
      <c r="L724" s="5" t="str">
        <f ca="1">IFERROR(__xludf.DUMMYFUNCTION("""COMPUTED_VALUE"""),"Yes")</f>
        <v>Yes</v>
      </c>
      <c r="M724" s="5" t="str">
        <f ca="1">IFERROR(__xludf.DUMMYFUNCTION("""COMPUTED_VALUE"""),"Yes")</f>
        <v>Yes</v>
      </c>
      <c r="N724" s="5" t="str">
        <f ca="1">IFERROR(__xludf.DUMMYFUNCTION("""COMPUTED_VALUE"""),"Yes")</f>
        <v>Yes</v>
      </c>
      <c r="O724" s="5" t="str">
        <f ca="1">IFERROR(__xludf.DUMMYFUNCTION("""COMPUTED_VALUE"""),"Yes")</f>
        <v>Yes</v>
      </c>
      <c r="P724" s="5" t="str">
        <f ca="1">IFERROR(__xludf.DUMMYFUNCTION("""COMPUTED_VALUE"""),"Yes")</f>
        <v>Yes</v>
      </c>
      <c r="Q724" s="5" t="str">
        <f ca="1">IFERROR(__xludf.DUMMYFUNCTION("""COMPUTED_VALUE"""),"Yes")</f>
        <v>Yes</v>
      </c>
      <c r="R724" s="5" t="str">
        <f ca="1">IFERROR(__xludf.DUMMYFUNCTION("""COMPUTED_VALUE"""),"Yes")</f>
        <v>Yes</v>
      </c>
      <c r="S724" s="5" t="str">
        <f ca="1">IFERROR(__xludf.DUMMYFUNCTION("""COMPUTED_VALUE"""),"Yes")</f>
        <v>Yes</v>
      </c>
      <c r="T724" s="5" t="str">
        <f ca="1">IFERROR(__xludf.DUMMYFUNCTION("""COMPUTED_VALUE"""),"Yes")</f>
        <v>Yes</v>
      </c>
      <c r="U724" s="5" t="str">
        <f ca="1">IFERROR(__xludf.DUMMYFUNCTION("""COMPUTED_VALUE"""),"Yes")</f>
        <v>Yes</v>
      </c>
      <c r="V724" s="5" t="str">
        <f ca="1">IFERROR(__xludf.DUMMYFUNCTION("""COMPUTED_VALUE"""),"Yes")</f>
        <v>Yes</v>
      </c>
      <c r="W724" s="5" t="str">
        <f ca="1">IFERROR(__xludf.DUMMYFUNCTION("""COMPUTED_VALUE"""),"Yes")</f>
        <v>Yes</v>
      </c>
      <c r="X724" s="5" t="str">
        <f ca="1">IFERROR(__xludf.DUMMYFUNCTION("""COMPUTED_VALUE"""),"Yes")</f>
        <v>Yes</v>
      </c>
      <c r="Y724" s="5" t="str">
        <f ca="1">IFERROR(__xludf.DUMMYFUNCTION("""COMPUTED_VALUE"""),"Yes")</f>
        <v>Yes</v>
      </c>
      <c r="Z724" s="5" t="str">
        <f ca="1">IFERROR(__xludf.DUMMYFUNCTION("""COMPUTED_VALUE"""),"Yes")</f>
        <v>Yes</v>
      </c>
      <c r="AA724" s="5" t="str">
        <f ca="1">IFERROR(__xludf.DUMMYFUNCTION("""COMPUTED_VALUE"""),"Yes")</f>
        <v>Yes</v>
      </c>
      <c r="AB724" s="5" t="str">
        <f ca="1">IFERROR(__xludf.DUMMYFUNCTION("""COMPUTED_VALUE"""),"Yes")</f>
        <v>Yes</v>
      </c>
      <c r="AC724" s="5" t="str">
        <f ca="1">IFERROR(__xludf.DUMMYFUNCTION("""COMPUTED_VALUE"""),"No")</f>
        <v>No</v>
      </c>
    </row>
    <row r="725" spans="1:29" x14ac:dyDescent="0.25">
      <c r="A725" s="5" t="str">
        <f ca="1">IFERROR(__xludf.DUMMYFUNCTION("""COMPUTED_VALUE"""),"TBD")</f>
        <v>TBD</v>
      </c>
      <c r="B725" s="5" t="str">
        <f ca="1">IFERROR(__xludf.DUMMYFUNCTION("""COMPUTED_VALUE"""),"")</f>
        <v/>
      </c>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spans="1:29" x14ac:dyDescent="0.25">
      <c r="A726" s="5" t="str">
        <f ca="1">IFERROR(__xludf.DUMMYFUNCTION("""COMPUTED_VALUE"""),"TBD")</f>
        <v>TBD</v>
      </c>
      <c r="B726" s="5" t="str">
        <f ca="1">IFERROR(__xludf.DUMMYFUNCTION("""COMPUTED_VALUE"""),"")</f>
        <v/>
      </c>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spans="1:29" x14ac:dyDescent="0.25">
      <c r="A727" s="5" t="str">
        <f ca="1">IFERROR(__xludf.DUMMYFUNCTION("""COMPUTED_VALUE"""),"RedstoneXChilliHot")</f>
        <v>RedstoneXChilliHot</v>
      </c>
      <c r="B72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7" s="5" t="str">
        <f ca="1">IFERROR(__xludf.DUMMYFUNCTION("""COMPUTED_VALUE"""),"Yes")</f>
        <v>Yes</v>
      </c>
      <c r="D727" s="5" t="str">
        <f ca="1">IFERROR(__xludf.DUMMYFUNCTION("""COMPUTED_VALUE"""),"Yes")</f>
        <v>Yes</v>
      </c>
      <c r="E727" s="5" t="str">
        <f ca="1">IFERROR(__xludf.DUMMYFUNCTION("""COMPUTED_VALUE"""),"Yes")</f>
        <v>Yes</v>
      </c>
      <c r="F727" s="5" t="str">
        <f ca="1">IFERROR(__xludf.DUMMYFUNCTION("""COMPUTED_VALUE"""),"Yes")</f>
        <v>Yes</v>
      </c>
      <c r="G727" s="5" t="str">
        <f ca="1">IFERROR(__xludf.DUMMYFUNCTION("""COMPUTED_VALUE"""),"Yes")</f>
        <v>Yes</v>
      </c>
      <c r="H727" s="5" t="str">
        <f ca="1">IFERROR(__xludf.DUMMYFUNCTION("""COMPUTED_VALUE"""),"Yes")</f>
        <v>Yes</v>
      </c>
      <c r="I727" s="5" t="str">
        <f ca="1">IFERROR(__xludf.DUMMYFUNCTION("""COMPUTED_VALUE"""),"Yes")</f>
        <v>Yes</v>
      </c>
      <c r="J727" s="5" t="str">
        <f ca="1">IFERROR(__xludf.DUMMYFUNCTION("""COMPUTED_VALUE"""),"Yes")</f>
        <v>Yes</v>
      </c>
      <c r="K727" s="5" t="str">
        <f ca="1">IFERROR(__xludf.DUMMYFUNCTION("""COMPUTED_VALUE"""),"Yes")</f>
        <v>Yes</v>
      </c>
      <c r="L727" s="5" t="str">
        <f ca="1">IFERROR(__xludf.DUMMYFUNCTION("""COMPUTED_VALUE"""),"Yes")</f>
        <v>Yes</v>
      </c>
      <c r="M727" s="5" t="str">
        <f ca="1">IFERROR(__xludf.DUMMYFUNCTION("""COMPUTED_VALUE"""),"Yes")</f>
        <v>Yes</v>
      </c>
      <c r="N727" s="5" t="str">
        <f ca="1">IFERROR(__xludf.DUMMYFUNCTION("""COMPUTED_VALUE"""),"Yes")</f>
        <v>Yes</v>
      </c>
      <c r="O727" s="5" t="str">
        <f ca="1">IFERROR(__xludf.DUMMYFUNCTION("""COMPUTED_VALUE"""),"Yes")</f>
        <v>Yes</v>
      </c>
      <c r="P727" s="5" t="str">
        <f ca="1">IFERROR(__xludf.DUMMYFUNCTION("""COMPUTED_VALUE"""),"Yes")</f>
        <v>Yes</v>
      </c>
      <c r="Q727" s="5" t="str">
        <f ca="1">IFERROR(__xludf.DUMMYFUNCTION("""COMPUTED_VALUE"""),"Yes")</f>
        <v>Yes</v>
      </c>
      <c r="R727" s="5" t="str">
        <f ca="1">IFERROR(__xludf.DUMMYFUNCTION("""COMPUTED_VALUE"""),"No")</f>
        <v>No</v>
      </c>
      <c r="S727" s="5" t="str">
        <f ca="1">IFERROR(__xludf.DUMMYFUNCTION("""COMPUTED_VALUE"""),"No")</f>
        <v>No</v>
      </c>
      <c r="T727" s="5" t="str">
        <f ca="1">IFERROR(__xludf.DUMMYFUNCTION("""COMPUTED_VALUE"""),"No")</f>
        <v>No</v>
      </c>
      <c r="U727" s="5" t="str">
        <f ca="1">IFERROR(__xludf.DUMMYFUNCTION("""COMPUTED_VALUE"""),"No")</f>
        <v>No</v>
      </c>
      <c r="V727" s="5" t="str">
        <f ca="1">IFERROR(__xludf.DUMMYFUNCTION("""COMPUTED_VALUE"""),"No")</f>
        <v>No</v>
      </c>
      <c r="W727" s="5" t="str">
        <f ca="1">IFERROR(__xludf.DUMMYFUNCTION("""COMPUTED_VALUE"""),"No")</f>
        <v>No</v>
      </c>
      <c r="X727" s="5" t="str">
        <f ca="1">IFERROR(__xludf.DUMMYFUNCTION("""COMPUTED_VALUE"""),"Yes")</f>
        <v>Yes</v>
      </c>
      <c r="Y727" s="5" t="str">
        <f ca="1">IFERROR(__xludf.DUMMYFUNCTION("""COMPUTED_VALUE"""),"No")</f>
        <v>No</v>
      </c>
      <c r="Z727" s="5" t="str">
        <f ca="1">IFERROR(__xludf.DUMMYFUNCTION("""COMPUTED_VALUE"""),"No")</f>
        <v>No</v>
      </c>
      <c r="AA727" s="5" t="str">
        <f ca="1">IFERROR(__xludf.DUMMYFUNCTION("""COMPUTED_VALUE"""),"No")</f>
        <v>No</v>
      </c>
      <c r="AB727" s="5" t="str">
        <f ca="1">IFERROR(__xludf.DUMMYFUNCTION("""COMPUTED_VALUE"""),"Yes")</f>
        <v>Yes</v>
      </c>
      <c r="AC727" s="5" t="str">
        <f ca="1">IFERROR(__xludf.DUMMYFUNCTION("""COMPUTED_VALUE"""),"No")</f>
        <v>No</v>
      </c>
    </row>
    <row r="728" spans="1:29" x14ac:dyDescent="0.25">
      <c r="A728" s="5" t="str">
        <f ca="1">IFERROR(__xludf.DUMMYFUNCTION("""COMPUTED_VALUE"""),"RedstoneXCrownFire")</f>
        <v>RedstoneXCrownFire</v>
      </c>
      <c r="B728"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8" s="5" t="str">
        <f ca="1">IFERROR(__xludf.DUMMYFUNCTION("""COMPUTED_VALUE"""),"Yes")</f>
        <v>Yes</v>
      </c>
      <c r="D728" s="5" t="str">
        <f ca="1">IFERROR(__xludf.DUMMYFUNCTION("""COMPUTED_VALUE"""),"Yes")</f>
        <v>Yes</v>
      </c>
      <c r="E728" s="5" t="str">
        <f ca="1">IFERROR(__xludf.DUMMYFUNCTION("""COMPUTED_VALUE"""),"Yes")</f>
        <v>Yes</v>
      </c>
      <c r="F728" s="5" t="str">
        <f ca="1">IFERROR(__xludf.DUMMYFUNCTION("""COMPUTED_VALUE"""),"Yes")</f>
        <v>Yes</v>
      </c>
      <c r="G728" s="5" t="str">
        <f ca="1">IFERROR(__xludf.DUMMYFUNCTION("""COMPUTED_VALUE"""),"Yes")</f>
        <v>Yes</v>
      </c>
      <c r="H728" s="5" t="str">
        <f ca="1">IFERROR(__xludf.DUMMYFUNCTION("""COMPUTED_VALUE"""),"Yes")</f>
        <v>Yes</v>
      </c>
      <c r="I728" s="5" t="str">
        <f ca="1">IFERROR(__xludf.DUMMYFUNCTION("""COMPUTED_VALUE"""),"Yes")</f>
        <v>Yes</v>
      </c>
      <c r="J728" s="5" t="str">
        <f ca="1">IFERROR(__xludf.DUMMYFUNCTION("""COMPUTED_VALUE"""),"Yes")</f>
        <v>Yes</v>
      </c>
      <c r="K728" s="5" t="str">
        <f ca="1">IFERROR(__xludf.DUMMYFUNCTION("""COMPUTED_VALUE"""),"Yes")</f>
        <v>Yes</v>
      </c>
      <c r="L728" s="5" t="str">
        <f ca="1">IFERROR(__xludf.DUMMYFUNCTION("""COMPUTED_VALUE"""),"Yes")</f>
        <v>Yes</v>
      </c>
      <c r="M728" s="5" t="str">
        <f ca="1">IFERROR(__xludf.DUMMYFUNCTION("""COMPUTED_VALUE"""),"Yes")</f>
        <v>Yes</v>
      </c>
      <c r="N728" s="5" t="str">
        <f ca="1">IFERROR(__xludf.DUMMYFUNCTION("""COMPUTED_VALUE"""),"Yes")</f>
        <v>Yes</v>
      </c>
      <c r="O728" s="5" t="str">
        <f ca="1">IFERROR(__xludf.DUMMYFUNCTION("""COMPUTED_VALUE"""),"Yes")</f>
        <v>Yes</v>
      </c>
      <c r="P728" s="5" t="str">
        <f ca="1">IFERROR(__xludf.DUMMYFUNCTION("""COMPUTED_VALUE"""),"Yes")</f>
        <v>Yes</v>
      </c>
      <c r="Q728" s="5" t="str">
        <f ca="1">IFERROR(__xludf.DUMMYFUNCTION("""COMPUTED_VALUE"""),"Yes")</f>
        <v>Yes</v>
      </c>
      <c r="R728" s="5" t="str">
        <f ca="1">IFERROR(__xludf.DUMMYFUNCTION("""COMPUTED_VALUE"""),"No")</f>
        <v>No</v>
      </c>
      <c r="S728" s="5" t="str">
        <f ca="1">IFERROR(__xludf.DUMMYFUNCTION("""COMPUTED_VALUE"""),"No")</f>
        <v>No</v>
      </c>
      <c r="T728" s="5" t="str">
        <f ca="1">IFERROR(__xludf.DUMMYFUNCTION("""COMPUTED_VALUE"""),"No")</f>
        <v>No</v>
      </c>
      <c r="U728" s="5" t="str">
        <f ca="1">IFERROR(__xludf.DUMMYFUNCTION("""COMPUTED_VALUE"""),"No")</f>
        <v>No</v>
      </c>
      <c r="V728" s="5" t="str">
        <f ca="1">IFERROR(__xludf.DUMMYFUNCTION("""COMPUTED_VALUE"""),"No")</f>
        <v>No</v>
      </c>
      <c r="W728" s="5" t="str">
        <f ca="1">IFERROR(__xludf.DUMMYFUNCTION("""COMPUTED_VALUE"""),"No")</f>
        <v>No</v>
      </c>
      <c r="X728" s="5" t="str">
        <f ca="1">IFERROR(__xludf.DUMMYFUNCTION("""COMPUTED_VALUE"""),"Yes")</f>
        <v>Yes</v>
      </c>
      <c r="Y728" s="5" t="str">
        <f ca="1">IFERROR(__xludf.DUMMYFUNCTION("""COMPUTED_VALUE"""),"No")</f>
        <v>No</v>
      </c>
      <c r="Z728" s="5" t="str">
        <f ca="1">IFERROR(__xludf.DUMMYFUNCTION("""COMPUTED_VALUE"""),"No")</f>
        <v>No</v>
      </c>
      <c r="AA728" s="5" t="str">
        <f ca="1">IFERROR(__xludf.DUMMYFUNCTION("""COMPUTED_VALUE"""),"No")</f>
        <v>No</v>
      </c>
      <c r="AB728" s="5" t="str">
        <f ca="1">IFERROR(__xludf.DUMMYFUNCTION("""COMPUTED_VALUE"""),"Yes")</f>
        <v>Yes</v>
      </c>
      <c r="AC728" s="5" t="str">
        <f ca="1">IFERROR(__xludf.DUMMYFUNCTION("""COMPUTED_VALUE"""),"No")</f>
        <v>No</v>
      </c>
    </row>
    <row r="729" spans="1:29" x14ac:dyDescent="0.25">
      <c r="A729" s="5" t="str">
        <f ca="1">IFERROR(__xludf.DUMMYFUNCTION("""COMPUTED_VALUE"""),"Redstone10CloverDeluxe")</f>
        <v>Redstone10CloverDeluxe</v>
      </c>
      <c r="B72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9" s="5" t="str">
        <f ca="1">IFERROR(__xludf.DUMMYFUNCTION("""COMPUTED_VALUE"""),"Yes")</f>
        <v>Yes</v>
      </c>
      <c r="D729" s="5" t="str">
        <f ca="1">IFERROR(__xludf.DUMMYFUNCTION("""COMPUTED_VALUE"""),"Yes")</f>
        <v>Yes</v>
      </c>
      <c r="E729" s="5" t="str">
        <f ca="1">IFERROR(__xludf.DUMMYFUNCTION("""COMPUTED_VALUE"""),"Yes")</f>
        <v>Yes</v>
      </c>
      <c r="F729" s="5" t="str">
        <f ca="1">IFERROR(__xludf.DUMMYFUNCTION("""COMPUTED_VALUE"""),"Yes")</f>
        <v>Yes</v>
      </c>
      <c r="G729" s="5" t="str">
        <f ca="1">IFERROR(__xludf.DUMMYFUNCTION("""COMPUTED_VALUE"""),"Yes")</f>
        <v>Yes</v>
      </c>
      <c r="H729" s="5" t="str">
        <f ca="1">IFERROR(__xludf.DUMMYFUNCTION("""COMPUTED_VALUE"""),"Yes")</f>
        <v>Yes</v>
      </c>
      <c r="I729" s="5" t="str">
        <f ca="1">IFERROR(__xludf.DUMMYFUNCTION("""COMPUTED_VALUE"""),"Yes")</f>
        <v>Yes</v>
      </c>
      <c r="J729" s="5" t="str">
        <f ca="1">IFERROR(__xludf.DUMMYFUNCTION("""COMPUTED_VALUE"""),"Yes")</f>
        <v>Yes</v>
      </c>
      <c r="K729" s="5" t="str">
        <f ca="1">IFERROR(__xludf.DUMMYFUNCTION("""COMPUTED_VALUE"""),"Yes")</f>
        <v>Yes</v>
      </c>
      <c r="L729" s="5" t="str">
        <f ca="1">IFERROR(__xludf.DUMMYFUNCTION("""COMPUTED_VALUE"""),"Yes")</f>
        <v>Yes</v>
      </c>
      <c r="M729" s="5" t="str">
        <f ca="1">IFERROR(__xludf.DUMMYFUNCTION("""COMPUTED_VALUE"""),"Yes")</f>
        <v>Yes</v>
      </c>
      <c r="N729" s="5" t="str">
        <f ca="1">IFERROR(__xludf.DUMMYFUNCTION("""COMPUTED_VALUE"""),"Yes")</f>
        <v>Yes</v>
      </c>
      <c r="O729" s="5" t="str">
        <f ca="1">IFERROR(__xludf.DUMMYFUNCTION("""COMPUTED_VALUE"""),"Yes")</f>
        <v>Yes</v>
      </c>
      <c r="P729" s="5" t="str">
        <f ca="1">IFERROR(__xludf.DUMMYFUNCTION("""COMPUTED_VALUE"""),"Yes")</f>
        <v>Yes</v>
      </c>
      <c r="Q729" s="5" t="str">
        <f ca="1">IFERROR(__xludf.DUMMYFUNCTION("""COMPUTED_VALUE"""),"Yes")</f>
        <v>Yes</v>
      </c>
      <c r="R729" s="5" t="str">
        <f ca="1">IFERROR(__xludf.DUMMYFUNCTION("""COMPUTED_VALUE"""),"No")</f>
        <v>No</v>
      </c>
      <c r="S729" s="5" t="str">
        <f ca="1">IFERROR(__xludf.DUMMYFUNCTION("""COMPUTED_VALUE"""),"No")</f>
        <v>No</v>
      </c>
      <c r="T729" s="5" t="str">
        <f ca="1">IFERROR(__xludf.DUMMYFUNCTION("""COMPUTED_VALUE"""),"No")</f>
        <v>No</v>
      </c>
      <c r="U729" s="5" t="str">
        <f ca="1">IFERROR(__xludf.DUMMYFUNCTION("""COMPUTED_VALUE"""),"No")</f>
        <v>No</v>
      </c>
      <c r="V729" s="5" t="str">
        <f ca="1">IFERROR(__xludf.DUMMYFUNCTION("""COMPUTED_VALUE"""),"No")</f>
        <v>No</v>
      </c>
      <c r="W729" s="5" t="str">
        <f ca="1">IFERROR(__xludf.DUMMYFUNCTION("""COMPUTED_VALUE"""),"No")</f>
        <v>No</v>
      </c>
      <c r="X729" s="5" t="str">
        <f ca="1">IFERROR(__xludf.DUMMYFUNCTION("""COMPUTED_VALUE"""),"Yes")</f>
        <v>Yes</v>
      </c>
      <c r="Y729" s="5" t="str">
        <f ca="1">IFERROR(__xludf.DUMMYFUNCTION("""COMPUTED_VALUE"""),"No")</f>
        <v>No</v>
      </c>
      <c r="Z729" s="5" t="str">
        <f ca="1">IFERROR(__xludf.DUMMYFUNCTION("""COMPUTED_VALUE"""),"No")</f>
        <v>No</v>
      </c>
      <c r="AA729" s="5" t="str">
        <f ca="1">IFERROR(__xludf.DUMMYFUNCTION("""COMPUTED_VALUE"""),"No")</f>
        <v>No</v>
      </c>
      <c r="AB729" s="5" t="str">
        <f ca="1">IFERROR(__xludf.DUMMYFUNCTION("""COMPUTED_VALUE"""),"Yes")</f>
        <v>Yes</v>
      </c>
      <c r="AC729" s="5" t="str">
        <f ca="1">IFERROR(__xludf.DUMMYFUNCTION("""COMPUTED_VALUE"""),"No")</f>
        <v>No</v>
      </c>
    </row>
    <row r="730" spans="1:29" x14ac:dyDescent="0.25">
      <c r="A730" s="5" t="str">
        <f ca="1">IFERROR(__xludf.DUMMYFUNCTION("""COMPUTED_VALUE"""),"Redstone10CrownDeluxe")</f>
        <v>Redstone10CrownDeluxe</v>
      </c>
      <c r="B730"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0" s="5" t="str">
        <f ca="1">IFERROR(__xludf.DUMMYFUNCTION("""COMPUTED_VALUE"""),"Yes")</f>
        <v>Yes</v>
      </c>
      <c r="D730" s="5" t="str">
        <f ca="1">IFERROR(__xludf.DUMMYFUNCTION("""COMPUTED_VALUE"""),"Yes")</f>
        <v>Yes</v>
      </c>
      <c r="E730" s="5" t="str">
        <f ca="1">IFERROR(__xludf.DUMMYFUNCTION("""COMPUTED_VALUE"""),"Yes")</f>
        <v>Yes</v>
      </c>
      <c r="F730" s="5" t="str">
        <f ca="1">IFERROR(__xludf.DUMMYFUNCTION("""COMPUTED_VALUE"""),"Yes")</f>
        <v>Yes</v>
      </c>
      <c r="G730" s="5" t="str">
        <f ca="1">IFERROR(__xludf.DUMMYFUNCTION("""COMPUTED_VALUE"""),"Yes")</f>
        <v>Yes</v>
      </c>
      <c r="H730" s="5" t="str">
        <f ca="1">IFERROR(__xludf.DUMMYFUNCTION("""COMPUTED_VALUE"""),"Yes")</f>
        <v>Yes</v>
      </c>
      <c r="I730" s="5" t="str">
        <f ca="1">IFERROR(__xludf.DUMMYFUNCTION("""COMPUTED_VALUE"""),"Yes")</f>
        <v>Yes</v>
      </c>
      <c r="J730" s="5" t="str">
        <f ca="1">IFERROR(__xludf.DUMMYFUNCTION("""COMPUTED_VALUE"""),"Yes")</f>
        <v>Yes</v>
      </c>
      <c r="K730" s="5" t="str">
        <f ca="1">IFERROR(__xludf.DUMMYFUNCTION("""COMPUTED_VALUE"""),"Yes")</f>
        <v>Yes</v>
      </c>
      <c r="L730" s="5" t="str">
        <f ca="1">IFERROR(__xludf.DUMMYFUNCTION("""COMPUTED_VALUE"""),"Yes")</f>
        <v>Yes</v>
      </c>
      <c r="M730" s="5" t="str">
        <f ca="1">IFERROR(__xludf.DUMMYFUNCTION("""COMPUTED_VALUE"""),"Yes")</f>
        <v>Yes</v>
      </c>
      <c r="N730" s="5" t="str">
        <f ca="1">IFERROR(__xludf.DUMMYFUNCTION("""COMPUTED_VALUE"""),"Yes")</f>
        <v>Yes</v>
      </c>
      <c r="O730" s="5" t="str">
        <f ca="1">IFERROR(__xludf.DUMMYFUNCTION("""COMPUTED_VALUE"""),"Yes")</f>
        <v>Yes</v>
      </c>
      <c r="P730" s="5" t="str">
        <f ca="1">IFERROR(__xludf.DUMMYFUNCTION("""COMPUTED_VALUE"""),"Yes")</f>
        <v>Yes</v>
      </c>
      <c r="Q730" s="5" t="str">
        <f ca="1">IFERROR(__xludf.DUMMYFUNCTION("""COMPUTED_VALUE"""),"Yes")</f>
        <v>Yes</v>
      </c>
      <c r="R730" s="5" t="str">
        <f ca="1">IFERROR(__xludf.DUMMYFUNCTION("""COMPUTED_VALUE"""),"No")</f>
        <v>No</v>
      </c>
      <c r="S730" s="5" t="str">
        <f ca="1">IFERROR(__xludf.DUMMYFUNCTION("""COMPUTED_VALUE"""),"No")</f>
        <v>No</v>
      </c>
      <c r="T730" s="5" t="str">
        <f ca="1">IFERROR(__xludf.DUMMYFUNCTION("""COMPUTED_VALUE"""),"No")</f>
        <v>No</v>
      </c>
      <c r="U730" s="5" t="str">
        <f ca="1">IFERROR(__xludf.DUMMYFUNCTION("""COMPUTED_VALUE"""),"No")</f>
        <v>No</v>
      </c>
      <c r="V730" s="5" t="str">
        <f ca="1">IFERROR(__xludf.DUMMYFUNCTION("""COMPUTED_VALUE"""),"No")</f>
        <v>No</v>
      </c>
      <c r="W730" s="5" t="str">
        <f ca="1">IFERROR(__xludf.DUMMYFUNCTION("""COMPUTED_VALUE"""),"No")</f>
        <v>No</v>
      </c>
      <c r="X730" s="5" t="str">
        <f ca="1">IFERROR(__xludf.DUMMYFUNCTION("""COMPUTED_VALUE"""),"Yes")</f>
        <v>Yes</v>
      </c>
      <c r="Y730" s="5" t="str">
        <f ca="1">IFERROR(__xludf.DUMMYFUNCTION("""COMPUTED_VALUE"""),"No")</f>
        <v>No</v>
      </c>
      <c r="Z730" s="5" t="str">
        <f ca="1">IFERROR(__xludf.DUMMYFUNCTION("""COMPUTED_VALUE"""),"No")</f>
        <v>No</v>
      </c>
      <c r="AA730" s="5" t="str">
        <f ca="1">IFERROR(__xludf.DUMMYFUNCTION("""COMPUTED_VALUE"""),"No")</f>
        <v>No</v>
      </c>
      <c r="AB730" s="5" t="str">
        <f ca="1">IFERROR(__xludf.DUMMYFUNCTION("""COMPUTED_VALUE"""),"Yes")</f>
        <v>Yes</v>
      </c>
      <c r="AC730" s="5" t="str">
        <f ca="1">IFERROR(__xludf.DUMMYFUNCTION("""COMPUTED_VALUE"""),"No")</f>
        <v>No</v>
      </c>
    </row>
    <row r="731" spans="1:29" x14ac:dyDescent="0.25">
      <c r="A731" s="5" t="str">
        <f ca="1">IFERROR(__xludf.DUMMYFUNCTION("""COMPUTED_VALUE"""),"Redstone10HeartDeluxe")</f>
        <v>Redstone10HeartDeluxe</v>
      </c>
      <c r="B73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1" s="5" t="str">
        <f ca="1">IFERROR(__xludf.DUMMYFUNCTION("""COMPUTED_VALUE"""),"Yes")</f>
        <v>Yes</v>
      </c>
      <c r="D731" s="5" t="str">
        <f ca="1">IFERROR(__xludf.DUMMYFUNCTION("""COMPUTED_VALUE"""),"Yes")</f>
        <v>Yes</v>
      </c>
      <c r="E731" s="5" t="str">
        <f ca="1">IFERROR(__xludf.DUMMYFUNCTION("""COMPUTED_VALUE"""),"Yes")</f>
        <v>Yes</v>
      </c>
      <c r="F731" s="5" t="str">
        <f ca="1">IFERROR(__xludf.DUMMYFUNCTION("""COMPUTED_VALUE"""),"Yes")</f>
        <v>Yes</v>
      </c>
      <c r="G731" s="5" t="str">
        <f ca="1">IFERROR(__xludf.DUMMYFUNCTION("""COMPUTED_VALUE"""),"Yes")</f>
        <v>Yes</v>
      </c>
      <c r="H731" s="5" t="str">
        <f ca="1">IFERROR(__xludf.DUMMYFUNCTION("""COMPUTED_VALUE"""),"Yes")</f>
        <v>Yes</v>
      </c>
      <c r="I731" s="5" t="str">
        <f ca="1">IFERROR(__xludf.DUMMYFUNCTION("""COMPUTED_VALUE"""),"Yes")</f>
        <v>Yes</v>
      </c>
      <c r="J731" s="5" t="str">
        <f ca="1">IFERROR(__xludf.DUMMYFUNCTION("""COMPUTED_VALUE"""),"Yes")</f>
        <v>Yes</v>
      </c>
      <c r="K731" s="5" t="str">
        <f ca="1">IFERROR(__xludf.DUMMYFUNCTION("""COMPUTED_VALUE"""),"Yes")</f>
        <v>Yes</v>
      </c>
      <c r="L731" s="5" t="str">
        <f ca="1">IFERROR(__xludf.DUMMYFUNCTION("""COMPUTED_VALUE"""),"Yes")</f>
        <v>Yes</v>
      </c>
      <c r="M731" s="5" t="str">
        <f ca="1">IFERROR(__xludf.DUMMYFUNCTION("""COMPUTED_VALUE"""),"Yes")</f>
        <v>Yes</v>
      </c>
      <c r="N731" s="5" t="str">
        <f ca="1">IFERROR(__xludf.DUMMYFUNCTION("""COMPUTED_VALUE"""),"Yes")</f>
        <v>Yes</v>
      </c>
      <c r="O731" s="5" t="str">
        <f ca="1">IFERROR(__xludf.DUMMYFUNCTION("""COMPUTED_VALUE"""),"Yes")</f>
        <v>Yes</v>
      </c>
      <c r="P731" s="5" t="str">
        <f ca="1">IFERROR(__xludf.DUMMYFUNCTION("""COMPUTED_VALUE"""),"Yes")</f>
        <v>Yes</v>
      </c>
      <c r="Q731" s="5" t="str">
        <f ca="1">IFERROR(__xludf.DUMMYFUNCTION("""COMPUTED_VALUE"""),"Yes")</f>
        <v>Yes</v>
      </c>
      <c r="R731" s="5" t="str">
        <f ca="1">IFERROR(__xludf.DUMMYFUNCTION("""COMPUTED_VALUE"""),"No")</f>
        <v>No</v>
      </c>
      <c r="S731" s="5" t="str">
        <f ca="1">IFERROR(__xludf.DUMMYFUNCTION("""COMPUTED_VALUE"""),"No")</f>
        <v>No</v>
      </c>
      <c r="T731" s="5" t="str">
        <f ca="1">IFERROR(__xludf.DUMMYFUNCTION("""COMPUTED_VALUE"""),"No")</f>
        <v>No</v>
      </c>
      <c r="U731" s="5" t="str">
        <f ca="1">IFERROR(__xludf.DUMMYFUNCTION("""COMPUTED_VALUE"""),"No")</f>
        <v>No</v>
      </c>
      <c r="V731" s="5" t="str">
        <f ca="1">IFERROR(__xludf.DUMMYFUNCTION("""COMPUTED_VALUE"""),"No")</f>
        <v>No</v>
      </c>
      <c r="W731" s="5" t="str">
        <f ca="1">IFERROR(__xludf.DUMMYFUNCTION("""COMPUTED_VALUE"""),"No")</f>
        <v>No</v>
      </c>
      <c r="X731" s="5" t="str">
        <f ca="1">IFERROR(__xludf.DUMMYFUNCTION("""COMPUTED_VALUE"""),"Yes")</f>
        <v>Yes</v>
      </c>
      <c r="Y731" s="5" t="str">
        <f ca="1">IFERROR(__xludf.DUMMYFUNCTION("""COMPUTED_VALUE"""),"No")</f>
        <v>No</v>
      </c>
      <c r="Z731" s="5" t="str">
        <f ca="1">IFERROR(__xludf.DUMMYFUNCTION("""COMPUTED_VALUE"""),"No")</f>
        <v>No</v>
      </c>
      <c r="AA731" s="5" t="str">
        <f ca="1">IFERROR(__xludf.DUMMYFUNCTION("""COMPUTED_VALUE"""),"No")</f>
        <v>No</v>
      </c>
      <c r="AB731" s="5" t="str">
        <f ca="1">IFERROR(__xludf.DUMMYFUNCTION("""COMPUTED_VALUE"""),"Yes")</f>
        <v>Yes</v>
      </c>
      <c r="AC731" s="5" t="str">
        <f ca="1">IFERROR(__xludf.DUMMYFUNCTION("""COMPUTED_VALUE"""),"No")</f>
        <v>No</v>
      </c>
    </row>
    <row r="732" spans="1:29" x14ac:dyDescent="0.25">
      <c r="A732" s="5" t="str">
        <f ca="1">IFERROR(__xludf.DUMMYFUNCTION("""COMPUTED_VALUE"""),"RedstoneMultiCrown5")</f>
        <v>RedstoneMultiCrown5</v>
      </c>
      <c r="B732" s="5" t="str">
        <f ca="1">IFERROR(__xludf.DUMMYFUNCTION("""COMPUTED_VALUE"""),"")</f>
        <v/>
      </c>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spans="1:29" x14ac:dyDescent="0.25">
      <c r="A733" s="5" t="str">
        <f ca="1">IFERROR(__xludf.DUMMYFUNCTION("""COMPUTED_VALUE"""),"RedstoneMultiHeart10")</f>
        <v>RedstoneMultiHeart10</v>
      </c>
      <c r="B73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3" s="5" t="str">
        <f ca="1">IFERROR(__xludf.DUMMYFUNCTION("""COMPUTED_VALUE"""),"Yes")</f>
        <v>Yes</v>
      </c>
      <c r="D733" s="5" t="str">
        <f ca="1">IFERROR(__xludf.DUMMYFUNCTION("""COMPUTED_VALUE"""),"Yes")</f>
        <v>Yes</v>
      </c>
      <c r="E733" s="5" t="str">
        <f ca="1">IFERROR(__xludf.DUMMYFUNCTION("""COMPUTED_VALUE"""),"Yes")</f>
        <v>Yes</v>
      </c>
      <c r="F733" s="5" t="str">
        <f ca="1">IFERROR(__xludf.DUMMYFUNCTION("""COMPUTED_VALUE"""),"Yes")</f>
        <v>Yes</v>
      </c>
      <c r="G733" s="5" t="str">
        <f ca="1">IFERROR(__xludf.DUMMYFUNCTION("""COMPUTED_VALUE"""),"Yes")</f>
        <v>Yes</v>
      </c>
      <c r="H733" s="5" t="str">
        <f ca="1">IFERROR(__xludf.DUMMYFUNCTION("""COMPUTED_VALUE"""),"Yes")</f>
        <v>Yes</v>
      </c>
      <c r="I733" s="5" t="str">
        <f ca="1">IFERROR(__xludf.DUMMYFUNCTION("""COMPUTED_VALUE"""),"Yes")</f>
        <v>Yes</v>
      </c>
      <c r="J733" s="5" t="str">
        <f ca="1">IFERROR(__xludf.DUMMYFUNCTION("""COMPUTED_VALUE"""),"Yes")</f>
        <v>Yes</v>
      </c>
      <c r="K733" s="5" t="str">
        <f ca="1">IFERROR(__xludf.DUMMYFUNCTION("""COMPUTED_VALUE"""),"Yes")</f>
        <v>Yes</v>
      </c>
      <c r="L733" s="5" t="str">
        <f ca="1">IFERROR(__xludf.DUMMYFUNCTION("""COMPUTED_VALUE"""),"Yes")</f>
        <v>Yes</v>
      </c>
      <c r="M733" s="5" t="str">
        <f ca="1">IFERROR(__xludf.DUMMYFUNCTION("""COMPUTED_VALUE"""),"Yes")</f>
        <v>Yes</v>
      </c>
      <c r="N733" s="5" t="str">
        <f ca="1">IFERROR(__xludf.DUMMYFUNCTION("""COMPUTED_VALUE"""),"Yes")</f>
        <v>Yes</v>
      </c>
      <c r="O733" s="5" t="str">
        <f ca="1">IFERROR(__xludf.DUMMYFUNCTION("""COMPUTED_VALUE"""),"Yes")</f>
        <v>Yes</v>
      </c>
      <c r="P733" s="5" t="str">
        <f ca="1">IFERROR(__xludf.DUMMYFUNCTION("""COMPUTED_VALUE"""),"Yes")</f>
        <v>Yes</v>
      </c>
      <c r="Q733" s="5" t="str">
        <f ca="1">IFERROR(__xludf.DUMMYFUNCTION("""COMPUTED_VALUE"""),"Yes")</f>
        <v>Yes</v>
      </c>
      <c r="R733" s="5" t="str">
        <f ca="1">IFERROR(__xludf.DUMMYFUNCTION("""COMPUTED_VALUE"""),"No")</f>
        <v>No</v>
      </c>
      <c r="S733" s="5" t="str">
        <f ca="1">IFERROR(__xludf.DUMMYFUNCTION("""COMPUTED_VALUE"""),"No")</f>
        <v>No</v>
      </c>
      <c r="T733" s="5" t="str">
        <f ca="1">IFERROR(__xludf.DUMMYFUNCTION("""COMPUTED_VALUE"""),"No")</f>
        <v>No</v>
      </c>
      <c r="U733" s="5" t="str">
        <f ca="1">IFERROR(__xludf.DUMMYFUNCTION("""COMPUTED_VALUE"""),"No")</f>
        <v>No</v>
      </c>
      <c r="V733" s="5" t="str">
        <f ca="1">IFERROR(__xludf.DUMMYFUNCTION("""COMPUTED_VALUE"""),"No")</f>
        <v>No</v>
      </c>
      <c r="W733" s="5" t="str">
        <f ca="1">IFERROR(__xludf.DUMMYFUNCTION("""COMPUTED_VALUE"""),"No")</f>
        <v>No</v>
      </c>
      <c r="X733" s="5" t="str">
        <f ca="1">IFERROR(__xludf.DUMMYFUNCTION("""COMPUTED_VALUE"""),"Yes")</f>
        <v>Yes</v>
      </c>
      <c r="Y733" s="5" t="str">
        <f ca="1">IFERROR(__xludf.DUMMYFUNCTION("""COMPUTED_VALUE"""),"No")</f>
        <v>No</v>
      </c>
      <c r="Z733" s="5" t="str">
        <f ca="1">IFERROR(__xludf.DUMMYFUNCTION("""COMPUTED_VALUE"""),"No")</f>
        <v>No</v>
      </c>
      <c r="AA733" s="5" t="str">
        <f ca="1">IFERROR(__xludf.DUMMYFUNCTION("""COMPUTED_VALUE"""),"No")</f>
        <v>No</v>
      </c>
      <c r="AB733" s="5" t="str">
        <f ca="1">IFERROR(__xludf.DUMMYFUNCTION("""COMPUTED_VALUE"""),"Yes")</f>
        <v>Yes</v>
      </c>
      <c r="AC733" s="5" t="str">
        <f ca="1">IFERROR(__xludf.DUMMYFUNCTION("""COMPUTED_VALUE"""),"No")</f>
        <v>No</v>
      </c>
    </row>
    <row r="734" spans="1:29" x14ac:dyDescent="0.25">
      <c r="A734" s="5" t="str">
        <f ca="1">IFERROR(__xludf.DUMMYFUNCTION("""COMPUTED_VALUE"""),"RedstoneChilliDoubleChristmas")</f>
        <v>RedstoneChilliDoubleChristmas</v>
      </c>
      <c r="B734" s="5" t="str">
        <f ca="1">IFERROR(__xludf.DUMMYFUNCTION("""COMPUTED_VALUE"""),"")</f>
        <v/>
      </c>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spans="1:29" x14ac:dyDescent="0.25">
      <c r="A735" s="5" t="str">
        <f ca="1">IFERROR(__xludf.DUMMYFUNCTION("""COMPUTED_VALUE"""),"RedstoneMultiHeart5Christmas")</f>
        <v>RedstoneMultiHeart5Christmas</v>
      </c>
      <c r="B735" s="5" t="str">
        <f ca="1">IFERROR(__xludf.DUMMYFUNCTION("""COMPUTED_VALUE"""),"")</f>
        <v/>
      </c>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spans="1:29" x14ac:dyDescent="0.25">
      <c r="A736" s="5" t="str">
        <f ca="1">IFERROR(__xludf.DUMMYFUNCTION("""COMPUTED_VALUE"""),"RedstoneDoubleWildHeartHalloween")</f>
        <v>RedstoneDoubleWildHeartHalloween</v>
      </c>
      <c r="B736" s="5" t="str">
        <f ca="1">IFERROR(__xludf.DUMMYFUNCTION("""COMPUTED_VALUE"""),"")</f>
        <v/>
      </c>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spans="1:29" x14ac:dyDescent="0.25">
      <c r="A737" s="5" t="str">
        <f ca="1">IFERROR(__xludf.DUMMYFUNCTION("""COMPUTED_VALUE"""),"TBD")</f>
        <v>TBD</v>
      </c>
      <c r="B737" s="5" t="str">
        <f ca="1">IFERROR(__xludf.DUMMYFUNCTION("""COMPUTED_VALUE"""),"")</f>
        <v/>
      </c>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spans="1:29" x14ac:dyDescent="0.25">
      <c r="A738" s="5" t="str">
        <f ca="1">IFERROR(__xludf.DUMMYFUNCTION("""COMPUTED_VALUE"""),"TBD")</f>
        <v>TBD</v>
      </c>
      <c r="B738" s="5" t="str">
        <f ca="1">IFERROR(__xludf.DUMMYFUNCTION("""COMPUTED_VALUE"""),"")</f>
        <v/>
      </c>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spans="1:29" x14ac:dyDescent="0.25">
      <c r="A739" s="5" t="str">
        <f ca="1">IFERROR(__xludf.DUMMYFUNCTION("""COMPUTED_VALUE"""),"TBD")</f>
        <v>TBD</v>
      </c>
      <c r="B739" s="5" t="str">
        <f ca="1">IFERROR(__xludf.DUMMYFUNCTION("""COMPUTED_VALUE"""),"")</f>
        <v/>
      </c>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spans="1:29" x14ac:dyDescent="0.25">
      <c r="A740" s="5" t="str">
        <f ca="1">IFERROR(__xludf.DUMMYFUNCTION("""COMPUTED_VALUE"""),"TBD")</f>
        <v>TBD</v>
      </c>
      <c r="B740" s="5" t="str">
        <f ca="1">IFERROR(__xludf.DUMMYFUNCTION("""COMPUTED_VALUE"""),"")</f>
        <v/>
      </c>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spans="1:29" x14ac:dyDescent="0.25">
      <c r="A741" s="5" t="str">
        <f ca="1">IFERROR(__xludf.DUMMYFUNCTION("""COMPUTED_VALUE"""),"TBD")</f>
        <v>TBD</v>
      </c>
      <c r="B741" s="5" t="str">
        <f ca="1">IFERROR(__xludf.DUMMYFUNCTION("""COMPUTED_VALUE"""),"")</f>
        <v/>
      </c>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spans="1:29" x14ac:dyDescent="0.25">
      <c r="A742" s="5" t="str">
        <f ca="1">IFERROR(__xludf.DUMMYFUNCTION("""COMPUTED_VALUE"""),"TBD")</f>
        <v>TBD</v>
      </c>
      <c r="B742" s="5" t="str">
        <f ca="1">IFERROR(__xludf.DUMMYFUNCTION("""COMPUTED_VALUE"""),"")</f>
        <v/>
      </c>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spans="1:29" x14ac:dyDescent="0.25">
      <c r="A743" s="5" t="str">
        <f ca="1">IFERROR(__xludf.DUMMYFUNCTION("""COMPUTED_VALUE"""),"TBD")</f>
        <v>TBD</v>
      </c>
      <c r="B743" s="5" t="str">
        <f ca="1">IFERROR(__xludf.DUMMYFUNCTION("""COMPUTED_VALUE"""),"")</f>
        <v/>
      </c>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spans="1:29" x14ac:dyDescent="0.25">
      <c r="A744" s="5" t="str">
        <f ca="1">IFERROR(__xludf.DUMMYFUNCTION("""COMPUTED_VALUE"""),"IvansBonusCrown")</f>
        <v>IvansBonusCrown</v>
      </c>
      <c r="B7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4" s="5" t="str">
        <f ca="1">IFERROR(__xludf.DUMMYFUNCTION("""COMPUTED_VALUE"""),"Yes")</f>
        <v>Yes</v>
      </c>
      <c r="D744" s="5" t="str">
        <f ca="1">IFERROR(__xludf.DUMMYFUNCTION("""COMPUTED_VALUE"""),"Yes")</f>
        <v>Yes</v>
      </c>
      <c r="E744" s="5" t="str">
        <f ca="1">IFERROR(__xludf.DUMMYFUNCTION("""COMPUTED_VALUE"""),"Yes")</f>
        <v>Yes</v>
      </c>
      <c r="F744" s="5" t="str">
        <f ca="1">IFERROR(__xludf.DUMMYFUNCTION("""COMPUTED_VALUE"""),"Yes")</f>
        <v>Yes</v>
      </c>
      <c r="G744" s="5" t="str">
        <f ca="1">IFERROR(__xludf.DUMMYFUNCTION("""COMPUTED_VALUE"""),"Yes")</f>
        <v>Yes</v>
      </c>
      <c r="H744" s="5" t="str">
        <f ca="1">IFERROR(__xludf.DUMMYFUNCTION("""COMPUTED_VALUE"""),"Yes")</f>
        <v>Yes</v>
      </c>
      <c r="I744" s="5" t="str">
        <f ca="1">IFERROR(__xludf.DUMMYFUNCTION("""COMPUTED_VALUE"""),"Yes")</f>
        <v>Yes</v>
      </c>
      <c r="J744" s="5" t="str">
        <f ca="1">IFERROR(__xludf.DUMMYFUNCTION("""COMPUTED_VALUE"""),"Yes")</f>
        <v>Yes</v>
      </c>
      <c r="K744" s="5" t="str">
        <f ca="1">IFERROR(__xludf.DUMMYFUNCTION("""COMPUTED_VALUE"""),"Yes")</f>
        <v>Yes</v>
      </c>
      <c r="L744" s="5" t="str">
        <f ca="1">IFERROR(__xludf.DUMMYFUNCTION("""COMPUTED_VALUE"""),"Yes")</f>
        <v>Yes</v>
      </c>
      <c r="M744" s="5" t="str">
        <f ca="1">IFERROR(__xludf.DUMMYFUNCTION("""COMPUTED_VALUE"""),"Yes")</f>
        <v>Yes</v>
      </c>
      <c r="N744" s="5" t="str">
        <f ca="1">IFERROR(__xludf.DUMMYFUNCTION("""COMPUTED_VALUE"""),"Yes")</f>
        <v>Yes</v>
      </c>
      <c r="O744" s="5" t="str">
        <f ca="1">IFERROR(__xludf.DUMMYFUNCTION("""COMPUTED_VALUE"""),"Yes")</f>
        <v>Yes</v>
      </c>
      <c r="P744" s="5" t="str">
        <f ca="1">IFERROR(__xludf.DUMMYFUNCTION("""COMPUTED_VALUE"""),"Yes")</f>
        <v>Yes</v>
      </c>
      <c r="Q744" s="5" t="str">
        <f ca="1">IFERROR(__xludf.DUMMYFUNCTION("""COMPUTED_VALUE"""),"Yes")</f>
        <v>Yes</v>
      </c>
      <c r="R744" s="5" t="str">
        <f ca="1">IFERROR(__xludf.DUMMYFUNCTION("""COMPUTED_VALUE"""),"Yes")</f>
        <v>Yes</v>
      </c>
      <c r="S744" s="5" t="str">
        <f ca="1">IFERROR(__xludf.DUMMYFUNCTION("""COMPUTED_VALUE"""),"Yes")</f>
        <v>Yes</v>
      </c>
      <c r="T744" s="5" t="str">
        <f ca="1">IFERROR(__xludf.DUMMYFUNCTION("""COMPUTED_VALUE"""),"Yes")</f>
        <v>Yes</v>
      </c>
      <c r="U744" s="5" t="str">
        <f ca="1">IFERROR(__xludf.DUMMYFUNCTION("""COMPUTED_VALUE"""),"Yes")</f>
        <v>Yes</v>
      </c>
      <c r="V744" s="5" t="str">
        <f ca="1">IFERROR(__xludf.DUMMYFUNCTION("""COMPUTED_VALUE"""),"Yes")</f>
        <v>Yes</v>
      </c>
      <c r="W744" s="5" t="str">
        <f ca="1">IFERROR(__xludf.DUMMYFUNCTION("""COMPUTED_VALUE"""),"Yes")</f>
        <v>Yes</v>
      </c>
      <c r="X744" s="5" t="str">
        <f ca="1">IFERROR(__xludf.DUMMYFUNCTION("""COMPUTED_VALUE"""),"Yes")</f>
        <v>Yes</v>
      </c>
      <c r="Y744" s="5" t="str">
        <f ca="1">IFERROR(__xludf.DUMMYFUNCTION("""COMPUTED_VALUE"""),"Yes")</f>
        <v>Yes</v>
      </c>
      <c r="Z744" s="5" t="str">
        <f ca="1">IFERROR(__xludf.DUMMYFUNCTION("""COMPUTED_VALUE"""),"Yes")</f>
        <v>Yes</v>
      </c>
      <c r="AA744" s="5" t="str">
        <f ca="1">IFERROR(__xludf.DUMMYFUNCTION("""COMPUTED_VALUE"""),"Yes")</f>
        <v>Yes</v>
      </c>
      <c r="AB744" s="5" t="str">
        <f ca="1">IFERROR(__xludf.DUMMYFUNCTION("""COMPUTED_VALUE"""),"Yes")</f>
        <v>Yes</v>
      </c>
      <c r="AC744" s="5" t="str">
        <f ca="1">IFERROR(__xludf.DUMMYFUNCTION("""COMPUTED_VALUE"""),"Yes")</f>
        <v>Yes</v>
      </c>
    </row>
    <row r="745" spans="1:29" x14ac:dyDescent="0.25">
      <c r="A745" s="5" t="str">
        <f ca="1">IFERROR(__xludf.DUMMYFUNCTION("""COMPUTED_VALUE"""),"WildHot40Triunfo")</f>
        <v>WildHot40Triunfo</v>
      </c>
      <c r="B745" s="5" t="str">
        <f ca="1">IFERROR(__xludf.DUMMYFUNCTION("""COMPUTED_VALUE"""),"")</f>
        <v/>
      </c>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spans="1:29" x14ac:dyDescent="0.25">
      <c r="A746" s="5" t="str">
        <f ca="1">IFERROR(__xludf.DUMMYFUNCTION("""COMPUTED_VALUE"""),"WildHotGorilla")</f>
        <v>WildHotGorilla</v>
      </c>
      <c r="B746" s="5" t="str">
        <f ca="1">IFERROR(__xludf.DUMMYFUNCTION("""COMPUTED_VALUE"""),"")</f>
        <v/>
      </c>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spans="1:29" x14ac:dyDescent="0.25">
      <c r="A747" s="5" t="str">
        <f ca="1">IFERROR(__xludf.DUMMYFUNCTION("""COMPUTED_VALUE"""),"BetkingWild27")</f>
        <v>BetkingWild27</v>
      </c>
      <c r="B747" s="5" t="str">
        <f ca="1">IFERROR(__xludf.DUMMYFUNCTION("""COMPUTED_VALUE"""),"")</f>
        <v/>
      </c>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spans="1:29" x14ac:dyDescent="0.25">
      <c r="A748" s="5" t="str">
        <f ca="1">IFERROR(__xludf.DUMMYFUNCTION("""COMPUTED_VALUE"""),"SokoLuckyCrown10")</f>
        <v>SokoLuckyCrown10</v>
      </c>
      <c r="B748" s="5" t="str">
        <f ca="1">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48" s="5" t="str">
        <f ca="1">IFERROR(__xludf.DUMMYFUNCTION("""COMPUTED_VALUE"""),"Yes")</f>
        <v>Yes</v>
      </c>
      <c r="D748" s="5" t="str">
        <f ca="1">IFERROR(__xludf.DUMMYFUNCTION("""COMPUTED_VALUE"""),"Yes")</f>
        <v>Yes</v>
      </c>
      <c r="E748" s="5" t="str">
        <f ca="1">IFERROR(__xludf.DUMMYFUNCTION("""COMPUTED_VALUE"""),"Yes")</f>
        <v>Yes</v>
      </c>
      <c r="F748" s="5" t="str">
        <f ca="1">IFERROR(__xludf.DUMMYFUNCTION("""COMPUTED_VALUE"""),"Yes")</f>
        <v>Yes</v>
      </c>
      <c r="G748" s="5" t="str">
        <f ca="1">IFERROR(__xludf.DUMMYFUNCTION("""COMPUTED_VALUE"""),"Yes")</f>
        <v>Yes</v>
      </c>
      <c r="H748" s="5" t="str">
        <f ca="1">IFERROR(__xludf.DUMMYFUNCTION("""COMPUTED_VALUE"""),"Yes")</f>
        <v>Yes</v>
      </c>
      <c r="I748" s="5" t="str">
        <f ca="1">IFERROR(__xludf.DUMMYFUNCTION("""COMPUTED_VALUE"""),"Yes")</f>
        <v>Yes</v>
      </c>
      <c r="J748" s="5" t="str">
        <f ca="1">IFERROR(__xludf.DUMMYFUNCTION("""COMPUTED_VALUE"""),"Yes")</f>
        <v>Yes</v>
      </c>
      <c r="K748" s="5" t="str">
        <f ca="1">IFERROR(__xludf.DUMMYFUNCTION("""COMPUTED_VALUE"""),"Yes")</f>
        <v>Yes</v>
      </c>
      <c r="L748" s="5" t="str">
        <f ca="1">IFERROR(__xludf.DUMMYFUNCTION("""COMPUTED_VALUE"""),"Yes")</f>
        <v>Yes</v>
      </c>
      <c r="M748" s="5" t="str">
        <f ca="1">IFERROR(__xludf.DUMMYFUNCTION("""COMPUTED_VALUE"""),"Yes")</f>
        <v>Yes</v>
      </c>
      <c r="N748" s="5" t="str">
        <f ca="1">IFERROR(__xludf.DUMMYFUNCTION("""COMPUTED_VALUE"""),"Yes")</f>
        <v>Yes</v>
      </c>
      <c r="O748" s="5" t="str">
        <f ca="1">IFERROR(__xludf.DUMMYFUNCTION("""COMPUTED_VALUE"""),"Yes")</f>
        <v>Yes</v>
      </c>
      <c r="P748" s="5" t="str">
        <f ca="1">IFERROR(__xludf.DUMMYFUNCTION("""COMPUTED_VALUE"""),"Yes")</f>
        <v>Yes</v>
      </c>
      <c r="Q748" s="5" t="str">
        <f ca="1">IFERROR(__xludf.DUMMYFUNCTION("""COMPUTED_VALUE"""),"Yes")</f>
        <v>Yes</v>
      </c>
      <c r="R748" s="5" t="str">
        <f ca="1">IFERROR(__xludf.DUMMYFUNCTION("""COMPUTED_VALUE"""),"Yes")</f>
        <v>Yes</v>
      </c>
      <c r="S748" s="5" t="str">
        <f ca="1">IFERROR(__xludf.DUMMYFUNCTION("""COMPUTED_VALUE"""),"Yes")</f>
        <v>Yes</v>
      </c>
      <c r="T748" s="5" t="str">
        <f ca="1">IFERROR(__xludf.DUMMYFUNCTION("""COMPUTED_VALUE"""),"No")</f>
        <v>No</v>
      </c>
      <c r="U748" s="5" t="str">
        <f ca="1">IFERROR(__xludf.DUMMYFUNCTION("""COMPUTED_VALUE"""),"No")</f>
        <v>No</v>
      </c>
      <c r="V748" s="5" t="str">
        <f ca="1">IFERROR(__xludf.DUMMYFUNCTION("""COMPUTED_VALUE"""),"No")</f>
        <v>No</v>
      </c>
      <c r="W748" s="5" t="str">
        <f ca="1">IFERROR(__xludf.DUMMYFUNCTION("""COMPUTED_VALUE"""),"No")</f>
        <v>No</v>
      </c>
      <c r="X748" s="5" t="str">
        <f ca="1">IFERROR(__xludf.DUMMYFUNCTION("""COMPUTED_VALUE"""),"No")</f>
        <v>No</v>
      </c>
      <c r="Y748" s="5" t="str">
        <f ca="1">IFERROR(__xludf.DUMMYFUNCTION("""COMPUTED_VALUE"""),"Yes")</f>
        <v>Yes</v>
      </c>
      <c r="Z748" s="5" t="str">
        <f ca="1">IFERROR(__xludf.DUMMYFUNCTION("""COMPUTED_VALUE"""),"No")</f>
        <v>No</v>
      </c>
      <c r="AA748" s="5" t="str">
        <f ca="1">IFERROR(__xludf.DUMMYFUNCTION("""COMPUTED_VALUE"""),"No")</f>
        <v>No</v>
      </c>
      <c r="AB748" s="5" t="str">
        <f ca="1">IFERROR(__xludf.DUMMYFUNCTION("""COMPUTED_VALUE"""),"No")</f>
        <v>No</v>
      </c>
      <c r="AC748" s="5" t="str">
        <f ca="1">IFERROR(__xludf.DUMMYFUNCTION("""COMPUTED_VALUE"""),"No")</f>
        <v>No</v>
      </c>
    </row>
    <row r="749" spans="1:29" x14ac:dyDescent="0.25">
      <c r="A749" s="5" t="str">
        <f ca="1">IFERROR(__xludf.DUMMYFUNCTION("""COMPUTED_VALUE"""),"HotClockExtreme")</f>
        <v>HotClockExtreme</v>
      </c>
      <c r="B7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9" s="5" t="str">
        <f ca="1">IFERROR(__xludf.DUMMYFUNCTION("""COMPUTED_VALUE"""),"Yes")</f>
        <v>Yes</v>
      </c>
      <c r="D749" s="5" t="str">
        <f ca="1">IFERROR(__xludf.DUMMYFUNCTION("""COMPUTED_VALUE"""),"Yes")</f>
        <v>Yes</v>
      </c>
      <c r="E749" s="5" t="str">
        <f ca="1">IFERROR(__xludf.DUMMYFUNCTION("""COMPUTED_VALUE"""),"Yes")</f>
        <v>Yes</v>
      </c>
      <c r="F749" s="5" t="str">
        <f ca="1">IFERROR(__xludf.DUMMYFUNCTION("""COMPUTED_VALUE"""),"Yes")</f>
        <v>Yes</v>
      </c>
      <c r="G749" s="5" t="str">
        <f ca="1">IFERROR(__xludf.DUMMYFUNCTION("""COMPUTED_VALUE"""),"Yes")</f>
        <v>Yes</v>
      </c>
      <c r="H749" s="5" t="str">
        <f ca="1">IFERROR(__xludf.DUMMYFUNCTION("""COMPUTED_VALUE"""),"Yes")</f>
        <v>Yes</v>
      </c>
      <c r="I749" s="5" t="str">
        <f ca="1">IFERROR(__xludf.DUMMYFUNCTION("""COMPUTED_VALUE"""),"Yes")</f>
        <v>Yes</v>
      </c>
      <c r="J749" s="5" t="str">
        <f ca="1">IFERROR(__xludf.DUMMYFUNCTION("""COMPUTED_VALUE"""),"Yes")</f>
        <v>Yes</v>
      </c>
      <c r="K749" s="5" t="str">
        <f ca="1">IFERROR(__xludf.DUMMYFUNCTION("""COMPUTED_VALUE"""),"Yes")</f>
        <v>Yes</v>
      </c>
      <c r="L749" s="5" t="str">
        <f ca="1">IFERROR(__xludf.DUMMYFUNCTION("""COMPUTED_VALUE"""),"Yes")</f>
        <v>Yes</v>
      </c>
      <c r="M749" s="5" t="str">
        <f ca="1">IFERROR(__xludf.DUMMYFUNCTION("""COMPUTED_VALUE"""),"Yes")</f>
        <v>Yes</v>
      </c>
      <c r="N749" s="5" t="str">
        <f ca="1">IFERROR(__xludf.DUMMYFUNCTION("""COMPUTED_VALUE"""),"Yes")</f>
        <v>Yes</v>
      </c>
      <c r="O749" s="5" t="str">
        <f ca="1">IFERROR(__xludf.DUMMYFUNCTION("""COMPUTED_VALUE"""),"Yes")</f>
        <v>Yes</v>
      </c>
      <c r="P749" s="5" t="str">
        <f ca="1">IFERROR(__xludf.DUMMYFUNCTION("""COMPUTED_VALUE"""),"Yes")</f>
        <v>Yes</v>
      </c>
      <c r="Q749" s="5" t="str">
        <f ca="1">IFERROR(__xludf.DUMMYFUNCTION("""COMPUTED_VALUE"""),"Yes")</f>
        <v>Yes</v>
      </c>
      <c r="R749" s="5" t="str">
        <f ca="1">IFERROR(__xludf.DUMMYFUNCTION("""COMPUTED_VALUE"""),"Yes")</f>
        <v>Yes</v>
      </c>
      <c r="S749" s="5" t="str">
        <f ca="1">IFERROR(__xludf.DUMMYFUNCTION("""COMPUTED_VALUE"""),"Yes")</f>
        <v>Yes</v>
      </c>
      <c r="T749" s="5" t="str">
        <f ca="1">IFERROR(__xludf.DUMMYFUNCTION("""COMPUTED_VALUE"""),"Yes")</f>
        <v>Yes</v>
      </c>
      <c r="U749" s="5" t="str">
        <f ca="1">IFERROR(__xludf.DUMMYFUNCTION("""COMPUTED_VALUE"""),"Yes")</f>
        <v>Yes</v>
      </c>
      <c r="V749" s="5" t="str">
        <f ca="1">IFERROR(__xludf.DUMMYFUNCTION("""COMPUTED_VALUE"""),"Yes")</f>
        <v>Yes</v>
      </c>
      <c r="W749" s="5" t="str">
        <f ca="1">IFERROR(__xludf.DUMMYFUNCTION("""COMPUTED_VALUE"""),"Yes")</f>
        <v>Yes</v>
      </c>
      <c r="X749" s="5" t="str">
        <f ca="1">IFERROR(__xludf.DUMMYFUNCTION("""COMPUTED_VALUE"""),"Yes")</f>
        <v>Yes</v>
      </c>
      <c r="Y749" s="5" t="str">
        <f ca="1">IFERROR(__xludf.DUMMYFUNCTION("""COMPUTED_VALUE"""),"Yes")</f>
        <v>Yes</v>
      </c>
      <c r="Z749" s="5" t="str">
        <f ca="1">IFERROR(__xludf.DUMMYFUNCTION("""COMPUTED_VALUE"""),"Yes")</f>
        <v>Yes</v>
      </c>
      <c r="AA749" s="5" t="str">
        <f ca="1">IFERROR(__xludf.DUMMYFUNCTION("""COMPUTED_VALUE"""),"Yes")</f>
        <v>Yes</v>
      </c>
      <c r="AB749" s="5" t="str">
        <f ca="1">IFERROR(__xludf.DUMMYFUNCTION("""COMPUTED_VALUE"""),"Yes")</f>
        <v>Yes</v>
      </c>
      <c r="AC749" s="5" t="str">
        <f ca="1">IFERROR(__xludf.DUMMYFUNCTION("""COMPUTED_VALUE"""),"Yes")</f>
        <v>Yes</v>
      </c>
    </row>
    <row r="750" spans="1:29" x14ac:dyDescent="0.25">
      <c r="A750" s="5" t="str">
        <f ca="1">IFERROR(__xludf.DUMMYFUNCTION("""COMPUTED_VALUE"""),"SokoHotChiliFiesta")</f>
        <v>SokoHotChiliFiesta</v>
      </c>
      <c r="B750"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50" s="5" t="str">
        <f ca="1">IFERROR(__xludf.DUMMYFUNCTION("""COMPUTED_VALUE"""),"Yes")</f>
        <v>Yes</v>
      </c>
      <c r="D750" s="5" t="str">
        <f ca="1">IFERROR(__xludf.DUMMYFUNCTION("""COMPUTED_VALUE"""),"Yes")</f>
        <v>Yes</v>
      </c>
      <c r="E750" s="5" t="str">
        <f ca="1">IFERROR(__xludf.DUMMYFUNCTION("""COMPUTED_VALUE"""),"Yes")</f>
        <v>Yes</v>
      </c>
      <c r="F750" s="5" t="str">
        <f ca="1">IFERROR(__xludf.DUMMYFUNCTION("""COMPUTED_VALUE"""),"Yes")</f>
        <v>Yes</v>
      </c>
      <c r="G750" s="5" t="str">
        <f ca="1">IFERROR(__xludf.DUMMYFUNCTION("""COMPUTED_VALUE"""),"Yes")</f>
        <v>Yes</v>
      </c>
      <c r="H750" s="5" t="str">
        <f ca="1">IFERROR(__xludf.DUMMYFUNCTION("""COMPUTED_VALUE"""),"Yes")</f>
        <v>Yes</v>
      </c>
      <c r="I750" s="5" t="str">
        <f ca="1">IFERROR(__xludf.DUMMYFUNCTION("""COMPUTED_VALUE"""),"Yes")</f>
        <v>Yes</v>
      </c>
      <c r="J750" s="5" t="str">
        <f ca="1">IFERROR(__xludf.DUMMYFUNCTION("""COMPUTED_VALUE"""),"Yes")</f>
        <v>Yes</v>
      </c>
      <c r="K750" s="5" t="str">
        <f ca="1">IFERROR(__xludf.DUMMYFUNCTION("""COMPUTED_VALUE"""),"Yes")</f>
        <v>Yes</v>
      </c>
      <c r="L750" s="5" t="str">
        <f ca="1">IFERROR(__xludf.DUMMYFUNCTION("""COMPUTED_VALUE"""),"Yes")</f>
        <v>Yes</v>
      </c>
      <c r="M750" s="5" t="str">
        <f ca="1">IFERROR(__xludf.DUMMYFUNCTION("""COMPUTED_VALUE"""),"Yes")</f>
        <v>Yes</v>
      </c>
      <c r="N750" s="5" t="str">
        <f ca="1">IFERROR(__xludf.DUMMYFUNCTION("""COMPUTED_VALUE"""),"Yes")</f>
        <v>Yes</v>
      </c>
      <c r="O750" s="5" t="str">
        <f ca="1">IFERROR(__xludf.DUMMYFUNCTION("""COMPUTED_VALUE"""),"Yes")</f>
        <v>Yes</v>
      </c>
      <c r="P750" s="5" t="str">
        <f ca="1">IFERROR(__xludf.DUMMYFUNCTION("""COMPUTED_VALUE"""),"Yes")</f>
        <v>Yes</v>
      </c>
      <c r="Q750" s="5" t="str">
        <f ca="1">IFERROR(__xludf.DUMMYFUNCTION("""COMPUTED_VALUE"""),"Yes")</f>
        <v>Yes</v>
      </c>
      <c r="R750" s="5" t="str">
        <f ca="1">IFERROR(__xludf.DUMMYFUNCTION("""COMPUTED_VALUE"""),"No")</f>
        <v>No</v>
      </c>
      <c r="S750" s="5" t="str">
        <f ca="1">IFERROR(__xludf.DUMMYFUNCTION("""COMPUTED_VALUE"""),"Yes")</f>
        <v>Yes</v>
      </c>
      <c r="T750" s="5" t="str">
        <f ca="1">IFERROR(__xludf.DUMMYFUNCTION("""COMPUTED_VALUE"""),"No")</f>
        <v>No</v>
      </c>
      <c r="U750" s="5" t="str">
        <f ca="1">IFERROR(__xludf.DUMMYFUNCTION("""COMPUTED_VALUE"""),"No")</f>
        <v>No</v>
      </c>
      <c r="V750" s="5" t="str">
        <f ca="1">IFERROR(__xludf.DUMMYFUNCTION("""COMPUTED_VALUE"""),"No")</f>
        <v>No</v>
      </c>
      <c r="W750" s="5" t="str">
        <f ca="1">IFERROR(__xludf.DUMMYFUNCTION("""COMPUTED_VALUE"""),"No")</f>
        <v>No</v>
      </c>
      <c r="X750" s="5" t="str">
        <f ca="1">IFERROR(__xludf.DUMMYFUNCTION("""COMPUTED_VALUE"""),"No")</f>
        <v>No</v>
      </c>
      <c r="Y750" s="5" t="str">
        <f ca="1">IFERROR(__xludf.DUMMYFUNCTION("""COMPUTED_VALUE"""),"Yes")</f>
        <v>Yes</v>
      </c>
      <c r="Z750" s="5" t="str">
        <f ca="1">IFERROR(__xludf.DUMMYFUNCTION("""COMPUTED_VALUE"""),"No")</f>
        <v>No</v>
      </c>
      <c r="AA750" s="5" t="str">
        <f ca="1">IFERROR(__xludf.DUMMYFUNCTION("""COMPUTED_VALUE"""),"No")</f>
        <v>No</v>
      </c>
      <c r="AB750" s="5" t="str">
        <f ca="1">IFERROR(__xludf.DUMMYFUNCTION("""COMPUTED_VALUE"""),"No")</f>
        <v>No</v>
      </c>
      <c r="AC750" s="5" t="str">
        <f ca="1">IFERROR(__xludf.DUMMYFUNCTION("""COMPUTED_VALUE"""),"No")</f>
        <v>No</v>
      </c>
    </row>
    <row r="751" spans="1:29" x14ac:dyDescent="0.25">
      <c r="A751" s="5" t="str">
        <f ca="1">IFERROR(__xludf.DUMMYFUNCTION("""COMPUTED_VALUE"""),"CoinkBank")</f>
        <v>CoinkBank</v>
      </c>
      <c r="B7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1" s="5" t="str">
        <f ca="1">IFERROR(__xludf.DUMMYFUNCTION("""COMPUTED_VALUE"""),"Yes")</f>
        <v>Yes</v>
      </c>
      <c r="D751" s="5" t="str">
        <f ca="1">IFERROR(__xludf.DUMMYFUNCTION("""COMPUTED_VALUE"""),"Yes")</f>
        <v>Yes</v>
      </c>
      <c r="E751" s="5" t="str">
        <f ca="1">IFERROR(__xludf.DUMMYFUNCTION("""COMPUTED_VALUE"""),"Yes")</f>
        <v>Yes</v>
      </c>
      <c r="F751" s="5" t="str">
        <f ca="1">IFERROR(__xludf.DUMMYFUNCTION("""COMPUTED_VALUE"""),"Yes")</f>
        <v>Yes</v>
      </c>
      <c r="G751" s="5" t="str">
        <f ca="1">IFERROR(__xludf.DUMMYFUNCTION("""COMPUTED_VALUE"""),"Yes")</f>
        <v>Yes</v>
      </c>
      <c r="H751" s="5" t="str">
        <f ca="1">IFERROR(__xludf.DUMMYFUNCTION("""COMPUTED_VALUE"""),"Yes")</f>
        <v>Yes</v>
      </c>
      <c r="I751" s="5" t="str">
        <f ca="1">IFERROR(__xludf.DUMMYFUNCTION("""COMPUTED_VALUE"""),"Yes")</f>
        <v>Yes</v>
      </c>
      <c r="J751" s="5" t="str">
        <f ca="1">IFERROR(__xludf.DUMMYFUNCTION("""COMPUTED_VALUE"""),"Yes")</f>
        <v>Yes</v>
      </c>
      <c r="K751" s="5" t="str">
        <f ca="1">IFERROR(__xludf.DUMMYFUNCTION("""COMPUTED_VALUE"""),"Yes")</f>
        <v>Yes</v>
      </c>
      <c r="L751" s="5" t="str">
        <f ca="1">IFERROR(__xludf.DUMMYFUNCTION("""COMPUTED_VALUE"""),"Yes")</f>
        <v>Yes</v>
      </c>
      <c r="M751" s="5" t="str">
        <f ca="1">IFERROR(__xludf.DUMMYFUNCTION("""COMPUTED_VALUE"""),"Yes")</f>
        <v>Yes</v>
      </c>
      <c r="N751" s="5" t="str">
        <f ca="1">IFERROR(__xludf.DUMMYFUNCTION("""COMPUTED_VALUE"""),"Yes")</f>
        <v>Yes</v>
      </c>
      <c r="O751" s="5" t="str">
        <f ca="1">IFERROR(__xludf.DUMMYFUNCTION("""COMPUTED_VALUE"""),"Yes")</f>
        <v>Yes</v>
      </c>
      <c r="P751" s="5" t="str">
        <f ca="1">IFERROR(__xludf.DUMMYFUNCTION("""COMPUTED_VALUE"""),"Yes")</f>
        <v>Yes</v>
      </c>
      <c r="Q751" s="5" t="str">
        <f ca="1">IFERROR(__xludf.DUMMYFUNCTION("""COMPUTED_VALUE"""),"Yes")</f>
        <v>Yes</v>
      </c>
      <c r="R751" s="5" t="str">
        <f ca="1">IFERROR(__xludf.DUMMYFUNCTION("""COMPUTED_VALUE"""),"Yes")</f>
        <v>Yes</v>
      </c>
      <c r="S751" s="5" t="str">
        <f ca="1">IFERROR(__xludf.DUMMYFUNCTION("""COMPUTED_VALUE"""),"Yes")</f>
        <v>Yes</v>
      </c>
      <c r="T751" s="5" t="str">
        <f ca="1">IFERROR(__xludf.DUMMYFUNCTION("""COMPUTED_VALUE"""),"Yes")</f>
        <v>Yes</v>
      </c>
      <c r="U751" s="5" t="str">
        <f ca="1">IFERROR(__xludf.DUMMYFUNCTION("""COMPUTED_VALUE"""),"Yes")</f>
        <v>Yes</v>
      </c>
      <c r="V751" s="5" t="str">
        <f ca="1">IFERROR(__xludf.DUMMYFUNCTION("""COMPUTED_VALUE"""),"Yes")</f>
        <v>Yes</v>
      </c>
      <c r="W751" s="5" t="str">
        <f ca="1">IFERROR(__xludf.DUMMYFUNCTION("""COMPUTED_VALUE"""),"Yes")</f>
        <v>Yes</v>
      </c>
      <c r="X751" s="5" t="str">
        <f ca="1">IFERROR(__xludf.DUMMYFUNCTION("""COMPUTED_VALUE"""),"Yes")</f>
        <v>Yes</v>
      </c>
      <c r="Y751" s="5" t="str">
        <f ca="1">IFERROR(__xludf.DUMMYFUNCTION("""COMPUTED_VALUE"""),"Yes")</f>
        <v>Yes</v>
      </c>
      <c r="Z751" s="5" t="str">
        <f ca="1">IFERROR(__xludf.DUMMYFUNCTION("""COMPUTED_VALUE"""),"Yes")</f>
        <v>Yes</v>
      </c>
      <c r="AA751" s="5" t="str">
        <f ca="1">IFERROR(__xludf.DUMMYFUNCTION("""COMPUTED_VALUE"""),"Yes")</f>
        <v>Yes</v>
      </c>
      <c r="AB751" s="5" t="str">
        <f ca="1">IFERROR(__xludf.DUMMYFUNCTION("""COMPUTED_VALUE"""),"Yes")</f>
        <v>Yes</v>
      </c>
      <c r="AC751" s="5" t="str">
        <f ca="1">IFERROR(__xludf.DUMMYFUNCTION("""COMPUTED_VALUE"""),"No")</f>
        <v>No</v>
      </c>
    </row>
    <row r="752" spans="1:29" x14ac:dyDescent="0.25">
      <c r="A752" s="5" t="str">
        <f ca="1">IFERROR(__xludf.DUMMYFUNCTION("""COMPUTED_VALUE"""),"RetroFlame5")</f>
        <v>RetroFlame5</v>
      </c>
      <c r="B7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2" s="5" t="str">
        <f ca="1">IFERROR(__xludf.DUMMYFUNCTION("""COMPUTED_VALUE"""),"Yes")</f>
        <v>Yes</v>
      </c>
      <c r="D752" s="5" t="str">
        <f ca="1">IFERROR(__xludf.DUMMYFUNCTION("""COMPUTED_VALUE"""),"Yes")</f>
        <v>Yes</v>
      </c>
      <c r="E752" s="5" t="str">
        <f ca="1">IFERROR(__xludf.DUMMYFUNCTION("""COMPUTED_VALUE"""),"Yes")</f>
        <v>Yes</v>
      </c>
      <c r="F752" s="5" t="str">
        <f ca="1">IFERROR(__xludf.DUMMYFUNCTION("""COMPUTED_VALUE"""),"Yes")</f>
        <v>Yes</v>
      </c>
      <c r="G752" s="5" t="str">
        <f ca="1">IFERROR(__xludf.DUMMYFUNCTION("""COMPUTED_VALUE"""),"Yes")</f>
        <v>Yes</v>
      </c>
      <c r="H752" s="5" t="str">
        <f ca="1">IFERROR(__xludf.DUMMYFUNCTION("""COMPUTED_VALUE"""),"Yes")</f>
        <v>Yes</v>
      </c>
      <c r="I752" s="5" t="str">
        <f ca="1">IFERROR(__xludf.DUMMYFUNCTION("""COMPUTED_VALUE"""),"Yes")</f>
        <v>Yes</v>
      </c>
      <c r="J752" s="5" t="str">
        <f ca="1">IFERROR(__xludf.DUMMYFUNCTION("""COMPUTED_VALUE"""),"Yes")</f>
        <v>Yes</v>
      </c>
      <c r="K752" s="5" t="str">
        <f ca="1">IFERROR(__xludf.DUMMYFUNCTION("""COMPUTED_VALUE"""),"Yes")</f>
        <v>Yes</v>
      </c>
      <c r="L752" s="5" t="str">
        <f ca="1">IFERROR(__xludf.DUMMYFUNCTION("""COMPUTED_VALUE"""),"Yes")</f>
        <v>Yes</v>
      </c>
      <c r="M752" s="5" t="str">
        <f ca="1">IFERROR(__xludf.DUMMYFUNCTION("""COMPUTED_VALUE"""),"Yes")</f>
        <v>Yes</v>
      </c>
      <c r="N752" s="5" t="str">
        <f ca="1">IFERROR(__xludf.DUMMYFUNCTION("""COMPUTED_VALUE"""),"Yes")</f>
        <v>Yes</v>
      </c>
      <c r="O752" s="5" t="str">
        <f ca="1">IFERROR(__xludf.DUMMYFUNCTION("""COMPUTED_VALUE"""),"Yes")</f>
        <v>Yes</v>
      </c>
      <c r="P752" s="5" t="str">
        <f ca="1">IFERROR(__xludf.DUMMYFUNCTION("""COMPUTED_VALUE"""),"Yes")</f>
        <v>Yes</v>
      </c>
      <c r="Q752" s="5" t="str">
        <f ca="1">IFERROR(__xludf.DUMMYFUNCTION("""COMPUTED_VALUE"""),"Yes")</f>
        <v>Yes</v>
      </c>
      <c r="R752" s="5" t="str">
        <f ca="1">IFERROR(__xludf.DUMMYFUNCTION("""COMPUTED_VALUE"""),"Yes")</f>
        <v>Yes</v>
      </c>
      <c r="S752" s="5" t="str">
        <f ca="1">IFERROR(__xludf.DUMMYFUNCTION("""COMPUTED_VALUE"""),"Yes")</f>
        <v>Yes</v>
      </c>
      <c r="T752" s="5" t="str">
        <f ca="1">IFERROR(__xludf.DUMMYFUNCTION("""COMPUTED_VALUE"""),"Yes")</f>
        <v>Yes</v>
      </c>
      <c r="U752" s="5" t="str">
        <f ca="1">IFERROR(__xludf.DUMMYFUNCTION("""COMPUTED_VALUE"""),"Yes")</f>
        <v>Yes</v>
      </c>
      <c r="V752" s="5" t="str">
        <f ca="1">IFERROR(__xludf.DUMMYFUNCTION("""COMPUTED_VALUE"""),"Yes")</f>
        <v>Yes</v>
      </c>
      <c r="W752" s="5" t="str">
        <f ca="1">IFERROR(__xludf.DUMMYFUNCTION("""COMPUTED_VALUE"""),"Yes")</f>
        <v>Yes</v>
      </c>
      <c r="X752" s="5" t="str">
        <f ca="1">IFERROR(__xludf.DUMMYFUNCTION("""COMPUTED_VALUE"""),"Yes")</f>
        <v>Yes</v>
      </c>
      <c r="Y752" s="5" t="str">
        <f ca="1">IFERROR(__xludf.DUMMYFUNCTION("""COMPUTED_VALUE"""),"Yes")</f>
        <v>Yes</v>
      </c>
      <c r="Z752" s="5" t="str">
        <f ca="1">IFERROR(__xludf.DUMMYFUNCTION("""COMPUTED_VALUE"""),"Yes")</f>
        <v>Yes</v>
      </c>
      <c r="AA752" s="5" t="str">
        <f ca="1">IFERROR(__xludf.DUMMYFUNCTION("""COMPUTED_VALUE"""),"Yes")</f>
        <v>Yes</v>
      </c>
      <c r="AB752" s="5" t="str">
        <f ca="1">IFERROR(__xludf.DUMMYFUNCTION("""COMPUTED_VALUE"""),"Yes")</f>
        <v>Yes</v>
      </c>
      <c r="AC752" s="5" t="str">
        <f ca="1">IFERROR(__xludf.DUMMYFUNCTION("""COMPUTED_VALUE"""),"No")</f>
        <v>No</v>
      </c>
    </row>
    <row r="753" spans="1:29" x14ac:dyDescent="0.25">
      <c r="A753" s="5" t="str">
        <f ca="1">IFERROR(__xludf.DUMMYFUNCTION("""COMPUTED_VALUE"""),"WinningFruits20")</f>
        <v>WinningFruits20</v>
      </c>
      <c r="B7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3" s="5" t="str">
        <f ca="1">IFERROR(__xludf.DUMMYFUNCTION("""COMPUTED_VALUE"""),"Yes")</f>
        <v>Yes</v>
      </c>
      <c r="D753" s="5" t="str">
        <f ca="1">IFERROR(__xludf.DUMMYFUNCTION("""COMPUTED_VALUE"""),"Yes")</f>
        <v>Yes</v>
      </c>
      <c r="E753" s="5" t="str">
        <f ca="1">IFERROR(__xludf.DUMMYFUNCTION("""COMPUTED_VALUE"""),"Yes")</f>
        <v>Yes</v>
      </c>
      <c r="F753" s="5" t="str">
        <f ca="1">IFERROR(__xludf.DUMMYFUNCTION("""COMPUTED_VALUE"""),"Yes")</f>
        <v>Yes</v>
      </c>
      <c r="G753" s="5" t="str">
        <f ca="1">IFERROR(__xludf.DUMMYFUNCTION("""COMPUTED_VALUE"""),"Yes")</f>
        <v>Yes</v>
      </c>
      <c r="H753" s="5" t="str">
        <f ca="1">IFERROR(__xludf.DUMMYFUNCTION("""COMPUTED_VALUE"""),"Yes")</f>
        <v>Yes</v>
      </c>
      <c r="I753" s="5" t="str">
        <f ca="1">IFERROR(__xludf.DUMMYFUNCTION("""COMPUTED_VALUE"""),"Yes")</f>
        <v>Yes</v>
      </c>
      <c r="J753" s="5" t="str">
        <f ca="1">IFERROR(__xludf.DUMMYFUNCTION("""COMPUTED_VALUE"""),"Yes")</f>
        <v>Yes</v>
      </c>
      <c r="K753" s="5" t="str">
        <f ca="1">IFERROR(__xludf.DUMMYFUNCTION("""COMPUTED_VALUE"""),"Yes")</f>
        <v>Yes</v>
      </c>
      <c r="L753" s="5" t="str">
        <f ca="1">IFERROR(__xludf.DUMMYFUNCTION("""COMPUTED_VALUE"""),"Yes")</f>
        <v>Yes</v>
      </c>
      <c r="M753" s="5" t="str">
        <f ca="1">IFERROR(__xludf.DUMMYFUNCTION("""COMPUTED_VALUE"""),"Yes")</f>
        <v>Yes</v>
      </c>
      <c r="N753" s="5" t="str">
        <f ca="1">IFERROR(__xludf.DUMMYFUNCTION("""COMPUTED_VALUE"""),"Yes")</f>
        <v>Yes</v>
      </c>
      <c r="O753" s="5" t="str">
        <f ca="1">IFERROR(__xludf.DUMMYFUNCTION("""COMPUTED_VALUE"""),"Yes")</f>
        <v>Yes</v>
      </c>
      <c r="P753" s="5" t="str">
        <f ca="1">IFERROR(__xludf.DUMMYFUNCTION("""COMPUTED_VALUE"""),"Yes")</f>
        <v>Yes</v>
      </c>
      <c r="Q753" s="5" t="str">
        <f ca="1">IFERROR(__xludf.DUMMYFUNCTION("""COMPUTED_VALUE"""),"Yes")</f>
        <v>Yes</v>
      </c>
      <c r="R753" s="5" t="str">
        <f ca="1">IFERROR(__xludf.DUMMYFUNCTION("""COMPUTED_VALUE"""),"Yes")</f>
        <v>Yes</v>
      </c>
      <c r="S753" s="5" t="str">
        <f ca="1">IFERROR(__xludf.DUMMYFUNCTION("""COMPUTED_VALUE"""),"Yes")</f>
        <v>Yes</v>
      </c>
      <c r="T753" s="5" t="str">
        <f ca="1">IFERROR(__xludf.DUMMYFUNCTION("""COMPUTED_VALUE"""),"Yes")</f>
        <v>Yes</v>
      </c>
      <c r="U753" s="5" t="str">
        <f ca="1">IFERROR(__xludf.DUMMYFUNCTION("""COMPUTED_VALUE"""),"Yes")</f>
        <v>Yes</v>
      </c>
      <c r="V753" s="5" t="str">
        <f ca="1">IFERROR(__xludf.DUMMYFUNCTION("""COMPUTED_VALUE"""),"Yes")</f>
        <v>Yes</v>
      </c>
      <c r="W753" s="5" t="str">
        <f ca="1">IFERROR(__xludf.DUMMYFUNCTION("""COMPUTED_VALUE"""),"Yes")</f>
        <v>Yes</v>
      </c>
      <c r="X753" s="5" t="str">
        <f ca="1">IFERROR(__xludf.DUMMYFUNCTION("""COMPUTED_VALUE"""),"Yes")</f>
        <v>Yes</v>
      </c>
      <c r="Y753" s="5" t="str">
        <f ca="1">IFERROR(__xludf.DUMMYFUNCTION("""COMPUTED_VALUE"""),"Yes")</f>
        <v>Yes</v>
      </c>
      <c r="Z753" s="5" t="str">
        <f ca="1">IFERROR(__xludf.DUMMYFUNCTION("""COMPUTED_VALUE"""),"Yes")</f>
        <v>Yes</v>
      </c>
      <c r="AA753" s="5" t="str">
        <f ca="1">IFERROR(__xludf.DUMMYFUNCTION("""COMPUTED_VALUE"""),"Yes")</f>
        <v>Yes</v>
      </c>
      <c r="AB753" s="5" t="str">
        <f ca="1">IFERROR(__xludf.DUMMYFUNCTION("""COMPUTED_VALUE"""),"Yes")</f>
        <v>Yes</v>
      </c>
      <c r="AC753" s="5" t="str">
        <f ca="1">IFERROR(__xludf.DUMMYFUNCTION("""COMPUTED_VALUE"""),"No")</f>
        <v>No</v>
      </c>
    </row>
    <row r="754" spans="1:29" x14ac:dyDescent="0.25">
      <c r="A754" s="5" t="str">
        <f ca="1">IFERROR(__xludf.DUMMYFUNCTION("""COMPUTED_VALUE"""),"MagicMultiWin")</f>
        <v>MagicMultiWin</v>
      </c>
      <c r="B7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4" s="5" t="str">
        <f ca="1">IFERROR(__xludf.DUMMYFUNCTION("""COMPUTED_VALUE"""),"Yes")</f>
        <v>Yes</v>
      </c>
      <c r="D754" s="5" t="str">
        <f ca="1">IFERROR(__xludf.DUMMYFUNCTION("""COMPUTED_VALUE"""),"Yes")</f>
        <v>Yes</v>
      </c>
      <c r="E754" s="5" t="str">
        <f ca="1">IFERROR(__xludf.DUMMYFUNCTION("""COMPUTED_VALUE"""),"Yes")</f>
        <v>Yes</v>
      </c>
      <c r="F754" s="5" t="str">
        <f ca="1">IFERROR(__xludf.DUMMYFUNCTION("""COMPUTED_VALUE"""),"Yes")</f>
        <v>Yes</v>
      </c>
      <c r="G754" s="5" t="str">
        <f ca="1">IFERROR(__xludf.DUMMYFUNCTION("""COMPUTED_VALUE"""),"Yes")</f>
        <v>Yes</v>
      </c>
      <c r="H754" s="5" t="str">
        <f ca="1">IFERROR(__xludf.DUMMYFUNCTION("""COMPUTED_VALUE"""),"Yes")</f>
        <v>Yes</v>
      </c>
      <c r="I754" s="5" t="str">
        <f ca="1">IFERROR(__xludf.DUMMYFUNCTION("""COMPUTED_VALUE"""),"Yes")</f>
        <v>Yes</v>
      </c>
      <c r="J754" s="5" t="str">
        <f ca="1">IFERROR(__xludf.DUMMYFUNCTION("""COMPUTED_VALUE"""),"Yes")</f>
        <v>Yes</v>
      </c>
      <c r="K754" s="5" t="str">
        <f ca="1">IFERROR(__xludf.DUMMYFUNCTION("""COMPUTED_VALUE"""),"Yes")</f>
        <v>Yes</v>
      </c>
      <c r="L754" s="5" t="str">
        <f ca="1">IFERROR(__xludf.DUMMYFUNCTION("""COMPUTED_VALUE"""),"Yes")</f>
        <v>Yes</v>
      </c>
      <c r="M754" s="5" t="str">
        <f ca="1">IFERROR(__xludf.DUMMYFUNCTION("""COMPUTED_VALUE"""),"Yes")</f>
        <v>Yes</v>
      </c>
      <c r="N754" s="5" t="str">
        <f ca="1">IFERROR(__xludf.DUMMYFUNCTION("""COMPUTED_VALUE"""),"Yes")</f>
        <v>Yes</v>
      </c>
      <c r="O754" s="5" t="str">
        <f ca="1">IFERROR(__xludf.DUMMYFUNCTION("""COMPUTED_VALUE"""),"Yes")</f>
        <v>Yes</v>
      </c>
      <c r="P754" s="5" t="str">
        <f ca="1">IFERROR(__xludf.DUMMYFUNCTION("""COMPUTED_VALUE"""),"Yes")</f>
        <v>Yes</v>
      </c>
      <c r="Q754" s="5" t="str">
        <f ca="1">IFERROR(__xludf.DUMMYFUNCTION("""COMPUTED_VALUE"""),"Yes")</f>
        <v>Yes</v>
      </c>
      <c r="R754" s="5" t="str">
        <f ca="1">IFERROR(__xludf.DUMMYFUNCTION("""COMPUTED_VALUE"""),"Yes")</f>
        <v>Yes</v>
      </c>
      <c r="S754" s="5" t="str">
        <f ca="1">IFERROR(__xludf.DUMMYFUNCTION("""COMPUTED_VALUE"""),"Yes")</f>
        <v>Yes</v>
      </c>
      <c r="T754" s="5" t="str">
        <f ca="1">IFERROR(__xludf.DUMMYFUNCTION("""COMPUTED_VALUE"""),"Yes")</f>
        <v>Yes</v>
      </c>
      <c r="U754" s="5" t="str">
        <f ca="1">IFERROR(__xludf.DUMMYFUNCTION("""COMPUTED_VALUE"""),"Yes")</f>
        <v>Yes</v>
      </c>
      <c r="V754" s="5" t="str">
        <f ca="1">IFERROR(__xludf.DUMMYFUNCTION("""COMPUTED_VALUE"""),"Yes")</f>
        <v>Yes</v>
      </c>
      <c r="W754" s="5" t="str">
        <f ca="1">IFERROR(__xludf.DUMMYFUNCTION("""COMPUTED_VALUE"""),"Yes")</f>
        <v>Yes</v>
      </c>
      <c r="X754" s="5" t="str">
        <f ca="1">IFERROR(__xludf.DUMMYFUNCTION("""COMPUTED_VALUE"""),"Yes")</f>
        <v>Yes</v>
      </c>
      <c r="Y754" s="5" t="str">
        <f ca="1">IFERROR(__xludf.DUMMYFUNCTION("""COMPUTED_VALUE"""),"Yes")</f>
        <v>Yes</v>
      </c>
      <c r="Z754" s="5" t="str">
        <f ca="1">IFERROR(__xludf.DUMMYFUNCTION("""COMPUTED_VALUE"""),"Yes")</f>
        <v>Yes</v>
      </c>
      <c r="AA754" s="5" t="str">
        <f ca="1">IFERROR(__xludf.DUMMYFUNCTION("""COMPUTED_VALUE"""),"Yes")</f>
        <v>Yes</v>
      </c>
      <c r="AB754" s="5" t="str">
        <f ca="1">IFERROR(__xludf.DUMMYFUNCTION("""COMPUTED_VALUE"""),"Yes")</f>
        <v>Yes</v>
      </c>
      <c r="AC754" s="5" t="str">
        <f ca="1">IFERROR(__xludf.DUMMYFUNCTION("""COMPUTED_VALUE"""),"No")</f>
        <v>No</v>
      </c>
    </row>
    <row r="755" spans="1:29" x14ac:dyDescent="0.25">
      <c r="A755" s="5" t="str">
        <f ca="1">IFERROR(__xludf.DUMMYFUNCTION("""COMPUTED_VALUE"""),"ChilliBurst")</f>
        <v>ChilliBurst</v>
      </c>
      <c r="B7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5" s="5" t="str">
        <f ca="1">IFERROR(__xludf.DUMMYFUNCTION("""COMPUTED_VALUE"""),"Yes")</f>
        <v>Yes</v>
      </c>
      <c r="D755" s="5" t="str">
        <f ca="1">IFERROR(__xludf.DUMMYFUNCTION("""COMPUTED_VALUE"""),"Yes")</f>
        <v>Yes</v>
      </c>
      <c r="E755" s="5" t="str">
        <f ca="1">IFERROR(__xludf.DUMMYFUNCTION("""COMPUTED_VALUE"""),"Yes")</f>
        <v>Yes</v>
      </c>
      <c r="F755" s="5" t="str">
        <f ca="1">IFERROR(__xludf.DUMMYFUNCTION("""COMPUTED_VALUE"""),"Yes")</f>
        <v>Yes</v>
      </c>
      <c r="G755" s="5" t="str">
        <f ca="1">IFERROR(__xludf.DUMMYFUNCTION("""COMPUTED_VALUE"""),"Yes")</f>
        <v>Yes</v>
      </c>
      <c r="H755" s="5" t="str">
        <f ca="1">IFERROR(__xludf.DUMMYFUNCTION("""COMPUTED_VALUE"""),"Yes")</f>
        <v>Yes</v>
      </c>
      <c r="I755" s="5" t="str">
        <f ca="1">IFERROR(__xludf.DUMMYFUNCTION("""COMPUTED_VALUE"""),"Yes")</f>
        <v>Yes</v>
      </c>
      <c r="J755" s="5" t="str">
        <f ca="1">IFERROR(__xludf.DUMMYFUNCTION("""COMPUTED_VALUE"""),"Yes")</f>
        <v>Yes</v>
      </c>
      <c r="K755" s="5" t="str">
        <f ca="1">IFERROR(__xludf.DUMMYFUNCTION("""COMPUTED_VALUE"""),"Yes")</f>
        <v>Yes</v>
      </c>
      <c r="L755" s="5" t="str">
        <f ca="1">IFERROR(__xludf.DUMMYFUNCTION("""COMPUTED_VALUE"""),"Yes")</f>
        <v>Yes</v>
      </c>
      <c r="M755" s="5" t="str">
        <f ca="1">IFERROR(__xludf.DUMMYFUNCTION("""COMPUTED_VALUE"""),"Yes")</f>
        <v>Yes</v>
      </c>
      <c r="N755" s="5" t="str">
        <f ca="1">IFERROR(__xludf.DUMMYFUNCTION("""COMPUTED_VALUE"""),"Yes")</f>
        <v>Yes</v>
      </c>
      <c r="O755" s="5" t="str">
        <f ca="1">IFERROR(__xludf.DUMMYFUNCTION("""COMPUTED_VALUE"""),"Yes")</f>
        <v>Yes</v>
      </c>
      <c r="P755" s="5" t="str">
        <f ca="1">IFERROR(__xludf.DUMMYFUNCTION("""COMPUTED_VALUE"""),"Yes")</f>
        <v>Yes</v>
      </c>
      <c r="Q755" s="5" t="str">
        <f ca="1">IFERROR(__xludf.DUMMYFUNCTION("""COMPUTED_VALUE"""),"Yes")</f>
        <v>Yes</v>
      </c>
      <c r="R755" s="5" t="str">
        <f ca="1">IFERROR(__xludf.DUMMYFUNCTION("""COMPUTED_VALUE"""),"Yes")</f>
        <v>Yes</v>
      </c>
      <c r="S755" s="5" t="str">
        <f ca="1">IFERROR(__xludf.DUMMYFUNCTION("""COMPUTED_VALUE"""),"Yes")</f>
        <v>Yes</v>
      </c>
      <c r="T755" s="5" t="str">
        <f ca="1">IFERROR(__xludf.DUMMYFUNCTION("""COMPUTED_VALUE"""),"Yes")</f>
        <v>Yes</v>
      </c>
      <c r="U755" s="5" t="str">
        <f ca="1">IFERROR(__xludf.DUMMYFUNCTION("""COMPUTED_VALUE"""),"Yes")</f>
        <v>Yes</v>
      </c>
      <c r="V755" s="5" t="str">
        <f ca="1">IFERROR(__xludf.DUMMYFUNCTION("""COMPUTED_VALUE"""),"Yes")</f>
        <v>Yes</v>
      </c>
      <c r="W755" s="5" t="str">
        <f ca="1">IFERROR(__xludf.DUMMYFUNCTION("""COMPUTED_VALUE"""),"Yes")</f>
        <v>Yes</v>
      </c>
      <c r="X755" s="5" t="str">
        <f ca="1">IFERROR(__xludf.DUMMYFUNCTION("""COMPUTED_VALUE"""),"Yes")</f>
        <v>Yes</v>
      </c>
      <c r="Y755" s="5" t="str">
        <f ca="1">IFERROR(__xludf.DUMMYFUNCTION("""COMPUTED_VALUE"""),"Yes")</f>
        <v>Yes</v>
      </c>
      <c r="Z755" s="5" t="str">
        <f ca="1">IFERROR(__xludf.DUMMYFUNCTION("""COMPUTED_VALUE"""),"Yes")</f>
        <v>Yes</v>
      </c>
      <c r="AA755" s="5" t="str">
        <f ca="1">IFERROR(__xludf.DUMMYFUNCTION("""COMPUTED_VALUE"""),"Yes")</f>
        <v>Yes</v>
      </c>
      <c r="AB755" s="5" t="str">
        <f ca="1">IFERROR(__xludf.DUMMYFUNCTION("""COMPUTED_VALUE"""),"Yes")</f>
        <v>Yes</v>
      </c>
      <c r="AC755" s="5" t="str">
        <f ca="1">IFERROR(__xludf.DUMMYFUNCTION("""COMPUTED_VALUE"""),"No")</f>
        <v>No</v>
      </c>
    </row>
    <row r="756" spans="1:29" x14ac:dyDescent="0.25">
      <c r="A756" s="5" t="str">
        <f ca="1">IFERROR(__xludf.DUMMYFUNCTION("""COMPUTED_VALUE"""),"ExtremeStickyClover")</f>
        <v>ExtremeStickyClover</v>
      </c>
      <c r="B7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6" s="5" t="str">
        <f ca="1">IFERROR(__xludf.DUMMYFUNCTION("""COMPUTED_VALUE"""),"Yes")</f>
        <v>Yes</v>
      </c>
      <c r="D756" s="5" t="str">
        <f ca="1">IFERROR(__xludf.DUMMYFUNCTION("""COMPUTED_VALUE"""),"Yes")</f>
        <v>Yes</v>
      </c>
      <c r="E756" s="5" t="str">
        <f ca="1">IFERROR(__xludf.DUMMYFUNCTION("""COMPUTED_VALUE"""),"Yes")</f>
        <v>Yes</v>
      </c>
      <c r="F756" s="5" t="str">
        <f ca="1">IFERROR(__xludf.DUMMYFUNCTION("""COMPUTED_VALUE"""),"Yes")</f>
        <v>Yes</v>
      </c>
      <c r="G756" s="5" t="str">
        <f ca="1">IFERROR(__xludf.DUMMYFUNCTION("""COMPUTED_VALUE"""),"Yes")</f>
        <v>Yes</v>
      </c>
      <c r="H756" s="5" t="str">
        <f ca="1">IFERROR(__xludf.DUMMYFUNCTION("""COMPUTED_VALUE"""),"Yes")</f>
        <v>Yes</v>
      </c>
      <c r="I756" s="5" t="str">
        <f ca="1">IFERROR(__xludf.DUMMYFUNCTION("""COMPUTED_VALUE"""),"Yes")</f>
        <v>Yes</v>
      </c>
      <c r="J756" s="5" t="str">
        <f ca="1">IFERROR(__xludf.DUMMYFUNCTION("""COMPUTED_VALUE"""),"Yes")</f>
        <v>Yes</v>
      </c>
      <c r="K756" s="5" t="str">
        <f ca="1">IFERROR(__xludf.DUMMYFUNCTION("""COMPUTED_VALUE"""),"Yes")</f>
        <v>Yes</v>
      </c>
      <c r="L756" s="5" t="str">
        <f ca="1">IFERROR(__xludf.DUMMYFUNCTION("""COMPUTED_VALUE"""),"Yes")</f>
        <v>Yes</v>
      </c>
      <c r="M756" s="5" t="str">
        <f ca="1">IFERROR(__xludf.DUMMYFUNCTION("""COMPUTED_VALUE"""),"Yes")</f>
        <v>Yes</v>
      </c>
      <c r="N756" s="5" t="str">
        <f ca="1">IFERROR(__xludf.DUMMYFUNCTION("""COMPUTED_VALUE"""),"Yes")</f>
        <v>Yes</v>
      </c>
      <c r="O756" s="5" t="str">
        <f ca="1">IFERROR(__xludf.DUMMYFUNCTION("""COMPUTED_VALUE"""),"Yes")</f>
        <v>Yes</v>
      </c>
      <c r="P756" s="5" t="str">
        <f ca="1">IFERROR(__xludf.DUMMYFUNCTION("""COMPUTED_VALUE"""),"Yes")</f>
        <v>Yes</v>
      </c>
      <c r="Q756" s="5" t="str">
        <f ca="1">IFERROR(__xludf.DUMMYFUNCTION("""COMPUTED_VALUE"""),"Yes")</f>
        <v>Yes</v>
      </c>
      <c r="R756" s="5" t="str">
        <f ca="1">IFERROR(__xludf.DUMMYFUNCTION("""COMPUTED_VALUE"""),"Yes")</f>
        <v>Yes</v>
      </c>
      <c r="S756" s="5" t="str">
        <f ca="1">IFERROR(__xludf.DUMMYFUNCTION("""COMPUTED_VALUE"""),"Yes")</f>
        <v>Yes</v>
      </c>
      <c r="T756" s="5" t="str">
        <f ca="1">IFERROR(__xludf.DUMMYFUNCTION("""COMPUTED_VALUE"""),"Yes")</f>
        <v>Yes</v>
      </c>
      <c r="U756" s="5" t="str">
        <f ca="1">IFERROR(__xludf.DUMMYFUNCTION("""COMPUTED_VALUE"""),"Yes")</f>
        <v>Yes</v>
      </c>
      <c r="V756" s="5" t="str">
        <f ca="1">IFERROR(__xludf.DUMMYFUNCTION("""COMPUTED_VALUE"""),"Yes")</f>
        <v>Yes</v>
      </c>
      <c r="W756" s="5" t="str">
        <f ca="1">IFERROR(__xludf.DUMMYFUNCTION("""COMPUTED_VALUE"""),"Yes")</f>
        <v>Yes</v>
      </c>
      <c r="X756" s="5" t="str">
        <f ca="1">IFERROR(__xludf.DUMMYFUNCTION("""COMPUTED_VALUE"""),"Yes")</f>
        <v>Yes</v>
      </c>
      <c r="Y756" s="5" t="str">
        <f ca="1">IFERROR(__xludf.DUMMYFUNCTION("""COMPUTED_VALUE"""),"Yes")</f>
        <v>Yes</v>
      </c>
      <c r="Z756" s="5" t="str">
        <f ca="1">IFERROR(__xludf.DUMMYFUNCTION("""COMPUTED_VALUE"""),"Yes")</f>
        <v>Yes</v>
      </c>
      <c r="AA756" s="5" t="str">
        <f ca="1">IFERROR(__xludf.DUMMYFUNCTION("""COMPUTED_VALUE"""),"Yes")</f>
        <v>Yes</v>
      </c>
      <c r="AB756" s="5" t="str">
        <f ca="1">IFERROR(__xludf.DUMMYFUNCTION("""COMPUTED_VALUE"""),"Yes")</f>
        <v>Yes</v>
      </c>
      <c r="AC756" s="5" t="str">
        <f ca="1">IFERROR(__xludf.DUMMYFUNCTION("""COMPUTED_VALUE"""),"No")</f>
        <v>No</v>
      </c>
    </row>
    <row r="757" spans="1:29" x14ac:dyDescent="0.25">
      <c r="A757" s="5" t="str">
        <f ca="1">IFERROR(__xludf.DUMMYFUNCTION("""COMPUTED_VALUE"""),"ExtremeHeat7s")</f>
        <v>ExtremeHeat7s</v>
      </c>
      <c r="B7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7" s="5" t="str">
        <f ca="1">IFERROR(__xludf.DUMMYFUNCTION("""COMPUTED_VALUE"""),"Yes")</f>
        <v>Yes</v>
      </c>
      <c r="D757" s="5" t="str">
        <f ca="1">IFERROR(__xludf.DUMMYFUNCTION("""COMPUTED_VALUE"""),"Yes")</f>
        <v>Yes</v>
      </c>
      <c r="E757" s="5" t="str">
        <f ca="1">IFERROR(__xludf.DUMMYFUNCTION("""COMPUTED_VALUE"""),"Yes")</f>
        <v>Yes</v>
      </c>
      <c r="F757" s="5" t="str">
        <f ca="1">IFERROR(__xludf.DUMMYFUNCTION("""COMPUTED_VALUE"""),"Yes")</f>
        <v>Yes</v>
      </c>
      <c r="G757" s="5" t="str">
        <f ca="1">IFERROR(__xludf.DUMMYFUNCTION("""COMPUTED_VALUE"""),"Yes")</f>
        <v>Yes</v>
      </c>
      <c r="H757" s="5" t="str">
        <f ca="1">IFERROR(__xludf.DUMMYFUNCTION("""COMPUTED_VALUE"""),"Yes")</f>
        <v>Yes</v>
      </c>
      <c r="I757" s="5" t="str">
        <f ca="1">IFERROR(__xludf.DUMMYFUNCTION("""COMPUTED_VALUE"""),"Yes")</f>
        <v>Yes</v>
      </c>
      <c r="J757" s="5" t="str">
        <f ca="1">IFERROR(__xludf.DUMMYFUNCTION("""COMPUTED_VALUE"""),"Yes")</f>
        <v>Yes</v>
      </c>
      <c r="K757" s="5" t="str">
        <f ca="1">IFERROR(__xludf.DUMMYFUNCTION("""COMPUTED_VALUE"""),"Yes")</f>
        <v>Yes</v>
      </c>
      <c r="L757" s="5" t="str">
        <f ca="1">IFERROR(__xludf.DUMMYFUNCTION("""COMPUTED_VALUE"""),"Yes")</f>
        <v>Yes</v>
      </c>
      <c r="M757" s="5" t="str">
        <f ca="1">IFERROR(__xludf.DUMMYFUNCTION("""COMPUTED_VALUE"""),"Yes")</f>
        <v>Yes</v>
      </c>
      <c r="N757" s="5" t="str">
        <f ca="1">IFERROR(__xludf.DUMMYFUNCTION("""COMPUTED_VALUE"""),"Yes")</f>
        <v>Yes</v>
      </c>
      <c r="O757" s="5" t="str">
        <f ca="1">IFERROR(__xludf.DUMMYFUNCTION("""COMPUTED_VALUE"""),"Yes")</f>
        <v>Yes</v>
      </c>
      <c r="P757" s="5" t="str">
        <f ca="1">IFERROR(__xludf.DUMMYFUNCTION("""COMPUTED_VALUE"""),"Yes")</f>
        <v>Yes</v>
      </c>
      <c r="Q757" s="5" t="str">
        <f ca="1">IFERROR(__xludf.DUMMYFUNCTION("""COMPUTED_VALUE"""),"Yes")</f>
        <v>Yes</v>
      </c>
      <c r="R757" s="5" t="str">
        <f ca="1">IFERROR(__xludf.DUMMYFUNCTION("""COMPUTED_VALUE"""),"Yes")</f>
        <v>Yes</v>
      </c>
      <c r="S757" s="5" t="str">
        <f ca="1">IFERROR(__xludf.DUMMYFUNCTION("""COMPUTED_VALUE"""),"Yes")</f>
        <v>Yes</v>
      </c>
      <c r="T757" s="5" t="str">
        <f ca="1">IFERROR(__xludf.DUMMYFUNCTION("""COMPUTED_VALUE"""),"Yes")</f>
        <v>Yes</v>
      </c>
      <c r="U757" s="5" t="str">
        <f ca="1">IFERROR(__xludf.DUMMYFUNCTION("""COMPUTED_VALUE"""),"Yes")</f>
        <v>Yes</v>
      </c>
      <c r="V757" s="5" t="str">
        <f ca="1">IFERROR(__xludf.DUMMYFUNCTION("""COMPUTED_VALUE"""),"Yes")</f>
        <v>Yes</v>
      </c>
      <c r="W757" s="5" t="str">
        <f ca="1">IFERROR(__xludf.DUMMYFUNCTION("""COMPUTED_VALUE"""),"Yes")</f>
        <v>Yes</v>
      </c>
      <c r="X757" s="5" t="str">
        <f ca="1">IFERROR(__xludf.DUMMYFUNCTION("""COMPUTED_VALUE"""),"Yes")</f>
        <v>Yes</v>
      </c>
      <c r="Y757" s="5" t="str">
        <f ca="1">IFERROR(__xludf.DUMMYFUNCTION("""COMPUTED_VALUE"""),"Yes")</f>
        <v>Yes</v>
      </c>
      <c r="Z757" s="5" t="str">
        <f ca="1">IFERROR(__xludf.DUMMYFUNCTION("""COMPUTED_VALUE"""),"Yes")</f>
        <v>Yes</v>
      </c>
      <c r="AA757" s="5" t="str">
        <f ca="1">IFERROR(__xludf.DUMMYFUNCTION("""COMPUTED_VALUE"""),"Yes")</f>
        <v>Yes</v>
      </c>
      <c r="AB757" s="5" t="str">
        <f ca="1">IFERROR(__xludf.DUMMYFUNCTION("""COMPUTED_VALUE"""),"Yes")</f>
        <v>Yes</v>
      </c>
      <c r="AC757" s="5" t="str">
        <f ca="1">IFERROR(__xludf.DUMMYFUNCTION("""COMPUTED_VALUE"""),"No")</f>
        <v>No</v>
      </c>
    </row>
    <row r="758" spans="1:29" x14ac:dyDescent="0.25">
      <c r="A758" s="5" t="str">
        <f ca="1">IFERROR(__xludf.DUMMYFUNCTION("""COMPUTED_VALUE"""),"BonusWild81Extralines")</f>
        <v>BonusWild81Extralines</v>
      </c>
      <c r="B7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8" s="5" t="str">
        <f ca="1">IFERROR(__xludf.DUMMYFUNCTION("""COMPUTED_VALUE"""),"Yes")</f>
        <v>Yes</v>
      </c>
      <c r="D758" s="5" t="str">
        <f ca="1">IFERROR(__xludf.DUMMYFUNCTION("""COMPUTED_VALUE"""),"Yes")</f>
        <v>Yes</v>
      </c>
      <c r="E758" s="5" t="str">
        <f ca="1">IFERROR(__xludf.DUMMYFUNCTION("""COMPUTED_VALUE"""),"Yes")</f>
        <v>Yes</v>
      </c>
      <c r="F758" s="5" t="str">
        <f ca="1">IFERROR(__xludf.DUMMYFUNCTION("""COMPUTED_VALUE"""),"Yes")</f>
        <v>Yes</v>
      </c>
      <c r="G758" s="5" t="str">
        <f ca="1">IFERROR(__xludf.DUMMYFUNCTION("""COMPUTED_VALUE"""),"Yes")</f>
        <v>Yes</v>
      </c>
      <c r="H758" s="5" t="str">
        <f ca="1">IFERROR(__xludf.DUMMYFUNCTION("""COMPUTED_VALUE"""),"Yes")</f>
        <v>Yes</v>
      </c>
      <c r="I758" s="5" t="str">
        <f ca="1">IFERROR(__xludf.DUMMYFUNCTION("""COMPUTED_VALUE"""),"Yes")</f>
        <v>Yes</v>
      </c>
      <c r="J758" s="5" t="str">
        <f ca="1">IFERROR(__xludf.DUMMYFUNCTION("""COMPUTED_VALUE"""),"Yes")</f>
        <v>Yes</v>
      </c>
      <c r="K758" s="5" t="str">
        <f ca="1">IFERROR(__xludf.DUMMYFUNCTION("""COMPUTED_VALUE"""),"Yes")</f>
        <v>Yes</v>
      </c>
      <c r="L758" s="5" t="str">
        <f ca="1">IFERROR(__xludf.DUMMYFUNCTION("""COMPUTED_VALUE"""),"Yes")</f>
        <v>Yes</v>
      </c>
      <c r="M758" s="5" t="str">
        <f ca="1">IFERROR(__xludf.DUMMYFUNCTION("""COMPUTED_VALUE"""),"Yes")</f>
        <v>Yes</v>
      </c>
      <c r="N758" s="5" t="str">
        <f ca="1">IFERROR(__xludf.DUMMYFUNCTION("""COMPUTED_VALUE"""),"Yes")</f>
        <v>Yes</v>
      </c>
      <c r="O758" s="5" t="str">
        <f ca="1">IFERROR(__xludf.DUMMYFUNCTION("""COMPUTED_VALUE"""),"Yes")</f>
        <v>Yes</v>
      </c>
      <c r="P758" s="5" t="str">
        <f ca="1">IFERROR(__xludf.DUMMYFUNCTION("""COMPUTED_VALUE"""),"Yes")</f>
        <v>Yes</v>
      </c>
      <c r="Q758" s="5" t="str">
        <f ca="1">IFERROR(__xludf.DUMMYFUNCTION("""COMPUTED_VALUE"""),"Yes")</f>
        <v>Yes</v>
      </c>
      <c r="R758" s="5" t="str">
        <f ca="1">IFERROR(__xludf.DUMMYFUNCTION("""COMPUTED_VALUE"""),"Yes")</f>
        <v>Yes</v>
      </c>
      <c r="S758" s="5" t="str">
        <f ca="1">IFERROR(__xludf.DUMMYFUNCTION("""COMPUTED_VALUE"""),"Yes")</f>
        <v>Yes</v>
      </c>
      <c r="T758" s="5" t="str">
        <f ca="1">IFERROR(__xludf.DUMMYFUNCTION("""COMPUTED_VALUE"""),"Yes")</f>
        <v>Yes</v>
      </c>
      <c r="U758" s="5" t="str">
        <f ca="1">IFERROR(__xludf.DUMMYFUNCTION("""COMPUTED_VALUE"""),"Yes")</f>
        <v>Yes</v>
      </c>
      <c r="V758" s="5" t="str">
        <f ca="1">IFERROR(__xludf.DUMMYFUNCTION("""COMPUTED_VALUE"""),"Yes")</f>
        <v>Yes</v>
      </c>
      <c r="W758" s="5" t="str">
        <f ca="1">IFERROR(__xludf.DUMMYFUNCTION("""COMPUTED_VALUE"""),"Yes")</f>
        <v>Yes</v>
      </c>
      <c r="X758" s="5" t="str">
        <f ca="1">IFERROR(__xludf.DUMMYFUNCTION("""COMPUTED_VALUE"""),"Yes")</f>
        <v>Yes</v>
      </c>
      <c r="Y758" s="5" t="str">
        <f ca="1">IFERROR(__xludf.DUMMYFUNCTION("""COMPUTED_VALUE"""),"Yes")</f>
        <v>Yes</v>
      </c>
      <c r="Z758" s="5" t="str">
        <f ca="1">IFERROR(__xludf.DUMMYFUNCTION("""COMPUTED_VALUE"""),"Yes")</f>
        <v>Yes</v>
      </c>
      <c r="AA758" s="5" t="str">
        <f ca="1">IFERROR(__xludf.DUMMYFUNCTION("""COMPUTED_VALUE"""),"Yes")</f>
        <v>Yes</v>
      </c>
      <c r="AB758" s="5" t="str">
        <f ca="1">IFERROR(__xludf.DUMMYFUNCTION("""COMPUTED_VALUE"""),"Yes")</f>
        <v>Yes</v>
      </c>
      <c r="AC758" s="5" t="str">
        <f ca="1">IFERROR(__xludf.DUMMYFUNCTION("""COMPUTED_VALUE"""),"No")</f>
        <v>No</v>
      </c>
    </row>
    <row r="759" spans="1:29" x14ac:dyDescent="0.25">
      <c r="A759" s="5" t="str">
        <f ca="1">IFERROR(__xludf.DUMMYFUNCTION("""COMPUTED_VALUE"""),"UnicornFlamyFireballs")</f>
        <v>UnicornFlamyFireballs</v>
      </c>
      <c r="B7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9" s="5" t="str">
        <f ca="1">IFERROR(__xludf.DUMMYFUNCTION("""COMPUTED_VALUE"""),"Yes")</f>
        <v>Yes</v>
      </c>
      <c r="D759" s="5" t="str">
        <f ca="1">IFERROR(__xludf.DUMMYFUNCTION("""COMPUTED_VALUE"""),"Yes")</f>
        <v>Yes</v>
      </c>
      <c r="E759" s="5" t="str">
        <f ca="1">IFERROR(__xludf.DUMMYFUNCTION("""COMPUTED_VALUE"""),"Yes")</f>
        <v>Yes</v>
      </c>
      <c r="F759" s="5" t="str">
        <f ca="1">IFERROR(__xludf.DUMMYFUNCTION("""COMPUTED_VALUE"""),"Yes")</f>
        <v>Yes</v>
      </c>
      <c r="G759" s="5" t="str">
        <f ca="1">IFERROR(__xludf.DUMMYFUNCTION("""COMPUTED_VALUE"""),"Yes")</f>
        <v>Yes</v>
      </c>
      <c r="H759" s="5" t="str">
        <f ca="1">IFERROR(__xludf.DUMMYFUNCTION("""COMPUTED_VALUE"""),"Yes")</f>
        <v>Yes</v>
      </c>
      <c r="I759" s="5" t="str">
        <f ca="1">IFERROR(__xludf.DUMMYFUNCTION("""COMPUTED_VALUE"""),"Yes")</f>
        <v>Yes</v>
      </c>
      <c r="J759" s="5" t="str">
        <f ca="1">IFERROR(__xludf.DUMMYFUNCTION("""COMPUTED_VALUE"""),"Yes")</f>
        <v>Yes</v>
      </c>
      <c r="K759" s="5" t="str">
        <f ca="1">IFERROR(__xludf.DUMMYFUNCTION("""COMPUTED_VALUE"""),"Yes")</f>
        <v>Yes</v>
      </c>
      <c r="L759" s="5" t="str">
        <f ca="1">IFERROR(__xludf.DUMMYFUNCTION("""COMPUTED_VALUE"""),"Yes")</f>
        <v>Yes</v>
      </c>
      <c r="M759" s="5" t="str">
        <f ca="1">IFERROR(__xludf.DUMMYFUNCTION("""COMPUTED_VALUE"""),"Yes")</f>
        <v>Yes</v>
      </c>
      <c r="N759" s="5" t="str">
        <f ca="1">IFERROR(__xludf.DUMMYFUNCTION("""COMPUTED_VALUE"""),"Yes")</f>
        <v>Yes</v>
      </c>
      <c r="O759" s="5" t="str">
        <f ca="1">IFERROR(__xludf.DUMMYFUNCTION("""COMPUTED_VALUE"""),"Yes")</f>
        <v>Yes</v>
      </c>
      <c r="P759" s="5" t="str">
        <f ca="1">IFERROR(__xludf.DUMMYFUNCTION("""COMPUTED_VALUE"""),"Yes")</f>
        <v>Yes</v>
      </c>
      <c r="Q759" s="5" t="str">
        <f ca="1">IFERROR(__xludf.DUMMYFUNCTION("""COMPUTED_VALUE"""),"Yes")</f>
        <v>Yes</v>
      </c>
      <c r="R759" s="5" t="str">
        <f ca="1">IFERROR(__xludf.DUMMYFUNCTION("""COMPUTED_VALUE"""),"Yes")</f>
        <v>Yes</v>
      </c>
      <c r="S759" s="5" t="str">
        <f ca="1">IFERROR(__xludf.DUMMYFUNCTION("""COMPUTED_VALUE"""),"Yes")</f>
        <v>Yes</v>
      </c>
      <c r="T759" s="5" t="str">
        <f ca="1">IFERROR(__xludf.DUMMYFUNCTION("""COMPUTED_VALUE"""),"Yes")</f>
        <v>Yes</v>
      </c>
      <c r="U759" s="5" t="str">
        <f ca="1">IFERROR(__xludf.DUMMYFUNCTION("""COMPUTED_VALUE"""),"Yes")</f>
        <v>Yes</v>
      </c>
      <c r="V759" s="5" t="str">
        <f ca="1">IFERROR(__xludf.DUMMYFUNCTION("""COMPUTED_VALUE"""),"Yes")</f>
        <v>Yes</v>
      </c>
      <c r="W759" s="5" t="str">
        <f ca="1">IFERROR(__xludf.DUMMYFUNCTION("""COMPUTED_VALUE"""),"Yes")</f>
        <v>Yes</v>
      </c>
      <c r="X759" s="5" t="str">
        <f ca="1">IFERROR(__xludf.DUMMYFUNCTION("""COMPUTED_VALUE"""),"Yes")</f>
        <v>Yes</v>
      </c>
      <c r="Y759" s="5" t="str">
        <f ca="1">IFERROR(__xludf.DUMMYFUNCTION("""COMPUTED_VALUE"""),"Yes")</f>
        <v>Yes</v>
      </c>
      <c r="Z759" s="5" t="str">
        <f ca="1">IFERROR(__xludf.DUMMYFUNCTION("""COMPUTED_VALUE"""),"Yes")</f>
        <v>Yes</v>
      </c>
      <c r="AA759" s="5" t="str">
        <f ca="1">IFERROR(__xludf.DUMMYFUNCTION("""COMPUTED_VALUE"""),"Yes")</f>
        <v>Yes</v>
      </c>
      <c r="AB759" s="5" t="str">
        <f ca="1">IFERROR(__xludf.DUMMYFUNCTION("""COMPUTED_VALUE"""),"Yes")</f>
        <v>Yes</v>
      </c>
      <c r="AC759" s="5" t="str">
        <f ca="1">IFERROR(__xludf.DUMMYFUNCTION("""COMPUTED_VALUE"""),"No")</f>
        <v>No</v>
      </c>
    </row>
    <row r="760" spans="1:29" x14ac:dyDescent="0.25">
      <c r="A760" s="5" t="str">
        <f ca="1">IFERROR(__xludf.DUMMYFUNCTION("""COMPUTED_VALUE"""),"UnicornFruitPlayDice")</f>
        <v>UnicornFruitPlayDice</v>
      </c>
      <c r="B7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0" s="5" t="str">
        <f ca="1">IFERROR(__xludf.DUMMYFUNCTION("""COMPUTED_VALUE"""),"Yes")</f>
        <v>Yes</v>
      </c>
      <c r="D760" s="5" t="str">
        <f ca="1">IFERROR(__xludf.DUMMYFUNCTION("""COMPUTED_VALUE"""),"Yes")</f>
        <v>Yes</v>
      </c>
      <c r="E760" s="5" t="str">
        <f ca="1">IFERROR(__xludf.DUMMYFUNCTION("""COMPUTED_VALUE"""),"Yes")</f>
        <v>Yes</v>
      </c>
      <c r="F760" s="5" t="str">
        <f ca="1">IFERROR(__xludf.DUMMYFUNCTION("""COMPUTED_VALUE"""),"Yes")</f>
        <v>Yes</v>
      </c>
      <c r="G760" s="5" t="str">
        <f ca="1">IFERROR(__xludf.DUMMYFUNCTION("""COMPUTED_VALUE"""),"Yes")</f>
        <v>Yes</v>
      </c>
      <c r="H760" s="5" t="str">
        <f ca="1">IFERROR(__xludf.DUMMYFUNCTION("""COMPUTED_VALUE"""),"Yes")</f>
        <v>Yes</v>
      </c>
      <c r="I760" s="5" t="str">
        <f ca="1">IFERROR(__xludf.DUMMYFUNCTION("""COMPUTED_VALUE"""),"Yes")</f>
        <v>Yes</v>
      </c>
      <c r="J760" s="5" t="str">
        <f ca="1">IFERROR(__xludf.DUMMYFUNCTION("""COMPUTED_VALUE"""),"Yes")</f>
        <v>Yes</v>
      </c>
      <c r="K760" s="5" t="str">
        <f ca="1">IFERROR(__xludf.DUMMYFUNCTION("""COMPUTED_VALUE"""),"Yes")</f>
        <v>Yes</v>
      </c>
      <c r="L760" s="5" t="str">
        <f ca="1">IFERROR(__xludf.DUMMYFUNCTION("""COMPUTED_VALUE"""),"Yes")</f>
        <v>Yes</v>
      </c>
      <c r="M760" s="5" t="str">
        <f ca="1">IFERROR(__xludf.DUMMYFUNCTION("""COMPUTED_VALUE"""),"Yes")</f>
        <v>Yes</v>
      </c>
      <c r="N760" s="5" t="str">
        <f ca="1">IFERROR(__xludf.DUMMYFUNCTION("""COMPUTED_VALUE"""),"Yes")</f>
        <v>Yes</v>
      </c>
      <c r="O760" s="5" t="str">
        <f ca="1">IFERROR(__xludf.DUMMYFUNCTION("""COMPUTED_VALUE"""),"Yes")</f>
        <v>Yes</v>
      </c>
      <c r="P760" s="5" t="str">
        <f ca="1">IFERROR(__xludf.DUMMYFUNCTION("""COMPUTED_VALUE"""),"Yes")</f>
        <v>Yes</v>
      </c>
      <c r="Q760" s="5" t="str">
        <f ca="1">IFERROR(__xludf.DUMMYFUNCTION("""COMPUTED_VALUE"""),"Yes")</f>
        <v>Yes</v>
      </c>
      <c r="R760" s="5" t="str">
        <f ca="1">IFERROR(__xludf.DUMMYFUNCTION("""COMPUTED_VALUE"""),"Yes")</f>
        <v>Yes</v>
      </c>
      <c r="S760" s="5" t="str">
        <f ca="1">IFERROR(__xludf.DUMMYFUNCTION("""COMPUTED_VALUE"""),"Yes")</f>
        <v>Yes</v>
      </c>
      <c r="T760" s="5" t="str">
        <f ca="1">IFERROR(__xludf.DUMMYFUNCTION("""COMPUTED_VALUE"""),"Yes")</f>
        <v>Yes</v>
      </c>
      <c r="U760" s="5" t="str">
        <f ca="1">IFERROR(__xludf.DUMMYFUNCTION("""COMPUTED_VALUE"""),"Yes")</f>
        <v>Yes</v>
      </c>
      <c r="V760" s="5" t="str">
        <f ca="1">IFERROR(__xludf.DUMMYFUNCTION("""COMPUTED_VALUE"""),"Yes")</f>
        <v>Yes</v>
      </c>
      <c r="W760" s="5" t="str">
        <f ca="1">IFERROR(__xludf.DUMMYFUNCTION("""COMPUTED_VALUE"""),"Yes")</f>
        <v>Yes</v>
      </c>
      <c r="X760" s="5" t="str">
        <f ca="1">IFERROR(__xludf.DUMMYFUNCTION("""COMPUTED_VALUE"""),"Yes")</f>
        <v>Yes</v>
      </c>
      <c r="Y760" s="5" t="str">
        <f ca="1">IFERROR(__xludf.DUMMYFUNCTION("""COMPUTED_VALUE"""),"Yes")</f>
        <v>Yes</v>
      </c>
      <c r="Z760" s="5" t="str">
        <f ca="1">IFERROR(__xludf.DUMMYFUNCTION("""COMPUTED_VALUE"""),"Yes")</f>
        <v>Yes</v>
      </c>
      <c r="AA760" s="5" t="str">
        <f ca="1">IFERROR(__xludf.DUMMYFUNCTION("""COMPUTED_VALUE"""),"Yes")</f>
        <v>Yes</v>
      </c>
      <c r="AB760" s="5" t="str">
        <f ca="1">IFERROR(__xludf.DUMMYFUNCTION("""COMPUTED_VALUE"""),"Yes")</f>
        <v>Yes</v>
      </c>
      <c r="AC760" s="5" t="str">
        <f ca="1">IFERROR(__xludf.DUMMYFUNCTION("""COMPUTED_VALUE"""),"No")</f>
        <v>No</v>
      </c>
    </row>
    <row r="761" spans="1:29" x14ac:dyDescent="0.25">
      <c r="A761" s="5" t="str">
        <f ca="1">IFERROR(__xludf.DUMMYFUNCTION("""COMPUTED_VALUE"""),"UnicornSpinTheSevens")</f>
        <v>UnicornSpinTheSevens</v>
      </c>
      <c r="B761" s="5" t="str">
        <f ca="1">IFERROR(__xludf.DUMMYFUNCTION("""COMPUTED_VALUE"""),"English(""eng"")")</f>
        <v>English("eng")</v>
      </c>
      <c r="C761" s="5" t="str">
        <f ca="1">IFERROR(__xludf.DUMMYFUNCTION("""COMPUTED_VALUE"""),"Yes")</f>
        <v>Yes</v>
      </c>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spans="1:29" x14ac:dyDescent="0.25">
      <c r="A762" s="5" t="str">
        <f ca="1">IFERROR(__xludf.DUMMYFUNCTION("""COMPUTED_VALUE"""),"UnicornCrazyWildSevens")</f>
        <v>UnicornCrazyWildSevens</v>
      </c>
      <c r="B762" s="5" t="str">
        <f ca="1">IFERROR(__xludf.DUMMYFUNCTION("""COMPUTED_VALUE"""),"English(""eng"")")</f>
        <v>English("eng")</v>
      </c>
      <c r="C762" s="5" t="str">
        <f ca="1">IFERROR(__xludf.DUMMYFUNCTION("""COMPUTED_VALUE"""),"Yes")</f>
        <v>Yes</v>
      </c>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spans="1:29" x14ac:dyDescent="0.25">
      <c r="A763" s="5" t="str">
        <f ca="1">IFERROR(__xludf.DUMMYFUNCTION("""COMPUTED_VALUE"""),"UnicornSunOfTheNile")</f>
        <v>UnicornSunOfTheNile</v>
      </c>
      <c r="B763" s="5" t="str">
        <f ca="1">IFERROR(__xludf.DUMMYFUNCTION("""COMPUTED_VALUE"""),"English(""eng"")")</f>
        <v>English("eng")</v>
      </c>
      <c r="C763" s="5" t="str">
        <f ca="1">IFERROR(__xludf.DUMMYFUNCTION("""COMPUTED_VALUE"""),"Yes")</f>
        <v>Yes</v>
      </c>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spans="1:29" x14ac:dyDescent="0.25">
      <c r="A764" s="5" t="str">
        <f ca="1">IFERROR(__xludf.DUMMYFUNCTION("""COMPUTED_VALUE"""),"UnicornDazzleFireballs")</f>
        <v>UnicornDazzleFireballs</v>
      </c>
      <c r="B764" s="5" t="str">
        <f ca="1">IFERROR(__xludf.DUMMYFUNCTION("""COMPUTED_VALUE"""),"English(""eng"")")</f>
        <v>English("eng")</v>
      </c>
      <c r="C764" s="5" t="str">
        <f ca="1">IFERROR(__xludf.DUMMYFUNCTION("""COMPUTED_VALUE"""),"Yes")</f>
        <v>Yes</v>
      </c>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spans="1:29" x14ac:dyDescent="0.25">
      <c r="A765" s="5" t="str">
        <f ca="1">IFERROR(__xludf.DUMMYFUNCTION("""COMPUTED_VALUE"""),"UnicornSevensPayDice")</f>
        <v>UnicornSevensPayDice</v>
      </c>
      <c r="B765" s="5" t="str">
        <f ca="1">IFERROR(__xludf.DUMMYFUNCTION("""COMPUTED_VALUE"""),"English(""eng"")")</f>
        <v>English("eng")</v>
      </c>
      <c r="C765" s="5" t="str">
        <f ca="1">IFERROR(__xludf.DUMMYFUNCTION("""COMPUTED_VALUE"""),"Yes")</f>
        <v>Yes</v>
      </c>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spans="1:29" x14ac:dyDescent="0.25">
      <c r="A766" s="5" t="str">
        <f ca="1">IFERROR(__xludf.DUMMYFUNCTION("""COMPUTED_VALUE"""),"UnicornFruituristicSevens")</f>
        <v>UnicornFruituristicSevens</v>
      </c>
      <c r="B766" s="5" t="str">
        <f ca="1">IFERROR(__xludf.DUMMYFUNCTION("""COMPUTED_VALUE"""),"")</f>
        <v/>
      </c>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spans="1:29" x14ac:dyDescent="0.25">
      <c r="A767" s="5" t="str">
        <f ca="1">IFERROR(__xludf.DUMMYFUNCTION("""COMPUTED_VALUE"""),"TBD")</f>
        <v>TBD</v>
      </c>
      <c r="B767" s="5" t="str">
        <f ca="1">IFERROR(__xludf.DUMMYFUNCTION("""COMPUTED_VALUE"""),"")</f>
        <v/>
      </c>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spans="1:29" x14ac:dyDescent="0.25">
      <c r="A768" s="5" t="str">
        <f ca="1">IFERROR(__xludf.DUMMYFUNCTION("""COMPUTED_VALUE"""),"TBD")</f>
        <v>TBD</v>
      </c>
      <c r="B768" s="5" t="str">
        <f ca="1">IFERROR(__xludf.DUMMYFUNCTION("""COMPUTED_VALUE"""),"")</f>
        <v/>
      </c>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spans="1:29" x14ac:dyDescent="0.25">
      <c r="A769" s="5" t="str">
        <f ca="1">IFERROR(__xludf.DUMMYFUNCTION("""COMPUTED_VALUE"""),"TBD")</f>
        <v>TBD</v>
      </c>
      <c r="B769" s="5" t="str">
        <f ca="1">IFERROR(__xludf.DUMMYFUNCTION("""COMPUTED_VALUE"""),"")</f>
        <v/>
      </c>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spans="1:29" x14ac:dyDescent="0.25">
      <c r="A770" s="5" t="str">
        <f ca="1">IFERROR(__xludf.DUMMYFUNCTION("""COMPUTED_VALUE"""),"TBD")</f>
        <v>TBD</v>
      </c>
      <c r="B770" s="5" t="str">
        <f ca="1">IFERROR(__xludf.DUMMYFUNCTION("""COMPUTED_VALUE"""),"")</f>
        <v/>
      </c>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spans="1:29" x14ac:dyDescent="0.25">
      <c r="A771" s="5" t="str">
        <f ca="1">IFERROR(__xludf.DUMMYFUNCTION("""COMPUTED_VALUE"""),"TBD")</f>
        <v>TBD</v>
      </c>
      <c r="B771" s="5" t="str">
        <f ca="1">IFERROR(__xludf.DUMMYFUNCTION("""COMPUTED_VALUE"""),"")</f>
        <v/>
      </c>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spans="1:29" x14ac:dyDescent="0.25">
      <c r="A772" s="5" t="str">
        <f ca="1">IFERROR(__xludf.DUMMYFUNCTION("""COMPUTED_VALUE"""),"TBD")</f>
        <v>TBD</v>
      </c>
      <c r="B772" s="5" t="str">
        <f ca="1">IFERROR(__xludf.DUMMYFUNCTION("""COMPUTED_VALUE"""),"")</f>
        <v/>
      </c>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spans="1:29" x14ac:dyDescent="0.25">
      <c r="A773" s="5" t="str">
        <f ca="1">IFERROR(__xludf.DUMMYFUNCTION("""COMPUTED_VALUE"""),"SokoDoubleHotChili")</f>
        <v>SokoDoubleHotChili</v>
      </c>
      <c r="B773" s="5" t="str">
        <f ca="1">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C773" s="5" t="str">
        <f ca="1">IFERROR(__xludf.DUMMYFUNCTION("""COMPUTED_VALUE"""),"Yes")</f>
        <v>Yes</v>
      </c>
      <c r="D773" s="5" t="str">
        <f ca="1">IFERROR(__xludf.DUMMYFUNCTION("""COMPUTED_VALUE"""),"Yes")</f>
        <v>Yes</v>
      </c>
      <c r="E773" s="5" t="str">
        <f ca="1">IFERROR(__xludf.DUMMYFUNCTION("""COMPUTED_VALUE"""),"Yes")</f>
        <v>Yes</v>
      </c>
      <c r="F773" s="5" t="str">
        <f ca="1">IFERROR(__xludf.DUMMYFUNCTION("""COMPUTED_VALUE"""),"Yes")</f>
        <v>Yes</v>
      </c>
      <c r="G773" s="5" t="str">
        <f ca="1">IFERROR(__xludf.DUMMYFUNCTION("""COMPUTED_VALUE"""),"Yes")</f>
        <v>Yes</v>
      </c>
      <c r="H773" s="5" t="str">
        <f ca="1">IFERROR(__xludf.DUMMYFUNCTION("""COMPUTED_VALUE"""),"Yes")</f>
        <v>Yes</v>
      </c>
      <c r="I773" s="5" t="str">
        <f ca="1">IFERROR(__xludf.DUMMYFUNCTION("""COMPUTED_VALUE"""),"Yes")</f>
        <v>Yes</v>
      </c>
      <c r="J773" s="5" t="str">
        <f ca="1">IFERROR(__xludf.DUMMYFUNCTION("""COMPUTED_VALUE"""),"Yes")</f>
        <v>Yes</v>
      </c>
      <c r="K773" s="5" t="str">
        <f ca="1">IFERROR(__xludf.DUMMYFUNCTION("""COMPUTED_VALUE"""),"Yes")</f>
        <v>Yes</v>
      </c>
      <c r="L773" s="5" t="str">
        <f ca="1">IFERROR(__xludf.DUMMYFUNCTION("""COMPUTED_VALUE"""),"Yes")</f>
        <v>Yes</v>
      </c>
      <c r="M773" s="5" t="str">
        <f ca="1">IFERROR(__xludf.DUMMYFUNCTION("""COMPUTED_VALUE"""),"Yes")</f>
        <v>Yes</v>
      </c>
      <c r="N773" s="5" t="str">
        <f ca="1">IFERROR(__xludf.DUMMYFUNCTION("""COMPUTED_VALUE"""),"Yes")</f>
        <v>Yes</v>
      </c>
      <c r="O773" s="5" t="str">
        <f ca="1">IFERROR(__xludf.DUMMYFUNCTION("""COMPUTED_VALUE"""),"Yes")</f>
        <v>Yes</v>
      </c>
      <c r="P773" s="5" t="str">
        <f ca="1">IFERROR(__xludf.DUMMYFUNCTION("""COMPUTED_VALUE"""),"No")</f>
        <v>No</v>
      </c>
      <c r="Q773" s="5" t="str">
        <f ca="1">IFERROR(__xludf.DUMMYFUNCTION("""COMPUTED_VALUE"""),"Yes")</f>
        <v>Yes</v>
      </c>
      <c r="R773" s="5" t="str">
        <f ca="1">IFERROR(__xludf.DUMMYFUNCTION("""COMPUTED_VALUE"""),"No")</f>
        <v>No</v>
      </c>
      <c r="S773" s="5" t="str">
        <f ca="1">IFERROR(__xludf.DUMMYFUNCTION("""COMPUTED_VALUE"""),"No")</f>
        <v>No</v>
      </c>
      <c r="T773" s="5" t="str">
        <f ca="1">IFERROR(__xludf.DUMMYFUNCTION("""COMPUTED_VALUE"""),"No")</f>
        <v>No</v>
      </c>
      <c r="U773" s="5" t="str">
        <f ca="1">IFERROR(__xludf.DUMMYFUNCTION("""COMPUTED_VALUE"""),"No")</f>
        <v>No</v>
      </c>
      <c r="V773" s="5" t="str">
        <f ca="1">IFERROR(__xludf.DUMMYFUNCTION("""COMPUTED_VALUE"""),"No")</f>
        <v>No</v>
      </c>
      <c r="W773" s="5" t="str">
        <f ca="1">IFERROR(__xludf.DUMMYFUNCTION("""COMPUTED_VALUE"""),"No")</f>
        <v>No</v>
      </c>
      <c r="X773" s="5" t="str">
        <f ca="1">IFERROR(__xludf.DUMMYFUNCTION("""COMPUTED_VALUE"""),"No")</f>
        <v>No</v>
      </c>
      <c r="Y773" s="5" t="str">
        <f ca="1">IFERROR(__xludf.DUMMYFUNCTION("""COMPUTED_VALUE"""),"Yes")</f>
        <v>Yes</v>
      </c>
      <c r="Z773" s="5" t="str">
        <f ca="1">IFERROR(__xludf.DUMMYFUNCTION("""COMPUTED_VALUE"""),"No")</f>
        <v>No</v>
      </c>
      <c r="AA773" s="5" t="str">
        <f ca="1">IFERROR(__xludf.DUMMYFUNCTION("""COMPUTED_VALUE"""),"No")</f>
        <v>No</v>
      </c>
      <c r="AB773" s="5" t="str">
        <f ca="1">IFERROR(__xludf.DUMMYFUNCTION("""COMPUTED_VALUE"""),"No")</f>
        <v>No</v>
      </c>
      <c r="AC773" s="5" t="str">
        <f ca="1">IFERROR(__xludf.DUMMYFUNCTION("""COMPUTED_VALUE"""),"No")</f>
        <v>No</v>
      </c>
    </row>
    <row r="774" spans="1:29" x14ac:dyDescent="0.25">
      <c r="A774" s="5" t="str">
        <f ca="1">IFERROR(__xludf.DUMMYFUNCTION("""COMPUTED_VALUE"""),"SokoGoldenSheriffWilds")</f>
        <v>SokoGoldenSheriffWilds</v>
      </c>
      <c r="B774" s="5" t="str">
        <f ca="1">IFERROR(__xludf.DUMMYFUNCTION("""COMPUTED_VALUE"""),"")</f>
        <v/>
      </c>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spans="1:29" x14ac:dyDescent="0.25">
      <c r="A775" s="5" t="str">
        <f ca="1">IFERROR(__xludf.DUMMYFUNCTION("""COMPUTED_VALUE"""),"SokoLuckyCrown5")</f>
        <v>SokoLuckyCrown5</v>
      </c>
      <c r="B775" s="5" t="str">
        <f ca="1">IFERROR(__xludf.DUMMYFUNCTION("""COMPUTED_VALUE"""),"")</f>
        <v/>
      </c>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spans="1:29" x14ac:dyDescent="0.25">
      <c r="A776" s="5" t="str">
        <f ca="1">IFERROR(__xludf.DUMMYFUNCTION("""COMPUTED_VALUE"""),"SokoRoyalJewelsFortuneDeluxe")</f>
        <v>SokoRoyalJewelsFortuneDeluxe</v>
      </c>
      <c r="B776" s="5" t="str">
        <f ca="1">IFERROR(__xludf.DUMMYFUNCTION("""COMPUTED_VALUE"""),"")</f>
        <v/>
      </c>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spans="1:29" x14ac:dyDescent="0.25">
      <c r="A777" s="5" t="str">
        <f ca="1">IFERROR(__xludf.DUMMYFUNCTION("""COMPUTED_VALUE"""),"TBD")</f>
        <v>TBD</v>
      </c>
      <c r="B777" s="5" t="str">
        <f ca="1">IFERROR(__xludf.DUMMYFUNCTION("""COMPUTED_VALUE"""),"")</f>
        <v/>
      </c>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row>
    <row r="778" spans="1:29" x14ac:dyDescent="0.25">
      <c r="A778" s="5" t="str">
        <f ca="1">IFERROR(__xludf.DUMMYFUNCTION("""COMPUTED_VALUE"""),"TBD")</f>
        <v>TBD</v>
      </c>
      <c r="B778" s="5" t="str">
        <f ca="1">IFERROR(__xludf.DUMMYFUNCTION("""COMPUTED_VALUE"""),"")</f>
        <v/>
      </c>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row>
    <row r="779" spans="1:29" x14ac:dyDescent="0.25">
      <c r="A779" s="5" t="str">
        <f ca="1">IFERROR(__xludf.DUMMYFUNCTION("""COMPUTED_VALUE"""),"SokoRoyalCrownDelightDeluxe")</f>
        <v>SokoRoyalCrownDelightDeluxe</v>
      </c>
      <c r="B779" s="5" t="str">
        <f ca="1">IFERROR(__xludf.DUMMYFUNCTION("""COMPUTED_VALUE"""),"")</f>
        <v/>
      </c>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spans="1:29" x14ac:dyDescent="0.25">
      <c r="A780" s="5" t="str">
        <f ca="1">IFERROR(__xludf.DUMMYFUNCTION("""COMPUTED_VALUE"""),"TBD")</f>
        <v>TBD</v>
      </c>
      <c r="B780" s="5" t="str">
        <f ca="1">IFERROR(__xludf.DUMMYFUNCTION("""COMPUTED_VALUE"""),"")</f>
        <v/>
      </c>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row>
    <row r="781" spans="1:29" x14ac:dyDescent="0.25">
      <c r="A781" s="5" t="str">
        <f ca="1">IFERROR(__xludf.DUMMYFUNCTION("""COMPUTED_VALUE"""),"TBD")</f>
        <v>TBD</v>
      </c>
      <c r="B781" s="5" t="str">
        <f ca="1">IFERROR(__xludf.DUMMYFUNCTION("""COMPUTED_VALUE"""),"")</f>
        <v/>
      </c>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row>
    <row r="782" spans="1:29" x14ac:dyDescent="0.25">
      <c r="A782" s="5" t="str">
        <f ca="1">IFERROR(__xludf.DUMMYFUNCTION("""COMPUTED_VALUE"""),"TBD")</f>
        <v>TBD</v>
      </c>
      <c r="B782" s="5" t="str">
        <f ca="1">IFERROR(__xludf.DUMMYFUNCTION("""COMPUTED_VALUE"""),"")</f>
        <v/>
      </c>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row>
    <row r="783" spans="1:29" x14ac:dyDescent="0.25">
      <c r="A783" s="5" t="str">
        <f ca="1">IFERROR(__xludf.DUMMYFUNCTION("""COMPUTED_VALUE"""),"TBD")</f>
        <v>TBD</v>
      </c>
      <c r="B783" s="5" t="str">
        <f ca="1">IFERROR(__xludf.DUMMYFUNCTION("""COMPUTED_VALUE"""),"")</f>
        <v/>
      </c>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row>
    <row r="784" spans="1:29" x14ac:dyDescent="0.25">
      <c r="A784" s="5" t="str">
        <f ca="1">IFERROR(__xludf.DUMMYFUNCTION("""COMPUTED_VALUE"""),"TBD")</f>
        <v>TBD</v>
      </c>
      <c r="B784" s="5" t="str">
        <f ca="1">IFERROR(__xludf.DUMMYFUNCTION("""COMPUTED_VALUE"""),"")</f>
        <v/>
      </c>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spans="1:29" x14ac:dyDescent="0.25">
      <c r="A785" s="5" t="str">
        <f ca="1">IFERROR(__xludf.DUMMYFUNCTION("""COMPUTED_VALUE"""),"TBD")</f>
        <v>TBD</v>
      </c>
      <c r="B785" s="5" t="str">
        <f ca="1">IFERROR(__xludf.DUMMYFUNCTION("""COMPUTED_VALUE"""),"")</f>
        <v/>
      </c>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spans="1:29" x14ac:dyDescent="0.25">
      <c r="A786" s="5" t="str">
        <f ca="1">IFERROR(__xludf.DUMMYFUNCTION("""COMPUTED_VALUE"""),"TBD")</f>
        <v>TBD</v>
      </c>
      <c r="B786" s="5" t="str">
        <f ca="1">IFERROR(__xludf.DUMMYFUNCTION("""COMPUTED_VALUE"""),"")</f>
        <v/>
      </c>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spans="1:29" x14ac:dyDescent="0.25">
      <c r="A787" s="5" t="str">
        <f ca="1">IFERROR(__xludf.DUMMYFUNCTION("""COMPUTED_VALUE"""),"TBD")</f>
        <v>TBD</v>
      </c>
      <c r="B787" s="5" t="str">
        <f ca="1">IFERROR(__xludf.DUMMYFUNCTION("""COMPUTED_VALUE"""),"")</f>
        <v/>
      </c>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spans="1:29" x14ac:dyDescent="0.25">
      <c r="A788" s="5" t="str">
        <f ca="1">IFERROR(__xludf.DUMMYFUNCTION("""COMPUTED_VALUE"""),"TBD")</f>
        <v>TBD</v>
      </c>
      <c r="B788" s="5" t="str">
        <f ca="1">IFERROR(__xludf.DUMMYFUNCTION("""COMPUTED_VALUE"""),"")</f>
        <v/>
      </c>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spans="1:29" x14ac:dyDescent="0.25">
      <c r="A789" s="5" t="str">
        <f ca="1">IFERROR(__xludf.DUMMYFUNCTION("""COMPUTED_VALUE"""),"TBD")</f>
        <v>TBD</v>
      </c>
      <c r="B789" s="5" t="str">
        <f ca="1">IFERROR(__xludf.DUMMYFUNCTION("""COMPUTED_VALUE"""),"")</f>
        <v/>
      </c>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spans="1:29" x14ac:dyDescent="0.25">
      <c r="A790" s="5" t="str">
        <f ca="1">IFERROR(__xludf.DUMMYFUNCTION("""COMPUTED_VALUE"""),"WuKong5")</f>
        <v>WuKong5</v>
      </c>
      <c r="B790" s="5" t="str">
        <f ca="1">IFERROR(__xludf.DUMMYFUNCTION("""COMPUTED_VALUE"""),"")</f>
        <v/>
      </c>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row>
    <row r="791" spans="1:29" x14ac:dyDescent="0.25">
      <c r="A791" s="5" t="str">
        <f ca="1">IFERROR(__xludf.DUMMYFUNCTION("""COMPUTED_VALUE"""),"PlayNetJokersCrownX2")</f>
        <v>PlayNetJokersCrownX2</v>
      </c>
      <c r="B79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1" s="5" t="str">
        <f ca="1">IFERROR(__xludf.DUMMYFUNCTION("""COMPUTED_VALUE"""),"Yes")</f>
        <v>Yes</v>
      </c>
      <c r="D791" s="5" t="str">
        <f ca="1">IFERROR(__xludf.DUMMYFUNCTION("""COMPUTED_VALUE"""),"Yes")</f>
        <v>Yes</v>
      </c>
      <c r="E791" s="5" t="str">
        <f ca="1">IFERROR(__xludf.DUMMYFUNCTION("""COMPUTED_VALUE"""),"No")</f>
        <v>No</v>
      </c>
      <c r="F791" s="5" t="str">
        <f ca="1">IFERROR(__xludf.DUMMYFUNCTION("""COMPUTED_VALUE"""),"Yes")</f>
        <v>Yes</v>
      </c>
      <c r="G791" s="5" t="str">
        <f ca="1">IFERROR(__xludf.DUMMYFUNCTION("""COMPUTED_VALUE"""),"Yes")</f>
        <v>Yes</v>
      </c>
      <c r="H791" s="5" t="str">
        <f ca="1">IFERROR(__xludf.DUMMYFUNCTION("""COMPUTED_VALUE"""),"Yes")</f>
        <v>Yes</v>
      </c>
      <c r="I791" s="5" t="str">
        <f ca="1">IFERROR(__xludf.DUMMYFUNCTION("""COMPUTED_VALUE"""),"Yes")</f>
        <v>Yes</v>
      </c>
      <c r="J791" s="5" t="str">
        <f ca="1">IFERROR(__xludf.DUMMYFUNCTION("""COMPUTED_VALUE"""),"Yes")</f>
        <v>Yes</v>
      </c>
      <c r="K791" s="5" t="str">
        <f ca="1">IFERROR(__xludf.DUMMYFUNCTION("""COMPUTED_VALUE"""),"Yes")</f>
        <v>Yes</v>
      </c>
      <c r="L791" s="5" t="str">
        <f ca="1">IFERROR(__xludf.DUMMYFUNCTION("""COMPUTED_VALUE"""),"Yes")</f>
        <v>Yes</v>
      </c>
      <c r="M791" s="5" t="str">
        <f ca="1">IFERROR(__xludf.DUMMYFUNCTION("""COMPUTED_VALUE"""),"Yes")</f>
        <v>Yes</v>
      </c>
      <c r="N791" s="5" t="str">
        <f ca="1">IFERROR(__xludf.DUMMYFUNCTION("""COMPUTED_VALUE"""),"Yes")</f>
        <v>Yes</v>
      </c>
      <c r="O791" s="5" t="str">
        <f ca="1">IFERROR(__xludf.DUMMYFUNCTION("""COMPUTED_VALUE"""),"Yes")</f>
        <v>Yes</v>
      </c>
      <c r="P791" s="5" t="str">
        <f ca="1">IFERROR(__xludf.DUMMYFUNCTION("""COMPUTED_VALUE"""),"Yes")</f>
        <v>Yes</v>
      </c>
      <c r="Q791" s="5" t="str">
        <f ca="1">IFERROR(__xludf.DUMMYFUNCTION("""COMPUTED_VALUE"""),"Yes")</f>
        <v>Yes</v>
      </c>
      <c r="R791" s="5" t="str">
        <f ca="1">IFERROR(__xludf.DUMMYFUNCTION("""COMPUTED_VALUE"""),"No")</f>
        <v>No</v>
      </c>
      <c r="S791" s="5" t="str">
        <f ca="1">IFERROR(__xludf.DUMMYFUNCTION("""COMPUTED_VALUE"""),"No")</f>
        <v>No</v>
      </c>
      <c r="T791" s="5" t="str">
        <f ca="1">IFERROR(__xludf.DUMMYFUNCTION("""COMPUTED_VALUE"""),"No")</f>
        <v>No</v>
      </c>
      <c r="U791" s="5" t="str">
        <f ca="1">IFERROR(__xludf.DUMMYFUNCTION("""COMPUTED_VALUE"""),"No")</f>
        <v>No</v>
      </c>
      <c r="V791" s="5" t="str">
        <f ca="1">IFERROR(__xludf.DUMMYFUNCTION("""COMPUTED_VALUE"""),"No")</f>
        <v>No</v>
      </c>
      <c r="W791" s="5" t="str">
        <f ca="1">IFERROR(__xludf.DUMMYFUNCTION("""COMPUTED_VALUE"""),"No")</f>
        <v>No</v>
      </c>
      <c r="X791" s="5" t="str">
        <f ca="1">IFERROR(__xludf.DUMMYFUNCTION("""COMPUTED_VALUE"""),"No")</f>
        <v>No</v>
      </c>
      <c r="Y791" s="5" t="str">
        <f ca="1">IFERROR(__xludf.DUMMYFUNCTION("""COMPUTED_VALUE"""),"No")</f>
        <v>No</v>
      </c>
      <c r="Z791" s="5" t="str">
        <f ca="1">IFERROR(__xludf.DUMMYFUNCTION("""COMPUTED_VALUE"""),"No")</f>
        <v>No</v>
      </c>
      <c r="AA791" s="5" t="str">
        <f ca="1">IFERROR(__xludf.DUMMYFUNCTION("""COMPUTED_VALUE"""),"No")</f>
        <v>No</v>
      </c>
      <c r="AB791" s="5" t="str">
        <f ca="1">IFERROR(__xludf.DUMMYFUNCTION("""COMPUTED_VALUE"""),"Yes")</f>
        <v>Yes</v>
      </c>
      <c r="AC791" s="5" t="str">
        <f ca="1">IFERROR(__xludf.DUMMYFUNCTION("""COMPUTED_VALUE"""),"No")</f>
        <v>No</v>
      </c>
    </row>
    <row r="792" spans="1:29" x14ac:dyDescent="0.25">
      <c r="A792" s="5" t="str">
        <f ca="1">IFERROR(__xludf.DUMMYFUNCTION("""COMPUTED_VALUE"""),"PlayNetRoxyUndercover")</f>
        <v>PlayNetRoxyUndercover</v>
      </c>
      <c r="B79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2" s="5" t="str">
        <f ca="1">IFERROR(__xludf.DUMMYFUNCTION("""COMPUTED_VALUE"""),"Yes")</f>
        <v>Yes</v>
      </c>
      <c r="D792" s="5" t="str">
        <f ca="1">IFERROR(__xludf.DUMMYFUNCTION("""COMPUTED_VALUE"""),"Yes")</f>
        <v>Yes</v>
      </c>
      <c r="E792" s="5" t="str">
        <f ca="1">IFERROR(__xludf.DUMMYFUNCTION("""COMPUTED_VALUE"""),"Yes")</f>
        <v>Yes</v>
      </c>
      <c r="F792" s="5" t="str">
        <f ca="1">IFERROR(__xludf.DUMMYFUNCTION("""COMPUTED_VALUE"""),"Yes")</f>
        <v>Yes</v>
      </c>
      <c r="G792" s="5" t="str">
        <f ca="1">IFERROR(__xludf.DUMMYFUNCTION("""COMPUTED_VALUE"""),"Yes")</f>
        <v>Yes</v>
      </c>
      <c r="H792" s="5" t="str">
        <f ca="1">IFERROR(__xludf.DUMMYFUNCTION("""COMPUTED_VALUE"""),"Yes")</f>
        <v>Yes</v>
      </c>
      <c r="I792" s="5" t="str">
        <f ca="1">IFERROR(__xludf.DUMMYFUNCTION("""COMPUTED_VALUE"""),"Yes")</f>
        <v>Yes</v>
      </c>
      <c r="J792" s="5" t="str">
        <f ca="1">IFERROR(__xludf.DUMMYFUNCTION("""COMPUTED_VALUE"""),"Yes")</f>
        <v>Yes</v>
      </c>
      <c r="K792" s="5" t="str">
        <f ca="1">IFERROR(__xludf.DUMMYFUNCTION("""COMPUTED_VALUE"""),"Yes")</f>
        <v>Yes</v>
      </c>
      <c r="L792" s="5" t="str">
        <f ca="1">IFERROR(__xludf.DUMMYFUNCTION("""COMPUTED_VALUE"""),"Yes")</f>
        <v>Yes</v>
      </c>
      <c r="M792" s="5" t="str">
        <f ca="1">IFERROR(__xludf.DUMMYFUNCTION("""COMPUTED_VALUE"""),"Yes")</f>
        <v>Yes</v>
      </c>
      <c r="N792" s="5" t="str">
        <f ca="1">IFERROR(__xludf.DUMMYFUNCTION("""COMPUTED_VALUE"""),"Yes")</f>
        <v>Yes</v>
      </c>
      <c r="O792" s="5" t="str">
        <f ca="1">IFERROR(__xludf.DUMMYFUNCTION("""COMPUTED_VALUE"""),"Yes")</f>
        <v>Yes</v>
      </c>
      <c r="P792" s="5" t="str">
        <f ca="1">IFERROR(__xludf.DUMMYFUNCTION("""COMPUTED_VALUE"""),"Yes")</f>
        <v>Yes</v>
      </c>
      <c r="Q792" s="5" t="str">
        <f ca="1">IFERROR(__xludf.DUMMYFUNCTION("""COMPUTED_VALUE"""),"Yes")</f>
        <v>Yes</v>
      </c>
      <c r="R792" s="5"/>
      <c r="S792" s="5"/>
      <c r="T792" s="5"/>
      <c r="U792" s="5"/>
      <c r="V792" s="5"/>
      <c r="W792" s="5"/>
      <c r="X792" s="5"/>
      <c r="Y792" s="5"/>
      <c r="Z792" s="5"/>
      <c r="AA792" s="5"/>
      <c r="AB792" s="5" t="str">
        <f ca="1">IFERROR(__xludf.DUMMYFUNCTION("""COMPUTED_VALUE"""),"Yes")</f>
        <v>Yes</v>
      </c>
      <c r="AC792" s="5"/>
    </row>
    <row r="793" spans="1:29" x14ac:dyDescent="0.25">
      <c r="A793" s="5" t="str">
        <f ca="1">IFERROR(__xludf.DUMMYFUNCTION("""COMPUTED_VALUE"""),"PlayNetHeartGem100")</f>
        <v>PlayNetHeartGem100</v>
      </c>
      <c r="B79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3" s="5" t="str">
        <f ca="1">IFERROR(__xludf.DUMMYFUNCTION("""COMPUTED_VALUE"""),"Yes")</f>
        <v>Yes</v>
      </c>
      <c r="D793" s="5" t="str">
        <f ca="1">IFERROR(__xludf.DUMMYFUNCTION("""COMPUTED_VALUE"""),"Yes")</f>
        <v>Yes</v>
      </c>
      <c r="E793" s="5" t="str">
        <f ca="1">IFERROR(__xludf.DUMMYFUNCTION("""COMPUTED_VALUE"""),"Yes")</f>
        <v>Yes</v>
      </c>
      <c r="F793" s="5" t="str">
        <f ca="1">IFERROR(__xludf.DUMMYFUNCTION("""COMPUTED_VALUE"""),"Yes")</f>
        <v>Yes</v>
      </c>
      <c r="G793" s="5" t="str">
        <f ca="1">IFERROR(__xludf.DUMMYFUNCTION("""COMPUTED_VALUE"""),"Yes")</f>
        <v>Yes</v>
      </c>
      <c r="H793" s="5" t="str">
        <f ca="1">IFERROR(__xludf.DUMMYFUNCTION("""COMPUTED_VALUE"""),"Yes")</f>
        <v>Yes</v>
      </c>
      <c r="I793" s="5" t="str">
        <f ca="1">IFERROR(__xludf.DUMMYFUNCTION("""COMPUTED_VALUE"""),"Yes")</f>
        <v>Yes</v>
      </c>
      <c r="J793" s="5" t="str">
        <f ca="1">IFERROR(__xludf.DUMMYFUNCTION("""COMPUTED_VALUE"""),"Yes")</f>
        <v>Yes</v>
      </c>
      <c r="K793" s="5" t="str">
        <f ca="1">IFERROR(__xludf.DUMMYFUNCTION("""COMPUTED_VALUE"""),"Yes")</f>
        <v>Yes</v>
      </c>
      <c r="L793" s="5" t="str">
        <f ca="1">IFERROR(__xludf.DUMMYFUNCTION("""COMPUTED_VALUE"""),"Yes")</f>
        <v>Yes</v>
      </c>
      <c r="M793" s="5" t="str">
        <f ca="1">IFERROR(__xludf.DUMMYFUNCTION("""COMPUTED_VALUE"""),"Yes")</f>
        <v>Yes</v>
      </c>
      <c r="N793" s="5" t="str">
        <f ca="1">IFERROR(__xludf.DUMMYFUNCTION("""COMPUTED_VALUE"""),"Yes")</f>
        <v>Yes</v>
      </c>
      <c r="O793" s="5" t="str">
        <f ca="1">IFERROR(__xludf.DUMMYFUNCTION("""COMPUTED_VALUE"""),"Yes")</f>
        <v>Yes</v>
      </c>
      <c r="P793" s="5" t="str">
        <f ca="1">IFERROR(__xludf.DUMMYFUNCTION("""COMPUTED_VALUE"""),"Yes")</f>
        <v>Yes</v>
      </c>
      <c r="Q793" s="5" t="str">
        <f ca="1">IFERROR(__xludf.DUMMYFUNCTION("""COMPUTED_VALUE"""),"Yes")</f>
        <v>Yes</v>
      </c>
      <c r="R793" s="5"/>
      <c r="S793" s="5"/>
      <c r="T793" s="5"/>
      <c r="U793" s="5"/>
      <c r="V793" s="5"/>
      <c r="W793" s="5"/>
      <c r="X793" s="5"/>
      <c r="Y793" s="5"/>
      <c r="Z793" s="5"/>
      <c r="AA793" s="5"/>
      <c r="AB793" s="5" t="str">
        <f ca="1">IFERROR(__xludf.DUMMYFUNCTION("""COMPUTED_VALUE"""),"Yes")</f>
        <v>Yes</v>
      </c>
      <c r="AC793" s="5"/>
    </row>
    <row r="794" spans="1:29" x14ac:dyDescent="0.25">
      <c r="A794" s="5" t="str">
        <f ca="1">IFERROR(__xludf.DUMMYFUNCTION("""COMPUTED_VALUE"""),"PlayNetCrownTreasure10")</f>
        <v>PlayNetCrownTreasure10</v>
      </c>
      <c r="B794"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4" s="5" t="str">
        <f ca="1">IFERROR(__xludf.DUMMYFUNCTION("""COMPUTED_VALUE"""),"Yes")</f>
        <v>Yes</v>
      </c>
      <c r="D794" s="5" t="str">
        <f ca="1">IFERROR(__xludf.DUMMYFUNCTION("""COMPUTED_VALUE"""),"Yes")</f>
        <v>Yes</v>
      </c>
      <c r="E794" s="5" t="str">
        <f ca="1">IFERROR(__xludf.DUMMYFUNCTION("""COMPUTED_VALUE"""),"Yes")</f>
        <v>Yes</v>
      </c>
      <c r="F794" s="5" t="str">
        <f ca="1">IFERROR(__xludf.DUMMYFUNCTION("""COMPUTED_VALUE"""),"Yes")</f>
        <v>Yes</v>
      </c>
      <c r="G794" s="5" t="str">
        <f ca="1">IFERROR(__xludf.DUMMYFUNCTION("""COMPUTED_VALUE"""),"Yes")</f>
        <v>Yes</v>
      </c>
      <c r="H794" s="5" t="str">
        <f ca="1">IFERROR(__xludf.DUMMYFUNCTION("""COMPUTED_VALUE"""),"Yes")</f>
        <v>Yes</v>
      </c>
      <c r="I794" s="5" t="str">
        <f ca="1">IFERROR(__xludf.DUMMYFUNCTION("""COMPUTED_VALUE"""),"Yes")</f>
        <v>Yes</v>
      </c>
      <c r="J794" s="5" t="str">
        <f ca="1">IFERROR(__xludf.DUMMYFUNCTION("""COMPUTED_VALUE"""),"Yes")</f>
        <v>Yes</v>
      </c>
      <c r="K794" s="5" t="str">
        <f ca="1">IFERROR(__xludf.DUMMYFUNCTION("""COMPUTED_VALUE"""),"Yes")</f>
        <v>Yes</v>
      </c>
      <c r="L794" s="5" t="str">
        <f ca="1">IFERROR(__xludf.DUMMYFUNCTION("""COMPUTED_VALUE"""),"Yes")</f>
        <v>Yes</v>
      </c>
      <c r="M794" s="5" t="str">
        <f ca="1">IFERROR(__xludf.DUMMYFUNCTION("""COMPUTED_VALUE"""),"Yes")</f>
        <v>Yes</v>
      </c>
      <c r="N794" s="5" t="str">
        <f ca="1">IFERROR(__xludf.DUMMYFUNCTION("""COMPUTED_VALUE"""),"Yes")</f>
        <v>Yes</v>
      </c>
      <c r="O794" s="5" t="str">
        <f ca="1">IFERROR(__xludf.DUMMYFUNCTION("""COMPUTED_VALUE"""),"Yes")</f>
        <v>Yes</v>
      </c>
      <c r="P794" s="5" t="str">
        <f ca="1">IFERROR(__xludf.DUMMYFUNCTION("""COMPUTED_VALUE"""),"Yes")</f>
        <v>Yes</v>
      </c>
      <c r="Q794" s="5" t="str">
        <f ca="1">IFERROR(__xludf.DUMMYFUNCTION("""COMPUTED_VALUE"""),"Yes")</f>
        <v>Yes</v>
      </c>
      <c r="R794" s="5" t="str">
        <f ca="1">IFERROR(__xludf.DUMMYFUNCTION("""COMPUTED_VALUE"""),"No")</f>
        <v>No</v>
      </c>
      <c r="S794" s="5" t="str">
        <f ca="1">IFERROR(__xludf.DUMMYFUNCTION("""COMPUTED_VALUE"""),"No")</f>
        <v>No</v>
      </c>
      <c r="T794" s="5" t="str">
        <f ca="1">IFERROR(__xludf.DUMMYFUNCTION("""COMPUTED_VALUE"""),"No")</f>
        <v>No</v>
      </c>
      <c r="U794" s="5" t="str">
        <f ca="1">IFERROR(__xludf.DUMMYFUNCTION("""COMPUTED_VALUE"""),"No")</f>
        <v>No</v>
      </c>
      <c r="V794" s="5" t="str">
        <f ca="1">IFERROR(__xludf.DUMMYFUNCTION("""COMPUTED_VALUE"""),"No")</f>
        <v>No</v>
      </c>
      <c r="W794" s="5" t="str">
        <f ca="1">IFERROR(__xludf.DUMMYFUNCTION("""COMPUTED_VALUE"""),"No")</f>
        <v>No</v>
      </c>
      <c r="X794" s="5" t="str">
        <f ca="1">IFERROR(__xludf.DUMMYFUNCTION("""COMPUTED_VALUE"""),"No")</f>
        <v>No</v>
      </c>
      <c r="Y794" s="5" t="str">
        <f ca="1">IFERROR(__xludf.DUMMYFUNCTION("""COMPUTED_VALUE"""),"No")</f>
        <v>No</v>
      </c>
      <c r="Z794" s="5" t="str">
        <f ca="1">IFERROR(__xludf.DUMMYFUNCTION("""COMPUTED_VALUE"""),"No")</f>
        <v>No</v>
      </c>
      <c r="AA794" s="5" t="str">
        <f ca="1">IFERROR(__xludf.DUMMYFUNCTION("""COMPUTED_VALUE"""),"No")</f>
        <v>No</v>
      </c>
      <c r="AB794" s="5" t="str">
        <f ca="1">IFERROR(__xludf.DUMMYFUNCTION("""COMPUTED_VALUE"""),"Yes")</f>
        <v>Yes</v>
      </c>
      <c r="AC794" s="5" t="str">
        <f ca="1">IFERROR(__xludf.DUMMYFUNCTION("""COMPUTED_VALUE"""),"No")</f>
        <v>No</v>
      </c>
    </row>
    <row r="795" spans="1:29" x14ac:dyDescent="0.25">
      <c r="A795" s="5" t="str">
        <f ca="1">IFERROR(__xludf.DUMMYFUNCTION("""COMPUTED_VALUE"""),"PlayNetTropicTwistExtreme")</f>
        <v>PlayNetTropicTwistExtreme</v>
      </c>
      <c r="B79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5" s="5" t="str">
        <f ca="1">IFERROR(__xludf.DUMMYFUNCTION("""COMPUTED_VALUE"""),"Yes")</f>
        <v>Yes</v>
      </c>
      <c r="D795" s="5" t="str">
        <f ca="1">IFERROR(__xludf.DUMMYFUNCTION("""COMPUTED_VALUE"""),"Yes")</f>
        <v>Yes</v>
      </c>
      <c r="E795" s="5" t="str">
        <f ca="1">IFERROR(__xludf.DUMMYFUNCTION("""COMPUTED_VALUE"""),"No")</f>
        <v>No</v>
      </c>
      <c r="F795" s="5" t="str">
        <f ca="1">IFERROR(__xludf.DUMMYFUNCTION("""COMPUTED_VALUE"""),"Yes")</f>
        <v>Yes</v>
      </c>
      <c r="G795" s="5" t="str">
        <f ca="1">IFERROR(__xludf.DUMMYFUNCTION("""COMPUTED_VALUE"""),"Yes")</f>
        <v>Yes</v>
      </c>
      <c r="H795" s="5" t="str">
        <f ca="1">IFERROR(__xludf.DUMMYFUNCTION("""COMPUTED_VALUE"""),"Yes")</f>
        <v>Yes</v>
      </c>
      <c r="I795" s="5" t="str">
        <f ca="1">IFERROR(__xludf.DUMMYFUNCTION("""COMPUTED_VALUE"""),"Yes")</f>
        <v>Yes</v>
      </c>
      <c r="J795" s="5" t="str">
        <f ca="1">IFERROR(__xludf.DUMMYFUNCTION("""COMPUTED_VALUE"""),"Yes")</f>
        <v>Yes</v>
      </c>
      <c r="K795" s="5" t="str">
        <f ca="1">IFERROR(__xludf.DUMMYFUNCTION("""COMPUTED_VALUE"""),"Yes")</f>
        <v>Yes</v>
      </c>
      <c r="L795" s="5" t="str">
        <f ca="1">IFERROR(__xludf.DUMMYFUNCTION("""COMPUTED_VALUE"""),"Yes")</f>
        <v>Yes</v>
      </c>
      <c r="M795" s="5" t="str">
        <f ca="1">IFERROR(__xludf.DUMMYFUNCTION("""COMPUTED_VALUE"""),"Yes")</f>
        <v>Yes</v>
      </c>
      <c r="N795" s="5" t="str">
        <f ca="1">IFERROR(__xludf.DUMMYFUNCTION("""COMPUTED_VALUE"""),"Yes")</f>
        <v>Yes</v>
      </c>
      <c r="O795" s="5" t="str">
        <f ca="1">IFERROR(__xludf.DUMMYFUNCTION("""COMPUTED_VALUE"""),"Yes")</f>
        <v>Yes</v>
      </c>
      <c r="P795" s="5" t="str">
        <f ca="1">IFERROR(__xludf.DUMMYFUNCTION("""COMPUTED_VALUE"""),"Yes")</f>
        <v>Yes</v>
      </c>
      <c r="Q795" s="5" t="str">
        <f ca="1">IFERROR(__xludf.DUMMYFUNCTION("""COMPUTED_VALUE"""),"Yes")</f>
        <v>Yes</v>
      </c>
      <c r="R795" s="5" t="str">
        <f ca="1">IFERROR(__xludf.DUMMYFUNCTION("""COMPUTED_VALUE"""),"No")</f>
        <v>No</v>
      </c>
      <c r="S795" s="5" t="str">
        <f ca="1">IFERROR(__xludf.DUMMYFUNCTION("""COMPUTED_VALUE"""),"No")</f>
        <v>No</v>
      </c>
      <c r="T795" s="5" t="str">
        <f ca="1">IFERROR(__xludf.DUMMYFUNCTION("""COMPUTED_VALUE"""),"No")</f>
        <v>No</v>
      </c>
      <c r="U795" s="5" t="str">
        <f ca="1">IFERROR(__xludf.DUMMYFUNCTION("""COMPUTED_VALUE"""),"No")</f>
        <v>No</v>
      </c>
      <c r="V795" s="5" t="str">
        <f ca="1">IFERROR(__xludf.DUMMYFUNCTION("""COMPUTED_VALUE"""),"No")</f>
        <v>No</v>
      </c>
      <c r="W795" s="5" t="str">
        <f ca="1">IFERROR(__xludf.DUMMYFUNCTION("""COMPUTED_VALUE"""),"No")</f>
        <v>No</v>
      </c>
      <c r="X795" s="5" t="str">
        <f ca="1">IFERROR(__xludf.DUMMYFUNCTION("""COMPUTED_VALUE"""),"No")</f>
        <v>No</v>
      </c>
      <c r="Y795" s="5" t="str">
        <f ca="1">IFERROR(__xludf.DUMMYFUNCTION("""COMPUTED_VALUE"""),"No")</f>
        <v>No</v>
      </c>
      <c r="Z795" s="5" t="str">
        <f ca="1">IFERROR(__xludf.DUMMYFUNCTION("""COMPUTED_VALUE"""),"No")</f>
        <v>No</v>
      </c>
      <c r="AA795" s="5" t="str">
        <f ca="1">IFERROR(__xludf.DUMMYFUNCTION("""COMPUTED_VALUE"""),"No")</f>
        <v>No</v>
      </c>
      <c r="AB795" s="5" t="str">
        <f ca="1">IFERROR(__xludf.DUMMYFUNCTION("""COMPUTED_VALUE"""),"Yes")</f>
        <v>Yes</v>
      </c>
      <c r="AC795" s="5" t="str">
        <f ca="1">IFERROR(__xludf.DUMMYFUNCTION("""COMPUTED_VALUE"""),"No")</f>
        <v>No</v>
      </c>
    </row>
    <row r="796" spans="1:29" x14ac:dyDescent="0.25">
      <c r="A796" s="5" t="str">
        <f ca="1">IFERROR(__xludf.DUMMYFUNCTION("""COMPUTED_VALUE"""),"PlayNetCloverWealth5")</f>
        <v>PlayNetCloverWealth5</v>
      </c>
      <c r="B79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6" s="5" t="str">
        <f ca="1">IFERROR(__xludf.DUMMYFUNCTION("""COMPUTED_VALUE"""),"Yes")</f>
        <v>Yes</v>
      </c>
      <c r="D796" s="5" t="str">
        <f ca="1">IFERROR(__xludf.DUMMYFUNCTION("""COMPUTED_VALUE"""),"Yes")</f>
        <v>Yes</v>
      </c>
      <c r="E796" s="5" t="str">
        <f ca="1">IFERROR(__xludf.DUMMYFUNCTION("""COMPUTED_VALUE"""),"No")</f>
        <v>No</v>
      </c>
      <c r="F796" s="5" t="str">
        <f ca="1">IFERROR(__xludf.DUMMYFUNCTION("""COMPUTED_VALUE"""),"Yes")</f>
        <v>Yes</v>
      </c>
      <c r="G796" s="5" t="str">
        <f ca="1">IFERROR(__xludf.DUMMYFUNCTION("""COMPUTED_VALUE"""),"Yes")</f>
        <v>Yes</v>
      </c>
      <c r="H796" s="5" t="str">
        <f ca="1">IFERROR(__xludf.DUMMYFUNCTION("""COMPUTED_VALUE"""),"Yes")</f>
        <v>Yes</v>
      </c>
      <c r="I796" s="5" t="str">
        <f ca="1">IFERROR(__xludf.DUMMYFUNCTION("""COMPUTED_VALUE"""),"Yes")</f>
        <v>Yes</v>
      </c>
      <c r="J796" s="5" t="str">
        <f ca="1">IFERROR(__xludf.DUMMYFUNCTION("""COMPUTED_VALUE"""),"Yes")</f>
        <v>Yes</v>
      </c>
      <c r="K796" s="5" t="str">
        <f ca="1">IFERROR(__xludf.DUMMYFUNCTION("""COMPUTED_VALUE"""),"Yes")</f>
        <v>Yes</v>
      </c>
      <c r="L796" s="5" t="str">
        <f ca="1">IFERROR(__xludf.DUMMYFUNCTION("""COMPUTED_VALUE"""),"Yes")</f>
        <v>Yes</v>
      </c>
      <c r="M796" s="5" t="str">
        <f ca="1">IFERROR(__xludf.DUMMYFUNCTION("""COMPUTED_VALUE"""),"Yes")</f>
        <v>Yes</v>
      </c>
      <c r="N796" s="5" t="str">
        <f ca="1">IFERROR(__xludf.DUMMYFUNCTION("""COMPUTED_VALUE"""),"Yes")</f>
        <v>Yes</v>
      </c>
      <c r="O796" s="5" t="str">
        <f ca="1">IFERROR(__xludf.DUMMYFUNCTION("""COMPUTED_VALUE"""),"Yes")</f>
        <v>Yes</v>
      </c>
      <c r="P796" s="5" t="str">
        <f ca="1">IFERROR(__xludf.DUMMYFUNCTION("""COMPUTED_VALUE"""),"Yes")</f>
        <v>Yes</v>
      </c>
      <c r="Q796" s="5" t="str">
        <f ca="1">IFERROR(__xludf.DUMMYFUNCTION("""COMPUTED_VALUE"""),"Yes")</f>
        <v>Yes</v>
      </c>
      <c r="R796" s="5" t="str">
        <f ca="1">IFERROR(__xludf.DUMMYFUNCTION("""COMPUTED_VALUE"""),"No")</f>
        <v>No</v>
      </c>
      <c r="S796" s="5" t="str">
        <f ca="1">IFERROR(__xludf.DUMMYFUNCTION("""COMPUTED_VALUE"""),"No")</f>
        <v>No</v>
      </c>
      <c r="T796" s="5" t="str">
        <f ca="1">IFERROR(__xludf.DUMMYFUNCTION("""COMPUTED_VALUE"""),"No")</f>
        <v>No</v>
      </c>
      <c r="U796" s="5" t="str">
        <f ca="1">IFERROR(__xludf.DUMMYFUNCTION("""COMPUTED_VALUE"""),"No")</f>
        <v>No</v>
      </c>
      <c r="V796" s="5" t="str">
        <f ca="1">IFERROR(__xludf.DUMMYFUNCTION("""COMPUTED_VALUE"""),"No")</f>
        <v>No</v>
      </c>
      <c r="W796" s="5" t="str">
        <f ca="1">IFERROR(__xludf.DUMMYFUNCTION("""COMPUTED_VALUE"""),"No")</f>
        <v>No</v>
      </c>
      <c r="X796" s="5" t="str">
        <f ca="1">IFERROR(__xludf.DUMMYFUNCTION("""COMPUTED_VALUE"""),"No")</f>
        <v>No</v>
      </c>
      <c r="Y796" s="5" t="str">
        <f ca="1">IFERROR(__xludf.DUMMYFUNCTION("""COMPUTED_VALUE"""),"No")</f>
        <v>No</v>
      </c>
      <c r="Z796" s="5" t="str">
        <f ca="1">IFERROR(__xludf.DUMMYFUNCTION("""COMPUTED_VALUE"""),"No")</f>
        <v>No</v>
      </c>
      <c r="AA796" s="5" t="str">
        <f ca="1">IFERROR(__xludf.DUMMYFUNCTION("""COMPUTED_VALUE"""),"No")</f>
        <v>No</v>
      </c>
      <c r="AB796" s="5" t="str">
        <f ca="1">IFERROR(__xludf.DUMMYFUNCTION("""COMPUTED_VALUE"""),"Yes")</f>
        <v>Yes</v>
      </c>
      <c r="AC796" s="5" t="str">
        <f ca="1">IFERROR(__xludf.DUMMYFUNCTION("""COMPUTED_VALUE"""),"No")</f>
        <v>No</v>
      </c>
    </row>
    <row r="797" spans="1:29" x14ac:dyDescent="0.25">
      <c r="A797" s="5" t="str">
        <f ca="1">IFERROR(__xludf.DUMMYFUNCTION("""COMPUTED_VALUE"""),"PlayNet27LuckyCrown")</f>
        <v>PlayNet27LuckyCrown</v>
      </c>
      <c r="B79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7" s="5" t="str">
        <f ca="1">IFERROR(__xludf.DUMMYFUNCTION("""COMPUTED_VALUE"""),"Yes")</f>
        <v>Yes</v>
      </c>
      <c r="D797" s="5" t="str">
        <f ca="1">IFERROR(__xludf.DUMMYFUNCTION("""COMPUTED_VALUE"""),"Yes")</f>
        <v>Yes</v>
      </c>
      <c r="E797" s="5" t="str">
        <f ca="1">IFERROR(__xludf.DUMMYFUNCTION("""COMPUTED_VALUE"""),"No")</f>
        <v>No</v>
      </c>
      <c r="F797" s="5" t="str">
        <f ca="1">IFERROR(__xludf.DUMMYFUNCTION("""COMPUTED_VALUE"""),"Yes")</f>
        <v>Yes</v>
      </c>
      <c r="G797" s="5" t="str">
        <f ca="1">IFERROR(__xludf.DUMMYFUNCTION("""COMPUTED_VALUE"""),"Yes")</f>
        <v>Yes</v>
      </c>
      <c r="H797" s="5" t="str">
        <f ca="1">IFERROR(__xludf.DUMMYFUNCTION("""COMPUTED_VALUE"""),"Yes")</f>
        <v>Yes</v>
      </c>
      <c r="I797" s="5" t="str">
        <f ca="1">IFERROR(__xludf.DUMMYFUNCTION("""COMPUTED_VALUE"""),"Yes")</f>
        <v>Yes</v>
      </c>
      <c r="J797" s="5" t="str">
        <f ca="1">IFERROR(__xludf.DUMMYFUNCTION("""COMPUTED_VALUE"""),"Yes")</f>
        <v>Yes</v>
      </c>
      <c r="K797" s="5" t="str">
        <f ca="1">IFERROR(__xludf.DUMMYFUNCTION("""COMPUTED_VALUE"""),"Yes")</f>
        <v>Yes</v>
      </c>
      <c r="L797" s="5" t="str">
        <f ca="1">IFERROR(__xludf.DUMMYFUNCTION("""COMPUTED_VALUE"""),"Yes")</f>
        <v>Yes</v>
      </c>
      <c r="M797" s="5" t="str">
        <f ca="1">IFERROR(__xludf.DUMMYFUNCTION("""COMPUTED_VALUE"""),"Yes")</f>
        <v>Yes</v>
      </c>
      <c r="N797" s="5" t="str">
        <f ca="1">IFERROR(__xludf.DUMMYFUNCTION("""COMPUTED_VALUE"""),"Yes")</f>
        <v>Yes</v>
      </c>
      <c r="O797" s="5" t="str">
        <f ca="1">IFERROR(__xludf.DUMMYFUNCTION("""COMPUTED_VALUE"""),"Yes")</f>
        <v>Yes</v>
      </c>
      <c r="P797" s="5" t="str">
        <f ca="1">IFERROR(__xludf.DUMMYFUNCTION("""COMPUTED_VALUE"""),"Yes")</f>
        <v>Yes</v>
      </c>
      <c r="Q797" s="5" t="str">
        <f ca="1">IFERROR(__xludf.DUMMYFUNCTION("""COMPUTED_VALUE"""),"Yes")</f>
        <v>Yes</v>
      </c>
      <c r="R797" s="5" t="str">
        <f ca="1">IFERROR(__xludf.DUMMYFUNCTION("""COMPUTED_VALUE"""),"No")</f>
        <v>No</v>
      </c>
      <c r="S797" s="5" t="str">
        <f ca="1">IFERROR(__xludf.DUMMYFUNCTION("""COMPUTED_VALUE"""),"No")</f>
        <v>No</v>
      </c>
      <c r="T797" s="5" t="str">
        <f ca="1">IFERROR(__xludf.DUMMYFUNCTION("""COMPUTED_VALUE"""),"No")</f>
        <v>No</v>
      </c>
      <c r="U797" s="5" t="str">
        <f ca="1">IFERROR(__xludf.DUMMYFUNCTION("""COMPUTED_VALUE"""),"No")</f>
        <v>No</v>
      </c>
      <c r="V797" s="5" t="str">
        <f ca="1">IFERROR(__xludf.DUMMYFUNCTION("""COMPUTED_VALUE"""),"No")</f>
        <v>No</v>
      </c>
      <c r="W797" s="5" t="str">
        <f ca="1">IFERROR(__xludf.DUMMYFUNCTION("""COMPUTED_VALUE"""),"No")</f>
        <v>No</v>
      </c>
      <c r="X797" s="5" t="str">
        <f ca="1">IFERROR(__xludf.DUMMYFUNCTION("""COMPUTED_VALUE"""),"No")</f>
        <v>No</v>
      </c>
      <c r="Y797" s="5" t="str">
        <f ca="1">IFERROR(__xludf.DUMMYFUNCTION("""COMPUTED_VALUE"""),"No")</f>
        <v>No</v>
      </c>
      <c r="Z797" s="5" t="str">
        <f ca="1">IFERROR(__xludf.DUMMYFUNCTION("""COMPUTED_VALUE"""),"No")</f>
        <v>No</v>
      </c>
      <c r="AA797" s="5" t="str">
        <f ca="1">IFERROR(__xludf.DUMMYFUNCTION("""COMPUTED_VALUE"""),"No")</f>
        <v>No</v>
      </c>
      <c r="AB797" s="5" t="str">
        <f ca="1">IFERROR(__xludf.DUMMYFUNCTION("""COMPUTED_VALUE"""),"Yes")</f>
        <v>Yes</v>
      </c>
      <c r="AC797" s="5" t="str">
        <f ca="1">IFERROR(__xludf.DUMMYFUNCTION("""COMPUTED_VALUE"""),"No")</f>
        <v>No</v>
      </c>
    </row>
    <row r="798" spans="1:29" x14ac:dyDescent="0.25">
      <c r="A798" s="5" t="str">
        <f ca="1">IFERROR(__xludf.DUMMYFUNCTION("""COMPUTED_VALUE"""),"PlayNetRoyalFlameX2")</f>
        <v>PlayNetRoyalFlameX2</v>
      </c>
      <c r="B798" s="5" t="str">
        <f ca="1">IFERROR(__xludf.DUMMYFUNCTION("""COMPUTED_VALUE"""),"")</f>
        <v/>
      </c>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row>
    <row r="799" spans="1:29" x14ac:dyDescent="0.25">
      <c r="A799" s="5" t="str">
        <f ca="1">IFERROR(__xludf.DUMMYFUNCTION("""COMPUTED_VALUE"""),"PlayNetHeartGem5")</f>
        <v>PlayNetHeartGem5</v>
      </c>
      <c r="B799" s="5" t="str">
        <f ca="1">IFERROR(__xludf.DUMMYFUNCTION("""COMPUTED_VALUE"""),"")</f>
        <v/>
      </c>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row>
    <row r="800" spans="1:29" x14ac:dyDescent="0.25">
      <c r="A800" s="5" t="str">
        <f ca="1">IFERROR(__xludf.DUMMYFUNCTION("""COMPUTED_VALUE"""),"PlayNetEmpressOfFlame20")</f>
        <v>PlayNetEmpressOfFlame20</v>
      </c>
      <c r="B800" s="5" t="str">
        <f ca="1">IFERROR(__xludf.DUMMYFUNCTION("""COMPUTED_VALUE"""),"")</f>
        <v/>
      </c>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row>
    <row r="801" spans="1:29" x14ac:dyDescent="0.25">
      <c r="A801" s="5" t="str">
        <f ca="1">IFERROR(__xludf.DUMMYFUNCTION("""COMPUTED_VALUE"""),"PlayNetShadowHunt20")</f>
        <v>PlayNetShadowHunt20</v>
      </c>
      <c r="B801" s="5" t="str">
        <f ca="1">IFERROR(__xludf.DUMMYFUNCTION("""COMPUTED_VALUE"""),"")</f>
        <v/>
      </c>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row>
    <row r="802" spans="1:29" x14ac:dyDescent="0.25">
      <c r="A802" s="5" t="str">
        <f ca="1">IFERROR(__xludf.DUMMYFUNCTION("""COMPUTED_VALUE"""),"TBD")</f>
        <v>TBD</v>
      </c>
      <c r="B802"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802" s="5" t="str">
        <f ca="1">IFERROR(__xludf.DUMMYFUNCTION("""COMPUTED_VALUE"""),"Yes")</f>
        <v>Yes</v>
      </c>
      <c r="D802" s="5" t="str">
        <f ca="1">IFERROR(__xludf.DUMMYFUNCTION("""COMPUTED_VALUE"""),"Yes")</f>
        <v>Yes</v>
      </c>
      <c r="E802" s="5" t="str">
        <f ca="1">IFERROR(__xludf.DUMMYFUNCTION("""COMPUTED_VALUE"""),"Yes")</f>
        <v>Yes</v>
      </c>
      <c r="F802" s="5" t="str">
        <f ca="1">IFERROR(__xludf.DUMMYFUNCTION("""COMPUTED_VALUE"""),"Yes")</f>
        <v>Yes</v>
      </c>
      <c r="G802" s="5" t="str">
        <f ca="1">IFERROR(__xludf.DUMMYFUNCTION("""COMPUTED_VALUE"""),"Yes")</f>
        <v>Yes</v>
      </c>
      <c r="H802" s="5" t="str">
        <f ca="1">IFERROR(__xludf.DUMMYFUNCTION("""COMPUTED_VALUE"""),"Yes")</f>
        <v>Yes</v>
      </c>
      <c r="I802" s="5" t="str">
        <f ca="1">IFERROR(__xludf.DUMMYFUNCTION("""COMPUTED_VALUE"""),"Yes")</f>
        <v>Yes</v>
      </c>
      <c r="J802" s="5" t="str">
        <f ca="1">IFERROR(__xludf.DUMMYFUNCTION("""COMPUTED_VALUE"""),"Yes")</f>
        <v>Yes</v>
      </c>
      <c r="K802" s="5" t="str">
        <f ca="1">IFERROR(__xludf.DUMMYFUNCTION("""COMPUTED_VALUE"""),"Yes")</f>
        <v>Yes</v>
      </c>
      <c r="L802" s="5" t="str">
        <f ca="1">IFERROR(__xludf.DUMMYFUNCTION("""COMPUTED_VALUE"""),"Yes")</f>
        <v>Yes</v>
      </c>
      <c r="M802" s="5" t="str">
        <f ca="1">IFERROR(__xludf.DUMMYFUNCTION("""COMPUTED_VALUE"""),"Yes")</f>
        <v>Yes</v>
      </c>
      <c r="N802" s="5" t="str">
        <f ca="1">IFERROR(__xludf.DUMMYFUNCTION("""COMPUTED_VALUE"""),"Yes")</f>
        <v>Yes</v>
      </c>
      <c r="O802" s="5" t="str">
        <f ca="1">IFERROR(__xludf.DUMMYFUNCTION("""COMPUTED_VALUE"""),"Yes")</f>
        <v>Yes</v>
      </c>
      <c r="P802" s="5" t="str">
        <f ca="1">IFERROR(__xludf.DUMMYFUNCTION("""COMPUTED_VALUE"""),"Yes")</f>
        <v>Yes</v>
      </c>
      <c r="Q802" s="5" t="str">
        <f ca="1">IFERROR(__xludf.DUMMYFUNCTION("""COMPUTED_VALUE"""),"Yes")</f>
        <v>Yes</v>
      </c>
      <c r="R802" s="5" t="str">
        <f ca="1">IFERROR(__xludf.DUMMYFUNCTION("""COMPUTED_VALUE"""),"No")</f>
        <v>No</v>
      </c>
      <c r="S802" s="5" t="str">
        <f ca="1">IFERROR(__xludf.DUMMYFUNCTION("""COMPUTED_VALUE"""),"Yes")</f>
        <v>Yes</v>
      </c>
      <c r="T802" s="5" t="str">
        <f ca="1">IFERROR(__xludf.DUMMYFUNCTION("""COMPUTED_VALUE"""),"No")</f>
        <v>No</v>
      </c>
      <c r="U802" s="5" t="str">
        <f ca="1">IFERROR(__xludf.DUMMYFUNCTION("""COMPUTED_VALUE"""),"No")</f>
        <v>No</v>
      </c>
      <c r="V802" s="5" t="str">
        <f ca="1">IFERROR(__xludf.DUMMYFUNCTION("""COMPUTED_VALUE"""),"No")</f>
        <v>No</v>
      </c>
      <c r="W802" s="5" t="str">
        <f ca="1">IFERROR(__xludf.DUMMYFUNCTION("""COMPUTED_VALUE"""),"No")</f>
        <v>No</v>
      </c>
      <c r="X802" s="5" t="str">
        <f ca="1">IFERROR(__xludf.DUMMYFUNCTION("""COMPUTED_VALUE"""),"No")</f>
        <v>No</v>
      </c>
      <c r="Y802" s="5" t="str">
        <f ca="1">IFERROR(__xludf.DUMMYFUNCTION("""COMPUTED_VALUE"""),"Yes")</f>
        <v>Yes</v>
      </c>
      <c r="Z802" s="5" t="str">
        <f ca="1">IFERROR(__xludf.DUMMYFUNCTION("""COMPUTED_VALUE"""),"No")</f>
        <v>No</v>
      </c>
      <c r="AA802" s="5" t="str">
        <f ca="1">IFERROR(__xludf.DUMMYFUNCTION("""COMPUTED_VALUE"""),"No")</f>
        <v>No</v>
      </c>
      <c r="AB802" s="5" t="str">
        <f ca="1">IFERROR(__xludf.DUMMYFUNCTION("""COMPUTED_VALUE"""),"No")</f>
        <v>No</v>
      </c>
      <c r="AC802" s="5" t="str">
        <f ca="1">IFERROR(__xludf.DUMMYFUNCTION("""COMPUTED_VALUE"""),"No")</f>
        <v>No</v>
      </c>
    </row>
    <row r="803" spans="1:29" x14ac:dyDescent="0.25">
      <c r="A803" s="5" t="str">
        <f ca="1">IFERROR(__xludf.DUMMYFUNCTION("""COMPUTED_VALUE"""),"RedstoneLuckyLuckyBells")</f>
        <v>RedstoneLuckyLuckyBells</v>
      </c>
      <c r="B803" s="5" t="str">
        <f ca="1">IFERROR(__xludf.DUMMYFUNCTION("""COMPUTED_VALUE"""),"")</f>
        <v/>
      </c>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spans="1:29" x14ac:dyDescent="0.25">
      <c r="A804" s="5" t="str">
        <f ca="1">IFERROR(__xludf.DUMMYFUNCTION("""COMPUTED_VALUE"""),"RedstoneCloverFire1000")</f>
        <v>RedstoneCloverFire1000</v>
      </c>
      <c r="B80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4" s="5" t="str">
        <f ca="1">IFERROR(__xludf.DUMMYFUNCTION("""COMPUTED_VALUE"""),"Yes")</f>
        <v>Yes</v>
      </c>
      <c r="D804" s="5" t="str">
        <f ca="1">IFERROR(__xludf.DUMMYFUNCTION("""COMPUTED_VALUE"""),"Yes")</f>
        <v>Yes</v>
      </c>
      <c r="E804" s="5" t="str">
        <f ca="1">IFERROR(__xludf.DUMMYFUNCTION("""COMPUTED_VALUE"""),"Yes")</f>
        <v>Yes</v>
      </c>
      <c r="F804" s="5" t="str">
        <f ca="1">IFERROR(__xludf.DUMMYFUNCTION("""COMPUTED_VALUE"""),"Yes")</f>
        <v>Yes</v>
      </c>
      <c r="G804" s="5" t="str">
        <f ca="1">IFERROR(__xludf.DUMMYFUNCTION("""COMPUTED_VALUE"""),"Yes")</f>
        <v>Yes</v>
      </c>
      <c r="H804" s="5" t="str">
        <f ca="1">IFERROR(__xludf.DUMMYFUNCTION("""COMPUTED_VALUE"""),"Yes")</f>
        <v>Yes</v>
      </c>
      <c r="I804" s="5" t="str">
        <f ca="1">IFERROR(__xludf.DUMMYFUNCTION("""COMPUTED_VALUE"""),"Yes")</f>
        <v>Yes</v>
      </c>
      <c r="J804" s="5" t="str">
        <f ca="1">IFERROR(__xludf.DUMMYFUNCTION("""COMPUTED_VALUE"""),"Yes")</f>
        <v>Yes</v>
      </c>
      <c r="K804" s="5" t="str">
        <f ca="1">IFERROR(__xludf.DUMMYFUNCTION("""COMPUTED_VALUE"""),"Yes")</f>
        <v>Yes</v>
      </c>
      <c r="L804" s="5" t="str">
        <f ca="1">IFERROR(__xludf.DUMMYFUNCTION("""COMPUTED_VALUE"""),"Yes")</f>
        <v>Yes</v>
      </c>
      <c r="M804" s="5" t="str">
        <f ca="1">IFERROR(__xludf.DUMMYFUNCTION("""COMPUTED_VALUE"""),"Yes")</f>
        <v>Yes</v>
      </c>
      <c r="N804" s="5" t="str">
        <f ca="1">IFERROR(__xludf.DUMMYFUNCTION("""COMPUTED_VALUE"""),"Yes")</f>
        <v>Yes</v>
      </c>
      <c r="O804" s="5" t="str">
        <f ca="1">IFERROR(__xludf.DUMMYFUNCTION("""COMPUTED_VALUE"""),"Yes")</f>
        <v>Yes</v>
      </c>
      <c r="P804" s="5" t="str">
        <f ca="1">IFERROR(__xludf.DUMMYFUNCTION("""COMPUTED_VALUE"""),"Yes")</f>
        <v>Yes</v>
      </c>
      <c r="Q804" s="5" t="str">
        <f ca="1">IFERROR(__xludf.DUMMYFUNCTION("""COMPUTED_VALUE"""),"Yes")</f>
        <v>Yes</v>
      </c>
      <c r="R804" s="5" t="str">
        <f ca="1">IFERROR(__xludf.DUMMYFUNCTION("""COMPUTED_VALUE"""),"No")</f>
        <v>No</v>
      </c>
      <c r="S804" s="5" t="str">
        <f ca="1">IFERROR(__xludf.DUMMYFUNCTION("""COMPUTED_VALUE"""),"No")</f>
        <v>No</v>
      </c>
      <c r="T804" s="5" t="str">
        <f ca="1">IFERROR(__xludf.DUMMYFUNCTION("""COMPUTED_VALUE"""),"No")</f>
        <v>No</v>
      </c>
      <c r="U804" s="5" t="str">
        <f ca="1">IFERROR(__xludf.DUMMYFUNCTION("""COMPUTED_VALUE"""),"No")</f>
        <v>No</v>
      </c>
      <c r="V804" s="5" t="str">
        <f ca="1">IFERROR(__xludf.DUMMYFUNCTION("""COMPUTED_VALUE"""),"No")</f>
        <v>No</v>
      </c>
      <c r="W804" s="5" t="str">
        <f ca="1">IFERROR(__xludf.DUMMYFUNCTION("""COMPUTED_VALUE"""),"No")</f>
        <v>No</v>
      </c>
      <c r="X804" s="5" t="str">
        <f ca="1">IFERROR(__xludf.DUMMYFUNCTION("""COMPUTED_VALUE"""),"Yes")</f>
        <v>Yes</v>
      </c>
      <c r="Y804" s="5" t="str">
        <f ca="1">IFERROR(__xludf.DUMMYFUNCTION("""COMPUTED_VALUE"""),"No")</f>
        <v>No</v>
      </c>
      <c r="Z804" s="5" t="str">
        <f ca="1">IFERROR(__xludf.DUMMYFUNCTION("""COMPUTED_VALUE"""),"No")</f>
        <v>No</v>
      </c>
      <c r="AA804" s="5" t="str">
        <f ca="1">IFERROR(__xludf.DUMMYFUNCTION("""COMPUTED_VALUE"""),"No")</f>
        <v>No</v>
      </c>
      <c r="AB804" s="5" t="str">
        <f ca="1">IFERROR(__xludf.DUMMYFUNCTION("""COMPUTED_VALUE"""),"Yes")</f>
        <v>Yes</v>
      </c>
      <c r="AC804" s="5" t="str">
        <f ca="1">IFERROR(__xludf.DUMMYFUNCTION("""COMPUTED_VALUE"""),"No")</f>
        <v>No</v>
      </c>
    </row>
    <row r="805" spans="1:29" x14ac:dyDescent="0.25">
      <c r="A805" s="5" t="str">
        <f ca="1">IFERROR(__xludf.DUMMYFUNCTION("""COMPUTED_VALUE"""),"RedstoneWildHeart1000")</f>
        <v>RedstoneWildHeart1000</v>
      </c>
      <c r="B80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5" s="5" t="str">
        <f ca="1">IFERROR(__xludf.DUMMYFUNCTION("""COMPUTED_VALUE"""),"Yes")</f>
        <v>Yes</v>
      </c>
      <c r="D805" s="5" t="str">
        <f ca="1">IFERROR(__xludf.DUMMYFUNCTION("""COMPUTED_VALUE"""),"Yes")</f>
        <v>Yes</v>
      </c>
      <c r="E805" s="5" t="str">
        <f ca="1">IFERROR(__xludf.DUMMYFUNCTION("""COMPUTED_VALUE"""),"Yes")</f>
        <v>Yes</v>
      </c>
      <c r="F805" s="5" t="str">
        <f ca="1">IFERROR(__xludf.DUMMYFUNCTION("""COMPUTED_VALUE"""),"Yes")</f>
        <v>Yes</v>
      </c>
      <c r="G805" s="5" t="str">
        <f ca="1">IFERROR(__xludf.DUMMYFUNCTION("""COMPUTED_VALUE"""),"Yes")</f>
        <v>Yes</v>
      </c>
      <c r="H805" s="5" t="str">
        <f ca="1">IFERROR(__xludf.DUMMYFUNCTION("""COMPUTED_VALUE"""),"Yes")</f>
        <v>Yes</v>
      </c>
      <c r="I805" s="5" t="str">
        <f ca="1">IFERROR(__xludf.DUMMYFUNCTION("""COMPUTED_VALUE"""),"Yes")</f>
        <v>Yes</v>
      </c>
      <c r="J805" s="5" t="str">
        <f ca="1">IFERROR(__xludf.DUMMYFUNCTION("""COMPUTED_VALUE"""),"Yes")</f>
        <v>Yes</v>
      </c>
      <c r="K805" s="5" t="str">
        <f ca="1">IFERROR(__xludf.DUMMYFUNCTION("""COMPUTED_VALUE"""),"Yes")</f>
        <v>Yes</v>
      </c>
      <c r="L805" s="5" t="str">
        <f ca="1">IFERROR(__xludf.DUMMYFUNCTION("""COMPUTED_VALUE"""),"Yes")</f>
        <v>Yes</v>
      </c>
      <c r="M805" s="5" t="str">
        <f ca="1">IFERROR(__xludf.DUMMYFUNCTION("""COMPUTED_VALUE"""),"Yes")</f>
        <v>Yes</v>
      </c>
      <c r="N805" s="5" t="str">
        <f ca="1">IFERROR(__xludf.DUMMYFUNCTION("""COMPUTED_VALUE"""),"Yes")</f>
        <v>Yes</v>
      </c>
      <c r="O805" s="5" t="str">
        <f ca="1">IFERROR(__xludf.DUMMYFUNCTION("""COMPUTED_VALUE"""),"Yes")</f>
        <v>Yes</v>
      </c>
      <c r="P805" s="5" t="str">
        <f ca="1">IFERROR(__xludf.DUMMYFUNCTION("""COMPUTED_VALUE"""),"Yes")</f>
        <v>Yes</v>
      </c>
      <c r="Q805" s="5" t="str">
        <f ca="1">IFERROR(__xludf.DUMMYFUNCTION("""COMPUTED_VALUE"""),"Yes")</f>
        <v>Yes</v>
      </c>
      <c r="R805" s="5" t="str">
        <f ca="1">IFERROR(__xludf.DUMMYFUNCTION("""COMPUTED_VALUE"""),"No")</f>
        <v>No</v>
      </c>
      <c r="S805" s="5" t="str">
        <f ca="1">IFERROR(__xludf.DUMMYFUNCTION("""COMPUTED_VALUE"""),"No")</f>
        <v>No</v>
      </c>
      <c r="T805" s="5" t="str">
        <f ca="1">IFERROR(__xludf.DUMMYFUNCTION("""COMPUTED_VALUE"""),"No")</f>
        <v>No</v>
      </c>
      <c r="U805" s="5" t="str">
        <f ca="1">IFERROR(__xludf.DUMMYFUNCTION("""COMPUTED_VALUE"""),"No")</f>
        <v>No</v>
      </c>
      <c r="V805" s="5" t="str">
        <f ca="1">IFERROR(__xludf.DUMMYFUNCTION("""COMPUTED_VALUE"""),"No")</f>
        <v>No</v>
      </c>
      <c r="W805" s="5" t="str">
        <f ca="1">IFERROR(__xludf.DUMMYFUNCTION("""COMPUTED_VALUE"""),"No")</f>
        <v>No</v>
      </c>
      <c r="X805" s="5" t="str">
        <f ca="1">IFERROR(__xludf.DUMMYFUNCTION("""COMPUTED_VALUE"""),"Yes")</f>
        <v>Yes</v>
      </c>
      <c r="Y805" s="5" t="str">
        <f ca="1">IFERROR(__xludf.DUMMYFUNCTION("""COMPUTED_VALUE"""),"No")</f>
        <v>No</v>
      </c>
      <c r="Z805" s="5" t="str">
        <f ca="1">IFERROR(__xludf.DUMMYFUNCTION("""COMPUTED_VALUE"""),"No")</f>
        <v>No</v>
      </c>
      <c r="AA805" s="5" t="str">
        <f ca="1">IFERROR(__xludf.DUMMYFUNCTION("""COMPUTED_VALUE"""),"No")</f>
        <v>No</v>
      </c>
      <c r="AB805" s="5" t="str">
        <f ca="1">IFERROR(__xludf.DUMMYFUNCTION("""COMPUTED_VALUE"""),"Yes")</f>
        <v>Yes</v>
      </c>
      <c r="AC805" s="5" t="str">
        <f ca="1">IFERROR(__xludf.DUMMYFUNCTION("""COMPUTED_VALUE"""),"No")</f>
        <v>No</v>
      </c>
    </row>
    <row r="806" spans="1:29" x14ac:dyDescent="0.25">
      <c r="A806" s="5" t="str">
        <f ca="1">IFERROR(__xludf.DUMMYFUNCTION("""COMPUTED_VALUE"""),"RedstoneWildCrown1000")</f>
        <v>RedstoneWildCrown1000</v>
      </c>
      <c r="B80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6" s="5" t="str">
        <f ca="1">IFERROR(__xludf.DUMMYFUNCTION("""COMPUTED_VALUE"""),"Yes")</f>
        <v>Yes</v>
      </c>
      <c r="D806" s="5" t="str">
        <f ca="1">IFERROR(__xludf.DUMMYFUNCTION("""COMPUTED_VALUE"""),"Yes")</f>
        <v>Yes</v>
      </c>
      <c r="E806" s="5" t="str">
        <f ca="1">IFERROR(__xludf.DUMMYFUNCTION("""COMPUTED_VALUE"""),"Yes")</f>
        <v>Yes</v>
      </c>
      <c r="F806" s="5" t="str">
        <f ca="1">IFERROR(__xludf.DUMMYFUNCTION("""COMPUTED_VALUE"""),"Yes")</f>
        <v>Yes</v>
      </c>
      <c r="G806" s="5" t="str">
        <f ca="1">IFERROR(__xludf.DUMMYFUNCTION("""COMPUTED_VALUE"""),"Yes")</f>
        <v>Yes</v>
      </c>
      <c r="H806" s="5" t="str">
        <f ca="1">IFERROR(__xludf.DUMMYFUNCTION("""COMPUTED_VALUE"""),"Yes")</f>
        <v>Yes</v>
      </c>
      <c r="I806" s="5" t="str">
        <f ca="1">IFERROR(__xludf.DUMMYFUNCTION("""COMPUTED_VALUE"""),"Yes")</f>
        <v>Yes</v>
      </c>
      <c r="J806" s="5" t="str">
        <f ca="1">IFERROR(__xludf.DUMMYFUNCTION("""COMPUTED_VALUE"""),"Yes")</f>
        <v>Yes</v>
      </c>
      <c r="K806" s="5" t="str">
        <f ca="1">IFERROR(__xludf.DUMMYFUNCTION("""COMPUTED_VALUE"""),"Yes")</f>
        <v>Yes</v>
      </c>
      <c r="L806" s="5" t="str">
        <f ca="1">IFERROR(__xludf.DUMMYFUNCTION("""COMPUTED_VALUE"""),"Yes")</f>
        <v>Yes</v>
      </c>
      <c r="M806" s="5" t="str">
        <f ca="1">IFERROR(__xludf.DUMMYFUNCTION("""COMPUTED_VALUE"""),"Yes")</f>
        <v>Yes</v>
      </c>
      <c r="N806" s="5" t="str">
        <f ca="1">IFERROR(__xludf.DUMMYFUNCTION("""COMPUTED_VALUE"""),"Yes")</f>
        <v>Yes</v>
      </c>
      <c r="O806" s="5" t="str">
        <f ca="1">IFERROR(__xludf.DUMMYFUNCTION("""COMPUTED_VALUE"""),"Yes")</f>
        <v>Yes</v>
      </c>
      <c r="P806" s="5" t="str">
        <f ca="1">IFERROR(__xludf.DUMMYFUNCTION("""COMPUTED_VALUE"""),"Yes")</f>
        <v>Yes</v>
      </c>
      <c r="Q806" s="5" t="str">
        <f ca="1">IFERROR(__xludf.DUMMYFUNCTION("""COMPUTED_VALUE"""),"Yes")</f>
        <v>Yes</v>
      </c>
      <c r="R806" s="5" t="str">
        <f ca="1">IFERROR(__xludf.DUMMYFUNCTION("""COMPUTED_VALUE"""),"No")</f>
        <v>No</v>
      </c>
      <c r="S806" s="5" t="str">
        <f ca="1">IFERROR(__xludf.DUMMYFUNCTION("""COMPUTED_VALUE"""),"No")</f>
        <v>No</v>
      </c>
      <c r="T806" s="5" t="str">
        <f ca="1">IFERROR(__xludf.DUMMYFUNCTION("""COMPUTED_VALUE"""),"No")</f>
        <v>No</v>
      </c>
      <c r="U806" s="5" t="str">
        <f ca="1">IFERROR(__xludf.DUMMYFUNCTION("""COMPUTED_VALUE"""),"No")</f>
        <v>No</v>
      </c>
      <c r="V806" s="5" t="str">
        <f ca="1">IFERROR(__xludf.DUMMYFUNCTION("""COMPUTED_VALUE"""),"No")</f>
        <v>No</v>
      </c>
      <c r="W806" s="5" t="str">
        <f ca="1">IFERROR(__xludf.DUMMYFUNCTION("""COMPUTED_VALUE"""),"No")</f>
        <v>No</v>
      </c>
      <c r="X806" s="5" t="str">
        <f ca="1">IFERROR(__xludf.DUMMYFUNCTION("""COMPUTED_VALUE"""),"Yes")</f>
        <v>Yes</v>
      </c>
      <c r="Y806" s="5" t="str">
        <f ca="1">IFERROR(__xludf.DUMMYFUNCTION("""COMPUTED_VALUE"""),"No")</f>
        <v>No</v>
      </c>
      <c r="Z806" s="5" t="str">
        <f ca="1">IFERROR(__xludf.DUMMYFUNCTION("""COMPUTED_VALUE"""),"No")</f>
        <v>No</v>
      </c>
      <c r="AA806" s="5" t="str">
        <f ca="1">IFERROR(__xludf.DUMMYFUNCTION("""COMPUTED_VALUE"""),"No")</f>
        <v>No</v>
      </c>
      <c r="AB806" s="5" t="str">
        <f ca="1">IFERROR(__xludf.DUMMYFUNCTION("""COMPUTED_VALUE"""),"Yes")</f>
        <v>Yes</v>
      </c>
      <c r="AC806" s="5" t="str">
        <f ca="1">IFERROR(__xludf.DUMMYFUNCTION("""COMPUTED_VALUE"""),"No")</f>
        <v>No</v>
      </c>
    </row>
    <row r="807" spans="1:29" x14ac:dyDescent="0.25">
      <c r="A807" s="5" t="str">
        <f ca="1">IFERROR(__xludf.DUMMYFUNCTION("""COMPUTED_VALUE"""),"Clover81")</f>
        <v>Clover81</v>
      </c>
      <c r="B8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07" s="5" t="str">
        <f ca="1">IFERROR(__xludf.DUMMYFUNCTION("""COMPUTED_VALUE"""),"Yes")</f>
        <v>Yes</v>
      </c>
      <c r="D807" s="5" t="str">
        <f ca="1">IFERROR(__xludf.DUMMYFUNCTION("""COMPUTED_VALUE"""),"Yes")</f>
        <v>Yes</v>
      </c>
      <c r="E807" s="5" t="str">
        <f ca="1">IFERROR(__xludf.DUMMYFUNCTION("""COMPUTED_VALUE"""),"Yes")</f>
        <v>Yes</v>
      </c>
      <c r="F807" s="5" t="str">
        <f ca="1">IFERROR(__xludf.DUMMYFUNCTION("""COMPUTED_VALUE"""),"Yes")</f>
        <v>Yes</v>
      </c>
      <c r="G807" s="5" t="str">
        <f ca="1">IFERROR(__xludf.DUMMYFUNCTION("""COMPUTED_VALUE"""),"Yes")</f>
        <v>Yes</v>
      </c>
      <c r="H807" s="5" t="str">
        <f ca="1">IFERROR(__xludf.DUMMYFUNCTION("""COMPUTED_VALUE"""),"Yes")</f>
        <v>Yes</v>
      </c>
      <c r="I807" s="5" t="str">
        <f ca="1">IFERROR(__xludf.DUMMYFUNCTION("""COMPUTED_VALUE"""),"Yes")</f>
        <v>Yes</v>
      </c>
      <c r="J807" s="5" t="str">
        <f ca="1">IFERROR(__xludf.DUMMYFUNCTION("""COMPUTED_VALUE"""),"Yes")</f>
        <v>Yes</v>
      </c>
      <c r="K807" s="5" t="str">
        <f ca="1">IFERROR(__xludf.DUMMYFUNCTION("""COMPUTED_VALUE"""),"Yes")</f>
        <v>Yes</v>
      </c>
      <c r="L807" s="5" t="str">
        <f ca="1">IFERROR(__xludf.DUMMYFUNCTION("""COMPUTED_VALUE"""),"Yes")</f>
        <v>Yes</v>
      </c>
      <c r="M807" s="5" t="str">
        <f ca="1">IFERROR(__xludf.DUMMYFUNCTION("""COMPUTED_VALUE"""),"Yes")</f>
        <v>Yes</v>
      </c>
      <c r="N807" s="5" t="str">
        <f ca="1">IFERROR(__xludf.DUMMYFUNCTION("""COMPUTED_VALUE"""),"Yes")</f>
        <v>Yes</v>
      </c>
      <c r="O807" s="5" t="str">
        <f ca="1">IFERROR(__xludf.DUMMYFUNCTION("""COMPUTED_VALUE"""),"Yes")</f>
        <v>Yes</v>
      </c>
      <c r="P807" s="5" t="str">
        <f ca="1">IFERROR(__xludf.DUMMYFUNCTION("""COMPUTED_VALUE"""),"Yes")</f>
        <v>Yes</v>
      </c>
      <c r="Q807" s="5" t="str">
        <f ca="1">IFERROR(__xludf.DUMMYFUNCTION("""COMPUTED_VALUE"""),"Yes")</f>
        <v>Yes</v>
      </c>
      <c r="R807" s="5" t="str">
        <f ca="1">IFERROR(__xludf.DUMMYFUNCTION("""COMPUTED_VALUE"""),"Yes")</f>
        <v>Yes</v>
      </c>
      <c r="S807" s="5" t="str">
        <f ca="1">IFERROR(__xludf.DUMMYFUNCTION("""COMPUTED_VALUE"""),"Yes")</f>
        <v>Yes</v>
      </c>
      <c r="T807" s="5" t="str">
        <f ca="1">IFERROR(__xludf.DUMMYFUNCTION("""COMPUTED_VALUE"""),"Yes")</f>
        <v>Yes</v>
      </c>
      <c r="U807" s="5" t="str">
        <f ca="1">IFERROR(__xludf.DUMMYFUNCTION("""COMPUTED_VALUE"""),"Yes")</f>
        <v>Yes</v>
      </c>
      <c r="V807" s="5" t="str">
        <f ca="1">IFERROR(__xludf.DUMMYFUNCTION("""COMPUTED_VALUE"""),"Yes")</f>
        <v>Yes</v>
      </c>
      <c r="W807" s="5" t="str">
        <f ca="1">IFERROR(__xludf.DUMMYFUNCTION("""COMPUTED_VALUE"""),"Yes")</f>
        <v>Yes</v>
      </c>
      <c r="X807" s="5" t="str">
        <f ca="1">IFERROR(__xludf.DUMMYFUNCTION("""COMPUTED_VALUE"""),"Yes")</f>
        <v>Yes</v>
      </c>
      <c r="Y807" s="5" t="str">
        <f ca="1">IFERROR(__xludf.DUMMYFUNCTION("""COMPUTED_VALUE"""),"Yes")</f>
        <v>Yes</v>
      </c>
      <c r="Z807" s="5" t="str">
        <f ca="1">IFERROR(__xludf.DUMMYFUNCTION("""COMPUTED_VALUE"""),"Yes")</f>
        <v>Yes</v>
      </c>
      <c r="AA807" s="5" t="str">
        <f ca="1">IFERROR(__xludf.DUMMYFUNCTION("""COMPUTED_VALUE"""),"Yes")</f>
        <v>Yes</v>
      </c>
      <c r="AB807" s="5" t="str">
        <f ca="1">IFERROR(__xludf.DUMMYFUNCTION("""COMPUTED_VALUE"""),"Yes")</f>
        <v>Yes</v>
      </c>
      <c r="AC807" s="5" t="str">
        <f ca="1">IFERROR(__xludf.DUMMYFUNCTION("""COMPUTED_VALUE"""),"Yes")</f>
        <v>Yes</v>
      </c>
    </row>
    <row r="808" spans="1:29" x14ac:dyDescent="0.25">
      <c r="A808" s="5" t="str">
        <f ca="1">IFERROR(__xludf.DUMMYFUNCTION("""COMPUTED_VALUE"""),"Clover5")</f>
        <v>Clover5</v>
      </c>
      <c r="B8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8" s="5" t="str">
        <f ca="1">IFERROR(__xludf.DUMMYFUNCTION("""COMPUTED_VALUE"""),"Yes")</f>
        <v>Yes</v>
      </c>
      <c r="D808" s="5" t="str">
        <f ca="1">IFERROR(__xludf.DUMMYFUNCTION("""COMPUTED_VALUE"""),"Yes")</f>
        <v>Yes</v>
      </c>
      <c r="E808" s="5" t="str">
        <f ca="1">IFERROR(__xludf.DUMMYFUNCTION("""COMPUTED_VALUE"""),"Yes")</f>
        <v>Yes</v>
      </c>
      <c r="F808" s="5" t="str">
        <f ca="1">IFERROR(__xludf.DUMMYFUNCTION("""COMPUTED_VALUE"""),"Yes")</f>
        <v>Yes</v>
      </c>
      <c r="G808" s="5" t="str">
        <f ca="1">IFERROR(__xludf.DUMMYFUNCTION("""COMPUTED_VALUE"""),"Yes")</f>
        <v>Yes</v>
      </c>
      <c r="H808" s="5" t="str">
        <f ca="1">IFERROR(__xludf.DUMMYFUNCTION("""COMPUTED_VALUE"""),"Yes")</f>
        <v>Yes</v>
      </c>
      <c r="I808" s="5" t="str">
        <f ca="1">IFERROR(__xludf.DUMMYFUNCTION("""COMPUTED_VALUE"""),"Yes")</f>
        <v>Yes</v>
      </c>
      <c r="J808" s="5" t="str">
        <f ca="1">IFERROR(__xludf.DUMMYFUNCTION("""COMPUTED_VALUE"""),"Yes")</f>
        <v>Yes</v>
      </c>
      <c r="K808" s="5" t="str">
        <f ca="1">IFERROR(__xludf.DUMMYFUNCTION("""COMPUTED_VALUE"""),"Yes")</f>
        <v>Yes</v>
      </c>
      <c r="L808" s="5" t="str">
        <f ca="1">IFERROR(__xludf.DUMMYFUNCTION("""COMPUTED_VALUE"""),"Yes")</f>
        <v>Yes</v>
      </c>
      <c r="M808" s="5" t="str">
        <f ca="1">IFERROR(__xludf.DUMMYFUNCTION("""COMPUTED_VALUE"""),"Yes")</f>
        <v>Yes</v>
      </c>
      <c r="N808" s="5" t="str">
        <f ca="1">IFERROR(__xludf.DUMMYFUNCTION("""COMPUTED_VALUE"""),"Yes")</f>
        <v>Yes</v>
      </c>
      <c r="O808" s="5" t="str">
        <f ca="1">IFERROR(__xludf.DUMMYFUNCTION("""COMPUTED_VALUE"""),"Yes")</f>
        <v>Yes</v>
      </c>
      <c r="P808" s="5" t="str">
        <f ca="1">IFERROR(__xludf.DUMMYFUNCTION("""COMPUTED_VALUE"""),"Yes")</f>
        <v>Yes</v>
      </c>
      <c r="Q808" s="5" t="str">
        <f ca="1">IFERROR(__xludf.DUMMYFUNCTION("""COMPUTED_VALUE"""),"Yes")</f>
        <v>Yes</v>
      </c>
      <c r="R808" s="5" t="str">
        <f ca="1">IFERROR(__xludf.DUMMYFUNCTION("""COMPUTED_VALUE"""),"Yes")</f>
        <v>Yes</v>
      </c>
      <c r="S808" s="5" t="str">
        <f ca="1">IFERROR(__xludf.DUMMYFUNCTION("""COMPUTED_VALUE"""),"Yes")</f>
        <v>Yes</v>
      </c>
      <c r="T808" s="5" t="str">
        <f ca="1">IFERROR(__xludf.DUMMYFUNCTION("""COMPUTED_VALUE"""),"Yes")</f>
        <v>Yes</v>
      </c>
      <c r="U808" s="5" t="str">
        <f ca="1">IFERROR(__xludf.DUMMYFUNCTION("""COMPUTED_VALUE"""),"Yes")</f>
        <v>Yes</v>
      </c>
      <c r="V808" s="5" t="str">
        <f ca="1">IFERROR(__xludf.DUMMYFUNCTION("""COMPUTED_VALUE"""),"Yes")</f>
        <v>Yes</v>
      </c>
      <c r="W808" s="5" t="str">
        <f ca="1">IFERROR(__xludf.DUMMYFUNCTION("""COMPUTED_VALUE"""),"Yes")</f>
        <v>Yes</v>
      </c>
      <c r="X808" s="5" t="str">
        <f ca="1">IFERROR(__xludf.DUMMYFUNCTION("""COMPUTED_VALUE"""),"Yes")</f>
        <v>Yes</v>
      </c>
      <c r="Y808" s="5" t="str">
        <f ca="1">IFERROR(__xludf.DUMMYFUNCTION("""COMPUTED_VALUE"""),"Yes")</f>
        <v>Yes</v>
      </c>
      <c r="Z808" s="5" t="str">
        <f ca="1">IFERROR(__xludf.DUMMYFUNCTION("""COMPUTED_VALUE"""),"Yes")</f>
        <v>Yes</v>
      </c>
      <c r="AA808" s="5" t="str">
        <f ca="1">IFERROR(__xludf.DUMMYFUNCTION("""COMPUTED_VALUE"""),"Yes")</f>
        <v>Yes</v>
      </c>
      <c r="AB808" s="5" t="str">
        <f ca="1">IFERROR(__xludf.DUMMYFUNCTION("""COMPUTED_VALUE"""),"Yes")</f>
        <v>Yes</v>
      </c>
      <c r="AC808" s="5" t="str">
        <f ca="1">IFERROR(__xludf.DUMMYFUNCTION("""COMPUTED_VALUE"""),"No")</f>
        <v>No</v>
      </c>
    </row>
    <row r="809" spans="1:29" x14ac:dyDescent="0.25">
      <c r="A809" s="5" t="str">
        <f ca="1">IFERROR(__xludf.DUMMYFUNCTION("""COMPUTED_VALUE"""),"Clover10")</f>
        <v>Clover10</v>
      </c>
      <c r="B8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9" s="5" t="str">
        <f ca="1">IFERROR(__xludf.DUMMYFUNCTION("""COMPUTED_VALUE"""),"Yes")</f>
        <v>Yes</v>
      </c>
      <c r="D809" s="5" t="str">
        <f ca="1">IFERROR(__xludf.DUMMYFUNCTION("""COMPUTED_VALUE"""),"Yes")</f>
        <v>Yes</v>
      </c>
      <c r="E809" s="5" t="str">
        <f ca="1">IFERROR(__xludf.DUMMYFUNCTION("""COMPUTED_VALUE"""),"Yes")</f>
        <v>Yes</v>
      </c>
      <c r="F809" s="5" t="str">
        <f ca="1">IFERROR(__xludf.DUMMYFUNCTION("""COMPUTED_VALUE"""),"Yes")</f>
        <v>Yes</v>
      </c>
      <c r="G809" s="5" t="str">
        <f ca="1">IFERROR(__xludf.DUMMYFUNCTION("""COMPUTED_VALUE"""),"Yes")</f>
        <v>Yes</v>
      </c>
      <c r="H809" s="5" t="str">
        <f ca="1">IFERROR(__xludf.DUMMYFUNCTION("""COMPUTED_VALUE"""),"Yes")</f>
        <v>Yes</v>
      </c>
      <c r="I809" s="5" t="str">
        <f ca="1">IFERROR(__xludf.DUMMYFUNCTION("""COMPUTED_VALUE"""),"Yes")</f>
        <v>Yes</v>
      </c>
      <c r="J809" s="5" t="str">
        <f ca="1">IFERROR(__xludf.DUMMYFUNCTION("""COMPUTED_VALUE"""),"Yes")</f>
        <v>Yes</v>
      </c>
      <c r="K809" s="5" t="str">
        <f ca="1">IFERROR(__xludf.DUMMYFUNCTION("""COMPUTED_VALUE"""),"Yes")</f>
        <v>Yes</v>
      </c>
      <c r="L809" s="5" t="str">
        <f ca="1">IFERROR(__xludf.DUMMYFUNCTION("""COMPUTED_VALUE"""),"Yes")</f>
        <v>Yes</v>
      </c>
      <c r="M809" s="5" t="str">
        <f ca="1">IFERROR(__xludf.DUMMYFUNCTION("""COMPUTED_VALUE"""),"Yes")</f>
        <v>Yes</v>
      </c>
      <c r="N809" s="5" t="str">
        <f ca="1">IFERROR(__xludf.DUMMYFUNCTION("""COMPUTED_VALUE"""),"Yes")</f>
        <v>Yes</v>
      </c>
      <c r="O809" s="5" t="str">
        <f ca="1">IFERROR(__xludf.DUMMYFUNCTION("""COMPUTED_VALUE"""),"Yes")</f>
        <v>Yes</v>
      </c>
      <c r="P809" s="5" t="str">
        <f ca="1">IFERROR(__xludf.DUMMYFUNCTION("""COMPUTED_VALUE"""),"Yes")</f>
        <v>Yes</v>
      </c>
      <c r="Q809" s="5" t="str">
        <f ca="1">IFERROR(__xludf.DUMMYFUNCTION("""COMPUTED_VALUE"""),"Yes")</f>
        <v>Yes</v>
      </c>
      <c r="R809" s="5" t="str">
        <f ca="1">IFERROR(__xludf.DUMMYFUNCTION("""COMPUTED_VALUE"""),"Yes")</f>
        <v>Yes</v>
      </c>
      <c r="S809" s="5" t="str">
        <f ca="1">IFERROR(__xludf.DUMMYFUNCTION("""COMPUTED_VALUE"""),"Yes")</f>
        <v>Yes</v>
      </c>
      <c r="T809" s="5" t="str">
        <f ca="1">IFERROR(__xludf.DUMMYFUNCTION("""COMPUTED_VALUE"""),"Yes")</f>
        <v>Yes</v>
      </c>
      <c r="U809" s="5" t="str">
        <f ca="1">IFERROR(__xludf.DUMMYFUNCTION("""COMPUTED_VALUE"""),"Yes")</f>
        <v>Yes</v>
      </c>
      <c r="V809" s="5" t="str">
        <f ca="1">IFERROR(__xludf.DUMMYFUNCTION("""COMPUTED_VALUE"""),"Yes")</f>
        <v>Yes</v>
      </c>
      <c r="W809" s="5" t="str">
        <f ca="1">IFERROR(__xludf.DUMMYFUNCTION("""COMPUTED_VALUE"""),"Yes")</f>
        <v>Yes</v>
      </c>
      <c r="X809" s="5" t="str">
        <f ca="1">IFERROR(__xludf.DUMMYFUNCTION("""COMPUTED_VALUE"""),"Yes")</f>
        <v>Yes</v>
      </c>
      <c r="Y809" s="5" t="str">
        <f ca="1">IFERROR(__xludf.DUMMYFUNCTION("""COMPUTED_VALUE"""),"Yes")</f>
        <v>Yes</v>
      </c>
      <c r="Z809" s="5" t="str">
        <f ca="1">IFERROR(__xludf.DUMMYFUNCTION("""COMPUTED_VALUE"""),"Yes")</f>
        <v>Yes</v>
      </c>
      <c r="AA809" s="5" t="str">
        <f ca="1">IFERROR(__xludf.DUMMYFUNCTION("""COMPUTED_VALUE"""),"Yes")</f>
        <v>Yes</v>
      </c>
      <c r="AB809" s="5" t="str">
        <f ca="1">IFERROR(__xludf.DUMMYFUNCTION("""COMPUTED_VALUE"""),"Yes")</f>
        <v>Yes</v>
      </c>
      <c r="AC809" s="5" t="str">
        <f ca="1">IFERROR(__xludf.DUMMYFUNCTION("""COMPUTED_VALUE"""),"No")</f>
        <v>No</v>
      </c>
    </row>
    <row r="810" spans="1:29" x14ac:dyDescent="0.25">
      <c r="A810" s="5" t="str">
        <f ca="1">IFERROR(__xludf.DUMMYFUNCTION("""COMPUTED_VALUE"""),"PowerLucky7")</f>
        <v>PowerLucky7</v>
      </c>
      <c r="B8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0" s="5" t="str">
        <f ca="1">IFERROR(__xludf.DUMMYFUNCTION("""COMPUTED_VALUE"""),"Yes")</f>
        <v>Yes</v>
      </c>
      <c r="D810" s="5" t="str">
        <f ca="1">IFERROR(__xludf.DUMMYFUNCTION("""COMPUTED_VALUE"""),"Yes")</f>
        <v>Yes</v>
      </c>
      <c r="E810" s="5" t="str">
        <f ca="1">IFERROR(__xludf.DUMMYFUNCTION("""COMPUTED_VALUE"""),"Yes")</f>
        <v>Yes</v>
      </c>
      <c r="F810" s="5" t="str">
        <f ca="1">IFERROR(__xludf.DUMMYFUNCTION("""COMPUTED_VALUE"""),"Yes")</f>
        <v>Yes</v>
      </c>
      <c r="G810" s="5" t="str">
        <f ca="1">IFERROR(__xludf.DUMMYFUNCTION("""COMPUTED_VALUE"""),"Yes")</f>
        <v>Yes</v>
      </c>
      <c r="H810" s="5" t="str">
        <f ca="1">IFERROR(__xludf.DUMMYFUNCTION("""COMPUTED_VALUE"""),"Yes")</f>
        <v>Yes</v>
      </c>
      <c r="I810" s="5" t="str">
        <f ca="1">IFERROR(__xludf.DUMMYFUNCTION("""COMPUTED_VALUE"""),"Yes")</f>
        <v>Yes</v>
      </c>
      <c r="J810" s="5" t="str">
        <f ca="1">IFERROR(__xludf.DUMMYFUNCTION("""COMPUTED_VALUE"""),"Yes")</f>
        <v>Yes</v>
      </c>
      <c r="K810" s="5" t="str">
        <f ca="1">IFERROR(__xludf.DUMMYFUNCTION("""COMPUTED_VALUE"""),"Yes")</f>
        <v>Yes</v>
      </c>
      <c r="L810" s="5" t="str">
        <f ca="1">IFERROR(__xludf.DUMMYFUNCTION("""COMPUTED_VALUE"""),"Yes")</f>
        <v>Yes</v>
      </c>
      <c r="M810" s="5" t="str">
        <f ca="1">IFERROR(__xludf.DUMMYFUNCTION("""COMPUTED_VALUE"""),"Yes")</f>
        <v>Yes</v>
      </c>
      <c r="N810" s="5" t="str">
        <f ca="1">IFERROR(__xludf.DUMMYFUNCTION("""COMPUTED_VALUE"""),"Yes")</f>
        <v>Yes</v>
      </c>
      <c r="O810" s="5" t="str">
        <f ca="1">IFERROR(__xludf.DUMMYFUNCTION("""COMPUTED_VALUE"""),"Yes")</f>
        <v>Yes</v>
      </c>
      <c r="P810" s="5" t="str">
        <f ca="1">IFERROR(__xludf.DUMMYFUNCTION("""COMPUTED_VALUE"""),"Yes")</f>
        <v>Yes</v>
      </c>
      <c r="Q810" s="5" t="str">
        <f ca="1">IFERROR(__xludf.DUMMYFUNCTION("""COMPUTED_VALUE"""),"Yes")</f>
        <v>Yes</v>
      </c>
      <c r="R810" s="5" t="str">
        <f ca="1">IFERROR(__xludf.DUMMYFUNCTION("""COMPUTED_VALUE"""),"Yes")</f>
        <v>Yes</v>
      </c>
      <c r="S810" s="5" t="str">
        <f ca="1">IFERROR(__xludf.DUMMYFUNCTION("""COMPUTED_VALUE"""),"Yes")</f>
        <v>Yes</v>
      </c>
      <c r="T810" s="5" t="str">
        <f ca="1">IFERROR(__xludf.DUMMYFUNCTION("""COMPUTED_VALUE"""),"Yes")</f>
        <v>Yes</v>
      </c>
      <c r="U810" s="5" t="str">
        <f ca="1">IFERROR(__xludf.DUMMYFUNCTION("""COMPUTED_VALUE"""),"Yes")</f>
        <v>Yes</v>
      </c>
      <c r="V810" s="5" t="str">
        <f ca="1">IFERROR(__xludf.DUMMYFUNCTION("""COMPUTED_VALUE"""),"Yes")</f>
        <v>Yes</v>
      </c>
      <c r="W810" s="5" t="str">
        <f ca="1">IFERROR(__xludf.DUMMYFUNCTION("""COMPUTED_VALUE"""),"Yes")</f>
        <v>Yes</v>
      </c>
      <c r="X810" s="5" t="str">
        <f ca="1">IFERROR(__xludf.DUMMYFUNCTION("""COMPUTED_VALUE"""),"Yes")</f>
        <v>Yes</v>
      </c>
      <c r="Y810" s="5" t="str">
        <f ca="1">IFERROR(__xludf.DUMMYFUNCTION("""COMPUTED_VALUE"""),"Yes")</f>
        <v>Yes</v>
      </c>
      <c r="Z810" s="5" t="str">
        <f ca="1">IFERROR(__xludf.DUMMYFUNCTION("""COMPUTED_VALUE"""),"Yes")</f>
        <v>Yes</v>
      </c>
      <c r="AA810" s="5" t="str">
        <f ca="1">IFERROR(__xludf.DUMMYFUNCTION("""COMPUTED_VALUE"""),"Yes")</f>
        <v>Yes</v>
      </c>
      <c r="AB810" s="5" t="str">
        <f ca="1">IFERROR(__xludf.DUMMYFUNCTION("""COMPUTED_VALUE"""),"Yes")</f>
        <v>Yes</v>
      </c>
      <c r="AC810" s="5" t="str">
        <f ca="1">IFERROR(__xludf.DUMMYFUNCTION("""COMPUTED_VALUE"""),"No")</f>
        <v>No</v>
      </c>
    </row>
    <row r="811" spans="1:29" x14ac:dyDescent="0.25">
      <c r="A811" s="5" t="str">
        <f ca="1">IFERROR(__xludf.DUMMYFUNCTION("""COMPUTED_VALUE"""),"RedstoneXBombFire")</f>
        <v>RedstoneXBombFire</v>
      </c>
      <c r="B8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1" s="5" t="str">
        <f ca="1">IFERROR(__xludf.DUMMYFUNCTION("""COMPUTED_VALUE"""),"Yes")</f>
        <v>Yes</v>
      </c>
      <c r="D811" s="5" t="str">
        <f ca="1">IFERROR(__xludf.DUMMYFUNCTION("""COMPUTED_VALUE"""),"Yes")</f>
        <v>Yes</v>
      </c>
      <c r="E811" s="5" t="str">
        <f ca="1">IFERROR(__xludf.DUMMYFUNCTION("""COMPUTED_VALUE"""),"Yes")</f>
        <v>Yes</v>
      </c>
      <c r="F811" s="5" t="str">
        <f ca="1">IFERROR(__xludf.DUMMYFUNCTION("""COMPUTED_VALUE"""),"Yes")</f>
        <v>Yes</v>
      </c>
      <c r="G811" s="5" t="str">
        <f ca="1">IFERROR(__xludf.DUMMYFUNCTION("""COMPUTED_VALUE"""),"Yes")</f>
        <v>Yes</v>
      </c>
      <c r="H811" s="5" t="str">
        <f ca="1">IFERROR(__xludf.DUMMYFUNCTION("""COMPUTED_VALUE"""),"Yes")</f>
        <v>Yes</v>
      </c>
      <c r="I811" s="5" t="str">
        <f ca="1">IFERROR(__xludf.DUMMYFUNCTION("""COMPUTED_VALUE"""),"Yes")</f>
        <v>Yes</v>
      </c>
      <c r="J811" s="5" t="str">
        <f ca="1">IFERROR(__xludf.DUMMYFUNCTION("""COMPUTED_VALUE"""),"Yes")</f>
        <v>Yes</v>
      </c>
      <c r="K811" s="5" t="str">
        <f ca="1">IFERROR(__xludf.DUMMYFUNCTION("""COMPUTED_VALUE"""),"Yes")</f>
        <v>Yes</v>
      </c>
      <c r="L811" s="5" t="str">
        <f ca="1">IFERROR(__xludf.DUMMYFUNCTION("""COMPUTED_VALUE"""),"Yes")</f>
        <v>Yes</v>
      </c>
      <c r="M811" s="5" t="str">
        <f ca="1">IFERROR(__xludf.DUMMYFUNCTION("""COMPUTED_VALUE"""),"Yes")</f>
        <v>Yes</v>
      </c>
      <c r="N811" s="5" t="str">
        <f ca="1">IFERROR(__xludf.DUMMYFUNCTION("""COMPUTED_VALUE"""),"Yes")</f>
        <v>Yes</v>
      </c>
      <c r="O811" s="5" t="str">
        <f ca="1">IFERROR(__xludf.DUMMYFUNCTION("""COMPUTED_VALUE"""),"Yes")</f>
        <v>Yes</v>
      </c>
      <c r="P811" s="5" t="str">
        <f ca="1">IFERROR(__xludf.DUMMYFUNCTION("""COMPUTED_VALUE"""),"Yes")</f>
        <v>Yes</v>
      </c>
      <c r="Q811" s="5" t="str">
        <f ca="1">IFERROR(__xludf.DUMMYFUNCTION("""COMPUTED_VALUE"""),"Yes")</f>
        <v>Yes</v>
      </c>
      <c r="R811" s="5" t="str">
        <f ca="1">IFERROR(__xludf.DUMMYFUNCTION("""COMPUTED_VALUE"""),"Yes")</f>
        <v>Yes</v>
      </c>
      <c r="S811" s="5" t="str">
        <f ca="1">IFERROR(__xludf.DUMMYFUNCTION("""COMPUTED_VALUE"""),"Yes")</f>
        <v>Yes</v>
      </c>
      <c r="T811" s="5" t="str">
        <f ca="1">IFERROR(__xludf.DUMMYFUNCTION("""COMPUTED_VALUE"""),"Yes")</f>
        <v>Yes</v>
      </c>
      <c r="U811" s="5" t="str">
        <f ca="1">IFERROR(__xludf.DUMMYFUNCTION("""COMPUTED_VALUE"""),"Yes")</f>
        <v>Yes</v>
      </c>
      <c r="V811" s="5" t="str">
        <f ca="1">IFERROR(__xludf.DUMMYFUNCTION("""COMPUTED_VALUE"""),"Yes")</f>
        <v>Yes</v>
      </c>
      <c r="W811" s="5" t="str">
        <f ca="1">IFERROR(__xludf.DUMMYFUNCTION("""COMPUTED_VALUE"""),"Yes")</f>
        <v>Yes</v>
      </c>
      <c r="X811" s="5" t="str">
        <f ca="1">IFERROR(__xludf.DUMMYFUNCTION("""COMPUTED_VALUE"""),"Yes")</f>
        <v>Yes</v>
      </c>
      <c r="Y811" s="5" t="str">
        <f ca="1">IFERROR(__xludf.DUMMYFUNCTION("""COMPUTED_VALUE"""),"Yes")</f>
        <v>Yes</v>
      </c>
      <c r="Z811" s="5" t="str">
        <f ca="1">IFERROR(__xludf.DUMMYFUNCTION("""COMPUTED_VALUE"""),"Yes")</f>
        <v>Yes</v>
      </c>
      <c r="AA811" s="5" t="str">
        <f ca="1">IFERROR(__xludf.DUMMYFUNCTION("""COMPUTED_VALUE"""),"Yes")</f>
        <v>Yes</v>
      </c>
      <c r="AB811" s="5" t="str">
        <f ca="1">IFERROR(__xludf.DUMMYFUNCTION("""COMPUTED_VALUE"""),"Yes")</f>
        <v>Yes</v>
      </c>
      <c r="AC811" s="5" t="str">
        <f ca="1">IFERROR(__xludf.DUMMYFUNCTION("""COMPUTED_VALUE"""),"No")</f>
        <v>No</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35"/>
  <sheetViews>
    <sheetView workbookViewId="0"/>
  </sheetViews>
  <sheetFormatPr defaultColWidth="12.6640625" defaultRowHeight="15.75" customHeight="1" x14ac:dyDescent="0.25"/>
  <sheetData>
    <row r="1" spans="1:26" x14ac:dyDescent="0.25">
      <c r="A1" s="5" t="str">
        <f ca="1">IFERROR(__xludf.DUMMYFUNCTION("IMPORTRANGE(""1G-EdsaEa0dkMkYpa8dYlgC9oTAomyN6JSY3z9qBegX4"", ""Languages!A:DZ"")"),"#")</f>
        <v>#</v>
      </c>
      <c r="B1" s="5" t="str">
        <f ca="1">IFERROR(__xludf.DUMMYFUNCTION("""COMPUTED_VALUE"""),"OrderNo")</f>
        <v>OrderNo</v>
      </c>
      <c r="C1" s="5" t="str">
        <f ca="1">IFERROR(__xludf.DUMMYFUNCTION("""COMPUTED_VALUE"""),"Language")</f>
        <v>Language</v>
      </c>
      <c r="D1" s="5" t="str">
        <f ca="1">IFERROR(__xludf.DUMMYFUNCTION("""COMPUTED_VALUE"""),"LanguageCode")</f>
        <v>LanguageCode</v>
      </c>
      <c r="E1" s="5" t="str">
        <f ca="1">IFERROR(__xludf.DUMMYFUNCTION("""COMPUTED_VALUE"""),"Active")</f>
        <v>Active</v>
      </c>
      <c r="F1" s="5" t="str">
        <f ca="1">IFERROR(__xludf.DUMMYFUNCTION("""COMPUTED_VALUE"""),"Image")</f>
        <v>Image</v>
      </c>
      <c r="G1" s="5" t="str">
        <f ca="1">IFERROR(__xludf.DUMMYFUNCTION("""COMPUTED_VALUE"""),"Created")</f>
        <v>Created</v>
      </c>
      <c r="H1" s="5" t="str">
        <f ca="1">IFERROR(__xludf.DUMMYFUNCTION("""COMPUTED_VALUE"""),"CreatedBy")</f>
        <v>CreatedBy</v>
      </c>
      <c r="I1" s="5" t="str">
        <f ca="1">IFERROR(__xludf.DUMMYFUNCTION("""COMPUTED_VALUE"""),"LastUpdated")</f>
        <v>LastUpdated</v>
      </c>
      <c r="J1" s="5" t="str">
        <f ca="1">IFERROR(__xludf.DUMMYFUNCTION("""COMPUTED_VALUE"""),"LastUpdatedBy")</f>
        <v>LastUpdatedBy</v>
      </c>
      <c r="K1" s="5" t="str">
        <f ca="1">IFERROR(__xludf.DUMMYFUNCTION("""COMPUTED_VALUE"""),"ClientArea")</f>
        <v>ClientArea</v>
      </c>
      <c r="L1" s="5"/>
      <c r="M1" s="5"/>
      <c r="N1" s="5"/>
      <c r="O1" s="5"/>
      <c r="P1" s="5"/>
      <c r="Q1" s="5"/>
      <c r="R1" s="5"/>
      <c r="S1" s="5"/>
      <c r="T1" s="5"/>
      <c r="U1" s="5"/>
      <c r="V1" s="5"/>
      <c r="W1" s="5"/>
      <c r="X1" s="5"/>
      <c r="Y1" s="5"/>
      <c r="Z1" s="5"/>
    </row>
    <row r="2" spans="1:26" x14ac:dyDescent="0.25">
      <c r="A2" s="5">
        <f ca="1">IFERROR(__xludf.DUMMYFUNCTION("""COMPUTED_VALUE"""),1)</f>
        <v>1</v>
      </c>
      <c r="B2" s="5">
        <f ca="1">IFERROR(__xludf.DUMMYFUNCTION("""COMPUTED_VALUE"""),1)</f>
        <v>1</v>
      </c>
      <c r="C2" s="5" t="str">
        <f ca="1">IFERROR(__xludf.DUMMYFUNCTION("""COMPUTED_VALUE"""),"English")</f>
        <v>English</v>
      </c>
      <c r="D2" s="5" t="str">
        <f ca="1">IFERROR(__xludf.DUMMYFUNCTION("""COMPUTED_VALUE"""),"eng")</f>
        <v>eng</v>
      </c>
      <c r="E2" s="5" t="b">
        <f ca="1">IFERROR(__xludf.DUMMYFUNCTION("""COMPUTED_VALUE"""),TRUE)</f>
        <v>1</v>
      </c>
      <c r="F2" s="5" t="str">
        <f ca="1">IFERROR(__xludf.DUMMYFUNCTION("""COMPUTED_VALUE"""),"NULL")</f>
        <v>NULL</v>
      </c>
      <c r="G2" s="5" t="str">
        <f ca="1">IFERROR(__xludf.DUMMYFUNCTION("""COMPUTED_VALUE"""),"2024-09-23T10:37:49.650Z")</f>
        <v>2024-09-23T10:37:49.650Z</v>
      </c>
      <c r="H2" s="5" t="str">
        <f ca="1">IFERROR(__xludf.DUMMYFUNCTION("""COMPUTED_VALUE"""),"sa")</f>
        <v>sa</v>
      </c>
      <c r="I2" s="10">
        <f ca="1">IFERROR(__xludf.DUMMYFUNCTION("""COMPUTED_VALUE"""),45989.0124652777)</f>
        <v>45989.012465277701</v>
      </c>
      <c r="J2" s="5" t="str">
        <f ca="1">IFERROR(__xludf.DUMMYFUNCTION("""COMPUTED_VALUE"""),"iva.cirkovic@fazi.rs")</f>
        <v>iva.cirkovic@fazi.rs</v>
      </c>
      <c r="K2" s="5" t="b">
        <f ca="1">IFERROR(__xludf.DUMMYFUNCTION("""COMPUTED_VALUE"""),TRUE)</f>
        <v>1</v>
      </c>
      <c r="L2" s="5"/>
      <c r="M2" s="5"/>
      <c r="N2" s="5"/>
      <c r="O2" s="5"/>
      <c r="P2" s="5"/>
      <c r="Q2" s="5"/>
      <c r="R2" s="5"/>
      <c r="S2" s="5"/>
      <c r="T2" s="5"/>
      <c r="U2" s="5"/>
      <c r="V2" s="5"/>
      <c r="W2" s="5"/>
      <c r="X2" s="5"/>
      <c r="Y2" s="5"/>
      <c r="Z2" s="5"/>
    </row>
    <row r="3" spans="1:26" x14ac:dyDescent="0.25">
      <c r="A3" s="5">
        <f ca="1">IFERROR(__xludf.DUMMYFUNCTION("""COMPUTED_VALUE"""),2)</f>
        <v>2</v>
      </c>
      <c r="B3" s="5">
        <f ca="1">IFERROR(__xludf.DUMMYFUNCTION("""COMPUTED_VALUE"""),2)</f>
        <v>2</v>
      </c>
      <c r="C3" s="5" t="str">
        <f ca="1">IFERROR(__xludf.DUMMYFUNCTION("""COMPUTED_VALUE"""),"Serbian")</f>
        <v>Serbian</v>
      </c>
      <c r="D3" s="5" t="str">
        <f ca="1">IFERROR(__xludf.DUMMYFUNCTION("""COMPUTED_VALUE"""),"""srp"",""srb""")</f>
        <v>"srp","srb"</v>
      </c>
      <c r="E3" s="5" t="b">
        <f ca="1">IFERROR(__xludf.DUMMYFUNCTION("""COMPUTED_VALUE"""),TRUE)</f>
        <v>1</v>
      </c>
      <c r="F3" s="5" t="str">
        <f ca="1">IFERROR(__xludf.DUMMYFUNCTION("""COMPUTED_VALUE"""),"NULL")</f>
        <v>NULL</v>
      </c>
      <c r="G3" s="5" t="str">
        <f ca="1">IFERROR(__xludf.DUMMYFUNCTION("""COMPUTED_VALUE"""),"2024-09-23T10:37:49.667Z")</f>
        <v>2024-09-23T10:37:49.667Z</v>
      </c>
      <c r="H3" s="5" t="str">
        <f ca="1">IFERROR(__xludf.DUMMYFUNCTION("""COMPUTED_VALUE"""),"sa")</f>
        <v>sa</v>
      </c>
      <c r="I3" s="11">
        <f ca="1">IFERROR(__xludf.DUMMYFUNCTION("""COMPUTED_VALUE"""),45989.4777777777)</f>
        <v>45989.477777777698</v>
      </c>
      <c r="J3" s="5" t="str">
        <f ca="1">IFERROR(__xludf.DUMMYFUNCTION("""COMPUTED_VALUE"""),"iva.cirkovic@fazi.rs")</f>
        <v>iva.cirkovic@fazi.rs</v>
      </c>
      <c r="K3" s="5" t="b">
        <f ca="1">IFERROR(__xludf.DUMMYFUNCTION("""COMPUTED_VALUE"""),TRUE)</f>
        <v>1</v>
      </c>
      <c r="L3" s="5"/>
      <c r="M3" s="5"/>
      <c r="N3" s="5"/>
      <c r="O3" s="5"/>
      <c r="P3" s="5"/>
      <c r="Q3" s="5"/>
      <c r="R3" s="5"/>
      <c r="S3" s="5"/>
      <c r="T3" s="5"/>
      <c r="U3" s="5"/>
      <c r="V3" s="5"/>
      <c r="W3" s="5"/>
      <c r="X3" s="5"/>
      <c r="Y3" s="5"/>
      <c r="Z3" s="5"/>
    </row>
    <row r="4" spans="1:26" x14ac:dyDescent="0.25">
      <c r="A4" s="5">
        <f ca="1">IFERROR(__xludf.DUMMYFUNCTION("""COMPUTED_VALUE"""),3)</f>
        <v>3</v>
      </c>
      <c r="B4" s="5">
        <f ca="1">IFERROR(__xludf.DUMMYFUNCTION("""COMPUTED_VALUE"""),3)</f>
        <v>3</v>
      </c>
      <c r="C4" s="5" t="str">
        <f ca="1">IFERROR(__xludf.DUMMYFUNCTION("""COMPUTED_VALUE"""),"Montenegrian")</f>
        <v>Montenegrian</v>
      </c>
      <c r="D4" s="5" t="str">
        <f ca="1">IFERROR(__xludf.DUMMYFUNCTION("""COMPUTED_VALUE"""),"mne")</f>
        <v>mne</v>
      </c>
      <c r="E4" s="5" t="b">
        <f ca="1">IFERROR(__xludf.DUMMYFUNCTION("""COMPUTED_VALUE"""),TRUE)</f>
        <v>1</v>
      </c>
      <c r="F4" s="5" t="str">
        <f ca="1">IFERROR(__xludf.DUMMYFUNCTION("""COMPUTED_VALUE"""),"NULL")</f>
        <v>NULL</v>
      </c>
      <c r="G4" s="11">
        <f ca="1">IFERROR(__xludf.DUMMYFUNCTION("""COMPUTED_VALUE"""),45558.5262692939)</f>
        <v>45558.5262692939</v>
      </c>
      <c r="H4" s="5" t="str">
        <f ca="1">IFERROR(__xludf.DUMMYFUNCTION("""COMPUTED_VALUE"""),"sa")</f>
        <v>sa</v>
      </c>
      <c r="I4" s="11">
        <f ca="1">IFERROR(__xludf.DUMMYFUNCTION("""COMPUTED_VALUE"""),45558.5262692939)</f>
        <v>45558.5262692939</v>
      </c>
      <c r="J4" s="5" t="str">
        <f ca="1">IFERROR(__xludf.DUMMYFUNCTION("""COMPUTED_VALUE"""),"sa")</f>
        <v>sa</v>
      </c>
      <c r="K4" s="5" t="b">
        <f ca="1">IFERROR(__xludf.DUMMYFUNCTION("""COMPUTED_VALUE"""),TRUE)</f>
        <v>1</v>
      </c>
      <c r="L4" s="5"/>
      <c r="M4" s="5"/>
      <c r="N4" s="5"/>
      <c r="O4" s="5"/>
      <c r="P4" s="5"/>
      <c r="Q4" s="5"/>
      <c r="R4" s="5"/>
      <c r="S4" s="5"/>
      <c r="T4" s="5"/>
      <c r="U4" s="5"/>
      <c r="V4" s="5"/>
      <c r="W4" s="5"/>
      <c r="X4" s="5"/>
      <c r="Y4" s="5"/>
      <c r="Z4" s="5"/>
    </row>
    <row r="5" spans="1:26" x14ac:dyDescent="0.25">
      <c r="A5" s="5">
        <f ca="1">IFERROR(__xludf.DUMMYFUNCTION("""COMPUTED_VALUE"""),4)</f>
        <v>4</v>
      </c>
      <c r="B5" s="5">
        <f ca="1">IFERROR(__xludf.DUMMYFUNCTION("""COMPUTED_VALUE"""),4)</f>
        <v>4</v>
      </c>
      <c r="C5" s="5" t="str">
        <f ca="1">IFERROR(__xludf.DUMMYFUNCTION("""COMPUTED_VALUE"""),"Bulgarian")</f>
        <v>Bulgarian</v>
      </c>
      <c r="D5" s="5" t="str">
        <f ca="1">IFERROR(__xludf.DUMMYFUNCTION("""COMPUTED_VALUE"""),"bul")</f>
        <v>bul</v>
      </c>
      <c r="E5" s="5" t="b">
        <f ca="1">IFERROR(__xludf.DUMMYFUNCTION("""COMPUTED_VALUE"""),TRUE)</f>
        <v>1</v>
      </c>
      <c r="F5" s="5" t="str">
        <f ca="1">IFERROR(__xludf.DUMMYFUNCTION("""COMPUTED_VALUE"""),"NULL")</f>
        <v>NULL</v>
      </c>
      <c r="G5" s="11">
        <f ca="1">IFERROR(__xludf.DUMMYFUNCTION("""COMPUTED_VALUE"""),45558.5262692939)</f>
        <v>45558.5262692939</v>
      </c>
      <c r="H5" s="5" t="str">
        <f ca="1">IFERROR(__xludf.DUMMYFUNCTION("""COMPUTED_VALUE"""),"sa")</f>
        <v>sa</v>
      </c>
      <c r="I5" s="11">
        <f ca="1">IFERROR(__xludf.DUMMYFUNCTION("""COMPUTED_VALUE"""),45558.5262692939)</f>
        <v>45558.5262692939</v>
      </c>
      <c r="J5" s="5" t="str">
        <f ca="1">IFERROR(__xludf.DUMMYFUNCTION("""COMPUTED_VALUE"""),"sa")</f>
        <v>sa</v>
      </c>
      <c r="K5" s="5" t="b">
        <f ca="1">IFERROR(__xludf.DUMMYFUNCTION("""COMPUTED_VALUE"""),TRUE)</f>
        <v>1</v>
      </c>
      <c r="L5" s="5"/>
      <c r="M5" s="5"/>
      <c r="N5" s="5"/>
      <c r="O5" s="5"/>
      <c r="P5" s="5"/>
      <c r="Q5" s="5"/>
      <c r="R5" s="5"/>
      <c r="S5" s="5"/>
      <c r="T5" s="5"/>
      <c r="U5" s="5"/>
      <c r="V5" s="5"/>
      <c r="W5" s="5"/>
      <c r="X5" s="5"/>
      <c r="Y5" s="5"/>
      <c r="Z5" s="5"/>
    </row>
    <row r="6" spans="1:26" x14ac:dyDescent="0.25">
      <c r="A6" s="5">
        <f ca="1">IFERROR(__xludf.DUMMYFUNCTION("""COMPUTED_VALUE"""),5)</f>
        <v>5</v>
      </c>
      <c r="B6" s="5">
        <f ca="1">IFERROR(__xludf.DUMMYFUNCTION("""COMPUTED_VALUE"""),5)</f>
        <v>5</v>
      </c>
      <c r="C6" s="5" t="str">
        <f ca="1">IFERROR(__xludf.DUMMYFUNCTION("""COMPUTED_VALUE"""),"Spanish")</f>
        <v>Spanish</v>
      </c>
      <c r="D6" s="5" t="str">
        <f ca="1">IFERROR(__xludf.DUMMYFUNCTION("""COMPUTED_VALUE"""),"spa")</f>
        <v>spa</v>
      </c>
      <c r="E6" s="5" t="b">
        <f ca="1">IFERROR(__xludf.DUMMYFUNCTION("""COMPUTED_VALUE"""),TRUE)</f>
        <v>1</v>
      </c>
      <c r="F6" s="5" t="str">
        <f ca="1">IFERROR(__xludf.DUMMYFUNCTION("""COMPUTED_VALUE"""),"NULL")</f>
        <v>NULL</v>
      </c>
      <c r="G6" s="11">
        <f ca="1">IFERROR(__xludf.DUMMYFUNCTION("""COMPUTED_VALUE"""),45558.5262692939)</f>
        <v>45558.5262692939</v>
      </c>
      <c r="H6" s="5" t="str">
        <f ca="1">IFERROR(__xludf.DUMMYFUNCTION("""COMPUTED_VALUE"""),"sa")</f>
        <v>sa</v>
      </c>
      <c r="I6" s="11">
        <f ca="1">IFERROR(__xludf.DUMMYFUNCTION("""COMPUTED_VALUE"""),45558.5262692939)</f>
        <v>45558.5262692939</v>
      </c>
      <c r="J6" s="5" t="str">
        <f ca="1">IFERROR(__xludf.DUMMYFUNCTION("""COMPUTED_VALUE"""),"sa")</f>
        <v>sa</v>
      </c>
      <c r="K6" s="5" t="b">
        <f ca="1">IFERROR(__xludf.DUMMYFUNCTION("""COMPUTED_VALUE"""),TRUE)</f>
        <v>1</v>
      </c>
      <c r="L6" s="5"/>
      <c r="M6" s="5"/>
      <c r="N6" s="5"/>
      <c r="O6" s="5"/>
      <c r="P6" s="5"/>
      <c r="Q6" s="5"/>
      <c r="R6" s="5"/>
      <c r="S6" s="5"/>
      <c r="T6" s="5"/>
      <c r="U6" s="5"/>
      <c r="V6" s="5"/>
      <c r="W6" s="5"/>
      <c r="X6" s="5"/>
      <c r="Y6" s="5"/>
      <c r="Z6" s="5"/>
    </row>
    <row r="7" spans="1:26" x14ac:dyDescent="0.25">
      <c r="A7" s="5">
        <f ca="1">IFERROR(__xludf.DUMMYFUNCTION("""COMPUTED_VALUE"""),6)</f>
        <v>6</v>
      </c>
      <c r="B7" s="5">
        <f ca="1">IFERROR(__xludf.DUMMYFUNCTION("""COMPUTED_VALUE"""),6)</f>
        <v>6</v>
      </c>
      <c r="C7" s="5" t="str">
        <f ca="1">IFERROR(__xludf.DUMMYFUNCTION("""COMPUTED_VALUE"""),"Portuguese")</f>
        <v>Portuguese</v>
      </c>
      <c r="D7" s="5" t="str">
        <f ca="1">IFERROR(__xludf.DUMMYFUNCTION("""COMPUTED_VALUE"""),"por")</f>
        <v>por</v>
      </c>
      <c r="E7" s="5" t="b">
        <f ca="1">IFERROR(__xludf.DUMMYFUNCTION("""COMPUTED_VALUE"""),TRUE)</f>
        <v>1</v>
      </c>
      <c r="F7" s="5" t="str">
        <f ca="1">IFERROR(__xludf.DUMMYFUNCTION("""COMPUTED_VALUE"""),"NULL")</f>
        <v>NULL</v>
      </c>
      <c r="G7" s="11">
        <f ca="1">IFERROR(__xludf.DUMMYFUNCTION("""COMPUTED_VALUE"""),45558.5262692939)</f>
        <v>45558.5262692939</v>
      </c>
      <c r="H7" s="5" t="str">
        <f ca="1">IFERROR(__xludf.DUMMYFUNCTION("""COMPUTED_VALUE"""),"sa")</f>
        <v>sa</v>
      </c>
      <c r="I7" s="11">
        <f ca="1">IFERROR(__xludf.DUMMYFUNCTION("""COMPUTED_VALUE"""),45558.5262692939)</f>
        <v>45558.5262692939</v>
      </c>
      <c r="J7" s="5" t="str">
        <f ca="1">IFERROR(__xludf.DUMMYFUNCTION("""COMPUTED_VALUE"""),"sa")</f>
        <v>sa</v>
      </c>
      <c r="K7" s="5" t="b">
        <f ca="1">IFERROR(__xludf.DUMMYFUNCTION("""COMPUTED_VALUE"""),TRUE)</f>
        <v>1</v>
      </c>
      <c r="L7" s="5"/>
      <c r="M7" s="5"/>
      <c r="N7" s="5"/>
      <c r="O7" s="5"/>
      <c r="P7" s="5"/>
      <c r="Q7" s="5"/>
      <c r="R7" s="5"/>
      <c r="S7" s="5"/>
      <c r="T7" s="5"/>
      <c r="U7" s="5"/>
      <c r="V7" s="5"/>
      <c r="W7" s="5"/>
      <c r="X7" s="5"/>
      <c r="Y7" s="5"/>
      <c r="Z7" s="5"/>
    </row>
    <row r="8" spans="1:26" x14ac:dyDescent="0.25">
      <c r="A8" s="5">
        <f ca="1">IFERROR(__xludf.DUMMYFUNCTION("""COMPUTED_VALUE"""),7)</f>
        <v>7</v>
      </c>
      <c r="B8" s="5">
        <f ca="1">IFERROR(__xludf.DUMMYFUNCTION("""COMPUTED_VALUE"""),7)</f>
        <v>7</v>
      </c>
      <c r="C8" s="5" t="str">
        <f ca="1">IFERROR(__xludf.DUMMYFUNCTION("""COMPUTED_VALUE"""),"Italian")</f>
        <v>Italian</v>
      </c>
      <c r="D8" s="5" t="str">
        <f ca="1">IFERROR(__xludf.DUMMYFUNCTION("""COMPUTED_VALUE"""),"ita")</f>
        <v>ita</v>
      </c>
      <c r="E8" s="5" t="b">
        <f ca="1">IFERROR(__xludf.DUMMYFUNCTION("""COMPUTED_VALUE"""),TRUE)</f>
        <v>1</v>
      </c>
      <c r="F8" s="5" t="str">
        <f ca="1">IFERROR(__xludf.DUMMYFUNCTION("""COMPUTED_VALUE"""),"NULL")</f>
        <v>NULL</v>
      </c>
      <c r="G8" s="11">
        <f ca="1">IFERROR(__xludf.DUMMYFUNCTION("""COMPUTED_VALUE"""),45558.5262692939)</f>
        <v>45558.5262692939</v>
      </c>
      <c r="H8" s="5" t="str">
        <f ca="1">IFERROR(__xludf.DUMMYFUNCTION("""COMPUTED_VALUE"""),"sa")</f>
        <v>sa</v>
      </c>
      <c r="I8" s="11">
        <f ca="1">IFERROR(__xludf.DUMMYFUNCTION("""COMPUTED_VALUE"""),45558.5262692939)</f>
        <v>45558.5262692939</v>
      </c>
      <c r="J8" s="5" t="str">
        <f ca="1">IFERROR(__xludf.DUMMYFUNCTION("""COMPUTED_VALUE"""),"sa")</f>
        <v>sa</v>
      </c>
      <c r="K8" s="5" t="b">
        <f ca="1">IFERROR(__xludf.DUMMYFUNCTION("""COMPUTED_VALUE"""),TRUE)</f>
        <v>1</v>
      </c>
      <c r="L8" s="5"/>
      <c r="M8" s="5"/>
      <c r="N8" s="5"/>
      <c r="O8" s="5"/>
      <c r="P8" s="5"/>
      <c r="Q8" s="5"/>
      <c r="R8" s="5"/>
      <c r="S8" s="5"/>
      <c r="T8" s="5"/>
      <c r="U8" s="5"/>
      <c r="V8" s="5"/>
      <c r="W8" s="5"/>
      <c r="X8" s="5"/>
      <c r="Y8" s="5"/>
      <c r="Z8" s="5"/>
    </row>
    <row r="9" spans="1:26" x14ac:dyDescent="0.25">
      <c r="A9" s="5">
        <f ca="1">IFERROR(__xludf.DUMMYFUNCTION("""COMPUTED_VALUE"""),8)</f>
        <v>8</v>
      </c>
      <c r="B9" s="5">
        <f ca="1">IFERROR(__xludf.DUMMYFUNCTION("""COMPUTED_VALUE"""),8)</f>
        <v>8</v>
      </c>
      <c r="C9" s="5" t="str">
        <f ca="1">IFERROR(__xludf.DUMMYFUNCTION("""COMPUTED_VALUE"""),"Romanian")</f>
        <v>Romanian</v>
      </c>
      <c r="D9" s="5" t="str">
        <f ca="1">IFERROR(__xludf.DUMMYFUNCTION("""COMPUTED_VALUE"""),"rum/ron")</f>
        <v>rum/ron</v>
      </c>
      <c r="E9" s="5" t="b">
        <f ca="1">IFERROR(__xludf.DUMMYFUNCTION("""COMPUTED_VALUE"""),TRUE)</f>
        <v>1</v>
      </c>
      <c r="F9" s="5" t="str">
        <f ca="1">IFERROR(__xludf.DUMMYFUNCTION("""COMPUTED_VALUE"""),"NULL")</f>
        <v>NULL</v>
      </c>
      <c r="G9" s="11">
        <f ca="1">IFERROR(__xludf.DUMMYFUNCTION("""COMPUTED_VALUE"""),45558.5262692939)</f>
        <v>45558.5262692939</v>
      </c>
      <c r="H9" s="5" t="str">
        <f ca="1">IFERROR(__xludf.DUMMYFUNCTION("""COMPUTED_VALUE"""),"sa")</f>
        <v>sa</v>
      </c>
      <c r="I9" s="11">
        <f ca="1">IFERROR(__xludf.DUMMYFUNCTION("""COMPUTED_VALUE"""),45558.5262692939)</f>
        <v>45558.5262692939</v>
      </c>
      <c r="J9" s="5" t="str">
        <f ca="1">IFERROR(__xludf.DUMMYFUNCTION("""COMPUTED_VALUE"""),"sa")</f>
        <v>sa</v>
      </c>
      <c r="K9" s="5" t="b">
        <f ca="1">IFERROR(__xludf.DUMMYFUNCTION("""COMPUTED_VALUE"""),TRUE)</f>
        <v>1</v>
      </c>
      <c r="L9" s="5"/>
      <c r="M9" s="5"/>
      <c r="N9" s="5"/>
      <c r="O9" s="5"/>
      <c r="P9" s="5"/>
      <c r="Q9" s="5"/>
      <c r="R9" s="5"/>
      <c r="S9" s="5"/>
      <c r="T9" s="5"/>
      <c r="U9" s="5"/>
      <c r="V9" s="5"/>
      <c r="W9" s="5"/>
      <c r="X9" s="5"/>
      <c r="Y9" s="5"/>
      <c r="Z9" s="5"/>
    </row>
    <row r="10" spans="1:26" x14ac:dyDescent="0.25">
      <c r="A10" s="5">
        <f ca="1">IFERROR(__xludf.DUMMYFUNCTION("""COMPUTED_VALUE"""),9)</f>
        <v>9</v>
      </c>
      <c r="B10" s="5">
        <f ca="1">IFERROR(__xludf.DUMMYFUNCTION("""COMPUTED_VALUE"""),9)</f>
        <v>9</v>
      </c>
      <c r="C10" s="5" t="str">
        <f ca="1">IFERROR(__xludf.DUMMYFUNCTION("""COMPUTED_VALUE"""),"Croatian")</f>
        <v>Croatian</v>
      </c>
      <c r="D10" s="5" t="str">
        <f ca="1">IFERROR(__xludf.DUMMYFUNCTION("""COMPUTED_VALUE"""),"hrv")</f>
        <v>hrv</v>
      </c>
      <c r="E10" s="5" t="b">
        <f ca="1">IFERROR(__xludf.DUMMYFUNCTION("""COMPUTED_VALUE"""),TRUE)</f>
        <v>1</v>
      </c>
      <c r="F10" s="5" t="str">
        <f ca="1">IFERROR(__xludf.DUMMYFUNCTION("""COMPUTED_VALUE"""),"NULL")</f>
        <v>NULL</v>
      </c>
      <c r="G10" s="11">
        <f ca="1">IFERROR(__xludf.DUMMYFUNCTION("""COMPUTED_VALUE"""),45558.5262692939)</f>
        <v>45558.5262692939</v>
      </c>
      <c r="H10" s="5" t="str">
        <f ca="1">IFERROR(__xludf.DUMMYFUNCTION("""COMPUTED_VALUE"""),"sa")</f>
        <v>sa</v>
      </c>
      <c r="I10" s="11">
        <f ca="1">IFERROR(__xludf.DUMMYFUNCTION("""COMPUTED_VALUE"""),45558.5262692939)</f>
        <v>45558.5262692939</v>
      </c>
      <c r="J10" s="5" t="str">
        <f ca="1">IFERROR(__xludf.DUMMYFUNCTION("""COMPUTED_VALUE"""),"sa")</f>
        <v>sa</v>
      </c>
      <c r="K10" s="5" t="b">
        <f ca="1">IFERROR(__xludf.DUMMYFUNCTION("""COMPUTED_VALUE"""),TRUE)</f>
        <v>1</v>
      </c>
      <c r="L10" s="5"/>
      <c r="M10" s="5"/>
      <c r="N10" s="5"/>
      <c r="O10" s="5"/>
      <c r="P10" s="5"/>
      <c r="Q10" s="5"/>
      <c r="R10" s="5"/>
      <c r="S10" s="5"/>
      <c r="T10" s="5"/>
      <c r="U10" s="5"/>
      <c r="V10" s="5"/>
      <c r="W10" s="5"/>
      <c r="X10" s="5"/>
      <c r="Y10" s="5"/>
      <c r="Z10" s="5"/>
    </row>
    <row r="11" spans="1:26" x14ac:dyDescent="0.25">
      <c r="A11" s="5">
        <f ca="1">IFERROR(__xludf.DUMMYFUNCTION("""COMPUTED_VALUE"""),10)</f>
        <v>10</v>
      </c>
      <c r="B11" s="5">
        <f ca="1">IFERROR(__xludf.DUMMYFUNCTION("""COMPUTED_VALUE"""),10)</f>
        <v>10</v>
      </c>
      <c r="C11" s="5" t="str">
        <f ca="1">IFERROR(__xludf.DUMMYFUNCTION("""COMPUTED_VALUE"""),"French")</f>
        <v>French</v>
      </c>
      <c r="D11" s="5" t="str">
        <f ca="1">IFERROR(__xludf.DUMMYFUNCTION("""COMPUTED_VALUE"""),"fre/fra")</f>
        <v>fre/fra</v>
      </c>
      <c r="E11" s="5" t="b">
        <f ca="1">IFERROR(__xludf.DUMMYFUNCTION("""COMPUTED_VALUE"""),TRUE)</f>
        <v>1</v>
      </c>
      <c r="F11" s="5" t="str">
        <f ca="1">IFERROR(__xludf.DUMMYFUNCTION("""COMPUTED_VALUE"""),"NULL")</f>
        <v>NULL</v>
      </c>
      <c r="G11" s="11">
        <f ca="1">IFERROR(__xludf.DUMMYFUNCTION("""COMPUTED_VALUE"""),45558.5262692939)</f>
        <v>45558.5262692939</v>
      </c>
      <c r="H11" s="5" t="str">
        <f ca="1">IFERROR(__xludf.DUMMYFUNCTION("""COMPUTED_VALUE"""),"sa")</f>
        <v>sa</v>
      </c>
      <c r="I11" s="11">
        <f ca="1">IFERROR(__xludf.DUMMYFUNCTION("""COMPUTED_VALUE"""),45558.5262692939)</f>
        <v>45558.5262692939</v>
      </c>
      <c r="J11" s="5" t="str">
        <f ca="1">IFERROR(__xludf.DUMMYFUNCTION("""COMPUTED_VALUE"""),"sa")</f>
        <v>sa</v>
      </c>
      <c r="K11" s="5" t="b">
        <f ca="1">IFERROR(__xludf.DUMMYFUNCTION("""COMPUTED_VALUE"""),TRUE)</f>
        <v>1</v>
      </c>
      <c r="L11" s="5"/>
      <c r="M11" s="5"/>
      <c r="N11" s="5"/>
      <c r="O11" s="5"/>
      <c r="P11" s="5"/>
      <c r="Q11" s="5"/>
      <c r="R11" s="5"/>
      <c r="S11" s="5"/>
      <c r="T11" s="5"/>
      <c r="U11" s="5"/>
      <c r="V11" s="5"/>
      <c r="W11" s="5"/>
      <c r="X11" s="5"/>
      <c r="Y11" s="5"/>
      <c r="Z11" s="5"/>
    </row>
    <row r="12" spans="1:26" x14ac:dyDescent="0.25">
      <c r="A12" s="5">
        <f ca="1">IFERROR(__xludf.DUMMYFUNCTION("""COMPUTED_VALUE"""),11)</f>
        <v>11</v>
      </c>
      <c r="B12" s="5">
        <f ca="1">IFERROR(__xludf.DUMMYFUNCTION("""COMPUTED_VALUE"""),11)</f>
        <v>11</v>
      </c>
      <c r="C12" s="5" t="str">
        <f ca="1">IFERROR(__xludf.DUMMYFUNCTION("""COMPUTED_VALUE"""),"German")</f>
        <v>German</v>
      </c>
      <c r="D12" s="5" t="str">
        <f ca="1">IFERROR(__xludf.DUMMYFUNCTION("""COMPUTED_VALUE"""),"ger/deu")</f>
        <v>ger/deu</v>
      </c>
      <c r="E12" s="5" t="b">
        <f ca="1">IFERROR(__xludf.DUMMYFUNCTION("""COMPUTED_VALUE"""),TRUE)</f>
        <v>1</v>
      </c>
      <c r="F12" s="5" t="str">
        <f ca="1">IFERROR(__xludf.DUMMYFUNCTION("""COMPUTED_VALUE"""),"NULL")</f>
        <v>NULL</v>
      </c>
      <c r="G12" s="11">
        <f ca="1">IFERROR(__xludf.DUMMYFUNCTION("""COMPUTED_VALUE"""),45558.5262692939)</f>
        <v>45558.5262692939</v>
      </c>
      <c r="H12" s="5" t="str">
        <f ca="1">IFERROR(__xludf.DUMMYFUNCTION("""COMPUTED_VALUE"""),"sa")</f>
        <v>sa</v>
      </c>
      <c r="I12" s="11">
        <f ca="1">IFERROR(__xludf.DUMMYFUNCTION("""COMPUTED_VALUE"""),45558.5262692939)</f>
        <v>45558.5262692939</v>
      </c>
      <c r="J12" s="5" t="str">
        <f ca="1">IFERROR(__xludf.DUMMYFUNCTION("""COMPUTED_VALUE"""),"sa")</f>
        <v>sa</v>
      </c>
      <c r="K12" s="5" t="b">
        <f ca="1">IFERROR(__xludf.DUMMYFUNCTION("""COMPUTED_VALUE"""),TRUE)</f>
        <v>1</v>
      </c>
      <c r="L12" s="5"/>
      <c r="M12" s="5"/>
      <c r="N12" s="5"/>
      <c r="O12" s="5"/>
      <c r="P12" s="5"/>
      <c r="Q12" s="5"/>
      <c r="R12" s="5"/>
      <c r="S12" s="5"/>
      <c r="T12" s="5"/>
      <c r="U12" s="5"/>
      <c r="V12" s="5"/>
      <c r="W12" s="5"/>
      <c r="X12" s="5"/>
      <c r="Y12" s="5"/>
      <c r="Z12" s="5"/>
    </row>
    <row r="13" spans="1:26" x14ac:dyDescent="0.25">
      <c r="A13" s="5">
        <f ca="1">IFERROR(__xludf.DUMMYFUNCTION("""COMPUTED_VALUE"""),12)</f>
        <v>12</v>
      </c>
      <c r="B13" s="5">
        <f ca="1">IFERROR(__xludf.DUMMYFUNCTION("""COMPUTED_VALUE"""),12)</f>
        <v>12</v>
      </c>
      <c r="C13" s="5" t="str">
        <f ca="1">IFERROR(__xludf.DUMMYFUNCTION("""COMPUTED_VALUE"""),"Dutch")</f>
        <v>Dutch</v>
      </c>
      <c r="D13" s="5" t="str">
        <f ca="1">IFERROR(__xludf.DUMMYFUNCTION("""COMPUTED_VALUE"""),"dut/nld")</f>
        <v>dut/nld</v>
      </c>
      <c r="E13" s="5" t="b">
        <f ca="1">IFERROR(__xludf.DUMMYFUNCTION("""COMPUTED_VALUE"""),TRUE)</f>
        <v>1</v>
      </c>
      <c r="F13" s="5" t="str">
        <f ca="1">IFERROR(__xludf.DUMMYFUNCTION("""COMPUTED_VALUE"""),"NULL")</f>
        <v>NULL</v>
      </c>
      <c r="G13" s="5" t="str">
        <f ca="1">IFERROR(__xludf.DUMMYFUNCTION("""COMPUTED_VALUE"""),"2024-09-23T10:37:49.667Z")</f>
        <v>2024-09-23T10:37:49.667Z</v>
      </c>
      <c r="H13" s="5" t="str">
        <f ca="1">IFERROR(__xludf.DUMMYFUNCTION("""COMPUTED_VALUE"""),"sa")</f>
        <v>sa</v>
      </c>
      <c r="I13" s="11">
        <f ca="1">IFERROR(__xludf.DUMMYFUNCTION("""COMPUTED_VALUE"""),46161.5033564814)</f>
        <v>46161.5033564814</v>
      </c>
      <c r="J13" s="5" t="str">
        <f ca="1">IFERROR(__xludf.DUMMYFUNCTION("""COMPUTED_VALUE"""),"djordje.petrovic@fazi.rs")</f>
        <v>djordje.petrovic@fazi.rs</v>
      </c>
      <c r="K13" s="5" t="b">
        <f ca="1">IFERROR(__xludf.DUMMYFUNCTION("""COMPUTED_VALUE"""),TRUE)</f>
        <v>1</v>
      </c>
      <c r="L13" s="5"/>
      <c r="M13" s="5"/>
      <c r="N13" s="5"/>
      <c r="O13" s="5"/>
      <c r="P13" s="5"/>
      <c r="Q13" s="5"/>
      <c r="R13" s="5"/>
      <c r="S13" s="5"/>
      <c r="T13" s="5"/>
      <c r="U13" s="5"/>
      <c r="V13" s="5"/>
      <c r="W13" s="5"/>
      <c r="X13" s="5"/>
      <c r="Y13" s="5"/>
      <c r="Z13" s="5"/>
    </row>
    <row r="14" spans="1:26" x14ac:dyDescent="0.25">
      <c r="A14" s="5">
        <f ca="1">IFERROR(__xludf.DUMMYFUNCTION("""COMPUTED_VALUE"""),13)</f>
        <v>13</v>
      </c>
      <c r="B14" s="5">
        <f ca="1">IFERROR(__xludf.DUMMYFUNCTION("""COMPUTED_VALUE"""),13)</f>
        <v>13</v>
      </c>
      <c r="C14" s="5" t="str">
        <f ca="1">IFERROR(__xludf.DUMMYFUNCTION("""COMPUTED_VALUE"""),"Turkish")</f>
        <v>Turkish</v>
      </c>
      <c r="D14" s="5" t="str">
        <f ca="1">IFERROR(__xludf.DUMMYFUNCTION("""COMPUTED_VALUE"""),"tur")</f>
        <v>tur</v>
      </c>
      <c r="E14" s="5" t="b">
        <f ca="1">IFERROR(__xludf.DUMMYFUNCTION("""COMPUTED_VALUE"""),TRUE)</f>
        <v>1</v>
      </c>
      <c r="F14" s="5" t="str">
        <f ca="1">IFERROR(__xludf.DUMMYFUNCTION("""COMPUTED_VALUE"""),"NULL")</f>
        <v>NULL</v>
      </c>
      <c r="G14" s="5" t="str">
        <f ca="1">IFERROR(__xludf.DUMMYFUNCTION("""COMPUTED_VALUE"""),"2024-09-23T10:37:49.667Z")</f>
        <v>2024-09-23T10:37:49.667Z</v>
      </c>
      <c r="H14" s="5" t="str">
        <f ca="1">IFERROR(__xludf.DUMMYFUNCTION("""COMPUTED_VALUE"""),"sa")</f>
        <v>sa</v>
      </c>
      <c r="I14" s="11">
        <f ca="1">IFERROR(__xludf.DUMMYFUNCTION("""COMPUTED_VALUE"""),46161.5034722222)</f>
        <v>46161.503472222197</v>
      </c>
      <c r="J14" s="5" t="str">
        <f ca="1">IFERROR(__xludf.DUMMYFUNCTION("""COMPUTED_VALUE"""),"djordje.petrovic@fazi.rs")</f>
        <v>djordje.petrovic@fazi.rs</v>
      </c>
      <c r="K14" s="5" t="b">
        <f ca="1">IFERROR(__xludf.DUMMYFUNCTION("""COMPUTED_VALUE"""),TRUE)</f>
        <v>1</v>
      </c>
      <c r="L14" s="5"/>
      <c r="M14" s="5"/>
      <c r="N14" s="5"/>
      <c r="O14" s="5"/>
      <c r="P14" s="5"/>
      <c r="Q14" s="5"/>
      <c r="R14" s="5"/>
      <c r="S14" s="5"/>
      <c r="T14" s="5"/>
      <c r="U14" s="5"/>
      <c r="V14" s="5"/>
      <c r="W14" s="5"/>
      <c r="X14" s="5"/>
      <c r="Y14" s="5"/>
      <c r="Z14" s="5"/>
    </row>
    <row r="15" spans="1:26" x14ac:dyDescent="0.25">
      <c r="A15" s="5">
        <f ca="1">IFERROR(__xludf.DUMMYFUNCTION("""COMPUTED_VALUE"""),14)</f>
        <v>14</v>
      </c>
      <c r="B15" s="5">
        <f ca="1">IFERROR(__xludf.DUMMYFUNCTION("""COMPUTED_VALUE"""),14)</f>
        <v>14</v>
      </c>
      <c r="C15" s="5" t="str">
        <f ca="1">IFERROR(__xludf.DUMMYFUNCTION("""COMPUTED_VALUE"""),"Greek")</f>
        <v>Greek</v>
      </c>
      <c r="D15" s="5" t="str">
        <f ca="1">IFERROR(__xludf.DUMMYFUNCTION("""COMPUTED_VALUE"""),"gre/ell")</f>
        <v>gre/ell</v>
      </c>
      <c r="E15" s="5" t="b">
        <f ca="1">IFERROR(__xludf.DUMMYFUNCTION("""COMPUTED_VALUE"""),TRUE)</f>
        <v>1</v>
      </c>
      <c r="F15" s="5" t="str">
        <f ca="1">IFERROR(__xludf.DUMMYFUNCTION("""COMPUTED_VALUE"""),"NULL")</f>
        <v>NULL</v>
      </c>
      <c r="G15" s="5" t="str">
        <f ca="1">IFERROR(__xludf.DUMMYFUNCTION("""COMPUTED_VALUE"""),"2024-09-23T10:37:49.667Z")</f>
        <v>2024-09-23T10:37:49.667Z</v>
      </c>
      <c r="H15" s="5" t="str">
        <f ca="1">IFERROR(__xludf.DUMMYFUNCTION("""COMPUTED_VALUE"""),"sa")</f>
        <v>sa</v>
      </c>
      <c r="I15" s="11">
        <f ca="1">IFERROR(__xludf.DUMMYFUNCTION("""COMPUTED_VALUE"""),46161.5051967592)</f>
        <v>46161.505196759201</v>
      </c>
      <c r="J15" s="5" t="str">
        <f ca="1">IFERROR(__xludf.DUMMYFUNCTION("""COMPUTED_VALUE"""),"djordje.petrovic@fazi.rs")</f>
        <v>djordje.petrovic@fazi.rs</v>
      </c>
      <c r="K15" s="5" t="b">
        <f ca="1">IFERROR(__xludf.DUMMYFUNCTION("""COMPUTED_VALUE"""),TRUE)</f>
        <v>1</v>
      </c>
      <c r="L15" s="5"/>
      <c r="M15" s="5"/>
      <c r="N15" s="5"/>
      <c r="O15" s="5"/>
      <c r="P15" s="5"/>
      <c r="Q15" s="5"/>
      <c r="R15" s="5"/>
      <c r="S15" s="5"/>
      <c r="T15" s="5"/>
      <c r="U15" s="5"/>
      <c r="V15" s="5"/>
      <c r="W15" s="5"/>
      <c r="X15" s="5"/>
      <c r="Y15" s="5"/>
      <c r="Z15" s="5"/>
    </row>
    <row r="16" spans="1:26" x14ac:dyDescent="0.25">
      <c r="A16" s="5">
        <f ca="1">IFERROR(__xludf.DUMMYFUNCTION("""COMPUTED_VALUE"""),15)</f>
        <v>15</v>
      </c>
      <c r="B16" s="5">
        <f ca="1">IFERROR(__xludf.DUMMYFUNCTION("""COMPUTED_VALUE"""),51)</f>
        <v>51</v>
      </c>
      <c r="C16" s="5" t="str">
        <f ca="1">IFERROR(__xludf.DUMMYFUNCTION("""COMPUTED_VALUE"""),"Russian")</f>
        <v>Russian</v>
      </c>
      <c r="D16" s="5" t="str">
        <f ca="1">IFERROR(__xludf.DUMMYFUNCTION("""COMPUTED_VALUE"""),"rus")</f>
        <v>rus</v>
      </c>
      <c r="E16" s="5" t="b">
        <f ca="1">IFERROR(__xludf.DUMMYFUNCTION("""COMPUTED_VALUE"""),TRUE)</f>
        <v>1</v>
      </c>
      <c r="F16" s="5" t="str">
        <f ca="1">IFERROR(__xludf.DUMMYFUNCTION("""COMPUTED_VALUE"""),"NULL")</f>
        <v>NULL</v>
      </c>
      <c r="G16" s="5" t="str">
        <f ca="1">IFERROR(__xludf.DUMMYFUNCTION("""COMPUTED_VALUE"""),"2024-09-23T10:37:49.667Z")</f>
        <v>2024-09-23T10:37:49.667Z</v>
      </c>
      <c r="H16" s="5" t="str">
        <f ca="1">IFERROR(__xludf.DUMMYFUNCTION("""COMPUTED_VALUE"""),"sa")</f>
        <v>sa</v>
      </c>
      <c r="I16" s="11">
        <f ca="1">IFERROR(__xludf.DUMMYFUNCTION("""COMPUTED_VALUE"""),46161.5052893518)</f>
        <v>46161.5052893518</v>
      </c>
      <c r="J16" s="5" t="str">
        <f ca="1">IFERROR(__xludf.DUMMYFUNCTION("""COMPUTED_VALUE"""),"djordje.petrovic@fazi.rs")</f>
        <v>djordje.petrovic@fazi.rs</v>
      </c>
      <c r="K16" s="5" t="b">
        <f ca="1">IFERROR(__xludf.DUMMYFUNCTION("""COMPUTED_VALUE"""),TRUE)</f>
        <v>1</v>
      </c>
      <c r="L16" s="5"/>
      <c r="M16" s="5"/>
      <c r="N16" s="5"/>
      <c r="O16" s="5"/>
      <c r="P16" s="5"/>
      <c r="Q16" s="5"/>
      <c r="R16" s="5"/>
      <c r="S16" s="5"/>
      <c r="T16" s="5"/>
      <c r="U16" s="5"/>
      <c r="V16" s="5"/>
      <c r="W16" s="5"/>
      <c r="X16" s="5"/>
      <c r="Y16" s="5"/>
      <c r="Z16" s="5"/>
    </row>
    <row r="17" spans="1:26" x14ac:dyDescent="0.25">
      <c r="A17" s="5">
        <f ca="1">IFERROR(__xludf.DUMMYFUNCTION("""COMPUTED_VALUE"""),16)</f>
        <v>16</v>
      </c>
      <c r="B17" s="5">
        <f ca="1">IFERROR(__xludf.DUMMYFUNCTION("""COMPUTED_VALUE"""),16)</f>
        <v>16</v>
      </c>
      <c r="C17" s="5" t="str">
        <f ca="1">IFERROR(__xludf.DUMMYFUNCTION("""COMPUTED_VALUE"""),"Czech")</f>
        <v>Czech</v>
      </c>
      <c r="D17" s="5" t="str">
        <f ca="1">IFERROR(__xludf.DUMMYFUNCTION("""COMPUTED_VALUE"""),"cze/ces")</f>
        <v>cze/ces</v>
      </c>
      <c r="E17" s="5" t="b">
        <f ca="1">IFERROR(__xludf.DUMMYFUNCTION("""COMPUTED_VALUE"""),TRUE)</f>
        <v>1</v>
      </c>
      <c r="F17" s="5" t="str">
        <f ca="1">IFERROR(__xludf.DUMMYFUNCTION("""COMPUTED_VALUE"""),"NULL")</f>
        <v>NULL</v>
      </c>
      <c r="G17" s="5" t="str">
        <f ca="1">IFERROR(__xludf.DUMMYFUNCTION("""COMPUTED_VALUE"""),"2024-09-23T10:37:49.667Z")</f>
        <v>2024-09-23T10:37:49.667Z</v>
      </c>
      <c r="H17" s="5" t="str">
        <f ca="1">IFERROR(__xludf.DUMMYFUNCTION("""COMPUTED_VALUE"""),"sa")</f>
        <v>sa</v>
      </c>
      <c r="I17" s="11">
        <f ca="1">IFERROR(__xludf.DUMMYFUNCTION("""COMPUTED_VALUE"""),46161.5053819444)</f>
        <v>46161.5053819444</v>
      </c>
      <c r="J17" s="5" t="str">
        <f ca="1">IFERROR(__xludf.DUMMYFUNCTION("""COMPUTED_VALUE"""),"djordje.petrovic@fazi.rs")</f>
        <v>djordje.petrovic@fazi.rs</v>
      </c>
      <c r="K17" s="5" t="b">
        <f ca="1">IFERROR(__xludf.DUMMYFUNCTION("""COMPUTED_VALUE"""),TRUE)</f>
        <v>1</v>
      </c>
      <c r="L17" s="5"/>
      <c r="M17" s="5"/>
      <c r="N17" s="5"/>
      <c r="O17" s="5"/>
      <c r="P17" s="5"/>
      <c r="Q17" s="5"/>
      <c r="R17" s="5"/>
      <c r="S17" s="5"/>
      <c r="T17" s="5"/>
      <c r="U17" s="5"/>
      <c r="V17" s="5"/>
      <c r="W17" s="5"/>
      <c r="X17" s="5"/>
      <c r="Y17" s="5"/>
      <c r="Z17" s="5"/>
    </row>
    <row r="18" spans="1:26" x14ac:dyDescent="0.25">
      <c r="A18" s="5">
        <f ca="1">IFERROR(__xludf.DUMMYFUNCTION("""COMPUTED_VALUE"""),17)</f>
        <v>17</v>
      </c>
      <c r="B18" s="5">
        <f ca="1">IFERROR(__xludf.DUMMYFUNCTION("""COMPUTED_VALUE"""),17)</f>
        <v>17</v>
      </c>
      <c r="C18" s="5" t="str">
        <f ca="1">IFERROR(__xludf.DUMMYFUNCTION("""COMPUTED_VALUE"""),"Hungarian")</f>
        <v>Hungarian</v>
      </c>
      <c r="D18" s="5" t="str">
        <f ca="1">IFERROR(__xludf.DUMMYFUNCTION("""COMPUTED_VALUE"""),"hun")</f>
        <v>hun</v>
      </c>
      <c r="E18" s="5" t="b">
        <f ca="1">IFERROR(__xludf.DUMMYFUNCTION("""COMPUTED_VALUE"""),TRUE)</f>
        <v>1</v>
      </c>
      <c r="F18" s="5" t="str">
        <f ca="1">IFERROR(__xludf.DUMMYFUNCTION("""COMPUTED_VALUE"""),"NULL")</f>
        <v>NULL</v>
      </c>
      <c r="G18" s="5" t="str">
        <f ca="1">IFERROR(__xludf.DUMMYFUNCTION("""COMPUTED_VALUE"""),"2024-09-23T10:37:49.667Z")</f>
        <v>2024-09-23T10:37:49.667Z</v>
      </c>
      <c r="H18" s="5" t="str">
        <f ca="1">IFERROR(__xludf.DUMMYFUNCTION("""COMPUTED_VALUE"""),"sa")</f>
        <v>sa</v>
      </c>
      <c r="I18" s="11">
        <f ca="1">IFERROR(__xludf.DUMMYFUNCTION("""COMPUTED_VALUE"""),46161.505474537)</f>
        <v>46161.505474537</v>
      </c>
      <c r="J18" s="5" t="str">
        <f ca="1">IFERROR(__xludf.DUMMYFUNCTION("""COMPUTED_VALUE"""),"djordje.petrovic@fazi.rs")</f>
        <v>djordje.petrovic@fazi.rs</v>
      </c>
      <c r="K18" s="5" t="b">
        <f ca="1">IFERROR(__xludf.DUMMYFUNCTION("""COMPUTED_VALUE"""),TRUE)</f>
        <v>1</v>
      </c>
      <c r="L18" s="5"/>
      <c r="M18" s="5"/>
      <c r="N18" s="5"/>
      <c r="O18" s="5"/>
      <c r="P18" s="5"/>
      <c r="Q18" s="5"/>
      <c r="R18" s="5"/>
      <c r="S18" s="5"/>
      <c r="T18" s="5"/>
      <c r="U18" s="5"/>
      <c r="V18" s="5"/>
      <c r="W18" s="5"/>
      <c r="X18" s="5"/>
      <c r="Y18" s="5"/>
      <c r="Z18" s="5"/>
    </row>
    <row r="19" spans="1:26" x14ac:dyDescent="0.25">
      <c r="A19" s="5">
        <f ca="1">IFERROR(__xludf.DUMMYFUNCTION("""COMPUTED_VALUE"""),18)</f>
        <v>18</v>
      </c>
      <c r="B19" s="5">
        <f ca="1">IFERROR(__xludf.DUMMYFUNCTION("""COMPUTED_VALUE"""),18)</f>
        <v>18</v>
      </c>
      <c r="C19" s="5" t="str">
        <f ca="1">IFERROR(__xludf.DUMMYFUNCTION("""COMPUTED_VALUE"""),"N. Macedonian")</f>
        <v>N. Macedonian</v>
      </c>
      <c r="D19" s="5" t="str">
        <f ca="1">IFERROR(__xludf.DUMMYFUNCTION("""COMPUTED_VALUE"""),"mkd/mac")</f>
        <v>mkd/mac</v>
      </c>
      <c r="E19" s="5" t="b">
        <f ca="1">IFERROR(__xludf.DUMMYFUNCTION("""COMPUTED_VALUE"""),TRUE)</f>
        <v>1</v>
      </c>
      <c r="F19" s="5" t="str">
        <f ca="1">IFERROR(__xludf.DUMMYFUNCTION("""COMPUTED_VALUE"""),"NULL")</f>
        <v>NULL</v>
      </c>
      <c r="G19" s="5" t="str">
        <f ca="1">IFERROR(__xludf.DUMMYFUNCTION("""COMPUTED_VALUE"""),"2024-09-23T10:37:49.667Z")</f>
        <v>2024-09-23T10:37:49.667Z</v>
      </c>
      <c r="H19" s="5" t="str">
        <f ca="1">IFERROR(__xludf.DUMMYFUNCTION("""COMPUTED_VALUE"""),"sa")</f>
        <v>sa</v>
      </c>
      <c r="I19" s="11">
        <f ca="1">IFERROR(__xludf.DUMMYFUNCTION("""COMPUTED_VALUE"""),45989.6337847222)</f>
        <v>45989.633784722202</v>
      </c>
      <c r="J19" s="5" t="str">
        <f ca="1">IFERROR(__xludf.DUMMYFUNCTION("""COMPUTED_VALUE"""),"iva.cirkovic@fazi.rs")</f>
        <v>iva.cirkovic@fazi.rs</v>
      </c>
      <c r="K19" s="5" t="b">
        <f ca="1">IFERROR(__xludf.DUMMYFUNCTION("""COMPUTED_VALUE"""),TRUE)</f>
        <v>1</v>
      </c>
      <c r="L19" s="5"/>
      <c r="M19" s="5"/>
      <c r="N19" s="5"/>
      <c r="O19" s="5"/>
      <c r="P19" s="5"/>
      <c r="Q19" s="5"/>
      <c r="R19" s="5"/>
      <c r="S19" s="5"/>
      <c r="T19" s="5"/>
      <c r="U19" s="5"/>
      <c r="V19" s="5"/>
      <c r="W19" s="5"/>
      <c r="X19" s="5"/>
      <c r="Y19" s="5"/>
      <c r="Z19" s="5"/>
    </row>
    <row r="20" spans="1:26" x14ac:dyDescent="0.25">
      <c r="A20" s="5">
        <f ca="1">IFERROR(__xludf.DUMMYFUNCTION("""COMPUTED_VALUE"""),19)</f>
        <v>19</v>
      </c>
      <c r="B20" s="5">
        <f ca="1">IFERROR(__xludf.DUMMYFUNCTION("""COMPUTED_VALUE"""),19)</f>
        <v>19</v>
      </c>
      <c r="C20" s="5" t="str">
        <f ca="1">IFERROR(__xludf.DUMMYFUNCTION("""COMPUTED_VALUE"""),"Finnish")</f>
        <v>Finnish</v>
      </c>
      <c r="D20" s="5" t="str">
        <f ca="1">IFERROR(__xludf.DUMMYFUNCTION("""COMPUTED_VALUE"""),"fin")</f>
        <v>fin</v>
      </c>
      <c r="E20" s="5" t="b">
        <f ca="1">IFERROR(__xludf.DUMMYFUNCTION("""COMPUTED_VALUE"""),TRUE)</f>
        <v>1</v>
      </c>
      <c r="F20" s="5" t="str">
        <f ca="1">IFERROR(__xludf.DUMMYFUNCTION("""COMPUTED_VALUE"""),"NULL")</f>
        <v>NULL</v>
      </c>
      <c r="G20" s="5" t="str">
        <f ca="1">IFERROR(__xludf.DUMMYFUNCTION("""COMPUTED_VALUE"""),"2024-09-23T10:37:49.667Z")</f>
        <v>2024-09-23T10:37:49.667Z</v>
      </c>
      <c r="H20" s="5" t="str">
        <f ca="1">IFERROR(__xludf.DUMMYFUNCTION("""COMPUTED_VALUE"""),"sa")</f>
        <v>sa</v>
      </c>
      <c r="I20" s="11">
        <f ca="1">IFERROR(__xludf.DUMMYFUNCTION("""COMPUTED_VALUE"""),46161.505625)</f>
        <v>46161.505624999998</v>
      </c>
      <c r="J20" s="5" t="str">
        <f ca="1">IFERROR(__xludf.DUMMYFUNCTION("""COMPUTED_VALUE"""),"djordje.petrovic@fazi.rs")</f>
        <v>djordje.petrovic@fazi.rs</v>
      </c>
      <c r="K20" s="5" t="b">
        <f ca="1">IFERROR(__xludf.DUMMYFUNCTION("""COMPUTED_VALUE"""),TRUE)</f>
        <v>1</v>
      </c>
      <c r="L20" s="5"/>
      <c r="M20" s="5"/>
      <c r="N20" s="5"/>
      <c r="O20" s="5"/>
      <c r="P20" s="5"/>
      <c r="Q20" s="5"/>
      <c r="R20" s="5"/>
      <c r="S20" s="5"/>
      <c r="T20" s="5"/>
      <c r="U20" s="5"/>
      <c r="V20" s="5"/>
      <c r="W20" s="5"/>
      <c r="X20" s="5"/>
      <c r="Y20" s="5"/>
      <c r="Z20" s="5"/>
    </row>
    <row r="21" spans="1:26" x14ac:dyDescent="0.25">
      <c r="A21" s="5">
        <f ca="1">IFERROR(__xludf.DUMMYFUNCTION("""COMPUTED_VALUE"""),20)</f>
        <v>20</v>
      </c>
      <c r="B21" s="5">
        <f ca="1">IFERROR(__xludf.DUMMYFUNCTION("""COMPUTED_VALUE"""),20)</f>
        <v>20</v>
      </c>
      <c r="C21" s="5" t="str">
        <f ca="1">IFERROR(__xludf.DUMMYFUNCTION("""COMPUTED_VALUE"""),"Armenian")</f>
        <v>Armenian</v>
      </c>
      <c r="D21" s="5" t="str">
        <f ca="1">IFERROR(__xludf.DUMMYFUNCTION("""COMPUTED_VALUE"""),"arm/hye")</f>
        <v>arm/hye</v>
      </c>
      <c r="E21" s="5" t="b">
        <f ca="1">IFERROR(__xludf.DUMMYFUNCTION("""COMPUTED_VALUE"""),TRUE)</f>
        <v>1</v>
      </c>
      <c r="F21" s="5" t="str">
        <f ca="1">IFERROR(__xludf.DUMMYFUNCTION("""COMPUTED_VALUE"""),"NULL")</f>
        <v>NULL</v>
      </c>
      <c r="G21" s="5" t="str">
        <f ca="1">IFERROR(__xludf.DUMMYFUNCTION("""COMPUTED_VALUE"""),"2024-09-23T10:37:49.667Z")</f>
        <v>2024-09-23T10:37:49.667Z</v>
      </c>
      <c r="H21" s="5" t="str">
        <f ca="1">IFERROR(__xludf.DUMMYFUNCTION("""COMPUTED_VALUE"""),"sa")</f>
        <v>sa</v>
      </c>
      <c r="I21" s="11">
        <f ca="1">IFERROR(__xludf.DUMMYFUNCTION("""COMPUTED_VALUE"""),46161.5068287037)</f>
        <v>46161.506828703699</v>
      </c>
      <c r="J21" s="5" t="str">
        <f ca="1">IFERROR(__xludf.DUMMYFUNCTION("""COMPUTED_VALUE"""),"djordje.petrovic@fazi.rs")</f>
        <v>djordje.petrovic@fazi.rs</v>
      </c>
      <c r="K21" s="5" t="b">
        <f ca="1">IFERROR(__xludf.DUMMYFUNCTION("""COMPUTED_VALUE"""),TRUE)</f>
        <v>1</v>
      </c>
      <c r="L21" s="5"/>
      <c r="M21" s="5"/>
      <c r="N21" s="5"/>
      <c r="O21" s="5"/>
      <c r="P21" s="5"/>
      <c r="Q21" s="5"/>
      <c r="R21" s="5"/>
      <c r="S21" s="5"/>
      <c r="T21" s="5"/>
      <c r="U21" s="5"/>
      <c r="V21" s="5"/>
      <c r="W21" s="5"/>
      <c r="X21" s="5"/>
      <c r="Y21" s="5"/>
      <c r="Z21" s="5"/>
    </row>
    <row r="22" spans="1:26" x14ac:dyDescent="0.25">
      <c r="A22" s="5">
        <f ca="1">IFERROR(__xludf.DUMMYFUNCTION("""COMPUTED_VALUE"""),21)</f>
        <v>21</v>
      </c>
      <c r="B22" s="5">
        <f ca="1">IFERROR(__xludf.DUMMYFUNCTION("""COMPUTED_VALUE"""),21)</f>
        <v>21</v>
      </c>
      <c r="C22" s="5" t="str">
        <f ca="1">IFERROR(__xludf.DUMMYFUNCTION("""COMPUTED_VALUE"""),"Social English")</f>
        <v>Social English</v>
      </c>
      <c r="D22" s="5" t="str">
        <f ca="1">IFERROR(__xludf.DUMMYFUNCTION("""COMPUTED_VALUE"""),"sen")</f>
        <v>sen</v>
      </c>
      <c r="E22" s="5" t="b">
        <f ca="1">IFERROR(__xludf.DUMMYFUNCTION("""COMPUTED_VALUE"""),TRUE)</f>
        <v>1</v>
      </c>
      <c r="F22" s="5" t="str">
        <f ca="1">IFERROR(__xludf.DUMMYFUNCTION("""COMPUTED_VALUE"""),"NULL")</f>
        <v>NULL</v>
      </c>
      <c r="G22" s="5"/>
      <c r="H22" s="5"/>
      <c r="I22" s="11">
        <f ca="1">IFERROR(__xludf.DUMMYFUNCTION("""COMPUTED_VALUE"""),46161.5062152777)</f>
        <v>46161.506215277703</v>
      </c>
      <c r="J22" s="5" t="str">
        <f ca="1">IFERROR(__xludf.DUMMYFUNCTION("""COMPUTED_VALUE"""),"djordje.petrovic@fazi.rs")</f>
        <v>djordje.petrovic@fazi.rs</v>
      </c>
      <c r="K22" s="5" t="b">
        <f ca="1">IFERROR(__xludf.DUMMYFUNCTION("""COMPUTED_VALUE"""),TRUE)</f>
        <v>1</v>
      </c>
      <c r="L22" s="5"/>
      <c r="M22" s="5"/>
      <c r="N22" s="5"/>
      <c r="O22" s="5"/>
      <c r="P22" s="5"/>
      <c r="Q22" s="5"/>
      <c r="R22" s="5"/>
      <c r="S22" s="5"/>
      <c r="T22" s="5"/>
      <c r="U22" s="5"/>
      <c r="V22" s="5"/>
      <c r="W22" s="5"/>
      <c r="X22" s="5"/>
      <c r="Y22" s="5"/>
      <c r="Z22" s="5"/>
    </row>
    <row r="23" spans="1:26" x14ac:dyDescent="0.25">
      <c r="A23" s="5">
        <f ca="1">IFERROR(__xludf.DUMMYFUNCTION("""COMPUTED_VALUE"""),22)</f>
        <v>22</v>
      </c>
      <c r="B23" s="5">
        <f ca="1">IFERROR(__xludf.DUMMYFUNCTION("""COMPUTED_VALUE"""),22)</f>
        <v>22</v>
      </c>
      <c r="C23" s="5" t="str">
        <f ca="1">IFERROR(__xludf.DUMMYFUNCTION("""COMPUTED_VALUE"""),"Amharic")</f>
        <v>Amharic</v>
      </c>
      <c r="D23" s="5" t="str">
        <f ca="1">IFERROR(__xludf.DUMMYFUNCTION("""COMPUTED_VALUE"""),"amh")</f>
        <v>amh</v>
      </c>
      <c r="E23" s="5" t="b">
        <f ca="1">IFERROR(__xludf.DUMMYFUNCTION("""COMPUTED_VALUE"""),TRUE)</f>
        <v>1</v>
      </c>
      <c r="F23" s="5" t="str">
        <f ca="1">IFERROR(__xludf.DUMMYFUNCTION("""COMPUTED_VALUE"""),"NULL")</f>
        <v>NULL</v>
      </c>
      <c r="G23" s="5"/>
      <c r="H23" s="5"/>
      <c r="I23" s="5"/>
      <c r="J23" s="5"/>
      <c r="K23" s="5"/>
      <c r="L23" s="5"/>
      <c r="M23" s="5"/>
      <c r="N23" s="5"/>
      <c r="O23" s="5"/>
      <c r="P23" s="5"/>
      <c r="Q23" s="5"/>
      <c r="R23" s="5"/>
      <c r="S23" s="5"/>
      <c r="T23" s="5"/>
      <c r="U23" s="5"/>
      <c r="V23" s="5"/>
      <c r="W23" s="5"/>
      <c r="X23" s="5"/>
      <c r="Y23" s="5"/>
      <c r="Z23" s="5"/>
    </row>
    <row r="24" spans="1:26" x14ac:dyDescent="0.25">
      <c r="A24" s="5">
        <f ca="1">IFERROR(__xludf.DUMMYFUNCTION("""COMPUTED_VALUE"""),23)</f>
        <v>23</v>
      </c>
      <c r="B24" s="5">
        <f ca="1">IFERROR(__xludf.DUMMYFUNCTION("""COMPUTED_VALUE"""),23)</f>
        <v>23</v>
      </c>
      <c r="C24" s="5" t="str">
        <f ca="1">IFERROR(__xludf.DUMMYFUNCTION("""COMPUTED_VALUE"""),"Swahili")</f>
        <v>Swahili</v>
      </c>
      <c r="D24" s="5" t="str">
        <f ca="1">IFERROR(__xludf.DUMMYFUNCTION("""COMPUTED_VALUE"""),"swa")</f>
        <v>swa</v>
      </c>
      <c r="E24" s="5" t="b">
        <f ca="1">IFERROR(__xludf.DUMMYFUNCTION("""COMPUTED_VALUE"""),TRUE)</f>
        <v>1</v>
      </c>
      <c r="F24" s="5" t="str">
        <f ca="1">IFERROR(__xludf.DUMMYFUNCTION("""COMPUTED_VALUE"""),"NULL")</f>
        <v>NULL</v>
      </c>
      <c r="G24" s="5"/>
      <c r="H24" s="5"/>
      <c r="I24" s="11">
        <f ca="1">IFERROR(__xludf.DUMMYFUNCTION("""COMPUTED_VALUE"""),46161.5063310185)</f>
        <v>46161.5063310185</v>
      </c>
      <c r="J24" s="5" t="str">
        <f ca="1">IFERROR(__xludf.DUMMYFUNCTION("""COMPUTED_VALUE"""),"djordje.petrovic@fazi.rs")</f>
        <v>djordje.petrovic@fazi.rs</v>
      </c>
      <c r="K24" s="5" t="b">
        <f ca="1">IFERROR(__xludf.DUMMYFUNCTION("""COMPUTED_VALUE"""),TRUE)</f>
        <v>1</v>
      </c>
      <c r="L24" s="5"/>
      <c r="M24" s="5"/>
      <c r="N24" s="5"/>
      <c r="O24" s="5"/>
      <c r="P24" s="5"/>
      <c r="Q24" s="5"/>
      <c r="R24" s="5"/>
      <c r="S24" s="5"/>
      <c r="T24" s="5"/>
      <c r="U24" s="5"/>
      <c r="V24" s="5"/>
      <c r="W24" s="5"/>
      <c r="X24" s="5"/>
      <c r="Y24" s="5"/>
      <c r="Z24" s="5"/>
    </row>
    <row r="25" spans="1:26" x14ac:dyDescent="0.25">
      <c r="A25" s="5">
        <f ca="1">IFERROR(__xludf.DUMMYFUNCTION("""COMPUTED_VALUE"""),24)</f>
        <v>24</v>
      </c>
      <c r="B25" s="5">
        <f ca="1">IFERROR(__xludf.DUMMYFUNCTION("""COMPUTED_VALUE"""),24)</f>
        <v>24</v>
      </c>
      <c r="C25" s="5" t="str">
        <f ca="1">IFERROR(__xludf.DUMMYFUNCTION("""COMPUTED_VALUE"""),"Polish")</f>
        <v>Polish</v>
      </c>
      <c r="D25" s="5" t="str">
        <f ca="1">IFERROR(__xludf.DUMMYFUNCTION("""COMPUTED_VALUE"""),"pol")</f>
        <v>pol</v>
      </c>
      <c r="E25" s="5" t="b">
        <f ca="1">IFERROR(__xludf.DUMMYFUNCTION("""COMPUTED_VALUE"""),TRUE)</f>
        <v>1</v>
      </c>
      <c r="F25" s="5" t="str">
        <f ca="1">IFERROR(__xludf.DUMMYFUNCTION("""COMPUTED_VALUE"""),"NULL")</f>
        <v>NULL</v>
      </c>
      <c r="G25" s="5"/>
      <c r="H25" s="5"/>
      <c r="I25" s="11">
        <f ca="1">IFERROR(__xludf.DUMMYFUNCTION("""COMPUTED_VALUE"""),46161.5066782407)</f>
        <v>46161.506678240701</v>
      </c>
      <c r="J25" s="5" t="str">
        <f ca="1">IFERROR(__xludf.DUMMYFUNCTION("""COMPUTED_VALUE"""),"djordje.petrovic@fazi.rs")</f>
        <v>djordje.petrovic@fazi.rs</v>
      </c>
      <c r="K25" s="5" t="b">
        <f ca="1">IFERROR(__xludf.DUMMYFUNCTION("""COMPUTED_VALUE"""),TRUE)</f>
        <v>1</v>
      </c>
      <c r="L25" s="5"/>
      <c r="M25" s="5"/>
      <c r="N25" s="5"/>
      <c r="O25" s="5"/>
      <c r="P25" s="5"/>
      <c r="Q25" s="5"/>
      <c r="R25" s="5"/>
      <c r="S25" s="5"/>
      <c r="T25" s="5"/>
      <c r="U25" s="5"/>
      <c r="V25" s="5"/>
      <c r="W25" s="5"/>
      <c r="X25" s="5"/>
      <c r="Y25" s="5"/>
      <c r="Z25" s="5"/>
    </row>
    <row r="26" spans="1:26" x14ac:dyDescent="0.25">
      <c r="A26" s="5">
        <f ca="1">IFERROR(__xludf.DUMMYFUNCTION("""COMPUTED_VALUE"""),25)</f>
        <v>25</v>
      </c>
      <c r="B26" s="5">
        <f ca="1">IFERROR(__xludf.DUMMYFUNCTION("""COMPUTED_VALUE"""),25)</f>
        <v>25</v>
      </c>
      <c r="C26" s="5" t="str">
        <f ca="1">IFERROR(__xludf.DUMMYFUNCTION("""COMPUTED_VALUE"""),"Latvian")</f>
        <v>Latvian</v>
      </c>
      <c r="D26" s="5" t="str">
        <f ca="1">IFERROR(__xludf.DUMMYFUNCTION("""COMPUTED_VALUE"""),"lav")</f>
        <v>lav</v>
      </c>
      <c r="E26" s="5" t="b">
        <f ca="1">IFERROR(__xludf.DUMMYFUNCTION("""COMPUTED_VALUE"""),TRUE)</f>
        <v>1</v>
      </c>
      <c r="F26" s="5" t="str">
        <f ca="1">IFERROR(__xludf.DUMMYFUNCTION("""COMPUTED_VALUE"""),"NULL")</f>
        <v>NULL</v>
      </c>
      <c r="G26" s="5"/>
      <c r="H26" s="5"/>
      <c r="I26" s="11">
        <f ca="1">IFERROR(__xludf.DUMMYFUNCTION("""COMPUTED_VALUE"""),46161.5058564814)</f>
        <v>46161.505856481403</v>
      </c>
      <c r="J26" s="5" t="str">
        <f ca="1">IFERROR(__xludf.DUMMYFUNCTION("""COMPUTED_VALUE"""),"djordje.petrovic@fazi.rs")</f>
        <v>djordje.petrovic@fazi.rs</v>
      </c>
      <c r="K26" s="5" t="b">
        <f ca="1">IFERROR(__xludf.DUMMYFUNCTION("""COMPUTED_VALUE"""),TRUE)</f>
        <v>1</v>
      </c>
      <c r="L26" s="5"/>
      <c r="M26" s="5"/>
      <c r="N26" s="5"/>
      <c r="O26" s="5"/>
      <c r="P26" s="5"/>
      <c r="Q26" s="5"/>
      <c r="R26" s="5"/>
      <c r="S26" s="5"/>
      <c r="T26" s="5"/>
      <c r="U26" s="5"/>
      <c r="V26" s="5"/>
      <c r="W26" s="5"/>
      <c r="X26" s="5"/>
      <c r="Y26" s="5"/>
      <c r="Z26" s="5"/>
    </row>
    <row r="27" spans="1:26" x14ac:dyDescent="0.25">
      <c r="A27" s="5">
        <f ca="1">IFERROR(__xludf.DUMMYFUNCTION("""COMPUTED_VALUE"""),26)</f>
        <v>26</v>
      </c>
      <c r="B27" s="5">
        <f ca="1">IFERROR(__xludf.DUMMYFUNCTION("""COMPUTED_VALUE"""),26)</f>
        <v>26</v>
      </c>
      <c r="C27" s="5" t="str">
        <f ca="1">IFERROR(__xludf.DUMMYFUNCTION("""COMPUTED_VALUE"""),"Lithuanian")</f>
        <v>Lithuanian</v>
      </c>
      <c r="D27" s="5" t="str">
        <f ca="1">IFERROR(__xludf.DUMMYFUNCTION("""COMPUTED_VALUE"""),"lit")</f>
        <v>lit</v>
      </c>
      <c r="E27" s="5" t="b">
        <f ca="1">IFERROR(__xludf.DUMMYFUNCTION("""COMPUTED_VALUE"""),TRUE)</f>
        <v>1</v>
      </c>
      <c r="F27" s="5" t="str">
        <f ca="1">IFERROR(__xludf.DUMMYFUNCTION("""COMPUTED_VALUE"""),"NULL")</f>
        <v>NULL</v>
      </c>
      <c r="G27" s="5"/>
      <c r="H27" s="5"/>
      <c r="I27" s="11">
        <f ca="1">IFERROR(__xludf.DUMMYFUNCTION("""COMPUTED_VALUE"""),46161.5060185185)</f>
        <v>46161.506018518499</v>
      </c>
      <c r="J27" s="5" t="str">
        <f ca="1">IFERROR(__xludf.DUMMYFUNCTION("""COMPUTED_VALUE"""),"djordje.petrovic@fazi.rs")</f>
        <v>djordje.petrovic@fazi.rs</v>
      </c>
      <c r="K27" s="5" t="b">
        <f ca="1">IFERROR(__xludf.DUMMYFUNCTION("""COMPUTED_VALUE"""),TRUE)</f>
        <v>1</v>
      </c>
      <c r="L27" s="5"/>
      <c r="M27" s="5"/>
      <c r="N27" s="5"/>
      <c r="O27" s="5"/>
      <c r="P27" s="5"/>
      <c r="Q27" s="5"/>
      <c r="R27" s="5"/>
      <c r="S27" s="5"/>
      <c r="T27" s="5"/>
      <c r="U27" s="5"/>
      <c r="V27" s="5"/>
      <c r="W27" s="5"/>
      <c r="X27" s="5"/>
      <c r="Y27" s="5"/>
      <c r="Z27" s="5"/>
    </row>
    <row r="28" spans="1:26" x14ac:dyDescent="0.25">
      <c r="A28" s="5">
        <f ca="1">IFERROR(__xludf.DUMMYFUNCTION("""COMPUTED_VALUE"""),27)</f>
        <v>27</v>
      </c>
      <c r="B28" s="5">
        <f ca="1">IFERROR(__xludf.DUMMYFUNCTION("""COMPUTED_VALUE"""),27)</f>
        <v>27</v>
      </c>
      <c r="C28" s="5" t="str">
        <f ca="1">IFERROR(__xludf.DUMMYFUNCTION("""COMPUTED_VALUE"""),"Slovak")</f>
        <v>Slovak</v>
      </c>
      <c r="D28" s="5" t="str">
        <f ca="1">IFERROR(__xludf.DUMMYFUNCTION("""COMPUTED_VALUE"""),"slk")</f>
        <v>slk</v>
      </c>
      <c r="E28" s="5" t="b">
        <f ca="1">IFERROR(__xludf.DUMMYFUNCTION("""COMPUTED_VALUE"""),TRUE)</f>
        <v>1</v>
      </c>
      <c r="F28" s="5" t="str">
        <f ca="1">IFERROR(__xludf.DUMMYFUNCTION("""COMPUTED_VALUE"""),"NULL")</f>
        <v>NULL</v>
      </c>
      <c r="G28" s="5"/>
      <c r="H28" s="5"/>
      <c r="I28" s="11">
        <f ca="1">IFERROR(__xludf.DUMMYFUNCTION("""COMPUTED_VALUE"""),46161.5104861111)</f>
        <v>46161.510486111103</v>
      </c>
      <c r="J28" s="5" t="str">
        <f ca="1">IFERROR(__xludf.DUMMYFUNCTION("""COMPUTED_VALUE"""),"djordje.petrovic@fazi.rs")</f>
        <v>djordje.petrovic@fazi.rs</v>
      </c>
      <c r="K28" s="5" t="b">
        <f ca="1">IFERROR(__xludf.DUMMYFUNCTION("""COMPUTED_VALUE"""),FALSE)</f>
        <v>0</v>
      </c>
      <c r="L28" s="5"/>
      <c r="M28" s="5"/>
      <c r="N28" s="5"/>
      <c r="O28" s="5"/>
      <c r="P28" s="5"/>
      <c r="Q28" s="5"/>
      <c r="R28" s="5"/>
      <c r="S28" s="5"/>
      <c r="T28" s="5"/>
      <c r="U28" s="5"/>
      <c r="V28" s="5"/>
      <c r="W28" s="5"/>
      <c r="X28" s="5"/>
      <c r="Y28" s="5"/>
      <c r="Z28" s="5"/>
    </row>
    <row r="29" spans="1:26" x14ac:dyDescent="0.25">
      <c r="A29" s="5">
        <f ca="1">IFERROR(__xludf.DUMMYFUNCTION("""COMPUTED_VALUE"""),28)</f>
        <v>28</v>
      </c>
      <c r="B29" s="5">
        <f ca="1">IFERROR(__xludf.DUMMYFUNCTION("""COMPUTED_VALUE"""),28)</f>
        <v>28</v>
      </c>
      <c r="C29" s="5" t="str">
        <f ca="1">IFERROR(__xludf.DUMMYFUNCTION("""COMPUTED_VALUE"""),"Ukrainian")</f>
        <v>Ukrainian</v>
      </c>
      <c r="D29" s="5" t="str">
        <f ca="1">IFERROR(__xludf.DUMMYFUNCTION("""COMPUTED_VALUE"""),"ukr")</f>
        <v>ukr</v>
      </c>
      <c r="E29" s="5" t="b">
        <f ca="1">IFERROR(__xludf.DUMMYFUNCTION("""COMPUTED_VALUE"""),TRUE)</f>
        <v>1</v>
      </c>
      <c r="F29" s="5" t="str">
        <f ca="1">IFERROR(__xludf.DUMMYFUNCTION("""COMPUTED_VALUE"""),"NULL")</f>
        <v>NULL</v>
      </c>
      <c r="G29" s="5"/>
      <c r="H29" s="5"/>
      <c r="I29" s="11">
        <f ca="1">IFERROR(__xludf.DUMMYFUNCTION("""COMPUTED_VALUE"""),46161.5104050925)</f>
        <v>46161.5104050925</v>
      </c>
      <c r="J29" s="5" t="str">
        <f ca="1">IFERROR(__xludf.DUMMYFUNCTION("""COMPUTED_VALUE"""),"djordje.petrovic@fazi.rs")</f>
        <v>djordje.petrovic@fazi.rs</v>
      </c>
      <c r="K29" s="5" t="b">
        <f ca="1">IFERROR(__xludf.DUMMYFUNCTION("""COMPUTED_VALUE"""),TRUE)</f>
        <v>1</v>
      </c>
      <c r="L29" s="5"/>
      <c r="M29" s="5"/>
      <c r="N29" s="5"/>
      <c r="O29" s="5"/>
      <c r="P29" s="5"/>
      <c r="Q29" s="5"/>
      <c r="R29" s="5"/>
      <c r="S29" s="5"/>
      <c r="T29" s="5"/>
      <c r="U29" s="5"/>
      <c r="V29" s="5"/>
      <c r="W29" s="5"/>
      <c r="X29" s="5"/>
      <c r="Y29" s="5"/>
      <c r="Z29" s="5"/>
    </row>
    <row r="30" spans="1:26" x14ac:dyDescent="0.25">
      <c r="A30" s="5">
        <f ca="1">IFERROR(__xludf.DUMMYFUNCTION("""COMPUTED_VALUE"""),29)</f>
        <v>29</v>
      </c>
      <c r="B30" s="5">
        <f ca="1">IFERROR(__xludf.DUMMYFUNCTION("""COMPUTED_VALUE"""),29)</f>
        <v>29</v>
      </c>
      <c r="C30" s="5" t="str">
        <f ca="1">IFERROR(__xludf.DUMMYFUNCTION("""COMPUTED_VALUE"""),"Filipino")</f>
        <v>Filipino</v>
      </c>
      <c r="D30" s="5" t="str">
        <f ca="1">IFERROR(__xludf.DUMMYFUNCTION("""COMPUTED_VALUE"""),"fil")</f>
        <v>fil</v>
      </c>
      <c r="E30" s="5" t="b">
        <f ca="1">IFERROR(__xludf.DUMMYFUNCTION("""COMPUTED_VALUE"""),TRUE)</f>
        <v>1</v>
      </c>
      <c r="F30" s="5" t="str">
        <f ca="1">IFERROR(__xludf.DUMMYFUNCTION("""COMPUTED_VALUE"""),"NULL")</f>
        <v>NULL</v>
      </c>
      <c r="G30" s="5"/>
      <c r="H30" s="5"/>
      <c r="I30" s="5"/>
      <c r="J30" s="5"/>
      <c r="K30" s="5"/>
      <c r="L30" s="5"/>
      <c r="M30" s="5"/>
      <c r="N30" s="5"/>
      <c r="O30" s="5"/>
      <c r="P30" s="5"/>
      <c r="Q30" s="5"/>
      <c r="R30" s="5"/>
      <c r="S30" s="5"/>
      <c r="T30" s="5"/>
      <c r="U30" s="5"/>
      <c r="V30" s="5"/>
      <c r="W30" s="5"/>
      <c r="X30" s="5"/>
      <c r="Y30" s="5"/>
      <c r="Z30" s="5"/>
    </row>
    <row r="31" spans="1:26" x14ac:dyDescent="0.25">
      <c r="A31" s="5">
        <f ca="1">IFERROR(__xludf.DUMMYFUNCTION("""COMPUTED_VALUE"""),30)</f>
        <v>30</v>
      </c>
      <c r="B31" s="5">
        <f ca="1">IFERROR(__xludf.DUMMYFUNCTION("""COMPUTED_VALUE"""),30)</f>
        <v>30</v>
      </c>
      <c r="C31" s="5" t="str">
        <f ca="1">IFERROR(__xludf.DUMMYFUNCTION("""COMPUTED_VALUE"""),"Chinese")</f>
        <v>Chinese</v>
      </c>
      <c r="D31" s="5" t="str">
        <f ca="1">IFERROR(__xludf.DUMMYFUNCTION("""COMPUTED_VALUE"""),"zho/chi")</f>
        <v>zho/chi</v>
      </c>
      <c r="E31" s="5" t="b">
        <f ca="1">IFERROR(__xludf.DUMMYFUNCTION("""COMPUTED_VALUE"""),TRUE)</f>
        <v>1</v>
      </c>
      <c r="F31" s="5" t="str">
        <f ca="1">IFERROR(__xludf.DUMMYFUNCTION("""COMPUTED_VALUE"""),"NULL")</f>
        <v>NULL</v>
      </c>
      <c r="G31" s="5"/>
      <c r="H31" s="5"/>
      <c r="I31" s="5"/>
      <c r="J31" s="5"/>
      <c r="K31" s="5"/>
      <c r="L31" s="5"/>
      <c r="M31" s="5"/>
      <c r="N31" s="5"/>
      <c r="O31" s="5"/>
      <c r="P31" s="5"/>
      <c r="Q31" s="5"/>
      <c r="R31" s="5"/>
      <c r="S31" s="5"/>
      <c r="T31" s="5"/>
      <c r="U31" s="5"/>
      <c r="V31" s="5"/>
      <c r="W31" s="5"/>
      <c r="X31" s="5"/>
      <c r="Y31" s="5"/>
      <c r="Z31" s="5"/>
    </row>
    <row r="32" spans="1:26" x14ac:dyDescent="0.25">
      <c r="A32" s="5">
        <f ca="1">IFERROR(__xludf.DUMMYFUNCTION("""COMPUTED_VALUE"""),31)</f>
        <v>31</v>
      </c>
      <c r="B32" s="5">
        <f ca="1">IFERROR(__xludf.DUMMYFUNCTION("""COMPUTED_VALUE"""),31)</f>
        <v>31</v>
      </c>
      <c r="C32" s="5" t="str">
        <f ca="1">IFERROR(__xludf.DUMMYFUNCTION("""COMPUTED_VALUE"""),"Traditional Chinese")</f>
        <v>Traditional Chinese</v>
      </c>
      <c r="D32" s="5" t="str">
        <f ca="1">IFERROR(__xludf.DUMMYFUNCTION("""COMPUTED_VALUE"""),"zht")</f>
        <v>zht</v>
      </c>
      <c r="E32" s="5" t="b">
        <f ca="1">IFERROR(__xludf.DUMMYFUNCTION("""COMPUTED_VALUE"""),TRUE)</f>
        <v>1</v>
      </c>
      <c r="F32" s="5" t="str">
        <f ca="1">IFERROR(__xludf.DUMMYFUNCTION("""COMPUTED_VALUE"""),"NULL")</f>
        <v>NULL</v>
      </c>
      <c r="G32" s="5"/>
      <c r="H32" s="5"/>
      <c r="I32" s="5"/>
      <c r="J32" s="5"/>
      <c r="K32" s="5"/>
      <c r="L32" s="5"/>
      <c r="M32" s="5"/>
      <c r="N32" s="5"/>
      <c r="O32" s="5"/>
      <c r="P32" s="5"/>
      <c r="Q32" s="5"/>
      <c r="R32" s="5"/>
      <c r="S32" s="5"/>
      <c r="T32" s="5"/>
      <c r="U32" s="5"/>
      <c r="V32" s="5"/>
      <c r="W32" s="5"/>
      <c r="X32" s="5"/>
      <c r="Y32" s="5"/>
      <c r="Z32" s="5"/>
    </row>
    <row r="33" spans="1:26" x14ac:dyDescent="0.25">
      <c r="A33" s="5">
        <f ca="1">IFERROR(__xludf.DUMMYFUNCTION("""COMPUTED_VALUE"""),32)</f>
        <v>32</v>
      </c>
      <c r="B33" s="5">
        <f ca="1">IFERROR(__xludf.DUMMYFUNCTION("""COMPUTED_VALUE"""),32)</f>
        <v>32</v>
      </c>
      <c r="C33" s="5" t="str">
        <f ca="1">IFERROR(__xludf.DUMMYFUNCTION("""COMPUTED_VALUE"""),"Japanese")</f>
        <v>Japanese</v>
      </c>
      <c r="D33" s="5" t="str">
        <f ca="1">IFERROR(__xludf.DUMMYFUNCTION("""COMPUTED_VALUE"""),"jpn")</f>
        <v>jpn</v>
      </c>
      <c r="E33" s="5" t="b">
        <f ca="1">IFERROR(__xludf.DUMMYFUNCTION("""COMPUTED_VALUE"""),TRUE)</f>
        <v>1</v>
      </c>
      <c r="F33" s="5" t="str">
        <f ca="1">IFERROR(__xludf.DUMMYFUNCTION("""COMPUTED_VALUE"""),"NULL")</f>
        <v>NULL</v>
      </c>
      <c r="G33" s="5"/>
      <c r="H33" s="5"/>
      <c r="I33" s="5"/>
      <c r="J33" s="5"/>
      <c r="K33" s="5"/>
      <c r="L33" s="5"/>
      <c r="M33" s="5"/>
      <c r="N33" s="5"/>
      <c r="O33" s="5"/>
      <c r="P33" s="5"/>
      <c r="Q33" s="5"/>
      <c r="R33" s="5"/>
      <c r="S33" s="5"/>
      <c r="T33" s="5"/>
      <c r="U33" s="5"/>
      <c r="V33" s="5"/>
      <c r="W33" s="5"/>
      <c r="X33" s="5"/>
      <c r="Y33" s="5"/>
      <c r="Z33" s="5"/>
    </row>
    <row r="34" spans="1:26" x14ac:dyDescent="0.25">
      <c r="A34" s="5">
        <f ca="1">IFERROR(__xludf.DUMMYFUNCTION("""COMPUTED_VALUE"""),33)</f>
        <v>33</v>
      </c>
      <c r="B34" s="5">
        <f ca="1">IFERROR(__xludf.DUMMYFUNCTION("""COMPUTED_VALUE"""),33)</f>
        <v>33</v>
      </c>
      <c r="C34" s="5" t="str">
        <f ca="1">IFERROR(__xludf.DUMMYFUNCTION("""COMPUTED_VALUE"""),"Korean")</f>
        <v>Korean</v>
      </c>
      <c r="D34" s="5" t="str">
        <f ca="1">IFERROR(__xludf.DUMMYFUNCTION("""COMPUTED_VALUE"""),"kor")</f>
        <v>kor</v>
      </c>
      <c r="E34" s="5" t="b">
        <f ca="1">IFERROR(__xludf.DUMMYFUNCTION("""COMPUTED_VALUE"""),TRUE)</f>
        <v>1</v>
      </c>
      <c r="F34" s="5" t="str">
        <f ca="1">IFERROR(__xludf.DUMMYFUNCTION("""COMPUTED_VALUE"""),"NULL")</f>
        <v>NULL</v>
      </c>
      <c r="G34" s="5"/>
      <c r="H34" s="5"/>
      <c r="I34" s="11">
        <f ca="1">IFERROR(__xludf.DUMMYFUNCTION("""COMPUTED_VALUE"""),46161.5077083333)</f>
        <v>46161.507708333302</v>
      </c>
      <c r="J34" s="5" t="str">
        <f ca="1">IFERROR(__xludf.DUMMYFUNCTION("""COMPUTED_VALUE"""),"djordje.petrovic@fazi.rs")</f>
        <v>djordje.petrovic@fazi.rs</v>
      </c>
      <c r="K34" s="5" t="b">
        <f ca="1">IFERROR(__xludf.DUMMYFUNCTION("""COMPUTED_VALUE"""),FALSE)</f>
        <v>0</v>
      </c>
      <c r="L34" s="5"/>
      <c r="M34" s="5"/>
      <c r="N34" s="5"/>
      <c r="O34" s="5"/>
      <c r="P34" s="5"/>
      <c r="Q34" s="5"/>
      <c r="R34" s="5"/>
      <c r="S34" s="5"/>
      <c r="T34" s="5"/>
      <c r="U34" s="5"/>
      <c r="V34" s="5"/>
      <c r="W34" s="5"/>
      <c r="X34" s="5"/>
      <c r="Y34" s="5"/>
      <c r="Z34" s="5"/>
    </row>
    <row r="35" spans="1:26" x14ac:dyDescent="0.25">
      <c r="A35" s="5">
        <f ca="1">IFERROR(__xludf.DUMMYFUNCTION("""COMPUTED_VALUE"""),34)</f>
        <v>34</v>
      </c>
      <c r="B35" s="5">
        <f ca="1">IFERROR(__xludf.DUMMYFUNCTION("""COMPUTED_VALUE"""),34)</f>
        <v>34</v>
      </c>
      <c r="C35" s="5" t="str">
        <f ca="1">IFERROR(__xludf.DUMMYFUNCTION("""COMPUTED_VALUE"""),"Bosnian")</f>
        <v>Bosnian</v>
      </c>
      <c r="D35" s="5"/>
      <c r="E35" s="5" t="b">
        <f ca="1">IFERROR(__xludf.DUMMYFUNCTION("""COMPUTED_VALUE"""),TRUE)</f>
        <v>1</v>
      </c>
      <c r="F35" s="5"/>
      <c r="G35" s="5"/>
      <c r="H35" s="5"/>
      <c r="I35" s="10">
        <f ca="1">IFERROR(__xludf.DUMMYFUNCTION("""COMPUTED_VALUE"""),46036.6304166666)</f>
        <v>46036.630416666601</v>
      </c>
      <c r="J35" s="5" t="str">
        <f ca="1">IFERROR(__xludf.DUMMYFUNCTION("""COMPUTED_VALUE"""),"iva.cirkovic@fazi.rs")</f>
        <v>iva.cirkovic@fazi.rs</v>
      </c>
      <c r="K35" s="5" t="b">
        <f ca="1">IFERROR(__xludf.DUMMYFUNCTION("""COMPUTED_VALUE"""),TRUE)</f>
        <v>1</v>
      </c>
      <c r="L35" s="5"/>
      <c r="M35" s="5"/>
      <c r="N35" s="5"/>
      <c r="O35" s="5"/>
      <c r="P35" s="5"/>
      <c r="Q35" s="5"/>
      <c r="R35" s="5"/>
      <c r="S35" s="5"/>
      <c r="T35" s="5"/>
      <c r="U35" s="5"/>
      <c r="V35" s="5"/>
      <c r="W35" s="5"/>
      <c r="X35" s="5"/>
      <c r="Y35" s="5"/>
      <c r="Z35" s="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
  <sheetViews>
    <sheetView workbookViewId="0"/>
  </sheetViews>
  <sheetFormatPr defaultColWidth="12.6640625" defaultRowHeight="15.75" customHeight="1" x14ac:dyDescent="0.25"/>
  <cols>
    <col min="1" max="1" width="30.6640625" customWidth="1"/>
  </cols>
  <sheetData>
    <row r="1" spans="1:1" x14ac:dyDescent="0.25">
      <c r="A1" s="5" t="str">
        <f ca="1">IFERROR(__xludf.DUMMYFUNCTION("IMPORTRANGE(""1KY2uWXIWPXLFOhcsi9XG90Mf0s1xDuLfe-rnIQmeal4"", ""ReportGameJurisdiction_new!E:BZ"")"),"#REF!")</f>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CA - Foxi</vt:lpstr>
      <vt:lpstr>CA - Redstone</vt:lpstr>
      <vt:lpstr>CA - Playnet</vt:lpstr>
      <vt:lpstr>CA - TipTop</vt:lpstr>
      <vt:lpstr>CA - SOKO studio</vt:lpstr>
      <vt:lpstr>Igre za naredni kvartal</vt:lpstr>
      <vt:lpstr>GameLanguages_za_CA</vt:lpstr>
      <vt:lpstr>AllGames_Languages</vt:lpstr>
      <vt:lpstr>Jurisdiction_report</vt:lpstr>
      <vt:lpstr>GameLanguages_report</vt:lpstr>
      <vt:lpstr>AllGames_Games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Marija Milosevic</cp:lastModifiedBy>
  <dcterms:modified xsi:type="dcterms:W3CDTF">2026-07-29T12:12:11Z</dcterms:modified>
</cp:coreProperties>
</file>